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pivotCache/pivotCacheDefinition12.xml" ContentType="application/vnd.openxmlformats-officedocument.spreadsheetml.pivotCacheDefinition+xml"/>
  <Override PartName="/xl/pivotCache/pivotCacheRecords12.xml" ContentType="application/vnd.openxmlformats-officedocument.spreadsheetml.pivotCacheRecords+xml"/>
  <Override PartName="/xl/pivotCache/pivotCacheDefinition13.xml" ContentType="application/vnd.openxmlformats-officedocument.spreadsheetml.pivotCacheDefinition+xml"/>
  <Override PartName="/xl/pivotCache/pivotCacheRecords13.xml" ContentType="application/vnd.openxmlformats-officedocument.spreadsheetml.pivotCacheRecords+xml"/>
  <Override PartName="/xl/pivotCache/pivotCacheDefinition14.xml" ContentType="application/vnd.openxmlformats-officedocument.spreadsheetml.pivotCacheDefinition+xml"/>
  <Override PartName="/xl/pivotCache/pivotCacheRecords14.xml" ContentType="application/vnd.openxmlformats-officedocument.spreadsheetml.pivotCacheRecords+xml"/>
  <Override PartName="/xl/pivotCache/pivotCacheDefinition15.xml" ContentType="application/vnd.openxmlformats-officedocument.spreadsheetml.pivotCacheDefinition+xml"/>
  <Override PartName="/xl/pivotCache/pivotCacheRecords15.xml" ContentType="application/vnd.openxmlformats-officedocument.spreadsheetml.pivotCacheRecords+xml"/>
  <Override PartName="/xl/pivotCache/pivotCacheDefinition16.xml" ContentType="application/vnd.openxmlformats-officedocument.spreadsheetml.pivotCacheDefinition+xml"/>
  <Override PartName="/xl/pivotCache/pivotCacheRecords1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2.xml" ContentType="application/vnd.openxmlformats-officedocument.spreadsheetml.table+xml"/>
  <Override PartName="/xl/slicers/slicer2.xml" ContentType="application/vnd.ms-excel.slicer+xml"/>
  <Override PartName="/xl/comments2.xml" ContentType="application/vnd.openxmlformats-officedocument.spreadsheetml.comments+xml"/>
  <Override PartName="/xl/drawings/drawing3.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3.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ctrlProps/ctrlProp22.xml" ContentType="application/vnd.ms-excel.controlproperties+xml"/>
  <Override PartName="/xl/tables/table4.xml" ContentType="application/vnd.openxmlformats-officedocument.spreadsheetml.table+xml"/>
  <Override PartName="/xl/queryTables/queryTable1.xml" ContentType="application/vnd.openxmlformats-officedocument.spreadsheetml.queryTable+xml"/>
  <Override PartName="/xl/slicers/slicer4.xml" ContentType="application/vnd.ms-excel.slicer+xml"/>
  <Override PartName="/xl/drawings/drawing5.xml" ContentType="application/vnd.openxmlformats-officedocument.drawing+xml"/>
  <Override PartName="/xl/ctrlProps/ctrlProp23.xml" ContentType="application/vnd.ms-excel.controlproperties+xml"/>
  <Override PartName="/xl/tables/table5.xml" ContentType="application/vnd.openxmlformats-officedocument.spreadsheetml.table+xml"/>
  <Override PartName="/xl/queryTables/queryTable2.xml" ContentType="application/vnd.openxmlformats-officedocument.spreadsheetml.queryTable+xml"/>
  <Override PartName="/xl/slicers/slicer5.xml" ContentType="application/vnd.ms-excel.slicer+xml"/>
  <Override PartName="/xl/drawings/drawing6.xml" ContentType="application/vnd.openxmlformats-officedocument.drawing+xml"/>
  <Override PartName="/xl/ctrlProps/ctrlProp24.xml" ContentType="application/vnd.ms-excel.controlproperties+xml"/>
  <Override PartName="/xl/ctrlProps/ctrlProp25.xml" ContentType="application/vnd.ms-excel.controlproperties+xml"/>
  <Override PartName="/xl/tables/table6.xml" ContentType="application/vnd.openxmlformats-officedocument.spreadsheetml.table+xml"/>
  <Override PartName="/xl/queryTables/queryTable3.xml" ContentType="application/vnd.openxmlformats-officedocument.spreadsheetml.queryTable+xml"/>
  <Override PartName="/xl/slicers/slicer6.xml" ContentType="application/vnd.ms-excel.slicer+xml"/>
  <Override PartName="/xl/drawings/drawing7.xml" ContentType="application/vnd.openxmlformats-officedocument.drawing+xml"/>
  <Override PartName="/xl/ctrlProps/ctrlProp26.xml" ContentType="application/vnd.ms-excel.controlproperties+xml"/>
  <Override PartName="/xl/tables/table7.xml" ContentType="application/vnd.openxmlformats-officedocument.spreadsheetml.table+xml"/>
  <Override PartName="/xl/queryTables/queryTable4.xml" ContentType="application/vnd.openxmlformats-officedocument.spreadsheetml.queryTable+xml"/>
  <Override PartName="/xl/drawings/drawing8.xml" ContentType="application/vnd.openxmlformats-officedocument.drawing+xml"/>
  <Override PartName="/xl/ctrlProps/ctrlProp27.xml" ContentType="application/vnd.ms-excel.controlproperties+xml"/>
  <Override PartName="/xl/tables/table8.xml" ContentType="application/vnd.openxmlformats-officedocument.spreadsheetml.table+xml"/>
  <Override PartName="/xl/queryTables/queryTable5.xml" ContentType="application/vnd.openxmlformats-officedocument.spreadsheetml.queryTable+xml"/>
  <Override PartName="/xl/slicers/slicer7.xml" ContentType="application/vnd.ms-excel.slicer+xml"/>
  <Override PartName="/xl/drawings/drawing9.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tables/table9.xml" ContentType="application/vnd.openxmlformats-officedocument.spreadsheetml.table+xml"/>
  <Override PartName="/xl/queryTables/queryTable6.xml" ContentType="application/vnd.openxmlformats-officedocument.spreadsheetml.queryTable+xml"/>
  <Override PartName="/xl/slicers/slicer8.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0.xml" ContentType="application/vnd.openxmlformats-officedocument.drawing+xml"/>
  <Override PartName="/xl/ctrlProps/ctrlProp31.xml" ContentType="application/vnd.ms-excel.controlproperties+xml"/>
  <Override PartName="/xl/tables/table10.xml" ContentType="application/vnd.openxmlformats-officedocument.spreadsheetml.table+xml"/>
  <Override PartName="/xl/tables/table11.xml" ContentType="application/vnd.openxmlformats-officedocument.spreadsheetml.table+xml"/>
  <Override PartName="/xl/queryTables/queryTable7.xml" ContentType="application/vnd.openxmlformats-officedocument.spreadsheetml.queryTable+xml"/>
  <Override PartName="/xl/tables/table12.xml" ContentType="application/vnd.openxmlformats-officedocument.spreadsheetml.table+xml"/>
  <Override PartName="/xl/queryTables/queryTable8.xml" ContentType="application/vnd.openxmlformats-officedocument.spreadsheetml.queryTable+xml"/>
  <Override PartName="/xl/comments3.xml" ContentType="application/vnd.openxmlformats-officedocument.spreadsheetml.comments+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1.xml" ContentType="application/vnd.openxmlformats-officedocument.drawing+xml"/>
  <Override PartName="/xl/slicers/slicer9.xml" ContentType="application/vnd.ms-excel.slicer+xml"/>
  <Override PartName="/xl/drawings/drawing12.xml" ContentType="application/vnd.openxmlformats-officedocument.drawing+xml"/>
  <Override PartName="/xl/ctrlProps/ctrlProp32.xml" ContentType="application/vnd.ms-excel.controlproperties+xml"/>
  <Override PartName="/xl/ctrlProps/ctrlProp33.xml" ContentType="application/vnd.ms-excel.controlproperties+xml"/>
  <Override PartName="/xl/tables/table13.xml" ContentType="application/vnd.openxmlformats-officedocument.spreadsheetml.table+xml"/>
  <Override PartName="/xl/slicers/slicer10.xml" ContentType="application/vnd.ms-excel.slicer+xml"/>
  <Override PartName="/xl/pivotTables/pivotTable17.xml" ContentType="application/vnd.openxmlformats-officedocument.spreadsheetml.pivotTable+xml"/>
  <Override PartName="/xl/comments4.xml" ContentType="application/vnd.openxmlformats-officedocument.spreadsheetml.comments+xml"/>
  <Override PartName="/xl/tables/table14.xml" ContentType="application/vnd.openxmlformats-officedocument.spreadsheetml.table+xml"/>
  <Override PartName="/xl/queryTables/queryTable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mblaec-my.sharepoint.com/personal/f_shaikh_mbl_com_sa/Documents/Documents/Automation Folder/"/>
    </mc:Choice>
  </mc:AlternateContent>
  <xr:revisionPtr revIDLastSave="0" documentId="8_{827FD514-6C68-4610-B195-C43F000506BA}" xr6:coauthVersionLast="47" xr6:coauthVersionMax="47" xr10:uidLastSave="{00000000-0000-0000-0000-000000000000}"/>
  <bookViews>
    <workbookView xWindow="28680" yWindow="-120" windowWidth="29040" windowHeight="15720" tabRatio="791" xr2:uid="{874F4E28-1661-45F2-ACB2-DF21E80C55F4}"/>
  </bookViews>
  <sheets>
    <sheet name="Main-Issuance" sheetId="1" r:id="rId1"/>
    <sheet name="Main-Presentation" sheetId="3" r:id="rId2"/>
    <sheet name="Guarantee" sheetId="16" r:id="rId3"/>
    <sheet name="Presentation Settled" sheetId="5" r:id="rId4"/>
    <sheet name="Due Dates" sheetId="4" r:id="rId5"/>
    <sheet name="Document Collection" sheetId="6" state="hidden" r:id="rId6"/>
    <sheet name="LC_Overdrawn" sheetId="15" state="hidden" r:id="rId7"/>
    <sheet name="LC_Cancellation" sheetId="20" r:id="rId8"/>
    <sheet name="LC_Summary" sheetId="7" r:id="rId9"/>
    <sheet name="Facility Space" sheetId="10" r:id="rId10"/>
    <sheet name="LC_Statistics" sheetId="18" r:id="rId11"/>
    <sheet name="Data Validation" sheetId="2" state="hidden" r:id="rId12"/>
    <sheet name="Debit Advice" sheetId="23" r:id="rId13"/>
    <sheet name="Advice Report" sheetId="25" state="hidden" r:id="rId14"/>
    <sheet name="Tariff" sheetId="26" r:id="rId15"/>
    <sheet name="Jazira-Ext" sheetId="28" state="hidden" r:id="rId16"/>
    <sheet name="Combine_List" sheetId="27" state="hidden" r:id="rId17"/>
  </sheets>
  <functionGroups builtInGroupCount="19"/>
  <definedNames>
    <definedName name="_xlnm._FilterDatabase" localSheetId="12" hidden="1">'Debit Advice'!$A$4:$N$2929</definedName>
    <definedName name="_xleta.LOWER" hidden="1" xlm="1">#NAME?</definedName>
    <definedName name="ExternalData_1" localSheetId="16" hidden="1">'Combine_List'!$A$1:$E$1122</definedName>
    <definedName name="ExternalData_1" localSheetId="5" hidden="1">'Document Collection'!$A$4:$O$309</definedName>
    <definedName name="ExternalData_1" localSheetId="4" hidden="1">'Due Dates'!$A$4:$U$64</definedName>
    <definedName name="ExternalData_1" localSheetId="9" hidden="1">'Facility Space'!$AT$12</definedName>
    <definedName name="ExternalData_1" localSheetId="7" hidden="1">LC_Cancellation!$A$4:$R$206</definedName>
    <definedName name="ExternalData_1" localSheetId="8" hidden="1">LC_Summary!$A$4:$AD$935</definedName>
    <definedName name="ExternalData_1" localSheetId="3" hidden="1">'Presentation Settled'!$A$4:$W$1520</definedName>
    <definedName name="ExternalData_2" localSheetId="9" hidden="1">'Facility Space'!$AU$12</definedName>
    <definedName name="ExternalData_2" localSheetId="6" hidden="1">LC_Overdrawn!$A$4:$N$5</definedName>
    <definedName name="FromArray_1" localSheetId="2">_xlfn.ANCHORARRAY(#REF!)</definedName>
    <definedName name="FromArray_1">_xlfn.ANCHORARRAY(#REF!)</definedName>
    <definedName name="Pending_Action___Issuance">#REF!</definedName>
    <definedName name="Search_Presentation">#REF!</definedName>
    <definedName name="Slicer_Active_Cancelled">#N/A</definedName>
    <definedName name="Slicer_Active_Cancelled1">#N/A</definedName>
    <definedName name="Slicer_Bank">#N/A</definedName>
    <definedName name="Slicer_Bank1">#N/A</definedName>
    <definedName name="Slicer_Bank10">#N/A</definedName>
    <definedName name="Slicer_Bank2">#N/A</definedName>
    <definedName name="Slicer_Bank3">#N/A</definedName>
    <definedName name="Slicer_Bank4">#N/A</definedName>
    <definedName name="Slicer_Bank5">#N/A</definedName>
    <definedName name="Slicer_Bank6">#N/A</definedName>
    <definedName name="Slicer_Bank8">#N/A</definedName>
    <definedName name="Slicer_Bank9">#N/A</definedName>
    <definedName name="Slicer_Curr">#N/A</definedName>
    <definedName name="Slicer_Group_Company">#N/A</definedName>
    <definedName name="Slicer_Group_Company1">#N/A</definedName>
    <definedName name="Slicer_Lines">#N/A</definedName>
    <definedName name="Slicer_Month">#N/A</definedName>
    <definedName name="Slicer_Project">#N/A</definedName>
    <definedName name="Slicer_Project1">#N/A</definedName>
    <definedName name="Slicer_Project2">#N/A</definedName>
    <definedName name="Slicer_Project3">#N/A</definedName>
    <definedName name="Slicer_Status">#N/A</definedName>
    <definedName name="Slicer_Status1">#N/A</definedName>
    <definedName name="Slicer_Status2">#N/A</definedName>
    <definedName name="Slicer_Type">#N/A</definedName>
    <definedName name="Slicer_Type1">#N/A</definedName>
    <definedName name="Slicer_Year">#N/A</definedName>
  </definedNames>
  <calcPr calcId="191029"/>
  <pivotCaches>
    <pivotCache cacheId="2" r:id="rId18"/>
    <pivotCache cacheId="3" r:id="rId19"/>
    <pivotCache cacheId="4" r:id="rId20"/>
    <pivotCache cacheId="5" r:id="rId21"/>
    <pivotCache cacheId="6" r:id="rId22"/>
    <pivotCache cacheId="7" r:id="rId23"/>
    <pivotCache cacheId="8" r:id="rId24"/>
    <pivotCache cacheId="9" r:id="rId25"/>
    <pivotCache cacheId="10" r:id="rId26"/>
    <pivotCache cacheId="11" r:id="rId27"/>
    <pivotCache cacheId="12" r:id="rId28"/>
    <pivotCache cacheId="13" r:id="rId29"/>
    <pivotCache cacheId="14" r:id="rId30"/>
    <pivotCache cacheId="15" r:id="rId31"/>
    <pivotCache cacheId="23" r:id="rId32"/>
    <pivotCache cacheId="31" r:id="rId33"/>
  </pivotCaches>
  <extLst>
    <ext xmlns:x14="http://schemas.microsoft.com/office/spreadsheetml/2009/9/main" uri="{BBE1A952-AA13-448e-AADC-164F8A28A991}">
      <x14:slicerCaches>
        <x14:slicerCache r:id="rId34"/>
        <x14:slicerCache r:id="rId35"/>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929" i="23" l="1"/>
  <c r="M2929" i="23"/>
  <c r="N2929" i="23"/>
  <c r="P2929" i="23"/>
  <c r="Q2929" i="23"/>
  <c r="L2927" i="23"/>
  <c r="L2928" i="23"/>
  <c r="M2927" i="23"/>
  <c r="M2928" i="23"/>
  <c r="N2927" i="23"/>
  <c r="N2928" i="23"/>
  <c r="P2927" i="23"/>
  <c r="P2928" i="23"/>
  <c r="Q2927" i="23"/>
  <c r="Q2928" i="23"/>
  <c r="L2926" i="23"/>
  <c r="M2926" i="23"/>
  <c r="N2926" i="23"/>
  <c r="P2926" i="23"/>
  <c r="Q2926" i="23"/>
  <c r="H143" i="16" l="1"/>
  <c r="X960" i="1"/>
  <c r="N960" i="1"/>
  <c r="X959" i="1"/>
  <c r="N959" i="1"/>
  <c r="X958" i="1"/>
  <c r="N958" i="1"/>
  <c r="X957" i="1"/>
  <c r="N957" i="1"/>
  <c r="X956" i="1"/>
  <c r="N956" i="1"/>
  <c r="Q2925" i="23"/>
  <c r="Q2924" i="23"/>
  <c r="Q2923" i="23"/>
  <c r="Q2922" i="23"/>
  <c r="P2925" i="23"/>
  <c r="P2924" i="23"/>
  <c r="P2923" i="23"/>
  <c r="P2922" i="23"/>
  <c r="N2925" i="23"/>
  <c r="N2924" i="23"/>
  <c r="N2923" i="23"/>
  <c r="N2922" i="23"/>
  <c r="M2925" i="23"/>
  <c r="M2924" i="23"/>
  <c r="M2923" i="23"/>
  <c r="M2922" i="23"/>
  <c r="L2925" i="23"/>
  <c r="L2924" i="23"/>
  <c r="L2923" i="23"/>
  <c r="L2922" i="23"/>
  <c r="L2920" i="23"/>
  <c r="L2921" i="23"/>
  <c r="M2920" i="23"/>
  <c r="M2921" i="23"/>
  <c r="N2920" i="23"/>
  <c r="N2921" i="23"/>
  <c r="P2920" i="23"/>
  <c r="P2921" i="23"/>
  <c r="Q2920" i="23"/>
  <c r="Q2921" i="23"/>
  <c r="AB960" i="1" a="1"/>
  <c r="AB959" i="1" a="1"/>
  <c r="AB956" i="1" a="1"/>
  <c r="AB957" i="1" a="1"/>
  <c r="AB958" i="1" a="1"/>
  <c r="AB960" i="1" l="1"/>
  <c r="AB959" i="1"/>
  <c r="AB958" i="1"/>
  <c r="AB957" i="1"/>
  <c r="AB956" i="1"/>
  <c r="U1617" i="3"/>
  <c r="Y1617" i="3" s="1"/>
  <c r="S1617" i="3"/>
  <c r="N1617" i="3"/>
  <c r="M1617" i="3"/>
  <c r="L1617" i="3"/>
  <c r="K1617" i="3"/>
  <c r="J1617" i="3"/>
  <c r="I1617" i="3"/>
  <c r="H1617" i="3"/>
  <c r="G1617" i="3"/>
  <c r="F1617" i="3"/>
  <c r="D1617" i="3"/>
  <c r="U1616" i="3"/>
  <c r="Y1616" i="3" s="1"/>
  <c r="S1616" i="3"/>
  <c r="N1616" i="3"/>
  <c r="M1616" i="3"/>
  <c r="L1616" i="3"/>
  <c r="K1616" i="3"/>
  <c r="J1616" i="3"/>
  <c r="I1616" i="3"/>
  <c r="H1616" i="3"/>
  <c r="G1616" i="3"/>
  <c r="F1616" i="3"/>
  <c r="D1616" i="3"/>
  <c r="X955" i="1"/>
  <c r="N955" i="1"/>
  <c r="U1615" i="3"/>
  <c r="Y1615" i="3" s="1"/>
  <c r="S1615" i="3"/>
  <c r="N1615" i="3"/>
  <c r="M1615" i="3"/>
  <c r="L1615" i="3"/>
  <c r="K1615" i="3"/>
  <c r="J1615" i="3"/>
  <c r="I1615" i="3"/>
  <c r="H1615" i="3"/>
  <c r="G1615" i="3"/>
  <c r="F1615" i="3"/>
  <c r="D1615" i="3"/>
  <c r="X954" i="1"/>
  <c r="N954" i="1"/>
  <c r="L2918" i="23"/>
  <c r="L2919" i="23"/>
  <c r="M2918" i="23"/>
  <c r="M2919" i="23"/>
  <c r="N2918" i="23"/>
  <c r="N2919" i="23"/>
  <c r="P2918" i="23"/>
  <c r="P2919" i="23"/>
  <c r="Q2918" i="23"/>
  <c r="Q2919" i="23"/>
  <c r="R169" i="16" a="1"/>
  <c r="AB954" i="1" a="1"/>
  <c r="AB955" i="1" a="1"/>
  <c r="AA1617" i="3" a="1"/>
  <c r="AA1616" i="3" a="1"/>
  <c r="AA1615" i="3" a="1"/>
  <c r="AA1617" i="3" l="1"/>
  <c r="AA1616" i="3"/>
  <c r="AB955" i="1"/>
  <c r="R169" i="16"/>
  <c r="AA1615" i="3"/>
  <c r="AB954" i="1"/>
  <c r="U1614" i="3"/>
  <c r="Y1614" i="3" s="1"/>
  <c r="S1614" i="3"/>
  <c r="N1614" i="3"/>
  <c r="M1614" i="3"/>
  <c r="L1614" i="3"/>
  <c r="K1614" i="3"/>
  <c r="J1614" i="3"/>
  <c r="I1614" i="3"/>
  <c r="H1614" i="3"/>
  <c r="G1614" i="3"/>
  <c r="F1614" i="3"/>
  <c r="D1614" i="3"/>
  <c r="X953" i="1"/>
  <c r="N953" i="1"/>
  <c r="L2882" i="23"/>
  <c r="L2883" i="23"/>
  <c r="L2884" i="23"/>
  <c r="L2885" i="23"/>
  <c r="L2886" i="23"/>
  <c r="L2887" i="23"/>
  <c r="L2888" i="23"/>
  <c r="L2889" i="23"/>
  <c r="L2890" i="23"/>
  <c r="L2891" i="23"/>
  <c r="L2892" i="23"/>
  <c r="L2893" i="23"/>
  <c r="L2894" i="23"/>
  <c r="L2895" i="23"/>
  <c r="L2896" i="23"/>
  <c r="L2897" i="23"/>
  <c r="L2898" i="23"/>
  <c r="L2899" i="23"/>
  <c r="L2900" i="23"/>
  <c r="L2901" i="23"/>
  <c r="L2902" i="23"/>
  <c r="L2903" i="23"/>
  <c r="L2904" i="23"/>
  <c r="L2905" i="23"/>
  <c r="L2906" i="23"/>
  <c r="L2907" i="23"/>
  <c r="L2908" i="23"/>
  <c r="L2909" i="23"/>
  <c r="L2910" i="23"/>
  <c r="L2911" i="23"/>
  <c r="L2912" i="23"/>
  <c r="L2913" i="23"/>
  <c r="L2914" i="23"/>
  <c r="L2915" i="23"/>
  <c r="L2916" i="23"/>
  <c r="L2917" i="23"/>
  <c r="M2882" i="23"/>
  <c r="M2883" i="23"/>
  <c r="M2884" i="23"/>
  <c r="M2885" i="23"/>
  <c r="M2886" i="23"/>
  <c r="M2887" i="23"/>
  <c r="M2888" i="23"/>
  <c r="M2889" i="23"/>
  <c r="M2890" i="23"/>
  <c r="M2891" i="23"/>
  <c r="M2892" i="23"/>
  <c r="M2893" i="23"/>
  <c r="M2894" i="23"/>
  <c r="M2895" i="23"/>
  <c r="M2896" i="23"/>
  <c r="M2897" i="23"/>
  <c r="M2898" i="23"/>
  <c r="M2899" i="23"/>
  <c r="M2900" i="23"/>
  <c r="M2901" i="23"/>
  <c r="M2902" i="23"/>
  <c r="M2903" i="23"/>
  <c r="M2904" i="23"/>
  <c r="M2905" i="23"/>
  <c r="M2906" i="23"/>
  <c r="M2907" i="23"/>
  <c r="M2908" i="23"/>
  <c r="M2909" i="23"/>
  <c r="M2910" i="23"/>
  <c r="M2911" i="23"/>
  <c r="M2912" i="23"/>
  <c r="M2913" i="23"/>
  <c r="M2914" i="23"/>
  <c r="M2915" i="23"/>
  <c r="M2916" i="23"/>
  <c r="M2917" i="23"/>
  <c r="N2882" i="23"/>
  <c r="N2883" i="23"/>
  <c r="N2884" i="23"/>
  <c r="N2885" i="23"/>
  <c r="N2886" i="23"/>
  <c r="N2887" i="23"/>
  <c r="N2888" i="23"/>
  <c r="N2889" i="23"/>
  <c r="N2890" i="23"/>
  <c r="N2891" i="23"/>
  <c r="N2892" i="23"/>
  <c r="N2893" i="23"/>
  <c r="N2894" i="23"/>
  <c r="N2895" i="23"/>
  <c r="N2896" i="23"/>
  <c r="N2897" i="23"/>
  <c r="N2898" i="23"/>
  <c r="N2899" i="23"/>
  <c r="N2900" i="23"/>
  <c r="N2901" i="23"/>
  <c r="N2902" i="23"/>
  <c r="N2903" i="23"/>
  <c r="N2904" i="23"/>
  <c r="N2905" i="23"/>
  <c r="N2906" i="23"/>
  <c r="N2907" i="23"/>
  <c r="N2908" i="23"/>
  <c r="N2909" i="23"/>
  <c r="N2910" i="23"/>
  <c r="N2911" i="23"/>
  <c r="N2912" i="23"/>
  <c r="N2913" i="23"/>
  <c r="N2914" i="23"/>
  <c r="N2915" i="23"/>
  <c r="N2916" i="23"/>
  <c r="N2917" i="23"/>
  <c r="P2882" i="23"/>
  <c r="P2883" i="23"/>
  <c r="P2884" i="23"/>
  <c r="P2885" i="23"/>
  <c r="P2886" i="23"/>
  <c r="P2887" i="23"/>
  <c r="P2888" i="23"/>
  <c r="P2889" i="23"/>
  <c r="P2890" i="23"/>
  <c r="P2891" i="23"/>
  <c r="P2892" i="23"/>
  <c r="P2893" i="23"/>
  <c r="P2894" i="23"/>
  <c r="P2895" i="23"/>
  <c r="P2896" i="23"/>
  <c r="P2897" i="23"/>
  <c r="P2898" i="23"/>
  <c r="P2899" i="23"/>
  <c r="P2900" i="23"/>
  <c r="P2901" i="23"/>
  <c r="P2902" i="23"/>
  <c r="P2903" i="23"/>
  <c r="P2904" i="23"/>
  <c r="P2905" i="23"/>
  <c r="P2906" i="23"/>
  <c r="P2907" i="23"/>
  <c r="P2908" i="23"/>
  <c r="P2909" i="23"/>
  <c r="P2910" i="23"/>
  <c r="P2911" i="23"/>
  <c r="P2912" i="23"/>
  <c r="P2913" i="23"/>
  <c r="P2914" i="23"/>
  <c r="P2915" i="23"/>
  <c r="P2916" i="23"/>
  <c r="P2917" i="23"/>
  <c r="Q2882" i="23"/>
  <c r="Q2883" i="23"/>
  <c r="Q2884" i="23"/>
  <c r="Q2885" i="23"/>
  <c r="Q2886" i="23"/>
  <c r="Q2887" i="23"/>
  <c r="Q2888" i="23"/>
  <c r="Q2889" i="23"/>
  <c r="Q2890" i="23"/>
  <c r="Q2891" i="23"/>
  <c r="Q2892" i="23"/>
  <c r="Q2893" i="23"/>
  <c r="Q2894" i="23"/>
  <c r="Q2895" i="23"/>
  <c r="Q2896" i="23"/>
  <c r="Q2897" i="23"/>
  <c r="Q2898" i="23"/>
  <c r="Q2899" i="23"/>
  <c r="Q2900" i="23"/>
  <c r="Q2901" i="23"/>
  <c r="Q2902" i="23"/>
  <c r="Q2903" i="23"/>
  <c r="Q2904" i="23"/>
  <c r="Q2905" i="23"/>
  <c r="Q2906" i="23"/>
  <c r="Q2907" i="23"/>
  <c r="Q2908" i="23"/>
  <c r="Q2909" i="23"/>
  <c r="Q2910" i="23"/>
  <c r="Q2911" i="23"/>
  <c r="Q2912" i="23"/>
  <c r="Q2913" i="23"/>
  <c r="Q2914" i="23"/>
  <c r="Q2915" i="23"/>
  <c r="Q2916" i="23"/>
  <c r="Q2917" i="23"/>
  <c r="L2879" i="23"/>
  <c r="L2880" i="23"/>
  <c r="L2881" i="23"/>
  <c r="M2879" i="23"/>
  <c r="M2880" i="23"/>
  <c r="M2881" i="23"/>
  <c r="N2879" i="23"/>
  <c r="N2880" i="23"/>
  <c r="N2881" i="23"/>
  <c r="P2879" i="23"/>
  <c r="P2880" i="23"/>
  <c r="P2881" i="23"/>
  <c r="Q2879" i="23"/>
  <c r="Q2880" i="23"/>
  <c r="Q2881" i="23"/>
  <c r="AB953" i="1" a="1"/>
  <c r="AA1614" i="3" a="1"/>
  <c r="AA1614" i="3" l="1"/>
  <c r="AB953" i="1"/>
  <c r="H113" i="16"/>
  <c r="U1613" i="3"/>
  <c r="Y1613" i="3" s="1"/>
  <c r="S1613" i="3"/>
  <c r="N1613" i="3"/>
  <c r="M1613" i="3"/>
  <c r="L1613" i="3"/>
  <c r="K1613" i="3"/>
  <c r="J1613" i="3"/>
  <c r="I1613" i="3"/>
  <c r="H1613" i="3"/>
  <c r="G1613" i="3"/>
  <c r="F1613" i="3"/>
  <c r="D1613" i="3"/>
  <c r="U1612" i="3"/>
  <c r="Y1612" i="3" s="1"/>
  <c r="S1612" i="3"/>
  <c r="N1612" i="3"/>
  <c r="M1612" i="3"/>
  <c r="L1612" i="3"/>
  <c r="K1612" i="3"/>
  <c r="J1612" i="3"/>
  <c r="I1612" i="3"/>
  <c r="H1612" i="3"/>
  <c r="G1612" i="3"/>
  <c r="F1612" i="3"/>
  <c r="D1612" i="3"/>
  <c r="U1611" i="3"/>
  <c r="Y1611" i="3" s="1"/>
  <c r="S1611" i="3"/>
  <c r="N1611" i="3"/>
  <c r="M1611" i="3"/>
  <c r="L1611" i="3"/>
  <c r="K1611" i="3"/>
  <c r="J1611" i="3"/>
  <c r="I1611" i="3"/>
  <c r="H1611" i="3"/>
  <c r="G1611" i="3"/>
  <c r="F1611" i="3"/>
  <c r="D1611" i="3"/>
  <c r="J73" i="26"/>
  <c r="L2876" i="23"/>
  <c r="L2877" i="23"/>
  <c r="L2878" i="23"/>
  <c r="M2876" i="23"/>
  <c r="M2877" i="23"/>
  <c r="M2878" i="23"/>
  <c r="N2876" i="23"/>
  <c r="N2877" i="23"/>
  <c r="N2878" i="23"/>
  <c r="P2876" i="23"/>
  <c r="P2877" i="23"/>
  <c r="P2878" i="23"/>
  <c r="Q2876" i="23"/>
  <c r="Q2877" i="23"/>
  <c r="Q2878" i="23"/>
  <c r="L2872" i="23"/>
  <c r="L2873" i="23"/>
  <c r="L2874" i="23"/>
  <c r="L2875" i="23"/>
  <c r="M2872" i="23"/>
  <c r="M2873" i="23"/>
  <c r="M2874" i="23"/>
  <c r="M2875" i="23"/>
  <c r="N2872" i="23"/>
  <c r="N2873" i="23"/>
  <c r="N2874" i="23"/>
  <c r="N2875" i="23"/>
  <c r="P2872" i="23"/>
  <c r="P2873" i="23"/>
  <c r="P2874" i="23"/>
  <c r="P2875" i="23"/>
  <c r="Q2872" i="23"/>
  <c r="Q2873" i="23"/>
  <c r="Q2874" i="23"/>
  <c r="Q2875" i="23"/>
  <c r="L2867" i="23"/>
  <c r="L2868" i="23"/>
  <c r="L2869" i="23"/>
  <c r="L2870" i="23"/>
  <c r="L2871" i="23"/>
  <c r="M2867" i="23"/>
  <c r="M2868" i="23"/>
  <c r="M2869" i="23"/>
  <c r="M2870" i="23"/>
  <c r="M2871" i="23"/>
  <c r="N2867" i="23"/>
  <c r="N2868" i="23"/>
  <c r="N2869" i="23"/>
  <c r="N2870" i="23"/>
  <c r="N2871" i="23"/>
  <c r="P2867" i="23"/>
  <c r="P2868" i="23"/>
  <c r="P2869" i="23"/>
  <c r="P2870" i="23"/>
  <c r="P2871" i="23"/>
  <c r="Q2867" i="23"/>
  <c r="Q2868" i="23"/>
  <c r="Q2869" i="23"/>
  <c r="Q2870" i="23"/>
  <c r="Q2871" i="23"/>
  <c r="L2865" i="23"/>
  <c r="L2866" i="23"/>
  <c r="M2865" i="23"/>
  <c r="M2866" i="23"/>
  <c r="N2865" i="23"/>
  <c r="N2866" i="23"/>
  <c r="P2865" i="23"/>
  <c r="P2866" i="23"/>
  <c r="Q2865" i="23"/>
  <c r="Q2866" i="23"/>
  <c r="AA1611" i="3" a="1"/>
  <c r="AA1612" i="3" a="1"/>
  <c r="AA1613" i="3" a="1"/>
  <c r="AA1612" i="3" l="1"/>
  <c r="AA1613" i="3"/>
  <c r="AA1611" i="3"/>
  <c r="H13" i="10"/>
  <c r="G13" i="10"/>
  <c r="F13" i="10"/>
  <c r="E13" i="10"/>
  <c r="X952" i="1"/>
  <c r="N952" i="1"/>
  <c r="AB952" i="1" a="1"/>
  <c r="I13" i="10" l="1"/>
  <c r="J13" i="10" s="1"/>
  <c r="AB952" i="1"/>
  <c r="U1610" i="3"/>
  <c r="Y1610" i="3" s="1"/>
  <c r="S1610" i="3"/>
  <c r="N1610" i="3"/>
  <c r="M1610" i="3"/>
  <c r="L1610" i="3"/>
  <c r="K1610" i="3"/>
  <c r="J1610" i="3"/>
  <c r="I1610" i="3"/>
  <c r="H1610" i="3"/>
  <c r="G1610" i="3"/>
  <c r="F1610" i="3"/>
  <c r="D1610" i="3"/>
  <c r="U1609" i="3"/>
  <c r="Y1609" i="3" s="1"/>
  <c r="S1609" i="3"/>
  <c r="N1609" i="3"/>
  <c r="M1609" i="3"/>
  <c r="L1609" i="3"/>
  <c r="K1609" i="3"/>
  <c r="J1609" i="3"/>
  <c r="I1609" i="3"/>
  <c r="H1609" i="3"/>
  <c r="G1609" i="3"/>
  <c r="F1609" i="3"/>
  <c r="D1609" i="3"/>
  <c r="U1608" i="3"/>
  <c r="Y1608" i="3" s="1"/>
  <c r="S1608" i="3"/>
  <c r="N1608" i="3"/>
  <c r="M1608" i="3"/>
  <c r="L1608" i="3"/>
  <c r="K1608" i="3"/>
  <c r="J1608" i="3"/>
  <c r="I1608" i="3"/>
  <c r="H1608" i="3"/>
  <c r="G1608" i="3"/>
  <c r="F1608" i="3"/>
  <c r="D1608" i="3"/>
  <c r="L2864" i="23"/>
  <c r="M2864" i="23"/>
  <c r="N2864" i="23"/>
  <c r="P2864" i="23"/>
  <c r="Q2864" i="23"/>
  <c r="L2860" i="23"/>
  <c r="L2861" i="23"/>
  <c r="L2862" i="23"/>
  <c r="L2863" i="23"/>
  <c r="M2860" i="23"/>
  <c r="M2861" i="23"/>
  <c r="M2862" i="23"/>
  <c r="M2863" i="23"/>
  <c r="N2860" i="23"/>
  <c r="N2861" i="23"/>
  <c r="N2862" i="23"/>
  <c r="N2863" i="23"/>
  <c r="P2860" i="23"/>
  <c r="P2861" i="23"/>
  <c r="P2862" i="23"/>
  <c r="P2863" i="23"/>
  <c r="Q2860" i="23"/>
  <c r="Q2861" i="23"/>
  <c r="Q2862" i="23"/>
  <c r="Q2863" i="23"/>
  <c r="L2859" i="23"/>
  <c r="M2859" i="23"/>
  <c r="N2859" i="23"/>
  <c r="P2859" i="23"/>
  <c r="Q2859" i="23"/>
  <c r="L2854" i="23"/>
  <c r="L2855" i="23"/>
  <c r="L2856" i="23"/>
  <c r="L2857" i="23"/>
  <c r="L2858" i="23"/>
  <c r="M2854" i="23"/>
  <c r="M2855" i="23"/>
  <c r="M2856" i="23"/>
  <c r="M2857" i="23"/>
  <c r="M2858" i="23"/>
  <c r="N2854" i="23"/>
  <c r="N2855" i="23"/>
  <c r="N2856" i="23"/>
  <c r="N2857" i="23"/>
  <c r="N2858" i="23"/>
  <c r="P2854" i="23"/>
  <c r="P2855" i="23"/>
  <c r="P2856" i="23"/>
  <c r="P2857" i="23"/>
  <c r="P2858" i="23"/>
  <c r="Q2854" i="23"/>
  <c r="Q2855" i="23"/>
  <c r="Q2856" i="23"/>
  <c r="Q2857" i="23"/>
  <c r="Q2858" i="23"/>
  <c r="AA1609" i="3" a="1"/>
  <c r="AA1608" i="3" a="1"/>
  <c r="AA1610" i="3" a="1"/>
  <c r="AA1610" i="3" l="1"/>
  <c r="AA1609" i="3"/>
  <c r="AA1608" i="3"/>
  <c r="L2853" i="23"/>
  <c r="M2853" i="23"/>
  <c r="N2853" i="23"/>
  <c r="P2853" i="23"/>
  <c r="Q2853" i="23"/>
  <c r="U1607" i="3" l="1"/>
  <c r="Y1607" i="3" s="1"/>
  <c r="S1607" i="3"/>
  <c r="N1607" i="3"/>
  <c r="M1607" i="3"/>
  <c r="L1607" i="3"/>
  <c r="K1607" i="3"/>
  <c r="J1607" i="3"/>
  <c r="I1607" i="3"/>
  <c r="H1607" i="3"/>
  <c r="G1607" i="3"/>
  <c r="F1607" i="3"/>
  <c r="D1607" i="3"/>
  <c r="U1606" i="3"/>
  <c r="Y1606" i="3" s="1"/>
  <c r="S1606" i="3"/>
  <c r="N1606" i="3"/>
  <c r="M1606" i="3"/>
  <c r="L1606" i="3"/>
  <c r="K1606" i="3"/>
  <c r="J1606" i="3"/>
  <c r="I1606" i="3"/>
  <c r="H1606" i="3"/>
  <c r="G1606" i="3"/>
  <c r="F1606" i="3"/>
  <c r="D1606" i="3"/>
  <c r="U1605" i="3"/>
  <c r="Y1605" i="3" s="1"/>
  <c r="S1605" i="3"/>
  <c r="N1605" i="3"/>
  <c r="M1605" i="3"/>
  <c r="L1605" i="3"/>
  <c r="K1605" i="3"/>
  <c r="J1605" i="3"/>
  <c r="I1605" i="3"/>
  <c r="H1605" i="3"/>
  <c r="G1605" i="3"/>
  <c r="F1605" i="3"/>
  <c r="D1605" i="3"/>
  <c r="U1604" i="3"/>
  <c r="Y1604" i="3" s="1"/>
  <c r="S1604" i="3"/>
  <c r="N1604" i="3"/>
  <c r="M1604" i="3"/>
  <c r="L1604" i="3"/>
  <c r="K1604" i="3"/>
  <c r="J1604" i="3"/>
  <c r="I1604" i="3"/>
  <c r="H1604" i="3"/>
  <c r="G1604" i="3"/>
  <c r="F1604" i="3"/>
  <c r="D1604" i="3"/>
  <c r="U1603" i="3"/>
  <c r="Y1603" i="3" s="1"/>
  <c r="S1603" i="3"/>
  <c r="N1603" i="3"/>
  <c r="M1603" i="3"/>
  <c r="L1603" i="3"/>
  <c r="K1603" i="3"/>
  <c r="J1603" i="3"/>
  <c r="I1603" i="3"/>
  <c r="H1603" i="3"/>
  <c r="G1603" i="3"/>
  <c r="F1603" i="3"/>
  <c r="D1603" i="3"/>
  <c r="U1602" i="3"/>
  <c r="Y1602" i="3" s="1"/>
  <c r="S1602" i="3"/>
  <c r="N1602" i="3"/>
  <c r="M1602" i="3"/>
  <c r="L1602" i="3"/>
  <c r="K1602" i="3"/>
  <c r="J1602" i="3"/>
  <c r="I1602" i="3"/>
  <c r="H1602" i="3"/>
  <c r="G1602" i="3"/>
  <c r="F1602" i="3"/>
  <c r="D1602" i="3"/>
  <c r="L2848" i="23"/>
  <c r="L2849" i="23"/>
  <c r="L2850" i="23"/>
  <c r="L2851" i="23"/>
  <c r="L2852" i="23"/>
  <c r="M2848" i="23"/>
  <c r="M2849" i="23"/>
  <c r="M2850" i="23"/>
  <c r="M2851" i="23"/>
  <c r="M2852" i="23"/>
  <c r="N2848" i="23"/>
  <c r="N2849" i="23"/>
  <c r="N2850" i="23"/>
  <c r="N2851" i="23"/>
  <c r="N2852" i="23"/>
  <c r="P2848" i="23"/>
  <c r="P2849" i="23"/>
  <c r="P2850" i="23"/>
  <c r="P2851" i="23"/>
  <c r="P2852" i="23"/>
  <c r="Q2848" i="23"/>
  <c r="Q2849" i="23"/>
  <c r="Q2850" i="23"/>
  <c r="Q2851" i="23"/>
  <c r="Q2852" i="23"/>
  <c r="L2845" i="23"/>
  <c r="L2846" i="23"/>
  <c r="L2847" i="23"/>
  <c r="M2845" i="23"/>
  <c r="M2846" i="23"/>
  <c r="M2847" i="23"/>
  <c r="N2845" i="23"/>
  <c r="N2846" i="23"/>
  <c r="N2847" i="23"/>
  <c r="P2845" i="23"/>
  <c r="P2846" i="23"/>
  <c r="P2847" i="23"/>
  <c r="Q2845" i="23"/>
  <c r="Q2846" i="23"/>
  <c r="Q2847" i="23"/>
  <c r="L2843" i="23"/>
  <c r="L2844" i="23"/>
  <c r="M2843" i="23"/>
  <c r="M2844" i="23"/>
  <c r="N2843" i="23"/>
  <c r="N2844" i="23"/>
  <c r="P2843" i="23"/>
  <c r="P2844" i="23"/>
  <c r="Q2843" i="23"/>
  <c r="Q2844" i="23"/>
  <c r="AA1607" i="3" a="1"/>
  <c r="AA1606" i="3" a="1"/>
  <c r="AA1605" i="3" a="1"/>
  <c r="AA1602" i="3" a="1"/>
  <c r="AA1603" i="3" a="1"/>
  <c r="AA1604" i="3" a="1"/>
  <c r="AA1604" i="3" l="1"/>
  <c r="AA1603" i="3"/>
  <c r="AA1607" i="3"/>
  <c r="AA1602" i="3"/>
  <c r="AA1606" i="3"/>
  <c r="AA1605" i="3"/>
  <c r="M1601" i="3"/>
  <c r="U1601" i="3"/>
  <c r="Y1601" i="3" s="1"/>
  <c r="S1601" i="3"/>
  <c r="N1601" i="3"/>
  <c r="L1601" i="3"/>
  <c r="K1601" i="3"/>
  <c r="J1601" i="3"/>
  <c r="I1601" i="3"/>
  <c r="H1601" i="3"/>
  <c r="G1601" i="3"/>
  <c r="F1601" i="3"/>
  <c r="D1601" i="3"/>
  <c r="U1600" i="3"/>
  <c r="Y1600" i="3" s="1"/>
  <c r="S1600" i="3"/>
  <c r="N1600" i="3"/>
  <c r="M1600" i="3"/>
  <c r="L1600" i="3"/>
  <c r="K1600" i="3"/>
  <c r="J1600" i="3"/>
  <c r="I1600" i="3"/>
  <c r="H1600" i="3"/>
  <c r="G1600" i="3"/>
  <c r="F1600" i="3"/>
  <c r="D1600" i="3"/>
  <c r="H134" i="16"/>
  <c r="L2840" i="23"/>
  <c r="L2841" i="23"/>
  <c r="L2842" i="23"/>
  <c r="M2840" i="23"/>
  <c r="M2841" i="23"/>
  <c r="M2842" i="23"/>
  <c r="N2840" i="23"/>
  <c r="N2841" i="23"/>
  <c r="N2842" i="23"/>
  <c r="P2840" i="23"/>
  <c r="P2841" i="23"/>
  <c r="P2842" i="23"/>
  <c r="Q2840" i="23"/>
  <c r="Q2841" i="23"/>
  <c r="Q2842" i="23"/>
  <c r="L2838" i="23"/>
  <c r="L2839" i="23"/>
  <c r="M2838" i="23"/>
  <c r="M2839" i="23"/>
  <c r="N2838" i="23"/>
  <c r="N2839" i="23"/>
  <c r="P2838" i="23"/>
  <c r="P2839" i="23"/>
  <c r="Q2838" i="23"/>
  <c r="Q2839" i="23"/>
  <c r="AA1601" i="3" a="1"/>
  <c r="AA1600" i="3" a="1"/>
  <c r="R168" i="16" a="1"/>
  <c r="AA1601" i="3" l="1"/>
  <c r="AA1600" i="3"/>
  <c r="R168" i="16"/>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U1599" i="3"/>
  <c r="Y1599" i="3" s="1"/>
  <c r="S1599" i="3"/>
  <c r="N1599" i="3"/>
  <c r="M1599" i="3"/>
  <c r="L1599" i="3"/>
  <c r="K1599" i="3"/>
  <c r="J1599" i="3"/>
  <c r="I1599" i="3"/>
  <c r="H1599" i="3"/>
  <c r="G1599" i="3"/>
  <c r="F1599" i="3"/>
  <c r="D1599" i="3"/>
  <c r="R166" i="16" a="1"/>
  <c r="AB950" i="1" a="1"/>
  <c r="AA1599" i="3" a="1"/>
  <c r="R167" i="16" a="1"/>
  <c r="AB950" i="1" l="1"/>
  <c r="R167" i="16"/>
  <c r="R166" i="16"/>
  <c r="AA1599" i="3"/>
  <c r="L243" i="1"/>
  <c r="L2835" i="23"/>
  <c r="L2836" i="23"/>
  <c r="L2837" i="23"/>
  <c r="M2835" i="23"/>
  <c r="M2836" i="23"/>
  <c r="M2837" i="23"/>
  <c r="N2835" i="23"/>
  <c r="N2836" i="23"/>
  <c r="N2837" i="23"/>
  <c r="P2835" i="23"/>
  <c r="P2836" i="23"/>
  <c r="P2837" i="23"/>
  <c r="Q2835" i="23"/>
  <c r="Q2836" i="23"/>
  <c r="Q2837" i="23"/>
  <c r="L2831" i="23"/>
  <c r="L2832" i="23"/>
  <c r="L2833" i="23"/>
  <c r="L2834" i="23"/>
  <c r="M2831" i="23"/>
  <c r="M2832" i="23"/>
  <c r="M2833" i="23"/>
  <c r="M2834" i="23"/>
  <c r="N2831" i="23"/>
  <c r="N2832" i="23"/>
  <c r="N2833" i="23"/>
  <c r="N2834" i="23"/>
  <c r="P2831" i="23"/>
  <c r="P2832" i="23"/>
  <c r="P2833" i="23"/>
  <c r="P2834" i="23"/>
  <c r="Q2831" i="23"/>
  <c r="Q2832" i="23"/>
  <c r="Q2833" i="23"/>
  <c r="Q2834" i="23"/>
  <c r="U1598" i="3" l="1"/>
  <c r="Y1598" i="3" s="1"/>
  <c r="S1598" i="3"/>
  <c r="N1598" i="3"/>
  <c r="M1598" i="3"/>
  <c r="L1598" i="3"/>
  <c r="K1598" i="3"/>
  <c r="J1598" i="3"/>
  <c r="I1598" i="3"/>
  <c r="H1598" i="3"/>
  <c r="G1598" i="3"/>
  <c r="F1598" i="3"/>
  <c r="D1598" i="3"/>
  <c r="U1597" i="3"/>
  <c r="Y1597" i="3" s="1"/>
  <c r="S1597" i="3"/>
  <c r="N1597" i="3"/>
  <c r="M1597" i="3"/>
  <c r="L1597" i="3"/>
  <c r="K1597" i="3"/>
  <c r="J1597" i="3"/>
  <c r="I1597" i="3"/>
  <c r="H1597" i="3"/>
  <c r="G1597" i="3"/>
  <c r="F1597" i="3"/>
  <c r="D1597" i="3"/>
  <c r="U1596" i="3"/>
  <c r="Y1596" i="3" s="1"/>
  <c r="S1596" i="3"/>
  <c r="N1596" i="3"/>
  <c r="M1596" i="3"/>
  <c r="L1596" i="3"/>
  <c r="K1596" i="3"/>
  <c r="J1596" i="3"/>
  <c r="I1596" i="3"/>
  <c r="H1596" i="3"/>
  <c r="G1596" i="3"/>
  <c r="F1596" i="3"/>
  <c r="D1596" i="3"/>
  <c r="L42" i="1"/>
  <c r="AA1596" i="3" a="1"/>
  <c r="AA1597" i="3" a="1"/>
  <c r="AA1598" i="3" a="1"/>
  <c r="AA1598" i="3" l="1"/>
  <c r="AA1597" i="3"/>
  <c r="AA1596" i="3"/>
  <c r="L2829" i="23"/>
  <c r="L2830" i="23"/>
  <c r="M2829" i="23"/>
  <c r="M2830" i="23"/>
  <c r="N2829" i="23"/>
  <c r="N2830" i="23"/>
  <c r="P2829" i="23"/>
  <c r="P2830" i="23"/>
  <c r="Q2829" i="23"/>
  <c r="Q2830" i="23"/>
  <c r="L2817" i="23"/>
  <c r="L2818" i="23"/>
  <c r="L2819" i="23"/>
  <c r="L2820" i="23"/>
  <c r="L2821" i="23"/>
  <c r="L2822" i="23"/>
  <c r="L2823" i="23"/>
  <c r="L2824" i="23"/>
  <c r="L2825" i="23"/>
  <c r="L2826" i="23"/>
  <c r="L2827" i="23"/>
  <c r="L2828" i="23"/>
  <c r="M2817" i="23"/>
  <c r="M2818" i="23"/>
  <c r="M2819" i="23"/>
  <c r="M2820" i="23"/>
  <c r="M2821" i="23"/>
  <c r="M2822" i="23"/>
  <c r="M2823" i="23"/>
  <c r="M2824" i="23"/>
  <c r="M2825" i="23"/>
  <c r="M2826" i="23"/>
  <c r="M2827" i="23"/>
  <c r="M2828" i="23"/>
  <c r="N2817" i="23"/>
  <c r="N2818" i="23"/>
  <c r="N2819" i="23"/>
  <c r="N2820" i="23"/>
  <c r="N2821" i="23"/>
  <c r="N2822" i="23"/>
  <c r="N2823" i="23"/>
  <c r="N2824" i="23"/>
  <c r="N2825" i="23"/>
  <c r="N2826" i="23"/>
  <c r="N2827" i="23"/>
  <c r="N2828" i="23"/>
  <c r="P2817" i="23"/>
  <c r="P2818" i="23"/>
  <c r="P2819" i="23"/>
  <c r="P2820" i="23"/>
  <c r="P2821" i="23"/>
  <c r="P2822" i="23"/>
  <c r="P2823" i="23"/>
  <c r="P2824" i="23"/>
  <c r="P2825" i="23"/>
  <c r="P2826" i="23"/>
  <c r="P2827" i="23"/>
  <c r="P2828" i="23"/>
  <c r="Q2817" i="23"/>
  <c r="Q2818" i="23"/>
  <c r="Q2819" i="23"/>
  <c r="Q2820" i="23"/>
  <c r="Q2821" i="23"/>
  <c r="Q2822" i="23"/>
  <c r="Q2823" i="23"/>
  <c r="Q2824" i="23"/>
  <c r="Q2825" i="23"/>
  <c r="Q2826" i="23"/>
  <c r="Q2827" i="23"/>
  <c r="Q2828" i="23"/>
  <c r="L2813" i="23"/>
  <c r="L2814" i="23"/>
  <c r="L2815" i="23"/>
  <c r="L2816" i="23"/>
  <c r="M2813" i="23"/>
  <c r="M2814" i="23"/>
  <c r="M2815" i="23"/>
  <c r="M2816" i="23"/>
  <c r="N2813" i="23"/>
  <c r="N2814" i="23"/>
  <c r="N2815" i="23"/>
  <c r="N2816" i="23"/>
  <c r="P2813" i="23"/>
  <c r="P2814" i="23"/>
  <c r="P2815" i="23"/>
  <c r="P2816" i="23"/>
  <c r="Q2813" i="23"/>
  <c r="Q2814" i="23"/>
  <c r="Q2815" i="23"/>
  <c r="Q2816" i="23"/>
  <c r="L2782" i="23"/>
  <c r="L2783" i="23"/>
  <c r="L2784" i="23"/>
  <c r="L2785" i="23"/>
  <c r="L2786" i="23"/>
  <c r="L2787" i="23"/>
  <c r="L2788" i="23"/>
  <c r="L2789" i="23"/>
  <c r="L2790" i="23"/>
  <c r="L2791" i="23"/>
  <c r="L2792" i="23"/>
  <c r="L2793" i="23"/>
  <c r="L2794" i="23"/>
  <c r="L2795" i="23"/>
  <c r="L2796" i="23"/>
  <c r="L2797" i="23"/>
  <c r="L2798" i="23"/>
  <c r="L2799" i="23"/>
  <c r="L2800" i="23"/>
  <c r="L2801" i="23"/>
  <c r="L2802" i="23"/>
  <c r="L2803" i="23"/>
  <c r="L2804" i="23"/>
  <c r="L2805" i="23"/>
  <c r="L2806" i="23"/>
  <c r="L2807" i="23"/>
  <c r="L2808" i="23"/>
  <c r="L2809" i="23"/>
  <c r="L2810" i="23"/>
  <c r="L2811" i="23"/>
  <c r="L2812" i="23"/>
  <c r="M2782" i="23"/>
  <c r="M2783" i="23"/>
  <c r="M2784" i="23"/>
  <c r="M2785" i="23"/>
  <c r="M2786" i="23"/>
  <c r="M2787" i="23"/>
  <c r="M2788" i="23"/>
  <c r="M2789" i="23"/>
  <c r="M2790" i="23"/>
  <c r="M2791" i="23"/>
  <c r="M2792" i="23"/>
  <c r="M2793" i="23"/>
  <c r="M2794" i="23"/>
  <c r="M2795" i="23"/>
  <c r="M2796" i="23"/>
  <c r="M2797" i="23"/>
  <c r="M2798" i="23"/>
  <c r="M2799" i="23"/>
  <c r="M2800" i="23"/>
  <c r="M2801" i="23"/>
  <c r="M2802" i="23"/>
  <c r="M2803" i="23"/>
  <c r="M2804" i="23"/>
  <c r="M2805" i="23"/>
  <c r="M2806" i="23"/>
  <c r="M2807" i="23"/>
  <c r="M2808" i="23"/>
  <c r="M2809" i="23"/>
  <c r="M2810" i="23"/>
  <c r="M2811" i="23"/>
  <c r="M2812" i="23"/>
  <c r="N2782" i="23"/>
  <c r="N2783" i="23"/>
  <c r="N2784" i="23"/>
  <c r="N2785" i="23"/>
  <c r="N2786" i="23"/>
  <c r="N2787" i="23"/>
  <c r="N2788" i="23"/>
  <c r="N2789" i="23"/>
  <c r="N2790" i="23"/>
  <c r="N2791" i="23"/>
  <c r="N2792" i="23"/>
  <c r="N2793" i="23"/>
  <c r="N2794" i="23"/>
  <c r="N2795" i="23"/>
  <c r="N2796" i="23"/>
  <c r="N2797" i="23"/>
  <c r="N2798" i="23"/>
  <c r="N2799" i="23"/>
  <c r="N2800" i="23"/>
  <c r="N2801" i="23"/>
  <c r="N2802" i="23"/>
  <c r="N2803" i="23"/>
  <c r="N2804" i="23"/>
  <c r="N2805" i="23"/>
  <c r="N2806" i="23"/>
  <c r="N2807" i="23"/>
  <c r="N2808" i="23"/>
  <c r="N2809" i="23"/>
  <c r="N2810" i="23"/>
  <c r="N2811" i="23"/>
  <c r="N2812" i="23"/>
  <c r="P2782" i="23"/>
  <c r="P2783" i="23"/>
  <c r="P2784" i="23"/>
  <c r="P2785" i="23"/>
  <c r="P2786" i="23"/>
  <c r="P2787" i="23"/>
  <c r="P2788" i="23"/>
  <c r="P2789" i="23"/>
  <c r="P2790" i="23"/>
  <c r="P2791" i="23"/>
  <c r="P2792" i="23"/>
  <c r="P2793" i="23"/>
  <c r="P2794" i="23"/>
  <c r="P2795" i="23"/>
  <c r="P2796" i="23"/>
  <c r="P2797" i="23"/>
  <c r="P2798" i="23"/>
  <c r="P2799" i="23"/>
  <c r="P2800" i="23"/>
  <c r="P2801" i="23"/>
  <c r="P2802" i="23"/>
  <c r="P2803" i="23"/>
  <c r="P2804" i="23"/>
  <c r="P2805" i="23"/>
  <c r="P2806" i="23"/>
  <c r="P2807" i="23"/>
  <c r="P2808" i="23"/>
  <c r="P2809" i="23"/>
  <c r="P2810" i="23"/>
  <c r="P2811" i="23"/>
  <c r="P2812" i="23"/>
  <c r="Q2782" i="23"/>
  <c r="Q2783" i="23"/>
  <c r="Q2784" i="23"/>
  <c r="Q2785" i="23"/>
  <c r="Q2786" i="23"/>
  <c r="Q2787" i="23"/>
  <c r="Q2788" i="23"/>
  <c r="Q2789" i="23"/>
  <c r="Q2790" i="23"/>
  <c r="Q2791" i="23"/>
  <c r="Q2792" i="23"/>
  <c r="Q2793" i="23"/>
  <c r="Q2794" i="23"/>
  <c r="Q2795" i="23"/>
  <c r="Q2796" i="23"/>
  <c r="Q2797" i="23"/>
  <c r="Q2798" i="23"/>
  <c r="Q2799" i="23"/>
  <c r="Q2800" i="23"/>
  <c r="Q2801" i="23"/>
  <c r="Q2802" i="23"/>
  <c r="Q2803" i="23"/>
  <c r="Q2804" i="23"/>
  <c r="Q2805" i="23"/>
  <c r="Q2806" i="23"/>
  <c r="Q2807" i="23"/>
  <c r="Q2808" i="23"/>
  <c r="Q2809" i="23"/>
  <c r="Q2810" i="23"/>
  <c r="Q2811" i="23"/>
  <c r="Q2812" i="23"/>
  <c r="L2766" i="23"/>
  <c r="L2767" i="23"/>
  <c r="L2768" i="23"/>
  <c r="L2769" i="23"/>
  <c r="L2770" i="23"/>
  <c r="L2771" i="23"/>
  <c r="L2772" i="23"/>
  <c r="L2773" i="23"/>
  <c r="L2774" i="23"/>
  <c r="L2775" i="23"/>
  <c r="L2776" i="23"/>
  <c r="L2777" i="23"/>
  <c r="L2778" i="23"/>
  <c r="L2779" i="23"/>
  <c r="L2780" i="23"/>
  <c r="L2781" i="23"/>
  <c r="M2766" i="23"/>
  <c r="M2767" i="23"/>
  <c r="M2768" i="23"/>
  <c r="M2769" i="23"/>
  <c r="M2770" i="23"/>
  <c r="M2771" i="23"/>
  <c r="M2772" i="23"/>
  <c r="M2773" i="23"/>
  <c r="M2774" i="23"/>
  <c r="M2775" i="23"/>
  <c r="M2776" i="23"/>
  <c r="M2777" i="23"/>
  <c r="M2778" i="23"/>
  <c r="M2779" i="23"/>
  <c r="M2780" i="23"/>
  <c r="M2781" i="23"/>
  <c r="N2766" i="23"/>
  <c r="N2767" i="23"/>
  <c r="N2768" i="23"/>
  <c r="N2769" i="23"/>
  <c r="N2770" i="23"/>
  <c r="N2771" i="23"/>
  <c r="N2772" i="23"/>
  <c r="N2773" i="23"/>
  <c r="N2774" i="23"/>
  <c r="N2775" i="23"/>
  <c r="N2776" i="23"/>
  <c r="N2777" i="23"/>
  <c r="N2778" i="23"/>
  <c r="N2779" i="23"/>
  <c r="N2780" i="23"/>
  <c r="N2781" i="23"/>
  <c r="P2766" i="23"/>
  <c r="P2767" i="23"/>
  <c r="P2768" i="23"/>
  <c r="P2769" i="23"/>
  <c r="P2770" i="23"/>
  <c r="P2771" i="23"/>
  <c r="P2772" i="23"/>
  <c r="P2773" i="23"/>
  <c r="P2774" i="23"/>
  <c r="P2775" i="23"/>
  <c r="P2776" i="23"/>
  <c r="P2777" i="23"/>
  <c r="P2778" i="23"/>
  <c r="P2779" i="23"/>
  <c r="P2780" i="23"/>
  <c r="P2781" i="23"/>
  <c r="Q2766" i="23"/>
  <c r="Q2767" i="23"/>
  <c r="Q2768" i="23"/>
  <c r="Q2769" i="23"/>
  <c r="Q2770" i="23"/>
  <c r="Q2771" i="23"/>
  <c r="Q2772" i="23"/>
  <c r="Q2773" i="23"/>
  <c r="Q2774" i="23"/>
  <c r="Q2775" i="23"/>
  <c r="Q2776" i="23"/>
  <c r="Q2777" i="23"/>
  <c r="Q2778" i="23"/>
  <c r="Q2779" i="23"/>
  <c r="Q2780" i="23"/>
  <c r="Q2781" i="23"/>
  <c r="L2756" i="23"/>
  <c r="L2757" i="23"/>
  <c r="L2758" i="23"/>
  <c r="L2759" i="23"/>
  <c r="L2760" i="23"/>
  <c r="L2761" i="23"/>
  <c r="L2762" i="23"/>
  <c r="L2763" i="23"/>
  <c r="L2764" i="23"/>
  <c r="L2765" i="23"/>
  <c r="M2756" i="23"/>
  <c r="M2757" i="23"/>
  <c r="M2758" i="23"/>
  <c r="M2759" i="23"/>
  <c r="M2760" i="23"/>
  <c r="M2761" i="23"/>
  <c r="M2762" i="23"/>
  <c r="M2763" i="23"/>
  <c r="M2764" i="23"/>
  <c r="M2765" i="23"/>
  <c r="N2756" i="23"/>
  <c r="N2757" i="23"/>
  <c r="N2758" i="23"/>
  <c r="N2759" i="23"/>
  <c r="N2760" i="23"/>
  <c r="N2761" i="23"/>
  <c r="N2762" i="23"/>
  <c r="N2763" i="23"/>
  <c r="N2764" i="23"/>
  <c r="N2765" i="23"/>
  <c r="P2756" i="23"/>
  <c r="P2757" i="23"/>
  <c r="P2758" i="23"/>
  <c r="P2759" i="23"/>
  <c r="P2760" i="23"/>
  <c r="P2761" i="23"/>
  <c r="P2762" i="23"/>
  <c r="P2763" i="23"/>
  <c r="P2764" i="23"/>
  <c r="P2765" i="23"/>
  <c r="Q2756" i="23"/>
  <c r="Q2757" i="23"/>
  <c r="Q2758" i="23"/>
  <c r="Q2759" i="23"/>
  <c r="Q2760" i="23"/>
  <c r="Q2761" i="23"/>
  <c r="Q2762" i="23"/>
  <c r="Q2763" i="23"/>
  <c r="Q2764" i="23"/>
  <c r="Q2765" i="23"/>
  <c r="L2727" i="23"/>
  <c r="L2728" i="23"/>
  <c r="L2729" i="23"/>
  <c r="L2730" i="23"/>
  <c r="L2731" i="23"/>
  <c r="L2732" i="23"/>
  <c r="L2733" i="23"/>
  <c r="L2734" i="23"/>
  <c r="L2735" i="23"/>
  <c r="L2736" i="23"/>
  <c r="L2737" i="23"/>
  <c r="L2738" i="23"/>
  <c r="L2739" i="23"/>
  <c r="L2740" i="23"/>
  <c r="L2741" i="23"/>
  <c r="L2742" i="23"/>
  <c r="L2743" i="23"/>
  <c r="L2744" i="23"/>
  <c r="L2745" i="23"/>
  <c r="L2746" i="23"/>
  <c r="L2747" i="23"/>
  <c r="L2748" i="23"/>
  <c r="L2749" i="23"/>
  <c r="L2750" i="23"/>
  <c r="L2751" i="23"/>
  <c r="L2752" i="23"/>
  <c r="L2753" i="23"/>
  <c r="L2754" i="23"/>
  <c r="L2755" i="23"/>
  <c r="M2727" i="23"/>
  <c r="M2728" i="23"/>
  <c r="M2729" i="23"/>
  <c r="M2730" i="23"/>
  <c r="M2731" i="23"/>
  <c r="M2732" i="23"/>
  <c r="M2733" i="23"/>
  <c r="M2734" i="23"/>
  <c r="M2735" i="23"/>
  <c r="M2736" i="23"/>
  <c r="M2737" i="23"/>
  <c r="M2738" i="23"/>
  <c r="M2739" i="23"/>
  <c r="M2740" i="23"/>
  <c r="M2741" i="23"/>
  <c r="M2742" i="23"/>
  <c r="M2743" i="23"/>
  <c r="M2744" i="23"/>
  <c r="M2745" i="23"/>
  <c r="M2746" i="23"/>
  <c r="M2747" i="23"/>
  <c r="M2748" i="23"/>
  <c r="M2749" i="23"/>
  <c r="M2750" i="23"/>
  <c r="M2751" i="23"/>
  <c r="M2752" i="23"/>
  <c r="M2753" i="23"/>
  <c r="M2754" i="23"/>
  <c r="M2755" i="23"/>
  <c r="N2727" i="23"/>
  <c r="N2728" i="23"/>
  <c r="N2729" i="23"/>
  <c r="N2730" i="23"/>
  <c r="N2731" i="23"/>
  <c r="N2732" i="23"/>
  <c r="N2733" i="23"/>
  <c r="N2734" i="23"/>
  <c r="N2735" i="23"/>
  <c r="N2736" i="23"/>
  <c r="N2737" i="23"/>
  <c r="N2738" i="23"/>
  <c r="N2739" i="23"/>
  <c r="N2740" i="23"/>
  <c r="N2741" i="23"/>
  <c r="N2742" i="23"/>
  <c r="N2743" i="23"/>
  <c r="N2744" i="23"/>
  <c r="N2745" i="23"/>
  <c r="N2746" i="23"/>
  <c r="N2747" i="23"/>
  <c r="N2748" i="23"/>
  <c r="N2749" i="23"/>
  <c r="N2750" i="23"/>
  <c r="N2751" i="23"/>
  <c r="N2752" i="23"/>
  <c r="N2753" i="23"/>
  <c r="N2754" i="23"/>
  <c r="N2755" i="23"/>
  <c r="P2727" i="23"/>
  <c r="P2728" i="23"/>
  <c r="P2729" i="23"/>
  <c r="P2730" i="23"/>
  <c r="P2731" i="23"/>
  <c r="P2732" i="23"/>
  <c r="P2733" i="23"/>
  <c r="P2734" i="23"/>
  <c r="P2735" i="23"/>
  <c r="P2736" i="23"/>
  <c r="P2737" i="23"/>
  <c r="P2738" i="23"/>
  <c r="P2739" i="23"/>
  <c r="P2740" i="23"/>
  <c r="P2741" i="23"/>
  <c r="P2742" i="23"/>
  <c r="P2743" i="23"/>
  <c r="P2744" i="23"/>
  <c r="P2745" i="23"/>
  <c r="P2746" i="23"/>
  <c r="P2747" i="23"/>
  <c r="P2748" i="23"/>
  <c r="P2749" i="23"/>
  <c r="P2750" i="23"/>
  <c r="P2751" i="23"/>
  <c r="P2752" i="23"/>
  <c r="P2753" i="23"/>
  <c r="P2754" i="23"/>
  <c r="P2755" i="23"/>
  <c r="Q2727" i="23"/>
  <c r="Q2728" i="23"/>
  <c r="Q2729" i="23"/>
  <c r="Q2730" i="23"/>
  <c r="Q2731" i="23"/>
  <c r="Q2732" i="23"/>
  <c r="Q2733" i="23"/>
  <c r="Q2734" i="23"/>
  <c r="Q2735" i="23"/>
  <c r="Q2736" i="23"/>
  <c r="Q2737" i="23"/>
  <c r="Q2738" i="23"/>
  <c r="Q2739" i="23"/>
  <c r="Q2740" i="23"/>
  <c r="Q2741" i="23"/>
  <c r="Q2742" i="23"/>
  <c r="Q2743" i="23"/>
  <c r="Q2744" i="23"/>
  <c r="Q2745" i="23"/>
  <c r="Q2746" i="23"/>
  <c r="Q2747" i="23"/>
  <c r="Q2748" i="23"/>
  <c r="Q2749" i="23"/>
  <c r="Q2750" i="23"/>
  <c r="Q2751" i="23"/>
  <c r="Q2752" i="23"/>
  <c r="Q2753" i="23"/>
  <c r="Q2754" i="23"/>
  <c r="Q2755" i="23"/>
  <c r="R165" i="16" a="1"/>
  <c r="R165" i="16" l="1"/>
  <c r="L2518" i="23"/>
  <c r="X951" i="1"/>
  <c r="U1595" i="3"/>
  <c r="Y1595" i="3" s="1"/>
  <c r="S1595" i="3"/>
  <c r="N1595" i="3"/>
  <c r="M1595" i="3"/>
  <c r="L1595" i="3"/>
  <c r="K1595" i="3"/>
  <c r="J1595" i="3"/>
  <c r="I1595" i="3"/>
  <c r="H1595" i="3"/>
  <c r="G1595" i="3"/>
  <c r="F1595" i="3"/>
  <c r="D1595" i="3"/>
  <c r="Q1594" i="3"/>
  <c r="Q1568" i="3"/>
  <c r="U1594" i="3"/>
  <c r="Y1594" i="3" s="1"/>
  <c r="S1594" i="3"/>
  <c r="N1594" i="3"/>
  <c r="M1594" i="3"/>
  <c r="L1594" i="3"/>
  <c r="K1594" i="3"/>
  <c r="J1594" i="3"/>
  <c r="I1594" i="3"/>
  <c r="H1594" i="3"/>
  <c r="G1594" i="3"/>
  <c r="F1594" i="3"/>
  <c r="D1594" i="3"/>
  <c r="S26" i="26"/>
  <c r="AB951" i="1" a="1"/>
  <c r="AA1594" i="3" a="1"/>
  <c r="AA1595" i="3" a="1"/>
  <c r="AA1595" i="3" l="1"/>
  <c r="AB951" i="1"/>
  <c r="AA1594" i="3"/>
  <c r="U1593" i="3" l="1"/>
  <c r="Y1593" i="3" s="1"/>
  <c r="S1593" i="3"/>
  <c r="N1593" i="3"/>
  <c r="M1593" i="3"/>
  <c r="L1593" i="3"/>
  <c r="K1593" i="3"/>
  <c r="J1593" i="3"/>
  <c r="I1593" i="3"/>
  <c r="H1593" i="3"/>
  <c r="G1593" i="3"/>
  <c r="F1593" i="3"/>
  <c r="D1593" i="3"/>
  <c r="X950" i="1"/>
  <c r="X949" i="1"/>
  <c r="E14" i="10"/>
  <c r="E12" i="10"/>
  <c r="E11" i="10"/>
  <c r="U1592" i="3"/>
  <c r="S1592" i="3"/>
  <c r="N1592" i="3"/>
  <c r="M1592" i="3"/>
  <c r="L1592" i="3"/>
  <c r="K1592" i="3"/>
  <c r="J1592" i="3"/>
  <c r="I1592" i="3"/>
  <c r="H1592" i="3"/>
  <c r="G1592" i="3"/>
  <c r="F1592" i="3"/>
  <c r="D1592" i="3"/>
  <c r="AB949" i="1" a="1"/>
  <c r="AA1593" i="3" a="1"/>
  <c r="AA1592" i="3" a="1"/>
  <c r="AA1593" i="3" l="1"/>
  <c r="AB949" i="1"/>
  <c r="AA1592" i="3"/>
  <c r="L192" i="1"/>
  <c r="U1591" i="3"/>
  <c r="Y1591" i="3" s="1"/>
  <c r="S1591" i="3"/>
  <c r="N1591" i="3"/>
  <c r="M1591" i="3"/>
  <c r="L1591" i="3"/>
  <c r="K1591" i="3"/>
  <c r="J1591" i="3"/>
  <c r="I1591" i="3"/>
  <c r="H1591" i="3"/>
  <c r="G1591" i="3"/>
  <c r="F1591" i="3"/>
  <c r="D1591" i="3"/>
  <c r="D6" i="10" a="1"/>
  <c r="D6" i="10" s="1"/>
  <c r="D7" i="10" a="1"/>
  <c r="D7" i="10" s="1"/>
  <c r="R164" i="16" a="1"/>
  <c r="AA1591" i="3" a="1"/>
  <c r="AA1591" i="3" l="1"/>
  <c r="R164" i="16"/>
  <c r="L2726" i="23"/>
  <c r="M2726" i="23"/>
  <c r="N2726" i="23"/>
  <c r="P2726" i="23"/>
  <c r="Q2726" i="23"/>
  <c r="X948" i="1" l="1"/>
  <c r="AB948" i="1" a="1"/>
  <c r="AB948" i="1" l="1"/>
  <c r="S15" i="26"/>
  <c r="X947" i="1"/>
  <c r="L2725" i="23"/>
  <c r="M2725" i="23"/>
  <c r="N2725" i="23"/>
  <c r="P2725" i="23"/>
  <c r="Q2725" i="23"/>
  <c r="L2721" i="23"/>
  <c r="L2722" i="23"/>
  <c r="L2723" i="23"/>
  <c r="L2724" i="23"/>
  <c r="M2721" i="23"/>
  <c r="M2722" i="23"/>
  <c r="M2723" i="23"/>
  <c r="M2724" i="23"/>
  <c r="N2721" i="23"/>
  <c r="N2722" i="23"/>
  <c r="N2723" i="23"/>
  <c r="N2724" i="23"/>
  <c r="P2721" i="23"/>
  <c r="P2722" i="23"/>
  <c r="P2723" i="23"/>
  <c r="P2724" i="23"/>
  <c r="Q2721" i="23"/>
  <c r="Q2722" i="23"/>
  <c r="Q2723" i="23"/>
  <c r="Q2724" i="23"/>
  <c r="R163" i="16" a="1"/>
  <c r="AB947" i="1" a="1"/>
  <c r="R163" i="16" l="1"/>
  <c r="AB947" i="1"/>
  <c r="U1590" i="3"/>
  <c r="Y1590" i="3" s="1"/>
  <c r="S1590" i="3"/>
  <c r="N1590" i="3"/>
  <c r="M1590" i="3"/>
  <c r="L1590" i="3"/>
  <c r="K1590" i="3"/>
  <c r="J1590" i="3"/>
  <c r="I1590" i="3"/>
  <c r="H1590" i="3"/>
  <c r="G1590" i="3"/>
  <c r="F1590" i="3"/>
  <c r="D1590" i="3"/>
  <c r="S58" i="26"/>
  <c r="Q63" i="26"/>
  <c r="U63" i="26" s="1"/>
  <c r="Q61" i="26"/>
  <c r="Q62" i="26" s="1"/>
  <c r="U62" i="26" s="1"/>
  <c r="R161" i="16" a="1"/>
  <c r="R162" i="16" a="1"/>
  <c r="AA1590" i="3" a="1"/>
  <c r="S60" i="26" l="1"/>
  <c r="V62" i="26"/>
  <c r="V63" i="26"/>
  <c r="U61" i="26"/>
  <c r="V61" i="26" s="1"/>
  <c r="V65" i="26" s="1"/>
  <c r="R162" i="16"/>
  <c r="R161" i="16"/>
  <c r="AA1590" i="3"/>
  <c r="L2718" i="23"/>
  <c r="L2719" i="23"/>
  <c r="L2720" i="23"/>
  <c r="M2718" i="23"/>
  <c r="M2719" i="23"/>
  <c r="M2720" i="23"/>
  <c r="N2718" i="23"/>
  <c r="N2719" i="23"/>
  <c r="N2720" i="23"/>
  <c r="P2718" i="23"/>
  <c r="P2719" i="23"/>
  <c r="P2720" i="23"/>
  <c r="Q2718" i="23"/>
  <c r="Q2719" i="23"/>
  <c r="Q2720" i="23"/>
  <c r="L2715" i="23"/>
  <c r="L2716" i="23"/>
  <c r="L2717" i="23"/>
  <c r="M2715" i="23"/>
  <c r="M2716" i="23"/>
  <c r="M2717" i="23"/>
  <c r="N2715" i="23"/>
  <c r="N2716" i="23"/>
  <c r="N2717" i="23"/>
  <c r="P2715" i="23"/>
  <c r="P2716" i="23"/>
  <c r="P2717" i="23"/>
  <c r="Q2715" i="23"/>
  <c r="Q2716" i="23"/>
  <c r="Q2717" i="23"/>
  <c r="L2702" i="23"/>
  <c r="L2703" i="23"/>
  <c r="L2704" i="23"/>
  <c r="L2705" i="23"/>
  <c r="L2706" i="23"/>
  <c r="L2707" i="23"/>
  <c r="L2708" i="23"/>
  <c r="L2709" i="23"/>
  <c r="L2710" i="23"/>
  <c r="L2711" i="23"/>
  <c r="L2712" i="23"/>
  <c r="L2713" i="23"/>
  <c r="L2714" i="23"/>
  <c r="M2702" i="23"/>
  <c r="M2703" i="23"/>
  <c r="M2704" i="23"/>
  <c r="M2705" i="23"/>
  <c r="M2706" i="23"/>
  <c r="M2707" i="23"/>
  <c r="M2708" i="23"/>
  <c r="M2709" i="23"/>
  <c r="M2710" i="23"/>
  <c r="M2711" i="23"/>
  <c r="M2712" i="23"/>
  <c r="M2713" i="23"/>
  <c r="M2714" i="23"/>
  <c r="N2702" i="23"/>
  <c r="N2703" i="23"/>
  <c r="N2704" i="23"/>
  <c r="N2705" i="23"/>
  <c r="N2706" i="23"/>
  <c r="N2707" i="23"/>
  <c r="N2708" i="23"/>
  <c r="N2709" i="23"/>
  <c r="N2710" i="23"/>
  <c r="N2711" i="23"/>
  <c r="N2712" i="23"/>
  <c r="N2713" i="23"/>
  <c r="N2714" i="23"/>
  <c r="P2702" i="23"/>
  <c r="P2703" i="23"/>
  <c r="P2704" i="23"/>
  <c r="P2705" i="23"/>
  <c r="P2706" i="23"/>
  <c r="P2707" i="23"/>
  <c r="P2708" i="23"/>
  <c r="P2709" i="23"/>
  <c r="P2710" i="23"/>
  <c r="P2711" i="23"/>
  <c r="P2712" i="23"/>
  <c r="P2713" i="23"/>
  <c r="P2714" i="23"/>
  <c r="Q2702" i="23"/>
  <c r="Q2703" i="23"/>
  <c r="Q2704" i="23"/>
  <c r="Q2705" i="23"/>
  <c r="Q2706" i="23"/>
  <c r="Q2707" i="23"/>
  <c r="Q2708" i="23"/>
  <c r="Q2709" i="23"/>
  <c r="Q2710" i="23"/>
  <c r="Q2711" i="23"/>
  <c r="Q2712" i="23"/>
  <c r="Q2713" i="23"/>
  <c r="Q2714" i="23"/>
  <c r="L2683" i="23"/>
  <c r="L2684" i="23"/>
  <c r="L2685" i="23"/>
  <c r="L2686" i="23"/>
  <c r="L2687" i="23"/>
  <c r="L2688" i="23"/>
  <c r="L2689" i="23"/>
  <c r="L2690" i="23"/>
  <c r="L2691" i="23"/>
  <c r="L2692" i="23"/>
  <c r="L2693" i="23"/>
  <c r="L2694" i="23"/>
  <c r="L2695" i="23"/>
  <c r="L2696" i="23"/>
  <c r="L2697" i="23"/>
  <c r="L2698" i="23"/>
  <c r="L2699" i="23"/>
  <c r="L2700" i="23"/>
  <c r="L2701" i="23"/>
  <c r="M2683" i="23"/>
  <c r="M2684" i="23"/>
  <c r="M2685" i="23"/>
  <c r="M2686" i="23"/>
  <c r="M2687" i="23"/>
  <c r="M2688" i="23"/>
  <c r="M2689" i="23"/>
  <c r="M2690" i="23"/>
  <c r="M2691" i="23"/>
  <c r="M2692" i="23"/>
  <c r="M2693" i="23"/>
  <c r="M2694" i="23"/>
  <c r="M2695" i="23"/>
  <c r="M2696" i="23"/>
  <c r="M2697" i="23"/>
  <c r="M2698" i="23"/>
  <c r="M2699" i="23"/>
  <c r="M2700" i="23"/>
  <c r="M2701" i="23"/>
  <c r="N2683" i="23"/>
  <c r="N2684" i="23"/>
  <c r="N2685" i="23"/>
  <c r="N2686" i="23"/>
  <c r="N2687" i="23"/>
  <c r="N2688" i="23"/>
  <c r="N2689" i="23"/>
  <c r="N2690" i="23"/>
  <c r="N2691" i="23"/>
  <c r="N2692" i="23"/>
  <c r="N2693" i="23"/>
  <c r="N2694" i="23"/>
  <c r="N2695" i="23"/>
  <c r="N2696" i="23"/>
  <c r="N2697" i="23"/>
  <c r="N2698" i="23"/>
  <c r="N2699" i="23"/>
  <c r="N2700" i="23"/>
  <c r="N2701" i="23"/>
  <c r="P2683" i="23"/>
  <c r="P2684" i="23"/>
  <c r="P2685" i="23"/>
  <c r="P2686" i="23"/>
  <c r="P2687" i="23"/>
  <c r="P2688" i="23"/>
  <c r="P2689" i="23"/>
  <c r="P2690" i="23"/>
  <c r="P2691" i="23"/>
  <c r="P2692" i="23"/>
  <c r="P2693" i="23"/>
  <c r="P2694" i="23"/>
  <c r="P2695" i="23"/>
  <c r="P2696" i="23"/>
  <c r="P2697" i="23"/>
  <c r="P2698" i="23"/>
  <c r="P2699" i="23"/>
  <c r="P2700" i="23"/>
  <c r="P2701" i="23"/>
  <c r="Q2683" i="23"/>
  <c r="Q2684" i="23"/>
  <c r="Q2685" i="23"/>
  <c r="Q2686" i="23"/>
  <c r="Q2687" i="23"/>
  <c r="Q2688" i="23"/>
  <c r="Q2689" i="23"/>
  <c r="Q2690" i="23"/>
  <c r="Q2691" i="23"/>
  <c r="Q2692" i="23"/>
  <c r="Q2693" i="23"/>
  <c r="Q2694" i="23"/>
  <c r="Q2695" i="23"/>
  <c r="Q2696" i="23"/>
  <c r="Q2697" i="23"/>
  <c r="Q2698" i="23"/>
  <c r="Q2699" i="23"/>
  <c r="Q2700" i="23"/>
  <c r="Q2701" i="23"/>
  <c r="Q5" i="23"/>
  <c r="Q6" i="23"/>
  <c r="Q7" i="23"/>
  <c r="Q8" i="23"/>
  <c r="Q9" i="23"/>
  <c r="Q10" i="23"/>
  <c r="Q11" i="23"/>
  <c r="Q12" i="23"/>
  <c r="Q13" i="23"/>
  <c r="Q14" i="23"/>
  <c r="Q15" i="23"/>
  <c r="Q16" i="23"/>
  <c r="Q17" i="23"/>
  <c r="Q18" i="23"/>
  <c r="Q19" i="23"/>
  <c r="Q20" i="23"/>
  <c r="Q21" i="23"/>
  <c r="Q22" i="23"/>
  <c r="Q23" i="23"/>
  <c r="Q24" i="23"/>
  <c r="Q25" i="23"/>
  <c r="Q26" i="23"/>
  <c r="Q27" i="23"/>
  <c r="Q28" i="23"/>
  <c r="Q29" i="23"/>
  <c r="Q30" i="23"/>
  <c r="Q31" i="23"/>
  <c r="Q32" i="23"/>
  <c r="Q33" i="23"/>
  <c r="Q34" i="23"/>
  <c r="Q35" i="23"/>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67" i="23"/>
  <c r="Q68" i="23"/>
  <c r="Q69" i="23"/>
  <c r="Q70" i="23"/>
  <c r="Q71" i="23"/>
  <c r="Q72" i="23"/>
  <c r="Q73" i="23"/>
  <c r="Q74" i="23"/>
  <c r="Q75" i="23"/>
  <c r="Q76" i="23"/>
  <c r="Q77" i="23"/>
  <c r="Q78" i="23"/>
  <c r="Q79" i="23"/>
  <c r="Q80" i="23"/>
  <c r="Q81" i="23"/>
  <c r="Q82" i="23"/>
  <c r="Q83" i="23"/>
  <c r="Q84" i="23"/>
  <c r="Q85" i="23"/>
  <c r="Q86" i="23"/>
  <c r="Q87" i="23"/>
  <c r="Q88" i="23"/>
  <c r="Q89" i="23"/>
  <c r="Q90" i="23"/>
  <c r="Q91" i="23"/>
  <c r="Q92" i="23"/>
  <c r="Q93" i="23"/>
  <c r="Q94" i="23"/>
  <c r="Q95" i="23"/>
  <c r="Q96" i="23"/>
  <c r="Q97" i="23"/>
  <c r="Q98" i="23"/>
  <c r="Q99" i="23"/>
  <c r="Q100" i="23"/>
  <c r="Q101" i="23"/>
  <c r="Q102" i="23"/>
  <c r="Q103" i="23"/>
  <c r="Q104" i="23"/>
  <c r="Q105" i="23"/>
  <c r="Q106" i="23"/>
  <c r="Q107" i="23"/>
  <c r="Q108" i="23"/>
  <c r="Q109" i="23"/>
  <c r="Q110" i="23"/>
  <c r="Q111" i="23"/>
  <c r="Q112" i="23"/>
  <c r="Q113" i="23"/>
  <c r="Q114" i="23"/>
  <c r="Q115" i="23"/>
  <c r="Q116" i="23"/>
  <c r="Q117" i="23"/>
  <c r="Q118" i="23"/>
  <c r="Q119" i="23"/>
  <c r="Q120" i="23"/>
  <c r="Q121" i="23"/>
  <c r="Q122" i="23"/>
  <c r="Q123" i="23"/>
  <c r="Q124" i="23"/>
  <c r="Q125" i="23"/>
  <c r="Q126" i="23"/>
  <c r="Q127" i="23"/>
  <c r="Q128" i="23"/>
  <c r="Q129" i="23"/>
  <c r="Q130" i="23"/>
  <c r="Q131" i="23"/>
  <c r="Q132" i="23"/>
  <c r="Q133" i="23"/>
  <c r="Q134" i="23"/>
  <c r="Q135" i="23"/>
  <c r="Q136" i="23"/>
  <c r="Q137" i="23"/>
  <c r="Q138" i="23"/>
  <c r="Q139" i="23"/>
  <c r="Q140" i="23"/>
  <c r="Q141" i="23"/>
  <c r="Q142" i="23"/>
  <c r="Q143" i="23"/>
  <c r="Q144" i="23"/>
  <c r="Q145" i="23"/>
  <c r="Q146" i="23"/>
  <c r="Q147" i="23"/>
  <c r="Q148" i="23"/>
  <c r="Q149" i="23"/>
  <c r="Q150" i="23"/>
  <c r="Q151" i="23"/>
  <c r="Q152" i="23"/>
  <c r="Q153" i="23"/>
  <c r="Q154" i="23"/>
  <c r="Q155" i="23"/>
  <c r="Q156" i="23"/>
  <c r="Q157" i="23"/>
  <c r="Q158" i="23"/>
  <c r="Q159" i="23"/>
  <c r="Q160" i="23"/>
  <c r="Q161" i="23"/>
  <c r="Q162" i="23"/>
  <c r="Q163" i="23"/>
  <c r="Q164" i="23"/>
  <c r="Q165" i="23"/>
  <c r="Q166" i="23"/>
  <c r="Q167" i="23"/>
  <c r="Q168" i="23"/>
  <c r="Q169" i="23"/>
  <c r="Q170" i="23"/>
  <c r="Q171" i="23"/>
  <c r="Q172" i="23"/>
  <c r="Q173" i="23"/>
  <c r="Q174" i="23"/>
  <c r="Q175" i="23"/>
  <c r="Q176" i="23"/>
  <c r="Q177" i="23"/>
  <c r="Q178" i="23"/>
  <c r="Q179" i="23"/>
  <c r="Q180" i="23"/>
  <c r="Q181" i="23"/>
  <c r="Q182" i="23"/>
  <c r="Q183" i="23"/>
  <c r="Q184" i="23"/>
  <c r="Q185" i="23"/>
  <c r="Q186" i="23"/>
  <c r="Q187" i="23"/>
  <c r="Q188" i="23"/>
  <c r="Q189" i="23"/>
  <c r="Q190" i="23"/>
  <c r="Q191" i="23"/>
  <c r="Q192" i="23"/>
  <c r="Q193" i="23"/>
  <c r="Q194" i="23"/>
  <c r="Q195" i="23"/>
  <c r="Q196" i="23"/>
  <c r="Q197" i="23"/>
  <c r="Q198" i="23"/>
  <c r="Q199" i="23"/>
  <c r="Q200" i="23"/>
  <c r="Q201" i="23"/>
  <c r="Q202" i="23"/>
  <c r="Q203" i="23"/>
  <c r="Q204" i="23"/>
  <c r="Q205" i="23"/>
  <c r="Q206" i="23"/>
  <c r="Q207" i="23"/>
  <c r="Q208" i="23"/>
  <c r="Q209" i="23"/>
  <c r="Q210" i="23"/>
  <c r="Q211" i="23"/>
  <c r="Q212" i="23"/>
  <c r="Q213" i="23"/>
  <c r="Q214" i="23"/>
  <c r="Q215" i="23"/>
  <c r="Q216" i="23"/>
  <c r="Q217" i="23"/>
  <c r="Q218" i="23"/>
  <c r="Q219" i="23"/>
  <c r="Q220" i="23"/>
  <c r="Q221" i="23"/>
  <c r="Q222" i="23"/>
  <c r="Q223" i="23"/>
  <c r="Q224" i="23"/>
  <c r="Q225" i="23"/>
  <c r="Q226" i="23"/>
  <c r="Q227" i="23"/>
  <c r="Q228" i="23"/>
  <c r="Q229" i="23"/>
  <c r="Q230" i="23"/>
  <c r="Q231" i="23"/>
  <c r="Q232" i="23"/>
  <c r="Q233" i="23"/>
  <c r="Q234" i="23"/>
  <c r="Q235" i="23"/>
  <c r="Q236" i="23"/>
  <c r="Q237" i="23"/>
  <c r="Q238" i="23"/>
  <c r="Q239" i="23"/>
  <c r="Q240" i="23"/>
  <c r="Q241" i="23"/>
  <c r="Q242" i="23"/>
  <c r="Q243" i="23"/>
  <c r="Q244" i="23"/>
  <c r="Q245" i="23"/>
  <c r="Q246" i="23"/>
  <c r="Q247" i="23"/>
  <c r="Q248" i="23"/>
  <c r="Q249" i="23"/>
  <c r="Q250" i="23"/>
  <c r="Q251" i="23"/>
  <c r="Q252" i="23"/>
  <c r="Q253" i="23"/>
  <c r="Q254" i="23"/>
  <c r="Q255" i="23"/>
  <c r="Q256" i="23"/>
  <c r="Q257" i="23"/>
  <c r="Q258" i="23"/>
  <c r="Q259" i="23"/>
  <c r="Q260" i="23"/>
  <c r="Q261" i="23"/>
  <c r="Q262" i="23"/>
  <c r="Q263" i="23"/>
  <c r="Q264" i="23"/>
  <c r="Q265" i="23"/>
  <c r="Q266" i="23"/>
  <c r="Q267" i="23"/>
  <c r="Q268" i="23"/>
  <c r="Q269" i="23"/>
  <c r="Q270" i="23"/>
  <c r="Q271" i="23"/>
  <c r="Q272" i="23"/>
  <c r="Q273" i="23"/>
  <c r="Q274" i="23"/>
  <c r="Q275" i="23"/>
  <c r="Q276" i="23"/>
  <c r="Q277" i="23"/>
  <c r="Q278" i="23"/>
  <c r="Q279" i="23"/>
  <c r="Q280" i="23"/>
  <c r="Q281" i="23"/>
  <c r="Q282" i="23"/>
  <c r="Q283" i="23"/>
  <c r="Q284" i="23"/>
  <c r="Q285" i="23"/>
  <c r="Q286" i="23"/>
  <c r="Q287" i="23"/>
  <c r="Q288" i="23"/>
  <c r="Q289" i="23"/>
  <c r="Q290" i="23"/>
  <c r="Q291" i="23"/>
  <c r="Q292" i="23"/>
  <c r="Q293" i="23"/>
  <c r="Q294" i="23"/>
  <c r="Q295" i="23"/>
  <c r="Q296" i="23"/>
  <c r="Q297" i="23"/>
  <c r="Q298" i="23"/>
  <c r="Q299" i="23"/>
  <c r="Q300" i="23"/>
  <c r="Q301" i="23"/>
  <c r="Q302" i="23"/>
  <c r="Q303" i="23"/>
  <c r="Q304" i="23"/>
  <c r="Q305" i="23"/>
  <c r="Q306" i="23"/>
  <c r="Q307" i="23"/>
  <c r="Q308" i="23"/>
  <c r="Q309" i="23"/>
  <c r="Q310" i="23"/>
  <c r="Q311" i="23"/>
  <c r="Q312" i="23"/>
  <c r="Q313" i="23"/>
  <c r="Q314" i="23"/>
  <c r="Q315" i="23"/>
  <c r="Q316" i="23"/>
  <c r="Q317" i="23"/>
  <c r="Q318" i="23"/>
  <c r="Q319" i="23"/>
  <c r="Q320" i="23"/>
  <c r="Q321" i="23"/>
  <c r="Q322" i="23"/>
  <c r="Q323" i="23"/>
  <c r="Q324" i="23"/>
  <c r="Q325" i="23"/>
  <c r="Q326" i="23"/>
  <c r="Q327" i="23"/>
  <c r="Q328" i="23"/>
  <c r="Q329" i="23"/>
  <c r="Q330" i="23"/>
  <c r="Q331" i="23"/>
  <c r="Q332" i="23"/>
  <c r="Q333" i="23"/>
  <c r="Q334" i="23"/>
  <c r="Q335" i="23"/>
  <c r="Q336" i="23"/>
  <c r="Q337" i="23"/>
  <c r="Q338" i="23"/>
  <c r="Q339" i="23"/>
  <c r="Q340" i="23"/>
  <c r="Q341" i="23"/>
  <c r="Q342" i="23"/>
  <c r="Q343" i="23"/>
  <c r="Q344" i="23"/>
  <c r="Q345" i="23"/>
  <c r="Q346" i="23"/>
  <c r="Q347" i="23"/>
  <c r="Q348" i="23"/>
  <c r="Q349" i="23"/>
  <c r="Q350" i="23"/>
  <c r="Q351" i="23"/>
  <c r="Q352" i="23"/>
  <c r="Q353" i="23"/>
  <c r="Q354" i="23"/>
  <c r="Q355" i="23"/>
  <c r="Q356" i="23"/>
  <c r="Q357" i="23"/>
  <c r="Q358" i="23"/>
  <c r="Q359" i="23"/>
  <c r="Q360" i="23"/>
  <c r="Q361" i="23"/>
  <c r="Q362" i="23"/>
  <c r="Q363" i="23"/>
  <c r="Q364" i="23"/>
  <c r="Q365" i="23"/>
  <c r="Q366" i="23"/>
  <c r="Q367" i="23"/>
  <c r="Q368" i="23"/>
  <c r="Q369" i="23"/>
  <c r="Q370" i="23"/>
  <c r="Q371" i="23"/>
  <c r="Q372" i="23"/>
  <c r="Q373" i="23"/>
  <c r="Q374" i="23"/>
  <c r="Q375" i="23"/>
  <c r="Q376" i="23"/>
  <c r="Q377" i="23"/>
  <c r="Q378" i="23"/>
  <c r="Q379" i="23"/>
  <c r="Q380" i="23"/>
  <c r="Q381" i="23"/>
  <c r="Q382" i="23"/>
  <c r="Q383" i="23"/>
  <c r="Q384" i="23"/>
  <c r="Q385" i="23"/>
  <c r="Q386" i="23"/>
  <c r="Q387" i="23"/>
  <c r="Q388" i="23"/>
  <c r="Q389" i="23"/>
  <c r="Q390" i="23"/>
  <c r="Q391" i="23"/>
  <c r="Q392" i="23"/>
  <c r="Q393" i="23"/>
  <c r="Q394" i="23"/>
  <c r="Q395" i="23"/>
  <c r="Q396" i="23"/>
  <c r="Q397" i="23"/>
  <c r="Q398" i="23"/>
  <c r="Q399" i="23"/>
  <c r="Q400" i="23"/>
  <c r="Q401" i="23"/>
  <c r="Q402" i="23"/>
  <c r="Q403" i="23"/>
  <c r="Q404" i="23"/>
  <c r="Q405" i="23"/>
  <c r="Q406" i="23"/>
  <c r="Q407" i="23"/>
  <c r="Q408" i="23"/>
  <c r="Q409" i="23"/>
  <c r="Q410" i="23"/>
  <c r="Q411" i="23"/>
  <c r="Q412" i="23"/>
  <c r="Q413" i="23"/>
  <c r="Q414" i="23"/>
  <c r="Q415" i="23"/>
  <c r="Q416" i="23"/>
  <c r="Q417" i="23"/>
  <c r="Q418" i="23"/>
  <c r="Q419" i="23"/>
  <c r="Q420" i="23"/>
  <c r="Q421" i="23"/>
  <c r="Q422" i="23"/>
  <c r="Q423" i="23"/>
  <c r="Q424" i="23"/>
  <c r="Q425" i="23"/>
  <c r="Q426" i="23"/>
  <c r="Q427" i="23"/>
  <c r="Q428" i="23"/>
  <c r="Q429" i="23"/>
  <c r="Q430" i="23"/>
  <c r="Q431" i="23"/>
  <c r="Q432" i="23"/>
  <c r="Q433" i="23"/>
  <c r="Q434" i="23"/>
  <c r="Q435" i="23"/>
  <c r="Q436" i="23"/>
  <c r="Q437" i="23"/>
  <c r="Q438" i="23"/>
  <c r="Q439" i="23"/>
  <c r="Q440" i="23"/>
  <c r="Q441" i="23"/>
  <c r="Q442" i="23"/>
  <c r="Q443" i="23"/>
  <c r="Q444" i="23"/>
  <c r="Q445" i="23"/>
  <c r="Q446" i="23"/>
  <c r="Q447" i="23"/>
  <c r="Q448" i="23"/>
  <c r="Q449" i="23"/>
  <c r="Q450" i="23"/>
  <c r="Q451" i="23"/>
  <c r="Q452" i="23"/>
  <c r="Q453" i="23"/>
  <c r="Q454" i="23"/>
  <c r="Q455" i="23"/>
  <c r="Q456" i="23"/>
  <c r="Q457" i="23"/>
  <c r="Q458" i="23"/>
  <c r="Q459" i="23"/>
  <c r="Q460" i="23"/>
  <c r="Q461" i="23"/>
  <c r="Q462" i="23"/>
  <c r="Q463" i="23"/>
  <c r="Q464" i="23"/>
  <c r="Q465" i="23"/>
  <c r="Q466" i="23"/>
  <c r="Q467" i="23"/>
  <c r="Q468" i="23"/>
  <c r="Q469" i="23"/>
  <c r="Q470" i="23"/>
  <c r="Q471" i="23"/>
  <c r="Q472" i="23"/>
  <c r="Q473" i="23"/>
  <c r="Q474" i="23"/>
  <c r="Q475" i="23"/>
  <c r="Q476" i="23"/>
  <c r="Q477" i="23"/>
  <c r="Q478" i="23"/>
  <c r="Q479" i="23"/>
  <c r="Q480" i="23"/>
  <c r="Q481" i="23"/>
  <c r="Q482" i="23"/>
  <c r="Q483" i="23"/>
  <c r="Q484" i="23"/>
  <c r="Q485" i="23"/>
  <c r="Q486" i="23"/>
  <c r="Q487" i="23"/>
  <c r="Q488" i="23"/>
  <c r="Q489" i="23"/>
  <c r="Q490" i="23"/>
  <c r="Q491" i="23"/>
  <c r="Q492" i="23"/>
  <c r="Q493" i="23"/>
  <c r="Q494" i="23"/>
  <c r="Q495" i="23"/>
  <c r="Q496" i="23"/>
  <c r="Q497" i="23"/>
  <c r="Q498" i="23"/>
  <c r="Q499" i="23"/>
  <c r="Q500" i="23"/>
  <c r="Q501" i="23"/>
  <c r="Q502" i="23"/>
  <c r="Q503" i="23"/>
  <c r="Q504" i="23"/>
  <c r="Q505" i="23"/>
  <c r="Q506" i="23"/>
  <c r="Q507" i="23"/>
  <c r="Q508" i="23"/>
  <c r="Q509" i="23"/>
  <c r="Q510" i="23"/>
  <c r="Q511" i="23"/>
  <c r="Q512" i="23"/>
  <c r="Q513" i="23"/>
  <c r="Q514" i="23"/>
  <c r="Q515" i="23"/>
  <c r="Q516" i="23"/>
  <c r="Q517" i="23"/>
  <c r="Q518" i="23"/>
  <c r="Q519" i="23"/>
  <c r="Q520" i="23"/>
  <c r="Q521" i="23"/>
  <c r="Q522" i="23"/>
  <c r="Q523" i="23"/>
  <c r="Q524" i="23"/>
  <c r="Q525" i="23"/>
  <c r="Q526" i="23"/>
  <c r="Q527" i="23"/>
  <c r="Q528" i="23"/>
  <c r="Q529" i="23"/>
  <c r="Q530" i="23"/>
  <c r="Q531" i="23"/>
  <c r="Q532" i="23"/>
  <c r="Q533" i="23"/>
  <c r="Q534" i="23"/>
  <c r="Q535" i="23"/>
  <c r="Q536" i="23"/>
  <c r="Q537" i="23"/>
  <c r="Q538" i="23"/>
  <c r="Q539" i="23"/>
  <c r="Q540" i="23"/>
  <c r="Q541" i="23"/>
  <c r="Q542" i="23"/>
  <c r="Q543" i="23"/>
  <c r="Q544" i="23"/>
  <c r="Q545" i="23"/>
  <c r="Q546" i="23"/>
  <c r="Q547" i="23"/>
  <c r="Q548" i="23"/>
  <c r="Q549" i="23"/>
  <c r="Q550" i="23"/>
  <c r="Q551" i="23"/>
  <c r="Q552" i="23"/>
  <c r="Q553" i="23"/>
  <c r="Q554" i="23"/>
  <c r="Q555" i="23"/>
  <c r="Q556" i="23"/>
  <c r="Q557" i="23"/>
  <c r="Q558" i="23"/>
  <c r="Q559" i="23"/>
  <c r="Q560" i="23"/>
  <c r="Q561" i="23"/>
  <c r="Q562" i="23"/>
  <c r="Q563" i="23"/>
  <c r="Q564" i="23"/>
  <c r="Q565" i="23"/>
  <c r="Q566" i="23"/>
  <c r="Q567" i="23"/>
  <c r="Q568" i="23"/>
  <c r="Q569" i="23"/>
  <c r="Q570" i="23"/>
  <c r="Q571" i="23"/>
  <c r="Q572" i="23"/>
  <c r="Q573" i="23"/>
  <c r="Q574" i="23"/>
  <c r="Q575" i="23"/>
  <c r="Q576" i="23"/>
  <c r="Q577" i="23"/>
  <c r="Q578" i="23"/>
  <c r="Q579" i="23"/>
  <c r="Q580" i="23"/>
  <c r="Q581" i="23"/>
  <c r="Q582" i="23"/>
  <c r="Q583" i="23"/>
  <c r="Q584" i="23"/>
  <c r="Q585" i="23"/>
  <c r="Q586" i="23"/>
  <c r="Q587" i="23"/>
  <c r="Q588" i="23"/>
  <c r="Q589" i="23"/>
  <c r="Q590" i="23"/>
  <c r="Q591" i="23"/>
  <c r="Q592" i="23"/>
  <c r="Q593" i="23"/>
  <c r="Q594" i="23"/>
  <c r="Q595" i="23"/>
  <c r="Q596" i="23"/>
  <c r="Q597" i="23"/>
  <c r="Q598" i="23"/>
  <c r="Q599" i="23"/>
  <c r="Q600" i="23"/>
  <c r="Q601" i="23"/>
  <c r="Q602" i="23"/>
  <c r="Q603" i="23"/>
  <c r="Q604" i="23"/>
  <c r="Q605" i="23"/>
  <c r="Q606" i="23"/>
  <c r="Q607" i="23"/>
  <c r="Q608" i="23"/>
  <c r="Q609" i="23"/>
  <c r="Q610" i="23"/>
  <c r="Q611" i="23"/>
  <c r="Q612" i="23"/>
  <c r="Q613" i="23"/>
  <c r="Q614" i="23"/>
  <c r="Q615" i="23"/>
  <c r="Q616" i="23"/>
  <c r="Q617" i="23"/>
  <c r="Q618" i="23"/>
  <c r="Q619" i="23"/>
  <c r="Q620" i="23"/>
  <c r="Q621" i="23"/>
  <c r="Q622" i="23"/>
  <c r="Q623" i="23"/>
  <c r="Q624" i="23"/>
  <c r="Q625" i="23"/>
  <c r="Q626" i="23"/>
  <c r="Q627" i="23"/>
  <c r="Q628" i="23"/>
  <c r="Q629" i="23"/>
  <c r="Q630" i="23"/>
  <c r="Q631" i="23"/>
  <c r="Q632" i="23"/>
  <c r="Q633" i="23"/>
  <c r="Q634" i="23"/>
  <c r="Q635" i="23"/>
  <c r="Q636" i="23"/>
  <c r="Q637" i="23"/>
  <c r="Q638" i="23"/>
  <c r="Q639" i="23"/>
  <c r="Q640" i="23"/>
  <c r="Q641" i="23"/>
  <c r="Q642" i="23"/>
  <c r="Q643" i="23"/>
  <c r="Q644" i="23"/>
  <c r="Q645" i="23"/>
  <c r="Q646" i="23"/>
  <c r="Q647" i="23"/>
  <c r="Q648" i="23"/>
  <c r="Q649" i="23"/>
  <c r="Q650" i="23"/>
  <c r="Q651" i="23"/>
  <c r="Q652" i="23"/>
  <c r="Q653" i="23"/>
  <c r="Q654" i="23"/>
  <c r="Q655" i="23"/>
  <c r="Q656" i="23"/>
  <c r="Q657" i="23"/>
  <c r="Q658" i="23"/>
  <c r="Q659" i="23"/>
  <c r="Q660" i="23"/>
  <c r="Q661" i="23"/>
  <c r="Q662" i="23"/>
  <c r="Q663" i="23"/>
  <c r="Q664" i="23"/>
  <c r="Q665" i="23"/>
  <c r="Q666" i="23"/>
  <c r="Q667" i="23"/>
  <c r="Q668" i="23"/>
  <c r="Q669" i="23"/>
  <c r="Q670" i="23"/>
  <c r="Q671" i="23"/>
  <c r="Q672" i="23"/>
  <c r="Q673" i="23"/>
  <c r="Q674" i="23"/>
  <c r="Q675" i="23"/>
  <c r="Q676" i="23"/>
  <c r="Q677" i="23"/>
  <c r="Q678" i="23"/>
  <c r="Q679" i="23"/>
  <c r="Q680" i="23"/>
  <c r="Q681" i="23"/>
  <c r="Q682" i="23"/>
  <c r="Q683" i="23"/>
  <c r="Q684" i="23"/>
  <c r="Q685" i="23"/>
  <c r="Q686" i="23"/>
  <c r="Q687" i="23"/>
  <c r="Q688" i="23"/>
  <c r="Q689" i="23"/>
  <c r="Q690" i="23"/>
  <c r="Q691" i="23"/>
  <c r="Q692" i="23"/>
  <c r="Q693" i="23"/>
  <c r="Q694" i="23"/>
  <c r="Q695" i="23"/>
  <c r="Q696" i="23"/>
  <c r="Q697" i="23"/>
  <c r="Q698" i="23"/>
  <c r="Q699" i="23"/>
  <c r="Q700" i="23"/>
  <c r="Q701" i="23"/>
  <c r="Q702" i="23"/>
  <c r="Q703" i="23"/>
  <c r="Q704" i="23"/>
  <c r="Q705" i="23"/>
  <c r="Q706" i="23"/>
  <c r="Q707" i="23"/>
  <c r="Q708" i="23"/>
  <c r="Q709" i="23"/>
  <c r="Q710" i="23"/>
  <c r="Q711" i="23"/>
  <c r="Q712" i="23"/>
  <c r="Q713" i="23"/>
  <c r="Q714" i="23"/>
  <c r="Q715" i="23"/>
  <c r="Q716" i="23"/>
  <c r="Q717" i="23"/>
  <c r="Q718" i="23"/>
  <c r="Q719" i="23"/>
  <c r="Q720" i="23"/>
  <c r="Q721" i="23"/>
  <c r="Q722" i="23"/>
  <c r="Q723" i="23"/>
  <c r="Q724" i="23"/>
  <c r="Q725" i="23"/>
  <c r="Q726" i="23"/>
  <c r="Q727" i="23"/>
  <c r="Q728" i="23"/>
  <c r="Q729" i="23"/>
  <c r="Q730" i="23"/>
  <c r="Q731" i="23"/>
  <c r="Q732" i="23"/>
  <c r="Q733" i="23"/>
  <c r="Q734" i="23"/>
  <c r="Q735" i="23"/>
  <c r="Q736" i="23"/>
  <c r="Q737" i="23"/>
  <c r="Q738" i="23"/>
  <c r="Q739" i="23"/>
  <c r="Q740" i="23"/>
  <c r="Q741" i="23"/>
  <c r="Q742" i="23"/>
  <c r="Q743" i="23"/>
  <c r="Q744" i="23"/>
  <c r="Q745" i="23"/>
  <c r="Q746" i="23"/>
  <c r="Q747" i="23"/>
  <c r="Q748" i="23"/>
  <c r="Q749" i="23"/>
  <c r="Q750" i="23"/>
  <c r="Q751" i="23"/>
  <c r="Q752" i="23"/>
  <c r="Q753" i="23"/>
  <c r="Q754" i="23"/>
  <c r="Q755" i="23"/>
  <c r="Q756" i="23"/>
  <c r="Q757" i="23"/>
  <c r="Q758" i="23"/>
  <c r="Q759" i="23"/>
  <c r="Q760" i="23"/>
  <c r="Q761" i="23"/>
  <c r="Q762" i="23"/>
  <c r="Q763" i="23"/>
  <c r="Q764" i="23"/>
  <c r="Q765" i="23"/>
  <c r="Q766" i="23"/>
  <c r="Q767" i="23"/>
  <c r="Q768" i="23"/>
  <c r="Q769" i="23"/>
  <c r="Q770" i="23"/>
  <c r="Q771" i="23"/>
  <c r="Q772" i="23"/>
  <c r="Q773" i="23"/>
  <c r="Q774" i="23"/>
  <c r="Q775" i="23"/>
  <c r="Q776" i="23"/>
  <c r="Q777" i="23"/>
  <c r="Q778" i="23"/>
  <c r="Q779" i="23"/>
  <c r="Q780" i="23"/>
  <c r="Q781" i="23"/>
  <c r="Q782" i="23"/>
  <c r="Q783" i="23"/>
  <c r="Q784" i="23"/>
  <c r="Q785" i="23"/>
  <c r="Q786" i="23"/>
  <c r="Q787" i="23"/>
  <c r="Q788" i="23"/>
  <c r="Q789" i="23"/>
  <c r="Q790" i="23"/>
  <c r="Q791" i="23"/>
  <c r="Q792" i="23"/>
  <c r="Q793" i="23"/>
  <c r="Q794" i="23"/>
  <c r="Q795" i="23"/>
  <c r="Q796" i="23"/>
  <c r="Q797" i="23"/>
  <c r="Q798" i="23"/>
  <c r="Q799" i="23"/>
  <c r="Q800" i="23"/>
  <c r="Q801" i="23"/>
  <c r="Q802" i="23"/>
  <c r="Q803" i="23"/>
  <c r="Q804" i="23"/>
  <c r="Q805" i="23"/>
  <c r="Q806" i="23"/>
  <c r="Q807" i="23"/>
  <c r="Q808" i="23"/>
  <c r="Q809" i="23"/>
  <c r="Q810" i="23"/>
  <c r="Q811" i="23"/>
  <c r="Q812" i="23"/>
  <c r="Q813" i="23"/>
  <c r="Q814" i="23"/>
  <c r="Q815" i="23"/>
  <c r="Q816" i="23"/>
  <c r="Q817" i="23"/>
  <c r="Q818" i="23"/>
  <c r="Q819" i="23"/>
  <c r="Q820" i="23"/>
  <c r="Q821" i="23"/>
  <c r="Q822" i="23"/>
  <c r="Q823" i="23"/>
  <c r="Q824" i="23"/>
  <c r="Q825" i="23"/>
  <c r="Q826" i="23"/>
  <c r="Q827" i="23"/>
  <c r="Q828" i="23"/>
  <c r="Q829" i="23"/>
  <c r="Q830" i="23"/>
  <c r="Q831" i="23"/>
  <c r="Q832" i="23"/>
  <c r="Q833" i="23"/>
  <c r="Q834" i="23"/>
  <c r="Q835" i="23"/>
  <c r="Q836" i="23"/>
  <c r="Q837" i="23"/>
  <c r="Q838" i="23"/>
  <c r="Q839" i="23"/>
  <c r="Q840" i="23"/>
  <c r="Q841" i="23"/>
  <c r="Q842" i="23"/>
  <c r="Q843" i="23"/>
  <c r="Q844" i="23"/>
  <c r="Q845" i="23"/>
  <c r="Q846" i="23"/>
  <c r="Q847" i="23"/>
  <c r="Q848" i="23"/>
  <c r="Q849" i="23"/>
  <c r="Q850" i="23"/>
  <c r="Q851" i="23"/>
  <c r="Q852" i="23"/>
  <c r="Q853" i="23"/>
  <c r="Q854" i="23"/>
  <c r="Q855" i="23"/>
  <c r="Q856" i="23"/>
  <c r="Q857" i="23"/>
  <c r="Q858" i="23"/>
  <c r="Q859" i="23"/>
  <c r="Q860" i="23"/>
  <c r="Q861" i="23"/>
  <c r="Q862" i="23"/>
  <c r="Q863" i="23"/>
  <c r="Q864" i="23"/>
  <c r="Q865" i="23"/>
  <c r="Q866" i="23"/>
  <c r="Q867" i="23"/>
  <c r="Q868" i="23"/>
  <c r="Q869" i="23"/>
  <c r="Q870" i="23"/>
  <c r="Q871" i="23"/>
  <c r="Q872" i="23"/>
  <c r="Q873" i="23"/>
  <c r="Q874" i="23"/>
  <c r="Q875" i="23"/>
  <c r="Q876" i="23"/>
  <c r="Q877" i="23"/>
  <c r="Q878" i="23"/>
  <c r="Q879" i="23"/>
  <c r="Q880" i="23"/>
  <c r="Q881" i="23"/>
  <c r="Q882" i="23"/>
  <c r="Q883" i="23"/>
  <c r="Q884" i="23"/>
  <c r="Q885" i="23"/>
  <c r="Q886" i="23"/>
  <c r="Q887" i="23"/>
  <c r="Q888" i="23"/>
  <c r="Q889" i="23"/>
  <c r="Q890" i="23"/>
  <c r="Q891" i="23"/>
  <c r="Q892" i="23"/>
  <c r="Q893" i="23"/>
  <c r="Q894" i="23"/>
  <c r="Q895" i="23"/>
  <c r="Q896" i="23"/>
  <c r="Q897" i="23"/>
  <c r="Q898" i="23"/>
  <c r="Q899" i="23"/>
  <c r="Q900" i="23"/>
  <c r="Q901" i="23"/>
  <c r="Q902" i="23"/>
  <c r="Q903" i="23"/>
  <c r="Q904" i="23"/>
  <c r="Q905" i="23"/>
  <c r="Q906" i="23"/>
  <c r="Q907" i="23"/>
  <c r="Q908" i="23"/>
  <c r="Q909" i="23"/>
  <c r="Q910" i="23"/>
  <c r="Q911" i="23"/>
  <c r="Q912" i="23"/>
  <c r="Q913" i="23"/>
  <c r="Q914" i="23"/>
  <c r="Q915" i="23"/>
  <c r="Q916" i="23"/>
  <c r="Q917" i="23"/>
  <c r="Q918" i="23"/>
  <c r="Q919" i="23"/>
  <c r="Q920" i="23"/>
  <c r="Q921" i="23"/>
  <c r="Q922" i="23"/>
  <c r="Q923" i="23"/>
  <c r="Q924" i="23"/>
  <c r="Q925" i="23"/>
  <c r="Q926" i="23"/>
  <c r="Q927" i="23"/>
  <c r="Q928" i="23"/>
  <c r="Q929" i="23"/>
  <c r="Q930" i="23"/>
  <c r="Q931" i="23"/>
  <c r="Q932" i="23"/>
  <c r="Q933" i="23"/>
  <c r="Q934" i="23"/>
  <c r="Q935" i="23"/>
  <c r="Q936" i="23"/>
  <c r="Q937" i="23"/>
  <c r="Q938" i="23"/>
  <c r="Q939" i="23"/>
  <c r="Q940" i="23"/>
  <c r="Q941" i="23"/>
  <c r="Q942" i="23"/>
  <c r="Q943" i="23"/>
  <c r="Q944" i="23"/>
  <c r="Q945" i="23"/>
  <c r="Q946" i="23"/>
  <c r="Q947" i="23"/>
  <c r="Q948" i="23"/>
  <c r="Q949" i="23"/>
  <c r="Q950" i="23"/>
  <c r="Q951" i="23"/>
  <c r="Q952" i="23"/>
  <c r="Q953" i="23"/>
  <c r="Q954" i="23"/>
  <c r="Q955" i="23"/>
  <c r="Q956" i="23"/>
  <c r="Q957" i="23"/>
  <c r="Q958" i="23"/>
  <c r="Q959" i="23"/>
  <c r="Q960" i="23"/>
  <c r="Q961" i="23"/>
  <c r="Q962" i="23"/>
  <c r="Q963" i="23"/>
  <c r="Q964" i="23"/>
  <c r="Q965" i="23"/>
  <c r="Q966" i="23"/>
  <c r="Q967" i="23"/>
  <c r="Q968" i="23"/>
  <c r="Q969" i="23"/>
  <c r="Q970" i="23"/>
  <c r="Q971" i="23"/>
  <c r="Q972" i="23"/>
  <c r="Q973" i="23"/>
  <c r="Q974" i="23"/>
  <c r="Q975" i="23"/>
  <c r="Q976" i="23"/>
  <c r="Q977" i="23"/>
  <c r="Q978" i="23"/>
  <c r="Q979" i="23"/>
  <c r="Q980" i="23"/>
  <c r="Q981" i="23"/>
  <c r="Q982" i="23"/>
  <c r="Q983" i="23"/>
  <c r="Q984" i="23"/>
  <c r="Q985" i="23"/>
  <c r="Q986" i="23"/>
  <c r="Q987" i="23"/>
  <c r="Q988" i="23"/>
  <c r="Q989" i="23"/>
  <c r="Q990" i="23"/>
  <c r="Q991" i="23"/>
  <c r="Q992" i="23"/>
  <c r="Q993" i="23"/>
  <c r="Q994" i="23"/>
  <c r="Q995" i="23"/>
  <c r="Q996" i="23"/>
  <c r="Q997" i="23"/>
  <c r="Q998" i="23"/>
  <c r="Q999" i="23"/>
  <c r="Q1000" i="23"/>
  <c r="Q1001" i="23"/>
  <c r="Q1002" i="23"/>
  <c r="Q1003" i="23"/>
  <c r="Q1004" i="23"/>
  <c r="Q1005" i="23"/>
  <c r="Q1006" i="23"/>
  <c r="Q1007" i="23"/>
  <c r="Q1008" i="23"/>
  <c r="Q1009" i="23"/>
  <c r="Q1010" i="23"/>
  <c r="Q1011" i="23"/>
  <c r="Q1012" i="23"/>
  <c r="Q1013" i="23"/>
  <c r="Q1014" i="23"/>
  <c r="Q1015" i="23"/>
  <c r="Q1016" i="23"/>
  <c r="Q1017" i="23"/>
  <c r="Q1018" i="23"/>
  <c r="Q1019" i="23"/>
  <c r="Q1020" i="23"/>
  <c r="Q1021" i="23"/>
  <c r="Q1022" i="23"/>
  <c r="Q1023" i="23"/>
  <c r="Q1024" i="23"/>
  <c r="Q1025" i="23"/>
  <c r="Q1026" i="23"/>
  <c r="Q1027" i="23"/>
  <c r="Q1028" i="23"/>
  <c r="Q1029" i="23"/>
  <c r="Q1030" i="23"/>
  <c r="Q1031" i="23"/>
  <c r="Q1032" i="23"/>
  <c r="Q1033" i="23"/>
  <c r="Q1034" i="23"/>
  <c r="Q1035" i="23"/>
  <c r="Q1036" i="23"/>
  <c r="Q1037" i="23"/>
  <c r="Q1038" i="23"/>
  <c r="Q1039" i="23"/>
  <c r="Q1040" i="23"/>
  <c r="Q1041" i="23"/>
  <c r="Q1042" i="23"/>
  <c r="Q1043" i="23"/>
  <c r="Q1044" i="23"/>
  <c r="Q1045" i="23"/>
  <c r="Q1046" i="23"/>
  <c r="Q1047" i="23"/>
  <c r="Q1048" i="23"/>
  <c r="Q1049" i="23"/>
  <c r="Q1050" i="23"/>
  <c r="Q1051" i="23"/>
  <c r="Q1052" i="23"/>
  <c r="Q1053" i="23"/>
  <c r="Q1054" i="23"/>
  <c r="Q1055" i="23"/>
  <c r="Q1056" i="23"/>
  <c r="Q1057" i="23"/>
  <c r="Q1058" i="23"/>
  <c r="Q1059" i="23"/>
  <c r="Q1060" i="23"/>
  <c r="Q1061" i="23"/>
  <c r="Q1062" i="23"/>
  <c r="Q1063" i="23"/>
  <c r="Q1064" i="23"/>
  <c r="Q1065" i="23"/>
  <c r="Q1066" i="23"/>
  <c r="Q1067" i="23"/>
  <c r="Q1068" i="23"/>
  <c r="Q1069" i="23"/>
  <c r="Q1070" i="23"/>
  <c r="Q1071" i="23"/>
  <c r="Q1072" i="23"/>
  <c r="Q1073" i="23"/>
  <c r="Q1074" i="23"/>
  <c r="Q1075" i="23"/>
  <c r="Q1076" i="23"/>
  <c r="Q1077" i="23"/>
  <c r="Q1078" i="23"/>
  <c r="Q1079" i="23"/>
  <c r="Q1080" i="23"/>
  <c r="Q1081" i="23"/>
  <c r="Q1082" i="23"/>
  <c r="Q1083" i="23"/>
  <c r="Q1084" i="23"/>
  <c r="Q1085" i="23"/>
  <c r="Q1086" i="23"/>
  <c r="Q1087" i="23"/>
  <c r="Q1088" i="23"/>
  <c r="Q1089" i="23"/>
  <c r="Q1090" i="23"/>
  <c r="Q1091" i="23"/>
  <c r="Q1092" i="23"/>
  <c r="Q1093" i="23"/>
  <c r="Q1094" i="23"/>
  <c r="Q1095" i="23"/>
  <c r="Q1096" i="23"/>
  <c r="Q1097" i="23"/>
  <c r="Q1098" i="23"/>
  <c r="Q1099" i="23"/>
  <c r="Q1100" i="23"/>
  <c r="Q1101" i="23"/>
  <c r="Q1102" i="23"/>
  <c r="Q1103" i="23"/>
  <c r="Q1104" i="23"/>
  <c r="Q1105" i="23"/>
  <c r="Q1106" i="23"/>
  <c r="Q1107" i="23"/>
  <c r="Q1108" i="23"/>
  <c r="Q1109" i="23"/>
  <c r="Q1110" i="23"/>
  <c r="Q1111" i="23"/>
  <c r="Q1112" i="23"/>
  <c r="Q1113" i="23"/>
  <c r="Q1114" i="23"/>
  <c r="Q1115" i="23"/>
  <c r="Q1116" i="23"/>
  <c r="Q1117" i="23"/>
  <c r="Q1118" i="23"/>
  <c r="Q1119" i="23"/>
  <c r="Q1120" i="23"/>
  <c r="Q1121" i="23"/>
  <c r="Q1122" i="23"/>
  <c r="Q1123" i="23"/>
  <c r="Q1124" i="23"/>
  <c r="Q1125" i="23"/>
  <c r="Q1126" i="23"/>
  <c r="Q1127" i="23"/>
  <c r="Q1128" i="23"/>
  <c r="Q1129" i="23"/>
  <c r="Q1130" i="23"/>
  <c r="Q1131" i="23"/>
  <c r="Q1132" i="23"/>
  <c r="Q1133" i="23"/>
  <c r="Q1134" i="23"/>
  <c r="Q1135" i="23"/>
  <c r="Q1136" i="23"/>
  <c r="Q1137" i="23"/>
  <c r="Q1138" i="23"/>
  <c r="Q1139" i="23"/>
  <c r="Q1140" i="23"/>
  <c r="Q1141" i="23"/>
  <c r="Q1142" i="23"/>
  <c r="Q1143" i="23"/>
  <c r="Q1144" i="23"/>
  <c r="Q1145" i="23"/>
  <c r="Q1146" i="23"/>
  <c r="Q1147" i="23"/>
  <c r="Q1148" i="23"/>
  <c r="Q1149" i="23"/>
  <c r="Q1150" i="23"/>
  <c r="Q1151" i="23"/>
  <c r="Q1152" i="23"/>
  <c r="Q1153" i="23"/>
  <c r="Q1154" i="23"/>
  <c r="Q1155" i="23"/>
  <c r="Q1156" i="23"/>
  <c r="Q1157" i="23"/>
  <c r="Q1158" i="23"/>
  <c r="Q1159" i="23"/>
  <c r="Q1160" i="23"/>
  <c r="Q1161" i="23"/>
  <c r="Q1162" i="23"/>
  <c r="Q1163" i="23"/>
  <c r="Q1164" i="23"/>
  <c r="Q1165" i="23"/>
  <c r="Q1166" i="23"/>
  <c r="Q1167" i="23"/>
  <c r="Q1168" i="23"/>
  <c r="Q1169" i="23"/>
  <c r="Q1170" i="23"/>
  <c r="Q1171" i="23"/>
  <c r="Q1172" i="23"/>
  <c r="Q1173" i="23"/>
  <c r="Q1174" i="23"/>
  <c r="Q1175" i="23"/>
  <c r="Q1176" i="23"/>
  <c r="Q1177" i="23"/>
  <c r="Q1178" i="23"/>
  <c r="Q1179" i="23"/>
  <c r="Q1180" i="23"/>
  <c r="Q1181" i="23"/>
  <c r="Q1182" i="23"/>
  <c r="Q1183" i="23"/>
  <c r="Q1184" i="23"/>
  <c r="Q1185" i="23"/>
  <c r="Q1186" i="23"/>
  <c r="Q1187" i="23"/>
  <c r="Q1188" i="23"/>
  <c r="Q1189" i="23"/>
  <c r="Q1190" i="23"/>
  <c r="Q1191" i="23"/>
  <c r="Q1192" i="23"/>
  <c r="Q1193" i="23"/>
  <c r="Q1194" i="23"/>
  <c r="Q1195" i="23"/>
  <c r="Q1196" i="23"/>
  <c r="Q1197" i="23"/>
  <c r="Q1198" i="23"/>
  <c r="Q1199" i="23"/>
  <c r="Q1200" i="23"/>
  <c r="Q1201" i="23"/>
  <c r="Q1202" i="23"/>
  <c r="Q1203" i="23"/>
  <c r="Q1204" i="23"/>
  <c r="Q1205" i="23"/>
  <c r="Q1206" i="23"/>
  <c r="Q1207" i="23"/>
  <c r="Q1208" i="23"/>
  <c r="Q1209" i="23"/>
  <c r="Q1210" i="23"/>
  <c r="Q1211" i="23"/>
  <c r="Q1212" i="23"/>
  <c r="Q1213" i="23"/>
  <c r="Q1214" i="23"/>
  <c r="Q1215" i="23"/>
  <c r="Q1216" i="23"/>
  <c r="Q1217" i="23"/>
  <c r="Q1218" i="23"/>
  <c r="Q1219" i="23"/>
  <c r="Q1220" i="23"/>
  <c r="Q1221" i="23"/>
  <c r="Q1222" i="23"/>
  <c r="Q1223" i="23"/>
  <c r="Q1224" i="23"/>
  <c r="Q1225" i="23"/>
  <c r="Q1226" i="23"/>
  <c r="Q1227" i="23"/>
  <c r="Q1228" i="23"/>
  <c r="Q1229" i="23"/>
  <c r="Q1230" i="23"/>
  <c r="Q1231" i="23"/>
  <c r="Q1232" i="23"/>
  <c r="Q1233" i="23"/>
  <c r="Q1234" i="23"/>
  <c r="Q1235" i="23"/>
  <c r="Q1236" i="23"/>
  <c r="Q1237" i="23"/>
  <c r="Q1238" i="23"/>
  <c r="Q1239" i="23"/>
  <c r="Q1240" i="23"/>
  <c r="Q1241" i="23"/>
  <c r="Q1242" i="23"/>
  <c r="Q1243" i="23"/>
  <c r="Q1244" i="23"/>
  <c r="Q1245" i="23"/>
  <c r="Q1246" i="23"/>
  <c r="Q1247" i="23"/>
  <c r="Q1248" i="23"/>
  <c r="Q1249" i="23"/>
  <c r="Q1250" i="23"/>
  <c r="Q1251" i="23"/>
  <c r="Q1252" i="23"/>
  <c r="Q1253" i="23"/>
  <c r="Q1254" i="23"/>
  <c r="Q1255" i="23"/>
  <c r="Q1256" i="23"/>
  <c r="Q1257" i="23"/>
  <c r="Q1258" i="23"/>
  <c r="Q1259" i="23"/>
  <c r="Q1260" i="23"/>
  <c r="Q1261" i="23"/>
  <c r="Q1262" i="23"/>
  <c r="Q1263" i="23"/>
  <c r="Q1264" i="23"/>
  <c r="Q1265" i="23"/>
  <c r="Q1266" i="23"/>
  <c r="Q1267" i="23"/>
  <c r="Q1268" i="23"/>
  <c r="Q1269" i="23"/>
  <c r="Q1270" i="23"/>
  <c r="Q1271" i="23"/>
  <c r="Q1272" i="23"/>
  <c r="Q1273" i="23"/>
  <c r="Q1274" i="23"/>
  <c r="Q1275" i="23"/>
  <c r="Q1276" i="23"/>
  <c r="Q1277" i="23"/>
  <c r="Q1278" i="23"/>
  <c r="Q1279" i="23"/>
  <c r="Q1280" i="23"/>
  <c r="Q1281" i="23"/>
  <c r="Q1282" i="23"/>
  <c r="Q1283" i="23"/>
  <c r="Q1284" i="23"/>
  <c r="Q1285" i="23"/>
  <c r="Q1286" i="23"/>
  <c r="Q1287" i="23"/>
  <c r="Q1288" i="23"/>
  <c r="Q1289" i="23"/>
  <c r="Q1290" i="23"/>
  <c r="Q1291" i="23"/>
  <c r="Q1292" i="23"/>
  <c r="Q1293" i="23"/>
  <c r="Q1294" i="23"/>
  <c r="Q1295" i="23"/>
  <c r="Q1296" i="23"/>
  <c r="Q1297" i="23"/>
  <c r="Q1298" i="23"/>
  <c r="Q1299" i="23"/>
  <c r="Q1300" i="23"/>
  <c r="Q1301" i="23"/>
  <c r="Q1302" i="23"/>
  <c r="Q1303" i="23"/>
  <c r="Q1304" i="23"/>
  <c r="Q1305" i="23"/>
  <c r="Q1306" i="23"/>
  <c r="Q1307" i="23"/>
  <c r="Q1308" i="23"/>
  <c r="Q1309" i="23"/>
  <c r="Q1310" i="23"/>
  <c r="Q1311" i="23"/>
  <c r="Q1312" i="23"/>
  <c r="Q1313" i="23"/>
  <c r="Q1314" i="23"/>
  <c r="Q1315" i="23"/>
  <c r="Q1316" i="23"/>
  <c r="Q1317" i="23"/>
  <c r="Q1318" i="23"/>
  <c r="Q1319" i="23"/>
  <c r="Q1320" i="23"/>
  <c r="Q1321" i="23"/>
  <c r="Q1322" i="23"/>
  <c r="Q1323" i="23"/>
  <c r="Q1324" i="23"/>
  <c r="Q1325" i="23"/>
  <c r="Q1326" i="23"/>
  <c r="Q1327" i="23"/>
  <c r="Q1328" i="23"/>
  <c r="Q1329" i="23"/>
  <c r="Q1330" i="23"/>
  <c r="Q1331" i="23"/>
  <c r="Q1332" i="23"/>
  <c r="Q1333" i="23"/>
  <c r="Q1334" i="23"/>
  <c r="Q1335" i="23"/>
  <c r="Q1336" i="23"/>
  <c r="Q1337" i="23"/>
  <c r="Q1338" i="23"/>
  <c r="Q1339" i="23"/>
  <c r="Q1340" i="23"/>
  <c r="Q1341" i="23"/>
  <c r="Q1342" i="23"/>
  <c r="Q1343" i="23"/>
  <c r="Q1344" i="23"/>
  <c r="Q1345" i="23"/>
  <c r="Q1346" i="23"/>
  <c r="Q1347" i="23"/>
  <c r="Q1348" i="23"/>
  <c r="Q1349" i="23"/>
  <c r="Q1350" i="23"/>
  <c r="Q1351" i="23"/>
  <c r="Q1352" i="23"/>
  <c r="Q1353" i="23"/>
  <c r="Q1354" i="23"/>
  <c r="Q1355" i="23"/>
  <c r="Q1356" i="23"/>
  <c r="Q1357" i="23"/>
  <c r="Q1358" i="23"/>
  <c r="Q1359" i="23"/>
  <c r="Q1360" i="23"/>
  <c r="Q1361" i="23"/>
  <c r="Q1362" i="23"/>
  <c r="Q1363" i="23"/>
  <c r="Q1364" i="23"/>
  <c r="Q1365" i="23"/>
  <c r="Q1366" i="23"/>
  <c r="Q1367" i="23"/>
  <c r="Q1368" i="23"/>
  <c r="Q1369" i="23"/>
  <c r="Q1370" i="23"/>
  <c r="Q1371" i="23"/>
  <c r="Q1372" i="23"/>
  <c r="Q1373" i="23"/>
  <c r="Q1374" i="23"/>
  <c r="Q1375" i="23"/>
  <c r="Q1376" i="23"/>
  <c r="Q1377" i="23"/>
  <c r="Q1378" i="23"/>
  <c r="Q1379" i="23"/>
  <c r="Q1380" i="23"/>
  <c r="Q1381" i="23"/>
  <c r="Q1382" i="23"/>
  <c r="Q1383" i="23"/>
  <c r="Q1384" i="23"/>
  <c r="Q1385" i="23"/>
  <c r="Q1386" i="23"/>
  <c r="Q1387" i="23"/>
  <c r="Q1388" i="23"/>
  <c r="Q1389" i="23"/>
  <c r="Q1390" i="23"/>
  <c r="Q1391" i="23"/>
  <c r="Q1392" i="23"/>
  <c r="Q1393" i="23"/>
  <c r="Q1394" i="23"/>
  <c r="Q1395" i="23"/>
  <c r="Q1396" i="23"/>
  <c r="Q1397" i="23"/>
  <c r="Q1398" i="23"/>
  <c r="Q1399" i="23"/>
  <c r="Q1400" i="23"/>
  <c r="Q1401" i="23"/>
  <c r="Q1402" i="23"/>
  <c r="Q1403" i="23"/>
  <c r="Q1404" i="23"/>
  <c r="Q1405" i="23"/>
  <c r="Q1406" i="23"/>
  <c r="Q1407" i="23"/>
  <c r="Q1408" i="23"/>
  <c r="Q1409" i="23"/>
  <c r="Q1410" i="23"/>
  <c r="Q1411" i="23"/>
  <c r="Q1412" i="23"/>
  <c r="Q1413" i="23"/>
  <c r="Q1414" i="23"/>
  <c r="Q1415" i="23"/>
  <c r="Q1416" i="23"/>
  <c r="Q1417" i="23"/>
  <c r="Q1418" i="23"/>
  <c r="Q1419" i="23"/>
  <c r="Q1420" i="23"/>
  <c r="Q1421" i="23"/>
  <c r="Q1422" i="23"/>
  <c r="Q1423" i="23"/>
  <c r="Q1424" i="23"/>
  <c r="Q1425" i="23"/>
  <c r="Q1426" i="23"/>
  <c r="Q1427" i="23"/>
  <c r="Q1428" i="23"/>
  <c r="Q1429" i="23"/>
  <c r="Q1430" i="23"/>
  <c r="Q1431" i="23"/>
  <c r="Q1432" i="23"/>
  <c r="Q1433" i="23"/>
  <c r="Q1434" i="23"/>
  <c r="Q1435" i="23"/>
  <c r="Q1436" i="23"/>
  <c r="Q1437" i="23"/>
  <c r="Q1438" i="23"/>
  <c r="Q1439" i="23"/>
  <c r="Q1440" i="23"/>
  <c r="Q1441" i="23"/>
  <c r="Q1442" i="23"/>
  <c r="Q1443" i="23"/>
  <c r="Q1444" i="23"/>
  <c r="Q1445" i="23"/>
  <c r="Q1446" i="23"/>
  <c r="Q1447" i="23"/>
  <c r="Q1448" i="23"/>
  <c r="Q1449" i="23"/>
  <c r="Q1450" i="23"/>
  <c r="Q1451" i="23"/>
  <c r="Q1452" i="23"/>
  <c r="Q1453" i="23"/>
  <c r="Q1454" i="23"/>
  <c r="Q1455" i="23"/>
  <c r="Q1456" i="23"/>
  <c r="Q1457" i="23"/>
  <c r="Q1458" i="23"/>
  <c r="Q1459" i="23"/>
  <c r="Q1460" i="23"/>
  <c r="Q1461" i="23"/>
  <c r="Q1462" i="23"/>
  <c r="Q1463" i="23"/>
  <c r="Q1464" i="23"/>
  <c r="Q1465" i="23"/>
  <c r="Q1466" i="23"/>
  <c r="Q1467" i="23"/>
  <c r="Q1468" i="23"/>
  <c r="Q1469" i="23"/>
  <c r="Q1470" i="23"/>
  <c r="Q1471" i="23"/>
  <c r="Q1472" i="23"/>
  <c r="Q1473" i="23"/>
  <c r="Q1474" i="23"/>
  <c r="Q1475" i="23"/>
  <c r="Q1476" i="23"/>
  <c r="Q1477" i="23"/>
  <c r="Q1478" i="23"/>
  <c r="Q1479" i="23"/>
  <c r="Q1480" i="23"/>
  <c r="Q1481" i="23"/>
  <c r="Q1482" i="23"/>
  <c r="Q1483" i="23"/>
  <c r="Q1484" i="23"/>
  <c r="Q1485" i="23"/>
  <c r="Q1486" i="23"/>
  <c r="Q1487" i="23"/>
  <c r="Q1488" i="23"/>
  <c r="Q1489" i="23"/>
  <c r="Q1490" i="23"/>
  <c r="Q1491" i="23"/>
  <c r="Q1492" i="23"/>
  <c r="Q1493" i="23"/>
  <c r="Q1494" i="23"/>
  <c r="Q1495" i="23"/>
  <c r="Q1496" i="23"/>
  <c r="Q1497" i="23"/>
  <c r="Q1498" i="23"/>
  <c r="Q1499" i="23"/>
  <c r="Q1500" i="23"/>
  <c r="Q1501" i="23"/>
  <c r="Q1502" i="23"/>
  <c r="Q1503" i="23"/>
  <c r="Q1504" i="23"/>
  <c r="Q1505" i="23"/>
  <c r="Q1506" i="23"/>
  <c r="Q1507" i="23"/>
  <c r="Q1508" i="23"/>
  <c r="Q1509" i="23"/>
  <c r="Q1510" i="23"/>
  <c r="Q1511" i="23"/>
  <c r="Q1512" i="23"/>
  <c r="Q1513" i="23"/>
  <c r="Q1514" i="23"/>
  <c r="Q1515" i="23"/>
  <c r="Q1516" i="23"/>
  <c r="Q1517" i="23"/>
  <c r="Q1518" i="23"/>
  <c r="Q1519" i="23"/>
  <c r="Q1520" i="23"/>
  <c r="Q1521" i="23"/>
  <c r="Q1522" i="23"/>
  <c r="Q1523" i="23"/>
  <c r="Q1524" i="23"/>
  <c r="Q1525" i="23"/>
  <c r="Q1526" i="23"/>
  <c r="Q1527" i="23"/>
  <c r="Q1528" i="23"/>
  <c r="Q1529" i="23"/>
  <c r="Q1530" i="23"/>
  <c r="Q1531" i="23"/>
  <c r="Q1532" i="23"/>
  <c r="Q1533" i="23"/>
  <c r="Q1534" i="23"/>
  <c r="Q1535" i="23"/>
  <c r="Q1536" i="23"/>
  <c r="Q1537" i="23"/>
  <c r="Q1538" i="23"/>
  <c r="Q1539" i="23"/>
  <c r="Q1540" i="23"/>
  <c r="Q1541" i="23"/>
  <c r="Q1542" i="23"/>
  <c r="Q1543" i="23"/>
  <c r="Q1544" i="23"/>
  <c r="Q1545" i="23"/>
  <c r="Q1546" i="23"/>
  <c r="Q1547" i="23"/>
  <c r="Q1548" i="23"/>
  <c r="Q1549" i="23"/>
  <c r="Q1550" i="23"/>
  <c r="Q1551" i="23"/>
  <c r="Q1552" i="23"/>
  <c r="Q1553" i="23"/>
  <c r="Q1554" i="23"/>
  <c r="Q1555" i="23"/>
  <c r="Q1556" i="23"/>
  <c r="Q1557" i="23"/>
  <c r="Q1558" i="23"/>
  <c r="Q1559" i="23"/>
  <c r="Q1560" i="23"/>
  <c r="Q1561" i="23"/>
  <c r="Q1562" i="23"/>
  <c r="Q1563" i="23"/>
  <c r="Q1564" i="23"/>
  <c r="Q1565" i="23"/>
  <c r="Q1566" i="23"/>
  <c r="Q1567" i="23"/>
  <c r="Q1568" i="23"/>
  <c r="Q1569" i="23"/>
  <c r="Q1570" i="23"/>
  <c r="Q1571" i="23"/>
  <c r="Q1572" i="23"/>
  <c r="Q1573" i="23"/>
  <c r="Q1574" i="23"/>
  <c r="Q1575" i="23"/>
  <c r="Q1576" i="23"/>
  <c r="Q1577" i="23"/>
  <c r="Q1578" i="23"/>
  <c r="Q1579" i="23"/>
  <c r="Q1580" i="23"/>
  <c r="Q1581" i="23"/>
  <c r="Q1582" i="23"/>
  <c r="Q1583" i="23"/>
  <c r="Q1584" i="23"/>
  <c r="Q1585" i="23"/>
  <c r="Q1586" i="23"/>
  <c r="Q1587" i="23"/>
  <c r="Q1588" i="23"/>
  <c r="Q1589" i="23"/>
  <c r="Q1590" i="23"/>
  <c r="Q1591" i="23"/>
  <c r="Q1592" i="23"/>
  <c r="Q1593" i="23"/>
  <c r="Q1594" i="23"/>
  <c r="Q1595" i="23"/>
  <c r="Q1596" i="23"/>
  <c r="Q1597" i="23"/>
  <c r="Q1598" i="23"/>
  <c r="Q1599" i="23"/>
  <c r="Q1600" i="23"/>
  <c r="Q1601" i="23"/>
  <c r="Q1602" i="23"/>
  <c r="Q1603" i="23"/>
  <c r="Q1604" i="23"/>
  <c r="Q1605" i="23"/>
  <c r="Q1606" i="23"/>
  <c r="Q1607" i="23"/>
  <c r="Q1608" i="23"/>
  <c r="Q1609" i="23"/>
  <c r="Q1610" i="23"/>
  <c r="Q1611" i="23"/>
  <c r="Q1612" i="23"/>
  <c r="Q1613" i="23"/>
  <c r="Q1614" i="23"/>
  <c r="Q1615" i="23"/>
  <c r="Q1616" i="23"/>
  <c r="Q1617" i="23"/>
  <c r="Q1618" i="23"/>
  <c r="Q1619" i="23"/>
  <c r="Q1620" i="23"/>
  <c r="Q1621" i="23"/>
  <c r="Q1622" i="23"/>
  <c r="Q1623" i="23"/>
  <c r="Q1624" i="23"/>
  <c r="Q1625" i="23"/>
  <c r="Q1626" i="23"/>
  <c r="Q1627" i="23"/>
  <c r="Q1628" i="23"/>
  <c r="Q1629" i="23"/>
  <c r="Q1630" i="23"/>
  <c r="Q1631" i="23"/>
  <c r="Q1632" i="23"/>
  <c r="Q1633" i="23"/>
  <c r="Q1634" i="23"/>
  <c r="Q1635" i="23"/>
  <c r="Q1636" i="23"/>
  <c r="Q1637" i="23"/>
  <c r="Q1638" i="23"/>
  <c r="Q1639" i="23"/>
  <c r="Q1640" i="23"/>
  <c r="Q1641" i="23"/>
  <c r="Q1642" i="23"/>
  <c r="Q1643" i="23"/>
  <c r="Q1644" i="23"/>
  <c r="Q1645" i="23"/>
  <c r="Q1646" i="23"/>
  <c r="Q1647" i="23"/>
  <c r="Q1648" i="23"/>
  <c r="Q1649" i="23"/>
  <c r="Q1650" i="23"/>
  <c r="Q1651" i="23"/>
  <c r="Q1652" i="23"/>
  <c r="Q1653" i="23"/>
  <c r="Q1654" i="23"/>
  <c r="Q1655" i="23"/>
  <c r="Q1656" i="23"/>
  <c r="Q1657" i="23"/>
  <c r="Q1658" i="23"/>
  <c r="Q1659" i="23"/>
  <c r="Q1660" i="23"/>
  <c r="Q1661" i="23"/>
  <c r="Q1662" i="23"/>
  <c r="Q1663" i="23"/>
  <c r="Q1664" i="23"/>
  <c r="Q1665" i="23"/>
  <c r="Q1666" i="23"/>
  <c r="Q1667" i="23"/>
  <c r="Q1668" i="23"/>
  <c r="Q1669" i="23"/>
  <c r="Q1670" i="23"/>
  <c r="Q1671" i="23"/>
  <c r="Q1672" i="23"/>
  <c r="Q1673" i="23"/>
  <c r="Q1674" i="23"/>
  <c r="Q1675" i="23"/>
  <c r="Q1676" i="23"/>
  <c r="Q1677" i="23"/>
  <c r="Q1678" i="23"/>
  <c r="Q1679" i="23"/>
  <c r="Q1680" i="23"/>
  <c r="Q1681" i="23"/>
  <c r="Q1682" i="23"/>
  <c r="Q1683" i="23"/>
  <c r="Q1684" i="23"/>
  <c r="Q1685" i="23"/>
  <c r="Q1686" i="23"/>
  <c r="Q1687" i="23"/>
  <c r="Q1688" i="23"/>
  <c r="Q1689" i="23"/>
  <c r="Q1690" i="23"/>
  <c r="Q1691" i="23"/>
  <c r="Q1692" i="23"/>
  <c r="Q1693" i="23"/>
  <c r="Q1694" i="23"/>
  <c r="Q1695" i="23"/>
  <c r="Q1696" i="23"/>
  <c r="Q1697" i="23"/>
  <c r="Q1698" i="23"/>
  <c r="Q1699" i="23"/>
  <c r="Q1700" i="23"/>
  <c r="Q1701" i="23"/>
  <c r="Q1702" i="23"/>
  <c r="Q1703" i="23"/>
  <c r="Q1704" i="23"/>
  <c r="Q1705" i="23"/>
  <c r="Q1706" i="23"/>
  <c r="Q1707" i="23"/>
  <c r="Q1708" i="23"/>
  <c r="Q1709" i="23"/>
  <c r="Q1710" i="23"/>
  <c r="Q1711" i="23"/>
  <c r="Q1712" i="23"/>
  <c r="Q1713" i="23"/>
  <c r="Q1714" i="23"/>
  <c r="Q1715" i="23"/>
  <c r="Q1716" i="23"/>
  <c r="Q1717" i="23"/>
  <c r="Q1718" i="23"/>
  <c r="Q1719" i="23"/>
  <c r="Q1720" i="23"/>
  <c r="Q1721" i="23"/>
  <c r="Q1722" i="23"/>
  <c r="Q1723" i="23"/>
  <c r="Q1724" i="23"/>
  <c r="Q1725" i="23"/>
  <c r="Q1726" i="23"/>
  <c r="Q1727" i="23"/>
  <c r="Q1728" i="23"/>
  <c r="Q1729" i="23"/>
  <c r="Q1730" i="23"/>
  <c r="Q1731" i="23"/>
  <c r="Q1732" i="23"/>
  <c r="Q1733" i="23"/>
  <c r="Q1734" i="23"/>
  <c r="Q1735" i="23"/>
  <c r="Q1736" i="23"/>
  <c r="Q1737" i="23"/>
  <c r="Q1738" i="23"/>
  <c r="Q1739" i="23"/>
  <c r="Q1740" i="23"/>
  <c r="Q1741" i="23"/>
  <c r="Q1742" i="23"/>
  <c r="Q1743" i="23"/>
  <c r="Q1744" i="23"/>
  <c r="Q1745" i="23"/>
  <c r="Q1746" i="23"/>
  <c r="Q1747" i="23"/>
  <c r="Q1748" i="23"/>
  <c r="Q1749" i="23"/>
  <c r="Q1750" i="23"/>
  <c r="Q1751" i="23"/>
  <c r="Q1752" i="23"/>
  <c r="Q1753" i="23"/>
  <c r="Q1754" i="23"/>
  <c r="Q1755" i="23"/>
  <c r="Q1756" i="23"/>
  <c r="Q1757" i="23"/>
  <c r="Q1758" i="23"/>
  <c r="Q1759" i="23"/>
  <c r="Q1760" i="23"/>
  <c r="Q1761" i="23"/>
  <c r="Q1762" i="23"/>
  <c r="Q1763" i="23"/>
  <c r="Q1764" i="23"/>
  <c r="Q1765" i="23"/>
  <c r="Q1766" i="23"/>
  <c r="Q1767" i="23"/>
  <c r="Q1768" i="23"/>
  <c r="Q1769" i="23"/>
  <c r="Q1770" i="23"/>
  <c r="Q1771" i="23"/>
  <c r="Q1772" i="23"/>
  <c r="Q1773" i="23"/>
  <c r="Q1774" i="23"/>
  <c r="Q1775" i="23"/>
  <c r="Q1776" i="23"/>
  <c r="Q1777" i="23"/>
  <c r="Q1778" i="23"/>
  <c r="Q1779" i="23"/>
  <c r="Q1780" i="23"/>
  <c r="Q1781" i="23"/>
  <c r="Q1782" i="23"/>
  <c r="Q1783" i="23"/>
  <c r="Q1784" i="23"/>
  <c r="Q1785" i="23"/>
  <c r="Q1786" i="23"/>
  <c r="Q1787" i="23"/>
  <c r="Q1788" i="23"/>
  <c r="Q1789" i="23"/>
  <c r="Q1790" i="23"/>
  <c r="Q1791" i="23"/>
  <c r="Q1792" i="23"/>
  <c r="Q1793" i="23"/>
  <c r="Q1794" i="23"/>
  <c r="Q1795" i="23"/>
  <c r="Q1796" i="23"/>
  <c r="Q1797" i="23"/>
  <c r="Q1798" i="23"/>
  <c r="Q1799" i="23"/>
  <c r="Q1800" i="23"/>
  <c r="Q1801" i="23"/>
  <c r="Q1802" i="23"/>
  <c r="Q1803" i="23"/>
  <c r="Q1804" i="23"/>
  <c r="Q1805" i="23"/>
  <c r="Q1806" i="23"/>
  <c r="Q1807" i="23"/>
  <c r="Q1808" i="23"/>
  <c r="Q1809" i="23"/>
  <c r="Q1810" i="23"/>
  <c r="Q1811" i="23"/>
  <c r="Q1812" i="23"/>
  <c r="Q1813" i="23"/>
  <c r="Q1814" i="23"/>
  <c r="Q1815" i="23"/>
  <c r="Q1816" i="23"/>
  <c r="Q1817" i="23"/>
  <c r="Q1818" i="23"/>
  <c r="Q1819" i="23"/>
  <c r="Q1820" i="23"/>
  <c r="Q1821" i="23"/>
  <c r="Q1822" i="23"/>
  <c r="Q1823" i="23"/>
  <c r="Q1824" i="23"/>
  <c r="Q1825" i="23"/>
  <c r="Q1826" i="23"/>
  <c r="Q1827" i="23"/>
  <c r="Q1828" i="23"/>
  <c r="Q1829" i="23"/>
  <c r="Q1830" i="23"/>
  <c r="Q1831" i="23"/>
  <c r="Q1832" i="23"/>
  <c r="Q1833" i="23"/>
  <c r="Q1834" i="23"/>
  <c r="Q1835" i="23"/>
  <c r="Q1836" i="23"/>
  <c r="Q1837" i="23"/>
  <c r="Q1838" i="23"/>
  <c r="Q1839" i="23"/>
  <c r="Q1840" i="23"/>
  <c r="Q1841" i="23"/>
  <c r="Q1842" i="23"/>
  <c r="Q1843" i="23"/>
  <c r="Q1844" i="23"/>
  <c r="Q1845" i="23"/>
  <c r="Q1846" i="23"/>
  <c r="Q1847" i="23"/>
  <c r="Q1848" i="23"/>
  <c r="Q1849" i="23"/>
  <c r="Q1850" i="23"/>
  <c r="Q1851" i="23"/>
  <c r="Q1852" i="23"/>
  <c r="Q1853" i="23"/>
  <c r="Q1854" i="23"/>
  <c r="Q1855" i="23"/>
  <c r="Q1856" i="23"/>
  <c r="Q1857" i="23"/>
  <c r="Q1858" i="23"/>
  <c r="Q1859" i="23"/>
  <c r="Q1860" i="23"/>
  <c r="Q1861" i="23"/>
  <c r="Q1862" i="23"/>
  <c r="Q1863" i="23"/>
  <c r="Q1864" i="23"/>
  <c r="Q1865" i="23"/>
  <c r="Q1866" i="23"/>
  <c r="Q1867" i="23"/>
  <c r="Q1868" i="23"/>
  <c r="Q1869" i="23"/>
  <c r="Q1870" i="23"/>
  <c r="Q1871" i="23"/>
  <c r="Q1872" i="23"/>
  <c r="Q1873" i="23"/>
  <c r="Q1874" i="23"/>
  <c r="Q1875" i="23"/>
  <c r="Q1876" i="23"/>
  <c r="Q1877" i="23"/>
  <c r="Q1878" i="23"/>
  <c r="Q1879" i="23"/>
  <c r="Q1880" i="23"/>
  <c r="Q1881" i="23"/>
  <c r="Q1882" i="23"/>
  <c r="Q1883" i="23"/>
  <c r="Q1884" i="23"/>
  <c r="Q1885" i="23"/>
  <c r="Q1886" i="23"/>
  <c r="Q1887" i="23"/>
  <c r="Q1888" i="23"/>
  <c r="Q1889" i="23"/>
  <c r="Q1890" i="23"/>
  <c r="Q1891" i="23"/>
  <c r="Q1892" i="23"/>
  <c r="Q1893" i="23"/>
  <c r="Q1894" i="23"/>
  <c r="Q1895" i="23"/>
  <c r="Q1896" i="23"/>
  <c r="Q1897" i="23"/>
  <c r="Q1898" i="23"/>
  <c r="Q1899" i="23"/>
  <c r="Q1900" i="23"/>
  <c r="Q1901" i="23"/>
  <c r="Q1902" i="23"/>
  <c r="Q1903" i="23"/>
  <c r="Q1904" i="23"/>
  <c r="Q1905" i="23"/>
  <c r="Q1906" i="23"/>
  <c r="Q1907" i="23"/>
  <c r="Q1908" i="23"/>
  <c r="Q1909" i="23"/>
  <c r="Q1910" i="23"/>
  <c r="Q1911" i="23"/>
  <c r="Q1912" i="23"/>
  <c r="Q1913" i="23"/>
  <c r="Q1914" i="23"/>
  <c r="Q1915" i="23"/>
  <c r="Q1916" i="23"/>
  <c r="Q1917" i="23"/>
  <c r="Q1918" i="23"/>
  <c r="Q1919" i="23"/>
  <c r="Q1920" i="23"/>
  <c r="Q1921" i="23"/>
  <c r="Q1922" i="23"/>
  <c r="Q1923" i="23"/>
  <c r="Q1924" i="23"/>
  <c r="Q1925" i="23"/>
  <c r="Q1926" i="23"/>
  <c r="Q1927" i="23"/>
  <c r="Q1928" i="23"/>
  <c r="Q1929" i="23"/>
  <c r="Q1930" i="23"/>
  <c r="Q1931" i="23"/>
  <c r="Q1932" i="23"/>
  <c r="Q1933" i="23"/>
  <c r="Q1934" i="23"/>
  <c r="Q1935" i="23"/>
  <c r="Q1936" i="23"/>
  <c r="Q1937" i="23"/>
  <c r="Q1938" i="23"/>
  <c r="Q1939" i="23"/>
  <c r="Q1940" i="23"/>
  <c r="Q1941" i="23"/>
  <c r="Q1942" i="23"/>
  <c r="Q1943" i="23"/>
  <c r="Q1944" i="23"/>
  <c r="Q1945" i="23"/>
  <c r="Q1946" i="23"/>
  <c r="Q1947" i="23"/>
  <c r="Q1948" i="23"/>
  <c r="Q1949" i="23"/>
  <c r="Q1950" i="23"/>
  <c r="Q1951" i="23"/>
  <c r="Q1952" i="23"/>
  <c r="Q1953" i="23"/>
  <c r="Q1954" i="23"/>
  <c r="Q1955" i="23"/>
  <c r="Q1956" i="23"/>
  <c r="Q1957" i="23"/>
  <c r="Q1958" i="23"/>
  <c r="Q1959" i="23"/>
  <c r="Q1960" i="23"/>
  <c r="Q1961" i="23"/>
  <c r="Q1962" i="23"/>
  <c r="Q1963" i="23"/>
  <c r="Q1964" i="23"/>
  <c r="Q1965" i="23"/>
  <c r="Q1966" i="23"/>
  <c r="Q1967" i="23"/>
  <c r="Q1968" i="23"/>
  <c r="Q1969" i="23"/>
  <c r="Q1970" i="23"/>
  <c r="Q1971" i="23"/>
  <c r="Q1972" i="23"/>
  <c r="Q1973" i="23"/>
  <c r="Q1974" i="23"/>
  <c r="Q1975" i="23"/>
  <c r="Q1976" i="23"/>
  <c r="Q1977" i="23"/>
  <c r="Q1978" i="23"/>
  <c r="Q1979" i="23"/>
  <c r="Q1980" i="23"/>
  <c r="Q1981" i="23"/>
  <c r="Q1982" i="23"/>
  <c r="Q1983" i="23"/>
  <c r="Q1984" i="23"/>
  <c r="Q1985" i="23"/>
  <c r="Q1986" i="23"/>
  <c r="Q1987" i="23"/>
  <c r="Q1988" i="23"/>
  <c r="Q1989" i="23"/>
  <c r="Q1990" i="23"/>
  <c r="Q1991" i="23"/>
  <c r="Q1992" i="23"/>
  <c r="Q1993" i="23"/>
  <c r="Q1994" i="23"/>
  <c r="Q1995" i="23"/>
  <c r="Q1996" i="23"/>
  <c r="Q1997" i="23"/>
  <c r="Q1998" i="23"/>
  <c r="Q1999" i="23"/>
  <c r="Q2000" i="23"/>
  <c r="Q2001" i="23"/>
  <c r="Q2002" i="23"/>
  <c r="Q2003" i="23"/>
  <c r="Q2004" i="23"/>
  <c r="Q2005" i="23"/>
  <c r="Q2006" i="23"/>
  <c r="Q2007" i="23"/>
  <c r="Q2008" i="23"/>
  <c r="Q2009" i="23"/>
  <c r="Q2010" i="23"/>
  <c r="Q2011" i="23"/>
  <c r="Q2012" i="23"/>
  <c r="Q2013" i="23"/>
  <c r="Q2014" i="23"/>
  <c r="Q2015" i="23"/>
  <c r="Q2016" i="23"/>
  <c r="Q2017" i="23"/>
  <c r="Q2018" i="23"/>
  <c r="Q2019" i="23"/>
  <c r="Q2020" i="23"/>
  <c r="Q2021" i="23"/>
  <c r="Q2022" i="23"/>
  <c r="Q2023" i="23"/>
  <c r="Q2024" i="23"/>
  <c r="Q2025" i="23"/>
  <c r="Q2026" i="23"/>
  <c r="Q2027" i="23"/>
  <c r="Q2028" i="23"/>
  <c r="Q2029" i="23"/>
  <c r="Q2030" i="23"/>
  <c r="Q2031" i="23"/>
  <c r="Q2032" i="23"/>
  <c r="Q2033" i="23"/>
  <c r="Q2034" i="23"/>
  <c r="Q2035" i="23"/>
  <c r="Q2036" i="23"/>
  <c r="Q2037" i="23"/>
  <c r="Q2038" i="23"/>
  <c r="Q2039" i="23"/>
  <c r="Q2040" i="23"/>
  <c r="Q2041" i="23"/>
  <c r="Q2042" i="23"/>
  <c r="Q2043" i="23"/>
  <c r="Q2044" i="23"/>
  <c r="Q2045" i="23"/>
  <c r="Q2046" i="23"/>
  <c r="Q2047" i="23"/>
  <c r="Q2048" i="23"/>
  <c r="Q2049" i="23"/>
  <c r="Q2050" i="23"/>
  <c r="Q2051" i="23"/>
  <c r="Q2052" i="23"/>
  <c r="Q2053" i="23"/>
  <c r="Q2054" i="23"/>
  <c r="Q2055" i="23"/>
  <c r="Q2056" i="23"/>
  <c r="Q2057" i="23"/>
  <c r="Q2058" i="23"/>
  <c r="Q2059" i="23"/>
  <c r="Q2060" i="23"/>
  <c r="Q2061" i="23"/>
  <c r="Q2062" i="23"/>
  <c r="Q2063" i="23"/>
  <c r="Q2064" i="23"/>
  <c r="Q2065" i="23"/>
  <c r="Q2066" i="23"/>
  <c r="Q2067" i="23"/>
  <c r="Q2068" i="23"/>
  <c r="Q2069" i="23"/>
  <c r="Q2070" i="23"/>
  <c r="Q2071" i="23"/>
  <c r="Q2072" i="23"/>
  <c r="Q2073" i="23"/>
  <c r="Q2074" i="23"/>
  <c r="Q2075" i="23"/>
  <c r="Q2076" i="23"/>
  <c r="Q2077" i="23"/>
  <c r="Q2078" i="23"/>
  <c r="Q2079" i="23"/>
  <c r="Q2080" i="23"/>
  <c r="Q2081" i="23"/>
  <c r="Q2082" i="23"/>
  <c r="Q2083" i="23"/>
  <c r="Q2084" i="23"/>
  <c r="Q2085" i="23"/>
  <c r="Q2086" i="23"/>
  <c r="Q2087" i="23"/>
  <c r="Q2088" i="23"/>
  <c r="Q2089" i="23"/>
  <c r="Q2090" i="23"/>
  <c r="Q2091" i="23"/>
  <c r="Q2092" i="23"/>
  <c r="Q2093" i="23"/>
  <c r="Q2094" i="23"/>
  <c r="Q2095" i="23"/>
  <c r="Q2096" i="23"/>
  <c r="Q2097" i="23"/>
  <c r="Q2098" i="23"/>
  <c r="Q2099" i="23"/>
  <c r="Q2100" i="23"/>
  <c r="Q2101" i="23"/>
  <c r="Q2102" i="23"/>
  <c r="Q2103" i="23"/>
  <c r="Q2104" i="23"/>
  <c r="Q2105" i="23"/>
  <c r="Q2106" i="23"/>
  <c r="Q2107" i="23"/>
  <c r="Q2108" i="23"/>
  <c r="Q2109" i="23"/>
  <c r="Q2110" i="23"/>
  <c r="Q2111" i="23"/>
  <c r="Q2112" i="23"/>
  <c r="Q2113" i="23"/>
  <c r="Q2114" i="23"/>
  <c r="Q2115" i="23"/>
  <c r="Q2116" i="23"/>
  <c r="Q2117" i="23"/>
  <c r="Q2118" i="23"/>
  <c r="Q2119" i="23"/>
  <c r="Q2120" i="23"/>
  <c r="Q2121" i="23"/>
  <c r="Q2122" i="23"/>
  <c r="Q2123" i="23"/>
  <c r="Q2124" i="23"/>
  <c r="Q2125" i="23"/>
  <c r="Q2126" i="23"/>
  <c r="Q2127" i="23"/>
  <c r="Q2128" i="23"/>
  <c r="Q2129" i="23"/>
  <c r="Q2130" i="23"/>
  <c r="Q2131" i="23"/>
  <c r="Q2132" i="23"/>
  <c r="Q2133" i="23"/>
  <c r="Q2134" i="23"/>
  <c r="Q2135" i="23"/>
  <c r="Q2136" i="23"/>
  <c r="Q2137" i="23"/>
  <c r="Q2138" i="23"/>
  <c r="Q2139" i="23"/>
  <c r="Q2140" i="23"/>
  <c r="Q2141" i="23"/>
  <c r="Q2142" i="23"/>
  <c r="Q2143" i="23"/>
  <c r="Q2144" i="23"/>
  <c r="Q2145" i="23"/>
  <c r="Q2146" i="23"/>
  <c r="Q2147" i="23"/>
  <c r="Q2148" i="23"/>
  <c r="Q2149" i="23"/>
  <c r="Q2150" i="23"/>
  <c r="Q2151" i="23"/>
  <c r="Q2152" i="23"/>
  <c r="Q2153" i="23"/>
  <c r="Q2154" i="23"/>
  <c r="Q2155" i="23"/>
  <c r="Q2156" i="23"/>
  <c r="Q2157" i="23"/>
  <c r="Q2158" i="23"/>
  <c r="Q2159" i="23"/>
  <c r="Q2160" i="23"/>
  <c r="Q2161" i="23"/>
  <c r="Q2162" i="23"/>
  <c r="Q2163" i="23"/>
  <c r="Q2164" i="23"/>
  <c r="Q2165" i="23"/>
  <c r="Q2166" i="23"/>
  <c r="Q2167" i="23"/>
  <c r="Q2168" i="23"/>
  <c r="Q2169" i="23"/>
  <c r="Q2170" i="23"/>
  <c r="Q2171" i="23"/>
  <c r="Q2172" i="23"/>
  <c r="Q2173" i="23"/>
  <c r="Q2174" i="23"/>
  <c r="Q2175" i="23"/>
  <c r="Q2176" i="23"/>
  <c r="Q2177" i="23"/>
  <c r="Q2178" i="23"/>
  <c r="Q2179" i="23"/>
  <c r="Q2180" i="23"/>
  <c r="Q2181" i="23"/>
  <c r="Q2182" i="23"/>
  <c r="Q2183" i="23"/>
  <c r="Q2184" i="23"/>
  <c r="Q2185" i="23"/>
  <c r="Q2186" i="23"/>
  <c r="Q2187" i="23"/>
  <c r="Q2188" i="23"/>
  <c r="Q2189" i="23"/>
  <c r="Q2190" i="23"/>
  <c r="Q2191" i="23"/>
  <c r="Q2192" i="23"/>
  <c r="Q2193" i="23"/>
  <c r="Q2194" i="23"/>
  <c r="Q2195" i="23"/>
  <c r="Q2196" i="23"/>
  <c r="Q2197" i="23"/>
  <c r="Q2198" i="23"/>
  <c r="Q2199" i="23"/>
  <c r="Q2200" i="23"/>
  <c r="Q2201" i="23"/>
  <c r="Q2202" i="23"/>
  <c r="Q2203" i="23"/>
  <c r="Q2204" i="23"/>
  <c r="Q2205" i="23"/>
  <c r="Q2206" i="23"/>
  <c r="Q2207" i="23"/>
  <c r="Q2208" i="23"/>
  <c r="Q2209" i="23"/>
  <c r="Q2210" i="23"/>
  <c r="Q2211" i="23"/>
  <c r="Q2212" i="23"/>
  <c r="Q2213" i="23"/>
  <c r="Q2214" i="23"/>
  <c r="Q2215" i="23"/>
  <c r="Q2216" i="23"/>
  <c r="Q2217" i="23"/>
  <c r="Q2218" i="23"/>
  <c r="Q2219" i="23"/>
  <c r="Q2220" i="23"/>
  <c r="Q2221" i="23"/>
  <c r="Q2222" i="23"/>
  <c r="Q2223" i="23"/>
  <c r="Q2224" i="23"/>
  <c r="Q2225" i="23"/>
  <c r="Q2226" i="23"/>
  <c r="Q2227" i="23"/>
  <c r="Q2228" i="23"/>
  <c r="Q2229" i="23"/>
  <c r="Q2230" i="23"/>
  <c r="Q2231" i="23"/>
  <c r="Q2232" i="23"/>
  <c r="Q2233" i="23"/>
  <c r="Q2234" i="23"/>
  <c r="Q2235" i="23"/>
  <c r="Q2236" i="23"/>
  <c r="Q2237" i="23"/>
  <c r="Q2238" i="23"/>
  <c r="Q2239" i="23"/>
  <c r="Q2240" i="23"/>
  <c r="Q2241" i="23"/>
  <c r="Q2242" i="23"/>
  <c r="Q2243" i="23"/>
  <c r="Q2244" i="23"/>
  <c r="Q2245" i="23"/>
  <c r="Q2246" i="23"/>
  <c r="Q2247" i="23"/>
  <c r="Q2248" i="23"/>
  <c r="Q2249" i="23"/>
  <c r="Q2250" i="23"/>
  <c r="Q2251" i="23"/>
  <c r="Q2252" i="23"/>
  <c r="Q2253" i="23"/>
  <c r="Q2254" i="23"/>
  <c r="Q2255" i="23"/>
  <c r="Q2256" i="23"/>
  <c r="Q2257" i="23"/>
  <c r="Q2258" i="23"/>
  <c r="Q2259" i="23"/>
  <c r="Q2260" i="23"/>
  <c r="Q2261" i="23"/>
  <c r="Q2262" i="23"/>
  <c r="Q2263" i="23"/>
  <c r="Q2264" i="23"/>
  <c r="Q2265" i="23"/>
  <c r="Q2266" i="23"/>
  <c r="Q2267" i="23"/>
  <c r="Q2268" i="23"/>
  <c r="Q2269" i="23"/>
  <c r="Q2270" i="23"/>
  <c r="Q2271" i="23"/>
  <c r="Q2272" i="23"/>
  <c r="Q2273" i="23"/>
  <c r="Q2274" i="23"/>
  <c r="Q2275" i="23"/>
  <c r="Q2276" i="23"/>
  <c r="Q2277" i="23"/>
  <c r="Q2278" i="23"/>
  <c r="Q2279" i="23"/>
  <c r="Q2280" i="23"/>
  <c r="Q2281" i="23"/>
  <c r="Q2282" i="23"/>
  <c r="Q2283" i="23"/>
  <c r="Q2284" i="23"/>
  <c r="Q2285" i="23"/>
  <c r="Q2286" i="23"/>
  <c r="Q2287" i="23"/>
  <c r="Q2288" i="23"/>
  <c r="Q2289" i="23"/>
  <c r="Q2290" i="23"/>
  <c r="Q2291" i="23"/>
  <c r="Q2292" i="23"/>
  <c r="Q2293" i="23"/>
  <c r="Q2294" i="23"/>
  <c r="Q2295" i="23"/>
  <c r="Q2296" i="23"/>
  <c r="Q2297" i="23"/>
  <c r="Q2298" i="23"/>
  <c r="Q2299" i="23"/>
  <c r="Q2300" i="23"/>
  <c r="Q2301" i="23"/>
  <c r="Q2302" i="23"/>
  <c r="Q2303" i="23"/>
  <c r="Q2304" i="23"/>
  <c r="Q2305" i="23"/>
  <c r="Q2306" i="23"/>
  <c r="Q2307" i="23"/>
  <c r="Q2308" i="23"/>
  <c r="Q2309" i="23"/>
  <c r="Q2310" i="23"/>
  <c r="Q2311" i="23"/>
  <c r="Q2312" i="23"/>
  <c r="Q2313" i="23"/>
  <c r="Q2314" i="23"/>
  <c r="Q2315" i="23"/>
  <c r="Q2316" i="23"/>
  <c r="Q2317" i="23"/>
  <c r="Q2318" i="23"/>
  <c r="Q2319" i="23"/>
  <c r="Q2320" i="23"/>
  <c r="Q2321" i="23"/>
  <c r="Q2322" i="23"/>
  <c r="Q2323" i="23"/>
  <c r="Q2324" i="23"/>
  <c r="Q2325" i="23"/>
  <c r="Q2326" i="23"/>
  <c r="Q2327" i="23"/>
  <c r="Q2328" i="23"/>
  <c r="Q2329" i="23"/>
  <c r="Q2330" i="23"/>
  <c r="Q2331" i="23"/>
  <c r="Q2332" i="23"/>
  <c r="Q2333" i="23"/>
  <c r="Q2334" i="23"/>
  <c r="Q2335" i="23"/>
  <c r="Q2336" i="23"/>
  <c r="Q2337" i="23"/>
  <c r="Q2338" i="23"/>
  <c r="Q2339" i="23"/>
  <c r="Q2340" i="23"/>
  <c r="Q2341" i="23"/>
  <c r="Q2342" i="23"/>
  <c r="Q2343" i="23"/>
  <c r="Q2344" i="23"/>
  <c r="Q2345" i="23"/>
  <c r="Q2346" i="23"/>
  <c r="Q2347" i="23"/>
  <c r="Q2348" i="23"/>
  <c r="Q2349" i="23"/>
  <c r="Q2350" i="23"/>
  <c r="Q2351" i="23"/>
  <c r="Q2352" i="23"/>
  <c r="Q2353" i="23"/>
  <c r="Q2354" i="23"/>
  <c r="Q2355" i="23"/>
  <c r="Q2356" i="23"/>
  <c r="Q2357" i="23"/>
  <c r="Q2358" i="23"/>
  <c r="Q2359" i="23"/>
  <c r="Q2360" i="23"/>
  <c r="Q2361" i="23"/>
  <c r="Q2362" i="23"/>
  <c r="Q2363" i="23"/>
  <c r="Q2364" i="23"/>
  <c r="Q2365" i="23"/>
  <c r="Q2366" i="23"/>
  <c r="Q2367" i="23"/>
  <c r="Q2368" i="23"/>
  <c r="Q2369" i="23"/>
  <c r="Q2370" i="23"/>
  <c r="Q2371" i="23"/>
  <c r="Q2372" i="23"/>
  <c r="Q2373" i="23"/>
  <c r="Q2374" i="23"/>
  <c r="Q2375" i="23"/>
  <c r="Q2376" i="23"/>
  <c r="Q2377" i="23"/>
  <c r="Q2378" i="23"/>
  <c r="Q2379" i="23"/>
  <c r="Q2380" i="23"/>
  <c r="Q2381" i="23"/>
  <c r="Q2382" i="23"/>
  <c r="Q2383" i="23"/>
  <c r="Q2384" i="23"/>
  <c r="Q2385" i="23"/>
  <c r="Q2386" i="23"/>
  <c r="Q2387" i="23"/>
  <c r="Q2388" i="23"/>
  <c r="Q2389" i="23"/>
  <c r="Q2390" i="23"/>
  <c r="Q2391" i="23"/>
  <c r="Q2392" i="23"/>
  <c r="Q2393" i="23"/>
  <c r="Q2394" i="23"/>
  <c r="Q2395" i="23"/>
  <c r="Q2396" i="23"/>
  <c r="Q2397" i="23"/>
  <c r="Q2398" i="23"/>
  <c r="Q2399" i="23"/>
  <c r="Q2400" i="23"/>
  <c r="Q2401" i="23"/>
  <c r="Q2402" i="23"/>
  <c r="Q2403" i="23"/>
  <c r="Q2404" i="23"/>
  <c r="Q2405" i="23"/>
  <c r="Q2406" i="23"/>
  <c r="Q2407" i="23"/>
  <c r="Q2408" i="23"/>
  <c r="Q2409" i="23"/>
  <c r="Q2410" i="23"/>
  <c r="Q2411" i="23"/>
  <c r="Q2412" i="23"/>
  <c r="Q2413" i="23"/>
  <c r="Q2414" i="23"/>
  <c r="Q2415" i="23"/>
  <c r="Q2416" i="23"/>
  <c r="Q2417" i="23"/>
  <c r="Q2418" i="23"/>
  <c r="Q2419" i="23"/>
  <c r="Q2420" i="23"/>
  <c r="Q2421" i="23"/>
  <c r="Q2422" i="23"/>
  <c r="Q2423" i="23"/>
  <c r="Q2424" i="23"/>
  <c r="Q2425" i="23"/>
  <c r="Q2426" i="23"/>
  <c r="Q2427" i="23"/>
  <c r="Q2428" i="23"/>
  <c r="Q2429" i="23"/>
  <c r="Q2430" i="23"/>
  <c r="Q2431" i="23"/>
  <c r="Q2432" i="23"/>
  <c r="Q2433" i="23"/>
  <c r="Q2434" i="23"/>
  <c r="Q2435" i="23"/>
  <c r="Q2436" i="23"/>
  <c r="Q2437" i="23"/>
  <c r="Q2438" i="23"/>
  <c r="Q2439" i="23"/>
  <c r="Q2440" i="23"/>
  <c r="Q2441" i="23"/>
  <c r="Q2442" i="23"/>
  <c r="Q2443" i="23"/>
  <c r="Q2444" i="23"/>
  <c r="Q2445" i="23"/>
  <c r="Q2446" i="23"/>
  <c r="Q2447" i="23"/>
  <c r="Q2448" i="23"/>
  <c r="Q2449" i="23"/>
  <c r="Q2450" i="23"/>
  <c r="Q2451" i="23"/>
  <c r="Q2452" i="23"/>
  <c r="Q2453" i="23"/>
  <c r="Q2454" i="23"/>
  <c r="Q2455" i="23"/>
  <c r="Q2456" i="23"/>
  <c r="Q2457" i="23"/>
  <c r="Q2458" i="23"/>
  <c r="Q2459" i="23"/>
  <c r="Q2460" i="23"/>
  <c r="Q2461" i="23"/>
  <c r="Q2462" i="23"/>
  <c r="Q2463" i="23"/>
  <c r="Q2464" i="23"/>
  <c r="Q2465" i="23"/>
  <c r="Q2466" i="23"/>
  <c r="Q2467" i="23"/>
  <c r="Q2468" i="23"/>
  <c r="Q2469" i="23"/>
  <c r="Q2470" i="23"/>
  <c r="Q2471" i="23"/>
  <c r="Q2472" i="23"/>
  <c r="Q2473" i="23"/>
  <c r="Q2474" i="23"/>
  <c r="Q2475" i="23"/>
  <c r="Q2476" i="23"/>
  <c r="Q2477" i="23"/>
  <c r="Q2478" i="23"/>
  <c r="Q2479" i="23"/>
  <c r="Q2480" i="23"/>
  <c r="Q2481" i="23"/>
  <c r="Q2482" i="23"/>
  <c r="Q2483" i="23"/>
  <c r="Q2484" i="23"/>
  <c r="Q2485" i="23"/>
  <c r="Q2486" i="23"/>
  <c r="Q2487" i="23"/>
  <c r="Q2488" i="23"/>
  <c r="Q2489" i="23"/>
  <c r="Q2490" i="23"/>
  <c r="Q2491" i="23"/>
  <c r="Q2492" i="23"/>
  <c r="Q2493" i="23"/>
  <c r="Q2494" i="23"/>
  <c r="Q2495" i="23"/>
  <c r="Q2496" i="23"/>
  <c r="Q2497" i="23"/>
  <c r="Q2498" i="23"/>
  <c r="Q2499" i="23"/>
  <c r="Q2500" i="23"/>
  <c r="Q2501" i="23"/>
  <c r="Q2502" i="23"/>
  <c r="Q2503" i="23"/>
  <c r="Q2504" i="23"/>
  <c r="Q2505" i="23"/>
  <c r="Q2506" i="23"/>
  <c r="Q2507" i="23"/>
  <c r="Q2508" i="23"/>
  <c r="Q2509" i="23"/>
  <c r="Q2510" i="23"/>
  <c r="Q2511" i="23"/>
  <c r="Q2512" i="23"/>
  <c r="Q2513" i="23"/>
  <c r="Q2514" i="23"/>
  <c r="Q2515" i="23"/>
  <c r="Q2516" i="23"/>
  <c r="Q2517" i="23"/>
  <c r="Q2518" i="23"/>
  <c r="Q2519" i="23"/>
  <c r="Q2520" i="23"/>
  <c r="Q2521" i="23"/>
  <c r="Q2522" i="23"/>
  <c r="Q2523" i="23"/>
  <c r="Q2524" i="23"/>
  <c r="Q2525" i="23"/>
  <c r="Q2526" i="23"/>
  <c r="Q2527" i="23"/>
  <c r="Q2528" i="23"/>
  <c r="Q2529" i="23"/>
  <c r="Q2530" i="23"/>
  <c r="Q2531" i="23"/>
  <c r="Q2532" i="23"/>
  <c r="Q2533" i="23"/>
  <c r="Q2534" i="23"/>
  <c r="Q2535" i="23"/>
  <c r="Q2536" i="23"/>
  <c r="Q2537" i="23"/>
  <c r="Q2538" i="23"/>
  <c r="Q2539" i="23"/>
  <c r="Q2540" i="23"/>
  <c r="Q2541" i="23"/>
  <c r="Q2542" i="23"/>
  <c r="Q2543" i="23"/>
  <c r="Q2544" i="23"/>
  <c r="Q2545" i="23"/>
  <c r="Q2546" i="23"/>
  <c r="Q2547" i="23"/>
  <c r="Q2548" i="23"/>
  <c r="Q2549" i="23"/>
  <c r="Q2550" i="23"/>
  <c r="Q2551" i="23"/>
  <c r="Q2552" i="23"/>
  <c r="Q2553" i="23"/>
  <c r="Q2554" i="23"/>
  <c r="Q2555" i="23"/>
  <c r="Q2556" i="23"/>
  <c r="Q2557" i="23"/>
  <c r="Q2558" i="23"/>
  <c r="Q2559" i="23"/>
  <c r="Q2560" i="23"/>
  <c r="Q2561" i="23"/>
  <c r="Q2562" i="23"/>
  <c r="Q2563" i="23"/>
  <c r="Q2564" i="23"/>
  <c r="Q2565" i="23"/>
  <c r="Q2566" i="23"/>
  <c r="Q2567" i="23"/>
  <c r="Q2568" i="23"/>
  <c r="Q2569" i="23"/>
  <c r="Q2570" i="23"/>
  <c r="Q2571" i="23"/>
  <c r="Q2572" i="23"/>
  <c r="Q2573" i="23"/>
  <c r="Q2574" i="23"/>
  <c r="Q2575" i="23"/>
  <c r="Q2576" i="23"/>
  <c r="Q2577" i="23"/>
  <c r="Q2578" i="23"/>
  <c r="Q2579" i="23"/>
  <c r="Q2580" i="23"/>
  <c r="Q2581" i="23"/>
  <c r="Q2582" i="23"/>
  <c r="Q2583" i="23"/>
  <c r="Q2584" i="23"/>
  <c r="Q2585" i="23"/>
  <c r="Q2586" i="23"/>
  <c r="Q2587" i="23"/>
  <c r="Q2588" i="23"/>
  <c r="Q2589" i="23"/>
  <c r="Q2590" i="23"/>
  <c r="Q2591" i="23"/>
  <c r="Q2592" i="23"/>
  <c r="Q2593" i="23"/>
  <c r="Q2594" i="23"/>
  <c r="Q2595" i="23"/>
  <c r="Q2596" i="23"/>
  <c r="Q2597" i="23"/>
  <c r="Q2598" i="23"/>
  <c r="Q2599" i="23"/>
  <c r="Q2600" i="23"/>
  <c r="Q2601" i="23"/>
  <c r="Q2602" i="23"/>
  <c r="Q2603" i="23"/>
  <c r="Q2604" i="23"/>
  <c r="Q2605" i="23"/>
  <c r="Q2606" i="23"/>
  <c r="Q2607" i="23"/>
  <c r="Q2608" i="23"/>
  <c r="Q2609" i="23"/>
  <c r="Q2610" i="23"/>
  <c r="Q2611" i="23"/>
  <c r="Q2612" i="23"/>
  <c r="Q2613" i="23"/>
  <c r="Q2614" i="23"/>
  <c r="Q2615" i="23"/>
  <c r="Q2616" i="23"/>
  <c r="Q2617" i="23"/>
  <c r="Q2618" i="23"/>
  <c r="Q2619" i="23"/>
  <c r="Q2620" i="23"/>
  <c r="Q2621" i="23"/>
  <c r="Q2622" i="23"/>
  <c r="Q2623" i="23"/>
  <c r="Q2624" i="23"/>
  <c r="Q2625" i="23"/>
  <c r="Q2626" i="23"/>
  <c r="Q2627" i="23"/>
  <c r="Q2628" i="23"/>
  <c r="Q2629" i="23"/>
  <c r="Q2630" i="23"/>
  <c r="Q2631" i="23"/>
  <c r="Q2632" i="23"/>
  <c r="Q2633" i="23"/>
  <c r="Q2634" i="23"/>
  <c r="Q2635" i="23"/>
  <c r="Q2636" i="23"/>
  <c r="Q2637" i="23"/>
  <c r="Q2638" i="23"/>
  <c r="Q2639" i="23"/>
  <c r="Q2640" i="23"/>
  <c r="Q2641" i="23"/>
  <c r="Q2642" i="23"/>
  <c r="Q2643" i="23"/>
  <c r="Q2644" i="23"/>
  <c r="Q2645" i="23"/>
  <c r="Q2646" i="23"/>
  <c r="Q2647" i="23"/>
  <c r="Q2648" i="23"/>
  <c r="Q2649" i="23"/>
  <c r="Q2650" i="23"/>
  <c r="Q2651" i="23"/>
  <c r="Q2652" i="23"/>
  <c r="Q2653" i="23"/>
  <c r="Q2654" i="23"/>
  <c r="Q2655" i="23"/>
  <c r="Q2656" i="23"/>
  <c r="Q2657" i="23"/>
  <c r="Q2658" i="23"/>
  <c r="Q2659" i="23"/>
  <c r="Q2660" i="23"/>
  <c r="Q2661" i="23"/>
  <c r="Q2662" i="23"/>
  <c r="Q2663" i="23"/>
  <c r="Q2664" i="23"/>
  <c r="Q2665" i="23"/>
  <c r="Q2666" i="23"/>
  <c r="Q2667" i="23"/>
  <c r="Q2668" i="23"/>
  <c r="Q2669" i="23"/>
  <c r="Q2670" i="23"/>
  <c r="Q2671" i="23"/>
  <c r="Q2672" i="23"/>
  <c r="Q2673" i="23"/>
  <c r="Q2674" i="23"/>
  <c r="Q2675" i="23"/>
  <c r="Q2676" i="23"/>
  <c r="Q2677" i="23"/>
  <c r="Q2678" i="23"/>
  <c r="Q2679" i="23"/>
  <c r="Q2680" i="23"/>
  <c r="Q2681" i="23"/>
  <c r="Q2682" i="23"/>
  <c r="P5" i="23"/>
  <c r="P6" i="23"/>
  <c r="P7" i="23"/>
  <c r="P8" i="23"/>
  <c r="P9" i="23"/>
  <c r="P10" i="23"/>
  <c r="P11" i="23"/>
  <c r="P12" i="23"/>
  <c r="P13" i="23"/>
  <c r="P14" i="23"/>
  <c r="P15" i="23"/>
  <c r="P16" i="23"/>
  <c r="P17" i="23"/>
  <c r="P18" i="23"/>
  <c r="P19" i="23"/>
  <c r="P20" i="23"/>
  <c r="P21" i="23"/>
  <c r="P22" i="23"/>
  <c r="P23" i="23"/>
  <c r="P24" i="23"/>
  <c r="P25" i="23"/>
  <c r="P26" i="23"/>
  <c r="P27" i="23"/>
  <c r="P28" i="23"/>
  <c r="P29" i="23"/>
  <c r="P30" i="23"/>
  <c r="P31" i="23"/>
  <c r="P32" i="23"/>
  <c r="P33" i="23"/>
  <c r="P34" i="23"/>
  <c r="P35" i="23"/>
  <c r="P36" i="23"/>
  <c r="P37" i="23"/>
  <c r="P38" i="23"/>
  <c r="P39" i="23"/>
  <c r="P40" i="23"/>
  <c r="P41" i="23"/>
  <c r="P42" i="23"/>
  <c r="P43" i="23"/>
  <c r="P44" i="23"/>
  <c r="P45" i="23"/>
  <c r="P46" i="23"/>
  <c r="P47" i="23"/>
  <c r="P48" i="23"/>
  <c r="P49" i="23"/>
  <c r="P50" i="23"/>
  <c r="P51" i="23"/>
  <c r="P52" i="23"/>
  <c r="P53" i="23"/>
  <c r="P54" i="23"/>
  <c r="P55" i="23"/>
  <c r="P56" i="23"/>
  <c r="P57" i="23"/>
  <c r="P58" i="23"/>
  <c r="P59" i="23"/>
  <c r="P60" i="23"/>
  <c r="P61" i="23"/>
  <c r="P62" i="23"/>
  <c r="P63" i="23"/>
  <c r="P64" i="23"/>
  <c r="P65" i="23"/>
  <c r="P66" i="23"/>
  <c r="P67" i="23"/>
  <c r="P68" i="23"/>
  <c r="P69" i="23"/>
  <c r="P70" i="23"/>
  <c r="P71" i="23"/>
  <c r="P72" i="23"/>
  <c r="P73" i="23"/>
  <c r="P74" i="23"/>
  <c r="P75" i="23"/>
  <c r="P76" i="23"/>
  <c r="P77" i="23"/>
  <c r="P78" i="23"/>
  <c r="P79" i="23"/>
  <c r="P80" i="23"/>
  <c r="P81" i="23"/>
  <c r="P82" i="23"/>
  <c r="P83" i="23"/>
  <c r="P84" i="23"/>
  <c r="P85" i="23"/>
  <c r="P86" i="23"/>
  <c r="P87" i="23"/>
  <c r="P88" i="23"/>
  <c r="P89" i="23"/>
  <c r="P90" i="23"/>
  <c r="P91" i="23"/>
  <c r="P92" i="23"/>
  <c r="P93" i="23"/>
  <c r="P94" i="23"/>
  <c r="P95" i="23"/>
  <c r="P96" i="23"/>
  <c r="P97" i="23"/>
  <c r="P98" i="23"/>
  <c r="P99" i="23"/>
  <c r="P100" i="23"/>
  <c r="P101" i="23"/>
  <c r="P102" i="23"/>
  <c r="P103" i="23"/>
  <c r="P104" i="23"/>
  <c r="P105" i="23"/>
  <c r="P106" i="23"/>
  <c r="P107" i="23"/>
  <c r="P108" i="23"/>
  <c r="P109" i="23"/>
  <c r="P110" i="23"/>
  <c r="P111" i="23"/>
  <c r="P112" i="23"/>
  <c r="P113" i="23"/>
  <c r="P114" i="23"/>
  <c r="P115" i="23"/>
  <c r="P116" i="23"/>
  <c r="P117" i="23"/>
  <c r="P118" i="23"/>
  <c r="P119" i="23"/>
  <c r="P120" i="23"/>
  <c r="P121" i="23"/>
  <c r="P122" i="23"/>
  <c r="P123" i="23"/>
  <c r="P124" i="23"/>
  <c r="P125" i="23"/>
  <c r="P126" i="23"/>
  <c r="P127" i="23"/>
  <c r="P128" i="23"/>
  <c r="P129" i="23"/>
  <c r="P130" i="23"/>
  <c r="P131" i="23"/>
  <c r="P132" i="23"/>
  <c r="P133" i="23"/>
  <c r="P134" i="23"/>
  <c r="P135" i="23"/>
  <c r="P136" i="23"/>
  <c r="P137" i="23"/>
  <c r="P138" i="23"/>
  <c r="P139" i="23"/>
  <c r="P140" i="23"/>
  <c r="P141" i="23"/>
  <c r="P142" i="23"/>
  <c r="P143" i="23"/>
  <c r="P144" i="23"/>
  <c r="P145" i="23"/>
  <c r="P146" i="23"/>
  <c r="P147" i="23"/>
  <c r="P148" i="23"/>
  <c r="P149" i="23"/>
  <c r="P150" i="23"/>
  <c r="P151" i="23"/>
  <c r="P152" i="23"/>
  <c r="P153" i="23"/>
  <c r="P154" i="23"/>
  <c r="P155" i="23"/>
  <c r="P156" i="23"/>
  <c r="P157" i="23"/>
  <c r="P158" i="23"/>
  <c r="P159" i="23"/>
  <c r="P160" i="23"/>
  <c r="P161" i="23"/>
  <c r="P162" i="23"/>
  <c r="P163" i="23"/>
  <c r="P164" i="23"/>
  <c r="P165" i="23"/>
  <c r="P166" i="23"/>
  <c r="P167" i="23"/>
  <c r="P168" i="23"/>
  <c r="P169" i="23"/>
  <c r="P170" i="23"/>
  <c r="P171" i="23"/>
  <c r="P172" i="23"/>
  <c r="P173" i="23"/>
  <c r="P174" i="23"/>
  <c r="P175" i="23"/>
  <c r="P176" i="23"/>
  <c r="P177" i="23"/>
  <c r="P178" i="23"/>
  <c r="P179" i="23"/>
  <c r="P180" i="23"/>
  <c r="P181" i="23"/>
  <c r="P182" i="23"/>
  <c r="P183" i="23"/>
  <c r="P184" i="23"/>
  <c r="P185" i="23"/>
  <c r="P186" i="23"/>
  <c r="P187" i="23"/>
  <c r="P188" i="23"/>
  <c r="P189" i="23"/>
  <c r="P190" i="23"/>
  <c r="P191" i="23"/>
  <c r="P192" i="23"/>
  <c r="P193" i="23"/>
  <c r="P194" i="23"/>
  <c r="P195" i="23"/>
  <c r="P196" i="23"/>
  <c r="P197" i="23"/>
  <c r="P198" i="23"/>
  <c r="P199" i="23"/>
  <c r="P200" i="23"/>
  <c r="P201" i="23"/>
  <c r="P202" i="23"/>
  <c r="P203" i="23"/>
  <c r="P204" i="23"/>
  <c r="P205" i="23"/>
  <c r="P206" i="23"/>
  <c r="P207" i="23"/>
  <c r="P208" i="23"/>
  <c r="P209" i="23"/>
  <c r="P210" i="23"/>
  <c r="P211" i="23"/>
  <c r="P212" i="23"/>
  <c r="P213" i="23"/>
  <c r="P214" i="23"/>
  <c r="P215" i="23"/>
  <c r="P216" i="23"/>
  <c r="P217" i="23"/>
  <c r="P218" i="23"/>
  <c r="P219" i="23"/>
  <c r="P220" i="23"/>
  <c r="P221" i="23"/>
  <c r="P222" i="23"/>
  <c r="P223" i="23"/>
  <c r="P224" i="23"/>
  <c r="P225" i="23"/>
  <c r="P226" i="23"/>
  <c r="P227" i="23"/>
  <c r="P228" i="23"/>
  <c r="P229" i="23"/>
  <c r="P230" i="23"/>
  <c r="P231" i="23"/>
  <c r="P232" i="23"/>
  <c r="P233" i="23"/>
  <c r="P234" i="23"/>
  <c r="P235" i="23"/>
  <c r="P236" i="23"/>
  <c r="P237" i="23"/>
  <c r="P238" i="23"/>
  <c r="P239" i="23"/>
  <c r="P240" i="23"/>
  <c r="P241" i="23"/>
  <c r="P242" i="23"/>
  <c r="P243" i="23"/>
  <c r="P244" i="23"/>
  <c r="P245" i="23"/>
  <c r="P246" i="23"/>
  <c r="P247" i="23"/>
  <c r="P248" i="23"/>
  <c r="P249" i="23"/>
  <c r="P250" i="23"/>
  <c r="P251" i="23"/>
  <c r="P252" i="23"/>
  <c r="P253" i="23"/>
  <c r="P254" i="23"/>
  <c r="P255" i="23"/>
  <c r="P256" i="23"/>
  <c r="P257" i="23"/>
  <c r="P258" i="23"/>
  <c r="P259" i="23"/>
  <c r="P260" i="23"/>
  <c r="P261" i="23"/>
  <c r="P262" i="23"/>
  <c r="P263" i="23"/>
  <c r="P264" i="23"/>
  <c r="P265" i="23"/>
  <c r="P266" i="23"/>
  <c r="P267" i="23"/>
  <c r="P268" i="23"/>
  <c r="P269" i="23"/>
  <c r="P270" i="23"/>
  <c r="P271" i="23"/>
  <c r="P272" i="23"/>
  <c r="P273" i="23"/>
  <c r="P274" i="23"/>
  <c r="P275" i="23"/>
  <c r="P276" i="23"/>
  <c r="P277" i="23"/>
  <c r="P278" i="23"/>
  <c r="P279" i="23"/>
  <c r="P280" i="23"/>
  <c r="P281" i="23"/>
  <c r="P282" i="23"/>
  <c r="P283" i="23"/>
  <c r="P284" i="23"/>
  <c r="P285" i="23"/>
  <c r="P286" i="23"/>
  <c r="P287" i="23"/>
  <c r="P288" i="23"/>
  <c r="P289" i="23"/>
  <c r="P290" i="23"/>
  <c r="P291" i="23"/>
  <c r="P292" i="23"/>
  <c r="P293" i="23"/>
  <c r="P294" i="23"/>
  <c r="P295" i="23"/>
  <c r="P296" i="23"/>
  <c r="P297" i="23"/>
  <c r="P298" i="23"/>
  <c r="P299" i="23"/>
  <c r="P300" i="23"/>
  <c r="P301" i="23"/>
  <c r="P302" i="23"/>
  <c r="P303" i="23"/>
  <c r="P304" i="23"/>
  <c r="P305" i="23"/>
  <c r="P306" i="23"/>
  <c r="P307" i="23"/>
  <c r="P308" i="23"/>
  <c r="P309" i="23"/>
  <c r="P310" i="23"/>
  <c r="P311" i="23"/>
  <c r="P312" i="23"/>
  <c r="P313" i="23"/>
  <c r="P314" i="23"/>
  <c r="P315" i="23"/>
  <c r="P316" i="23"/>
  <c r="P317" i="23"/>
  <c r="P318" i="23"/>
  <c r="P319" i="23"/>
  <c r="P320" i="23"/>
  <c r="P321" i="23"/>
  <c r="P322" i="23"/>
  <c r="P323" i="23"/>
  <c r="P324" i="23"/>
  <c r="P325" i="23"/>
  <c r="P326" i="23"/>
  <c r="P327" i="23"/>
  <c r="P328" i="23"/>
  <c r="P329" i="23"/>
  <c r="P330" i="23"/>
  <c r="P331" i="23"/>
  <c r="P332" i="23"/>
  <c r="P333" i="23"/>
  <c r="P334" i="23"/>
  <c r="P335" i="23"/>
  <c r="P336" i="23"/>
  <c r="P337" i="23"/>
  <c r="P338" i="23"/>
  <c r="P339" i="23"/>
  <c r="P340" i="23"/>
  <c r="P341" i="23"/>
  <c r="P342" i="23"/>
  <c r="P343" i="23"/>
  <c r="P344" i="23"/>
  <c r="P345" i="23"/>
  <c r="P346" i="23"/>
  <c r="P347" i="23"/>
  <c r="P348" i="23"/>
  <c r="P349" i="23"/>
  <c r="P350" i="23"/>
  <c r="P351" i="23"/>
  <c r="P352" i="23"/>
  <c r="P353" i="23"/>
  <c r="P354" i="23"/>
  <c r="P355" i="23"/>
  <c r="P356" i="23"/>
  <c r="P357" i="23"/>
  <c r="P358" i="23"/>
  <c r="P359" i="23"/>
  <c r="P360" i="23"/>
  <c r="P361" i="23"/>
  <c r="P362" i="23"/>
  <c r="P363" i="23"/>
  <c r="P364" i="23"/>
  <c r="P365" i="23"/>
  <c r="P366" i="23"/>
  <c r="P367" i="23"/>
  <c r="P368" i="23"/>
  <c r="P369" i="23"/>
  <c r="P370" i="23"/>
  <c r="P371" i="23"/>
  <c r="P372" i="23"/>
  <c r="P373" i="23"/>
  <c r="P374" i="23"/>
  <c r="P375" i="23"/>
  <c r="P376" i="23"/>
  <c r="P377" i="23"/>
  <c r="P378" i="23"/>
  <c r="P379" i="23"/>
  <c r="P380" i="23"/>
  <c r="P381" i="23"/>
  <c r="P382" i="23"/>
  <c r="P383" i="23"/>
  <c r="P384" i="23"/>
  <c r="P385" i="23"/>
  <c r="P386" i="23"/>
  <c r="P387" i="23"/>
  <c r="P388" i="23"/>
  <c r="P389" i="23"/>
  <c r="P390" i="23"/>
  <c r="P391" i="23"/>
  <c r="P392" i="23"/>
  <c r="P393" i="23"/>
  <c r="P394" i="23"/>
  <c r="P395" i="23"/>
  <c r="P396" i="23"/>
  <c r="P397" i="23"/>
  <c r="P398" i="23"/>
  <c r="P399" i="23"/>
  <c r="P400" i="23"/>
  <c r="P401" i="23"/>
  <c r="P402" i="23"/>
  <c r="P403" i="23"/>
  <c r="P404" i="23"/>
  <c r="P405" i="23"/>
  <c r="P406" i="23"/>
  <c r="P407" i="23"/>
  <c r="P408" i="23"/>
  <c r="P409" i="23"/>
  <c r="P410" i="23"/>
  <c r="P411" i="23"/>
  <c r="P412" i="23"/>
  <c r="P413" i="23"/>
  <c r="P414" i="23"/>
  <c r="P415" i="23"/>
  <c r="P416" i="23"/>
  <c r="P417" i="23"/>
  <c r="P418" i="23"/>
  <c r="P419" i="23"/>
  <c r="P420" i="23"/>
  <c r="P421" i="23"/>
  <c r="P422" i="23"/>
  <c r="P423" i="23"/>
  <c r="P424" i="23"/>
  <c r="P425" i="23"/>
  <c r="P426" i="23"/>
  <c r="P427" i="23"/>
  <c r="P428" i="23"/>
  <c r="P429" i="23"/>
  <c r="P430" i="23"/>
  <c r="P431" i="23"/>
  <c r="P432" i="23"/>
  <c r="P433" i="23"/>
  <c r="P434" i="23"/>
  <c r="P435" i="23"/>
  <c r="P436" i="23"/>
  <c r="P437" i="23"/>
  <c r="P438" i="23"/>
  <c r="P439" i="23"/>
  <c r="P440" i="23"/>
  <c r="P441" i="23"/>
  <c r="P442" i="23"/>
  <c r="P443" i="23"/>
  <c r="P444" i="23"/>
  <c r="P445" i="23"/>
  <c r="P446" i="23"/>
  <c r="P447" i="23"/>
  <c r="P448" i="23"/>
  <c r="P449" i="23"/>
  <c r="P450" i="23"/>
  <c r="P451" i="23"/>
  <c r="P452" i="23"/>
  <c r="P453" i="23"/>
  <c r="P454" i="23"/>
  <c r="P455" i="23"/>
  <c r="P456" i="23"/>
  <c r="P457" i="23"/>
  <c r="P458" i="23"/>
  <c r="P459" i="23"/>
  <c r="P460" i="23"/>
  <c r="P461" i="23"/>
  <c r="P462" i="23"/>
  <c r="P463" i="23"/>
  <c r="P464" i="23"/>
  <c r="P465" i="23"/>
  <c r="P466" i="23"/>
  <c r="P467" i="23"/>
  <c r="P468" i="23"/>
  <c r="P469" i="23"/>
  <c r="P470" i="23"/>
  <c r="P471" i="23"/>
  <c r="P472" i="23"/>
  <c r="P473" i="23"/>
  <c r="P474" i="23"/>
  <c r="P475" i="23"/>
  <c r="P476" i="23"/>
  <c r="P477" i="23"/>
  <c r="P478" i="23"/>
  <c r="P479" i="23"/>
  <c r="P480" i="23"/>
  <c r="P481" i="23"/>
  <c r="P482" i="23"/>
  <c r="P483" i="23"/>
  <c r="P484" i="23"/>
  <c r="P485" i="23"/>
  <c r="P486" i="23"/>
  <c r="P487" i="23"/>
  <c r="P488" i="23"/>
  <c r="P489" i="23"/>
  <c r="P490" i="23"/>
  <c r="P491" i="23"/>
  <c r="P492" i="23"/>
  <c r="P493" i="23"/>
  <c r="P494" i="23"/>
  <c r="P495" i="23"/>
  <c r="P496" i="23"/>
  <c r="P497" i="23"/>
  <c r="P498" i="23"/>
  <c r="P499" i="23"/>
  <c r="P500" i="23"/>
  <c r="P501" i="23"/>
  <c r="P502" i="23"/>
  <c r="P503" i="23"/>
  <c r="P504" i="23"/>
  <c r="P505" i="23"/>
  <c r="P506" i="23"/>
  <c r="P507" i="23"/>
  <c r="P508" i="23"/>
  <c r="P509" i="23"/>
  <c r="P510" i="23"/>
  <c r="P511" i="23"/>
  <c r="P512" i="23"/>
  <c r="P513" i="23"/>
  <c r="P514" i="23"/>
  <c r="P515" i="23"/>
  <c r="P516" i="23"/>
  <c r="P517" i="23"/>
  <c r="P518" i="23"/>
  <c r="P519" i="23"/>
  <c r="P520" i="23"/>
  <c r="P521" i="23"/>
  <c r="P522" i="23"/>
  <c r="P523" i="23"/>
  <c r="P524" i="23"/>
  <c r="P525" i="23"/>
  <c r="P526" i="23"/>
  <c r="P527" i="23"/>
  <c r="P528" i="23"/>
  <c r="P529" i="23"/>
  <c r="P530" i="23"/>
  <c r="P531" i="23"/>
  <c r="P532" i="23"/>
  <c r="P533" i="23"/>
  <c r="P534" i="23"/>
  <c r="P535" i="23"/>
  <c r="P536" i="23"/>
  <c r="P537" i="23"/>
  <c r="P538" i="23"/>
  <c r="P539" i="23"/>
  <c r="P540" i="23"/>
  <c r="P541" i="23"/>
  <c r="P542" i="23"/>
  <c r="P543" i="23"/>
  <c r="P544" i="23"/>
  <c r="P545" i="23"/>
  <c r="P546" i="23"/>
  <c r="P547" i="23"/>
  <c r="P548" i="23"/>
  <c r="P549" i="23"/>
  <c r="P550" i="23"/>
  <c r="P551" i="23"/>
  <c r="P552" i="23"/>
  <c r="P553" i="23"/>
  <c r="P554" i="23"/>
  <c r="P555" i="23"/>
  <c r="P556" i="23"/>
  <c r="P557" i="23"/>
  <c r="P558" i="23"/>
  <c r="P559" i="23"/>
  <c r="P560" i="23"/>
  <c r="P561" i="23"/>
  <c r="P562" i="23"/>
  <c r="P563" i="23"/>
  <c r="P564" i="23"/>
  <c r="P565" i="23"/>
  <c r="P566" i="23"/>
  <c r="P567" i="23"/>
  <c r="P568" i="23"/>
  <c r="P569" i="23"/>
  <c r="P570" i="23"/>
  <c r="P571" i="23"/>
  <c r="P572" i="23"/>
  <c r="P573" i="23"/>
  <c r="P574" i="23"/>
  <c r="P575" i="23"/>
  <c r="P576" i="23"/>
  <c r="P577" i="23"/>
  <c r="P578" i="23"/>
  <c r="P579" i="23"/>
  <c r="P580" i="23"/>
  <c r="P581" i="23"/>
  <c r="P582" i="23"/>
  <c r="P583" i="23"/>
  <c r="P584" i="23"/>
  <c r="P585" i="23"/>
  <c r="P586" i="23"/>
  <c r="P587" i="23"/>
  <c r="P588" i="23"/>
  <c r="P589" i="23"/>
  <c r="P590" i="23"/>
  <c r="P591" i="23"/>
  <c r="P592" i="23"/>
  <c r="P593" i="23"/>
  <c r="P594" i="23"/>
  <c r="P595" i="23"/>
  <c r="P596" i="23"/>
  <c r="P597" i="23"/>
  <c r="P598" i="23"/>
  <c r="P599" i="23"/>
  <c r="P600" i="23"/>
  <c r="P601" i="23"/>
  <c r="P602" i="23"/>
  <c r="P603" i="23"/>
  <c r="P604" i="23"/>
  <c r="P605" i="23"/>
  <c r="P606" i="23"/>
  <c r="P607" i="23"/>
  <c r="P608" i="23"/>
  <c r="P609" i="23"/>
  <c r="P610" i="23"/>
  <c r="P611" i="23"/>
  <c r="P612" i="23"/>
  <c r="P613" i="23"/>
  <c r="P614" i="23"/>
  <c r="P615" i="23"/>
  <c r="P616" i="23"/>
  <c r="P617" i="23"/>
  <c r="P618" i="23"/>
  <c r="P619" i="23"/>
  <c r="P620" i="23"/>
  <c r="P621" i="23"/>
  <c r="P622" i="23"/>
  <c r="P623" i="23"/>
  <c r="P624" i="23"/>
  <c r="P625" i="23"/>
  <c r="P626" i="23"/>
  <c r="P627" i="23"/>
  <c r="P628" i="23"/>
  <c r="P629" i="23"/>
  <c r="P630" i="23"/>
  <c r="P631" i="23"/>
  <c r="P632" i="23"/>
  <c r="P633" i="23"/>
  <c r="P634" i="23"/>
  <c r="P635" i="23"/>
  <c r="P636" i="23"/>
  <c r="P637" i="23"/>
  <c r="P638" i="23"/>
  <c r="P639" i="23"/>
  <c r="P640" i="23"/>
  <c r="P641" i="23"/>
  <c r="P642" i="23"/>
  <c r="P643" i="23"/>
  <c r="P644" i="23"/>
  <c r="P645" i="23"/>
  <c r="P646" i="23"/>
  <c r="P647" i="23"/>
  <c r="P648" i="23"/>
  <c r="P649" i="23"/>
  <c r="P650" i="23"/>
  <c r="P651" i="23"/>
  <c r="P652" i="23"/>
  <c r="P653" i="23"/>
  <c r="P654" i="23"/>
  <c r="P655" i="23"/>
  <c r="P656" i="23"/>
  <c r="P657" i="23"/>
  <c r="P658" i="23"/>
  <c r="P659" i="23"/>
  <c r="P660" i="23"/>
  <c r="P661" i="23"/>
  <c r="P662" i="23"/>
  <c r="P663" i="23"/>
  <c r="P664" i="23"/>
  <c r="P665" i="23"/>
  <c r="P666" i="23"/>
  <c r="P667" i="23"/>
  <c r="P668" i="23"/>
  <c r="P669" i="23"/>
  <c r="P670" i="23"/>
  <c r="P671" i="23"/>
  <c r="P672" i="23"/>
  <c r="P673" i="23"/>
  <c r="P674" i="23"/>
  <c r="P675" i="23"/>
  <c r="P676" i="23"/>
  <c r="P677" i="23"/>
  <c r="P678" i="23"/>
  <c r="P679" i="23"/>
  <c r="P680" i="23"/>
  <c r="P681" i="23"/>
  <c r="P682" i="23"/>
  <c r="P683" i="23"/>
  <c r="P684" i="23"/>
  <c r="P685" i="23"/>
  <c r="P686" i="23"/>
  <c r="P687" i="23"/>
  <c r="P688" i="23"/>
  <c r="P689" i="23"/>
  <c r="P690" i="23"/>
  <c r="P691" i="23"/>
  <c r="P692" i="23"/>
  <c r="P693" i="23"/>
  <c r="P694" i="23"/>
  <c r="P695" i="23"/>
  <c r="P696" i="23"/>
  <c r="P697" i="23"/>
  <c r="P698" i="23"/>
  <c r="P699" i="23"/>
  <c r="P700" i="23"/>
  <c r="P701" i="23"/>
  <c r="P702" i="23"/>
  <c r="P703" i="23"/>
  <c r="P704" i="23"/>
  <c r="P705" i="23"/>
  <c r="P706" i="23"/>
  <c r="P707" i="23"/>
  <c r="P708" i="23"/>
  <c r="P709" i="23"/>
  <c r="P710" i="23"/>
  <c r="P711" i="23"/>
  <c r="P712" i="23"/>
  <c r="P713" i="23"/>
  <c r="P714" i="23"/>
  <c r="P715" i="23"/>
  <c r="P716" i="23"/>
  <c r="P717" i="23"/>
  <c r="P718" i="23"/>
  <c r="P719" i="23"/>
  <c r="P720" i="23"/>
  <c r="P721" i="23"/>
  <c r="P722" i="23"/>
  <c r="P723" i="23"/>
  <c r="P724" i="23"/>
  <c r="P725" i="23"/>
  <c r="P726" i="23"/>
  <c r="P727" i="23"/>
  <c r="P728" i="23"/>
  <c r="P729" i="23"/>
  <c r="P730" i="23"/>
  <c r="P731" i="23"/>
  <c r="P732" i="23"/>
  <c r="P733" i="23"/>
  <c r="P734" i="23"/>
  <c r="P735" i="23"/>
  <c r="P736" i="23"/>
  <c r="P737" i="23"/>
  <c r="P738" i="23"/>
  <c r="P739" i="23"/>
  <c r="P740" i="23"/>
  <c r="P741" i="23"/>
  <c r="P742" i="23"/>
  <c r="P743" i="23"/>
  <c r="P744" i="23"/>
  <c r="P745" i="23"/>
  <c r="P746" i="23"/>
  <c r="P747" i="23"/>
  <c r="P748" i="23"/>
  <c r="P749" i="23"/>
  <c r="P750" i="23"/>
  <c r="P751" i="23"/>
  <c r="P752" i="23"/>
  <c r="P753" i="23"/>
  <c r="P754" i="23"/>
  <c r="P755" i="23"/>
  <c r="P756" i="23"/>
  <c r="P757" i="23"/>
  <c r="P758" i="23"/>
  <c r="P759" i="23"/>
  <c r="P760" i="23"/>
  <c r="P761" i="23"/>
  <c r="P762" i="23"/>
  <c r="P763" i="23"/>
  <c r="P764" i="23"/>
  <c r="P765" i="23"/>
  <c r="P766" i="23"/>
  <c r="P767" i="23"/>
  <c r="P768" i="23"/>
  <c r="P769" i="23"/>
  <c r="P770" i="23"/>
  <c r="P771" i="23"/>
  <c r="P772" i="23"/>
  <c r="P773" i="23"/>
  <c r="P774" i="23"/>
  <c r="P775" i="23"/>
  <c r="P776" i="23"/>
  <c r="P777" i="23"/>
  <c r="P778" i="23"/>
  <c r="P779" i="23"/>
  <c r="P780" i="23"/>
  <c r="P781" i="23"/>
  <c r="P782" i="23"/>
  <c r="P783" i="23"/>
  <c r="P784" i="23"/>
  <c r="P785" i="23"/>
  <c r="P786" i="23"/>
  <c r="P787" i="23"/>
  <c r="P788" i="23"/>
  <c r="P789" i="23"/>
  <c r="P790" i="23"/>
  <c r="P791" i="23"/>
  <c r="P792" i="23"/>
  <c r="P793" i="23"/>
  <c r="P794" i="23"/>
  <c r="P795" i="23"/>
  <c r="P796" i="23"/>
  <c r="P797" i="23"/>
  <c r="P798" i="23"/>
  <c r="P799" i="23"/>
  <c r="P800" i="23"/>
  <c r="P801" i="23"/>
  <c r="P802" i="23"/>
  <c r="P803" i="23"/>
  <c r="P804" i="23"/>
  <c r="P805" i="23"/>
  <c r="P806" i="23"/>
  <c r="P807" i="23"/>
  <c r="P808" i="23"/>
  <c r="P809" i="23"/>
  <c r="P810" i="23"/>
  <c r="P811" i="23"/>
  <c r="P812" i="23"/>
  <c r="P813" i="23"/>
  <c r="P814" i="23"/>
  <c r="P815" i="23"/>
  <c r="P816" i="23"/>
  <c r="P817" i="23"/>
  <c r="P818" i="23"/>
  <c r="P819" i="23"/>
  <c r="P820" i="23"/>
  <c r="P821" i="23"/>
  <c r="P822" i="23"/>
  <c r="P823" i="23"/>
  <c r="P824" i="23"/>
  <c r="P825" i="23"/>
  <c r="P826" i="23"/>
  <c r="P827" i="23"/>
  <c r="P828" i="23"/>
  <c r="P829" i="23"/>
  <c r="P830" i="23"/>
  <c r="P831" i="23"/>
  <c r="P832" i="23"/>
  <c r="P833" i="23"/>
  <c r="P834" i="23"/>
  <c r="P835" i="23"/>
  <c r="P836" i="23"/>
  <c r="P837" i="23"/>
  <c r="P838" i="23"/>
  <c r="P839" i="23"/>
  <c r="P840" i="23"/>
  <c r="P841" i="23"/>
  <c r="P842" i="23"/>
  <c r="P843" i="23"/>
  <c r="P844" i="23"/>
  <c r="P845" i="23"/>
  <c r="P846" i="23"/>
  <c r="P847" i="23"/>
  <c r="P848" i="23"/>
  <c r="P849" i="23"/>
  <c r="P850" i="23"/>
  <c r="P851" i="23"/>
  <c r="P852" i="23"/>
  <c r="P853" i="23"/>
  <c r="P854" i="23"/>
  <c r="P855" i="23"/>
  <c r="P856" i="23"/>
  <c r="P857" i="23"/>
  <c r="P858" i="23"/>
  <c r="P859" i="23"/>
  <c r="P860" i="23"/>
  <c r="P861" i="23"/>
  <c r="P862" i="23"/>
  <c r="P863" i="23"/>
  <c r="P864" i="23"/>
  <c r="P865" i="23"/>
  <c r="P866" i="23"/>
  <c r="P867" i="23"/>
  <c r="P868" i="23"/>
  <c r="P869" i="23"/>
  <c r="P870" i="23"/>
  <c r="P871" i="23"/>
  <c r="P872" i="23"/>
  <c r="P873" i="23"/>
  <c r="P874" i="23"/>
  <c r="P875" i="23"/>
  <c r="P876" i="23"/>
  <c r="P877" i="23"/>
  <c r="P878" i="23"/>
  <c r="P879" i="23"/>
  <c r="P880" i="23"/>
  <c r="P881" i="23"/>
  <c r="P882" i="23"/>
  <c r="P883" i="23"/>
  <c r="P884" i="23"/>
  <c r="P885" i="23"/>
  <c r="P886" i="23"/>
  <c r="P887" i="23"/>
  <c r="P888" i="23"/>
  <c r="P889" i="23"/>
  <c r="P890" i="23"/>
  <c r="P891" i="23"/>
  <c r="P892" i="23"/>
  <c r="P893" i="23"/>
  <c r="P894" i="23"/>
  <c r="P895" i="23"/>
  <c r="P896" i="23"/>
  <c r="P897" i="23"/>
  <c r="P898" i="23"/>
  <c r="P899" i="23"/>
  <c r="P900" i="23"/>
  <c r="P901" i="23"/>
  <c r="P902" i="23"/>
  <c r="P903" i="23"/>
  <c r="P904" i="23"/>
  <c r="P905" i="23"/>
  <c r="P906" i="23"/>
  <c r="P907" i="23"/>
  <c r="P908" i="23"/>
  <c r="P909" i="23"/>
  <c r="P910" i="23"/>
  <c r="P911" i="23"/>
  <c r="P912" i="23"/>
  <c r="P913" i="23"/>
  <c r="P914" i="23"/>
  <c r="P915" i="23"/>
  <c r="P916" i="23"/>
  <c r="P917" i="23"/>
  <c r="P918" i="23"/>
  <c r="P919" i="23"/>
  <c r="P920" i="23"/>
  <c r="P921" i="23"/>
  <c r="P922" i="23"/>
  <c r="P923" i="23"/>
  <c r="P924" i="23"/>
  <c r="P925" i="23"/>
  <c r="P926" i="23"/>
  <c r="P927" i="23"/>
  <c r="P928" i="23"/>
  <c r="P929" i="23"/>
  <c r="P930" i="23"/>
  <c r="P931" i="23"/>
  <c r="P932" i="23"/>
  <c r="P933" i="23"/>
  <c r="P934" i="23"/>
  <c r="P935" i="23"/>
  <c r="P936" i="23"/>
  <c r="P937" i="23"/>
  <c r="P938" i="23"/>
  <c r="P939" i="23"/>
  <c r="P940" i="23"/>
  <c r="P941" i="23"/>
  <c r="P942" i="23"/>
  <c r="P943" i="23"/>
  <c r="P944" i="23"/>
  <c r="P945" i="23"/>
  <c r="P946" i="23"/>
  <c r="P947" i="23"/>
  <c r="P948" i="23"/>
  <c r="P949" i="23"/>
  <c r="P950" i="23"/>
  <c r="P951" i="23"/>
  <c r="P952" i="23"/>
  <c r="P953" i="23"/>
  <c r="P954" i="23"/>
  <c r="P955" i="23"/>
  <c r="P956" i="23"/>
  <c r="P957" i="23"/>
  <c r="P958" i="23"/>
  <c r="P959" i="23"/>
  <c r="P960" i="23"/>
  <c r="P961" i="23"/>
  <c r="P962" i="23"/>
  <c r="P963" i="23"/>
  <c r="P964" i="23"/>
  <c r="P965" i="23"/>
  <c r="P966" i="23"/>
  <c r="P967" i="23"/>
  <c r="P968" i="23"/>
  <c r="P969" i="23"/>
  <c r="P970" i="23"/>
  <c r="P971" i="23"/>
  <c r="P972" i="23"/>
  <c r="P973" i="23"/>
  <c r="P974" i="23"/>
  <c r="P975" i="23"/>
  <c r="P976" i="23"/>
  <c r="P977" i="23"/>
  <c r="P978" i="23"/>
  <c r="P979" i="23"/>
  <c r="P980" i="23"/>
  <c r="P981" i="23"/>
  <c r="P982" i="23"/>
  <c r="P983" i="23"/>
  <c r="P984" i="23"/>
  <c r="P985" i="23"/>
  <c r="P986" i="23"/>
  <c r="P987" i="23"/>
  <c r="P988" i="23"/>
  <c r="P989" i="23"/>
  <c r="P990" i="23"/>
  <c r="P991" i="23"/>
  <c r="P992" i="23"/>
  <c r="P993" i="23"/>
  <c r="P994" i="23"/>
  <c r="P995" i="23"/>
  <c r="P996" i="23"/>
  <c r="P997" i="23"/>
  <c r="P998" i="23"/>
  <c r="P999" i="23"/>
  <c r="P1000" i="23"/>
  <c r="P1001" i="23"/>
  <c r="P1002" i="23"/>
  <c r="P1003" i="23"/>
  <c r="P1004" i="23"/>
  <c r="P1005" i="23"/>
  <c r="P1006" i="23"/>
  <c r="P1007" i="23"/>
  <c r="P1008" i="23"/>
  <c r="P1009" i="23"/>
  <c r="P1010" i="23"/>
  <c r="P1011" i="23"/>
  <c r="P1012" i="23"/>
  <c r="P1013" i="23"/>
  <c r="P1014" i="23"/>
  <c r="P1015" i="23"/>
  <c r="P1016" i="23"/>
  <c r="P1017" i="23"/>
  <c r="P1018" i="23"/>
  <c r="P1019" i="23"/>
  <c r="P1020" i="23"/>
  <c r="P1021" i="23"/>
  <c r="P1022" i="23"/>
  <c r="P1023" i="23"/>
  <c r="P1024" i="23"/>
  <c r="P1025" i="23"/>
  <c r="P1026" i="23"/>
  <c r="P1027" i="23"/>
  <c r="P1028" i="23"/>
  <c r="P1029" i="23"/>
  <c r="P1030" i="23"/>
  <c r="P1031" i="23"/>
  <c r="P1032" i="23"/>
  <c r="P1033" i="23"/>
  <c r="P1034" i="23"/>
  <c r="P1035" i="23"/>
  <c r="P1036" i="23"/>
  <c r="P1037" i="23"/>
  <c r="P1038" i="23"/>
  <c r="P1039" i="23"/>
  <c r="P1040" i="23"/>
  <c r="P1041" i="23"/>
  <c r="P1042" i="23"/>
  <c r="P1043" i="23"/>
  <c r="P1044" i="23"/>
  <c r="P1045" i="23"/>
  <c r="P1046" i="23"/>
  <c r="P1047" i="23"/>
  <c r="P1048" i="23"/>
  <c r="P1049" i="23"/>
  <c r="P1050" i="23"/>
  <c r="P1051" i="23"/>
  <c r="P1052" i="23"/>
  <c r="P1053" i="23"/>
  <c r="P1054" i="23"/>
  <c r="P1055" i="23"/>
  <c r="P1056" i="23"/>
  <c r="P1057" i="23"/>
  <c r="P1058" i="23"/>
  <c r="P1059" i="23"/>
  <c r="P1060" i="23"/>
  <c r="P1061" i="23"/>
  <c r="P1062" i="23"/>
  <c r="P1063" i="23"/>
  <c r="P1064" i="23"/>
  <c r="P1065" i="23"/>
  <c r="P1066" i="23"/>
  <c r="P1067" i="23"/>
  <c r="P1068" i="23"/>
  <c r="P1069" i="23"/>
  <c r="P1070" i="23"/>
  <c r="P1071" i="23"/>
  <c r="P1072" i="23"/>
  <c r="P1073" i="23"/>
  <c r="P1074" i="23"/>
  <c r="P1075" i="23"/>
  <c r="P1076" i="23"/>
  <c r="P1077" i="23"/>
  <c r="P1078" i="23"/>
  <c r="P1079" i="23"/>
  <c r="P1080" i="23"/>
  <c r="P1081" i="23"/>
  <c r="P1082" i="23"/>
  <c r="P1083" i="23"/>
  <c r="P1084" i="23"/>
  <c r="P1085" i="23"/>
  <c r="P1086" i="23"/>
  <c r="P1087" i="23"/>
  <c r="P1088" i="23"/>
  <c r="P1089" i="23"/>
  <c r="P1090" i="23"/>
  <c r="P1091" i="23"/>
  <c r="P1092" i="23"/>
  <c r="P1093" i="23"/>
  <c r="P1094" i="23"/>
  <c r="P1095" i="23"/>
  <c r="P1096" i="23"/>
  <c r="P1097" i="23"/>
  <c r="P1098" i="23"/>
  <c r="P1099" i="23"/>
  <c r="P1100" i="23"/>
  <c r="P1101" i="23"/>
  <c r="P1102" i="23"/>
  <c r="P1103" i="23"/>
  <c r="P1104" i="23"/>
  <c r="P1105" i="23"/>
  <c r="P1106" i="23"/>
  <c r="P1107" i="23"/>
  <c r="P1108" i="23"/>
  <c r="P1109" i="23"/>
  <c r="P1110" i="23"/>
  <c r="P1111" i="23"/>
  <c r="P1112" i="23"/>
  <c r="P1113" i="23"/>
  <c r="P1114" i="23"/>
  <c r="P1115" i="23"/>
  <c r="P1116" i="23"/>
  <c r="P1117" i="23"/>
  <c r="P1118" i="23"/>
  <c r="P1119" i="23"/>
  <c r="P1120" i="23"/>
  <c r="P1121" i="23"/>
  <c r="P1122" i="23"/>
  <c r="P1123" i="23"/>
  <c r="P1124" i="23"/>
  <c r="P1125" i="23"/>
  <c r="P1126" i="23"/>
  <c r="P1127" i="23"/>
  <c r="P1128" i="23"/>
  <c r="P1129" i="23"/>
  <c r="P1130" i="23"/>
  <c r="P1131" i="23"/>
  <c r="P1132" i="23"/>
  <c r="P1133" i="23"/>
  <c r="P1134" i="23"/>
  <c r="P1135" i="23"/>
  <c r="P1136" i="23"/>
  <c r="P1137" i="23"/>
  <c r="P1138" i="23"/>
  <c r="P1139" i="23"/>
  <c r="P1140" i="23"/>
  <c r="P1141" i="23"/>
  <c r="P1142" i="23"/>
  <c r="P1143" i="23"/>
  <c r="P1144" i="23"/>
  <c r="P1145" i="23"/>
  <c r="P1146" i="23"/>
  <c r="P1147" i="23"/>
  <c r="P1148" i="23"/>
  <c r="P1149" i="23"/>
  <c r="P1150" i="23"/>
  <c r="P1151" i="23"/>
  <c r="P1152" i="23"/>
  <c r="P1153" i="23"/>
  <c r="P1154" i="23"/>
  <c r="P1155" i="23"/>
  <c r="P1156" i="23"/>
  <c r="P1157" i="23"/>
  <c r="P1158" i="23"/>
  <c r="P1159" i="23"/>
  <c r="P1160" i="23"/>
  <c r="P1161" i="23"/>
  <c r="P1162" i="23"/>
  <c r="P1163" i="23"/>
  <c r="P1164" i="23"/>
  <c r="P1165" i="23"/>
  <c r="P1166" i="23"/>
  <c r="P1167" i="23"/>
  <c r="P1168" i="23"/>
  <c r="P1169" i="23"/>
  <c r="P1170" i="23"/>
  <c r="P1171" i="23"/>
  <c r="P1172" i="23"/>
  <c r="P1173" i="23"/>
  <c r="P1174" i="23"/>
  <c r="P1175" i="23"/>
  <c r="P1176" i="23"/>
  <c r="P1177" i="23"/>
  <c r="P1178" i="23"/>
  <c r="P1179" i="23"/>
  <c r="P1180" i="23"/>
  <c r="P1181" i="23"/>
  <c r="P1182" i="23"/>
  <c r="P1183" i="23"/>
  <c r="P1184" i="23"/>
  <c r="P1185" i="23"/>
  <c r="P1186" i="23"/>
  <c r="P1187" i="23"/>
  <c r="P1188" i="23"/>
  <c r="P1189" i="23"/>
  <c r="P1190" i="23"/>
  <c r="P1191" i="23"/>
  <c r="P1192" i="23"/>
  <c r="P1193" i="23"/>
  <c r="P1194" i="23"/>
  <c r="P1195" i="23"/>
  <c r="P1196" i="23"/>
  <c r="P1197" i="23"/>
  <c r="P1198" i="23"/>
  <c r="P1199" i="23"/>
  <c r="P1200" i="23"/>
  <c r="P1201" i="23"/>
  <c r="P1202" i="23"/>
  <c r="P1203" i="23"/>
  <c r="P1204" i="23"/>
  <c r="P1205" i="23"/>
  <c r="P1206" i="23"/>
  <c r="P1207" i="23"/>
  <c r="P1208" i="23"/>
  <c r="P1209" i="23"/>
  <c r="P1210" i="23"/>
  <c r="P1211" i="23"/>
  <c r="P1212" i="23"/>
  <c r="P1213" i="23"/>
  <c r="P1214" i="23"/>
  <c r="P1215" i="23"/>
  <c r="P1216" i="23"/>
  <c r="P1217" i="23"/>
  <c r="P1218" i="23"/>
  <c r="P1219" i="23"/>
  <c r="P1220" i="23"/>
  <c r="P1221" i="23"/>
  <c r="P1222" i="23"/>
  <c r="P1223" i="23"/>
  <c r="P1224" i="23"/>
  <c r="P1225" i="23"/>
  <c r="P1226" i="23"/>
  <c r="P1227" i="23"/>
  <c r="P1228" i="23"/>
  <c r="P1229" i="23"/>
  <c r="P1230" i="23"/>
  <c r="P1231" i="23"/>
  <c r="P1232" i="23"/>
  <c r="P1233" i="23"/>
  <c r="P1234" i="23"/>
  <c r="P1235" i="23"/>
  <c r="P1236" i="23"/>
  <c r="P1237" i="23"/>
  <c r="P1238" i="23"/>
  <c r="P1239" i="23"/>
  <c r="P1240" i="23"/>
  <c r="P1241" i="23"/>
  <c r="P1242" i="23"/>
  <c r="P1243" i="23"/>
  <c r="P1244" i="23"/>
  <c r="P1245" i="23"/>
  <c r="P1246" i="23"/>
  <c r="P1247" i="23"/>
  <c r="P1248" i="23"/>
  <c r="P1249" i="23"/>
  <c r="P1250" i="23"/>
  <c r="P1251" i="23"/>
  <c r="P1252" i="23"/>
  <c r="P1253" i="23"/>
  <c r="P1254" i="23"/>
  <c r="P1255" i="23"/>
  <c r="P1256" i="23"/>
  <c r="P1257" i="23"/>
  <c r="P1258" i="23"/>
  <c r="P1259" i="23"/>
  <c r="P1260" i="23"/>
  <c r="P1261" i="23"/>
  <c r="P1262" i="23"/>
  <c r="P1263" i="23"/>
  <c r="P1264" i="23"/>
  <c r="P1265" i="23"/>
  <c r="P1266" i="23"/>
  <c r="P1267" i="23"/>
  <c r="P1268" i="23"/>
  <c r="P1269" i="23"/>
  <c r="P1270" i="23"/>
  <c r="P1271" i="23"/>
  <c r="P1272" i="23"/>
  <c r="P1273" i="23"/>
  <c r="P1274" i="23"/>
  <c r="P1275" i="23"/>
  <c r="P1276" i="23"/>
  <c r="P1277" i="23"/>
  <c r="P1278" i="23"/>
  <c r="P1279" i="23"/>
  <c r="P1280" i="23"/>
  <c r="P1281" i="23"/>
  <c r="P1282" i="23"/>
  <c r="P1283" i="23"/>
  <c r="P1284" i="23"/>
  <c r="P1285" i="23"/>
  <c r="P1286" i="23"/>
  <c r="P1287" i="23"/>
  <c r="P1288" i="23"/>
  <c r="P1289" i="23"/>
  <c r="P1290" i="23"/>
  <c r="P1291" i="23"/>
  <c r="P1292" i="23"/>
  <c r="P1293" i="23"/>
  <c r="P1294" i="23"/>
  <c r="P1295" i="23"/>
  <c r="P1296" i="23"/>
  <c r="P1297" i="23"/>
  <c r="P1298" i="23"/>
  <c r="P1299" i="23"/>
  <c r="P1300" i="23"/>
  <c r="P1301" i="23"/>
  <c r="P1302" i="23"/>
  <c r="P1303" i="23"/>
  <c r="P1304" i="23"/>
  <c r="P1305" i="23"/>
  <c r="P1306" i="23"/>
  <c r="P1307" i="23"/>
  <c r="P1308" i="23"/>
  <c r="P1309" i="23"/>
  <c r="P1310" i="23"/>
  <c r="P1311" i="23"/>
  <c r="P1312" i="23"/>
  <c r="P1313" i="23"/>
  <c r="P1314" i="23"/>
  <c r="P1315" i="23"/>
  <c r="P1316" i="23"/>
  <c r="P1317" i="23"/>
  <c r="P1318" i="23"/>
  <c r="P1319" i="23"/>
  <c r="P1320" i="23"/>
  <c r="P1321" i="23"/>
  <c r="P1322" i="23"/>
  <c r="P1323" i="23"/>
  <c r="P1324" i="23"/>
  <c r="P1325" i="23"/>
  <c r="P1326" i="23"/>
  <c r="P1327" i="23"/>
  <c r="P1328" i="23"/>
  <c r="P1329" i="23"/>
  <c r="P1330" i="23"/>
  <c r="P1331" i="23"/>
  <c r="P1332" i="23"/>
  <c r="P1333" i="23"/>
  <c r="P1334" i="23"/>
  <c r="P1335" i="23"/>
  <c r="P1336" i="23"/>
  <c r="P1337" i="23"/>
  <c r="P1338" i="23"/>
  <c r="P1339" i="23"/>
  <c r="P1340" i="23"/>
  <c r="P1341" i="23"/>
  <c r="P1342" i="23"/>
  <c r="P1343" i="23"/>
  <c r="P1344" i="23"/>
  <c r="P1345" i="23"/>
  <c r="P1346" i="23"/>
  <c r="P1347" i="23"/>
  <c r="P1348" i="23"/>
  <c r="P1349" i="23"/>
  <c r="P1350" i="23"/>
  <c r="P1351" i="23"/>
  <c r="P1352" i="23"/>
  <c r="P1353" i="23"/>
  <c r="P1354" i="23"/>
  <c r="P1355" i="23"/>
  <c r="P1356" i="23"/>
  <c r="P1357" i="23"/>
  <c r="P1358" i="23"/>
  <c r="P1359" i="23"/>
  <c r="P1360" i="23"/>
  <c r="P1361" i="23"/>
  <c r="P1362" i="23"/>
  <c r="P1363" i="23"/>
  <c r="P1364" i="23"/>
  <c r="P1365" i="23"/>
  <c r="P1366" i="23"/>
  <c r="P1367" i="23"/>
  <c r="P1368" i="23"/>
  <c r="P1369" i="23"/>
  <c r="P1370" i="23"/>
  <c r="P1371" i="23"/>
  <c r="P1372" i="23"/>
  <c r="P1373" i="23"/>
  <c r="P1374" i="23"/>
  <c r="P1375" i="23"/>
  <c r="P1376" i="23"/>
  <c r="P1377" i="23"/>
  <c r="P1378" i="23"/>
  <c r="P1379" i="23"/>
  <c r="P1380" i="23"/>
  <c r="P1381" i="23"/>
  <c r="P1382" i="23"/>
  <c r="P1383" i="23"/>
  <c r="P1384" i="23"/>
  <c r="P1385" i="23"/>
  <c r="P1386" i="23"/>
  <c r="P1387" i="23"/>
  <c r="P1388" i="23"/>
  <c r="P1389" i="23"/>
  <c r="P1390" i="23"/>
  <c r="P1391" i="23"/>
  <c r="P1392" i="23"/>
  <c r="P1393" i="23"/>
  <c r="P1394" i="23"/>
  <c r="P1395" i="23"/>
  <c r="P1396" i="23"/>
  <c r="P1397" i="23"/>
  <c r="P1398" i="23"/>
  <c r="P1399" i="23"/>
  <c r="P1400" i="23"/>
  <c r="P1401" i="23"/>
  <c r="P1402" i="23"/>
  <c r="P1403" i="23"/>
  <c r="P1404" i="23"/>
  <c r="P1405" i="23"/>
  <c r="P1406" i="23"/>
  <c r="P1407" i="23"/>
  <c r="P1408" i="23"/>
  <c r="P1409" i="23"/>
  <c r="P1410" i="23"/>
  <c r="P1411" i="23"/>
  <c r="P1412" i="23"/>
  <c r="P1413" i="23"/>
  <c r="P1414" i="23"/>
  <c r="P1415" i="23"/>
  <c r="P1416" i="23"/>
  <c r="P1417" i="23"/>
  <c r="P1418" i="23"/>
  <c r="P1419" i="23"/>
  <c r="P1420" i="23"/>
  <c r="P1421" i="23"/>
  <c r="P1422" i="23"/>
  <c r="P1423" i="23"/>
  <c r="P1424" i="23"/>
  <c r="P1425" i="23"/>
  <c r="P1426" i="23"/>
  <c r="P1427" i="23"/>
  <c r="P1428" i="23"/>
  <c r="P1429" i="23"/>
  <c r="P1430" i="23"/>
  <c r="P1431" i="23"/>
  <c r="P1432" i="23"/>
  <c r="P1433" i="23"/>
  <c r="P1434" i="23"/>
  <c r="P1435" i="23"/>
  <c r="P1436" i="23"/>
  <c r="P1437" i="23"/>
  <c r="P1438" i="23"/>
  <c r="P1439" i="23"/>
  <c r="P1440" i="23"/>
  <c r="P1441" i="23"/>
  <c r="P1442" i="23"/>
  <c r="P1443" i="23"/>
  <c r="P1444" i="23"/>
  <c r="P1445" i="23"/>
  <c r="P1446" i="23"/>
  <c r="P1447" i="23"/>
  <c r="P1448" i="23"/>
  <c r="P1449" i="23"/>
  <c r="P1450" i="23"/>
  <c r="P1451" i="23"/>
  <c r="P1452" i="23"/>
  <c r="P1453" i="23"/>
  <c r="P1454" i="23"/>
  <c r="P1455" i="23"/>
  <c r="P1456" i="23"/>
  <c r="P1457" i="23"/>
  <c r="P1458" i="23"/>
  <c r="P1459" i="23"/>
  <c r="P1460" i="23"/>
  <c r="P1461" i="23"/>
  <c r="P1462" i="23"/>
  <c r="P1463" i="23"/>
  <c r="P1464" i="23"/>
  <c r="P1465" i="23"/>
  <c r="P1466" i="23"/>
  <c r="P1467" i="23"/>
  <c r="P1468" i="23"/>
  <c r="P1469" i="23"/>
  <c r="P1470" i="23"/>
  <c r="P1471" i="23"/>
  <c r="P1472" i="23"/>
  <c r="P1473" i="23"/>
  <c r="P1474" i="23"/>
  <c r="P1475" i="23"/>
  <c r="P1476" i="23"/>
  <c r="P1477" i="23"/>
  <c r="P1478" i="23"/>
  <c r="P1479" i="23"/>
  <c r="P1480" i="23"/>
  <c r="P1481" i="23"/>
  <c r="P1482" i="23"/>
  <c r="P1483" i="23"/>
  <c r="P1484" i="23"/>
  <c r="P1485" i="23"/>
  <c r="P1486" i="23"/>
  <c r="P1487" i="23"/>
  <c r="P1488" i="23"/>
  <c r="P1489" i="23"/>
  <c r="P1490" i="23"/>
  <c r="P1491" i="23"/>
  <c r="P1492" i="23"/>
  <c r="P1493" i="23"/>
  <c r="P1494" i="23"/>
  <c r="P1495" i="23"/>
  <c r="P1496" i="23"/>
  <c r="P1497" i="23"/>
  <c r="P1498" i="23"/>
  <c r="P1499" i="23"/>
  <c r="P1500" i="23"/>
  <c r="P1501" i="23"/>
  <c r="P1502" i="23"/>
  <c r="P1503" i="23"/>
  <c r="P1504" i="23"/>
  <c r="P1505" i="23"/>
  <c r="P1506" i="23"/>
  <c r="P1507" i="23"/>
  <c r="P1508" i="23"/>
  <c r="P1509" i="23"/>
  <c r="P1510" i="23"/>
  <c r="P1511" i="23"/>
  <c r="P1512" i="23"/>
  <c r="P1513" i="23"/>
  <c r="P1514" i="23"/>
  <c r="P1515" i="23"/>
  <c r="P1516" i="23"/>
  <c r="P1517" i="23"/>
  <c r="P1518" i="23"/>
  <c r="P1519" i="23"/>
  <c r="P1520" i="23"/>
  <c r="P1521" i="23"/>
  <c r="P1522" i="23"/>
  <c r="P1523" i="23"/>
  <c r="P1524" i="23"/>
  <c r="P1525" i="23"/>
  <c r="P1526" i="23"/>
  <c r="P1527" i="23"/>
  <c r="P1528" i="23"/>
  <c r="P1529" i="23"/>
  <c r="P1530" i="23"/>
  <c r="P1531" i="23"/>
  <c r="P1532" i="23"/>
  <c r="P1533" i="23"/>
  <c r="P1534" i="23"/>
  <c r="P1535" i="23"/>
  <c r="P1536" i="23"/>
  <c r="P1537" i="23"/>
  <c r="P1538" i="23"/>
  <c r="P1539" i="23"/>
  <c r="P1540" i="23"/>
  <c r="P1541" i="23"/>
  <c r="P1542" i="23"/>
  <c r="P1543" i="23"/>
  <c r="P1544" i="23"/>
  <c r="P1545" i="23"/>
  <c r="P1546" i="23"/>
  <c r="P1547" i="23"/>
  <c r="P1548" i="23"/>
  <c r="P1549" i="23"/>
  <c r="P1550" i="23"/>
  <c r="P1551" i="23"/>
  <c r="P1552" i="23"/>
  <c r="P1553" i="23"/>
  <c r="P1554" i="23"/>
  <c r="P1555" i="23"/>
  <c r="P1556" i="23"/>
  <c r="P1557" i="23"/>
  <c r="P1558" i="23"/>
  <c r="P1559" i="23"/>
  <c r="P1560" i="23"/>
  <c r="P1561" i="23"/>
  <c r="P1562" i="23"/>
  <c r="P1563" i="23"/>
  <c r="P1564" i="23"/>
  <c r="P1565" i="23"/>
  <c r="P1566" i="23"/>
  <c r="P1567" i="23"/>
  <c r="P1568" i="23"/>
  <c r="P1569" i="23"/>
  <c r="P1570" i="23"/>
  <c r="P1571" i="23"/>
  <c r="P1572" i="23"/>
  <c r="P1573" i="23"/>
  <c r="P1574" i="23"/>
  <c r="P1575" i="23"/>
  <c r="P1576" i="23"/>
  <c r="P1577" i="23"/>
  <c r="P1578" i="23"/>
  <c r="P1579" i="23"/>
  <c r="P1580" i="23"/>
  <c r="P1581" i="23"/>
  <c r="P1582" i="23"/>
  <c r="P1583" i="23"/>
  <c r="P1584" i="23"/>
  <c r="P1585" i="23"/>
  <c r="P1586" i="23"/>
  <c r="P1587" i="23"/>
  <c r="P1588" i="23"/>
  <c r="P1589" i="23"/>
  <c r="P1590" i="23"/>
  <c r="P1591" i="23"/>
  <c r="P1592" i="23"/>
  <c r="P1593" i="23"/>
  <c r="P1594" i="23"/>
  <c r="P1595" i="23"/>
  <c r="P1596" i="23"/>
  <c r="P1597" i="23"/>
  <c r="P1598" i="23"/>
  <c r="P1599" i="23"/>
  <c r="P1600" i="23"/>
  <c r="P1601" i="23"/>
  <c r="P1602" i="23"/>
  <c r="P1603" i="23"/>
  <c r="P1604" i="23"/>
  <c r="P1605" i="23"/>
  <c r="P1606" i="23"/>
  <c r="P1607" i="23"/>
  <c r="P1608" i="23"/>
  <c r="P1609" i="23"/>
  <c r="P1610" i="23"/>
  <c r="P1611" i="23"/>
  <c r="P1612" i="23"/>
  <c r="P1613" i="23"/>
  <c r="P1614" i="23"/>
  <c r="P1615" i="23"/>
  <c r="P1616" i="23"/>
  <c r="P1617" i="23"/>
  <c r="P1618" i="23"/>
  <c r="P1619" i="23"/>
  <c r="P1620" i="23"/>
  <c r="P1621" i="23"/>
  <c r="P1622" i="23"/>
  <c r="P1623" i="23"/>
  <c r="P1624" i="23"/>
  <c r="P1625" i="23"/>
  <c r="P1626" i="23"/>
  <c r="P1627" i="23"/>
  <c r="P1628" i="23"/>
  <c r="P1629" i="23"/>
  <c r="P1630" i="23"/>
  <c r="P1631" i="23"/>
  <c r="P1632" i="23"/>
  <c r="P1633" i="23"/>
  <c r="P1634" i="23"/>
  <c r="P1635" i="23"/>
  <c r="P1636" i="23"/>
  <c r="P1637" i="23"/>
  <c r="P1638" i="23"/>
  <c r="P1639" i="23"/>
  <c r="P1640" i="23"/>
  <c r="P1641" i="23"/>
  <c r="P1642" i="23"/>
  <c r="P1643" i="23"/>
  <c r="P1644" i="23"/>
  <c r="P1645" i="23"/>
  <c r="P1646" i="23"/>
  <c r="P1647" i="23"/>
  <c r="P1648" i="23"/>
  <c r="P1649" i="23"/>
  <c r="P1650" i="23"/>
  <c r="P1651" i="23"/>
  <c r="P1652" i="23"/>
  <c r="P1653" i="23"/>
  <c r="P1654" i="23"/>
  <c r="P1655" i="23"/>
  <c r="P1656" i="23"/>
  <c r="P1657" i="23"/>
  <c r="P1658" i="23"/>
  <c r="P1659" i="23"/>
  <c r="P1660" i="23"/>
  <c r="P1661" i="23"/>
  <c r="P1662" i="23"/>
  <c r="P1663" i="23"/>
  <c r="P1664" i="23"/>
  <c r="P1665" i="23"/>
  <c r="P1666" i="23"/>
  <c r="P1667" i="23"/>
  <c r="P1668" i="23"/>
  <c r="P1669" i="23"/>
  <c r="P1670" i="23"/>
  <c r="P1671" i="23"/>
  <c r="P1672" i="23"/>
  <c r="P1673" i="23"/>
  <c r="P1674" i="23"/>
  <c r="P1675" i="23"/>
  <c r="P1676" i="23"/>
  <c r="P1677" i="23"/>
  <c r="P1678" i="23"/>
  <c r="P1679" i="23"/>
  <c r="P1680" i="23"/>
  <c r="P1681" i="23"/>
  <c r="P1682" i="23"/>
  <c r="P1683" i="23"/>
  <c r="P1684" i="23"/>
  <c r="P1685" i="23"/>
  <c r="P1686" i="23"/>
  <c r="P1687" i="23"/>
  <c r="P1688" i="23"/>
  <c r="P1689" i="23"/>
  <c r="P1690" i="23"/>
  <c r="P1691" i="23"/>
  <c r="P1692" i="23"/>
  <c r="P1693" i="23"/>
  <c r="P1694" i="23"/>
  <c r="P1695" i="23"/>
  <c r="P1696" i="23"/>
  <c r="P1697" i="23"/>
  <c r="P1698" i="23"/>
  <c r="P1699" i="23"/>
  <c r="P1700" i="23"/>
  <c r="P1701" i="23"/>
  <c r="P1702" i="23"/>
  <c r="P1703" i="23"/>
  <c r="P1704" i="23"/>
  <c r="P1705" i="23"/>
  <c r="P1706" i="23"/>
  <c r="P1707" i="23"/>
  <c r="P1708" i="23"/>
  <c r="P1709" i="23"/>
  <c r="P1710" i="23"/>
  <c r="P1711" i="23"/>
  <c r="P1712" i="23"/>
  <c r="P1713" i="23"/>
  <c r="P1714" i="23"/>
  <c r="P1715" i="23"/>
  <c r="P1716" i="23"/>
  <c r="P1717" i="23"/>
  <c r="P1718" i="23"/>
  <c r="P1719" i="23"/>
  <c r="P1720" i="23"/>
  <c r="P1721" i="23"/>
  <c r="P1722" i="23"/>
  <c r="P1723" i="23"/>
  <c r="P1724" i="23"/>
  <c r="P1725" i="23"/>
  <c r="P1726" i="23"/>
  <c r="P1727" i="23"/>
  <c r="P1728" i="23"/>
  <c r="P1729" i="23"/>
  <c r="P1730" i="23"/>
  <c r="P1731" i="23"/>
  <c r="P1732" i="23"/>
  <c r="P1733" i="23"/>
  <c r="P1734" i="23"/>
  <c r="P1735" i="23"/>
  <c r="P1736" i="23"/>
  <c r="P1737" i="23"/>
  <c r="P1738" i="23"/>
  <c r="P1739" i="23"/>
  <c r="P1740" i="23"/>
  <c r="P1741" i="23"/>
  <c r="P1742" i="23"/>
  <c r="P1743" i="23"/>
  <c r="P1744" i="23"/>
  <c r="P1745" i="23"/>
  <c r="P1746" i="23"/>
  <c r="P1747" i="23"/>
  <c r="P1748" i="23"/>
  <c r="P1749" i="23"/>
  <c r="P1750" i="23"/>
  <c r="P1751" i="23"/>
  <c r="P1752" i="23"/>
  <c r="P1753" i="23"/>
  <c r="P1754" i="23"/>
  <c r="P1755" i="23"/>
  <c r="P1756" i="23"/>
  <c r="P1757" i="23"/>
  <c r="P1758" i="23"/>
  <c r="P1759" i="23"/>
  <c r="P1760" i="23"/>
  <c r="P1761" i="23"/>
  <c r="P1762" i="23"/>
  <c r="P1763" i="23"/>
  <c r="P1764" i="23"/>
  <c r="P1765" i="23"/>
  <c r="P1766" i="23"/>
  <c r="P1767" i="23"/>
  <c r="P1768" i="23"/>
  <c r="P1769" i="23"/>
  <c r="P1770" i="23"/>
  <c r="P1771" i="23"/>
  <c r="P1772" i="23"/>
  <c r="P1773" i="23"/>
  <c r="P1774" i="23"/>
  <c r="P1775" i="23"/>
  <c r="P1776" i="23"/>
  <c r="P1777" i="23"/>
  <c r="P1778" i="23"/>
  <c r="P1779" i="23"/>
  <c r="P1780" i="23"/>
  <c r="P1781" i="23"/>
  <c r="P1782" i="23"/>
  <c r="P1783" i="23"/>
  <c r="P1784" i="23"/>
  <c r="P1785" i="23"/>
  <c r="P1786" i="23"/>
  <c r="P1787" i="23"/>
  <c r="P1788" i="23"/>
  <c r="P1789" i="23"/>
  <c r="P1790" i="23"/>
  <c r="P1791" i="23"/>
  <c r="P1792" i="23"/>
  <c r="P1793" i="23"/>
  <c r="P1794" i="23"/>
  <c r="P1795" i="23"/>
  <c r="P1796" i="23"/>
  <c r="P1797" i="23"/>
  <c r="P1798" i="23"/>
  <c r="P1799" i="23"/>
  <c r="P1800" i="23"/>
  <c r="P1801" i="23"/>
  <c r="P1802" i="23"/>
  <c r="P1803" i="23"/>
  <c r="P1804" i="23"/>
  <c r="P1805" i="23"/>
  <c r="P1806" i="23"/>
  <c r="P1807" i="23"/>
  <c r="P1808" i="23"/>
  <c r="P1809" i="23"/>
  <c r="P1810" i="23"/>
  <c r="P1811" i="23"/>
  <c r="P1812" i="23"/>
  <c r="P1813" i="23"/>
  <c r="P1814" i="23"/>
  <c r="P1815" i="23"/>
  <c r="P1816" i="23"/>
  <c r="P1817" i="23"/>
  <c r="P1818" i="23"/>
  <c r="P1819" i="23"/>
  <c r="P1820" i="23"/>
  <c r="P1821" i="23"/>
  <c r="P1822" i="23"/>
  <c r="P1823" i="23"/>
  <c r="P1824" i="23"/>
  <c r="P1825" i="23"/>
  <c r="P1826" i="23"/>
  <c r="P1827" i="23"/>
  <c r="P1828" i="23"/>
  <c r="P1829" i="23"/>
  <c r="P1830" i="23"/>
  <c r="P1831" i="23"/>
  <c r="P1832" i="23"/>
  <c r="P1833" i="23"/>
  <c r="P1834" i="23"/>
  <c r="P1835" i="23"/>
  <c r="P1836" i="23"/>
  <c r="P1837" i="23"/>
  <c r="P1838" i="23"/>
  <c r="P1839" i="23"/>
  <c r="P1840" i="23"/>
  <c r="P1841" i="23"/>
  <c r="P1842" i="23"/>
  <c r="P1843" i="23"/>
  <c r="P1844" i="23"/>
  <c r="P1845" i="23"/>
  <c r="P1846" i="23"/>
  <c r="P1847" i="23"/>
  <c r="P1848" i="23"/>
  <c r="P1849" i="23"/>
  <c r="P1850" i="23"/>
  <c r="P1851" i="23"/>
  <c r="P1852" i="23"/>
  <c r="P1853" i="23"/>
  <c r="P1854" i="23"/>
  <c r="P1855" i="23"/>
  <c r="P1856" i="23"/>
  <c r="P1857" i="23"/>
  <c r="P1858" i="23"/>
  <c r="P1859" i="23"/>
  <c r="P1860" i="23"/>
  <c r="P1861" i="23"/>
  <c r="P1862" i="23"/>
  <c r="P1863" i="23"/>
  <c r="P1864" i="23"/>
  <c r="P1865" i="23"/>
  <c r="P1866" i="23"/>
  <c r="P1867" i="23"/>
  <c r="P1868" i="23"/>
  <c r="P1869" i="23"/>
  <c r="P1870" i="23"/>
  <c r="P1871" i="23"/>
  <c r="P1872" i="23"/>
  <c r="P1873" i="23"/>
  <c r="P1874" i="23"/>
  <c r="P1875" i="23"/>
  <c r="P1876" i="23"/>
  <c r="P1877" i="23"/>
  <c r="P1878" i="23"/>
  <c r="P1879" i="23"/>
  <c r="P1880" i="23"/>
  <c r="P1881" i="23"/>
  <c r="P1882" i="23"/>
  <c r="P1883" i="23"/>
  <c r="P1884" i="23"/>
  <c r="P1885" i="23"/>
  <c r="P1886" i="23"/>
  <c r="P1887" i="23"/>
  <c r="P1888" i="23"/>
  <c r="P1889" i="23"/>
  <c r="P1890" i="23"/>
  <c r="P1891" i="23"/>
  <c r="P1892" i="23"/>
  <c r="P1893" i="23"/>
  <c r="P1894" i="23"/>
  <c r="P1895" i="23"/>
  <c r="P1896" i="23"/>
  <c r="P1897" i="23"/>
  <c r="P1898" i="23"/>
  <c r="P1899" i="23"/>
  <c r="P1900" i="23"/>
  <c r="P1901" i="23"/>
  <c r="P1902" i="23"/>
  <c r="P1903" i="23"/>
  <c r="P1904" i="23"/>
  <c r="P1905" i="23"/>
  <c r="P1906" i="23"/>
  <c r="P1907" i="23"/>
  <c r="P1908" i="23"/>
  <c r="P1909" i="23"/>
  <c r="P1910" i="23"/>
  <c r="P1911" i="23"/>
  <c r="P1912" i="23"/>
  <c r="P1913" i="23"/>
  <c r="P1914" i="23"/>
  <c r="P1915" i="23"/>
  <c r="P1916" i="23"/>
  <c r="P1917" i="23"/>
  <c r="P1918" i="23"/>
  <c r="P1919" i="23"/>
  <c r="P1920" i="23"/>
  <c r="P1921" i="23"/>
  <c r="P1922" i="23"/>
  <c r="P1923" i="23"/>
  <c r="P1924" i="23"/>
  <c r="P1925" i="23"/>
  <c r="P1926" i="23"/>
  <c r="P1927" i="23"/>
  <c r="P1928" i="23"/>
  <c r="P1929" i="23"/>
  <c r="P1930" i="23"/>
  <c r="P1931" i="23"/>
  <c r="P1932" i="23"/>
  <c r="P1933" i="23"/>
  <c r="P1934" i="23"/>
  <c r="P1935" i="23"/>
  <c r="P1936" i="23"/>
  <c r="P1937" i="23"/>
  <c r="P1938" i="23"/>
  <c r="P1939" i="23"/>
  <c r="P1940" i="23"/>
  <c r="P1941" i="23"/>
  <c r="P1942" i="23"/>
  <c r="P1943" i="23"/>
  <c r="P1944" i="23"/>
  <c r="P1945" i="23"/>
  <c r="P1946" i="23"/>
  <c r="P1947" i="23"/>
  <c r="P1948" i="23"/>
  <c r="P1949" i="23"/>
  <c r="P1950" i="23"/>
  <c r="P1951" i="23"/>
  <c r="P1952" i="23"/>
  <c r="P1953" i="23"/>
  <c r="P1954" i="23"/>
  <c r="P1955" i="23"/>
  <c r="P1956" i="23"/>
  <c r="P1957" i="23"/>
  <c r="P1958" i="23"/>
  <c r="P1959" i="23"/>
  <c r="P1960" i="23"/>
  <c r="P1961" i="23"/>
  <c r="P1962" i="23"/>
  <c r="P1963" i="23"/>
  <c r="P1964" i="23"/>
  <c r="P1965" i="23"/>
  <c r="P1966" i="23"/>
  <c r="P1967" i="23"/>
  <c r="P1968" i="23"/>
  <c r="P1969" i="23"/>
  <c r="P1970" i="23"/>
  <c r="P1971" i="23"/>
  <c r="P1972" i="23"/>
  <c r="P1973" i="23"/>
  <c r="P1974" i="23"/>
  <c r="P1975" i="23"/>
  <c r="P1976" i="23"/>
  <c r="P1977" i="23"/>
  <c r="P1978" i="23"/>
  <c r="P1979" i="23"/>
  <c r="P1980" i="23"/>
  <c r="P1981" i="23"/>
  <c r="P1982" i="23"/>
  <c r="P1983" i="23"/>
  <c r="P1984" i="23"/>
  <c r="P1985" i="23"/>
  <c r="P1986" i="23"/>
  <c r="P1987" i="23"/>
  <c r="P1988" i="23"/>
  <c r="P1989" i="23"/>
  <c r="P1990" i="23"/>
  <c r="P1991" i="23"/>
  <c r="P1992" i="23"/>
  <c r="P1993" i="23"/>
  <c r="P1994" i="23"/>
  <c r="P1995" i="23"/>
  <c r="P1996" i="23"/>
  <c r="P1997" i="23"/>
  <c r="P1998" i="23"/>
  <c r="P1999" i="23"/>
  <c r="P2000" i="23"/>
  <c r="P2001" i="23"/>
  <c r="P2002" i="23"/>
  <c r="P2003" i="23"/>
  <c r="P2004" i="23"/>
  <c r="P2005" i="23"/>
  <c r="P2006" i="23"/>
  <c r="P2007" i="23"/>
  <c r="P2008" i="23"/>
  <c r="P2009" i="23"/>
  <c r="P2010" i="23"/>
  <c r="P2011" i="23"/>
  <c r="P2012" i="23"/>
  <c r="P2013" i="23"/>
  <c r="P2014" i="23"/>
  <c r="P2015" i="23"/>
  <c r="P2016" i="23"/>
  <c r="P2017" i="23"/>
  <c r="P2018" i="23"/>
  <c r="P2019" i="23"/>
  <c r="P2020" i="23"/>
  <c r="P2021" i="23"/>
  <c r="P2022" i="23"/>
  <c r="P2023" i="23"/>
  <c r="P2024" i="23"/>
  <c r="P2025" i="23"/>
  <c r="P2026" i="23"/>
  <c r="P2027" i="23"/>
  <c r="P2028" i="23"/>
  <c r="P2029" i="23"/>
  <c r="P2030" i="23"/>
  <c r="P2031" i="23"/>
  <c r="P2032" i="23"/>
  <c r="P2033" i="23"/>
  <c r="P2034" i="23"/>
  <c r="P2035" i="23"/>
  <c r="P2036" i="23"/>
  <c r="P2037" i="23"/>
  <c r="P2038" i="23"/>
  <c r="P2039" i="23"/>
  <c r="P2040" i="23"/>
  <c r="P2041" i="23"/>
  <c r="P2042" i="23"/>
  <c r="P2043" i="23"/>
  <c r="P2044" i="23"/>
  <c r="P2045" i="23"/>
  <c r="P2046" i="23"/>
  <c r="P2047" i="23"/>
  <c r="P2048" i="23"/>
  <c r="P2049" i="23"/>
  <c r="P2050" i="23"/>
  <c r="P2051" i="23"/>
  <c r="P2052" i="23"/>
  <c r="P2053" i="23"/>
  <c r="P2054" i="23"/>
  <c r="P2055" i="23"/>
  <c r="P2056" i="23"/>
  <c r="P2057" i="23"/>
  <c r="P2058" i="23"/>
  <c r="P2059" i="23"/>
  <c r="P2060" i="23"/>
  <c r="P2061" i="23"/>
  <c r="P2062" i="23"/>
  <c r="P2063" i="23"/>
  <c r="P2064" i="23"/>
  <c r="P2065" i="23"/>
  <c r="P2066" i="23"/>
  <c r="P2067" i="23"/>
  <c r="P2068" i="23"/>
  <c r="P2069" i="23"/>
  <c r="P2070" i="23"/>
  <c r="P2071" i="23"/>
  <c r="P2072" i="23"/>
  <c r="P2073" i="23"/>
  <c r="P2074" i="23"/>
  <c r="P2075" i="23"/>
  <c r="P2076" i="23"/>
  <c r="P2077" i="23"/>
  <c r="P2078" i="23"/>
  <c r="P2079" i="23"/>
  <c r="P2080" i="23"/>
  <c r="P2081" i="23"/>
  <c r="P2082" i="23"/>
  <c r="P2083" i="23"/>
  <c r="P2084" i="23"/>
  <c r="P2085" i="23"/>
  <c r="P2086" i="23"/>
  <c r="P2087" i="23"/>
  <c r="P2088" i="23"/>
  <c r="P2089" i="23"/>
  <c r="P2090" i="23"/>
  <c r="P2091" i="23"/>
  <c r="P2092" i="23"/>
  <c r="P2093" i="23"/>
  <c r="P2094" i="23"/>
  <c r="P2095" i="23"/>
  <c r="P2096" i="23"/>
  <c r="P2097" i="23"/>
  <c r="P2098" i="23"/>
  <c r="P2099" i="23"/>
  <c r="P2100" i="23"/>
  <c r="P2101" i="23"/>
  <c r="P2102" i="23"/>
  <c r="P2103" i="23"/>
  <c r="P2104" i="23"/>
  <c r="P2105" i="23"/>
  <c r="P2106" i="23"/>
  <c r="P2107" i="23"/>
  <c r="P2108" i="23"/>
  <c r="P2109" i="23"/>
  <c r="P2110" i="23"/>
  <c r="P2111" i="23"/>
  <c r="P2112" i="23"/>
  <c r="P2113" i="23"/>
  <c r="P2114" i="23"/>
  <c r="P2115" i="23"/>
  <c r="P2116" i="23"/>
  <c r="P2117" i="23"/>
  <c r="P2118" i="23"/>
  <c r="P2119" i="23"/>
  <c r="P2120" i="23"/>
  <c r="P2121" i="23"/>
  <c r="P2122" i="23"/>
  <c r="P2123" i="23"/>
  <c r="P2124" i="23"/>
  <c r="P2125" i="23"/>
  <c r="P2126" i="23"/>
  <c r="P2127" i="23"/>
  <c r="P2128" i="23"/>
  <c r="P2129" i="23"/>
  <c r="P2130" i="23"/>
  <c r="P2131" i="23"/>
  <c r="P2132" i="23"/>
  <c r="P2133" i="23"/>
  <c r="P2134" i="23"/>
  <c r="P2135" i="23"/>
  <c r="P2136" i="23"/>
  <c r="P2137" i="23"/>
  <c r="P2138" i="23"/>
  <c r="P2139" i="23"/>
  <c r="P2140" i="23"/>
  <c r="P2141" i="23"/>
  <c r="P2142" i="23"/>
  <c r="P2143" i="23"/>
  <c r="P2144" i="23"/>
  <c r="P2145" i="23"/>
  <c r="P2146" i="23"/>
  <c r="P2147" i="23"/>
  <c r="P2148" i="23"/>
  <c r="P2149" i="23"/>
  <c r="P2150" i="23"/>
  <c r="P2151" i="23"/>
  <c r="P2152" i="23"/>
  <c r="P2153" i="23"/>
  <c r="P2154" i="23"/>
  <c r="P2155" i="23"/>
  <c r="P2156" i="23"/>
  <c r="P2157" i="23"/>
  <c r="P2158" i="23"/>
  <c r="P2159" i="23"/>
  <c r="P2160" i="23"/>
  <c r="P2161" i="23"/>
  <c r="P2162" i="23"/>
  <c r="P2163" i="23"/>
  <c r="P2164" i="23"/>
  <c r="P2165" i="23"/>
  <c r="P2166" i="23"/>
  <c r="P2167" i="23"/>
  <c r="P2168" i="23"/>
  <c r="P2169" i="23"/>
  <c r="P2170" i="23"/>
  <c r="P2171" i="23"/>
  <c r="P2172" i="23"/>
  <c r="P2173" i="23"/>
  <c r="P2174" i="23"/>
  <c r="P2175" i="23"/>
  <c r="P2176" i="23"/>
  <c r="P2177" i="23"/>
  <c r="P2178" i="23"/>
  <c r="P2179" i="23"/>
  <c r="P2180" i="23"/>
  <c r="P2181" i="23"/>
  <c r="P2182" i="23"/>
  <c r="P2183" i="23"/>
  <c r="P2184" i="23"/>
  <c r="P2185" i="23"/>
  <c r="P2186" i="23"/>
  <c r="P2187" i="23"/>
  <c r="P2188" i="23"/>
  <c r="P2189" i="23"/>
  <c r="P2190" i="23"/>
  <c r="P2191" i="23"/>
  <c r="P2192" i="23"/>
  <c r="P2193" i="23"/>
  <c r="P2194" i="23"/>
  <c r="P2195" i="23"/>
  <c r="P2196" i="23"/>
  <c r="P2197" i="23"/>
  <c r="P2198" i="23"/>
  <c r="P2199" i="23"/>
  <c r="P2200" i="23"/>
  <c r="P2201" i="23"/>
  <c r="P2202" i="23"/>
  <c r="P2203" i="23"/>
  <c r="P2204" i="23"/>
  <c r="P2205" i="23"/>
  <c r="P2206" i="23"/>
  <c r="P2207" i="23"/>
  <c r="P2208" i="23"/>
  <c r="P2209" i="23"/>
  <c r="P2210" i="23"/>
  <c r="P2211" i="23"/>
  <c r="P2212" i="23"/>
  <c r="P2213" i="23"/>
  <c r="P2214" i="23"/>
  <c r="P2215" i="23"/>
  <c r="P2216" i="23"/>
  <c r="P2217" i="23"/>
  <c r="P2218" i="23"/>
  <c r="P2219" i="23"/>
  <c r="P2220" i="23"/>
  <c r="P2221" i="23"/>
  <c r="P2222" i="23"/>
  <c r="P2223" i="23"/>
  <c r="P2224" i="23"/>
  <c r="P2225" i="23"/>
  <c r="P2226" i="23"/>
  <c r="P2227" i="23"/>
  <c r="P2228" i="23"/>
  <c r="P2229" i="23"/>
  <c r="P2230" i="23"/>
  <c r="P2231" i="23"/>
  <c r="P2232" i="23"/>
  <c r="P2233" i="23"/>
  <c r="P2234" i="23"/>
  <c r="P2235" i="23"/>
  <c r="P2236" i="23"/>
  <c r="P2237" i="23"/>
  <c r="P2238" i="23"/>
  <c r="P2239" i="23"/>
  <c r="P2240" i="23"/>
  <c r="P2241" i="23"/>
  <c r="P2242" i="23"/>
  <c r="P2243" i="23"/>
  <c r="P2244" i="23"/>
  <c r="P2245" i="23"/>
  <c r="P2246" i="23"/>
  <c r="P2247" i="23"/>
  <c r="P2248" i="23"/>
  <c r="P2249" i="23"/>
  <c r="P2250" i="23"/>
  <c r="P2251" i="23"/>
  <c r="P2252" i="23"/>
  <c r="P2253" i="23"/>
  <c r="P2254" i="23"/>
  <c r="P2255" i="23"/>
  <c r="P2256" i="23"/>
  <c r="P2257" i="23"/>
  <c r="P2258" i="23"/>
  <c r="P2259" i="23"/>
  <c r="P2260" i="23"/>
  <c r="P2261" i="23"/>
  <c r="P2262" i="23"/>
  <c r="P2263" i="23"/>
  <c r="P2264" i="23"/>
  <c r="P2265" i="23"/>
  <c r="P2266" i="23"/>
  <c r="P2267" i="23"/>
  <c r="P2268" i="23"/>
  <c r="P2269" i="23"/>
  <c r="P2270" i="23"/>
  <c r="P2271" i="23"/>
  <c r="P2272" i="23"/>
  <c r="P2273" i="23"/>
  <c r="P2274" i="23"/>
  <c r="P2275" i="23"/>
  <c r="P2276" i="23"/>
  <c r="P2277" i="23"/>
  <c r="P2278" i="23"/>
  <c r="P2279" i="23"/>
  <c r="P2280" i="23"/>
  <c r="P2281" i="23"/>
  <c r="P2282" i="23"/>
  <c r="P2283" i="23"/>
  <c r="P2284" i="23"/>
  <c r="P2285" i="23"/>
  <c r="P2286" i="23"/>
  <c r="P2287" i="23"/>
  <c r="P2288" i="23"/>
  <c r="P2289" i="23"/>
  <c r="P2290" i="23"/>
  <c r="P2291" i="23"/>
  <c r="P2292" i="23"/>
  <c r="P2293" i="23"/>
  <c r="P2294" i="23"/>
  <c r="P2295" i="23"/>
  <c r="P2296" i="23"/>
  <c r="P2297" i="23"/>
  <c r="P2298" i="23"/>
  <c r="P2299" i="23"/>
  <c r="P2300" i="23"/>
  <c r="P2301" i="23"/>
  <c r="P2302" i="23"/>
  <c r="P2303" i="23"/>
  <c r="P2304" i="23"/>
  <c r="P2305" i="23"/>
  <c r="P2306" i="23"/>
  <c r="P2307" i="23"/>
  <c r="P2308" i="23"/>
  <c r="P2309" i="23"/>
  <c r="P2310" i="23"/>
  <c r="P2311" i="23"/>
  <c r="P2312" i="23"/>
  <c r="P2313" i="23"/>
  <c r="P2314" i="23"/>
  <c r="P2315" i="23"/>
  <c r="P2316" i="23"/>
  <c r="P2317" i="23"/>
  <c r="P2318" i="23"/>
  <c r="P2319" i="23"/>
  <c r="P2320" i="23"/>
  <c r="P2321" i="23"/>
  <c r="P2322" i="23"/>
  <c r="P2323" i="23"/>
  <c r="P2324" i="23"/>
  <c r="P2325" i="23"/>
  <c r="P2326" i="23"/>
  <c r="P2327" i="23"/>
  <c r="P2328" i="23"/>
  <c r="P2329" i="23"/>
  <c r="P2330" i="23"/>
  <c r="P2331" i="23"/>
  <c r="P2332" i="23"/>
  <c r="P2333" i="23"/>
  <c r="P2334" i="23"/>
  <c r="P2335" i="23"/>
  <c r="P2336" i="23"/>
  <c r="P2337" i="23"/>
  <c r="P2338" i="23"/>
  <c r="P2339" i="23"/>
  <c r="P2340" i="23"/>
  <c r="P2341" i="23"/>
  <c r="P2342" i="23"/>
  <c r="P2343" i="23"/>
  <c r="P2344" i="23"/>
  <c r="P2345" i="23"/>
  <c r="P2346" i="23"/>
  <c r="P2347" i="23"/>
  <c r="P2348" i="23"/>
  <c r="P2349" i="23"/>
  <c r="P2350" i="23"/>
  <c r="P2351" i="23"/>
  <c r="P2352" i="23"/>
  <c r="P2353" i="23"/>
  <c r="P2354" i="23"/>
  <c r="P2355" i="23"/>
  <c r="P2356" i="23"/>
  <c r="P2357" i="23"/>
  <c r="P2358" i="23"/>
  <c r="P2359" i="23"/>
  <c r="P2360" i="23"/>
  <c r="P2361" i="23"/>
  <c r="P2362" i="23"/>
  <c r="P2363" i="23"/>
  <c r="P2364" i="23"/>
  <c r="P2365" i="23"/>
  <c r="P2366" i="23"/>
  <c r="P2367" i="23"/>
  <c r="P2368" i="23"/>
  <c r="P2369" i="23"/>
  <c r="P2370" i="23"/>
  <c r="P2371" i="23"/>
  <c r="P2372" i="23"/>
  <c r="P2373" i="23"/>
  <c r="P2374" i="23"/>
  <c r="P2375" i="23"/>
  <c r="P2376" i="23"/>
  <c r="P2377" i="23"/>
  <c r="P2378" i="23"/>
  <c r="P2379" i="23"/>
  <c r="P2380" i="23"/>
  <c r="P2381" i="23"/>
  <c r="P2382" i="23"/>
  <c r="P2383" i="23"/>
  <c r="P2384" i="23"/>
  <c r="P2385" i="23"/>
  <c r="P2386" i="23"/>
  <c r="P2387" i="23"/>
  <c r="P2388" i="23"/>
  <c r="P2389" i="23"/>
  <c r="P2390" i="23"/>
  <c r="P2391" i="23"/>
  <c r="P2392" i="23"/>
  <c r="P2393" i="23"/>
  <c r="P2394" i="23"/>
  <c r="P2395" i="23"/>
  <c r="P2396" i="23"/>
  <c r="P2397" i="23"/>
  <c r="P2398" i="23"/>
  <c r="P2399" i="23"/>
  <c r="P2400" i="23"/>
  <c r="P2401" i="23"/>
  <c r="P2402" i="23"/>
  <c r="P2403" i="23"/>
  <c r="P2404" i="23"/>
  <c r="P2405" i="23"/>
  <c r="P2406" i="23"/>
  <c r="P2407" i="23"/>
  <c r="P2408" i="23"/>
  <c r="P2409" i="23"/>
  <c r="P2410" i="23"/>
  <c r="P2411" i="23"/>
  <c r="P2412" i="23"/>
  <c r="P2413" i="23"/>
  <c r="P2414" i="23"/>
  <c r="P2415" i="23"/>
  <c r="P2416" i="23"/>
  <c r="P2417" i="23"/>
  <c r="P2418" i="23"/>
  <c r="P2419" i="23"/>
  <c r="P2420" i="23"/>
  <c r="P2421" i="23"/>
  <c r="P2422" i="23"/>
  <c r="P2423" i="23"/>
  <c r="P2424" i="23"/>
  <c r="P2425" i="23"/>
  <c r="P2426" i="23"/>
  <c r="P2427" i="23"/>
  <c r="P2428" i="23"/>
  <c r="P2429" i="23"/>
  <c r="P2430" i="23"/>
  <c r="P2431" i="23"/>
  <c r="P2432" i="23"/>
  <c r="P2433" i="23"/>
  <c r="P2434" i="23"/>
  <c r="P2435" i="23"/>
  <c r="P2436" i="23"/>
  <c r="P2437" i="23"/>
  <c r="P2438" i="23"/>
  <c r="P2439" i="23"/>
  <c r="P2440" i="23"/>
  <c r="P2441" i="23"/>
  <c r="P2442" i="23"/>
  <c r="P2443" i="23"/>
  <c r="P2444" i="23"/>
  <c r="P2445" i="23"/>
  <c r="P2446" i="23"/>
  <c r="P2447" i="23"/>
  <c r="P2448" i="23"/>
  <c r="P2449" i="23"/>
  <c r="P2450" i="23"/>
  <c r="P2451" i="23"/>
  <c r="P2452" i="23"/>
  <c r="P2453" i="23"/>
  <c r="P2454" i="23"/>
  <c r="P2455" i="23"/>
  <c r="P2456" i="23"/>
  <c r="P2457" i="23"/>
  <c r="P2458" i="23"/>
  <c r="P2459" i="23"/>
  <c r="P2460" i="23"/>
  <c r="P2461" i="23"/>
  <c r="P2462" i="23"/>
  <c r="P2463" i="23"/>
  <c r="P2464" i="23"/>
  <c r="P2465" i="23"/>
  <c r="P2466" i="23"/>
  <c r="P2467" i="23"/>
  <c r="P2468" i="23"/>
  <c r="P2469" i="23"/>
  <c r="P2470" i="23"/>
  <c r="P2471" i="23"/>
  <c r="P2472" i="23"/>
  <c r="P2473" i="23"/>
  <c r="P2474" i="23"/>
  <c r="P2475" i="23"/>
  <c r="P2476" i="23"/>
  <c r="P2477" i="23"/>
  <c r="P2478" i="23"/>
  <c r="P2479" i="23"/>
  <c r="P2480" i="23"/>
  <c r="P2481" i="23"/>
  <c r="P2482" i="23"/>
  <c r="P2483" i="23"/>
  <c r="P2484" i="23"/>
  <c r="P2485" i="23"/>
  <c r="P2486" i="23"/>
  <c r="P2487" i="23"/>
  <c r="P2488" i="23"/>
  <c r="P2489" i="23"/>
  <c r="P2490" i="23"/>
  <c r="P2491" i="23"/>
  <c r="P2492" i="23"/>
  <c r="P2493" i="23"/>
  <c r="P2494" i="23"/>
  <c r="P2495" i="23"/>
  <c r="P2496" i="23"/>
  <c r="P2497" i="23"/>
  <c r="P2498" i="23"/>
  <c r="P2499" i="23"/>
  <c r="P2500" i="23"/>
  <c r="P2501" i="23"/>
  <c r="P2502" i="23"/>
  <c r="P2503" i="23"/>
  <c r="P2504" i="23"/>
  <c r="P2505" i="23"/>
  <c r="P2506" i="23"/>
  <c r="P2507" i="23"/>
  <c r="P2508" i="23"/>
  <c r="P2509" i="23"/>
  <c r="P2510" i="23"/>
  <c r="P2511" i="23"/>
  <c r="P2512" i="23"/>
  <c r="P2513" i="23"/>
  <c r="P2514" i="23"/>
  <c r="P2515" i="23"/>
  <c r="P2516" i="23"/>
  <c r="P2517" i="23"/>
  <c r="P2518" i="23"/>
  <c r="P2519" i="23"/>
  <c r="P2520" i="23"/>
  <c r="P2521" i="23"/>
  <c r="P2522" i="23"/>
  <c r="P2523" i="23"/>
  <c r="P2524" i="23"/>
  <c r="P2525" i="23"/>
  <c r="P2526" i="23"/>
  <c r="P2527" i="23"/>
  <c r="P2528" i="23"/>
  <c r="P2529" i="23"/>
  <c r="P2530" i="23"/>
  <c r="P2531" i="23"/>
  <c r="P2532" i="23"/>
  <c r="P2533" i="23"/>
  <c r="P2534" i="23"/>
  <c r="P2535" i="23"/>
  <c r="P2536" i="23"/>
  <c r="P2537" i="23"/>
  <c r="P2538" i="23"/>
  <c r="P2539" i="23"/>
  <c r="P2540" i="23"/>
  <c r="P2541" i="23"/>
  <c r="P2542" i="23"/>
  <c r="P2543" i="23"/>
  <c r="P2544" i="23"/>
  <c r="P2545" i="23"/>
  <c r="P2546" i="23"/>
  <c r="P2547" i="23"/>
  <c r="P2548" i="23"/>
  <c r="P2549" i="23"/>
  <c r="P2550" i="23"/>
  <c r="P2551" i="23"/>
  <c r="P2552" i="23"/>
  <c r="P2553" i="23"/>
  <c r="P2554" i="23"/>
  <c r="P2555" i="23"/>
  <c r="P2556" i="23"/>
  <c r="P2557" i="23"/>
  <c r="P2558" i="23"/>
  <c r="P2559" i="23"/>
  <c r="P2560" i="23"/>
  <c r="P2561" i="23"/>
  <c r="P2562" i="23"/>
  <c r="P2563" i="23"/>
  <c r="P2564" i="23"/>
  <c r="P2565" i="23"/>
  <c r="P2566" i="23"/>
  <c r="P2567" i="23"/>
  <c r="P2568" i="23"/>
  <c r="P2569" i="23"/>
  <c r="P2570" i="23"/>
  <c r="P2571" i="23"/>
  <c r="P2572" i="23"/>
  <c r="P2573" i="23"/>
  <c r="P2574" i="23"/>
  <c r="P2575" i="23"/>
  <c r="P2576" i="23"/>
  <c r="P2577" i="23"/>
  <c r="P2578" i="23"/>
  <c r="P2579" i="23"/>
  <c r="P2580" i="23"/>
  <c r="P2581" i="23"/>
  <c r="P2582" i="23"/>
  <c r="P2583" i="23"/>
  <c r="P2584" i="23"/>
  <c r="P2585" i="23"/>
  <c r="P2586" i="23"/>
  <c r="P2587" i="23"/>
  <c r="P2588" i="23"/>
  <c r="P2589" i="23"/>
  <c r="P2590" i="23"/>
  <c r="P2591" i="23"/>
  <c r="P2592" i="23"/>
  <c r="P2593" i="23"/>
  <c r="P2594" i="23"/>
  <c r="P2595" i="23"/>
  <c r="P2596" i="23"/>
  <c r="P2597" i="23"/>
  <c r="P2598" i="23"/>
  <c r="P2599" i="23"/>
  <c r="P2600" i="23"/>
  <c r="P2601" i="23"/>
  <c r="P2602" i="23"/>
  <c r="P2603" i="23"/>
  <c r="P2604" i="23"/>
  <c r="P2605" i="23"/>
  <c r="P2606" i="23"/>
  <c r="P2607" i="23"/>
  <c r="P2608" i="23"/>
  <c r="P2609" i="23"/>
  <c r="P2610" i="23"/>
  <c r="P2611" i="23"/>
  <c r="P2612" i="23"/>
  <c r="P2613" i="23"/>
  <c r="P2614" i="23"/>
  <c r="P2615" i="23"/>
  <c r="P2616" i="23"/>
  <c r="P2617" i="23"/>
  <c r="P2618" i="23"/>
  <c r="P2619" i="23"/>
  <c r="P2620" i="23"/>
  <c r="P2621" i="23"/>
  <c r="P2622" i="23"/>
  <c r="P2623" i="23"/>
  <c r="P2624" i="23"/>
  <c r="P2625" i="23"/>
  <c r="P2626" i="23"/>
  <c r="P2627" i="23"/>
  <c r="P2628" i="23"/>
  <c r="P2629" i="23"/>
  <c r="P2630" i="23"/>
  <c r="P2631" i="23"/>
  <c r="P2632" i="23"/>
  <c r="P2633" i="23"/>
  <c r="P2634" i="23"/>
  <c r="P2635" i="23"/>
  <c r="P2636" i="23"/>
  <c r="P2637" i="23"/>
  <c r="P2638" i="23"/>
  <c r="P2639" i="23"/>
  <c r="P2640" i="23"/>
  <c r="P2641" i="23"/>
  <c r="P2642" i="23"/>
  <c r="P2643" i="23"/>
  <c r="P2644" i="23"/>
  <c r="P2645" i="23"/>
  <c r="P2646" i="23"/>
  <c r="P2647" i="23"/>
  <c r="P2648" i="23"/>
  <c r="P2649" i="23"/>
  <c r="P2650" i="23"/>
  <c r="P2651" i="23"/>
  <c r="P2652" i="23"/>
  <c r="P2653" i="23"/>
  <c r="P2654" i="23"/>
  <c r="P2655" i="23"/>
  <c r="P2656" i="23"/>
  <c r="P2657" i="23"/>
  <c r="P2658" i="23"/>
  <c r="P2659" i="23"/>
  <c r="P2660" i="23"/>
  <c r="P2661" i="23"/>
  <c r="P2662" i="23"/>
  <c r="P2663" i="23"/>
  <c r="P2664" i="23"/>
  <c r="P2665" i="23"/>
  <c r="P2666" i="23"/>
  <c r="P2667" i="23"/>
  <c r="P2668" i="23"/>
  <c r="P2669" i="23"/>
  <c r="P2670" i="23"/>
  <c r="P2671" i="23"/>
  <c r="P2672" i="23"/>
  <c r="P2673" i="23"/>
  <c r="P2674" i="23"/>
  <c r="P2675" i="23"/>
  <c r="P2676" i="23"/>
  <c r="P2677" i="23"/>
  <c r="P2678" i="23"/>
  <c r="P2679" i="23"/>
  <c r="P2680" i="23"/>
  <c r="P2681" i="23"/>
  <c r="P2682" i="23"/>
  <c r="L2678" i="23"/>
  <c r="L2679" i="23"/>
  <c r="L2680" i="23"/>
  <c r="L2681" i="23"/>
  <c r="L2682" i="23"/>
  <c r="M2678" i="23"/>
  <c r="M2679" i="23"/>
  <c r="M2680" i="23"/>
  <c r="M2681" i="23"/>
  <c r="M2682" i="23"/>
  <c r="N2678" i="23"/>
  <c r="N2679" i="23"/>
  <c r="N2680" i="23"/>
  <c r="N2681" i="23"/>
  <c r="N2682" i="23"/>
  <c r="L2650" i="23"/>
  <c r="L2651" i="23"/>
  <c r="L2652" i="23"/>
  <c r="L2653" i="23"/>
  <c r="L2654" i="23"/>
  <c r="L2655" i="23"/>
  <c r="L2656" i="23"/>
  <c r="L2657" i="23"/>
  <c r="L2658" i="23"/>
  <c r="L2659" i="23"/>
  <c r="L2660" i="23"/>
  <c r="L2661" i="23"/>
  <c r="L2662" i="23"/>
  <c r="L2663" i="23"/>
  <c r="L2667" i="23"/>
  <c r="L2668" i="23"/>
  <c r="L2669" i="23"/>
  <c r="L2670" i="23"/>
  <c r="L2671" i="23"/>
  <c r="L2672" i="23"/>
  <c r="L2673" i="23"/>
  <c r="L2674" i="23"/>
  <c r="L2675" i="23"/>
  <c r="L2676" i="23"/>
  <c r="L2677" i="23"/>
  <c r="M2650" i="23"/>
  <c r="M2651" i="23"/>
  <c r="M2652" i="23"/>
  <c r="M2653" i="23"/>
  <c r="M2654" i="23"/>
  <c r="M2655" i="23"/>
  <c r="M2656" i="23"/>
  <c r="M2657" i="23"/>
  <c r="M2658" i="23"/>
  <c r="M2659" i="23"/>
  <c r="M2660" i="23"/>
  <c r="M2661" i="23"/>
  <c r="M2662" i="23"/>
  <c r="M2663" i="23"/>
  <c r="M2667" i="23"/>
  <c r="M2668" i="23"/>
  <c r="M2669" i="23"/>
  <c r="M2670" i="23"/>
  <c r="M2671" i="23"/>
  <c r="M2672" i="23"/>
  <c r="M2673" i="23"/>
  <c r="M2674" i="23"/>
  <c r="M2675" i="23"/>
  <c r="M2676" i="23"/>
  <c r="M2677" i="23"/>
  <c r="N2650" i="23"/>
  <c r="N2651" i="23"/>
  <c r="N2652" i="23"/>
  <c r="N2653" i="23"/>
  <c r="N2654" i="23"/>
  <c r="N2655" i="23"/>
  <c r="N2656" i="23"/>
  <c r="N2657" i="23"/>
  <c r="N2658" i="23"/>
  <c r="N2659" i="23"/>
  <c r="N2660" i="23"/>
  <c r="N2661" i="23"/>
  <c r="N2662" i="23"/>
  <c r="N2663" i="23"/>
  <c r="N2667" i="23"/>
  <c r="N2668" i="23"/>
  <c r="N2669" i="23"/>
  <c r="N2670" i="23"/>
  <c r="N2671" i="23"/>
  <c r="N2672" i="23"/>
  <c r="N2673" i="23"/>
  <c r="N2674" i="23"/>
  <c r="N2675" i="23"/>
  <c r="N2676" i="23"/>
  <c r="N2677" i="23"/>
  <c r="V66" i="26" l="1"/>
  <c r="X797" i="1"/>
  <c r="AB797" i="1" a="1"/>
  <c r="AB797" i="1" l="1"/>
  <c r="U1589" i="3"/>
  <c r="Y1589" i="3" s="1"/>
  <c r="S1589" i="3"/>
  <c r="M1589" i="3"/>
  <c r="L1589" i="3"/>
  <c r="K1589" i="3"/>
  <c r="J1589" i="3"/>
  <c r="I1589" i="3"/>
  <c r="H1589" i="3"/>
  <c r="G1589" i="3"/>
  <c r="F1589" i="3"/>
  <c r="D1589" i="3"/>
  <c r="U1588" i="3"/>
  <c r="Y1588" i="3" s="1"/>
  <c r="S1588" i="3"/>
  <c r="M1588" i="3"/>
  <c r="L1588" i="3"/>
  <c r="K1588" i="3"/>
  <c r="J1588" i="3"/>
  <c r="I1588" i="3"/>
  <c r="H1588" i="3"/>
  <c r="G1588" i="3"/>
  <c r="F1588" i="3"/>
  <c r="D1588" i="3"/>
  <c r="U1587" i="3"/>
  <c r="Y1587" i="3" s="1"/>
  <c r="S1587" i="3"/>
  <c r="N1587" i="3"/>
  <c r="M1587" i="3"/>
  <c r="L1587" i="3"/>
  <c r="K1587" i="3"/>
  <c r="J1587" i="3"/>
  <c r="I1587" i="3"/>
  <c r="H1587" i="3"/>
  <c r="G1587" i="3"/>
  <c r="F1587" i="3"/>
  <c r="D1587" i="3"/>
  <c r="U1586" i="3"/>
  <c r="Y1586" i="3" s="1"/>
  <c r="S1586" i="3"/>
  <c r="M1586" i="3"/>
  <c r="L1586" i="3"/>
  <c r="K1586" i="3"/>
  <c r="J1586" i="3"/>
  <c r="I1586" i="3"/>
  <c r="H1586" i="3"/>
  <c r="G1586" i="3"/>
  <c r="F1586" i="3"/>
  <c r="D1586" i="3"/>
  <c r="U1585" i="3"/>
  <c r="Y1585" i="3" s="1"/>
  <c r="S1585" i="3"/>
  <c r="N1585" i="3"/>
  <c r="M1585" i="3"/>
  <c r="L1585" i="3"/>
  <c r="K1585" i="3"/>
  <c r="J1585" i="3"/>
  <c r="I1585" i="3"/>
  <c r="H1585" i="3"/>
  <c r="G1585" i="3"/>
  <c r="F1585" i="3"/>
  <c r="D1585" i="3"/>
  <c r="AA1586" i="3" a="1"/>
  <c r="AA1589" i="3" a="1"/>
  <c r="AA1588" i="3" a="1"/>
  <c r="AA1587" i="3" a="1"/>
  <c r="AA1585" i="3" a="1"/>
  <c r="AA1589" i="3" l="1"/>
  <c r="AA1588" i="3"/>
  <c r="AA1587" i="3"/>
  <c r="AA1586" i="3"/>
  <c r="AA1585" i="3"/>
  <c r="U1584" i="3"/>
  <c r="Y1584" i="3" s="1"/>
  <c r="S1584" i="3"/>
  <c r="N1584" i="3"/>
  <c r="M1584" i="3"/>
  <c r="L1584" i="3"/>
  <c r="K1584" i="3"/>
  <c r="J1584" i="3"/>
  <c r="I1584" i="3"/>
  <c r="H1584" i="3"/>
  <c r="G1584" i="3"/>
  <c r="F1584" i="3"/>
  <c r="D1584" i="3"/>
  <c r="U1583" i="3"/>
  <c r="Y1583" i="3" s="1"/>
  <c r="S1583" i="3"/>
  <c r="N1583" i="3"/>
  <c r="M1583" i="3"/>
  <c r="L1583" i="3"/>
  <c r="K1583" i="3"/>
  <c r="J1583" i="3"/>
  <c r="I1583" i="3"/>
  <c r="H1583" i="3"/>
  <c r="G1583" i="3"/>
  <c r="F1583" i="3"/>
  <c r="D1583" i="3"/>
  <c r="U1582" i="3"/>
  <c r="Y1582" i="3" s="1"/>
  <c r="S1582" i="3"/>
  <c r="N1582" i="3"/>
  <c r="M1582" i="3"/>
  <c r="L1582" i="3"/>
  <c r="K1582" i="3"/>
  <c r="J1582" i="3"/>
  <c r="I1582" i="3"/>
  <c r="H1582" i="3"/>
  <c r="G1582" i="3"/>
  <c r="F1582" i="3"/>
  <c r="D1582" i="3"/>
  <c r="U1581" i="3"/>
  <c r="Y1581" i="3" s="1"/>
  <c r="S1581" i="3"/>
  <c r="N1581" i="3"/>
  <c r="M1581" i="3"/>
  <c r="L1581" i="3"/>
  <c r="K1581" i="3"/>
  <c r="J1581" i="3"/>
  <c r="I1581" i="3"/>
  <c r="H1581" i="3"/>
  <c r="G1581" i="3"/>
  <c r="F1581" i="3"/>
  <c r="D1581" i="3"/>
  <c r="U1580" i="3"/>
  <c r="Y1580" i="3" s="1"/>
  <c r="S1580" i="3"/>
  <c r="N1580" i="3"/>
  <c r="M1580" i="3"/>
  <c r="L1580" i="3"/>
  <c r="K1580" i="3"/>
  <c r="J1580" i="3"/>
  <c r="I1580" i="3"/>
  <c r="H1580" i="3"/>
  <c r="G1580" i="3"/>
  <c r="F1580" i="3"/>
  <c r="D1580" i="3"/>
  <c r="U1579" i="3"/>
  <c r="Y1579" i="3" s="1"/>
  <c r="S1579" i="3"/>
  <c r="N1579" i="3"/>
  <c r="M1579" i="3"/>
  <c r="L1579" i="3"/>
  <c r="K1579" i="3"/>
  <c r="J1579" i="3"/>
  <c r="I1579" i="3"/>
  <c r="H1579" i="3"/>
  <c r="G1579" i="3"/>
  <c r="F1579" i="3"/>
  <c r="D1579" i="3"/>
  <c r="U1578" i="3"/>
  <c r="Y1578" i="3" s="1"/>
  <c r="S1578" i="3"/>
  <c r="N1578" i="3"/>
  <c r="M1578" i="3"/>
  <c r="L1578" i="3"/>
  <c r="K1578" i="3"/>
  <c r="J1578" i="3"/>
  <c r="I1578" i="3"/>
  <c r="H1578" i="3"/>
  <c r="G1578" i="3"/>
  <c r="F1578" i="3"/>
  <c r="D1578" i="3"/>
  <c r="U1577" i="3"/>
  <c r="Y1577" i="3" s="1"/>
  <c r="S1577" i="3"/>
  <c r="N1577" i="3"/>
  <c r="M1577" i="3"/>
  <c r="L1577" i="3"/>
  <c r="K1577" i="3"/>
  <c r="J1577" i="3"/>
  <c r="I1577" i="3"/>
  <c r="H1577" i="3"/>
  <c r="G1577" i="3"/>
  <c r="F1577" i="3"/>
  <c r="D1577" i="3"/>
  <c r="Q1576" i="3"/>
  <c r="Q1575" i="3"/>
  <c r="S1575" i="3" s="1"/>
  <c r="U1576" i="3"/>
  <c r="Y1576" i="3" s="1"/>
  <c r="S1576" i="3"/>
  <c r="M1576" i="3"/>
  <c r="L1576" i="3"/>
  <c r="K1576" i="3"/>
  <c r="J1576" i="3"/>
  <c r="I1576" i="3"/>
  <c r="H1576" i="3"/>
  <c r="G1576" i="3"/>
  <c r="F1576" i="3"/>
  <c r="D1576" i="3"/>
  <c r="U1575" i="3"/>
  <c r="Y1575" i="3" s="1"/>
  <c r="M1575" i="3"/>
  <c r="L1575" i="3"/>
  <c r="K1575" i="3"/>
  <c r="J1575" i="3"/>
  <c r="I1575" i="3"/>
  <c r="H1575" i="3"/>
  <c r="G1575" i="3"/>
  <c r="F1575" i="3"/>
  <c r="D1575" i="3"/>
  <c r="Q1469" i="3"/>
  <c r="U1574" i="3"/>
  <c r="S1574" i="3"/>
  <c r="N1574" i="3"/>
  <c r="M1574" i="3"/>
  <c r="L1574" i="3"/>
  <c r="K1574" i="3"/>
  <c r="J1574" i="3"/>
  <c r="I1574" i="3"/>
  <c r="H1574" i="3"/>
  <c r="G1574" i="3"/>
  <c r="F1574" i="3"/>
  <c r="D1574" i="3"/>
  <c r="H149" i="16"/>
  <c r="X946" i="1"/>
  <c r="X945" i="1"/>
  <c r="X944" i="1"/>
  <c r="X943" i="1"/>
  <c r="X942" i="1"/>
  <c r="X941" i="1"/>
  <c r="X940" i="1"/>
  <c r="X939" i="1"/>
  <c r="X938" i="1"/>
  <c r="X937" i="1"/>
  <c r="X936" i="1"/>
  <c r="X935" i="1"/>
  <c r="X934" i="1"/>
  <c r="X933" i="1"/>
  <c r="X932" i="1"/>
  <c r="X931" i="1"/>
  <c r="X930" i="1"/>
  <c r="X929" i="1"/>
  <c r="X928" i="1"/>
  <c r="X927" i="1"/>
  <c r="X926" i="1"/>
  <c r="X925" i="1"/>
  <c r="X924" i="1"/>
  <c r="X923" i="1"/>
  <c r="X922" i="1"/>
  <c r="X921" i="1"/>
  <c r="X920" i="1"/>
  <c r="AB931" i="1" a="1"/>
  <c r="AA1584" i="3" a="1"/>
  <c r="AB943" i="1" a="1"/>
  <c r="AA1581" i="3" a="1"/>
  <c r="AB923" i="1" a="1"/>
  <c r="AA1577" i="3" a="1"/>
  <c r="AB927" i="1" a="1"/>
  <c r="AB920" i="1" a="1"/>
  <c r="AB945" i="1" a="1"/>
  <c r="AB922" i="1" a="1"/>
  <c r="AB935" i="1" a="1"/>
  <c r="AB928" i="1" a="1"/>
  <c r="AA1576" i="3" a="1"/>
  <c r="AA1583" i="3" a="1"/>
  <c r="AA1575" i="3" a="1"/>
  <c r="AA1580" i="3" a="1"/>
  <c r="AB930" i="1" a="1"/>
  <c r="AB932" i="1" a="1"/>
  <c r="AB936" i="1" a="1"/>
  <c r="AB946" i="1" a="1"/>
  <c r="AB938" i="1" a="1"/>
  <c r="AB933" i="1" a="1"/>
  <c r="AB925" i="1" a="1"/>
  <c r="AB929" i="1" a="1"/>
  <c r="AB926" i="1" a="1"/>
  <c r="AB934" i="1" a="1"/>
  <c r="AB939" i="1" a="1"/>
  <c r="AB924" i="1" a="1"/>
  <c r="AB944" i="1" a="1"/>
  <c r="AB942" i="1" a="1"/>
  <c r="AB921" i="1" a="1"/>
  <c r="AA1574" i="3" a="1"/>
  <c r="AA1578" i="3" a="1"/>
  <c r="AB940" i="1" a="1"/>
  <c r="AB937" i="1" a="1"/>
  <c r="AA1582" i="3" a="1"/>
  <c r="AB941" i="1" a="1"/>
  <c r="AA1579" i="3" a="1"/>
  <c r="AA1574" i="3" l="1"/>
  <c r="AB933" i="1"/>
  <c r="AA1584" i="3"/>
  <c r="AA1583" i="3"/>
  <c r="AA1580" i="3"/>
  <c r="AA1577" i="3"/>
  <c r="AA1581" i="3"/>
  <c r="AA1579" i="3"/>
  <c r="AA1578" i="3"/>
  <c r="AA1582" i="3"/>
  <c r="AA1576" i="3"/>
  <c r="AA1575" i="3"/>
  <c r="AB946" i="1"/>
  <c r="AB945" i="1"/>
  <c r="AB935" i="1"/>
  <c r="AB940" i="1"/>
  <c r="AB936" i="1"/>
  <c r="AB941" i="1"/>
  <c r="AB937" i="1"/>
  <c r="AB942" i="1"/>
  <c r="AB938" i="1"/>
  <c r="AB943" i="1"/>
  <c r="AB934" i="1"/>
  <c r="AB939" i="1"/>
  <c r="AB944" i="1"/>
  <c r="AB932" i="1"/>
  <c r="AB931" i="1"/>
  <c r="AB930" i="1"/>
  <c r="AB929" i="1"/>
  <c r="AB928" i="1"/>
  <c r="AB927" i="1"/>
  <c r="AB926" i="1"/>
  <c r="AB925" i="1"/>
  <c r="AB924" i="1"/>
  <c r="AB923" i="1"/>
  <c r="AB922" i="1"/>
  <c r="AB921" i="1"/>
  <c r="AB920" i="1"/>
  <c r="U1573" i="3"/>
  <c r="Y1573" i="3" s="1"/>
  <c r="S1573" i="3"/>
  <c r="M1573" i="3"/>
  <c r="L1573" i="3"/>
  <c r="K1573" i="3"/>
  <c r="J1573" i="3"/>
  <c r="I1573" i="3"/>
  <c r="H1573" i="3"/>
  <c r="G1573" i="3"/>
  <c r="F1573" i="3"/>
  <c r="D1573" i="3"/>
  <c r="U1572" i="3"/>
  <c r="Y1572" i="3" s="1"/>
  <c r="S1572" i="3"/>
  <c r="M1572" i="3"/>
  <c r="L1572" i="3"/>
  <c r="K1572" i="3"/>
  <c r="J1572" i="3"/>
  <c r="I1572" i="3"/>
  <c r="H1572" i="3"/>
  <c r="G1572" i="3"/>
  <c r="F1572" i="3"/>
  <c r="D1572" i="3"/>
  <c r="N1573" i="3"/>
  <c r="U1571" i="3"/>
  <c r="Y1571" i="3" s="1"/>
  <c r="S1571" i="3"/>
  <c r="N1571" i="3"/>
  <c r="M1571" i="3"/>
  <c r="L1571" i="3"/>
  <c r="K1571" i="3"/>
  <c r="J1571" i="3"/>
  <c r="I1571" i="3"/>
  <c r="H1571" i="3"/>
  <c r="G1571" i="3"/>
  <c r="F1571" i="3"/>
  <c r="D1571" i="3"/>
  <c r="U1570" i="3"/>
  <c r="Y1570" i="3" s="1"/>
  <c r="S1570" i="3"/>
  <c r="M1570" i="3"/>
  <c r="L1570" i="3"/>
  <c r="K1570" i="3"/>
  <c r="J1570" i="3"/>
  <c r="I1570" i="3"/>
  <c r="H1570" i="3"/>
  <c r="G1570" i="3"/>
  <c r="F1570" i="3"/>
  <c r="D1570" i="3"/>
  <c r="L919" i="1"/>
  <c r="X919" i="1"/>
  <c r="H16" i="10"/>
  <c r="H15" i="10"/>
  <c r="H14" i="10"/>
  <c r="H12" i="10"/>
  <c r="H11" i="10"/>
  <c r="H10" i="10"/>
  <c r="H9" i="10"/>
  <c r="H8" i="10"/>
  <c r="H7" i="10"/>
  <c r="H6" i="10"/>
  <c r="G6" i="10"/>
  <c r="H19" i="10"/>
  <c r="H18" i="10"/>
  <c r="H17" i="10"/>
  <c r="R160" i="16" a="1"/>
  <c r="AB919" i="1" a="1"/>
  <c r="AA1572" i="3" a="1"/>
  <c r="AA1570" i="3" a="1"/>
  <c r="AA1571" i="3" a="1"/>
  <c r="AA1573" i="3" a="1"/>
  <c r="R160" i="16" l="1"/>
  <c r="AA1573" i="3"/>
  <c r="AA1572" i="3"/>
  <c r="AA1571" i="3"/>
  <c r="AA1570" i="3"/>
  <c r="AB919" i="1"/>
  <c r="L863" i="1"/>
  <c r="N1572" i="3" s="1"/>
  <c r="H158" i="16"/>
  <c r="G19" i="10" l="1"/>
  <c r="G18" i="10"/>
  <c r="G17" i="10"/>
  <c r="G16" i="10"/>
  <c r="G15" i="10"/>
  <c r="G14" i="10"/>
  <c r="G12" i="10"/>
  <c r="G11" i="10"/>
  <c r="G10" i="10"/>
  <c r="G9" i="10"/>
  <c r="G8" i="10"/>
  <c r="G7" i="10"/>
  <c r="F19" i="10"/>
  <c r="F18" i="10"/>
  <c r="F17" i="10"/>
  <c r="F16" i="10"/>
  <c r="F15" i="10"/>
  <c r="F14" i="10"/>
  <c r="F12" i="10"/>
  <c r="F11" i="10"/>
  <c r="F10" i="10"/>
  <c r="F9" i="10"/>
  <c r="F8" i="10"/>
  <c r="F7" i="10"/>
  <c r="F6" i="10"/>
  <c r="E19" i="10"/>
  <c r="E18" i="10"/>
  <c r="E17" i="10"/>
  <c r="E16" i="10"/>
  <c r="E15" i="10"/>
  <c r="E10" i="10"/>
  <c r="E9" i="10"/>
  <c r="E8" i="10"/>
  <c r="E7" i="10"/>
  <c r="E6" i="10"/>
  <c r="U1569" i="3"/>
  <c r="Y1569" i="3" s="1"/>
  <c r="S1569" i="3"/>
  <c r="N1569" i="3"/>
  <c r="M1569" i="3"/>
  <c r="L1569" i="3"/>
  <c r="K1569" i="3"/>
  <c r="J1569" i="3"/>
  <c r="I1569" i="3"/>
  <c r="H1569" i="3"/>
  <c r="G1569" i="3"/>
  <c r="F1569" i="3"/>
  <c r="D1569" i="3"/>
  <c r="X918" i="1"/>
  <c r="U1568" i="3"/>
  <c r="Y1568" i="3" s="1"/>
  <c r="S1568" i="3"/>
  <c r="M1568" i="3"/>
  <c r="L1568" i="3"/>
  <c r="K1568" i="3"/>
  <c r="J1568" i="3"/>
  <c r="I1568" i="3"/>
  <c r="H1568" i="3"/>
  <c r="G1568" i="3"/>
  <c r="F1568" i="3"/>
  <c r="D1568" i="3"/>
  <c r="L2641" i="23"/>
  <c r="L2642" i="23"/>
  <c r="L2643" i="23"/>
  <c r="L2644" i="23"/>
  <c r="L2645" i="23"/>
  <c r="L2646" i="23"/>
  <c r="L2647" i="23"/>
  <c r="L2648" i="23"/>
  <c r="L2649" i="23"/>
  <c r="M2641" i="23"/>
  <c r="M2642" i="23"/>
  <c r="M2643" i="23"/>
  <c r="M2644" i="23"/>
  <c r="M2645" i="23"/>
  <c r="M2646" i="23"/>
  <c r="M2647" i="23"/>
  <c r="M2648" i="23"/>
  <c r="M2649" i="23"/>
  <c r="N2641" i="23"/>
  <c r="N2642" i="23"/>
  <c r="N2643" i="23"/>
  <c r="N2644" i="23"/>
  <c r="N2645" i="23"/>
  <c r="N2646" i="23"/>
  <c r="N2647" i="23"/>
  <c r="N2648" i="23"/>
  <c r="N2649" i="23"/>
  <c r="L2632" i="23"/>
  <c r="L2633" i="23"/>
  <c r="L2634" i="23"/>
  <c r="L2635" i="23"/>
  <c r="L2636" i="23"/>
  <c r="L2637" i="23"/>
  <c r="L2638" i="23"/>
  <c r="L2639" i="23"/>
  <c r="L2640" i="23"/>
  <c r="M2632" i="23"/>
  <c r="M2633" i="23"/>
  <c r="M2634" i="23"/>
  <c r="M2635" i="23"/>
  <c r="M2636" i="23"/>
  <c r="M2637" i="23"/>
  <c r="M2638" i="23"/>
  <c r="M2639" i="23"/>
  <c r="M2640" i="23"/>
  <c r="N2632" i="23"/>
  <c r="N2633" i="23"/>
  <c r="N2634" i="23"/>
  <c r="N2635" i="23"/>
  <c r="N2636" i="23"/>
  <c r="N2637" i="23"/>
  <c r="N2638" i="23"/>
  <c r="N2639" i="23"/>
  <c r="N2640" i="23"/>
  <c r="L2625" i="23"/>
  <c r="L2626" i="23"/>
  <c r="L2627" i="23"/>
  <c r="L2628" i="23"/>
  <c r="L2629" i="23"/>
  <c r="L2630" i="23"/>
  <c r="L2631" i="23"/>
  <c r="M2625" i="23"/>
  <c r="M2626" i="23"/>
  <c r="M2627" i="23"/>
  <c r="M2628" i="23"/>
  <c r="M2629" i="23"/>
  <c r="M2630" i="23"/>
  <c r="M2631" i="23"/>
  <c r="N2625" i="23"/>
  <c r="N2626" i="23"/>
  <c r="N2627" i="23"/>
  <c r="N2628" i="23"/>
  <c r="N2629" i="23"/>
  <c r="N2630" i="23"/>
  <c r="N2631" i="23"/>
  <c r="U1567" i="3"/>
  <c r="Y1567" i="3" s="1"/>
  <c r="S1567" i="3"/>
  <c r="M1567" i="3"/>
  <c r="L1567" i="3"/>
  <c r="K1567" i="3"/>
  <c r="J1567" i="3"/>
  <c r="I1567" i="3"/>
  <c r="H1567" i="3"/>
  <c r="G1567" i="3"/>
  <c r="F1567" i="3"/>
  <c r="D1567" i="3"/>
  <c r="L2620" i="23"/>
  <c r="L2621" i="23"/>
  <c r="L2622" i="23"/>
  <c r="L2623" i="23"/>
  <c r="L2624" i="23"/>
  <c r="M2620" i="23"/>
  <c r="M2621" i="23"/>
  <c r="M2622" i="23"/>
  <c r="M2623" i="23"/>
  <c r="M2624" i="23"/>
  <c r="N2620" i="23"/>
  <c r="N2621" i="23"/>
  <c r="N2622" i="23"/>
  <c r="N2623" i="23"/>
  <c r="N2624" i="23"/>
  <c r="L2618" i="23"/>
  <c r="L2619" i="23"/>
  <c r="M2618" i="23"/>
  <c r="M2619" i="23"/>
  <c r="N2618" i="23"/>
  <c r="N2619" i="23"/>
  <c r="AA1569" i="3" a="1"/>
  <c r="AA1568" i="3" a="1"/>
  <c r="AA1567" i="3" a="1"/>
  <c r="AB918" i="1" a="1"/>
  <c r="I10" i="10" l="1"/>
  <c r="J10" i="10" s="1"/>
  <c r="I9" i="10"/>
  <c r="I8" i="10"/>
  <c r="AA1569" i="3"/>
  <c r="AB918" i="1"/>
  <c r="AA1568" i="3"/>
  <c r="AA1567" i="3"/>
  <c r="X917" i="1"/>
  <c r="AB917" i="1" a="1"/>
  <c r="AB917" i="1" l="1"/>
  <c r="U1566" i="3"/>
  <c r="Y1566" i="3" s="1"/>
  <c r="S1566" i="3"/>
  <c r="N1566" i="3"/>
  <c r="M1566" i="3"/>
  <c r="L1566" i="3"/>
  <c r="K1566" i="3"/>
  <c r="J1566" i="3"/>
  <c r="I1566" i="3"/>
  <c r="H1566" i="3"/>
  <c r="G1566" i="3"/>
  <c r="F1566" i="3"/>
  <c r="D1566" i="3"/>
  <c r="AA1566" i="3" a="1"/>
  <c r="AA1566" i="3" l="1"/>
  <c r="U1565" i="3"/>
  <c r="Y1565" i="3" s="1"/>
  <c r="S1565" i="3"/>
  <c r="N1565" i="3"/>
  <c r="M1565" i="3"/>
  <c r="L1565" i="3"/>
  <c r="K1565" i="3"/>
  <c r="J1565" i="3"/>
  <c r="I1565" i="3"/>
  <c r="H1565" i="3"/>
  <c r="G1565" i="3"/>
  <c r="F1565" i="3"/>
  <c r="D1565" i="3"/>
  <c r="L2588" i="23"/>
  <c r="L2589" i="23"/>
  <c r="L2590" i="23"/>
  <c r="L2591" i="23"/>
  <c r="L2592" i="23"/>
  <c r="L2593" i="23"/>
  <c r="L2594" i="23"/>
  <c r="L2595" i="23"/>
  <c r="L2596" i="23"/>
  <c r="L2597" i="23"/>
  <c r="L2598" i="23"/>
  <c r="L2599" i="23"/>
  <c r="L2600" i="23"/>
  <c r="L2601" i="23"/>
  <c r="L2602" i="23"/>
  <c r="L2603" i="23"/>
  <c r="L2604" i="23"/>
  <c r="L2605" i="23"/>
  <c r="L2606" i="23"/>
  <c r="L2607" i="23"/>
  <c r="L2608" i="23"/>
  <c r="L2609" i="23"/>
  <c r="L2610" i="23"/>
  <c r="L2611" i="23"/>
  <c r="L2612" i="23"/>
  <c r="L2613" i="23"/>
  <c r="L2614" i="23"/>
  <c r="L2615" i="23"/>
  <c r="L2616" i="23"/>
  <c r="L2617" i="23"/>
  <c r="M2588" i="23"/>
  <c r="M2589" i="23"/>
  <c r="M2590" i="23"/>
  <c r="M2591" i="23"/>
  <c r="M2592" i="23"/>
  <c r="M2593" i="23"/>
  <c r="M2594" i="23"/>
  <c r="M2595" i="23"/>
  <c r="M2596" i="23"/>
  <c r="M2597" i="23"/>
  <c r="M2598" i="23"/>
  <c r="M2599" i="23"/>
  <c r="M2600" i="23"/>
  <c r="M2601" i="23"/>
  <c r="M2602" i="23"/>
  <c r="M2603" i="23"/>
  <c r="M2604" i="23"/>
  <c r="M2605" i="23"/>
  <c r="M2606" i="23"/>
  <c r="M2607" i="23"/>
  <c r="M2608" i="23"/>
  <c r="M2609" i="23"/>
  <c r="M2610" i="23"/>
  <c r="M2611" i="23"/>
  <c r="M2612" i="23"/>
  <c r="M2613" i="23"/>
  <c r="M2614" i="23"/>
  <c r="M2615" i="23"/>
  <c r="M2616" i="23"/>
  <c r="M2617" i="23"/>
  <c r="N2588" i="23"/>
  <c r="N2589" i="23"/>
  <c r="N2590" i="23"/>
  <c r="N2591" i="23"/>
  <c r="N2592" i="23"/>
  <c r="N2593" i="23"/>
  <c r="N2594" i="23"/>
  <c r="N2595" i="23"/>
  <c r="N2596" i="23"/>
  <c r="N2597" i="23"/>
  <c r="N2598" i="23"/>
  <c r="N2599" i="23"/>
  <c r="N2600" i="23"/>
  <c r="N2601" i="23"/>
  <c r="N2602" i="23"/>
  <c r="N2603" i="23"/>
  <c r="N2604" i="23"/>
  <c r="N2605" i="23"/>
  <c r="N2606" i="23"/>
  <c r="N2607" i="23"/>
  <c r="N2608" i="23"/>
  <c r="N2609" i="23"/>
  <c r="N2610" i="23"/>
  <c r="N2611" i="23"/>
  <c r="N2612" i="23"/>
  <c r="N2613" i="23"/>
  <c r="N2614" i="23"/>
  <c r="N2615" i="23"/>
  <c r="N2616" i="23"/>
  <c r="N2617" i="23"/>
  <c r="L2581" i="23"/>
  <c r="L2582" i="23"/>
  <c r="L2583" i="23"/>
  <c r="L2584" i="23"/>
  <c r="L2585" i="23"/>
  <c r="L2586" i="23"/>
  <c r="L2587" i="23"/>
  <c r="M2581" i="23"/>
  <c r="M2582" i="23"/>
  <c r="M2583" i="23"/>
  <c r="M2584" i="23"/>
  <c r="M2585" i="23"/>
  <c r="M2586" i="23"/>
  <c r="M2587" i="23"/>
  <c r="N2581" i="23"/>
  <c r="N2582" i="23"/>
  <c r="N2583" i="23"/>
  <c r="N2584" i="23"/>
  <c r="N2585" i="23"/>
  <c r="N2586" i="23"/>
  <c r="N2587" i="23"/>
  <c r="L2576" i="23"/>
  <c r="L2577" i="23"/>
  <c r="L2578" i="23"/>
  <c r="L2579" i="23"/>
  <c r="L2580" i="23"/>
  <c r="M2576" i="23"/>
  <c r="M2577" i="23"/>
  <c r="M2578" i="23"/>
  <c r="M2579" i="23"/>
  <c r="M2580" i="23"/>
  <c r="N2576" i="23"/>
  <c r="N2577" i="23"/>
  <c r="N2578" i="23"/>
  <c r="N2579" i="23"/>
  <c r="N2580" i="23"/>
  <c r="L2567" i="23"/>
  <c r="L2568" i="23"/>
  <c r="L2569" i="23"/>
  <c r="L2570" i="23"/>
  <c r="L2571" i="23"/>
  <c r="L2572" i="23"/>
  <c r="L2573" i="23"/>
  <c r="L2574" i="23"/>
  <c r="L2575" i="23"/>
  <c r="M2567" i="23"/>
  <c r="M2568" i="23"/>
  <c r="M2569" i="23"/>
  <c r="M2570" i="23"/>
  <c r="M2571" i="23"/>
  <c r="M2572" i="23"/>
  <c r="M2573" i="23"/>
  <c r="M2574" i="23"/>
  <c r="M2575" i="23"/>
  <c r="N2567" i="23"/>
  <c r="N2568" i="23"/>
  <c r="N2569" i="23"/>
  <c r="N2570" i="23"/>
  <c r="N2571" i="23"/>
  <c r="N2572" i="23"/>
  <c r="N2573" i="23"/>
  <c r="N2574" i="23"/>
  <c r="N2575" i="23"/>
  <c r="L2561" i="23"/>
  <c r="L2562" i="23"/>
  <c r="L2563" i="23"/>
  <c r="L2564" i="23"/>
  <c r="L2565" i="23"/>
  <c r="L2566" i="23"/>
  <c r="M2561" i="23"/>
  <c r="M2562" i="23"/>
  <c r="M2563" i="23"/>
  <c r="M2564" i="23"/>
  <c r="M2565" i="23"/>
  <c r="M2566" i="23"/>
  <c r="N2561" i="23"/>
  <c r="N2562" i="23"/>
  <c r="N2563" i="23"/>
  <c r="N2564" i="23"/>
  <c r="N2565" i="23"/>
  <c r="N2566" i="23"/>
  <c r="L2515" i="23"/>
  <c r="L2516" i="23"/>
  <c r="L2517" i="23"/>
  <c r="L2519" i="23"/>
  <c r="L2520" i="23"/>
  <c r="L2521" i="23"/>
  <c r="L2522" i="23"/>
  <c r="L2523" i="23"/>
  <c r="L2524" i="23"/>
  <c r="L2525" i="23"/>
  <c r="L2526" i="23"/>
  <c r="L2527" i="23"/>
  <c r="L2528" i="23"/>
  <c r="L2529" i="23"/>
  <c r="L2530" i="23"/>
  <c r="L2531" i="23"/>
  <c r="L2532" i="23"/>
  <c r="L2533" i="23"/>
  <c r="L2534" i="23"/>
  <c r="L2535" i="23"/>
  <c r="L2536" i="23"/>
  <c r="L2537" i="23"/>
  <c r="L2538" i="23"/>
  <c r="L2539" i="23"/>
  <c r="L2540" i="23"/>
  <c r="L2541" i="23"/>
  <c r="L2542" i="23"/>
  <c r="L2543" i="23"/>
  <c r="L2544" i="23"/>
  <c r="L2545" i="23"/>
  <c r="L2546" i="23"/>
  <c r="L2547" i="23"/>
  <c r="L2548" i="23"/>
  <c r="L2549" i="23"/>
  <c r="L2550" i="23"/>
  <c r="L2551" i="23"/>
  <c r="L2552" i="23"/>
  <c r="L2553" i="23"/>
  <c r="L2554" i="23"/>
  <c r="L2555" i="23"/>
  <c r="L2556" i="23"/>
  <c r="L2557" i="23"/>
  <c r="L2558" i="23"/>
  <c r="L2559" i="23"/>
  <c r="L2560" i="23"/>
  <c r="M2515" i="23"/>
  <c r="M2516" i="23"/>
  <c r="M2517" i="23"/>
  <c r="M2518" i="23"/>
  <c r="M2519" i="23"/>
  <c r="M2520" i="23"/>
  <c r="M2521" i="23"/>
  <c r="M2522" i="23"/>
  <c r="M2523" i="23"/>
  <c r="M2524" i="23"/>
  <c r="M2525" i="23"/>
  <c r="M2526" i="23"/>
  <c r="M2527" i="23"/>
  <c r="M2528" i="23"/>
  <c r="M2529" i="23"/>
  <c r="M2530" i="23"/>
  <c r="M2531" i="23"/>
  <c r="M2532" i="23"/>
  <c r="M2533" i="23"/>
  <c r="M2534" i="23"/>
  <c r="M2535" i="23"/>
  <c r="M2536" i="23"/>
  <c r="M2537" i="23"/>
  <c r="M2538" i="23"/>
  <c r="M2539" i="23"/>
  <c r="M2540" i="23"/>
  <c r="M2541" i="23"/>
  <c r="M2542" i="23"/>
  <c r="M2543" i="23"/>
  <c r="M2544" i="23"/>
  <c r="M2545" i="23"/>
  <c r="M2546" i="23"/>
  <c r="M2547" i="23"/>
  <c r="M2548" i="23"/>
  <c r="M2549" i="23"/>
  <c r="M2550" i="23"/>
  <c r="M2551" i="23"/>
  <c r="M2552" i="23"/>
  <c r="M2553" i="23"/>
  <c r="M2554" i="23"/>
  <c r="M2555" i="23"/>
  <c r="M2556" i="23"/>
  <c r="M2557" i="23"/>
  <c r="M2558" i="23"/>
  <c r="M2559" i="23"/>
  <c r="M2560" i="23"/>
  <c r="N2515" i="23"/>
  <c r="N2516" i="23"/>
  <c r="N2517" i="23"/>
  <c r="N2518" i="23"/>
  <c r="N2519" i="23"/>
  <c r="N2520" i="23"/>
  <c r="N2521" i="23"/>
  <c r="N2522" i="23"/>
  <c r="N2523" i="23"/>
  <c r="N2524" i="23"/>
  <c r="N2525" i="23"/>
  <c r="N2526" i="23"/>
  <c r="N2527" i="23"/>
  <c r="N2528" i="23"/>
  <c r="N2529" i="23"/>
  <c r="N2530" i="23"/>
  <c r="N2531" i="23"/>
  <c r="N2532" i="23"/>
  <c r="N2533" i="23"/>
  <c r="N2534" i="23"/>
  <c r="N2535" i="23"/>
  <c r="N2536" i="23"/>
  <c r="N2537" i="23"/>
  <c r="N2538" i="23"/>
  <c r="N2539" i="23"/>
  <c r="N2540" i="23"/>
  <c r="N2541" i="23"/>
  <c r="N2542" i="23"/>
  <c r="N2543" i="23"/>
  <c r="N2544" i="23"/>
  <c r="N2545" i="23"/>
  <c r="N2546" i="23"/>
  <c r="N2547" i="23"/>
  <c r="N2548" i="23"/>
  <c r="N2549" i="23"/>
  <c r="N2550" i="23"/>
  <c r="N2551" i="23"/>
  <c r="N2552" i="23"/>
  <c r="N2553" i="23"/>
  <c r="N2554" i="23"/>
  <c r="N2555" i="23"/>
  <c r="N2556" i="23"/>
  <c r="N2557" i="23"/>
  <c r="N2558" i="23"/>
  <c r="N2559" i="23"/>
  <c r="N2560" i="23"/>
  <c r="R159" i="16" a="1"/>
  <c r="AA1565" i="3" a="1"/>
  <c r="AA1565" i="3" l="1"/>
  <c r="R159" i="16"/>
  <c r="U1564" i="3"/>
  <c r="Y1564" i="3" s="1"/>
  <c r="S1564" i="3"/>
  <c r="N1564" i="3"/>
  <c r="M1564" i="3"/>
  <c r="L1564" i="3"/>
  <c r="K1564" i="3"/>
  <c r="J1564" i="3"/>
  <c r="I1564" i="3"/>
  <c r="H1564" i="3"/>
  <c r="G1564" i="3"/>
  <c r="F1564" i="3"/>
  <c r="D1564" i="3"/>
  <c r="U1563" i="3"/>
  <c r="Y1563" i="3" s="1"/>
  <c r="S1563" i="3"/>
  <c r="N1563" i="3"/>
  <c r="M1563" i="3"/>
  <c r="L1563" i="3"/>
  <c r="K1563" i="3"/>
  <c r="J1563" i="3"/>
  <c r="I1563" i="3"/>
  <c r="H1563" i="3"/>
  <c r="G1563" i="3"/>
  <c r="F1563" i="3"/>
  <c r="D1563" i="3"/>
  <c r="X916" i="1"/>
  <c r="AB916" i="1" a="1"/>
  <c r="AA1563" i="3" a="1"/>
  <c r="AA1564" i="3" a="1"/>
  <c r="AA1564" i="3" l="1"/>
  <c r="AA1563" i="3"/>
  <c r="AB916" i="1"/>
  <c r="S3" i="26" l="1"/>
  <c r="L37" i="1"/>
  <c r="U1562" i="3"/>
  <c r="Y1562" i="3" s="1"/>
  <c r="S1562" i="3"/>
  <c r="M1562" i="3"/>
  <c r="L1562" i="3"/>
  <c r="K1562" i="3"/>
  <c r="J1562" i="3"/>
  <c r="I1562" i="3"/>
  <c r="H1562" i="3"/>
  <c r="G1562" i="3"/>
  <c r="F1562" i="3"/>
  <c r="D1562" i="3"/>
  <c r="U1561" i="3"/>
  <c r="Y1561" i="3" s="1"/>
  <c r="S1561" i="3"/>
  <c r="M1561" i="3"/>
  <c r="L1561" i="3"/>
  <c r="K1561" i="3"/>
  <c r="J1561" i="3"/>
  <c r="I1561" i="3"/>
  <c r="H1561" i="3"/>
  <c r="G1561" i="3"/>
  <c r="F1561" i="3"/>
  <c r="D1561" i="3"/>
  <c r="X915" i="1"/>
  <c r="AA1562" i="3" a="1"/>
  <c r="AA1561" i="3" a="1"/>
  <c r="AB915" i="1" a="1"/>
  <c r="N1570" i="3" l="1"/>
  <c r="N1589" i="3"/>
  <c r="N1588" i="3"/>
  <c r="AA1562" i="3"/>
  <c r="AA1561" i="3"/>
  <c r="AB915" i="1"/>
  <c r="X914" i="1" l="1"/>
  <c r="X913" i="1"/>
  <c r="R158" i="16" a="1"/>
  <c r="AB913" i="1" a="1"/>
  <c r="AB914" i="1" a="1"/>
  <c r="R158" i="16" l="1"/>
  <c r="AB914" i="1"/>
  <c r="AB913" i="1"/>
  <c r="X912" i="1" l="1"/>
  <c r="U1560" i="3"/>
  <c r="Y1560" i="3" s="1"/>
  <c r="S1560" i="3"/>
  <c r="N1560" i="3"/>
  <c r="M1560" i="3"/>
  <c r="L1560" i="3"/>
  <c r="K1560" i="3"/>
  <c r="J1560" i="3"/>
  <c r="I1560" i="3"/>
  <c r="H1560" i="3"/>
  <c r="G1560" i="3"/>
  <c r="F1560" i="3"/>
  <c r="D1560" i="3"/>
  <c r="G11" i="26"/>
  <c r="AA5" i="26"/>
  <c r="AA8" i="26" s="1"/>
  <c r="Y6" i="26"/>
  <c r="Y7" i="26" s="1"/>
  <c r="AB7" i="26" s="1"/>
  <c r="O2507" i="23"/>
  <c r="O2418" i="23"/>
  <c r="O2137" i="23"/>
  <c r="O2085" i="23"/>
  <c r="O1762" i="23"/>
  <c r="O1740" i="23"/>
  <c r="O1624" i="23"/>
  <c r="O1567" i="23"/>
  <c r="O1483" i="23"/>
  <c r="O1482" i="23"/>
  <c r="O1464" i="23"/>
  <c r="O1248" i="23"/>
  <c r="O1168" i="23"/>
  <c r="D11" i="26"/>
  <c r="AA3" i="26"/>
  <c r="S46" i="26"/>
  <c r="S48" i="26" s="1"/>
  <c r="S35" i="26"/>
  <c r="S37" i="26" s="1"/>
  <c r="S28" i="26"/>
  <c r="S5" i="26"/>
  <c r="S17" i="26"/>
  <c r="U1559" i="3"/>
  <c r="Y1559" i="3" s="1"/>
  <c r="S1559" i="3"/>
  <c r="N1559" i="3"/>
  <c r="M1559" i="3"/>
  <c r="L1559" i="3"/>
  <c r="K1559" i="3"/>
  <c r="J1559" i="3"/>
  <c r="I1559" i="3"/>
  <c r="H1559" i="3"/>
  <c r="G1559" i="3"/>
  <c r="F1559" i="3"/>
  <c r="D1559" i="3"/>
  <c r="U1558" i="3"/>
  <c r="Y1558" i="3" s="1"/>
  <c r="S1558" i="3"/>
  <c r="N1558" i="3"/>
  <c r="M1558" i="3"/>
  <c r="L1558" i="3"/>
  <c r="K1558" i="3"/>
  <c r="J1558" i="3"/>
  <c r="I1558" i="3"/>
  <c r="H1558" i="3"/>
  <c r="G1558" i="3"/>
  <c r="F1558" i="3"/>
  <c r="D1558" i="3"/>
  <c r="U1557" i="3"/>
  <c r="Y1557" i="3" s="1"/>
  <c r="S1557" i="3"/>
  <c r="N1557" i="3"/>
  <c r="M1557" i="3"/>
  <c r="L1557" i="3"/>
  <c r="K1557" i="3"/>
  <c r="J1557" i="3"/>
  <c r="I1557" i="3"/>
  <c r="H1557" i="3"/>
  <c r="G1557" i="3"/>
  <c r="F1557" i="3"/>
  <c r="D1557" i="3"/>
  <c r="U1556" i="3"/>
  <c r="Y1556" i="3" s="1"/>
  <c r="S1556" i="3"/>
  <c r="N1556" i="3"/>
  <c r="M1556" i="3"/>
  <c r="L1556" i="3"/>
  <c r="K1556" i="3"/>
  <c r="J1556" i="3"/>
  <c r="I1556" i="3"/>
  <c r="H1556" i="3"/>
  <c r="G1556" i="3"/>
  <c r="F1556" i="3"/>
  <c r="D1556" i="3"/>
  <c r="U1555" i="3"/>
  <c r="Y1555" i="3" s="1"/>
  <c r="S1555" i="3"/>
  <c r="N1555" i="3"/>
  <c r="M1555" i="3"/>
  <c r="L1555" i="3"/>
  <c r="K1555" i="3"/>
  <c r="J1555" i="3"/>
  <c r="I1555" i="3"/>
  <c r="H1555" i="3"/>
  <c r="G1555" i="3"/>
  <c r="F1555" i="3"/>
  <c r="D1555" i="3"/>
  <c r="U1554" i="3"/>
  <c r="Y1554" i="3" s="1"/>
  <c r="S1554" i="3"/>
  <c r="N1554" i="3"/>
  <c r="M1554" i="3"/>
  <c r="L1554" i="3"/>
  <c r="K1554" i="3"/>
  <c r="J1554" i="3"/>
  <c r="I1554" i="3"/>
  <c r="H1554" i="3"/>
  <c r="G1554" i="3"/>
  <c r="F1554" i="3"/>
  <c r="D1554" i="3"/>
  <c r="L2511" i="23"/>
  <c r="L2512" i="23"/>
  <c r="L2513" i="23"/>
  <c r="L2514" i="23"/>
  <c r="M2511" i="23"/>
  <c r="M2512" i="23"/>
  <c r="M2513" i="23"/>
  <c r="M2514" i="23"/>
  <c r="N2511" i="23"/>
  <c r="N2512" i="23"/>
  <c r="N2513" i="23"/>
  <c r="N2514" i="23"/>
  <c r="L2508" i="23"/>
  <c r="L2509" i="23"/>
  <c r="L2510" i="23"/>
  <c r="M2508" i="23"/>
  <c r="M2509" i="23"/>
  <c r="M2510" i="23"/>
  <c r="N2508" i="23"/>
  <c r="N2509" i="23"/>
  <c r="N2510" i="23"/>
  <c r="L2506" i="23"/>
  <c r="L2507" i="23"/>
  <c r="M2506" i="23"/>
  <c r="M2507" i="23"/>
  <c r="N2506" i="23"/>
  <c r="N2507" i="23"/>
  <c r="L2500" i="23"/>
  <c r="L2501" i="23"/>
  <c r="L2502" i="23"/>
  <c r="L2503" i="23"/>
  <c r="L2504" i="23"/>
  <c r="L2505" i="23"/>
  <c r="M2500" i="23"/>
  <c r="M2501" i="23"/>
  <c r="M2502" i="23"/>
  <c r="M2503" i="23"/>
  <c r="M2504" i="23"/>
  <c r="M2505" i="23"/>
  <c r="N2500" i="23"/>
  <c r="N2501" i="23"/>
  <c r="N2502" i="23"/>
  <c r="N2503" i="23"/>
  <c r="N2504" i="23"/>
  <c r="N2505" i="23"/>
  <c r="AA1558" i="3" a="1"/>
  <c r="AA1555" i="3" a="1"/>
  <c r="AA1557" i="3" a="1"/>
  <c r="AA1556" i="3" a="1"/>
  <c r="AA1560" i="3" a="1"/>
  <c r="AA1559" i="3" a="1"/>
  <c r="AB912" i="1" a="1"/>
  <c r="AA1554" i="3" a="1"/>
  <c r="AB912" i="1" l="1"/>
  <c r="AA1560" i="3"/>
  <c r="Y8" i="26"/>
  <c r="AB8" i="26" s="1"/>
  <c r="AB6" i="26"/>
  <c r="AB10" i="26" s="1"/>
  <c r="AB11" i="26" s="1"/>
  <c r="AA6" i="26"/>
  <c r="AA7" i="26"/>
  <c r="AA1554" i="3"/>
  <c r="AA1557" i="3"/>
  <c r="AA1556" i="3"/>
  <c r="AA1559" i="3"/>
  <c r="AA1558" i="3"/>
  <c r="AA1555" i="3"/>
  <c r="E75" i="26" l="1"/>
  <c r="F75" i="26"/>
  <c r="U1553" i="3"/>
  <c r="Y1553" i="3" s="1"/>
  <c r="S1553" i="3"/>
  <c r="M1553" i="3"/>
  <c r="L1553" i="3"/>
  <c r="K1553" i="3"/>
  <c r="J1553" i="3"/>
  <c r="I1553" i="3"/>
  <c r="H1553" i="3"/>
  <c r="G1553" i="3"/>
  <c r="F1553" i="3"/>
  <c r="D1553" i="3"/>
  <c r="U1552" i="3"/>
  <c r="Y1552" i="3" s="1"/>
  <c r="S1552" i="3"/>
  <c r="N1552" i="3"/>
  <c r="M1552" i="3"/>
  <c r="L1552" i="3"/>
  <c r="K1552" i="3"/>
  <c r="J1552" i="3"/>
  <c r="I1552" i="3"/>
  <c r="H1552" i="3"/>
  <c r="G1552" i="3"/>
  <c r="F1552" i="3"/>
  <c r="D1552" i="3"/>
  <c r="U1551" i="3"/>
  <c r="Y1551" i="3" s="1"/>
  <c r="S1551" i="3"/>
  <c r="M1551" i="3"/>
  <c r="L1551" i="3"/>
  <c r="K1551" i="3"/>
  <c r="J1551" i="3"/>
  <c r="I1551" i="3"/>
  <c r="H1551" i="3"/>
  <c r="G1551" i="3"/>
  <c r="F1551" i="3"/>
  <c r="D1551" i="3"/>
  <c r="L2498" i="23"/>
  <c r="L2499" i="23"/>
  <c r="M2498" i="23"/>
  <c r="M2499" i="23"/>
  <c r="N2498" i="23"/>
  <c r="N2499" i="23"/>
  <c r="L2493" i="23"/>
  <c r="L2494" i="23"/>
  <c r="L2495" i="23"/>
  <c r="L2496" i="23"/>
  <c r="L2497" i="23"/>
  <c r="M2493" i="23"/>
  <c r="M2494" i="23"/>
  <c r="M2495" i="23"/>
  <c r="M2496" i="23"/>
  <c r="M2497" i="23"/>
  <c r="N2493" i="23"/>
  <c r="N2494" i="23"/>
  <c r="N2495" i="23"/>
  <c r="N2496" i="23"/>
  <c r="N2497" i="23"/>
  <c r="L2490" i="23"/>
  <c r="L2491" i="23"/>
  <c r="L2492" i="23"/>
  <c r="M2490" i="23"/>
  <c r="M2491" i="23"/>
  <c r="M2492" i="23"/>
  <c r="N2490" i="23"/>
  <c r="N2491" i="23"/>
  <c r="N2492" i="23"/>
  <c r="L2483" i="23"/>
  <c r="L2484" i="23"/>
  <c r="L2485" i="23"/>
  <c r="L2486" i="23"/>
  <c r="L2487" i="23"/>
  <c r="L2488" i="23"/>
  <c r="L2489" i="23"/>
  <c r="M2483" i="23"/>
  <c r="M2484" i="23"/>
  <c r="M2485" i="23"/>
  <c r="M2486" i="23"/>
  <c r="M2487" i="23"/>
  <c r="M2488" i="23"/>
  <c r="M2489" i="23"/>
  <c r="N2483" i="23"/>
  <c r="N2484" i="23"/>
  <c r="N2485" i="23"/>
  <c r="N2486" i="23"/>
  <c r="N2487" i="23"/>
  <c r="N2488" i="23"/>
  <c r="N2489" i="23"/>
  <c r="AA1552" i="3" a="1"/>
  <c r="AA1551" i="3" a="1"/>
  <c r="AA1553" i="3" a="1"/>
  <c r="AA1553" i="3" l="1"/>
  <c r="AA1552" i="3"/>
  <c r="AA1551" i="3"/>
  <c r="X911" i="1"/>
  <c r="AB911" i="1" a="1"/>
  <c r="AB911" i="1" l="1"/>
  <c r="L2458" i="23"/>
  <c r="L2459" i="23"/>
  <c r="L2460" i="23"/>
  <c r="L2461" i="23"/>
  <c r="L2462" i="23"/>
  <c r="L2463" i="23"/>
  <c r="L2464" i="23"/>
  <c r="L2465" i="23"/>
  <c r="L2466" i="23"/>
  <c r="L2467" i="23"/>
  <c r="L2468" i="23"/>
  <c r="L2469" i="23"/>
  <c r="L2470" i="23"/>
  <c r="L2471" i="23"/>
  <c r="L2472" i="23"/>
  <c r="L2473" i="23"/>
  <c r="L2474" i="23"/>
  <c r="L2475" i="23"/>
  <c r="L2476" i="23"/>
  <c r="L2477" i="23"/>
  <c r="L2478" i="23"/>
  <c r="L2479" i="23"/>
  <c r="L2480" i="23"/>
  <c r="L2481" i="23"/>
  <c r="L2482" i="23"/>
  <c r="M2458" i="23"/>
  <c r="M2459" i="23"/>
  <c r="M2460" i="23"/>
  <c r="M2461" i="23"/>
  <c r="M2462" i="23"/>
  <c r="M2463" i="23"/>
  <c r="M2464" i="23"/>
  <c r="M2465" i="23"/>
  <c r="M2466" i="23"/>
  <c r="M2467" i="23"/>
  <c r="M2468" i="23"/>
  <c r="M2469" i="23"/>
  <c r="M2470" i="23"/>
  <c r="M2471" i="23"/>
  <c r="M2472" i="23"/>
  <c r="M2473" i="23"/>
  <c r="M2474" i="23"/>
  <c r="M2475" i="23"/>
  <c r="M2476" i="23"/>
  <c r="M2477" i="23"/>
  <c r="M2478" i="23"/>
  <c r="M2479" i="23"/>
  <c r="M2480" i="23"/>
  <c r="M2481" i="23"/>
  <c r="M2482" i="23"/>
  <c r="N2458" i="23"/>
  <c r="N2459" i="23"/>
  <c r="N2460" i="23"/>
  <c r="N2461" i="23"/>
  <c r="N2462" i="23"/>
  <c r="N2463" i="23"/>
  <c r="N2464" i="23"/>
  <c r="N2465" i="23"/>
  <c r="N2466" i="23"/>
  <c r="N2467" i="23"/>
  <c r="N2468" i="23"/>
  <c r="N2469" i="23"/>
  <c r="N2470" i="23"/>
  <c r="N2471" i="23"/>
  <c r="N2472" i="23"/>
  <c r="N2473" i="23"/>
  <c r="N2474" i="23"/>
  <c r="N2475" i="23"/>
  <c r="N2476" i="23"/>
  <c r="N2477" i="23"/>
  <c r="N2478" i="23"/>
  <c r="N2479" i="23"/>
  <c r="N2480" i="23"/>
  <c r="N2481" i="23"/>
  <c r="N2482" i="23"/>
  <c r="L2453" i="23"/>
  <c r="L2454" i="23"/>
  <c r="L2455" i="23"/>
  <c r="L2456" i="23"/>
  <c r="L2457" i="23"/>
  <c r="M2453" i="23"/>
  <c r="M2454" i="23"/>
  <c r="M2455" i="23"/>
  <c r="M2456" i="23"/>
  <c r="M2457" i="23"/>
  <c r="N2453" i="23"/>
  <c r="N2454" i="23"/>
  <c r="N2455" i="23"/>
  <c r="N2456" i="23"/>
  <c r="N2457" i="23"/>
  <c r="L2450" i="23"/>
  <c r="L2451" i="23"/>
  <c r="L2452" i="23"/>
  <c r="M2450" i="23"/>
  <c r="M2451" i="23"/>
  <c r="M2452" i="23"/>
  <c r="N2450" i="23"/>
  <c r="N2451" i="23"/>
  <c r="N2452" i="23"/>
  <c r="L2440" i="23"/>
  <c r="L2441" i="23"/>
  <c r="L2442" i="23"/>
  <c r="L2443" i="23"/>
  <c r="L2444" i="23"/>
  <c r="L2445" i="23"/>
  <c r="L2446" i="23"/>
  <c r="L2447" i="23"/>
  <c r="L2448" i="23"/>
  <c r="L2449" i="23"/>
  <c r="M2440" i="23"/>
  <c r="M2441" i="23"/>
  <c r="M2442" i="23"/>
  <c r="M2443" i="23"/>
  <c r="M2444" i="23"/>
  <c r="M2445" i="23"/>
  <c r="M2446" i="23"/>
  <c r="M2447" i="23"/>
  <c r="M2448" i="23"/>
  <c r="M2449" i="23"/>
  <c r="N2440" i="23"/>
  <c r="N2441" i="23"/>
  <c r="N2442" i="23"/>
  <c r="N2443" i="23"/>
  <c r="N2444" i="23"/>
  <c r="N2445" i="23"/>
  <c r="N2446" i="23"/>
  <c r="N2447" i="23"/>
  <c r="N2448" i="23"/>
  <c r="N2449" i="23"/>
  <c r="L2431" i="23"/>
  <c r="L2432" i="23"/>
  <c r="L2433" i="23"/>
  <c r="L2434" i="23"/>
  <c r="L2435" i="23"/>
  <c r="L2436" i="23"/>
  <c r="L2437" i="23"/>
  <c r="L2438" i="23"/>
  <c r="L2439" i="23"/>
  <c r="M2431" i="23"/>
  <c r="M2432" i="23"/>
  <c r="M2433" i="23"/>
  <c r="M2434" i="23"/>
  <c r="M2435" i="23"/>
  <c r="M2436" i="23"/>
  <c r="M2437" i="23"/>
  <c r="M2438" i="23"/>
  <c r="M2439" i="23"/>
  <c r="N2431" i="23"/>
  <c r="N2432" i="23"/>
  <c r="N2433" i="23"/>
  <c r="N2434" i="23"/>
  <c r="N2435" i="23"/>
  <c r="N2436" i="23"/>
  <c r="N2437" i="23"/>
  <c r="N2438" i="23"/>
  <c r="N2439" i="23"/>
  <c r="U1550" i="3" l="1"/>
  <c r="Y1550" i="3" s="1"/>
  <c r="S1550" i="3"/>
  <c r="N1550" i="3"/>
  <c r="M1550" i="3"/>
  <c r="L1550" i="3"/>
  <c r="K1550" i="3"/>
  <c r="J1550" i="3"/>
  <c r="I1550" i="3"/>
  <c r="H1550" i="3"/>
  <c r="G1550" i="3"/>
  <c r="F1550" i="3"/>
  <c r="D1550" i="3"/>
  <c r="U1549" i="3"/>
  <c r="Y1549" i="3" s="1"/>
  <c r="S1549" i="3"/>
  <c r="N1549" i="3"/>
  <c r="M1549" i="3"/>
  <c r="L1549" i="3"/>
  <c r="K1549" i="3"/>
  <c r="J1549" i="3"/>
  <c r="I1549" i="3"/>
  <c r="H1549" i="3"/>
  <c r="G1549" i="3"/>
  <c r="F1549" i="3"/>
  <c r="D1549" i="3"/>
  <c r="AA1550" i="3" a="1"/>
  <c r="AA1549" i="3" a="1"/>
  <c r="AA1550" i="3" l="1"/>
  <c r="AA1549" i="3"/>
  <c r="H59" i="16" l="1"/>
  <c r="H148" i="16"/>
  <c r="L2429" i="23"/>
  <c r="L2430" i="23"/>
  <c r="M2429" i="23"/>
  <c r="M2430" i="23"/>
  <c r="N2429" i="23"/>
  <c r="N2430" i="23"/>
  <c r="L2425" i="23"/>
  <c r="L2426" i="23"/>
  <c r="L2427" i="23"/>
  <c r="L2428" i="23"/>
  <c r="M2425" i="23"/>
  <c r="M2426" i="23"/>
  <c r="M2427" i="23"/>
  <c r="M2428" i="23"/>
  <c r="N2425" i="23"/>
  <c r="N2426" i="23"/>
  <c r="N2427" i="23"/>
  <c r="N2428" i="23"/>
  <c r="L2423" i="23"/>
  <c r="L2424" i="23"/>
  <c r="M2423" i="23"/>
  <c r="M2424" i="23"/>
  <c r="N2423" i="23"/>
  <c r="N2424" i="23"/>
  <c r="L2419" i="23"/>
  <c r="L2420" i="23"/>
  <c r="L2421" i="23"/>
  <c r="L2422" i="23"/>
  <c r="M2419" i="23"/>
  <c r="M2420" i="23"/>
  <c r="M2421" i="23"/>
  <c r="M2422" i="23"/>
  <c r="N2419" i="23"/>
  <c r="N2420" i="23"/>
  <c r="N2421" i="23"/>
  <c r="N2422" i="23"/>
  <c r="L2418" i="23"/>
  <c r="M2418" i="23"/>
  <c r="N2418" i="23"/>
  <c r="L2412" i="23"/>
  <c r="L2413" i="23"/>
  <c r="L2414" i="23"/>
  <c r="L2415" i="23"/>
  <c r="L2416" i="23"/>
  <c r="L2417" i="23"/>
  <c r="M2412" i="23"/>
  <c r="M2413" i="23"/>
  <c r="M2414" i="23"/>
  <c r="M2415" i="23"/>
  <c r="M2416" i="23"/>
  <c r="M2417" i="23"/>
  <c r="N2412" i="23"/>
  <c r="N2413" i="23"/>
  <c r="N2414" i="23"/>
  <c r="N2415" i="23"/>
  <c r="N2416" i="23"/>
  <c r="N2417" i="23"/>
  <c r="X910" i="1" l="1"/>
  <c r="X909" i="1"/>
  <c r="X908" i="1"/>
  <c r="X907" i="1"/>
  <c r="X906" i="1"/>
  <c r="X905" i="1"/>
  <c r="X904" i="1"/>
  <c r="X903" i="1"/>
  <c r="X902" i="1"/>
  <c r="X901" i="1"/>
  <c r="X900" i="1"/>
  <c r="U1548" i="3"/>
  <c r="Y1548" i="3" s="1"/>
  <c r="S1548" i="3"/>
  <c r="N1548" i="3"/>
  <c r="M1548" i="3"/>
  <c r="L1548" i="3"/>
  <c r="K1548" i="3"/>
  <c r="J1548" i="3"/>
  <c r="I1548" i="3"/>
  <c r="H1548" i="3"/>
  <c r="G1548" i="3"/>
  <c r="F1548" i="3"/>
  <c r="D1548" i="3"/>
  <c r="U1547" i="3"/>
  <c r="Y1547" i="3" s="1"/>
  <c r="S1547" i="3"/>
  <c r="N1547" i="3"/>
  <c r="M1547" i="3"/>
  <c r="L1547" i="3"/>
  <c r="K1547" i="3"/>
  <c r="J1547" i="3"/>
  <c r="I1547" i="3"/>
  <c r="H1547" i="3"/>
  <c r="G1547" i="3"/>
  <c r="F1547" i="3"/>
  <c r="D1547" i="3"/>
  <c r="U1546" i="3"/>
  <c r="Y1546" i="3" s="1"/>
  <c r="S1546" i="3"/>
  <c r="N1546" i="3"/>
  <c r="M1546" i="3"/>
  <c r="L1546" i="3"/>
  <c r="K1546" i="3"/>
  <c r="J1546" i="3"/>
  <c r="I1546" i="3"/>
  <c r="H1546" i="3"/>
  <c r="G1546" i="3"/>
  <c r="F1546" i="3"/>
  <c r="D1546" i="3"/>
  <c r="AH8" i="18"/>
  <c r="AA1547" i="3" a="1"/>
  <c r="AA1548" i="3" a="1"/>
  <c r="AB907" i="1" a="1"/>
  <c r="AB905" i="1" a="1"/>
  <c r="AB910" i="1" a="1"/>
  <c r="AA1546" i="3" a="1"/>
  <c r="AB908" i="1" a="1"/>
  <c r="AB906" i="1" a="1"/>
  <c r="AB909" i="1" a="1"/>
  <c r="AB902" i="1" a="1"/>
  <c r="AB900" i="1" a="1"/>
  <c r="AB903" i="1" a="1"/>
  <c r="R157" i="16" a="1"/>
  <c r="AB904" i="1" a="1"/>
  <c r="AB901" i="1" a="1"/>
  <c r="AB910" i="1" l="1"/>
  <c r="AB909" i="1"/>
  <c r="AB906" i="1"/>
  <c r="AB904" i="1"/>
  <c r="AB907" i="1"/>
  <c r="AB905" i="1"/>
  <c r="AB901" i="1"/>
  <c r="AB902" i="1"/>
  <c r="AB903" i="1"/>
  <c r="AB908" i="1"/>
  <c r="AB900" i="1"/>
  <c r="AA1548" i="3"/>
  <c r="R157" i="16"/>
  <c r="AA1547" i="3"/>
  <c r="AA1546" i="3"/>
  <c r="L2408" i="23"/>
  <c r="L2409" i="23"/>
  <c r="L2410" i="23"/>
  <c r="L2411" i="23"/>
  <c r="M2408" i="23"/>
  <c r="M2409" i="23"/>
  <c r="M2410" i="23"/>
  <c r="M2411" i="23"/>
  <c r="N2408" i="23"/>
  <c r="N2409" i="23"/>
  <c r="N2410" i="23"/>
  <c r="N2411" i="23"/>
  <c r="L2406" i="23"/>
  <c r="L2407" i="23"/>
  <c r="M2406" i="23"/>
  <c r="M2407" i="23"/>
  <c r="N2406" i="23"/>
  <c r="N2407" i="23"/>
  <c r="L2405" i="23"/>
  <c r="M2405" i="23"/>
  <c r="N2405" i="23"/>
  <c r="L2402" i="23"/>
  <c r="L2403" i="23"/>
  <c r="L2404" i="23"/>
  <c r="M2402" i="23"/>
  <c r="M2403" i="23"/>
  <c r="M2404" i="23"/>
  <c r="N2402" i="23"/>
  <c r="N2403" i="23"/>
  <c r="N2404" i="23"/>
  <c r="V1507" i="3" l="1"/>
  <c r="X42" i="1" l="1"/>
  <c r="AB42" i="1" a="1"/>
  <c r="AB42" i="1" l="1"/>
  <c r="L2400" i="23"/>
  <c r="L2401" i="23"/>
  <c r="M2400" i="23"/>
  <c r="M2401" i="23"/>
  <c r="N2400" i="23"/>
  <c r="N2401" i="23"/>
  <c r="L2399" i="23"/>
  <c r="M2399" i="23"/>
  <c r="N2399" i="23"/>
  <c r="H107" i="16" l="1"/>
  <c r="H109" i="16"/>
  <c r="H110" i="16"/>
  <c r="H64" i="16"/>
  <c r="H103" i="16"/>
  <c r="H96" i="16"/>
  <c r="H63" i="16"/>
  <c r="H136" i="16"/>
  <c r="H132" i="16"/>
  <c r="H66" i="16"/>
  <c r="H106" i="16"/>
  <c r="H108" i="16" l="1"/>
  <c r="H57" i="16"/>
  <c r="R92" i="16" a="1"/>
  <c r="R56" i="16" a="1"/>
  <c r="R77" i="16" a="1"/>
  <c r="R80" i="16" a="1"/>
  <c r="R100" i="16" a="1"/>
  <c r="R57" i="16" a="1"/>
  <c r="R83" i="16" a="1"/>
  <c r="R141" i="16" a="1"/>
  <c r="R148" i="16" a="1"/>
  <c r="R128" i="16" a="1"/>
  <c r="R87" i="16" a="1"/>
  <c r="R79" i="16" a="1"/>
  <c r="R101" i="16" a="1"/>
  <c r="R110" i="16" a="1"/>
  <c r="R108" i="16" a="1"/>
  <c r="R151" i="16" a="1"/>
  <c r="R67" i="16" a="1"/>
  <c r="R91" i="16" a="1"/>
  <c r="R82" i="16" a="1"/>
  <c r="R132" i="16" a="1"/>
  <c r="R84" i="16" a="1"/>
  <c r="R93" i="16" a="1"/>
  <c r="R54" i="16" a="1"/>
  <c r="R60" i="16" a="1"/>
  <c r="R142" i="16" a="1"/>
  <c r="R135" i="16" a="1"/>
  <c r="R134" i="16" a="1"/>
  <c r="R155" i="16" a="1"/>
  <c r="R118" i="16" a="1"/>
  <c r="R53" i="16" a="1"/>
  <c r="R106" i="16" a="1"/>
  <c r="R70" i="16" a="1"/>
  <c r="R136" i="16" a="1"/>
  <c r="R64" i="16" a="1"/>
  <c r="R97" i="16" a="1"/>
  <c r="R86" i="16" a="1"/>
  <c r="R123" i="16" a="1"/>
  <c r="R146" i="16" a="1"/>
  <c r="R127" i="16" a="1"/>
  <c r="R55" i="16" a="1"/>
  <c r="R144" i="16" a="1"/>
  <c r="R102" i="16" a="1"/>
  <c r="R66" i="16" a="1"/>
  <c r="R121" i="16" a="1"/>
  <c r="R90" i="16" a="1"/>
  <c r="R51" i="16" a="1"/>
  <c r="R124" i="16" a="1"/>
  <c r="R152" i="16" a="1"/>
  <c r="R95" i="16" a="1"/>
  <c r="R88" i="16" a="1"/>
  <c r="R111" i="16" a="1"/>
  <c r="R74" i="16" a="1"/>
  <c r="R68" i="16" a="1"/>
  <c r="R78" i="16" a="1"/>
  <c r="R109" i="16" a="1"/>
  <c r="R117" i="16" a="1"/>
  <c r="R130" i="16" a="1"/>
  <c r="R133" i="16" a="1"/>
  <c r="R114" i="16" a="1"/>
  <c r="R113" i="16" a="1"/>
  <c r="R72" i="16" a="1"/>
  <c r="R89" i="16" a="1"/>
  <c r="R153" i="16" a="1"/>
  <c r="R140" i="16" a="1"/>
  <c r="R94" i="16" a="1"/>
  <c r="R120" i="16" a="1"/>
  <c r="R62" i="16" a="1"/>
  <c r="R85" i="16" a="1"/>
  <c r="R139" i="16" a="1"/>
  <c r="R107" i="16" a="1"/>
  <c r="R112" i="16" a="1"/>
  <c r="R129" i="16" a="1"/>
  <c r="R138" i="16" a="1"/>
  <c r="R149" i="16" a="1"/>
  <c r="R105" i="16" a="1"/>
  <c r="R156" i="16" a="1"/>
  <c r="R150" i="16" a="1"/>
  <c r="R63" i="16" a="1"/>
  <c r="R125" i="16" a="1"/>
  <c r="R61" i="16" a="1"/>
  <c r="R137" i="16" a="1"/>
  <c r="R58" i="16" a="1"/>
  <c r="R154" i="16" a="1"/>
  <c r="R145" i="16" a="1"/>
  <c r="R81" i="16" a="1"/>
  <c r="R122" i="16" a="1"/>
  <c r="R119" i="16" a="1"/>
  <c r="R126" i="16" a="1"/>
  <c r="R131" i="16" a="1"/>
  <c r="R59" i="16" a="1"/>
  <c r="R73" i="16" a="1"/>
  <c r="R147" i="16" a="1"/>
  <c r="R96" i="16" a="1"/>
  <c r="R65" i="16" a="1"/>
  <c r="R52" i="16" a="1"/>
  <c r="R75" i="16" a="1"/>
  <c r="R103" i="16" a="1"/>
  <c r="R99" i="16" a="1"/>
  <c r="R115" i="16" a="1"/>
  <c r="R104" i="16" a="1"/>
  <c r="R98" i="16" a="1"/>
  <c r="R69" i="16" a="1"/>
  <c r="R143" i="16" a="1"/>
  <c r="R71" i="16" a="1"/>
  <c r="R76" i="16" a="1"/>
  <c r="R116" i="16" a="1"/>
  <c r="R155" i="16" l="1"/>
  <c r="R156" i="16"/>
  <c r="R154" i="16"/>
  <c r="R152" i="16"/>
  <c r="R153" i="16"/>
  <c r="R151" i="16"/>
  <c r="R146" i="16"/>
  <c r="R145" i="16"/>
  <c r="R143" i="16"/>
  <c r="R149" i="16"/>
  <c r="R147" i="16"/>
  <c r="R144" i="16"/>
  <c r="R142" i="16"/>
  <c r="R141" i="16"/>
  <c r="R150" i="16"/>
  <c r="R140" i="16"/>
  <c r="R148" i="16"/>
  <c r="R139" i="16"/>
  <c r="R138" i="16"/>
  <c r="R133" i="16"/>
  <c r="R137" i="16"/>
  <c r="R136" i="16"/>
  <c r="R135" i="16"/>
  <c r="R134" i="16"/>
  <c r="R132" i="16"/>
  <c r="R115" i="16"/>
  <c r="R124" i="16"/>
  <c r="R122" i="16"/>
  <c r="R131" i="16"/>
  <c r="R130" i="16"/>
  <c r="R127" i="16"/>
  <c r="R126" i="16"/>
  <c r="R125" i="16"/>
  <c r="R123" i="16"/>
  <c r="R121" i="16"/>
  <c r="R120" i="16"/>
  <c r="R129" i="16"/>
  <c r="R119" i="16"/>
  <c r="R128" i="16"/>
  <c r="R118" i="16"/>
  <c r="R117" i="16"/>
  <c r="R116" i="16"/>
  <c r="R114" i="16"/>
  <c r="R113" i="16"/>
  <c r="R59" i="16"/>
  <c r="R69" i="16"/>
  <c r="R55" i="16"/>
  <c r="R104" i="16"/>
  <c r="R64" i="16"/>
  <c r="R89" i="16"/>
  <c r="R109" i="16"/>
  <c r="R79" i="16"/>
  <c r="R108" i="16"/>
  <c r="R88" i="16"/>
  <c r="R68" i="16"/>
  <c r="R97" i="16"/>
  <c r="R77" i="16"/>
  <c r="R57" i="16"/>
  <c r="R106" i="16"/>
  <c r="R66" i="16"/>
  <c r="R105" i="16"/>
  <c r="R62" i="16"/>
  <c r="R99" i="16"/>
  <c r="R98" i="16"/>
  <c r="R78" i="16"/>
  <c r="R58" i="16"/>
  <c r="R107" i="16"/>
  <c r="R87" i="16"/>
  <c r="R67" i="16"/>
  <c r="R96" i="16"/>
  <c r="R86" i="16"/>
  <c r="R76" i="16"/>
  <c r="R56" i="16"/>
  <c r="R95" i="16"/>
  <c r="R85" i="16"/>
  <c r="R75" i="16"/>
  <c r="R65" i="16"/>
  <c r="R94" i="16"/>
  <c r="R84" i="16"/>
  <c r="R74" i="16"/>
  <c r="R54" i="16"/>
  <c r="R103" i="16"/>
  <c r="R93" i="16"/>
  <c r="R83" i="16"/>
  <c r="R73" i="16"/>
  <c r="R63" i="16"/>
  <c r="R53" i="16"/>
  <c r="R112" i="16"/>
  <c r="R102" i="16"/>
  <c r="R92" i="16"/>
  <c r="R82" i="16"/>
  <c r="R72" i="16"/>
  <c r="R52" i="16"/>
  <c r="R111" i="16"/>
  <c r="R101" i="16"/>
  <c r="R91" i="16"/>
  <c r="R81" i="16"/>
  <c r="R71" i="16"/>
  <c r="R61" i="16"/>
  <c r="R110" i="16"/>
  <c r="R100" i="16"/>
  <c r="R90" i="16"/>
  <c r="R80" i="16"/>
  <c r="R70" i="16"/>
  <c r="R60" i="16"/>
  <c r="R51" i="16"/>
  <c r="O6" i="23" l="1"/>
  <c r="O7" i="23"/>
  <c r="O8" i="23"/>
  <c r="O9" i="23"/>
  <c r="O10" i="23"/>
  <c r="O11" i="23"/>
  <c r="O12" i="23"/>
  <c r="O13" i="23"/>
  <c r="O14" i="23"/>
  <c r="O15" i="23"/>
  <c r="O16" i="23"/>
  <c r="O17" i="23"/>
  <c r="O18" i="23"/>
  <c r="O19" i="23"/>
  <c r="O20" i="23"/>
  <c r="O21" i="23"/>
  <c r="O22" i="23"/>
  <c r="O23" i="23"/>
  <c r="O24" i="23"/>
  <c r="O25" i="23"/>
  <c r="O26" i="23"/>
  <c r="O27" i="23"/>
  <c r="O28" i="23"/>
  <c r="O29" i="23"/>
  <c r="O30" i="23"/>
  <c r="O31" i="23"/>
  <c r="O32" i="23"/>
  <c r="O33" i="23"/>
  <c r="O34" i="23"/>
  <c r="O35" i="23"/>
  <c r="O36" i="23"/>
  <c r="O37" i="23"/>
  <c r="O38" i="23"/>
  <c r="O39" i="23"/>
  <c r="O40" i="23"/>
  <c r="O41" i="23"/>
  <c r="O42" i="23"/>
  <c r="O43" i="23"/>
  <c r="O44" i="23"/>
  <c r="O45" i="23"/>
  <c r="O46" i="23"/>
  <c r="O47" i="23"/>
  <c r="O48" i="23"/>
  <c r="O49" i="23"/>
  <c r="O50" i="23"/>
  <c r="O51" i="23"/>
  <c r="O52" i="23"/>
  <c r="O53" i="23"/>
  <c r="O54" i="23"/>
  <c r="O55" i="23"/>
  <c r="O56" i="23"/>
  <c r="O57" i="23"/>
  <c r="O58" i="23"/>
  <c r="O59" i="23"/>
  <c r="O60" i="23"/>
  <c r="O61" i="23"/>
  <c r="O62" i="23"/>
  <c r="O63" i="23"/>
  <c r="O64" i="23"/>
  <c r="O65" i="23"/>
  <c r="O66" i="23"/>
  <c r="O67" i="23"/>
  <c r="O68" i="23"/>
  <c r="O69" i="23"/>
  <c r="O70" i="23"/>
  <c r="O71" i="23"/>
  <c r="O72" i="23"/>
  <c r="O73" i="23"/>
  <c r="O74" i="23"/>
  <c r="O75" i="23"/>
  <c r="O76" i="23"/>
  <c r="O77" i="23"/>
  <c r="O78" i="23"/>
  <c r="O79" i="23"/>
  <c r="O80" i="23"/>
  <c r="O81" i="23"/>
  <c r="O82" i="23"/>
  <c r="O83" i="23"/>
  <c r="O84" i="23"/>
  <c r="O85" i="23"/>
  <c r="O86" i="23"/>
  <c r="O87" i="23"/>
  <c r="O88" i="23"/>
  <c r="O89" i="23"/>
  <c r="O90" i="23"/>
  <c r="O91" i="23"/>
  <c r="O92" i="23"/>
  <c r="O93" i="23"/>
  <c r="O94" i="23"/>
  <c r="O95" i="23"/>
  <c r="O96" i="23"/>
  <c r="O97" i="23"/>
  <c r="O98" i="23"/>
  <c r="O99" i="23"/>
  <c r="O100" i="23"/>
  <c r="O101" i="23"/>
  <c r="O102" i="23"/>
  <c r="O103" i="23"/>
  <c r="O104" i="23"/>
  <c r="O105" i="23"/>
  <c r="O106" i="23"/>
  <c r="O107" i="23"/>
  <c r="O108" i="23"/>
  <c r="O109" i="23"/>
  <c r="O110" i="23"/>
  <c r="O111" i="23"/>
  <c r="O112" i="23"/>
  <c r="O113" i="23"/>
  <c r="O114" i="23"/>
  <c r="O115" i="23"/>
  <c r="O116" i="23"/>
  <c r="O117" i="23"/>
  <c r="O118" i="23"/>
  <c r="O119" i="23"/>
  <c r="O120" i="23"/>
  <c r="O121" i="23"/>
  <c r="O122" i="23"/>
  <c r="O123" i="23"/>
  <c r="O124" i="23"/>
  <c r="O125" i="23"/>
  <c r="O126" i="23"/>
  <c r="O127" i="23"/>
  <c r="O128" i="23"/>
  <c r="O129" i="23"/>
  <c r="O130" i="23"/>
  <c r="O131" i="23"/>
  <c r="O132" i="23"/>
  <c r="O133" i="23"/>
  <c r="O134" i="23"/>
  <c r="O135" i="23"/>
  <c r="O136" i="23"/>
  <c r="O137" i="23"/>
  <c r="O138" i="23"/>
  <c r="O139" i="23"/>
  <c r="O140" i="23"/>
  <c r="O141" i="23"/>
  <c r="O142" i="23"/>
  <c r="O143" i="23"/>
  <c r="O144" i="23"/>
  <c r="O145" i="23"/>
  <c r="O146" i="23"/>
  <c r="O147" i="23"/>
  <c r="O148" i="23"/>
  <c r="O149" i="23"/>
  <c r="O150" i="23"/>
  <c r="O151" i="23"/>
  <c r="O152" i="23"/>
  <c r="O153" i="23"/>
  <c r="O154" i="23"/>
  <c r="O155" i="23"/>
  <c r="O156" i="23"/>
  <c r="O157" i="23"/>
  <c r="O158" i="23"/>
  <c r="O159" i="23"/>
  <c r="O160" i="23"/>
  <c r="O161" i="23"/>
  <c r="O162" i="23"/>
  <c r="O163" i="23"/>
  <c r="O164" i="23"/>
  <c r="O165" i="23"/>
  <c r="O166" i="23"/>
  <c r="O167" i="23"/>
  <c r="O168" i="23"/>
  <c r="O169" i="23"/>
  <c r="O170" i="23"/>
  <c r="O171" i="23"/>
  <c r="O172" i="23"/>
  <c r="O173" i="23"/>
  <c r="O174" i="23"/>
  <c r="O175" i="23"/>
  <c r="O176" i="23"/>
  <c r="O177" i="23"/>
  <c r="O178" i="23"/>
  <c r="O179" i="23"/>
  <c r="O180" i="23"/>
  <c r="O181" i="23"/>
  <c r="O182" i="23"/>
  <c r="O183" i="23"/>
  <c r="O184" i="23"/>
  <c r="O185" i="23"/>
  <c r="O186" i="23"/>
  <c r="O187" i="23"/>
  <c r="O188" i="23"/>
  <c r="O189" i="23"/>
  <c r="O190" i="23"/>
  <c r="O191" i="23"/>
  <c r="O192" i="23"/>
  <c r="O193" i="23"/>
  <c r="O194" i="23"/>
  <c r="O195" i="23"/>
  <c r="O196" i="23"/>
  <c r="O197" i="23"/>
  <c r="O198" i="23"/>
  <c r="O199" i="23"/>
  <c r="O200" i="23"/>
  <c r="O201" i="23"/>
  <c r="O202" i="23"/>
  <c r="O203" i="23"/>
  <c r="O204" i="23"/>
  <c r="O205" i="23"/>
  <c r="O206" i="23"/>
  <c r="O207" i="23"/>
  <c r="O208" i="23"/>
  <c r="O209" i="23"/>
  <c r="O210" i="23"/>
  <c r="O211" i="23"/>
  <c r="O212" i="23"/>
  <c r="O213" i="23"/>
  <c r="O214" i="23"/>
  <c r="O215" i="23"/>
  <c r="O216" i="23"/>
  <c r="O217" i="23"/>
  <c r="O218" i="23"/>
  <c r="O219" i="23"/>
  <c r="O220" i="23"/>
  <c r="O221" i="23"/>
  <c r="O222" i="23"/>
  <c r="O223" i="23"/>
  <c r="O224" i="23"/>
  <c r="O225" i="23"/>
  <c r="O226" i="23"/>
  <c r="O227" i="23"/>
  <c r="O228" i="23"/>
  <c r="O229" i="23"/>
  <c r="O230" i="23"/>
  <c r="O231" i="23"/>
  <c r="O232" i="23"/>
  <c r="O233" i="23"/>
  <c r="O234" i="23"/>
  <c r="O235" i="23"/>
  <c r="O236" i="23"/>
  <c r="O237" i="23"/>
  <c r="O238" i="23"/>
  <c r="O239" i="23"/>
  <c r="O240" i="23"/>
  <c r="O241" i="23"/>
  <c r="O242" i="23"/>
  <c r="O243" i="23"/>
  <c r="O244" i="23"/>
  <c r="O245" i="23"/>
  <c r="O246" i="23"/>
  <c r="O247" i="23"/>
  <c r="O248" i="23"/>
  <c r="O249" i="23"/>
  <c r="O250" i="23"/>
  <c r="O251" i="23"/>
  <c r="O252" i="23"/>
  <c r="O253" i="23"/>
  <c r="O254" i="23"/>
  <c r="O255" i="23"/>
  <c r="O256" i="23"/>
  <c r="O257" i="23"/>
  <c r="O258" i="23"/>
  <c r="O259" i="23"/>
  <c r="O260" i="23"/>
  <c r="O261" i="23"/>
  <c r="O262" i="23"/>
  <c r="O263" i="23"/>
  <c r="O264" i="23"/>
  <c r="O265" i="23"/>
  <c r="O266" i="23"/>
  <c r="O267" i="23"/>
  <c r="O268" i="23"/>
  <c r="O269" i="23"/>
  <c r="O270" i="23"/>
  <c r="O271" i="23"/>
  <c r="O272" i="23"/>
  <c r="O273" i="23"/>
  <c r="O274" i="23"/>
  <c r="O275" i="23"/>
  <c r="O276" i="23"/>
  <c r="O277" i="23"/>
  <c r="O278" i="23"/>
  <c r="O279" i="23"/>
  <c r="O280" i="23"/>
  <c r="O281" i="23"/>
  <c r="O282" i="23"/>
  <c r="O283" i="23"/>
  <c r="O284" i="23"/>
  <c r="O285" i="23"/>
  <c r="O286" i="23"/>
  <c r="O287" i="23"/>
  <c r="O288" i="23"/>
  <c r="O289" i="23"/>
  <c r="O290" i="23"/>
  <c r="O291" i="23"/>
  <c r="O292" i="23"/>
  <c r="O293" i="23"/>
  <c r="O294" i="23"/>
  <c r="O295" i="23"/>
  <c r="O296" i="23"/>
  <c r="O297" i="23"/>
  <c r="O298" i="23"/>
  <c r="O299" i="23"/>
  <c r="O300" i="23"/>
  <c r="O301" i="23"/>
  <c r="O302" i="23"/>
  <c r="O303" i="23"/>
  <c r="O304" i="23"/>
  <c r="O305" i="23"/>
  <c r="O306" i="23"/>
  <c r="O307" i="23"/>
  <c r="O308" i="23"/>
  <c r="O309" i="23"/>
  <c r="O310" i="23"/>
  <c r="O311" i="23"/>
  <c r="O312" i="23"/>
  <c r="O313" i="23"/>
  <c r="O314" i="23"/>
  <c r="O315" i="23"/>
  <c r="O316" i="23"/>
  <c r="O317" i="23"/>
  <c r="O318" i="23"/>
  <c r="O319" i="23"/>
  <c r="O320" i="23"/>
  <c r="O321" i="23"/>
  <c r="O322" i="23"/>
  <c r="O323" i="23"/>
  <c r="O324" i="23"/>
  <c r="O325" i="23"/>
  <c r="O326" i="23"/>
  <c r="O327" i="23"/>
  <c r="O328" i="23"/>
  <c r="O329" i="23"/>
  <c r="O330" i="23"/>
  <c r="O331" i="23"/>
  <c r="O332" i="23"/>
  <c r="O333" i="23"/>
  <c r="O334" i="23"/>
  <c r="O335" i="23"/>
  <c r="O336" i="23"/>
  <c r="O337" i="23"/>
  <c r="O338" i="23"/>
  <c r="O339" i="23"/>
  <c r="O340" i="23"/>
  <c r="O341" i="23"/>
  <c r="O342" i="23"/>
  <c r="O343" i="23"/>
  <c r="O344" i="23"/>
  <c r="O345" i="23"/>
  <c r="O346" i="23"/>
  <c r="O347" i="23"/>
  <c r="O348" i="23"/>
  <c r="O349" i="23"/>
  <c r="O350" i="23"/>
  <c r="O351" i="23"/>
  <c r="O352" i="23"/>
  <c r="O353" i="23"/>
  <c r="O354" i="23"/>
  <c r="O355" i="23"/>
  <c r="O356" i="23"/>
  <c r="O357" i="23"/>
  <c r="O358" i="23"/>
  <c r="O359" i="23"/>
  <c r="O360" i="23"/>
  <c r="O361" i="23"/>
  <c r="O362" i="23"/>
  <c r="O363" i="23"/>
  <c r="O364" i="23"/>
  <c r="O365" i="23"/>
  <c r="O366" i="23"/>
  <c r="O367" i="23"/>
  <c r="O368" i="23"/>
  <c r="O369" i="23"/>
  <c r="O370" i="23"/>
  <c r="O371" i="23"/>
  <c r="O372" i="23"/>
  <c r="O373" i="23"/>
  <c r="O374" i="23"/>
  <c r="O375" i="23"/>
  <c r="O376" i="23"/>
  <c r="O377" i="23"/>
  <c r="O378" i="23"/>
  <c r="O379" i="23"/>
  <c r="O380" i="23"/>
  <c r="O381" i="23"/>
  <c r="O382" i="23"/>
  <c r="O383" i="23"/>
  <c r="O384" i="23"/>
  <c r="O385" i="23"/>
  <c r="O386" i="23"/>
  <c r="O387" i="23"/>
  <c r="O388" i="23"/>
  <c r="O389" i="23"/>
  <c r="O390" i="23"/>
  <c r="O391" i="23"/>
  <c r="O392" i="23"/>
  <c r="O393" i="23"/>
  <c r="O394" i="23"/>
  <c r="O395" i="23"/>
  <c r="O396" i="23"/>
  <c r="O397" i="23"/>
  <c r="O398" i="23"/>
  <c r="O399" i="23"/>
  <c r="O400" i="23"/>
  <c r="O401" i="23"/>
  <c r="O402" i="23"/>
  <c r="O403" i="23"/>
  <c r="O404" i="23"/>
  <c r="O405" i="23"/>
  <c r="O406" i="23"/>
  <c r="O407" i="23"/>
  <c r="O408" i="23"/>
  <c r="O409" i="23"/>
  <c r="O410" i="23"/>
  <c r="O411" i="23"/>
  <c r="O412" i="23"/>
  <c r="O413" i="23"/>
  <c r="O414" i="23"/>
  <c r="O415" i="23"/>
  <c r="O416" i="23"/>
  <c r="O417" i="23"/>
  <c r="O418" i="23"/>
  <c r="O419" i="23"/>
  <c r="O420" i="23"/>
  <c r="O421" i="23"/>
  <c r="O422" i="23"/>
  <c r="O423" i="23"/>
  <c r="O424" i="23"/>
  <c r="O425" i="23"/>
  <c r="O426" i="23"/>
  <c r="O427" i="23"/>
  <c r="O428" i="23"/>
  <c r="O429" i="23"/>
  <c r="O430" i="23"/>
  <c r="O431" i="23"/>
  <c r="O432" i="23"/>
  <c r="O433" i="23"/>
  <c r="O434" i="23"/>
  <c r="O435" i="23"/>
  <c r="O436" i="23"/>
  <c r="O437" i="23"/>
  <c r="O438" i="23"/>
  <c r="O439" i="23"/>
  <c r="O440" i="23"/>
  <c r="O441" i="23"/>
  <c r="O442" i="23"/>
  <c r="O443" i="23"/>
  <c r="O444" i="23"/>
  <c r="O445" i="23"/>
  <c r="O446" i="23"/>
  <c r="O447" i="23"/>
  <c r="O448" i="23"/>
  <c r="O449" i="23"/>
  <c r="O450" i="23"/>
  <c r="O451" i="23"/>
  <c r="O452" i="23"/>
  <c r="O453" i="23"/>
  <c r="O454" i="23"/>
  <c r="O455" i="23"/>
  <c r="O456" i="23"/>
  <c r="O457" i="23"/>
  <c r="O458" i="23"/>
  <c r="O459" i="23"/>
  <c r="O460" i="23"/>
  <c r="O461" i="23"/>
  <c r="O462" i="23"/>
  <c r="O463" i="23"/>
  <c r="O464" i="23"/>
  <c r="O465" i="23"/>
  <c r="O466" i="23"/>
  <c r="O467" i="23"/>
  <c r="O468" i="23"/>
  <c r="O469" i="23"/>
  <c r="O470" i="23"/>
  <c r="O471" i="23"/>
  <c r="O472" i="23"/>
  <c r="O473" i="23"/>
  <c r="O474" i="23"/>
  <c r="O475" i="23"/>
  <c r="O476" i="23"/>
  <c r="O477" i="23"/>
  <c r="O478" i="23"/>
  <c r="O479" i="23"/>
  <c r="O480" i="23"/>
  <c r="O481" i="23"/>
  <c r="O482" i="23"/>
  <c r="O483" i="23"/>
  <c r="O484" i="23"/>
  <c r="O485" i="23"/>
  <c r="O486" i="23"/>
  <c r="O487" i="23"/>
  <c r="O488" i="23"/>
  <c r="O489" i="23"/>
  <c r="O490" i="23"/>
  <c r="O491" i="23"/>
  <c r="O492" i="23"/>
  <c r="O493" i="23"/>
  <c r="O494" i="23"/>
  <c r="O495" i="23"/>
  <c r="O496" i="23"/>
  <c r="O497" i="23"/>
  <c r="O498" i="23"/>
  <c r="O499" i="23"/>
  <c r="O500" i="23"/>
  <c r="O501" i="23"/>
  <c r="O502" i="23"/>
  <c r="O503" i="23"/>
  <c r="O504" i="23"/>
  <c r="O505" i="23"/>
  <c r="O506" i="23"/>
  <c r="O507" i="23"/>
  <c r="O508" i="23"/>
  <c r="O509" i="23"/>
  <c r="O510" i="23"/>
  <c r="O511" i="23"/>
  <c r="O512" i="23"/>
  <c r="O513" i="23"/>
  <c r="O514" i="23"/>
  <c r="O515" i="23"/>
  <c r="O516" i="23"/>
  <c r="O517" i="23"/>
  <c r="O518" i="23"/>
  <c r="O519" i="23"/>
  <c r="O520" i="23"/>
  <c r="O521" i="23"/>
  <c r="O522" i="23"/>
  <c r="O523" i="23"/>
  <c r="O524" i="23"/>
  <c r="O525" i="23"/>
  <c r="O526" i="23"/>
  <c r="O527" i="23"/>
  <c r="O528" i="23"/>
  <c r="O529" i="23"/>
  <c r="O530" i="23"/>
  <c r="O531" i="23"/>
  <c r="O532" i="23"/>
  <c r="O533" i="23"/>
  <c r="O534" i="23"/>
  <c r="O535" i="23"/>
  <c r="O536" i="23"/>
  <c r="O537" i="23"/>
  <c r="O538" i="23"/>
  <c r="O539" i="23"/>
  <c r="O540" i="23"/>
  <c r="O541" i="23"/>
  <c r="O542" i="23"/>
  <c r="O543" i="23"/>
  <c r="O544" i="23"/>
  <c r="O545" i="23"/>
  <c r="O546" i="23"/>
  <c r="O547" i="23"/>
  <c r="O548" i="23"/>
  <c r="O549" i="23"/>
  <c r="O550" i="23"/>
  <c r="O551" i="23"/>
  <c r="O552" i="23"/>
  <c r="O553" i="23"/>
  <c r="O554" i="23"/>
  <c r="O555" i="23"/>
  <c r="O556" i="23"/>
  <c r="O557" i="23"/>
  <c r="O558" i="23"/>
  <c r="O559" i="23"/>
  <c r="O560" i="23"/>
  <c r="O561" i="23"/>
  <c r="O562" i="23"/>
  <c r="O563" i="23"/>
  <c r="O564" i="23"/>
  <c r="O565" i="23"/>
  <c r="O566" i="23"/>
  <c r="O567" i="23"/>
  <c r="O568" i="23"/>
  <c r="O569" i="23"/>
  <c r="O570" i="23"/>
  <c r="O571" i="23"/>
  <c r="O572" i="23"/>
  <c r="O573" i="23"/>
  <c r="O574" i="23"/>
  <c r="O575" i="23"/>
  <c r="O576" i="23"/>
  <c r="O577" i="23"/>
  <c r="O578" i="23"/>
  <c r="O579" i="23"/>
  <c r="O580" i="23"/>
  <c r="O581" i="23"/>
  <c r="O582" i="23"/>
  <c r="O583" i="23"/>
  <c r="O584" i="23"/>
  <c r="O585" i="23"/>
  <c r="O586" i="23"/>
  <c r="O587" i="23"/>
  <c r="O588" i="23"/>
  <c r="O589" i="23"/>
  <c r="O590" i="23"/>
  <c r="O591" i="23"/>
  <c r="O592" i="23"/>
  <c r="O593" i="23"/>
  <c r="O594" i="23"/>
  <c r="O595" i="23"/>
  <c r="O596" i="23"/>
  <c r="O597" i="23"/>
  <c r="O598" i="23"/>
  <c r="O599" i="23"/>
  <c r="O600" i="23"/>
  <c r="O601" i="23"/>
  <c r="O602" i="23"/>
  <c r="O603" i="23"/>
  <c r="O604" i="23"/>
  <c r="O605" i="23"/>
  <c r="O606" i="23"/>
  <c r="O607" i="23"/>
  <c r="O608" i="23"/>
  <c r="O609" i="23"/>
  <c r="O610" i="23"/>
  <c r="O611" i="23"/>
  <c r="O612" i="23"/>
  <c r="O613" i="23"/>
  <c r="O614" i="23"/>
  <c r="O615" i="23"/>
  <c r="O616" i="23"/>
  <c r="O617" i="23"/>
  <c r="O618" i="23"/>
  <c r="O619" i="23"/>
  <c r="O620" i="23"/>
  <c r="O621" i="23"/>
  <c r="O622" i="23"/>
  <c r="O623" i="23"/>
  <c r="O624" i="23"/>
  <c r="O625" i="23"/>
  <c r="O626" i="23"/>
  <c r="O627" i="23"/>
  <c r="O628" i="23"/>
  <c r="O629" i="23"/>
  <c r="O630" i="23"/>
  <c r="O631" i="23"/>
  <c r="O632" i="23"/>
  <c r="O633" i="23"/>
  <c r="O634" i="23"/>
  <c r="O635" i="23"/>
  <c r="O636" i="23"/>
  <c r="O637" i="23"/>
  <c r="O638" i="23"/>
  <c r="O639" i="23"/>
  <c r="O640" i="23"/>
  <c r="O641" i="23"/>
  <c r="O642" i="23"/>
  <c r="O643" i="23"/>
  <c r="O644" i="23"/>
  <c r="O645" i="23"/>
  <c r="O646" i="23"/>
  <c r="O647" i="23"/>
  <c r="O648" i="23"/>
  <c r="O649" i="23"/>
  <c r="O650" i="23"/>
  <c r="O651" i="23"/>
  <c r="O652" i="23"/>
  <c r="O653" i="23"/>
  <c r="O654" i="23"/>
  <c r="O655" i="23"/>
  <c r="O656" i="23"/>
  <c r="O657" i="23"/>
  <c r="O658" i="23"/>
  <c r="O659" i="23"/>
  <c r="O660" i="23"/>
  <c r="O661" i="23"/>
  <c r="O662" i="23"/>
  <c r="O663" i="23"/>
  <c r="O664" i="23"/>
  <c r="O665" i="23"/>
  <c r="O666" i="23"/>
  <c r="O667" i="23"/>
  <c r="O668" i="23"/>
  <c r="O669" i="23"/>
  <c r="O670" i="23"/>
  <c r="O671" i="23"/>
  <c r="O672" i="23"/>
  <c r="O673" i="23"/>
  <c r="O674" i="23"/>
  <c r="O675" i="23"/>
  <c r="O676" i="23"/>
  <c r="O677" i="23"/>
  <c r="O678" i="23"/>
  <c r="O679" i="23"/>
  <c r="O680" i="23"/>
  <c r="O681" i="23"/>
  <c r="O682" i="23"/>
  <c r="O683" i="23"/>
  <c r="O684" i="23"/>
  <c r="O685" i="23"/>
  <c r="O686" i="23"/>
  <c r="O687" i="23"/>
  <c r="O688" i="23"/>
  <c r="O689" i="23"/>
  <c r="O690" i="23"/>
  <c r="O691" i="23"/>
  <c r="O692" i="23"/>
  <c r="O693" i="23"/>
  <c r="O694" i="23"/>
  <c r="O695" i="23"/>
  <c r="O696" i="23"/>
  <c r="O697" i="23"/>
  <c r="O698" i="23"/>
  <c r="O699" i="23"/>
  <c r="O700" i="23"/>
  <c r="O701" i="23"/>
  <c r="O702" i="23"/>
  <c r="O703" i="23"/>
  <c r="O704" i="23"/>
  <c r="O705" i="23"/>
  <c r="O706" i="23"/>
  <c r="O707" i="23"/>
  <c r="O708" i="23"/>
  <c r="O709" i="23"/>
  <c r="O710" i="23"/>
  <c r="O711" i="23"/>
  <c r="O712" i="23"/>
  <c r="O713" i="23"/>
  <c r="O714" i="23"/>
  <c r="O715" i="23"/>
  <c r="O716" i="23"/>
  <c r="O717" i="23"/>
  <c r="O718" i="23"/>
  <c r="O719" i="23"/>
  <c r="O720" i="23"/>
  <c r="O721" i="23"/>
  <c r="O722" i="23"/>
  <c r="O723" i="23"/>
  <c r="O724" i="23"/>
  <c r="O725" i="23"/>
  <c r="O726" i="23"/>
  <c r="O727" i="23"/>
  <c r="O728" i="23"/>
  <c r="O729" i="23"/>
  <c r="O730" i="23"/>
  <c r="O731" i="23"/>
  <c r="O732" i="23"/>
  <c r="O733" i="23"/>
  <c r="O734" i="23"/>
  <c r="O735" i="23"/>
  <c r="O736" i="23"/>
  <c r="O737" i="23"/>
  <c r="O738" i="23"/>
  <c r="O739" i="23"/>
  <c r="O740" i="23"/>
  <c r="O741" i="23"/>
  <c r="O742" i="23"/>
  <c r="O743" i="23"/>
  <c r="O744" i="23"/>
  <c r="O745" i="23"/>
  <c r="O746" i="23"/>
  <c r="O747" i="23"/>
  <c r="O748" i="23"/>
  <c r="O749" i="23"/>
  <c r="O750" i="23"/>
  <c r="O751" i="23"/>
  <c r="O752" i="23"/>
  <c r="O753" i="23"/>
  <c r="O754" i="23"/>
  <c r="O755" i="23"/>
  <c r="O756" i="23"/>
  <c r="O757" i="23"/>
  <c r="O758" i="23"/>
  <c r="O759" i="23"/>
  <c r="O760" i="23"/>
  <c r="O761" i="23"/>
  <c r="O762" i="23"/>
  <c r="O763" i="23"/>
  <c r="O764" i="23"/>
  <c r="O765" i="23"/>
  <c r="O766" i="23"/>
  <c r="O767" i="23"/>
  <c r="O768" i="23"/>
  <c r="O769" i="23"/>
  <c r="O770" i="23"/>
  <c r="O771" i="23"/>
  <c r="O772" i="23"/>
  <c r="O773" i="23"/>
  <c r="O774" i="23"/>
  <c r="O775" i="23"/>
  <c r="O776" i="23"/>
  <c r="O777" i="23"/>
  <c r="O778" i="23"/>
  <c r="O779" i="23"/>
  <c r="O780" i="23"/>
  <c r="O781" i="23"/>
  <c r="O782" i="23"/>
  <c r="O783" i="23"/>
  <c r="O784" i="23"/>
  <c r="O785" i="23"/>
  <c r="O786" i="23"/>
  <c r="O787" i="23"/>
  <c r="O788" i="23"/>
  <c r="O789" i="23"/>
  <c r="O790" i="23"/>
  <c r="O791" i="23"/>
  <c r="O792" i="23"/>
  <c r="O793" i="23"/>
  <c r="O794" i="23"/>
  <c r="O795" i="23"/>
  <c r="O796" i="23"/>
  <c r="O797" i="23"/>
  <c r="O798" i="23"/>
  <c r="O799" i="23"/>
  <c r="O800" i="23"/>
  <c r="O801" i="23"/>
  <c r="O802" i="23"/>
  <c r="O803" i="23"/>
  <c r="O804" i="23"/>
  <c r="O805" i="23"/>
  <c r="O806" i="23"/>
  <c r="O807" i="23"/>
  <c r="O808" i="23"/>
  <c r="O809" i="23"/>
  <c r="O810" i="23"/>
  <c r="O811" i="23"/>
  <c r="O812" i="23"/>
  <c r="O813" i="23"/>
  <c r="O814" i="23"/>
  <c r="O815" i="23"/>
  <c r="O816" i="23"/>
  <c r="O817" i="23"/>
  <c r="O818" i="23"/>
  <c r="O819" i="23"/>
  <c r="O820" i="23"/>
  <c r="O821" i="23"/>
  <c r="O822" i="23"/>
  <c r="O823" i="23"/>
  <c r="O824" i="23"/>
  <c r="O825" i="23"/>
  <c r="O826" i="23"/>
  <c r="O827" i="23"/>
  <c r="O828" i="23"/>
  <c r="O829" i="23"/>
  <c r="O830" i="23"/>
  <c r="O831" i="23"/>
  <c r="O832" i="23"/>
  <c r="O833" i="23"/>
  <c r="O834" i="23"/>
  <c r="O835" i="23"/>
  <c r="O836" i="23"/>
  <c r="O837" i="23"/>
  <c r="O838" i="23"/>
  <c r="O839" i="23"/>
  <c r="O840" i="23"/>
  <c r="O841" i="23"/>
  <c r="O842" i="23"/>
  <c r="O843" i="23"/>
  <c r="O844" i="23"/>
  <c r="O845" i="23"/>
  <c r="O846" i="23"/>
  <c r="O847" i="23"/>
  <c r="O848" i="23"/>
  <c r="O849" i="23"/>
  <c r="O850" i="23"/>
  <c r="O851" i="23"/>
  <c r="O852" i="23"/>
  <c r="O853" i="23"/>
  <c r="O854" i="23"/>
  <c r="O855" i="23"/>
  <c r="O856" i="23"/>
  <c r="O857" i="23"/>
  <c r="O858" i="23"/>
  <c r="O859" i="23"/>
  <c r="O860" i="23"/>
  <c r="O861" i="23"/>
  <c r="O862" i="23"/>
  <c r="O863" i="23"/>
  <c r="O864" i="23"/>
  <c r="O865" i="23"/>
  <c r="O866" i="23"/>
  <c r="O867" i="23"/>
  <c r="O868" i="23"/>
  <c r="O869" i="23"/>
  <c r="O870" i="23"/>
  <c r="O871" i="23"/>
  <c r="O872" i="23"/>
  <c r="O873" i="23"/>
  <c r="O874" i="23"/>
  <c r="O875" i="23"/>
  <c r="O876" i="23"/>
  <c r="O877" i="23"/>
  <c r="O878" i="23"/>
  <c r="O879" i="23"/>
  <c r="O880" i="23"/>
  <c r="O881" i="23"/>
  <c r="O882" i="23"/>
  <c r="O883" i="23"/>
  <c r="O884" i="23"/>
  <c r="O885" i="23"/>
  <c r="O886" i="23"/>
  <c r="O887" i="23"/>
  <c r="O888" i="23"/>
  <c r="O889" i="23"/>
  <c r="O890" i="23"/>
  <c r="O891" i="23"/>
  <c r="O892" i="23"/>
  <c r="O893" i="23"/>
  <c r="O894" i="23"/>
  <c r="O895" i="23"/>
  <c r="O896" i="23"/>
  <c r="O897" i="23"/>
  <c r="O898" i="23"/>
  <c r="O899" i="23"/>
  <c r="O900" i="23"/>
  <c r="O901" i="23"/>
  <c r="O902" i="23"/>
  <c r="O903" i="23"/>
  <c r="O904" i="23"/>
  <c r="O905" i="23"/>
  <c r="O906" i="23"/>
  <c r="O907" i="23"/>
  <c r="O908" i="23"/>
  <c r="O909" i="23"/>
  <c r="O910" i="23"/>
  <c r="O911" i="23"/>
  <c r="O912" i="23"/>
  <c r="O913" i="23"/>
  <c r="O914" i="23"/>
  <c r="O915" i="23"/>
  <c r="O916" i="23"/>
  <c r="O917" i="23"/>
  <c r="O918" i="23"/>
  <c r="O919" i="23"/>
  <c r="O920" i="23"/>
  <c r="O921" i="23"/>
  <c r="O922" i="23"/>
  <c r="O923" i="23"/>
  <c r="O924" i="23"/>
  <c r="O925" i="23"/>
  <c r="O926" i="23"/>
  <c r="O927" i="23"/>
  <c r="O928" i="23"/>
  <c r="O929" i="23"/>
  <c r="O930" i="23"/>
  <c r="O931" i="23"/>
  <c r="O932" i="23"/>
  <c r="O933" i="23"/>
  <c r="O934" i="23"/>
  <c r="O935" i="23"/>
  <c r="O936" i="23"/>
  <c r="O937" i="23"/>
  <c r="O938" i="23"/>
  <c r="O939" i="23"/>
  <c r="O940" i="23"/>
  <c r="O941" i="23"/>
  <c r="O942" i="23"/>
  <c r="O943" i="23"/>
  <c r="O944" i="23"/>
  <c r="O945" i="23"/>
  <c r="O946" i="23"/>
  <c r="O947" i="23"/>
  <c r="O948" i="23"/>
  <c r="O949" i="23"/>
  <c r="O950" i="23"/>
  <c r="O951" i="23"/>
  <c r="O952" i="23"/>
  <c r="O953" i="23"/>
  <c r="O954" i="23"/>
  <c r="O955" i="23"/>
  <c r="O956" i="23"/>
  <c r="O957" i="23"/>
  <c r="O958" i="23"/>
  <c r="O959" i="23"/>
  <c r="O960" i="23"/>
  <c r="O961" i="23"/>
  <c r="O962" i="23"/>
  <c r="O963" i="23"/>
  <c r="O964" i="23"/>
  <c r="O965" i="23"/>
  <c r="O966" i="23"/>
  <c r="O967" i="23"/>
  <c r="O968" i="23"/>
  <c r="O969" i="23"/>
  <c r="O970" i="23"/>
  <c r="O971" i="23"/>
  <c r="O972" i="23"/>
  <c r="O973" i="23"/>
  <c r="O974" i="23"/>
  <c r="O975" i="23"/>
  <c r="O976" i="23"/>
  <c r="O977" i="23"/>
  <c r="O978" i="23"/>
  <c r="O979" i="23"/>
  <c r="O980" i="23"/>
  <c r="O981" i="23"/>
  <c r="O982" i="23"/>
  <c r="O983" i="23"/>
  <c r="O984" i="23"/>
  <c r="O985" i="23"/>
  <c r="O986" i="23"/>
  <c r="O987" i="23"/>
  <c r="O988" i="23"/>
  <c r="O989" i="23"/>
  <c r="O990" i="23"/>
  <c r="O991" i="23"/>
  <c r="O992" i="23"/>
  <c r="O993" i="23"/>
  <c r="O994" i="23"/>
  <c r="O995" i="23"/>
  <c r="O996" i="23"/>
  <c r="O997" i="23"/>
  <c r="O998" i="23"/>
  <c r="O999" i="23"/>
  <c r="O1000" i="23"/>
  <c r="O1001" i="23"/>
  <c r="O1002" i="23"/>
  <c r="O1003" i="23"/>
  <c r="O1004" i="23"/>
  <c r="O1005" i="23"/>
  <c r="O1006" i="23"/>
  <c r="O1007" i="23"/>
  <c r="O1008" i="23"/>
  <c r="O1009" i="23"/>
  <c r="O1010" i="23"/>
  <c r="O1011" i="23"/>
  <c r="O1012" i="23"/>
  <c r="O1013" i="23"/>
  <c r="O1014" i="23"/>
  <c r="O1015" i="23"/>
  <c r="O1016" i="23"/>
  <c r="O1017" i="23"/>
  <c r="O1018" i="23"/>
  <c r="O1019" i="23"/>
  <c r="O1020" i="23"/>
  <c r="O1021" i="23"/>
  <c r="O1022" i="23"/>
  <c r="O1023" i="23"/>
  <c r="O1024" i="23"/>
  <c r="O1025" i="23"/>
  <c r="O1026" i="23"/>
  <c r="O1027" i="23"/>
  <c r="O1028" i="23"/>
  <c r="O1029" i="23"/>
  <c r="O1030" i="23"/>
  <c r="O1031" i="23"/>
  <c r="O1032" i="23"/>
  <c r="O1033" i="23"/>
  <c r="O1034" i="23"/>
  <c r="O1035" i="23"/>
  <c r="O1036" i="23"/>
  <c r="O1037" i="23"/>
  <c r="O1038" i="23"/>
  <c r="O1039" i="23"/>
  <c r="O1040" i="23"/>
  <c r="O1041" i="23"/>
  <c r="O1042" i="23"/>
  <c r="O1043" i="23"/>
  <c r="O1044" i="23"/>
  <c r="O1045" i="23"/>
  <c r="O1046" i="23"/>
  <c r="O1047" i="23"/>
  <c r="O1048" i="23"/>
  <c r="O1049" i="23"/>
  <c r="O1050" i="23"/>
  <c r="O1051" i="23"/>
  <c r="O1052" i="23"/>
  <c r="O1053" i="23"/>
  <c r="O1054" i="23"/>
  <c r="O1055" i="23"/>
  <c r="O1056" i="23"/>
  <c r="O1057" i="23"/>
  <c r="O1058" i="23"/>
  <c r="O1059" i="23"/>
  <c r="O1060" i="23"/>
  <c r="O1061" i="23"/>
  <c r="O1062" i="23"/>
  <c r="O1063" i="23"/>
  <c r="O1064" i="23"/>
  <c r="O1065" i="23"/>
  <c r="O1066" i="23"/>
  <c r="O1067" i="23"/>
  <c r="O1068" i="23"/>
  <c r="O1069" i="23"/>
  <c r="O1070" i="23"/>
  <c r="O1071" i="23"/>
  <c r="O1072" i="23"/>
  <c r="O1073" i="23"/>
  <c r="O1074" i="23"/>
  <c r="O1075" i="23"/>
  <c r="O1076" i="23"/>
  <c r="O1077" i="23"/>
  <c r="O1078" i="23"/>
  <c r="O1079" i="23"/>
  <c r="O1080" i="23"/>
  <c r="O1081" i="23"/>
  <c r="O1082" i="23"/>
  <c r="O1083" i="23"/>
  <c r="O1084" i="23"/>
  <c r="O1085" i="23"/>
  <c r="O1086" i="23"/>
  <c r="O1087" i="23"/>
  <c r="O1088" i="23"/>
  <c r="O1089" i="23"/>
  <c r="O1090" i="23"/>
  <c r="O1091" i="23"/>
  <c r="O1092" i="23"/>
  <c r="O1093" i="23"/>
  <c r="O1094" i="23"/>
  <c r="O1095" i="23"/>
  <c r="O1096" i="23"/>
  <c r="O1097" i="23"/>
  <c r="O1098" i="23"/>
  <c r="O1099" i="23"/>
  <c r="O1100" i="23"/>
  <c r="O1101" i="23"/>
  <c r="O1102" i="23"/>
  <c r="O1103" i="23"/>
  <c r="O1104" i="23"/>
  <c r="O1105" i="23"/>
  <c r="O1106" i="23"/>
  <c r="O1107" i="23"/>
  <c r="O1108" i="23"/>
  <c r="O1109" i="23"/>
  <c r="O1110" i="23"/>
  <c r="O1111" i="23"/>
  <c r="O1112" i="23"/>
  <c r="O1113" i="23"/>
  <c r="O1114" i="23"/>
  <c r="O1115" i="23"/>
  <c r="O5" i="23"/>
  <c r="N5" i="23"/>
  <c r="N6" i="23"/>
  <c r="N7" i="23"/>
  <c r="N8" i="23"/>
  <c r="N9" i="23"/>
  <c r="N10" i="23"/>
  <c r="N11" i="23"/>
  <c r="N12" i="23"/>
  <c r="N13" i="23"/>
  <c r="N14" i="23"/>
  <c r="N15" i="23"/>
  <c r="N16" i="23"/>
  <c r="N17" i="23"/>
  <c r="N18" i="23"/>
  <c r="N19" i="23"/>
  <c r="N20" i="23"/>
  <c r="N21" i="23"/>
  <c r="N22" i="23"/>
  <c r="N23" i="23"/>
  <c r="N24" i="23"/>
  <c r="N25" i="23"/>
  <c r="N26" i="23"/>
  <c r="N27" i="23"/>
  <c r="N28" i="23"/>
  <c r="N29" i="23"/>
  <c r="N30" i="23"/>
  <c r="N31" i="23"/>
  <c r="N32" i="23"/>
  <c r="N33" i="23"/>
  <c r="N34" i="23"/>
  <c r="N35" i="23"/>
  <c r="N36" i="23"/>
  <c r="N37" i="23"/>
  <c r="N38" i="23"/>
  <c r="N39" i="23"/>
  <c r="N40" i="23"/>
  <c r="N41" i="23"/>
  <c r="N42" i="23"/>
  <c r="N43" i="23"/>
  <c r="N44" i="23"/>
  <c r="N45" i="23"/>
  <c r="N46" i="23"/>
  <c r="N47" i="23"/>
  <c r="N48" i="23"/>
  <c r="N49" i="23"/>
  <c r="N50" i="23"/>
  <c r="N51" i="23"/>
  <c r="N52" i="23"/>
  <c r="N53" i="23"/>
  <c r="N54" i="23"/>
  <c r="N55" i="23"/>
  <c r="N56" i="23"/>
  <c r="N57" i="23"/>
  <c r="N58" i="23"/>
  <c r="N59" i="23"/>
  <c r="N60" i="23"/>
  <c r="N61" i="23"/>
  <c r="N62" i="23"/>
  <c r="N63" i="23"/>
  <c r="N64" i="23"/>
  <c r="N65" i="23"/>
  <c r="N66" i="23"/>
  <c r="N67" i="23"/>
  <c r="N68" i="23"/>
  <c r="N69" i="23"/>
  <c r="N70" i="23"/>
  <c r="N71" i="23"/>
  <c r="N72" i="23"/>
  <c r="N73" i="23"/>
  <c r="N74" i="23"/>
  <c r="N75" i="23"/>
  <c r="N76" i="23"/>
  <c r="N77" i="23"/>
  <c r="N78" i="23"/>
  <c r="N79" i="23"/>
  <c r="N80" i="23"/>
  <c r="N81" i="23"/>
  <c r="N82" i="23"/>
  <c r="N83" i="23"/>
  <c r="N84" i="23"/>
  <c r="N85" i="23"/>
  <c r="N86" i="23"/>
  <c r="N87" i="23"/>
  <c r="N88" i="23"/>
  <c r="N89" i="23"/>
  <c r="N90" i="23"/>
  <c r="N91" i="23"/>
  <c r="N92" i="23"/>
  <c r="N93" i="23"/>
  <c r="N94" i="23"/>
  <c r="N95" i="23"/>
  <c r="N96" i="23"/>
  <c r="N97" i="23"/>
  <c r="N98" i="23"/>
  <c r="N99" i="23"/>
  <c r="N100" i="23"/>
  <c r="N101" i="23"/>
  <c r="N102" i="23"/>
  <c r="N103" i="23"/>
  <c r="N104" i="23"/>
  <c r="N105" i="23"/>
  <c r="N106" i="23"/>
  <c r="N107" i="23"/>
  <c r="N108" i="23"/>
  <c r="N109" i="23"/>
  <c r="N110" i="23"/>
  <c r="N111" i="23"/>
  <c r="N112" i="23"/>
  <c r="N113" i="23"/>
  <c r="N114" i="23"/>
  <c r="N115" i="23"/>
  <c r="N116" i="23"/>
  <c r="N117" i="23"/>
  <c r="N118" i="23"/>
  <c r="N119" i="23"/>
  <c r="N120" i="23"/>
  <c r="N121" i="23"/>
  <c r="N122" i="23"/>
  <c r="N123" i="23"/>
  <c r="N124" i="23"/>
  <c r="N125" i="23"/>
  <c r="N126" i="23"/>
  <c r="N127" i="23"/>
  <c r="N128" i="23"/>
  <c r="N129" i="23"/>
  <c r="N130" i="23"/>
  <c r="N131" i="23"/>
  <c r="N132" i="23"/>
  <c r="N133" i="23"/>
  <c r="N134" i="23"/>
  <c r="N135" i="23"/>
  <c r="N136" i="23"/>
  <c r="N137" i="23"/>
  <c r="N138" i="23"/>
  <c r="N139" i="23"/>
  <c r="N140" i="23"/>
  <c r="N141" i="23"/>
  <c r="N142" i="23"/>
  <c r="N143" i="23"/>
  <c r="N144" i="23"/>
  <c r="N145" i="23"/>
  <c r="N146" i="23"/>
  <c r="N147" i="23"/>
  <c r="N148" i="23"/>
  <c r="N149" i="23"/>
  <c r="N150" i="23"/>
  <c r="N151" i="23"/>
  <c r="N152" i="23"/>
  <c r="N153" i="23"/>
  <c r="N154" i="23"/>
  <c r="N155" i="23"/>
  <c r="N156" i="23"/>
  <c r="N157" i="23"/>
  <c r="N158" i="23"/>
  <c r="N159" i="23"/>
  <c r="N160" i="23"/>
  <c r="N161" i="23"/>
  <c r="N162" i="23"/>
  <c r="N163" i="23"/>
  <c r="N164" i="23"/>
  <c r="N165" i="23"/>
  <c r="N166" i="23"/>
  <c r="N167" i="23"/>
  <c r="N168" i="23"/>
  <c r="N169" i="23"/>
  <c r="N170" i="23"/>
  <c r="N171" i="23"/>
  <c r="N172" i="23"/>
  <c r="N173" i="23"/>
  <c r="N174" i="23"/>
  <c r="N175" i="23"/>
  <c r="N176" i="23"/>
  <c r="N177" i="23"/>
  <c r="N178" i="23"/>
  <c r="N179" i="23"/>
  <c r="N180" i="23"/>
  <c r="N181" i="23"/>
  <c r="N182" i="23"/>
  <c r="N183" i="23"/>
  <c r="N184" i="23"/>
  <c r="N185" i="23"/>
  <c r="N186" i="23"/>
  <c r="N187" i="23"/>
  <c r="N188" i="23"/>
  <c r="N189" i="23"/>
  <c r="N190" i="23"/>
  <c r="N191" i="23"/>
  <c r="N192" i="23"/>
  <c r="N193" i="23"/>
  <c r="N194" i="23"/>
  <c r="N195" i="23"/>
  <c r="N196" i="23"/>
  <c r="N197" i="23"/>
  <c r="N198" i="23"/>
  <c r="N199" i="23"/>
  <c r="N200" i="23"/>
  <c r="N201" i="23"/>
  <c r="N202" i="23"/>
  <c r="N203" i="23"/>
  <c r="N204" i="23"/>
  <c r="N205" i="23"/>
  <c r="N206" i="23"/>
  <c r="N207" i="23"/>
  <c r="N208" i="23"/>
  <c r="N209" i="23"/>
  <c r="N210" i="23"/>
  <c r="N211" i="23"/>
  <c r="N212" i="23"/>
  <c r="N213" i="23"/>
  <c r="N214" i="23"/>
  <c r="N215" i="23"/>
  <c r="N216" i="23"/>
  <c r="N217" i="23"/>
  <c r="N218" i="23"/>
  <c r="N219" i="23"/>
  <c r="N220" i="23"/>
  <c r="N221" i="23"/>
  <c r="N222" i="23"/>
  <c r="N223" i="23"/>
  <c r="N224" i="23"/>
  <c r="N225" i="23"/>
  <c r="N226" i="23"/>
  <c r="N227" i="23"/>
  <c r="N228" i="23"/>
  <c r="N229" i="23"/>
  <c r="N230" i="23"/>
  <c r="N231" i="23"/>
  <c r="N232" i="23"/>
  <c r="N233" i="23"/>
  <c r="N234" i="23"/>
  <c r="N235" i="23"/>
  <c r="N236" i="23"/>
  <c r="N237" i="23"/>
  <c r="N238" i="23"/>
  <c r="N239" i="23"/>
  <c r="N240" i="23"/>
  <c r="N241" i="23"/>
  <c r="N242" i="23"/>
  <c r="N243" i="23"/>
  <c r="N244" i="23"/>
  <c r="N245" i="23"/>
  <c r="N246" i="23"/>
  <c r="N247" i="23"/>
  <c r="N248" i="23"/>
  <c r="N249" i="23"/>
  <c r="N250" i="23"/>
  <c r="N251" i="23"/>
  <c r="N252" i="23"/>
  <c r="N253" i="23"/>
  <c r="N254" i="23"/>
  <c r="N255" i="23"/>
  <c r="N256" i="23"/>
  <c r="N257" i="23"/>
  <c r="N258" i="23"/>
  <c r="N259" i="23"/>
  <c r="N260" i="23"/>
  <c r="N261" i="23"/>
  <c r="N262" i="23"/>
  <c r="N263" i="23"/>
  <c r="N264" i="23"/>
  <c r="N265" i="23"/>
  <c r="N266" i="23"/>
  <c r="N267" i="23"/>
  <c r="N268" i="23"/>
  <c r="N269" i="23"/>
  <c r="N270" i="23"/>
  <c r="N271" i="23"/>
  <c r="N272" i="23"/>
  <c r="N273" i="23"/>
  <c r="N274" i="23"/>
  <c r="N275" i="23"/>
  <c r="N276" i="23"/>
  <c r="N277" i="23"/>
  <c r="N278" i="23"/>
  <c r="N279" i="23"/>
  <c r="N280" i="23"/>
  <c r="N281" i="23"/>
  <c r="N282" i="23"/>
  <c r="N283" i="23"/>
  <c r="N284" i="23"/>
  <c r="N285" i="23"/>
  <c r="N286" i="23"/>
  <c r="N287" i="23"/>
  <c r="N288" i="23"/>
  <c r="N289" i="23"/>
  <c r="N290" i="23"/>
  <c r="N291" i="23"/>
  <c r="N292" i="23"/>
  <c r="N293" i="23"/>
  <c r="N294" i="23"/>
  <c r="N295" i="23"/>
  <c r="N296" i="23"/>
  <c r="N297" i="23"/>
  <c r="N298" i="23"/>
  <c r="N299" i="23"/>
  <c r="N300" i="23"/>
  <c r="N301" i="23"/>
  <c r="N302" i="23"/>
  <c r="N303" i="23"/>
  <c r="N304" i="23"/>
  <c r="N305" i="23"/>
  <c r="N306" i="23"/>
  <c r="N307" i="23"/>
  <c r="N308" i="23"/>
  <c r="N309" i="23"/>
  <c r="N310" i="23"/>
  <c r="N311" i="23"/>
  <c r="N312" i="23"/>
  <c r="N313" i="23"/>
  <c r="N314" i="23"/>
  <c r="N315" i="23"/>
  <c r="N316" i="23"/>
  <c r="N317" i="23"/>
  <c r="N318" i="23"/>
  <c r="N319" i="23"/>
  <c r="N320" i="23"/>
  <c r="N321" i="23"/>
  <c r="N322" i="23"/>
  <c r="N323" i="23"/>
  <c r="N324" i="23"/>
  <c r="N325" i="23"/>
  <c r="N326" i="23"/>
  <c r="N327" i="23"/>
  <c r="N328" i="23"/>
  <c r="N329" i="23"/>
  <c r="N330" i="23"/>
  <c r="N331" i="23"/>
  <c r="N332" i="23"/>
  <c r="N333" i="23"/>
  <c r="N334" i="23"/>
  <c r="N335" i="23"/>
  <c r="N336" i="23"/>
  <c r="N337" i="23"/>
  <c r="N338" i="23"/>
  <c r="N339" i="23"/>
  <c r="N340" i="23"/>
  <c r="N341" i="23"/>
  <c r="N342" i="23"/>
  <c r="N343" i="23"/>
  <c r="N344" i="23"/>
  <c r="N345" i="23"/>
  <c r="N346" i="23"/>
  <c r="N347" i="23"/>
  <c r="N348" i="23"/>
  <c r="N349" i="23"/>
  <c r="N350" i="23"/>
  <c r="N351" i="23"/>
  <c r="N352" i="23"/>
  <c r="N353" i="23"/>
  <c r="N354" i="23"/>
  <c r="N355" i="23"/>
  <c r="N356" i="23"/>
  <c r="N357" i="23"/>
  <c r="N358" i="23"/>
  <c r="N359" i="23"/>
  <c r="N360" i="23"/>
  <c r="N361" i="23"/>
  <c r="N362" i="23"/>
  <c r="N363" i="23"/>
  <c r="N364" i="23"/>
  <c r="N365" i="23"/>
  <c r="N366" i="23"/>
  <c r="N367" i="23"/>
  <c r="N368" i="23"/>
  <c r="N369" i="23"/>
  <c r="N370" i="23"/>
  <c r="N371" i="23"/>
  <c r="N372" i="23"/>
  <c r="N373" i="23"/>
  <c r="N374" i="23"/>
  <c r="N375" i="23"/>
  <c r="N376" i="23"/>
  <c r="N377" i="23"/>
  <c r="N378" i="23"/>
  <c r="N379" i="23"/>
  <c r="N380" i="23"/>
  <c r="N381" i="23"/>
  <c r="N382" i="23"/>
  <c r="N383" i="23"/>
  <c r="N384" i="23"/>
  <c r="N385" i="23"/>
  <c r="N386" i="23"/>
  <c r="N387" i="23"/>
  <c r="N388" i="23"/>
  <c r="N389" i="23"/>
  <c r="N390" i="23"/>
  <c r="N391" i="23"/>
  <c r="N392" i="23"/>
  <c r="N393" i="23"/>
  <c r="N394" i="23"/>
  <c r="N395" i="23"/>
  <c r="N396" i="23"/>
  <c r="N397" i="23"/>
  <c r="N398" i="23"/>
  <c r="N399" i="23"/>
  <c r="N400" i="23"/>
  <c r="N401" i="23"/>
  <c r="N402" i="23"/>
  <c r="N403" i="23"/>
  <c r="N404" i="23"/>
  <c r="N405" i="23"/>
  <c r="N406" i="23"/>
  <c r="N407" i="23"/>
  <c r="N408" i="23"/>
  <c r="N409" i="23"/>
  <c r="N410" i="23"/>
  <c r="N411" i="23"/>
  <c r="N412" i="23"/>
  <c r="N413" i="23"/>
  <c r="N414" i="23"/>
  <c r="N415" i="23"/>
  <c r="N416" i="23"/>
  <c r="N417" i="23"/>
  <c r="N418" i="23"/>
  <c r="N419" i="23"/>
  <c r="N420" i="23"/>
  <c r="N421" i="23"/>
  <c r="N422" i="23"/>
  <c r="N423" i="23"/>
  <c r="N424" i="23"/>
  <c r="N425" i="23"/>
  <c r="N426" i="23"/>
  <c r="N427" i="23"/>
  <c r="N428" i="23"/>
  <c r="N429" i="23"/>
  <c r="N430" i="23"/>
  <c r="N431" i="23"/>
  <c r="N432" i="23"/>
  <c r="N433" i="23"/>
  <c r="N434" i="23"/>
  <c r="N435" i="23"/>
  <c r="N436" i="23"/>
  <c r="N437" i="23"/>
  <c r="N438" i="23"/>
  <c r="N439" i="23"/>
  <c r="N440" i="23"/>
  <c r="N441" i="23"/>
  <c r="N442" i="23"/>
  <c r="N443" i="23"/>
  <c r="N444" i="23"/>
  <c r="N445" i="23"/>
  <c r="N446" i="23"/>
  <c r="N447" i="23"/>
  <c r="N448" i="23"/>
  <c r="N449" i="23"/>
  <c r="N450" i="23"/>
  <c r="N451" i="23"/>
  <c r="N452" i="23"/>
  <c r="N453" i="23"/>
  <c r="N454" i="23"/>
  <c r="N455" i="23"/>
  <c r="N456" i="23"/>
  <c r="N457" i="23"/>
  <c r="N458" i="23"/>
  <c r="N459" i="23"/>
  <c r="N460" i="23"/>
  <c r="N461" i="23"/>
  <c r="N462" i="23"/>
  <c r="N463" i="23"/>
  <c r="N464" i="23"/>
  <c r="N465" i="23"/>
  <c r="N466" i="23"/>
  <c r="N467" i="23"/>
  <c r="N468" i="23"/>
  <c r="N469" i="23"/>
  <c r="N470" i="23"/>
  <c r="N471" i="23"/>
  <c r="N472" i="23"/>
  <c r="N473" i="23"/>
  <c r="N474" i="23"/>
  <c r="N475" i="23"/>
  <c r="N476" i="23"/>
  <c r="N477" i="23"/>
  <c r="N478" i="23"/>
  <c r="N479" i="23"/>
  <c r="N480" i="23"/>
  <c r="N481" i="23"/>
  <c r="N482" i="23"/>
  <c r="N483" i="23"/>
  <c r="N484" i="23"/>
  <c r="N485" i="23"/>
  <c r="N486" i="23"/>
  <c r="N487" i="23"/>
  <c r="N488" i="23"/>
  <c r="N489" i="23"/>
  <c r="N490" i="23"/>
  <c r="N491" i="23"/>
  <c r="N492" i="23"/>
  <c r="N493" i="23"/>
  <c r="N494" i="23"/>
  <c r="N495" i="23"/>
  <c r="N496" i="23"/>
  <c r="N497" i="23"/>
  <c r="N498" i="23"/>
  <c r="N499" i="23"/>
  <c r="N500" i="23"/>
  <c r="N501" i="23"/>
  <c r="N502" i="23"/>
  <c r="N503" i="23"/>
  <c r="N504" i="23"/>
  <c r="N505" i="23"/>
  <c r="N506" i="23"/>
  <c r="N507" i="23"/>
  <c r="N508" i="23"/>
  <c r="N509" i="23"/>
  <c r="N510" i="23"/>
  <c r="N511" i="23"/>
  <c r="N512" i="23"/>
  <c r="N513" i="23"/>
  <c r="N514" i="23"/>
  <c r="N515" i="23"/>
  <c r="N516" i="23"/>
  <c r="N517" i="23"/>
  <c r="N518" i="23"/>
  <c r="N519" i="23"/>
  <c r="N520" i="23"/>
  <c r="N521" i="23"/>
  <c r="N522" i="23"/>
  <c r="N523" i="23"/>
  <c r="N524" i="23"/>
  <c r="N525" i="23"/>
  <c r="N526" i="23"/>
  <c r="N527" i="23"/>
  <c r="N528" i="23"/>
  <c r="N529" i="23"/>
  <c r="N530" i="23"/>
  <c r="N531" i="23"/>
  <c r="N532" i="23"/>
  <c r="N533" i="23"/>
  <c r="N534" i="23"/>
  <c r="N535" i="23"/>
  <c r="N536" i="23"/>
  <c r="N537" i="23"/>
  <c r="N538" i="23"/>
  <c r="N539" i="23"/>
  <c r="N540" i="23"/>
  <c r="N541" i="23"/>
  <c r="N542" i="23"/>
  <c r="N543" i="23"/>
  <c r="N544" i="23"/>
  <c r="N545" i="23"/>
  <c r="N546" i="23"/>
  <c r="N547" i="23"/>
  <c r="N548" i="23"/>
  <c r="N549" i="23"/>
  <c r="N550" i="23"/>
  <c r="N551" i="23"/>
  <c r="N552" i="23"/>
  <c r="N553" i="23"/>
  <c r="N554" i="23"/>
  <c r="N555" i="23"/>
  <c r="N556" i="23"/>
  <c r="N557" i="23"/>
  <c r="N558" i="23"/>
  <c r="N559" i="23"/>
  <c r="N560" i="23"/>
  <c r="N561" i="23"/>
  <c r="N562" i="23"/>
  <c r="N563" i="23"/>
  <c r="N564" i="23"/>
  <c r="N565" i="23"/>
  <c r="N566" i="23"/>
  <c r="N567" i="23"/>
  <c r="N568" i="23"/>
  <c r="N569" i="23"/>
  <c r="N570" i="23"/>
  <c r="N571" i="23"/>
  <c r="N572" i="23"/>
  <c r="N573" i="23"/>
  <c r="N574" i="23"/>
  <c r="N575" i="23"/>
  <c r="N576" i="23"/>
  <c r="N577" i="23"/>
  <c r="N578" i="23"/>
  <c r="N579" i="23"/>
  <c r="N580" i="23"/>
  <c r="N581" i="23"/>
  <c r="N582" i="23"/>
  <c r="N583" i="23"/>
  <c r="N584" i="23"/>
  <c r="N585" i="23"/>
  <c r="N586" i="23"/>
  <c r="N587" i="23"/>
  <c r="N588" i="23"/>
  <c r="N589" i="23"/>
  <c r="N590" i="23"/>
  <c r="N591" i="23"/>
  <c r="N592" i="23"/>
  <c r="N593" i="23"/>
  <c r="N594" i="23"/>
  <c r="N595" i="23"/>
  <c r="N596" i="23"/>
  <c r="N597" i="23"/>
  <c r="N598" i="23"/>
  <c r="N599" i="23"/>
  <c r="N600" i="23"/>
  <c r="N601" i="23"/>
  <c r="N602" i="23"/>
  <c r="N603" i="23"/>
  <c r="N604" i="23"/>
  <c r="N605" i="23"/>
  <c r="N606" i="23"/>
  <c r="N607" i="23"/>
  <c r="N608" i="23"/>
  <c r="N609" i="23"/>
  <c r="N610" i="23"/>
  <c r="N611" i="23"/>
  <c r="N612" i="23"/>
  <c r="N613" i="23"/>
  <c r="N614" i="23"/>
  <c r="N615" i="23"/>
  <c r="N616" i="23"/>
  <c r="N617" i="23"/>
  <c r="N618" i="23"/>
  <c r="N619" i="23"/>
  <c r="N620" i="23"/>
  <c r="N621" i="23"/>
  <c r="N622" i="23"/>
  <c r="N623" i="23"/>
  <c r="N624" i="23"/>
  <c r="N625" i="23"/>
  <c r="N626" i="23"/>
  <c r="N627" i="23"/>
  <c r="N628" i="23"/>
  <c r="N629" i="23"/>
  <c r="N630" i="23"/>
  <c r="N631" i="23"/>
  <c r="N632" i="23"/>
  <c r="N633" i="23"/>
  <c r="N634" i="23"/>
  <c r="N635" i="23"/>
  <c r="N636" i="23"/>
  <c r="N637" i="23"/>
  <c r="N638" i="23"/>
  <c r="N639" i="23"/>
  <c r="N640" i="23"/>
  <c r="N641" i="23"/>
  <c r="N642" i="23"/>
  <c r="N643" i="23"/>
  <c r="N644" i="23"/>
  <c r="N645" i="23"/>
  <c r="N646" i="23"/>
  <c r="N647" i="23"/>
  <c r="N648" i="23"/>
  <c r="N649" i="23"/>
  <c r="N650" i="23"/>
  <c r="N651" i="23"/>
  <c r="N652" i="23"/>
  <c r="N653" i="23"/>
  <c r="N654" i="23"/>
  <c r="N655" i="23"/>
  <c r="N656" i="23"/>
  <c r="N657" i="23"/>
  <c r="N658" i="23"/>
  <c r="N659" i="23"/>
  <c r="N660" i="23"/>
  <c r="N661" i="23"/>
  <c r="N662" i="23"/>
  <c r="N663" i="23"/>
  <c r="N664" i="23"/>
  <c r="N665" i="23"/>
  <c r="N666" i="23"/>
  <c r="N667" i="23"/>
  <c r="N668" i="23"/>
  <c r="N669" i="23"/>
  <c r="N670" i="23"/>
  <c r="N671" i="23"/>
  <c r="N672" i="23"/>
  <c r="N673" i="23"/>
  <c r="N674" i="23"/>
  <c r="N675" i="23"/>
  <c r="N676" i="23"/>
  <c r="N677" i="23"/>
  <c r="N678" i="23"/>
  <c r="N679" i="23"/>
  <c r="N680" i="23"/>
  <c r="N681" i="23"/>
  <c r="N682" i="23"/>
  <c r="N683" i="23"/>
  <c r="N684" i="23"/>
  <c r="N685" i="23"/>
  <c r="N686" i="23"/>
  <c r="N687" i="23"/>
  <c r="N688" i="23"/>
  <c r="N689" i="23"/>
  <c r="N690" i="23"/>
  <c r="N691" i="23"/>
  <c r="N692" i="23"/>
  <c r="N693" i="23"/>
  <c r="N694" i="23"/>
  <c r="N695" i="23"/>
  <c r="N696" i="23"/>
  <c r="N697" i="23"/>
  <c r="N698" i="23"/>
  <c r="N699" i="23"/>
  <c r="N700" i="23"/>
  <c r="N701" i="23"/>
  <c r="N702" i="23"/>
  <c r="N703" i="23"/>
  <c r="N704" i="23"/>
  <c r="N705" i="23"/>
  <c r="N706" i="23"/>
  <c r="N707" i="23"/>
  <c r="N708" i="23"/>
  <c r="N709" i="23"/>
  <c r="N710" i="23"/>
  <c r="N711" i="23"/>
  <c r="N712" i="23"/>
  <c r="N713" i="23"/>
  <c r="N714" i="23"/>
  <c r="N715" i="23"/>
  <c r="N716" i="23"/>
  <c r="N717" i="23"/>
  <c r="N718" i="23"/>
  <c r="N719" i="23"/>
  <c r="N720" i="23"/>
  <c r="N721" i="23"/>
  <c r="N722" i="23"/>
  <c r="N723" i="23"/>
  <c r="N724" i="23"/>
  <c r="N725" i="23"/>
  <c r="N726" i="23"/>
  <c r="N727" i="23"/>
  <c r="N728" i="23"/>
  <c r="N729" i="23"/>
  <c r="N730" i="23"/>
  <c r="N731" i="23"/>
  <c r="N732" i="23"/>
  <c r="N733" i="23"/>
  <c r="N734" i="23"/>
  <c r="N735" i="23"/>
  <c r="N736" i="23"/>
  <c r="N737" i="23"/>
  <c r="N738" i="23"/>
  <c r="N739" i="23"/>
  <c r="N740" i="23"/>
  <c r="N741" i="23"/>
  <c r="N742" i="23"/>
  <c r="N743" i="23"/>
  <c r="N744" i="23"/>
  <c r="N745" i="23"/>
  <c r="N746" i="23"/>
  <c r="N747" i="23"/>
  <c r="N748" i="23"/>
  <c r="N749" i="23"/>
  <c r="N750" i="23"/>
  <c r="N751" i="23"/>
  <c r="N752" i="23"/>
  <c r="N753" i="23"/>
  <c r="N754" i="23"/>
  <c r="N755" i="23"/>
  <c r="N756" i="23"/>
  <c r="N757" i="23"/>
  <c r="N758" i="23"/>
  <c r="N759" i="23"/>
  <c r="N760" i="23"/>
  <c r="N761" i="23"/>
  <c r="N762" i="23"/>
  <c r="N763" i="23"/>
  <c r="N764" i="23"/>
  <c r="N765" i="23"/>
  <c r="N766" i="23"/>
  <c r="N767" i="23"/>
  <c r="N768" i="23"/>
  <c r="N769" i="23"/>
  <c r="N770" i="23"/>
  <c r="N771" i="23"/>
  <c r="N772" i="23"/>
  <c r="N773" i="23"/>
  <c r="N774" i="23"/>
  <c r="N775" i="23"/>
  <c r="N776" i="23"/>
  <c r="N777" i="23"/>
  <c r="N778" i="23"/>
  <c r="N779" i="23"/>
  <c r="N780" i="23"/>
  <c r="N781" i="23"/>
  <c r="N782" i="23"/>
  <c r="N783" i="23"/>
  <c r="N784" i="23"/>
  <c r="N785" i="23"/>
  <c r="N786" i="23"/>
  <c r="N787" i="23"/>
  <c r="N788" i="23"/>
  <c r="N789" i="23"/>
  <c r="N790" i="23"/>
  <c r="N791" i="23"/>
  <c r="N792" i="23"/>
  <c r="N793" i="23"/>
  <c r="N794" i="23"/>
  <c r="N795" i="23"/>
  <c r="N796" i="23"/>
  <c r="N797" i="23"/>
  <c r="N798" i="23"/>
  <c r="N799" i="23"/>
  <c r="N800" i="23"/>
  <c r="N801" i="23"/>
  <c r="N802" i="23"/>
  <c r="N803" i="23"/>
  <c r="N804" i="23"/>
  <c r="N805" i="23"/>
  <c r="N806" i="23"/>
  <c r="N807" i="23"/>
  <c r="N808" i="23"/>
  <c r="N809" i="23"/>
  <c r="N810" i="23"/>
  <c r="N811" i="23"/>
  <c r="N812" i="23"/>
  <c r="N813" i="23"/>
  <c r="N814" i="23"/>
  <c r="N815" i="23"/>
  <c r="N816" i="23"/>
  <c r="N817" i="23"/>
  <c r="N818" i="23"/>
  <c r="N819" i="23"/>
  <c r="N820" i="23"/>
  <c r="N821" i="23"/>
  <c r="N822" i="23"/>
  <c r="N823" i="23"/>
  <c r="N824" i="23"/>
  <c r="N825" i="23"/>
  <c r="N826" i="23"/>
  <c r="N827" i="23"/>
  <c r="N828" i="23"/>
  <c r="N829" i="23"/>
  <c r="N830" i="23"/>
  <c r="N831" i="23"/>
  <c r="N832" i="23"/>
  <c r="N833" i="23"/>
  <c r="N834" i="23"/>
  <c r="N835" i="23"/>
  <c r="N836" i="23"/>
  <c r="N837" i="23"/>
  <c r="N838" i="23"/>
  <c r="N839" i="23"/>
  <c r="N840" i="23"/>
  <c r="N841" i="23"/>
  <c r="N842" i="23"/>
  <c r="N843" i="23"/>
  <c r="N844" i="23"/>
  <c r="N845" i="23"/>
  <c r="N846" i="23"/>
  <c r="N847" i="23"/>
  <c r="N848" i="23"/>
  <c r="N849" i="23"/>
  <c r="N850" i="23"/>
  <c r="N851" i="23"/>
  <c r="N852" i="23"/>
  <c r="N853" i="23"/>
  <c r="N854" i="23"/>
  <c r="N855" i="23"/>
  <c r="N856" i="23"/>
  <c r="N857" i="23"/>
  <c r="N858" i="23"/>
  <c r="N859" i="23"/>
  <c r="N860" i="23"/>
  <c r="N861" i="23"/>
  <c r="N862" i="23"/>
  <c r="N863" i="23"/>
  <c r="N864" i="23"/>
  <c r="N865" i="23"/>
  <c r="N866" i="23"/>
  <c r="N867" i="23"/>
  <c r="N868" i="23"/>
  <c r="N869" i="23"/>
  <c r="N870" i="23"/>
  <c r="N871" i="23"/>
  <c r="N872" i="23"/>
  <c r="N873" i="23"/>
  <c r="N874" i="23"/>
  <c r="N875" i="23"/>
  <c r="N876" i="23"/>
  <c r="N877" i="23"/>
  <c r="N878" i="23"/>
  <c r="N879" i="23"/>
  <c r="N880" i="23"/>
  <c r="N881" i="23"/>
  <c r="N882" i="23"/>
  <c r="N883" i="23"/>
  <c r="N884" i="23"/>
  <c r="N885" i="23"/>
  <c r="N886" i="23"/>
  <c r="N887" i="23"/>
  <c r="N888" i="23"/>
  <c r="N889" i="23"/>
  <c r="N890" i="23"/>
  <c r="N891" i="23"/>
  <c r="N892" i="23"/>
  <c r="N893" i="23"/>
  <c r="N894" i="23"/>
  <c r="N895" i="23"/>
  <c r="N896" i="23"/>
  <c r="N897" i="23"/>
  <c r="N898" i="23"/>
  <c r="N899" i="23"/>
  <c r="N900" i="23"/>
  <c r="N901" i="23"/>
  <c r="N902" i="23"/>
  <c r="N903" i="23"/>
  <c r="N904" i="23"/>
  <c r="N905" i="23"/>
  <c r="N906" i="23"/>
  <c r="N907" i="23"/>
  <c r="N908" i="23"/>
  <c r="N909" i="23"/>
  <c r="N910" i="23"/>
  <c r="N911" i="23"/>
  <c r="N912" i="23"/>
  <c r="N913" i="23"/>
  <c r="N914" i="23"/>
  <c r="N915" i="23"/>
  <c r="N916" i="23"/>
  <c r="N917" i="23"/>
  <c r="N918" i="23"/>
  <c r="N919" i="23"/>
  <c r="N920" i="23"/>
  <c r="N921" i="23"/>
  <c r="N922" i="23"/>
  <c r="N923" i="23"/>
  <c r="N924" i="23"/>
  <c r="N925" i="23"/>
  <c r="N926" i="23"/>
  <c r="N927" i="23"/>
  <c r="N928" i="23"/>
  <c r="N929" i="23"/>
  <c r="N930" i="23"/>
  <c r="N931" i="23"/>
  <c r="N932" i="23"/>
  <c r="N933" i="23"/>
  <c r="N934" i="23"/>
  <c r="N935" i="23"/>
  <c r="N936" i="23"/>
  <c r="N937" i="23"/>
  <c r="N938" i="23"/>
  <c r="N939" i="23"/>
  <c r="N940" i="23"/>
  <c r="N941" i="23"/>
  <c r="N942" i="23"/>
  <c r="N943" i="23"/>
  <c r="N944" i="23"/>
  <c r="N945" i="23"/>
  <c r="N946" i="23"/>
  <c r="N947" i="23"/>
  <c r="N948" i="23"/>
  <c r="N949" i="23"/>
  <c r="N950" i="23"/>
  <c r="N951" i="23"/>
  <c r="N952" i="23"/>
  <c r="N953" i="23"/>
  <c r="N954" i="23"/>
  <c r="N955" i="23"/>
  <c r="N956" i="23"/>
  <c r="N957" i="23"/>
  <c r="N958" i="23"/>
  <c r="N959" i="23"/>
  <c r="N960" i="23"/>
  <c r="N961" i="23"/>
  <c r="N962" i="23"/>
  <c r="N963" i="23"/>
  <c r="N964" i="23"/>
  <c r="N965" i="23"/>
  <c r="N966" i="23"/>
  <c r="N967" i="23"/>
  <c r="N968" i="23"/>
  <c r="N969" i="23"/>
  <c r="N970" i="23"/>
  <c r="N971" i="23"/>
  <c r="N972" i="23"/>
  <c r="N973" i="23"/>
  <c r="N974" i="23"/>
  <c r="N975" i="23"/>
  <c r="N976" i="23"/>
  <c r="N977" i="23"/>
  <c r="N978" i="23"/>
  <c r="N979" i="23"/>
  <c r="N980" i="23"/>
  <c r="N981" i="23"/>
  <c r="N982" i="23"/>
  <c r="N983" i="23"/>
  <c r="N984" i="23"/>
  <c r="N985" i="23"/>
  <c r="N986" i="23"/>
  <c r="N987" i="23"/>
  <c r="N988" i="23"/>
  <c r="N989" i="23"/>
  <c r="N990" i="23"/>
  <c r="N991" i="23"/>
  <c r="N992" i="23"/>
  <c r="N993" i="23"/>
  <c r="N994" i="23"/>
  <c r="N995" i="23"/>
  <c r="N996" i="23"/>
  <c r="N997" i="23"/>
  <c r="N998" i="23"/>
  <c r="N999" i="23"/>
  <c r="N1000" i="23"/>
  <c r="N1001" i="23"/>
  <c r="N1002" i="23"/>
  <c r="N1003" i="23"/>
  <c r="N1004" i="23"/>
  <c r="N1005" i="23"/>
  <c r="N1006" i="23"/>
  <c r="N1007" i="23"/>
  <c r="N1008" i="23"/>
  <c r="N1009" i="23"/>
  <c r="N1010" i="23"/>
  <c r="N1011" i="23"/>
  <c r="N1012" i="23"/>
  <c r="N1013" i="23"/>
  <c r="N1014" i="23"/>
  <c r="N1015" i="23"/>
  <c r="N1016" i="23"/>
  <c r="N1017" i="23"/>
  <c r="N1018" i="23"/>
  <c r="N1019" i="23"/>
  <c r="N1020" i="23"/>
  <c r="N1021" i="23"/>
  <c r="N1022" i="23"/>
  <c r="N1023" i="23"/>
  <c r="N1024" i="23"/>
  <c r="N1025" i="23"/>
  <c r="N1026" i="23"/>
  <c r="N1027" i="23"/>
  <c r="N1028" i="23"/>
  <c r="N1029" i="23"/>
  <c r="N1030" i="23"/>
  <c r="N1031" i="23"/>
  <c r="N1032" i="23"/>
  <c r="N1033" i="23"/>
  <c r="N1034" i="23"/>
  <c r="N1035" i="23"/>
  <c r="N1036" i="23"/>
  <c r="N1037" i="23"/>
  <c r="N1038" i="23"/>
  <c r="N1039" i="23"/>
  <c r="N1040" i="23"/>
  <c r="N1041" i="23"/>
  <c r="N1042" i="23"/>
  <c r="N1043" i="23"/>
  <c r="N1044" i="23"/>
  <c r="N1045" i="23"/>
  <c r="N1046" i="23"/>
  <c r="N1047" i="23"/>
  <c r="N1048" i="23"/>
  <c r="N1049" i="23"/>
  <c r="N1050" i="23"/>
  <c r="N1051" i="23"/>
  <c r="N1052" i="23"/>
  <c r="N1053" i="23"/>
  <c r="N1054" i="23"/>
  <c r="N1055" i="23"/>
  <c r="N1056" i="23"/>
  <c r="N1057" i="23"/>
  <c r="N1058" i="23"/>
  <c r="N1059" i="23"/>
  <c r="N1060" i="23"/>
  <c r="N1061" i="23"/>
  <c r="N1062" i="23"/>
  <c r="N1063" i="23"/>
  <c r="N1064" i="23"/>
  <c r="N1065" i="23"/>
  <c r="N1066" i="23"/>
  <c r="N1067" i="23"/>
  <c r="N1068" i="23"/>
  <c r="N1069" i="23"/>
  <c r="N1070" i="23"/>
  <c r="N1071" i="23"/>
  <c r="N1072" i="23"/>
  <c r="N1073" i="23"/>
  <c r="N1074" i="23"/>
  <c r="N1075" i="23"/>
  <c r="N1076" i="23"/>
  <c r="N1077" i="23"/>
  <c r="N1078" i="23"/>
  <c r="N1079" i="23"/>
  <c r="N1080" i="23"/>
  <c r="N1081" i="23"/>
  <c r="N1082" i="23"/>
  <c r="N1083" i="23"/>
  <c r="N1084" i="23"/>
  <c r="N1085" i="23"/>
  <c r="N1086" i="23"/>
  <c r="N1087" i="23"/>
  <c r="N1088" i="23"/>
  <c r="N1089" i="23"/>
  <c r="N1090" i="23"/>
  <c r="N1091" i="23"/>
  <c r="N1092" i="23"/>
  <c r="N1093" i="23"/>
  <c r="N1094" i="23"/>
  <c r="N1095" i="23"/>
  <c r="N1096" i="23"/>
  <c r="N1097" i="23"/>
  <c r="N1098" i="23"/>
  <c r="N1099" i="23"/>
  <c r="N1100" i="23"/>
  <c r="N1101" i="23"/>
  <c r="N1102" i="23"/>
  <c r="N1103" i="23"/>
  <c r="N1104" i="23"/>
  <c r="N1105" i="23"/>
  <c r="N1106" i="23"/>
  <c r="N1107" i="23"/>
  <c r="N1108" i="23"/>
  <c r="N1109" i="23"/>
  <c r="N1110" i="23"/>
  <c r="N1111" i="23"/>
  <c r="N1112" i="23"/>
  <c r="N1113" i="23"/>
  <c r="N1114" i="23"/>
  <c r="N1115" i="23"/>
  <c r="N1116" i="23"/>
  <c r="N1117" i="23"/>
  <c r="N1118" i="23"/>
  <c r="N1119" i="23"/>
  <c r="N1120" i="23"/>
  <c r="N1121" i="23"/>
  <c r="N1122" i="23"/>
  <c r="N1123" i="23"/>
  <c r="N1124" i="23"/>
  <c r="N1125" i="23"/>
  <c r="N1126" i="23"/>
  <c r="N1127" i="23"/>
  <c r="N1128" i="23"/>
  <c r="N1129" i="23"/>
  <c r="N1130" i="23"/>
  <c r="N1131" i="23"/>
  <c r="N1132" i="23"/>
  <c r="N1133" i="23"/>
  <c r="N1134" i="23"/>
  <c r="N1135" i="23"/>
  <c r="N1136" i="23"/>
  <c r="N1137" i="23"/>
  <c r="N1138" i="23"/>
  <c r="N1139" i="23"/>
  <c r="N1140" i="23"/>
  <c r="N1141" i="23"/>
  <c r="N1142" i="23"/>
  <c r="N1143" i="23"/>
  <c r="N1144" i="23"/>
  <c r="N1145" i="23"/>
  <c r="N1146" i="23"/>
  <c r="N1147" i="23"/>
  <c r="N1148" i="23"/>
  <c r="N1149" i="23"/>
  <c r="N1150" i="23"/>
  <c r="N1151" i="23"/>
  <c r="N1152" i="23"/>
  <c r="N1153" i="23"/>
  <c r="N1154" i="23"/>
  <c r="N1155" i="23"/>
  <c r="N1156" i="23"/>
  <c r="N1157" i="23"/>
  <c r="N1158" i="23"/>
  <c r="N1159" i="23"/>
  <c r="N1160" i="23"/>
  <c r="N1161" i="23"/>
  <c r="N1162" i="23"/>
  <c r="N1163" i="23"/>
  <c r="N1164" i="23"/>
  <c r="N1165" i="23"/>
  <c r="N1166" i="23"/>
  <c r="N1167" i="23"/>
  <c r="N1168" i="23"/>
  <c r="N1169" i="23"/>
  <c r="N1170" i="23"/>
  <c r="N1171" i="23"/>
  <c r="N1172" i="23"/>
  <c r="N1173" i="23"/>
  <c r="N1174" i="23"/>
  <c r="N1175" i="23"/>
  <c r="N1176" i="23"/>
  <c r="N1177" i="23"/>
  <c r="N1178" i="23"/>
  <c r="N1179" i="23"/>
  <c r="N1180" i="23"/>
  <c r="N1181" i="23"/>
  <c r="N1182" i="23"/>
  <c r="N1183" i="23"/>
  <c r="N1184" i="23"/>
  <c r="N1185" i="23"/>
  <c r="N1186" i="23"/>
  <c r="N1187" i="23"/>
  <c r="N1188" i="23"/>
  <c r="N1189" i="23"/>
  <c r="N1190" i="23"/>
  <c r="N1191" i="23"/>
  <c r="N1192" i="23"/>
  <c r="N1193" i="23"/>
  <c r="N1194" i="23"/>
  <c r="N1195" i="23"/>
  <c r="N1196" i="23"/>
  <c r="N1197" i="23"/>
  <c r="N1198" i="23"/>
  <c r="N1199" i="23"/>
  <c r="N1200" i="23"/>
  <c r="N1201" i="23"/>
  <c r="N1202" i="23"/>
  <c r="N1203" i="23"/>
  <c r="N1204" i="23"/>
  <c r="N1205" i="23"/>
  <c r="N1206" i="23"/>
  <c r="N1207" i="23"/>
  <c r="N1208" i="23"/>
  <c r="N1209" i="23"/>
  <c r="N1210" i="23"/>
  <c r="N1211" i="23"/>
  <c r="N1212" i="23"/>
  <c r="N1213" i="23"/>
  <c r="N1214" i="23"/>
  <c r="N1215" i="23"/>
  <c r="N1216" i="23"/>
  <c r="N1217" i="23"/>
  <c r="N1218" i="23"/>
  <c r="N1219" i="23"/>
  <c r="N1220" i="23"/>
  <c r="N1221" i="23"/>
  <c r="N1222" i="23"/>
  <c r="N1223" i="23"/>
  <c r="N1224" i="23"/>
  <c r="N1225" i="23"/>
  <c r="N1226" i="23"/>
  <c r="N1227" i="23"/>
  <c r="N1228" i="23"/>
  <c r="N1229" i="23"/>
  <c r="N1230" i="23"/>
  <c r="N1231" i="23"/>
  <c r="N1232" i="23"/>
  <c r="N1233" i="23"/>
  <c r="N1234" i="23"/>
  <c r="N1235" i="23"/>
  <c r="N1236" i="23"/>
  <c r="N1237" i="23"/>
  <c r="N1238" i="23"/>
  <c r="N1239" i="23"/>
  <c r="N1240" i="23"/>
  <c r="N1241" i="23"/>
  <c r="N1242" i="23"/>
  <c r="N1243" i="23"/>
  <c r="N1244" i="23"/>
  <c r="N1245" i="23"/>
  <c r="N1246" i="23"/>
  <c r="N1247" i="23"/>
  <c r="N1248" i="23"/>
  <c r="N1249" i="23"/>
  <c r="N1250" i="23"/>
  <c r="N1251" i="23"/>
  <c r="N1252" i="23"/>
  <c r="N1253" i="23"/>
  <c r="N1254" i="23"/>
  <c r="N1255" i="23"/>
  <c r="N1256" i="23"/>
  <c r="N1257" i="23"/>
  <c r="N1258" i="23"/>
  <c r="N1259" i="23"/>
  <c r="N1260" i="23"/>
  <c r="N1261" i="23"/>
  <c r="N1262" i="23"/>
  <c r="N1263" i="23"/>
  <c r="N1264" i="23"/>
  <c r="N1265" i="23"/>
  <c r="N1266" i="23"/>
  <c r="N1267" i="23"/>
  <c r="N1268" i="23"/>
  <c r="N1269" i="23"/>
  <c r="N1270" i="23"/>
  <c r="N1271" i="23"/>
  <c r="N1272" i="23"/>
  <c r="N1273" i="23"/>
  <c r="N1274" i="23"/>
  <c r="N1275" i="23"/>
  <c r="N1276" i="23"/>
  <c r="N1277" i="23"/>
  <c r="N1278" i="23"/>
  <c r="N1279" i="23"/>
  <c r="N1280" i="23"/>
  <c r="N1281" i="23"/>
  <c r="N1282" i="23"/>
  <c r="N1283" i="23"/>
  <c r="N1284" i="23"/>
  <c r="N1285" i="23"/>
  <c r="N1286" i="23"/>
  <c r="N1287" i="23"/>
  <c r="N1288" i="23"/>
  <c r="N1289" i="23"/>
  <c r="N1290" i="23"/>
  <c r="N1291" i="23"/>
  <c r="N1292" i="23"/>
  <c r="N1293" i="23"/>
  <c r="N1294" i="23"/>
  <c r="N1295" i="23"/>
  <c r="N1296" i="23"/>
  <c r="N1297" i="23"/>
  <c r="N1298" i="23"/>
  <c r="N1299" i="23"/>
  <c r="N1300" i="23"/>
  <c r="N1301" i="23"/>
  <c r="N1302" i="23"/>
  <c r="N1303" i="23"/>
  <c r="N1304" i="23"/>
  <c r="N1305" i="23"/>
  <c r="N1306" i="23"/>
  <c r="N1307" i="23"/>
  <c r="N1308" i="23"/>
  <c r="N1309" i="23"/>
  <c r="N1310" i="23"/>
  <c r="N1311" i="23"/>
  <c r="N1312" i="23"/>
  <c r="N1313" i="23"/>
  <c r="N1314" i="23"/>
  <c r="N1315" i="23"/>
  <c r="N1316" i="23"/>
  <c r="N1317" i="23"/>
  <c r="N1318" i="23"/>
  <c r="N1319" i="23"/>
  <c r="N1320" i="23"/>
  <c r="N1321" i="23"/>
  <c r="N1322" i="23"/>
  <c r="N1323" i="23"/>
  <c r="N1324" i="23"/>
  <c r="N1325" i="23"/>
  <c r="N1326" i="23"/>
  <c r="N1327" i="23"/>
  <c r="N1328" i="23"/>
  <c r="N1329" i="23"/>
  <c r="N1330" i="23"/>
  <c r="N1331" i="23"/>
  <c r="N1332" i="23"/>
  <c r="N1333" i="23"/>
  <c r="N1334" i="23"/>
  <c r="N1335" i="23"/>
  <c r="N1336" i="23"/>
  <c r="N1337" i="23"/>
  <c r="N1338" i="23"/>
  <c r="N1339" i="23"/>
  <c r="N1340" i="23"/>
  <c r="N1341" i="23"/>
  <c r="N1342" i="23"/>
  <c r="N1343" i="23"/>
  <c r="N1344" i="23"/>
  <c r="N1345" i="23"/>
  <c r="N1346" i="23"/>
  <c r="N1347" i="23"/>
  <c r="N1348" i="23"/>
  <c r="N1349" i="23"/>
  <c r="N1350" i="23"/>
  <c r="N1351" i="23"/>
  <c r="N1352" i="23"/>
  <c r="N1353" i="23"/>
  <c r="N1354" i="23"/>
  <c r="N1355" i="23"/>
  <c r="N1356" i="23"/>
  <c r="N1357" i="23"/>
  <c r="N1358" i="23"/>
  <c r="N1359" i="23"/>
  <c r="N1360" i="23"/>
  <c r="N1361" i="23"/>
  <c r="N1362" i="23"/>
  <c r="N1363" i="23"/>
  <c r="N1364" i="23"/>
  <c r="N1365" i="23"/>
  <c r="N1366" i="23"/>
  <c r="N1367" i="23"/>
  <c r="N1368" i="23"/>
  <c r="N1369" i="23"/>
  <c r="N1370" i="23"/>
  <c r="N1371" i="23"/>
  <c r="N1372" i="23"/>
  <c r="N1373" i="23"/>
  <c r="N1374" i="23"/>
  <c r="N1375" i="23"/>
  <c r="N1376" i="23"/>
  <c r="N1377" i="23"/>
  <c r="N1378" i="23"/>
  <c r="N1379" i="23"/>
  <c r="N1380" i="23"/>
  <c r="N1381" i="23"/>
  <c r="N1382" i="23"/>
  <c r="N1383" i="23"/>
  <c r="N1384" i="23"/>
  <c r="N1385" i="23"/>
  <c r="N1386" i="23"/>
  <c r="N1387" i="23"/>
  <c r="N1388" i="23"/>
  <c r="N1389" i="23"/>
  <c r="N1390" i="23"/>
  <c r="N1391" i="23"/>
  <c r="N1392" i="23"/>
  <c r="N1393" i="23"/>
  <c r="N1394" i="23"/>
  <c r="N1395" i="23"/>
  <c r="N1396" i="23"/>
  <c r="N1397" i="23"/>
  <c r="N1398" i="23"/>
  <c r="N1399" i="23"/>
  <c r="N1400" i="23"/>
  <c r="N1401" i="23"/>
  <c r="N1402" i="23"/>
  <c r="N1403" i="23"/>
  <c r="N1404" i="23"/>
  <c r="N1405" i="23"/>
  <c r="N1406" i="23"/>
  <c r="N1407" i="23"/>
  <c r="N1408" i="23"/>
  <c r="N1409" i="23"/>
  <c r="N1410" i="23"/>
  <c r="N1411" i="23"/>
  <c r="N1412" i="23"/>
  <c r="N1413" i="23"/>
  <c r="N1414" i="23"/>
  <c r="N1415" i="23"/>
  <c r="N1416" i="23"/>
  <c r="N1417" i="23"/>
  <c r="N1418" i="23"/>
  <c r="N1419" i="23"/>
  <c r="N1420" i="23"/>
  <c r="N1421" i="23"/>
  <c r="N1422" i="23"/>
  <c r="N1423" i="23"/>
  <c r="N1424" i="23"/>
  <c r="N1425" i="23"/>
  <c r="N1426" i="23"/>
  <c r="N1427" i="23"/>
  <c r="N1428" i="23"/>
  <c r="N1429" i="23"/>
  <c r="N1430" i="23"/>
  <c r="N1431" i="23"/>
  <c r="N1432" i="23"/>
  <c r="N1433" i="23"/>
  <c r="N1434" i="23"/>
  <c r="N1435" i="23"/>
  <c r="N1436" i="23"/>
  <c r="N1437" i="23"/>
  <c r="N1438" i="23"/>
  <c r="N1439" i="23"/>
  <c r="N1440" i="23"/>
  <c r="N1441" i="23"/>
  <c r="N1442" i="23"/>
  <c r="N1443" i="23"/>
  <c r="N1444" i="23"/>
  <c r="N1445" i="23"/>
  <c r="N1446" i="23"/>
  <c r="N1447" i="23"/>
  <c r="N1448" i="23"/>
  <c r="N1449" i="23"/>
  <c r="N1450" i="23"/>
  <c r="N1451" i="23"/>
  <c r="N1452" i="23"/>
  <c r="N1453" i="23"/>
  <c r="N1454" i="23"/>
  <c r="N1455" i="23"/>
  <c r="N1456" i="23"/>
  <c r="N1457" i="23"/>
  <c r="N1458" i="23"/>
  <c r="N1459" i="23"/>
  <c r="N1460" i="23"/>
  <c r="N1461" i="23"/>
  <c r="N1462" i="23"/>
  <c r="N1463" i="23"/>
  <c r="N1464" i="23"/>
  <c r="N1465" i="23"/>
  <c r="N1466" i="23"/>
  <c r="N1467" i="23"/>
  <c r="N1468" i="23"/>
  <c r="N1469" i="23"/>
  <c r="N1470" i="23"/>
  <c r="N1471" i="23"/>
  <c r="N1472" i="23"/>
  <c r="N1473" i="23"/>
  <c r="N1474" i="23"/>
  <c r="N1475" i="23"/>
  <c r="N1476" i="23"/>
  <c r="N1477" i="23"/>
  <c r="N1478" i="23"/>
  <c r="N1479" i="23"/>
  <c r="N1480" i="23"/>
  <c r="N1481" i="23"/>
  <c r="N1482" i="23"/>
  <c r="N1483" i="23"/>
  <c r="N1484" i="23"/>
  <c r="N1485" i="23"/>
  <c r="N1486" i="23"/>
  <c r="N1487" i="23"/>
  <c r="N1488" i="23"/>
  <c r="N1489" i="23"/>
  <c r="N1490" i="23"/>
  <c r="N1491" i="23"/>
  <c r="N1492" i="23"/>
  <c r="N1493" i="23"/>
  <c r="N1494" i="23"/>
  <c r="N1495" i="23"/>
  <c r="N1496" i="23"/>
  <c r="N1497" i="23"/>
  <c r="N1498" i="23"/>
  <c r="N1499" i="23"/>
  <c r="N1500" i="23"/>
  <c r="N1501" i="23"/>
  <c r="N1502" i="23"/>
  <c r="N1503" i="23"/>
  <c r="N1504" i="23"/>
  <c r="N1505" i="23"/>
  <c r="N1506" i="23"/>
  <c r="N1507" i="23"/>
  <c r="N1508" i="23"/>
  <c r="N1509" i="23"/>
  <c r="N1510" i="23"/>
  <c r="N1511" i="23"/>
  <c r="N1512" i="23"/>
  <c r="N1513" i="23"/>
  <c r="N1514" i="23"/>
  <c r="N1515" i="23"/>
  <c r="N1516" i="23"/>
  <c r="N1517" i="23"/>
  <c r="N1518" i="23"/>
  <c r="N1519" i="23"/>
  <c r="N1520" i="23"/>
  <c r="N1521" i="23"/>
  <c r="N1522" i="23"/>
  <c r="N1523" i="23"/>
  <c r="N1524" i="23"/>
  <c r="N1525" i="23"/>
  <c r="N1526" i="23"/>
  <c r="N1527" i="23"/>
  <c r="N1528" i="23"/>
  <c r="N1529" i="23"/>
  <c r="N1530" i="23"/>
  <c r="N1531" i="23"/>
  <c r="N1532" i="23"/>
  <c r="N1533" i="23"/>
  <c r="N1534" i="23"/>
  <c r="N1535" i="23"/>
  <c r="N1536" i="23"/>
  <c r="N1537" i="23"/>
  <c r="N1538" i="23"/>
  <c r="N1539" i="23"/>
  <c r="N1540" i="23"/>
  <c r="N1541" i="23"/>
  <c r="N1542" i="23"/>
  <c r="N1543" i="23"/>
  <c r="N1544" i="23"/>
  <c r="N1545" i="23"/>
  <c r="N1546" i="23"/>
  <c r="N1547" i="23"/>
  <c r="N1548" i="23"/>
  <c r="N1549" i="23"/>
  <c r="N1550" i="23"/>
  <c r="N1551" i="23"/>
  <c r="N1552" i="23"/>
  <c r="N1553" i="23"/>
  <c r="N1554" i="23"/>
  <c r="N1555" i="23"/>
  <c r="N1556" i="23"/>
  <c r="N1557" i="23"/>
  <c r="N1558" i="23"/>
  <c r="N1559" i="23"/>
  <c r="N1560" i="23"/>
  <c r="N1561" i="23"/>
  <c r="N1562" i="23"/>
  <c r="N1563" i="23"/>
  <c r="N1564" i="23"/>
  <c r="N1565" i="23"/>
  <c r="N1566" i="23"/>
  <c r="N1567" i="23"/>
  <c r="N1568" i="23"/>
  <c r="N1569" i="23"/>
  <c r="N1570" i="23"/>
  <c r="N1571" i="23"/>
  <c r="N1572" i="23"/>
  <c r="N1573" i="23"/>
  <c r="N1574" i="23"/>
  <c r="N1575" i="23"/>
  <c r="N1576" i="23"/>
  <c r="N1577" i="23"/>
  <c r="N1578" i="23"/>
  <c r="N1579" i="23"/>
  <c r="N1580" i="23"/>
  <c r="N1581" i="23"/>
  <c r="N1582" i="23"/>
  <c r="N1583" i="23"/>
  <c r="N1584" i="23"/>
  <c r="N1585" i="23"/>
  <c r="N1586" i="23"/>
  <c r="N1587" i="23"/>
  <c r="N1588" i="23"/>
  <c r="N1589" i="23"/>
  <c r="N1590" i="23"/>
  <c r="N1591" i="23"/>
  <c r="N1592" i="23"/>
  <c r="N1593" i="23"/>
  <c r="N1594" i="23"/>
  <c r="N1595" i="23"/>
  <c r="N1596" i="23"/>
  <c r="N1597" i="23"/>
  <c r="N1598" i="23"/>
  <c r="N1599" i="23"/>
  <c r="N1600" i="23"/>
  <c r="N1601" i="23"/>
  <c r="N1602" i="23"/>
  <c r="N1603" i="23"/>
  <c r="N1604" i="23"/>
  <c r="N1605" i="23"/>
  <c r="N1606" i="23"/>
  <c r="N1607" i="23"/>
  <c r="N1608" i="23"/>
  <c r="N1609" i="23"/>
  <c r="N1610" i="23"/>
  <c r="N1611" i="23"/>
  <c r="N1612" i="23"/>
  <c r="N1613" i="23"/>
  <c r="N1614" i="23"/>
  <c r="N1615" i="23"/>
  <c r="N1616" i="23"/>
  <c r="N1617" i="23"/>
  <c r="N1618" i="23"/>
  <c r="N1619" i="23"/>
  <c r="N1620" i="23"/>
  <c r="N1621" i="23"/>
  <c r="N1622" i="23"/>
  <c r="N1623" i="23"/>
  <c r="N1624" i="23"/>
  <c r="N1625" i="23"/>
  <c r="N1626" i="23"/>
  <c r="N1627" i="23"/>
  <c r="N1628" i="23"/>
  <c r="N1629" i="23"/>
  <c r="N1630" i="23"/>
  <c r="N1631" i="23"/>
  <c r="N1632" i="23"/>
  <c r="N1633" i="23"/>
  <c r="N1634" i="23"/>
  <c r="N1635" i="23"/>
  <c r="N1636" i="23"/>
  <c r="N1637" i="23"/>
  <c r="N1638" i="23"/>
  <c r="N1639" i="23"/>
  <c r="N1640" i="23"/>
  <c r="N1641" i="23"/>
  <c r="N1642" i="23"/>
  <c r="N1643" i="23"/>
  <c r="N1644" i="23"/>
  <c r="N1645" i="23"/>
  <c r="N1646" i="23"/>
  <c r="N1647" i="23"/>
  <c r="N1648" i="23"/>
  <c r="N1649" i="23"/>
  <c r="N1650" i="23"/>
  <c r="N1651" i="23"/>
  <c r="N1652" i="23"/>
  <c r="N1653" i="23"/>
  <c r="N1654" i="23"/>
  <c r="N1655" i="23"/>
  <c r="N1656" i="23"/>
  <c r="N1657" i="23"/>
  <c r="N1658" i="23"/>
  <c r="N1659" i="23"/>
  <c r="N1660" i="23"/>
  <c r="N1661" i="23"/>
  <c r="N1662" i="23"/>
  <c r="N1663" i="23"/>
  <c r="N1664" i="23"/>
  <c r="N1665" i="23"/>
  <c r="N1666" i="23"/>
  <c r="N1667" i="23"/>
  <c r="N1668" i="23"/>
  <c r="N1669" i="23"/>
  <c r="N1670" i="23"/>
  <c r="N1671" i="23"/>
  <c r="N1672" i="23"/>
  <c r="N1673" i="23"/>
  <c r="N1674" i="23"/>
  <c r="N1675" i="23"/>
  <c r="N1676" i="23"/>
  <c r="N1677" i="23"/>
  <c r="N1678" i="23"/>
  <c r="N1679" i="23"/>
  <c r="N1680" i="23"/>
  <c r="N1681" i="23"/>
  <c r="N1682" i="23"/>
  <c r="N1683" i="23"/>
  <c r="N1684" i="23"/>
  <c r="N1685" i="23"/>
  <c r="N1686" i="23"/>
  <c r="N1687" i="23"/>
  <c r="N1688" i="23"/>
  <c r="N1689" i="23"/>
  <c r="N1690" i="23"/>
  <c r="N1691" i="23"/>
  <c r="N1692" i="23"/>
  <c r="N1693" i="23"/>
  <c r="N1694" i="23"/>
  <c r="N1695" i="23"/>
  <c r="N1696" i="23"/>
  <c r="N1697" i="23"/>
  <c r="N1698" i="23"/>
  <c r="N1699" i="23"/>
  <c r="N1700" i="23"/>
  <c r="N1701" i="23"/>
  <c r="N1702" i="23"/>
  <c r="N1703" i="23"/>
  <c r="N1704" i="23"/>
  <c r="N1705" i="23"/>
  <c r="N1706" i="23"/>
  <c r="N1707" i="23"/>
  <c r="N1708" i="23"/>
  <c r="N1709" i="23"/>
  <c r="N1710" i="23"/>
  <c r="N1711" i="23"/>
  <c r="N1712" i="23"/>
  <c r="N1713" i="23"/>
  <c r="N1714" i="23"/>
  <c r="N1715" i="23"/>
  <c r="N1716" i="23"/>
  <c r="N1717" i="23"/>
  <c r="N1718" i="23"/>
  <c r="N1719" i="23"/>
  <c r="N1720" i="23"/>
  <c r="N1721" i="23"/>
  <c r="N1722" i="23"/>
  <c r="N1723" i="23"/>
  <c r="N1724" i="23"/>
  <c r="N1725" i="23"/>
  <c r="N1726" i="23"/>
  <c r="N1727" i="23"/>
  <c r="N1728" i="23"/>
  <c r="N1729" i="23"/>
  <c r="N1730" i="23"/>
  <c r="N1731" i="23"/>
  <c r="N1732" i="23"/>
  <c r="N1733" i="23"/>
  <c r="N1734" i="23"/>
  <c r="N1735" i="23"/>
  <c r="N1736" i="23"/>
  <c r="N1737" i="23"/>
  <c r="N1738" i="23"/>
  <c r="N1739" i="23"/>
  <c r="N1740" i="23"/>
  <c r="N1741" i="23"/>
  <c r="N1742" i="23"/>
  <c r="N1743" i="23"/>
  <c r="N1744" i="23"/>
  <c r="N1745" i="23"/>
  <c r="N1746" i="23"/>
  <c r="N1747" i="23"/>
  <c r="N1748" i="23"/>
  <c r="N1749" i="23"/>
  <c r="N1750" i="23"/>
  <c r="N1751" i="23"/>
  <c r="N1752" i="23"/>
  <c r="N1753" i="23"/>
  <c r="N1754" i="23"/>
  <c r="N1755" i="23"/>
  <c r="N1756" i="23"/>
  <c r="N1757" i="23"/>
  <c r="N1758" i="23"/>
  <c r="N1759" i="23"/>
  <c r="N1760" i="23"/>
  <c r="N1761" i="23"/>
  <c r="N1762" i="23"/>
  <c r="N1763" i="23"/>
  <c r="N1764" i="23"/>
  <c r="N1765" i="23"/>
  <c r="N1766" i="23"/>
  <c r="N1767" i="23"/>
  <c r="N1768" i="23"/>
  <c r="N1769" i="23"/>
  <c r="N1770" i="23"/>
  <c r="N1771" i="23"/>
  <c r="N1772" i="23"/>
  <c r="N1773" i="23"/>
  <c r="N1774" i="23"/>
  <c r="N1775" i="23"/>
  <c r="N1776" i="23"/>
  <c r="N1777" i="23"/>
  <c r="N1778" i="23"/>
  <c r="N1779" i="23"/>
  <c r="N1780" i="23"/>
  <c r="N1781" i="23"/>
  <c r="N1782" i="23"/>
  <c r="N1783" i="23"/>
  <c r="N1784" i="23"/>
  <c r="N1785" i="23"/>
  <c r="N1786" i="23"/>
  <c r="N1787" i="23"/>
  <c r="N1788" i="23"/>
  <c r="N1789" i="23"/>
  <c r="N1790" i="23"/>
  <c r="N1791" i="23"/>
  <c r="N1792" i="23"/>
  <c r="N1793" i="23"/>
  <c r="N1794" i="23"/>
  <c r="N1795" i="23"/>
  <c r="N1796" i="23"/>
  <c r="N1797" i="23"/>
  <c r="N1798" i="23"/>
  <c r="N1799" i="23"/>
  <c r="N1800" i="23"/>
  <c r="N1801" i="23"/>
  <c r="N1802" i="23"/>
  <c r="N1803" i="23"/>
  <c r="N1804" i="23"/>
  <c r="N1805" i="23"/>
  <c r="N1806" i="23"/>
  <c r="N1807" i="23"/>
  <c r="N1808" i="23"/>
  <c r="N1809" i="23"/>
  <c r="N1810" i="23"/>
  <c r="N1811" i="23"/>
  <c r="N1812" i="23"/>
  <c r="N1813" i="23"/>
  <c r="N1814" i="23"/>
  <c r="N1815" i="23"/>
  <c r="N1816" i="23"/>
  <c r="N1817" i="23"/>
  <c r="N1818" i="23"/>
  <c r="N1819" i="23"/>
  <c r="N1820" i="23"/>
  <c r="N1821" i="23"/>
  <c r="N1822" i="23"/>
  <c r="N1823" i="23"/>
  <c r="N1824" i="23"/>
  <c r="N1825" i="23"/>
  <c r="N1826" i="23"/>
  <c r="N1827" i="23"/>
  <c r="N1828" i="23"/>
  <c r="N1829" i="23"/>
  <c r="N1830" i="23"/>
  <c r="N1831" i="23"/>
  <c r="N1832" i="23"/>
  <c r="N1833" i="23"/>
  <c r="N1834" i="23"/>
  <c r="N1835" i="23"/>
  <c r="N1836" i="23"/>
  <c r="N1837" i="23"/>
  <c r="N1838" i="23"/>
  <c r="N1839" i="23"/>
  <c r="N1840" i="23"/>
  <c r="N1841" i="23"/>
  <c r="N1842" i="23"/>
  <c r="N1843" i="23"/>
  <c r="N1844" i="23"/>
  <c r="N1845" i="23"/>
  <c r="N1846" i="23"/>
  <c r="N1847" i="23"/>
  <c r="N1848" i="23"/>
  <c r="N1849" i="23"/>
  <c r="N1850" i="23"/>
  <c r="N1851" i="23"/>
  <c r="N1852" i="23"/>
  <c r="N1853" i="23"/>
  <c r="N1854" i="23"/>
  <c r="N1855" i="23"/>
  <c r="N1856" i="23"/>
  <c r="N1857" i="23"/>
  <c r="N1858" i="23"/>
  <c r="N1859" i="23"/>
  <c r="N1860" i="23"/>
  <c r="N1861" i="23"/>
  <c r="N1862" i="23"/>
  <c r="N1863" i="23"/>
  <c r="N1864" i="23"/>
  <c r="N1865" i="23"/>
  <c r="N1866" i="23"/>
  <c r="N1867" i="23"/>
  <c r="N1868" i="23"/>
  <c r="N1869" i="23"/>
  <c r="N1870" i="23"/>
  <c r="N1871" i="23"/>
  <c r="N1872" i="23"/>
  <c r="N1873" i="23"/>
  <c r="N1874" i="23"/>
  <c r="N1875" i="23"/>
  <c r="N1876" i="23"/>
  <c r="N1877" i="23"/>
  <c r="N1878" i="23"/>
  <c r="N1879" i="23"/>
  <c r="N1880" i="23"/>
  <c r="N1881" i="23"/>
  <c r="N1882" i="23"/>
  <c r="N1883" i="23"/>
  <c r="N1884" i="23"/>
  <c r="N1885" i="23"/>
  <c r="N1886" i="23"/>
  <c r="N1887" i="23"/>
  <c r="N1888" i="23"/>
  <c r="N1889" i="23"/>
  <c r="N1890" i="23"/>
  <c r="N1891" i="23"/>
  <c r="N1892" i="23"/>
  <c r="N1893" i="23"/>
  <c r="N1894" i="23"/>
  <c r="N1895" i="23"/>
  <c r="N1896" i="23"/>
  <c r="N1897" i="23"/>
  <c r="N1898" i="23"/>
  <c r="N1899" i="23"/>
  <c r="N1900" i="23"/>
  <c r="N1901" i="23"/>
  <c r="N1902" i="23"/>
  <c r="N1903" i="23"/>
  <c r="N1904" i="23"/>
  <c r="N1905" i="23"/>
  <c r="N1906" i="23"/>
  <c r="N1907" i="23"/>
  <c r="N1908" i="23"/>
  <c r="N1909" i="23"/>
  <c r="N1910" i="23"/>
  <c r="N1911" i="23"/>
  <c r="N1912" i="23"/>
  <c r="N1913" i="23"/>
  <c r="N1914" i="23"/>
  <c r="N1915" i="23"/>
  <c r="N1916" i="23"/>
  <c r="N1917" i="23"/>
  <c r="N1918" i="23"/>
  <c r="N1919" i="23"/>
  <c r="N1920" i="23"/>
  <c r="N1921" i="23"/>
  <c r="N1922" i="23"/>
  <c r="N1923" i="23"/>
  <c r="N1924" i="23"/>
  <c r="N1925" i="23"/>
  <c r="N1926" i="23"/>
  <c r="N1927" i="23"/>
  <c r="N1928" i="23"/>
  <c r="N1929" i="23"/>
  <c r="N1930" i="23"/>
  <c r="N1931" i="23"/>
  <c r="N1932" i="23"/>
  <c r="N1933" i="23"/>
  <c r="N1934" i="23"/>
  <c r="N1935" i="23"/>
  <c r="N1936" i="23"/>
  <c r="N1937" i="23"/>
  <c r="N1938" i="23"/>
  <c r="N1939" i="23"/>
  <c r="N1940" i="23"/>
  <c r="N1941" i="23"/>
  <c r="N1942" i="23"/>
  <c r="N1943" i="23"/>
  <c r="N1944" i="23"/>
  <c r="N1945" i="23"/>
  <c r="N1946" i="23"/>
  <c r="N1947" i="23"/>
  <c r="N1948" i="23"/>
  <c r="N1949" i="23"/>
  <c r="N1950" i="23"/>
  <c r="N1951" i="23"/>
  <c r="N1952" i="23"/>
  <c r="N1953" i="23"/>
  <c r="N1954" i="23"/>
  <c r="N1955" i="23"/>
  <c r="N1956" i="23"/>
  <c r="N1957" i="23"/>
  <c r="N1958" i="23"/>
  <c r="N1959" i="23"/>
  <c r="N1960" i="23"/>
  <c r="N1961" i="23"/>
  <c r="N1962" i="23"/>
  <c r="N1963" i="23"/>
  <c r="N1964" i="23"/>
  <c r="N1965" i="23"/>
  <c r="N1966" i="23"/>
  <c r="N1967" i="23"/>
  <c r="N1968" i="23"/>
  <c r="N1969" i="23"/>
  <c r="N1970" i="23"/>
  <c r="N1971" i="23"/>
  <c r="N1972" i="23"/>
  <c r="N1973" i="23"/>
  <c r="N1974" i="23"/>
  <c r="N1975" i="23"/>
  <c r="N1976" i="23"/>
  <c r="N1977" i="23"/>
  <c r="N1978" i="23"/>
  <c r="N1979" i="23"/>
  <c r="N1980" i="23"/>
  <c r="N1981" i="23"/>
  <c r="N1982" i="23"/>
  <c r="N1983" i="23"/>
  <c r="N1984" i="23"/>
  <c r="N1985" i="23"/>
  <c r="N1986" i="23"/>
  <c r="N1987" i="23"/>
  <c r="N1988" i="23"/>
  <c r="N1989" i="23"/>
  <c r="N1990" i="23"/>
  <c r="N1991" i="23"/>
  <c r="N1992" i="23"/>
  <c r="N1993" i="23"/>
  <c r="N1994" i="23"/>
  <c r="N1995" i="23"/>
  <c r="N1996" i="23"/>
  <c r="N1997" i="23"/>
  <c r="N1998" i="23"/>
  <c r="N1999" i="23"/>
  <c r="N2000" i="23"/>
  <c r="N2001" i="23"/>
  <c r="N2002" i="23"/>
  <c r="N2003" i="23"/>
  <c r="N2004" i="23"/>
  <c r="N2005" i="23"/>
  <c r="N2006" i="23"/>
  <c r="N2007" i="23"/>
  <c r="N2008" i="23"/>
  <c r="N2009" i="23"/>
  <c r="N2010" i="23"/>
  <c r="N2011" i="23"/>
  <c r="N2012" i="23"/>
  <c r="N2013" i="23"/>
  <c r="N2014" i="23"/>
  <c r="N2015" i="23"/>
  <c r="N2016" i="23"/>
  <c r="N2017" i="23"/>
  <c r="N2018" i="23"/>
  <c r="N2019" i="23"/>
  <c r="N2020" i="23"/>
  <c r="N2021" i="23"/>
  <c r="N2022" i="23"/>
  <c r="N2023" i="23"/>
  <c r="N2024" i="23"/>
  <c r="N2025" i="23"/>
  <c r="N2026" i="23"/>
  <c r="N2027" i="23"/>
  <c r="N2028" i="23"/>
  <c r="N2029" i="23"/>
  <c r="N2030" i="23"/>
  <c r="N2031" i="23"/>
  <c r="N2032" i="23"/>
  <c r="N2033" i="23"/>
  <c r="N2034" i="23"/>
  <c r="N2035" i="23"/>
  <c r="N2036" i="23"/>
  <c r="N2037" i="23"/>
  <c r="N2038" i="23"/>
  <c r="N2039" i="23"/>
  <c r="N2040" i="23"/>
  <c r="N2041" i="23"/>
  <c r="N2042" i="23"/>
  <c r="N2043" i="23"/>
  <c r="N2044" i="23"/>
  <c r="N2045" i="23"/>
  <c r="N2046" i="23"/>
  <c r="N2047" i="23"/>
  <c r="N2048" i="23"/>
  <c r="N2049" i="23"/>
  <c r="N2050" i="23"/>
  <c r="N2051" i="23"/>
  <c r="N2052" i="23"/>
  <c r="N2053" i="23"/>
  <c r="N2054" i="23"/>
  <c r="N2055" i="23"/>
  <c r="N2056" i="23"/>
  <c r="N2057" i="23"/>
  <c r="N2058" i="23"/>
  <c r="N2059" i="23"/>
  <c r="N2060" i="23"/>
  <c r="N2061" i="23"/>
  <c r="N2062" i="23"/>
  <c r="N2063" i="23"/>
  <c r="N2064" i="23"/>
  <c r="N2065" i="23"/>
  <c r="N2066" i="23"/>
  <c r="N2067" i="23"/>
  <c r="N2068" i="23"/>
  <c r="N2069" i="23"/>
  <c r="N2070" i="23"/>
  <c r="N2071" i="23"/>
  <c r="N2072" i="23"/>
  <c r="N2073" i="23"/>
  <c r="N2074" i="23"/>
  <c r="N2075" i="23"/>
  <c r="N2076" i="23"/>
  <c r="N2077" i="23"/>
  <c r="N2078" i="23"/>
  <c r="N2079" i="23"/>
  <c r="N2080" i="23"/>
  <c r="N2081" i="23"/>
  <c r="N2082" i="23"/>
  <c r="N2083" i="23"/>
  <c r="N2084" i="23"/>
  <c r="N2085" i="23"/>
  <c r="N2086" i="23"/>
  <c r="N2087" i="23"/>
  <c r="N2088" i="23"/>
  <c r="N2089" i="23"/>
  <c r="N2090" i="23"/>
  <c r="N2091" i="23"/>
  <c r="N2092" i="23"/>
  <c r="N2093" i="23"/>
  <c r="N2094" i="23"/>
  <c r="N2095" i="23"/>
  <c r="N2096" i="23"/>
  <c r="N2097" i="23"/>
  <c r="N2098" i="23"/>
  <c r="N2099" i="23"/>
  <c r="N2100" i="23"/>
  <c r="N2101" i="23"/>
  <c r="N2102" i="23"/>
  <c r="N2103" i="23"/>
  <c r="N2104" i="23"/>
  <c r="N2105" i="23"/>
  <c r="N2106" i="23"/>
  <c r="N2107" i="23"/>
  <c r="N2108" i="23"/>
  <c r="N2109" i="23"/>
  <c r="N2110" i="23"/>
  <c r="N2111" i="23"/>
  <c r="N2112" i="23"/>
  <c r="N2113" i="23"/>
  <c r="N2114" i="23"/>
  <c r="N2115" i="23"/>
  <c r="N2116" i="23"/>
  <c r="N2117" i="23"/>
  <c r="N2118" i="23"/>
  <c r="N2119" i="23"/>
  <c r="N2120" i="23"/>
  <c r="N2121" i="23"/>
  <c r="N2122" i="23"/>
  <c r="N2123" i="23"/>
  <c r="N2124" i="23"/>
  <c r="N2125" i="23"/>
  <c r="N2126" i="23"/>
  <c r="N2127" i="23"/>
  <c r="N2128" i="23"/>
  <c r="N2129" i="23"/>
  <c r="N2130" i="23"/>
  <c r="N2131" i="23"/>
  <c r="N2132" i="23"/>
  <c r="N2133" i="23"/>
  <c r="N2134" i="23"/>
  <c r="N2135" i="23"/>
  <c r="N2136" i="23"/>
  <c r="N2137" i="23"/>
  <c r="N2138" i="23"/>
  <c r="N2139" i="23"/>
  <c r="N2140" i="23"/>
  <c r="N2141" i="23"/>
  <c r="N2142" i="23"/>
  <c r="N2143" i="23"/>
  <c r="N2144" i="23"/>
  <c r="N2145" i="23"/>
  <c r="N2146" i="23"/>
  <c r="N2147" i="23"/>
  <c r="N2148" i="23"/>
  <c r="N2149" i="23"/>
  <c r="N2150" i="23"/>
  <c r="N2151" i="23"/>
  <c r="N2152" i="23"/>
  <c r="N2153" i="23"/>
  <c r="N2154" i="23"/>
  <c r="N2155" i="23"/>
  <c r="N2156" i="23"/>
  <c r="N2157" i="23"/>
  <c r="N2158" i="23"/>
  <c r="N2159" i="23"/>
  <c r="N2160" i="23"/>
  <c r="N2161" i="23"/>
  <c r="N2162" i="23"/>
  <c r="N2163" i="23"/>
  <c r="N2164" i="23"/>
  <c r="N2165" i="23"/>
  <c r="N2166" i="23"/>
  <c r="N2167" i="23"/>
  <c r="N2168" i="23"/>
  <c r="N2169" i="23"/>
  <c r="N2170" i="23"/>
  <c r="N2171" i="23"/>
  <c r="N2172" i="23"/>
  <c r="N2173" i="23"/>
  <c r="N2174" i="23"/>
  <c r="N2175" i="23"/>
  <c r="N2176" i="23"/>
  <c r="N2177" i="23"/>
  <c r="N2178" i="23"/>
  <c r="N2179" i="23"/>
  <c r="N2180" i="23"/>
  <c r="N2181" i="23"/>
  <c r="N2182" i="23"/>
  <c r="N2183" i="23"/>
  <c r="N2184" i="23"/>
  <c r="N2185" i="23"/>
  <c r="N2186" i="23"/>
  <c r="N2187" i="23"/>
  <c r="N2188" i="23"/>
  <c r="N2189" i="23"/>
  <c r="N2190" i="23"/>
  <c r="N2191" i="23"/>
  <c r="N2192" i="23"/>
  <c r="N2193" i="23"/>
  <c r="N2194" i="23"/>
  <c r="N2195" i="23"/>
  <c r="N2196" i="23"/>
  <c r="N2197" i="23"/>
  <c r="N2198" i="23"/>
  <c r="N2199" i="23"/>
  <c r="N2200" i="23"/>
  <c r="N2201" i="23"/>
  <c r="N2202" i="23"/>
  <c r="N2203" i="23"/>
  <c r="N2204" i="23"/>
  <c r="N2205" i="23"/>
  <c r="N2206" i="23"/>
  <c r="N2207" i="23"/>
  <c r="N2208" i="23"/>
  <c r="N2209" i="23"/>
  <c r="N2210" i="23"/>
  <c r="N2211" i="23"/>
  <c r="N2212" i="23"/>
  <c r="N2213" i="23"/>
  <c r="N2214" i="23"/>
  <c r="N2215" i="23"/>
  <c r="N2216" i="23"/>
  <c r="N2217" i="23"/>
  <c r="N2218" i="23"/>
  <c r="N2219" i="23"/>
  <c r="N2220" i="23"/>
  <c r="N2221" i="23"/>
  <c r="N2222" i="23"/>
  <c r="N2223" i="23"/>
  <c r="N2224" i="23"/>
  <c r="N2225" i="23"/>
  <c r="N2226" i="23"/>
  <c r="N2227" i="23"/>
  <c r="N2228" i="23"/>
  <c r="N2229" i="23"/>
  <c r="N2230" i="23"/>
  <c r="N2231" i="23"/>
  <c r="N2232" i="23"/>
  <c r="N2233" i="23"/>
  <c r="N2234" i="23"/>
  <c r="N2235" i="23"/>
  <c r="N2236" i="23"/>
  <c r="N2237" i="23"/>
  <c r="N2238" i="23"/>
  <c r="N2239" i="23"/>
  <c r="N2240" i="23"/>
  <c r="N2241" i="23"/>
  <c r="N2242" i="23"/>
  <c r="N2243" i="23"/>
  <c r="N2244" i="23"/>
  <c r="N2245" i="23"/>
  <c r="N2246" i="23"/>
  <c r="N2247" i="23"/>
  <c r="N2248" i="23"/>
  <c r="N2249" i="23"/>
  <c r="N2250" i="23"/>
  <c r="N2251" i="23"/>
  <c r="N2252" i="23"/>
  <c r="N2253" i="23"/>
  <c r="N2254" i="23"/>
  <c r="N2255" i="23"/>
  <c r="N2256" i="23"/>
  <c r="N2257" i="23"/>
  <c r="N2258" i="23"/>
  <c r="N2259" i="23"/>
  <c r="N2260" i="23"/>
  <c r="N2261" i="23"/>
  <c r="N2262" i="23"/>
  <c r="N2263" i="23"/>
  <c r="N2264" i="23"/>
  <c r="N2265" i="23"/>
  <c r="N2266" i="23"/>
  <c r="N2267" i="23"/>
  <c r="N2268" i="23"/>
  <c r="N2269" i="23"/>
  <c r="N2270" i="23"/>
  <c r="N2271" i="23"/>
  <c r="N2272" i="23"/>
  <c r="N2273" i="23"/>
  <c r="N2274" i="23"/>
  <c r="N2275" i="23"/>
  <c r="N2276" i="23"/>
  <c r="N2277" i="23"/>
  <c r="N2278" i="23"/>
  <c r="N2279" i="23"/>
  <c r="N2280" i="23"/>
  <c r="N2281" i="23"/>
  <c r="N2282" i="23"/>
  <c r="N2283" i="23"/>
  <c r="N2284" i="23"/>
  <c r="N2285" i="23"/>
  <c r="N2286" i="23"/>
  <c r="N2287" i="23"/>
  <c r="N2288" i="23"/>
  <c r="N2289" i="23"/>
  <c r="N2290" i="23"/>
  <c r="N2291" i="23"/>
  <c r="N2292" i="23"/>
  <c r="N2293" i="23"/>
  <c r="N2294" i="23"/>
  <c r="N2295" i="23"/>
  <c r="N2296" i="23"/>
  <c r="N2297" i="23"/>
  <c r="N2298" i="23"/>
  <c r="N2299" i="23"/>
  <c r="N2300" i="23"/>
  <c r="N2301" i="23"/>
  <c r="N2302" i="23"/>
  <c r="N2303" i="23"/>
  <c r="N2304" i="23"/>
  <c r="N2305" i="23"/>
  <c r="N2306" i="23"/>
  <c r="N2307" i="23"/>
  <c r="N2308" i="23"/>
  <c r="N2309" i="23"/>
  <c r="N2310" i="23"/>
  <c r="N2311" i="23"/>
  <c r="N2312" i="23"/>
  <c r="N2313" i="23"/>
  <c r="N2314" i="23"/>
  <c r="N2315" i="23"/>
  <c r="N2316" i="23"/>
  <c r="N2317" i="23"/>
  <c r="N2318" i="23"/>
  <c r="N2319" i="23"/>
  <c r="N2320" i="23"/>
  <c r="N2321" i="23"/>
  <c r="N2322" i="23"/>
  <c r="N2323" i="23"/>
  <c r="N2324" i="23"/>
  <c r="N2325" i="23"/>
  <c r="N2326" i="23"/>
  <c r="N2327" i="23"/>
  <c r="N2328" i="23"/>
  <c r="N2329" i="23"/>
  <c r="N2330" i="23"/>
  <c r="N2331" i="23"/>
  <c r="N2332" i="23"/>
  <c r="N2333" i="23"/>
  <c r="N2334" i="23"/>
  <c r="N2335" i="23"/>
  <c r="N2336" i="23"/>
  <c r="N2337" i="23"/>
  <c r="N2338" i="23"/>
  <c r="N2339" i="23"/>
  <c r="N2340" i="23"/>
  <c r="N2341" i="23"/>
  <c r="N2342" i="23"/>
  <c r="N2343" i="23"/>
  <c r="N2344" i="23"/>
  <c r="N2345" i="23"/>
  <c r="N2346" i="23"/>
  <c r="N2347" i="23"/>
  <c r="N2348" i="23"/>
  <c r="N2349" i="23"/>
  <c r="N2350" i="23"/>
  <c r="N2351" i="23"/>
  <c r="N2352" i="23"/>
  <c r="N2353" i="23"/>
  <c r="N2354" i="23"/>
  <c r="N2355" i="23"/>
  <c r="N2356" i="23"/>
  <c r="N2357" i="23"/>
  <c r="N2358" i="23"/>
  <c r="N2359" i="23"/>
  <c r="N2360" i="23"/>
  <c r="N2361" i="23"/>
  <c r="N2362" i="23"/>
  <c r="N2363" i="23"/>
  <c r="N2364" i="23"/>
  <c r="N2365" i="23"/>
  <c r="N2366" i="23"/>
  <c r="N2367" i="23"/>
  <c r="N2368" i="23"/>
  <c r="N2369" i="23"/>
  <c r="N2370" i="23"/>
  <c r="N2371" i="23"/>
  <c r="N2372" i="23"/>
  <c r="N2373" i="23"/>
  <c r="N2374" i="23"/>
  <c r="N2375" i="23"/>
  <c r="N2376" i="23"/>
  <c r="N2377" i="23"/>
  <c r="N2378" i="23"/>
  <c r="N2379" i="23"/>
  <c r="N2380" i="23"/>
  <c r="N2381" i="23"/>
  <c r="N2382" i="23"/>
  <c r="N2383" i="23"/>
  <c r="N2384" i="23"/>
  <c r="N2385" i="23"/>
  <c r="N2386" i="23"/>
  <c r="N2387" i="23"/>
  <c r="N2388" i="23"/>
  <c r="N2389" i="23"/>
  <c r="N2390" i="23"/>
  <c r="N2391" i="23"/>
  <c r="N2392" i="23"/>
  <c r="N2393" i="23"/>
  <c r="N2394" i="23"/>
  <c r="N2395" i="23"/>
  <c r="N2396" i="23"/>
  <c r="N2397" i="23"/>
  <c r="N2398" i="23"/>
  <c r="M6" i="23"/>
  <c r="M7" i="23"/>
  <c r="M8" i="23"/>
  <c r="M9" i="23"/>
  <c r="M10" i="23"/>
  <c r="M11" i="23"/>
  <c r="M12" i="23"/>
  <c r="M13" i="23"/>
  <c r="M14" i="23"/>
  <c r="M15" i="23"/>
  <c r="M16" i="23"/>
  <c r="M17" i="23"/>
  <c r="M18" i="23"/>
  <c r="M19" i="23"/>
  <c r="M20" i="23"/>
  <c r="M21" i="23"/>
  <c r="M22" i="23"/>
  <c r="M23" i="23"/>
  <c r="M24" i="23"/>
  <c r="M25" i="23"/>
  <c r="M26" i="23"/>
  <c r="M27" i="23"/>
  <c r="M28" i="23"/>
  <c r="M29" i="23"/>
  <c r="M30" i="23"/>
  <c r="M31" i="23"/>
  <c r="M32" i="23"/>
  <c r="M33" i="23"/>
  <c r="M34" i="23"/>
  <c r="M35" i="23"/>
  <c r="M36" i="23"/>
  <c r="M37" i="23"/>
  <c r="M38" i="23"/>
  <c r="M39" i="23"/>
  <c r="M40" i="23"/>
  <c r="M41" i="23"/>
  <c r="M42" i="23"/>
  <c r="M43" i="23"/>
  <c r="M44" i="23"/>
  <c r="M45" i="23"/>
  <c r="M46" i="23"/>
  <c r="M47" i="23"/>
  <c r="M48" i="23"/>
  <c r="M49" i="23"/>
  <c r="M50" i="23"/>
  <c r="M51" i="23"/>
  <c r="M52" i="23"/>
  <c r="M53" i="23"/>
  <c r="M54" i="23"/>
  <c r="M55" i="23"/>
  <c r="M56" i="23"/>
  <c r="M57" i="23"/>
  <c r="M58" i="23"/>
  <c r="M59" i="23"/>
  <c r="M60" i="23"/>
  <c r="M61" i="23"/>
  <c r="M62" i="23"/>
  <c r="M63" i="23"/>
  <c r="M64" i="23"/>
  <c r="M65" i="23"/>
  <c r="M66" i="23"/>
  <c r="M67" i="23"/>
  <c r="M68" i="23"/>
  <c r="M69" i="23"/>
  <c r="M70" i="23"/>
  <c r="M71" i="23"/>
  <c r="M72" i="23"/>
  <c r="M73" i="23"/>
  <c r="M74" i="23"/>
  <c r="M75" i="23"/>
  <c r="M76" i="23"/>
  <c r="M77" i="23"/>
  <c r="M78" i="23"/>
  <c r="M79" i="23"/>
  <c r="M80" i="23"/>
  <c r="M81" i="23"/>
  <c r="M82" i="23"/>
  <c r="M83" i="23"/>
  <c r="M84" i="23"/>
  <c r="M85" i="23"/>
  <c r="M86" i="23"/>
  <c r="M87" i="23"/>
  <c r="M88" i="23"/>
  <c r="M89" i="23"/>
  <c r="M90" i="23"/>
  <c r="M91" i="23"/>
  <c r="M92" i="23"/>
  <c r="M93" i="23"/>
  <c r="M94" i="23"/>
  <c r="M95" i="23"/>
  <c r="M96" i="23"/>
  <c r="M97" i="23"/>
  <c r="M98" i="23"/>
  <c r="M99" i="23"/>
  <c r="M100" i="23"/>
  <c r="M101" i="23"/>
  <c r="M102" i="23"/>
  <c r="M103" i="23"/>
  <c r="M104" i="23"/>
  <c r="M105" i="23"/>
  <c r="M106" i="23"/>
  <c r="M107" i="23"/>
  <c r="M108" i="23"/>
  <c r="M109" i="23"/>
  <c r="M110" i="23"/>
  <c r="M111" i="23"/>
  <c r="M112" i="23"/>
  <c r="M113" i="23"/>
  <c r="M114" i="23"/>
  <c r="M115" i="23"/>
  <c r="M116" i="23"/>
  <c r="M117" i="23"/>
  <c r="M118" i="23"/>
  <c r="M119" i="23"/>
  <c r="M120" i="23"/>
  <c r="M121" i="23"/>
  <c r="M122" i="23"/>
  <c r="M123" i="23"/>
  <c r="M124" i="23"/>
  <c r="M125" i="23"/>
  <c r="M126" i="23"/>
  <c r="M127" i="23"/>
  <c r="M128" i="23"/>
  <c r="M129" i="23"/>
  <c r="M130" i="23"/>
  <c r="M131" i="23"/>
  <c r="M132" i="23"/>
  <c r="M133" i="23"/>
  <c r="M134" i="23"/>
  <c r="M135" i="23"/>
  <c r="M136" i="23"/>
  <c r="M137" i="23"/>
  <c r="M138" i="23"/>
  <c r="M139" i="23"/>
  <c r="M140" i="23"/>
  <c r="M141" i="23"/>
  <c r="M142" i="23"/>
  <c r="M143" i="23"/>
  <c r="M144" i="23"/>
  <c r="M145" i="23"/>
  <c r="M146" i="23"/>
  <c r="M147" i="23"/>
  <c r="M148" i="23"/>
  <c r="M149" i="23"/>
  <c r="M150" i="23"/>
  <c r="M151" i="23"/>
  <c r="M152" i="23"/>
  <c r="M153" i="23"/>
  <c r="M154" i="23"/>
  <c r="M155" i="23"/>
  <c r="M156" i="23"/>
  <c r="M157" i="23"/>
  <c r="M158" i="23"/>
  <c r="M159" i="23"/>
  <c r="M160" i="23"/>
  <c r="M161" i="23"/>
  <c r="M162" i="23"/>
  <c r="M163" i="23"/>
  <c r="M164" i="23"/>
  <c r="M165" i="23"/>
  <c r="M166" i="23"/>
  <c r="M167" i="23"/>
  <c r="M168" i="23"/>
  <c r="M169" i="23"/>
  <c r="M170" i="23"/>
  <c r="M171" i="23"/>
  <c r="M172" i="23"/>
  <c r="M173" i="23"/>
  <c r="M174" i="23"/>
  <c r="M175" i="23"/>
  <c r="M176" i="23"/>
  <c r="M177" i="23"/>
  <c r="M178" i="23"/>
  <c r="M179" i="23"/>
  <c r="M180" i="23"/>
  <c r="M181" i="23"/>
  <c r="M182" i="23"/>
  <c r="M183" i="23"/>
  <c r="M184" i="23"/>
  <c r="M185" i="23"/>
  <c r="M186" i="23"/>
  <c r="M187" i="23"/>
  <c r="M188" i="23"/>
  <c r="M189" i="23"/>
  <c r="M190" i="23"/>
  <c r="M191" i="23"/>
  <c r="M192" i="23"/>
  <c r="M193" i="23"/>
  <c r="M194" i="23"/>
  <c r="M195" i="23"/>
  <c r="M196" i="23"/>
  <c r="M197" i="23"/>
  <c r="M198" i="23"/>
  <c r="M199" i="23"/>
  <c r="M200" i="23"/>
  <c r="M201" i="23"/>
  <c r="M202" i="23"/>
  <c r="M203" i="23"/>
  <c r="M204" i="23"/>
  <c r="M205" i="23"/>
  <c r="M206" i="23"/>
  <c r="M207" i="23"/>
  <c r="M208" i="23"/>
  <c r="M209" i="23"/>
  <c r="M210" i="23"/>
  <c r="M211" i="23"/>
  <c r="M212" i="23"/>
  <c r="M213" i="23"/>
  <c r="M214" i="23"/>
  <c r="M215" i="23"/>
  <c r="M216" i="23"/>
  <c r="M217" i="23"/>
  <c r="M218" i="23"/>
  <c r="M219" i="23"/>
  <c r="M220" i="23"/>
  <c r="M221" i="23"/>
  <c r="M222" i="23"/>
  <c r="M223" i="23"/>
  <c r="M224" i="23"/>
  <c r="M225" i="23"/>
  <c r="M226" i="23"/>
  <c r="M227" i="23"/>
  <c r="M228" i="23"/>
  <c r="M229" i="23"/>
  <c r="M230" i="23"/>
  <c r="M231" i="23"/>
  <c r="M232" i="23"/>
  <c r="M233" i="23"/>
  <c r="M234" i="23"/>
  <c r="M235" i="23"/>
  <c r="M236" i="23"/>
  <c r="M237" i="23"/>
  <c r="M238" i="23"/>
  <c r="M239" i="23"/>
  <c r="M240" i="23"/>
  <c r="M241" i="23"/>
  <c r="M242" i="23"/>
  <c r="M243" i="23"/>
  <c r="M244" i="23"/>
  <c r="M245" i="23"/>
  <c r="M246" i="23"/>
  <c r="M247" i="23"/>
  <c r="M248" i="23"/>
  <c r="M249" i="23"/>
  <c r="M250" i="23"/>
  <c r="M251" i="23"/>
  <c r="M252" i="23"/>
  <c r="M253" i="23"/>
  <c r="M254" i="23"/>
  <c r="M255" i="23"/>
  <c r="M256" i="23"/>
  <c r="M257" i="23"/>
  <c r="M258" i="23"/>
  <c r="M259" i="23"/>
  <c r="M260" i="23"/>
  <c r="M261" i="23"/>
  <c r="M262" i="23"/>
  <c r="M263" i="23"/>
  <c r="M264" i="23"/>
  <c r="M265" i="23"/>
  <c r="M266" i="23"/>
  <c r="M267" i="23"/>
  <c r="M268" i="23"/>
  <c r="M269" i="23"/>
  <c r="M270" i="23"/>
  <c r="M271" i="23"/>
  <c r="M272" i="23"/>
  <c r="M273" i="23"/>
  <c r="M274" i="23"/>
  <c r="M275" i="23"/>
  <c r="M276" i="23"/>
  <c r="M277" i="23"/>
  <c r="M278" i="23"/>
  <c r="M279" i="23"/>
  <c r="M280" i="23"/>
  <c r="M281" i="23"/>
  <c r="M282" i="23"/>
  <c r="M283" i="23"/>
  <c r="M284" i="23"/>
  <c r="M285" i="23"/>
  <c r="M286" i="23"/>
  <c r="M287" i="23"/>
  <c r="M288" i="23"/>
  <c r="M289" i="23"/>
  <c r="M290" i="23"/>
  <c r="M291" i="23"/>
  <c r="M292" i="23"/>
  <c r="M293" i="23"/>
  <c r="M294" i="23"/>
  <c r="M295" i="23"/>
  <c r="M296" i="23"/>
  <c r="M297" i="23"/>
  <c r="M298" i="23"/>
  <c r="M299" i="23"/>
  <c r="M300" i="23"/>
  <c r="M301" i="23"/>
  <c r="M302" i="23"/>
  <c r="M303" i="23"/>
  <c r="M304" i="23"/>
  <c r="M305" i="23"/>
  <c r="M306" i="23"/>
  <c r="M307" i="23"/>
  <c r="M308" i="23"/>
  <c r="M309" i="23"/>
  <c r="M310" i="23"/>
  <c r="M311" i="23"/>
  <c r="M312" i="23"/>
  <c r="M313" i="23"/>
  <c r="M314" i="23"/>
  <c r="M315" i="23"/>
  <c r="M316" i="23"/>
  <c r="M317" i="23"/>
  <c r="M318" i="23"/>
  <c r="M319" i="23"/>
  <c r="M320" i="23"/>
  <c r="M321" i="23"/>
  <c r="M322" i="23"/>
  <c r="M323" i="23"/>
  <c r="M324" i="23"/>
  <c r="M325" i="23"/>
  <c r="M326" i="23"/>
  <c r="M327" i="23"/>
  <c r="M328" i="23"/>
  <c r="M329" i="23"/>
  <c r="M330" i="23"/>
  <c r="M331" i="23"/>
  <c r="M332" i="23"/>
  <c r="M333" i="23"/>
  <c r="M334" i="23"/>
  <c r="M335" i="23"/>
  <c r="M336" i="23"/>
  <c r="M337" i="23"/>
  <c r="M338" i="23"/>
  <c r="M339" i="23"/>
  <c r="M340" i="23"/>
  <c r="M341" i="23"/>
  <c r="M342" i="23"/>
  <c r="M343" i="23"/>
  <c r="M344" i="23"/>
  <c r="M345" i="23"/>
  <c r="M346" i="23"/>
  <c r="M347" i="23"/>
  <c r="M348" i="23"/>
  <c r="M349" i="23"/>
  <c r="M350" i="23"/>
  <c r="M351" i="23"/>
  <c r="M352" i="23"/>
  <c r="M353" i="23"/>
  <c r="M354" i="23"/>
  <c r="M355" i="23"/>
  <c r="M356" i="23"/>
  <c r="M357" i="23"/>
  <c r="M358" i="23"/>
  <c r="M359" i="23"/>
  <c r="M360" i="23"/>
  <c r="M361" i="23"/>
  <c r="M362" i="23"/>
  <c r="M363" i="23"/>
  <c r="M364" i="23"/>
  <c r="M365" i="23"/>
  <c r="M366" i="23"/>
  <c r="M367" i="23"/>
  <c r="M368" i="23"/>
  <c r="M369" i="23"/>
  <c r="M370" i="23"/>
  <c r="M371" i="23"/>
  <c r="M372" i="23"/>
  <c r="M373" i="23"/>
  <c r="M374" i="23"/>
  <c r="M375" i="23"/>
  <c r="M376" i="23"/>
  <c r="M377" i="23"/>
  <c r="M378" i="23"/>
  <c r="M379" i="23"/>
  <c r="M380" i="23"/>
  <c r="M381" i="23"/>
  <c r="M382" i="23"/>
  <c r="M383" i="23"/>
  <c r="M384" i="23"/>
  <c r="M385" i="23"/>
  <c r="M386" i="23"/>
  <c r="M387" i="23"/>
  <c r="M388" i="23"/>
  <c r="M389" i="23"/>
  <c r="M390" i="23"/>
  <c r="M391" i="23"/>
  <c r="M392" i="23"/>
  <c r="M393" i="23"/>
  <c r="M394" i="23"/>
  <c r="M395" i="23"/>
  <c r="M396" i="23"/>
  <c r="M397" i="23"/>
  <c r="M398" i="23"/>
  <c r="M399" i="23"/>
  <c r="M400" i="23"/>
  <c r="M401" i="23"/>
  <c r="M402" i="23"/>
  <c r="M403" i="23"/>
  <c r="M404" i="23"/>
  <c r="M405" i="23"/>
  <c r="M406" i="23"/>
  <c r="M407" i="23"/>
  <c r="M408" i="23"/>
  <c r="M409" i="23"/>
  <c r="M410" i="23"/>
  <c r="M411" i="23"/>
  <c r="M412" i="23"/>
  <c r="M413" i="23"/>
  <c r="M414" i="23"/>
  <c r="M415" i="23"/>
  <c r="M416" i="23"/>
  <c r="M417" i="23"/>
  <c r="M418" i="23"/>
  <c r="M419" i="23"/>
  <c r="M420" i="23"/>
  <c r="M421" i="23"/>
  <c r="M422" i="23"/>
  <c r="M423" i="23"/>
  <c r="M424" i="23"/>
  <c r="M425" i="23"/>
  <c r="M426" i="23"/>
  <c r="M427" i="23"/>
  <c r="M428" i="23"/>
  <c r="M429" i="23"/>
  <c r="M430" i="23"/>
  <c r="M431" i="23"/>
  <c r="M432" i="23"/>
  <c r="M433" i="23"/>
  <c r="M434" i="23"/>
  <c r="M435" i="23"/>
  <c r="M436" i="23"/>
  <c r="M437" i="23"/>
  <c r="M438" i="23"/>
  <c r="M439" i="23"/>
  <c r="M440" i="23"/>
  <c r="M441" i="23"/>
  <c r="M442" i="23"/>
  <c r="M443" i="23"/>
  <c r="M444" i="23"/>
  <c r="M445" i="23"/>
  <c r="M446" i="23"/>
  <c r="M447" i="23"/>
  <c r="M448" i="23"/>
  <c r="M449" i="23"/>
  <c r="M450" i="23"/>
  <c r="M451" i="23"/>
  <c r="M452" i="23"/>
  <c r="M453" i="23"/>
  <c r="M454" i="23"/>
  <c r="M455" i="23"/>
  <c r="M456" i="23"/>
  <c r="M457" i="23"/>
  <c r="M458" i="23"/>
  <c r="M459" i="23"/>
  <c r="M460" i="23"/>
  <c r="M461" i="23"/>
  <c r="M462" i="23"/>
  <c r="M463" i="23"/>
  <c r="M464" i="23"/>
  <c r="M465" i="23"/>
  <c r="M466" i="23"/>
  <c r="M467" i="23"/>
  <c r="M468" i="23"/>
  <c r="M469" i="23"/>
  <c r="M470" i="23"/>
  <c r="M471" i="23"/>
  <c r="M472" i="23"/>
  <c r="M473" i="23"/>
  <c r="M474" i="23"/>
  <c r="M475" i="23"/>
  <c r="M476" i="23"/>
  <c r="M477" i="23"/>
  <c r="M478" i="23"/>
  <c r="M479" i="23"/>
  <c r="M480" i="23"/>
  <c r="M481" i="23"/>
  <c r="M482" i="23"/>
  <c r="M483" i="23"/>
  <c r="M484" i="23"/>
  <c r="M485" i="23"/>
  <c r="M486" i="23"/>
  <c r="M487" i="23"/>
  <c r="M488" i="23"/>
  <c r="M489" i="23"/>
  <c r="M490" i="23"/>
  <c r="M491" i="23"/>
  <c r="M492" i="23"/>
  <c r="M493" i="23"/>
  <c r="M494" i="23"/>
  <c r="M495" i="23"/>
  <c r="M496" i="23"/>
  <c r="M497" i="23"/>
  <c r="M498" i="23"/>
  <c r="M499" i="23"/>
  <c r="M500" i="23"/>
  <c r="M501" i="23"/>
  <c r="M502" i="23"/>
  <c r="M503" i="23"/>
  <c r="M504" i="23"/>
  <c r="M505" i="23"/>
  <c r="M506" i="23"/>
  <c r="M507" i="23"/>
  <c r="M508" i="23"/>
  <c r="M509" i="23"/>
  <c r="M510" i="23"/>
  <c r="M511" i="23"/>
  <c r="M512" i="23"/>
  <c r="M513" i="23"/>
  <c r="M514" i="23"/>
  <c r="M515" i="23"/>
  <c r="M516" i="23"/>
  <c r="M517" i="23"/>
  <c r="M518" i="23"/>
  <c r="M519" i="23"/>
  <c r="M520" i="23"/>
  <c r="M521" i="23"/>
  <c r="M522" i="23"/>
  <c r="M523" i="23"/>
  <c r="M524" i="23"/>
  <c r="M525" i="23"/>
  <c r="M526" i="23"/>
  <c r="M527" i="23"/>
  <c r="M528" i="23"/>
  <c r="M529" i="23"/>
  <c r="M530" i="23"/>
  <c r="M531" i="23"/>
  <c r="M532" i="23"/>
  <c r="M533" i="23"/>
  <c r="M534" i="23"/>
  <c r="M535" i="23"/>
  <c r="M536" i="23"/>
  <c r="M537" i="23"/>
  <c r="M538" i="23"/>
  <c r="M539" i="23"/>
  <c r="M540" i="23"/>
  <c r="M541" i="23"/>
  <c r="M542" i="23"/>
  <c r="M543" i="23"/>
  <c r="M544" i="23"/>
  <c r="M545" i="23"/>
  <c r="M546" i="23"/>
  <c r="M547" i="23"/>
  <c r="M548" i="23"/>
  <c r="M549" i="23"/>
  <c r="M550" i="23"/>
  <c r="M551" i="23"/>
  <c r="M552" i="23"/>
  <c r="M553" i="23"/>
  <c r="M554" i="23"/>
  <c r="M555" i="23"/>
  <c r="M556" i="23"/>
  <c r="M557" i="23"/>
  <c r="M558" i="23"/>
  <c r="M559" i="23"/>
  <c r="M560" i="23"/>
  <c r="M561" i="23"/>
  <c r="M562" i="23"/>
  <c r="M563" i="23"/>
  <c r="M564" i="23"/>
  <c r="M565" i="23"/>
  <c r="M566" i="23"/>
  <c r="M567" i="23"/>
  <c r="M568" i="23"/>
  <c r="M569" i="23"/>
  <c r="M570" i="23"/>
  <c r="M571" i="23"/>
  <c r="M572" i="23"/>
  <c r="M573" i="23"/>
  <c r="M574" i="23"/>
  <c r="M575" i="23"/>
  <c r="M576" i="23"/>
  <c r="M577" i="23"/>
  <c r="M578" i="23"/>
  <c r="M579" i="23"/>
  <c r="M580" i="23"/>
  <c r="M581" i="23"/>
  <c r="M582" i="23"/>
  <c r="M583" i="23"/>
  <c r="M584" i="23"/>
  <c r="M585" i="23"/>
  <c r="M586" i="23"/>
  <c r="M587" i="23"/>
  <c r="M588" i="23"/>
  <c r="M589" i="23"/>
  <c r="M590" i="23"/>
  <c r="M591" i="23"/>
  <c r="M592" i="23"/>
  <c r="M593" i="23"/>
  <c r="M594" i="23"/>
  <c r="M595" i="23"/>
  <c r="M596" i="23"/>
  <c r="M597" i="23"/>
  <c r="M598" i="23"/>
  <c r="M599" i="23"/>
  <c r="M600" i="23"/>
  <c r="M601" i="23"/>
  <c r="M602" i="23"/>
  <c r="M603" i="23"/>
  <c r="M604" i="23"/>
  <c r="M605" i="23"/>
  <c r="M606" i="23"/>
  <c r="M607" i="23"/>
  <c r="M608" i="23"/>
  <c r="M609" i="23"/>
  <c r="M610" i="23"/>
  <c r="M611" i="23"/>
  <c r="M612" i="23"/>
  <c r="M613" i="23"/>
  <c r="M614" i="23"/>
  <c r="M615" i="23"/>
  <c r="M616" i="23"/>
  <c r="M617" i="23"/>
  <c r="M618" i="23"/>
  <c r="M619" i="23"/>
  <c r="M620" i="23"/>
  <c r="M621" i="23"/>
  <c r="M622" i="23"/>
  <c r="M623" i="23"/>
  <c r="M624" i="23"/>
  <c r="M625" i="23"/>
  <c r="M626" i="23"/>
  <c r="M627" i="23"/>
  <c r="M628" i="23"/>
  <c r="M629" i="23"/>
  <c r="M630" i="23"/>
  <c r="M631" i="23"/>
  <c r="M632" i="23"/>
  <c r="M633" i="23"/>
  <c r="M634" i="23"/>
  <c r="M635" i="23"/>
  <c r="M636" i="23"/>
  <c r="M637" i="23"/>
  <c r="M638" i="23"/>
  <c r="M639" i="23"/>
  <c r="M640" i="23"/>
  <c r="M641" i="23"/>
  <c r="M642" i="23"/>
  <c r="M643" i="23"/>
  <c r="M644" i="23"/>
  <c r="M645" i="23"/>
  <c r="M646" i="23"/>
  <c r="M647" i="23"/>
  <c r="M648" i="23"/>
  <c r="M649" i="23"/>
  <c r="M650" i="23"/>
  <c r="M651" i="23"/>
  <c r="M652" i="23"/>
  <c r="M653" i="23"/>
  <c r="M654" i="23"/>
  <c r="M655" i="23"/>
  <c r="M656" i="23"/>
  <c r="M657" i="23"/>
  <c r="M658" i="23"/>
  <c r="M659" i="23"/>
  <c r="M660" i="23"/>
  <c r="M661" i="23"/>
  <c r="M662" i="23"/>
  <c r="M663" i="23"/>
  <c r="M664" i="23"/>
  <c r="M665" i="23"/>
  <c r="M666" i="23"/>
  <c r="M667" i="23"/>
  <c r="M668" i="23"/>
  <c r="M669" i="23"/>
  <c r="M670" i="23"/>
  <c r="M671" i="23"/>
  <c r="M672" i="23"/>
  <c r="M673" i="23"/>
  <c r="M674" i="23"/>
  <c r="M675" i="23"/>
  <c r="M676" i="23"/>
  <c r="M677" i="23"/>
  <c r="M678" i="23"/>
  <c r="M679" i="23"/>
  <c r="M680" i="23"/>
  <c r="M681" i="23"/>
  <c r="M682" i="23"/>
  <c r="M683" i="23"/>
  <c r="M684" i="23"/>
  <c r="M685" i="23"/>
  <c r="M686" i="23"/>
  <c r="M687" i="23"/>
  <c r="M688" i="23"/>
  <c r="M689" i="23"/>
  <c r="M690" i="23"/>
  <c r="M691" i="23"/>
  <c r="M692" i="23"/>
  <c r="M693" i="23"/>
  <c r="M694" i="23"/>
  <c r="M695" i="23"/>
  <c r="M696" i="23"/>
  <c r="M697" i="23"/>
  <c r="M698" i="23"/>
  <c r="M699" i="23"/>
  <c r="M700" i="23"/>
  <c r="M701" i="23"/>
  <c r="M702" i="23"/>
  <c r="M703" i="23"/>
  <c r="M704" i="23"/>
  <c r="M705" i="23"/>
  <c r="M706" i="23"/>
  <c r="M707" i="23"/>
  <c r="M708" i="23"/>
  <c r="M709" i="23"/>
  <c r="M710" i="23"/>
  <c r="M711" i="23"/>
  <c r="M712" i="23"/>
  <c r="M713" i="23"/>
  <c r="M714" i="23"/>
  <c r="M715" i="23"/>
  <c r="M716" i="23"/>
  <c r="M717" i="23"/>
  <c r="M718" i="23"/>
  <c r="M719" i="23"/>
  <c r="M720" i="23"/>
  <c r="M721" i="23"/>
  <c r="M722" i="23"/>
  <c r="M723" i="23"/>
  <c r="M724" i="23"/>
  <c r="M725" i="23"/>
  <c r="M726" i="23"/>
  <c r="M727" i="23"/>
  <c r="M728" i="23"/>
  <c r="M729" i="23"/>
  <c r="M730" i="23"/>
  <c r="M731" i="23"/>
  <c r="M732" i="23"/>
  <c r="M733" i="23"/>
  <c r="M734" i="23"/>
  <c r="M735" i="23"/>
  <c r="M736" i="23"/>
  <c r="M737" i="23"/>
  <c r="M738" i="23"/>
  <c r="M739" i="23"/>
  <c r="M740" i="23"/>
  <c r="M741" i="23"/>
  <c r="M742" i="23"/>
  <c r="M743" i="23"/>
  <c r="M744" i="23"/>
  <c r="M745" i="23"/>
  <c r="M746" i="23"/>
  <c r="M747" i="23"/>
  <c r="M748" i="23"/>
  <c r="M749" i="23"/>
  <c r="M750" i="23"/>
  <c r="M751" i="23"/>
  <c r="M752" i="23"/>
  <c r="M753" i="23"/>
  <c r="M754" i="23"/>
  <c r="M755" i="23"/>
  <c r="M756" i="23"/>
  <c r="M757" i="23"/>
  <c r="M758" i="23"/>
  <c r="M759" i="23"/>
  <c r="M760" i="23"/>
  <c r="M761" i="23"/>
  <c r="M762" i="23"/>
  <c r="M763" i="23"/>
  <c r="M764" i="23"/>
  <c r="M765" i="23"/>
  <c r="M766" i="23"/>
  <c r="M767" i="23"/>
  <c r="M768" i="23"/>
  <c r="M769" i="23"/>
  <c r="M770" i="23"/>
  <c r="M771" i="23"/>
  <c r="M772" i="23"/>
  <c r="M773" i="23"/>
  <c r="M774" i="23"/>
  <c r="M775" i="23"/>
  <c r="M776" i="23"/>
  <c r="M777" i="23"/>
  <c r="M778" i="23"/>
  <c r="M779" i="23"/>
  <c r="M780" i="23"/>
  <c r="M781" i="23"/>
  <c r="M782" i="23"/>
  <c r="M783" i="23"/>
  <c r="M784" i="23"/>
  <c r="M785" i="23"/>
  <c r="M786" i="23"/>
  <c r="M787" i="23"/>
  <c r="M788" i="23"/>
  <c r="M789" i="23"/>
  <c r="M790" i="23"/>
  <c r="M791" i="23"/>
  <c r="M792" i="23"/>
  <c r="M793" i="23"/>
  <c r="M794" i="23"/>
  <c r="M795" i="23"/>
  <c r="M796" i="23"/>
  <c r="M797" i="23"/>
  <c r="M798" i="23"/>
  <c r="M799" i="23"/>
  <c r="M800" i="23"/>
  <c r="M801" i="23"/>
  <c r="M802" i="23"/>
  <c r="M803" i="23"/>
  <c r="M804" i="23"/>
  <c r="M805" i="23"/>
  <c r="M806" i="23"/>
  <c r="M807" i="23"/>
  <c r="M808" i="23"/>
  <c r="M809" i="23"/>
  <c r="M810" i="23"/>
  <c r="M811" i="23"/>
  <c r="M812" i="23"/>
  <c r="M813" i="23"/>
  <c r="M814" i="23"/>
  <c r="M815" i="23"/>
  <c r="M816" i="23"/>
  <c r="M817" i="23"/>
  <c r="M818" i="23"/>
  <c r="M819" i="23"/>
  <c r="M820" i="23"/>
  <c r="M821" i="23"/>
  <c r="M822" i="23"/>
  <c r="M823" i="23"/>
  <c r="M824" i="23"/>
  <c r="M825" i="23"/>
  <c r="M826" i="23"/>
  <c r="M827" i="23"/>
  <c r="M828" i="23"/>
  <c r="M829" i="23"/>
  <c r="M830" i="23"/>
  <c r="M831" i="23"/>
  <c r="M832" i="23"/>
  <c r="M833" i="23"/>
  <c r="M834" i="23"/>
  <c r="M835" i="23"/>
  <c r="M836" i="23"/>
  <c r="M837" i="23"/>
  <c r="M838" i="23"/>
  <c r="M839" i="23"/>
  <c r="M840" i="23"/>
  <c r="M841" i="23"/>
  <c r="M842" i="23"/>
  <c r="M843" i="23"/>
  <c r="M844" i="23"/>
  <c r="M845" i="23"/>
  <c r="M846" i="23"/>
  <c r="M847" i="23"/>
  <c r="M848" i="23"/>
  <c r="M849" i="23"/>
  <c r="M850" i="23"/>
  <c r="M851" i="23"/>
  <c r="M852" i="23"/>
  <c r="M853" i="23"/>
  <c r="M854" i="23"/>
  <c r="M855" i="23"/>
  <c r="M856" i="23"/>
  <c r="M857" i="23"/>
  <c r="M858" i="23"/>
  <c r="M859" i="23"/>
  <c r="M860" i="23"/>
  <c r="M861" i="23"/>
  <c r="M862" i="23"/>
  <c r="M863" i="23"/>
  <c r="M864" i="23"/>
  <c r="M865" i="23"/>
  <c r="M866" i="23"/>
  <c r="M867" i="23"/>
  <c r="M868" i="23"/>
  <c r="M869" i="23"/>
  <c r="M870" i="23"/>
  <c r="M871" i="23"/>
  <c r="M872" i="23"/>
  <c r="M873" i="23"/>
  <c r="M874" i="23"/>
  <c r="M875" i="23"/>
  <c r="M876" i="23"/>
  <c r="M877" i="23"/>
  <c r="M878" i="23"/>
  <c r="M879" i="23"/>
  <c r="M880" i="23"/>
  <c r="M881" i="23"/>
  <c r="M882" i="23"/>
  <c r="M883" i="23"/>
  <c r="M884" i="23"/>
  <c r="M885" i="23"/>
  <c r="M886" i="23"/>
  <c r="M887" i="23"/>
  <c r="M888" i="23"/>
  <c r="M889" i="23"/>
  <c r="M890" i="23"/>
  <c r="M891" i="23"/>
  <c r="M892" i="23"/>
  <c r="M893" i="23"/>
  <c r="M894" i="23"/>
  <c r="M895" i="23"/>
  <c r="M896" i="23"/>
  <c r="M897" i="23"/>
  <c r="M898" i="23"/>
  <c r="M899" i="23"/>
  <c r="M900" i="23"/>
  <c r="M901" i="23"/>
  <c r="M902" i="23"/>
  <c r="M903" i="23"/>
  <c r="M904" i="23"/>
  <c r="M905" i="23"/>
  <c r="M906" i="23"/>
  <c r="M907" i="23"/>
  <c r="M908" i="23"/>
  <c r="M909" i="23"/>
  <c r="M910" i="23"/>
  <c r="M911" i="23"/>
  <c r="M912" i="23"/>
  <c r="M913" i="23"/>
  <c r="M914" i="23"/>
  <c r="M915" i="23"/>
  <c r="M916" i="23"/>
  <c r="M917" i="23"/>
  <c r="M918" i="23"/>
  <c r="M919" i="23"/>
  <c r="M920" i="23"/>
  <c r="M921" i="23"/>
  <c r="M922" i="23"/>
  <c r="M923" i="23"/>
  <c r="M924" i="23"/>
  <c r="M925" i="23"/>
  <c r="M926" i="23"/>
  <c r="M927" i="23"/>
  <c r="M928" i="23"/>
  <c r="M929" i="23"/>
  <c r="M930" i="23"/>
  <c r="M931" i="23"/>
  <c r="M932" i="23"/>
  <c r="M933" i="23"/>
  <c r="M934" i="23"/>
  <c r="M935" i="23"/>
  <c r="M936" i="23"/>
  <c r="M937" i="23"/>
  <c r="M938" i="23"/>
  <c r="M939" i="23"/>
  <c r="M940" i="23"/>
  <c r="M941" i="23"/>
  <c r="M942" i="23"/>
  <c r="M943" i="23"/>
  <c r="M944" i="23"/>
  <c r="M945" i="23"/>
  <c r="M946" i="23"/>
  <c r="M947" i="23"/>
  <c r="M948" i="23"/>
  <c r="M949" i="23"/>
  <c r="M950" i="23"/>
  <c r="M951" i="23"/>
  <c r="M952" i="23"/>
  <c r="M953" i="23"/>
  <c r="M954" i="23"/>
  <c r="M955" i="23"/>
  <c r="M956" i="23"/>
  <c r="M957" i="23"/>
  <c r="M958" i="23"/>
  <c r="M959" i="23"/>
  <c r="M960" i="23"/>
  <c r="M961" i="23"/>
  <c r="M962" i="23"/>
  <c r="M963" i="23"/>
  <c r="M964" i="23"/>
  <c r="M965" i="23"/>
  <c r="M966" i="23"/>
  <c r="M967" i="23"/>
  <c r="M968" i="23"/>
  <c r="M969" i="23"/>
  <c r="M970" i="23"/>
  <c r="M971" i="23"/>
  <c r="M972" i="23"/>
  <c r="M973" i="23"/>
  <c r="M974" i="23"/>
  <c r="M975" i="23"/>
  <c r="M976" i="23"/>
  <c r="M977" i="23"/>
  <c r="M978" i="23"/>
  <c r="M979" i="23"/>
  <c r="M980" i="23"/>
  <c r="M981" i="23"/>
  <c r="M982" i="23"/>
  <c r="M983" i="23"/>
  <c r="M984" i="23"/>
  <c r="M985" i="23"/>
  <c r="M986" i="23"/>
  <c r="M987" i="23"/>
  <c r="M988" i="23"/>
  <c r="M989" i="23"/>
  <c r="M990" i="23"/>
  <c r="M991" i="23"/>
  <c r="M992" i="23"/>
  <c r="M993" i="23"/>
  <c r="M994" i="23"/>
  <c r="M995" i="23"/>
  <c r="M996" i="23"/>
  <c r="M997" i="23"/>
  <c r="M998" i="23"/>
  <c r="M999" i="23"/>
  <c r="M1000" i="23"/>
  <c r="M1001" i="23"/>
  <c r="M1002" i="23"/>
  <c r="M1003" i="23"/>
  <c r="M1004" i="23"/>
  <c r="M1005" i="23"/>
  <c r="M1006" i="23"/>
  <c r="M1007" i="23"/>
  <c r="M1008" i="23"/>
  <c r="M1009" i="23"/>
  <c r="M1010" i="23"/>
  <c r="M1011" i="23"/>
  <c r="M1012" i="23"/>
  <c r="M1013" i="23"/>
  <c r="M1014" i="23"/>
  <c r="M1015" i="23"/>
  <c r="M1016" i="23"/>
  <c r="M1017" i="23"/>
  <c r="M1018" i="23"/>
  <c r="M1019" i="23"/>
  <c r="M1020" i="23"/>
  <c r="M1021" i="23"/>
  <c r="M1022" i="23"/>
  <c r="M1023" i="23"/>
  <c r="M1024" i="23"/>
  <c r="M1025" i="23"/>
  <c r="M1026" i="23"/>
  <c r="M1027" i="23"/>
  <c r="M1028" i="23"/>
  <c r="M1029" i="23"/>
  <c r="M1030" i="23"/>
  <c r="M1031" i="23"/>
  <c r="M1032" i="23"/>
  <c r="M1033" i="23"/>
  <c r="M1034" i="23"/>
  <c r="M1035" i="23"/>
  <c r="M1036" i="23"/>
  <c r="M1037" i="23"/>
  <c r="M1038" i="23"/>
  <c r="M1039" i="23"/>
  <c r="M1040" i="23"/>
  <c r="M1041" i="23"/>
  <c r="M1042" i="23"/>
  <c r="M1043" i="23"/>
  <c r="M1044" i="23"/>
  <c r="M1045" i="23"/>
  <c r="M1046" i="23"/>
  <c r="M1047" i="23"/>
  <c r="M1048" i="23"/>
  <c r="M1049" i="23"/>
  <c r="M1050" i="23"/>
  <c r="M1051" i="23"/>
  <c r="M1052" i="23"/>
  <c r="M1053" i="23"/>
  <c r="M1054" i="23"/>
  <c r="M1055" i="23"/>
  <c r="M1056" i="23"/>
  <c r="M1057" i="23"/>
  <c r="M1058" i="23"/>
  <c r="M1059" i="23"/>
  <c r="M1060" i="23"/>
  <c r="M1061" i="23"/>
  <c r="M1062" i="23"/>
  <c r="M1063" i="23"/>
  <c r="M1064" i="23"/>
  <c r="M1065" i="23"/>
  <c r="M1066" i="23"/>
  <c r="M1067" i="23"/>
  <c r="M1068" i="23"/>
  <c r="M1069" i="23"/>
  <c r="M1070" i="23"/>
  <c r="M1071" i="23"/>
  <c r="M1072" i="23"/>
  <c r="M1073" i="23"/>
  <c r="M1074" i="23"/>
  <c r="M1075" i="23"/>
  <c r="M1076" i="23"/>
  <c r="M1077" i="23"/>
  <c r="M1078" i="23"/>
  <c r="M1079" i="23"/>
  <c r="M1080" i="23"/>
  <c r="M1081" i="23"/>
  <c r="M1082" i="23"/>
  <c r="M1083" i="23"/>
  <c r="M1084" i="23"/>
  <c r="M1085" i="23"/>
  <c r="M1086" i="23"/>
  <c r="M1087" i="23"/>
  <c r="M1088" i="23"/>
  <c r="M1089" i="23"/>
  <c r="M1090" i="23"/>
  <c r="M1091" i="23"/>
  <c r="M1092" i="23"/>
  <c r="M1093" i="23"/>
  <c r="M1094" i="23"/>
  <c r="M1095" i="23"/>
  <c r="M1096" i="23"/>
  <c r="M1097" i="23"/>
  <c r="M1098" i="23"/>
  <c r="M1099" i="23"/>
  <c r="M1100" i="23"/>
  <c r="M1101" i="23"/>
  <c r="M1102" i="23"/>
  <c r="M1103" i="23"/>
  <c r="M1104" i="23"/>
  <c r="M1105" i="23"/>
  <c r="M1106" i="23"/>
  <c r="M1107" i="23"/>
  <c r="M1108" i="23"/>
  <c r="M1109" i="23"/>
  <c r="M1110" i="23"/>
  <c r="M1111" i="23"/>
  <c r="M1112" i="23"/>
  <c r="M1113" i="23"/>
  <c r="M1114" i="23"/>
  <c r="M1115" i="23"/>
  <c r="M1116" i="23"/>
  <c r="M1117" i="23"/>
  <c r="M1118" i="23"/>
  <c r="M1119" i="23"/>
  <c r="M1120" i="23"/>
  <c r="M1121" i="23"/>
  <c r="M1122" i="23"/>
  <c r="M1123" i="23"/>
  <c r="M1124" i="23"/>
  <c r="M1125" i="23"/>
  <c r="M1126" i="23"/>
  <c r="M1127" i="23"/>
  <c r="M1128" i="23"/>
  <c r="M1129" i="23"/>
  <c r="M1130" i="23"/>
  <c r="M1131" i="23"/>
  <c r="M1132" i="23"/>
  <c r="M1133" i="23"/>
  <c r="M1134" i="23"/>
  <c r="M1135" i="23"/>
  <c r="M1136" i="23"/>
  <c r="M1137" i="23"/>
  <c r="M1138" i="23"/>
  <c r="M1139" i="23"/>
  <c r="M1140" i="23"/>
  <c r="M1141" i="23"/>
  <c r="M1142" i="23"/>
  <c r="M1143" i="23"/>
  <c r="M1144" i="23"/>
  <c r="M1145" i="23"/>
  <c r="M1146" i="23"/>
  <c r="M1147" i="23"/>
  <c r="M1148" i="23"/>
  <c r="M1149" i="23"/>
  <c r="M1150" i="23"/>
  <c r="M1151" i="23"/>
  <c r="M1152" i="23"/>
  <c r="M1153" i="23"/>
  <c r="M1154" i="23"/>
  <c r="M1155" i="23"/>
  <c r="M1156" i="23"/>
  <c r="M1157" i="23"/>
  <c r="M1158" i="23"/>
  <c r="M1159" i="23"/>
  <c r="M1160" i="23"/>
  <c r="M1161" i="23"/>
  <c r="M1162" i="23"/>
  <c r="M1163" i="23"/>
  <c r="M1164" i="23"/>
  <c r="M1165" i="23"/>
  <c r="M1166" i="23"/>
  <c r="M1167" i="23"/>
  <c r="M1168" i="23"/>
  <c r="M1169" i="23"/>
  <c r="M1170" i="23"/>
  <c r="M1171" i="23"/>
  <c r="M1172" i="23"/>
  <c r="M1173" i="23"/>
  <c r="M1174" i="23"/>
  <c r="M1175" i="23"/>
  <c r="M1176" i="23"/>
  <c r="M1177" i="23"/>
  <c r="M1178" i="23"/>
  <c r="M1179" i="23"/>
  <c r="M1180" i="23"/>
  <c r="M1181" i="23"/>
  <c r="M1182" i="23"/>
  <c r="M1183" i="23"/>
  <c r="M1184" i="23"/>
  <c r="M1185" i="23"/>
  <c r="M1186" i="23"/>
  <c r="M1187" i="23"/>
  <c r="M1188" i="23"/>
  <c r="M1189" i="23"/>
  <c r="M1190" i="23"/>
  <c r="M1191" i="23"/>
  <c r="M1192" i="23"/>
  <c r="M1193" i="23"/>
  <c r="M1194" i="23"/>
  <c r="M1195" i="23"/>
  <c r="M1196" i="23"/>
  <c r="M1197" i="23"/>
  <c r="M1198" i="23"/>
  <c r="M1199" i="23"/>
  <c r="M1200" i="23"/>
  <c r="M1201" i="23"/>
  <c r="M1202" i="23"/>
  <c r="M1203" i="23"/>
  <c r="M1204" i="23"/>
  <c r="M1205" i="23"/>
  <c r="M1206" i="23"/>
  <c r="M1207" i="23"/>
  <c r="M1208" i="23"/>
  <c r="M1209" i="23"/>
  <c r="M1210" i="23"/>
  <c r="M1211" i="23"/>
  <c r="M1212" i="23"/>
  <c r="M1213" i="23"/>
  <c r="M1214" i="23"/>
  <c r="M1215" i="23"/>
  <c r="M1216" i="23"/>
  <c r="M1217" i="23"/>
  <c r="M1218" i="23"/>
  <c r="M1219" i="23"/>
  <c r="M1220" i="23"/>
  <c r="M1221" i="23"/>
  <c r="M1222" i="23"/>
  <c r="M1223" i="23"/>
  <c r="M1224" i="23"/>
  <c r="M1225" i="23"/>
  <c r="M1226" i="23"/>
  <c r="M1227" i="23"/>
  <c r="M1228" i="23"/>
  <c r="M1229" i="23"/>
  <c r="M1230" i="23"/>
  <c r="M1231" i="23"/>
  <c r="M1232" i="23"/>
  <c r="M1233" i="23"/>
  <c r="M1234" i="23"/>
  <c r="M1235" i="23"/>
  <c r="M1236" i="23"/>
  <c r="M1237" i="23"/>
  <c r="M1238" i="23"/>
  <c r="M1239" i="23"/>
  <c r="M1240" i="23"/>
  <c r="M1241" i="23"/>
  <c r="M1242" i="23"/>
  <c r="M1243" i="23"/>
  <c r="M1244" i="23"/>
  <c r="M1245" i="23"/>
  <c r="M1246" i="23"/>
  <c r="M1247" i="23"/>
  <c r="M1248" i="23"/>
  <c r="M1249" i="23"/>
  <c r="M1250" i="23"/>
  <c r="M1251" i="23"/>
  <c r="M1252" i="23"/>
  <c r="M1253" i="23"/>
  <c r="M1254" i="23"/>
  <c r="M1255" i="23"/>
  <c r="M1256" i="23"/>
  <c r="M1257" i="23"/>
  <c r="M1258" i="23"/>
  <c r="M1259" i="23"/>
  <c r="M1260" i="23"/>
  <c r="M1261" i="23"/>
  <c r="M1262" i="23"/>
  <c r="M1263" i="23"/>
  <c r="M1264" i="23"/>
  <c r="M1265" i="23"/>
  <c r="M1266" i="23"/>
  <c r="M1267" i="23"/>
  <c r="M1268" i="23"/>
  <c r="M1269" i="23"/>
  <c r="M1270" i="23"/>
  <c r="M1271" i="23"/>
  <c r="M1272" i="23"/>
  <c r="M1273" i="23"/>
  <c r="M1274" i="23"/>
  <c r="M1275" i="23"/>
  <c r="M1276" i="23"/>
  <c r="M1277" i="23"/>
  <c r="M1278" i="23"/>
  <c r="M1279" i="23"/>
  <c r="M1280" i="23"/>
  <c r="M1281" i="23"/>
  <c r="M1282" i="23"/>
  <c r="M1283" i="23"/>
  <c r="M1284" i="23"/>
  <c r="M1285" i="23"/>
  <c r="M1286" i="23"/>
  <c r="M1287" i="23"/>
  <c r="M1288" i="23"/>
  <c r="M1289" i="23"/>
  <c r="M1290" i="23"/>
  <c r="M1291" i="23"/>
  <c r="M1292" i="23"/>
  <c r="M1293" i="23"/>
  <c r="M1294" i="23"/>
  <c r="M1295" i="23"/>
  <c r="M1296" i="23"/>
  <c r="M1297" i="23"/>
  <c r="M1298" i="23"/>
  <c r="M1299" i="23"/>
  <c r="M1300" i="23"/>
  <c r="M1301" i="23"/>
  <c r="M1302" i="23"/>
  <c r="M1303" i="23"/>
  <c r="M1304" i="23"/>
  <c r="M1305" i="23"/>
  <c r="M1306" i="23"/>
  <c r="M1307" i="23"/>
  <c r="M1308" i="23"/>
  <c r="M1309" i="23"/>
  <c r="M1310" i="23"/>
  <c r="M1311" i="23"/>
  <c r="M1312" i="23"/>
  <c r="M1313" i="23"/>
  <c r="M1314" i="23"/>
  <c r="M1315" i="23"/>
  <c r="M1316" i="23"/>
  <c r="M1317" i="23"/>
  <c r="M1318" i="23"/>
  <c r="M1319" i="23"/>
  <c r="M1320" i="23"/>
  <c r="M1321" i="23"/>
  <c r="M1322" i="23"/>
  <c r="M1323" i="23"/>
  <c r="M1324" i="23"/>
  <c r="M1325" i="23"/>
  <c r="M1326" i="23"/>
  <c r="M1327" i="23"/>
  <c r="M1328" i="23"/>
  <c r="M1329" i="23"/>
  <c r="M1330" i="23"/>
  <c r="M1331" i="23"/>
  <c r="M1332" i="23"/>
  <c r="M1333" i="23"/>
  <c r="M1334" i="23"/>
  <c r="M1335" i="23"/>
  <c r="M1336" i="23"/>
  <c r="M1337" i="23"/>
  <c r="M1338" i="23"/>
  <c r="M1339" i="23"/>
  <c r="M1340" i="23"/>
  <c r="M1341" i="23"/>
  <c r="M1342" i="23"/>
  <c r="M1343" i="23"/>
  <c r="M1344" i="23"/>
  <c r="M1345" i="23"/>
  <c r="M1346" i="23"/>
  <c r="M1347" i="23"/>
  <c r="M1348" i="23"/>
  <c r="M1349" i="23"/>
  <c r="M1350" i="23"/>
  <c r="M1351" i="23"/>
  <c r="M1352" i="23"/>
  <c r="M1353" i="23"/>
  <c r="M1354" i="23"/>
  <c r="M1355" i="23"/>
  <c r="M1356" i="23"/>
  <c r="M1357" i="23"/>
  <c r="M1358" i="23"/>
  <c r="M1359" i="23"/>
  <c r="M1360" i="23"/>
  <c r="M1361" i="23"/>
  <c r="M1362" i="23"/>
  <c r="M1363" i="23"/>
  <c r="M1364" i="23"/>
  <c r="M1365" i="23"/>
  <c r="M1366" i="23"/>
  <c r="M1367" i="23"/>
  <c r="M1368" i="23"/>
  <c r="M1369" i="23"/>
  <c r="M1370" i="23"/>
  <c r="M1371" i="23"/>
  <c r="M1372" i="23"/>
  <c r="M1373" i="23"/>
  <c r="M1374" i="23"/>
  <c r="M1375" i="23"/>
  <c r="M1376" i="23"/>
  <c r="M1377" i="23"/>
  <c r="M1378" i="23"/>
  <c r="M1379" i="23"/>
  <c r="M1380" i="23"/>
  <c r="M1381" i="23"/>
  <c r="M1382" i="23"/>
  <c r="M1383" i="23"/>
  <c r="M1384" i="23"/>
  <c r="M1385" i="23"/>
  <c r="M1386" i="23"/>
  <c r="M1387" i="23"/>
  <c r="M1388" i="23"/>
  <c r="M1389" i="23"/>
  <c r="M1390" i="23"/>
  <c r="M1391" i="23"/>
  <c r="M1392" i="23"/>
  <c r="M1393" i="23"/>
  <c r="M1394" i="23"/>
  <c r="M1395" i="23"/>
  <c r="M1396" i="23"/>
  <c r="M1397" i="23"/>
  <c r="M1398" i="23"/>
  <c r="M1399" i="23"/>
  <c r="M1400" i="23"/>
  <c r="M1401" i="23"/>
  <c r="M1402" i="23"/>
  <c r="M1403" i="23"/>
  <c r="M1404" i="23"/>
  <c r="M1405" i="23"/>
  <c r="M1406" i="23"/>
  <c r="M1407" i="23"/>
  <c r="M1408" i="23"/>
  <c r="M1409" i="23"/>
  <c r="M1410" i="23"/>
  <c r="M1411" i="23"/>
  <c r="M1412" i="23"/>
  <c r="M1413" i="23"/>
  <c r="M1414" i="23"/>
  <c r="M1415" i="23"/>
  <c r="M1416" i="23"/>
  <c r="M1417" i="23"/>
  <c r="M1418" i="23"/>
  <c r="M1419" i="23"/>
  <c r="M1420" i="23"/>
  <c r="M1421" i="23"/>
  <c r="M1422" i="23"/>
  <c r="M1423" i="23"/>
  <c r="M1424" i="23"/>
  <c r="M1425" i="23"/>
  <c r="M1426" i="23"/>
  <c r="M1427" i="23"/>
  <c r="M1428" i="23"/>
  <c r="M1429" i="23"/>
  <c r="M1430" i="23"/>
  <c r="M1431" i="23"/>
  <c r="M1432" i="23"/>
  <c r="M1433" i="23"/>
  <c r="M1434" i="23"/>
  <c r="M1435" i="23"/>
  <c r="M1436" i="23"/>
  <c r="M1437" i="23"/>
  <c r="M1438" i="23"/>
  <c r="M1439" i="23"/>
  <c r="M1440" i="23"/>
  <c r="M1441" i="23"/>
  <c r="M1442" i="23"/>
  <c r="M1443" i="23"/>
  <c r="M1444" i="23"/>
  <c r="M1445" i="23"/>
  <c r="M1446" i="23"/>
  <c r="M1447" i="23"/>
  <c r="M1448" i="23"/>
  <c r="M1449" i="23"/>
  <c r="M1450" i="23"/>
  <c r="M1451" i="23"/>
  <c r="M1452" i="23"/>
  <c r="M1453" i="23"/>
  <c r="M1454" i="23"/>
  <c r="M1455" i="23"/>
  <c r="M1456" i="23"/>
  <c r="M1457" i="23"/>
  <c r="M1458" i="23"/>
  <c r="M1459" i="23"/>
  <c r="M1460" i="23"/>
  <c r="M1461" i="23"/>
  <c r="M1462" i="23"/>
  <c r="M1463" i="23"/>
  <c r="M1464" i="23"/>
  <c r="M1465" i="23"/>
  <c r="M1466" i="23"/>
  <c r="M1467" i="23"/>
  <c r="M1468" i="23"/>
  <c r="M1469" i="23"/>
  <c r="M1470" i="23"/>
  <c r="M1471" i="23"/>
  <c r="M1472" i="23"/>
  <c r="M1473" i="23"/>
  <c r="M1474" i="23"/>
  <c r="M1475" i="23"/>
  <c r="M1476" i="23"/>
  <c r="M1477" i="23"/>
  <c r="M1478" i="23"/>
  <c r="M1479" i="23"/>
  <c r="M1480" i="23"/>
  <c r="M1481" i="23"/>
  <c r="M1482" i="23"/>
  <c r="M1483" i="23"/>
  <c r="M1484" i="23"/>
  <c r="M1485" i="23"/>
  <c r="M1486" i="23"/>
  <c r="M1487" i="23"/>
  <c r="M1488" i="23"/>
  <c r="M1489" i="23"/>
  <c r="M1490" i="23"/>
  <c r="M1491" i="23"/>
  <c r="M1492" i="23"/>
  <c r="M1493" i="23"/>
  <c r="M1494" i="23"/>
  <c r="M1495" i="23"/>
  <c r="M1496" i="23"/>
  <c r="M1497" i="23"/>
  <c r="M1498" i="23"/>
  <c r="M1499" i="23"/>
  <c r="M1500" i="23"/>
  <c r="M1501" i="23"/>
  <c r="M1502" i="23"/>
  <c r="M1503" i="23"/>
  <c r="M1504" i="23"/>
  <c r="M1505" i="23"/>
  <c r="M1506" i="23"/>
  <c r="M1507" i="23"/>
  <c r="M1508" i="23"/>
  <c r="M1509" i="23"/>
  <c r="M1510" i="23"/>
  <c r="M1511" i="23"/>
  <c r="M1512" i="23"/>
  <c r="M1513" i="23"/>
  <c r="M1514" i="23"/>
  <c r="M1515" i="23"/>
  <c r="M1516" i="23"/>
  <c r="M1517" i="23"/>
  <c r="M1518" i="23"/>
  <c r="M1519" i="23"/>
  <c r="M1520" i="23"/>
  <c r="M1521" i="23"/>
  <c r="M1522" i="23"/>
  <c r="M1523" i="23"/>
  <c r="M1524" i="23"/>
  <c r="M1525" i="23"/>
  <c r="M1526" i="23"/>
  <c r="M1527" i="23"/>
  <c r="M1528" i="23"/>
  <c r="M1529" i="23"/>
  <c r="M1530" i="23"/>
  <c r="M1531" i="23"/>
  <c r="M1532" i="23"/>
  <c r="M1533" i="23"/>
  <c r="M1534" i="23"/>
  <c r="M1535" i="23"/>
  <c r="M1536" i="23"/>
  <c r="M1537" i="23"/>
  <c r="M1538" i="23"/>
  <c r="M1539" i="23"/>
  <c r="M1540" i="23"/>
  <c r="M1541" i="23"/>
  <c r="M1542" i="23"/>
  <c r="M1543" i="23"/>
  <c r="M1544" i="23"/>
  <c r="M1545" i="23"/>
  <c r="M1546" i="23"/>
  <c r="M1547" i="23"/>
  <c r="M1548" i="23"/>
  <c r="M1549" i="23"/>
  <c r="M1550" i="23"/>
  <c r="M1551" i="23"/>
  <c r="M1552" i="23"/>
  <c r="M1553" i="23"/>
  <c r="M1554" i="23"/>
  <c r="M1555" i="23"/>
  <c r="M1556" i="23"/>
  <c r="M1557" i="23"/>
  <c r="M1558" i="23"/>
  <c r="M1559" i="23"/>
  <c r="M1560" i="23"/>
  <c r="M1561" i="23"/>
  <c r="M1562" i="23"/>
  <c r="M1563" i="23"/>
  <c r="M1564" i="23"/>
  <c r="M1565" i="23"/>
  <c r="M1566" i="23"/>
  <c r="M1567" i="23"/>
  <c r="M1568" i="23"/>
  <c r="M1569" i="23"/>
  <c r="M1570" i="23"/>
  <c r="M1571" i="23"/>
  <c r="M1572" i="23"/>
  <c r="M1573" i="23"/>
  <c r="M1574" i="23"/>
  <c r="M1575" i="23"/>
  <c r="M1576" i="23"/>
  <c r="M1577" i="23"/>
  <c r="M1578" i="23"/>
  <c r="M1579" i="23"/>
  <c r="M1580" i="23"/>
  <c r="M1581" i="23"/>
  <c r="M1582" i="23"/>
  <c r="M1583" i="23"/>
  <c r="M1584" i="23"/>
  <c r="M1585" i="23"/>
  <c r="M1586" i="23"/>
  <c r="M1587" i="23"/>
  <c r="M1588" i="23"/>
  <c r="M1589" i="23"/>
  <c r="M1590" i="23"/>
  <c r="M1591" i="23"/>
  <c r="M1592" i="23"/>
  <c r="M1593" i="23"/>
  <c r="M1594" i="23"/>
  <c r="M1595" i="23"/>
  <c r="M1596" i="23"/>
  <c r="M1597" i="23"/>
  <c r="M1598" i="23"/>
  <c r="M1599" i="23"/>
  <c r="M1600" i="23"/>
  <c r="M1601" i="23"/>
  <c r="M1602" i="23"/>
  <c r="M1603" i="23"/>
  <c r="M1604" i="23"/>
  <c r="M1605" i="23"/>
  <c r="M1606" i="23"/>
  <c r="M1607" i="23"/>
  <c r="M1608" i="23"/>
  <c r="M1609" i="23"/>
  <c r="M1610" i="23"/>
  <c r="M1611" i="23"/>
  <c r="M1612" i="23"/>
  <c r="M1613" i="23"/>
  <c r="M1614" i="23"/>
  <c r="M1615" i="23"/>
  <c r="M1616" i="23"/>
  <c r="M1617" i="23"/>
  <c r="M1618" i="23"/>
  <c r="M1619" i="23"/>
  <c r="M1620" i="23"/>
  <c r="M1621" i="23"/>
  <c r="M1622" i="23"/>
  <c r="M1623" i="23"/>
  <c r="M1624" i="23"/>
  <c r="M1625" i="23"/>
  <c r="M1626" i="23"/>
  <c r="M1627" i="23"/>
  <c r="M1628" i="23"/>
  <c r="M1629" i="23"/>
  <c r="M1630" i="23"/>
  <c r="M1631" i="23"/>
  <c r="M1632" i="23"/>
  <c r="M1633" i="23"/>
  <c r="M1634" i="23"/>
  <c r="M1635" i="23"/>
  <c r="M1636" i="23"/>
  <c r="M1637" i="23"/>
  <c r="M1638" i="23"/>
  <c r="M1639" i="23"/>
  <c r="M1640" i="23"/>
  <c r="M1641" i="23"/>
  <c r="M1642" i="23"/>
  <c r="M1643" i="23"/>
  <c r="M1644" i="23"/>
  <c r="M1645" i="23"/>
  <c r="M1646" i="23"/>
  <c r="M1647" i="23"/>
  <c r="M1648" i="23"/>
  <c r="M1649" i="23"/>
  <c r="M1650" i="23"/>
  <c r="M1651" i="23"/>
  <c r="M1652" i="23"/>
  <c r="M1653" i="23"/>
  <c r="M1654" i="23"/>
  <c r="M1655" i="23"/>
  <c r="M1656" i="23"/>
  <c r="M1657" i="23"/>
  <c r="M1658" i="23"/>
  <c r="M1659" i="23"/>
  <c r="M1660" i="23"/>
  <c r="M1661" i="23"/>
  <c r="M1662" i="23"/>
  <c r="M1663" i="23"/>
  <c r="M1664" i="23"/>
  <c r="M1665" i="23"/>
  <c r="M1666" i="23"/>
  <c r="M1667" i="23"/>
  <c r="M1668" i="23"/>
  <c r="M1669" i="23"/>
  <c r="M1670" i="23"/>
  <c r="M1671" i="23"/>
  <c r="M1672" i="23"/>
  <c r="M1673" i="23"/>
  <c r="M1674" i="23"/>
  <c r="M1675" i="23"/>
  <c r="M1676" i="23"/>
  <c r="M1677" i="23"/>
  <c r="M1678" i="23"/>
  <c r="M1679" i="23"/>
  <c r="M1680" i="23"/>
  <c r="M1681" i="23"/>
  <c r="M1682" i="23"/>
  <c r="M1683" i="23"/>
  <c r="M1684" i="23"/>
  <c r="M1685" i="23"/>
  <c r="M1686" i="23"/>
  <c r="M1687" i="23"/>
  <c r="M1688" i="23"/>
  <c r="M1689" i="23"/>
  <c r="M1690" i="23"/>
  <c r="M1691" i="23"/>
  <c r="M1692" i="23"/>
  <c r="M1693" i="23"/>
  <c r="M1694" i="23"/>
  <c r="M1695" i="23"/>
  <c r="M1696" i="23"/>
  <c r="M1697" i="23"/>
  <c r="M1698" i="23"/>
  <c r="M1699" i="23"/>
  <c r="M1700" i="23"/>
  <c r="M1701" i="23"/>
  <c r="M1702" i="23"/>
  <c r="M1703" i="23"/>
  <c r="M1704" i="23"/>
  <c r="M1705" i="23"/>
  <c r="M1706" i="23"/>
  <c r="M1707" i="23"/>
  <c r="M1708" i="23"/>
  <c r="M1709" i="23"/>
  <c r="M1710" i="23"/>
  <c r="M1711" i="23"/>
  <c r="M1712" i="23"/>
  <c r="M1713" i="23"/>
  <c r="M1714" i="23"/>
  <c r="M1715" i="23"/>
  <c r="M1716" i="23"/>
  <c r="M1717" i="23"/>
  <c r="M1718" i="23"/>
  <c r="M1719" i="23"/>
  <c r="M1720" i="23"/>
  <c r="M1721" i="23"/>
  <c r="M1722" i="23"/>
  <c r="M1723" i="23"/>
  <c r="M1724" i="23"/>
  <c r="M1725" i="23"/>
  <c r="M1726" i="23"/>
  <c r="M1727" i="23"/>
  <c r="M1728" i="23"/>
  <c r="M1729" i="23"/>
  <c r="M1730" i="23"/>
  <c r="M1731" i="23"/>
  <c r="M1732" i="23"/>
  <c r="M1733" i="23"/>
  <c r="M1734" i="23"/>
  <c r="M1735" i="23"/>
  <c r="M1736" i="23"/>
  <c r="M1737" i="23"/>
  <c r="M1738" i="23"/>
  <c r="M1739" i="23"/>
  <c r="M1740" i="23"/>
  <c r="M1741" i="23"/>
  <c r="M1742" i="23"/>
  <c r="M1743" i="23"/>
  <c r="M1744" i="23"/>
  <c r="M1745" i="23"/>
  <c r="M1746" i="23"/>
  <c r="M1747" i="23"/>
  <c r="M1748" i="23"/>
  <c r="M1749" i="23"/>
  <c r="M1750" i="23"/>
  <c r="M1751" i="23"/>
  <c r="M1752" i="23"/>
  <c r="M1753" i="23"/>
  <c r="M1754" i="23"/>
  <c r="M1755" i="23"/>
  <c r="M1756" i="23"/>
  <c r="M1757" i="23"/>
  <c r="M1758" i="23"/>
  <c r="M1759" i="23"/>
  <c r="M1760" i="23"/>
  <c r="M1761" i="23"/>
  <c r="M1762" i="23"/>
  <c r="M1763" i="23"/>
  <c r="M1764" i="23"/>
  <c r="M1765" i="23"/>
  <c r="M1766" i="23"/>
  <c r="M1767" i="23"/>
  <c r="M1768" i="23"/>
  <c r="M1769" i="23"/>
  <c r="M1770" i="23"/>
  <c r="M1771" i="23"/>
  <c r="M1772" i="23"/>
  <c r="M1773" i="23"/>
  <c r="M1774" i="23"/>
  <c r="M1775" i="23"/>
  <c r="M1776" i="23"/>
  <c r="M1777" i="23"/>
  <c r="M1778" i="23"/>
  <c r="M1779" i="23"/>
  <c r="M1780" i="23"/>
  <c r="M1781" i="23"/>
  <c r="M1782" i="23"/>
  <c r="M1783" i="23"/>
  <c r="M1784" i="23"/>
  <c r="M1785" i="23"/>
  <c r="M1786" i="23"/>
  <c r="M1787" i="23"/>
  <c r="M1788" i="23"/>
  <c r="M1789" i="23"/>
  <c r="M1790" i="23"/>
  <c r="M1791" i="23"/>
  <c r="M1792" i="23"/>
  <c r="M1793" i="23"/>
  <c r="M1794" i="23"/>
  <c r="M1795" i="23"/>
  <c r="M1796" i="23"/>
  <c r="M1797" i="23"/>
  <c r="M1798" i="23"/>
  <c r="M1799" i="23"/>
  <c r="M1800" i="23"/>
  <c r="M1801" i="23"/>
  <c r="M1802" i="23"/>
  <c r="M1803" i="23"/>
  <c r="M1804" i="23"/>
  <c r="M1805" i="23"/>
  <c r="M1806" i="23"/>
  <c r="M1807" i="23"/>
  <c r="M1808" i="23"/>
  <c r="M1809" i="23"/>
  <c r="M1810" i="23"/>
  <c r="M1811" i="23"/>
  <c r="M1812" i="23"/>
  <c r="M1813" i="23"/>
  <c r="M1814" i="23"/>
  <c r="M1815" i="23"/>
  <c r="M1816" i="23"/>
  <c r="M1817" i="23"/>
  <c r="M1818" i="23"/>
  <c r="M1819" i="23"/>
  <c r="M1820" i="23"/>
  <c r="M1821" i="23"/>
  <c r="M1822" i="23"/>
  <c r="M1823" i="23"/>
  <c r="M1824" i="23"/>
  <c r="M1825" i="23"/>
  <c r="M1826" i="23"/>
  <c r="M1827" i="23"/>
  <c r="M1828" i="23"/>
  <c r="M1829" i="23"/>
  <c r="M1830" i="23"/>
  <c r="M1831" i="23"/>
  <c r="M1832" i="23"/>
  <c r="M1833" i="23"/>
  <c r="M1834" i="23"/>
  <c r="M1835" i="23"/>
  <c r="M1836" i="23"/>
  <c r="M1837" i="23"/>
  <c r="M1838" i="23"/>
  <c r="M1839" i="23"/>
  <c r="M1840" i="23"/>
  <c r="M1841" i="23"/>
  <c r="M1842" i="23"/>
  <c r="M1843" i="23"/>
  <c r="M1844" i="23"/>
  <c r="M1845" i="23"/>
  <c r="M1846" i="23"/>
  <c r="M1847" i="23"/>
  <c r="M1848" i="23"/>
  <c r="M1849" i="23"/>
  <c r="M1850" i="23"/>
  <c r="M1851" i="23"/>
  <c r="M1852" i="23"/>
  <c r="M1853" i="23"/>
  <c r="M1854" i="23"/>
  <c r="M1855" i="23"/>
  <c r="M1856" i="23"/>
  <c r="M1857" i="23"/>
  <c r="M1858" i="23"/>
  <c r="M1859" i="23"/>
  <c r="M1860" i="23"/>
  <c r="M1861" i="23"/>
  <c r="M1862" i="23"/>
  <c r="M1863" i="23"/>
  <c r="M1864" i="23"/>
  <c r="M1865" i="23"/>
  <c r="M1866" i="23"/>
  <c r="M1867" i="23"/>
  <c r="M1868" i="23"/>
  <c r="M1869" i="23"/>
  <c r="M1870" i="23"/>
  <c r="M1871" i="23"/>
  <c r="M1872" i="23"/>
  <c r="M1873" i="23"/>
  <c r="M1874" i="23"/>
  <c r="M1875" i="23"/>
  <c r="M1876" i="23"/>
  <c r="M1877" i="23"/>
  <c r="M1878" i="23"/>
  <c r="M1879" i="23"/>
  <c r="M1880" i="23"/>
  <c r="M1881" i="23"/>
  <c r="M1882" i="23"/>
  <c r="M1883" i="23"/>
  <c r="M1884" i="23"/>
  <c r="M1885" i="23"/>
  <c r="M1886" i="23"/>
  <c r="M1887" i="23"/>
  <c r="M1888" i="23"/>
  <c r="M1889" i="23"/>
  <c r="M1890" i="23"/>
  <c r="M1891" i="23"/>
  <c r="M1892" i="23"/>
  <c r="M1893" i="23"/>
  <c r="M1894" i="23"/>
  <c r="M1895" i="23"/>
  <c r="M1896" i="23"/>
  <c r="M1897" i="23"/>
  <c r="M1898" i="23"/>
  <c r="M1899" i="23"/>
  <c r="M1900" i="23"/>
  <c r="M1901" i="23"/>
  <c r="M1902" i="23"/>
  <c r="M1903" i="23"/>
  <c r="M1904" i="23"/>
  <c r="M1905" i="23"/>
  <c r="M1906" i="23"/>
  <c r="M1907" i="23"/>
  <c r="M1908" i="23"/>
  <c r="M1909" i="23"/>
  <c r="M1910" i="23"/>
  <c r="M1911" i="23"/>
  <c r="M1912" i="23"/>
  <c r="M1913" i="23"/>
  <c r="M1914" i="23"/>
  <c r="M1915" i="23"/>
  <c r="M1916" i="23"/>
  <c r="M1917" i="23"/>
  <c r="M1918" i="23"/>
  <c r="M1919" i="23"/>
  <c r="M1920" i="23"/>
  <c r="M1921" i="23"/>
  <c r="M1922" i="23"/>
  <c r="M1923" i="23"/>
  <c r="M1924" i="23"/>
  <c r="M1925" i="23"/>
  <c r="M1926" i="23"/>
  <c r="M1927" i="23"/>
  <c r="M1928" i="23"/>
  <c r="M1929" i="23"/>
  <c r="M1930" i="23"/>
  <c r="M1931" i="23"/>
  <c r="M1932" i="23"/>
  <c r="M1933" i="23"/>
  <c r="M1934" i="23"/>
  <c r="M1935" i="23"/>
  <c r="M1936" i="23"/>
  <c r="M1937" i="23"/>
  <c r="M1938" i="23"/>
  <c r="M1939" i="23"/>
  <c r="M1940" i="23"/>
  <c r="M1941" i="23"/>
  <c r="M1942" i="23"/>
  <c r="M1943" i="23"/>
  <c r="M1944" i="23"/>
  <c r="M1945" i="23"/>
  <c r="M1946" i="23"/>
  <c r="M1947" i="23"/>
  <c r="M1948" i="23"/>
  <c r="M1949" i="23"/>
  <c r="M1950" i="23"/>
  <c r="M1951" i="23"/>
  <c r="M1952" i="23"/>
  <c r="M1953" i="23"/>
  <c r="M1954" i="23"/>
  <c r="M1955" i="23"/>
  <c r="M1956" i="23"/>
  <c r="M1957" i="23"/>
  <c r="M1958" i="23"/>
  <c r="M1959" i="23"/>
  <c r="M1960" i="23"/>
  <c r="M1961" i="23"/>
  <c r="M1962" i="23"/>
  <c r="M1963" i="23"/>
  <c r="M1964" i="23"/>
  <c r="M1965" i="23"/>
  <c r="M1966" i="23"/>
  <c r="M1967" i="23"/>
  <c r="M1968" i="23"/>
  <c r="M1969" i="23"/>
  <c r="M1970" i="23"/>
  <c r="M1971" i="23"/>
  <c r="M1972" i="23"/>
  <c r="M1973" i="23"/>
  <c r="M1974" i="23"/>
  <c r="M1975" i="23"/>
  <c r="M1976" i="23"/>
  <c r="M1977" i="23"/>
  <c r="M1978" i="23"/>
  <c r="M1979" i="23"/>
  <c r="M1980" i="23"/>
  <c r="M1981" i="23"/>
  <c r="M1982" i="23"/>
  <c r="M1983" i="23"/>
  <c r="M1984" i="23"/>
  <c r="M1985" i="23"/>
  <c r="M1986" i="23"/>
  <c r="M1987" i="23"/>
  <c r="M1988" i="23"/>
  <c r="M1989" i="23"/>
  <c r="M1990" i="23"/>
  <c r="M1991" i="23"/>
  <c r="M1992" i="23"/>
  <c r="M1993" i="23"/>
  <c r="M1994" i="23"/>
  <c r="M1995" i="23"/>
  <c r="M1996" i="23"/>
  <c r="M1997" i="23"/>
  <c r="M1998" i="23"/>
  <c r="M1999" i="23"/>
  <c r="M2000" i="23"/>
  <c r="M2001" i="23"/>
  <c r="M2002" i="23"/>
  <c r="M2003" i="23"/>
  <c r="M2004" i="23"/>
  <c r="M2005" i="23"/>
  <c r="M2006" i="23"/>
  <c r="M2007" i="23"/>
  <c r="M2008" i="23"/>
  <c r="M2009" i="23"/>
  <c r="M2010" i="23"/>
  <c r="M2011" i="23"/>
  <c r="M2012" i="23"/>
  <c r="M2013" i="23"/>
  <c r="M2014" i="23"/>
  <c r="M2015" i="23"/>
  <c r="M2016" i="23"/>
  <c r="M2017" i="23"/>
  <c r="M2018" i="23"/>
  <c r="M2019" i="23"/>
  <c r="M2020" i="23"/>
  <c r="M2021" i="23"/>
  <c r="M2022" i="23"/>
  <c r="M2023" i="23"/>
  <c r="M2024" i="23"/>
  <c r="M2025" i="23"/>
  <c r="M2026" i="23"/>
  <c r="M2027" i="23"/>
  <c r="M2028" i="23"/>
  <c r="M2029" i="23"/>
  <c r="M2030" i="23"/>
  <c r="M2031" i="23"/>
  <c r="M2032" i="23"/>
  <c r="M2033" i="23"/>
  <c r="M2034" i="23"/>
  <c r="M2035" i="23"/>
  <c r="M2036" i="23"/>
  <c r="M2037" i="23"/>
  <c r="M2038" i="23"/>
  <c r="M2039" i="23"/>
  <c r="M2040" i="23"/>
  <c r="M2041" i="23"/>
  <c r="M2042" i="23"/>
  <c r="M2043" i="23"/>
  <c r="M2044" i="23"/>
  <c r="M2045" i="23"/>
  <c r="M2046" i="23"/>
  <c r="M2047" i="23"/>
  <c r="M2048" i="23"/>
  <c r="M2049" i="23"/>
  <c r="M2050" i="23"/>
  <c r="M2051" i="23"/>
  <c r="M2052" i="23"/>
  <c r="M2053" i="23"/>
  <c r="M2054" i="23"/>
  <c r="M2055" i="23"/>
  <c r="M2056" i="23"/>
  <c r="M2057" i="23"/>
  <c r="M2058" i="23"/>
  <c r="M2059" i="23"/>
  <c r="M2060" i="23"/>
  <c r="M2061" i="23"/>
  <c r="M2062" i="23"/>
  <c r="M2063" i="23"/>
  <c r="M2064" i="23"/>
  <c r="M2065" i="23"/>
  <c r="M2066" i="23"/>
  <c r="M2067" i="23"/>
  <c r="M2068" i="23"/>
  <c r="M2069" i="23"/>
  <c r="M2070" i="23"/>
  <c r="M2071" i="23"/>
  <c r="M2072" i="23"/>
  <c r="M2073" i="23"/>
  <c r="M2074" i="23"/>
  <c r="M2075" i="23"/>
  <c r="M2076" i="23"/>
  <c r="M2077" i="23"/>
  <c r="M2078" i="23"/>
  <c r="M2079" i="23"/>
  <c r="M2080" i="23"/>
  <c r="M2081" i="23"/>
  <c r="M2082" i="23"/>
  <c r="M2083" i="23"/>
  <c r="M2084" i="23"/>
  <c r="M2085" i="23"/>
  <c r="M2086" i="23"/>
  <c r="M2087" i="23"/>
  <c r="M2088" i="23"/>
  <c r="M2089" i="23"/>
  <c r="M2090" i="23"/>
  <c r="M2091" i="23"/>
  <c r="M2092" i="23"/>
  <c r="M2093" i="23"/>
  <c r="M2094" i="23"/>
  <c r="M2095" i="23"/>
  <c r="M2096" i="23"/>
  <c r="M2097" i="23"/>
  <c r="M2098" i="23"/>
  <c r="M2099" i="23"/>
  <c r="M2100" i="23"/>
  <c r="M2101" i="23"/>
  <c r="M2102" i="23"/>
  <c r="M2103" i="23"/>
  <c r="M2104" i="23"/>
  <c r="M2105" i="23"/>
  <c r="M2106" i="23"/>
  <c r="M2107" i="23"/>
  <c r="M2108" i="23"/>
  <c r="M2109" i="23"/>
  <c r="M2110" i="23"/>
  <c r="M2111" i="23"/>
  <c r="M2112" i="23"/>
  <c r="M2113" i="23"/>
  <c r="M2114" i="23"/>
  <c r="M2115" i="23"/>
  <c r="M2116" i="23"/>
  <c r="M2117" i="23"/>
  <c r="M2118" i="23"/>
  <c r="M2119" i="23"/>
  <c r="M2120" i="23"/>
  <c r="M2121" i="23"/>
  <c r="M2122" i="23"/>
  <c r="M2123" i="23"/>
  <c r="M2124" i="23"/>
  <c r="M2125" i="23"/>
  <c r="M2126" i="23"/>
  <c r="M2127" i="23"/>
  <c r="M2128" i="23"/>
  <c r="M2129" i="23"/>
  <c r="M2130" i="23"/>
  <c r="M2131" i="23"/>
  <c r="M2132" i="23"/>
  <c r="M2133" i="23"/>
  <c r="M2134" i="23"/>
  <c r="M2135" i="23"/>
  <c r="M2136" i="23"/>
  <c r="M2137" i="23"/>
  <c r="M2138" i="23"/>
  <c r="M2139" i="23"/>
  <c r="M2140" i="23"/>
  <c r="M2141" i="23"/>
  <c r="M2142" i="23"/>
  <c r="M2143" i="23"/>
  <c r="M2144" i="23"/>
  <c r="M2145" i="23"/>
  <c r="M2146" i="23"/>
  <c r="M2147" i="23"/>
  <c r="M2148" i="23"/>
  <c r="M2149" i="23"/>
  <c r="M2150" i="23"/>
  <c r="M2151" i="23"/>
  <c r="M2152" i="23"/>
  <c r="M2153" i="23"/>
  <c r="M2154" i="23"/>
  <c r="M2155" i="23"/>
  <c r="M2156" i="23"/>
  <c r="M2157" i="23"/>
  <c r="M2158" i="23"/>
  <c r="M2159" i="23"/>
  <c r="M2160" i="23"/>
  <c r="M2161" i="23"/>
  <c r="M2162" i="23"/>
  <c r="M2163" i="23"/>
  <c r="M2164" i="23"/>
  <c r="M2165" i="23"/>
  <c r="M2166" i="23"/>
  <c r="M2167" i="23"/>
  <c r="M2168" i="23"/>
  <c r="M2169" i="23"/>
  <c r="M2170" i="23"/>
  <c r="M2171" i="23"/>
  <c r="M2172" i="23"/>
  <c r="M2173" i="23"/>
  <c r="M2174" i="23"/>
  <c r="M2175" i="23"/>
  <c r="M2176" i="23"/>
  <c r="M2177" i="23"/>
  <c r="M2178" i="23"/>
  <c r="M2179" i="23"/>
  <c r="M2180" i="23"/>
  <c r="M2181" i="23"/>
  <c r="M2182" i="23"/>
  <c r="M2183" i="23"/>
  <c r="M2184" i="23"/>
  <c r="M2185" i="23"/>
  <c r="M2186" i="23"/>
  <c r="M2187" i="23"/>
  <c r="M2188" i="23"/>
  <c r="M2189" i="23"/>
  <c r="M2190" i="23"/>
  <c r="M2191" i="23"/>
  <c r="M2192" i="23"/>
  <c r="M2193" i="23"/>
  <c r="M2194" i="23"/>
  <c r="M2195" i="23"/>
  <c r="M2196" i="23"/>
  <c r="M2197" i="23"/>
  <c r="M2198" i="23"/>
  <c r="M2199" i="23"/>
  <c r="M2200" i="23"/>
  <c r="M2201" i="23"/>
  <c r="M2202" i="23"/>
  <c r="M2203" i="23"/>
  <c r="M2204" i="23"/>
  <c r="M2205" i="23"/>
  <c r="M2206" i="23"/>
  <c r="M2207" i="23"/>
  <c r="M2208" i="23"/>
  <c r="M2209" i="23"/>
  <c r="M2210" i="23"/>
  <c r="M2211" i="23"/>
  <c r="M2212" i="23"/>
  <c r="M2213" i="23"/>
  <c r="M2214" i="23"/>
  <c r="M2215" i="23"/>
  <c r="M2216" i="23"/>
  <c r="M2217" i="23"/>
  <c r="M2218" i="23"/>
  <c r="M2219" i="23"/>
  <c r="M2220" i="23"/>
  <c r="M2221" i="23"/>
  <c r="M2222" i="23"/>
  <c r="M2223" i="23"/>
  <c r="M2224" i="23"/>
  <c r="M2225" i="23"/>
  <c r="M2226" i="23"/>
  <c r="M2227" i="23"/>
  <c r="M2228" i="23"/>
  <c r="M2229" i="23"/>
  <c r="M2230" i="23"/>
  <c r="M2231" i="23"/>
  <c r="M2232" i="23"/>
  <c r="M2233" i="23"/>
  <c r="M2234" i="23"/>
  <c r="M2235" i="23"/>
  <c r="M2236" i="23"/>
  <c r="M2237" i="23"/>
  <c r="M2238" i="23"/>
  <c r="M2239" i="23"/>
  <c r="M2240" i="23"/>
  <c r="M2241" i="23"/>
  <c r="M2242" i="23"/>
  <c r="M2243" i="23"/>
  <c r="M2244" i="23"/>
  <c r="M2245" i="23"/>
  <c r="M2246" i="23"/>
  <c r="M2247" i="23"/>
  <c r="M2248" i="23"/>
  <c r="M2249" i="23"/>
  <c r="M2250" i="23"/>
  <c r="M2251" i="23"/>
  <c r="M2252" i="23"/>
  <c r="M2253" i="23"/>
  <c r="M2254" i="23"/>
  <c r="M2255" i="23"/>
  <c r="M2256" i="23"/>
  <c r="M2257" i="23"/>
  <c r="M2258" i="23"/>
  <c r="M2259" i="23"/>
  <c r="M2260" i="23"/>
  <c r="M2261" i="23"/>
  <c r="M2262" i="23"/>
  <c r="M2263" i="23"/>
  <c r="M2264" i="23"/>
  <c r="M2265" i="23"/>
  <c r="M2266" i="23"/>
  <c r="M2267" i="23"/>
  <c r="M2268" i="23"/>
  <c r="M2269" i="23"/>
  <c r="M2270" i="23"/>
  <c r="M2271" i="23"/>
  <c r="M2272" i="23"/>
  <c r="M2273" i="23"/>
  <c r="M2274" i="23"/>
  <c r="M2275" i="23"/>
  <c r="M2276" i="23"/>
  <c r="M2277" i="23"/>
  <c r="M2278" i="23"/>
  <c r="M2279" i="23"/>
  <c r="M2280" i="23"/>
  <c r="M2281" i="23"/>
  <c r="M2282" i="23"/>
  <c r="M2283" i="23"/>
  <c r="M2284" i="23"/>
  <c r="M2285" i="23"/>
  <c r="M2286" i="23"/>
  <c r="M2287" i="23"/>
  <c r="M2288" i="23"/>
  <c r="M2289" i="23"/>
  <c r="M2290" i="23"/>
  <c r="M2291" i="23"/>
  <c r="M2292" i="23"/>
  <c r="M2293" i="23"/>
  <c r="M2294" i="23"/>
  <c r="M2295" i="23"/>
  <c r="M2296" i="23"/>
  <c r="M2297" i="23"/>
  <c r="M2298" i="23"/>
  <c r="M2299" i="23"/>
  <c r="M2300" i="23"/>
  <c r="M2301" i="23"/>
  <c r="M2302" i="23"/>
  <c r="M2303" i="23"/>
  <c r="M2304" i="23"/>
  <c r="M2305" i="23"/>
  <c r="M2306" i="23"/>
  <c r="M2307" i="23"/>
  <c r="M2308" i="23"/>
  <c r="M2309" i="23"/>
  <c r="M2310" i="23"/>
  <c r="M2311" i="23"/>
  <c r="M2312" i="23"/>
  <c r="M2313" i="23"/>
  <c r="M2314" i="23"/>
  <c r="M2315" i="23"/>
  <c r="M2316" i="23"/>
  <c r="M2317" i="23"/>
  <c r="M2318" i="23"/>
  <c r="M2319" i="23"/>
  <c r="M2320" i="23"/>
  <c r="M2321" i="23"/>
  <c r="M2322" i="23"/>
  <c r="M2323" i="23"/>
  <c r="M2324" i="23"/>
  <c r="M2325" i="23"/>
  <c r="M2326" i="23"/>
  <c r="M2327" i="23"/>
  <c r="M2328" i="23"/>
  <c r="M2329" i="23"/>
  <c r="M2330" i="23"/>
  <c r="M2331" i="23"/>
  <c r="M2332" i="23"/>
  <c r="M2333" i="23"/>
  <c r="M2334" i="23"/>
  <c r="M2335" i="23"/>
  <c r="M2336" i="23"/>
  <c r="M2337" i="23"/>
  <c r="M2338" i="23"/>
  <c r="M2339" i="23"/>
  <c r="M2340" i="23"/>
  <c r="M2341" i="23"/>
  <c r="M2342" i="23"/>
  <c r="M2343" i="23"/>
  <c r="M2344" i="23"/>
  <c r="M2345" i="23"/>
  <c r="M2346" i="23"/>
  <c r="M2347" i="23"/>
  <c r="M2348" i="23"/>
  <c r="M2349" i="23"/>
  <c r="M2350" i="23"/>
  <c r="M2351" i="23"/>
  <c r="M2352" i="23"/>
  <c r="M2353" i="23"/>
  <c r="M2354" i="23"/>
  <c r="M2355" i="23"/>
  <c r="M2356" i="23"/>
  <c r="M2357" i="23"/>
  <c r="M2358" i="23"/>
  <c r="M2359" i="23"/>
  <c r="M2360" i="23"/>
  <c r="M2361" i="23"/>
  <c r="M2362" i="23"/>
  <c r="M2363" i="23"/>
  <c r="M2364" i="23"/>
  <c r="M2365" i="23"/>
  <c r="M2366" i="23"/>
  <c r="M2367" i="23"/>
  <c r="M2368" i="23"/>
  <c r="M2369" i="23"/>
  <c r="M2370" i="23"/>
  <c r="M2371" i="23"/>
  <c r="M2372" i="23"/>
  <c r="M2373" i="23"/>
  <c r="M2374" i="23"/>
  <c r="M2375" i="23"/>
  <c r="M2376" i="23"/>
  <c r="M2377" i="23"/>
  <c r="M2378" i="23"/>
  <c r="M2379" i="23"/>
  <c r="M2380" i="23"/>
  <c r="M2381" i="23"/>
  <c r="M2382" i="23"/>
  <c r="M2383" i="23"/>
  <c r="M2384" i="23"/>
  <c r="M2385" i="23"/>
  <c r="M2386" i="23"/>
  <c r="M2387" i="23"/>
  <c r="M2388" i="23"/>
  <c r="M2389" i="23"/>
  <c r="M2390" i="23"/>
  <c r="M2391" i="23"/>
  <c r="M2392" i="23"/>
  <c r="M2393" i="23"/>
  <c r="M2394" i="23"/>
  <c r="M2395" i="23"/>
  <c r="M2396" i="23"/>
  <c r="M2397" i="23"/>
  <c r="M2398" i="23"/>
  <c r="L5" i="23"/>
  <c r="M5" i="23"/>
  <c r="L6" i="23"/>
  <c r="L7" i="23"/>
  <c r="L8" i="23"/>
  <c r="L9" i="23"/>
  <c r="L10" i="23"/>
  <c r="L11" i="23"/>
  <c r="L12" i="23"/>
  <c r="L13" i="23"/>
  <c r="L14" i="23"/>
  <c r="L15" i="23"/>
  <c r="L16" i="23"/>
  <c r="L17" i="23"/>
  <c r="L18" i="23"/>
  <c r="L19" i="23"/>
  <c r="L20" i="23"/>
  <c r="L21" i="23"/>
  <c r="L22" i="23"/>
  <c r="L23" i="23"/>
  <c r="L24" i="23"/>
  <c r="L25" i="23"/>
  <c r="L26" i="23"/>
  <c r="L27" i="23"/>
  <c r="L28" i="23"/>
  <c r="L29" i="23"/>
  <c r="L30" i="23"/>
  <c r="L31" i="23"/>
  <c r="L32" i="23"/>
  <c r="L33" i="23"/>
  <c r="L34" i="23"/>
  <c r="L35" i="23"/>
  <c r="L36" i="23"/>
  <c r="L37" i="23"/>
  <c r="L38" i="23"/>
  <c r="L39" i="23"/>
  <c r="L40" i="23"/>
  <c r="L41" i="23"/>
  <c r="L42" i="23"/>
  <c r="L43" i="23"/>
  <c r="L44" i="23"/>
  <c r="L45" i="23"/>
  <c r="L46" i="23"/>
  <c r="L47" i="23"/>
  <c r="L48" i="23"/>
  <c r="L49" i="23"/>
  <c r="L50" i="23"/>
  <c r="L51" i="23"/>
  <c r="L52" i="23"/>
  <c r="L53" i="23"/>
  <c r="L54" i="23"/>
  <c r="L55" i="23"/>
  <c r="L56" i="23"/>
  <c r="L57" i="23"/>
  <c r="L58" i="23"/>
  <c r="L59" i="23"/>
  <c r="L60" i="23"/>
  <c r="L61" i="23"/>
  <c r="L62" i="23"/>
  <c r="L63" i="23"/>
  <c r="L64" i="23"/>
  <c r="L65" i="23"/>
  <c r="L66" i="23"/>
  <c r="L67" i="23"/>
  <c r="L68" i="23"/>
  <c r="L69" i="23"/>
  <c r="L70" i="23"/>
  <c r="L71" i="23"/>
  <c r="L72" i="23"/>
  <c r="L73" i="23"/>
  <c r="L74" i="23"/>
  <c r="L75" i="23"/>
  <c r="L76" i="23"/>
  <c r="L77" i="23"/>
  <c r="L78" i="23"/>
  <c r="L79" i="23"/>
  <c r="L80" i="23"/>
  <c r="L81" i="23"/>
  <c r="L82" i="23"/>
  <c r="L83" i="23"/>
  <c r="L84" i="23"/>
  <c r="L85" i="23"/>
  <c r="L86" i="23"/>
  <c r="L87" i="23"/>
  <c r="L88" i="23"/>
  <c r="L89" i="23"/>
  <c r="L90" i="23"/>
  <c r="L91" i="23"/>
  <c r="L92" i="23"/>
  <c r="L93" i="23"/>
  <c r="L94" i="23"/>
  <c r="L95" i="23"/>
  <c r="L96" i="23"/>
  <c r="L97" i="23"/>
  <c r="L98" i="23"/>
  <c r="L99" i="23"/>
  <c r="L100" i="23"/>
  <c r="L101" i="23"/>
  <c r="L102" i="23"/>
  <c r="L103" i="23"/>
  <c r="L104" i="23"/>
  <c r="L105" i="23"/>
  <c r="L106" i="23"/>
  <c r="L107" i="23"/>
  <c r="L108" i="23"/>
  <c r="L109" i="23"/>
  <c r="L110" i="23"/>
  <c r="L111" i="23"/>
  <c r="L112" i="23"/>
  <c r="L113" i="23"/>
  <c r="L114" i="23"/>
  <c r="L115" i="23"/>
  <c r="L116" i="23"/>
  <c r="L117" i="23"/>
  <c r="L118" i="23"/>
  <c r="L119" i="23"/>
  <c r="L120" i="23"/>
  <c r="L121" i="23"/>
  <c r="L122" i="23"/>
  <c r="L123" i="23"/>
  <c r="L124" i="23"/>
  <c r="L125" i="23"/>
  <c r="L126" i="23"/>
  <c r="L127" i="23"/>
  <c r="L128" i="23"/>
  <c r="L129" i="23"/>
  <c r="L130" i="23"/>
  <c r="L131" i="23"/>
  <c r="L132" i="23"/>
  <c r="L133" i="23"/>
  <c r="L134" i="23"/>
  <c r="L135" i="23"/>
  <c r="L136" i="23"/>
  <c r="L137" i="23"/>
  <c r="L138" i="23"/>
  <c r="L139" i="23"/>
  <c r="L140" i="23"/>
  <c r="L141" i="23"/>
  <c r="L142" i="23"/>
  <c r="L143" i="23"/>
  <c r="L144" i="23"/>
  <c r="L145" i="23"/>
  <c r="L146" i="23"/>
  <c r="L147" i="23"/>
  <c r="L148" i="23"/>
  <c r="L149" i="23"/>
  <c r="L150" i="23"/>
  <c r="L151" i="23"/>
  <c r="L152" i="23"/>
  <c r="L153" i="23"/>
  <c r="L154" i="23"/>
  <c r="L155" i="23"/>
  <c r="L156" i="23"/>
  <c r="L157" i="23"/>
  <c r="L158" i="23"/>
  <c r="L159" i="23"/>
  <c r="L160" i="23"/>
  <c r="L161" i="23"/>
  <c r="L162" i="23"/>
  <c r="L163" i="23"/>
  <c r="L164" i="23"/>
  <c r="L165" i="23"/>
  <c r="L166" i="23"/>
  <c r="L167" i="23"/>
  <c r="L168" i="23"/>
  <c r="L169" i="23"/>
  <c r="L170" i="23"/>
  <c r="L171" i="23"/>
  <c r="L172" i="23"/>
  <c r="L173" i="23"/>
  <c r="L174" i="23"/>
  <c r="L175" i="23"/>
  <c r="L176" i="23"/>
  <c r="L177" i="23"/>
  <c r="L178" i="23"/>
  <c r="L179" i="23"/>
  <c r="L180" i="23"/>
  <c r="L181" i="23"/>
  <c r="L182" i="23"/>
  <c r="L183" i="23"/>
  <c r="L184" i="23"/>
  <c r="L185" i="23"/>
  <c r="L186" i="23"/>
  <c r="L187" i="23"/>
  <c r="L188" i="23"/>
  <c r="L189" i="23"/>
  <c r="L190" i="23"/>
  <c r="L191" i="23"/>
  <c r="L192" i="23"/>
  <c r="L193" i="23"/>
  <c r="L194" i="23"/>
  <c r="L195" i="23"/>
  <c r="L196" i="23"/>
  <c r="L197" i="23"/>
  <c r="L198" i="23"/>
  <c r="L199" i="23"/>
  <c r="L200" i="23"/>
  <c r="L201" i="23"/>
  <c r="L202" i="23"/>
  <c r="L203" i="23"/>
  <c r="L204" i="23"/>
  <c r="L205" i="23"/>
  <c r="L206" i="23"/>
  <c r="L207" i="23"/>
  <c r="L208" i="23"/>
  <c r="L209" i="23"/>
  <c r="L210" i="23"/>
  <c r="L211" i="23"/>
  <c r="L212" i="23"/>
  <c r="L213" i="23"/>
  <c r="L214" i="23"/>
  <c r="L215" i="23"/>
  <c r="L216" i="23"/>
  <c r="L217" i="23"/>
  <c r="L218" i="23"/>
  <c r="L219" i="23"/>
  <c r="L220" i="23"/>
  <c r="L221" i="23"/>
  <c r="L222" i="23"/>
  <c r="L223" i="23"/>
  <c r="L224" i="23"/>
  <c r="L225" i="23"/>
  <c r="L226" i="23"/>
  <c r="L227" i="23"/>
  <c r="L228" i="23"/>
  <c r="L229" i="23"/>
  <c r="L230" i="23"/>
  <c r="L231" i="23"/>
  <c r="L232" i="23"/>
  <c r="L233" i="23"/>
  <c r="L234" i="23"/>
  <c r="L235" i="23"/>
  <c r="L236" i="23"/>
  <c r="L237" i="23"/>
  <c r="L238" i="23"/>
  <c r="L239" i="23"/>
  <c r="L240" i="23"/>
  <c r="L241" i="23"/>
  <c r="L242" i="23"/>
  <c r="L243" i="23"/>
  <c r="L244" i="23"/>
  <c r="L245" i="23"/>
  <c r="L246" i="23"/>
  <c r="L247" i="23"/>
  <c r="L248" i="23"/>
  <c r="L249" i="23"/>
  <c r="L250" i="23"/>
  <c r="L251" i="23"/>
  <c r="L252" i="23"/>
  <c r="L253" i="23"/>
  <c r="L254" i="23"/>
  <c r="L255" i="23"/>
  <c r="L256" i="23"/>
  <c r="L257" i="23"/>
  <c r="L258" i="23"/>
  <c r="L259" i="23"/>
  <c r="L260" i="23"/>
  <c r="L261" i="23"/>
  <c r="L262" i="23"/>
  <c r="L263" i="23"/>
  <c r="L264" i="23"/>
  <c r="L265" i="23"/>
  <c r="L266" i="23"/>
  <c r="L267" i="23"/>
  <c r="L268" i="23"/>
  <c r="L269" i="23"/>
  <c r="L270" i="23"/>
  <c r="L271" i="23"/>
  <c r="L272" i="23"/>
  <c r="L273" i="23"/>
  <c r="L274" i="23"/>
  <c r="L275" i="23"/>
  <c r="L276" i="23"/>
  <c r="L277" i="23"/>
  <c r="L278" i="23"/>
  <c r="L279" i="23"/>
  <c r="L280" i="23"/>
  <c r="L281" i="23"/>
  <c r="L282" i="23"/>
  <c r="L283" i="23"/>
  <c r="L284" i="23"/>
  <c r="L285" i="23"/>
  <c r="L286" i="23"/>
  <c r="L287" i="23"/>
  <c r="L288" i="23"/>
  <c r="L289" i="23"/>
  <c r="L290" i="23"/>
  <c r="L291" i="23"/>
  <c r="L292" i="23"/>
  <c r="L293" i="23"/>
  <c r="L294" i="23"/>
  <c r="L295" i="23"/>
  <c r="L296" i="23"/>
  <c r="L297" i="23"/>
  <c r="L298" i="23"/>
  <c r="L299" i="23"/>
  <c r="L300" i="23"/>
  <c r="L301" i="23"/>
  <c r="L302" i="23"/>
  <c r="L303" i="23"/>
  <c r="L304" i="23"/>
  <c r="L305" i="23"/>
  <c r="L306" i="23"/>
  <c r="L307" i="23"/>
  <c r="L308" i="23"/>
  <c r="L309" i="23"/>
  <c r="L310" i="23"/>
  <c r="L311" i="23"/>
  <c r="L312" i="23"/>
  <c r="L313" i="23"/>
  <c r="L314" i="23"/>
  <c r="L315" i="23"/>
  <c r="L316" i="23"/>
  <c r="L317" i="23"/>
  <c r="L318" i="23"/>
  <c r="L319" i="23"/>
  <c r="L320" i="23"/>
  <c r="L321" i="23"/>
  <c r="L322" i="23"/>
  <c r="L323" i="23"/>
  <c r="L324" i="23"/>
  <c r="L325" i="23"/>
  <c r="L326" i="23"/>
  <c r="L327" i="23"/>
  <c r="L328" i="23"/>
  <c r="L329" i="23"/>
  <c r="L330" i="23"/>
  <c r="L331" i="23"/>
  <c r="L332" i="23"/>
  <c r="L333" i="23"/>
  <c r="L334" i="23"/>
  <c r="L335" i="23"/>
  <c r="L336" i="23"/>
  <c r="L337" i="23"/>
  <c r="L338" i="23"/>
  <c r="L339" i="23"/>
  <c r="L340" i="23"/>
  <c r="L341" i="23"/>
  <c r="L342" i="23"/>
  <c r="L343" i="23"/>
  <c r="L344" i="23"/>
  <c r="L345" i="23"/>
  <c r="L346" i="23"/>
  <c r="L347" i="23"/>
  <c r="L348" i="23"/>
  <c r="L349" i="23"/>
  <c r="L350" i="23"/>
  <c r="L351" i="23"/>
  <c r="L352" i="23"/>
  <c r="L353" i="23"/>
  <c r="L354" i="23"/>
  <c r="L355" i="23"/>
  <c r="L356" i="23"/>
  <c r="L357" i="23"/>
  <c r="L358" i="23"/>
  <c r="L359" i="23"/>
  <c r="L360" i="23"/>
  <c r="L361" i="23"/>
  <c r="L362" i="23"/>
  <c r="L363" i="23"/>
  <c r="L364" i="23"/>
  <c r="L365" i="23"/>
  <c r="L366" i="23"/>
  <c r="L367" i="23"/>
  <c r="L368" i="23"/>
  <c r="L369" i="23"/>
  <c r="L370" i="23"/>
  <c r="L371" i="23"/>
  <c r="L372" i="23"/>
  <c r="L373" i="23"/>
  <c r="L374" i="23"/>
  <c r="L375" i="23"/>
  <c r="L376" i="23"/>
  <c r="L377" i="23"/>
  <c r="L378" i="23"/>
  <c r="L379" i="23"/>
  <c r="L380" i="23"/>
  <c r="L381" i="23"/>
  <c r="L382" i="23"/>
  <c r="L383" i="23"/>
  <c r="L384" i="23"/>
  <c r="L385" i="23"/>
  <c r="L386" i="23"/>
  <c r="L387" i="23"/>
  <c r="L388" i="23"/>
  <c r="L389" i="23"/>
  <c r="L390" i="23"/>
  <c r="L391" i="23"/>
  <c r="L392" i="23"/>
  <c r="L393" i="23"/>
  <c r="L394" i="23"/>
  <c r="L395" i="23"/>
  <c r="L396" i="23"/>
  <c r="L397" i="23"/>
  <c r="L398" i="23"/>
  <c r="L399" i="23"/>
  <c r="L400" i="23"/>
  <c r="L401" i="23"/>
  <c r="L402" i="23"/>
  <c r="L403" i="23"/>
  <c r="L404" i="23"/>
  <c r="L405" i="23"/>
  <c r="L406" i="23"/>
  <c r="L407" i="23"/>
  <c r="L408" i="23"/>
  <c r="L409" i="23"/>
  <c r="L410" i="23"/>
  <c r="L411" i="23"/>
  <c r="L412" i="23"/>
  <c r="L413" i="23"/>
  <c r="L414" i="23"/>
  <c r="L415" i="23"/>
  <c r="L416" i="23"/>
  <c r="L417" i="23"/>
  <c r="L418" i="23"/>
  <c r="L419" i="23"/>
  <c r="L420" i="23"/>
  <c r="L421" i="23"/>
  <c r="L422" i="23"/>
  <c r="L423" i="23"/>
  <c r="L424" i="23"/>
  <c r="L425" i="23"/>
  <c r="L426" i="23"/>
  <c r="L427" i="23"/>
  <c r="L428" i="23"/>
  <c r="L429" i="23"/>
  <c r="L430" i="23"/>
  <c r="L431" i="23"/>
  <c r="L432" i="23"/>
  <c r="L433" i="23"/>
  <c r="L434" i="23"/>
  <c r="L435" i="23"/>
  <c r="L436" i="23"/>
  <c r="L437" i="23"/>
  <c r="L438" i="23"/>
  <c r="L439" i="23"/>
  <c r="L440" i="23"/>
  <c r="L441" i="23"/>
  <c r="L442" i="23"/>
  <c r="L443" i="23"/>
  <c r="L444" i="23"/>
  <c r="L445" i="23"/>
  <c r="L446" i="23"/>
  <c r="L447" i="23"/>
  <c r="L448" i="23"/>
  <c r="L449" i="23"/>
  <c r="L450" i="23"/>
  <c r="L451" i="23"/>
  <c r="L452" i="23"/>
  <c r="L453" i="23"/>
  <c r="L454" i="23"/>
  <c r="L455" i="23"/>
  <c r="L456" i="23"/>
  <c r="L457" i="23"/>
  <c r="L458" i="23"/>
  <c r="L459" i="23"/>
  <c r="L460" i="23"/>
  <c r="L461" i="23"/>
  <c r="L462" i="23"/>
  <c r="L463" i="23"/>
  <c r="L464" i="23"/>
  <c r="L465" i="23"/>
  <c r="L466" i="23"/>
  <c r="L467" i="23"/>
  <c r="L468" i="23"/>
  <c r="L469" i="23"/>
  <c r="L470" i="23"/>
  <c r="L471" i="23"/>
  <c r="L472" i="23"/>
  <c r="L473" i="23"/>
  <c r="L474" i="23"/>
  <c r="L475" i="23"/>
  <c r="L476" i="23"/>
  <c r="L477" i="23"/>
  <c r="L478" i="23"/>
  <c r="L479" i="23"/>
  <c r="L480" i="23"/>
  <c r="L481" i="23"/>
  <c r="L482" i="23"/>
  <c r="L483" i="23"/>
  <c r="L484" i="23"/>
  <c r="L485" i="23"/>
  <c r="L486" i="23"/>
  <c r="L487" i="23"/>
  <c r="L488" i="23"/>
  <c r="L489" i="23"/>
  <c r="L490" i="23"/>
  <c r="L491" i="23"/>
  <c r="L492" i="23"/>
  <c r="L493" i="23"/>
  <c r="L494" i="23"/>
  <c r="L495" i="23"/>
  <c r="L496" i="23"/>
  <c r="L497" i="23"/>
  <c r="L498" i="23"/>
  <c r="L499" i="23"/>
  <c r="L500" i="23"/>
  <c r="L501" i="23"/>
  <c r="L502" i="23"/>
  <c r="L503" i="23"/>
  <c r="L504" i="23"/>
  <c r="L505" i="23"/>
  <c r="L506" i="23"/>
  <c r="L507" i="23"/>
  <c r="L508" i="23"/>
  <c r="L509" i="23"/>
  <c r="L510" i="23"/>
  <c r="L511" i="23"/>
  <c r="L512" i="23"/>
  <c r="L513" i="23"/>
  <c r="L514" i="23"/>
  <c r="L515" i="23"/>
  <c r="L516" i="23"/>
  <c r="L517" i="23"/>
  <c r="L518" i="23"/>
  <c r="L519" i="23"/>
  <c r="L520" i="23"/>
  <c r="L521" i="23"/>
  <c r="L522" i="23"/>
  <c r="L523" i="23"/>
  <c r="L524" i="23"/>
  <c r="L525" i="23"/>
  <c r="L526" i="23"/>
  <c r="L527" i="23"/>
  <c r="L528" i="23"/>
  <c r="L529" i="23"/>
  <c r="L530" i="23"/>
  <c r="L531" i="23"/>
  <c r="L532" i="23"/>
  <c r="L533" i="23"/>
  <c r="L534" i="23"/>
  <c r="L535" i="23"/>
  <c r="L536" i="23"/>
  <c r="L537" i="23"/>
  <c r="L538" i="23"/>
  <c r="L539" i="23"/>
  <c r="L540" i="23"/>
  <c r="L541" i="23"/>
  <c r="L542" i="23"/>
  <c r="L543" i="23"/>
  <c r="L544" i="23"/>
  <c r="L545" i="23"/>
  <c r="L546" i="23"/>
  <c r="L547" i="23"/>
  <c r="L548" i="23"/>
  <c r="L549" i="23"/>
  <c r="L550" i="23"/>
  <c r="L551" i="23"/>
  <c r="L552" i="23"/>
  <c r="L553" i="23"/>
  <c r="L554" i="23"/>
  <c r="L555" i="23"/>
  <c r="L556" i="23"/>
  <c r="L557" i="23"/>
  <c r="L558" i="23"/>
  <c r="L559" i="23"/>
  <c r="L560" i="23"/>
  <c r="L561" i="23"/>
  <c r="L562" i="23"/>
  <c r="L563" i="23"/>
  <c r="L564" i="23"/>
  <c r="L565" i="23"/>
  <c r="L566" i="23"/>
  <c r="L567" i="23"/>
  <c r="L568" i="23"/>
  <c r="L569" i="23"/>
  <c r="L570" i="23"/>
  <c r="L571" i="23"/>
  <c r="L572" i="23"/>
  <c r="L573" i="23"/>
  <c r="L574" i="23"/>
  <c r="L575" i="23"/>
  <c r="L576" i="23"/>
  <c r="L577" i="23"/>
  <c r="L578" i="23"/>
  <c r="L579" i="23"/>
  <c r="L580" i="23"/>
  <c r="L581" i="23"/>
  <c r="L582" i="23"/>
  <c r="L583" i="23"/>
  <c r="L584" i="23"/>
  <c r="L585" i="23"/>
  <c r="L586" i="23"/>
  <c r="L587" i="23"/>
  <c r="L588" i="23"/>
  <c r="L589" i="23"/>
  <c r="L590" i="23"/>
  <c r="L591" i="23"/>
  <c r="L592" i="23"/>
  <c r="L593" i="23"/>
  <c r="L594" i="23"/>
  <c r="L595" i="23"/>
  <c r="L596" i="23"/>
  <c r="L597" i="23"/>
  <c r="L598" i="23"/>
  <c r="L599" i="23"/>
  <c r="L600" i="23"/>
  <c r="L601" i="23"/>
  <c r="L602" i="23"/>
  <c r="L603" i="23"/>
  <c r="L604" i="23"/>
  <c r="L605" i="23"/>
  <c r="L606" i="23"/>
  <c r="L607" i="23"/>
  <c r="L608" i="23"/>
  <c r="L609" i="23"/>
  <c r="L610" i="23"/>
  <c r="L611" i="23"/>
  <c r="L612" i="23"/>
  <c r="L613" i="23"/>
  <c r="L614" i="23"/>
  <c r="L615" i="23"/>
  <c r="L616" i="23"/>
  <c r="L617" i="23"/>
  <c r="L618" i="23"/>
  <c r="L619" i="23"/>
  <c r="L620" i="23"/>
  <c r="L621" i="23"/>
  <c r="L622" i="23"/>
  <c r="L623" i="23"/>
  <c r="L624" i="23"/>
  <c r="L625" i="23"/>
  <c r="L626" i="23"/>
  <c r="L627" i="23"/>
  <c r="L628" i="23"/>
  <c r="L629" i="23"/>
  <c r="L630" i="23"/>
  <c r="L631" i="23"/>
  <c r="L632" i="23"/>
  <c r="L633" i="23"/>
  <c r="L634" i="23"/>
  <c r="L635" i="23"/>
  <c r="L636" i="23"/>
  <c r="L637" i="23"/>
  <c r="L638" i="23"/>
  <c r="L639" i="23"/>
  <c r="L640" i="23"/>
  <c r="L641" i="23"/>
  <c r="L642" i="23"/>
  <c r="L643" i="23"/>
  <c r="L644" i="23"/>
  <c r="L645" i="23"/>
  <c r="L646" i="23"/>
  <c r="L647" i="23"/>
  <c r="L648" i="23"/>
  <c r="L649" i="23"/>
  <c r="L650" i="23"/>
  <c r="L651" i="23"/>
  <c r="L652" i="23"/>
  <c r="L653" i="23"/>
  <c r="L654" i="23"/>
  <c r="L655" i="23"/>
  <c r="L656" i="23"/>
  <c r="L657" i="23"/>
  <c r="L658" i="23"/>
  <c r="L659" i="23"/>
  <c r="L660" i="23"/>
  <c r="L661" i="23"/>
  <c r="L662" i="23"/>
  <c r="L663" i="23"/>
  <c r="L664" i="23"/>
  <c r="L665" i="23"/>
  <c r="L666" i="23"/>
  <c r="L667" i="23"/>
  <c r="L668" i="23"/>
  <c r="L669" i="23"/>
  <c r="L670" i="23"/>
  <c r="L671" i="23"/>
  <c r="L672" i="23"/>
  <c r="L673" i="23"/>
  <c r="L674" i="23"/>
  <c r="L675" i="23"/>
  <c r="L676" i="23"/>
  <c r="L677" i="23"/>
  <c r="L678" i="23"/>
  <c r="L679" i="23"/>
  <c r="L680" i="23"/>
  <c r="L681" i="23"/>
  <c r="L682" i="23"/>
  <c r="L683" i="23"/>
  <c r="L684" i="23"/>
  <c r="L685" i="23"/>
  <c r="L686" i="23"/>
  <c r="L687" i="23"/>
  <c r="L688" i="23"/>
  <c r="L689" i="23"/>
  <c r="L690" i="23"/>
  <c r="L691" i="23"/>
  <c r="L692" i="23"/>
  <c r="L693" i="23"/>
  <c r="L694" i="23"/>
  <c r="L695" i="23"/>
  <c r="L696" i="23"/>
  <c r="L697" i="23"/>
  <c r="L698" i="23"/>
  <c r="L699" i="23"/>
  <c r="L700" i="23"/>
  <c r="L701" i="23"/>
  <c r="L702" i="23"/>
  <c r="L703" i="23"/>
  <c r="L704" i="23"/>
  <c r="L705" i="23"/>
  <c r="L706" i="23"/>
  <c r="L707" i="23"/>
  <c r="L708" i="23"/>
  <c r="L709" i="23"/>
  <c r="L710" i="23"/>
  <c r="L711" i="23"/>
  <c r="L712" i="23"/>
  <c r="L713" i="23"/>
  <c r="L714" i="23"/>
  <c r="L715" i="23"/>
  <c r="L716" i="23"/>
  <c r="L717" i="23"/>
  <c r="L718" i="23"/>
  <c r="L719" i="23"/>
  <c r="L720" i="23"/>
  <c r="L721" i="23"/>
  <c r="L722" i="23"/>
  <c r="L723" i="23"/>
  <c r="L724" i="23"/>
  <c r="L725" i="23"/>
  <c r="L726" i="23"/>
  <c r="L727" i="23"/>
  <c r="L728" i="23"/>
  <c r="L729" i="23"/>
  <c r="L730" i="23"/>
  <c r="L731" i="23"/>
  <c r="L732" i="23"/>
  <c r="L733" i="23"/>
  <c r="L734" i="23"/>
  <c r="L735" i="23"/>
  <c r="L736" i="23"/>
  <c r="L737" i="23"/>
  <c r="L738" i="23"/>
  <c r="L739" i="23"/>
  <c r="L740" i="23"/>
  <c r="L741" i="23"/>
  <c r="L742" i="23"/>
  <c r="L743" i="23"/>
  <c r="L744" i="23"/>
  <c r="L745" i="23"/>
  <c r="L746" i="23"/>
  <c r="L747" i="23"/>
  <c r="L748" i="23"/>
  <c r="L749" i="23"/>
  <c r="L750" i="23"/>
  <c r="L751" i="23"/>
  <c r="L752" i="23"/>
  <c r="L753" i="23"/>
  <c r="L754" i="23"/>
  <c r="L755" i="23"/>
  <c r="L756" i="23"/>
  <c r="L757" i="23"/>
  <c r="L758" i="23"/>
  <c r="L759" i="23"/>
  <c r="L760" i="23"/>
  <c r="L761" i="23"/>
  <c r="L762" i="23"/>
  <c r="L763" i="23"/>
  <c r="L764" i="23"/>
  <c r="L765" i="23"/>
  <c r="L766" i="23"/>
  <c r="L767" i="23"/>
  <c r="L768" i="23"/>
  <c r="L769" i="23"/>
  <c r="L770" i="23"/>
  <c r="L771" i="23"/>
  <c r="L772" i="23"/>
  <c r="L773" i="23"/>
  <c r="L774" i="23"/>
  <c r="L775" i="23"/>
  <c r="L776" i="23"/>
  <c r="L777" i="23"/>
  <c r="L778" i="23"/>
  <c r="L779" i="23"/>
  <c r="L780" i="23"/>
  <c r="L781" i="23"/>
  <c r="L782" i="23"/>
  <c r="L783" i="23"/>
  <c r="L784" i="23"/>
  <c r="L785" i="23"/>
  <c r="L786" i="23"/>
  <c r="L787" i="23"/>
  <c r="L788" i="23"/>
  <c r="L789" i="23"/>
  <c r="L790" i="23"/>
  <c r="L791" i="23"/>
  <c r="L792" i="23"/>
  <c r="L793" i="23"/>
  <c r="L794" i="23"/>
  <c r="L795" i="23"/>
  <c r="L796" i="23"/>
  <c r="L797" i="23"/>
  <c r="L798" i="23"/>
  <c r="L799" i="23"/>
  <c r="L800" i="23"/>
  <c r="L801" i="23"/>
  <c r="L802" i="23"/>
  <c r="L803" i="23"/>
  <c r="L804" i="23"/>
  <c r="L805" i="23"/>
  <c r="L806" i="23"/>
  <c r="L807" i="23"/>
  <c r="L808" i="23"/>
  <c r="L809" i="23"/>
  <c r="L810" i="23"/>
  <c r="L811" i="23"/>
  <c r="L812" i="23"/>
  <c r="L813" i="23"/>
  <c r="L814" i="23"/>
  <c r="L815" i="23"/>
  <c r="L816" i="23"/>
  <c r="L817" i="23"/>
  <c r="L818" i="23"/>
  <c r="L819" i="23"/>
  <c r="L820" i="23"/>
  <c r="L821" i="23"/>
  <c r="L822" i="23"/>
  <c r="L823" i="23"/>
  <c r="L824" i="23"/>
  <c r="L825" i="23"/>
  <c r="L826" i="23"/>
  <c r="L827" i="23"/>
  <c r="L828" i="23"/>
  <c r="L829" i="23"/>
  <c r="L830" i="23"/>
  <c r="L831" i="23"/>
  <c r="L832" i="23"/>
  <c r="L833" i="23"/>
  <c r="L834" i="23"/>
  <c r="L835" i="23"/>
  <c r="L836" i="23"/>
  <c r="L837" i="23"/>
  <c r="L838" i="23"/>
  <c r="L839" i="23"/>
  <c r="L840" i="23"/>
  <c r="L841" i="23"/>
  <c r="L842" i="23"/>
  <c r="L843" i="23"/>
  <c r="L844" i="23"/>
  <c r="L845" i="23"/>
  <c r="L846" i="23"/>
  <c r="L847" i="23"/>
  <c r="L848" i="23"/>
  <c r="L849" i="23"/>
  <c r="L850" i="23"/>
  <c r="L851" i="23"/>
  <c r="L852" i="23"/>
  <c r="L853" i="23"/>
  <c r="L854" i="23"/>
  <c r="L855" i="23"/>
  <c r="L856" i="23"/>
  <c r="L857" i="23"/>
  <c r="L858" i="23"/>
  <c r="L859" i="23"/>
  <c r="L860" i="23"/>
  <c r="L861" i="23"/>
  <c r="L862" i="23"/>
  <c r="L863" i="23"/>
  <c r="L864" i="23"/>
  <c r="L865" i="23"/>
  <c r="L866" i="23"/>
  <c r="L867" i="23"/>
  <c r="L868" i="23"/>
  <c r="L869" i="23"/>
  <c r="L870" i="23"/>
  <c r="L871" i="23"/>
  <c r="L872" i="23"/>
  <c r="L873" i="23"/>
  <c r="L874" i="23"/>
  <c r="L875" i="23"/>
  <c r="L876" i="23"/>
  <c r="L877" i="23"/>
  <c r="L878" i="23"/>
  <c r="L879" i="23"/>
  <c r="L880" i="23"/>
  <c r="L881" i="23"/>
  <c r="L882" i="23"/>
  <c r="L883" i="23"/>
  <c r="L884" i="23"/>
  <c r="L885" i="23"/>
  <c r="L886" i="23"/>
  <c r="L887" i="23"/>
  <c r="L888" i="23"/>
  <c r="L889" i="23"/>
  <c r="L890" i="23"/>
  <c r="L891" i="23"/>
  <c r="L892" i="23"/>
  <c r="L893" i="23"/>
  <c r="L894" i="23"/>
  <c r="L895" i="23"/>
  <c r="L896" i="23"/>
  <c r="L897" i="23"/>
  <c r="L898" i="23"/>
  <c r="L899" i="23"/>
  <c r="L900" i="23"/>
  <c r="L901" i="23"/>
  <c r="L902" i="23"/>
  <c r="L903" i="23"/>
  <c r="L904" i="23"/>
  <c r="L905" i="23"/>
  <c r="L906" i="23"/>
  <c r="L907" i="23"/>
  <c r="L908" i="23"/>
  <c r="L909" i="23"/>
  <c r="L910" i="23"/>
  <c r="L911" i="23"/>
  <c r="L912" i="23"/>
  <c r="L913" i="23"/>
  <c r="L914" i="23"/>
  <c r="L915" i="23"/>
  <c r="L916" i="23"/>
  <c r="L917" i="23"/>
  <c r="L918" i="23"/>
  <c r="L919" i="23"/>
  <c r="L920" i="23"/>
  <c r="L921" i="23"/>
  <c r="L922" i="23"/>
  <c r="L923" i="23"/>
  <c r="L924" i="23"/>
  <c r="L925" i="23"/>
  <c r="L926" i="23"/>
  <c r="L927" i="23"/>
  <c r="L928" i="23"/>
  <c r="L929" i="23"/>
  <c r="L930" i="23"/>
  <c r="L931" i="23"/>
  <c r="L932" i="23"/>
  <c r="L933" i="23"/>
  <c r="L934" i="23"/>
  <c r="L935" i="23"/>
  <c r="L936" i="23"/>
  <c r="L937" i="23"/>
  <c r="L938" i="23"/>
  <c r="L939" i="23"/>
  <c r="L940" i="23"/>
  <c r="L941" i="23"/>
  <c r="L942" i="23"/>
  <c r="L943" i="23"/>
  <c r="L944" i="23"/>
  <c r="L945" i="23"/>
  <c r="L946" i="23"/>
  <c r="L947" i="23"/>
  <c r="L948" i="23"/>
  <c r="L949" i="23"/>
  <c r="L950" i="23"/>
  <c r="L951" i="23"/>
  <c r="L952" i="23"/>
  <c r="L953" i="23"/>
  <c r="L954" i="23"/>
  <c r="L955" i="23"/>
  <c r="L956" i="23"/>
  <c r="L957" i="23"/>
  <c r="L958" i="23"/>
  <c r="L959" i="23"/>
  <c r="L960" i="23"/>
  <c r="L961" i="23"/>
  <c r="L962" i="23"/>
  <c r="L963" i="23"/>
  <c r="L964" i="23"/>
  <c r="L965" i="23"/>
  <c r="L966" i="23"/>
  <c r="L967" i="23"/>
  <c r="L968" i="23"/>
  <c r="L969" i="23"/>
  <c r="L970" i="23"/>
  <c r="L971" i="23"/>
  <c r="L972" i="23"/>
  <c r="L973" i="23"/>
  <c r="L974" i="23"/>
  <c r="L975" i="23"/>
  <c r="L976" i="23"/>
  <c r="L977" i="23"/>
  <c r="L978" i="23"/>
  <c r="L979" i="23"/>
  <c r="L980" i="23"/>
  <c r="L981" i="23"/>
  <c r="L982" i="23"/>
  <c r="L983" i="23"/>
  <c r="L984" i="23"/>
  <c r="L985" i="23"/>
  <c r="L986" i="23"/>
  <c r="L987" i="23"/>
  <c r="L988" i="23"/>
  <c r="L989" i="23"/>
  <c r="L990" i="23"/>
  <c r="L991" i="23"/>
  <c r="L992" i="23"/>
  <c r="L993" i="23"/>
  <c r="L994" i="23"/>
  <c r="L995" i="23"/>
  <c r="L996" i="23"/>
  <c r="L997" i="23"/>
  <c r="L998" i="23"/>
  <c r="L999" i="23"/>
  <c r="L1000" i="23"/>
  <c r="L1001" i="23"/>
  <c r="L1002" i="23"/>
  <c r="L1003" i="23"/>
  <c r="L1004" i="23"/>
  <c r="L1005" i="23"/>
  <c r="L1006" i="23"/>
  <c r="L1007" i="23"/>
  <c r="L1008" i="23"/>
  <c r="L1009" i="23"/>
  <c r="L1010" i="23"/>
  <c r="L1011" i="23"/>
  <c r="L1012" i="23"/>
  <c r="L1013" i="23"/>
  <c r="L1014" i="23"/>
  <c r="L1015" i="23"/>
  <c r="L1016" i="23"/>
  <c r="L1017" i="23"/>
  <c r="L1018" i="23"/>
  <c r="L1019" i="23"/>
  <c r="L1020" i="23"/>
  <c r="L1021" i="23"/>
  <c r="L1022" i="23"/>
  <c r="L1023" i="23"/>
  <c r="L1024" i="23"/>
  <c r="L1025" i="23"/>
  <c r="L1026" i="23"/>
  <c r="L1027" i="23"/>
  <c r="L1028" i="23"/>
  <c r="L1029" i="23"/>
  <c r="L1030" i="23"/>
  <c r="L1031" i="23"/>
  <c r="L1032" i="23"/>
  <c r="L1033" i="23"/>
  <c r="L1034" i="23"/>
  <c r="L1035" i="23"/>
  <c r="L1036" i="23"/>
  <c r="L1037" i="23"/>
  <c r="L1038" i="23"/>
  <c r="L1039" i="23"/>
  <c r="L1040" i="23"/>
  <c r="L1041" i="23"/>
  <c r="L1042" i="23"/>
  <c r="L1043" i="23"/>
  <c r="L1044" i="23"/>
  <c r="L1045" i="23"/>
  <c r="L1046" i="23"/>
  <c r="L1047" i="23"/>
  <c r="L1048" i="23"/>
  <c r="L1049" i="23"/>
  <c r="L1050" i="23"/>
  <c r="L1051" i="23"/>
  <c r="L1052" i="23"/>
  <c r="L1053" i="23"/>
  <c r="L1054" i="23"/>
  <c r="L1055" i="23"/>
  <c r="L1056" i="23"/>
  <c r="L1057" i="23"/>
  <c r="L1058" i="23"/>
  <c r="L1059" i="23"/>
  <c r="L1060" i="23"/>
  <c r="L1061" i="23"/>
  <c r="L1062" i="23"/>
  <c r="L1063" i="23"/>
  <c r="L1064" i="23"/>
  <c r="L1065" i="23"/>
  <c r="L1066" i="23"/>
  <c r="L1067" i="23"/>
  <c r="L1068" i="23"/>
  <c r="L1069" i="23"/>
  <c r="L1070" i="23"/>
  <c r="L1071" i="23"/>
  <c r="L1072" i="23"/>
  <c r="L1073" i="23"/>
  <c r="L1074" i="23"/>
  <c r="L1075" i="23"/>
  <c r="L1076" i="23"/>
  <c r="L1077" i="23"/>
  <c r="L1078" i="23"/>
  <c r="L1079" i="23"/>
  <c r="L1080" i="23"/>
  <c r="L1081" i="23"/>
  <c r="L1082" i="23"/>
  <c r="L1083" i="23"/>
  <c r="L1084" i="23"/>
  <c r="L1085" i="23"/>
  <c r="L1086" i="23"/>
  <c r="L1087" i="23"/>
  <c r="L1088" i="23"/>
  <c r="L1089" i="23"/>
  <c r="L1090" i="23"/>
  <c r="L1091" i="23"/>
  <c r="L1092" i="23"/>
  <c r="L1093" i="23"/>
  <c r="L1094" i="23"/>
  <c r="L1095" i="23"/>
  <c r="L1096" i="23"/>
  <c r="L1097" i="23"/>
  <c r="L1098" i="23"/>
  <c r="L1099" i="23"/>
  <c r="L1100" i="23"/>
  <c r="L1101" i="23"/>
  <c r="L1102" i="23"/>
  <c r="L1103" i="23"/>
  <c r="L1104" i="23"/>
  <c r="L1105" i="23"/>
  <c r="L1106" i="23"/>
  <c r="L1107" i="23"/>
  <c r="L1108" i="23"/>
  <c r="L1109" i="23"/>
  <c r="L1110" i="23"/>
  <c r="L1111" i="23"/>
  <c r="L1112" i="23"/>
  <c r="L1113" i="23"/>
  <c r="L1114" i="23"/>
  <c r="L1115" i="23"/>
  <c r="L1116" i="23"/>
  <c r="L1117" i="23"/>
  <c r="L1118" i="23"/>
  <c r="L1119" i="23"/>
  <c r="L1120" i="23"/>
  <c r="L1121" i="23"/>
  <c r="L1122" i="23"/>
  <c r="L1123" i="23"/>
  <c r="L1124" i="23"/>
  <c r="L1125" i="23"/>
  <c r="L1126" i="23"/>
  <c r="L1127" i="23"/>
  <c r="L1128" i="23"/>
  <c r="L1129" i="23"/>
  <c r="L1130" i="23"/>
  <c r="L1131" i="23"/>
  <c r="L1132" i="23"/>
  <c r="L1133" i="23"/>
  <c r="L1134" i="23"/>
  <c r="L1135" i="23"/>
  <c r="L1136" i="23"/>
  <c r="L1137" i="23"/>
  <c r="L1138" i="23"/>
  <c r="L1139" i="23"/>
  <c r="L1140" i="23"/>
  <c r="L1141" i="23"/>
  <c r="L1142" i="23"/>
  <c r="L1143" i="23"/>
  <c r="L1144" i="23"/>
  <c r="L1145" i="23"/>
  <c r="L1146" i="23"/>
  <c r="L1147" i="23"/>
  <c r="L1148" i="23"/>
  <c r="L1149" i="23"/>
  <c r="L1150" i="23"/>
  <c r="L1151" i="23"/>
  <c r="L1152" i="23"/>
  <c r="L1153" i="23"/>
  <c r="L1154" i="23"/>
  <c r="L1155" i="23"/>
  <c r="L1156" i="23"/>
  <c r="L1157" i="23"/>
  <c r="L1158" i="23"/>
  <c r="L1159" i="23"/>
  <c r="L1160" i="23"/>
  <c r="L1161" i="23"/>
  <c r="L1162" i="23"/>
  <c r="L1163" i="23"/>
  <c r="L1164" i="23"/>
  <c r="L1165" i="23"/>
  <c r="L1166" i="23"/>
  <c r="L1167" i="23"/>
  <c r="L1168" i="23"/>
  <c r="L1169" i="23"/>
  <c r="L1170" i="23"/>
  <c r="L1171" i="23"/>
  <c r="L1172" i="23"/>
  <c r="L1173" i="23"/>
  <c r="L1174" i="23"/>
  <c r="L1175" i="23"/>
  <c r="L1176" i="23"/>
  <c r="L1177" i="23"/>
  <c r="L1178" i="23"/>
  <c r="L1179" i="23"/>
  <c r="L1180" i="23"/>
  <c r="L1181" i="23"/>
  <c r="L1182" i="23"/>
  <c r="L1183" i="23"/>
  <c r="L1184" i="23"/>
  <c r="L1185" i="23"/>
  <c r="L1186" i="23"/>
  <c r="L1187" i="23"/>
  <c r="L1188" i="23"/>
  <c r="L1189" i="23"/>
  <c r="L1190" i="23"/>
  <c r="L1191" i="23"/>
  <c r="L1192" i="23"/>
  <c r="L1193" i="23"/>
  <c r="L1194" i="23"/>
  <c r="L1195" i="23"/>
  <c r="L1196" i="23"/>
  <c r="L1197" i="23"/>
  <c r="L1198" i="23"/>
  <c r="L1199" i="23"/>
  <c r="L1200" i="23"/>
  <c r="L1201" i="23"/>
  <c r="L1202" i="23"/>
  <c r="L1203" i="23"/>
  <c r="L1204" i="23"/>
  <c r="L1205" i="23"/>
  <c r="L1206" i="23"/>
  <c r="L1207" i="23"/>
  <c r="L1208" i="23"/>
  <c r="L1209" i="23"/>
  <c r="L1210" i="23"/>
  <c r="L1211" i="23"/>
  <c r="L1212" i="23"/>
  <c r="L1213" i="23"/>
  <c r="L1214" i="23"/>
  <c r="L1215" i="23"/>
  <c r="L1216" i="23"/>
  <c r="L1217" i="23"/>
  <c r="L1218" i="23"/>
  <c r="L1219" i="23"/>
  <c r="L1220" i="23"/>
  <c r="L1221" i="23"/>
  <c r="L1222" i="23"/>
  <c r="L1223" i="23"/>
  <c r="L1224" i="23"/>
  <c r="L1225" i="23"/>
  <c r="L1226" i="23"/>
  <c r="L1227" i="23"/>
  <c r="L1228" i="23"/>
  <c r="L1229" i="23"/>
  <c r="L1230" i="23"/>
  <c r="L1231" i="23"/>
  <c r="L1232" i="23"/>
  <c r="L1233" i="23"/>
  <c r="L1234" i="23"/>
  <c r="L1235" i="23"/>
  <c r="L1236" i="23"/>
  <c r="L1237" i="23"/>
  <c r="L1238" i="23"/>
  <c r="L1239" i="23"/>
  <c r="L1240" i="23"/>
  <c r="L1241" i="23"/>
  <c r="L1242" i="23"/>
  <c r="L1243" i="23"/>
  <c r="L1244" i="23"/>
  <c r="L1245" i="23"/>
  <c r="L1246" i="23"/>
  <c r="L1247" i="23"/>
  <c r="L1248" i="23"/>
  <c r="L1249" i="23"/>
  <c r="L1250" i="23"/>
  <c r="L1251" i="23"/>
  <c r="L1252" i="23"/>
  <c r="L1253" i="23"/>
  <c r="L1254" i="23"/>
  <c r="L1255" i="23"/>
  <c r="L1256" i="23"/>
  <c r="L1257" i="23"/>
  <c r="L1258" i="23"/>
  <c r="L1259" i="23"/>
  <c r="L1260" i="23"/>
  <c r="L1261" i="23"/>
  <c r="L1262" i="23"/>
  <c r="L1263" i="23"/>
  <c r="L1264" i="23"/>
  <c r="L1265" i="23"/>
  <c r="L1266" i="23"/>
  <c r="L1267" i="23"/>
  <c r="L1268" i="23"/>
  <c r="L1269" i="23"/>
  <c r="L1270" i="23"/>
  <c r="L1271" i="23"/>
  <c r="L1272" i="23"/>
  <c r="L1273" i="23"/>
  <c r="L1274" i="23"/>
  <c r="L1275" i="23"/>
  <c r="L1276" i="23"/>
  <c r="L1277" i="23"/>
  <c r="L1278" i="23"/>
  <c r="L1279" i="23"/>
  <c r="L1280" i="23"/>
  <c r="L1281" i="23"/>
  <c r="L1282" i="23"/>
  <c r="L1283" i="23"/>
  <c r="L1284" i="23"/>
  <c r="L1285" i="23"/>
  <c r="L1286" i="23"/>
  <c r="L1287" i="23"/>
  <c r="L1288" i="23"/>
  <c r="L1289" i="23"/>
  <c r="L1290" i="23"/>
  <c r="L1291" i="23"/>
  <c r="L1292" i="23"/>
  <c r="L1293" i="23"/>
  <c r="L1294" i="23"/>
  <c r="L1295" i="23"/>
  <c r="L1296" i="23"/>
  <c r="L1297" i="23"/>
  <c r="L1298" i="23"/>
  <c r="L1299" i="23"/>
  <c r="L1300" i="23"/>
  <c r="L1301" i="23"/>
  <c r="L1302" i="23"/>
  <c r="L1303" i="23"/>
  <c r="L1304" i="23"/>
  <c r="L1305" i="23"/>
  <c r="L1306" i="23"/>
  <c r="L1307" i="23"/>
  <c r="L1308" i="23"/>
  <c r="L1309" i="23"/>
  <c r="L1310" i="23"/>
  <c r="L1311" i="23"/>
  <c r="L1312" i="23"/>
  <c r="L1313" i="23"/>
  <c r="L1314" i="23"/>
  <c r="L1315" i="23"/>
  <c r="L1316" i="23"/>
  <c r="L1317" i="23"/>
  <c r="L1318" i="23"/>
  <c r="L1319" i="23"/>
  <c r="L1320" i="23"/>
  <c r="L1321" i="23"/>
  <c r="L1322" i="23"/>
  <c r="L1323" i="23"/>
  <c r="L1324" i="23"/>
  <c r="L1325" i="23"/>
  <c r="L1326" i="23"/>
  <c r="L1327" i="23"/>
  <c r="L1328" i="23"/>
  <c r="L1329" i="23"/>
  <c r="L1330" i="23"/>
  <c r="L1331" i="23"/>
  <c r="L1332" i="23"/>
  <c r="L1333" i="23"/>
  <c r="L1334" i="23"/>
  <c r="L1335" i="23"/>
  <c r="L1336" i="23"/>
  <c r="L1337" i="23"/>
  <c r="L1338" i="23"/>
  <c r="L1339" i="23"/>
  <c r="L1340" i="23"/>
  <c r="L1341" i="23"/>
  <c r="L1342" i="23"/>
  <c r="L1343" i="23"/>
  <c r="L1344" i="23"/>
  <c r="L1345" i="23"/>
  <c r="L1346" i="23"/>
  <c r="L1347" i="23"/>
  <c r="L1348" i="23"/>
  <c r="L1349" i="23"/>
  <c r="L1350" i="23"/>
  <c r="L1351" i="23"/>
  <c r="L1352" i="23"/>
  <c r="L1353" i="23"/>
  <c r="L1354" i="23"/>
  <c r="L1355" i="23"/>
  <c r="L1356" i="23"/>
  <c r="L1357" i="23"/>
  <c r="L1358" i="23"/>
  <c r="L1359" i="23"/>
  <c r="L1360" i="23"/>
  <c r="L1361" i="23"/>
  <c r="L1362" i="23"/>
  <c r="L1363" i="23"/>
  <c r="L1364" i="23"/>
  <c r="L1365" i="23"/>
  <c r="L1366" i="23"/>
  <c r="L1367" i="23"/>
  <c r="L1368" i="23"/>
  <c r="L1369" i="23"/>
  <c r="L1370" i="23"/>
  <c r="L1371" i="23"/>
  <c r="L1372" i="23"/>
  <c r="L1373" i="23"/>
  <c r="L1374" i="23"/>
  <c r="L1375" i="23"/>
  <c r="L1376" i="23"/>
  <c r="L1377" i="23"/>
  <c r="L1378" i="23"/>
  <c r="L1379" i="23"/>
  <c r="L1380" i="23"/>
  <c r="L1381" i="23"/>
  <c r="L1382" i="23"/>
  <c r="L1383" i="23"/>
  <c r="L1384" i="23"/>
  <c r="L1385" i="23"/>
  <c r="L1386" i="23"/>
  <c r="L1387" i="23"/>
  <c r="L1388" i="23"/>
  <c r="L1389" i="23"/>
  <c r="L1390" i="23"/>
  <c r="L1391" i="23"/>
  <c r="L1392" i="23"/>
  <c r="L1393" i="23"/>
  <c r="L1394" i="23"/>
  <c r="L1395" i="23"/>
  <c r="L1396" i="23"/>
  <c r="L1397" i="23"/>
  <c r="L1398" i="23"/>
  <c r="L1399" i="23"/>
  <c r="L1400" i="23"/>
  <c r="L1401" i="23"/>
  <c r="L1402" i="23"/>
  <c r="L1403" i="23"/>
  <c r="L1404" i="23"/>
  <c r="L1405" i="23"/>
  <c r="L1406" i="23"/>
  <c r="L1407" i="23"/>
  <c r="L1408" i="23"/>
  <c r="L1409" i="23"/>
  <c r="L1410" i="23"/>
  <c r="L1411" i="23"/>
  <c r="L1412" i="23"/>
  <c r="L1413" i="23"/>
  <c r="L1414" i="23"/>
  <c r="L1415" i="23"/>
  <c r="L1416" i="23"/>
  <c r="L1417" i="23"/>
  <c r="L1418" i="23"/>
  <c r="L1419" i="23"/>
  <c r="L1420" i="23"/>
  <c r="L1421" i="23"/>
  <c r="L1422" i="23"/>
  <c r="L1423" i="23"/>
  <c r="L1424" i="23"/>
  <c r="L1425" i="23"/>
  <c r="L1426" i="23"/>
  <c r="L1427" i="23"/>
  <c r="L1428" i="23"/>
  <c r="L1429" i="23"/>
  <c r="L1430" i="23"/>
  <c r="L1431" i="23"/>
  <c r="L1432" i="23"/>
  <c r="L1433" i="23"/>
  <c r="L1434" i="23"/>
  <c r="L1435" i="23"/>
  <c r="L1436" i="23"/>
  <c r="L1437" i="23"/>
  <c r="L1438" i="23"/>
  <c r="L1439" i="23"/>
  <c r="L1440" i="23"/>
  <c r="L1441" i="23"/>
  <c r="L1442" i="23"/>
  <c r="L1443" i="23"/>
  <c r="L1444" i="23"/>
  <c r="L1445" i="23"/>
  <c r="L1446" i="23"/>
  <c r="L1447" i="23"/>
  <c r="L1448" i="23"/>
  <c r="L1449" i="23"/>
  <c r="L1450" i="23"/>
  <c r="L1451" i="23"/>
  <c r="L1452" i="23"/>
  <c r="L1453" i="23"/>
  <c r="L1454" i="23"/>
  <c r="L1455" i="23"/>
  <c r="L1456" i="23"/>
  <c r="L1457" i="23"/>
  <c r="L1458" i="23"/>
  <c r="L1459" i="23"/>
  <c r="L1460" i="23"/>
  <c r="L1461" i="23"/>
  <c r="L1462" i="23"/>
  <c r="L1463" i="23"/>
  <c r="L1464" i="23"/>
  <c r="L1465" i="23"/>
  <c r="L1466" i="23"/>
  <c r="L1467" i="23"/>
  <c r="L1468" i="23"/>
  <c r="L1469" i="23"/>
  <c r="L1470" i="23"/>
  <c r="L1471" i="23"/>
  <c r="L1472" i="23"/>
  <c r="L1473" i="23"/>
  <c r="L1474" i="23"/>
  <c r="L1475" i="23"/>
  <c r="L1476" i="23"/>
  <c r="L1477" i="23"/>
  <c r="L1478" i="23"/>
  <c r="L1479" i="23"/>
  <c r="L1480" i="23"/>
  <c r="L1481" i="23"/>
  <c r="L1482" i="23"/>
  <c r="L1483" i="23"/>
  <c r="L1484" i="23"/>
  <c r="L1485" i="23"/>
  <c r="L1486" i="23"/>
  <c r="L1487" i="23"/>
  <c r="L1488" i="23"/>
  <c r="L1489" i="23"/>
  <c r="L1490" i="23"/>
  <c r="L1491" i="23"/>
  <c r="L1492" i="23"/>
  <c r="L1493" i="23"/>
  <c r="L1494" i="23"/>
  <c r="L1495" i="23"/>
  <c r="L1496" i="23"/>
  <c r="L1497" i="23"/>
  <c r="L1498" i="23"/>
  <c r="L1499" i="23"/>
  <c r="L1500" i="23"/>
  <c r="L1501" i="23"/>
  <c r="L1502" i="23"/>
  <c r="L1503" i="23"/>
  <c r="L1504" i="23"/>
  <c r="L1505" i="23"/>
  <c r="L1506" i="23"/>
  <c r="L1507" i="23"/>
  <c r="L1508" i="23"/>
  <c r="L1509" i="23"/>
  <c r="L1510" i="23"/>
  <c r="L1511" i="23"/>
  <c r="L1512" i="23"/>
  <c r="L1513" i="23"/>
  <c r="L1514" i="23"/>
  <c r="L1515" i="23"/>
  <c r="L1516" i="23"/>
  <c r="L1517" i="23"/>
  <c r="L1518" i="23"/>
  <c r="L1519" i="23"/>
  <c r="L1520" i="23"/>
  <c r="L1521" i="23"/>
  <c r="L1522" i="23"/>
  <c r="L1523" i="23"/>
  <c r="L1524" i="23"/>
  <c r="L1525" i="23"/>
  <c r="L1526" i="23"/>
  <c r="L1527" i="23"/>
  <c r="L1528" i="23"/>
  <c r="L1529" i="23"/>
  <c r="L1530" i="23"/>
  <c r="L1531" i="23"/>
  <c r="L1532" i="23"/>
  <c r="L1533" i="23"/>
  <c r="L1534" i="23"/>
  <c r="L1535" i="23"/>
  <c r="L1536" i="23"/>
  <c r="L1537" i="23"/>
  <c r="L1538" i="23"/>
  <c r="L1539" i="23"/>
  <c r="L1540" i="23"/>
  <c r="L1541" i="23"/>
  <c r="L1542" i="23"/>
  <c r="L1543" i="23"/>
  <c r="L1544" i="23"/>
  <c r="L1545" i="23"/>
  <c r="L1546" i="23"/>
  <c r="L1547" i="23"/>
  <c r="L1548" i="23"/>
  <c r="L1549" i="23"/>
  <c r="L1550" i="23"/>
  <c r="L1551" i="23"/>
  <c r="L1552" i="23"/>
  <c r="L1553" i="23"/>
  <c r="L1554" i="23"/>
  <c r="L1555" i="23"/>
  <c r="L1556" i="23"/>
  <c r="L1557" i="23"/>
  <c r="L1558" i="23"/>
  <c r="L1559" i="23"/>
  <c r="L1560" i="23"/>
  <c r="L1561" i="23"/>
  <c r="L1562" i="23"/>
  <c r="L1563" i="23"/>
  <c r="L1564" i="23"/>
  <c r="L1565" i="23"/>
  <c r="L1566" i="23"/>
  <c r="L1567" i="23"/>
  <c r="L1568" i="23"/>
  <c r="L1569" i="23"/>
  <c r="L1570" i="23"/>
  <c r="L1571" i="23"/>
  <c r="L1572" i="23"/>
  <c r="L1573" i="23"/>
  <c r="L1574" i="23"/>
  <c r="L1575" i="23"/>
  <c r="L1576" i="23"/>
  <c r="L1577" i="23"/>
  <c r="L1578" i="23"/>
  <c r="L1579" i="23"/>
  <c r="L1580" i="23"/>
  <c r="L1581" i="23"/>
  <c r="L1582" i="23"/>
  <c r="L1583" i="23"/>
  <c r="L1584" i="23"/>
  <c r="L1585" i="23"/>
  <c r="L1586" i="23"/>
  <c r="L1587" i="23"/>
  <c r="L1588" i="23"/>
  <c r="L1589" i="23"/>
  <c r="L1590" i="23"/>
  <c r="L1591" i="23"/>
  <c r="L1592" i="23"/>
  <c r="L1593" i="23"/>
  <c r="L1594" i="23"/>
  <c r="L1595" i="23"/>
  <c r="L1596" i="23"/>
  <c r="L1597" i="23"/>
  <c r="L1598" i="23"/>
  <c r="L1599" i="23"/>
  <c r="L1600" i="23"/>
  <c r="L1601" i="23"/>
  <c r="L1602" i="23"/>
  <c r="L1603" i="23"/>
  <c r="L1604" i="23"/>
  <c r="L1605" i="23"/>
  <c r="L1606" i="23"/>
  <c r="L1607" i="23"/>
  <c r="L1608" i="23"/>
  <c r="L1609" i="23"/>
  <c r="L1610" i="23"/>
  <c r="L1611" i="23"/>
  <c r="L1612" i="23"/>
  <c r="L1613" i="23"/>
  <c r="L1614" i="23"/>
  <c r="L1615" i="23"/>
  <c r="L1616" i="23"/>
  <c r="L1617" i="23"/>
  <c r="L1618" i="23"/>
  <c r="L1619" i="23"/>
  <c r="L1620" i="23"/>
  <c r="L1621" i="23"/>
  <c r="L1622" i="23"/>
  <c r="L1623" i="23"/>
  <c r="L1624" i="23"/>
  <c r="L1625" i="23"/>
  <c r="L1626" i="23"/>
  <c r="L1627" i="23"/>
  <c r="L1628" i="23"/>
  <c r="L1629" i="23"/>
  <c r="L1630" i="23"/>
  <c r="L1631" i="23"/>
  <c r="L1632" i="23"/>
  <c r="L1633" i="23"/>
  <c r="L1634" i="23"/>
  <c r="L1635" i="23"/>
  <c r="L1636" i="23"/>
  <c r="L1637" i="23"/>
  <c r="L1638" i="23"/>
  <c r="L1639" i="23"/>
  <c r="L1640" i="23"/>
  <c r="L1641" i="23"/>
  <c r="L1642" i="23"/>
  <c r="L1643" i="23"/>
  <c r="L1644" i="23"/>
  <c r="L1645" i="23"/>
  <c r="L1646" i="23"/>
  <c r="L1647" i="23"/>
  <c r="L1648" i="23"/>
  <c r="L1649" i="23"/>
  <c r="L1650" i="23"/>
  <c r="L1651" i="23"/>
  <c r="L1652" i="23"/>
  <c r="L1653" i="23"/>
  <c r="L1654" i="23"/>
  <c r="L1655" i="23"/>
  <c r="L1656" i="23"/>
  <c r="L1657" i="23"/>
  <c r="L1658" i="23"/>
  <c r="L1659" i="23"/>
  <c r="L1660" i="23"/>
  <c r="L1661" i="23"/>
  <c r="L1662" i="23"/>
  <c r="L1663" i="23"/>
  <c r="L1664" i="23"/>
  <c r="L1665" i="23"/>
  <c r="L1666" i="23"/>
  <c r="L1667" i="23"/>
  <c r="L1668" i="23"/>
  <c r="L1669" i="23"/>
  <c r="L1670" i="23"/>
  <c r="L1671" i="23"/>
  <c r="L1672" i="23"/>
  <c r="L1673" i="23"/>
  <c r="L1674" i="23"/>
  <c r="L1675" i="23"/>
  <c r="L1676" i="23"/>
  <c r="L1677" i="23"/>
  <c r="L1678" i="23"/>
  <c r="L1679" i="23"/>
  <c r="L1680" i="23"/>
  <c r="L1681" i="23"/>
  <c r="L1682" i="23"/>
  <c r="L1683" i="23"/>
  <c r="L1684" i="23"/>
  <c r="L1685" i="23"/>
  <c r="L1686" i="23"/>
  <c r="L1687" i="23"/>
  <c r="L1688" i="23"/>
  <c r="L1689" i="23"/>
  <c r="L1690" i="23"/>
  <c r="L1691" i="23"/>
  <c r="L1692" i="23"/>
  <c r="L1693" i="23"/>
  <c r="L1694" i="23"/>
  <c r="L1695" i="23"/>
  <c r="L1696" i="23"/>
  <c r="L1697" i="23"/>
  <c r="L1698" i="23"/>
  <c r="L1699" i="23"/>
  <c r="L1700" i="23"/>
  <c r="L1701" i="23"/>
  <c r="L1702" i="23"/>
  <c r="L1703" i="23"/>
  <c r="L1704" i="23"/>
  <c r="L1705" i="23"/>
  <c r="L1706" i="23"/>
  <c r="L1707" i="23"/>
  <c r="L1708" i="23"/>
  <c r="L1709" i="23"/>
  <c r="L1710" i="23"/>
  <c r="L1711" i="23"/>
  <c r="L1712" i="23"/>
  <c r="L1713" i="23"/>
  <c r="L1714" i="23"/>
  <c r="L1715" i="23"/>
  <c r="L1716" i="23"/>
  <c r="L1717" i="23"/>
  <c r="L1718" i="23"/>
  <c r="L1719" i="23"/>
  <c r="L1720" i="23"/>
  <c r="L1721" i="23"/>
  <c r="L1722" i="23"/>
  <c r="L1723" i="23"/>
  <c r="L1724" i="23"/>
  <c r="L1725" i="23"/>
  <c r="L1726" i="23"/>
  <c r="L1727" i="23"/>
  <c r="L1728" i="23"/>
  <c r="L1729" i="23"/>
  <c r="L1730" i="23"/>
  <c r="L1731" i="23"/>
  <c r="L1732" i="23"/>
  <c r="L1733" i="23"/>
  <c r="L1734" i="23"/>
  <c r="L1735" i="23"/>
  <c r="L1736" i="23"/>
  <c r="L1737" i="23"/>
  <c r="L1738" i="23"/>
  <c r="L1739" i="23"/>
  <c r="L1740" i="23"/>
  <c r="L1741" i="23"/>
  <c r="L1742" i="23"/>
  <c r="L1743" i="23"/>
  <c r="L1744" i="23"/>
  <c r="L1745" i="23"/>
  <c r="L1746" i="23"/>
  <c r="L1747" i="23"/>
  <c r="L1748" i="23"/>
  <c r="L1749" i="23"/>
  <c r="L1750" i="23"/>
  <c r="L1751" i="23"/>
  <c r="L1752" i="23"/>
  <c r="L1753" i="23"/>
  <c r="L1754" i="23"/>
  <c r="L1755" i="23"/>
  <c r="L1756" i="23"/>
  <c r="L1757" i="23"/>
  <c r="L1758" i="23"/>
  <c r="L1759" i="23"/>
  <c r="L1760" i="23"/>
  <c r="L1761" i="23"/>
  <c r="L1762" i="23"/>
  <c r="L1763" i="23"/>
  <c r="L1764" i="23"/>
  <c r="L1765" i="23"/>
  <c r="L1766" i="23"/>
  <c r="L1767" i="23"/>
  <c r="L1768" i="23"/>
  <c r="L1769" i="23"/>
  <c r="L1770" i="23"/>
  <c r="L1771" i="23"/>
  <c r="L1772" i="23"/>
  <c r="L1773" i="23"/>
  <c r="L1774" i="23"/>
  <c r="L1775" i="23"/>
  <c r="L1776" i="23"/>
  <c r="L1777" i="23"/>
  <c r="L1778" i="23"/>
  <c r="L1779" i="23"/>
  <c r="L1780" i="23"/>
  <c r="L1781" i="23"/>
  <c r="L1782" i="23"/>
  <c r="L1783" i="23"/>
  <c r="L1784" i="23"/>
  <c r="L1785" i="23"/>
  <c r="L1786" i="23"/>
  <c r="L1787" i="23"/>
  <c r="L1788" i="23"/>
  <c r="L1789" i="23"/>
  <c r="L1790" i="23"/>
  <c r="L1791" i="23"/>
  <c r="L1792" i="23"/>
  <c r="L1793" i="23"/>
  <c r="L1794" i="23"/>
  <c r="L1795" i="23"/>
  <c r="L1796" i="23"/>
  <c r="L1797" i="23"/>
  <c r="L1798" i="23"/>
  <c r="L1799" i="23"/>
  <c r="L1800" i="23"/>
  <c r="L1801" i="23"/>
  <c r="L1802" i="23"/>
  <c r="L1803" i="23"/>
  <c r="L1804" i="23"/>
  <c r="L1805" i="23"/>
  <c r="L1806" i="23"/>
  <c r="L1807" i="23"/>
  <c r="L1808" i="23"/>
  <c r="L1809" i="23"/>
  <c r="L1810" i="23"/>
  <c r="L1811" i="23"/>
  <c r="L1812" i="23"/>
  <c r="L1813" i="23"/>
  <c r="L1814" i="23"/>
  <c r="L1815" i="23"/>
  <c r="L1816" i="23"/>
  <c r="L1817" i="23"/>
  <c r="L1818" i="23"/>
  <c r="L1819" i="23"/>
  <c r="L1820" i="23"/>
  <c r="L1821" i="23"/>
  <c r="L1822" i="23"/>
  <c r="L1823" i="23"/>
  <c r="L1824" i="23"/>
  <c r="L1825" i="23"/>
  <c r="L1826" i="23"/>
  <c r="L1827" i="23"/>
  <c r="L1828" i="23"/>
  <c r="L1829" i="23"/>
  <c r="L1830" i="23"/>
  <c r="L1831" i="23"/>
  <c r="L1832" i="23"/>
  <c r="L1833" i="23"/>
  <c r="L1834" i="23"/>
  <c r="L1835" i="23"/>
  <c r="L1836" i="23"/>
  <c r="L1837" i="23"/>
  <c r="L1838" i="23"/>
  <c r="L1839" i="23"/>
  <c r="L1840" i="23"/>
  <c r="L1841" i="23"/>
  <c r="L1842" i="23"/>
  <c r="L1843" i="23"/>
  <c r="L1844" i="23"/>
  <c r="L1845" i="23"/>
  <c r="L1846" i="23"/>
  <c r="L1847" i="23"/>
  <c r="L1848" i="23"/>
  <c r="L1849" i="23"/>
  <c r="L1850" i="23"/>
  <c r="L1851" i="23"/>
  <c r="L1852" i="23"/>
  <c r="L1853" i="23"/>
  <c r="L1854" i="23"/>
  <c r="L1855" i="23"/>
  <c r="L1856" i="23"/>
  <c r="L1857" i="23"/>
  <c r="L1858" i="23"/>
  <c r="L1859" i="23"/>
  <c r="L1860" i="23"/>
  <c r="L1861" i="23"/>
  <c r="L1862" i="23"/>
  <c r="L1863" i="23"/>
  <c r="L1864" i="23"/>
  <c r="L1865" i="23"/>
  <c r="L1866" i="23"/>
  <c r="L1867" i="23"/>
  <c r="L1868" i="23"/>
  <c r="L1869" i="23"/>
  <c r="L1870" i="23"/>
  <c r="L1871" i="23"/>
  <c r="L1872" i="23"/>
  <c r="L1873" i="23"/>
  <c r="L1874" i="23"/>
  <c r="L1875" i="23"/>
  <c r="L1876" i="23"/>
  <c r="L1877" i="23"/>
  <c r="L1878" i="23"/>
  <c r="L1879" i="23"/>
  <c r="L1880" i="23"/>
  <c r="L1881" i="23"/>
  <c r="L1882" i="23"/>
  <c r="L1883" i="23"/>
  <c r="L1884" i="23"/>
  <c r="L1885" i="23"/>
  <c r="L1886" i="23"/>
  <c r="L1887" i="23"/>
  <c r="L1888" i="23"/>
  <c r="L1889" i="23"/>
  <c r="L1890" i="23"/>
  <c r="L1891" i="23"/>
  <c r="L1892" i="23"/>
  <c r="L1893" i="23"/>
  <c r="L1894" i="23"/>
  <c r="L1895" i="23"/>
  <c r="L1896" i="23"/>
  <c r="L1897" i="23"/>
  <c r="L1898" i="23"/>
  <c r="L1899" i="23"/>
  <c r="L1900" i="23"/>
  <c r="L1901" i="23"/>
  <c r="L1902" i="23"/>
  <c r="L1903" i="23"/>
  <c r="L1904" i="23"/>
  <c r="L1905" i="23"/>
  <c r="L1906" i="23"/>
  <c r="L1907" i="23"/>
  <c r="L1908" i="23"/>
  <c r="L1909" i="23"/>
  <c r="L1910" i="23"/>
  <c r="L1911" i="23"/>
  <c r="L1912" i="23"/>
  <c r="L1913" i="23"/>
  <c r="L1914" i="23"/>
  <c r="L1915" i="23"/>
  <c r="L1916" i="23"/>
  <c r="L1917" i="23"/>
  <c r="L1918" i="23"/>
  <c r="L1919" i="23"/>
  <c r="L1920" i="23"/>
  <c r="L1921" i="23"/>
  <c r="L1922" i="23"/>
  <c r="L1923" i="23"/>
  <c r="L1924" i="23"/>
  <c r="L1925" i="23"/>
  <c r="L1926" i="23"/>
  <c r="L1927" i="23"/>
  <c r="L1928" i="23"/>
  <c r="L1929" i="23"/>
  <c r="L1930" i="23"/>
  <c r="L1931" i="23"/>
  <c r="L1932" i="23"/>
  <c r="L1933" i="23"/>
  <c r="L1934" i="23"/>
  <c r="L1935" i="23"/>
  <c r="L1936" i="23"/>
  <c r="L1937" i="23"/>
  <c r="L1938" i="23"/>
  <c r="L1939" i="23"/>
  <c r="L1940" i="23"/>
  <c r="L1941" i="23"/>
  <c r="L1942" i="23"/>
  <c r="L1943" i="23"/>
  <c r="L1944" i="23"/>
  <c r="L1945" i="23"/>
  <c r="L1946" i="23"/>
  <c r="L1947" i="23"/>
  <c r="L1948" i="23"/>
  <c r="L1949" i="23"/>
  <c r="L1950" i="23"/>
  <c r="L1951" i="23"/>
  <c r="L1952" i="23"/>
  <c r="L1953" i="23"/>
  <c r="L1954" i="23"/>
  <c r="L1955" i="23"/>
  <c r="L1956" i="23"/>
  <c r="L1957" i="23"/>
  <c r="L1958" i="23"/>
  <c r="L1959" i="23"/>
  <c r="L1960" i="23"/>
  <c r="L1961" i="23"/>
  <c r="L1962" i="23"/>
  <c r="L1963" i="23"/>
  <c r="L1964" i="23"/>
  <c r="L1965" i="23"/>
  <c r="L1966" i="23"/>
  <c r="L1967" i="23"/>
  <c r="L1968" i="23"/>
  <c r="L1969" i="23"/>
  <c r="L1970" i="23"/>
  <c r="L1971" i="23"/>
  <c r="L1972" i="23"/>
  <c r="L1973" i="23"/>
  <c r="L1974" i="23"/>
  <c r="L1975" i="23"/>
  <c r="L1976" i="23"/>
  <c r="L1977" i="23"/>
  <c r="L1978" i="23"/>
  <c r="L1979" i="23"/>
  <c r="L1980" i="23"/>
  <c r="L1981" i="23"/>
  <c r="L1982" i="23"/>
  <c r="L1983" i="23"/>
  <c r="L1984" i="23"/>
  <c r="L1985" i="23"/>
  <c r="L1986" i="23"/>
  <c r="L1987" i="23"/>
  <c r="L1988" i="23"/>
  <c r="L1989" i="23"/>
  <c r="L1990" i="23"/>
  <c r="L1991" i="23"/>
  <c r="L1992" i="23"/>
  <c r="L1993" i="23"/>
  <c r="L1994" i="23"/>
  <c r="L1995" i="23"/>
  <c r="L1996" i="23"/>
  <c r="L1997" i="23"/>
  <c r="L1998" i="23"/>
  <c r="L1999" i="23"/>
  <c r="L2000" i="23"/>
  <c r="L2001" i="23"/>
  <c r="L2002" i="23"/>
  <c r="L2003" i="23"/>
  <c r="L2004" i="23"/>
  <c r="L2005" i="23"/>
  <c r="L2006" i="23"/>
  <c r="L2007" i="23"/>
  <c r="L2008" i="23"/>
  <c r="L2009" i="23"/>
  <c r="L2010" i="23"/>
  <c r="L2011" i="23"/>
  <c r="L2012" i="23"/>
  <c r="L2013" i="23"/>
  <c r="L2014" i="23"/>
  <c r="L2015" i="23"/>
  <c r="L2016" i="23"/>
  <c r="L2017" i="23"/>
  <c r="L2018" i="23"/>
  <c r="L2019" i="23"/>
  <c r="L2020" i="23"/>
  <c r="L2021" i="23"/>
  <c r="L2022" i="23"/>
  <c r="L2023" i="23"/>
  <c r="L2024" i="23"/>
  <c r="L2025" i="23"/>
  <c r="L2026" i="23"/>
  <c r="L2027" i="23"/>
  <c r="L2028" i="23"/>
  <c r="L2029" i="23"/>
  <c r="L2030" i="23"/>
  <c r="L2031" i="23"/>
  <c r="L2032" i="23"/>
  <c r="L2033" i="23"/>
  <c r="L2034" i="23"/>
  <c r="L2035" i="23"/>
  <c r="L2036" i="23"/>
  <c r="L2037" i="23"/>
  <c r="L2038" i="23"/>
  <c r="L2039" i="23"/>
  <c r="L2040" i="23"/>
  <c r="L2041" i="23"/>
  <c r="L2042" i="23"/>
  <c r="L2043" i="23"/>
  <c r="L2044" i="23"/>
  <c r="L2045" i="23"/>
  <c r="L2046" i="23"/>
  <c r="L2047" i="23"/>
  <c r="L2048" i="23"/>
  <c r="L2049" i="23"/>
  <c r="L2050" i="23"/>
  <c r="L2051" i="23"/>
  <c r="L2052" i="23"/>
  <c r="L2053" i="23"/>
  <c r="L2054" i="23"/>
  <c r="L2055" i="23"/>
  <c r="L2056" i="23"/>
  <c r="L2057" i="23"/>
  <c r="L2058" i="23"/>
  <c r="L2059" i="23"/>
  <c r="L2060" i="23"/>
  <c r="L2061" i="23"/>
  <c r="L2062" i="23"/>
  <c r="L2063" i="23"/>
  <c r="L2064" i="23"/>
  <c r="L2065" i="23"/>
  <c r="L2066" i="23"/>
  <c r="L2067" i="23"/>
  <c r="L2068" i="23"/>
  <c r="L2069" i="23"/>
  <c r="L2070" i="23"/>
  <c r="L2071" i="23"/>
  <c r="L2072" i="23"/>
  <c r="L2073" i="23"/>
  <c r="L2074" i="23"/>
  <c r="L2075" i="23"/>
  <c r="L2076" i="23"/>
  <c r="L2077" i="23"/>
  <c r="L2078" i="23"/>
  <c r="L2079" i="23"/>
  <c r="L2080" i="23"/>
  <c r="L2081" i="23"/>
  <c r="L2082" i="23"/>
  <c r="L2083" i="23"/>
  <c r="L2084" i="23"/>
  <c r="L2085" i="23"/>
  <c r="L2086" i="23"/>
  <c r="L2087" i="23"/>
  <c r="L2088" i="23"/>
  <c r="L2089" i="23"/>
  <c r="L2090" i="23"/>
  <c r="L2091" i="23"/>
  <c r="L2092" i="23"/>
  <c r="L2093" i="23"/>
  <c r="L2094" i="23"/>
  <c r="L2095" i="23"/>
  <c r="L2096" i="23"/>
  <c r="L2097" i="23"/>
  <c r="L2098" i="23"/>
  <c r="L2099" i="23"/>
  <c r="L2100" i="23"/>
  <c r="L2101" i="23"/>
  <c r="L2102" i="23"/>
  <c r="L2103" i="23"/>
  <c r="L2104" i="23"/>
  <c r="L2105" i="23"/>
  <c r="L2106" i="23"/>
  <c r="L2107" i="23"/>
  <c r="L2108" i="23"/>
  <c r="L2109" i="23"/>
  <c r="L2110" i="23"/>
  <c r="L2111" i="23"/>
  <c r="L2112" i="23"/>
  <c r="L2113" i="23"/>
  <c r="L2114" i="23"/>
  <c r="L2115" i="23"/>
  <c r="L2116" i="23"/>
  <c r="L2117" i="23"/>
  <c r="L2118" i="23"/>
  <c r="L2119" i="23"/>
  <c r="L2120" i="23"/>
  <c r="L2121" i="23"/>
  <c r="L2122" i="23"/>
  <c r="L2123" i="23"/>
  <c r="L2124" i="23"/>
  <c r="L2125" i="23"/>
  <c r="L2126" i="23"/>
  <c r="L2127" i="23"/>
  <c r="L2128" i="23"/>
  <c r="L2129" i="23"/>
  <c r="L2130" i="23"/>
  <c r="L2131" i="23"/>
  <c r="L2132" i="23"/>
  <c r="L2133" i="23"/>
  <c r="L2134" i="23"/>
  <c r="L2135" i="23"/>
  <c r="L2136" i="23"/>
  <c r="L2137" i="23"/>
  <c r="L2138" i="23"/>
  <c r="L2139" i="23"/>
  <c r="L2140" i="23"/>
  <c r="L2141" i="23"/>
  <c r="L2142" i="23"/>
  <c r="L2143" i="23"/>
  <c r="L2144" i="23"/>
  <c r="L2145" i="23"/>
  <c r="L2146" i="23"/>
  <c r="L2147" i="23"/>
  <c r="L2148" i="23"/>
  <c r="L2149" i="23"/>
  <c r="L2150" i="23"/>
  <c r="L2151" i="23"/>
  <c r="L2152" i="23"/>
  <c r="L2153" i="23"/>
  <c r="L2154" i="23"/>
  <c r="L2155" i="23"/>
  <c r="L2156" i="23"/>
  <c r="L2157" i="23"/>
  <c r="L2158" i="23"/>
  <c r="L2159" i="23"/>
  <c r="L2160" i="23"/>
  <c r="L2161" i="23"/>
  <c r="L2162" i="23"/>
  <c r="L2163" i="23"/>
  <c r="L2164" i="23"/>
  <c r="L2165" i="23"/>
  <c r="L2166" i="23"/>
  <c r="L2167" i="23"/>
  <c r="L2168" i="23"/>
  <c r="L2169" i="23"/>
  <c r="L2170" i="23"/>
  <c r="L2171" i="23"/>
  <c r="L2172" i="23"/>
  <c r="L2173" i="23"/>
  <c r="L2174" i="23"/>
  <c r="L2175" i="23"/>
  <c r="L2176" i="23"/>
  <c r="L2177" i="23"/>
  <c r="L2178" i="23"/>
  <c r="L2179" i="23"/>
  <c r="L2180" i="23"/>
  <c r="L2181" i="23"/>
  <c r="L2182" i="23"/>
  <c r="L2183" i="23"/>
  <c r="L2184" i="23"/>
  <c r="L2185" i="23"/>
  <c r="L2186" i="23"/>
  <c r="L2187" i="23"/>
  <c r="L2188" i="23"/>
  <c r="L2189" i="23"/>
  <c r="L2190" i="23"/>
  <c r="L2191" i="23"/>
  <c r="L2192" i="23"/>
  <c r="L2193" i="23"/>
  <c r="L2194" i="23"/>
  <c r="L2195" i="23"/>
  <c r="L2196" i="23"/>
  <c r="L2197" i="23"/>
  <c r="L2198" i="23"/>
  <c r="L2199" i="23"/>
  <c r="L2200" i="23"/>
  <c r="L2201" i="23"/>
  <c r="L2202" i="23"/>
  <c r="L2203" i="23"/>
  <c r="L2204" i="23"/>
  <c r="L2205" i="23"/>
  <c r="L2206" i="23"/>
  <c r="L2207" i="23"/>
  <c r="L2208" i="23"/>
  <c r="L2209" i="23"/>
  <c r="L2210" i="23"/>
  <c r="L2211" i="23"/>
  <c r="L2212" i="23"/>
  <c r="L2213" i="23"/>
  <c r="L2214" i="23"/>
  <c r="L2215" i="23"/>
  <c r="L2216" i="23"/>
  <c r="L2217" i="23"/>
  <c r="L2218" i="23"/>
  <c r="L2219" i="23"/>
  <c r="L2220" i="23"/>
  <c r="L2221" i="23"/>
  <c r="L2222" i="23"/>
  <c r="L2223" i="23"/>
  <c r="L2224" i="23"/>
  <c r="L2225" i="23"/>
  <c r="L2226" i="23"/>
  <c r="L2227" i="23"/>
  <c r="L2228" i="23"/>
  <c r="L2229" i="23"/>
  <c r="L2230" i="23"/>
  <c r="L2231" i="23"/>
  <c r="L2232" i="23"/>
  <c r="L2233" i="23"/>
  <c r="L2234" i="23"/>
  <c r="L2235" i="23"/>
  <c r="L2236" i="23"/>
  <c r="L2237" i="23"/>
  <c r="L2238" i="23"/>
  <c r="L2239" i="23"/>
  <c r="L2240" i="23"/>
  <c r="L2241" i="23"/>
  <c r="L2242" i="23"/>
  <c r="L2243" i="23"/>
  <c r="L2244" i="23"/>
  <c r="L2245" i="23"/>
  <c r="L2246" i="23"/>
  <c r="L2247" i="23"/>
  <c r="L2248" i="23"/>
  <c r="L2249" i="23"/>
  <c r="L2250" i="23"/>
  <c r="L2251" i="23"/>
  <c r="L2252" i="23"/>
  <c r="L2253" i="23"/>
  <c r="L2254" i="23"/>
  <c r="L2255" i="23"/>
  <c r="L2256" i="23"/>
  <c r="L2257" i="23"/>
  <c r="L2258" i="23"/>
  <c r="L2259" i="23"/>
  <c r="L2260" i="23"/>
  <c r="L2261" i="23"/>
  <c r="L2262" i="23"/>
  <c r="L2263" i="23"/>
  <c r="L2264" i="23"/>
  <c r="L2265" i="23"/>
  <c r="L2266" i="23"/>
  <c r="L2267" i="23"/>
  <c r="L2268" i="23"/>
  <c r="L2269" i="23"/>
  <c r="L2270" i="23"/>
  <c r="L2271" i="23"/>
  <c r="L2272" i="23"/>
  <c r="L2273" i="23"/>
  <c r="L2274" i="23"/>
  <c r="L2275" i="23"/>
  <c r="L2276" i="23"/>
  <c r="L2277" i="23"/>
  <c r="L2278" i="23"/>
  <c r="L2279" i="23"/>
  <c r="L2280" i="23"/>
  <c r="L2281" i="23"/>
  <c r="L2282" i="23"/>
  <c r="L2283" i="23"/>
  <c r="L2284" i="23"/>
  <c r="L2285" i="23"/>
  <c r="L2286" i="23"/>
  <c r="L2287" i="23"/>
  <c r="L2288" i="23"/>
  <c r="L2289" i="23"/>
  <c r="L2290" i="23"/>
  <c r="L2291" i="23"/>
  <c r="L2292" i="23"/>
  <c r="L2293" i="23"/>
  <c r="L2294" i="23"/>
  <c r="L2295" i="23"/>
  <c r="L2296" i="23"/>
  <c r="L2297" i="23"/>
  <c r="L2298" i="23"/>
  <c r="L2299" i="23"/>
  <c r="L2300" i="23"/>
  <c r="L2301" i="23"/>
  <c r="L2302" i="23"/>
  <c r="L2303" i="23"/>
  <c r="L2304" i="23"/>
  <c r="L2305" i="23"/>
  <c r="L2306" i="23"/>
  <c r="L2307" i="23"/>
  <c r="L2308" i="23"/>
  <c r="L2309" i="23"/>
  <c r="L2310" i="23"/>
  <c r="L2311" i="23"/>
  <c r="L2312" i="23"/>
  <c r="L2313" i="23"/>
  <c r="L2314" i="23"/>
  <c r="L2315" i="23"/>
  <c r="L2316" i="23"/>
  <c r="L2317" i="23"/>
  <c r="L2318" i="23"/>
  <c r="L2319" i="23"/>
  <c r="L2320" i="23"/>
  <c r="L2321" i="23"/>
  <c r="L2322" i="23"/>
  <c r="L2323" i="23"/>
  <c r="L2324" i="23"/>
  <c r="L2325" i="23"/>
  <c r="L2326" i="23"/>
  <c r="L2327" i="23"/>
  <c r="L2328" i="23"/>
  <c r="L2329" i="23"/>
  <c r="L2330" i="23"/>
  <c r="L2331" i="23"/>
  <c r="L2332" i="23"/>
  <c r="L2333" i="23"/>
  <c r="L2334" i="23"/>
  <c r="L2335" i="23"/>
  <c r="L2336" i="23"/>
  <c r="L2337" i="23"/>
  <c r="L2338" i="23"/>
  <c r="L2339" i="23"/>
  <c r="L2340" i="23"/>
  <c r="L2341" i="23"/>
  <c r="L2342" i="23"/>
  <c r="L2343" i="23"/>
  <c r="L2344" i="23"/>
  <c r="L2345" i="23"/>
  <c r="L2346" i="23"/>
  <c r="L2347" i="23"/>
  <c r="L2348" i="23"/>
  <c r="L2349" i="23"/>
  <c r="L2350" i="23"/>
  <c r="L2351" i="23"/>
  <c r="L2352" i="23"/>
  <c r="L2353" i="23"/>
  <c r="L2354" i="23"/>
  <c r="L2355" i="23"/>
  <c r="L2356" i="23"/>
  <c r="L2357" i="23"/>
  <c r="L2358" i="23"/>
  <c r="L2359" i="23"/>
  <c r="L2360" i="23"/>
  <c r="L2361" i="23"/>
  <c r="L2362" i="23"/>
  <c r="L2363" i="23"/>
  <c r="L2364" i="23"/>
  <c r="L2365" i="23"/>
  <c r="L2366" i="23"/>
  <c r="L2367" i="23"/>
  <c r="L2368" i="23"/>
  <c r="L2369" i="23"/>
  <c r="L2370" i="23"/>
  <c r="L2371" i="23"/>
  <c r="L2372" i="23"/>
  <c r="L2373" i="23"/>
  <c r="L2374" i="23"/>
  <c r="L2375" i="23"/>
  <c r="L2376" i="23"/>
  <c r="L2377" i="23"/>
  <c r="L2378" i="23"/>
  <c r="L2379" i="23"/>
  <c r="L2380" i="23"/>
  <c r="L2381" i="23"/>
  <c r="L2382" i="23"/>
  <c r="L2383" i="23"/>
  <c r="L2384" i="23"/>
  <c r="L2385" i="23"/>
  <c r="L2386" i="23"/>
  <c r="L2387" i="23"/>
  <c r="L2388" i="23"/>
  <c r="L2389" i="23"/>
  <c r="L2390" i="23"/>
  <c r="L2391" i="23"/>
  <c r="L2392" i="23"/>
  <c r="L2393" i="23"/>
  <c r="L2394" i="23"/>
  <c r="L2395" i="23"/>
  <c r="L2396" i="23"/>
  <c r="L2397" i="23"/>
  <c r="L2398" i="23"/>
  <c r="X436" i="1"/>
  <c r="AB436" i="1" a="1"/>
  <c r="AB436" i="1" l="1"/>
  <c r="X446" i="1" l="1"/>
  <c r="AB446" i="1" a="1"/>
  <c r="AB446" i="1" l="1"/>
  <c r="U1545" i="3"/>
  <c r="Y1545" i="3" s="1"/>
  <c r="S1545" i="3"/>
  <c r="N1545" i="3"/>
  <c r="M1545" i="3"/>
  <c r="L1545" i="3"/>
  <c r="K1545" i="3"/>
  <c r="J1545" i="3"/>
  <c r="I1545" i="3"/>
  <c r="H1545" i="3"/>
  <c r="G1545" i="3"/>
  <c r="F1545" i="3"/>
  <c r="D1545" i="3"/>
  <c r="U1544" i="3"/>
  <c r="Y1544" i="3" s="1"/>
  <c r="S1544" i="3"/>
  <c r="N1544" i="3"/>
  <c r="M1544" i="3"/>
  <c r="L1544" i="3"/>
  <c r="K1544" i="3"/>
  <c r="J1544" i="3"/>
  <c r="I1544" i="3"/>
  <c r="H1544" i="3"/>
  <c r="G1544" i="3"/>
  <c r="F1544" i="3"/>
  <c r="D1544" i="3"/>
  <c r="U1543" i="3"/>
  <c r="Y1543" i="3" s="1"/>
  <c r="S1543" i="3"/>
  <c r="N1543" i="3"/>
  <c r="M1543" i="3"/>
  <c r="L1543" i="3"/>
  <c r="K1543" i="3"/>
  <c r="J1543" i="3"/>
  <c r="I1543" i="3"/>
  <c r="H1543" i="3"/>
  <c r="G1543" i="3"/>
  <c r="F1543" i="3"/>
  <c r="D1543" i="3"/>
  <c r="U1542" i="3"/>
  <c r="Y1542" i="3" s="1"/>
  <c r="S1542" i="3"/>
  <c r="N1542" i="3"/>
  <c r="M1542" i="3"/>
  <c r="L1542" i="3"/>
  <c r="K1542" i="3"/>
  <c r="J1542" i="3"/>
  <c r="I1542" i="3"/>
  <c r="H1542" i="3"/>
  <c r="G1542" i="3"/>
  <c r="F1542" i="3"/>
  <c r="D1542" i="3"/>
  <c r="R50" i="16" a="1"/>
  <c r="AA1542" i="3" a="1"/>
  <c r="AA1543" i="3" a="1"/>
  <c r="AA1544" i="3" a="1"/>
  <c r="AA1545" i="3" a="1"/>
  <c r="R50" i="16" l="1"/>
  <c r="AA1544" i="3"/>
  <c r="AA1543" i="3"/>
  <c r="AA1542" i="3"/>
  <c r="AA1545" i="3"/>
  <c r="U1541" i="3" l="1"/>
  <c r="Y1541" i="3" s="1"/>
  <c r="S1541" i="3"/>
  <c r="M1541" i="3"/>
  <c r="L1541" i="3"/>
  <c r="K1541" i="3"/>
  <c r="J1541" i="3"/>
  <c r="I1541" i="3"/>
  <c r="H1541" i="3"/>
  <c r="G1541" i="3"/>
  <c r="F1541" i="3"/>
  <c r="D1541" i="3"/>
  <c r="E73" i="26"/>
  <c r="U1540" i="3"/>
  <c r="Y1540" i="3" s="1"/>
  <c r="S1540" i="3"/>
  <c r="N1540" i="3"/>
  <c r="M1540" i="3"/>
  <c r="L1540" i="3"/>
  <c r="K1540" i="3"/>
  <c r="J1540" i="3"/>
  <c r="I1540" i="3"/>
  <c r="H1540" i="3"/>
  <c r="G1540" i="3"/>
  <c r="F1540" i="3"/>
  <c r="D1540" i="3"/>
  <c r="U1539" i="3"/>
  <c r="Y1539" i="3" s="1"/>
  <c r="S1539" i="3"/>
  <c r="N1539" i="3"/>
  <c r="M1539" i="3"/>
  <c r="L1539" i="3"/>
  <c r="K1539" i="3"/>
  <c r="J1539" i="3"/>
  <c r="I1539" i="3"/>
  <c r="H1539" i="3"/>
  <c r="G1539" i="3"/>
  <c r="F1539" i="3"/>
  <c r="D1539" i="3"/>
  <c r="U1538" i="3"/>
  <c r="Y1538" i="3" s="1"/>
  <c r="S1538" i="3"/>
  <c r="N1538" i="3"/>
  <c r="M1538" i="3"/>
  <c r="L1538" i="3"/>
  <c r="K1538" i="3"/>
  <c r="J1538" i="3"/>
  <c r="I1538" i="3"/>
  <c r="H1538" i="3"/>
  <c r="G1538" i="3"/>
  <c r="F1538" i="3"/>
  <c r="D1538" i="3"/>
  <c r="U1537" i="3"/>
  <c r="Y1537" i="3" s="1"/>
  <c r="S1537" i="3"/>
  <c r="N1537" i="3"/>
  <c r="M1537" i="3"/>
  <c r="L1537" i="3"/>
  <c r="K1537" i="3"/>
  <c r="J1537" i="3"/>
  <c r="I1537" i="3"/>
  <c r="H1537" i="3"/>
  <c r="G1537" i="3"/>
  <c r="F1537" i="3"/>
  <c r="D1537" i="3"/>
  <c r="U1536" i="3"/>
  <c r="Y1536" i="3" s="1"/>
  <c r="S1536" i="3"/>
  <c r="N1536" i="3"/>
  <c r="M1536" i="3"/>
  <c r="L1536" i="3"/>
  <c r="K1536" i="3"/>
  <c r="J1536" i="3"/>
  <c r="I1536" i="3"/>
  <c r="H1536" i="3"/>
  <c r="G1536" i="3"/>
  <c r="F1536" i="3"/>
  <c r="D1536" i="3"/>
  <c r="U1535" i="3"/>
  <c r="Y1535" i="3" s="1"/>
  <c r="S1535" i="3"/>
  <c r="N1535" i="3"/>
  <c r="M1535" i="3"/>
  <c r="L1535" i="3"/>
  <c r="K1535" i="3"/>
  <c r="J1535" i="3"/>
  <c r="I1535" i="3"/>
  <c r="H1535" i="3"/>
  <c r="G1535" i="3"/>
  <c r="F1535" i="3"/>
  <c r="D1535" i="3"/>
  <c r="U1534" i="3"/>
  <c r="Y1534" i="3" s="1"/>
  <c r="S1534" i="3"/>
  <c r="N1534" i="3"/>
  <c r="M1534" i="3"/>
  <c r="L1534" i="3"/>
  <c r="K1534" i="3"/>
  <c r="J1534" i="3"/>
  <c r="I1534" i="3"/>
  <c r="H1534" i="3"/>
  <c r="G1534" i="3"/>
  <c r="F1534" i="3"/>
  <c r="D1534" i="3"/>
  <c r="U1533" i="3"/>
  <c r="Y1533" i="3" s="1"/>
  <c r="S1533" i="3"/>
  <c r="N1533" i="3"/>
  <c r="M1533" i="3"/>
  <c r="L1533" i="3"/>
  <c r="K1533" i="3"/>
  <c r="J1533" i="3"/>
  <c r="I1533" i="3"/>
  <c r="H1533" i="3"/>
  <c r="G1533" i="3"/>
  <c r="F1533" i="3"/>
  <c r="D1533" i="3"/>
  <c r="X605" i="1"/>
  <c r="R49" i="16" a="1"/>
  <c r="AB605" i="1" a="1"/>
  <c r="AA1540" i="3" a="1"/>
  <c r="AA1537" i="3" a="1"/>
  <c r="AA1538" i="3" a="1"/>
  <c r="AA1534" i="3" a="1"/>
  <c r="AA1536" i="3" a="1"/>
  <c r="AA1541" i="3" a="1"/>
  <c r="AA1535" i="3" a="1"/>
  <c r="AA1533" i="3" a="1"/>
  <c r="AA1539" i="3" a="1"/>
  <c r="AA1534" i="3" l="1"/>
  <c r="AA1535" i="3"/>
  <c r="AA1541" i="3"/>
  <c r="R49" i="16"/>
  <c r="AA1539" i="3"/>
  <c r="AA1538" i="3"/>
  <c r="AA1533" i="3"/>
  <c r="AA1537" i="3"/>
  <c r="AA1536" i="3"/>
  <c r="AA1540" i="3"/>
  <c r="AB605" i="1"/>
  <c r="L624" i="1"/>
  <c r="N1541" i="3"/>
  <c r="U1532" i="3"/>
  <c r="Y1532" i="3" s="1"/>
  <c r="S1532" i="3"/>
  <c r="N1532" i="3"/>
  <c r="M1532" i="3"/>
  <c r="L1532" i="3"/>
  <c r="K1532" i="3"/>
  <c r="J1532" i="3"/>
  <c r="I1532" i="3"/>
  <c r="H1532" i="3"/>
  <c r="G1532" i="3"/>
  <c r="F1532" i="3"/>
  <c r="D1532" i="3"/>
  <c r="U1531" i="3"/>
  <c r="Y1531" i="3" s="1"/>
  <c r="S1531" i="3"/>
  <c r="M1531" i="3"/>
  <c r="L1531" i="3"/>
  <c r="K1531" i="3"/>
  <c r="J1531" i="3"/>
  <c r="I1531" i="3"/>
  <c r="H1531" i="3"/>
  <c r="G1531" i="3"/>
  <c r="F1531" i="3"/>
  <c r="D1531" i="3"/>
  <c r="U1530" i="3"/>
  <c r="Y1530" i="3" s="1"/>
  <c r="S1530" i="3"/>
  <c r="N1530" i="3"/>
  <c r="M1530" i="3"/>
  <c r="L1530" i="3"/>
  <c r="K1530" i="3"/>
  <c r="J1530" i="3"/>
  <c r="I1530" i="3"/>
  <c r="H1530" i="3"/>
  <c r="G1530" i="3"/>
  <c r="F1530" i="3"/>
  <c r="D1530" i="3"/>
  <c r="AA1532" i="3" a="1"/>
  <c r="AA1530" i="3" a="1"/>
  <c r="AA1531" i="3" a="1"/>
  <c r="AA1532" i="3" l="1"/>
  <c r="AA1531" i="3"/>
  <c r="AA1530" i="3"/>
  <c r="U1529" i="3"/>
  <c r="Y1529" i="3" s="1"/>
  <c r="S1529" i="3"/>
  <c r="N1529" i="3"/>
  <c r="M1529" i="3"/>
  <c r="L1529" i="3"/>
  <c r="K1529" i="3"/>
  <c r="J1529" i="3"/>
  <c r="I1529" i="3"/>
  <c r="H1529" i="3"/>
  <c r="G1529" i="3"/>
  <c r="F1529" i="3"/>
  <c r="D1529" i="3"/>
  <c r="AA1529" i="3" a="1"/>
  <c r="AA1529" i="3" l="1"/>
  <c r="X483" i="1"/>
  <c r="X211" i="1"/>
  <c r="U1528" i="3"/>
  <c r="Y1528" i="3" s="1"/>
  <c r="S1528" i="3"/>
  <c r="N1528" i="3"/>
  <c r="M1528" i="3"/>
  <c r="L1528" i="3"/>
  <c r="K1528" i="3"/>
  <c r="J1528" i="3"/>
  <c r="I1528" i="3"/>
  <c r="H1528" i="3"/>
  <c r="G1528" i="3"/>
  <c r="F1528" i="3"/>
  <c r="D1528" i="3"/>
  <c r="U1527" i="3"/>
  <c r="Y1527" i="3" s="1"/>
  <c r="S1527" i="3"/>
  <c r="N1527" i="3"/>
  <c r="M1527" i="3"/>
  <c r="L1527" i="3"/>
  <c r="K1527" i="3"/>
  <c r="J1527" i="3"/>
  <c r="I1527" i="3"/>
  <c r="H1527" i="3"/>
  <c r="G1527" i="3"/>
  <c r="F1527" i="3"/>
  <c r="D1527" i="3"/>
  <c r="U1526" i="3"/>
  <c r="Y1526" i="3" s="1"/>
  <c r="S1526" i="3"/>
  <c r="N1526" i="3"/>
  <c r="M1526" i="3"/>
  <c r="L1526" i="3"/>
  <c r="K1526" i="3"/>
  <c r="J1526" i="3"/>
  <c r="I1526" i="3"/>
  <c r="H1526" i="3"/>
  <c r="G1526" i="3"/>
  <c r="F1526" i="3"/>
  <c r="D1526" i="3"/>
  <c r="AB483" i="1" a="1"/>
  <c r="AA1528" i="3" a="1"/>
  <c r="AA1527" i="3" a="1"/>
  <c r="AA1526" i="3" a="1"/>
  <c r="AB211" i="1" a="1"/>
  <c r="AA1527" i="3" l="1"/>
  <c r="AA1528" i="3"/>
  <c r="AB483" i="1"/>
  <c r="AB211" i="1"/>
  <c r="AA1526" i="3"/>
  <c r="U1525" i="3"/>
  <c r="Y1525" i="3" s="1"/>
  <c r="S1525" i="3"/>
  <c r="N1525" i="3"/>
  <c r="M1525" i="3"/>
  <c r="L1525" i="3"/>
  <c r="K1525" i="3"/>
  <c r="J1525" i="3"/>
  <c r="I1525" i="3"/>
  <c r="H1525" i="3"/>
  <c r="G1525" i="3"/>
  <c r="F1525" i="3"/>
  <c r="D1525" i="3"/>
  <c r="U1524" i="3"/>
  <c r="Y1524" i="3" s="1"/>
  <c r="S1524" i="3"/>
  <c r="N1524" i="3"/>
  <c r="M1524" i="3"/>
  <c r="L1524" i="3"/>
  <c r="K1524" i="3"/>
  <c r="J1524" i="3"/>
  <c r="I1524" i="3"/>
  <c r="H1524" i="3"/>
  <c r="G1524" i="3"/>
  <c r="F1524" i="3"/>
  <c r="D1524" i="3"/>
  <c r="U1523" i="3"/>
  <c r="Y1523" i="3" s="1"/>
  <c r="S1523" i="3"/>
  <c r="N1523" i="3"/>
  <c r="M1523" i="3"/>
  <c r="L1523" i="3"/>
  <c r="K1523" i="3"/>
  <c r="J1523" i="3"/>
  <c r="I1523" i="3"/>
  <c r="H1523" i="3"/>
  <c r="G1523" i="3"/>
  <c r="F1523" i="3"/>
  <c r="D1523" i="3"/>
  <c r="U1522" i="3"/>
  <c r="Y1522" i="3" s="1"/>
  <c r="S1522" i="3"/>
  <c r="N1522" i="3"/>
  <c r="M1522" i="3"/>
  <c r="L1522" i="3"/>
  <c r="K1522" i="3"/>
  <c r="J1522" i="3"/>
  <c r="I1522" i="3"/>
  <c r="H1522" i="3"/>
  <c r="G1522" i="3"/>
  <c r="F1522" i="3"/>
  <c r="D1522" i="3"/>
  <c r="AA1522" i="3" a="1"/>
  <c r="AA1524" i="3" a="1"/>
  <c r="AA1525" i="3" a="1"/>
  <c r="AA1523" i="3" a="1"/>
  <c r="AA1525" i="3" l="1"/>
  <c r="AA1524" i="3"/>
  <c r="AA1523" i="3"/>
  <c r="AA1522" i="3"/>
  <c r="U1521" i="3"/>
  <c r="Y1521" i="3" s="1"/>
  <c r="S1521" i="3"/>
  <c r="N1521" i="3"/>
  <c r="M1521" i="3"/>
  <c r="L1521" i="3"/>
  <c r="K1521" i="3"/>
  <c r="J1521" i="3"/>
  <c r="I1521" i="3"/>
  <c r="H1521" i="3"/>
  <c r="G1521" i="3"/>
  <c r="F1521" i="3"/>
  <c r="D1521" i="3"/>
  <c r="U1520" i="3"/>
  <c r="Y1520" i="3" s="1"/>
  <c r="S1520" i="3"/>
  <c r="N1520" i="3"/>
  <c r="M1520" i="3"/>
  <c r="L1520" i="3"/>
  <c r="K1520" i="3"/>
  <c r="J1520" i="3"/>
  <c r="I1520" i="3"/>
  <c r="H1520" i="3"/>
  <c r="G1520" i="3"/>
  <c r="F1520" i="3"/>
  <c r="D1520" i="3"/>
  <c r="X485" i="1"/>
  <c r="X221" i="1"/>
  <c r="AA1521" i="3" a="1"/>
  <c r="AB485" i="1" a="1"/>
  <c r="AB221" i="1" a="1"/>
  <c r="AA1520" i="3" a="1"/>
  <c r="AA1520" i="3" l="1"/>
  <c r="AA1521" i="3"/>
  <c r="AB485" i="1"/>
  <c r="AB221" i="1"/>
  <c r="U1519" i="3" l="1"/>
  <c r="Y1519" i="3" s="1"/>
  <c r="S1519" i="3"/>
  <c r="N1519" i="3"/>
  <c r="M1519" i="3"/>
  <c r="L1519" i="3"/>
  <c r="K1519" i="3"/>
  <c r="J1519" i="3"/>
  <c r="I1519" i="3"/>
  <c r="H1519" i="3"/>
  <c r="G1519" i="3"/>
  <c r="F1519" i="3"/>
  <c r="D1519" i="3"/>
  <c r="E77" i="26"/>
  <c r="J77" i="26" s="1"/>
  <c r="L36" i="1"/>
  <c r="AA1519" i="3" a="1"/>
  <c r="N1531" i="3" l="1"/>
  <c r="N1553" i="3"/>
  <c r="AA1519" i="3"/>
  <c r="X899" i="1"/>
  <c r="X898" i="1"/>
  <c r="X897" i="1"/>
  <c r="X896" i="1"/>
  <c r="X895" i="1"/>
  <c r="X894" i="1"/>
  <c r="X893" i="1"/>
  <c r="X892" i="1"/>
  <c r="X891" i="1"/>
  <c r="X890" i="1"/>
  <c r="X888" i="1"/>
  <c r="X889" i="1"/>
  <c r="X886" i="1"/>
  <c r="X887" i="1"/>
  <c r="X885" i="1"/>
  <c r="X883" i="1"/>
  <c r="X882" i="1"/>
  <c r="X881" i="1"/>
  <c r="X880" i="1"/>
  <c r="X879" i="1"/>
  <c r="X878" i="1"/>
  <c r="X877" i="1"/>
  <c r="X876" i="1"/>
  <c r="X875" i="1"/>
  <c r="X874" i="1"/>
  <c r="X873" i="1"/>
  <c r="X872" i="1"/>
  <c r="X869" i="1"/>
  <c r="X870" i="1"/>
  <c r="X871" i="1"/>
  <c r="X868" i="1"/>
  <c r="X865" i="1"/>
  <c r="X866" i="1"/>
  <c r="X867" i="1"/>
  <c r="X864" i="1"/>
  <c r="X858" i="1"/>
  <c r="X856" i="1"/>
  <c r="X853" i="1"/>
  <c r="X854" i="1"/>
  <c r="X852" i="1"/>
  <c r="X851" i="1"/>
  <c r="X849" i="1"/>
  <c r="X850" i="1"/>
  <c r="X846" i="1"/>
  <c r="X847" i="1"/>
  <c r="X848" i="1"/>
  <c r="X844" i="1"/>
  <c r="X840" i="1"/>
  <c r="X841" i="1"/>
  <c r="X842" i="1"/>
  <c r="X843" i="1"/>
  <c r="X839" i="1"/>
  <c r="X838" i="1"/>
  <c r="X837" i="1"/>
  <c r="X836" i="1"/>
  <c r="X835" i="1"/>
  <c r="X834" i="1"/>
  <c r="X833" i="1"/>
  <c r="X832" i="1"/>
  <c r="X829" i="1"/>
  <c r="X830" i="1"/>
  <c r="X828" i="1"/>
  <c r="X827" i="1"/>
  <c r="X826" i="1"/>
  <c r="X825" i="1"/>
  <c r="X823" i="1"/>
  <c r="X824" i="1"/>
  <c r="X822" i="1"/>
  <c r="X817" i="1"/>
  <c r="X818" i="1"/>
  <c r="X819" i="1"/>
  <c r="X820" i="1"/>
  <c r="X821" i="1"/>
  <c r="X816" i="1"/>
  <c r="X815" i="1"/>
  <c r="X814" i="1"/>
  <c r="X810" i="1"/>
  <c r="X811" i="1"/>
  <c r="X809" i="1"/>
  <c r="X807" i="1"/>
  <c r="X806" i="1"/>
  <c r="X805" i="1"/>
  <c r="X803" i="1"/>
  <c r="X802" i="1"/>
  <c r="X800" i="1"/>
  <c r="X799" i="1"/>
  <c r="X798" i="1"/>
  <c r="X794" i="1"/>
  <c r="X793" i="1"/>
  <c r="X792" i="1"/>
  <c r="X791" i="1"/>
  <c r="X790" i="1"/>
  <c r="X785" i="1"/>
  <c r="X786" i="1"/>
  <c r="X787" i="1"/>
  <c r="X788" i="1"/>
  <c r="X784" i="1"/>
  <c r="X782" i="1"/>
  <c r="X783" i="1"/>
  <c r="X779" i="1"/>
  <c r="X780" i="1"/>
  <c r="X781" i="1"/>
  <c r="X778" i="1"/>
  <c r="X763" i="1"/>
  <c r="X764" i="1"/>
  <c r="X765" i="1"/>
  <c r="X766" i="1"/>
  <c r="X767" i="1"/>
  <c r="X768" i="1"/>
  <c r="X769" i="1"/>
  <c r="X770" i="1"/>
  <c r="X771" i="1"/>
  <c r="X772" i="1"/>
  <c r="X773" i="1"/>
  <c r="X762" i="1"/>
  <c r="X761" i="1"/>
  <c r="X758" i="1"/>
  <c r="X756" i="1"/>
  <c r="X757" i="1"/>
  <c r="X755" i="1"/>
  <c r="X754" i="1"/>
  <c r="X753" i="1"/>
  <c r="X751" i="1"/>
  <c r="X752" i="1"/>
  <c r="X748" i="1"/>
  <c r="X749" i="1"/>
  <c r="X750" i="1"/>
  <c r="X742" i="1"/>
  <c r="X743" i="1"/>
  <c r="X744" i="1"/>
  <c r="X745" i="1"/>
  <c r="X746" i="1"/>
  <c r="X747" i="1"/>
  <c r="X740" i="1"/>
  <c r="X741" i="1"/>
  <c r="X738" i="1"/>
  <c r="X739" i="1"/>
  <c r="X735" i="1"/>
  <c r="X736" i="1"/>
  <c r="X734" i="1"/>
  <c r="X733" i="1"/>
  <c r="X731" i="1"/>
  <c r="X732" i="1"/>
  <c r="X730" i="1"/>
  <c r="X729" i="1"/>
  <c r="X726" i="1"/>
  <c r="X727" i="1"/>
  <c r="X728" i="1"/>
  <c r="X724" i="1"/>
  <c r="X723" i="1"/>
  <c r="X720" i="1"/>
  <c r="X715" i="1"/>
  <c r="X716" i="1"/>
  <c r="X717" i="1"/>
  <c r="X718" i="1"/>
  <c r="X719" i="1"/>
  <c r="X714" i="1"/>
  <c r="X711" i="1"/>
  <c r="X712" i="1"/>
  <c r="X713" i="1"/>
  <c r="X710" i="1"/>
  <c r="X708" i="1"/>
  <c r="X709" i="1"/>
  <c r="X706" i="1"/>
  <c r="X707" i="1"/>
  <c r="X704" i="1"/>
  <c r="X703" i="1"/>
  <c r="X702" i="1"/>
  <c r="X701" i="1"/>
  <c r="X697" i="1"/>
  <c r="X698" i="1"/>
  <c r="X699" i="1"/>
  <c r="X695" i="1"/>
  <c r="X696" i="1"/>
  <c r="X694" i="1"/>
  <c r="X692" i="1"/>
  <c r="X693" i="1"/>
  <c r="X691" i="1"/>
  <c r="X690" i="1"/>
  <c r="X689" i="1"/>
  <c r="X688" i="1"/>
  <c r="X680" i="1"/>
  <c r="X681" i="1"/>
  <c r="X682" i="1"/>
  <c r="X683" i="1"/>
  <c r="X684" i="1"/>
  <c r="X679" i="1"/>
  <c r="X677" i="1"/>
  <c r="X678" i="1"/>
  <c r="X676" i="1"/>
  <c r="X674" i="1"/>
  <c r="X675" i="1"/>
  <c r="X672" i="1"/>
  <c r="X673" i="1"/>
  <c r="X671" i="1"/>
  <c r="X669" i="1"/>
  <c r="X666" i="1"/>
  <c r="X667" i="1"/>
  <c r="X668" i="1"/>
  <c r="X665" i="1"/>
  <c r="X663" i="1"/>
  <c r="X661" i="1"/>
  <c r="X662" i="1"/>
  <c r="X659" i="1"/>
  <c r="X658" i="1"/>
  <c r="X657" i="1"/>
  <c r="X655" i="1"/>
  <c r="X656" i="1"/>
  <c r="X653" i="1"/>
  <c r="X646" i="1"/>
  <c r="X647" i="1"/>
  <c r="X648" i="1"/>
  <c r="X649" i="1"/>
  <c r="X650" i="1"/>
  <c r="X645" i="1"/>
  <c r="X643" i="1"/>
  <c r="X644" i="1"/>
  <c r="X642" i="1"/>
  <c r="X641" i="1"/>
  <c r="X639" i="1"/>
  <c r="X638" i="1"/>
  <c r="X637" i="1"/>
  <c r="X636" i="1"/>
  <c r="X634" i="1"/>
  <c r="X633" i="1"/>
  <c r="X632" i="1"/>
  <c r="X631" i="1"/>
  <c r="X630" i="1"/>
  <c r="X629" i="1"/>
  <c r="X628" i="1"/>
  <c r="X626" i="1"/>
  <c r="X625" i="1"/>
  <c r="X624" i="1"/>
  <c r="X622" i="1"/>
  <c r="X619" i="1"/>
  <c r="X618" i="1"/>
  <c r="X617" i="1"/>
  <c r="X616" i="1"/>
  <c r="X615" i="1"/>
  <c r="X613" i="1"/>
  <c r="X614" i="1"/>
  <c r="X612" i="1"/>
  <c r="X610" i="1"/>
  <c r="X607" i="1"/>
  <c r="X606" i="1"/>
  <c r="X604" i="1"/>
  <c r="X603" i="1"/>
  <c r="X601" i="1"/>
  <c r="X602" i="1"/>
  <c r="X600" i="1"/>
  <c r="X597" i="1"/>
  <c r="X596" i="1"/>
  <c r="X593" i="1"/>
  <c r="X594" i="1"/>
  <c r="X591" i="1"/>
  <c r="X590" i="1"/>
  <c r="X589" i="1"/>
  <c r="X585" i="1"/>
  <c r="X586" i="1"/>
  <c r="X583" i="1"/>
  <c r="X584" i="1"/>
  <c r="X581" i="1"/>
  <c r="X582" i="1"/>
  <c r="X579" i="1"/>
  <c r="X580" i="1"/>
  <c r="X578" i="1"/>
  <c r="X576" i="1"/>
  <c r="X574" i="1"/>
  <c r="X573" i="1"/>
  <c r="X572" i="1"/>
  <c r="X571" i="1"/>
  <c r="X570" i="1"/>
  <c r="X569" i="1"/>
  <c r="X567" i="1"/>
  <c r="X568" i="1"/>
  <c r="X566" i="1"/>
  <c r="X565" i="1"/>
  <c r="X560" i="1"/>
  <c r="X561" i="1"/>
  <c r="X562" i="1"/>
  <c r="X558" i="1"/>
  <c r="X557" i="1"/>
  <c r="X555" i="1"/>
  <c r="X556" i="1"/>
  <c r="X554" i="1"/>
  <c r="X553" i="1"/>
  <c r="X552" i="1"/>
  <c r="X550" i="1"/>
  <c r="X551" i="1"/>
  <c r="X544" i="1"/>
  <c r="X545" i="1"/>
  <c r="X546" i="1"/>
  <c r="X543" i="1"/>
  <c r="X542" i="1"/>
  <c r="X540" i="1"/>
  <c r="X541" i="1"/>
  <c r="X538" i="1"/>
  <c r="X539" i="1"/>
  <c r="X535" i="1"/>
  <c r="X536" i="1"/>
  <c r="X537" i="1"/>
  <c r="X534" i="1"/>
  <c r="X533" i="1"/>
  <c r="X532" i="1"/>
  <c r="X531" i="1"/>
  <c r="X530" i="1"/>
  <c r="X528" i="1"/>
  <c r="X527" i="1"/>
  <c r="X526" i="1"/>
  <c r="X525" i="1"/>
  <c r="X522" i="1"/>
  <c r="X523" i="1"/>
  <c r="X520" i="1"/>
  <c r="X519" i="1"/>
  <c r="X518" i="1"/>
  <c r="X516" i="1"/>
  <c r="X515" i="1"/>
  <c r="X509" i="1"/>
  <c r="X510" i="1"/>
  <c r="X511" i="1"/>
  <c r="X512" i="1"/>
  <c r="X513" i="1"/>
  <c r="X508" i="1"/>
  <c r="X507" i="1"/>
  <c r="X506" i="1"/>
  <c r="X505" i="1"/>
  <c r="X504" i="1"/>
  <c r="X503" i="1"/>
  <c r="X502" i="1"/>
  <c r="X501" i="1"/>
  <c r="X499" i="1"/>
  <c r="X500" i="1"/>
  <c r="X498" i="1"/>
  <c r="X494" i="1"/>
  <c r="X495" i="1"/>
  <c r="X496" i="1"/>
  <c r="X493" i="1"/>
  <c r="X491" i="1"/>
  <c r="X492" i="1"/>
  <c r="X489" i="1"/>
  <c r="X487" i="1"/>
  <c r="X486" i="1"/>
  <c r="X484" i="1"/>
  <c r="X480" i="1"/>
  <c r="X479" i="1"/>
  <c r="X477" i="1"/>
  <c r="X478" i="1"/>
  <c r="X475" i="1"/>
  <c r="X476" i="1"/>
  <c r="X469" i="1"/>
  <c r="X470" i="1"/>
  <c r="X471" i="1"/>
  <c r="X466" i="1"/>
  <c r="X457" i="1"/>
  <c r="X458" i="1"/>
  <c r="X459" i="1"/>
  <c r="X460" i="1"/>
  <c r="X461" i="1"/>
  <c r="X462" i="1"/>
  <c r="X463" i="1"/>
  <c r="X464" i="1"/>
  <c r="X465" i="1"/>
  <c r="X456" i="1"/>
  <c r="X454" i="1"/>
  <c r="X455" i="1"/>
  <c r="X452" i="1"/>
  <c r="X453" i="1"/>
  <c r="X451" i="1"/>
  <c r="X450" i="1"/>
  <c r="X448" i="1"/>
  <c r="X447" i="1"/>
  <c r="X444" i="1"/>
  <c r="X439" i="1"/>
  <c r="X440" i="1"/>
  <c r="X441" i="1"/>
  <c r="X438" i="1"/>
  <c r="X437" i="1"/>
  <c r="X434" i="1"/>
  <c r="X433" i="1"/>
  <c r="X432" i="1"/>
  <c r="X431" i="1"/>
  <c r="X429" i="1"/>
  <c r="X428" i="1"/>
  <c r="X427" i="1"/>
  <c r="X426" i="1"/>
  <c r="X425" i="1"/>
  <c r="X424" i="1"/>
  <c r="X422" i="1"/>
  <c r="X423" i="1"/>
  <c r="X421" i="1"/>
  <c r="X420" i="1"/>
  <c r="X419" i="1"/>
  <c r="X417" i="1"/>
  <c r="X418" i="1"/>
  <c r="X416" i="1"/>
  <c r="X415" i="1"/>
  <c r="X414" i="1"/>
  <c r="X413" i="1"/>
  <c r="X409" i="1"/>
  <c r="X410" i="1"/>
  <c r="X411" i="1"/>
  <c r="X412" i="1"/>
  <c r="X407" i="1"/>
  <c r="X408" i="1"/>
  <c r="X405" i="1"/>
  <c r="X406" i="1"/>
  <c r="X403" i="1"/>
  <c r="X404" i="1"/>
  <c r="X402" i="1"/>
  <c r="X399" i="1"/>
  <c r="X400" i="1"/>
  <c r="X396" i="1"/>
  <c r="X395" i="1"/>
  <c r="X394" i="1"/>
  <c r="X392" i="1"/>
  <c r="X380" i="1"/>
  <c r="X381" i="1"/>
  <c r="X382" i="1"/>
  <c r="X383" i="1"/>
  <c r="X384" i="1"/>
  <c r="X385" i="1"/>
  <c r="X386" i="1"/>
  <c r="X387" i="1"/>
  <c r="X388" i="1"/>
  <c r="X389" i="1"/>
  <c r="X359" i="1"/>
  <c r="X360" i="1"/>
  <c r="X361" i="1"/>
  <c r="X362" i="1"/>
  <c r="X363" i="1"/>
  <c r="X364" i="1"/>
  <c r="X365" i="1"/>
  <c r="X366" i="1"/>
  <c r="X367" i="1"/>
  <c r="X368" i="1"/>
  <c r="X369" i="1"/>
  <c r="X370" i="1"/>
  <c r="X358" i="1"/>
  <c r="X355" i="1"/>
  <c r="X356" i="1"/>
  <c r="X357" i="1"/>
  <c r="X354" i="1"/>
  <c r="X352" i="1"/>
  <c r="X351" i="1"/>
  <c r="X350" i="1"/>
  <c r="X349" i="1"/>
  <c r="X348" i="1"/>
  <c r="X347" i="1"/>
  <c r="X346" i="1"/>
  <c r="X345" i="1"/>
  <c r="X344" i="1"/>
  <c r="X342" i="1"/>
  <c r="X343" i="1"/>
  <c r="X336" i="1"/>
  <c r="X337" i="1"/>
  <c r="X338" i="1"/>
  <c r="X339" i="1"/>
  <c r="X340" i="1"/>
  <c r="X334" i="1"/>
  <c r="X335" i="1"/>
  <c r="X332" i="1"/>
  <c r="X333" i="1"/>
  <c r="X328" i="1"/>
  <c r="X329" i="1"/>
  <c r="X326" i="1"/>
  <c r="X324" i="1"/>
  <c r="X325" i="1"/>
  <c r="X323" i="1"/>
  <c r="X322" i="1"/>
  <c r="X320" i="1"/>
  <c r="X319" i="1"/>
  <c r="X317" i="1"/>
  <c r="X318" i="1"/>
  <c r="X313" i="1"/>
  <c r="X314" i="1"/>
  <c r="X312" i="1"/>
  <c r="X310" i="1"/>
  <c r="X311" i="1"/>
  <c r="X309" i="1"/>
  <c r="X307" i="1"/>
  <c r="X308" i="1"/>
  <c r="X305" i="1"/>
  <c r="X306" i="1"/>
  <c r="X304" i="1"/>
  <c r="X303" i="1"/>
  <c r="X302" i="1"/>
  <c r="X301" i="1"/>
  <c r="X300" i="1"/>
  <c r="X321" i="1"/>
  <c r="X299" i="1"/>
  <c r="X298" i="1"/>
  <c r="X296" i="1"/>
  <c r="X294" i="1"/>
  <c r="X293" i="1"/>
  <c r="X292" i="1"/>
  <c r="X289" i="1"/>
  <c r="X288" i="1"/>
  <c r="X286" i="1"/>
  <c r="X283" i="1"/>
  <c r="X282" i="1"/>
  <c r="X272" i="1"/>
  <c r="X273" i="1"/>
  <c r="X274" i="1"/>
  <c r="X275" i="1"/>
  <c r="X276" i="1"/>
  <c r="X277" i="1"/>
  <c r="X278" i="1"/>
  <c r="X279" i="1"/>
  <c r="X280" i="1"/>
  <c r="X270" i="1"/>
  <c r="X269" i="1"/>
  <c r="X264" i="1"/>
  <c r="X265" i="1"/>
  <c r="X266" i="1"/>
  <c r="X263" i="1"/>
  <c r="X262" i="1"/>
  <c r="X261" i="1"/>
  <c r="X260" i="1"/>
  <c r="X255" i="1"/>
  <c r="X256" i="1"/>
  <c r="X257" i="1"/>
  <c r="X258" i="1"/>
  <c r="X259" i="1"/>
  <c r="X251" i="1"/>
  <c r="X249" i="1"/>
  <c r="X248" i="1"/>
  <c r="X247" i="1"/>
  <c r="X246" i="1"/>
  <c r="X245" i="1"/>
  <c r="X243" i="1"/>
  <c r="X242" i="1"/>
  <c r="X241" i="1"/>
  <c r="X240" i="1"/>
  <c r="X239" i="1"/>
  <c r="X238" i="1"/>
  <c r="X237" i="1"/>
  <c r="X236" i="1"/>
  <c r="X235" i="1"/>
  <c r="X233" i="1"/>
  <c r="X232" i="1"/>
  <c r="X228" i="1"/>
  <c r="X229" i="1"/>
  <c r="X225" i="1"/>
  <c r="X226" i="1"/>
  <c r="X227" i="1"/>
  <c r="X224" i="1"/>
  <c r="X223" i="1"/>
  <c r="X222" i="1"/>
  <c r="X217" i="1"/>
  <c r="X218" i="1"/>
  <c r="X219" i="1"/>
  <c r="X220" i="1"/>
  <c r="X215" i="1"/>
  <c r="X214" i="1"/>
  <c r="X213" i="1"/>
  <c r="X212" i="1"/>
  <c r="X210" i="1"/>
  <c r="X209" i="1"/>
  <c r="X208" i="1"/>
  <c r="X207" i="1"/>
  <c r="X206" i="1"/>
  <c r="X205" i="1"/>
  <c r="X204" i="1"/>
  <c r="X200" i="1"/>
  <c r="X201" i="1"/>
  <c r="X202" i="1"/>
  <c r="X203" i="1"/>
  <c r="X199" i="1"/>
  <c r="X197" i="1"/>
  <c r="X196" i="1"/>
  <c r="X193" i="1"/>
  <c r="X194" i="1"/>
  <c r="X189" i="1"/>
  <c r="X188" i="1"/>
  <c r="X185" i="1"/>
  <c r="X186" i="1"/>
  <c r="X187" i="1"/>
  <c r="X184" i="1"/>
  <c r="X182" i="1"/>
  <c r="X178" i="1"/>
  <c r="X179" i="1"/>
  <c r="X176" i="1"/>
  <c r="X177" i="1"/>
  <c r="X173" i="1"/>
  <c r="X174" i="1"/>
  <c r="X175" i="1"/>
  <c r="X172" i="1"/>
  <c r="X171" i="1"/>
  <c r="X170" i="1"/>
  <c r="X169" i="1"/>
  <c r="X168" i="1"/>
  <c r="X164" i="1"/>
  <c r="X165" i="1"/>
  <c r="X166" i="1"/>
  <c r="X167" i="1"/>
  <c r="X162" i="1"/>
  <c r="X163" i="1"/>
  <c r="X141" i="1"/>
  <c r="X142" i="1"/>
  <c r="X143" i="1"/>
  <c r="X144" i="1"/>
  <c r="X145" i="1"/>
  <c r="X146" i="1"/>
  <c r="X147" i="1"/>
  <c r="X148" i="1"/>
  <c r="X149" i="1"/>
  <c r="X150" i="1"/>
  <c r="X151" i="1"/>
  <c r="X152" i="1"/>
  <c r="X153" i="1"/>
  <c r="X154" i="1"/>
  <c r="X155" i="1"/>
  <c r="X156" i="1"/>
  <c r="X157" i="1"/>
  <c r="X140" i="1"/>
  <c r="X139" i="1"/>
  <c r="X137" i="1"/>
  <c r="X138" i="1"/>
  <c r="X136" i="1"/>
  <c r="X135" i="1"/>
  <c r="X132" i="1"/>
  <c r="X133" i="1"/>
  <c r="X134" i="1"/>
  <c r="X131" i="1"/>
  <c r="X130" i="1"/>
  <c r="X128" i="1"/>
  <c r="X129" i="1"/>
  <c r="X124" i="1"/>
  <c r="X125" i="1"/>
  <c r="X126" i="1"/>
  <c r="X123" i="1"/>
  <c r="X122" i="1"/>
  <c r="X121" i="1"/>
  <c r="X119" i="1"/>
  <c r="X120" i="1"/>
  <c r="X117" i="1"/>
  <c r="X118" i="1"/>
  <c r="X116" i="1"/>
  <c r="X115" i="1"/>
  <c r="X113" i="1"/>
  <c r="X111" i="1"/>
  <c r="X112" i="1"/>
  <c r="X109" i="1"/>
  <c r="X108" i="1"/>
  <c r="X107" i="1"/>
  <c r="X106" i="1"/>
  <c r="X97" i="1"/>
  <c r="X98" i="1"/>
  <c r="X99" i="1"/>
  <c r="X100" i="1"/>
  <c r="X101" i="1"/>
  <c r="X102" i="1"/>
  <c r="X103" i="1"/>
  <c r="X104" i="1"/>
  <c r="X105" i="1"/>
  <c r="X96" i="1"/>
  <c r="X95" i="1"/>
  <c r="X94" i="1"/>
  <c r="X93" i="1"/>
  <c r="X92" i="1"/>
  <c r="X91" i="1"/>
  <c r="X90" i="1"/>
  <c r="X88" i="1"/>
  <c r="X85" i="1"/>
  <c r="X86" i="1"/>
  <c r="X87" i="1"/>
  <c r="X81" i="1"/>
  <c r="X82" i="1"/>
  <c r="X83" i="1"/>
  <c r="X77" i="1"/>
  <c r="X78" i="1"/>
  <c r="X79" i="1"/>
  <c r="X80" i="1"/>
  <c r="X76" i="1"/>
  <c r="X75" i="1"/>
  <c r="X67" i="1"/>
  <c r="X68" i="1"/>
  <c r="X69" i="1"/>
  <c r="X70" i="1"/>
  <c r="X71" i="1"/>
  <c r="X66" i="1"/>
  <c r="X65" i="1"/>
  <c r="X63" i="1"/>
  <c r="X64" i="1"/>
  <c r="X58" i="1"/>
  <c r="X59" i="1"/>
  <c r="X60" i="1"/>
  <c r="X61" i="1"/>
  <c r="X62" i="1"/>
  <c r="X57" i="1"/>
  <c r="X55" i="1"/>
  <c r="X56" i="1"/>
  <c r="X54" i="1"/>
  <c r="X52" i="1"/>
  <c r="X53" i="1"/>
  <c r="X50" i="1"/>
  <c r="X51" i="1"/>
  <c r="X49" i="1"/>
  <c r="X48" i="1"/>
  <c r="X43" i="1"/>
  <c r="X44" i="1"/>
  <c r="X45" i="1"/>
  <c r="X46" i="1"/>
  <c r="X47" i="1"/>
  <c r="X40" i="1"/>
  <c r="X41" i="1"/>
  <c r="X39" i="1"/>
  <c r="X36" i="1"/>
  <c r="X37" i="1"/>
  <c r="X34" i="1"/>
  <c r="X33" i="1"/>
  <c r="X29" i="1"/>
  <c r="X28" i="1"/>
  <c r="X25" i="1"/>
  <c r="X23" i="1"/>
  <c r="X24" i="1"/>
  <c r="X21" i="1"/>
  <c r="X20" i="1"/>
  <c r="X19" i="1"/>
  <c r="X16" i="1"/>
  <c r="X17" i="1"/>
  <c r="X18" i="1"/>
  <c r="X15" i="1"/>
  <c r="X14" i="1"/>
  <c r="X13" i="1"/>
  <c r="X12" i="1"/>
  <c r="X9" i="1"/>
  <c r="X10" i="1"/>
  <c r="X11" i="1"/>
  <c r="X8" i="1"/>
  <c r="X7" i="1"/>
  <c r="X5" i="1"/>
  <c r="X6" i="1"/>
  <c r="X72" i="1"/>
  <c r="X198" i="1"/>
  <c r="X297" i="1"/>
  <c r="X316" i="1"/>
  <c r="X401" i="1"/>
  <c r="X608" i="1"/>
  <c r="X654" i="1"/>
  <c r="X685" i="1"/>
  <c r="X774" i="1"/>
  <c r="X855" i="1"/>
  <c r="X230" i="1"/>
  <c r="X254" i="1"/>
  <c r="X271" i="1"/>
  <c r="X290" i="1"/>
  <c r="X371" i="1"/>
  <c r="X577" i="1"/>
  <c r="X808" i="1"/>
  <c r="X845" i="1"/>
  <c r="X353" i="1"/>
  <c r="X430" i="1"/>
  <c r="X158" i="1"/>
  <c r="X281" i="1"/>
  <c r="X284" i="1"/>
  <c r="X789" i="1"/>
  <c r="X195" i="1"/>
  <c r="X267" i="1"/>
  <c r="X759" i="1"/>
  <c r="X700" i="1"/>
  <c r="X159" i="1"/>
  <c r="X234" i="1"/>
  <c r="X725" i="1"/>
  <c r="X598" i="1"/>
  <c r="X547" i="1"/>
  <c r="X548" i="1"/>
  <c r="X467" i="1"/>
  <c r="X468" i="1"/>
  <c r="X190" i="1"/>
  <c r="X445" i="1"/>
  <c r="X84" i="1"/>
  <c r="X27" i="1"/>
  <c r="X623" i="1"/>
  <c r="X670" i="1"/>
  <c r="X30" i="1"/>
  <c r="X315" i="1"/>
  <c r="X397" i="1"/>
  <c r="X595" i="1"/>
  <c r="X620" i="1"/>
  <c r="X686" i="1"/>
  <c r="X191" i="1"/>
  <c r="X442" i="1"/>
  <c r="X341" i="1"/>
  <c r="X760" i="1"/>
  <c r="X330" i="1"/>
  <c r="X660" i="1"/>
  <c r="X38" i="1"/>
  <c r="X216" i="1"/>
  <c r="X559" i="1"/>
  <c r="X804" i="1"/>
  <c r="X183" i="1"/>
  <c r="X391" i="1"/>
  <c r="X372" i="1"/>
  <c r="X373" i="1"/>
  <c r="X514" i="1"/>
  <c r="X374" i="1"/>
  <c r="X287" i="1"/>
  <c r="X435" i="1"/>
  <c r="X268" i="1"/>
  <c r="X664" i="1"/>
  <c r="X26" i="1"/>
  <c r="X160" i="1"/>
  <c r="X375" i="1"/>
  <c r="X497" i="1"/>
  <c r="X563" i="1"/>
  <c r="X651" i="1"/>
  <c r="X721" i="1"/>
  <c r="X795" i="1"/>
  <c r="X812" i="1"/>
  <c r="X857" i="1"/>
  <c r="X181" i="1"/>
  <c r="X285" i="1"/>
  <c r="X609" i="1"/>
  <c r="X592" i="1"/>
  <c r="X587" i="1"/>
  <c r="X575" i="1"/>
  <c r="X488" i="1"/>
  <c r="X472" i="1"/>
  <c r="X376" i="1"/>
  <c r="X291" i="1"/>
  <c r="X253" i="1"/>
  <c r="X231" i="1"/>
  <c r="X73" i="1"/>
  <c r="X22" i="1"/>
  <c r="X775" i="1"/>
  <c r="X884" i="1"/>
  <c r="X627" i="1"/>
  <c r="X490" i="1"/>
  <c r="X114" i="1"/>
  <c r="X161" i="1"/>
  <c r="X110" i="1"/>
  <c r="X327" i="1"/>
  <c r="X813" i="1"/>
  <c r="X722" i="1"/>
  <c r="X564" i="1"/>
  <c r="X831" i="1"/>
  <c r="X473" i="1"/>
  <c r="X390" i="1"/>
  <c r="X377" i="1"/>
  <c r="X524" i="1"/>
  <c r="X796" i="1"/>
  <c r="X549" i="1"/>
  <c r="X801" i="1"/>
  <c r="X859" i="1"/>
  <c r="X860" i="1"/>
  <c r="X529" i="1"/>
  <c r="X295" i="1"/>
  <c r="X449" i="1"/>
  <c r="X127" i="1"/>
  <c r="X737" i="1"/>
  <c r="X250" i="1"/>
  <c r="X611" i="1"/>
  <c r="X89" i="1"/>
  <c r="X31" i="1"/>
  <c r="X705" i="1"/>
  <c r="X861" i="1"/>
  <c r="X862" i="1"/>
  <c r="X599" i="1"/>
  <c r="X863" i="1"/>
  <c r="X481" i="1"/>
  <c r="X482" i="1"/>
  <c r="X32" i="1"/>
  <c r="X35" i="1"/>
  <c r="X74" i="1"/>
  <c r="X180" i="1"/>
  <c r="X640" i="1"/>
  <c r="X378" i="1"/>
  <c r="X443" i="1"/>
  <c r="X474" i="1"/>
  <c r="X521" i="1"/>
  <c r="X588" i="1"/>
  <c r="X621" i="1"/>
  <c r="X652" i="1"/>
  <c r="X776" i="1"/>
  <c r="X398" i="1"/>
  <c r="X517" i="1"/>
  <c r="X252" i="1"/>
  <c r="X687" i="1"/>
  <c r="X244" i="1"/>
  <c r="X635" i="1"/>
  <c r="X393" i="1"/>
  <c r="X777" i="1"/>
  <c r="X379" i="1"/>
  <c r="X331" i="1"/>
  <c r="X192" i="1"/>
  <c r="AB192" i="1" a="1"/>
  <c r="AB635" i="1" a="1"/>
  <c r="AB635" i="1" l="1"/>
  <c r="AB192" i="1"/>
  <c r="AB331" i="1" a="1"/>
  <c r="AB331" i="1" l="1"/>
  <c r="AB379" i="1" a="1"/>
  <c r="AB379" i="1" l="1"/>
  <c r="U1518" i="3"/>
  <c r="Y1518" i="3" s="1"/>
  <c r="S1518" i="3"/>
  <c r="N1518" i="3"/>
  <c r="M1518" i="3"/>
  <c r="L1518" i="3"/>
  <c r="K1518" i="3"/>
  <c r="J1518" i="3"/>
  <c r="I1518" i="3"/>
  <c r="H1518" i="3"/>
  <c r="G1518" i="3"/>
  <c r="F1518" i="3"/>
  <c r="D1518" i="3"/>
  <c r="AA1518" i="3" a="1"/>
  <c r="AA1518" i="3" l="1"/>
  <c r="U1517" i="3" l="1"/>
  <c r="Y1517" i="3" s="1"/>
  <c r="S1517" i="3"/>
  <c r="M1517" i="3"/>
  <c r="L1517" i="3"/>
  <c r="K1517" i="3"/>
  <c r="J1517" i="3"/>
  <c r="I1517" i="3"/>
  <c r="H1517" i="3"/>
  <c r="G1517" i="3"/>
  <c r="F1517" i="3"/>
  <c r="D1517" i="3"/>
  <c r="L862" i="1"/>
  <c r="U1516" i="3"/>
  <c r="Y1516" i="3" s="1"/>
  <c r="S1516" i="3"/>
  <c r="N1516" i="3"/>
  <c r="M1516" i="3"/>
  <c r="L1516" i="3"/>
  <c r="K1516" i="3"/>
  <c r="J1516" i="3"/>
  <c r="I1516" i="3"/>
  <c r="H1516" i="3"/>
  <c r="G1516" i="3"/>
  <c r="F1516" i="3"/>
  <c r="D1516" i="3"/>
  <c r="U1515" i="3"/>
  <c r="S1515" i="3"/>
  <c r="N1515" i="3"/>
  <c r="M1515" i="3"/>
  <c r="L1515" i="3"/>
  <c r="K1515" i="3"/>
  <c r="J1515" i="3"/>
  <c r="I1515" i="3"/>
  <c r="H1515" i="3"/>
  <c r="G1515" i="3"/>
  <c r="F1515" i="3"/>
  <c r="D1515" i="3"/>
  <c r="U1514" i="3"/>
  <c r="Y1514" i="3" s="1"/>
  <c r="S1514" i="3"/>
  <c r="M1514" i="3"/>
  <c r="L1514" i="3"/>
  <c r="K1514" i="3"/>
  <c r="J1514" i="3"/>
  <c r="I1514" i="3"/>
  <c r="H1514" i="3"/>
  <c r="G1514" i="3"/>
  <c r="F1514" i="3"/>
  <c r="D1514" i="3"/>
  <c r="AA1514" i="3" a="1"/>
  <c r="AA1516" i="3" a="1"/>
  <c r="AA1515" i="3" a="1"/>
  <c r="AA1517" i="3" a="1"/>
  <c r="N1517" i="3" l="1"/>
  <c r="AA1517" i="3"/>
  <c r="AA1516" i="3"/>
  <c r="AA1515" i="3"/>
  <c r="AA1514" i="3"/>
  <c r="U1513" i="3"/>
  <c r="Y1513" i="3" s="1"/>
  <c r="S1513" i="3"/>
  <c r="N1513" i="3"/>
  <c r="M1513" i="3"/>
  <c r="L1513" i="3"/>
  <c r="K1513" i="3"/>
  <c r="J1513" i="3"/>
  <c r="I1513" i="3"/>
  <c r="H1513" i="3"/>
  <c r="G1513" i="3"/>
  <c r="F1513" i="3"/>
  <c r="D1513" i="3"/>
  <c r="U1512" i="3"/>
  <c r="Y1512" i="3" s="1"/>
  <c r="S1512" i="3"/>
  <c r="N1512" i="3"/>
  <c r="M1512" i="3"/>
  <c r="L1512" i="3"/>
  <c r="K1512" i="3"/>
  <c r="J1512" i="3"/>
  <c r="I1512" i="3"/>
  <c r="H1512" i="3"/>
  <c r="G1512" i="3"/>
  <c r="F1512" i="3"/>
  <c r="D1512" i="3"/>
  <c r="U1511" i="3"/>
  <c r="Y1511" i="3" s="1"/>
  <c r="S1511" i="3"/>
  <c r="N1511" i="3"/>
  <c r="M1511" i="3"/>
  <c r="L1511" i="3"/>
  <c r="K1511" i="3"/>
  <c r="J1511" i="3"/>
  <c r="I1511" i="3"/>
  <c r="H1511" i="3"/>
  <c r="G1511" i="3"/>
  <c r="F1511" i="3"/>
  <c r="D1511" i="3"/>
  <c r="AA1512" i="3" a="1"/>
  <c r="AA1511" i="3" a="1"/>
  <c r="AA1513" i="3" a="1"/>
  <c r="AA1513" i="3" l="1"/>
  <c r="AA1512" i="3"/>
  <c r="AA1511" i="3"/>
  <c r="U1510" i="3" l="1"/>
  <c r="Y1510" i="3" s="1"/>
  <c r="S1510" i="3"/>
  <c r="N1510" i="3"/>
  <c r="M1510" i="3"/>
  <c r="L1510" i="3"/>
  <c r="K1510" i="3"/>
  <c r="J1510" i="3"/>
  <c r="I1510" i="3"/>
  <c r="H1510" i="3"/>
  <c r="G1510" i="3"/>
  <c r="F1510" i="3"/>
  <c r="D1510" i="3"/>
  <c r="U1509" i="3"/>
  <c r="Y1509" i="3" s="1"/>
  <c r="S1509" i="3"/>
  <c r="N1509" i="3"/>
  <c r="M1509" i="3"/>
  <c r="L1509" i="3"/>
  <c r="K1509" i="3"/>
  <c r="J1509" i="3"/>
  <c r="I1509" i="3"/>
  <c r="H1509" i="3"/>
  <c r="G1509" i="3"/>
  <c r="F1509" i="3"/>
  <c r="D1509" i="3"/>
  <c r="AA1510" i="3" a="1"/>
  <c r="AA1509" i="3" a="1"/>
  <c r="AB777" i="1" a="1"/>
  <c r="AA1510" i="3" l="1"/>
  <c r="AA1509" i="3"/>
  <c r="AB777" i="1"/>
  <c r="L860" i="1" l="1"/>
  <c r="U1508" i="3"/>
  <c r="Y1508" i="3" s="1"/>
  <c r="S1508" i="3"/>
  <c r="M1508" i="3"/>
  <c r="L1508" i="3"/>
  <c r="K1508" i="3"/>
  <c r="J1508" i="3"/>
  <c r="I1508" i="3"/>
  <c r="H1508" i="3"/>
  <c r="G1508" i="3"/>
  <c r="F1508" i="3"/>
  <c r="D1508" i="3"/>
  <c r="AB35" i="1" a="1"/>
  <c r="AB621" i="1" a="1"/>
  <c r="AB474" i="1" a="1"/>
  <c r="AB588" i="1" a="1"/>
  <c r="AB521" i="1" a="1"/>
  <c r="AA1508" i="3" a="1"/>
  <c r="AB776" i="1" a="1"/>
  <c r="AB443" i="1" a="1"/>
  <c r="AB517" i="1" a="1"/>
  <c r="AB378" i="1" a="1"/>
  <c r="AB180" i="1" a="1"/>
  <c r="AB652" i="1" a="1"/>
  <c r="AB393" i="1" a="1"/>
  <c r="AB244" i="1" a="1"/>
  <c r="AB398" i="1" a="1"/>
  <c r="AB74" i="1" a="1"/>
  <c r="AB640" i="1" a="1"/>
  <c r="AB252" i="1" a="1"/>
  <c r="AB32" i="1" a="1"/>
  <c r="AB687" i="1" a="1"/>
  <c r="N1514" i="3" l="1"/>
  <c r="AB252" i="1"/>
  <c r="AB35" i="1"/>
  <c r="AB74" i="1"/>
  <c r="AB443" i="1"/>
  <c r="AB32" i="1"/>
  <c r="AB521" i="1"/>
  <c r="AB393" i="1"/>
  <c r="AB180" i="1"/>
  <c r="AB474" i="1"/>
  <c r="AB621" i="1"/>
  <c r="AB652" i="1"/>
  <c r="AB640" i="1"/>
  <c r="AB517" i="1"/>
  <c r="AB378" i="1"/>
  <c r="AB588" i="1"/>
  <c r="AB776" i="1"/>
  <c r="AB398" i="1"/>
  <c r="AB687" i="1"/>
  <c r="AB244" i="1"/>
  <c r="AA1508" i="3"/>
  <c r="U1507" i="3" l="1"/>
  <c r="Y1507" i="3" s="1"/>
  <c r="S1507" i="3"/>
  <c r="M1507" i="3"/>
  <c r="L1507" i="3"/>
  <c r="K1507" i="3"/>
  <c r="J1507" i="3"/>
  <c r="I1507" i="3"/>
  <c r="H1507" i="3"/>
  <c r="G1507" i="3"/>
  <c r="F1507" i="3"/>
  <c r="D1507" i="3"/>
  <c r="AB482" i="1" a="1"/>
  <c r="AA1507" i="3" a="1"/>
  <c r="AB482" i="1" l="1"/>
  <c r="AA1507" i="3"/>
  <c r="U1506" i="3"/>
  <c r="Y1506" i="3" s="1"/>
  <c r="S1506" i="3"/>
  <c r="N1506" i="3"/>
  <c r="M1506" i="3"/>
  <c r="L1506" i="3"/>
  <c r="K1506" i="3"/>
  <c r="J1506" i="3"/>
  <c r="I1506" i="3"/>
  <c r="H1506" i="3"/>
  <c r="G1506" i="3"/>
  <c r="F1506" i="3"/>
  <c r="D1506" i="3"/>
  <c r="U1505" i="3"/>
  <c r="Y1505" i="3" s="1"/>
  <c r="S1505" i="3"/>
  <c r="N1505" i="3"/>
  <c r="M1505" i="3"/>
  <c r="L1505" i="3"/>
  <c r="K1505" i="3"/>
  <c r="J1505" i="3"/>
  <c r="I1505" i="3"/>
  <c r="H1505" i="3"/>
  <c r="G1505" i="3"/>
  <c r="F1505" i="3"/>
  <c r="D1505" i="3"/>
  <c r="U1504" i="3"/>
  <c r="Y1504" i="3" s="1"/>
  <c r="S1504" i="3"/>
  <c r="N1504" i="3"/>
  <c r="M1504" i="3"/>
  <c r="L1504" i="3"/>
  <c r="K1504" i="3"/>
  <c r="J1504" i="3"/>
  <c r="I1504" i="3"/>
  <c r="H1504" i="3"/>
  <c r="G1504" i="3"/>
  <c r="F1504" i="3"/>
  <c r="D1504" i="3"/>
  <c r="AA1504" i="3" a="1"/>
  <c r="AA1506" i="3" a="1"/>
  <c r="AA1505" i="3" a="1"/>
  <c r="AA1505" i="3" l="1"/>
  <c r="AA1506" i="3"/>
  <c r="AA1504" i="3"/>
  <c r="U1503" i="3"/>
  <c r="Y1503" i="3" s="1"/>
  <c r="S1503" i="3"/>
  <c r="M1503" i="3"/>
  <c r="L1503" i="3"/>
  <c r="K1503" i="3"/>
  <c r="J1503" i="3"/>
  <c r="I1503" i="3"/>
  <c r="H1503" i="3"/>
  <c r="G1503" i="3"/>
  <c r="F1503" i="3"/>
  <c r="D1503" i="3"/>
  <c r="U1502" i="3"/>
  <c r="Y1502" i="3" s="1"/>
  <c r="S1502" i="3"/>
  <c r="M1502" i="3"/>
  <c r="L1502" i="3"/>
  <c r="K1502" i="3"/>
  <c r="J1502" i="3"/>
  <c r="I1502" i="3"/>
  <c r="H1502" i="3"/>
  <c r="G1502" i="3"/>
  <c r="F1502" i="3"/>
  <c r="D1502" i="3"/>
  <c r="AA1503" i="3" a="1"/>
  <c r="AA1502" i="3" a="1"/>
  <c r="AA1502" i="3" l="1"/>
  <c r="AA1503" i="3"/>
  <c r="G1" i="16"/>
  <c r="U1501" i="3"/>
  <c r="Y1501" i="3" s="1"/>
  <c r="S1501" i="3"/>
  <c r="M1501" i="3"/>
  <c r="L1501" i="3"/>
  <c r="K1501" i="3"/>
  <c r="J1501" i="3"/>
  <c r="I1501" i="3"/>
  <c r="H1501" i="3"/>
  <c r="G1501" i="3"/>
  <c r="F1501" i="3"/>
  <c r="D1501" i="3"/>
  <c r="U1500" i="3"/>
  <c r="Y1500" i="3" s="1"/>
  <c r="S1500" i="3"/>
  <c r="N1500" i="3"/>
  <c r="M1500" i="3"/>
  <c r="L1500" i="3"/>
  <c r="K1500" i="3"/>
  <c r="J1500" i="3"/>
  <c r="I1500" i="3"/>
  <c r="H1500" i="3"/>
  <c r="G1500" i="3"/>
  <c r="F1500" i="3"/>
  <c r="D1500" i="3"/>
  <c r="U1499" i="3"/>
  <c r="Y1499" i="3" s="1"/>
  <c r="S1499" i="3"/>
  <c r="N1499" i="3"/>
  <c r="M1499" i="3"/>
  <c r="L1499" i="3"/>
  <c r="K1499" i="3"/>
  <c r="J1499" i="3"/>
  <c r="I1499" i="3"/>
  <c r="H1499" i="3"/>
  <c r="G1499" i="3"/>
  <c r="F1499" i="3"/>
  <c r="D1499" i="3"/>
  <c r="U1498" i="3"/>
  <c r="Y1498" i="3" s="1"/>
  <c r="S1498" i="3"/>
  <c r="N1498" i="3"/>
  <c r="M1498" i="3"/>
  <c r="L1498" i="3"/>
  <c r="K1498" i="3"/>
  <c r="J1498" i="3"/>
  <c r="I1498" i="3"/>
  <c r="H1498" i="3"/>
  <c r="G1498" i="3"/>
  <c r="F1498" i="3"/>
  <c r="D1498" i="3"/>
  <c r="E76" i="26"/>
  <c r="J75" i="26"/>
  <c r="E74" i="26"/>
  <c r="E72" i="26"/>
  <c r="S1497" i="3"/>
  <c r="U1497" i="3"/>
  <c r="Y1497" i="3" s="1"/>
  <c r="M1497" i="3"/>
  <c r="L1497" i="3"/>
  <c r="K1497" i="3"/>
  <c r="J1497" i="3"/>
  <c r="I1497" i="3"/>
  <c r="H1497" i="3"/>
  <c r="G1497" i="3"/>
  <c r="F1497" i="3"/>
  <c r="D1497" i="3"/>
  <c r="AA1501" i="3" a="1"/>
  <c r="AA1498" i="3" a="1"/>
  <c r="AA1497" i="3" a="1"/>
  <c r="AA1500" i="3" a="1"/>
  <c r="AA1499" i="3" a="1"/>
  <c r="AA1497" i="3" l="1"/>
  <c r="AA1501" i="3"/>
  <c r="AA1500" i="3"/>
  <c r="AA1499" i="3"/>
  <c r="AA1498" i="3"/>
  <c r="V1444" i="3" l="1"/>
  <c r="U1496" i="3"/>
  <c r="Y1496" i="3" s="1"/>
  <c r="S1496" i="3"/>
  <c r="M1496" i="3"/>
  <c r="L1496" i="3"/>
  <c r="K1496" i="3"/>
  <c r="J1496" i="3"/>
  <c r="I1496" i="3"/>
  <c r="H1496" i="3"/>
  <c r="G1496" i="3"/>
  <c r="F1496" i="3"/>
  <c r="D1496" i="3"/>
  <c r="AA1496" i="3" a="1"/>
  <c r="AA1496" i="3" l="1"/>
  <c r="U1495" i="3" l="1"/>
  <c r="Y1495" i="3" s="1"/>
  <c r="S1495" i="3"/>
  <c r="M1495" i="3"/>
  <c r="L1495" i="3"/>
  <c r="K1495" i="3"/>
  <c r="J1495" i="3"/>
  <c r="I1495" i="3"/>
  <c r="H1495" i="3"/>
  <c r="G1495" i="3"/>
  <c r="F1495" i="3"/>
  <c r="D1495" i="3"/>
  <c r="U1494" i="3"/>
  <c r="Y1494" i="3" s="1"/>
  <c r="S1494" i="3"/>
  <c r="N1494" i="3"/>
  <c r="M1494" i="3"/>
  <c r="L1494" i="3"/>
  <c r="K1494" i="3"/>
  <c r="J1494" i="3"/>
  <c r="I1494" i="3"/>
  <c r="H1494" i="3"/>
  <c r="G1494" i="3"/>
  <c r="F1494" i="3"/>
  <c r="D1494" i="3"/>
  <c r="U1493" i="3"/>
  <c r="Y1493" i="3" s="1"/>
  <c r="S1493" i="3"/>
  <c r="N1493" i="3"/>
  <c r="M1493" i="3"/>
  <c r="L1493" i="3"/>
  <c r="K1493" i="3"/>
  <c r="J1493" i="3"/>
  <c r="I1493" i="3"/>
  <c r="H1493" i="3"/>
  <c r="G1493" i="3"/>
  <c r="F1493" i="3"/>
  <c r="D1493" i="3"/>
  <c r="U1492" i="3"/>
  <c r="Y1492" i="3" s="1"/>
  <c r="S1492" i="3"/>
  <c r="M1492" i="3"/>
  <c r="L1492" i="3"/>
  <c r="K1492" i="3"/>
  <c r="J1492" i="3"/>
  <c r="I1492" i="3"/>
  <c r="H1492" i="3"/>
  <c r="G1492" i="3"/>
  <c r="F1492" i="3"/>
  <c r="D1492" i="3"/>
  <c r="U1491" i="3"/>
  <c r="Y1491" i="3" s="1"/>
  <c r="S1491" i="3"/>
  <c r="N1491" i="3"/>
  <c r="M1491" i="3"/>
  <c r="L1491" i="3"/>
  <c r="K1491" i="3"/>
  <c r="J1491" i="3"/>
  <c r="I1491" i="3"/>
  <c r="H1491" i="3"/>
  <c r="G1491" i="3"/>
  <c r="F1491" i="3"/>
  <c r="D1491" i="3"/>
  <c r="U1490" i="3"/>
  <c r="Y1490" i="3" s="1"/>
  <c r="S1490" i="3"/>
  <c r="N1490" i="3"/>
  <c r="M1490" i="3"/>
  <c r="L1490" i="3"/>
  <c r="K1490" i="3"/>
  <c r="J1490" i="3"/>
  <c r="I1490" i="3"/>
  <c r="H1490" i="3"/>
  <c r="G1490" i="3"/>
  <c r="F1490" i="3"/>
  <c r="D1490" i="3"/>
  <c r="S75" i="26"/>
  <c r="V75" i="26" s="1"/>
  <c r="U1489" i="3"/>
  <c r="Y1489" i="3" s="1"/>
  <c r="S1489" i="3"/>
  <c r="N1489" i="3"/>
  <c r="M1489" i="3"/>
  <c r="L1489" i="3"/>
  <c r="K1489" i="3"/>
  <c r="J1489" i="3"/>
  <c r="I1489" i="3"/>
  <c r="H1489" i="3"/>
  <c r="G1489" i="3"/>
  <c r="F1489" i="3"/>
  <c r="D1489" i="3"/>
  <c r="AB481" i="1" a="1"/>
  <c r="AA1494" i="3" a="1"/>
  <c r="AA1495" i="3" a="1"/>
  <c r="AA1489" i="3" a="1"/>
  <c r="AA1490" i="3" a="1"/>
  <c r="AA1491" i="3" a="1"/>
  <c r="AA1493" i="3" a="1"/>
  <c r="AA1492" i="3" a="1"/>
  <c r="AA1490" i="3" l="1"/>
  <c r="AB481" i="1"/>
  <c r="AA1491" i="3"/>
  <c r="AA1495" i="3"/>
  <c r="AA1494" i="3"/>
  <c r="AA1493" i="3"/>
  <c r="AA1492" i="3"/>
  <c r="AA1489" i="3"/>
  <c r="U1488" i="3" l="1"/>
  <c r="Y1488" i="3" s="1"/>
  <c r="S1488" i="3"/>
  <c r="N1488" i="3"/>
  <c r="M1488" i="3"/>
  <c r="L1488" i="3"/>
  <c r="K1488" i="3"/>
  <c r="J1488" i="3"/>
  <c r="I1488" i="3"/>
  <c r="H1488" i="3"/>
  <c r="G1488" i="3"/>
  <c r="F1488" i="3"/>
  <c r="D1488" i="3"/>
  <c r="U1487" i="3"/>
  <c r="Y1487" i="3" s="1"/>
  <c r="S1487" i="3"/>
  <c r="N1487" i="3"/>
  <c r="M1487" i="3"/>
  <c r="L1487" i="3"/>
  <c r="K1487" i="3"/>
  <c r="J1487" i="3"/>
  <c r="I1487" i="3"/>
  <c r="H1487" i="3"/>
  <c r="G1487" i="3"/>
  <c r="F1487" i="3"/>
  <c r="D1487" i="3"/>
  <c r="J74" i="26"/>
  <c r="Q1443" i="3"/>
  <c r="Q1486" i="3"/>
  <c r="S1486" i="3" s="1"/>
  <c r="U1486" i="3"/>
  <c r="Y1486" i="3" s="1"/>
  <c r="M1486" i="3"/>
  <c r="L1486" i="3"/>
  <c r="K1486" i="3"/>
  <c r="J1486" i="3"/>
  <c r="I1486" i="3"/>
  <c r="H1486" i="3"/>
  <c r="G1486" i="3"/>
  <c r="F1486" i="3"/>
  <c r="D1486" i="3"/>
  <c r="AA1488" i="3" a="1"/>
  <c r="AA1486" i="3" a="1"/>
  <c r="AA1487" i="3" a="1"/>
  <c r="AA1488" i="3" l="1"/>
  <c r="AA1487" i="3"/>
  <c r="AA1486" i="3"/>
  <c r="U1485" i="3" l="1"/>
  <c r="Y1485" i="3" s="1"/>
  <c r="S1485" i="3"/>
  <c r="N1485" i="3"/>
  <c r="M1485" i="3"/>
  <c r="L1485" i="3"/>
  <c r="K1485" i="3"/>
  <c r="J1485" i="3"/>
  <c r="I1485" i="3"/>
  <c r="H1485" i="3"/>
  <c r="G1485" i="3"/>
  <c r="F1485" i="3"/>
  <c r="D1485" i="3"/>
  <c r="U1484" i="3"/>
  <c r="Y1484" i="3" s="1"/>
  <c r="S1484" i="3"/>
  <c r="N1484" i="3"/>
  <c r="M1484" i="3"/>
  <c r="L1484" i="3"/>
  <c r="K1484" i="3"/>
  <c r="J1484" i="3"/>
  <c r="I1484" i="3"/>
  <c r="H1484" i="3"/>
  <c r="G1484" i="3"/>
  <c r="F1484" i="3"/>
  <c r="D1484" i="3"/>
  <c r="AA1484" i="3" a="1"/>
  <c r="AA1485" i="3" a="1"/>
  <c r="AB863" i="1" a="1"/>
  <c r="AB863" i="1" l="1"/>
  <c r="AA1484" i="3"/>
  <c r="AA1485" i="3"/>
  <c r="V77" i="26"/>
  <c r="S77" i="26"/>
  <c r="S72" i="26"/>
  <c r="U1483" i="3"/>
  <c r="Y1483" i="3" s="1"/>
  <c r="S1483" i="3"/>
  <c r="N1483" i="3"/>
  <c r="M1483" i="3"/>
  <c r="L1483" i="3"/>
  <c r="K1483" i="3"/>
  <c r="J1483" i="3"/>
  <c r="I1483" i="3"/>
  <c r="H1483" i="3"/>
  <c r="G1483" i="3"/>
  <c r="F1483" i="3"/>
  <c r="D1483" i="3"/>
  <c r="U1482" i="3"/>
  <c r="Y1482" i="3" s="1"/>
  <c r="S1482" i="3"/>
  <c r="M1482" i="3"/>
  <c r="L1482" i="3"/>
  <c r="K1482" i="3"/>
  <c r="J1482" i="3"/>
  <c r="I1482" i="3"/>
  <c r="H1482" i="3"/>
  <c r="G1482" i="3"/>
  <c r="F1482" i="3"/>
  <c r="D1482" i="3"/>
  <c r="U1481" i="3"/>
  <c r="Y1481" i="3" s="1"/>
  <c r="S1481" i="3"/>
  <c r="M1481" i="3"/>
  <c r="L1481" i="3"/>
  <c r="K1481" i="3"/>
  <c r="J1481" i="3"/>
  <c r="I1481" i="3"/>
  <c r="H1481" i="3"/>
  <c r="G1481" i="3"/>
  <c r="F1481" i="3"/>
  <c r="D1481" i="3"/>
  <c r="S74" i="26"/>
  <c r="V74" i="26" s="1"/>
  <c r="AA1483" i="3" a="1"/>
  <c r="AA1481" i="3" a="1"/>
  <c r="AA1482" i="3" a="1"/>
  <c r="AA1481" i="3" l="1"/>
  <c r="AA1483" i="3"/>
  <c r="AA1482" i="3"/>
  <c r="W77" i="26"/>
  <c r="X77" i="26" s="1"/>
  <c r="U1480" i="3"/>
  <c r="Y1480" i="3" s="1"/>
  <c r="S1480" i="3"/>
  <c r="N1480" i="3"/>
  <c r="M1480" i="3"/>
  <c r="L1480" i="3"/>
  <c r="K1480" i="3"/>
  <c r="J1480" i="3"/>
  <c r="I1480" i="3"/>
  <c r="H1480" i="3"/>
  <c r="G1480" i="3"/>
  <c r="F1480" i="3"/>
  <c r="D1480" i="3"/>
  <c r="U1479" i="3"/>
  <c r="Y1479" i="3" s="1"/>
  <c r="S1479" i="3"/>
  <c r="N1479" i="3"/>
  <c r="M1479" i="3"/>
  <c r="L1479" i="3"/>
  <c r="K1479" i="3"/>
  <c r="J1479" i="3"/>
  <c r="I1479" i="3"/>
  <c r="H1479" i="3"/>
  <c r="G1479" i="3"/>
  <c r="F1479" i="3"/>
  <c r="D1479" i="3"/>
  <c r="AB861" i="1" a="1"/>
  <c r="AA1479" i="3" a="1"/>
  <c r="AB862" i="1" a="1"/>
  <c r="AA1480" i="3" a="1"/>
  <c r="AB599" i="1" a="1"/>
  <c r="AB861" i="1" l="1"/>
  <c r="AB862" i="1"/>
  <c r="AB599" i="1"/>
  <c r="AA1480" i="3"/>
  <c r="AA1479" i="3"/>
  <c r="J76" i="26" l="1"/>
  <c r="R14" i="16" a="1"/>
  <c r="R13" i="16" a="1"/>
  <c r="R26" i="16" a="1"/>
  <c r="R30" i="16" a="1"/>
  <c r="R6" i="16" a="1"/>
  <c r="R31" i="16" a="1"/>
  <c r="R10" i="16" a="1"/>
  <c r="R16" i="16" a="1"/>
  <c r="R5" i="16" a="1"/>
  <c r="R36" i="16" a="1"/>
  <c r="R42" i="16" a="1"/>
  <c r="R28" i="16" a="1"/>
  <c r="R29" i="16" a="1"/>
  <c r="R21" i="16" a="1"/>
  <c r="R37" i="16" a="1"/>
  <c r="R25" i="16" a="1"/>
  <c r="R20" i="16" a="1"/>
  <c r="R39" i="16" a="1"/>
  <c r="R18" i="16" a="1"/>
  <c r="R11" i="16" a="1"/>
  <c r="R32" i="16" a="1"/>
  <c r="R8" i="16" a="1"/>
  <c r="R48" i="16" a="1"/>
  <c r="R44" i="16" a="1"/>
  <c r="R33" i="16" a="1"/>
  <c r="R22" i="16" a="1"/>
  <c r="R46" i="16" a="1"/>
  <c r="R45" i="16" a="1"/>
  <c r="R7" i="16" a="1"/>
  <c r="R17" i="16" a="1"/>
  <c r="R38" i="16" a="1"/>
  <c r="R27" i="16" a="1"/>
  <c r="R35" i="16" a="1"/>
  <c r="R41" i="16" a="1"/>
  <c r="R24" i="16" a="1"/>
  <c r="R47" i="16" a="1"/>
  <c r="R40" i="16" a="1"/>
  <c r="R43" i="16" a="1"/>
  <c r="R12" i="16" a="1"/>
  <c r="R15" i="16" a="1"/>
  <c r="R38" i="16" l="1"/>
  <c r="R44" i="16"/>
  <c r="R14" i="16"/>
  <c r="R25" i="16"/>
  <c r="R13" i="16"/>
  <c r="R8" i="16"/>
  <c r="R26" i="16"/>
  <c r="R36" i="16"/>
  <c r="R12" i="16"/>
  <c r="R31" i="16"/>
  <c r="R21" i="16"/>
  <c r="R33" i="16"/>
  <c r="R15" i="16"/>
  <c r="R11" i="16"/>
  <c r="R37" i="16"/>
  <c r="R40" i="16"/>
  <c r="R45" i="16"/>
  <c r="R7" i="16"/>
  <c r="R17" i="16"/>
  <c r="R35" i="16"/>
  <c r="R46" i="16"/>
  <c r="R28" i="16"/>
  <c r="R18" i="16"/>
  <c r="R24" i="16"/>
  <c r="R5" i="16"/>
  <c r="R27" i="16"/>
  <c r="R43" i="16"/>
  <c r="R30" i="16"/>
  <c r="R42" i="16"/>
  <c r="R39" i="16"/>
  <c r="R47" i="16"/>
  <c r="R20" i="16"/>
  <c r="R6" i="16"/>
  <c r="R16" i="16"/>
  <c r="R41" i="16"/>
  <c r="R10" i="16"/>
  <c r="R32" i="16"/>
  <c r="R48" i="16"/>
  <c r="R22" i="16"/>
  <c r="R29" i="16"/>
  <c r="U1478" i="3"/>
  <c r="Y1478" i="3" s="1"/>
  <c r="S1478" i="3"/>
  <c r="N1478" i="3"/>
  <c r="M1478" i="3"/>
  <c r="L1478" i="3"/>
  <c r="K1478" i="3"/>
  <c r="J1478" i="3"/>
  <c r="I1478" i="3"/>
  <c r="H1478" i="3"/>
  <c r="G1478" i="3"/>
  <c r="F1478" i="3"/>
  <c r="D1478" i="3"/>
  <c r="AA1478" i="3" a="1"/>
  <c r="AA1478" i="3" l="1"/>
  <c r="U1477" i="3"/>
  <c r="Y1477" i="3" s="1"/>
  <c r="S1477" i="3"/>
  <c r="N1477" i="3"/>
  <c r="M1477" i="3"/>
  <c r="L1477" i="3"/>
  <c r="K1477" i="3"/>
  <c r="J1477" i="3"/>
  <c r="I1477" i="3"/>
  <c r="H1477" i="3"/>
  <c r="G1477" i="3"/>
  <c r="F1477" i="3"/>
  <c r="D1477" i="3"/>
  <c r="U1476" i="3"/>
  <c r="Y1476" i="3" s="1"/>
  <c r="S1476" i="3"/>
  <c r="N1476" i="3"/>
  <c r="M1476" i="3"/>
  <c r="L1476" i="3"/>
  <c r="K1476" i="3"/>
  <c r="J1476" i="3"/>
  <c r="I1476" i="3"/>
  <c r="H1476" i="3"/>
  <c r="G1476" i="3"/>
  <c r="F1476" i="3"/>
  <c r="D1476" i="3"/>
  <c r="U1475" i="3"/>
  <c r="Y1475" i="3" s="1"/>
  <c r="S1475" i="3"/>
  <c r="N1475" i="3"/>
  <c r="M1475" i="3"/>
  <c r="L1475" i="3"/>
  <c r="K1475" i="3"/>
  <c r="J1475" i="3"/>
  <c r="I1475" i="3"/>
  <c r="H1475" i="3"/>
  <c r="G1475" i="3"/>
  <c r="F1475" i="3"/>
  <c r="D1475" i="3"/>
  <c r="U1474" i="3"/>
  <c r="Y1474" i="3" s="1"/>
  <c r="S1474" i="3"/>
  <c r="N1474" i="3"/>
  <c r="M1474" i="3"/>
  <c r="L1474" i="3"/>
  <c r="K1474" i="3"/>
  <c r="J1474" i="3"/>
  <c r="I1474" i="3"/>
  <c r="H1474" i="3"/>
  <c r="G1474" i="3"/>
  <c r="F1474" i="3"/>
  <c r="D1474" i="3"/>
  <c r="U1473" i="3"/>
  <c r="Y1473" i="3" s="1"/>
  <c r="S1473" i="3"/>
  <c r="N1473" i="3"/>
  <c r="M1473" i="3"/>
  <c r="L1473" i="3"/>
  <c r="K1473" i="3"/>
  <c r="J1473" i="3"/>
  <c r="I1473" i="3"/>
  <c r="H1473" i="3"/>
  <c r="G1473" i="3"/>
  <c r="F1473" i="3"/>
  <c r="D1473" i="3"/>
  <c r="U1472" i="3"/>
  <c r="Y1472" i="3" s="1"/>
  <c r="S1472" i="3"/>
  <c r="N1472" i="3"/>
  <c r="M1472" i="3"/>
  <c r="L1472" i="3"/>
  <c r="K1472" i="3"/>
  <c r="J1472" i="3"/>
  <c r="I1472" i="3"/>
  <c r="H1472" i="3"/>
  <c r="G1472" i="3"/>
  <c r="F1472" i="3"/>
  <c r="D1472" i="3"/>
  <c r="U1471" i="3"/>
  <c r="Y1471" i="3" s="1"/>
  <c r="S1471" i="3"/>
  <c r="N1471" i="3"/>
  <c r="M1471" i="3"/>
  <c r="L1471" i="3"/>
  <c r="K1471" i="3"/>
  <c r="J1471" i="3"/>
  <c r="I1471" i="3"/>
  <c r="H1471" i="3"/>
  <c r="G1471" i="3"/>
  <c r="F1471" i="3"/>
  <c r="D1471" i="3"/>
  <c r="U1470" i="3"/>
  <c r="Y1470" i="3" s="1"/>
  <c r="S1470" i="3"/>
  <c r="N1470" i="3"/>
  <c r="M1470" i="3"/>
  <c r="L1470" i="3"/>
  <c r="K1470" i="3"/>
  <c r="J1470" i="3"/>
  <c r="I1470" i="3"/>
  <c r="H1470" i="3"/>
  <c r="G1470" i="3"/>
  <c r="F1470" i="3"/>
  <c r="D1470" i="3"/>
  <c r="U1469" i="3"/>
  <c r="Y1469" i="3" s="1"/>
  <c r="S1469" i="3"/>
  <c r="M1469" i="3"/>
  <c r="L1469" i="3"/>
  <c r="K1469" i="3"/>
  <c r="J1469" i="3"/>
  <c r="I1469" i="3"/>
  <c r="H1469" i="3"/>
  <c r="G1469" i="3"/>
  <c r="F1469" i="3"/>
  <c r="D1469" i="3"/>
  <c r="AB705" i="1" a="1"/>
  <c r="AA1470" i="3" a="1"/>
  <c r="AA1477" i="3" a="1"/>
  <c r="AA1476" i="3" a="1"/>
  <c r="AA1472" i="3" a="1"/>
  <c r="AA1469" i="3" a="1"/>
  <c r="AA1474" i="3" a="1"/>
  <c r="AA1475" i="3" a="1"/>
  <c r="AA1473" i="3" a="1"/>
  <c r="AA1471" i="3" a="1"/>
  <c r="AB705" i="1" l="1"/>
  <c r="AA1470" i="3"/>
  <c r="AA1476" i="3"/>
  <c r="AA1475" i="3"/>
  <c r="AA1472" i="3"/>
  <c r="AA1477" i="3"/>
  <c r="AA1471" i="3"/>
  <c r="AA1473" i="3"/>
  <c r="AA1469" i="3"/>
  <c r="AA1474" i="3"/>
  <c r="S1468" i="3"/>
  <c r="U1468" i="3"/>
  <c r="Y1468" i="3" s="1"/>
  <c r="N1468" i="3"/>
  <c r="M1468" i="3"/>
  <c r="L1468" i="3"/>
  <c r="K1468" i="3"/>
  <c r="J1468" i="3"/>
  <c r="I1468" i="3"/>
  <c r="H1468" i="3"/>
  <c r="G1468" i="3"/>
  <c r="F1468" i="3"/>
  <c r="D1468" i="3"/>
  <c r="AA1468" i="3" a="1"/>
  <c r="AA1468" i="3" l="1"/>
  <c r="U1467" i="3" l="1"/>
  <c r="Y1467" i="3" s="1"/>
  <c r="S1467" i="3"/>
  <c r="M1467" i="3"/>
  <c r="L1467" i="3"/>
  <c r="K1467" i="3"/>
  <c r="J1467" i="3"/>
  <c r="I1467" i="3"/>
  <c r="H1467" i="3"/>
  <c r="G1467" i="3"/>
  <c r="F1467" i="3"/>
  <c r="D1467" i="3"/>
  <c r="U1466" i="3"/>
  <c r="Y1466" i="3" s="1"/>
  <c r="S1466" i="3"/>
  <c r="N1466" i="3"/>
  <c r="M1466" i="3"/>
  <c r="L1466" i="3"/>
  <c r="K1466" i="3"/>
  <c r="J1466" i="3"/>
  <c r="I1466" i="3"/>
  <c r="H1466" i="3"/>
  <c r="G1466" i="3"/>
  <c r="F1466" i="3"/>
  <c r="D1466" i="3"/>
  <c r="AA1466" i="3" a="1"/>
  <c r="AA1467" i="3" a="1"/>
  <c r="AA1466" i="3" l="1"/>
  <c r="AA1467" i="3"/>
  <c r="F1423" i="3" l="1"/>
  <c r="U1465" i="3" l="1"/>
  <c r="Y1465" i="3" s="1"/>
  <c r="S1465" i="3"/>
  <c r="N1465" i="3"/>
  <c r="M1465" i="3"/>
  <c r="L1465" i="3"/>
  <c r="K1465" i="3"/>
  <c r="J1465" i="3"/>
  <c r="I1465" i="3"/>
  <c r="H1465" i="3"/>
  <c r="G1465" i="3"/>
  <c r="F1465" i="3"/>
  <c r="D1465" i="3"/>
  <c r="AA1465" i="3" a="1"/>
  <c r="AA1465" i="3" l="1"/>
  <c r="U1464" i="3"/>
  <c r="Y1464" i="3" s="1"/>
  <c r="S1464" i="3"/>
  <c r="N1464" i="3"/>
  <c r="M1464" i="3"/>
  <c r="L1464" i="3"/>
  <c r="K1464" i="3"/>
  <c r="J1464" i="3"/>
  <c r="I1464" i="3"/>
  <c r="H1464" i="3"/>
  <c r="G1464" i="3"/>
  <c r="F1464" i="3"/>
  <c r="D1464" i="3"/>
  <c r="U1463" i="3"/>
  <c r="Y1463" i="3" s="1"/>
  <c r="S1463" i="3"/>
  <c r="N1463" i="3"/>
  <c r="M1463" i="3"/>
  <c r="L1463" i="3"/>
  <c r="K1463" i="3"/>
  <c r="J1463" i="3"/>
  <c r="I1463" i="3"/>
  <c r="H1463" i="3"/>
  <c r="G1463" i="3"/>
  <c r="F1463" i="3"/>
  <c r="D1463" i="3"/>
  <c r="U1462" i="3"/>
  <c r="Y1462" i="3" s="1"/>
  <c r="S1462" i="3"/>
  <c r="N1462" i="3"/>
  <c r="M1462" i="3"/>
  <c r="L1462" i="3"/>
  <c r="K1462" i="3"/>
  <c r="J1462" i="3"/>
  <c r="I1462" i="3"/>
  <c r="H1462" i="3"/>
  <c r="G1462" i="3"/>
  <c r="F1462" i="3"/>
  <c r="D1462" i="3"/>
  <c r="U1461" i="3"/>
  <c r="Y1461" i="3" s="1"/>
  <c r="S1461" i="3"/>
  <c r="N1461" i="3"/>
  <c r="M1461" i="3"/>
  <c r="L1461" i="3"/>
  <c r="K1461" i="3"/>
  <c r="J1461" i="3"/>
  <c r="I1461" i="3"/>
  <c r="H1461" i="3"/>
  <c r="G1461" i="3"/>
  <c r="F1461" i="3"/>
  <c r="D1461" i="3"/>
  <c r="U1460" i="3"/>
  <c r="Y1460" i="3" s="1"/>
  <c r="S1460" i="3"/>
  <c r="N1460" i="3"/>
  <c r="M1460" i="3"/>
  <c r="L1460" i="3"/>
  <c r="K1460" i="3"/>
  <c r="J1460" i="3"/>
  <c r="I1460" i="3"/>
  <c r="H1460" i="3"/>
  <c r="G1460" i="3"/>
  <c r="F1460" i="3"/>
  <c r="D1460" i="3"/>
  <c r="U1459" i="3"/>
  <c r="Y1459" i="3" s="1"/>
  <c r="S1459" i="3"/>
  <c r="N1459" i="3"/>
  <c r="M1459" i="3"/>
  <c r="L1459" i="3"/>
  <c r="K1459" i="3"/>
  <c r="J1459" i="3"/>
  <c r="I1459" i="3"/>
  <c r="H1459" i="3"/>
  <c r="G1459" i="3"/>
  <c r="F1459" i="3"/>
  <c r="D1459" i="3"/>
  <c r="U1458" i="3"/>
  <c r="Y1458" i="3" s="1"/>
  <c r="S1458" i="3"/>
  <c r="N1458" i="3"/>
  <c r="M1458" i="3"/>
  <c r="L1458" i="3"/>
  <c r="K1458" i="3"/>
  <c r="J1458" i="3"/>
  <c r="I1458" i="3"/>
  <c r="H1458" i="3"/>
  <c r="G1458" i="3"/>
  <c r="F1458" i="3"/>
  <c r="D1458" i="3"/>
  <c r="U1457" i="3"/>
  <c r="Y1457" i="3" s="1"/>
  <c r="S1457" i="3"/>
  <c r="N1457" i="3"/>
  <c r="M1457" i="3"/>
  <c r="L1457" i="3"/>
  <c r="K1457" i="3"/>
  <c r="J1457" i="3"/>
  <c r="I1457" i="3"/>
  <c r="H1457" i="3"/>
  <c r="G1457" i="3"/>
  <c r="F1457" i="3"/>
  <c r="D1457" i="3"/>
  <c r="AA1462" i="3" a="1"/>
  <c r="AA1458" i="3" a="1"/>
  <c r="AA1457" i="3" a="1"/>
  <c r="AB611" i="1" a="1"/>
  <c r="AA1461" i="3" a="1"/>
  <c r="AA1463" i="3" a="1"/>
  <c r="AA1460" i="3" a="1"/>
  <c r="AA1459" i="3" a="1"/>
  <c r="AB89" i="1" a="1"/>
  <c r="AA1464" i="3" a="1"/>
  <c r="AB31" i="1" a="1"/>
  <c r="AB31" i="1" l="1"/>
  <c r="AB611" i="1"/>
  <c r="AB89" i="1"/>
  <c r="AA1461" i="3"/>
  <c r="AA1458" i="3"/>
  <c r="AA1460" i="3"/>
  <c r="AA1457" i="3"/>
  <c r="AA1462" i="3"/>
  <c r="AA1459" i="3"/>
  <c r="AA1464" i="3"/>
  <c r="AA1463" i="3"/>
  <c r="N1456" i="3" l="1"/>
  <c r="U1456" i="3"/>
  <c r="Y1456" i="3" s="1"/>
  <c r="S1456" i="3"/>
  <c r="M1456" i="3"/>
  <c r="L1456" i="3"/>
  <c r="K1456" i="3"/>
  <c r="J1456" i="3"/>
  <c r="I1456" i="3"/>
  <c r="H1456" i="3"/>
  <c r="G1456" i="3"/>
  <c r="F1456" i="3"/>
  <c r="D1456" i="3"/>
  <c r="U1455" i="3"/>
  <c r="Y1455" i="3" s="1"/>
  <c r="S1455" i="3"/>
  <c r="N1455" i="3"/>
  <c r="M1455" i="3"/>
  <c r="L1455" i="3"/>
  <c r="K1455" i="3"/>
  <c r="J1455" i="3"/>
  <c r="I1455" i="3"/>
  <c r="H1455" i="3"/>
  <c r="G1455" i="3"/>
  <c r="F1455" i="3"/>
  <c r="D1455" i="3"/>
  <c r="U1454" i="3"/>
  <c r="Y1454" i="3" s="1"/>
  <c r="S1454" i="3"/>
  <c r="N1454" i="3"/>
  <c r="M1454" i="3"/>
  <c r="L1454" i="3"/>
  <c r="K1454" i="3"/>
  <c r="J1454" i="3"/>
  <c r="I1454" i="3"/>
  <c r="H1454" i="3"/>
  <c r="G1454" i="3"/>
  <c r="F1454" i="3"/>
  <c r="D1454" i="3"/>
  <c r="U1453" i="3"/>
  <c r="Y1453" i="3" s="1"/>
  <c r="S1453" i="3"/>
  <c r="N1453" i="3"/>
  <c r="M1453" i="3"/>
  <c r="L1453" i="3"/>
  <c r="K1453" i="3"/>
  <c r="J1453" i="3"/>
  <c r="I1453" i="3"/>
  <c r="H1453" i="3"/>
  <c r="G1453" i="3"/>
  <c r="F1453" i="3"/>
  <c r="D1453" i="3"/>
  <c r="Q51" i="26"/>
  <c r="U51" i="26" s="1"/>
  <c r="Q49" i="26"/>
  <c r="AA1456" i="3" a="1"/>
  <c r="AA1455" i="3" a="1"/>
  <c r="AA1454" i="3" a="1"/>
  <c r="AA1453" i="3" a="1"/>
  <c r="Q50" i="26" l="1"/>
  <c r="U50" i="26" s="1"/>
  <c r="V50" i="26" s="1"/>
  <c r="U49" i="26"/>
  <c r="V49" i="26" s="1"/>
  <c r="AA1453" i="3"/>
  <c r="AA1455" i="3"/>
  <c r="AA1456" i="3"/>
  <c r="AA1454" i="3"/>
  <c r="V71" i="26" l="1"/>
  <c r="AB250" i="1" a="1"/>
  <c r="AB250" i="1" l="1"/>
  <c r="S70" i="26"/>
  <c r="AB737" i="1" a="1"/>
  <c r="AB127" i="1" a="1"/>
  <c r="I15" i="10" l="1"/>
  <c r="I16" i="10"/>
  <c r="J16" i="10" s="1"/>
  <c r="AB127" i="1"/>
  <c r="AB737" i="1"/>
  <c r="AB449" i="1" a="1"/>
  <c r="AB449" i="1" l="1"/>
  <c r="Q40" i="26"/>
  <c r="U40" i="26" s="1"/>
  <c r="V40" i="26" s="1"/>
  <c r="Q38" i="26"/>
  <c r="U1452" i="3"/>
  <c r="Y1452" i="3" s="1"/>
  <c r="S1452" i="3"/>
  <c r="M1452" i="3"/>
  <c r="L1452" i="3"/>
  <c r="K1452" i="3"/>
  <c r="J1452" i="3"/>
  <c r="I1452" i="3"/>
  <c r="H1452" i="3"/>
  <c r="G1452" i="3"/>
  <c r="F1452" i="3"/>
  <c r="D1452" i="3"/>
  <c r="AA1452" i="3" a="1"/>
  <c r="Q39" i="26" l="1"/>
  <c r="U39" i="26" s="1"/>
  <c r="V39" i="26" s="1"/>
  <c r="U38" i="26"/>
  <c r="V38" i="26" s="1"/>
  <c r="AA1452" i="3"/>
  <c r="U1451" i="3"/>
  <c r="Y1451" i="3" s="1"/>
  <c r="S1451" i="3"/>
  <c r="N1451" i="3"/>
  <c r="M1451" i="3"/>
  <c r="L1451" i="3"/>
  <c r="K1451" i="3"/>
  <c r="J1451" i="3"/>
  <c r="I1451" i="3"/>
  <c r="H1451" i="3"/>
  <c r="G1451" i="3"/>
  <c r="F1451" i="3"/>
  <c r="D1451" i="3"/>
  <c r="U1450" i="3"/>
  <c r="Y1450" i="3" s="1"/>
  <c r="S1450" i="3"/>
  <c r="N1450" i="3"/>
  <c r="M1450" i="3"/>
  <c r="L1450" i="3"/>
  <c r="K1450" i="3"/>
  <c r="J1450" i="3"/>
  <c r="I1450" i="3"/>
  <c r="H1450" i="3"/>
  <c r="G1450" i="3"/>
  <c r="F1450" i="3"/>
  <c r="D1450" i="3"/>
  <c r="Q29" i="26"/>
  <c r="U29" i="26" s="1"/>
  <c r="V29" i="26" s="1"/>
  <c r="V31" i="26" s="1"/>
  <c r="U1449" i="3"/>
  <c r="Y1449" i="3" s="1"/>
  <c r="S1449" i="3"/>
  <c r="N1449" i="3"/>
  <c r="M1449" i="3"/>
  <c r="L1449" i="3"/>
  <c r="K1449" i="3"/>
  <c r="J1449" i="3"/>
  <c r="I1449" i="3"/>
  <c r="H1449" i="3"/>
  <c r="G1449" i="3"/>
  <c r="F1449" i="3"/>
  <c r="D1449" i="3"/>
  <c r="U1448" i="3"/>
  <c r="Y1448" i="3" s="1"/>
  <c r="S1448" i="3"/>
  <c r="N1448" i="3"/>
  <c r="M1448" i="3"/>
  <c r="L1448" i="3"/>
  <c r="K1448" i="3"/>
  <c r="J1448" i="3"/>
  <c r="I1448" i="3"/>
  <c r="H1448" i="3"/>
  <c r="G1448" i="3"/>
  <c r="F1448" i="3"/>
  <c r="D1448" i="3"/>
  <c r="AB529" i="1" a="1"/>
  <c r="AB295" i="1" a="1"/>
  <c r="AA1450" i="3" a="1"/>
  <c r="AA1448" i="3" a="1"/>
  <c r="AA1449" i="3" a="1"/>
  <c r="AA1451" i="3" a="1"/>
  <c r="AB529" i="1" l="1"/>
  <c r="AB295" i="1"/>
  <c r="AA1451" i="3"/>
  <c r="AA1450" i="3"/>
  <c r="AA1449" i="3"/>
  <c r="AA1448" i="3"/>
  <c r="U1447" i="3"/>
  <c r="Y1447" i="3" s="1"/>
  <c r="S1447" i="3"/>
  <c r="N1447" i="3"/>
  <c r="M1447" i="3"/>
  <c r="L1447" i="3"/>
  <c r="K1447" i="3"/>
  <c r="J1447" i="3"/>
  <c r="I1447" i="3"/>
  <c r="H1447" i="3"/>
  <c r="G1447" i="3"/>
  <c r="F1447" i="3"/>
  <c r="D1447" i="3"/>
  <c r="F13" i="26"/>
  <c r="U1446" i="3"/>
  <c r="Y1446" i="3" s="1"/>
  <c r="S1446" i="3"/>
  <c r="N1446" i="3"/>
  <c r="M1446" i="3"/>
  <c r="L1446" i="3"/>
  <c r="K1446" i="3"/>
  <c r="J1446" i="3"/>
  <c r="I1446" i="3"/>
  <c r="H1446" i="3"/>
  <c r="G1446" i="3"/>
  <c r="F1446" i="3"/>
  <c r="D1446" i="3"/>
  <c r="Q20" i="26"/>
  <c r="U20" i="26" s="1"/>
  <c r="V20" i="26" s="1"/>
  <c r="Q18" i="26"/>
  <c r="U18" i="26" s="1"/>
  <c r="V18" i="26" s="1"/>
  <c r="U1445" i="3"/>
  <c r="Y1445" i="3" s="1"/>
  <c r="S1445" i="3"/>
  <c r="N1445" i="3"/>
  <c r="M1445" i="3"/>
  <c r="L1445" i="3"/>
  <c r="K1445" i="3"/>
  <c r="J1445" i="3"/>
  <c r="I1445" i="3"/>
  <c r="H1445" i="3"/>
  <c r="G1445" i="3"/>
  <c r="F1445" i="3"/>
  <c r="D1445" i="3"/>
  <c r="G31" i="26"/>
  <c r="V70" i="26"/>
  <c r="W75" i="26"/>
  <c r="AA1447" i="3" a="1"/>
  <c r="AB860" i="1" a="1"/>
  <c r="AA1446" i="3" a="1"/>
  <c r="AA1445" i="3" a="1"/>
  <c r="Q19" i="26" l="1"/>
  <c r="U19" i="26" s="1"/>
  <c r="V19" i="26" s="1"/>
  <c r="AB860" i="1"/>
  <c r="AA1447" i="3"/>
  <c r="AA1446" i="3"/>
  <c r="AA1445" i="3"/>
  <c r="V32" i="26"/>
  <c r="V22" i="26" l="1"/>
  <c r="V23" i="26" s="1"/>
  <c r="V42" i="26"/>
  <c r="V43" i="26" s="1"/>
  <c r="U1444" i="3"/>
  <c r="Y1444" i="3" s="1"/>
  <c r="S1444" i="3"/>
  <c r="N1444" i="3"/>
  <c r="M1444" i="3"/>
  <c r="L1444" i="3"/>
  <c r="K1444" i="3"/>
  <c r="J1444" i="3"/>
  <c r="I1444" i="3"/>
  <c r="H1444" i="3"/>
  <c r="G1444" i="3"/>
  <c r="F1444" i="3"/>
  <c r="D1444" i="3"/>
  <c r="U1443" i="3"/>
  <c r="Y1443" i="3" s="1"/>
  <c r="S1443" i="3"/>
  <c r="M1443" i="3"/>
  <c r="L1443" i="3"/>
  <c r="K1443" i="3"/>
  <c r="J1443" i="3"/>
  <c r="I1443" i="3"/>
  <c r="H1443" i="3"/>
  <c r="G1443" i="3"/>
  <c r="F1443" i="3"/>
  <c r="D1443" i="3"/>
  <c r="U1442" i="3"/>
  <c r="Y1442" i="3" s="1"/>
  <c r="S1442" i="3"/>
  <c r="M1442" i="3"/>
  <c r="L1442" i="3"/>
  <c r="K1442" i="3"/>
  <c r="J1442" i="3"/>
  <c r="I1442" i="3"/>
  <c r="H1442" i="3"/>
  <c r="G1442" i="3"/>
  <c r="F1442" i="3"/>
  <c r="D1442" i="3"/>
  <c r="K74" i="26"/>
  <c r="F74" i="26"/>
  <c r="AA1442" i="3" a="1"/>
  <c r="AA1443" i="3" a="1"/>
  <c r="AA1444" i="3" a="1"/>
  <c r="AA1443" i="3" l="1"/>
  <c r="AA1444" i="3"/>
  <c r="AA1442" i="3"/>
  <c r="L74" i="26"/>
  <c r="F72" i="26" l="1"/>
  <c r="U1441" i="3"/>
  <c r="Y1441" i="3" s="1"/>
  <c r="S1441" i="3"/>
  <c r="N1441" i="3"/>
  <c r="M1441" i="3"/>
  <c r="L1441" i="3"/>
  <c r="K1441" i="3"/>
  <c r="J1441" i="3"/>
  <c r="I1441" i="3"/>
  <c r="H1441" i="3"/>
  <c r="G1441" i="3"/>
  <c r="F1441" i="3"/>
  <c r="D1441" i="3"/>
  <c r="U1440" i="3"/>
  <c r="Y1440" i="3" s="1"/>
  <c r="S1440" i="3"/>
  <c r="N1440" i="3"/>
  <c r="M1440" i="3"/>
  <c r="L1440" i="3"/>
  <c r="K1440" i="3"/>
  <c r="J1440" i="3"/>
  <c r="I1440" i="3"/>
  <c r="H1440" i="3"/>
  <c r="G1440" i="3"/>
  <c r="F1440" i="3"/>
  <c r="D1440" i="3"/>
  <c r="U1439" i="3"/>
  <c r="Y1439" i="3" s="1"/>
  <c r="S1439" i="3"/>
  <c r="N1439" i="3"/>
  <c r="M1439" i="3"/>
  <c r="L1439" i="3"/>
  <c r="K1439" i="3"/>
  <c r="J1439" i="3"/>
  <c r="I1439" i="3"/>
  <c r="H1439" i="3"/>
  <c r="G1439" i="3"/>
  <c r="F1439" i="3"/>
  <c r="D1439" i="3"/>
  <c r="U1438" i="3"/>
  <c r="Y1438" i="3" s="1"/>
  <c r="S1438" i="3"/>
  <c r="N1438" i="3"/>
  <c r="M1438" i="3"/>
  <c r="L1438" i="3"/>
  <c r="K1438" i="3"/>
  <c r="J1438" i="3"/>
  <c r="I1438" i="3"/>
  <c r="H1438" i="3"/>
  <c r="G1438" i="3"/>
  <c r="F1438" i="3"/>
  <c r="D1438" i="3"/>
  <c r="U1437" i="3"/>
  <c r="Y1437" i="3" s="1"/>
  <c r="S1437" i="3"/>
  <c r="N1437" i="3"/>
  <c r="M1437" i="3"/>
  <c r="L1437" i="3"/>
  <c r="K1437" i="3"/>
  <c r="J1437" i="3"/>
  <c r="I1437" i="3"/>
  <c r="H1437" i="3"/>
  <c r="G1437" i="3"/>
  <c r="F1437" i="3"/>
  <c r="D1437" i="3"/>
  <c r="U1436" i="3"/>
  <c r="Y1436" i="3" s="1"/>
  <c r="S1436" i="3"/>
  <c r="N1436" i="3"/>
  <c r="M1436" i="3"/>
  <c r="L1436" i="3"/>
  <c r="K1436" i="3"/>
  <c r="J1436" i="3"/>
  <c r="I1436" i="3"/>
  <c r="H1436" i="3"/>
  <c r="G1436" i="3"/>
  <c r="F1436" i="3"/>
  <c r="D1436" i="3"/>
  <c r="U1435" i="3"/>
  <c r="Y1435" i="3" s="1"/>
  <c r="S1435" i="3"/>
  <c r="N1435" i="3"/>
  <c r="M1435" i="3"/>
  <c r="L1435" i="3"/>
  <c r="K1435" i="3"/>
  <c r="J1435" i="3"/>
  <c r="I1435" i="3"/>
  <c r="H1435" i="3"/>
  <c r="G1435" i="3"/>
  <c r="F1435" i="3"/>
  <c r="D1435" i="3"/>
  <c r="AA1439" i="3" a="1"/>
  <c r="AA1438" i="3" a="1"/>
  <c r="AA1435" i="3" a="1"/>
  <c r="AA1440" i="3" a="1"/>
  <c r="AA1436" i="3" a="1"/>
  <c r="AA1441" i="3" a="1"/>
  <c r="AA1437" i="3" a="1"/>
  <c r="AA1438" i="3" l="1"/>
  <c r="AA1437" i="3"/>
  <c r="AA1436" i="3"/>
  <c r="AA1441" i="3"/>
  <c r="AA1435" i="3"/>
  <c r="AA1440" i="3"/>
  <c r="AA1439" i="3"/>
  <c r="AB859" i="1" a="1"/>
  <c r="AB859" i="1" l="1"/>
  <c r="D13" i="26"/>
  <c r="U1434" i="3" l="1"/>
  <c r="Y1434" i="3" s="1"/>
  <c r="S1434" i="3"/>
  <c r="N1434" i="3"/>
  <c r="M1434" i="3"/>
  <c r="L1434" i="3"/>
  <c r="K1434" i="3"/>
  <c r="J1434" i="3"/>
  <c r="I1434" i="3"/>
  <c r="H1434" i="3"/>
  <c r="G1434" i="3"/>
  <c r="F1434" i="3"/>
  <c r="D1434" i="3"/>
  <c r="U1433" i="3"/>
  <c r="Y1433" i="3" s="1"/>
  <c r="S1433" i="3"/>
  <c r="N1433" i="3"/>
  <c r="M1433" i="3"/>
  <c r="L1433" i="3"/>
  <c r="K1433" i="3"/>
  <c r="J1433" i="3"/>
  <c r="I1433" i="3"/>
  <c r="H1433" i="3"/>
  <c r="G1433" i="3"/>
  <c r="F1433" i="3"/>
  <c r="D1433" i="3"/>
  <c r="AA1433" i="3" a="1"/>
  <c r="AA1434" i="3" a="1"/>
  <c r="AA1433" i="3" l="1"/>
  <c r="AA1434" i="3"/>
  <c r="V73" i="26" l="1"/>
  <c r="G85" i="26"/>
  <c r="L85" i="26" s="1"/>
  <c r="F77" i="26"/>
  <c r="F76" i="26"/>
  <c r="F73" i="26"/>
  <c r="L90" i="26"/>
  <c r="L89" i="26"/>
  <c r="L88" i="26"/>
  <c r="M88" i="26" s="1"/>
  <c r="L86" i="26"/>
  <c r="N88" i="26" l="1"/>
  <c r="M89" i="26"/>
  <c r="N89" i="26" s="1"/>
  <c r="M90" i="26"/>
  <c r="N90" i="26" s="1"/>
  <c r="M85" i="26"/>
  <c r="N85" i="26" s="1"/>
  <c r="M86" i="26"/>
  <c r="N86" i="26" s="1"/>
  <c r="X75" i="26"/>
  <c r="K77" i="26"/>
  <c r="U1432" i="3"/>
  <c r="Y1432" i="3" s="1"/>
  <c r="S1432" i="3"/>
  <c r="N1432" i="3"/>
  <c r="M1432" i="3"/>
  <c r="L1432" i="3"/>
  <c r="K1432" i="3"/>
  <c r="J1432" i="3"/>
  <c r="I1432" i="3"/>
  <c r="H1432" i="3"/>
  <c r="G1432" i="3"/>
  <c r="F1432" i="3"/>
  <c r="D1432" i="3"/>
  <c r="U1431" i="3"/>
  <c r="Y1431" i="3" s="1"/>
  <c r="S1431" i="3"/>
  <c r="N1431" i="3"/>
  <c r="M1431" i="3"/>
  <c r="L1431" i="3"/>
  <c r="K1431" i="3"/>
  <c r="J1431" i="3"/>
  <c r="I1431" i="3"/>
  <c r="H1431" i="3"/>
  <c r="G1431" i="3"/>
  <c r="F1431" i="3"/>
  <c r="D1431" i="3"/>
  <c r="U1430" i="3"/>
  <c r="Y1430" i="3" s="1"/>
  <c r="S1430" i="3"/>
  <c r="N1430" i="3"/>
  <c r="M1430" i="3"/>
  <c r="L1430" i="3"/>
  <c r="K1430" i="3"/>
  <c r="J1430" i="3"/>
  <c r="I1430" i="3"/>
  <c r="H1430" i="3"/>
  <c r="G1430" i="3"/>
  <c r="F1430" i="3"/>
  <c r="D1430" i="3"/>
  <c r="U1429" i="3"/>
  <c r="Y1429" i="3" s="1"/>
  <c r="S1429" i="3"/>
  <c r="N1429" i="3"/>
  <c r="M1429" i="3"/>
  <c r="L1429" i="3"/>
  <c r="K1429" i="3"/>
  <c r="J1429" i="3"/>
  <c r="I1429" i="3"/>
  <c r="H1429" i="3"/>
  <c r="G1429" i="3"/>
  <c r="F1429" i="3"/>
  <c r="D1429" i="3"/>
  <c r="P10" i="10"/>
  <c r="U1428" i="3"/>
  <c r="Y1428" i="3" s="1"/>
  <c r="S1428" i="3"/>
  <c r="N1428" i="3"/>
  <c r="M1428" i="3"/>
  <c r="L1428" i="3"/>
  <c r="K1428" i="3"/>
  <c r="J1428" i="3"/>
  <c r="I1428" i="3"/>
  <c r="H1428" i="3"/>
  <c r="G1428" i="3"/>
  <c r="F1428" i="3"/>
  <c r="D1428" i="3"/>
  <c r="AA1430" i="3" a="1"/>
  <c r="AA1432" i="3" a="1"/>
  <c r="AA1428" i="3" a="1"/>
  <c r="AA1429" i="3" a="1"/>
  <c r="AA1431" i="3" a="1"/>
  <c r="AA1432" i="3" l="1"/>
  <c r="AA1429" i="3"/>
  <c r="AA1431" i="3"/>
  <c r="AA1430" i="3"/>
  <c r="AA1428" i="3"/>
  <c r="L77" i="26"/>
  <c r="W74" i="26" l="1"/>
  <c r="X74" i="26" s="1"/>
  <c r="W71" i="26"/>
  <c r="X71" i="26" s="1"/>
  <c r="W70" i="26"/>
  <c r="X70" i="26" s="1"/>
  <c r="W73" i="26"/>
  <c r="X73" i="26" s="1"/>
  <c r="J72" i="26"/>
  <c r="K72" i="26" s="1"/>
  <c r="L72" i="26" s="1"/>
  <c r="K73" i="26"/>
  <c r="L73" i="26" s="1"/>
  <c r="K76" i="26"/>
  <c r="L76" i="26" s="1"/>
  <c r="K75" i="26"/>
  <c r="F46" i="26"/>
  <c r="D46" i="26"/>
  <c r="D45" i="26"/>
  <c r="F44" i="26"/>
  <c r="F43" i="26"/>
  <c r="D43" i="26"/>
  <c r="D44" i="26" s="1"/>
  <c r="G44" i="26" s="1"/>
  <c r="L75" i="26" l="1"/>
  <c r="G45" i="26"/>
  <c r="G46" i="26"/>
  <c r="G43" i="26"/>
  <c r="F29" i="26"/>
  <c r="D29" i="26"/>
  <c r="F28" i="26"/>
  <c r="D28" i="26"/>
  <c r="F27" i="26"/>
  <c r="F26" i="26"/>
  <c r="D26" i="26"/>
  <c r="U1427" i="3"/>
  <c r="Y1427" i="3" s="1"/>
  <c r="S1427" i="3"/>
  <c r="N1427" i="3"/>
  <c r="M1427" i="3"/>
  <c r="L1427" i="3"/>
  <c r="K1427" i="3"/>
  <c r="J1427" i="3"/>
  <c r="I1427" i="3"/>
  <c r="H1427" i="3"/>
  <c r="G1427" i="3"/>
  <c r="F1427" i="3"/>
  <c r="D1427" i="3"/>
  <c r="U1426" i="3"/>
  <c r="Y1426" i="3" s="1"/>
  <c r="S1426" i="3"/>
  <c r="N1426" i="3"/>
  <c r="M1426" i="3"/>
  <c r="L1426" i="3"/>
  <c r="K1426" i="3"/>
  <c r="J1426" i="3"/>
  <c r="I1426" i="3"/>
  <c r="H1426" i="3"/>
  <c r="G1426" i="3"/>
  <c r="F1426" i="3"/>
  <c r="D1426" i="3"/>
  <c r="U1425" i="3"/>
  <c r="Y1425" i="3" s="1"/>
  <c r="S1425" i="3"/>
  <c r="N1425" i="3"/>
  <c r="M1425" i="3"/>
  <c r="L1425" i="3"/>
  <c r="K1425" i="3"/>
  <c r="J1425" i="3"/>
  <c r="I1425" i="3"/>
  <c r="H1425" i="3"/>
  <c r="G1425" i="3"/>
  <c r="F1425" i="3"/>
  <c r="D1425" i="3"/>
  <c r="U1424" i="3"/>
  <c r="Y1424" i="3" s="1"/>
  <c r="S1424" i="3"/>
  <c r="N1424" i="3"/>
  <c r="M1424" i="3"/>
  <c r="L1424" i="3"/>
  <c r="K1424" i="3"/>
  <c r="J1424" i="3"/>
  <c r="I1424" i="3"/>
  <c r="H1424" i="3"/>
  <c r="G1424" i="3"/>
  <c r="F1424" i="3"/>
  <c r="D1424" i="3"/>
  <c r="AA1426" i="3" a="1"/>
  <c r="AA1424" i="3" a="1"/>
  <c r="AA1427" i="3" a="1"/>
  <c r="AA1425" i="3" a="1"/>
  <c r="AA1426" i="3" l="1"/>
  <c r="AA1425" i="3"/>
  <c r="AA1427" i="3"/>
  <c r="AA1424" i="3"/>
  <c r="D27" i="26"/>
  <c r="G27" i="26" s="1"/>
  <c r="G26" i="26"/>
  <c r="G29" i="26"/>
  <c r="G28" i="26"/>
  <c r="G47" i="26"/>
  <c r="G30" i="26" l="1"/>
  <c r="G32" i="26" s="1"/>
  <c r="G33" i="26" s="1"/>
  <c r="G35" i="26" s="1"/>
  <c r="G51" i="26"/>
  <c r="G52" i="26" s="1"/>
  <c r="G54" i="26" s="1"/>
  <c r="U1423" i="3" l="1"/>
  <c r="Y1423" i="3" s="1"/>
  <c r="S1423" i="3"/>
  <c r="N1423" i="3"/>
  <c r="M1423" i="3"/>
  <c r="L1423" i="3"/>
  <c r="K1423" i="3"/>
  <c r="J1423" i="3"/>
  <c r="I1423" i="3"/>
  <c r="H1423" i="3"/>
  <c r="G1423" i="3"/>
  <c r="D1423" i="3"/>
  <c r="U1422" i="3"/>
  <c r="Y1422" i="3" s="1"/>
  <c r="S1422" i="3"/>
  <c r="N1422" i="3"/>
  <c r="M1422" i="3"/>
  <c r="L1422" i="3"/>
  <c r="K1422" i="3"/>
  <c r="J1422" i="3"/>
  <c r="I1422" i="3"/>
  <c r="H1422" i="3"/>
  <c r="G1422" i="3"/>
  <c r="F1422" i="3"/>
  <c r="D1422" i="3"/>
  <c r="AB801" i="1" a="1"/>
  <c r="AA1423" i="3" a="1"/>
  <c r="AA1422" i="3" a="1"/>
  <c r="AB801" i="1" l="1"/>
  <c r="AA1422" i="3"/>
  <c r="AA1423" i="3"/>
  <c r="F11" i="26"/>
  <c r="U1421" i="3"/>
  <c r="Y1421" i="3" s="1"/>
  <c r="S1421" i="3"/>
  <c r="N1421" i="3"/>
  <c r="M1421" i="3"/>
  <c r="L1421" i="3"/>
  <c r="K1421" i="3"/>
  <c r="J1421" i="3"/>
  <c r="I1421" i="3"/>
  <c r="H1421" i="3"/>
  <c r="G1421" i="3"/>
  <c r="F1421" i="3"/>
  <c r="D1421" i="3"/>
  <c r="AA1421" i="3" a="1"/>
  <c r="D12" i="26" l="1"/>
  <c r="G12" i="26" s="1"/>
  <c r="AA1421" i="3"/>
  <c r="U1420" i="3"/>
  <c r="Y1420" i="3" s="1"/>
  <c r="S1420" i="3"/>
  <c r="N1420" i="3"/>
  <c r="M1420" i="3"/>
  <c r="L1420" i="3"/>
  <c r="K1420" i="3"/>
  <c r="J1420" i="3"/>
  <c r="I1420" i="3"/>
  <c r="H1420" i="3"/>
  <c r="G1420" i="3"/>
  <c r="F1420" i="3"/>
  <c r="D1420" i="3"/>
  <c r="U1419" i="3"/>
  <c r="Y1419" i="3" s="1"/>
  <c r="S1419" i="3"/>
  <c r="N1419" i="3"/>
  <c r="M1419" i="3"/>
  <c r="L1419" i="3"/>
  <c r="K1419" i="3"/>
  <c r="J1419" i="3"/>
  <c r="I1419" i="3"/>
  <c r="H1419" i="3"/>
  <c r="G1419" i="3"/>
  <c r="F1419" i="3"/>
  <c r="D1419" i="3"/>
  <c r="U1418" i="3"/>
  <c r="Y1418" i="3" s="1"/>
  <c r="S1418" i="3"/>
  <c r="N1418" i="3"/>
  <c r="M1418" i="3"/>
  <c r="L1418" i="3"/>
  <c r="K1418" i="3"/>
  <c r="J1418" i="3"/>
  <c r="I1418" i="3"/>
  <c r="H1418" i="3"/>
  <c r="G1418" i="3"/>
  <c r="F1418" i="3"/>
  <c r="D1418" i="3"/>
  <c r="U1417" i="3"/>
  <c r="Y1417" i="3" s="1"/>
  <c r="S1417" i="3"/>
  <c r="N1417" i="3"/>
  <c r="M1417" i="3"/>
  <c r="L1417" i="3"/>
  <c r="K1417" i="3"/>
  <c r="J1417" i="3"/>
  <c r="I1417" i="3"/>
  <c r="H1417" i="3"/>
  <c r="G1417" i="3"/>
  <c r="F1417" i="3"/>
  <c r="D1417" i="3"/>
  <c r="AA1418" i="3" a="1"/>
  <c r="AA1419" i="3" a="1"/>
  <c r="AA1420" i="3" a="1"/>
  <c r="AA1417" i="3" a="1"/>
  <c r="AA1417" i="3" l="1"/>
  <c r="AA1419" i="3"/>
  <c r="AA1420" i="3"/>
  <c r="AA1418" i="3"/>
  <c r="Q6" i="26"/>
  <c r="V6" i="26" s="1"/>
  <c r="Q7" i="26" l="1"/>
  <c r="U7" i="26" s="1"/>
  <c r="U6" i="26"/>
  <c r="AB549" i="1" a="1"/>
  <c r="AB549" i="1" l="1"/>
  <c r="Q32" i="2"/>
  <c r="N1416" i="3" l="1"/>
  <c r="U1416" i="3"/>
  <c r="Y1416" i="3" s="1"/>
  <c r="S1416" i="3"/>
  <c r="M1416" i="3"/>
  <c r="L1416" i="3"/>
  <c r="K1416" i="3"/>
  <c r="J1416" i="3"/>
  <c r="I1416" i="3"/>
  <c r="H1416" i="3"/>
  <c r="G1416" i="3"/>
  <c r="F1416" i="3"/>
  <c r="D1416" i="3"/>
  <c r="U1415" i="3"/>
  <c r="Y1415" i="3" s="1"/>
  <c r="S1415" i="3"/>
  <c r="N1415" i="3"/>
  <c r="M1415" i="3"/>
  <c r="L1415" i="3"/>
  <c r="K1415" i="3"/>
  <c r="J1415" i="3"/>
  <c r="I1415" i="3"/>
  <c r="H1415" i="3"/>
  <c r="G1415" i="3"/>
  <c r="F1415" i="3"/>
  <c r="D1415" i="3"/>
  <c r="AA1416" i="3" a="1"/>
  <c r="AA1415" i="3" a="1"/>
  <c r="AA1415" i="3" l="1"/>
  <c r="AA1416" i="3"/>
  <c r="I1407" i="3"/>
  <c r="AB796" i="1" a="1"/>
  <c r="AB796" i="1" l="1"/>
  <c r="X6" i="10"/>
  <c r="V6" i="10" s="1"/>
  <c r="X7" i="10"/>
  <c r="V7" i="10" s="1"/>
  <c r="W7" i="10" s="1"/>
  <c r="X8" i="10"/>
  <c r="V8" i="10" s="1"/>
  <c r="W8" i="10" s="1"/>
  <c r="X9" i="10"/>
  <c r="V9" i="10" s="1"/>
  <c r="W9" i="10" s="1"/>
  <c r="X10" i="10"/>
  <c r="V10" i="10" s="1"/>
  <c r="W10" i="10" s="1"/>
  <c r="X11" i="10"/>
  <c r="V11" i="10" s="1"/>
  <c r="W11" i="10" s="1"/>
  <c r="X12" i="10"/>
  <c r="V12" i="10" s="1"/>
  <c r="W12" i="10" s="1"/>
  <c r="X13" i="10"/>
  <c r="V13" i="10" s="1"/>
  <c r="W13" i="10" s="1"/>
  <c r="X14" i="10"/>
  <c r="V14" i="10" s="1"/>
  <c r="W14" i="10" s="1"/>
  <c r="X15" i="10"/>
  <c r="V15" i="10" s="1"/>
  <c r="W15" i="10" s="1"/>
  <c r="X16" i="10"/>
  <c r="V16" i="10" s="1"/>
  <c r="W16" i="10" s="1"/>
  <c r="Q6" i="10"/>
  <c r="U1414" i="3"/>
  <c r="Y1414" i="3" s="1"/>
  <c r="S1414" i="3"/>
  <c r="N1414" i="3"/>
  <c r="M1414" i="3"/>
  <c r="L1414" i="3"/>
  <c r="K1414" i="3"/>
  <c r="J1414" i="3"/>
  <c r="I1414" i="3"/>
  <c r="H1414" i="3"/>
  <c r="G1414" i="3"/>
  <c r="F1414" i="3"/>
  <c r="D1414" i="3"/>
  <c r="U1413" i="3"/>
  <c r="Y1413" i="3" s="1"/>
  <c r="S1413" i="3"/>
  <c r="N1413" i="3"/>
  <c r="M1413" i="3"/>
  <c r="L1413" i="3"/>
  <c r="K1413" i="3"/>
  <c r="J1413" i="3"/>
  <c r="I1413" i="3"/>
  <c r="H1413" i="3"/>
  <c r="G1413" i="3"/>
  <c r="F1413" i="3"/>
  <c r="D1413" i="3"/>
  <c r="U1412" i="3"/>
  <c r="Y1412" i="3" s="1"/>
  <c r="S1412" i="3"/>
  <c r="N1412" i="3"/>
  <c r="M1412" i="3"/>
  <c r="L1412" i="3"/>
  <c r="K1412" i="3"/>
  <c r="J1412" i="3"/>
  <c r="I1412" i="3"/>
  <c r="H1412" i="3"/>
  <c r="G1412" i="3"/>
  <c r="F1412" i="3"/>
  <c r="D1412" i="3"/>
  <c r="U1411" i="3"/>
  <c r="Y1411" i="3" s="1"/>
  <c r="S1411" i="3"/>
  <c r="N1411" i="3"/>
  <c r="M1411" i="3"/>
  <c r="L1411" i="3"/>
  <c r="K1411" i="3"/>
  <c r="J1411" i="3"/>
  <c r="I1411" i="3"/>
  <c r="H1411" i="3"/>
  <c r="G1411" i="3"/>
  <c r="F1411" i="3"/>
  <c r="D1411" i="3"/>
  <c r="U1410" i="3"/>
  <c r="Y1410" i="3" s="1"/>
  <c r="S1410" i="3"/>
  <c r="N1410" i="3"/>
  <c r="M1410" i="3"/>
  <c r="L1410" i="3"/>
  <c r="K1410" i="3"/>
  <c r="J1410" i="3"/>
  <c r="I1410" i="3"/>
  <c r="H1410" i="3"/>
  <c r="G1410" i="3"/>
  <c r="F1410" i="3"/>
  <c r="D1410" i="3"/>
  <c r="U1409" i="3"/>
  <c r="Y1409" i="3" s="1"/>
  <c r="S1409" i="3"/>
  <c r="N1409" i="3"/>
  <c r="M1409" i="3"/>
  <c r="L1409" i="3"/>
  <c r="K1409" i="3"/>
  <c r="J1409" i="3"/>
  <c r="I1409" i="3"/>
  <c r="H1409" i="3"/>
  <c r="G1409" i="3"/>
  <c r="F1409" i="3"/>
  <c r="D1409" i="3"/>
  <c r="U1408" i="3"/>
  <c r="Y1408" i="3" s="1"/>
  <c r="S1408" i="3"/>
  <c r="N1408" i="3"/>
  <c r="M1408" i="3"/>
  <c r="L1408" i="3"/>
  <c r="K1408" i="3"/>
  <c r="J1408" i="3"/>
  <c r="I1408" i="3"/>
  <c r="H1408" i="3"/>
  <c r="G1408" i="3"/>
  <c r="F1408" i="3"/>
  <c r="D1408" i="3"/>
  <c r="AB377" i="1" a="1"/>
  <c r="AB813" i="1" a="1"/>
  <c r="AB524" i="1" a="1"/>
  <c r="AB473" i="1" a="1"/>
  <c r="AA1412" i="3" a="1"/>
  <c r="AA1409" i="3" a="1"/>
  <c r="AA1414" i="3" a="1"/>
  <c r="AA1410" i="3" a="1"/>
  <c r="AB390" i="1" a="1"/>
  <c r="AB564" i="1" a="1"/>
  <c r="AA1413" i="3" a="1"/>
  <c r="AB722" i="1" a="1"/>
  <c r="AA1411" i="3" a="1"/>
  <c r="AB831" i="1" a="1"/>
  <c r="AA1408" i="3" a="1"/>
  <c r="AB473" i="1" l="1"/>
  <c r="AB377" i="1"/>
  <c r="AB524" i="1"/>
  <c r="AB813" i="1"/>
  <c r="AB722" i="1"/>
  <c r="AB564" i="1"/>
  <c r="AB831" i="1"/>
  <c r="AB390" i="1"/>
  <c r="W6" i="10"/>
  <c r="AA1410" i="3"/>
  <c r="AA1414" i="3"/>
  <c r="AA1412" i="3"/>
  <c r="AA1411" i="3"/>
  <c r="AA1408" i="3"/>
  <c r="AA1413" i="3"/>
  <c r="AA1409" i="3"/>
  <c r="L285" i="1"/>
  <c r="AB285" i="1" a="1"/>
  <c r="AB285" i="1" l="1"/>
  <c r="Q8" i="26" l="1"/>
  <c r="U8" i="26" s="1"/>
  <c r="V8" i="26" s="1"/>
  <c r="V7" i="26"/>
  <c r="V10" i="26" l="1"/>
  <c r="V11" i="26" s="1"/>
  <c r="U1407" i="3" l="1"/>
  <c r="Y1407" i="3" s="1"/>
  <c r="S1407" i="3"/>
  <c r="N1407" i="3"/>
  <c r="M1407" i="3"/>
  <c r="L1407" i="3"/>
  <c r="K1407" i="3"/>
  <c r="J1407" i="3"/>
  <c r="H1407" i="3"/>
  <c r="G1407" i="3"/>
  <c r="F1407" i="3"/>
  <c r="D1407" i="3"/>
  <c r="U1406" i="3"/>
  <c r="Y1406" i="3" s="1"/>
  <c r="S1406" i="3"/>
  <c r="N1406" i="3"/>
  <c r="M1406" i="3"/>
  <c r="L1406" i="3"/>
  <c r="K1406" i="3"/>
  <c r="J1406" i="3"/>
  <c r="I1406" i="3"/>
  <c r="H1406" i="3"/>
  <c r="G1406" i="3"/>
  <c r="F1406" i="3"/>
  <c r="D1406" i="3"/>
  <c r="AA1406" i="3" a="1"/>
  <c r="AA1407" i="3" a="1"/>
  <c r="AA1406" i="3" l="1"/>
  <c r="AA1407" i="3"/>
  <c r="U1405" i="3" l="1"/>
  <c r="Y1405" i="3" s="1"/>
  <c r="S1405" i="3"/>
  <c r="N1405" i="3"/>
  <c r="M1405" i="3"/>
  <c r="L1405" i="3"/>
  <c r="K1405" i="3"/>
  <c r="J1405" i="3"/>
  <c r="I1405" i="3"/>
  <c r="H1405" i="3"/>
  <c r="G1405" i="3"/>
  <c r="F1405" i="3"/>
  <c r="D1405" i="3"/>
  <c r="U1404" i="3"/>
  <c r="Y1404" i="3" s="1"/>
  <c r="S1404" i="3"/>
  <c r="N1404" i="3"/>
  <c r="M1404" i="3"/>
  <c r="L1404" i="3"/>
  <c r="K1404" i="3"/>
  <c r="J1404" i="3"/>
  <c r="I1404" i="3"/>
  <c r="H1404" i="3"/>
  <c r="G1404" i="3"/>
  <c r="F1404" i="3"/>
  <c r="D1404" i="3"/>
  <c r="U1403" i="3"/>
  <c r="Y1403" i="3" s="1"/>
  <c r="S1403" i="3"/>
  <c r="M1403" i="3"/>
  <c r="L1403" i="3"/>
  <c r="K1403" i="3"/>
  <c r="J1403" i="3"/>
  <c r="I1403" i="3"/>
  <c r="H1403" i="3"/>
  <c r="G1403" i="3"/>
  <c r="F1403" i="3"/>
  <c r="D1403" i="3"/>
  <c r="S1387" i="3"/>
  <c r="AA1404" i="3" a="1"/>
  <c r="AA1403" i="3" a="1"/>
  <c r="AA1405" i="3" a="1"/>
  <c r="AA1404" i="3" l="1"/>
  <c r="AA1403" i="3"/>
  <c r="AA1405" i="3"/>
  <c r="L597" i="1"/>
  <c r="L507" i="1"/>
  <c r="N1568" i="3" l="1"/>
  <c r="N1561" i="3"/>
  <c r="N1403" i="3"/>
  <c r="N1503" i="3"/>
  <c r="N1443" i="3"/>
  <c r="N1501" i="3"/>
  <c r="AB327" i="1" a="1"/>
  <c r="AB110" i="1" a="1"/>
  <c r="AB110" i="1" l="1"/>
  <c r="AB327" i="1"/>
  <c r="U1402" i="3"/>
  <c r="Y1402" i="3" s="1"/>
  <c r="S1402" i="3"/>
  <c r="N1402" i="3"/>
  <c r="M1402" i="3"/>
  <c r="L1402" i="3"/>
  <c r="K1402" i="3"/>
  <c r="J1402" i="3"/>
  <c r="I1402" i="3"/>
  <c r="H1402" i="3"/>
  <c r="G1402" i="3"/>
  <c r="F1402" i="3"/>
  <c r="D1402" i="3"/>
  <c r="U1401" i="3"/>
  <c r="Y1401" i="3" s="1"/>
  <c r="S1401" i="3"/>
  <c r="N1401" i="3"/>
  <c r="M1401" i="3"/>
  <c r="L1401" i="3"/>
  <c r="K1401" i="3"/>
  <c r="J1401" i="3"/>
  <c r="I1401" i="3"/>
  <c r="H1401" i="3"/>
  <c r="G1401" i="3"/>
  <c r="F1401" i="3"/>
  <c r="D1401" i="3"/>
  <c r="U1400" i="3"/>
  <c r="Y1400" i="3" s="1"/>
  <c r="S1400" i="3"/>
  <c r="N1400" i="3"/>
  <c r="M1400" i="3"/>
  <c r="L1400" i="3"/>
  <c r="K1400" i="3"/>
  <c r="J1400" i="3"/>
  <c r="I1400" i="3"/>
  <c r="H1400" i="3"/>
  <c r="G1400" i="3"/>
  <c r="F1400" i="3"/>
  <c r="D1400" i="3"/>
  <c r="U1399" i="3"/>
  <c r="Y1399" i="3" s="1"/>
  <c r="S1399" i="3"/>
  <c r="N1399" i="3"/>
  <c r="M1399" i="3"/>
  <c r="L1399" i="3"/>
  <c r="K1399" i="3"/>
  <c r="J1399" i="3"/>
  <c r="I1399" i="3"/>
  <c r="H1399" i="3"/>
  <c r="G1399" i="3"/>
  <c r="F1399" i="3"/>
  <c r="D1399" i="3"/>
  <c r="U1398" i="3"/>
  <c r="Y1398" i="3" s="1"/>
  <c r="S1398" i="3"/>
  <c r="N1398" i="3"/>
  <c r="M1398" i="3"/>
  <c r="L1398" i="3"/>
  <c r="K1398" i="3"/>
  <c r="J1398" i="3"/>
  <c r="I1398" i="3"/>
  <c r="H1398" i="3"/>
  <c r="G1398" i="3"/>
  <c r="F1398" i="3"/>
  <c r="D1398" i="3"/>
  <c r="U1397" i="3"/>
  <c r="Y1397" i="3" s="1"/>
  <c r="S1397" i="3"/>
  <c r="N1397" i="3"/>
  <c r="M1397" i="3"/>
  <c r="L1397" i="3"/>
  <c r="K1397" i="3"/>
  <c r="J1397" i="3"/>
  <c r="I1397" i="3"/>
  <c r="H1397" i="3"/>
  <c r="G1397" i="3"/>
  <c r="F1397" i="3"/>
  <c r="D1397" i="3"/>
  <c r="AA1400" i="3" a="1"/>
  <c r="AA1398" i="3" a="1"/>
  <c r="AA1402" i="3" a="1"/>
  <c r="AA1399" i="3" a="1"/>
  <c r="AA1397" i="3" a="1"/>
  <c r="AA1401" i="3" a="1"/>
  <c r="AA1400" i="3" l="1"/>
  <c r="AA1398" i="3"/>
  <c r="AA1401" i="3"/>
  <c r="AA1402" i="3"/>
  <c r="AA1397" i="3"/>
  <c r="AA1399" i="3"/>
  <c r="L755" i="1"/>
  <c r="U1396" i="3" l="1"/>
  <c r="Y1396" i="3" s="1"/>
  <c r="S1396" i="3"/>
  <c r="N1396" i="3"/>
  <c r="M1396" i="3"/>
  <c r="L1396" i="3"/>
  <c r="K1396" i="3"/>
  <c r="J1396" i="3"/>
  <c r="I1396" i="3"/>
  <c r="H1396" i="3"/>
  <c r="G1396" i="3"/>
  <c r="F1396" i="3"/>
  <c r="D1396" i="3"/>
  <c r="U281" i="1"/>
  <c r="Q1395" i="3"/>
  <c r="S1395" i="3" s="1"/>
  <c r="Q1386" i="3"/>
  <c r="U1395" i="3"/>
  <c r="Y1395" i="3" s="1"/>
  <c r="M1395" i="3"/>
  <c r="L1395" i="3"/>
  <c r="K1395" i="3"/>
  <c r="J1395" i="3"/>
  <c r="I1395" i="3"/>
  <c r="H1395" i="3"/>
  <c r="G1395" i="3"/>
  <c r="F1395" i="3"/>
  <c r="D1395" i="3"/>
  <c r="U1394" i="3"/>
  <c r="Y1394" i="3" s="1"/>
  <c r="S1394" i="3"/>
  <c r="M1394" i="3"/>
  <c r="L1394" i="3"/>
  <c r="K1394" i="3"/>
  <c r="J1394" i="3"/>
  <c r="I1394" i="3"/>
  <c r="H1394" i="3"/>
  <c r="G1394" i="3"/>
  <c r="F1394" i="3"/>
  <c r="D1394" i="3"/>
  <c r="Q1376" i="3"/>
  <c r="Q1393" i="3"/>
  <c r="U1393" i="3"/>
  <c r="Y1393" i="3" s="1"/>
  <c r="S1393" i="3"/>
  <c r="M1393" i="3"/>
  <c r="L1393" i="3"/>
  <c r="K1393" i="3"/>
  <c r="J1393" i="3"/>
  <c r="I1393" i="3"/>
  <c r="H1393" i="3"/>
  <c r="G1393" i="3"/>
  <c r="F1393" i="3"/>
  <c r="D1393" i="3"/>
  <c r="U1392" i="3"/>
  <c r="Y1392" i="3" s="1"/>
  <c r="S1392" i="3"/>
  <c r="N1392" i="3"/>
  <c r="M1392" i="3"/>
  <c r="L1392" i="3"/>
  <c r="K1392" i="3"/>
  <c r="J1392" i="3"/>
  <c r="I1392" i="3"/>
  <c r="H1392" i="3"/>
  <c r="G1392" i="3"/>
  <c r="F1392" i="3"/>
  <c r="D1392" i="3"/>
  <c r="Q1391" i="3"/>
  <c r="S1391" i="3" s="1"/>
  <c r="Q1363" i="3"/>
  <c r="U1391" i="3"/>
  <c r="Y1391" i="3" s="1"/>
  <c r="M1391" i="3"/>
  <c r="L1391" i="3"/>
  <c r="K1391" i="3"/>
  <c r="J1391" i="3"/>
  <c r="I1391" i="3"/>
  <c r="H1391" i="3"/>
  <c r="G1391" i="3"/>
  <c r="F1391" i="3"/>
  <c r="D1391" i="3"/>
  <c r="AA1396" i="3" a="1"/>
  <c r="AA1394" i="3" a="1"/>
  <c r="AA1392" i="3" a="1"/>
  <c r="AA1393" i="3" a="1"/>
  <c r="AA1395" i="3" a="1"/>
  <c r="AA1391" i="3" a="1"/>
  <c r="AA1393" i="3" l="1"/>
  <c r="AA1391" i="3"/>
  <c r="AA1392" i="3"/>
  <c r="AA1394" i="3"/>
  <c r="AA1395" i="3"/>
  <c r="AA1396" i="3"/>
  <c r="Q1362" i="3"/>
  <c r="Q1390" i="3"/>
  <c r="S1390" i="3" s="1"/>
  <c r="U1390" i="3"/>
  <c r="Y1390" i="3" s="1"/>
  <c r="M1390" i="3"/>
  <c r="L1390" i="3"/>
  <c r="K1390" i="3"/>
  <c r="J1390" i="3"/>
  <c r="I1390" i="3"/>
  <c r="H1390" i="3"/>
  <c r="G1390" i="3"/>
  <c r="F1390" i="3"/>
  <c r="D1390" i="3"/>
  <c r="L276" i="1"/>
  <c r="L281" i="1"/>
  <c r="AA1390" i="3" a="1"/>
  <c r="N1395" i="3" l="1"/>
  <c r="AA1390" i="3"/>
  <c r="U1389" i="3"/>
  <c r="Y1389" i="3" s="1"/>
  <c r="S1389" i="3"/>
  <c r="N1389" i="3"/>
  <c r="M1389" i="3"/>
  <c r="L1389" i="3"/>
  <c r="K1389" i="3"/>
  <c r="J1389" i="3"/>
  <c r="I1389" i="3"/>
  <c r="H1389" i="3"/>
  <c r="G1389" i="3"/>
  <c r="F1389" i="3"/>
  <c r="D1389" i="3"/>
  <c r="U1388" i="3"/>
  <c r="Y1388" i="3" s="1"/>
  <c r="S1388" i="3"/>
  <c r="N1388" i="3"/>
  <c r="M1388" i="3"/>
  <c r="L1388" i="3"/>
  <c r="K1388" i="3"/>
  <c r="J1388" i="3"/>
  <c r="I1388" i="3"/>
  <c r="H1388" i="3"/>
  <c r="G1388" i="3"/>
  <c r="F1388" i="3"/>
  <c r="D1388" i="3"/>
  <c r="U1387" i="3"/>
  <c r="Y1387" i="3" s="1"/>
  <c r="N1387" i="3"/>
  <c r="M1387" i="3"/>
  <c r="L1387" i="3"/>
  <c r="K1387" i="3"/>
  <c r="J1387" i="3"/>
  <c r="I1387" i="3"/>
  <c r="H1387" i="3"/>
  <c r="G1387" i="3"/>
  <c r="F1387" i="3"/>
  <c r="D1387" i="3"/>
  <c r="AA1388" i="3" a="1"/>
  <c r="AA1389" i="3" a="1"/>
  <c r="AA1387" i="3" a="1"/>
  <c r="AA1388" i="3" l="1"/>
  <c r="AA1387" i="3"/>
  <c r="AA1389" i="3"/>
  <c r="U1386" i="3"/>
  <c r="Y1386" i="3" s="1"/>
  <c r="S1386" i="3"/>
  <c r="N1386" i="3"/>
  <c r="M1386" i="3"/>
  <c r="L1386" i="3"/>
  <c r="K1386" i="3"/>
  <c r="J1386" i="3"/>
  <c r="I1386" i="3"/>
  <c r="H1386" i="3"/>
  <c r="G1386" i="3"/>
  <c r="F1386" i="3"/>
  <c r="D1386" i="3"/>
  <c r="AA1386" i="3" a="1"/>
  <c r="AA1386" i="3" l="1"/>
  <c r="U1385" i="3"/>
  <c r="Y1385" i="3" s="1"/>
  <c r="S1385" i="3"/>
  <c r="N1385" i="3"/>
  <c r="M1385" i="3"/>
  <c r="L1385" i="3"/>
  <c r="K1385" i="3"/>
  <c r="J1385" i="3"/>
  <c r="I1385" i="3"/>
  <c r="H1385" i="3"/>
  <c r="G1385" i="3"/>
  <c r="F1385" i="3"/>
  <c r="D1385" i="3"/>
  <c r="AA1385" i="3" a="1"/>
  <c r="AA1385" i="3" l="1"/>
  <c r="AB490" i="1" a="1"/>
  <c r="AB884" i="1" a="1"/>
  <c r="AB627" i="1" a="1"/>
  <c r="AB161" i="1" a="1"/>
  <c r="AB114" i="1" a="1"/>
  <c r="AB884" i="1" l="1"/>
  <c r="AB627" i="1"/>
  <c r="AB161" i="1"/>
  <c r="AB490" i="1"/>
  <c r="AB114" i="1"/>
  <c r="U1384" i="3"/>
  <c r="Y1384" i="3" s="1"/>
  <c r="S1384" i="3"/>
  <c r="N1384" i="3"/>
  <c r="M1384" i="3"/>
  <c r="L1384" i="3"/>
  <c r="K1384" i="3"/>
  <c r="J1384" i="3"/>
  <c r="I1384" i="3"/>
  <c r="H1384" i="3"/>
  <c r="G1384" i="3"/>
  <c r="F1384" i="3"/>
  <c r="D1384" i="3"/>
  <c r="U1383" i="3"/>
  <c r="Y1383" i="3" s="1"/>
  <c r="S1383" i="3"/>
  <c r="N1383" i="3"/>
  <c r="M1383" i="3"/>
  <c r="L1383" i="3"/>
  <c r="K1383" i="3"/>
  <c r="J1383" i="3"/>
  <c r="I1383" i="3"/>
  <c r="H1383" i="3"/>
  <c r="G1383" i="3"/>
  <c r="F1383" i="3"/>
  <c r="D1383" i="3"/>
  <c r="U1382" i="3"/>
  <c r="Y1382" i="3" s="1"/>
  <c r="S1382" i="3"/>
  <c r="N1382" i="3"/>
  <c r="M1382" i="3"/>
  <c r="L1382" i="3"/>
  <c r="K1382" i="3"/>
  <c r="J1382" i="3"/>
  <c r="I1382" i="3"/>
  <c r="H1382" i="3"/>
  <c r="G1382" i="3"/>
  <c r="F1382" i="3"/>
  <c r="D1382" i="3"/>
  <c r="U1381" i="3"/>
  <c r="Y1381" i="3" s="1"/>
  <c r="S1381" i="3"/>
  <c r="N1381" i="3"/>
  <c r="M1381" i="3"/>
  <c r="L1381" i="3"/>
  <c r="K1381" i="3"/>
  <c r="J1381" i="3"/>
  <c r="I1381" i="3"/>
  <c r="H1381" i="3"/>
  <c r="G1381" i="3"/>
  <c r="F1381" i="3"/>
  <c r="D1381" i="3"/>
  <c r="U1380" i="3"/>
  <c r="Y1380" i="3" s="1"/>
  <c r="S1380" i="3"/>
  <c r="N1380" i="3"/>
  <c r="M1380" i="3"/>
  <c r="L1380" i="3"/>
  <c r="K1380" i="3"/>
  <c r="J1380" i="3"/>
  <c r="I1380" i="3"/>
  <c r="H1380" i="3"/>
  <c r="G1380" i="3"/>
  <c r="F1380" i="3"/>
  <c r="D1380" i="3"/>
  <c r="U1379" i="3"/>
  <c r="Y1379" i="3" s="1"/>
  <c r="S1379" i="3"/>
  <c r="N1379" i="3"/>
  <c r="M1379" i="3"/>
  <c r="L1379" i="3"/>
  <c r="K1379" i="3"/>
  <c r="J1379" i="3"/>
  <c r="I1379" i="3"/>
  <c r="H1379" i="3"/>
  <c r="G1379" i="3"/>
  <c r="F1379" i="3"/>
  <c r="D1379" i="3"/>
  <c r="U1378" i="3"/>
  <c r="Y1378" i="3" s="1"/>
  <c r="S1378" i="3"/>
  <c r="N1378" i="3"/>
  <c r="M1378" i="3"/>
  <c r="L1378" i="3"/>
  <c r="K1378" i="3"/>
  <c r="J1378" i="3"/>
  <c r="I1378" i="3"/>
  <c r="H1378" i="3"/>
  <c r="G1378" i="3"/>
  <c r="F1378" i="3"/>
  <c r="D1378" i="3"/>
  <c r="U1377" i="3"/>
  <c r="Y1377" i="3" s="1"/>
  <c r="S1377" i="3"/>
  <c r="N1377" i="3"/>
  <c r="M1377" i="3"/>
  <c r="L1377" i="3"/>
  <c r="K1377" i="3"/>
  <c r="J1377" i="3"/>
  <c r="I1377" i="3"/>
  <c r="H1377" i="3"/>
  <c r="G1377" i="3"/>
  <c r="F1377" i="3"/>
  <c r="D1377" i="3"/>
  <c r="AA1381" i="3" a="1"/>
  <c r="AA1383" i="3" a="1"/>
  <c r="AA1379" i="3" a="1"/>
  <c r="AA1377" i="3" a="1"/>
  <c r="AA1380" i="3" a="1"/>
  <c r="AA1378" i="3" a="1"/>
  <c r="AA1382" i="3" a="1"/>
  <c r="AA1384" i="3" a="1"/>
  <c r="AA1377" i="3" l="1"/>
  <c r="AA1379" i="3"/>
  <c r="AA1384" i="3"/>
  <c r="AA1382" i="3"/>
  <c r="AA1381" i="3"/>
  <c r="AA1378" i="3"/>
  <c r="AA1383" i="3"/>
  <c r="AA1380" i="3"/>
  <c r="AB231" i="1" a="1"/>
  <c r="AB775" i="1" a="1"/>
  <c r="AB609" i="1" a="1"/>
  <c r="AB592" i="1" a="1"/>
  <c r="AB253" i="1" a="1"/>
  <c r="AB291" i="1" a="1"/>
  <c r="AB22" i="1" a="1"/>
  <c r="AB575" i="1" a="1"/>
  <c r="AB472" i="1" a="1"/>
  <c r="AB587" i="1" a="1"/>
  <c r="AB488" i="1" a="1"/>
  <c r="AB73" i="1" a="1"/>
  <c r="AB376" i="1" a="1"/>
  <c r="AB575" i="1" l="1"/>
  <c r="AB291" i="1"/>
  <c r="AB231" i="1"/>
  <c r="AB609" i="1"/>
  <c r="AB73" i="1"/>
  <c r="AB592" i="1"/>
  <c r="AB22" i="1"/>
  <c r="AB587" i="1"/>
  <c r="AB488" i="1"/>
  <c r="AB472" i="1"/>
  <c r="AB376" i="1"/>
  <c r="AB253" i="1"/>
  <c r="AB775" i="1"/>
  <c r="U1376" i="3"/>
  <c r="Y1376" i="3" s="1"/>
  <c r="S1376" i="3"/>
  <c r="M1376" i="3"/>
  <c r="L1376" i="3"/>
  <c r="K1376" i="3"/>
  <c r="J1376" i="3"/>
  <c r="I1376" i="3"/>
  <c r="H1376" i="3"/>
  <c r="G1376" i="3"/>
  <c r="F1376" i="3"/>
  <c r="D1376" i="3"/>
  <c r="U1375" i="3"/>
  <c r="Y1375" i="3" s="1"/>
  <c r="S1375" i="3"/>
  <c r="N1375" i="3"/>
  <c r="M1375" i="3"/>
  <c r="L1375" i="3"/>
  <c r="K1375" i="3"/>
  <c r="J1375" i="3"/>
  <c r="I1375" i="3"/>
  <c r="H1375" i="3"/>
  <c r="G1375" i="3"/>
  <c r="F1375" i="3"/>
  <c r="D1375" i="3"/>
  <c r="U1374" i="3"/>
  <c r="Y1374" i="3" s="1"/>
  <c r="S1374" i="3"/>
  <c r="N1374" i="3"/>
  <c r="M1374" i="3"/>
  <c r="L1374" i="3"/>
  <c r="K1374" i="3"/>
  <c r="J1374" i="3"/>
  <c r="I1374" i="3"/>
  <c r="H1374" i="3"/>
  <c r="G1374" i="3"/>
  <c r="F1374" i="3"/>
  <c r="D1374" i="3"/>
  <c r="AA1375" i="3" a="1"/>
  <c r="AA1374" i="3" a="1"/>
  <c r="AA1376" i="3" a="1"/>
  <c r="AA1376" i="3" l="1"/>
  <c r="AA1374" i="3"/>
  <c r="AA1375" i="3"/>
  <c r="AB181" i="1" a="1"/>
  <c r="AB181" i="1" l="1"/>
  <c r="L26" i="26"/>
  <c r="J26" i="26"/>
  <c r="L11" i="26"/>
  <c r="J11" i="26"/>
  <c r="G13" i="26"/>
  <c r="F12" i="26"/>
  <c r="M11" i="26" l="1"/>
  <c r="M12" i="26" s="1"/>
  <c r="M16" i="26" s="1"/>
  <c r="M17" i="26" s="1"/>
  <c r="M26" i="26"/>
  <c r="M27" i="26" s="1"/>
  <c r="M31" i="26" s="1"/>
  <c r="M32" i="26" s="1"/>
  <c r="G14" i="26"/>
  <c r="G16" i="26" l="1"/>
  <c r="G17" i="26" s="1"/>
  <c r="G19" i="26" s="1"/>
  <c r="Y32" i="2"/>
  <c r="W32" i="2"/>
  <c r="W17" i="2"/>
  <c r="Y17" i="2"/>
  <c r="AB160" i="1" a="1"/>
  <c r="AB651" i="1" a="1"/>
  <c r="AB563" i="1" a="1"/>
  <c r="AB375" i="1" a="1"/>
  <c r="AB795" i="1" a="1"/>
  <c r="AB812" i="1" a="1"/>
  <c r="AB721" i="1" a="1"/>
  <c r="AB26" i="1" a="1"/>
  <c r="AB497" i="1" a="1"/>
  <c r="AB857" i="1" a="1"/>
  <c r="AB160" i="1" l="1"/>
  <c r="AB497" i="1"/>
  <c r="AB563" i="1"/>
  <c r="AB651" i="1"/>
  <c r="AB721" i="1"/>
  <c r="AB795" i="1"/>
  <c r="AB812" i="1"/>
  <c r="AB857" i="1"/>
  <c r="AB26" i="1"/>
  <c r="AB375" i="1"/>
  <c r="Z17" i="2"/>
  <c r="Z32" i="2"/>
  <c r="Z33" i="2" s="1"/>
  <c r="Z37" i="2" s="1"/>
  <c r="Z38" i="2" s="1"/>
  <c r="Z18" i="2" l="1"/>
  <c r="Z22" i="2" s="1"/>
  <c r="V1355" i="3"/>
  <c r="U1373" i="3"/>
  <c r="Y1373" i="3" s="1"/>
  <c r="S1373" i="3"/>
  <c r="M1373" i="3"/>
  <c r="L1373" i="3"/>
  <c r="K1373" i="3"/>
  <c r="J1373" i="3"/>
  <c r="I1373" i="3"/>
  <c r="H1373" i="3"/>
  <c r="G1373" i="3"/>
  <c r="F1373" i="3"/>
  <c r="D1373" i="3"/>
  <c r="U1372" i="3"/>
  <c r="Y1372" i="3" s="1"/>
  <c r="S1372" i="3"/>
  <c r="N1372" i="3"/>
  <c r="M1372" i="3"/>
  <c r="L1372" i="3"/>
  <c r="K1372" i="3"/>
  <c r="J1372" i="3"/>
  <c r="I1372" i="3"/>
  <c r="H1372" i="3"/>
  <c r="G1372" i="3"/>
  <c r="F1372" i="3"/>
  <c r="D1372" i="3"/>
  <c r="AB664" i="1" a="1"/>
  <c r="AA1373" i="3" a="1"/>
  <c r="AA1372" i="3" a="1"/>
  <c r="AB664" i="1" l="1"/>
  <c r="AA1372" i="3"/>
  <c r="AA1373" i="3"/>
  <c r="Z23" i="2"/>
  <c r="I12" i="10"/>
  <c r="J12" i="10" s="1"/>
  <c r="I19" i="10"/>
  <c r="J19" i="10" s="1"/>
  <c r="I18" i="10"/>
  <c r="J18" i="10" s="1"/>
  <c r="I17" i="10"/>
  <c r="J17" i="10" s="1"/>
  <c r="J15" i="10"/>
  <c r="I14" i="10"/>
  <c r="J14" i="10" s="1"/>
  <c r="AB268" i="1" a="1"/>
  <c r="AB435" i="1" a="1"/>
  <c r="AB435" i="1" l="1"/>
  <c r="AB268" i="1"/>
  <c r="U1371" i="3"/>
  <c r="Y1371" i="3" s="1"/>
  <c r="S1371" i="3"/>
  <c r="N1371" i="3"/>
  <c r="M1371" i="3"/>
  <c r="L1371" i="3"/>
  <c r="K1371" i="3"/>
  <c r="J1371" i="3"/>
  <c r="I1371" i="3"/>
  <c r="H1371" i="3"/>
  <c r="G1371" i="3"/>
  <c r="F1371" i="3"/>
  <c r="D1371" i="3"/>
  <c r="AA1371" i="3" a="1"/>
  <c r="AA1371" i="3" l="1"/>
  <c r="U1370" i="3"/>
  <c r="Y1370" i="3" s="1"/>
  <c r="S1370" i="3"/>
  <c r="N1370" i="3"/>
  <c r="M1370" i="3"/>
  <c r="L1370" i="3"/>
  <c r="K1370" i="3"/>
  <c r="J1370" i="3"/>
  <c r="I1370" i="3"/>
  <c r="H1370" i="3"/>
  <c r="G1370" i="3"/>
  <c r="F1370" i="3"/>
  <c r="D1370" i="3"/>
  <c r="U1369" i="3"/>
  <c r="Y1369" i="3" s="1"/>
  <c r="S1369" i="3"/>
  <c r="N1369" i="3"/>
  <c r="M1369" i="3"/>
  <c r="L1369" i="3"/>
  <c r="K1369" i="3"/>
  <c r="J1369" i="3"/>
  <c r="I1369" i="3"/>
  <c r="H1369" i="3"/>
  <c r="G1369" i="3"/>
  <c r="F1369" i="3"/>
  <c r="D1369" i="3"/>
  <c r="U1368" i="3"/>
  <c r="Y1368" i="3" s="1"/>
  <c r="S1368" i="3"/>
  <c r="N1368" i="3"/>
  <c r="M1368" i="3"/>
  <c r="L1368" i="3"/>
  <c r="K1368" i="3"/>
  <c r="J1368" i="3"/>
  <c r="I1368" i="3"/>
  <c r="H1368" i="3"/>
  <c r="G1368" i="3"/>
  <c r="F1368" i="3"/>
  <c r="D1368" i="3"/>
  <c r="AA1368" i="3" a="1"/>
  <c r="AA1370" i="3" a="1"/>
  <c r="AA1369" i="3" a="1"/>
  <c r="AA1368" i="3" l="1"/>
  <c r="AA1369" i="3"/>
  <c r="AA1370" i="3"/>
  <c r="Q1367" i="3" l="1"/>
  <c r="Q1320" i="3"/>
  <c r="U1367" i="3"/>
  <c r="Y1367" i="3" s="1"/>
  <c r="S1367" i="3"/>
  <c r="M1367" i="3"/>
  <c r="L1367" i="3"/>
  <c r="K1367" i="3"/>
  <c r="J1367" i="3"/>
  <c r="I1367" i="3"/>
  <c r="H1367" i="3"/>
  <c r="G1367" i="3"/>
  <c r="F1367" i="3"/>
  <c r="D1367" i="3"/>
  <c r="AA1367" i="3" a="1"/>
  <c r="AA1367" i="3" l="1"/>
  <c r="U1366" i="3" l="1"/>
  <c r="Y1366" i="3" s="1"/>
  <c r="S1366" i="3"/>
  <c r="N1366" i="3"/>
  <c r="M1366" i="3"/>
  <c r="L1366" i="3"/>
  <c r="K1366" i="3"/>
  <c r="J1366" i="3"/>
  <c r="I1366" i="3"/>
  <c r="H1366" i="3"/>
  <c r="G1366" i="3"/>
  <c r="F1366" i="3"/>
  <c r="D1366" i="3"/>
  <c r="U1365" i="3"/>
  <c r="Y1365" i="3" s="1"/>
  <c r="S1365" i="3"/>
  <c r="N1365" i="3"/>
  <c r="M1365" i="3"/>
  <c r="L1365" i="3"/>
  <c r="K1365" i="3"/>
  <c r="J1365" i="3"/>
  <c r="I1365" i="3"/>
  <c r="H1365" i="3"/>
  <c r="G1365" i="3"/>
  <c r="F1365" i="3"/>
  <c r="D1365" i="3"/>
  <c r="U1364" i="3"/>
  <c r="Y1364" i="3" s="1"/>
  <c r="S1364" i="3"/>
  <c r="N1364" i="3"/>
  <c r="M1364" i="3"/>
  <c r="L1364" i="3"/>
  <c r="K1364" i="3"/>
  <c r="J1364" i="3"/>
  <c r="I1364" i="3"/>
  <c r="H1364" i="3"/>
  <c r="G1364" i="3"/>
  <c r="F1364" i="3"/>
  <c r="D1364" i="3"/>
  <c r="AA1366" i="3" a="1"/>
  <c r="AA1364" i="3" a="1"/>
  <c r="AA1365" i="3" a="1"/>
  <c r="AA1365" i="3" l="1"/>
  <c r="AA1364" i="3"/>
  <c r="AA1366" i="3"/>
  <c r="U1363" i="3"/>
  <c r="Y1363" i="3" s="1"/>
  <c r="S1363" i="3"/>
  <c r="M1363" i="3"/>
  <c r="L1363" i="3"/>
  <c r="K1363" i="3"/>
  <c r="J1363" i="3"/>
  <c r="I1363" i="3"/>
  <c r="H1363" i="3"/>
  <c r="G1363" i="3"/>
  <c r="F1363" i="3"/>
  <c r="D1363" i="3"/>
  <c r="U1362" i="3"/>
  <c r="Y1362" i="3" s="1"/>
  <c r="S1362" i="3"/>
  <c r="M1362" i="3"/>
  <c r="L1362" i="3"/>
  <c r="K1362" i="3"/>
  <c r="J1362" i="3"/>
  <c r="I1362" i="3"/>
  <c r="H1362" i="3"/>
  <c r="G1362" i="3"/>
  <c r="F1362" i="3"/>
  <c r="D1362" i="3"/>
  <c r="AA1362" i="3" a="1"/>
  <c r="AA1363" i="3" a="1"/>
  <c r="AA1362" i="3" l="1"/>
  <c r="AA1363" i="3"/>
  <c r="U1361" i="3" l="1"/>
  <c r="Y1361" i="3" s="1"/>
  <c r="S1361" i="3"/>
  <c r="N1361" i="3"/>
  <c r="M1361" i="3"/>
  <c r="L1361" i="3"/>
  <c r="K1361" i="3"/>
  <c r="J1361" i="3"/>
  <c r="I1361" i="3"/>
  <c r="H1361" i="3"/>
  <c r="G1361" i="3"/>
  <c r="F1361" i="3"/>
  <c r="D1361" i="3"/>
  <c r="U1360" i="3"/>
  <c r="Y1360" i="3" s="1"/>
  <c r="S1360" i="3"/>
  <c r="N1360" i="3"/>
  <c r="M1360" i="3"/>
  <c r="L1360" i="3"/>
  <c r="K1360" i="3"/>
  <c r="J1360" i="3"/>
  <c r="I1360" i="3"/>
  <c r="H1360" i="3"/>
  <c r="G1360" i="3"/>
  <c r="F1360" i="3"/>
  <c r="D1360" i="3"/>
  <c r="U1359" i="3"/>
  <c r="Y1359" i="3" s="1"/>
  <c r="S1359" i="3"/>
  <c r="N1359" i="3"/>
  <c r="M1359" i="3"/>
  <c r="L1359" i="3"/>
  <c r="K1359" i="3"/>
  <c r="J1359" i="3"/>
  <c r="I1359" i="3"/>
  <c r="H1359" i="3"/>
  <c r="G1359" i="3"/>
  <c r="F1359" i="3"/>
  <c r="D1359" i="3"/>
  <c r="U1358" i="3"/>
  <c r="Y1358" i="3" s="1"/>
  <c r="S1358" i="3"/>
  <c r="N1358" i="3"/>
  <c r="M1358" i="3"/>
  <c r="L1358" i="3"/>
  <c r="K1358" i="3"/>
  <c r="J1358" i="3"/>
  <c r="I1358" i="3"/>
  <c r="H1358" i="3"/>
  <c r="G1358" i="3"/>
  <c r="F1358" i="3"/>
  <c r="D1358" i="3"/>
  <c r="AB514" i="1" a="1"/>
  <c r="AB372" i="1" a="1"/>
  <c r="AB287" i="1" a="1"/>
  <c r="AB373" i="1" a="1"/>
  <c r="AB183" i="1" a="1"/>
  <c r="AA1358" i="3" a="1"/>
  <c r="AA1361" i="3" a="1"/>
  <c r="AA1359" i="3" a="1"/>
  <c r="AB391" i="1" a="1"/>
  <c r="AB374" i="1" a="1"/>
  <c r="AA1360" i="3" a="1"/>
  <c r="AB373" i="1" l="1"/>
  <c r="AB514" i="1"/>
  <c r="AB287" i="1"/>
  <c r="AB183" i="1"/>
  <c r="AB391" i="1"/>
  <c r="AB372" i="1"/>
  <c r="AB374" i="1"/>
  <c r="AA1359" i="3"/>
  <c r="AA1358" i="3"/>
  <c r="AA1361" i="3"/>
  <c r="AA1360" i="3"/>
  <c r="U1357" i="3" l="1"/>
  <c r="Y1357" i="3" s="1"/>
  <c r="S1357" i="3"/>
  <c r="N1357" i="3"/>
  <c r="M1357" i="3"/>
  <c r="L1357" i="3"/>
  <c r="K1357" i="3"/>
  <c r="J1357" i="3"/>
  <c r="I1357" i="3"/>
  <c r="H1357" i="3"/>
  <c r="G1357" i="3"/>
  <c r="F1357" i="3"/>
  <c r="D1357" i="3"/>
  <c r="U1356" i="3"/>
  <c r="Y1356" i="3" s="1"/>
  <c r="S1356" i="3"/>
  <c r="N1356" i="3"/>
  <c r="M1356" i="3"/>
  <c r="L1356" i="3"/>
  <c r="K1356" i="3"/>
  <c r="J1356" i="3"/>
  <c r="I1356" i="3"/>
  <c r="H1356" i="3"/>
  <c r="G1356" i="3"/>
  <c r="F1356" i="3"/>
  <c r="D1356" i="3"/>
  <c r="U1355" i="3"/>
  <c r="Y1355" i="3" s="1"/>
  <c r="S1355" i="3"/>
  <c r="N1355" i="3"/>
  <c r="M1355" i="3"/>
  <c r="L1355" i="3"/>
  <c r="K1355" i="3"/>
  <c r="J1355" i="3"/>
  <c r="I1355" i="3"/>
  <c r="H1355" i="3"/>
  <c r="G1355" i="3"/>
  <c r="F1355" i="3"/>
  <c r="D1355" i="3"/>
  <c r="U1354" i="3"/>
  <c r="Y1354" i="3" s="1"/>
  <c r="S1354" i="3"/>
  <c r="N1354" i="3"/>
  <c r="M1354" i="3"/>
  <c r="L1354" i="3"/>
  <c r="K1354" i="3"/>
  <c r="J1354" i="3"/>
  <c r="I1354" i="3"/>
  <c r="H1354" i="3"/>
  <c r="G1354" i="3"/>
  <c r="F1354" i="3"/>
  <c r="D1354" i="3"/>
  <c r="U1353" i="3"/>
  <c r="Y1353" i="3" s="1"/>
  <c r="S1353" i="3"/>
  <c r="N1353" i="3"/>
  <c r="M1353" i="3"/>
  <c r="L1353" i="3"/>
  <c r="K1353" i="3"/>
  <c r="J1353" i="3"/>
  <c r="I1353" i="3"/>
  <c r="H1353" i="3"/>
  <c r="G1353" i="3"/>
  <c r="F1353" i="3"/>
  <c r="D1353" i="3"/>
  <c r="AB559" i="1" a="1"/>
  <c r="AB804" i="1" a="1"/>
  <c r="AB216" i="1" a="1"/>
  <c r="AA1355" i="3" a="1"/>
  <c r="AA1354" i="3" a="1"/>
  <c r="AA1356" i="3" a="1"/>
  <c r="AA1357" i="3" a="1"/>
  <c r="AA1353" i="3" a="1"/>
  <c r="AB559" i="1" l="1"/>
  <c r="AB216" i="1"/>
  <c r="AB804" i="1"/>
  <c r="AA1356" i="3"/>
  <c r="AA1353" i="3"/>
  <c r="AA1355" i="3"/>
  <c r="AA1354" i="3"/>
  <c r="AA1357" i="3"/>
  <c r="U1352" i="3"/>
  <c r="Y1352" i="3" s="1"/>
  <c r="S1352" i="3"/>
  <c r="N1352" i="3"/>
  <c r="M1352" i="3"/>
  <c r="L1352" i="3"/>
  <c r="K1352" i="3"/>
  <c r="J1352" i="3"/>
  <c r="I1352" i="3"/>
  <c r="H1352" i="3"/>
  <c r="G1352" i="3"/>
  <c r="F1352" i="3"/>
  <c r="D1352" i="3"/>
  <c r="AA1352" i="3" a="1"/>
  <c r="AA1352" i="3" l="1"/>
  <c r="L660" i="1"/>
  <c r="U1351" i="3"/>
  <c r="Y1351" i="3" s="1"/>
  <c r="S1351" i="3"/>
  <c r="N1351" i="3"/>
  <c r="M1351" i="3"/>
  <c r="L1351" i="3"/>
  <c r="K1351" i="3"/>
  <c r="J1351" i="3"/>
  <c r="I1351" i="3"/>
  <c r="H1351" i="3"/>
  <c r="G1351" i="3"/>
  <c r="F1351" i="3"/>
  <c r="D1351" i="3"/>
  <c r="U1350" i="3"/>
  <c r="Y1350" i="3" s="1"/>
  <c r="S1350" i="3"/>
  <c r="N1350" i="3"/>
  <c r="M1350" i="3"/>
  <c r="L1350" i="3"/>
  <c r="K1350" i="3"/>
  <c r="J1350" i="3"/>
  <c r="I1350" i="3"/>
  <c r="H1350" i="3"/>
  <c r="G1350" i="3"/>
  <c r="F1350" i="3"/>
  <c r="D1350" i="3"/>
  <c r="AA1350" i="3" a="1"/>
  <c r="AA1351" i="3" a="1"/>
  <c r="AA1350" i="3" l="1"/>
  <c r="AA1351" i="3"/>
  <c r="U1349" i="3"/>
  <c r="Y1349" i="3" s="1"/>
  <c r="S1349" i="3"/>
  <c r="N1349" i="3"/>
  <c r="M1349" i="3"/>
  <c r="L1349" i="3"/>
  <c r="K1349" i="3"/>
  <c r="J1349" i="3"/>
  <c r="I1349" i="3"/>
  <c r="H1349" i="3"/>
  <c r="G1349" i="3"/>
  <c r="F1349" i="3"/>
  <c r="D1349" i="3"/>
  <c r="AA1349" i="3" a="1"/>
  <c r="AA1349" i="3" l="1"/>
  <c r="AB38" i="1" a="1"/>
  <c r="AB660" i="1" a="1"/>
  <c r="AB38" i="1" l="1"/>
  <c r="AB660" i="1"/>
  <c r="S1348" i="3"/>
  <c r="U1348" i="3"/>
  <c r="Y1348" i="3" s="1"/>
  <c r="N1348" i="3"/>
  <c r="M1348" i="3"/>
  <c r="L1348" i="3"/>
  <c r="K1348" i="3"/>
  <c r="J1348" i="3"/>
  <c r="I1348" i="3"/>
  <c r="H1348" i="3"/>
  <c r="G1348" i="3"/>
  <c r="F1348" i="3"/>
  <c r="D1348" i="3"/>
  <c r="U1347" i="3"/>
  <c r="Y1347" i="3" s="1"/>
  <c r="S1347" i="3"/>
  <c r="N1347" i="3"/>
  <c r="M1347" i="3"/>
  <c r="L1347" i="3"/>
  <c r="K1347" i="3"/>
  <c r="J1347" i="3"/>
  <c r="I1347" i="3"/>
  <c r="H1347" i="3"/>
  <c r="G1347" i="3"/>
  <c r="F1347" i="3"/>
  <c r="D1347" i="3"/>
  <c r="U1346" i="3"/>
  <c r="Y1346" i="3" s="1"/>
  <c r="S1346" i="3"/>
  <c r="N1346" i="3"/>
  <c r="M1346" i="3"/>
  <c r="L1346" i="3"/>
  <c r="K1346" i="3"/>
  <c r="J1346" i="3"/>
  <c r="I1346" i="3"/>
  <c r="H1346" i="3"/>
  <c r="G1346" i="3"/>
  <c r="F1346" i="3"/>
  <c r="D1346" i="3"/>
  <c r="U1345" i="3"/>
  <c r="Y1345" i="3" s="1"/>
  <c r="S1345" i="3"/>
  <c r="N1345" i="3"/>
  <c r="M1345" i="3"/>
  <c r="L1345" i="3"/>
  <c r="K1345" i="3"/>
  <c r="J1345" i="3"/>
  <c r="I1345" i="3"/>
  <c r="H1345" i="3"/>
  <c r="G1345" i="3"/>
  <c r="F1345" i="3"/>
  <c r="D1345" i="3"/>
  <c r="U1344" i="3"/>
  <c r="Y1344" i="3" s="1"/>
  <c r="S1344" i="3"/>
  <c r="N1344" i="3"/>
  <c r="M1344" i="3"/>
  <c r="L1344" i="3"/>
  <c r="K1344" i="3"/>
  <c r="J1344" i="3"/>
  <c r="I1344" i="3"/>
  <c r="H1344" i="3"/>
  <c r="G1344" i="3"/>
  <c r="F1344" i="3"/>
  <c r="D1344" i="3"/>
  <c r="U1343" i="3"/>
  <c r="Y1343" i="3" s="1"/>
  <c r="S1343" i="3"/>
  <c r="N1343" i="3"/>
  <c r="M1343" i="3"/>
  <c r="L1343" i="3"/>
  <c r="K1343" i="3"/>
  <c r="J1343" i="3"/>
  <c r="I1343" i="3"/>
  <c r="H1343" i="3"/>
  <c r="G1343" i="3"/>
  <c r="F1343" i="3"/>
  <c r="D1343" i="3"/>
  <c r="U1342" i="3"/>
  <c r="Y1342" i="3" s="1"/>
  <c r="S1342" i="3"/>
  <c r="N1342" i="3"/>
  <c r="M1342" i="3"/>
  <c r="L1342" i="3"/>
  <c r="K1342" i="3"/>
  <c r="J1342" i="3"/>
  <c r="I1342" i="3"/>
  <c r="H1342" i="3"/>
  <c r="G1342" i="3"/>
  <c r="F1342" i="3"/>
  <c r="D1342" i="3"/>
  <c r="U1341" i="3"/>
  <c r="Y1341" i="3" s="1"/>
  <c r="S1341" i="3"/>
  <c r="N1341" i="3"/>
  <c r="M1341" i="3"/>
  <c r="L1341" i="3"/>
  <c r="K1341" i="3"/>
  <c r="J1341" i="3"/>
  <c r="I1341" i="3"/>
  <c r="H1341" i="3"/>
  <c r="G1341" i="3"/>
  <c r="F1341" i="3"/>
  <c r="D1341" i="3"/>
  <c r="U1340" i="3"/>
  <c r="Y1340" i="3" s="1"/>
  <c r="S1340" i="3"/>
  <c r="N1340" i="3"/>
  <c r="M1340" i="3"/>
  <c r="L1340" i="3"/>
  <c r="K1340" i="3"/>
  <c r="J1340" i="3"/>
  <c r="I1340" i="3"/>
  <c r="H1340" i="3"/>
  <c r="G1340" i="3"/>
  <c r="F1340" i="3"/>
  <c r="D1340" i="3"/>
  <c r="U1339" i="3"/>
  <c r="Y1339" i="3" s="1"/>
  <c r="S1339" i="3"/>
  <c r="N1339" i="3"/>
  <c r="M1339" i="3"/>
  <c r="L1339" i="3"/>
  <c r="K1339" i="3"/>
  <c r="J1339" i="3"/>
  <c r="I1339" i="3"/>
  <c r="H1339" i="3"/>
  <c r="G1339" i="3"/>
  <c r="F1339" i="3"/>
  <c r="D1339" i="3"/>
  <c r="U1338" i="3"/>
  <c r="Y1338" i="3" s="1"/>
  <c r="S1338" i="3"/>
  <c r="N1338" i="3"/>
  <c r="M1338" i="3"/>
  <c r="L1338" i="3"/>
  <c r="K1338" i="3"/>
  <c r="J1338" i="3"/>
  <c r="I1338" i="3"/>
  <c r="H1338" i="3"/>
  <c r="G1338" i="3"/>
  <c r="F1338" i="3"/>
  <c r="D1338" i="3"/>
  <c r="AA1346" i="3" a="1"/>
  <c r="AA1340" i="3" a="1"/>
  <c r="AA1347" i="3" a="1"/>
  <c r="AA1339" i="3" a="1"/>
  <c r="AA1343" i="3" a="1"/>
  <c r="AA1345" i="3" a="1"/>
  <c r="AB330" i="1" a="1"/>
  <c r="AA1342" i="3" a="1"/>
  <c r="AA1341" i="3" a="1"/>
  <c r="AA1348" i="3" a="1"/>
  <c r="AA1344" i="3" a="1"/>
  <c r="AA1338" i="3" a="1"/>
  <c r="AB330" i="1" l="1"/>
  <c r="AA1346" i="3"/>
  <c r="AA1340" i="3"/>
  <c r="AA1345" i="3"/>
  <c r="AA1342" i="3"/>
  <c r="AA1347" i="3"/>
  <c r="AA1348" i="3"/>
  <c r="AA1343" i="3"/>
  <c r="AA1339" i="3"/>
  <c r="AA1344" i="3"/>
  <c r="AA1341" i="3"/>
  <c r="AA1338" i="3"/>
  <c r="U1337" i="3"/>
  <c r="Y1337" i="3" s="1"/>
  <c r="S1337" i="3"/>
  <c r="N1337" i="3"/>
  <c r="M1337" i="3"/>
  <c r="L1337" i="3"/>
  <c r="K1337" i="3"/>
  <c r="J1337" i="3"/>
  <c r="I1337" i="3"/>
  <c r="H1337" i="3"/>
  <c r="G1337" i="3"/>
  <c r="F1337" i="3"/>
  <c r="D1337" i="3"/>
  <c r="AB760" i="1" a="1"/>
  <c r="AA1337" i="3" a="1"/>
  <c r="AB760" i="1" l="1"/>
  <c r="AA1337" i="3"/>
  <c r="AB686" i="1" a="1"/>
  <c r="AB191" i="1" a="1"/>
  <c r="AB620" i="1" a="1"/>
  <c r="AB315" i="1" a="1"/>
  <c r="AB442" i="1" a="1"/>
  <c r="AB397" i="1" a="1"/>
  <c r="AB595" i="1" a="1"/>
  <c r="AB341" i="1" a="1"/>
  <c r="AB30" i="1" a="1"/>
  <c r="AB397" i="1" l="1"/>
  <c r="AB620" i="1"/>
  <c r="AB442" i="1"/>
  <c r="AB341" i="1"/>
  <c r="AB30" i="1"/>
  <c r="AB595" i="1"/>
  <c r="AB686" i="1"/>
  <c r="AB191" i="1"/>
  <c r="AB315" i="1"/>
  <c r="U1336" i="3"/>
  <c r="Y1336" i="3" s="1"/>
  <c r="S1336" i="3"/>
  <c r="M1336" i="3"/>
  <c r="L1336" i="3"/>
  <c r="K1336" i="3"/>
  <c r="J1336" i="3"/>
  <c r="I1336" i="3"/>
  <c r="H1336" i="3"/>
  <c r="G1336" i="3"/>
  <c r="F1336" i="3"/>
  <c r="D1336" i="3"/>
  <c r="L468" i="1"/>
  <c r="L467" i="1"/>
  <c r="AA1336" i="3" a="1"/>
  <c r="N1508" i="3" l="1"/>
  <c r="N1502" i="3"/>
  <c r="AA1336" i="3"/>
  <c r="N1442" i="3"/>
  <c r="N1452" i="3"/>
  <c r="Q1335" i="3" l="1"/>
  <c r="S1335" i="3" s="1"/>
  <c r="U1335" i="3"/>
  <c r="Y1335" i="3" s="1"/>
  <c r="M1335" i="3"/>
  <c r="L1335" i="3"/>
  <c r="K1335" i="3"/>
  <c r="J1335" i="3"/>
  <c r="I1335" i="3"/>
  <c r="H1335" i="3"/>
  <c r="G1335" i="3"/>
  <c r="F1335" i="3"/>
  <c r="D1335" i="3"/>
  <c r="Q16" i="10"/>
  <c r="S16" i="10"/>
  <c r="T16" i="10" s="1"/>
  <c r="U16" i="10"/>
  <c r="U1334" i="3"/>
  <c r="Y1334" i="3" s="1"/>
  <c r="S1334" i="3"/>
  <c r="N1334" i="3"/>
  <c r="M1334" i="3"/>
  <c r="L1334" i="3"/>
  <c r="K1334" i="3"/>
  <c r="J1334" i="3"/>
  <c r="I1334" i="3"/>
  <c r="H1334" i="3"/>
  <c r="G1334" i="3"/>
  <c r="F1334" i="3"/>
  <c r="D1334" i="3"/>
  <c r="U1333" i="3"/>
  <c r="Y1333" i="3" s="1"/>
  <c r="S1333" i="3"/>
  <c r="N1333" i="3"/>
  <c r="M1333" i="3"/>
  <c r="L1333" i="3"/>
  <c r="K1333" i="3"/>
  <c r="J1333" i="3"/>
  <c r="I1333" i="3"/>
  <c r="H1333" i="3"/>
  <c r="G1333" i="3"/>
  <c r="F1333" i="3"/>
  <c r="D1333" i="3"/>
  <c r="P16" i="10"/>
  <c r="R16" i="10" s="1"/>
  <c r="U1332" i="3"/>
  <c r="Y1332" i="3" s="1"/>
  <c r="S1332" i="3"/>
  <c r="N1332" i="3"/>
  <c r="M1332" i="3"/>
  <c r="L1332" i="3"/>
  <c r="K1332" i="3"/>
  <c r="J1332" i="3"/>
  <c r="I1332" i="3"/>
  <c r="H1332" i="3"/>
  <c r="G1332" i="3"/>
  <c r="F1332" i="3"/>
  <c r="D1332" i="3"/>
  <c r="U1331" i="3"/>
  <c r="Y1331" i="3" s="1"/>
  <c r="S1331" i="3"/>
  <c r="N1331" i="3"/>
  <c r="M1331" i="3"/>
  <c r="L1331" i="3"/>
  <c r="K1331" i="3"/>
  <c r="J1331" i="3"/>
  <c r="I1331" i="3"/>
  <c r="H1331" i="3"/>
  <c r="G1331" i="3"/>
  <c r="F1331" i="3"/>
  <c r="D1331" i="3"/>
  <c r="U1330" i="3"/>
  <c r="Y1330" i="3" s="1"/>
  <c r="S1330" i="3"/>
  <c r="N1330" i="3"/>
  <c r="M1330" i="3"/>
  <c r="L1330" i="3"/>
  <c r="K1330" i="3"/>
  <c r="J1330" i="3"/>
  <c r="I1330" i="3"/>
  <c r="H1330" i="3"/>
  <c r="G1330" i="3"/>
  <c r="F1330" i="3"/>
  <c r="D1330" i="3"/>
  <c r="U1329" i="3"/>
  <c r="Y1329" i="3" s="1"/>
  <c r="S1329" i="3"/>
  <c r="N1329" i="3"/>
  <c r="M1329" i="3"/>
  <c r="L1329" i="3"/>
  <c r="K1329" i="3"/>
  <c r="J1329" i="3"/>
  <c r="I1329" i="3"/>
  <c r="H1329" i="3"/>
  <c r="G1329" i="3"/>
  <c r="F1329" i="3"/>
  <c r="D1329" i="3"/>
  <c r="U1328" i="3"/>
  <c r="Y1328" i="3" s="1"/>
  <c r="S1328" i="3"/>
  <c r="N1328" i="3"/>
  <c r="M1328" i="3"/>
  <c r="L1328" i="3"/>
  <c r="K1328" i="3"/>
  <c r="J1328" i="3"/>
  <c r="I1328" i="3"/>
  <c r="H1328" i="3"/>
  <c r="G1328" i="3"/>
  <c r="F1328" i="3"/>
  <c r="D1328" i="3"/>
  <c r="U1327" i="3"/>
  <c r="Y1327" i="3" s="1"/>
  <c r="S1327" i="3"/>
  <c r="N1327" i="3"/>
  <c r="M1327" i="3"/>
  <c r="L1327" i="3"/>
  <c r="K1327" i="3"/>
  <c r="J1327" i="3"/>
  <c r="I1327" i="3"/>
  <c r="H1327" i="3"/>
  <c r="G1327" i="3"/>
  <c r="F1327" i="3"/>
  <c r="D1327" i="3"/>
  <c r="U1326" i="3"/>
  <c r="Y1326" i="3" s="1"/>
  <c r="S1326" i="3"/>
  <c r="N1326" i="3"/>
  <c r="M1326" i="3"/>
  <c r="L1326" i="3"/>
  <c r="K1326" i="3"/>
  <c r="J1326" i="3"/>
  <c r="I1326" i="3"/>
  <c r="H1326" i="3"/>
  <c r="G1326" i="3"/>
  <c r="F1326" i="3"/>
  <c r="D1326" i="3"/>
  <c r="U1325" i="3"/>
  <c r="Y1325" i="3" s="1"/>
  <c r="S1325" i="3"/>
  <c r="N1325" i="3"/>
  <c r="M1325" i="3"/>
  <c r="L1325" i="3"/>
  <c r="K1325" i="3"/>
  <c r="J1325" i="3"/>
  <c r="I1325" i="3"/>
  <c r="H1325" i="3"/>
  <c r="G1325" i="3"/>
  <c r="F1325" i="3"/>
  <c r="D1325" i="3"/>
  <c r="U1324" i="3"/>
  <c r="Y1324" i="3" s="1"/>
  <c r="S1324" i="3"/>
  <c r="N1324" i="3"/>
  <c r="M1324" i="3"/>
  <c r="L1324" i="3"/>
  <c r="K1324" i="3"/>
  <c r="J1324" i="3"/>
  <c r="I1324" i="3"/>
  <c r="H1324" i="3"/>
  <c r="G1324" i="3"/>
  <c r="F1324" i="3"/>
  <c r="D1324" i="3"/>
  <c r="U1323" i="3"/>
  <c r="Y1323" i="3" s="1"/>
  <c r="S1323" i="3"/>
  <c r="N1323" i="3"/>
  <c r="M1323" i="3"/>
  <c r="L1323" i="3"/>
  <c r="K1323" i="3"/>
  <c r="J1323" i="3"/>
  <c r="I1323" i="3"/>
  <c r="H1323" i="3"/>
  <c r="G1323" i="3"/>
  <c r="F1323" i="3"/>
  <c r="D1323" i="3"/>
  <c r="U1322" i="3"/>
  <c r="Y1322" i="3" s="1"/>
  <c r="S1322" i="3"/>
  <c r="N1322" i="3"/>
  <c r="M1322" i="3"/>
  <c r="L1322" i="3"/>
  <c r="K1322" i="3"/>
  <c r="J1322" i="3"/>
  <c r="I1322" i="3"/>
  <c r="H1322" i="3"/>
  <c r="G1322" i="3"/>
  <c r="F1322" i="3"/>
  <c r="D1322" i="3"/>
  <c r="U1321" i="3"/>
  <c r="Y1321" i="3" s="1"/>
  <c r="S1321" i="3"/>
  <c r="N1321" i="3"/>
  <c r="M1321" i="3"/>
  <c r="L1321" i="3"/>
  <c r="K1321" i="3"/>
  <c r="J1321" i="3"/>
  <c r="I1321" i="3"/>
  <c r="H1321" i="3"/>
  <c r="G1321" i="3"/>
  <c r="F1321" i="3"/>
  <c r="D1321" i="3"/>
  <c r="U1320" i="3"/>
  <c r="Y1320" i="3" s="1"/>
  <c r="S1320" i="3"/>
  <c r="M1320" i="3"/>
  <c r="L1320" i="3"/>
  <c r="K1320" i="3"/>
  <c r="J1320" i="3"/>
  <c r="I1320" i="3"/>
  <c r="H1320" i="3"/>
  <c r="G1320" i="3"/>
  <c r="F1320" i="3"/>
  <c r="D1320" i="3"/>
  <c r="U1319" i="3"/>
  <c r="Y1319" i="3" s="1"/>
  <c r="S1319" i="3"/>
  <c r="N1319" i="3"/>
  <c r="M1319" i="3"/>
  <c r="L1319" i="3"/>
  <c r="K1319" i="3"/>
  <c r="J1319" i="3"/>
  <c r="I1319" i="3"/>
  <c r="H1319" i="3"/>
  <c r="G1319" i="3"/>
  <c r="F1319" i="3"/>
  <c r="D1319" i="3"/>
  <c r="U1318" i="3"/>
  <c r="Y1318" i="3" s="1"/>
  <c r="S1318" i="3"/>
  <c r="M1318" i="3"/>
  <c r="L1318" i="3"/>
  <c r="K1318" i="3"/>
  <c r="J1318" i="3"/>
  <c r="I1318" i="3"/>
  <c r="H1318" i="3"/>
  <c r="G1318" i="3"/>
  <c r="F1318" i="3"/>
  <c r="D1318" i="3"/>
  <c r="U1317" i="3"/>
  <c r="Y1317" i="3" s="1"/>
  <c r="S1317" i="3"/>
  <c r="N1317" i="3"/>
  <c r="M1317" i="3"/>
  <c r="L1317" i="3"/>
  <c r="K1317" i="3"/>
  <c r="J1317" i="3"/>
  <c r="I1317" i="3"/>
  <c r="H1317" i="3"/>
  <c r="G1317" i="3"/>
  <c r="F1317" i="3"/>
  <c r="D1317" i="3"/>
  <c r="U1316" i="3"/>
  <c r="Y1316" i="3" s="1"/>
  <c r="S1316" i="3"/>
  <c r="N1316" i="3"/>
  <c r="M1316" i="3"/>
  <c r="L1316" i="3"/>
  <c r="K1316" i="3"/>
  <c r="J1316" i="3"/>
  <c r="I1316" i="3"/>
  <c r="H1316" i="3"/>
  <c r="G1316" i="3"/>
  <c r="F1316" i="3"/>
  <c r="D1316" i="3"/>
  <c r="H9" i="16"/>
  <c r="U1315" i="3"/>
  <c r="Y1315" i="3" s="1"/>
  <c r="S1315" i="3"/>
  <c r="M1315" i="3"/>
  <c r="L1315" i="3"/>
  <c r="K1315" i="3"/>
  <c r="J1315" i="3"/>
  <c r="I1315" i="3"/>
  <c r="H1315" i="3"/>
  <c r="G1315" i="3"/>
  <c r="F1315" i="3"/>
  <c r="D1315" i="3"/>
  <c r="AA1333" i="3" a="1"/>
  <c r="AA1321" i="3" a="1"/>
  <c r="AA1319" i="3" a="1"/>
  <c r="AA1334" i="3" a="1"/>
  <c r="AA1316" i="3" a="1"/>
  <c r="AA1327" i="3" a="1"/>
  <c r="AA1318" i="3" a="1"/>
  <c r="AA1315" i="3" a="1"/>
  <c r="AA1326" i="3" a="1"/>
  <c r="AA1322" i="3" a="1"/>
  <c r="AA1317" i="3" a="1"/>
  <c r="AA1330" i="3" a="1"/>
  <c r="AA1332" i="3" a="1"/>
  <c r="AA1335" i="3" a="1"/>
  <c r="AA1325" i="3" a="1"/>
  <c r="AA1329" i="3" a="1"/>
  <c r="AA1331" i="3" a="1"/>
  <c r="R9" i="16" a="1"/>
  <c r="AB670" i="1" a="1"/>
  <c r="AA1320" i="3" a="1"/>
  <c r="AA1324" i="3" a="1"/>
  <c r="AA1323" i="3" a="1"/>
  <c r="AA1328" i="3" a="1"/>
  <c r="AB670" i="1" l="1"/>
  <c r="AA1324" i="3"/>
  <c r="AA1315" i="3"/>
  <c r="AA1321" i="3"/>
  <c r="AA1331" i="3"/>
  <c r="AA1333" i="3"/>
  <c r="AA1325" i="3"/>
  <c r="AA1330" i="3"/>
  <c r="AA1329" i="3"/>
  <c r="AA1319" i="3"/>
  <c r="AA1334" i="3"/>
  <c r="AA1316" i="3"/>
  <c r="AA1326" i="3"/>
  <c r="AA1323" i="3"/>
  <c r="AA1328" i="3"/>
  <c r="AA1318" i="3"/>
  <c r="AA1320" i="3"/>
  <c r="AA1335" i="3"/>
  <c r="AA1317" i="3"/>
  <c r="AA1322" i="3"/>
  <c r="AA1327" i="3"/>
  <c r="AA1332" i="3"/>
  <c r="R9" i="16"/>
  <c r="N1314" i="3"/>
  <c r="U1314" i="3"/>
  <c r="Y1314" i="3" s="1"/>
  <c r="S1314" i="3"/>
  <c r="M1314" i="3"/>
  <c r="L1314" i="3"/>
  <c r="K1314" i="3"/>
  <c r="J1314" i="3"/>
  <c r="I1314" i="3"/>
  <c r="H1314" i="3"/>
  <c r="G1314" i="3"/>
  <c r="F1314" i="3"/>
  <c r="D1314" i="3"/>
  <c r="L598" i="1"/>
  <c r="L120" i="1"/>
  <c r="H1025" i="3"/>
  <c r="AB623" i="1" a="1"/>
  <c r="AA1314" i="3" a="1"/>
  <c r="AB84" i="1" a="1"/>
  <c r="AB27" i="1" a="1"/>
  <c r="N1315" i="3" l="1"/>
  <c r="N1486" i="3"/>
  <c r="AB84" i="1"/>
  <c r="AB27" i="1"/>
  <c r="AB623" i="1"/>
  <c r="AA1314" i="3"/>
  <c r="N1367" i="3"/>
  <c r="N1394" i="3"/>
  <c r="N1393" i="3"/>
  <c r="N1391" i="3"/>
  <c r="N1390" i="3"/>
  <c r="N1376" i="3"/>
  <c r="N1363" i="3"/>
  <c r="N1362" i="3"/>
  <c r="N1320" i="3"/>
  <c r="N1335" i="3"/>
  <c r="U1313" i="3"/>
  <c r="Y1313" i="3" s="1"/>
  <c r="S1313" i="3"/>
  <c r="N1313" i="3"/>
  <c r="M1313" i="3"/>
  <c r="L1313" i="3"/>
  <c r="K1313" i="3"/>
  <c r="J1313" i="3"/>
  <c r="I1313" i="3"/>
  <c r="H1313" i="3"/>
  <c r="G1313" i="3"/>
  <c r="F1313" i="3"/>
  <c r="D1313" i="3"/>
  <c r="N1134" i="3"/>
  <c r="AB445" i="1" a="1"/>
  <c r="AA1313" i="3" a="1"/>
  <c r="AB445" i="1" l="1"/>
  <c r="AA1313" i="3"/>
  <c r="U1312" i="3"/>
  <c r="Y1312" i="3" s="1"/>
  <c r="S1312" i="3"/>
  <c r="N1312" i="3"/>
  <c r="M1312" i="3"/>
  <c r="L1312" i="3"/>
  <c r="K1312" i="3"/>
  <c r="J1312" i="3"/>
  <c r="I1312" i="3"/>
  <c r="H1312" i="3"/>
  <c r="G1312" i="3"/>
  <c r="F1312" i="3"/>
  <c r="D1312" i="3"/>
  <c r="AA1312" i="3" a="1"/>
  <c r="AA1312" i="3" l="1"/>
  <c r="N1310" i="3"/>
  <c r="U1311" i="3"/>
  <c r="Y1311" i="3" s="1"/>
  <c r="S1311" i="3"/>
  <c r="N1311" i="3"/>
  <c r="M1311" i="3"/>
  <c r="L1311" i="3"/>
  <c r="K1311" i="3"/>
  <c r="J1311" i="3"/>
  <c r="I1311" i="3"/>
  <c r="H1311" i="3"/>
  <c r="G1311" i="3"/>
  <c r="F1311" i="3"/>
  <c r="D1311" i="3"/>
  <c r="AA1311" i="3" a="1"/>
  <c r="AA1311" i="3" l="1"/>
  <c r="U1310" i="3"/>
  <c r="Y1310" i="3" s="1"/>
  <c r="S1310" i="3"/>
  <c r="M1310" i="3"/>
  <c r="L1310" i="3"/>
  <c r="K1310" i="3"/>
  <c r="J1310" i="3"/>
  <c r="I1310" i="3"/>
  <c r="H1310" i="3"/>
  <c r="G1310" i="3"/>
  <c r="F1310" i="3"/>
  <c r="D1310" i="3"/>
  <c r="U1309" i="3"/>
  <c r="Y1309" i="3" s="1"/>
  <c r="S1309" i="3"/>
  <c r="N1309" i="3"/>
  <c r="M1309" i="3"/>
  <c r="L1309" i="3"/>
  <c r="K1309" i="3"/>
  <c r="J1309" i="3"/>
  <c r="I1309" i="3"/>
  <c r="H1309" i="3"/>
  <c r="G1309" i="3"/>
  <c r="F1309" i="3"/>
  <c r="D1309" i="3"/>
  <c r="U1308" i="3"/>
  <c r="Y1308" i="3" s="1"/>
  <c r="S1308" i="3"/>
  <c r="N1308" i="3"/>
  <c r="M1308" i="3"/>
  <c r="L1308" i="3"/>
  <c r="K1308" i="3"/>
  <c r="J1308" i="3"/>
  <c r="I1308" i="3"/>
  <c r="H1308" i="3"/>
  <c r="G1308" i="3"/>
  <c r="F1308" i="3"/>
  <c r="D1308" i="3"/>
  <c r="U1307" i="3"/>
  <c r="Y1307" i="3" s="1"/>
  <c r="S1307" i="3"/>
  <c r="N1307" i="3"/>
  <c r="M1307" i="3"/>
  <c r="L1307" i="3"/>
  <c r="K1307" i="3"/>
  <c r="J1307" i="3"/>
  <c r="I1307" i="3"/>
  <c r="H1307" i="3"/>
  <c r="G1307" i="3"/>
  <c r="F1307" i="3"/>
  <c r="D1307" i="3"/>
  <c r="AA1310" i="3" a="1"/>
  <c r="AA1308" i="3" a="1"/>
  <c r="AA1307" i="3" a="1"/>
  <c r="AA1309" i="3" a="1"/>
  <c r="AA1307" i="3" l="1"/>
  <c r="AA1309" i="3"/>
  <c r="AA1310" i="3"/>
  <c r="AA1308" i="3"/>
  <c r="U1306" i="3"/>
  <c r="Y1306" i="3" s="1"/>
  <c r="S1306" i="3"/>
  <c r="N1306" i="3"/>
  <c r="M1306" i="3"/>
  <c r="L1306" i="3"/>
  <c r="K1306" i="3"/>
  <c r="J1306" i="3"/>
  <c r="I1306" i="3"/>
  <c r="H1306" i="3"/>
  <c r="G1306" i="3"/>
  <c r="F1306" i="3"/>
  <c r="D1306" i="3"/>
  <c r="U1305" i="3"/>
  <c r="Y1305" i="3" s="1"/>
  <c r="S1305" i="3"/>
  <c r="N1305" i="3"/>
  <c r="M1305" i="3"/>
  <c r="L1305" i="3"/>
  <c r="K1305" i="3"/>
  <c r="J1305" i="3"/>
  <c r="I1305" i="3"/>
  <c r="H1305" i="3"/>
  <c r="G1305" i="3"/>
  <c r="F1305" i="3"/>
  <c r="D1305" i="3"/>
  <c r="U1304" i="3"/>
  <c r="Y1304" i="3" s="1"/>
  <c r="S1304" i="3"/>
  <c r="N1304" i="3"/>
  <c r="M1304" i="3"/>
  <c r="L1304" i="3"/>
  <c r="K1304" i="3"/>
  <c r="J1304" i="3"/>
  <c r="I1304" i="3"/>
  <c r="H1304" i="3"/>
  <c r="G1304" i="3"/>
  <c r="F1304" i="3"/>
  <c r="D1304" i="3"/>
  <c r="AA1304" i="3" a="1"/>
  <c r="AA1306" i="3" a="1"/>
  <c r="AA1305" i="3" a="1"/>
  <c r="AA1304" i="3" l="1"/>
  <c r="AA1305" i="3"/>
  <c r="AA1306" i="3"/>
  <c r="U1303" i="3"/>
  <c r="Y1303" i="3" s="1"/>
  <c r="S1303" i="3"/>
  <c r="N1303" i="3"/>
  <c r="M1303" i="3"/>
  <c r="L1303" i="3"/>
  <c r="K1303" i="3"/>
  <c r="J1303" i="3"/>
  <c r="I1303" i="3"/>
  <c r="H1303" i="3"/>
  <c r="G1303" i="3"/>
  <c r="F1303" i="3"/>
  <c r="D1303" i="3"/>
  <c r="U1302" i="3"/>
  <c r="Y1302" i="3" s="1"/>
  <c r="S1302" i="3"/>
  <c r="N1302" i="3"/>
  <c r="M1302" i="3"/>
  <c r="L1302" i="3"/>
  <c r="K1302" i="3"/>
  <c r="J1302" i="3"/>
  <c r="I1302" i="3"/>
  <c r="H1302" i="3"/>
  <c r="G1302" i="3"/>
  <c r="F1302" i="3"/>
  <c r="D1302" i="3"/>
  <c r="AA1302" i="3" a="1"/>
  <c r="AA1303" i="3" a="1"/>
  <c r="AA1302" i="3" l="1"/>
  <c r="AA1303" i="3"/>
  <c r="Z61" i="2"/>
  <c r="Z64" i="2" s="1"/>
  <c r="Y61" i="2"/>
  <c r="Z47" i="2"/>
  <c r="Z50" i="2" s="1"/>
  <c r="Y47" i="2"/>
  <c r="R59" i="2"/>
  <c r="R60" i="2" s="1"/>
  <c r="R45" i="2"/>
  <c r="S60" i="2"/>
  <c r="Q60" i="2"/>
  <c r="S59" i="2"/>
  <c r="S58" i="2"/>
  <c r="Q58" i="2"/>
  <c r="Q59" i="2" s="1"/>
  <c r="S45" i="2"/>
  <c r="S44" i="2"/>
  <c r="S46" i="2"/>
  <c r="Q46" i="2"/>
  <c r="Q44" i="2"/>
  <c r="Q45" i="2" s="1"/>
  <c r="H1294" i="3"/>
  <c r="U1301" i="3"/>
  <c r="Y1301" i="3" s="1"/>
  <c r="S1301" i="3"/>
  <c r="M1301" i="3"/>
  <c r="L1301" i="3"/>
  <c r="K1301" i="3"/>
  <c r="J1301" i="3"/>
  <c r="I1301" i="3"/>
  <c r="H1301" i="3"/>
  <c r="G1301" i="3"/>
  <c r="F1301" i="3"/>
  <c r="D1301" i="3"/>
  <c r="U1300" i="3"/>
  <c r="Y1300" i="3" s="1"/>
  <c r="S1300" i="3"/>
  <c r="M1300" i="3"/>
  <c r="L1300" i="3"/>
  <c r="K1300" i="3"/>
  <c r="J1300" i="3"/>
  <c r="I1300" i="3"/>
  <c r="H1300" i="3"/>
  <c r="G1300" i="3"/>
  <c r="F1300" i="3"/>
  <c r="D1300" i="3"/>
  <c r="AB190" i="1" a="1"/>
  <c r="AA1300" i="3" a="1"/>
  <c r="AA1301" i="3" a="1"/>
  <c r="AB190" i="1" l="1"/>
  <c r="AA1300" i="3"/>
  <c r="AA1301" i="3"/>
  <c r="T45" i="2"/>
  <c r="T44" i="2"/>
  <c r="R46" i="2"/>
  <c r="T46" i="2" s="1"/>
  <c r="Z65" i="2"/>
  <c r="Z66" i="2" s="1"/>
  <c r="T59" i="2"/>
  <c r="T60" i="2"/>
  <c r="T58" i="2"/>
  <c r="Z51" i="2"/>
  <c r="Z52" i="2" s="1"/>
  <c r="U1299" i="3"/>
  <c r="Y1299" i="3" s="1"/>
  <c r="S1299" i="3"/>
  <c r="N1299" i="3"/>
  <c r="M1299" i="3"/>
  <c r="L1299" i="3"/>
  <c r="K1299" i="3"/>
  <c r="J1299" i="3"/>
  <c r="I1299" i="3"/>
  <c r="H1299" i="3"/>
  <c r="G1299" i="3"/>
  <c r="F1299" i="3"/>
  <c r="D1299" i="3"/>
  <c r="U1298" i="3"/>
  <c r="Y1298" i="3" s="1"/>
  <c r="S1298" i="3"/>
  <c r="M1298" i="3"/>
  <c r="L1298" i="3"/>
  <c r="K1298" i="3"/>
  <c r="J1298" i="3"/>
  <c r="I1298" i="3"/>
  <c r="H1298" i="3"/>
  <c r="G1298" i="3"/>
  <c r="F1298" i="3"/>
  <c r="D1298" i="3"/>
  <c r="U1297" i="3"/>
  <c r="Y1297" i="3" s="1"/>
  <c r="S1297" i="3"/>
  <c r="N1297" i="3"/>
  <c r="M1297" i="3"/>
  <c r="L1297" i="3"/>
  <c r="K1297" i="3"/>
  <c r="J1297" i="3"/>
  <c r="I1297" i="3"/>
  <c r="H1297" i="3"/>
  <c r="G1297" i="3"/>
  <c r="F1297" i="3"/>
  <c r="D1297" i="3"/>
  <c r="U1296" i="3"/>
  <c r="Y1296" i="3" s="1"/>
  <c r="S1296" i="3"/>
  <c r="N1296" i="3"/>
  <c r="M1296" i="3"/>
  <c r="L1296" i="3"/>
  <c r="K1296" i="3"/>
  <c r="J1296" i="3"/>
  <c r="I1296" i="3"/>
  <c r="H1296" i="3"/>
  <c r="G1296" i="3"/>
  <c r="F1296" i="3"/>
  <c r="D1296" i="3"/>
  <c r="U1295" i="3"/>
  <c r="Y1295" i="3" s="1"/>
  <c r="S1295" i="3"/>
  <c r="N1295" i="3"/>
  <c r="M1295" i="3"/>
  <c r="L1295" i="3"/>
  <c r="K1295" i="3"/>
  <c r="J1295" i="3"/>
  <c r="I1295" i="3"/>
  <c r="H1295" i="3"/>
  <c r="G1295" i="3"/>
  <c r="F1295" i="3"/>
  <c r="D1295" i="3"/>
  <c r="U1294" i="3"/>
  <c r="Y1294" i="3" s="1"/>
  <c r="S1294" i="3"/>
  <c r="N1294" i="3"/>
  <c r="M1294" i="3"/>
  <c r="L1294" i="3"/>
  <c r="K1294" i="3"/>
  <c r="J1294" i="3"/>
  <c r="I1294" i="3"/>
  <c r="G1294" i="3"/>
  <c r="F1294" i="3"/>
  <c r="D1294" i="3"/>
  <c r="U1293" i="3"/>
  <c r="Y1293" i="3" s="1"/>
  <c r="S1293" i="3"/>
  <c r="N1293" i="3"/>
  <c r="M1293" i="3"/>
  <c r="L1293" i="3"/>
  <c r="K1293" i="3"/>
  <c r="J1293" i="3"/>
  <c r="I1293" i="3"/>
  <c r="H1293" i="3"/>
  <c r="G1293" i="3"/>
  <c r="F1293" i="3"/>
  <c r="D1293" i="3"/>
  <c r="U1292" i="3"/>
  <c r="Y1292" i="3" s="1"/>
  <c r="S1292" i="3"/>
  <c r="N1292" i="3"/>
  <c r="M1292" i="3"/>
  <c r="L1292" i="3"/>
  <c r="K1292" i="3"/>
  <c r="J1292" i="3"/>
  <c r="I1292" i="3"/>
  <c r="H1292" i="3"/>
  <c r="G1292" i="3"/>
  <c r="F1292" i="3"/>
  <c r="D1292" i="3"/>
  <c r="U1291" i="3"/>
  <c r="Y1291" i="3" s="1"/>
  <c r="S1291" i="3"/>
  <c r="N1291" i="3"/>
  <c r="M1291" i="3"/>
  <c r="L1291" i="3"/>
  <c r="K1291" i="3"/>
  <c r="J1291" i="3"/>
  <c r="I1291" i="3"/>
  <c r="H1291" i="3"/>
  <c r="G1291" i="3"/>
  <c r="F1291" i="3"/>
  <c r="D1291" i="3"/>
  <c r="U1290" i="3"/>
  <c r="Y1290" i="3" s="1"/>
  <c r="S1290" i="3"/>
  <c r="N1290" i="3"/>
  <c r="M1290" i="3"/>
  <c r="L1290" i="3"/>
  <c r="K1290" i="3"/>
  <c r="J1290" i="3"/>
  <c r="I1290" i="3"/>
  <c r="H1290" i="3"/>
  <c r="G1290" i="3"/>
  <c r="F1290" i="3"/>
  <c r="D1290" i="3"/>
  <c r="U1289" i="3"/>
  <c r="Y1289" i="3" s="1"/>
  <c r="S1289" i="3"/>
  <c r="N1289" i="3"/>
  <c r="M1289" i="3"/>
  <c r="L1289" i="3"/>
  <c r="K1289" i="3"/>
  <c r="J1289" i="3"/>
  <c r="I1289" i="3"/>
  <c r="H1289" i="3"/>
  <c r="G1289" i="3"/>
  <c r="F1289" i="3"/>
  <c r="D1289" i="3"/>
  <c r="Q12" i="10"/>
  <c r="AA1298" i="3" a="1"/>
  <c r="AA1292" i="3" a="1"/>
  <c r="AA1294" i="3" a="1"/>
  <c r="AA1293" i="3" a="1"/>
  <c r="AA1295" i="3" a="1"/>
  <c r="AA1296" i="3" a="1"/>
  <c r="AA1290" i="3" a="1"/>
  <c r="AA1291" i="3" a="1"/>
  <c r="AA1299" i="3" a="1"/>
  <c r="AA1297" i="3" a="1"/>
  <c r="AA1289" i="3" a="1"/>
  <c r="AA1295" i="3" l="1"/>
  <c r="AA1292" i="3"/>
  <c r="AA1294" i="3"/>
  <c r="AA1296" i="3"/>
  <c r="AA1291" i="3"/>
  <c r="AA1293" i="3"/>
  <c r="AA1290" i="3"/>
  <c r="AA1297" i="3"/>
  <c r="AA1299" i="3"/>
  <c r="AA1289" i="3"/>
  <c r="AA1298" i="3"/>
  <c r="T47" i="2"/>
  <c r="T48" i="2" s="1"/>
  <c r="T49" i="2" s="1"/>
  <c r="P12" i="10"/>
  <c r="T61" i="2"/>
  <c r="T62" i="2" s="1"/>
  <c r="T63" i="2" s="1"/>
  <c r="U1288" i="3"/>
  <c r="Y1288" i="3" s="1"/>
  <c r="S1288" i="3"/>
  <c r="N1288" i="3"/>
  <c r="M1288" i="3"/>
  <c r="L1288" i="3"/>
  <c r="K1288" i="3"/>
  <c r="J1288" i="3"/>
  <c r="I1288" i="3"/>
  <c r="H1288" i="3"/>
  <c r="G1288" i="3"/>
  <c r="F1288" i="3"/>
  <c r="D1288" i="3"/>
  <c r="U1287" i="3"/>
  <c r="Y1287" i="3" s="1"/>
  <c r="S1287" i="3"/>
  <c r="N1287" i="3"/>
  <c r="M1287" i="3"/>
  <c r="L1287" i="3"/>
  <c r="K1287" i="3"/>
  <c r="J1287" i="3"/>
  <c r="I1287" i="3"/>
  <c r="H1287" i="3"/>
  <c r="G1287" i="3"/>
  <c r="F1287" i="3"/>
  <c r="D1287" i="3"/>
  <c r="U1286" i="3"/>
  <c r="Y1286" i="3" s="1"/>
  <c r="S1286" i="3"/>
  <c r="M1286" i="3"/>
  <c r="L1286" i="3"/>
  <c r="K1286" i="3"/>
  <c r="J1286" i="3"/>
  <c r="I1286" i="3"/>
  <c r="H1286" i="3"/>
  <c r="G1286" i="3"/>
  <c r="F1286" i="3"/>
  <c r="D1286" i="3"/>
  <c r="AA1287" i="3" a="1"/>
  <c r="AA1288" i="3" a="1"/>
  <c r="AA1286" i="3" a="1"/>
  <c r="AA1286" i="3" l="1"/>
  <c r="AA1288" i="3"/>
  <c r="AA1287" i="3"/>
  <c r="S1282" i="3"/>
  <c r="S1283" i="3"/>
  <c r="S1284" i="3"/>
  <c r="S1285" i="3"/>
  <c r="D1282" i="3"/>
  <c r="D1283" i="3"/>
  <c r="D1284" i="3"/>
  <c r="D1285" i="3"/>
  <c r="F1282" i="3"/>
  <c r="F1283" i="3"/>
  <c r="F1284" i="3"/>
  <c r="F1285" i="3"/>
  <c r="G1282" i="3"/>
  <c r="G1283" i="3"/>
  <c r="G1284" i="3"/>
  <c r="G1285" i="3"/>
  <c r="H1282" i="3"/>
  <c r="H1283" i="3"/>
  <c r="H1284" i="3"/>
  <c r="H1285" i="3"/>
  <c r="I1282" i="3"/>
  <c r="I1283" i="3"/>
  <c r="I1284" i="3"/>
  <c r="I1285" i="3"/>
  <c r="J1282" i="3"/>
  <c r="J1283" i="3"/>
  <c r="J1284" i="3"/>
  <c r="J1285" i="3"/>
  <c r="K1282" i="3"/>
  <c r="K1283" i="3"/>
  <c r="K1284" i="3"/>
  <c r="K1285" i="3"/>
  <c r="L1282" i="3"/>
  <c r="L1283" i="3"/>
  <c r="L1284" i="3"/>
  <c r="L1285" i="3"/>
  <c r="M1282" i="3"/>
  <c r="M1283" i="3"/>
  <c r="M1284" i="3"/>
  <c r="M1285" i="3"/>
  <c r="N1282" i="3"/>
  <c r="N1284" i="3"/>
  <c r="N1285" i="3"/>
  <c r="U1282" i="3"/>
  <c r="Y1282" i="3" s="1"/>
  <c r="U1283" i="3"/>
  <c r="Y1283" i="3" s="1"/>
  <c r="U1284" i="3"/>
  <c r="Y1284" i="3" s="1"/>
  <c r="U1285" i="3"/>
  <c r="Y1285" i="3" s="1"/>
  <c r="U1281" i="3"/>
  <c r="Y1281" i="3" s="1"/>
  <c r="S1281" i="3"/>
  <c r="N1281" i="3"/>
  <c r="M1281" i="3"/>
  <c r="L1281" i="3"/>
  <c r="K1281" i="3"/>
  <c r="J1281" i="3"/>
  <c r="I1281" i="3"/>
  <c r="H1281" i="3"/>
  <c r="G1281" i="3"/>
  <c r="F1281" i="3"/>
  <c r="D1281" i="3"/>
  <c r="U1280" i="3"/>
  <c r="Y1280" i="3" s="1"/>
  <c r="S1280" i="3"/>
  <c r="N1280" i="3"/>
  <c r="M1280" i="3"/>
  <c r="L1280" i="3"/>
  <c r="K1280" i="3"/>
  <c r="J1280" i="3"/>
  <c r="I1280" i="3"/>
  <c r="H1280" i="3"/>
  <c r="G1280" i="3"/>
  <c r="F1280" i="3"/>
  <c r="D1280" i="3"/>
  <c r="U1279" i="3"/>
  <c r="Y1279" i="3" s="1"/>
  <c r="S1279" i="3"/>
  <c r="N1279" i="3"/>
  <c r="M1279" i="3"/>
  <c r="L1279" i="3"/>
  <c r="K1279" i="3"/>
  <c r="J1279" i="3"/>
  <c r="I1279" i="3"/>
  <c r="H1279" i="3"/>
  <c r="G1279" i="3"/>
  <c r="F1279" i="3"/>
  <c r="D1279" i="3"/>
  <c r="AA1283" i="3" a="1"/>
  <c r="AB468" i="1" a="1"/>
  <c r="AB467" i="1" a="1"/>
  <c r="AA1285" i="3" a="1"/>
  <c r="AA1284" i="3" a="1"/>
  <c r="AA1282" i="3" a="1"/>
  <c r="AA1280" i="3" a="1"/>
  <c r="AA1279" i="3" a="1"/>
  <c r="AA1281" i="3" a="1"/>
  <c r="AB467" i="1" l="1"/>
  <c r="AB468" i="1"/>
  <c r="AA1281" i="3"/>
  <c r="AA1285" i="3"/>
  <c r="AA1283" i="3"/>
  <c r="AA1282" i="3"/>
  <c r="AA1279" i="3"/>
  <c r="AA1284" i="3"/>
  <c r="AA1280" i="3"/>
  <c r="L858" i="1"/>
  <c r="U1278" i="3"/>
  <c r="Y1278" i="3" s="1"/>
  <c r="S1278" i="3"/>
  <c r="M1278" i="3"/>
  <c r="L1278" i="3"/>
  <c r="K1278" i="3"/>
  <c r="J1278" i="3"/>
  <c r="I1278" i="3"/>
  <c r="H1278" i="3"/>
  <c r="G1278" i="3"/>
  <c r="F1278" i="3"/>
  <c r="D1278" i="3"/>
  <c r="U1277" i="3"/>
  <c r="Y1277" i="3" s="1"/>
  <c r="S1277" i="3"/>
  <c r="N1277" i="3"/>
  <c r="M1277" i="3"/>
  <c r="L1277" i="3"/>
  <c r="K1277" i="3"/>
  <c r="J1277" i="3"/>
  <c r="I1277" i="3"/>
  <c r="H1277" i="3"/>
  <c r="G1277" i="3"/>
  <c r="F1277" i="3"/>
  <c r="D1277" i="3"/>
  <c r="AA1278" i="3" a="1"/>
  <c r="AA1277" i="3" a="1"/>
  <c r="N1298" i="3" l="1"/>
  <c r="AA1278" i="3"/>
  <c r="AA1277" i="3"/>
  <c r="AB548" i="1" a="1"/>
  <c r="AB547" i="1" a="1"/>
  <c r="AB547" i="1" l="1"/>
  <c r="AB548" i="1"/>
  <c r="U1276" i="3"/>
  <c r="Y1276" i="3" s="1"/>
  <c r="S1276" i="3"/>
  <c r="N1276" i="3"/>
  <c r="M1276" i="3"/>
  <c r="L1276" i="3"/>
  <c r="K1276" i="3"/>
  <c r="J1276" i="3"/>
  <c r="I1276" i="3"/>
  <c r="H1276" i="3"/>
  <c r="G1276" i="3"/>
  <c r="F1276" i="3"/>
  <c r="D1276" i="3"/>
  <c r="U1275" i="3"/>
  <c r="Y1275" i="3" s="1"/>
  <c r="S1275" i="3"/>
  <c r="N1275" i="3"/>
  <c r="M1275" i="3"/>
  <c r="L1275" i="3"/>
  <c r="K1275" i="3"/>
  <c r="J1275" i="3"/>
  <c r="I1275" i="3"/>
  <c r="H1275" i="3"/>
  <c r="G1275" i="3"/>
  <c r="F1275" i="3"/>
  <c r="D1275" i="3"/>
  <c r="U1274" i="3"/>
  <c r="Y1274" i="3" s="1"/>
  <c r="S1274" i="3"/>
  <c r="N1274" i="3"/>
  <c r="M1274" i="3"/>
  <c r="L1274" i="3"/>
  <c r="K1274" i="3"/>
  <c r="J1274" i="3"/>
  <c r="I1274" i="3"/>
  <c r="H1274" i="3"/>
  <c r="G1274" i="3"/>
  <c r="F1274" i="3"/>
  <c r="D1274" i="3"/>
  <c r="U1273" i="3"/>
  <c r="Y1273" i="3" s="1"/>
  <c r="S1273" i="3"/>
  <c r="N1273" i="3"/>
  <c r="M1273" i="3"/>
  <c r="L1273" i="3"/>
  <c r="K1273" i="3"/>
  <c r="J1273" i="3"/>
  <c r="I1273" i="3"/>
  <c r="H1273" i="3"/>
  <c r="G1273" i="3"/>
  <c r="F1273" i="3"/>
  <c r="D1273" i="3"/>
  <c r="U1272" i="3"/>
  <c r="Y1272" i="3" s="1"/>
  <c r="S1272" i="3"/>
  <c r="N1272" i="3"/>
  <c r="M1272" i="3"/>
  <c r="L1272" i="3"/>
  <c r="K1272" i="3"/>
  <c r="J1272" i="3"/>
  <c r="I1272" i="3"/>
  <c r="H1272" i="3"/>
  <c r="G1272" i="3"/>
  <c r="F1272" i="3"/>
  <c r="D1272" i="3"/>
  <c r="U1271" i="3"/>
  <c r="Y1271" i="3" s="1"/>
  <c r="S1271" i="3"/>
  <c r="N1271" i="3"/>
  <c r="M1271" i="3"/>
  <c r="L1271" i="3"/>
  <c r="K1271" i="3"/>
  <c r="J1271" i="3"/>
  <c r="I1271" i="3"/>
  <c r="H1271" i="3"/>
  <c r="G1271" i="3"/>
  <c r="F1271" i="3"/>
  <c r="D1271" i="3"/>
  <c r="U1270" i="3"/>
  <c r="Y1270" i="3" s="1"/>
  <c r="S1270" i="3"/>
  <c r="N1270" i="3"/>
  <c r="M1270" i="3"/>
  <c r="L1270" i="3"/>
  <c r="K1270" i="3"/>
  <c r="J1270" i="3"/>
  <c r="I1270" i="3"/>
  <c r="H1270" i="3"/>
  <c r="G1270" i="3"/>
  <c r="F1270" i="3"/>
  <c r="D1270" i="3"/>
  <c r="U1269" i="3"/>
  <c r="Y1269" i="3" s="1"/>
  <c r="S1269" i="3"/>
  <c r="N1269" i="3"/>
  <c r="M1269" i="3"/>
  <c r="L1269" i="3"/>
  <c r="K1269" i="3"/>
  <c r="J1269" i="3"/>
  <c r="I1269" i="3"/>
  <c r="H1269" i="3"/>
  <c r="G1269" i="3"/>
  <c r="F1269" i="3"/>
  <c r="D1269" i="3"/>
  <c r="U1268" i="3"/>
  <c r="Y1268" i="3" s="1"/>
  <c r="S1268" i="3"/>
  <c r="N1268" i="3"/>
  <c r="M1268" i="3"/>
  <c r="L1268" i="3"/>
  <c r="K1268" i="3"/>
  <c r="J1268" i="3"/>
  <c r="I1268" i="3"/>
  <c r="H1268" i="3"/>
  <c r="G1268" i="3"/>
  <c r="F1268" i="3"/>
  <c r="D1268" i="3"/>
  <c r="U1267" i="3"/>
  <c r="Y1267" i="3" s="1"/>
  <c r="S1267" i="3"/>
  <c r="N1267" i="3"/>
  <c r="M1267" i="3"/>
  <c r="L1267" i="3"/>
  <c r="K1267" i="3"/>
  <c r="J1267" i="3"/>
  <c r="I1267" i="3"/>
  <c r="H1267" i="3"/>
  <c r="G1267" i="3"/>
  <c r="F1267" i="3"/>
  <c r="D1267" i="3"/>
  <c r="U1266" i="3"/>
  <c r="Y1266" i="3" s="1"/>
  <c r="S1266" i="3"/>
  <c r="N1266" i="3"/>
  <c r="M1266" i="3"/>
  <c r="L1266" i="3"/>
  <c r="K1266" i="3"/>
  <c r="J1266" i="3"/>
  <c r="I1266" i="3"/>
  <c r="H1266" i="3"/>
  <c r="G1266" i="3"/>
  <c r="F1266" i="3"/>
  <c r="D1266" i="3"/>
  <c r="AA1273" i="3" a="1"/>
  <c r="AA1266" i="3" a="1"/>
  <c r="AA1274" i="3" a="1"/>
  <c r="AA1270" i="3" a="1"/>
  <c r="AA1272" i="3" a="1"/>
  <c r="AA1269" i="3" a="1"/>
  <c r="AA1268" i="3" a="1"/>
  <c r="AA1276" i="3" a="1"/>
  <c r="AA1275" i="3" a="1"/>
  <c r="AA1271" i="3" a="1"/>
  <c r="AA1267" i="3" a="1"/>
  <c r="AA1270" i="3" l="1"/>
  <c r="AA1274" i="3"/>
  <c r="AA1275" i="3"/>
  <c r="AA1267" i="3"/>
  <c r="AA1272" i="3"/>
  <c r="AA1269" i="3"/>
  <c r="AA1266" i="3"/>
  <c r="AA1271" i="3"/>
  <c r="AA1276" i="3"/>
  <c r="AA1268" i="3"/>
  <c r="AA1273" i="3"/>
  <c r="U1265" i="3"/>
  <c r="Y1265" i="3" s="1"/>
  <c r="S1265" i="3"/>
  <c r="M1265" i="3"/>
  <c r="L1265" i="3"/>
  <c r="K1265" i="3"/>
  <c r="J1265" i="3"/>
  <c r="I1265" i="3"/>
  <c r="H1265" i="3"/>
  <c r="G1265" i="3"/>
  <c r="F1265" i="3"/>
  <c r="D1265" i="3"/>
  <c r="AA1265" i="3" a="1"/>
  <c r="AA1265" i="3" l="1"/>
  <c r="U1264" i="3"/>
  <c r="Y1264" i="3" s="1"/>
  <c r="S1264" i="3"/>
  <c r="M1264" i="3"/>
  <c r="L1264" i="3"/>
  <c r="K1264" i="3"/>
  <c r="J1264" i="3"/>
  <c r="I1264" i="3"/>
  <c r="H1264" i="3"/>
  <c r="G1264" i="3"/>
  <c r="F1264" i="3"/>
  <c r="D1264" i="3"/>
  <c r="U1263" i="3"/>
  <c r="Y1263" i="3" s="1"/>
  <c r="S1263" i="3"/>
  <c r="N1263" i="3"/>
  <c r="M1263" i="3"/>
  <c r="L1263" i="3"/>
  <c r="K1263" i="3"/>
  <c r="J1263" i="3"/>
  <c r="I1263" i="3"/>
  <c r="H1263" i="3"/>
  <c r="G1263" i="3"/>
  <c r="F1263" i="3"/>
  <c r="D1263" i="3"/>
  <c r="AA1264" i="3" a="1"/>
  <c r="AA1263" i="3" a="1"/>
  <c r="AA1263" i="3" l="1"/>
  <c r="AA1264" i="3"/>
  <c r="U1262" i="3"/>
  <c r="Y1262" i="3" s="1"/>
  <c r="S1262" i="3"/>
  <c r="N1262" i="3"/>
  <c r="M1262" i="3"/>
  <c r="L1262" i="3"/>
  <c r="K1262" i="3"/>
  <c r="J1262" i="3"/>
  <c r="I1262" i="3"/>
  <c r="H1262" i="3"/>
  <c r="G1262" i="3"/>
  <c r="F1262" i="3"/>
  <c r="D1262" i="3"/>
  <c r="U1261" i="3"/>
  <c r="Y1261" i="3" s="1"/>
  <c r="S1261" i="3"/>
  <c r="N1261" i="3"/>
  <c r="M1261" i="3"/>
  <c r="L1261" i="3"/>
  <c r="K1261" i="3"/>
  <c r="J1261" i="3"/>
  <c r="I1261" i="3"/>
  <c r="H1261" i="3"/>
  <c r="G1261" i="3"/>
  <c r="F1261" i="3"/>
  <c r="D1261" i="3"/>
  <c r="AA1262" i="3" a="1"/>
  <c r="AA1261" i="3" a="1"/>
  <c r="AA1261" i="3" l="1"/>
  <c r="AA1262" i="3"/>
  <c r="U1260" i="3"/>
  <c r="Y1260" i="3" s="1"/>
  <c r="S1260" i="3"/>
  <c r="N1260" i="3"/>
  <c r="M1260" i="3"/>
  <c r="L1260" i="3"/>
  <c r="K1260" i="3"/>
  <c r="J1260" i="3"/>
  <c r="I1260" i="3"/>
  <c r="H1260" i="3"/>
  <c r="G1260" i="3"/>
  <c r="F1260" i="3"/>
  <c r="D1260" i="3"/>
  <c r="L789" i="1"/>
  <c r="N1586" i="3" s="1"/>
  <c r="H23" i="16"/>
  <c r="R23" i="16" a="1"/>
  <c r="AA1260" i="3" a="1"/>
  <c r="N1551" i="3" l="1"/>
  <c r="N1467" i="3"/>
  <c r="N1496" i="3"/>
  <c r="N1492" i="3"/>
  <c r="N1495" i="3"/>
  <c r="N1482" i="3"/>
  <c r="N1481" i="3"/>
  <c r="AA1260" i="3"/>
  <c r="R23" i="16"/>
  <c r="N1336" i="3"/>
  <c r="N1318" i="3"/>
  <c r="I6" i="10"/>
  <c r="J6" i="10" s="1"/>
  <c r="C7" i="10"/>
  <c r="I11" i="10" l="1"/>
  <c r="J11" i="10" s="1"/>
  <c r="I7" i="10"/>
  <c r="J7" i="10" s="1"/>
  <c r="J9" i="10"/>
  <c r="J8" i="10"/>
  <c r="U1259" i="3" l="1"/>
  <c r="Y1259" i="3" s="1"/>
  <c r="S1259" i="3"/>
  <c r="M1259" i="3"/>
  <c r="L1259" i="3"/>
  <c r="K1259" i="3"/>
  <c r="J1259" i="3"/>
  <c r="I1259" i="3"/>
  <c r="H1259" i="3"/>
  <c r="G1259" i="3"/>
  <c r="F1259" i="3"/>
  <c r="D1259" i="3"/>
  <c r="AA1259" i="3" a="1"/>
  <c r="AA1259" i="3" l="1"/>
  <c r="L284" i="1"/>
  <c r="N1575" i="3" l="1"/>
  <c r="N1576" i="3"/>
  <c r="N1469" i="3"/>
  <c r="U1258" i="3"/>
  <c r="Y1258" i="3" s="1"/>
  <c r="S1258" i="3"/>
  <c r="N1258" i="3"/>
  <c r="M1258" i="3"/>
  <c r="L1258" i="3"/>
  <c r="K1258" i="3"/>
  <c r="J1258" i="3"/>
  <c r="I1258" i="3"/>
  <c r="H1258" i="3"/>
  <c r="G1258" i="3"/>
  <c r="F1258" i="3"/>
  <c r="D1258" i="3"/>
  <c r="U1257" i="3"/>
  <c r="Y1257" i="3" s="1"/>
  <c r="S1257" i="3"/>
  <c r="N1257" i="3"/>
  <c r="M1257" i="3"/>
  <c r="L1257" i="3"/>
  <c r="K1257" i="3"/>
  <c r="J1257" i="3"/>
  <c r="I1257" i="3"/>
  <c r="H1257" i="3"/>
  <c r="G1257" i="3"/>
  <c r="F1257" i="3"/>
  <c r="D1257" i="3"/>
  <c r="U1256" i="3"/>
  <c r="Y1256" i="3" s="1"/>
  <c r="S1256" i="3"/>
  <c r="N1256" i="3"/>
  <c r="M1256" i="3"/>
  <c r="L1256" i="3"/>
  <c r="K1256" i="3"/>
  <c r="J1256" i="3"/>
  <c r="I1256" i="3"/>
  <c r="H1256" i="3"/>
  <c r="G1256" i="3"/>
  <c r="F1256" i="3"/>
  <c r="D1256" i="3"/>
  <c r="U1255" i="3"/>
  <c r="Y1255" i="3" s="1"/>
  <c r="S1255" i="3"/>
  <c r="N1255" i="3"/>
  <c r="M1255" i="3"/>
  <c r="L1255" i="3"/>
  <c r="K1255" i="3"/>
  <c r="J1255" i="3"/>
  <c r="I1255" i="3"/>
  <c r="H1255" i="3"/>
  <c r="G1255" i="3"/>
  <c r="F1255" i="3"/>
  <c r="D1255" i="3"/>
  <c r="U1254" i="3"/>
  <c r="Y1254" i="3" s="1"/>
  <c r="S1254" i="3"/>
  <c r="N1254" i="3"/>
  <c r="M1254" i="3"/>
  <c r="L1254" i="3"/>
  <c r="K1254" i="3"/>
  <c r="J1254" i="3"/>
  <c r="I1254" i="3"/>
  <c r="H1254" i="3"/>
  <c r="G1254" i="3"/>
  <c r="F1254" i="3"/>
  <c r="D1254" i="3"/>
  <c r="U1253" i="3"/>
  <c r="Y1253" i="3" s="1"/>
  <c r="S1253" i="3"/>
  <c r="N1253" i="3"/>
  <c r="M1253" i="3"/>
  <c r="L1253" i="3"/>
  <c r="K1253" i="3"/>
  <c r="J1253" i="3"/>
  <c r="I1253" i="3"/>
  <c r="H1253" i="3"/>
  <c r="G1253" i="3"/>
  <c r="F1253" i="3"/>
  <c r="D1253" i="3"/>
  <c r="U1252" i="3"/>
  <c r="Y1252" i="3" s="1"/>
  <c r="S1252" i="3"/>
  <c r="N1252" i="3"/>
  <c r="M1252" i="3"/>
  <c r="L1252" i="3"/>
  <c r="K1252" i="3"/>
  <c r="J1252" i="3"/>
  <c r="I1252" i="3"/>
  <c r="H1252" i="3"/>
  <c r="G1252" i="3"/>
  <c r="F1252" i="3"/>
  <c r="D1252" i="3"/>
  <c r="U1251" i="3"/>
  <c r="Y1251" i="3" s="1"/>
  <c r="S1251" i="3"/>
  <c r="N1251" i="3"/>
  <c r="M1251" i="3"/>
  <c r="L1251" i="3"/>
  <c r="K1251" i="3"/>
  <c r="J1251" i="3"/>
  <c r="I1251" i="3"/>
  <c r="H1251" i="3"/>
  <c r="G1251" i="3"/>
  <c r="F1251" i="3"/>
  <c r="D1251" i="3"/>
  <c r="U1250" i="3"/>
  <c r="Y1250" i="3" s="1"/>
  <c r="S1250" i="3"/>
  <c r="N1250" i="3"/>
  <c r="M1250" i="3"/>
  <c r="L1250" i="3"/>
  <c r="K1250" i="3"/>
  <c r="J1250" i="3"/>
  <c r="I1250" i="3"/>
  <c r="H1250" i="3"/>
  <c r="G1250" i="3"/>
  <c r="F1250" i="3"/>
  <c r="D1250" i="3"/>
  <c r="U1249" i="3"/>
  <c r="Y1249" i="3" s="1"/>
  <c r="S1249" i="3"/>
  <c r="N1249" i="3"/>
  <c r="M1249" i="3"/>
  <c r="L1249" i="3"/>
  <c r="K1249" i="3"/>
  <c r="J1249" i="3"/>
  <c r="I1249" i="3"/>
  <c r="H1249" i="3"/>
  <c r="G1249" i="3"/>
  <c r="F1249" i="3"/>
  <c r="D1249" i="3"/>
  <c r="U1248" i="3"/>
  <c r="Y1248" i="3" s="1"/>
  <c r="S1248" i="3"/>
  <c r="M1248" i="3"/>
  <c r="L1248" i="3"/>
  <c r="K1248" i="3"/>
  <c r="J1248" i="3"/>
  <c r="I1248" i="3"/>
  <c r="H1248" i="3"/>
  <c r="G1248" i="3"/>
  <c r="F1248" i="3"/>
  <c r="D1248" i="3"/>
  <c r="U1247" i="3"/>
  <c r="Y1247" i="3" s="1"/>
  <c r="S1247" i="3"/>
  <c r="N1247" i="3"/>
  <c r="M1247" i="3"/>
  <c r="L1247" i="3"/>
  <c r="K1247" i="3"/>
  <c r="J1247" i="3"/>
  <c r="I1247" i="3"/>
  <c r="H1247" i="3"/>
  <c r="G1247" i="3"/>
  <c r="F1247" i="3"/>
  <c r="D1247" i="3"/>
  <c r="U1246" i="3"/>
  <c r="Y1246" i="3" s="1"/>
  <c r="S1246" i="3"/>
  <c r="N1246" i="3"/>
  <c r="M1246" i="3"/>
  <c r="L1246" i="3"/>
  <c r="K1246" i="3"/>
  <c r="J1246" i="3"/>
  <c r="I1246" i="3"/>
  <c r="H1246" i="3"/>
  <c r="G1246" i="3"/>
  <c r="F1246" i="3"/>
  <c r="D1246" i="3"/>
  <c r="U1245" i="3"/>
  <c r="Y1245" i="3" s="1"/>
  <c r="S1245" i="3"/>
  <c r="N1245" i="3"/>
  <c r="M1245" i="3"/>
  <c r="L1245" i="3"/>
  <c r="K1245" i="3"/>
  <c r="J1245" i="3"/>
  <c r="I1245" i="3"/>
  <c r="H1245" i="3"/>
  <c r="G1245" i="3"/>
  <c r="F1245" i="3"/>
  <c r="D1245" i="3"/>
  <c r="L233" i="1"/>
  <c r="L234" i="1"/>
  <c r="AA1248" i="3" a="1"/>
  <c r="AA1247" i="3" a="1"/>
  <c r="AA1258" i="3" a="1"/>
  <c r="AA1252" i="3" a="1"/>
  <c r="AA1251" i="3" a="1"/>
  <c r="AB725" i="1" a="1"/>
  <c r="AA1253" i="3" a="1"/>
  <c r="AA1246" i="3" a="1"/>
  <c r="AB234" i="1" a="1"/>
  <c r="AA1245" i="3" a="1"/>
  <c r="AA1254" i="3" a="1"/>
  <c r="AA1257" i="3" a="1"/>
  <c r="AA1249" i="3" a="1"/>
  <c r="AA1256" i="3" a="1"/>
  <c r="AA1250" i="3" a="1"/>
  <c r="AA1255" i="3" a="1"/>
  <c r="AB234" i="1" l="1"/>
  <c r="AB725" i="1"/>
  <c r="AA1245" i="3"/>
  <c r="AA1249" i="3"/>
  <c r="AA1254" i="3"/>
  <c r="AA1246" i="3"/>
  <c r="AA1250" i="3"/>
  <c r="AA1252" i="3"/>
  <c r="AA1247" i="3"/>
  <c r="AA1251" i="3"/>
  <c r="AA1255" i="3"/>
  <c r="AA1257" i="3"/>
  <c r="AA1256" i="3"/>
  <c r="AA1248" i="3"/>
  <c r="AA1253" i="3"/>
  <c r="AA1258" i="3"/>
  <c r="N1278" i="3"/>
  <c r="U1244" i="3"/>
  <c r="Y1244" i="3" s="1"/>
  <c r="S1244" i="3"/>
  <c r="N1244" i="3"/>
  <c r="M1244" i="3"/>
  <c r="L1244" i="3"/>
  <c r="K1244" i="3"/>
  <c r="J1244" i="3"/>
  <c r="I1244" i="3"/>
  <c r="H1244" i="3"/>
  <c r="G1244" i="3"/>
  <c r="F1244" i="3"/>
  <c r="D1244" i="3"/>
  <c r="U1243" i="3"/>
  <c r="Y1243" i="3" s="1"/>
  <c r="S1243" i="3"/>
  <c r="N1243" i="3"/>
  <c r="M1243" i="3"/>
  <c r="L1243" i="3"/>
  <c r="K1243" i="3"/>
  <c r="J1243" i="3"/>
  <c r="I1243" i="3"/>
  <c r="H1243" i="3"/>
  <c r="G1243" i="3"/>
  <c r="F1243" i="3"/>
  <c r="D1243" i="3"/>
  <c r="U1242" i="3"/>
  <c r="Y1242" i="3" s="1"/>
  <c r="S1242" i="3"/>
  <c r="N1242" i="3"/>
  <c r="M1242" i="3"/>
  <c r="L1242" i="3"/>
  <c r="K1242" i="3"/>
  <c r="J1242" i="3"/>
  <c r="I1242" i="3"/>
  <c r="H1242" i="3"/>
  <c r="G1242" i="3"/>
  <c r="F1242" i="3"/>
  <c r="D1242" i="3"/>
  <c r="U1241" i="3"/>
  <c r="Y1241" i="3" s="1"/>
  <c r="S1241" i="3"/>
  <c r="N1241" i="3"/>
  <c r="M1241" i="3"/>
  <c r="L1241" i="3"/>
  <c r="K1241" i="3"/>
  <c r="J1241" i="3"/>
  <c r="I1241" i="3"/>
  <c r="H1241" i="3"/>
  <c r="G1241" i="3"/>
  <c r="F1241" i="3"/>
  <c r="D1241" i="3"/>
  <c r="U1240" i="3"/>
  <c r="Y1240" i="3" s="1"/>
  <c r="S1240" i="3"/>
  <c r="N1240" i="3"/>
  <c r="M1240" i="3"/>
  <c r="L1240" i="3"/>
  <c r="K1240" i="3"/>
  <c r="J1240" i="3"/>
  <c r="I1240" i="3"/>
  <c r="H1240" i="3"/>
  <c r="G1240" i="3"/>
  <c r="F1240" i="3"/>
  <c r="D1240" i="3"/>
  <c r="U1239" i="3"/>
  <c r="Y1239" i="3" s="1"/>
  <c r="S1239" i="3"/>
  <c r="N1239" i="3"/>
  <c r="M1239" i="3"/>
  <c r="L1239" i="3"/>
  <c r="K1239" i="3"/>
  <c r="J1239" i="3"/>
  <c r="I1239" i="3"/>
  <c r="H1239" i="3"/>
  <c r="G1239" i="3"/>
  <c r="F1239" i="3"/>
  <c r="D1239" i="3"/>
  <c r="U1238" i="3"/>
  <c r="Y1238" i="3" s="1"/>
  <c r="S1238" i="3"/>
  <c r="N1238" i="3"/>
  <c r="M1238" i="3"/>
  <c r="L1238" i="3"/>
  <c r="K1238" i="3"/>
  <c r="J1238" i="3"/>
  <c r="I1238" i="3"/>
  <c r="H1238" i="3"/>
  <c r="G1238" i="3"/>
  <c r="F1238" i="3"/>
  <c r="D1238" i="3"/>
  <c r="U1237" i="3"/>
  <c r="Y1237" i="3" s="1"/>
  <c r="S1237" i="3"/>
  <c r="N1237" i="3"/>
  <c r="M1237" i="3"/>
  <c r="L1237" i="3"/>
  <c r="K1237" i="3"/>
  <c r="J1237" i="3"/>
  <c r="I1237" i="3"/>
  <c r="H1237" i="3"/>
  <c r="G1237" i="3"/>
  <c r="F1237" i="3"/>
  <c r="D1237" i="3"/>
  <c r="U1236" i="3"/>
  <c r="Y1236" i="3" s="1"/>
  <c r="S1236" i="3"/>
  <c r="N1236" i="3"/>
  <c r="M1236" i="3"/>
  <c r="L1236" i="3"/>
  <c r="K1236" i="3"/>
  <c r="J1236" i="3"/>
  <c r="I1236" i="3"/>
  <c r="H1236" i="3"/>
  <c r="G1236" i="3"/>
  <c r="F1236" i="3"/>
  <c r="D1236" i="3"/>
  <c r="U1235" i="3"/>
  <c r="Y1235" i="3" s="1"/>
  <c r="S1235" i="3"/>
  <c r="N1235" i="3"/>
  <c r="M1235" i="3"/>
  <c r="L1235" i="3"/>
  <c r="K1235" i="3"/>
  <c r="J1235" i="3"/>
  <c r="I1235" i="3"/>
  <c r="H1235" i="3"/>
  <c r="G1235" i="3"/>
  <c r="F1235" i="3"/>
  <c r="D1235" i="3"/>
  <c r="U1234" i="3"/>
  <c r="Y1234" i="3" s="1"/>
  <c r="S1234" i="3"/>
  <c r="N1234" i="3"/>
  <c r="M1234" i="3"/>
  <c r="L1234" i="3"/>
  <c r="K1234" i="3"/>
  <c r="J1234" i="3"/>
  <c r="I1234" i="3"/>
  <c r="H1234" i="3"/>
  <c r="G1234" i="3"/>
  <c r="F1234" i="3"/>
  <c r="D1234" i="3"/>
  <c r="U1233" i="3"/>
  <c r="Y1233" i="3" s="1"/>
  <c r="S1233" i="3"/>
  <c r="N1233" i="3"/>
  <c r="M1233" i="3"/>
  <c r="L1233" i="3"/>
  <c r="K1233" i="3"/>
  <c r="J1233" i="3"/>
  <c r="I1233" i="3"/>
  <c r="H1233" i="3"/>
  <c r="G1233" i="3"/>
  <c r="F1233" i="3"/>
  <c r="D1233" i="3"/>
  <c r="U1232" i="3"/>
  <c r="Y1232" i="3" s="1"/>
  <c r="S1232" i="3"/>
  <c r="N1232" i="3"/>
  <c r="M1232" i="3"/>
  <c r="L1232" i="3"/>
  <c r="K1232" i="3"/>
  <c r="J1232" i="3"/>
  <c r="I1232" i="3"/>
  <c r="H1232" i="3"/>
  <c r="G1232" i="3"/>
  <c r="F1232" i="3"/>
  <c r="D1232" i="3"/>
  <c r="U1231" i="3"/>
  <c r="Y1231" i="3" s="1"/>
  <c r="S1231" i="3"/>
  <c r="N1231" i="3"/>
  <c r="M1231" i="3"/>
  <c r="L1231" i="3"/>
  <c r="K1231" i="3"/>
  <c r="J1231" i="3"/>
  <c r="I1231" i="3"/>
  <c r="H1231" i="3"/>
  <c r="G1231" i="3"/>
  <c r="F1231" i="3"/>
  <c r="D1231" i="3"/>
  <c r="U1230" i="3"/>
  <c r="Y1230" i="3" s="1"/>
  <c r="S1230" i="3"/>
  <c r="N1230" i="3"/>
  <c r="M1230" i="3"/>
  <c r="L1230" i="3"/>
  <c r="K1230" i="3"/>
  <c r="J1230" i="3"/>
  <c r="I1230" i="3"/>
  <c r="H1230" i="3"/>
  <c r="G1230" i="3"/>
  <c r="F1230" i="3"/>
  <c r="D1230" i="3"/>
  <c r="AB700" i="1" a="1"/>
  <c r="AA1234" i="3" a="1"/>
  <c r="AA1236" i="3" a="1"/>
  <c r="AA1233" i="3" a="1"/>
  <c r="AB759" i="1" a="1"/>
  <c r="AA1235" i="3" a="1"/>
  <c r="AA1241" i="3" a="1"/>
  <c r="AA1240" i="3" a="1"/>
  <c r="AA1237" i="3" a="1"/>
  <c r="AA1230" i="3" a="1"/>
  <c r="AA1243" i="3" a="1"/>
  <c r="AB159" i="1" a="1"/>
  <c r="AB598" i="1" a="1"/>
  <c r="AA1238" i="3" a="1"/>
  <c r="AA1232" i="3" a="1"/>
  <c r="AA1242" i="3" a="1"/>
  <c r="AA1239" i="3" a="1"/>
  <c r="AA1231" i="3" a="1"/>
  <c r="AA1244" i="3" a="1"/>
  <c r="AB700" i="1" l="1"/>
  <c r="AB159" i="1"/>
  <c r="AB598" i="1"/>
  <c r="AB759" i="1"/>
  <c r="AA1232" i="3"/>
  <c r="AA1239" i="3"/>
  <c r="AA1230" i="3"/>
  <c r="AA1237" i="3"/>
  <c r="AA1244" i="3"/>
  <c r="AA1235" i="3"/>
  <c r="AA1231" i="3"/>
  <c r="AA1240" i="3"/>
  <c r="AA1242" i="3"/>
  <c r="AA1234" i="3"/>
  <c r="AA1236" i="3"/>
  <c r="AA1241" i="3"/>
  <c r="AA1233" i="3"/>
  <c r="AA1238" i="3"/>
  <c r="AA1243" i="3"/>
  <c r="V1176" i="3"/>
  <c r="U1229" i="3"/>
  <c r="Y1229" i="3" s="1"/>
  <c r="S1229" i="3"/>
  <c r="N1229" i="3"/>
  <c r="M1229" i="3"/>
  <c r="L1229" i="3"/>
  <c r="K1229" i="3"/>
  <c r="J1229" i="3"/>
  <c r="I1229" i="3"/>
  <c r="H1229" i="3"/>
  <c r="G1229" i="3"/>
  <c r="F1229" i="3"/>
  <c r="D1229" i="3"/>
  <c r="U1228" i="3"/>
  <c r="Y1228" i="3" s="1"/>
  <c r="S1228" i="3"/>
  <c r="N1228" i="3"/>
  <c r="M1228" i="3"/>
  <c r="L1228" i="3"/>
  <c r="K1228" i="3"/>
  <c r="J1228" i="3"/>
  <c r="I1228" i="3"/>
  <c r="H1228" i="3"/>
  <c r="G1228" i="3"/>
  <c r="F1228" i="3"/>
  <c r="D1228" i="3"/>
  <c r="AA1228" i="3" a="1"/>
  <c r="AA1229" i="3" a="1"/>
  <c r="AA1229" i="3" l="1"/>
  <c r="AA1228" i="3"/>
  <c r="U1227" i="3"/>
  <c r="Y1227" i="3" s="1"/>
  <c r="S1227" i="3"/>
  <c r="M1227" i="3"/>
  <c r="L1227" i="3"/>
  <c r="K1227" i="3"/>
  <c r="J1227" i="3"/>
  <c r="I1227" i="3"/>
  <c r="H1227" i="3"/>
  <c r="G1227" i="3"/>
  <c r="F1227" i="3"/>
  <c r="D1227" i="3"/>
  <c r="U1226" i="3"/>
  <c r="Y1226" i="3" s="1"/>
  <c r="S1226" i="3"/>
  <c r="N1226" i="3"/>
  <c r="M1226" i="3"/>
  <c r="L1226" i="3"/>
  <c r="K1226" i="3"/>
  <c r="J1226" i="3"/>
  <c r="I1226" i="3"/>
  <c r="H1226" i="3"/>
  <c r="G1226" i="3"/>
  <c r="F1226" i="3"/>
  <c r="D1226" i="3"/>
  <c r="U1225" i="3"/>
  <c r="Y1225" i="3" s="1"/>
  <c r="S1225" i="3"/>
  <c r="N1225" i="3"/>
  <c r="M1225" i="3"/>
  <c r="L1225" i="3"/>
  <c r="K1225" i="3"/>
  <c r="J1225" i="3"/>
  <c r="I1225" i="3"/>
  <c r="H1225" i="3"/>
  <c r="G1225" i="3"/>
  <c r="F1225" i="3"/>
  <c r="D1225" i="3"/>
  <c r="AA1227" i="3" a="1"/>
  <c r="AA1226" i="3" a="1"/>
  <c r="AA1225" i="3" a="1"/>
  <c r="AA1226" i="3" l="1"/>
  <c r="AA1225" i="3"/>
  <c r="AA1227" i="3"/>
  <c r="AB267" i="1" a="1"/>
  <c r="AB267" i="1" l="1"/>
  <c r="U1224" i="3"/>
  <c r="Y1224" i="3" s="1"/>
  <c r="S1224" i="3"/>
  <c r="N1224" i="3"/>
  <c r="M1224" i="3"/>
  <c r="L1224" i="3"/>
  <c r="K1224" i="3"/>
  <c r="J1224" i="3"/>
  <c r="I1224" i="3"/>
  <c r="H1224" i="3"/>
  <c r="G1224" i="3"/>
  <c r="F1224" i="3"/>
  <c r="D1224" i="3"/>
  <c r="AA1224" i="3" a="1"/>
  <c r="AA1224" i="3" l="1"/>
  <c r="U1223" i="3"/>
  <c r="Y1223" i="3" s="1"/>
  <c r="S1223" i="3"/>
  <c r="N1223" i="3"/>
  <c r="M1223" i="3"/>
  <c r="L1223" i="3"/>
  <c r="K1223" i="3"/>
  <c r="J1223" i="3"/>
  <c r="I1223" i="3"/>
  <c r="H1223" i="3"/>
  <c r="G1223" i="3"/>
  <c r="F1223" i="3"/>
  <c r="D1223" i="3"/>
  <c r="U1222" i="3"/>
  <c r="Y1222" i="3" s="1"/>
  <c r="S1222" i="3"/>
  <c r="N1222" i="3"/>
  <c r="M1222" i="3"/>
  <c r="L1222" i="3"/>
  <c r="K1222" i="3"/>
  <c r="J1222" i="3"/>
  <c r="I1222" i="3"/>
  <c r="H1222" i="3"/>
  <c r="G1222" i="3"/>
  <c r="F1222" i="3"/>
  <c r="D1222" i="3"/>
  <c r="AA1222" i="3" a="1"/>
  <c r="AA1223" i="3" a="1"/>
  <c r="AA1223" i="3" l="1"/>
  <c r="AA1222" i="3"/>
  <c r="U1221" i="3"/>
  <c r="Y1221" i="3" s="1"/>
  <c r="S1221" i="3"/>
  <c r="M1221" i="3"/>
  <c r="L1221" i="3"/>
  <c r="K1221" i="3"/>
  <c r="J1221" i="3"/>
  <c r="I1221" i="3"/>
  <c r="H1221" i="3"/>
  <c r="G1221" i="3"/>
  <c r="F1221" i="3"/>
  <c r="D1221" i="3"/>
  <c r="U1220" i="3"/>
  <c r="Y1220" i="3" s="1"/>
  <c r="S1220" i="3"/>
  <c r="M1220" i="3"/>
  <c r="L1220" i="3"/>
  <c r="K1220" i="3"/>
  <c r="J1220" i="3"/>
  <c r="I1220" i="3"/>
  <c r="H1220" i="3"/>
  <c r="G1220" i="3"/>
  <c r="F1220" i="3"/>
  <c r="D1220" i="3"/>
  <c r="U1219" i="3"/>
  <c r="Y1219" i="3" s="1"/>
  <c r="S1219" i="3"/>
  <c r="N1219" i="3"/>
  <c r="M1219" i="3"/>
  <c r="L1219" i="3"/>
  <c r="K1219" i="3"/>
  <c r="J1219" i="3"/>
  <c r="I1219" i="3"/>
  <c r="H1219" i="3"/>
  <c r="G1219" i="3"/>
  <c r="F1219" i="3"/>
  <c r="D1219" i="3"/>
  <c r="AA1220" i="3" a="1"/>
  <c r="AA1221" i="3" a="1"/>
  <c r="AA1219" i="3" a="1"/>
  <c r="AA1220" i="3" l="1"/>
  <c r="AA1221" i="3"/>
  <c r="AA1219" i="3"/>
  <c r="AB195" i="1" a="1"/>
  <c r="AB195" i="1" l="1"/>
  <c r="U1218" i="3"/>
  <c r="Y1218" i="3" s="1"/>
  <c r="S1218" i="3"/>
  <c r="N1218" i="3"/>
  <c r="M1218" i="3"/>
  <c r="L1218" i="3"/>
  <c r="K1218" i="3"/>
  <c r="J1218" i="3"/>
  <c r="I1218" i="3"/>
  <c r="H1218" i="3"/>
  <c r="G1218" i="3"/>
  <c r="F1218" i="3"/>
  <c r="D1218" i="3"/>
  <c r="U1217" i="3"/>
  <c r="Y1217" i="3" s="1"/>
  <c r="S1217" i="3"/>
  <c r="N1217" i="3"/>
  <c r="M1217" i="3"/>
  <c r="L1217" i="3"/>
  <c r="K1217" i="3"/>
  <c r="J1217" i="3"/>
  <c r="I1217" i="3"/>
  <c r="H1217" i="3"/>
  <c r="G1217" i="3"/>
  <c r="F1217" i="3"/>
  <c r="D1217" i="3"/>
  <c r="AA1218" i="3" a="1"/>
  <c r="AA1217" i="3" a="1"/>
  <c r="AA1217" i="3" l="1"/>
  <c r="AA1218" i="3"/>
  <c r="U1216" i="3"/>
  <c r="Y1216" i="3" s="1"/>
  <c r="S1216" i="3"/>
  <c r="M1216" i="3"/>
  <c r="L1216" i="3"/>
  <c r="K1216" i="3"/>
  <c r="J1216" i="3"/>
  <c r="I1216" i="3"/>
  <c r="H1216" i="3"/>
  <c r="G1216" i="3"/>
  <c r="F1216" i="3"/>
  <c r="D1216" i="3"/>
  <c r="AA1216" i="3" a="1"/>
  <c r="AA1216" i="3" l="1"/>
  <c r="AB2" i="3"/>
  <c r="U1215" i="3"/>
  <c r="Y1215" i="3" s="1"/>
  <c r="S1215" i="3"/>
  <c r="N1215" i="3"/>
  <c r="M1215" i="3"/>
  <c r="L1215" i="3"/>
  <c r="K1215" i="3"/>
  <c r="J1215" i="3"/>
  <c r="I1215" i="3"/>
  <c r="H1215" i="3"/>
  <c r="G1215" i="3"/>
  <c r="F1215" i="3"/>
  <c r="D1215" i="3"/>
  <c r="U1214" i="3"/>
  <c r="Y1214" i="3" s="1"/>
  <c r="S1214" i="3"/>
  <c r="N1214" i="3"/>
  <c r="M1214" i="3"/>
  <c r="L1214" i="3"/>
  <c r="K1214" i="3"/>
  <c r="J1214" i="3"/>
  <c r="I1214" i="3"/>
  <c r="H1214" i="3"/>
  <c r="G1214" i="3"/>
  <c r="F1214" i="3"/>
  <c r="D1214" i="3"/>
  <c r="U1213" i="3"/>
  <c r="Y1213" i="3" s="1"/>
  <c r="S1213" i="3"/>
  <c r="N1213" i="3"/>
  <c r="M1213" i="3"/>
  <c r="L1213" i="3"/>
  <c r="K1213" i="3"/>
  <c r="J1213" i="3"/>
  <c r="I1213" i="3"/>
  <c r="H1213" i="3"/>
  <c r="G1213" i="3"/>
  <c r="F1213" i="3"/>
  <c r="D1213" i="3"/>
  <c r="U1212" i="3"/>
  <c r="Y1212" i="3" s="1"/>
  <c r="S1212" i="3"/>
  <c r="M1212" i="3"/>
  <c r="L1212" i="3"/>
  <c r="K1212" i="3"/>
  <c r="J1212" i="3"/>
  <c r="I1212" i="3"/>
  <c r="H1212" i="3"/>
  <c r="G1212" i="3"/>
  <c r="F1212" i="3"/>
  <c r="D1212" i="3"/>
  <c r="U1211" i="3"/>
  <c r="Y1211" i="3" s="1"/>
  <c r="S1211" i="3"/>
  <c r="N1211" i="3"/>
  <c r="M1211" i="3"/>
  <c r="L1211" i="3"/>
  <c r="K1211" i="3"/>
  <c r="J1211" i="3"/>
  <c r="I1211" i="3"/>
  <c r="H1211" i="3"/>
  <c r="G1211" i="3"/>
  <c r="F1211" i="3"/>
  <c r="D1211" i="3"/>
  <c r="U1210" i="3"/>
  <c r="Y1210" i="3" s="1"/>
  <c r="S1210" i="3"/>
  <c r="N1210" i="3"/>
  <c r="M1210" i="3"/>
  <c r="L1210" i="3"/>
  <c r="K1210" i="3"/>
  <c r="J1210" i="3"/>
  <c r="I1210" i="3"/>
  <c r="H1210" i="3"/>
  <c r="G1210" i="3"/>
  <c r="F1210" i="3"/>
  <c r="D1210" i="3"/>
  <c r="U1209" i="3"/>
  <c r="Y1209" i="3" s="1"/>
  <c r="S1209" i="3"/>
  <c r="N1209" i="3"/>
  <c r="M1209" i="3"/>
  <c r="L1209" i="3"/>
  <c r="K1209" i="3"/>
  <c r="J1209" i="3"/>
  <c r="I1209" i="3"/>
  <c r="H1209" i="3"/>
  <c r="G1209" i="3"/>
  <c r="F1209" i="3"/>
  <c r="D1209" i="3"/>
  <c r="U1208" i="3"/>
  <c r="Y1208" i="3" s="1"/>
  <c r="S1208" i="3"/>
  <c r="N1208" i="3"/>
  <c r="M1208" i="3"/>
  <c r="L1208" i="3"/>
  <c r="K1208" i="3"/>
  <c r="J1208" i="3"/>
  <c r="I1208" i="3"/>
  <c r="H1208" i="3"/>
  <c r="G1208" i="3"/>
  <c r="F1208" i="3"/>
  <c r="D1208" i="3"/>
  <c r="U1207" i="3"/>
  <c r="Y1207" i="3" s="1"/>
  <c r="S1207" i="3"/>
  <c r="M1207" i="3"/>
  <c r="L1207" i="3"/>
  <c r="K1207" i="3"/>
  <c r="J1207" i="3"/>
  <c r="I1207" i="3"/>
  <c r="H1207" i="3"/>
  <c r="G1207" i="3"/>
  <c r="F1207" i="3"/>
  <c r="D1207" i="3"/>
  <c r="U1206" i="3"/>
  <c r="Y1206" i="3" s="1"/>
  <c r="S1206" i="3"/>
  <c r="M1206" i="3"/>
  <c r="L1206" i="3"/>
  <c r="K1206" i="3"/>
  <c r="J1206" i="3"/>
  <c r="I1206" i="3"/>
  <c r="H1206" i="3"/>
  <c r="G1206" i="3"/>
  <c r="F1206" i="3"/>
  <c r="D1206" i="3"/>
  <c r="U1205" i="3"/>
  <c r="Y1205" i="3" s="1"/>
  <c r="S1205" i="3"/>
  <c r="M1205" i="3"/>
  <c r="L1205" i="3"/>
  <c r="K1205" i="3"/>
  <c r="J1205" i="3"/>
  <c r="I1205" i="3"/>
  <c r="H1205" i="3"/>
  <c r="G1205" i="3"/>
  <c r="F1205" i="3"/>
  <c r="D1205" i="3"/>
  <c r="AA1212" i="3" a="1"/>
  <c r="AA1213" i="3" a="1"/>
  <c r="AA1205" i="3" a="1"/>
  <c r="AA1214" i="3" a="1"/>
  <c r="AA1210" i="3" a="1"/>
  <c r="AA1215" i="3" a="1"/>
  <c r="AA1206" i="3" a="1"/>
  <c r="AA1208" i="3" a="1"/>
  <c r="AA1211" i="3" a="1"/>
  <c r="AA1209" i="3" a="1"/>
  <c r="AA1207" i="3" a="1"/>
  <c r="AA1207" i="3" l="1"/>
  <c r="AA1214" i="3"/>
  <c r="AA1209" i="3"/>
  <c r="AA1211" i="3"/>
  <c r="AA1206" i="3"/>
  <c r="AA1205" i="3"/>
  <c r="AA1212" i="3"/>
  <c r="AA1213" i="3"/>
  <c r="AA1208" i="3"/>
  <c r="AA1215" i="3"/>
  <c r="AA1210" i="3"/>
  <c r="U1204" i="3"/>
  <c r="Y1204" i="3" s="1"/>
  <c r="S1204" i="3"/>
  <c r="N1204" i="3"/>
  <c r="M1204" i="3"/>
  <c r="L1204" i="3"/>
  <c r="K1204" i="3"/>
  <c r="J1204" i="3"/>
  <c r="I1204" i="3"/>
  <c r="H1204" i="3"/>
  <c r="G1204" i="3"/>
  <c r="F1204" i="3"/>
  <c r="D1204" i="3"/>
  <c r="U1203" i="3"/>
  <c r="Y1203" i="3" s="1"/>
  <c r="S1203" i="3"/>
  <c r="N1203" i="3"/>
  <c r="M1203" i="3"/>
  <c r="L1203" i="3"/>
  <c r="K1203" i="3"/>
  <c r="J1203" i="3"/>
  <c r="I1203" i="3"/>
  <c r="H1203" i="3"/>
  <c r="G1203" i="3"/>
  <c r="F1203" i="3"/>
  <c r="D1203" i="3"/>
  <c r="U1202" i="3"/>
  <c r="Y1202" i="3" s="1"/>
  <c r="S1202" i="3"/>
  <c r="N1202" i="3"/>
  <c r="M1202" i="3"/>
  <c r="L1202" i="3"/>
  <c r="K1202" i="3"/>
  <c r="J1202" i="3"/>
  <c r="I1202" i="3"/>
  <c r="H1202" i="3"/>
  <c r="G1202" i="3"/>
  <c r="F1202" i="3"/>
  <c r="D1202" i="3"/>
  <c r="U1201" i="3"/>
  <c r="Y1201" i="3" s="1"/>
  <c r="S1201" i="3"/>
  <c r="N1201" i="3"/>
  <c r="M1201" i="3"/>
  <c r="L1201" i="3"/>
  <c r="K1201" i="3"/>
  <c r="J1201" i="3"/>
  <c r="I1201" i="3"/>
  <c r="H1201" i="3"/>
  <c r="G1201" i="3"/>
  <c r="F1201" i="3"/>
  <c r="D1201" i="3"/>
  <c r="U1200" i="3"/>
  <c r="Y1200" i="3" s="1"/>
  <c r="S1200" i="3"/>
  <c r="N1200" i="3"/>
  <c r="M1200" i="3"/>
  <c r="L1200" i="3"/>
  <c r="K1200" i="3"/>
  <c r="J1200" i="3"/>
  <c r="I1200" i="3"/>
  <c r="H1200" i="3"/>
  <c r="G1200" i="3"/>
  <c r="F1200" i="3"/>
  <c r="D1200" i="3"/>
  <c r="U1199" i="3"/>
  <c r="Y1199" i="3" s="1"/>
  <c r="S1199" i="3"/>
  <c r="N1199" i="3"/>
  <c r="M1199" i="3"/>
  <c r="L1199" i="3"/>
  <c r="K1199" i="3"/>
  <c r="J1199" i="3"/>
  <c r="I1199" i="3"/>
  <c r="H1199" i="3"/>
  <c r="G1199" i="3"/>
  <c r="F1199" i="3"/>
  <c r="D1199" i="3"/>
  <c r="U1198" i="3"/>
  <c r="Y1198" i="3" s="1"/>
  <c r="S1198" i="3"/>
  <c r="N1198" i="3"/>
  <c r="M1198" i="3"/>
  <c r="L1198" i="3"/>
  <c r="K1198" i="3"/>
  <c r="J1198" i="3"/>
  <c r="I1198" i="3"/>
  <c r="H1198" i="3"/>
  <c r="G1198" i="3"/>
  <c r="F1198" i="3"/>
  <c r="D1198" i="3"/>
  <c r="U1197" i="3"/>
  <c r="Y1197" i="3" s="1"/>
  <c r="S1197" i="3"/>
  <c r="N1197" i="3"/>
  <c r="M1197" i="3"/>
  <c r="L1197" i="3"/>
  <c r="K1197" i="3"/>
  <c r="J1197" i="3"/>
  <c r="I1197" i="3"/>
  <c r="H1197" i="3"/>
  <c r="G1197" i="3"/>
  <c r="F1197" i="3"/>
  <c r="D1197" i="3"/>
  <c r="U1196" i="3"/>
  <c r="Y1196" i="3" s="1"/>
  <c r="S1196" i="3"/>
  <c r="N1196" i="3"/>
  <c r="M1196" i="3"/>
  <c r="L1196" i="3"/>
  <c r="K1196" i="3"/>
  <c r="J1196" i="3"/>
  <c r="I1196" i="3"/>
  <c r="H1196" i="3"/>
  <c r="G1196" i="3"/>
  <c r="F1196" i="3"/>
  <c r="D1196" i="3"/>
  <c r="U1195" i="3"/>
  <c r="Y1195" i="3" s="1"/>
  <c r="S1195" i="3"/>
  <c r="N1195" i="3"/>
  <c r="M1195" i="3"/>
  <c r="L1195" i="3"/>
  <c r="K1195" i="3"/>
  <c r="J1195" i="3"/>
  <c r="I1195" i="3"/>
  <c r="H1195" i="3"/>
  <c r="G1195" i="3"/>
  <c r="F1195" i="3"/>
  <c r="D1195" i="3"/>
  <c r="U1194" i="3"/>
  <c r="Y1194" i="3" s="1"/>
  <c r="S1194" i="3"/>
  <c r="N1194" i="3"/>
  <c r="M1194" i="3"/>
  <c r="L1194" i="3"/>
  <c r="K1194" i="3"/>
  <c r="J1194" i="3"/>
  <c r="I1194" i="3"/>
  <c r="H1194" i="3"/>
  <c r="G1194" i="3"/>
  <c r="F1194" i="3"/>
  <c r="D1194" i="3"/>
  <c r="U1193" i="3"/>
  <c r="Y1193" i="3" s="1"/>
  <c r="S1193" i="3"/>
  <c r="N1193" i="3"/>
  <c r="M1193" i="3"/>
  <c r="L1193" i="3"/>
  <c r="K1193" i="3"/>
  <c r="J1193" i="3"/>
  <c r="I1193" i="3"/>
  <c r="H1193" i="3"/>
  <c r="G1193" i="3"/>
  <c r="F1193" i="3"/>
  <c r="D1193" i="3"/>
  <c r="AA1195" i="3" a="1"/>
  <c r="AA1197" i="3" a="1"/>
  <c r="AA1194" i="3" a="1"/>
  <c r="AA1202" i="3" a="1"/>
  <c r="AA1201" i="3" a="1"/>
  <c r="AA1198" i="3" a="1"/>
  <c r="AA1193" i="3" a="1"/>
  <c r="AA1203" i="3" a="1"/>
  <c r="AA1199" i="3" a="1"/>
  <c r="AA1196" i="3" a="1"/>
  <c r="AA1200" i="3" a="1"/>
  <c r="AB789" i="1" a="1"/>
  <c r="AA1204" i="3" a="1"/>
  <c r="AB789" i="1" l="1"/>
  <c r="AA1194" i="3"/>
  <c r="AA1196" i="3"/>
  <c r="AA1201" i="3"/>
  <c r="AA1193" i="3"/>
  <c r="AA1200" i="3"/>
  <c r="AA1204" i="3"/>
  <c r="AA1197" i="3"/>
  <c r="AA1202" i="3"/>
  <c r="AA1199" i="3"/>
  <c r="AA1198" i="3"/>
  <c r="AA1203" i="3"/>
  <c r="AA1195" i="3"/>
  <c r="L600" i="1"/>
  <c r="Q15" i="10"/>
  <c r="U15" i="10"/>
  <c r="S15" i="10"/>
  <c r="T15" i="10" s="1"/>
  <c r="Q14" i="10"/>
  <c r="U1192" i="3"/>
  <c r="Y1192" i="3" s="1"/>
  <c r="S1192" i="3"/>
  <c r="N1192" i="3"/>
  <c r="M1192" i="3"/>
  <c r="L1192" i="3"/>
  <c r="K1192" i="3"/>
  <c r="J1192" i="3"/>
  <c r="I1192" i="3"/>
  <c r="H1192" i="3"/>
  <c r="G1192" i="3"/>
  <c r="F1192" i="3"/>
  <c r="D1192" i="3"/>
  <c r="U1191" i="3"/>
  <c r="Y1191" i="3" s="1"/>
  <c r="S1191" i="3"/>
  <c r="N1191" i="3"/>
  <c r="M1191" i="3"/>
  <c r="L1191" i="3"/>
  <c r="K1191" i="3"/>
  <c r="J1191" i="3"/>
  <c r="I1191" i="3"/>
  <c r="H1191" i="3"/>
  <c r="G1191" i="3"/>
  <c r="F1191" i="3"/>
  <c r="D1191" i="3"/>
  <c r="AA1192" i="3" a="1"/>
  <c r="AB284" i="1" a="1"/>
  <c r="AA1191" i="3" a="1"/>
  <c r="AB284" i="1" l="1"/>
  <c r="AA1192" i="3"/>
  <c r="AA1191" i="3"/>
  <c r="U1190" i="3"/>
  <c r="Y1190" i="3" s="1"/>
  <c r="S1190" i="3"/>
  <c r="N1190" i="3"/>
  <c r="M1190" i="3"/>
  <c r="L1190" i="3"/>
  <c r="K1190" i="3"/>
  <c r="J1190" i="3"/>
  <c r="I1190" i="3"/>
  <c r="H1190" i="3"/>
  <c r="G1190" i="3"/>
  <c r="F1190" i="3"/>
  <c r="D1190" i="3"/>
  <c r="U1189" i="3"/>
  <c r="Y1189" i="3" s="1"/>
  <c r="S1189" i="3"/>
  <c r="N1189" i="3"/>
  <c r="M1189" i="3"/>
  <c r="L1189" i="3"/>
  <c r="K1189" i="3"/>
  <c r="J1189" i="3"/>
  <c r="I1189" i="3"/>
  <c r="H1189" i="3"/>
  <c r="G1189" i="3"/>
  <c r="F1189" i="3"/>
  <c r="D1189" i="3"/>
  <c r="U1188" i="3"/>
  <c r="Y1188" i="3" s="1"/>
  <c r="S1188" i="3"/>
  <c r="N1188" i="3"/>
  <c r="M1188" i="3"/>
  <c r="L1188" i="3"/>
  <c r="K1188" i="3"/>
  <c r="J1188" i="3"/>
  <c r="I1188" i="3"/>
  <c r="H1188" i="3"/>
  <c r="G1188" i="3"/>
  <c r="F1188" i="3"/>
  <c r="D1188" i="3"/>
  <c r="U1187" i="3"/>
  <c r="Y1187" i="3" s="1"/>
  <c r="S1187" i="3"/>
  <c r="N1187" i="3"/>
  <c r="M1187" i="3"/>
  <c r="L1187" i="3"/>
  <c r="K1187" i="3"/>
  <c r="J1187" i="3"/>
  <c r="I1187" i="3"/>
  <c r="H1187" i="3"/>
  <c r="G1187" i="3"/>
  <c r="F1187" i="3"/>
  <c r="D1187" i="3"/>
  <c r="U1186" i="3"/>
  <c r="Y1186" i="3" s="1"/>
  <c r="S1186" i="3"/>
  <c r="N1186" i="3"/>
  <c r="M1186" i="3"/>
  <c r="L1186" i="3"/>
  <c r="K1186" i="3"/>
  <c r="J1186" i="3"/>
  <c r="I1186" i="3"/>
  <c r="H1186" i="3"/>
  <c r="G1186" i="3"/>
  <c r="F1186" i="3"/>
  <c r="D1186" i="3"/>
  <c r="U1185" i="3"/>
  <c r="Y1185" i="3" s="1"/>
  <c r="S1185" i="3"/>
  <c r="N1185" i="3"/>
  <c r="M1185" i="3"/>
  <c r="L1185" i="3"/>
  <c r="K1185" i="3"/>
  <c r="J1185" i="3"/>
  <c r="I1185" i="3"/>
  <c r="H1185" i="3"/>
  <c r="G1185" i="3"/>
  <c r="F1185" i="3"/>
  <c r="D1185" i="3"/>
  <c r="U1184" i="3"/>
  <c r="Y1184" i="3" s="1"/>
  <c r="S1184" i="3"/>
  <c r="N1184" i="3"/>
  <c r="M1184" i="3"/>
  <c r="L1184" i="3"/>
  <c r="K1184" i="3"/>
  <c r="J1184" i="3"/>
  <c r="I1184" i="3"/>
  <c r="H1184" i="3"/>
  <c r="G1184" i="3"/>
  <c r="F1184" i="3"/>
  <c r="D1184" i="3"/>
  <c r="U1183" i="3"/>
  <c r="Y1183" i="3" s="1"/>
  <c r="S1183" i="3"/>
  <c r="N1183" i="3"/>
  <c r="M1183" i="3"/>
  <c r="L1183" i="3"/>
  <c r="K1183" i="3"/>
  <c r="J1183" i="3"/>
  <c r="I1183" i="3"/>
  <c r="H1183" i="3"/>
  <c r="G1183" i="3"/>
  <c r="F1183" i="3"/>
  <c r="D1183" i="3"/>
  <c r="U1182" i="3"/>
  <c r="Y1182" i="3" s="1"/>
  <c r="S1182" i="3"/>
  <c r="N1182" i="3"/>
  <c r="M1182" i="3"/>
  <c r="L1182" i="3"/>
  <c r="K1182" i="3"/>
  <c r="J1182" i="3"/>
  <c r="I1182" i="3"/>
  <c r="H1182" i="3"/>
  <c r="G1182" i="3"/>
  <c r="F1182" i="3"/>
  <c r="D1182" i="3"/>
  <c r="U1181" i="3"/>
  <c r="Y1181" i="3" s="1"/>
  <c r="S1181" i="3"/>
  <c r="N1181" i="3"/>
  <c r="M1181" i="3"/>
  <c r="L1181" i="3"/>
  <c r="K1181" i="3"/>
  <c r="J1181" i="3"/>
  <c r="I1181" i="3"/>
  <c r="H1181" i="3"/>
  <c r="G1181" i="3"/>
  <c r="F1181" i="3"/>
  <c r="D1181" i="3"/>
  <c r="U1180" i="3"/>
  <c r="Y1180" i="3" s="1"/>
  <c r="S1180" i="3"/>
  <c r="N1180" i="3"/>
  <c r="M1180" i="3"/>
  <c r="L1180" i="3"/>
  <c r="K1180" i="3"/>
  <c r="J1180" i="3"/>
  <c r="I1180" i="3"/>
  <c r="H1180" i="3"/>
  <c r="G1180" i="3"/>
  <c r="F1180" i="3"/>
  <c r="D1180" i="3"/>
  <c r="U1179" i="3"/>
  <c r="Y1179" i="3" s="1"/>
  <c r="S1179" i="3"/>
  <c r="N1179" i="3"/>
  <c r="M1179" i="3"/>
  <c r="L1179" i="3"/>
  <c r="K1179" i="3"/>
  <c r="J1179" i="3"/>
  <c r="I1179" i="3"/>
  <c r="H1179" i="3"/>
  <c r="G1179" i="3"/>
  <c r="F1179" i="3"/>
  <c r="D1179" i="3"/>
  <c r="U1178" i="3"/>
  <c r="Y1178" i="3" s="1"/>
  <c r="S1178" i="3"/>
  <c r="N1178" i="3"/>
  <c r="M1178" i="3"/>
  <c r="L1178" i="3"/>
  <c r="K1178" i="3"/>
  <c r="J1178" i="3"/>
  <c r="I1178" i="3"/>
  <c r="H1178" i="3"/>
  <c r="G1178" i="3"/>
  <c r="F1178" i="3"/>
  <c r="D1178" i="3"/>
  <c r="U1177" i="3"/>
  <c r="Y1177" i="3" s="1"/>
  <c r="S1177" i="3"/>
  <c r="N1177" i="3"/>
  <c r="M1177" i="3"/>
  <c r="L1177" i="3"/>
  <c r="K1177" i="3"/>
  <c r="J1177" i="3"/>
  <c r="I1177" i="3"/>
  <c r="H1177" i="3"/>
  <c r="G1177" i="3"/>
  <c r="F1177" i="3"/>
  <c r="D1177" i="3"/>
  <c r="U1176" i="3"/>
  <c r="Y1176" i="3" s="1"/>
  <c r="S1176" i="3"/>
  <c r="M1176" i="3"/>
  <c r="L1176" i="3"/>
  <c r="K1176" i="3"/>
  <c r="J1176" i="3"/>
  <c r="I1176" i="3"/>
  <c r="H1176" i="3"/>
  <c r="G1176" i="3"/>
  <c r="F1176" i="3"/>
  <c r="D1176" i="3"/>
  <c r="U1175" i="3"/>
  <c r="Y1175" i="3" s="1"/>
  <c r="S1175" i="3"/>
  <c r="N1175" i="3"/>
  <c r="M1175" i="3"/>
  <c r="L1175" i="3"/>
  <c r="K1175" i="3"/>
  <c r="J1175" i="3"/>
  <c r="I1175" i="3"/>
  <c r="H1175" i="3"/>
  <c r="G1175" i="3"/>
  <c r="F1175" i="3"/>
  <c r="D1175" i="3"/>
  <c r="U1174" i="3"/>
  <c r="Y1174" i="3" s="1"/>
  <c r="S1174" i="3"/>
  <c r="N1174" i="3"/>
  <c r="M1174" i="3"/>
  <c r="L1174" i="3"/>
  <c r="K1174" i="3"/>
  <c r="J1174" i="3"/>
  <c r="I1174" i="3"/>
  <c r="H1174" i="3"/>
  <c r="G1174" i="3"/>
  <c r="F1174" i="3"/>
  <c r="D1174" i="3"/>
  <c r="U1173" i="3"/>
  <c r="Y1173" i="3" s="1"/>
  <c r="S1173" i="3"/>
  <c r="N1173" i="3"/>
  <c r="M1173" i="3"/>
  <c r="L1173" i="3"/>
  <c r="K1173" i="3"/>
  <c r="J1173" i="3"/>
  <c r="I1173" i="3"/>
  <c r="H1173" i="3"/>
  <c r="G1173" i="3"/>
  <c r="F1173" i="3"/>
  <c r="D1173" i="3"/>
  <c r="U1172" i="3"/>
  <c r="Y1172" i="3" s="1"/>
  <c r="S1172" i="3"/>
  <c r="N1172" i="3"/>
  <c r="M1172" i="3"/>
  <c r="L1172" i="3"/>
  <c r="K1172" i="3"/>
  <c r="J1172" i="3"/>
  <c r="I1172" i="3"/>
  <c r="H1172" i="3"/>
  <c r="G1172" i="3"/>
  <c r="F1172" i="3"/>
  <c r="D1172" i="3"/>
  <c r="U1171" i="3"/>
  <c r="Y1171" i="3" s="1"/>
  <c r="S1171" i="3"/>
  <c r="N1171" i="3"/>
  <c r="M1171" i="3"/>
  <c r="L1171" i="3"/>
  <c r="K1171" i="3"/>
  <c r="J1171" i="3"/>
  <c r="I1171" i="3"/>
  <c r="H1171" i="3"/>
  <c r="G1171" i="3"/>
  <c r="F1171" i="3"/>
  <c r="D1171" i="3"/>
  <c r="AA1172" i="3" a="1"/>
  <c r="AA1186" i="3" a="1"/>
  <c r="AA1188" i="3" a="1"/>
  <c r="AA1183" i="3" a="1"/>
  <c r="AA1178" i="3" a="1"/>
  <c r="AB158" i="1" a="1"/>
  <c r="AA1180" i="3" a="1"/>
  <c r="AA1179" i="3" a="1"/>
  <c r="AA1190" i="3" a="1"/>
  <c r="AA1175" i="3" a="1"/>
  <c r="AA1189" i="3" a="1"/>
  <c r="AB281" i="1" a="1"/>
  <c r="AA1177" i="3" a="1"/>
  <c r="AA1185" i="3" a="1"/>
  <c r="AA1176" i="3" a="1"/>
  <c r="AA1182" i="3" a="1"/>
  <c r="AA1181" i="3" a="1"/>
  <c r="AA1187" i="3" a="1"/>
  <c r="AA1171" i="3" a="1"/>
  <c r="AA1173" i="3" a="1"/>
  <c r="AA1174" i="3" a="1"/>
  <c r="AA1184" i="3" a="1"/>
  <c r="AB158" i="1" l="1"/>
  <c r="AB281" i="1"/>
  <c r="AA1178" i="3"/>
  <c r="AA1183" i="3"/>
  <c r="AA1188" i="3"/>
  <c r="AA1179" i="3"/>
  <c r="AA1189" i="3"/>
  <c r="AA1181" i="3"/>
  <c r="AA1186" i="3"/>
  <c r="AA1173" i="3"/>
  <c r="AA1175" i="3"/>
  <c r="AA1176" i="3"/>
  <c r="AA1184" i="3"/>
  <c r="AA1171" i="3"/>
  <c r="AA1174" i="3"/>
  <c r="AA1180" i="3"/>
  <c r="AA1185" i="3"/>
  <c r="AA1190" i="3"/>
  <c r="AA1172" i="3"/>
  <c r="AA1177" i="3"/>
  <c r="AA1182" i="3"/>
  <c r="AA1187" i="3"/>
  <c r="U1170" i="3"/>
  <c r="Y1170" i="3" s="1"/>
  <c r="S1170" i="3"/>
  <c r="N1170" i="3"/>
  <c r="M1170" i="3"/>
  <c r="L1170" i="3"/>
  <c r="K1170" i="3"/>
  <c r="J1170" i="3"/>
  <c r="I1170" i="3"/>
  <c r="H1170" i="3"/>
  <c r="G1170" i="3"/>
  <c r="F1170" i="3"/>
  <c r="D1170" i="3"/>
  <c r="L369" i="1"/>
  <c r="AB430" i="1" a="1"/>
  <c r="AA1170" i="3" a="1"/>
  <c r="N1212" i="3" l="1"/>
  <c r="AB430" i="1"/>
  <c r="AA1170" i="3"/>
  <c r="L302" i="1"/>
  <c r="N1227" i="3" l="1"/>
  <c r="N1300" i="3"/>
  <c r="U1169" i="3"/>
  <c r="Y1169" i="3" s="1"/>
  <c r="S1169" i="3"/>
  <c r="N1169" i="3"/>
  <c r="M1169" i="3"/>
  <c r="L1169" i="3"/>
  <c r="K1169" i="3"/>
  <c r="J1169" i="3"/>
  <c r="I1169" i="3"/>
  <c r="H1169" i="3"/>
  <c r="G1169" i="3"/>
  <c r="F1169" i="3"/>
  <c r="D1169" i="3"/>
  <c r="U1168" i="3"/>
  <c r="Y1168" i="3" s="1"/>
  <c r="S1168" i="3"/>
  <c r="N1168" i="3"/>
  <c r="M1168" i="3"/>
  <c r="L1168" i="3"/>
  <c r="K1168" i="3"/>
  <c r="J1168" i="3"/>
  <c r="I1168" i="3"/>
  <c r="H1168" i="3"/>
  <c r="G1168" i="3"/>
  <c r="F1168" i="3"/>
  <c r="D1168" i="3"/>
  <c r="AA1168" i="3" a="1"/>
  <c r="AA1169" i="3" a="1"/>
  <c r="AA1169" i="3" l="1"/>
  <c r="AA1168" i="3"/>
  <c r="U1167" i="3"/>
  <c r="Y1167" i="3" s="1"/>
  <c r="S1167" i="3"/>
  <c r="N1167" i="3"/>
  <c r="M1167" i="3"/>
  <c r="L1167" i="3"/>
  <c r="K1167" i="3"/>
  <c r="J1167" i="3"/>
  <c r="I1167" i="3"/>
  <c r="H1167" i="3"/>
  <c r="G1167" i="3"/>
  <c r="F1167" i="3"/>
  <c r="D1167" i="3"/>
  <c r="U1166" i="3"/>
  <c r="Y1166" i="3" s="1"/>
  <c r="S1166" i="3"/>
  <c r="N1166" i="3"/>
  <c r="M1166" i="3"/>
  <c r="L1166" i="3"/>
  <c r="K1166" i="3"/>
  <c r="J1166" i="3"/>
  <c r="I1166" i="3"/>
  <c r="H1166" i="3"/>
  <c r="G1166" i="3"/>
  <c r="F1166" i="3"/>
  <c r="D1166" i="3"/>
  <c r="AB685" i="1" a="1"/>
  <c r="AB845" i="1" a="1"/>
  <c r="AB290" i="1" a="1"/>
  <c r="AA1167" i="3" a="1"/>
  <c r="AB72" i="1" a="1"/>
  <c r="AB401" i="1" a="1"/>
  <c r="AB254" i="1" a="1"/>
  <c r="AB198" i="1" a="1"/>
  <c r="AB371" i="1" a="1"/>
  <c r="AB316" i="1" a="1"/>
  <c r="AB808" i="1" a="1"/>
  <c r="AB855" i="1" a="1"/>
  <c r="AB271" i="1" a="1"/>
  <c r="AA1166" i="3" a="1"/>
  <c r="AB353" i="1" a="1"/>
  <c r="AB230" i="1" a="1"/>
  <c r="AB774" i="1" a="1"/>
  <c r="AB654" i="1" a="1"/>
  <c r="AB297" i="1" a="1"/>
  <c r="AB608" i="1" a="1"/>
  <c r="AB577" i="1" a="1"/>
  <c r="AB297" i="1" l="1"/>
  <c r="AB271" i="1"/>
  <c r="AB608" i="1"/>
  <c r="AB577" i="1"/>
  <c r="AB654" i="1"/>
  <c r="AB808" i="1"/>
  <c r="AB685" i="1"/>
  <c r="AB845" i="1"/>
  <c r="AB774" i="1"/>
  <c r="AB353" i="1"/>
  <c r="AB72" i="1"/>
  <c r="AB230" i="1"/>
  <c r="AB254" i="1"/>
  <c r="AB316" i="1"/>
  <c r="AB290" i="1"/>
  <c r="AB401" i="1"/>
  <c r="AB371" i="1"/>
  <c r="AB855" i="1"/>
  <c r="AB198" i="1"/>
  <c r="AA1166" i="3"/>
  <c r="AA1167" i="3"/>
  <c r="U1165" i="3"/>
  <c r="Y1165" i="3" s="1"/>
  <c r="S1165" i="3"/>
  <c r="N1165" i="3"/>
  <c r="M1165" i="3"/>
  <c r="L1165" i="3"/>
  <c r="K1165" i="3"/>
  <c r="J1165" i="3"/>
  <c r="I1165" i="3"/>
  <c r="H1165" i="3"/>
  <c r="G1165" i="3"/>
  <c r="F1165" i="3"/>
  <c r="D1165" i="3"/>
  <c r="U1164" i="3"/>
  <c r="Y1164" i="3" s="1"/>
  <c r="S1164" i="3"/>
  <c r="N1164" i="3"/>
  <c r="M1164" i="3"/>
  <c r="L1164" i="3"/>
  <c r="K1164" i="3"/>
  <c r="J1164" i="3"/>
  <c r="I1164" i="3"/>
  <c r="H1164" i="3"/>
  <c r="G1164" i="3"/>
  <c r="F1164" i="3"/>
  <c r="D1164" i="3"/>
  <c r="U1163" i="3"/>
  <c r="Y1163" i="3" s="1"/>
  <c r="S1163" i="3"/>
  <c r="N1163" i="3"/>
  <c r="M1163" i="3"/>
  <c r="L1163" i="3"/>
  <c r="K1163" i="3"/>
  <c r="J1163" i="3"/>
  <c r="I1163" i="3"/>
  <c r="H1163" i="3"/>
  <c r="G1163" i="3"/>
  <c r="F1163" i="3"/>
  <c r="D1163" i="3"/>
  <c r="U1162" i="3"/>
  <c r="Y1162" i="3" s="1"/>
  <c r="S1162" i="3"/>
  <c r="N1162" i="3"/>
  <c r="M1162" i="3"/>
  <c r="L1162" i="3"/>
  <c r="K1162" i="3"/>
  <c r="J1162" i="3"/>
  <c r="I1162" i="3"/>
  <c r="H1162" i="3"/>
  <c r="G1162" i="3"/>
  <c r="F1162" i="3"/>
  <c r="D1162" i="3"/>
  <c r="U1161" i="3"/>
  <c r="Y1161" i="3" s="1"/>
  <c r="S1161" i="3"/>
  <c r="N1161" i="3"/>
  <c r="M1161" i="3"/>
  <c r="L1161" i="3"/>
  <c r="K1161" i="3"/>
  <c r="J1161" i="3"/>
  <c r="I1161" i="3"/>
  <c r="H1161" i="3"/>
  <c r="G1161" i="3"/>
  <c r="F1161" i="3"/>
  <c r="D1161" i="3"/>
  <c r="U1160" i="3"/>
  <c r="Y1160" i="3" s="1"/>
  <c r="S1160" i="3"/>
  <c r="N1160" i="3"/>
  <c r="M1160" i="3"/>
  <c r="L1160" i="3"/>
  <c r="K1160" i="3"/>
  <c r="J1160" i="3"/>
  <c r="I1160" i="3"/>
  <c r="H1160" i="3"/>
  <c r="G1160" i="3"/>
  <c r="F1160" i="3"/>
  <c r="D1160" i="3"/>
  <c r="U1159" i="3"/>
  <c r="Y1159" i="3" s="1"/>
  <c r="S1159" i="3"/>
  <c r="N1159" i="3"/>
  <c r="M1159" i="3"/>
  <c r="L1159" i="3"/>
  <c r="K1159" i="3"/>
  <c r="J1159" i="3"/>
  <c r="I1159" i="3"/>
  <c r="H1159" i="3"/>
  <c r="G1159" i="3"/>
  <c r="F1159" i="3"/>
  <c r="D1159" i="3"/>
  <c r="U1158" i="3"/>
  <c r="Y1158" i="3" s="1"/>
  <c r="S1158" i="3"/>
  <c r="N1158" i="3"/>
  <c r="M1158" i="3"/>
  <c r="L1158" i="3"/>
  <c r="K1158" i="3"/>
  <c r="J1158" i="3"/>
  <c r="I1158" i="3"/>
  <c r="H1158" i="3"/>
  <c r="G1158" i="3"/>
  <c r="F1158" i="3"/>
  <c r="D1158" i="3"/>
  <c r="U1157" i="3"/>
  <c r="Y1157" i="3" s="1"/>
  <c r="S1157" i="3"/>
  <c r="N1157" i="3"/>
  <c r="M1157" i="3"/>
  <c r="L1157" i="3"/>
  <c r="K1157" i="3"/>
  <c r="J1157" i="3"/>
  <c r="I1157" i="3"/>
  <c r="H1157" i="3"/>
  <c r="G1157" i="3"/>
  <c r="F1157" i="3"/>
  <c r="D1157" i="3"/>
  <c r="U1156" i="3"/>
  <c r="Y1156" i="3" s="1"/>
  <c r="S1156" i="3"/>
  <c r="N1156" i="3"/>
  <c r="M1156" i="3"/>
  <c r="L1156" i="3"/>
  <c r="K1156" i="3"/>
  <c r="J1156" i="3"/>
  <c r="I1156" i="3"/>
  <c r="H1156" i="3"/>
  <c r="G1156" i="3"/>
  <c r="F1156" i="3"/>
  <c r="D1156" i="3"/>
  <c r="U1155" i="3"/>
  <c r="Y1155" i="3" s="1"/>
  <c r="S1155" i="3"/>
  <c r="N1155" i="3"/>
  <c r="M1155" i="3"/>
  <c r="L1155" i="3"/>
  <c r="K1155" i="3"/>
  <c r="J1155" i="3"/>
  <c r="I1155" i="3"/>
  <c r="H1155" i="3"/>
  <c r="G1155" i="3"/>
  <c r="F1155" i="3"/>
  <c r="D1155" i="3"/>
  <c r="U1154" i="3"/>
  <c r="Y1154" i="3" s="1"/>
  <c r="S1154" i="3"/>
  <c r="N1154" i="3"/>
  <c r="M1154" i="3"/>
  <c r="L1154" i="3"/>
  <c r="K1154" i="3"/>
  <c r="J1154" i="3"/>
  <c r="I1154" i="3"/>
  <c r="H1154" i="3"/>
  <c r="G1154" i="3"/>
  <c r="F1154" i="3"/>
  <c r="D1154" i="3"/>
  <c r="U1153" i="3"/>
  <c r="Y1153" i="3" s="1"/>
  <c r="S1153" i="3"/>
  <c r="M1153" i="3"/>
  <c r="L1153" i="3"/>
  <c r="K1153" i="3"/>
  <c r="J1153" i="3"/>
  <c r="I1153" i="3"/>
  <c r="H1153" i="3"/>
  <c r="G1153" i="3"/>
  <c r="F1153" i="3"/>
  <c r="D1153" i="3"/>
  <c r="U1152" i="3"/>
  <c r="Y1152" i="3" s="1"/>
  <c r="S1152" i="3"/>
  <c r="N1152" i="3"/>
  <c r="M1152" i="3"/>
  <c r="L1152" i="3"/>
  <c r="K1152" i="3"/>
  <c r="J1152" i="3"/>
  <c r="I1152" i="3"/>
  <c r="H1152" i="3"/>
  <c r="G1152" i="3"/>
  <c r="F1152" i="3"/>
  <c r="D1152" i="3"/>
  <c r="U1151" i="3"/>
  <c r="Y1151" i="3" s="1"/>
  <c r="S1151" i="3"/>
  <c r="N1151" i="3"/>
  <c r="M1151" i="3"/>
  <c r="L1151" i="3"/>
  <c r="K1151" i="3"/>
  <c r="J1151" i="3"/>
  <c r="I1151" i="3"/>
  <c r="H1151" i="3"/>
  <c r="G1151" i="3"/>
  <c r="F1151" i="3"/>
  <c r="D1151" i="3"/>
  <c r="U1150" i="3"/>
  <c r="Y1150" i="3" s="1"/>
  <c r="S1150" i="3"/>
  <c r="N1150" i="3"/>
  <c r="M1150" i="3"/>
  <c r="L1150" i="3"/>
  <c r="K1150" i="3"/>
  <c r="J1150" i="3"/>
  <c r="I1150" i="3"/>
  <c r="H1150" i="3"/>
  <c r="G1150" i="3"/>
  <c r="F1150" i="3"/>
  <c r="D1150" i="3"/>
  <c r="U1149" i="3"/>
  <c r="Y1149" i="3" s="1"/>
  <c r="S1149" i="3"/>
  <c r="N1149" i="3"/>
  <c r="M1149" i="3"/>
  <c r="L1149" i="3"/>
  <c r="K1149" i="3"/>
  <c r="J1149" i="3"/>
  <c r="I1149" i="3"/>
  <c r="H1149" i="3"/>
  <c r="G1149" i="3"/>
  <c r="F1149" i="3"/>
  <c r="D1149" i="3"/>
  <c r="U1148" i="3"/>
  <c r="Y1148" i="3" s="1"/>
  <c r="S1148" i="3"/>
  <c r="N1148" i="3"/>
  <c r="M1148" i="3"/>
  <c r="L1148" i="3"/>
  <c r="K1148" i="3"/>
  <c r="J1148" i="3"/>
  <c r="I1148" i="3"/>
  <c r="H1148" i="3"/>
  <c r="G1148" i="3"/>
  <c r="F1148" i="3"/>
  <c r="D1148" i="3"/>
  <c r="H19" i="16"/>
  <c r="AA1161" i="3" a="1"/>
  <c r="AA1164" i="3" a="1"/>
  <c r="AA1163" i="3" a="1"/>
  <c r="AA1158" i="3" a="1"/>
  <c r="R19" i="16" a="1"/>
  <c r="AA1150" i="3" a="1"/>
  <c r="AA1148" i="3" a="1"/>
  <c r="AA1155" i="3" a="1"/>
  <c r="AA1159" i="3" a="1"/>
  <c r="AA1165" i="3" a="1"/>
  <c r="AA1162" i="3" a="1"/>
  <c r="AA1154" i="3" a="1"/>
  <c r="AA1152" i="3" a="1"/>
  <c r="AA1157" i="3" a="1"/>
  <c r="AA1156" i="3" a="1"/>
  <c r="AA1151" i="3" a="1"/>
  <c r="AA1153" i="3" a="1"/>
  <c r="AA1160" i="3" a="1"/>
  <c r="AA1149" i="3" a="1"/>
  <c r="AA1152" i="3" l="1"/>
  <c r="AA1149" i="3"/>
  <c r="AA1156" i="3"/>
  <c r="AA1161" i="3"/>
  <c r="AA1151" i="3"/>
  <c r="AA1162" i="3"/>
  <c r="AA1164" i="3"/>
  <c r="AA1159" i="3"/>
  <c r="AA1158" i="3"/>
  <c r="AA1150" i="3"/>
  <c r="AA1157" i="3"/>
  <c r="AA1154" i="3"/>
  <c r="AA1153" i="3"/>
  <c r="AA1163" i="3"/>
  <c r="AA1148" i="3"/>
  <c r="AA1155" i="3"/>
  <c r="AA1160" i="3"/>
  <c r="AA1165" i="3"/>
  <c r="R19" i="16"/>
  <c r="P14" i="10"/>
  <c r="U1147" i="3"/>
  <c r="Y1147" i="3" s="1"/>
  <c r="S1147" i="3"/>
  <c r="N1147" i="3"/>
  <c r="M1147" i="3"/>
  <c r="L1147" i="3"/>
  <c r="K1147" i="3"/>
  <c r="J1147" i="3"/>
  <c r="I1147" i="3"/>
  <c r="H1147" i="3"/>
  <c r="G1147" i="3"/>
  <c r="F1147" i="3"/>
  <c r="D1147" i="3"/>
  <c r="U1146" i="3"/>
  <c r="Y1146" i="3" s="1"/>
  <c r="S1146" i="3"/>
  <c r="M1146" i="3"/>
  <c r="L1146" i="3"/>
  <c r="K1146" i="3"/>
  <c r="J1146" i="3"/>
  <c r="I1146" i="3"/>
  <c r="H1146" i="3"/>
  <c r="G1146" i="3"/>
  <c r="F1146" i="3"/>
  <c r="D1146" i="3"/>
  <c r="U1145" i="3"/>
  <c r="Y1145" i="3" s="1"/>
  <c r="S1145" i="3"/>
  <c r="N1145" i="3"/>
  <c r="M1145" i="3"/>
  <c r="L1145" i="3"/>
  <c r="K1145" i="3"/>
  <c r="J1145" i="3"/>
  <c r="I1145" i="3"/>
  <c r="H1145" i="3"/>
  <c r="G1145" i="3"/>
  <c r="F1145" i="3"/>
  <c r="D1145" i="3"/>
  <c r="AA1146" i="3" a="1"/>
  <c r="AA1145" i="3" a="1"/>
  <c r="AA1147" i="3" a="1"/>
  <c r="AA1145" i="3" l="1"/>
  <c r="AA1146" i="3"/>
  <c r="AA1147" i="3"/>
  <c r="P15" i="10"/>
  <c r="R15" i="10" s="1"/>
  <c r="U1144" i="3"/>
  <c r="Y1144" i="3" s="1"/>
  <c r="S1144" i="3"/>
  <c r="N1144" i="3"/>
  <c r="M1144" i="3"/>
  <c r="L1144" i="3"/>
  <c r="K1144" i="3"/>
  <c r="J1144" i="3"/>
  <c r="I1144" i="3"/>
  <c r="H1144" i="3"/>
  <c r="G1144" i="3"/>
  <c r="F1144" i="3"/>
  <c r="D1144" i="3"/>
  <c r="U1143" i="3"/>
  <c r="Y1143" i="3" s="1"/>
  <c r="S1143" i="3"/>
  <c r="M1143" i="3"/>
  <c r="L1143" i="3"/>
  <c r="K1143" i="3"/>
  <c r="J1143" i="3"/>
  <c r="I1143" i="3"/>
  <c r="H1143" i="3"/>
  <c r="G1143" i="3"/>
  <c r="F1143" i="3"/>
  <c r="D1143" i="3"/>
  <c r="N1153" i="3"/>
  <c r="L798" i="1"/>
  <c r="U1142" i="3"/>
  <c r="Y1142" i="3" s="1"/>
  <c r="S1142" i="3"/>
  <c r="N1142" i="3"/>
  <c r="M1142" i="3"/>
  <c r="L1142" i="3"/>
  <c r="K1142" i="3"/>
  <c r="J1142" i="3"/>
  <c r="I1142" i="3"/>
  <c r="H1142" i="3"/>
  <c r="G1142" i="3"/>
  <c r="F1142" i="3"/>
  <c r="D1142" i="3"/>
  <c r="U1141" i="3"/>
  <c r="Y1141" i="3" s="1"/>
  <c r="S1141" i="3"/>
  <c r="N1141" i="3"/>
  <c r="M1141" i="3"/>
  <c r="L1141" i="3"/>
  <c r="K1141" i="3"/>
  <c r="J1141" i="3"/>
  <c r="I1141" i="3"/>
  <c r="H1141" i="3"/>
  <c r="G1141" i="3"/>
  <c r="F1141" i="3"/>
  <c r="D1141" i="3"/>
  <c r="U1140" i="3"/>
  <c r="Y1140" i="3" s="1"/>
  <c r="S1140" i="3"/>
  <c r="N1140" i="3"/>
  <c r="M1140" i="3"/>
  <c r="L1140" i="3"/>
  <c r="K1140" i="3"/>
  <c r="J1140" i="3"/>
  <c r="I1140" i="3"/>
  <c r="H1140" i="3"/>
  <c r="G1140" i="3"/>
  <c r="F1140" i="3"/>
  <c r="D1140" i="3"/>
  <c r="U1139" i="3"/>
  <c r="Y1139" i="3" s="1"/>
  <c r="S1139" i="3"/>
  <c r="N1139" i="3"/>
  <c r="M1139" i="3"/>
  <c r="L1139" i="3"/>
  <c r="K1139" i="3"/>
  <c r="J1139" i="3"/>
  <c r="I1139" i="3"/>
  <c r="H1139" i="3"/>
  <c r="G1139" i="3"/>
  <c r="F1139" i="3"/>
  <c r="D1139" i="3"/>
  <c r="U1138" i="3"/>
  <c r="Y1138" i="3" s="1"/>
  <c r="S1138" i="3"/>
  <c r="N1138" i="3"/>
  <c r="M1138" i="3"/>
  <c r="L1138" i="3"/>
  <c r="K1138" i="3"/>
  <c r="J1138" i="3"/>
  <c r="I1138" i="3"/>
  <c r="H1138" i="3"/>
  <c r="G1138" i="3"/>
  <c r="F1138" i="3"/>
  <c r="D1138" i="3"/>
  <c r="U1137" i="3"/>
  <c r="Y1137" i="3" s="1"/>
  <c r="S1137" i="3"/>
  <c r="N1137" i="3"/>
  <c r="M1137" i="3"/>
  <c r="L1137" i="3"/>
  <c r="K1137" i="3"/>
  <c r="J1137" i="3"/>
  <c r="I1137" i="3"/>
  <c r="H1137" i="3"/>
  <c r="G1137" i="3"/>
  <c r="F1137" i="3"/>
  <c r="D1137" i="3"/>
  <c r="U1136" i="3"/>
  <c r="Y1136" i="3" s="1"/>
  <c r="S1136" i="3"/>
  <c r="N1136" i="3"/>
  <c r="M1136" i="3"/>
  <c r="L1136" i="3"/>
  <c r="K1136" i="3"/>
  <c r="J1136" i="3"/>
  <c r="I1136" i="3"/>
  <c r="H1136" i="3"/>
  <c r="G1136" i="3"/>
  <c r="F1136" i="3"/>
  <c r="D1136" i="3"/>
  <c r="U1135" i="3"/>
  <c r="Y1135" i="3" s="1"/>
  <c r="S1135" i="3"/>
  <c r="M1135" i="3"/>
  <c r="L1135" i="3"/>
  <c r="K1135" i="3"/>
  <c r="J1135" i="3"/>
  <c r="I1135" i="3"/>
  <c r="H1135" i="3"/>
  <c r="G1135" i="3"/>
  <c r="F1135" i="3"/>
  <c r="D1135" i="3"/>
  <c r="U1134" i="3"/>
  <c r="Y1134" i="3" s="1"/>
  <c r="S1134" i="3"/>
  <c r="M1134" i="3"/>
  <c r="L1134" i="3"/>
  <c r="K1134" i="3"/>
  <c r="J1134" i="3"/>
  <c r="I1134" i="3"/>
  <c r="H1134" i="3"/>
  <c r="G1134" i="3"/>
  <c r="F1134" i="3"/>
  <c r="D1134" i="3"/>
  <c r="U1133" i="3"/>
  <c r="Y1133" i="3" s="1"/>
  <c r="S1133" i="3"/>
  <c r="N1133" i="3"/>
  <c r="M1133" i="3"/>
  <c r="L1133" i="3"/>
  <c r="K1133" i="3"/>
  <c r="J1133" i="3"/>
  <c r="I1133" i="3"/>
  <c r="H1133" i="3"/>
  <c r="G1133" i="3"/>
  <c r="F1133" i="3"/>
  <c r="D1133" i="3"/>
  <c r="U1132" i="3"/>
  <c r="Y1132" i="3" s="1"/>
  <c r="S1132" i="3"/>
  <c r="N1132" i="3"/>
  <c r="M1132" i="3"/>
  <c r="L1132" i="3"/>
  <c r="K1132" i="3"/>
  <c r="J1132" i="3"/>
  <c r="I1132" i="3"/>
  <c r="H1132" i="3"/>
  <c r="G1132" i="3"/>
  <c r="F1132" i="3"/>
  <c r="D1132" i="3"/>
  <c r="U1131" i="3"/>
  <c r="Y1131" i="3" s="1"/>
  <c r="S1131" i="3"/>
  <c r="N1131" i="3"/>
  <c r="M1131" i="3"/>
  <c r="L1131" i="3"/>
  <c r="K1131" i="3"/>
  <c r="J1131" i="3"/>
  <c r="I1131" i="3"/>
  <c r="H1131" i="3"/>
  <c r="G1131" i="3"/>
  <c r="F1131" i="3"/>
  <c r="D1131" i="3"/>
  <c r="AA1132" i="3" a="1"/>
  <c r="AA1143" i="3" a="1"/>
  <c r="AA1141" i="3" a="1"/>
  <c r="AA1131" i="3" a="1"/>
  <c r="AA1134" i="3" a="1"/>
  <c r="AA1137" i="3" a="1"/>
  <c r="AA1133" i="3" a="1"/>
  <c r="AA1144" i="3" a="1"/>
  <c r="AA1142" i="3" a="1"/>
  <c r="AA1139" i="3" a="1"/>
  <c r="AA1135" i="3" a="1"/>
  <c r="AB302" i="1" a="1"/>
  <c r="AA1136" i="3" a="1"/>
  <c r="AA1138" i="3" a="1"/>
  <c r="AA1140" i="3" a="1"/>
  <c r="AB302" i="1" l="1"/>
  <c r="AA1133" i="3"/>
  <c r="AA1138" i="3"/>
  <c r="AA1143" i="3"/>
  <c r="AA1132" i="3"/>
  <c r="AA1137" i="3"/>
  <c r="AA1142" i="3"/>
  <c r="AA1134" i="3"/>
  <c r="AA1135" i="3"/>
  <c r="AA1140" i="3"/>
  <c r="AA1139" i="3"/>
  <c r="AA1144" i="3"/>
  <c r="AA1131" i="3"/>
  <c r="AA1136" i="3"/>
  <c r="AA1141" i="3"/>
  <c r="P8" i="10"/>
  <c r="N1216" i="3"/>
  <c r="N1265" i="3"/>
  <c r="N1264" i="3"/>
  <c r="N1135" i="3"/>
  <c r="U1130" i="3"/>
  <c r="Y1130" i="3" s="1"/>
  <c r="S1130" i="3"/>
  <c r="M1130" i="3"/>
  <c r="L1130" i="3"/>
  <c r="K1130" i="3"/>
  <c r="J1130" i="3"/>
  <c r="I1130" i="3"/>
  <c r="H1130" i="3"/>
  <c r="G1130" i="3"/>
  <c r="F1130" i="3"/>
  <c r="D1130" i="3"/>
  <c r="AA1130" i="3" a="1"/>
  <c r="AA1130" i="3" l="1"/>
  <c r="U1129" i="3"/>
  <c r="Y1129" i="3" s="1"/>
  <c r="S1129" i="3"/>
  <c r="N1129" i="3"/>
  <c r="M1129" i="3"/>
  <c r="L1129" i="3"/>
  <c r="K1129" i="3"/>
  <c r="J1129" i="3"/>
  <c r="I1129" i="3"/>
  <c r="H1129" i="3"/>
  <c r="G1129" i="3"/>
  <c r="F1129" i="3"/>
  <c r="D1129" i="3"/>
  <c r="U1128" i="3"/>
  <c r="Y1128" i="3" s="1"/>
  <c r="S1128" i="3"/>
  <c r="N1128" i="3"/>
  <c r="M1128" i="3"/>
  <c r="L1128" i="3"/>
  <c r="K1128" i="3"/>
  <c r="J1128" i="3"/>
  <c r="I1128" i="3"/>
  <c r="H1128" i="3"/>
  <c r="G1128" i="3"/>
  <c r="F1128" i="3"/>
  <c r="D1128" i="3"/>
  <c r="U1127" i="3"/>
  <c r="Y1127" i="3" s="1"/>
  <c r="S1127" i="3"/>
  <c r="N1127" i="3"/>
  <c r="M1127" i="3"/>
  <c r="L1127" i="3"/>
  <c r="K1127" i="3"/>
  <c r="J1127" i="3"/>
  <c r="I1127" i="3"/>
  <c r="H1127" i="3"/>
  <c r="G1127" i="3"/>
  <c r="F1127" i="3"/>
  <c r="D1127" i="3"/>
  <c r="U1126" i="3"/>
  <c r="Y1126" i="3" s="1"/>
  <c r="S1126" i="3"/>
  <c r="N1126" i="3"/>
  <c r="M1126" i="3"/>
  <c r="L1126" i="3"/>
  <c r="K1126" i="3"/>
  <c r="J1126" i="3"/>
  <c r="I1126" i="3"/>
  <c r="H1126" i="3"/>
  <c r="G1126" i="3"/>
  <c r="F1126" i="3"/>
  <c r="D1126" i="3"/>
  <c r="U1125" i="3"/>
  <c r="Y1125" i="3" s="1"/>
  <c r="S1125" i="3"/>
  <c r="N1125" i="3"/>
  <c r="M1125" i="3"/>
  <c r="L1125" i="3"/>
  <c r="K1125" i="3"/>
  <c r="J1125" i="3"/>
  <c r="I1125" i="3"/>
  <c r="H1125" i="3"/>
  <c r="G1125" i="3"/>
  <c r="F1125" i="3"/>
  <c r="D1125" i="3"/>
  <c r="U1124" i="3"/>
  <c r="Y1124" i="3" s="1"/>
  <c r="S1124" i="3"/>
  <c r="N1124" i="3"/>
  <c r="M1124" i="3"/>
  <c r="L1124" i="3"/>
  <c r="K1124" i="3"/>
  <c r="J1124" i="3"/>
  <c r="I1124" i="3"/>
  <c r="H1124" i="3"/>
  <c r="G1124" i="3"/>
  <c r="F1124" i="3"/>
  <c r="D1124" i="3"/>
  <c r="U1123" i="3"/>
  <c r="Y1123" i="3" s="1"/>
  <c r="S1123" i="3"/>
  <c r="N1123" i="3"/>
  <c r="M1123" i="3"/>
  <c r="L1123" i="3"/>
  <c r="K1123" i="3"/>
  <c r="J1123" i="3"/>
  <c r="I1123" i="3"/>
  <c r="H1123" i="3"/>
  <c r="G1123" i="3"/>
  <c r="F1123" i="3"/>
  <c r="D1123" i="3"/>
  <c r="U1122" i="3"/>
  <c r="Y1122" i="3" s="1"/>
  <c r="S1122" i="3"/>
  <c r="N1122" i="3"/>
  <c r="M1122" i="3"/>
  <c r="L1122" i="3"/>
  <c r="K1122" i="3"/>
  <c r="J1122" i="3"/>
  <c r="I1122" i="3"/>
  <c r="H1122" i="3"/>
  <c r="G1122" i="3"/>
  <c r="F1122" i="3"/>
  <c r="D1122" i="3"/>
  <c r="U1121" i="3"/>
  <c r="Y1121" i="3" s="1"/>
  <c r="S1121" i="3"/>
  <c r="N1121" i="3"/>
  <c r="M1121" i="3"/>
  <c r="L1121" i="3"/>
  <c r="K1121" i="3"/>
  <c r="J1121" i="3"/>
  <c r="I1121" i="3"/>
  <c r="H1121" i="3"/>
  <c r="G1121" i="3"/>
  <c r="F1121" i="3"/>
  <c r="D1121" i="3"/>
  <c r="U1120" i="3"/>
  <c r="Y1120" i="3" s="1"/>
  <c r="S1120" i="3"/>
  <c r="N1120" i="3"/>
  <c r="M1120" i="3"/>
  <c r="L1120" i="3"/>
  <c r="K1120" i="3"/>
  <c r="J1120" i="3"/>
  <c r="I1120" i="3"/>
  <c r="H1120" i="3"/>
  <c r="G1120" i="3"/>
  <c r="F1120" i="3"/>
  <c r="D1120" i="3"/>
  <c r="U1119" i="3"/>
  <c r="Y1119" i="3" s="1"/>
  <c r="S1119" i="3"/>
  <c r="N1119" i="3"/>
  <c r="M1119" i="3"/>
  <c r="L1119" i="3"/>
  <c r="K1119" i="3"/>
  <c r="J1119" i="3"/>
  <c r="I1119" i="3"/>
  <c r="H1119" i="3"/>
  <c r="G1119" i="3"/>
  <c r="F1119" i="3"/>
  <c r="D1119" i="3"/>
  <c r="U1118" i="3"/>
  <c r="Y1118" i="3" s="1"/>
  <c r="S1118" i="3"/>
  <c r="N1118" i="3"/>
  <c r="M1118" i="3"/>
  <c r="L1118" i="3"/>
  <c r="K1118" i="3"/>
  <c r="J1118" i="3"/>
  <c r="I1118" i="3"/>
  <c r="H1118" i="3"/>
  <c r="G1118" i="3"/>
  <c r="F1118" i="3"/>
  <c r="D1118" i="3"/>
  <c r="U1117" i="3"/>
  <c r="Y1117" i="3" s="1"/>
  <c r="S1117" i="3"/>
  <c r="M1117" i="3"/>
  <c r="L1117" i="3"/>
  <c r="K1117" i="3"/>
  <c r="J1117" i="3"/>
  <c r="I1117" i="3"/>
  <c r="H1117" i="3"/>
  <c r="G1117" i="3"/>
  <c r="F1117" i="3"/>
  <c r="D1117" i="3"/>
  <c r="U1116" i="3"/>
  <c r="Y1116" i="3" s="1"/>
  <c r="S1116" i="3"/>
  <c r="N1116" i="3"/>
  <c r="M1116" i="3"/>
  <c r="L1116" i="3"/>
  <c r="K1116" i="3"/>
  <c r="J1116" i="3"/>
  <c r="I1116" i="3"/>
  <c r="H1116" i="3"/>
  <c r="G1116" i="3"/>
  <c r="F1116" i="3"/>
  <c r="D1116" i="3"/>
  <c r="S1110" i="3"/>
  <c r="S1111" i="3"/>
  <c r="S1112" i="3"/>
  <c r="S1113" i="3"/>
  <c r="S1114" i="3"/>
  <c r="S1115" i="3"/>
  <c r="U1115" i="3"/>
  <c r="Y1115" i="3" s="1"/>
  <c r="N1115" i="3"/>
  <c r="M1115" i="3"/>
  <c r="L1115" i="3"/>
  <c r="K1115" i="3"/>
  <c r="J1115" i="3"/>
  <c r="I1115" i="3"/>
  <c r="H1115" i="3"/>
  <c r="G1115" i="3"/>
  <c r="F1115" i="3"/>
  <c r="D1115" i="3"/>
  <c r="U1114" i="3"/>
  <c r="Y1114" i="3" s="1"/>
  <c r="N1114" i="3"/>
  <c r="M1114" i="3"/>
  <c r="L1114" i="3"/>
  <c r="K1114" i="3"/>
  <c r="J1114" i="3"/>
  <c r="I1114" i="3"/>
  <c r="H1114" i="3"/>
  <c r="G1114" i="3"/>
  <c r="F1114" i="3"/>
  <c r="D1114" i="3"/>
  <c r="U1113" i="3"/>
  <c r="Y1113" i="3" s="1"/>
  <c r="N1113" i="3"/>
  <c r="M1113" i="3"/>
  <c r="L1113" i="3"/>
  <c r="K1113" i="3"/>
  <c r="J1113" i="3"/>
  <c r="I1113" i="3"/>
  <c r="H1113" i="3"/>
  <c r="G1113" i="3"/>
  <c r="F1113" i="3"/>
  <c r="D1113" i="3"/>
  <c r="U1112" i="3"/>
  <c r="Y1112" i="3" s="1"/>
  <c r="N1112" i="3"/>
  <c r="M1112" i="3"/>
  <c r="L1112" i="3"/>
  <c r="K1112" i="3"/>
  <c r="J1112" i="3"/>
  <c r="I1112" i="3"/>
  <c r="H1112" i="3"/>
  <c r="G1112" i="3"/>
  <c r="F1112" i="3"/>
  <c r="D1112" i="3"/>
  <c r="U1111" i="3"/>
  <c r="Y1111" i="3" s="1"/>
  <c r="N1111" i="3"/>
  <c r="M1111" i="3"/>
  <c r="L1111" i="3"/>
  <c r="K1111" i="3"/>
  <c r="J1111" i="3"/>
  <c r="I1111" i="3"/>
  <c r="H1111" i="3"/>
  <c r="G1111" i="3"/>
  <c r="F1111" i="3"/>
  <c r="D1111" i="3"/>
  <c r="U1110" i="3"/>
  <c r="Y1110" i="3" s="1"/>
  <c r="N1110" i="3"/>
  <c r="M1110" i="3"/>
  <c r="L1110" i="3"/>
  <c r="K1110" i="3"/>
  <c r="J1110" i="3"/>
  <c r="I1110" i="3"/>
  <c r="H1110" i="3"/>
  <c r="G1110" i="3"/>
  <c r="F1110" i="3"/>
  <c r="D1110" i="3"/>
  <c r="AB741" i="1" a="1"/>
  <c r="AA1112" i="3" a="1"/>
  <c r="AA1129" i="3" a="1"/>
  <c r="AB496" i="1" a="1"/>
  <c r="AB233" i="1" a="1"/>
  <c r="AB543" i="1" a="1"/>
  <c r="AA1120" i="3" a="1"/>
  <c r="AB91" i="1" a="1"/>
  <c r="AB765" i="1" a="1"/>
  <c r="AA1117" i="3" a="1"/>
  <c r="AA1113" i="3" a="1"/>
  <c r="AA1124" i="3" a="1"/>
  <c r="AA1123" i="3" a="1"/>
  <c r="AB508" i="1" a="1"/>
  <c r="AA1125" i="3" a="1"/>
  <c r="AA1127" i="3" a="1"/>
  <c r="AA1128" i="3" a="1"/>
  <c r="AA1110" i="3" a="1"/>
  <c r="AA1111" i="3" a="1"/>
  <c r="AA1118" i="3" a="1"/>
  <c r="AA1119" i="3" a="1"/>
  <c r="AA1121" i="3" a="1"/>
  <c r="AA1126" i="3" a="1"/>
  <c r="AA1115" i="3" a="1"/>
  <c r="AA1122" i="3" a="1"/>
  <c r="AA1114" i="3" a="1"/>
  <c r="AA1116" i="3" a="1"/>
  <c r="AB233" i="1" l="1"/>
  <c r="AB508" i="1"/>
  <c r="AB765" i="1"/>
  <c r="AB91" i="1"/>
  <c r="AB543" i="1"/>
  <c r="AB496" i="1"/>
  <c r="AB741" i="1"/>
  <c r="AA1126" i="3"/>
  <c r="AA1116" i="3"/>
  <c r="AA1115" i="3"/>
  <c r="AA1121" i="3"/>
  <c r="AA1112" i="3"/>
  <c r="AA1114" i="3"/>
  <c r="AA1127" i="3"/>
  <c r="AA1113" i="3"/>
  <c r="AA1118" i="3"/>
  <c r="AA1125" i="3"/>
  <c r="AA1129" i="3"/>
  <c r="AA1111" i="3"/>
  <c r="AA1123" i="3"/>
  <c r="AA1128" i="3"/>
  <c r="AA1110" i="3"/>
  <c r="AA1120" i="3"/>
  <c r="AA1117" i="3"/>
  <c r="AA1122" i="3"/>
  <c r="AA1119" i="3"/>
  <c r="AA1124" i="3"/>
  <c r="U1109" i="3"/>
  <c r="Y1109" i="3" s="1"/>
  <c r="S1109" i="3"/>
  <c r="N1109" i="3"/>
  <c r="M1109" i="3"/>
  <c r="L1109" i="3"/>
  <c r="K1109" i="3"/>
  <c r="J1109" i="3"/>
  <c r="I1109" i="3"/>
  <c r="H1109" i="3"/>
  <c r="G1109" i="3"/>
  <c r="F1109" i="3"/>
  <c r="D1109" i="3"/>
  <c r="U1108" i="3"/>
  <c r="Y1108" i="3" s="1"/>
  <c r="S1108" i="3"/>
  <c r="N1108" i="3"/>
  <c r="M1108" i="3"/>
  <c r="L1108" i="3"/>
  <c r="K1108" i="3"/>
  <c r="J1108" i="3"/>
  <c r="I1108" i="3"/>
  <c r="H1108" i="3"/>
  <c r="G1108" i="3"/>
  <c r="F1108" i="3"/>
  <c r="D1108" i="3"/>
  <c r="U1107" i="3"/>
  <c r="Y1107" i="3" s="1"/>
  <c r="S1107" i="3"/>
  <c r="N1107" i="3"/>
  <c r="M1107" i="3"/>
  <c r="L1107" i="3"/>
  <c r="K1107" i="3"/>
  <c r="J1107" i="3"/>
  <c r="I1107" i="3"/>
  <c r="H1107" i="3"/>
  <c r="G1107" i="3"/>
  <c r="F1107" i="3"/>
  <c r="D1107" i="3"/>
  <c r="U1106" i="3"/>
  <c r="Y1106" i="3" s="1"/>
  <c r="S1106" i="3"/>
  <c r="N1106" i="3"/>
  <c r="M1106" i="3"/>
  <c r="L1106" i="3"/>
  <c r="K1106" i="3"/>
  <c r="J1106" i="3"/>
  <c r="I1106" i="3"/>
  <c r="H1106" i="3"/>
  <c r="G1106" i="3"/>
  <c r="F1106" i="3"/>
  <c r="D1106" i="3"/>
  <c r="S1104" i="3"/>
  <c r="S1105" i="3"/>
  <c r="U1105" i="3"/>
  <c r="Y1105" i="3" s="1"/>
  <c r="N1105" i="3"/>
  <c r="M1105" i="3"/>
  <c r="L1105" i="3"/>
  <c r="K1105" i="3"/>
  <c r="J1105" i="3"/>
  <c r="I1105" i="3"/>
  <c r="H1105" i="3"/>
  <c r="G1105" i="3"/>
  <c r="F1105" i="3"/>
  <c r="D1105" i="3"/>
  <c r="U1104" i="3"/>
  <c r="Y1104" i="3" s="1"/>
  <c r="N1104" i="3"/>
  <c r="M1104" i="3"/>
  <c r="L1104" i="3"/>
  <c r="K1104" i="3"/>
  <c r="J1104" i="3"/>
  <c r="I1104" i="3"/>
  <c r="H1104" i="3"/>
  <c r="G1104" i="3"/>
  <c r="F1104" i="3"/>
  <c r="D1104" i="3"/>
  <c r="AB805" i="1" a="1"/>
  <c r="AB370" i="1" a="1"/>
  <c r="AA1106" i="3" a="1"/>
  <c r="AA1109" i="3" a="1"/>
  <c r="AA1104" i="3" a="1"/>
  <c r="AA1108" i="3" a="1"/>
  <c r="AA1105" i="3" a="1"/>
  <c r="AA1107" i="3" a="1"/>
  <c r="AB800" i="1" a="1"/>
  <c r="AB800" i="1" l="1"/>
  <c r="AB805" i="1"/>
  <c r="AB370" i="1"/>
  <c r="AA1107" i="3"/>
  <c r="AA1105" i="3"/>
  <c r="AA1109" i="3"/>
  <c r="AA1106" i="3"/>
  <c r="AA1108" i="3"/>
  <c r="AA1104" i="3"/>
  <c r="AB259" i="1" a="1"/>
  <c r="AB259" i="1" l="1"/>
  <c r="S1096" i="3"/>
  <c r="U1096" i="3"/>
  <c r="Y1096" i="3" s="1"/>
  <c r="S1097" i="3"/>
  <c r="U1097" i="3"/>
  <c r="Y1097" i="3" s="1"/>
  <c r="S1098" i="3"/>
  <c r="U1098" i="3"/>
  <c r="Y1098" i="3" s="1"/>
  <c r="S1099" i="3"/>
  <c r="U1099" i="3"/>
  <c r="Y1099" i="3" s="1"/>
  <c r="S1100" i="3"/>
  <c r="U1100" i="3"/>
  <c r="Y1100" i="3" s="1"/>
  <c r="S1101" i="3"/>
  <c r="U1101" i="3"/>
  <c r="Y1101" i="3" s="1"/>
  <c r="S1102" i="3"/>
  <c r="U1102" i="3"/>
  <c r="Y1102" i="3" s="1"/>
  <c r="S1103" i="3"/>
  <c r="U1103" i="3"/>
  <c r="Y1103" i="3" s="1"/>
  <c r="D1096" i="3"/>
  <c r="D1097" i="3"/>
  <c r="D1098" i="3"/>
  <c r="D1099" i="3"/>
  <c r="D1100" i="3"/>
  <c r="D1101" i="3"/>
  <c r="D1102" i="3"/>
  <c r="D1103" i="3"/>
  <c r="F1096" i="3"/>
  <c r="F1097" i="3"/>
  <c r="F1098" i="3"/>
  <c r="F1099" i="3"/>
  <c r="F1100" i="3"/>
  <c r="F1101" i="3"/>
  <c r="F1102" i="3"/>
  <c r="F1103" i="3"/>
  <c r="G1096" i="3"/>
  <c r="G1097" i="3"/>
  <c r="G1098" i="3"/>
  <c r="G1099" i="3"/>
  <c r="G1100" i="3"/>
  <c r="G1101" i="3"/>
  <c r="G1102" i="3"/>
  <c r="G1103" i="3"/>
  <c r="H1096" i="3"/>
  <c r="H1097" i="3"/>
  <c r="H1098" i="3"/>
  <c r="H1099" i="3"/>
  <c r="H1100" i="3"/>
  <c r="H1101" i="3"/>
  <c r="H1102" i="3"/>
  <c r="H1103" i="3"/>
  <c r="I1096" i="3"/>
  <c r="I1097" i="3"/>
  <c r="I1098" i="3"/>
  <c r="I1099" i="3"/>
  <c r="I1100" i="3"/>
  <c r="I1101" i="3"/>
  <c r="I1102" i="3"/>
  <c r="I1103" i="3"/>
  <c r="J1096" i="3"/>
  <c r="J1097" i="3"/>
  <c r="J1098" i="3"/>
  <c r="J1099" i="3"/>
  <c r="J1100" i="3"/>
  <c r="J1101" i="3"/>
  <c r="J1102" i="3"/>
  <c r="J1103" i="3"/>
  <c r="K1096" i="3"/>
  <c r="K1097" i="3"/>
  <c r="K1098" i="3"/>
  <c r="K1099" i="3"/>
  <c r="K1100" i="3"/>
  <c r="K1101" i="3"/>
  <c r="K1102" i="3"/>
  <c r="K1103" i="3"/>
  <c r="L1096" i="3"/>
  <c r="L1097" i="3"/>
  <c r="L1098" i="3"/>
  <c r="L1099" i="3"/>
  <c r="L1100" i="3"/>
  <c r="L1101" i="3"/>
  <c r="L1102" i="3"/>
  <c r="L1103" i="3"/>
  <c r="M1096" i="3"/>
  <c r="M1097" i="3"/>
  <c r="M1098" i="3"/>
  <c r="M1099" i="3"/>
  <c r="M1100" i="3"/>
  <c r="M1101" i="3"/>
  <c r="M1102" i="3"/>
  <c r="M1103" i="3"/>
  <c r="N1096" i="3"/>
  <c r="N1097" i="3"/>
  <c r="N1098" i="3"/>
  <c r="N1099" i="3"/>
  <c r="N1100" i="3"/>
  <c r="N1101" i="3"/>
  <c r="N1102" i="3"/>
  <c r="N1103" i="3"/>
  <c r="U1095" i="3"/>
  <c r="Y1095" i="3" s="1"/>
  <c r="S1095" i="3"/>
  <c r="N1095" i="3"/>
  <c r="M1095" i="3"/>
  <c r="L1095" i="3"/>
  <c r="K1095" i="3"/>
  <c r="J1095" i="3"/>
  <c r="I1095" i="3"/>
  <c r="H1095" i="3"/>
  <c r="G1095" i="3"/>
  <c r="F1095" i="3"/>
  <c r="D1095" i="3"/>
  <c r="U1094" i="3"/>
  <c r="Y1094" i="3" s="1"/>
  <c r="S1094" i="3"/>
  <c r="N1094" i="3"/>
  <c r="M1094" i="3"/>
  <c r="L1094" i="3"/>
  <c r="K1094" i="3"/>
  <c r="J1094" i="3"/>
  <c r="I1094" i="3"/>
  <c r="H1094" i="3"/>
  <c r="G1094" i="3"/>
  <c r="F1094" i="3"/>
  <c r="D1094" i="3"/>
  <c r="U1093" i="3"/>
  <c r="Y1093" i="3" s="1"/>
  <c r="S1093" i="3"/>
  <c r="N1093" i="3"/>
  <c r="M1093" i="3"/>
  <c r="L1093" i="3"/>
  <c r="K1093" i="3"/>
  <c r="J1093" i="3"/>
  <c r="I1093" i="3"/>
  <c r="H1093" i="3"/>
  <c r="G1093" i="3"/>
  <c r="F1093" i="3"/>
  <c r="D1093" i="3"/>
  <c r="U1092" i="3"/>
  <c r="Y1092" i="3" s="1"/>
  <c r="S1092" i="3"/>
  <c r="N1092" i="3"/>
  <c r="M1092" i="3"/>
  <c r="L1092" i="3"/>
  <c r="K1092" i="3"/>
  <c r="J1092" i="3"/>
  <c r="I1092" i="3"/>
  <c r="H1092" i="3"/>
  <c r="G1092" i="3"/>
  <c r="F1092" i="3"/>
  <c r="D1092" i="3"/>
  <c r="U1091" i="3"/>
  <c r="Y1091" i="3" s="1"/>
  <c r="S1091" i="3"/>
  <c r="N1091" i="3"/>
  <c r="M1091" i="3"/>
  <c r="L1091" i="3"/>
  <c r="K1091" i="3"/>
  <c r="J1091" i="3"/>
  <c r="I1091" i="3"/>
  <c r="H1091" i="3"/>
  <c r="G1091" i="3"/>
  <c r="F1091" i="3"/>
  <c r="D1091" i="3"/>
  <c r="U1090" i="3"/>
  <c r="Y1090" i="3" s="1"/>
  <c r="S1090" i="3"/>
  <c r="N1090" i="3"/>
  <c r="M1090" i="3"/>
  <c r="L1090" i="3"/>
  <c r="K1090" i="3"/>
  <c r="J1090" i="3"/>
  <c r="I1090" i="3"/>
  <c r="H1090" i="3"/>
  <c r="G1090" i="3"/>
  <c r="F1090" i="3"/>
  <c r="D1090" i="3"/>
  <c r="U1089" i="3"/>
  <c r="Y1089" i="3" s="1"/>
  <c r="S1089" i="3"/>
  <c r="N1089" i="3"/>
  <c r="M1089" i="3"/>
  <c r="L1089" i="3"/>
  <c r="K1089" i="3"/>
  <c r="J1089" i="3"/>
  <c r="I1089" i="3"/>
  <c r="H1089" i="3"/>
  <c r="G1089" i="3"/>
  <c r="F1089" i="3"/>
  <c r="D1089" i="3"/>
  <c r="U1088" i="3"/>
  <c r="Y1088" i="3" s="1"/>
  <c r="S1088" i="3"/>
  <c r="N1088" i="3"/>
  <c r="M1088" i="3"/>
  <c r="L1088" i="3"/>
  <c r="K1088" i="3"/>
  <c r="J1088" i="3"/>
  <c r="I1088" i="3"/>
  <c r="H1088" i="3"/>
  <c r="G1088" i="3"/>
  <c r="F1088" i="3"/>
  <c r="D1088" i="3"/>
  <c r="U1087" i="3"/>
  <c r="Y1087" i="3" s="1"/>
  <c r="S1087" i="3"/>
  <c r="N1087" i="3"/>
  <c r="M1087" i="3"/>
  <c r="L1087" i="3"/>
  <c r="K1087" i="3"/>
  <c r="J1087" i="3"/>
  <c r="I1087" i="3"/>
  <c r="H1087" i="3"/>
  <c r="G1087" i="3"/>
  <c r="F1087" i="3"/>
  <c r="D1087" i="3"/>
  <c r="U1086" i="3"/>
  <c r="Y1086" i="3" s="1"/>
  <c r="S1086" i="3"/>
  <c r="N1086" i="3"/>
  <c r="M1086" i="3"/>
  <c r="L1086" i="3"/>
  <c r="K1086" i="3"/>
  <c r="J1086" i="3"/>
  <c r="I1086" i="3"/>
  <c r="H1086" i="3"/>
  <c r="G1086" i="3"/>
  <c r="F1086" i="3"/>
  <c r="D1086" i="3"/>
  <c r="U1085" i="3"/>
  <c r="Y1085" i="3" s="1"/>
  <c r="S1085" i="3"/>
  <c r="N1085" i="3"/>
  <c r="M1085" i="3"/>
  <c r="L1085" i="3"/>
  <c r="K1085" i="3"/>
  <c r="J1085" i="3"/>
  <c r="I1085" i="3"/>
  <c r="H1085" i="3"/>
  <c r="G1085" i="3"/>
  <c r="F1085" i="3"/>
  <c r="D1085" i="3"/>
  <c r="U1084" i="3"/>
  <c r="Y1084" i="3" s="1"/>
  <c r="S1084" i="3"/>
  <c r="N1084" i="3"/>
  <c r="M1084" i="3"/>
  <c r="L1084" i="3"/>
  <c r="K1084" i="3"/>
  <c r="J1084" i="3"/>
  <c r="I1084" i="3"/>
  <c r="H1084" i="3"/>
  <c r="G1084" i="3"/>
  <c r="F1084" i="3"/>
  <c r="D1084" i="3"/>
  <c r="U1083" i="3"/>
  <c r="Y1083" i="3" s="1"/>
  <c r="S1083" i="3"/>
  <c r="N1083" i="3"/>
  <c r="M1083" i="3"/>
  <c r="L1083" i="3"/>
  <c r="K1083" i="3"/>
  <c r="J1083" i="3"/>
  <c r="I1083" i="3"/>
  <c r="H1083" i="3"/>
  <c r="G1083" i="3"/>
  <c r="F1083" i="3"/>
  <c r="D1083" i="3"/>
  <c r="U1082" i="3"/>
  <c r="Y1082" i="3" s="1"/>
  <c r="S1082" i="3"/>
  <c r="M1082" i="3"/>
  <c r="L1082" i="3"/>
  <c r="K1082" i="3"/>
  <c r="J1082" i="3"/>
  <c r="I1082" i="3"/>
  <c r="H1082" i="3"/>
  <c r="G1082" i="3"/>
  <c r="F1082" i="3"/>
  <c r="D1082" i="3"/>
  <c r="U1081" i="3"/>
  <c r="Y1081" i="3" s="1"/>
  <c r="S1081" i="3"/>
  <c r="M1081" i="3"/>
  <c r="L1081" i="3"/>
  <c r="K1081" i="3"/>
  <c r="J1081" i="3"/>
  <c r="I1081" i="3"/>
  <c r="H1081" i="3"/>
  <c r="G1081" i="3"/>
  <c r="F1081" i="3"/>
  <c r="D1081" i="3"/>
  <c r="AB761" i="1" a="1"/>
  <c r="AB420" i="1" a="1"/>
  <c r="AA1084" i="3" a="1"/>
  <c r="AB335" i="1" a="1"/>
  <c r="AB505" i="1" a="1"/>
  <c r="AB288" i="1" a="1"/>
  <c r="AA1091" i="3" a="1"/>
  <c r="AB349" i="1" a="1"/>
  <c r="AA1083" i="3" a="1"/>
  <c r="AA1090" i="3" a="1"/>
  <c r="AB108" i="1" a="1"/>
  <c r="AA1098" i="3" a="1"/>
  <c r="AB658" i="1" a="1"/>
  <c r="AA1087" i="3" a="1"/>
  <c r="AB799" i="1" a="1"/>
  <c r="AB345" i="1" a="1"/>
  <c r="AB637" i="1" a="1"/>
  <c r="AA1095" i="3" a="1"/>
  <c r="AA1081" i="3" a="1"/>
  <c r="AA1094" i="3" a="1"/>
  <c r="AA1101" i="3" a="1"/>
  <c r="AA1100" i="3" a="1"/>
  <c r="AA1103" i="3" a="1"/>
  <c r="AB12" i="1" a="1"/>
  <c r="AA1086" i="3" a="1"/>
  <c r="AB96" i="1" a="1"/>
  <c r="AB528" i="1" a="1"/>
  <c r="AA1093" i="3" a="1"/>
  <c r="AB206" i="1" a="1"/>
  <c r="AB93" i="1" a="1"/>
  <c r="AB822" i="1" a="1"/>
  <c r="AB239" i="1" a="1"/>
  <c r="AA1096" i="3" a="1"/>
  <c r="AB806" i="1" a="1"/>
  <c r="AB426" i="1" a="1"/>
  <c r="AB189" i="1" a="1"/>
  <c r="AB7" i="1" a="1"/>
  <c r="AA1082" i="3" a="1"/>
  <c r="AB739" i="1" a="1"/>
  <c r="AB298" i="1" a="1"/>
  <c r="AA1085" i="3" a="1"/>
  <c r="AB37" i="1" a="1"/>
  <c r="AB663" i="1" a="1"/>
  <c r="AA1092" i="3" a="1"/>
  <c r="AA1088" i="3" a="1"/>
  <c r="AA1099" i="3" a="1"/>
  <c r="AB872" i="1" a="1"/>
  <c r="AA1102" i="3" a="1"/>
  <c r="AB199" i="1" a="1"/>
  <c r="AA1089" i="3" a="1"/>
  <c r="AB319" i="1" a="1"/>
  <c r="AA1097" i="3" a="1"/>
  <c r="AB625" i="1" a="1"/>
  <c r="AB15" i="1" a="1"/>
  <c r="AB864" i="1" a="1"/>
  <c r="AB625" i="1" l="1"/>
  <c r="AB426" i="1"/>
  <c r="AB199" i="1"/>
  <c r="AB637" i="1"/>
  <c r="AB872" i="1"/>
  <c r="AB37" i="1"/>
  <c r="AB739" i="1"/>
  <c r="AB822" i="1"/>
  <c r="AB505" i="1"/>
  <c r="AB420" i="1"/>
  <c r="AB345" i="1"/>
  <c r="AB298" i="1"/>
  <c r="AB528" i="1"/>
  <c r="AB96" i="1"/>
  <c r="AB189" i="1"/>
  <c r="AB12" i="1"/>
  <c r="AB288" i="1"/>
  <c r="AB7" i="1"/>
  <c r="AB663" i="1"/>
  <c r="AB658" i="1"/>
  <c r="AB108" i="1"/>
  <c r="AB319" i="1"/>
  <c r="AB761" i="1"/>
  <c r="AB799" i="1"/>
  <c r="AB806" i="1"/>
  <c r="AB239" i="1"/>
  <c r="AB864" i="1"/>
  <c r="AB206" i="1"/>
  <c r="AB349" i="1"/>
  <c r="AB93" i="1"/>
  <c r="AB15" i="1"/>
  <c r="AB335" i="1"/>
  <c r="AA1099" i="3"/>
  <c r="AA1082" i="3"/>
  <c r="AA1087" i="3"/>
  <c r="AA1098" i="3"/>
  <c r="AA1096" i="3"/>
  <c r="AA1102" i="3"/>
  <c r="AA1094" i="3"/>
  <c r="AA1097" i="3"/>
  <c r="AA1086" i="3"/>
  <c r="AA1091" i="3"/>
  <c r="AA1081" i="3"/>
  <c r="AA1103" i="3"/>
  <c r="AA1085" i="3"/>
  <c r="AA1090" i="3"/>
  <c r="AA1101" i="3"/>
  <c r="AA1092" i="3"/>
  <c r="AA1100" i="3"/>
  <c r="AA1084" i="3"/>
  <c r="AA1089" i="3"/>
  <c r="AA1083" i="3"/>
  <c r="AA1088" i="3"/>
  <c r="AA1093" i="3"/>
  <c r="AA1095" i="3"/>
  <c r="U1080" i="3"/>
  <c r="Y1080" i="3" s="1"/>
  <c r="S1080" i="3"/>
  <c r="M1080" i="3"/>
  <c r="L1080" i="3"/>
  <c r="K1080" i="3"/>
  <c r="J1080" i="3"/>
  <c r="I1080" i="3"/>
  <c r="H1080" i="3"/>
  <c r="G1080" i="3"/>
  <c r="F1080" i="3"/>
  <c r="D1080" i="3"/>
  <c r="U1079" i="3"/>
  <c r="Y1079" i="3" s="1"/>
  <c r="S1079" i="3"/>
  <c r="M1079" i="3"/>
  <c r="L1079" i="3"/>
  <c r="K1079" i="3"/>
  <c r="J1079" i="3"/>
  <c r="I1079" i="3"/>
  <c r="H1079" i="3"/>
  <c r="G1079" i="3"/>
  <c r="F1079" i="3"/>
  <c r="D1079" i="3"/>
  <c r="AA1079" i="3" a="1"/>
  <c r="AA1080" i="3" a="1"/>
  <c r="AA1080" i="3" l="1"/>
  <c r="AA1079" i="3"/>
  <c r="I895" i="3"/>
  <c r="N1146" i="3" l="1"/>
  <c r="S1078" i="3"/>
  <c r="S1077" i="3"/>
  <c r="S1076" i="3"/>
  <c r="S1075" i="3"/>
  <c r="S1074" i="3"/>
  <c r="S1073" i="3"/>
  <c r="S1072" i="3"/>
  <c r="S1071" i="3"/>
  <c r="S1070" i="3"/>
  <c r="S1069" i="3"/>
  <c r="D1078" i="3"/>
  <c r="F1078" i="3"/>
  <c r="G1078" i="3"/>
  <c r="H1078" i="3"/>
  <c r="I1078" i="3"/>
  <c r="J1078" i="3"/>
  <c r="K1078" i="3"/>
  <c r="L1078" i="3"/>
  <c r="M1078" i="3"/>
  <c r="N1078" i="3"/>
  <c r="U1078" i="3"/>
  <c r="Y1078" i="3" s="1"/>
  <c r="D1069" i="3"/>
  <c r="D1070" i="3"/>
  <c r="D1071" i="3"/>
  <c r="D1072" i="3"/>
  <c r="D1073" i="3"/>
  <c r="D1074" i="3"/>
  <c r="D1075" i="3"/>
  <c r="D1076" i="3"/>
  <c r="D1077" i="3"/>
  <c r="F1069" i="3"/>
  <c r="F1070" i="3"/>
  <c r="F1071" i="3"/>
  <c r="F1072" i="3"/>
  <c r="F1073" i="3"/>
  <c r="F1074" i="3"/>
  <c r="F1075" i="3"/>
  <c r="F1076" i="3"/>
  <c r="F1077" i="3"/>
  <c r="G1069" i="3"/>
  <c r="G1070" i="3"/>
  <c r="G1071" i="3"/>
  <c r="G1072" i="3"/>
  <c r="G1073" i="3"/>
  <c r="G1074" i="3"/>
  <c r="G1075" i="3"/>
  <c r="G1076" i="3"/>
  <c r="G1077" i="3"/>
  <c r="H1069" i="3"/>
  <c r="H1070" i="3"/>
  <c r="H1071" i="3"/>
  <c r="H1072" i="3"/>
  <c r="H1073" i="3"/>
  <c r="H1074" i="3"/>
  <c r="H1075" i="3"/>
  <c r="H1076" i="3"/>
  <c r="H1077" i="3"/>
  <c r="I1069" i="3"/>
  <c r="I1070" i="3"/>
  <c r="I1071" i="3"/>
  <c r="I1072" i="3"/>
  <c r="I1073" i="3"/>
  <c r="I1074" i="3"/>
  <c r="I1075" i="3"/>
  <c r="I1076" i="3"/>
  <c r="I1077" i="3"/>
  <c r="J1069" i="3"/>
  <c r="J1070" i="3"/>
  <c r="J1071" i="3"/>
  <c r="J1072" i="3"/>
  <c r="J1073" i="3"/>
  <c r="J1074" i="3"/>
  <c r="J1075" i="3"/>
  <c r="J1076" i="3"/>
  <c r="J1077" i="3"/>
  <c r="K1069" i="3"/>
  <c r="K1070" i="3"/>
  <c r="K1071" i="3"/>
  <c r="K1072" i="3"/>
  <c r="K1073" i="3"/>
  <c r="K1074" i="3"/>
  <c r="K1075" i="3"/>
  <c r="K1076" i="3"/>
  <c r="K1077" i="3"/>
  <c r="L1069" i="3"/>
  <c r="L1070" i="3"/>
  <c r="L1071" i="3"/>
  <c r="L1072" i="3"/>
  <c r="L1073" i="3"/>
  <c r="L1074" i="3"/>
  <c r="L1075" i="3"/>
  <c r="L1076" i="3"/>
  <c r="L1077" i="3"/>
  <c r="M1069" i="3"/>
  <c r="M1070" i="3"/>
  <c r="M1071" i="3"/>
  <c r="M1072" i="3"/>
  <c r="M1073" i="3"/>
  <c r="M1074" i="3"/>
  <c r="M1075" i="3"/>
  <c r="M1076" i="3"/>
  <c r="M1077" i="3"/>
  <c r="N1069" i="3"/>
  <c r="N1070" i="3"/>
  <c r="N1071" i="3"/>
  <c r="N1072" i="3"/>
  <c r="N1073" i="3"/>
  <c r="N1074" i="3"/>
  <c r="N1075" i="3"/>
  <c r="N1076" i="3"/>
  <c r="N1077" i="3"/>
  <c r="U1069" i="3"/>
  <c r="Y1069" i="3" s="1"/>
  <c r="U1070" i="3"/>
  <c r="Y1070" i="3" s="1"/>
  <c r="U1071" i="3"/>
  <c r="Y1071" i="3" s="1"/>
  <c r="U1072" i="3"/>
  <c r="Y1072" i="3" s="1"/>
  <c r="U1073" i="3"/>
  <c r="Y1073" i="3" s="1"/>
  <c r="U1074" i="3"/>
  <c r="Y1074" i="3" s="1"/>
  <c r="U1075" i="3"/>
  <c r="Y1075" i="3" s="1"/>
  <c r="U1076" i="3"/>
  <c r="Y1076" i="3" s="1"/>
  <c r="U1077" i="3"/>
  <c r="Y1077" i="3" s="1"/>
  <c r="AA1078" i="3" a="1"/>
  <c r="AA1073" i="3" a="1"/>
  <c r="AA1072" i="3" a="1"/>
  <c r="AA1075" i="3" a="1"/>
  <c r="AA1076" i="3" a="1"/>
  <c r="AA1069" i="3" a="1"/>
  <c r="AA1070" i="3" a="1"/>
  <c r="AA1071" i="3" a="1"/>
  <c r="AA1074" i="3" a="1"/>
  <c r="AA1077" i="3" a="1"/>
  <c r="AA1076" i="3" l="1"/>
  <c r="AA1073" i="3"/>
  <c r="AA1072" i="3"/>
  <c r="AA1074" i="3"/>
  <c r="AA1069" i="3"/>
  <c r="AA1078" i="3"/>
  <c r="AA1075" i="3"/>
  <c r="AA1071" i="3"/>
  <c r="AA1070" i="3"/>
  <c r="AA1077" i="3"/>
  <c r="AB883" i="1" a="1"/>
  <c r="AB780" i="1" a="1"/>
  <c r="AB758" i="1" a="1"/>
  <c r="AB157" i="1" a="1"/>
  <c r="AB781" i="1" a="1"/>
  <c r="AB630" i="1" a="1"/>
  <c r="AB346" i="1" a="1"/>
  <c r="AB630" i="1" l="1"/>
  <c r="AB883" i="1"/>
  <c r="AB346" i="1"/>
  <c r="AB780" i="1"/>
  <c r="AB758" i="1"/>
  <c r="AB781" i="1"/>
  <c r="AB157" i="1"/>
  <c r="AB856" i="1" a="1"/>
  <c r="AB112" i="1" a="1"/>
  <c r="AB594" i="1" a="1"/>
  <c r="AB586" i="1" a="1"/>
  <c r="AB856" i="1" l="1"/>
  <c r="AB112" i="1"/>
  <c r="AB586" i="1"/>
  <c r="AB594" i="1"/>
  <c r="U1068" i="3"/>
  <c r="Y1068" i="3" s="1"/>
  <c r="S1068" i="3"/>
  <c r="M1068" i="3"/>
  <c r="L1068" i="3"/>
  <c r="K1068" i="3"/>
  <c r="J1068" i="3"/>
  <c r="I1068" i="3"/>
  <c r="H1068" i="3"/>
  <c r="G1068" i="3"/>
  <c r="F1068" i="3"/>
  <c r="D1068" i="3"/>
  <c r="U1067" i="3"/>
  <c r="Y1067" i="3" s="1"/>
  <c r="S1067" i="3"/>
  <c r="M1067" i="3"/>
  <c r="L1067" i="3"/>
  <c r="K1067" i="3"/>
  <c r="J1067" i="3"/>
  <c r="I1067" i="3"/>
  <c r="H1067" i="3"/>
  <c r="G1067" i="3"/>
  <c r="F1067" i="3"/>
  <c r="D1067" i="3"/>
  <c r="U1066" i="3"/>
  <c r="Y1066" i="3" s="1"/>
  <c r="S1066" i="3"/>
  <c r="N1066" i="3"/>
  <c r="M1066" i="3"/>
  <c r="L1066" i="3"/>
  <c r="K1066" i="3"/>
  <c r="J1066" i="3"/>
  <c r="I1066" i="3"/>
  <c r="H1066" i="3"/>
  <c r="G1066" i="3"/>
  <c r="F1066" i="3"/>
  <c r="D1066" i="3"/>
  <c r="U1065" i="3"/>
  <c r="Y1065" i="3" s="1"/>
  <c r="S1065" i="3"/>
  <c r="N1065" i="3"/>
  <c r="M1065" i="3"/>
  <c r="L1065" i="3"/>
  <c r="K1065" i="3"/>
  <c r="J1065" i="3"/>
  <c r="I1065" i="3"/>
  <c r="H1065" i="3"/>
  <c r="G1065" i="3"/>
  <c r="F1065" i="3"/>
  <c r="D1065" i="3"/>
  <c r="U1064" i="3"/>
  <c r="Y1064" i="3" s="1"/>
  <c r="S1064" i="3"/>
  <c r="N1064" i="3"/>
  <c r="M1064" i="3"/>
  <c r="L1064" i="3"/>
  <c r="K1064" i="3"/>
  <c r="J1064" i="3"/>
  <c r="I1064" i="3"/>
  <c r="H1064" i="3"/>
  <c r="G1064" i="3"/>
  <c r="F1064" i="3"/>
  <c r="D1064" i="3"/>
  <c r="U1063" i="3"/>
  <c r="Y1063" i="3" s="1"/>
  <c r="S1063" i="3"/>
  <c r="N1063" i="3"/>
  <c r="M1063" i="3"/>
  <c r="L1063" i="3"/>
  <c r="K1063" i="3"/>
  <c r="J1063" i="3"/>
  <c r="I1063" i="3"/>
  <c r="H1063" i="3"/>
  <c r="G1063" i="3"/>
  <c r="F1063" i="3"/>
  <c r="D1063" i="3"/>
  <c r="AA1066" i="3" a="1"/>
  <c r="AA1068" i="3" a="1"/>
  <c r="AA1063" i="3" a="1"/>
  <c r="AA1065" i="3" a="1"/>
  <c r="AA1067" i="3" a="1"/>
  <c r="AA1064" i="3" a="1"/>
  <c r="AA1067" i="3" l="1"/>
  <c r="AA1064" i="3"/>
  <c r="AA1068" i="3"/>
  <c r="AA1066" i="3"/>
  <c r="AA1063" i="3"/>
  <c r="AA1065" i="3"/>
  <c r="U1062" i="3"/>
  <c r="Y1062" i="3" s="1"/>
  <c r="S1062" i="3"/>
  <c r="N1062" i="3"/>
  <c r="M1062" i="3"/>
  <c r="L1062" i="3"/>
  <c r="K1062" i="3"/>
  <c r="J1062" i="3"/>
  <c r="I1062" i="3"/>
  <c r="H1062" i="3"/>
  <c r="G1062" i="3"/>
  <c r="F1062" i="3"/>
  <c r="D1062" i="3"/>
  <c r="U1061" i="3"/>
  <c r="Y1061" i="3" s="1"/>
  <c r="S1061" i="3"/>
  <c r="N1061" i="3"/>
  <c r="M1061" i="3"/>
  <c r="L1061" i="3"/>
  <c r="K1061" i="3"/>
  <c r="J1061" i="3"/>
  <c r="I1061" i="3"/>
  <c r="H1061" i="3"/>
  <c r="G1061" i="3"/>
  <c r="F1061" i="3"/>
  <c r="D1061" i="3"/>
  <c r="AB369" i="1" a="1"/>
  <c r="AB156" i="1" a="1"/>
  <c r="AB515" i="1" a="1"/>
  <c r="AA1061" i="3" a="1"/>
  <c r="AA1062" i="3" a="1"/>
  <c r="AB572" i="1" a="1"/>
  <c r="AB572" i="1" l="1"/>
  <c r="AB156" i="1"/>
  <c r="AB369" i="1"/>
  <c r="AB515" i="1"/>
  <c r="AA1062" i="3"/>
  <c r="AA1061" i="3"/>
  <c r="U1060" i="3" l="1"/>
  <c r="Y1060" i="3" s="1"/>
  <c r="S1060" i="3"/>
  <c r="M1060" i="3"/>
  <c r="L1060" i="3"/>
  <c r="K1060" i="3"/>
  <c r="J1060" i="3"/>
  <c r="I1060" i="3"/>
  <c r="H1060" i="3"/>
  <c r="G1060" i="3"/>
  <c r="F1060" i="3"/>
  <c r="D1060" i="3"/>
  <c r="AA1060" i="3" a="1"/>
  <c r="AA1060" i="3" l="1"/>
  <c r="AB707" i="1" a="1"/>
  <c r="AB707" i="1" l="1"/>
  <c r="S1050" i="3"/>
  <c r="S1051" i="3"/>
  <c r="S1052" i="3"/>
  <c r="S1053" i="3"/>
  <c r="S1054" i="3"/>
  <c r="S1055" i="3"/>
  <c r="S1056" i="3"/>
  <c r="S1057" i="3"/>
  <c r="S1058" i="3"/>
  <c r="S1059" i="3"/>
  <c r="D1059" i="3"/>
  <c r="F1059" i="3"/>
  <c r="G1059" i="3"/>
  <c r="H1059" i="3"/>
  <c r="I1059" i="3"/>
  <c r="J1059" i="3"/>
  <c r="K1059" i="3"/>
  <c r="L1059" i="3"/>
  <c r="M1059" i="3"/>
  <c r="N1059" i="3"/>
  <c r="U1059" i="3"/>
  <c r="Y1059" i="3" s="1"/>
  <c r="D1050" i="3"/>
  <c r="D1051" i="3"/>
  <c r="D1052" i="3"/>
  <c r="D1053" i="3"/>
  <c r="D1054" i="3"/>
  <c r="D1055" i="3"/>
  <c r="D1056" i="3"/>
  <c r="D1057" i="3"/>
  <c r="D1058" i="3"/>
  <c r="F1050" i="3"/>
  <c r="F1051" i="3"/>
  <c r="F1052" i="3"/>
  <c r="F1053" i="3"/>
  <c r="F1054" i="3"/>
  <c r="F1055" i="3"/>
  <c r="F1056" i="3"/>
  <c r="F1057" i="3"/>
  <c r="F1058" i="3"/>
  <c r="G1050" i="3"/>
  <c r="G1051" i="3"/>
  <c r="G1052" i="3"/>
  <c r="G1053" i="3"/>
  <c r="G1054" i="3"/>
  <c r="G1055" i="3"/>
  <c r="G1056" i="3"/>
  <c r="G1057" i="3"/>
  <c r="G1058" i="3"/>
  <c r="H1050" i="3"/>
  <c r="H1051" i="3"/>
  <c r="H1052" i="3"/>
  <c r="H1053" i="3"/>
  <c r="H1054" i="3"/>
  <c r="H1055" i="3"/>
  <c r="H1056" i="3"/>
  <c r="H1057" i="3"/>
  <c r="H1058" i="3"/>
  <c r="I1050" i="3"/>
  <c r="I1051" i="3"/>
  <c r="I1052" i="3"/>
  <c r="I1053" i="3"/>
  <c r="I1054" i="3"/>
  <c r="I1055" i="3"/>
  <c r="I1056" i="3"/>
  <c r="I1057" i="3"/>
  <c r="I1058" i="3"/>
  <c r="J1050" i="3"/>
  <c r="J1051" i="3"/>
  <c r="J1052" i="3"/>
  <c r="J1053" i="3"/>
  <c r="J1054" i="3"/>
  <c r="J1055" i="3"/>
  <c r="J1056" i="3"/>
  <c r="J1057" i="3"/>
  <c r="J1058" i="3"/>
  <c r="K1050" i="3"/>
  <c r="K1051" i="3"/>
  <c r="K1052" i="3"/>
  <c r="K1053" i="3"/>
  <c r="K1054" i="3"/>
  <c r="K1055" i="3"/>
  <c r="K1056" i="3"/>
  <c r="K1057" i="3"/>
  <c r="K1058" i="3"/>
  <c r="L1050" i="3"/>
  <c r="L1051" i="3"/>
  <c r="L1052" i="3"/>
  <c r="L1053" i="3"/>
  <c r="L1054" i="3"/>
  <c r="L1055" i="3"/>
  <c r="L1056" i="3"/>
  <c r="L1057" i="3"/>
  <c r="L1058" i="3"/>
  <c r="M1050" i="3"/>
  <c r="M1051" i="3"/>
  <c r="M1052" i="3"/>
  <c r="M1053" i="3"/>
  <c r="M1054" i="3"/>
  <c r="M1055" i="3"/>
  <c r="M1056" i="3"/>
  <c r="M1057" i="3"/>
  <c r="M1058" i="3"/>
  <c r="N1050" i="3"/>
  <c r="N1051" i="3"/>
  <c r="N1052" i="3"/>
  <c r="N1053" i="3"/>
  <c r="N1054" i="3"/>
  <c r="N1055" i="3"/>
  <c r="N1056" i="3"/>
  <c r="N1057" i="3"/>
  <c r="N1058" i="3"/>
  <c r="U1050" i="3"/>
  <c r="Y1050" i="3" s="1"/>
  <c r="U1051" i="3"/>
  <c r="Y1051" i="3" s="1"/>
  <c r="U1052" i="3"/>
  <c r="Y1052" i="3" s="1"/>
  <c r="U1053" i="3"/>
  <c r="Y1053" i="3" s="1"/>
  <c r="U1054" i="3"/>
  <c r="Y1054" i="3" s="1"/>
  <c r="U1055" i="3"/>
  <c r="Y1055" i="3" s="1"/>
  <c r="U1056" i="3"/>
  <c r="Y1056" i="3" s="1"/>
  <c r="U1057" i="3"/>
  <c r="Y1057" i="3" s="1"/>
  <c r="U1058" i="3"/>
  <c r="Y1058" i="3" s="1"/>
  <c r="S1046" i="3"/>
  <c r="S1047" i="3"/>
  <c r="S1048" i="3"/>
  <c r="S1049" i="3"/>
  <c r="D1046" i="3"/>
  <c r="D1047" i="3"/>
  <c r="D1048" i="3"/>
  <c r="D1049" i="3"/>
  <c r="F1046" i="3"/>
  <c r="F1047" i="3"/>
  <c r="F1048" i="3"/>
  <c r="F1049" i="3"/>
  <c r="G1046" i="3"/>
  <c r="G1047" i="3"/>
  <c r="G1048" i="3"/>
  <c r="G1049" i="3"/>
  <c r="H1046" i="3"/>
  <c r="H1047" i="3"/>
  <c r="H1048" i="3"/>
  <c r="H1049" i="3"/>
  <c r="I1046" i="3"/>
  <c r="I1047" i="3"/>
  <c r="I1048" i="3"/>
  <c r="I1049" i="3"/>
  <c r="J1046" i="3"/>
  <c r="J1047" i="3"/>
  <c r="J1048" i="3"/>
  <c r="J1049" i="3"/>
  <c r="K1046" i="3"/>
  <c r="K1047" i="3"/>
  <c r="K1048" i="3"/>
  <c r="K1049" i="3"/>
  <c r="L1046" i="3"/>
  <c r="L1047" i="3"/>
  <c r="L1048" i="3"/>
  <c r="L1049" i="3"/>
  <c r="M1046" i="3"/>
  <c r="M1047" i="3"/>
  <c r="M1048" i="3"/>
  <c r="M1049" i="3"/>
  <c r="N1046" i="3"/>
  <c r="N1047" i="3"/>
  <c r="N1048" i="3"/>
  <c r="N1049" i="3"/>
  <c r="U1046" i="3"/>
  <c r="Y1046" i="3" s="1"/>
  <c r="U1047" i="3"/>
  <c r="Y1047" i="3" s="1"/>
  <c r="U1048" i="3"/>
  <c r="Y1048" i="3" s="1"/>
  <c r="U1049" i="3"/>
  <c r="Y1049" i="3" s="1"/>
  <c r="AA1054" i="3" a="1"/>
  <c r="AA1050" i="3" a="1"/>
  <c r="AA1056" i="3" a="1"/>
  <c r="AB421" i="1" a="1"/>
  <c r="AA1055" i="3" a="1"/>
  <c r="AA1047" i="3" a="1"/>
  <c r="AA1059" i="3" a="1"/>
  <c r="AA1051" i="3" a="1"/>
  <c r="AB248" i="1" a="1"/>
  <c r="AA1053" i="3" a="1"/>
  <c r="AA1057" i="3" a="1"/>
  <c r="AA1058" i="3" a="1"/>
  <c r="AA1052" i="3" a="1"/>
  <c r="AA1049" i="3" a="1"/>
  <c r="AB308" i="1" a="1"/>
  <c r="AA1046" i="3" a="1"/>
  <c r="AA1048" i="3" a="1"/>
  <c r="AB308" i="1" l="1"/>
  <c r="AB421" i="1"/>
  <c r="AB248" i="1"/>
  <c r="AA1046" i="3"/>
  <c r="AA1055" i="3"/>
  <c r="AA1054" i="3"/>
  <c r="AA1052" i="3"/>
  <c r="AA1051" i="3"/>
  <c r="AA1059" i="3"/>
  <c r="AA1056" i="3"/>
  <c r="AA1053" i="3"/>
  <c r="AA1049" i="3"/>
  <c r="AA1048" i="3"/>
  <c r="AA1058" i="3"/>
  <c r="AA1050" i="3"/>
  <c r="AA1047" i="3"/>
  <c r="AA1057" i="3"/>
  <c r="S1045" i="3"/>
  <c r="S1044" i="3"/>
  <c r="S1043" i="3"/>
  <c r="D1043" i="3"/>
  <c r="D1044" i="3"/>
  <c r="D1045" i="3"/>
  <c r="F1043" i="3"/>
  <c r="F1044" i="3"/>
  <c r="F1045" i="3"/>
  <c r="G1043" i="3"/>
  <c r="G1044" i="3"/>
  <c r="G1045" i="3"/>
  <c r="H1043" i="3"/>
  <c r="H1044" i="3"/>
  <c r="H1045" i="3"/>
  <c r="I1043" i="3"/>
  <c r="I1044" i="3"/>
  <c r="I1045" i="3"/>
  <c r="J1043" i="3"/>
  <c r="J1044" i="3"/>
  <c r="J1045" i="3"/>
  <c r="K1043" i="3"/>
  <c r="K1044" i="3"/>
  <c r="K1045" i="3"/>
  <c r="L1043" i="3"/>
  <c r="L1044" i="3"/>
  <c r="L1045" i="3"/>
  <c r="M1043" i="3"/>
  <c r="M1044" i="3"/>
  <c r="M1045" i="3"/>
  <c r="N1043" i="3"/>
  <c r="N1044" i="3"/>
  <c r="N1045" i="3"/>
  <c r="U1043" i="3"/>
  <c r="Y1043" i="3" s="1"/>
  <c r="U1044" i="3"/>
  <c r="Y1044" i="3" s="1"/>
  <c r="U1045" i="3"/>
  <c r="Y1045" i="3" s="1"/>
  <c r="AB507" i="1" a="1"/>
  <c r="AA1045" i="3" a="1"/>
  <c r="AA1043" i="3" a="1"/>
  <c r="AB639" i="1" a="1"/>
  <c r="AA1044" i="3" a="1"/>
  <c r="AB204" i="1" a="1"/>
  <c r="AB616" i="1" a="1"/>
  <c r="AB507" i="1" l="1"/>
  <c r="AB204" i="1"/>
  <c r="AB639" i="1"/>
  <c r="AB616" i="1"/>
  <c r="AA1043" i="3"/>
  <c r="AA1045" i="3"/>
  <c r="AA1044" i="3"/>
  <c r="U1042" i="3"/>
  <c r="Y1042" i="3" s="1"/>
  <c r="S1042" i="3"/>
  <c r="M1042" i="3"/>
  <c r="L1042" i="3"/>
  <c r="K1042" i="3"/>
  <c r="J1042" i="3"/>
  <c r="I1042" i="3"/>
  <c r="H1042" i="3"/>
  <c r="G1042" i="3"/>
  <c r="F1042" i="3"/>
  <c r="D1042" i="3"/>
  <c r="AA1042" i="3" a="1"/>
  <c r="AA1042" i="3" l="1"/>
  <c r="U1041" i="3"/>
  <c r="Y1041" i="3" s="1"/>
  <c r="S1041" i="3"/>
  <c r="N1041" i="3"/>
  <c r="M1041" i="3"/>
  <c r="L1041" i="3"/>
  <c r="K1041" i="3"/>
  <c r="J1041" i="3"/>
  <c r="I1041" i="3"/>
  <c r="H1041" i="3"/>
  <c r="G1041" i="3"/>
  <c r="F1041" i="3"/>
  <c r="D1041" i="3"/>
  <c r="U1040" i="3"/>
  <c r="Y1040" i="3" s="1"/>
  <c r="S1040" i="3"/>
  <c r="N1040" i="3"/>
  <c r="M1040" i="3"/>
  <c r="L1040" i="3"/>
  <c r="K1040" i="3"/>
  <c r="J1040" i="3"/>
  <c r="I1040" i="3"/>
  <c r="H1040" i="3"/>
  <c r="G1040" i="3"/>
  <c r="F1040" i="3"/>
  <c r="D1040" i="3"/>
  <c r="L526" i="1"/>
  <c r="AB502" i="1" a="1"/>
  <c r="AB830" i="1" a="1"/>
  <c r="AB196" i="1" a="1"/>
  <c r="AB182" i="1" a="1"/>
  <c r="AB720" i="1" a="1"/>
  <c r="AA1041" i="3" a="1"/>
  <c r="AB21" i="1" a="1"/>
  <c r="AB618" i="1" a="1"/>
  <c r="AA1040" i="3" a="1"/>
  <c r="AB589" i="1" a="1"/>
  <c r="N1220" i="3" l="1"/>
  <c r="AB502" i="1"/>
  <c r="AB830" i="1"/>
  <c r="AB196" i="1"/>
  <c r="AB720" i="1"/>
  <c r="AB589" i="1"/>
  <c r="AB21" i="1"/>
  <c r="AB182" i="1"/>
  <c r="AB618" i="1"/>
  <c r="AA1041" i="3"/>
  <c r="AA1040" i="3"/>
  <c r="S1029" i="3"/>
  <c r="S1030" i="3"/>
  <c r="S1031" i="3"/>
  <c r="S1032" i="3"/>
  <c r="S1033" i="3"/>
  <c r="S1034" i="3"/>
  <c r="S1035" i="3"/>
  <c r="S1036" i="3"/>
  <c r="S1037" i="3"/>
  <c r="S1038" i="3"/>
  <c r="S1039" i="3"/>
  <c r="D1038" i="3"/>
  <c r="D1039" i="3"/>
  <c r="F1038" i="3"/>
  <c r="F1039" i="3"/>
  <c r="G1038" i="3"/>
  <c r="G1039" i="3"/>
  <c r="H1038" i="3"/>
  <c r="H1039" i="3"/>
  <c r="I1038" i="3"/>
  <c r="I1039" i="3"/>
  <c r="J1038" i="3"/>
  <c r="J1039" i="3"/>
  <c r="K1038" i="3"/>
  <c r="K1039" i="3"/>
  <c r="L1038" i="3"/>
  <c r="L1039" i="3"/>
  <c r="M1038" i="3"/>
  <c r="M1039" i="3"/>
  <c r="N1038" i="3"/>
  <c r="N1039" i="3"/>
  <c r="U1038" i="3"/>
  <c r="Y1038" i="3" s="1"/>
  <c r="U1039" i="3"/>
  <c r="Y1039" i="3" s="1"/>
  <c r="D1029" i="3"/>
  <c r="D1030" i="3"/>
  <c r="D1031" i="3"/>
  <c r="D1032" i="3"/>
  <c r="D1033" i="3"/>
  <c r="D1034" i="3"/>
  <c r="D1035" i="3"/>
  <c r="D1036" i="3"/>
  <c r="D1037" i="3"/>
  <c r="F1029" i="3"/>
  <c r="F1030" i="3"/>
  <c r="F1031" i="3"/>
  <c r="F1032" i="3"/>
  <c r="F1033" i="3"/>
  <c r="F1034" i="3"/>
  <c r="F1035" i="3"/>
  <c r="F1036" i="3"/>
  <c r="F1037" i="3"/>
  <c r="G1029" i="3"/>
  <c r="G1030" i="3"/>
  <c r="G1031" i="3"/>
  <c r="G1032" i="3"/>
  <c r="G1033" i="3"/>
  <c r="G1034" i="3"/>
  <c r="G1035" i="3"/>
  <c r="G1036" i="3"/>
  <c r="G1037" i="3"/>
  <c r="H1029" i="3"/>
  <c r="H1030" i="3"/>
  <c r="H1031" i="3"/>
  <c r="H1032" i="3"/>
  <c r="H1033" i="3"/>
  <c r="H1034" i="3"/>
  <c r="H1035" i="3"/>
  <c r="H1036" i="3"/>
  <c r="H1037" i="3"/>
  <c r="I1029" i="3"/>
  <c r="I1030" i="3"/>
  <c r="I1031" i="3"/>
  <c r="I1032" i="3"/>
  <c r="I1033" i="3"/>
  <c r="I1034" i="3"/>
  <c r="I1035" i="3"/>
  <c r="I1036" i="3"/>
  <c r="I1037" i="3"/>
  <c r="J1029" i="3"/>
  <c r="J1030" i="3"/>
  <c r="J1031" i="3"/>
  <c r="J1032" i="3"/>
  <c r="J1033" i="3"/>
  <c r="J1034" i="3"/>
  <c r="J1035" i="3"/>
  <c r="J1036" i="3"/>
  <c r="J1037" i="3"/>
  <c r="K1029" i="3"/>
  <c r="K1030" i="3"/>
  <c r="K1031" i="3"/>
  <c r="K1032" i="3"/>
  <c r="K1033" i="3"/>
  <c r="K1034" i="3"/>
  <c r="K1035" i="3"/>
  <c r="K1036" i="3"/>
  <c r="K1037" i="3"/>
  <c r="L1029" i="3"/>
  <c r="L1030" i="3"/>
  <c r="L1031" i="3"/>
  <c r="L1032" i="3"/>
  <c r="L1033" i="3"/>
  <c r="L1034" i="3"/>
  <c r="L1035" i="3"/>
  <c r="L1036" i="3"/>
  <c r="L1037" i="3"/>
  <c r="M1029" i="3"/>
  <c r="M1030" i="3"/>
  <c r="M1031" i="3"/>
  <c r="M1032" i="3"/>
  <c r="M1033" i="3"/>
  <c r="M1034" i="3"/>
  <c r="M1035" i="3"/>
  <c r="M1036" i="3"/>
  <c r="M1037" i="3"/>
  <c r="N1029" i="3"/>
  <c r="N1030" i="3"/>
  <c r="N1031" i="3"/>
  <c r="N1032" i="3"/>
  <c r="N1033" i="3"/>
  <c r="N1034" i="3"/>
  <c r="N1035" i="3"/>
  <c r="N1036" i="3"/>
  <c r="N1037" i="3"/>
  <c r="U1029" i="3"/>
  <c r="Y1029" i="3" s="1"/>
  <c r="U1030" i="3"/>
  <c r="Y1030" i="3" s="1"/>
  <c r="U1031" i="3"/>
  <c r="Y1031" i="3" s="1"/>
  <c r="U1032" i="3"/>
  <c r="Y1032" i="3" s="1"/>
  <c r="U1033" i="3"/>
  <c r="Y1033" i="3" s="1"/>
  <c r="U1034" i="3"/>
  <c r="Y1034" i="3" s="1"/>
  <c r="U1035" i="3"/>
  <c r="Y1035" i="3" s="1"/>
  <c r="U1036" i="3"/>
  <c r="Y1036" i="3" s="1"/>
  <c r="U1037" i="3"/>
  <c r="Y1037" i="3" s="1"/>
  <c r="D937" i="3"/>
  <c r="U1028" i="3"/>
  <c r="Y1028" i="3" s="1"/>
  <c r="S1028" i="3"/>
  <c r="N1028" i="3"/>
  <c r="M1028" i="3"/>
  <c r="L1028" i="3"/>
  <c r="K1028" i="3"/>
  <c r="J1028" i="3"/>
  <c r="I1028" i="3"/>
  <c r="H1028" i="3"/>
  <c r="G1028" i="3"/>
  <c r="F1028" i="3"/>
  <c r="D1028" i="3"/>
  <c r="U1027" i="3"/>
  <c r="Y1027" i="3" s="1"/>
  <c r="S1027" i="3"/>
  <c r="M1027" i="3"/>
  <c r="L1027" i="3"/>
  <c r="K1027" i="3"/>
  <c r="J1027" i="3"/>
  <c r="I1027" i="3"/>
  <c r="H1027" i="3"/>
  <c r="G1027" i="3"/>
  <c r="F1027" i="3"/>
  <c r="D1027" i="3"/>
  <c r="U1026" i="3"/>
  <c r="Y1026" i="3" s="1"/>
  <c r="S1026" i="3"/>
  <c r="N1026" i="3"/>
  <c r="M1026" i="3"/>
  <c r="L1026" i="3"/>
  <c r="K1026" i="3"/>
  <c r="J1026" i="3"/>
  <c r="I1026" i="3"/>
  <c r="H1026" i="3"/>
  <c r="G1026" i="3"/>
  <c r="F1026" i="3"/>
  <c r="D1026" i="3"/>
  <c r="AB25" i="1" a="1"/>
  <c r="AA1038" i="3" a="1"/>
  <c r="AB13" i="1" a="1"/>
  <c r="AB425" i="1" a="1"/>
  <c r="AB368" i="1" a="1"/>
  <c r="AA1027" i="3" a="1"/>
  <c r="AB246" i="1" a="1"/>
  <c r="AA1028" i="3" a="1"/>
  <c r="AA1033" i="3" a="1"/>
  <c r="AA1037" i="3" a="1"/>
  <c r="AB858" i="1" a="1"/>
  <c r="AA1036" i="3" a="1"/>
  <c r="AA1026" i="3" a="1"/>
  <c r="AA1029" i="3" a="1"/>
  <c r="AA1031" i="3" a="1"/>
  <c r="AB427" i="1" a="1"/>
  <c r="AB747" i="1" a="1"/>
  <c r="AA1035" i="3" a="1"/>
  <c r="AA1030" i="3" a="1"/>
  <c r="AB554" i="1" a="1"/>
  <c r="AA1034" i="3" a="1"/>
  <c r="AA1032" i="3" a="1"/>
  <c r="AA1039" i="3" a="1"/>
  <c r="AB476" i="1" a="1"/>
  <c r="AB197" i="1" a="1"/>
  <c r="AB747" i="1" l="1"/>
  <c r="AB427" i="1"/>
  <c r="AB13" i="1"/>
  <c r="AB368" i="1"/>
  <c r="AB246" i="1"/>
  <c r="AB858" i="1"/>
  <c r="AB197" i="1"/>
  <c r="AB425" i="1"/>
  <c r="AB25" i="1"/>
  <c r="AB476" i="1"/>
  <c r="AB554" i="1"/>
  <c r="AA1037" i="3"/>
  <c r="AA1038" i="3"/>
  <c r="AA1036" i="3"/>
  <c r="AA1026" i="3"/>
  <c r="AA1039" i="3"/>
  <c r="AA1028" i="3"/>
  <c r="AA1035" i="3"/>
  <c r="AA1027" i="3"/>
  <c r="AA1032" i="3"/>
  <c r="AA1031" i="3"/>
  <c r="AA1030" i="3"/>
  <c r="AA1029" i="3"/>
  <c r="AA1034" i="3"/>
  <c r="AA1033" i="3"/>
  <c r="U1025" i="3"/>
  <c r="Y1025" i="3" s="1"/>
  <c r="S1025" i="3"/>
  <c r="N1025" i="3"/>
  <c r="M1025" i="3"/>
  <c r="L1025" i="3"/>
  <c r="K1025" i="3"/>
  <c r="J1025" i="3"/>
  <c r="I1025" i="3"/>
  <c r="G1025" i="3"/>
  <c r="F1025" i="3"/>
  <c r="D1025" i="3"/>
  <c r="U1024" i="3"/>
  <c r="Y1024" i="3" s="1"/>
  <c r="S1024" i="3"/>
  <c r="N1024" i="3"/>
  <c r="M1024" i="3"/>
  <c r="L1024" i="3"/>
  <c r="K1024" i="3"/>
  <c r="J1024" i="3"/>
  <c r="I1024" i="3"/>
  <c r="H1024" i="3"/>
  <c r="G1024" i="3"/>
  <c r="F1024" i="3"/>
  <c r="D1024" i="3"/>
  <c r="V1021" i="3"/>
  <c r="U1023" i="3"/>
  <c r="Y1023" i="3" s="1"/>
  <c r="S1023" i="3"/>
  <c r="M1023" i="3"/>
  <c r="L1023" i="3"/>
  <c r="K1023" i="3"/>
  <c r="J1023" i="3"/>
  <c r="I1023" i="3"/>
  <c r="H1023" i="3"/>
  <c r="G1023" i="3"/>
  <c r="F1023" i="3"/>
  <c r="D1023" i="3"/>
  <c r="AA1023" i="3" a="1"/>
  <c r="AA1024" i="3" a="1"/>
  <c r="AA1025" i="3" a="1"/>
  <c r="AA1024" i="3" l="1"/>
  <c r="AA1025" i="3"/>
  <c r="AA1023" i="3"/>
  <c r="Q1022" i="3"/>
  <c r="S1022" i="3" s="1"/>
  <c r="Q999" i="3"/>
  <c r="U1022" i="3"/>
  <c r="Y1022" i="3" s="1"/>
  <c r="M1022" i="3"/>
  <c r="L1022" i="3"/>
  <c r="K1022" i="3"/>
  <c r="J1022" i="3"/>
  <c r="I1022" i="3"/>
  <c r="H1022" i="3"/>
  <c r="G1022" i="3"/>
  <c r="F1022" i="3"/>
  <c r="D1022" i="3"/>
  <c r="L890" i="1"/>
  <c r="AB245" i="1" a="1"/>
  <c r="AB130" i="1" a="1"/>
  <c r="AB326" i="1" a="1"/>
  <c r="AB826" i="1" a="1"/>
  <c r="AB155" i="1" a="1"/>
  <c r="AB691" i="1" a="1"/>
  <c r="AB321" i="1" a="1"/>
  <c r="AB175" i="1" a="1"/>
  <c r="AA1022" i="3" a="1"/>
  <c r="AB187" i="1" a="1"/>
  <c r="AB896" i="1" a="1"/>
  <c r="AB83" i="1" a="1"/>
  <c r="AB303" i="1" a="1"/>
  <c r="AB304" i="1" a="1"/>
  <c r="AB835" i="1" a="1"/>
  <c r="N1286" i="3" l="1"/>
  <c r="AB175" i="1"/>
  <c r="AB155" i="1"/>
  <c r="AB826" i="1"/>
  <c r="AB835" i="1"/>
  <c r="AB304" i="1"/>
  <c r="AB187" i="1"/>
  <c r="AB321" i="1"/>
  <c r="AB326" i="1"/>
  <c r="AB245" i="1"/>
  <c r="AB83" i="1"/>
  <c r="AB896" i="1"/>
  <c r="AB303" i="1"/>
  <c r="AB691" i="1"/>
  <c r="AB130" i="1"/>
  <c r="AA1022" i="3"/>
  <c r="N1221" i="3"/>
  <c r="N1259" i="3"/>
  <c r="N1060" i="3"/>
  <c r="N1068" i="3"/>
  <c r="N1067" i="3"/>
  <c r="U1021" i="3"/>
  <c r="Y1021" i="3" s="1"/>
  <c r="S1021" i="3"/>
  <c r="M1021" i="3"/>
  <c r="L1021" i="3"/>
  <c r="K1021" i="3"/>
  <c r="J1021" i="3"/>
  <c r="I1021" i="3"/>
  <c r="H1021" i="3"/>
  <c r="G1021" i="3"/>
  <c r="F1021" i="3"/>
  <c r="D1021" i="3"/>
  <c r="I952" i="3"/>
  <c r="L728" i="1"/>
  <c r="AB171" i="1" a="1"/>
  <c r="AB489" i="1" a="1"/>
  <c r="AB516" i="1" a="1"/>
  <c r="AB624" i="1" a="1"/>
  <c r="AB289" i="1" a="1"/>
  <c r="AB764" i="1" a="1"/>
  <c r="AB593" i="1" a="1"/>
  <c r="AB71" i="1" a="1"/>
  <c r="AB154" i="1" a="1"/>
  <c r="AB851" i="1" a="1"/>
  <c r="AB136" i="1" a="1"/>
  <c r="AB668" i="1" a="1"/>
  <c r="AB662" i="1" a="1"/>
  <c r="AB584" i="1" a="1"/>
  <c r="AB115" i="1" a="1"/>
  <c r="AA1021" i="3" a="1"/>
  <c r="AB367" i="1" a="1"/>
  <c r="N1081" i="3" l="1"/>
  <c r="AB367" i="1"/>
  <c r="AB668" i="1"/>
  <c r="AB289" i="1"/>
  <c r="AB71" i="1"/>
  <c r="AB171" i="1"/>
  <c r="AB516" i="1"/>
  <c r="AB136" i="1"/>
  <c r="AB851" i="1"/>
  <c r="AB584" i="1"/>
  <c r="AB593" i="1"/>
  <c r="AB489" i="1"/>
  <c r="AB662" i="1"/>
  <c r="AB115" i="1"/>
  <c r="AB154" i="1"/>
  <c r="AB764" i="1"/>
  <c r="AB624" i="1"/>
  <c r="AA1021" i="3"/>
  <c r="N1079" i="3"/>
  <c r="N1080" i="3"/>
  <c r="U1020" i="3"/>
  <c r="Y1020" i="3" s="1"/>
  <c r="S1020" i="3"/>
  <c r="N1020" i="3"/>
  <c r="M1020" i="3"/>
  <c r="L1020" i="3"/>
  <c r="K1020" i="3"/>
  <c r="J1020" i="3"/>
  <c r="I1020" i="3"/>
  <c r="H1020" i="3"/>
  <c r="G1020" i="3"/>
  <c r="F1020" i="3"/>
  <c r="D1020" i="3"/>
  <c r="U1019" i="3"/>
  <c r="Y1019" i="3" s="1"/>
  <c r="S1019" i="3"/>
  <c r="N1019" i="3"/>
  <c r="M1019" i="3"/>
  <c r="L1019" i="3"/>
  <c r="K1019" i="3"/>
  <c r="J1019" i="3"/>
  <c r="I1019" i="3"/>
  <c r="H1019" i="3"/>
  <c r="G1019" i="3"/>
  <c r="F1019" i="3"/>
  <c r="D1019" i="3"/>
  <c r="U1018" i="3"/>
  <c r="Y1018" i="3" s="1"/>
  <c r="S1018" i="3"/>
  <c r="N1018" i="3"/>
  <c r="M1018" i="3"/>
  <c r="L1018" i="3"/>
  <c r="K1018" i="3"/>
  <c r="J1018" i="3"/>
  <c r="I1018" i="3"/>
  <c r="H1018" i="3"/>
  <c r="G1018" i="3"/>
  <c r="F1018" i="3"/>
  <c r="D1018" i="3"/>
  <c r="U1017" i="3"/>
  <c r="Y1017" i="3" s="1"/>
  <c r="S1017" i="3"/>
  <c r="N1017" i="3"/>
  <c r="M1017" i="3"/>
  <c r="L1017" i="3"/>
  <c r="K1017" i="3"/>
  <c r="J1017" i="3"/>
  <c r="I1017" i="3"/>
  <c r="H1017" i="3"/>
  <c r="G1017" i="3"/>
  <c r="F1017" i="3"/>
  <c r="D1017" i="3"/>
  <c r="U1016" i="3"/>
  <c r="Y1016" i="3" s="1"/>
  <c r="S1016" i="3"/>
  <c r="N1016" i="3"/>
  <c r="M1016" i="3"/>
  <c r="L1016" i="3"/>
  <c r="K1016" i="3"/>
  <c r="J1016" i="3"/>
  <c r="I1016" i="3"/>
  <c r="H1016" i="3"/>
  <c r="G1016" i="3"/>
  <c r="F1016" i="3"/>
  <c r="D1016" i="3"/>
  <c r="U1015" i="3"/>
  <c r="Y1015" i="3" s="1"/>
  <c r="S1015" i="3"/>
  <c r="N1015" i="3"/>
  <c r="M1015" i="3"/>
  <c r="L1015" i="3"/>
  <c r="K1015" i="3"/>
  <c r="J1015" i="3"/>
  <c r="I1015" i="3"/>
  <c r="H1015" i="3"/>
  <c r="G1015" i="3"/>
  <c r="F1015" i="3"/>
  <c r="D1015" i="3"/>
  <c r="U1014" i="3"/>
  <c r="Y1014" i="3" s="1"/>
  <c r="S1014" i="3"/>
  <c r="N1014" i="3"/>
  <c r="M1014" i="3"/>
  <c r="L1014" i="3"/>
  <c r="K1014" i="3"/>
  <c r="J1014" i="3"/>
  <c r="I1014" i="3"/>
  <c r="H1014" i="3"/>
  <c r="G1014" i="3"/>
  <c r="F1014" i="3"/>
  <c r="D1014" i="3"/>
  <c r="S1013" i="3"/>
  <c r="D1013" i="3"/>
  <c r="F1013" i="3"/>
  <c r="G1013" i="3"/>
  <c r="H1013" i="3"/>
  <c r="I1013" i="3"/>
  <c r="J1013" i="3"/>
  <c r="K1013" i="3"/>
  <c r="L1013" i="3"/>
  <c r="M1013" i="3"/>
  <c r="N1013" i="3"/>
  <c r="U1013" i="3"/>
  <c r="Y1013" i="3" s="1"/>
  <c r="S790" i="3"/>
  <c r="AA1018" i="3" a="1"/>
  <c r="AA1015" i="3" a="1"/>
  <c r="AA1013" i="3" a="1"/>
  <c r="AA1020" i="3" a="1"/>
  <c r="AA1014" i="3" a="1"/>
  <c r="AA1017" i="3" a="1"/>
  <c r="AB728" i="1" a="1"/>
  <c r="AA1016" i="3" a="1"/>
  <c r="AA1019" i="3" a="1"/>
  <c r="AB728" i="1" l="1"/>
  <c r="AA1020" i="3"/>
  <c r="AA1014" i="3"/>
  <c r="AA1019" i="3"/>
  <c r="AA1018" i="3"/>
  <c r="AA1016" i="3"/>
  <c r="AA1015" i="3"/>
  <c r="AA1017" i="3"/>
  <c r="AA1013" i="3"/>
  <c r="S1010" i="3"/>
  <c r="S1011" i="3"/>
  <c r="S1012" i="3"/>
  <c r="U1012" i="3"/>
  <c r="Y1012" i="3" s="1"/>
  <c r="M1012" i="3"/>
  <c r="L1012" i="3"/>
  <c r="K1012" i="3"/>
  <c r="J1012" i="3"/>
  <c r="I1012" i="3"/>
  <c r="H1012" i="3"/>
  <c r="G1012" i="3"/>
  <c r="F1012" i="3"/>
  <c r="D1012" i="3"/>
  <c r="U1011" i="3"/>
  <c r="Y1011" i="3" s="1"/>
  <c r="M1011" i="3"/>
  <c r="L1011" i="3"/>
  <c r="K1011" i="3"/>
  <c r="J1011" i="3"/>
  <c r="I1011" i="3"/>
  <c r="H1011" i="3"/>
  <c r="G1011" i="3"/>
  <c r="F1011" i="3"/>
  <c r="D1011" i="3"/>
  <c r="D1010" i="3"/>
  <c r="F1010" i="3"/>
  <c r="G1010" i="3"/>
  <c r="H1010" i="3"/>
  <c r="I1010" i="3"/>
  <c r="J1010" i="3"/>
  <c r="K1010" i="3"/>
  <c r="L1010" i="3"/>
  <c r="M1010" i="3"/>
  <c r="U1010" i="3"/>
  <c r="Y1010" i="3" s="1"/>
  <c r="AB558" i="1" a="1"/>
  <c r="AB754" i="1" a="1"/>
  <c r="AB111" i="1" a="1"/>
  <c r="AA1010" i="3" a="1"/>
  <c r="AA1011" i="3" a="1"/>
  <c r="AA1012" i="3" a="1"/>
  <c r="AB111" i="1" l="1"/>
  <c r="AB754" i="1"/>
  <c r="AB558" i="1"/>
  <c r="AA1011" i="3"/>
  <c r="AA1010" i="3"/>
  <c r="AA1012" i="3"/>
  <c r="AB606" i="1" a="1"/>
  <c r="AB606" i="1" l="1"/>
  <c r="S1001" i="3"/>
  <c r="S1002" i="3"/>
  <c r="S1003" i="3"/>
  <c r="S1004" i="3"/>
  <c r="S1005" i="3"/>
  <c r="S1006" i="3"/>
  <c r="S1007" i="3"/>
  <c r="S1008" i="3"/>
  <c r="S1009" i="3"/>
  <c r="D1001" i="3"/>
  <c r="D1002" i="3"/>
  <c r="D1003" i="3"/>
  <c r="D1004" i="3"/>
  <c r="D1005" i="3"/>
  <c r="D1006" i="3"/>
  <c r="D1007" i="3"/>
  <c r="D1008" i="3"/>
  <c r="D1009" i="3"/>
  <c r="F1001" i="3"/>
  <c r="F1002" i="3"/>
  <c r="F1003" i="3"/>
  <c r="F1004" i="3"/>
  <c r="F1005" i="3"/>
  <c r="F1006" i="3"/>
  <c r="F1007" i="3"/>
  <c r="F1008" i="3"/>
  <c r="F1009" i="3"/>
  <c r="G1001" i="3"/>
  <c r="G1002" i="3"/>
  <c r="G1003" i="3"/>
  <c r="G1004" i="3"/>
  <c r="G1005" i="3"/>
  <c r="G1006" i="3"/>
  <c r="G1007" i="3"/>
  <c r="G1008" i="3"/>
  <c r="G1009" i="3"/>
  <c r="H1001" i="3"/>
  <c r="H1002" i="3"/>
  <c r="H1003" i="3"/>
  <c r="H1004" i="3"/>
  <c r="H1005" i="3"/>
  <c r="H1006" i="3"/>
  <c r="H1007" i="3"/>
  <c r="H1008" i="3"/>
  <c r="H1009" i="3"/>
  <c r="I1001" i="3"/>
  <c r="I1002" i="3"/>
  <c r="I1003" i="3"/>
  <c r="I1004" i="3"/>
  <c r="I1005" i="3"/>
  <c r="I1006" i="3"/>
  <c r="I1007" i="3"/>
  <c r="I1008" i="3"/>
  <c r="I1009" i="3"/>
  <c r="J1001" i="3"/>
  <c r="J1002" i="3"/>
  <c r="J1003" i="3"/>
  <c r="J1004" i="3"/>
  <c r="J1005" i="3"/>
  <c r="J1006" i="3"/>
  <c r="J1007" i="3"/>
  <c r="J1008" i="3"/>
  <c r="J1009" i="3"/>
  <c r="K1001" i="3"/>
  <c r="K1002" i="3"/>
  <c r="K1003" i="3"/>
  <c r="K1004" i="3"/>
  <c r="K1005" i="3"/>
  <c r="K1006" i="3"/>
  <c r="K1007" i="3"/>
  <c r="K1008" i="3"/>
  <c r="K1009" i="3"/>
  <c r="L1001" i="3"/>
  <c r="L1002" i="3"/>
  <c r="L1003" i="3"/>
  <c r="L1004" i="3"/>
  <c r="L1005" i="3"/>
  <c r="L1006" i="3"/>
  <c r="L1007" i="3"/>
  <c r="L1008" i="3"/>
  <c r="L1009" i="3"/>
  <c r="M1001" i="3"/>
  <c r="M1002" i="3"/>
  <c r="M1003" i="3"/>
  <c r="M1004" i="3"/>
  <c r="M1005" i="3"/>
  <c r="M1006" i="3"/>
  <c r="M1007" i="3"/>
  <c r="M1008" i="3"/>
  <c r="M1009" i="3"/>
  <c r="N1001" i="3"/>
  <c r="N1002" i="3"/>
  <c r="N1003" i="3"/>
  <c r="N1004" i="3"/>
  <c r="N1005" i="3"/>
  <c r="N1006" i="3"/>
  <c r="N1007" i="3"/>
  <c r="N1008" i="3"/>
  <c r="N1009" i="3"/>
  <c r="U1001" i="3"/>
  <c r="Y1001" i="3" s="1"/>
  <c r="U1002" i="3"/>
  <c r="Y1002" i="3" s="1"/>
  <c r="U1003" i="3"/>
  <c r="Y1003" i="3" s="1"/>
  <c r="U1004" i="3"/>
  <c r="Y1004" i="3" s="1"/>
  <c r="U1005" i="3"/>
  <c r="Y1005" i="3" s="1"/>
  <c r="U1006" i="3"/>
  <c r="Y1006" i="3" s="1"/>
  <c r="U1007" i="3"/>
  <c r="Y1007" i="3" s="1"/>
  <c r="U1008" i="3"/>
  <c r="Y1008" i="3" s="1"/>
  <c r="U1009" i="3"/>
  <c r="Y1009" i="3" s="1"/>
  <c r="AA1008" i="3" a="1"/>
  <c r="AA1009" i="3" a="1"/>
  <c r="AA1006" i="3" a="1"/>
  <c r="AA1005" i="3" a="1"/>
  <c r="AA1002" i="3" a="1"/>
  <c r="AA1007" i="3" a="1"/>
  <c r="AA1001" i="3" a="1"/>
  <c r="AA1004" i="3" a="1"/>
  <c r="AA1003" i="3" a="1"/>
  <c r="AA1009" i="3" l="1"/>
  <c r="AA1007" i="3"/>
  <c r="AA1006" i="3"/>
  <c r="AA1005" i="3"/>
  <c r="AA1003" i="3"/>
  <c r="AA1008" i="3"/>
  <c r="AA1004" i="3"/>
  <c r="AA1002" i="3"/>
  <c r="AA1001" i="3"/>
  <c r="V948" i="3"/>
  <c r="U1000" i="3"/>
  <c r="Y1000" i="3" s="1"/>
  <c r="S1000" i="3"/>
  <c r="N1000" i="3"/>
  <c r="M1000" i="3"/>
  <c r="L1000" i="3"/>
  <c r="K1000" i="3"/>
  <c r="J1000" i="3"/>
  <c r="I1000" i="3"/>
  <c r="H1000" i="3"/>
  <c r="G1000" i="3"/>
  <c r="F1000" i="3"/>
  <c r="D1000" i="3"/>
  <c r="U999" i="3"/>
  <c r="Y999" i="3" s="1"/>
  <c r="S999" i="3"/>
  <c r="M999" i="3"/>
  <c r="L999" i="3"/>
  <c r="K999" i="3"/>
  <c r="J999" i="3"/>
  <c r="I999" i="3"/>
  <c r="H999" i="3"/>
  <c r="G999" i="3"/>
  <c r="F999" i="3"/>
  <c r="D999" i="3"/>
  <c r="U998" i="3"/>
  <c r="Y998" i="3" s="1"/>
  <c r="S998" i="3"/>
  <c r="M998" i="3"/>
  <c r="L998" i="3"/>
  <c r="K998" i="3"/>
  <c r="J998" i="3"/>
  <c r="I998" i="3"/>
  <c r="H998" i="3"/>
  <c r="G998" i="3"/>
  <c r="F998" i="3"/>
  <c r="D998" i="3"/>
  <c r="S997" i="3"/>
  <c r="S996" i="3"/>
  <c r="S995" i="3"/>
  <c r="S994" i="3"/>
  <c r="S993" i="3"/>
  <c r="S992" i="3"/>
  <c r="S991" i="3"/>
  <c r="S990" i="3"/>
  <c r="S989" i="3"/>
  <c r="S988" i="3"/>
  <c r="S987" i="3"/>
  <c r="S986" i="3"/>
  <c r="S985" i="3"/>
  <c r="S984" i="3"/>
  <c r="S983" i="3"/>
  <c r="D992" i="3"/>
  <c r="D993" i="3"/>
  <c r="D994" i="3"/>
  <c r="D995" i="3"/>
  <c r="D996" i="3"/>
  <c r="D997" i="3"/>
  <c r="F992" i="3"/>
  <c r="F993" i="3"/>
  <c r="F994" i="3"/>
  <c r="F995" i="3"/>
  <c r="F996" i="3"/>
  <c r="F997" i="3"/>
  <c r="G992" i="3"/>
  <c r="G993" i="3"/>
  <c r="G994" i="3"/>
  <c r="G995" i="3"/>
  <c r="G996" i="3"/>
  <c r="G997" i="3"/>
  <c r="H992" i="3"/>
  <c r="H993" i="3"/>
  <c r="H994" i="3"/>
  <c r="H995" i="3"/>
  <c r="H996" i="3"/>
  <c r="H997" i="3"/>
  <c r="I992" i="3"/>
  <c r="I993" i="3"/>
  <c r="I994" i="3"/>
  <c r="I995" i="3"/>
  <c r="I996" i="3"/>
  <c r="I997" i="3"/>
  <c r="J992" i="3"/>
  <c r="J993" i="3"/>
  <c r="J994" i="3"/>
  <c r="J995" i="3"/>
  <c r="J996" i="3"/>
  <c r="J997" i="3"/>
  <c r="K992" i="3"/>
  <c r="K993" i="3"/>
  <c r="K994" i="3"/>
  <c r="K995" i="3"/>
  <c r="K996" i="3"/>
  <c r="K997" i="3"/>
  <c r="L992" i="3"/>
  <c r="L993" i="3"/>
  <c r="L994" i="3"/>
  <c r="L995" i="3"/>
  <c r="L996" i="3"/>
  <c r="L997" i="3"/>
  <c r="M992" i="3"/>
  <c r="M993" i="3"/>
  <c r="M994" i="3"/>
  <c r="M995" i="3"/>
  <c r="M996" i="3"/>
  <c r="M997" i="3"/>
  <c r="N992" i="3"/>
  <c r="N993" i="3"/>
  <c r="N994" i="3"/>
  <c r="N995" i="3"/>
  <c r="N996" i="3"/>
  <c r="N997" i="3"/>
  <c r="U992" i="3"/>
  <c r="Y992" i="3" s="1"/>
  <c r="U993" i="3"/>
  <c r="Y993" i="3" s="1"/>
  <c r="U994" i="3"/>
  <c r="Y994" i="3" s="1"/>
  <c r="U995" i="3"/>
  <c r="Y995" i="3" s="1"/>
  <c r="U996" i="3"/>
  <c r="Y996" i="3" s="1"/>
  <c r="U997" i="3"/>
  <c r="Y997" i="3" s="1"/>
  <c r="D983" i="3"/>
  <c r="D984" i="3"/>
  <c r="D985" i="3"/>
  <c r="D986" i="3"/>
  <c r="D987" i="3"/>
  <c r="D988" i="3"/>
  <c r="D989" i="3"/>
  <c r="D990" i="3"/>
  <c r="D991" i="3"/>
  <c r="F983" i="3"/>
  <c r="F984" i="3"/>
  <c r="F985" i="3"/>
  <c r="F986" i="3"/>
  <c r="F987" i="3"/>
  <c r="F988" i="3"/>
  <c r="F989" i="3"/>
  <c r="F990" i="3"/>
  <c r="F991" i="3"/>
  <c r="G983" i="3"/>
  <c r="G984" i="3"/>
  <c r="G985" i="3"/>
  <c r="G986" i="3"/>
  <c r="G987" i="3"/>
  <c r="G988" i="3"/>
  <c r="G989" i="3"/>
  <c r="G990" i="3"/>
  <c r="G991" i="3"/>
  <c r="H983" i="3"/>
  <c r="H984" i="3"/>
  <c r="H985" i="3"/>
  <c r="H986" i="3"/>
  <c r="H987" i="3"/>
  <c r="H988" i="3"/>
  <c r="H989" i="3"/>
  <c r="H990" i="3"/>
  <c r="H991" i="3"/>
  <c r="I983" i="3"/>
  <c r="I984" i="3"/>
  <c r="I985" i="3"/>
  <c r="I986" i="3"/>
  <c r="I987" i="3"/>
  <c r="I988" i="3"/>
  <c r="I989" i="3"/>
  <c r="I990" i="3"/>
  <c r="I991" i="3"/>
  <c r="J983" i="3"/>
  <c r="J984" i="3"/>
  <c r="J985" i="3"/>
  <c r="J986" i="3"/>
  <c r="J987" i="3"/>
  <c r="J988" i="3"/>
  <c r="J989" i="3"/>
  <c r="J990" i="3"/>
  <c r="J991" i="3"/>
  <c r="K983" i="3"/>
  <c r="K984" i="3"/>
  <c r="K985" i="3"/>
  <c r="K986" i="3"/>
  <c r="K987" i="3"/>
  <c r="K988" i="3"/>
  <c r="K989" i="3"/>
  <c r="K990" i="3"/>
  <c r="K991" i="3"/>
  <c r="L983" i="3"/>
  <c r="L984" i="3"/>
  <c r="L985" i="3"/>
  <c r="L986" i="3"/>
  <c r="L987" i="3"/>
  <c r="L988" i="3"/>
  <c r="L989" i="3"/>
  <c r="L990" i="3"/>
  <c r="L991" i="3"/>
  <c r="M983" i="3"/>
  <c r="M984" i="3"/>
  <c r="M985" i="3"/>
  <c r="M986" i="3"/>
  <c r="M987" i="3"/>
  <c r="M988" i="3"/>
  <c r="M989" i="3"/>
  <c r="M990" i="3"/>
  <c r="M991" i="3"/>
  <c r="N983" i="3"/>
  <c r="N984" i="3"/>
  <c r="N985" i="3"/>
  <c r="N986" i="3"/>
  <c r="N987" i="3"/>
  <c r="N988" i="3"/>
  <c r="N989" i="3"/>
  <c r="N990" i="3"/>
  <c r="N991" i="3"/>
  <c r="U983" i="3"/>
  <c r="Y983" i="3" s="1"/>
  <c r="U984" i="3"/>
  <c r="Y984" i="3" s="1"/>
  <c r="U985" i="3"/>
  <c r="Y985" i="3" s="1"/>
  <c r="U986" i="3"/>
  <c r="Y986" i="3" s="1"/>
  <c r="U987" i="3"/>
  <c r="Y987" i="3" s="1"/>
  <c r="U988" i="3"/>
  <c r="Y988" i="3" s="1"/>
  <c r="U989" i="3"/>
  <c r="Y989" i="3" s="1"/>
  <c r="U990" i="3"/>
  <c r="Y990" i="3" s="1"/>
  <c r="U991" i="3"/>
  <c r="Y991" i="3" s="1"/>
  <c r="U982" i="3"/>
  <c r="Y982" i="3" s="1"/>
  <c r="S982" i="3"/>
  <c r="M982" i="3"/>
  <c r="L982" i="3"/>
  <c r="K982" i="3"/>
  <c r="J982" i="3"/>
  <c r="I982" i="3"/>
  <c r="H982" i="3"/>
  <c r="G982" i="3"/>
  <c r="F982" i="3"/>
  <c r="D982" i="3"/>
  <c r="AB329" i="1" a="1"/>
  <c r="AA987" i="3" a="1"/>
  <c r="AB153" i="1" a="1"/>
  <c r="AB431" i="1" a="1"/>
  <c r="AA991" i="3" a="1"/>
  <c r="AA983" i="3" a="1"/>
  <c r="AA984" i="3" a="1"/>
  <c r="AA988" i="3" a="1"/>
  <c r="AB48" i="1" a="1"/>
  <c r="AA990" i="3" a="1"/>
  <c r="AA982" i="3" a="1"/>
  <c r="AA992" i="3" a="1"/>
  <c r="AB194" i="1" a="1"/>
  <c r="AA993" i="3" a="1"/>
  <c r="AA995" i="3" a="1"/>
  <c r="AA986" i="3" a="1"/>
  <c r="AB779" i="1" a="1"/>
  <c r="AB347" i="1" a="1"/>
  <c r="AA1000" i="3" a="1"/>
  <c r="AA998" i="3" a="1"/>
  <c r="AA999" i="3" a="1"/>
  <c r="AA996" i="3" a="1"/>
  <c r="AA997" i="3" a="1"/>
  <c r="AA985" i="3" a="1"/>
  <c r="AB877" i="1" a="1"/>
  <c r="AA989" i="3" a="1"/>
  <c r="AA994" i="3" a="1"/>
  <c r="AB629" i="1" a="1"/>
  <c r="AB153" i="1" l="1"/>
  <c r="AB194" i="1"/>
  <c r="AB347" i="1"/>
  <c r="AB629" i="1"/>
  <c r="AB779" i="1"/>
  <c r="AB48" i="1"/>
  <c r="AB431" i="1"/>
  <c r="AB329" i="1"/>
  <c r="AB877" i="1"/>
  <c r="AA992" i="3"/>
  <c r="AA987" i="3"/>
  <c r="AA986" i="3"/>
  <c r="AA983" i="3"/>
  <c r="AA1000" i="3"/>
  <c r="AA999" i="3"/>
  <c r="AA985" i="3"/>
  <c r="AA984" i="3"/>
  <c r="AA998" i="3"/>
  <c r="AA991" i="3"/>
  <c r="AA996" i="3"/>
  <c r="AA990" i="3"/>
  <c r="AA989" i="3"/>
  <c r="AA994" i="3"/>
  <c r="AA997" i="3"/>
  <c r="AA995" i="3"/>
  <c r="AA982" i="3"/>
  <c r="AA988" i="3"/>
  <c r="AA993" i="3"/>
  <c r="U981" i="3"/>
  <c r="Y981" i="3" s="1"/>
  <c r="S981" i="3"/>
  <c r="N981" i="3"/>
  <c r="M981" i="3"/>
  <c r="L981" i="3"/>
  <c r="K981" i="3"/>
  <c r="J981" i="3"/>
  <c r="I981" i="3"/>
  <c r="H981" i="3"/>
  <c r="G981" i="3"/>
  <c r="F981" i="3"/>
  <c r="D981" i="3"/>
  <c r="U980" i="3"/>
  <c r="Y980" i="3" s="1"/>
  <c r="S980" i="3"/>
  <c r="N980" i="3"/>
  <c r="M980" i="3"/>
  <c r="L980" i="3"/>
  <c r="K980" i="3"/>
  <c r="J980" i="3"/>
  <c r="I980" i="3"/>
  <c r="H980" i="3"/>
  <c r="G980" i="3"/>
  <c r="F980" i="3"/>
  <c r="D980" i="3"/>
  <c r="U979" i="3"/>
  <c r="Y979" i="3" s="1"/>
  <c r="S979" i="3"/>
  <c r="N979" i="3"/>
  <c r="M979" i="3"/>
  <c r="L979" i="3"/>
  <c r="K979" i="3"/>
  <c r="J979" i="3"/>
  <c r="I979" i="3"/>
  <c r="H979" i="3"/>
  <c r="G979" i="3"/>
  <c r="F979" i="3"/>
  <c r="D979" i="3"/>
  <c r="U978" i="3"/>
  <c r="Y978" i="3" s="1"/>
  <c r="S978" i="3"/>
  <c r="N978" i="3"/>
  <c r="M978" i="3"/>
  <c r="L978" i="3"/>
  <c r="K978" i="3"/>
  <c r="J978" i="3"/>
  <c r="I978" i="3"/>
  <c r="H978" i="3"/>
  <c r="G978" i="3"/>
  <c r="F978" i="3"/>
  <c r="D978" i="3"/>
  <c r="U977" i="3"/>
  <c r="Y977" i="3" s="1"/>
  <c r="S977" i="3"/>
  <c r="N977" i="3"/>
  <c r="M977" i="3"/>
  <c r="L977" i="3"/>
  <c r="K977" i="3"/>
  <c r="J977" i="3"/>
  <c r="I977" i="3"/>
  <c r="H977" i="3"/>
  <c r="G977" i="3"/>
  <c r="F977" i="3"/>
  <c r="D977" i="3"/>
  <c r="U976" i="3"/>
  <c r="Y976" i="3" s="1"/>
  <c r="S976" i="3"/>
  <c r="N976" i="3"/>
  <c r="M976" i="3"/>
  <c r="L976" i="3"/>
  <c r="K976" i="3"/>
  <c r="J976" i="3"/>
  <c r="I976" i="3"/>
  <c r="H976" i="3"/>
  <c r="G976" i="3"/>
  <c r="F976" i="3"/>
  <c r="D976" i="3"/>
  <c r="U975" i="3"/>
  <c r="Y975" i="3" s="1"/>
  <c r="S975" i="3"/>
  <c r="N975" i="3"/>
  <c r="M975" i="3"/>
  <c r="L975" i="3"/>
  <c r="K975" i="3"/>
  <c r="J975" i="3"/>
  <c r="I975" i="3"/>
  <c r="H975" i="3"/>
  <c r="G975" i="3"/>
  <c r="F975" i="3"/>
  <c r="D975" i="3"/>
  <c r="U974" i="3"/>
  <c r="Y974" i="3" s="1"/>
  <c r="S974" i="3"/>
  <c r="N974" i="3"/>
  <c r="M974" i="3"/>
  <c r="L974" i="3"/>
  <c r="K974" i="3"/>
  <c r="J974" i="3"/>
  <c r="I974" i="3"/>
  <c r="H974" i="3"/>
  <c r="G974" i="3"/>
  <c r="F974" i="3"/>
  <c r="D974" i="3"/>
  <c r="U973" i="3"/>
  <c r="Y973" i="3" s="1"/>
  <c r="S973" i="3"/>
  <c r="N973" i="3"/>
  <c r="M973" i="3"/>
  <c r="L973" i="3"/>
  <c r="K973" i="3"/>
  <c r="J973" i="3"/>
  <c r="I973" i="3"/>
  <c r="H973" i="3"/>
  <c r="G973" i="3"/>
  <c r="F973" i="3"/>
  <c r="D973" i="3"/>
  <c r="U972" i="3"/>
  <c r="Y972" i="3" s="1"/>
  <c r="S972" i="3"/>
  <c r="N972" i="3"/>
  <c r="M972" i="3"/>
  <c r="L972" i="3"/>
  <c r="K972" i="3"/>
  <c r="J972" i="3"/>
  <c r="I972" i="3"/>
  <c r="H972" i="3"/>
  <c r="G972" i="3"/>
  <c r="F972" i="3"/>
  <c r="D972" i="3"/>
  <c r="U971" i="3"/>
  <c r="Y971" i="3" s="1"/>
  <c r="S971" i="3"/>
  <c r="N971" i="3"/>
  <c r="M971" i="3"/>
  <c r="L971" i="3"/>
  <c r="K971" i="3"/>
  <c r="J971" i="3"/>
  <c r="I971" i="3"/>
  <c r="H971" i="3"/>
  <c r="G971" i="3"/>
  <c r="F971" i="3"/>
  <c r="D971" i="3"/>
  <c r="U970" i="3"/>
  <c r="Y970" i="3" s="1"/>
  <c r="S970" i="3"/>
  <c r="N970" i="3"/>
  <c r="M970" i="3"/>
  <c r="L970" i="3"/>
  <c r="K970" i="3"/>
  <c r="J970" i="3"/>
  <c r="I970" i="3"/>
  <c r="H970" i="3"/>
  <c r="G970" i="3"/>
  <c r="F970" i="3"/>
  <c r="D970" i="3"/>
  <c r="U969" i="3"/>
  <c r="Y969" i="3" s="1"/>
  <c r="S969" i="3"/>
  <c r="N969" i="3"/>
  <c r="M969" i="3"/>
  <c r="L969" i="3"/>
  <c r="K969" i="3"/>
  <c r="J969" i="3"/>
  <c r="I969" i="3"/>
  <c r="H969" i="3"/>
  <c r="G969" i="3"/>
  <c r="F969" i="3"/>
  <c r="D969" i="3"/>
  <c r="U968" i="3"/>
  <c r="Y968" i="3" s="1"/>
  <c r="S968" i="3"/>
  <c r="N968" i="3"/>
  <c r="M968" i="3"/>
  <c r="L968" i="3"/>
  <c r="K968" i="3"/>
  <c r="J968" i="3"/>
  <c r="I968" i="3"/>
  <c r="H968" i="3"/>
  <c r="G968" i="3"/>
  <c r="F968" i="3"/>
  <c r="D968" i="3"/>
  <c r="U967" i="3"/>
  <c r="Y967" i="3" s="1"/>
  <c r="S967" i="3"/>
  <c r="N967" i="3"/>
  <c r="M967" i="3"/>
  <c r="L967" i="3"/>
  <c r="K967" i="3"/>
  <c r="J967" i="3"/>
  <c r="I967" i="3"/>
  <c r="H967" i="3"/>
  <c r="G967" i="3"/>
  <c r="F967" i="3"/>
  <c r="D967" i="3"/>
  <c r="U966" i="3"/>
  <c r="Y966" i="3" s="1"/>
  <c r="S966" i="3"/>
  <c r="M966" i="3"/>
  <c r="L966" i="3"/>
  <c r="K966" i="3"/>
  <c r="J966" i="3"/>
  <c r="I966" i="3"/>
  <c r="H966" i="3"/>
  <c r="G966" i="3"/>
  <c r="F966" i="3"/>
  <c r="D966" i="3"/>
  <c r="AA968" i="3" a="1"/>
  <c r="AA967" i="3" a="1"/>
  <c r="AA971" i="3" a="1"/>
  <c r="AA974" i="3" a="1"/>
  <c r="AA977" i="3" a="1"/>
  <c r="AA972" i="3" a="1"/>
  <c r="AA976" i="3" a="1"/>
  <c r="AA979" i="3" a="1"/>
  <c r="AA975" i="3" a="1"/>
  <c r="AA970" i="3" a="1"/>
  <c r="AA966" i="3" a="1"/>
  <c r="AA973" i="3" a="1"/>
  <c r="AA980" i="3" a="1"/>
  <c r="AA978" i="3" a="1"/>
  <c r="AA969" i="3" a="1"/>
  <c r="AA981" i="3" a="1"/>
  <c r="AB120" i="1" a="1"/>
  <c r="AB120" i="1" l="1"/>
  <c r="AA981" i="3"/>
  <c r="AA973" i="3"/>
  <c r="AA978" i="3"/>
  <c r="AA970" i="3"/>
  <c r="AA975" i="3"/>
  <c r="AA980" i="3"/>
  <c r="AA966" i="3"/>
  <c r="AA971" i="3"/>
  <c r="AA976" i="3"/>
  <c r="AA968" i="3"/>
  <c r="AA967" i="3"/>
  <c r="AA972" i="3"/>
  <c r="AA977" i="3"/>
  <c r="AA969" i="3"/>
  <c r="AA974" i="3"/>
  <c r="AA979" i="3"/>
  <c r="U965" i="3"/>
  <c r="Y965" i="3" s="1"/>
  <c r="S965" i="3"/>
  <c r="N965" i="3"/>
  <c r="M965" i="3"/>
  <c r="L965" i="3"/>
  <c r="K965" i="3"/>
  <c r="J965" i="3"/>
  <c r="I965" i="3"/>
  <c r="H965" i="3"/>
  <c r="G965" i="3"/>
  <c r="F965" i="3"/>
  <c r="D965" i="3"/>
  <c r="U964" i="3"/>
  <c r="Y964" i="3" s="1"/>
  <c r="S964" i="3"/>
  <c r="N964" i="3"/>
  <c r="M964" i="3"/>
  <c r="L964" i="3"/>
  <c r="K964" i="3"/>
  <c r="J964" i="3"/>
  <c r="I964" i="3"/>
  <c r="H964" i="3"/>
  <c r="G964" i="3"/>
  <c r="F964" i="3"/>
  <c r="D964" i="3"/>
  <c r="S955" i="3"/>
  <c r="S956" i="3"/>
  <c r="S957" i="3"/>
  <c r="S958" i="3"/>
  <c r="S959" i="3"/>
  <c r="S960" i="3"/>
  <c r="S961" i="3"/>
  <c r="S962" i="3"/>
  <c r="S963" i="3"/>
  <c r="D955" i="3"/>
  <c r="D956" i="3"/>
  <c r="D957" i="3"/>
  <c r="D958" i="3"/>
  <c r="D959" i="3"/>
  <c r="D960" i="3"/>
  <c r="D961" i="3"/>
  <c r="D962" i="3"/>
  <c r="D963" i="3"/>
  <c r="F955" i="3"/>
  <c r="F956" i="3"/>
  <c r="F957" i="3"/>
  <c r="F958" i="3"/>
  <c r="F959" i="3"/>
  <c r="F960" i="3"/>
  <c r="F961" i="3"/>
  <c r="F962" i="3"/>
  <c r="F963" i="3"/>
  <c r="G955" i="3"/>
  <c r="G956" i="3"/>
  <c r="G957" i="3"/>
  <c r="G958" i="3"/>
  <c r="G959" i="3"/>
  <c r="G960" i="3"/>
  <c r="G961" i="3"/>
  <c r="G962" i="3"/>
  <c r="G963" i="3"/>
  <c r="H955" i="3"/>
  <c r="H956" i="3"/>
  <c r="H957" i="3"/>
  <c r="H958" i="3"/>
  <c r="H959" i="3"/>
  <c r="H960" i="3"/>
  <c r="H961" i="3"/>
  <c r="H962" i="3"/>
  <c r="H963" i="3"/>
  <c r="I955" i="3"/>
  <c r="I956" i="3"/>
  <c r="I957" i="3"/>
  <c r="I958" i="3"/>
  <c r="I959" i="3"/>
  <c r="I960" i="3"/>
  <c r="I961" i="3"/>
  <c r="I962" i="3"/>
  <c r="I963" i="3"/>
  <c r="J955" i="3"/>
  <c r="J956" i="3"/>
  <c r="J957" i="3"/>
  <c r="J958" i="3"/>
  <c r="J959" i="3"/>
  <c r="J960" i="3"/>
  <c r="J961" i="3"/>
  <c r="J962" i="3"/>
  <c r="J963" i="3"/>
  <c r="K955" i="3"/>
  <c r="K956" i="3"/>
  <c r="K957" i="3"/>
  <c r="K958" i="3"/>
  <c r="K959" i="3"/>
  <c r="K960" i="3"/>
  <c r="K961" i="3"/>
  <c r="K962" i="3"/>
  <c r="K963" i="3"/>
  <c r="L955" i="3"/>
  <c r="L956" i="3"/>
  <c r="L957" i="3"/>
  <c r="L958" i="3"/>
  <c r="L959" i="3"/>
  <c r="L960" i="3"/>
  <c r="L961" i="3"/>
  <c r="L962" i="3"/>
  <c r="L963" i="3"/>
  <c r="M955" i="3"/>
  <c r="M956" i="3"/>
  <c r="M957" i="3"/>
  <c r="M958" i="3"/>
  <c r="M959" i="3"/>
  <c r="M960" i="3"/>
  <c r="M961" i="3"/>
  <c r="M962" i="3"/>
  <c r="M963" i="3"/>
  <c r="N955" i="3"/>
  <c r="N956" i="3"/>
  <c r="N957" i="3"/>
  <c r="N958" i="3"/>
  <c r="N959" i="3"/>
  <c r="N960" i="3"/>
  <c r="N961" i="3"/>
  <c r="N962" i="3"/>
  <c r="N963" i="3"/>
  <c r="U955" i="3"/>
  <c r="Y955" i="3" s="1"/>
  <c r="U956" i="3"/>
  <c r="Y956" i="3" s="1"/>
  <c r="U957" i="3"/>
  <c r="Y957" i="3" s="1"/>
  <c r="U958" i="3"/>
  <c r="Y958" i="3" s="1"/>
  <c r="U959" i="3"/>
  <c r="Y959" i="3" s="1"/>
  <c r="U960" i="3"/>
  <c r="Y960" i="3" s="1"/>
  <c r="U961" i="3"/>
  <c r="Y961" i="3" s="1"/>
  <c r="U962" i="3"/>
  <c r="Y962" i="3" s="1"/>
  <c r="U963" i="3"/>
  <c r="Y963" i="3" s="1"/>
  <c r="U954" i="3"/>
  <c r="Y954" i="3" s="1"/>
  <c r="S954" i="3"/>
  <c r="N954" i="3"/>
  <c r="M954" i="3"/>
  <c r="L954" i="3"/>
  <c r="K954" i="3"/>
  <c r="J954" i="3"/>
  <c r="I954" i="3"/>
  <c r="H954" i="3"/>
  <c r="G954" i="3"/>
  <c r="F954" i="3"/>
  <c r="D954" i="3"/>
  <c r="U953" i="3"/>
  <c r="Y953" i="3" s="1"/>
  <c r="S953" i="3"/>
  <c r="N953" i="3"/>
  <c r="M953" i="3"/>
  <c r="L953" i="3"/>
  <c r="K953" i="3"/>
  <c r="J953" i="3"/>
  <c r="I953" i="3"/>
  <c r="H953" i="3"/>
  <c r="G953" i="3"/>
  <c r="F953" i="3"/>
  <c r="D953" i="3"/>
  <c r="U952" i="3"/>
  <c r="Y952" i="3" s="1"/>
  <c r="S952" i="3"/>
  <c r="N952" i="3"/>
  <c r="M952" i="3"/>
  <c r="L952" i="3"/>
  <c r="K952" i="3"/>
  <c r="J952" i="3"/>
  <c r="H952" i="3"/>
  <c r="G952" i="3"/>
  <c r="F952" i="3"/>
  <c r="D952" i="3"/>
  <c r="U951" i="3"/>
  <c r="Y951" i="3" s="1"/>
  <c r="S951" i="3"/>
  <c r="N951" i="3"/>
  <c r="M951" i="3"/>
  <c r="L951" i="3"/>
  <c r="K951" i="3"/>
  <c r="J951" i="3"/>
  <c r="I951" i="3"/>
  <c r="H951" i="3"/>
  <c r="G951" i="3"/>
  <c r="F951" i="3"/>
  <c r="D951" i="3"/>
  <c r="U950" i="3"/>
  <c r="Y950" i="3" s="1"/>
  <c r="S950" i="3"/>
  <c r="N950" i="3"/>
  <c r="M950" i="3"/>
  <c r="L950" i="3"/>
  <c r="K950" i="3"/>
  <c r="J950" i="3"/>
  <c r="I950" i="3"/>
  <c r="H950" i="3"/>
  <c r="G950" i="3"/>
  <c r="F950" i="3"/>
  <c r="D950" i="3"/>
  <c r="U949" i="3"/>
  <c r="Y949" i="3" s="1"/>
  <c r="S949" i="3"/>
  <c r="N949" i="3"/>
  <c r="M949" i="3"/>
  <c r="L949" i="3"/>
  <c r="K949" i="3"/>
  <c r="J949" i="3"/>
  <c r="I949" i="3"/>
  <c r="H949" i="3"/>
  <c r="G949" i="3"/>
  <c r="F949" i="3"/>
  <c r="D949" i="3"/>
  <c r="U948" i="3"/>
  <c r="Y948" i="3" s="1"/>
  <c r="S948" i="3"/>
  <c r="N948" i="3"/>
  <c r="M948" i="3"/>
  <c r="L948" i="3"/>
  <c r="K948" i="3"/>
  <c r="J948" i="3"/>
  <c r="I948" i="3"/>
  <c r="H948" i="3"/>
  <c r="G948" i="3"/>
  <c r="F948" i="3"/>
  <c r="D948" i="3"/>
  <c r="U947" i="3"/>
  <c r="Y947" i="3" s="1"/>
  <c r="S947" i="3"/>
  <c r="N947" i="3"/>
  <c r="M947" i="3"/>
  <c r="L947" i="3"/>
  <c r="K947" i="3"/>
  <c r="J947" i="3"/>
  <c r="I947" i="3"/>
  <c r="H947" i="3"/>
  <c r="G947" i="3"/>
  <c r="F947" i="3"/>
  <c r="D947" i="3"/>
  <c r="U946" i="3"/>
  <c r="Y946" i="3" s="1"/>
  <c r="S946" i="3"/>
  <c r="N946" i="3"/>
  <c r="M946" i="3"/>
  <c r="L946" i="3"/>
  <c r="K946" i="3"/>
  <c r="J946" i="3"/>
  <c r="I946" i="3"/>
  <c r="H946" i="3"/>
  <c r="G946" i="3"/>
  <c r="F946" i="3"/>
  <c r="D946" i="3"/>
  <c r="U945" i="3"/>
  <c r="Y945" i="3" s="1"/>
  <c r="S945" i="3"/>
  <c r="N945" i="3"/>
  <c r="M945" i="3"/>
  <c r="L945" i="3"/>
  <c r="K945" i="3"/>
  <c r="J945" i="3"/>
  <c r="I945" i="3"/>
  <c r="H945" i="3"/>
  <c r="G945" i="3"/>
  <c r="F945" i="3"/>
  <c r="D945" i="3"/>
  <c r="U944" i="3"/>
  <c r="Y944" i="3" s="1"/>
  <c r="S944" i="3"/>
  <c r="N944" i="3"/>
  <c r="M944" i="3"/>
  <c r="L944" i="3"/>
  <c r="K944" i="3"/>
  <c r="J944" i="3"/>
  <c r="I944" i="3"/>
  <c r="H944" i="3"/>
  <c r="G944" i="3"/>
  <c r="F944" i="3"/>
  <c r="D944" i="3"/>
  <c r="U943" i="3"/>
  <c r="Y943" i="3" s="1"/>
  <c r="S943" i="3"/>
  <c r="M943" i="3"/>
  <c r="L943" i="3"/>
  <c r="K943" i="3"/>
  <c r="J943" i="3"/>
  <c r="I943" i="3"/>
  <c r="H943" i="3"/>
  <c r="G943" i="3"/>
  <c r="F943" i="3"/>
  <c r="D943" i="3"/>
  <c r="U942" i="3"/>
  <c r="Y942" i="3" s="1"/>
  <c r="S942" i="3"/>
  <c r="N942" i="3"/>
  <c r="M942" i="3"/>
  <c r="L942" i="3"/>
  <c r="K942" i="3"/>
  <c r="J942" i="3"/>
  <c r="I942" i="3"/>
  <c r="H942" i="3"/>
  <c r="G942" i="3"/>
  <c r="F942" i="3"/>
  <c r="D942" i="3"/>
  <c r="L451" i="1"/>
  <c r="L843" i="1"/>
  <c r="AA957" i="3" a="1"/>
  <c r="AA959" i="3" a="1"/>
  <c r="AA947" i="3" a="1"/>
  <c r="AA965" i="3" a="1"/>
  <c r="AA946" i="3" a="1"/>
  <c r="AA948" i="3" a="1"/>
  <c r="AA963" i="3" a="1"/>
  <c r="AA949" i="3" a="1"/>
  <c r="AA955" i="3" a="1"/>
  <c r="AA945" i="3" a="1"/>
  <c r="AA950" i="3" a="1"/>
  <c r="AA964" i="3" a="1"/>
  <c r="AA961" i="3" a="1"/>
  <c r="AA942" i="3" a="1"/>
  <c r="AA952" i="3" a="1"/>
  <c r="AA958" i="3" a="1"/>
  <c r="AA951" i="3" a="1"/>
  <c r="AA943" i="3" a="1"/>
  <c r="AA944" i="3" a="1"/>
  <c r="AA954" i="3" a="1"/>
  <c r="AA956" i="3" a="1"/>
  <c r="AA960" i="3" a="1"/>
  <c r="AA953" i="3" a="1"/>
  <c r="AA962" i="3" a="1"/>
  <c r="N1205" i="3" l="1"/>
  <c r="AA965" i="3"/>
  <c r="AA945" i="3"/>
  <c r="AA950" i="3"/>
  <c r="AA952" i="3"/>
  <c r="AA942" i="3"/>
  <c r="AA954" i="3"/>
  <c r="AA964" i="3"/>
  <c r="AA944" i="3"/>
  <c r="AA949" i="3"/>
  <c r="AA962" i="3"/>
  <c r="AA963" i="3"/>
  <c r="AA961" i="3"/>
  <c r="AA947" i="3"/>
  <c r="AA960" i="3"/>
  <c r="AA959" i="3"/>
  <c r="AA957" i="3"/>
  <c r="AA953" i="3"/>
  <c r="AA943" i="3"/>
  <c r="AA948" i="3"/>
  <c r="AA955" i="3"/>
  <c r="AA946" i="3"/>
  <c r="AA951" i="3"/>
  <c r="AA958" i="3"/>
  <c r="AA956" i="3"/>
  <c r="N1082" i="3"/>
  <c r="N1143" i="3"/>
  <c r="N1130" i="3"/>
  <c r="N1117" i="3"/>
  <c r="N966" i="3"/>
  <c r="N982" i="3"/>
  <c r="N1012" i="3"/>
  <c r="N1011" i="3"/>
  <c r="N1010" i="3"/>
  <c r="S820" i="3" l="1"/>
  <c r="U941" i="3"/>
  <c r="Y941" i="3" s="1"/>
  <c r="S941" i="3"/>
  <c r="N941" i="3"/>
  <c r="M941" i="3"/>
  <c r="L941" i="3"/>
  <c r="K941" i="3"/>
  <c r="J941" i="3"/>
  <c r="I941" i="3"/>
  <c r="H941" i="3"/>
  <c r="G941" i="3"/>
  <c r="F941" i="3"/>
  <c r="D941" i="3"/>
  <c r="U940" i="3"/>
  <c r="Y940" i="3" s="1"/>
  <c r="S940" i="3"/>
  <c r="N940" i="3"/>
  <c r="M940" i="3"/>
  <c r="L940" i="3"/>
  <c r="K940" i="3"/>
  <c r="J940" i="3"/>
  <c r="I940" i="3"/>
  <c r="H940" i="3"/>
  <c r="G940" i="3"/>
  <c r="F940" i="3"/>
  <c r="D940" i="3"/>
  <c r="U939" i="3"/>
  <c r="Y939" i="3" s="1"/>
  <c r="S939" i="3"/>
  <c r="N939" i="3"/>
  <c r="M939" i="3"/>
  <c r="L939" i="3"/>
  <c r="K939" i="3"/>
  <c r="J939" i="3"/>
  <c r="I939" i="3"/>
  <c r="H939" i="3"/>
  <c r="G939" i="3"/>
  <c r="F939" i="3"/>
  <c r="D939" i="3"/>
  <c r="U938" i="3"/>
  <c r="Y938" i="3" s="1"/>
  <c r="S938" i="3"/>
  <c r="N938" i="3"/>
  <c r="M938" i="3"/>
  <c r="L938" i="3"/>
  <c r="K938" i="3"/>
  <c r="J938" i="3"/>
  <c r="I938" i="3"/>
  <c r="H938" i="3"/>
  <c r="G938" i="3"/>
  <c r="F938" i="3"/>
  <c r="D938" i="3"/>
  <c r="U937" i="3"/>
  <c r="Y937" i="3" s="1"/>
  <c r="S937" i="3"/>
  <c r="N937" i="3"/>
  <c r="M937" i="3"/>
  <c r="L937" i="3"/>
  <c r="K937" i="3"/>
  <c r="J937" i="3"/>
  <c r="I937" i="3"/>
  <c r="H937" i="3"/>
  <c r="G937" i="3"/>
  <c r="F937" i="3"/>
  <c r="U936" i="3"/>
  <c r="Y936" i="3" s="1"/>
  <c r="S936" i="3"/>
  <c r="N936" i="3"/>
  <c r="M936" i="3"/>
  <c r="L936" i="3"/>
  <c r="K936" i="3"/>
  <c r="J936" i="3"/>
  <c r="I936" i="3"/>
  <c r="H936" i="3"/>
  <c r="G936" i="3"/>
  <c r="F936" i="3"/>
  <c r="D936" i="3"/>
  <c r="U935" i="3"/>
  <c r="Y935" i="3" s="1"/>
  <c r="S935" i="3"/>
  <c r="N935" i="3"/>
  <c r="M935" i="3"/>
  <c r="L935" i="3"/>
  <c r="K935" i="3"/>
  <c r="J935" i="3"/>
  <c r="I935" i="3"/>
  <c r="H935" i="3"/>
  <c r="G935" i="3"/>
  <c r="F935" i="3"/>
  <c r="D935" i="3"/>
  <c r="U934" i="3"/>
  <c r="Y934" i="3" s="1"/>
  <c r="S934" i="3"/>
  <c r="N934" i="3"/>
  <c r="M934" i="3"/>
  <c r="L934" i="3"/>
  <c r="K934" i="3"/>
  <c r="J934" i="3"/>
  <c r="I934" i="3"/>
  <c r="H934" i="3"/>
  <c r="G934" i="3"/>
  <c r="F934" i="3"/>
  <c r="D934" i="3"/>
  <c r="U933" i="3"/>
  <c r="Y933" i="3" s="1"/>
  <c r="S933" i="3"/>
  <c r="N933" i="3"/>
  <c r="M933" i="3"/>
  <c r="L933" i="3"/>
  <c r="K933" i="3"/>
  <c r="J933" i="3"/>
  <c r="I933" i="3"/>
  <c r="H933" i="3"/>
  <c r="G933" i="3"/>
  <c r="F933" i="3"/>
  <c r="D933" i="3"/>
  <c r="U932" i="3"/>
  <c r="Y932" i="3" s="1"/>
  <c r="S932" i="3"/>
  <c r="N932" i="3"/>
  <c r="M932" i="3"/>
  <c r="L932" i="3"/>
  <c r="K932" i="3"/>
  <c r="J932" i="3"/>
  <c r="I932" i="3"/>
  <c r="H932" i="3"/>
  <c r="G932" i="3"/>
  <c r="F932" i="3"/>
  <c r="D932" i="3"/>
  <c r="U931" i="3"/>
  <c r="Y931" i="3" s="1"/>
  <c r="S931" i="3"/>
  <c r="N931" i="3"/>
  <c r="M931" i="3"/>
  <c r="L931" i="3"/>
  <c r="K931" i="3"/>
  <c r="J931" i="3"/>
  <c r="I931" i="3"/>
  <c r="H931" i="3"/>
  <c r="G931" i="3"/>
  <c r="F931" i="3"/>
  <c r="D931" i="3"/>
  <c r="U930" i="3"/>
  <c r="Y930" i="3" s="1"/>
  <c r="S930" i="3"/>
  <c r="N930" i="3"/>
  <c r="M930" i="3"/>
  <c r="L930" i="3"/>
  <c r="K930" i="3"/>
  <c r="J930" i="3"/>
  <c r="I930" i="3"/>
  <c r="H930" i="3"/>
  <c r="G930" i="3"/>
  <c r="F930" i="3"/>
  <c r="D930" i="3"/>
  <c r="AA941" i="3" a="1"/>
  <c r="AA930" i="3" a="1"/>
  <c r="AA934" i="3" a="1"/>
  <c r="AA935" i="3" a="1"/>
  <c r="AA931" i="3" a="1"/>
  <c r="AA936" i="3" a="1"/>
  <c r="AA933" i="3" a="1"/>
  <c r="AA939" i="3" a="1"/>
  <c r="AA938" i="3" a="1"/>
  <c r="AA937" i="3" a="1"/>
  <c r="AA940" i="3" a="1"/>
  <c r="AA932" i="3" a="1"/>
  <c r="AA930" i="3" l="1"/>
  <c r="AA937" i="3"/>
  <c r="AA932" i="3"/>
  <c r="AA933" i="3"/>
  <c r="AA940" i="3"/>
  <c r="AA938" i="3"/>
  <c r="AA941" i="3"/>
  <c r="AA935" i="3"/>
  <c r="AA939" i="3"/>
  <c r="AA934" i="3"/>
  <c r="AA931" i="3"/>
  <c r="AA936" i="3"/>
  <c r="U929" i="3"/>
  <c r="Y929" i="3" s="1"/>
  <c r="S929" i="3"/>
  <c r="N929" i="3"/>
  <c r="M929" i="3"/>
  <c r="L929" i="3"/>
  <c r="K929" i="3"/>
  <c r="J929" i="3"/>
  <c r="I929" i="3"/>
  <c r="H929" i="3"/>
  <c r="G929" i="3"/>
  <c r="F929" i="3"/>
  <c r="D929" i="3"/>
  <c r="U928" i="3"/>
  <c r="Y928" i="3" s="1"/>
  <c r="S928" i="3"/>
  <c r="N928" i="3"/>
  <c r="M928" i="3"/>
  <c r="L928" i="3"/>
  <c r="K928" i="3"/>
  <c r="J928" i="3"/>
  <c r="I928" i="3"/>
  <c r="H928" i="3"/>
  <c r="G928" i="3"/>
  <c r="F928" i="3"/>
  <c r="D928" i="3"/>
  <c r="U6" i="10"/>
  <c r="U7" i="10"/>
  <c r="U8" i="10"/>
  <c r="U9" i="10"/>
  <c r="U10" i="10"/>
  <c r="U11" i="10"/>
  <c r="U12" i="10"/>
  <c r="U13" i="10"/>
  <c r="U14" i="10"/>
  <c r="S6" i="10"/>
  <c r="S7" i="10"/>
  <c r="S8" i="10"/>
  <c r="S9" i="10"/>
  <c r="S10" i="10"/>
  <c r="S11" i="10"/>
  <c r="S12" i="10"/>
  <c r="S13" i="10"/>
  <c r="S14" i="10"/>
  <c r="AA929" i="3" a="1"/>
  <c r="AA928" i="3" a="1"/>
  <c r="AA929" i="3" l="1"/>
  <c r="AA928" i="3"/>
  <c r="AB207" i="1" a="1"/>
  <c r="AB207" i="1" l="1"/>
  <c r="U927" i="3"/>
  <c r="Y927" i="3" s="1"/>
  <c r="S927" i="3"/>
  <c r="N927" i="3"/>
  <c r="M927" i="3"/>
  <c r="L927" i="3"/>
  <c r="K927" i="3"/>
  <c r="J927" i="3"/>
  <c r="I927" i="3"/>
  <c r="H927" i="3"/>
  <c r="G927" i="3"/>
  <c r="F927" i="3"/>
  <c r="D927" i="3"/>
  <c r="AA927" i="3" a="1"/>
  <c r="AA927" i="3" l="1"/>
  <c r="L265" i="1"/>
  <c r="U926" i="3"/>
  <c r="Y926" i="3" s="1"/>
  <c r="S926" i="3"/>
  <c r="N926" i="3"/>
  <c r="M926" i="3"/>
  <c r="L926" i="3"/>
  <c r="K926" i="3"/>
  <c r="J926" i="3"/>
  <c r="I926" i="3"/>
  <c r="H926" i="3"/>
  <c r="G926" i="3"/>
  <c r="F926" i="3"/>
  <c r="D926" i="3"/>
  <c r="U828" i="3"/>
  <c r="Y828" i="3" s="1"/>
  <c r="AA926" i="3" a="1"/>
  <c r="N1562" i="3" l="1"/>
  <c r="N1567" i="3"/>
  <c r="N1497" i="3"/>
  <c r="AA926" i="3"/>
  <c r="N1301" i="3"/>
  <c r="N1373" i="3"/>
  <c r="U925" i="3"/>
  <c r="Y925" i="3" s="1"/>
  <c r="S925" i="3"/>
  <c r="M925" i="3"/>
  <c r="L925" i="3"/>
  <c r="K925" i="3"/>
  <c r="J925" i="3"/>
  <c r="I925" i="3"/>
  <c r="H925" i="3"/>
  <c r="G925" i="3"/>
  <c r="F925" i="3"/>
  <c r="D925" i="3"/>
  <c r="AA925" i="3" a="1"/>
  <c r="AA925" i="3" l="1"/>
  <c r="L424" i="1"/>
  <c r="N1042" i="3" l="1"/>
  <c r="U924" i="3"/>
  <c r="Y924" i="3" s="1"/>
  <c r="S924" i="3"/>
  <c r="N924" i="3"/>
  <c r="M924" i="3"/>
  <c r="L924" i="3"/>
  <c r="K924" i="3"/>
  <c r="J924" i="3"/>
  <c r="I924" i="3"/>
  <c r="H924" i="3"/>
  <c r="G924" i="3"/>
  <c r="F924" i="3"/>
  <c r="D924" i="3"/>
  <c r="AA924" i="3" a="1"/>
  <c r="AA924" i="3" l="1"/>
  <c r="U923" i="3"/>
  <c r="Y923" i="3" s="1"/>
  <c r="S923" i="3"/>
  <c r="D923" i="3"/>
  <c r="F923" i="3"/>
  <c r="G923" i="3"/>
  <c r="H923" i="3"/>
  <c r="I923" i="3"/>
  <c r="J923" i="3"/>
  <c r="K923" i="3"/>
  <c r="L923" i="3"/>
  <c r="M923" i="3"/>
  <c r="N923" i="3"/>
  <c r="U922" i="3"/>
  <c r="Y922" i="3" s="1"/>
  <c r="S922" i="3"/>
  <c r="M922" i="3"/>
  <c r="L922" i="3"/>
  <c r="K922" i="3"/>
  <c r="J922" i="3"/>
  <c r="I922" i="3"/>
  <c r="H922" i="3"/>
  <c r="G922" i="3"/>
  <c r="F922" i="3"/>
  <c r="D922" i="3"/>
  <c r="U921" i="3"/>
  <c r="Y921" i="3" s="1"/>
  <c r="S921" i="3"/>
  <c r="M921" i="3"/>
  <c r="L921" i="3"/>
  <c r="K921" i="3"/>
  <c r="J921" i="3"/>
  <c r="I921" i="3"/>
  <c r="H921" i="3"/>
  <c r="G921" i="3"/>
  <c r="F921" i="3"/>
  <c r="D921" i="3"/>
  <c r="U920" i="3"/>
  <c r="Y920" i="3" s="1"/>
  <c r="S920" i="3"/>
  <c r="M920" i="3"/>
  <c r="L920" i="3"/>
  <c r="K920" i="3"/>
  <c r="J920" i="3"/>
  <c r="I920" i="3"/>
  <c r="H920" i="3"/>
  <c r="G920" i="3"/>
  <c r="F920" i="3"/>
  <c r="D920" i="3"/>
  <c r="AA922" i="3" a="1"/>
  <c r="AB210" i="1" a="1"/>
  <c r="AA921" i="3" a="1"/>
  <c r="AA923" i="3" a="1"/>
  <c r="AA920" i="3" a="1"/>
  <c r="AB434" i="1" a="1"/>
  <c r="AB210" i="1" l="1"/>
  <c r="AB434" i="1"/>
  <c r="AA920" i="3"/>
  <c r="AA921" i="3"/>
  <c r="AA922" i="3"/>
  <c r="AA923" i="3"/>
  <c r="U919" i="3"/>
  <c r="Y919" i="3" s="1"/>
  <c r="S919" i="3"/>
  <c r="N919" i="3"/>
  <c r="M919" i="3"/>
  <c r="L919" i="3"/>
  <c r="K919" i="3"/>
  <c r="J919" i="3"/>
  <c r="I919" i="3"/>
  <c r="H919" i="3"/>
  <c r="G919" i="3"/>
  <c r="F919" i="3"/>
  <c r="D919" i="3"/>
  <c r="U918" i="3"/>
  <c r="Y918" i="3" s="1"/>
  <c r="S918" i="3"/>
  <c r="N918" i="3"/>
  <c r="M918" i="3"/>
  <c r="L918" i="3"/>
  <c r="K918" i="3"/>
  <c r="J918" i="3"/>
  <c r="I918" i="3"/>
  <c r="H918" i="3"/>
  <c r="G918" i="3"/>
  <c r="F918" i="3"/>
  <c r="D918" i="3"/>
  <c r="U917" i="3"/>
  <c r="Y917" i="3" s="1"/>
  <c r="S917" i="3"/>
  <c r="N917" i="3"/>
  <c r="M917" i="3"/>
  <c r="L917" i="3"/>
  <c r="K917" i="3"/>
  <c r="J917" i="3"/>
  <c r="I917" i="3"/>
  <c r="H917" i="3"/>
  <c r="G917" i="3"/>
  <c r="F917" i="3"/>
  <c r="D917" i="3"/>
  <c r="U916" i="3"/>
  <c r="Y916" i="3" s="1"/>
  <c r="S916" i="3"/>
  <c r="N916" i="3"/>
  <c r="M916" i="3"/>
  <c r="L916" i="3"/>
  <c r="K916" i="3"/>
  <c r="J916" i="3"/>
  <c r="I916" i="3"/>
  <c r="H916" i="3"/>
  <c r="G916" i="3"/>
  <c r="F916" i="3"/>
  <c r="D916" i="3"/>
  <c r="U915" i="3"/>
  <c r="Y915" i="3" s="1"/>
  <c r="S915" i="3"/>
  <c r="N915" i="3"/>
  <c r="M915" i="3"/>
  <c r="L915" i="3"/>
  <c r="K915" i="3"/>
  <c r="J915" i="3"/>
  <c r="I915" i="3"/>
  <c r="H915" i="3"/>
  <c r="G915" i="3"/>
  <c r="F915" i="3"/>
  <c r="D915" i="3"/>
  <c r="V914" i="3"/>
  <c r="U914" i="3"/>
  <c r="Y914" i="3" s="1"/>
  <c r="S914" i="3"/>
  <c r="N914" i="3"/>
  <c r="M914" i="3"/>
  <c r="L914" i="3"/>
  <c r="K914" i="3"/>
  <c r="J914" i="3"/>
  <c r="I914" i="3"/>
  <c r="H914" i="3"/>
  <c r="G914" i="3"/>
  <c r="F914" i="3"/>
  <c r="D914" i="3"/>
  <c r="U913" i="3"/>
  <c r="Y913" i="3" s="1"/>
  <c r="S913" i="3"/>
  <c r="N913" i="3"/>
  <c r="M913" i="3"/>
  <c r="L913" i="3"/>
  <c r="K913" i="3"/>
  <c r="J913" i="3"/>
  <c r="I913" i="3"/>
  <c r="H913" i="3"/>
  <c r="G913" i="3"/>
  <c r="F913" i="3"/>
  <c r="D913" i="3"/>
  <c r="U912" i="3"/>
  <c r="Y912" i="3" s="1"/>
  <c r="S912" i="3"/>
  <c r="N912" i="3"/>
  <c r="M912" i="3"/>
  <c r="L912" i="3"/>
  <c r="K912" i="3"/>
  <c r="J912" i="3"/>
  <c r="I912" i="3"/>
  <c r="H912" i="3"/>
  <c r="G912" i="3"/>
  <c r="F912" i="3"/>
  <c r="D912" i="3"/>
  <c r="AB240" i="1" a="1"/>
  <c r="AA912" i="3" a="1"/>
  <c r="AA919" i="3" a="1"/>
  <c r="AA917" i="3" a="1"/>
  <c r="AA916" i="3" a="1"/>
  <c r="AA914" i="3" a="1"/>
  <c r="AA913" i="3" a="1"/>
  <c r="AA918" i="3" a="1"/>
  <c r="AA915" i="3" a="1"/>
  <c r="AB240" i="1" l="1"/>
  <c r="AA915" i="3"/>
  <c r="AA914" i="3"/>
  <c r="AA919" i="3"/>
  <c r="AA912" i="3"/>
  <c r="AA917" i="3"/>
  <c r="AA916" i="3"/>
  <c r="AA913" i="3"/>
  <c r="AA918" i="3"/>
  <c r="U911" i="3"/>
  <c r="Y911" i="3" s="1"/>
  <c r="S911" i="3"/>
  <c r="N911" i="3"/>
  <c r="M911" i="3"/>
  <c r="L911" i="3"/>
  <c r="K911" i="3"/>
  <c r="J911" i="3"/>
  <c r="I911" i="3"/>
  <c r="H911" i="3"/>
  <c r="G911" i="3"/>
  <c r="F911" i="3"/>
  <c r="D911" i="3"/>
  <c r="U910" i="3"/>
  <c r="Y910" i="3" s="1"/>
  <c r="S910" i="3"/>
  <c r="M910" i="3"/>
  <c r="L910" i="3"/>
  <c r="K910" i="3"/>
  <c r="J910" i="3"/>
  <c r="I910" i="3"/>
  <c r="H910" i="3"/>
  <c r="G910" i="3"/>
  <c r="F910" i="3"/>
  <c r="D910" i="3"/>
  <c r="U909" i="3"/>
  <c r="Y909" i="3" s="1"/>
  <c r="S909" i="3"/>
  <c r="M909" i="3"/>
  <c r="L909" i="3"/>
  <c r="K909" i="3"/>
  <c r="J909" i="3"/>
  <c r="I909" i="3"/>
  <c r="H909" i="3"/>
  <c r="G909" i="3"/>
  <c r="F909" i="3"/>
  <c r="D909" i="3"/>
  <c r="AB757" i="1" a="1"/>
  <c r="AB557" i="1" a="1"/>
  <c r="AA910" i="3" a="1"/>
  <c r="AA911" i="3" a="1"/>
  <c r="AB530" i="1" a="1"/>
  <c r="AB825" i="1" a="1"/>
  <c r="AB95" i="1" a="1"/>
  <c r="AB414" i="1" a="1"/>
  <c r="AA909" i="3" a="1"/>
  <c r="AB39" i="1" a="1"/>
  <c r="AB299" i="1" a="1"/>
  <c r="AB752" i="1" a="1"/>
  <c r="AB419" i="1" a="1"/>
  <c r="AB247" i="1" a="1"/>
  <c r="AB95" i="1" l="1"/>
  <c r="AB419" i="1"/>
  <c r="AB557" i="1"/>
  <c r="AB299" i="1"/>
  <c r="AB530" i="1"/>
  <c r="AB752" i="1"/>
  <c r="AB757" i="1"/>
  <c r="AB39" i="1"/>
  <c r="AB825" i="1"/>
  <c r="AB414" i="1"/>
  <c r="AB247" i="1"/>
  <c r="AA910" i="3"/>
  <c r="AA909" i="3"/>
  <c r="AA911" i="3"/>
  <c r="U908" i="3"/>
  <c r="Y908" i="3" s="1"/>
  <c r="S908" i="3"/>
  <c r="N908" i="3"/>
  <c r="M908" i="3"/>
  <c r="L908" i="3"/>
  <c r="K908" i="3"/>
  <c r="J908" i="3"/>
  <c r="I908" i="3"/>
  <c r="H908" i="3"/>
  <c r="G908" i="3"/>
  <c r="F908" i="3"/>
  <c r="D908" i="3"/>
  <c r="U907" i="3"/>
  <c r="Y907" i="3" s="1"/>
  <c r="S907" i="3"/>
  <c r="N907" i="3"/>
  <c r="M907" i="3"/>
  <c r="L907" i="3"/>
  <c r="K907" i="3"/>
  <c r="J907" i="3"/>
  <c r="I907" i="3"/>
  <c r="H907" i="3"/>
  <c r="G907" i="3"/>
  <c r="F907" i="3"/>
  <c r="D907" i="3"/>
  <c r="U906" i="3"/>
  <c r="Y906" i="3" s="1"/>
  <c r="S906" i="3"/>
  <c r="N906" i="3"/>
  <c r="M906" i="3"/>
  <c r="L906" i="3"/>
  <c r="K906" i="3"/>
  <c r="J906" i="3"/>
  <c r="I906" i="3"/>
  <c r="H906" i="3"/>
  <c r="G906" i="3"/>
  <c r="F906" i="3"/>
  <c r="D906" i="3"/>
  <c r="U905" i="3"/>
  <c r="Y905" i="3" s="1"/>
  <c r="S905" i="3"/>
  <c r="M905" i="3"/>
  <c r="L905" i="3"/>
  <c r="K905" i="3"/>
  <c r="J905" i="3"/>
  <c r="I905" i="3"/>
  <c r="H905" i="3"/>
  <c r="G905" i="3"/>
  <c r="F905" i="3"/>
  <c r="D905" i="3"/>
  <c r="AB492" i="1" a="1"/>
  <c r="AA908" i="3" a="1"/>
  <c r="AA907" i="3" a="1"/>
  <c r="AA906" i="3" a="1"/>
  <c r="AA905" i="3" a="1"/>
  <c r="AB492" i="1" l="1"/>
  <c r="AA907" i="3"/>
  <c r="AA906" i="3"/>
  <c r="AA905" i="3"/>
  <c r="AA908" i="3"/>
  <c r="U904" i="3"/>
  <c r="Y904" i="3" s="1"/>
  <c r="S904" i="3"/>
  <c r="N904" i="3"/>
  <c r="M904" i="3"/>
  <c r="L904" i="3"/>
  <c r="K904" i="3"/>
  <c r="J904" i="3"/>
  <c r="I904" i="3"/>
  <c r="H904" i="3"/>
  <c r="G904" i="3"/>
  <c r="F904" i="3"/>
  <c r="D904" i="3"/>
  <c r="U903" i="3"/>
  <c r="Y903" i="3" s="1"/>
  <c r="S903" i="3"/>
  <c r="N903" i="3"/>
  <c r="M903" i="3"/>
  <c r="L903" i="3"/>
  <c r="K903" i="3"/>
  <c r="J903" i="3"/>
  <c r="I903" i="3"/>
  <c r="H903" i="3"/>
  <c r="G903" i="3"/>
  <c r="F903" i="3"/>
  <c r="D903" i="3"/>
  <c r="U902" i="3"/>
  <c r="Y902" i="3" s="1"/>
  <c r="S902" i="3"/>
  <c r="N902" i="3"/>
  <c r="M902" i="3"/>
  <c r="L902" i="3"/>
  <c r="K902" i="3"/>
  <c r="J902" i="3"/>
  <c r="I902" i="3"/>
  <c r="H902" i="3"/>
  <c r="G902" i="3"/>
  <c r="F902" i="3"/>
  <c r="D902" i="3"/>
  <c r="U901" i="3"/>
  <c r="Y901" i="3" s="1"/>
  <c r="S901" i="3"/>
  <c r="N901" i="3"/>
  <c r="M901" i="3"/>
  <c r="L901" i="3"/>
  <c r="K901" i="3"/>
  <c r="J901" i="3"/>
  <c r="I901" i="3"/>
  <c r="H901" i="3"/>
  <c r="G901" i="3"/>
  <c r="F901" i="3"/>
  <c r="D901" i="3"/>
  <c r="U900" i="3"/>
  <c r="Y900" i="3" s="1"/>
  <c r="S900" i="3"/>
  <c r="N900" i="3"/>
  <c r="M900" i="3"/>
  <c r="L900" i="3"/>
  <c r="K900" i="3"/>
  <c r="J900" i="3"/>
  <c r="I900" i="3"/>
  <c r="H900" i="3"/>
  <c r="G900" i="3"/>
  <c r="F900" i="3"/>
  <c r="D900" i="3"/>
  <c r="U899" i="3"/>
  <c r="Y899" i="3" s="1"/>
  <c r="S899" i="3"/>
  <c r="N899" i="3"/>
  <c r="M899" i="3"/>
  <c r="L899" i="3"/>
  <c r="K899" i="3"/>
  <c r="J899" i="3"/>
  <c r="I899" i="3"/>
  <c r="H899" i="3"/>
  <c r="G899" i="3"/>
  <c r="F899" i="3"/>
  <c r="D899" i="3"/>
  <c r="U898" i="3"/>
  <c r="Y898" i="3" s="1"/>
  <c r="S898" i="3"/>
  <c r="M898" i="3"/>
  <c r="L898" i="3"/>
  <c r="K898" i="3"/>
  <c r="J898" i="3"/>
  <c r="I898" i="3"/>
  <c r="H898" i="3"/>
  <c r="G898" i="3"/>
  <c r="F898" i="3"/>
  <c r="D898" i="3"/>
  <c r="U897" i="3"/>
  <c r="Y897" i="3" s="1"/>
  <c r="S897" i="3"/>
  <c r="M897" i="3"/>
  <c r="L897" i="3"/>
  <c r="K897" i="3"/>
  <c r="J897" i="3"/>
  <c r="I897" i="3"/>
  <c r="H897" i="3"/>
  <c r="G897" i="3"/>
  <c r="F897" i="3"/>
  <c r="D897" i="3"/>
  <c r="L466" i="1"/>
  <c r="U896" i="3"/>
  <c r="Y896" i="3" s="1"/>
  <c r="S896" i="3"/>
  <c r="M896" i="3"/>
  <c r="L896" i="3"/>
  <c r="K896" i="3"/>
  <c r="J896" i="3"/>
  <c r="I896" i="3"/>
  <c r="H896" i="3"/>
  <c r="G896" i="3"/>
  <c r="F896" i="3"/>
  <c r="D896" i="3"/>
  <c r="U895" i="3"/>
  <c r="Y895" i="3" s="1"/>
  <c r="S895" i="3"/>
  <c r="N895" i="3"/>
  <c r="M895" i="3"/>
  <c r="L895" i="3"/>
  <c r="K895" i="3"/>
  <c r="J895" i="3"/>
  <c r="H895" i="3"/>
  <c r="G895" i="3"/>
  <c r="F895" i="3"/>
  <c r="D895" i="3"/>
  <c r="V814" i="3"/>
  <c r="AA903" i="3" a="1"/>
  <c r="AA904" i="3" a="1"/>
  <c r="AA902" i="3" a="1"/>
  <c r="AA895" i="3" a="1"/>
  <c r="AA898" i="3" a="1"/>
  <c r="AA899" i="3" a="1"/>
  <c r="AA900" i="3" a="1"/>
  <c r="AA901" i="3" a="1"/>
  <c r="AA896" i="3" a="1"/>
  <c r="AA897" i="3" a="1"/>
  <c r="AA895" i="3" l="1"/>
  <c r="AA897" i="3"/>
  <c r="AA899" i="3"/>
  <c r="AA904" i="3"/>
  <c r="AA903" i="3"/>
  <c r="AA901" i="3"/>
  <c r="AA896" i="3"/>
  <c r="AA898" i="3"/>
  <c r="AA900" i="3"/>
  <c r="AA902" i="3"/>
  <c r="N1027" i="3"/>
  <c r="N1023" i="3"/>
  <c r="U894" i="3"/>
  <c r="Y894" i="3" s="1"/>
  <c r="S894" i="3"/>
  <c r="N894" i="3"/>
  <c r="M894" i="3"/>
  <c r="L894" i="3"/>
  <c r="K894" i="3"/>
  <c r="J894" i="3"/>
  <c r="I894" i="3"/>
  <c r="H894" i="3"/>
  <c r="G894" i="3"/>
  <c r="F894" i="3"/>
  <c r="D894" i="3"/>
  <c r="AA894" i="3" a="1"/>
  <c r="AB821" i="1" a="1"/>
  <c r="AB821" i="1" l="1"/>
  <c r="AA894" i="3"/>
  <c r="U893" i="3"/>
  <c r="Y893" i="3" s="1"/>
  <c r="S893" i="3"/>
  <c r="M893" i="3"/>
  <c r="L893" i="3"/>
  <c r="K893" i="3"/>
  <c r="J893" i="3"/>
  <c r="I893" i="3"/>
  <c r="H893" i="3"/>
  <c r="G893" i="3"/>
  <c r="F893" i="3"/>
  <c r="D893" i="3"/>
  <c r="U892" i="3"/>
  <c r="Y892" i="3" s="1"/>
  <c r="S892" i="3"/>
  <c r="M892" i="3"/>
  <c r="L892" i="3"/>
  <c r="K892" i="3"/>
  <c r="J892" i="3"/>
  <c r="I892" i="3"/>
  <c r="H892" i="3"/>
  <c r="G892" i="3"/>
  <c r="F892" i="3"/>
  <c r="D892" i="3"/>
  <c r="U891" i="3"/>
  <c r="Y891" i="3" s="1"/>
  <c r="S891" i="3"/>
  <c r="M891" i="3"/>
  <c r="L891" i="3"/>
  <c r="K891" i="3"/>
  <c r="J891" i="3"/>
  <c r="I891" i="3"/>
  <c r="H891" i="3"/>
  <c r="G891" i="3"/>
  <c r="F891" i="3"/>
  <c r="D891" i="3"/>
  <c r="AA891" i="3" a="1"/>
  <c r="AA892" i="3" a="1"/>
  <c r="AA893" i="3" a="1"/>
  <c r="AA891" i="3" l="1"/>
  <c r="AA893" i="3"/>
  <c r="AA892" i="3"/>
  <c r="U890" i="3"/>
  <c r="Y890" i="3" s="1"/>
  <c r="S890" i="3"/>
  <c r="M890" i="3"/>
  <c r="L890" i="3"/>
  <c r="K890" i="3"/>
  <c r="J890" i="3"/>
  <c r="I890" i="3"/>
  <c r="H890" i="3"/>
  <c r="G890" i="3"/>
  <c r="F890" i="3"/>
  <c r="D890" i="3"/>
  <c r="AA890" i="3" a="1"/>
  <c r="AA890" i="3" l="1"/>
  <c r="AB603" i="1" a="1"/>
  <c r="AB603" i="1" l="1"/>
  <c r="U889" i="3"/>
  <c r="Y889" i="3" s="1"/>
  <c r="S889" i="3"/>
  <c r="N889" i="3"/>
  <c r="M889" i="3"/>
  <c r="L889" i="3"/>
  <c r="K889" i="3"/>
  <c r="J889" i="3"/>
  <c r="I889" i="3"/>
  <c r="H889" i="3"/>
  <c r="G889" i="3"/>
  <c r="F889" i="3"/>
  <c r="D889" i="3"/>
  <c r="U888" i="3"/>
  <c r="Y888" i="3" s="1"/>
  <c r="S888" i="3"/>
  <c r="M888" i="3"/>
  <c r="L888" i="3"/>
  <c r="K888" i="3"/>
  <c r="J888" i="3"/>
  <c r="I888" i="3"/>
  <c r="H888" i="3"/>
  <c r="G888" i="3"/>
  <c r="F888" i="3"/>
  <c r="D888" i="3"/>
  <c r="AA889" i="3" a="1"/>
  <c r="AA888" i="3" a="1"/>
  <c r="AA889" i="3" l="1"/>
  <c r="AA888" i="3"/>
  <c r="AB843" i="1" a="1"/>
  <c r="AB843" i="1" l="1"/>
  <c r="D887" i="3"/>
  <c r="F887" i="3"/>
  <c r="G887" i="3"/>
  <c r="H887" i="3"/>
  <c r="I887" i="3"/>
  <c r="J887" i="3"/>
  <c r="K887" i="3"/>
  <c r="L887" i="3"/>
  <c r="M887" i="3"/>
  <c r="N887" i="3"/>
  <c r="S887" i="3"/>
  <c r="U887" i="3"/>
  <c r="Y887" i="3" s="1"/>
  <c r="AA887" i="3" a="1"/>
  <c r="AA887" i="3" l="1"/>
  <c r="V885" i="3"/>
  <c r="V884" i="3"/>
  <c r="V883" i="3"/>
  <c r="V882" i="3"/>
  <c r="V881" i="3"/>
  <c r="V880" i="3"/>
  <c r="V879" i="3"/>
  <c r="V878" i="3"/>
  <c r="V877" i="3"/>
  <c r="V876" i="3"/>
  <c r="V875" i="3"/>
  <c r="V874" i="3"/>
  <c r="V873" i="3"/>
  <c r="V872" i="3"/>
  <c r="V867" i="3"/>
  <c r="V866" i="3"/>
  <c r="V865" i="3"/>
  <c r="V864" i="3"/>
  <c r="V863" i="3"/>
  <c r="V862" i="3"/>
  <c r="V853" i="3"/>
  <c r="V852" i="3"/>
  <c r="V851" i="3"/>
  <c r="V850" i="3"/>
  <c r="V849" i="3"/>
  <c r="V845" i="3"/>
  <c r="V844" i="3"/>
  <c r="V843" i="3"/>
  <c r="V856" i="3"/>
  <c r="V848" i="3"/>
  <c r="V847" i="3"/>
  <c r="V846" i="3"/>
  <c r="V886" i="3"/>
  <c r="V871" i="3"/>
  <c r="V870" i="3"/>
  <c r="V869" i="3"/>
  <c r="V860" i="3"/>
  <c r="V859" i="3"/>
  <c r="V858" i="3"/>
  <c r="V857" i="3"/>
  <c r="K854" i="3"/>
  <c r="D847" i="3"/>
  <c r="F847" i="3"/>
  <c r="G847" i="3"/>
  <c r="H847" i="3"/>
  <c r="I847" i="3"/>
  <c r="D886" i="3"/>
  <c r="F886" i="3"/>
  <c r="G886" i="3"/>
  <c r="H886" i="3"/>
  <c r="I886" i="3"/>
  <c r="J886" i="3"/>
  <c r="K886" i="3"/>
  <c r="L886" i="3"/>
  <c r="M886" i="3"/>
  <c r="N886" i="3"/>
  <c r="S886" i="3"/>
  <c r="U886" i="3"/>
  <c r="Y886" i="3" s="1"/>
  <c r="D885" i="3"/>
  <c r="F885" i="3"/>
  <c r="G885" i="3"/>
  <c r="H885" i="3"/>
  <c r="I885" i="3"/>
  <c r="J885" i="3"/>
  <c r="K885" i="3"/>
  <c r="L885" i="3"/>
  <c r="M885" i="3"/>
  <c r="N885" i="3"/>
  <c r="S885" i="3"/>
  <c r="U885" i="3"/>
  <c r="Y885" i="3" s="1"/>
  <c r="D884" i="3"/>
  <c r="F884" i="3"/>
  <c r="G884" i="3"/>
  <c r="H884" i="3"/>
  <c r="I884" i="3"/>
  <c r="J884" i="3"/>
  <c r="K884" i="3"/>
  <c r="L884" i="3"/>
  <c r="M884" i="3"/>
  <c r="N884" i="3"/>
  <c r="S884" i="3"/>
  <c r="U884" i="3"/>
  <c r="Y884" i="3" s="1"/>
  <c r="D883" i="3"/>
  <c r="F883" i="3"/>
  <c r="G883" i="3"/>
  <c r="H883" i="3"/>
  <c r="I883" i="3"/>
  <c r="J883" i="3"/>
  <c r="K883" i="3"/>
  <c r="L883" i="3"/>
  <c r="M883" i="3"/>
  <c r="N883" i="3"/>
  <c r="S883" i="3"/>
  <c r="U883" i="3"/>
  <c r="Y883" i="3" s="1"/>
  <c r="D882" i="3"/>
  <c r="F882" i="3"/>
  <c r="G882" i="3"/>
  <c r="H882" i="3"/>
  <c r="I882" i="3"/>
  <c r="J882" i="3"/>
  <c r="K882" i="3"/>
  <c r="L882" i="3"/>
  <c r="M882" i="3"/>
  <c r="N882" i="3"/>
  <c r="S882" i="3"/>
  <c r="U882" i="3"/>
  <c r="Y882" i="3" s="1"/>
  <c r="D881" i="3"/>
  <c r="F881" i="3"/>
  <c r="G881" i="3"/>
  <c r="H881" i="3"/>
  <c r="I881" i="3"/>
  <c r="J881" i="3"/>
  <c r="K881" i="3"/>
  <c r="L881" i="3"/>
  <c r="M881" i="3"/>
  <c r="N881" i="3"/>
  <c r="S881" i="3"/>
  <c r="U881" i="3"/>
  <c r="Y881" i="3" s="1"/>
  <c r="D880" i="3"/>
  <c r="F880" i="3"/>
  <c r="G880" i="3"/>
  <c r="H880" i="3"/>
  <c r="I880" i="3"/>
  <c r="J880" i="3"/>
  <c r="K880" i="3"/>
  <c r="L880" i="3"/>
  <c r="M880" i="3"/>
  <c r="N880" i="3"/>
  <c r="S880" i="3"/>
  <c r="U880" i="3"/>
  <c r="Y880" i="3" s="1"/>
  <c r="D879" i="3"/>
  <c r="F879" i="3"/>
  <c r="G879" i="3"/>
  <c r="H879" i="3"/>
  <c r="I879" i="3"/>
  <c r="J879" i="3"/>
  <c r="K879" i="3"/>
  <c r="L879" i="3"/>
  <c r="M879" i="3"/>
  <c r="N879" i="3"/>
  <c r="S879" i="3"/>
  <c r="U879" i="3"/>
  <c r="Y879" i="3" s="1"/>
  <c r="D878" i="3"/>
  <c r="F878" i="3"/>
  <c r="G878" i="3"/>
  <c r="H878" i="3"/>
  <c r="I878" i="3"/>
  <c r="J878" i="3"/>
  <c r="K878" i="3"/>
  <c r="L878" i="3"/>
  <c r="M878" i="3"/>
  <c r="N878" i="3"/>
  <c r="S878" i="3"/>
  <c r="U878" i="3"/>
  <c r="Y878" i="3" s="1"/>
  <c r="D877" i="3"/>
  <c r="F877" i="3"/>
  <c r="G877" i="3"/>
  <c r="H877" i="3"/>
  <c r="I877" i="3"/>
  <c r="J877" i="3"/>
  <c r="K877" i="3"/>
  <c r="L877" i="3"/>
  <c r="M877" i="3"/>
  <c r="N877" i="3"/>
  <c r="S877" i="3"/>
  <c r="U877" i="3"/>
  <c r="Y877" i="3" s="1"/>
  <c r="D876" i="3"/>
  <c r="F876" i="3"/>
  <c r="G876" i="3"/>
  <c r="H876" i="3"/>
  <c r="I876" i="3"/>
  <c r="J876" i="3"/>
  <c r="K876" i="3"/>
  <c r="L876" i="3"/>
  <c r="M876" i="3"/>
  <c r="N876" i="3"/>
  <c r="S876" i="3"/>
  <c r="U876" i="3"/>
  <c r="Y876" i="3" s="1"/>
  <c r="D875" i="3"/>
  <c r="F875" i="3"/>
  <c r="G875" i="3"/>
  <c r="H875" i="3"/>
  <c r="I875" i="3"/>
  <c r="J875" i="3"/>
  <c r="K875" i="3"/>
  <c r="L875" i="3"/>
  <c r="M875" i="3"/>
  <c r="N875" i="3"/>
  <c r="S875" i="3"/>
  <c r="U875" i="3"/>
  <c r="Y875" i="3" s="1"/>
  <c r="D874" i="3"/>
  <c r="F874" i="3"/>
  <c r="G874" i="3"/>
  <c r="H874" i="3"/>
  <c r="I874" i="3"/>
  <c r="J874" i="3"/>
  <c r="K874" i="3"/>
  <c r="L874" i="3"/>
  <c r="M874" i="3"/>
  <c r="N874" i="3"/>
  <c r="S874" i="3"/>
  <c r="U874" i="3"/>
  <c r="Y874" i="3" s="1"/>
  <c r="D873" i="3"/>
  <c r="F873" i="3"/>
  <c r="G873" i="3"/>
  <c r="H873" i="3"/>
  <c r="I873" i="3"/>
  <c r="J873" i="3"/>
  <c r="K873" i="3"/>
  <c r="L873" i="3"/>
  <c r="M873" i="3"/>
  <c r="N873" i="3"/>
  <c r="S873" i="3"/>
  <c r="U873" i="3"/>
  <c r="Y873" i="3" s="1"/>
  <c r="D872" i="3"/>
  <c r="F872" i="3"/>
  <c r="G872" i="3"/>
  <c r="H872" i="3"/>
  <c r="I872" i="3"/>
  <c r="J872" i="3"/>
  <c r="K872" i="3"/>
  <c r="L872" i="3"/>
  <c r="M872" i="3"/>
  <c r="N872" i="3"/>
  <c r="S872" i="3"/>
  <c r="U872" i="3"/>
  <c r="Y872" i="3" s="1"/>
  <c r="D871" i="3"/>
  <c r="F871" i="3"/>
  <c r="G871" i="3"/>
  <c r="H871" i="3"/>
  <c r="I871" i="3"/>
  <c r="J871" i="3"/>
  <c r="K871" i="3"/>
  <c r="L871" i="3"/>
  <c r="M871" i="3"/>
  <c r="N871" i="3"/>
  <c r="S871" i="3"/>
  <c r="U871" i="3"/>
  <c r="Y871" i="3" s="1"/>
  <c r="D870" i="3"/>
  <c r="F870" i="3"/>
  <c r="G870" i="3"/>
  <c r="H870" i="3"/>
  <c r="I870" i="3"/>
  <c r="J870" i="3"/>
  <c r="K870" i="3"/>
  <c r="L870" i="3"/>
  <c r="M870" i="3"/>
  <c r="N870" i="3"/>
  <c r="S870" i="3"/>
  <c r="U870" i="3"/>
  <c r="Y870" i="3" s="1"/>
  <c r="D869" i="3"/>
  <c r="F869" i="3"/>
  <c r="G869" i="3"/>
  <c r="H869" i="3"/>
  <c r="I869" i="3"/>
  <c r="J869" i="3"/>
  <c r="K869" i="3"/>
  <c r="L869" i="3"/>
  <c r="M869" i="3"/>
  <c r="N869" i="3"/>
  <c r="S869" i="3"/>
  <c r="U869" i="3"/>
  <c r="Y869" i="3" s="1"/>
  <c r="D868" i="3"/>
  <c r="F868" i="3"/>
  <c r="G868" i="3"/>
  <c r="H868" i="3"/>
  <c r="I868" i="3"/>
  <c r="J868" i="3"/>
  <c r="K868" i="3"/>
  <c r="L868" i="3"/>
  <c r="M868" i="3"/>
  <c r="N868" i="3"/>
  <c r="S868" i="3"/>
  <c r="U868" i="3"/>
  <c r="Y868" i="3" s="1"/>
  <c r="D867" i="3"/>
  <c r="F867" i="3"/>
  <c r="G867" i="3"/>
  <c r="H867" i="3"/>
  <c r="I867" i="3"/>
  <c r="J867" i="3"/>
  <c r="K867" i="3"/>
  <c r="L867" i="3"/>
  <c r="M867" i="3"/>
  <c r="N867" i="3"/>
  <c r="S867" i="3"/>
  <c r="U867" i="3"/>
  <c r="Y867" i="3" s="1"/>
  <c r="D866" i="3"/>
  <c r="F866" i="3"/>
  <c r="G866" i="3"/>
  <c r="H866" i="3"/>
  <c r="I866" i="3"/>
  <c r="J866" i="3"/>
  <c r="K866" i="3"/>
  <c r="L866" i="3"/>
  <c r="M866" i="3"/>
  <c r="N866" i="3"/>
  <c r="S866" i="3"/>
  <c r="U866" i="3"/>
  <c r="Y866" i="3" s="1"/>
  <c r="D865" i="3"/>
  <c r="F865" i="3"/>
  <c r="G865" i="3"/>
  <c r="H865" i="3"/>
  <c r="I865" i="3"/>
  <c r="J865" i="3"/>
  <c r="K865" i="3"/>
  <c r="L865" i="3"/>
  <c r="M865" i="3"/>
  <c r="N865" i="3"/>
  <c r="S865" i="3"/>
  <c r="U865" i="3"/>
  <c r="Y865" i="3" s="1"/>
  <c r="D864" i="3"/>
  <c r="F864" i="3"/>
  <c r="G864" i="3"/>
  <c r="H864" i="3"/>
  <c r="I864" i="3"/>
  <c r="J864" i="3"/>
  <c r="K864" i="3"/>
  <c r="L864" i="3"/>
  <c r="M864" i="3"/>
  <c r="N864" i="3"/>
  <c r="S864" i="3"/>
  <c r="U864" i="3"/>
  <c r="Y864" i="3" s="1"/>
  <c r="D863" i="3"/>
  <c r="F863" i="3"/>
  <c r="G863" i="3"/>
  <c r="H863" i="3"/>
  <c r="I863" i="3"/>
  <c r="J863" i="3"/>
  <c r="K863" i="3"/>
  <c r="L863" i="3"/>
  <c r="M863" i="3"/>
  <c r="N863" i="3"/>
  <c r="S863" i="3"/>
  <c r="U863" i="3"/>
  <c r="Y863" i="3" s="1"/>
  <c r="D862" i="3"/>
  <c r="F862" i="3"/>
  <c r="G862" i="3"/>
  <c r="H862" i="3"/>
  <c r="I862" i="3"/>
  <c r="J862" i="3"/>
  <c r="K862" i="3"/>
  <c r="L862" i="3"/>
  <c r="M862" i="3"/>
  <c r="N862" i="3"/>
  <c r="S862" i="3"/>
  <c r="U862" i="3"/>
  <c r="Y862" i="3" s="1"/>
  <c r="D861" i="3"/>
  <c r="F861" i="3"/>
  <c r="G861" i="3"/>
  <c r="H861" i="3"/>
  <c r="I861" i="3"/>
  <c r="J861" i="3"/>
  <c r="K861" i="3"/>
  <c r="L861" i="3"/>
  <c r="M861" i="3"/>
  <c r="N861" i="3"/>
  <c r="S861" i="3"/>
  <c r="U861" i="3"/>
  <c r="Y861" i="3" s="1"/>
  <c r="D860" i="3"/>
  <c r="F860" i="3"/>
  <c r="G860" i="3"/>
  <c r="H860" i="3"/>
  <c r="I860" i="3"/>
  <c r="J860" i="3"/>
  <c r="K860" i="3"/>
  <c r="L860" i="3"/>
  <c r="M860" i="3"/>
  <c r="N860" i="3"/>
  <c r="S860" i="3"/>
  <c r="U860" i="3"/>
  <c r="Y860" i="3" s="1"/>
  <c r="D859" i="3"/>
  <c r="F859" i="3"/>
  <c r="G859" i="3"/>
  <c r="H859" i="3"/>
  <c r="I859" i="3"/>
  <c r="J859" i="3"/>
  <c r="K859" i="3"/>
  <c r="L859" i="3"/>
  <c r="M859" i="3"/>
  <c r="N859" i="3"/>
  <c r="S859" i="3"/>
  <c r="U859" i="3"/>
  <c r="Y859" i="3" s="1"/>
  <c r="D858" i="3"/>
  <c r="F858" i="3"/>
  <c r="G858" i="3"/>
  <c r="H858" i="3"/>
  <c r="I858" i="3"/>
  <c r="J858" i="3"/>
  <c r="K858" i="3"/>
  <c r="L858" i="3"/>
  <c r="M858" i="3"/>
  <c r="N858" i="3"/>
  <c r="S858" i="3"/>
  <c r="U858" i="3"/>
  <c r="Y858" i="3" s="1"/>
  <c r="D857" i="3"/>
  <c r="F857" i="3"/>
  <c r="G857" i="3"/>
  <c r="H857" i="3"/>
  <c r="I857" i="3"/>
  <c r="J857" i="3"/>
  <c r="K857" i="3"/>
  <c r="L857" i="3"/>
  <c r="M857" i="3"/>
  <c r="N857" i="3"/>
  <c r="S857" i="3"/>
  <c r="U857" i="3"/>
  <c r="Y857" i="3" s="1"/>
  <c r="D856" i="3"/>
  <c r="F856" i="3"/>
  <c r="G856" i="3"/>
  <c r="H856" i="3"/>
  <c r="I856" i="3"/>
  <c r="J856" i="3"/>
  <c r="K856" i="3"/>
  <c r="L856" i="3"/>
  <c r="M856" i="3"/>
  <c r="N856" i="3"/>
  <c r="S856" i="3"/>
  <c r="U856" i="3"/>
  <c r="Y856" i="3" s="1"/>
  <c r="D855" i="3"/>
  <c r="F855" i="3"/>
  <c r="G855" i="3"/>
  <c r="H855" i="3"/>
  <c r="I855" i="3"/>
  <c r="J855" i="3"/>
  <c r="K855" i="3"/>
  <c r="L855" i="3"/>
  <c r="M855" i="3"/>
  <c r="N855" i="3"/>
  <c r="S855" i="3"/>
  <c r="U855" i="3"/>
  <c r="Y855" i="3" s="1"/>
  <c r="Q854" i="3"/>
  <c r="S854" i="3" s="1"/>
  <c r="D854" i="3"/>
  <c r="F854" i="3"/>
  <c r="G854" i="3"/>
  <c r="H854" i="3"/>
  <c r="I854" i="3"/>
  <c r="J854" i="3"/>
  <c r="L854" i="3"/>
  <c r="M854" i="3"/>
  <c r="N854" i="3"/>
  <c r="U854" i="3"/>
  <c r="Y854" i="3" s="1"/>
  <c r="D853" i="3"/>
  <c r="F853" i="3"/>
  <c r="G853" i="3"/>
  <c r="H853" i="3"/>
  <c r="I853" i="3"/>
  <c r="J853" i="3"/>
  <c r="K853" i="3"/>
  <c r="L853" i="3"/>
  <c r="M853" i="3"/>
  <c r="N853" i="3"/>
  <c r="S853" i="3"/>
  <c r="U853" i="3"/>
  <c r="Y853" i="3" s="1"/>
  <c r="D852" i="3"/>
  <c r="F852" i="3"/>
  <c r="G852" i="3"/>
  <c r="H852" i="3"/>
  <c r="I852" i="3"/>
  <c r="J852" i="3"/>
  <c r="K852" i="3"/>
  <c r="L852" i="3"/>
  <c r="M852" i="3"/>
  <c r="N852" i="3"/>
  <c r="S852" i="3"/>
  <c r="U852" i="3"/>
  <c r="Y852" i="3" s="1"/>
  <c r="D851" i="3"/>
  <c r="F851" i="3"/>
  <c r="G851" i="3"/>
  <c r="H851" i="3"/>
  <c r="I851" i="3"/>
  <c r="J851" i="3"/>
  <c r="K851" i="3"/>
  <c r="L851" i="3"/>
  <c r="M851" i="3"/>
  <c r="N851" i="3"/>
  <c r="S851" i="3"/>
  <c r="U851" i="3"/>
  <c r="Y851" i="3" s="1"/>
  <c r="D850" i="3"/>
  <c r="F850" i="3"/>
  <c r="G850" i="3"/>
  <c r="H850" i="3"/>
  <c r="I850" i="3"/>
  <c r="J850" i="3"/>
  <c r="K850" i="3"/>
  <c r="L850" i="3"/>
  <c r="M850" i="3"/>
  <c r="N850" i="3"/>
  <c r="S850" i="3"/>
  <c r="U850" i="3"/>
  <c r="Y850" i="3" s="1"/>
  <c r="D849" i="3"/>
  <c r="F849" i="3"/>
  <c r="G849" i="3"/>
  <c r="H849" i="3"/>
  <c r="I849" i="3"/>
  <c r="J849" i="3"/>
  <c r="K849" i="3"/>
  <c r="L849" i="3"/>
  <c r="M849" i="3"/>
  <c r="N849" i="3"/>
  <c r="S849" i="3"/>
  <c r="U849" i="3"/>
  <c r="Y849" i="3" s="1"/>
  <c r="D848" i="3"/>
  <c r="F848" i="3"/>
  <c r="G848" i="3"/>
  <c r="H848" i="3"/>
  <c r="I848" i="3"/>
  <c r="J848" i="3"/>
  <c r="K848" i="3"/>
  <c r="L848" i="3"/>
  <c r="M848" i="3"/>
  <c r="N848" i="3"/>
  <c r="S848" i="3"/>
  <c r="U848" i="3"/>
  <c r="Y848" i="3" s="1"/>
  <c r="J847" i="3"/>
  <c r="K847" i="3"/>
  <c r="L847" i="3"/>
  <c r="M847" i="3"/>
  <c r="N847" i="3"/>
  <c r="S847" i="3"/>
  <c r="U847" i="3"/>
  <c r="Y847" i="3" s="1"/>
  <c r="D846" i="3"/>
  <c r="F846" i="3"/>
  <c r="G846" i="3"/>
  <c r="H846" i="3"/>
  <c r="I846" i="3"/>
  <c r="J846" i="3"/>
  <c r="K846" i="3"/>
  <c r="L846" i="3"/>
  <c r="M846" i="3"/>
  <c r="N846" i="3"/>
  <c r="S846" i="3"/>
  <c r="U846" i="3"/>
  <c r="Y846" i="3" s="1"/>
  <c r="D845" i="3"/>
  <c r="F845" i="3"/>
  <c r="G845" i="3"/>
  <c r="H845" i="3"/>
  <c r="I845" i="3"/>
  <c r="J845" i="3"/>
  <c r="K845" i="3"/>
  <c r="L845" i="3"/>
  <c r="M845" i="3"/>
  <c r="N845" i="3"/>
  <c r="S845" i="3"/>
  <c r="U845" i="3"/>
  <c r="Y845" i="3" s="1"/>
  <c r="D844" i="3"/>
  <c r="F844" i="3"/>
  <c r="G844" i="3"/>
  <c r="H844" i="3"/>
  <c r="I844" i="3"/>
  <c r="J844" i="3"/>
  <c r="K844" i="3"/>
  <c r="L844" i="3"/>
  <c r="M844" i="3"/>
  <c r="N844" i="3"/>
  <c r="S844" i="3"/>
  <c r="U844" i="3"/>
  <c r="Y844" i="3" s="1"/>
  <c r="D843" i="3"/>
  <c r="F843" i="3"/>
  <c r="G843" i="3"/>
  <c r="H843" i="3"/>
  <c r="I843" i="3"/>
  <c r="J843" i="3"/>
  <c r="K843" i="3"/>
  <c r="L843" i="3"/>
  <c r="M843" i="3"/>
  <c r="N843" i="3"/>
  <c r="S843" i="3"/>
  <c r="U843" i="3"/>
  <c r="Y843" i="3" s="1"/>
  <c r="AA883" i="3" a="1"/>
  <c r="AA849" i="3" a="1"/>
  <c r="AA868" i="3" a="1"/>
  <c r="AA844" i="3" a="1"/>
  <c r="AA862" i="3" a="1"/>
  <c r="AA866" i="3" a="1"/>
  <c r="AA847" i="3" a="1"/>
  <c r="AA880" i="3" a="1"/>
  <c r="AA876" i="3" a="1"/>
  <c r="AA856" i="3" a="1"/>
  <c r="AA877" i="3" a="1"/>
  <c r="AA861" i="3" a="1"/>
  <c r="AA863" i="3" a="1"/>
  <c r="AA881" i="3" a="1"/>
  <c r="AA869" i="3" a="1"/>
  <c r="AA885" i="3" a="1"/>
  <c r="AA851" i="3" a="1"/>
  <c r="AA853" i="3" a="1"/>
  <c r="AA872" i="3" a="1"/>
  <c r="AA857" i="3" a="1"/>
  <c r="AA854" i="3" a="1"/>
  <c r="AA850" i="3" a="1"/>
  <c r="AA878" i="3" a="1"/>
  <c r="AA871" i="3" a="1"/>
  <c r="AA848" i="3" a="1"/>
  <c r="AA867" i="3" a="1"/>
  <c r="AA864" i="3" a="1"/>
  <c r="AA873" i="3" a="1"/>
  <c r="AA886" i="3" a="1"/>
  <c r="AA859" i="3" a="1"/>
  <c r="AA855" i="3" a="1"/>
  <c r="AA852" i="3" a="1"/>
  <c r="AA875" i="3" a="1"/>
  <c r="AA843" i="3" a="1"/>
  <c r="AA882" i="3" a="1"/>
  <c r="AA879" i="3" a="1"/>
  <c r="AA870" i="3" a="1"/>
  <c r="AA884" i="3" a="1"/>
  <c r="AA860" i="3" a="1"/>
  <c r="AA865" i="3" a="1"/>
  <c r="AA858" i="3" a="1"/>
  <c r="AA846" i="3" a="1"/>
  <c r="AA845" i="3" a="1"/>
  <c r="AA874" i="3" a="1"/>
  <c r="AA886" i="3" l="1"/>
  <c r="AA851" i="3"/>
  <c r="AA855" i="3"/>
  <c r="AA865" i="3"/>
  <c r="AA875" i="3"/>
  <c r="AA843" i="3"/>
  <c r="AA856" i="3"/>
  <c r="AA881" i="3"/>
  <c r="AA863" i="3"/>
  <c r="AA873" i="3"/>
  <c r="AA883" i="3"/>
  <c r="AA848" i="3"/>
  <c r="AA872" i="3"/>
  <c r="AA852" i="3"/>
  <c r="AA861" i="3"/>
  <c r="AA871" i="3"/>
  <c r="AA868" i="3"/>
  <c r="AA878" i="3"/>
  <c r="AA880" i="3"/>
  <c r="AA862" i="3"/>
  <c r="AA877" i="3"/>
  <c r="AA845" i="3"/>
  <c r="AA859" i="3"/>
  <c r="AA864" i="3"/>
  <c r="AA869" i="3"/>
  <c r="AA874" i="3"/>
  <c r="AA879" i="3"/>
  <c r="AA884" i="3"/>
  <c r="AA866" i="3"/>
  <c r="AA876" i="3"/>
  <c r="AA860" i="3"/>
  <c r="AA885" i="3"/>
  <c r="AA850" i="3"/>
  <c r="AA857" i="3"/>
  <c r="AA844" i="3"/>
  <c r="AA858" i="3"/>
  <c r="AA853" i="3"/>
  <c r="AA846" i="3"/>
  <c r="AA870" i="3"/>
  <c r="AA867" i="3"/>
  <c r="AA882" i="3"/>
  <c r="AA849" i="3"/>
  <c r="AA854" i="3"/>
  <c r="AA847" i="3"/>
  <c r="U842" i="3"/>
  <c r="Y842" i="3" s="1"/>
  <c r="S842" i="3"/>
  <c r="N842" i="3"/>
  <c r="M842" i="3"/>
  <c r="L842" i="3"/>
  <c r="K842" i="3"/>
  <c r="J842" i="3"/>
  <c r="I842" i="3"/>
  <c r="H842" i="3"/>
  <c r="G842" i="3"/>
  <c r="F842" i="3"/>
  <c r="D842" i="3"/>
  <c r="N833" i="3"/>
  <c r="N834" i="3"/>
  <c r="N835" i="3"/>
  <c r="N836" i="3"/>
  <c r="N837" i="3"/>
  <c r="N838" i="3"/>
  <c r="N839" i="3"/>
  <c r="N840" i="3"/>
  <c r="N841" i="3"/>
  <c r="U841" i="3"/>
  <c r="Y841" i="3" s="1"/>
  <c r="S841" i="3"/>
  <c r="M841" i="3"/>
  <c r="L841" i="3"/>
  <c r="K841" i="3"/>
  <c r="J841" i="3"/>
  <c r="I841" i="3"/>
  <c r="H841" i="3"/>
  <c r="G841" i="3"/>
  <c r="F841" i="3"/>
  <c r="D841" i="3"/>
  <c r="U840" i="3"/>
  <c r="Y840" i="3" s="1"/>
  <c r="S840" i="3"/>
  <c r="M840" i="3"/>
  <c r="L840" i="3"/>
  <c r="K840" i="3"/>
  <c r="J840" i="3"/>
  <c r="I840" i="3"/>
  <c r="H840" i="3"/>
  <c r="G840" i="3"/>
  <c r="F840" i="3"/>
  <c r="D840" i="3"/>
  <c r="U839" i="3"/>
  <c r="Y839" i="3" s="1"/>
  <c r="S839" i="3"/>
  <c r="M839" i="3"/>
  <c r="L839" i="3"/>
  <c r="K839" i="3"/>
  <c r="J839" i="3"/>
  <c r="I839" i="3"/>
  <c r="H839" i="3"/>
  <c r="G839" i="3"/>
  <c r="F839" i="3"/>
  <c r="D839" i="3"/>
  <c r="U838" i="3"/>
  <c r="Y838" i="3" s="1"/>
  <c r="S838" i="3"/>
  <c r="M838" i="3"/>
  <c r="L838" i="3"/>
  <c r="K838" i="3"/>
  <c r="J838" i="3"/>
  <c r="I838" i="3"/>
  <c r="H838" i="3"/>
  <c r="G838" i="3"/>
  <c r="F838" i="3"/>
  <c r="D838" i="3"/>
  <c r="U837" i="3"/>
  <c r="Y837" i="3" s="1"/>
  <c r="S837" i="3"/>
  <c r="M837" i="3"/>
  <c r="L837" i="3"/>
  <c r="K837" i="3"/>
  <c r="J837" i="3"/>
  <c r="I837" i="3"/>
  <c r="H837" i="3"/>
  <c r="G837" i="3"/>
  <c r="F837" i="3"/>
  <c r="D837" i="3"/>
  <c r="U836" i="3"/>
  <c r="Y836" i="3" s="1"/>
  <c r="S836" i="3"/>
  <c r="M836" i="3"/>
  <c r="L836" i="3"/>
  <c r="K836" i="3"/>
  <c r="J836" i="3"/>
  <c r="I836" i="3"/>
  <c r="H836" i="3"/>
  <c r="G836" i="3"/>
  <c r="F836" i="3"/>
  <c r="D836" i="3"/>
  <c r="U835" i="3"/>
  <c r="Y835" i="3" s="1"/>
  <c r="S835" i="3"/>
  <c r="M835" i="3"/>
  <c r="L835" i="3"/>
  <c r="K835" i="3"/>
  <c r="J835" i="3"/>
  <c r="I835" i="3"/>
  <c r="H835" i="3"/>
  <c r="G835" i="3"/>
  <c r="F835" i="3"/>
  <c r="D835" i="3"/>
  <c r="U834" i="3"/>
  <c r="Y834" i="3" s="1"/>
  <c r="S834" i="3"/>
  <c r="M834" i="3"/>
  <c r="L834" i="3"/>
  <c r="K834" i="3"/>
  <c r="J834" i="3"/>
  <c r="I834" i="3"/>
  <c r="H834" i="3"/>
  <c r="G834" i="3"/>
  <c r="F834" i="3"/>
  <c r="D834" i="3"/>
  <c r="U833" i="3"/>
  <c r="Y833" i="3" s="1"/>
  <c r="S833" i="3"/>
  <c r="M833" i="3"/>
  <c r="L833" i="3"/>
  <c r="K833" i="3"/>
  <c r="J833" i="3"/>
  <c r="I833" i="3"/>
  <c r="H833" i="3"/>
  <c r="G833" i="3"/>
  <c r="F833" i="3"/>
  <c r="D833" i="3"/>
  <c r="AB441" i="1" a="1"/>
  <c r="AA836" i="3" a="1"/>
  <c r="AA837" i="3" a="1"/>
  <c r="AA838" i="3" a="1"/>
  <c r="AA841" i="3" a="1"/>
  <c r="AA840" i="3" a="1"/>
  <c r="AA834" i="3" a="1"/>
  <c r="AA842" i="3" a="1"/>
  <c r="AA839" i="3" a="1"/>
  <c r="AA833" i="3" a="1"/>
  <c r="AA835" i="3" a="1"/>
  <c r="AB441" i="1" l="1"/>
  <c r="AA835" i="3"/>
  <c r="AA837" i="3"/>
  <c r="AA841" i="3"/>
  <c r="AA833" i="3"/>
  <c r="AA839" i="3"/>
  <c r="AA836" i="3"/>
  <c r="AA842" i="3"/>
  <c r="AA834" i="3"/>
  <c r="AA840" i="3"/>
  <c r="AA838" i="3"/>
  <c r="U832" i="3"/>
  <c r="Y832" i="3" s="1"/>
  <c r="S832" i="3"/>
  <c r="M832" i="3"/>
  <c r="L832" i="3"/>
  <c r="K832" i="3"/>
  <c r="J832" i="3"/>
  <c r="I832" i="3"/>
  <c r="H832" i="3"/>
  <c r="G832" i="3"/>
  <c r="F832" i="3"/>
  <c r="D832" i="3"/>
  <c r="U831" i="3"/>
  <c r="Y831" i="3" s="1"/>
  <c r="S831" i="3"/>
  <c r="M831" i="3"/>
  <c r="L831" i="3"/>
  <c r="K831" i="3"/>
  <c r="J831" i="3"/>
  <c r="I831" i="3"/>
  <c r="H831" i="3"/>
  <c r="G831" i="3"/>
  <c r="F831" i="3"/>
  <c r="D831" i="3"/>
  <c r="AA832" i="3" a="1"/>
  <c r="AA831" i="3" a="1"/>
  <c r="AA831" i="3" l="1"/>
  <c r="AA832" i="3"/>
  <c r="U830" i="3"/>
  <c r="Y830" i="3" s="1"/>
  <c r="S830" i="3"/>
  <c r="N830" i="3"/>
  <c r="M830" i="3"/>
  <c r="L830" i="3"/>
  <c r="K830" i="3"/>
  <c r="J830" i="3"/>
  <c r="I830" i="3"/>
  <c r="H830" i="3"/>
  <c r="G830" i="3"/>
  <c r="F830" i="3"/>
  <c r="D830" i="3"/>
  <c r="L820" i="1"/>
  <c r="U829" i="3"/>
  <c r="Y829" i="3" s="1"/>
  <c r="S829" i="3"/>
  <c r="M829" i="3"/>
  <c r="L829" i="3"/>
  <c r="K829" i="3"/>
  <c r="J829" i="3"/>
  <c r="I829" i="3"/>
  <c r="H829" i="3"/>
  <c r="G829" i="3"/>
  <c r="F829" i="3"/>
  <c r="D829" i="3"/>
  <c r="S828" i="3"/>
  <c r="N828" i="3"/>
  <c r="M828" i="3"/>
  <c r="L828" i="3"/>
  <c r="K828" i="3"/>
  <c r="J828" i="3"/>
  <c r="I828" i="3"/>
  <c r="H828" i="3"/>
  <c r="G828" i="3"/>
  <c r="F828" i="3"/>
  <c r="D828" i="3"/>
  <c r="R14" i="10"/>
  <c r="T14" i="10"/>
  <c r="U827" i="3"/>
  <c r="Y827" i="3" s="1"/>
  <c r="S827" i="3"/>
  <c r="N827" i="3"/>
  <c r="M827" i="3"/>
  <c r="L827" i="3"/>
  <c r="K827" i="3"/>
  <c r="J827" i="3"/>
  <c r="I827" i="3"/>
  <c r="H827" i="3"/>
  <c r="G827" i="3"/>
  <c r="F827" i="3"/>
  <c r="D827" i="3"/>
  <c r="U826" i="3"/>
  <c r="Y826" i="3" s="1"/>
  <c r="S826" i="3"/>
  <c r="N826" i="3"/>
  <c r="M826" i="3"/>
  <c r="L826" i="3"/>
  <c r="K826" i="3"/>
  <c r="J826" i="3"/>
  <c r="I826" i="3"/>
  <c r="H826" i="3"/>
  <c r="G826" i="3"/>
  <c r="F826" i="3"/>
  <c r="D826" i="3"/>
  <c r="U825" i="3"/>
  <c r="Y825" i="3" s="1"/>
  <c r="S825" i="3"/>
  <c r="N825" i="3"/>
  <c r="M825" i="3"/>
  <c r="L825" i="3"/>
  <c r="K825" i="3"/>
  <c r="J825" i="3"/>
  <c r="I825" i="3"/>
  <c r="H825" i="3"/>
  <c r="G825" i="3"/>
  <c r="F825" i="3"/>
  <c r="D825" i="3"/>
  <c r="U824" i="3"/>
  <c r="Y824" i="3" s="1"/>
  <c r="S824" i="3"/>
  <c r="N824" i="3"/>
  <c r="M824" i="3"/>
  <c r="L824" i="3"/>
  <c r="K824" i="3"/>
  <c r="J824" i="3"/>
  <c r="I824" i="3"/>
  <c r="H824" i="3"/>
  <c r="G824" i="3"/>
  <c r="F824" i="3"/>
  <c r="D824" i="3"/>
  <c r="U823" i="3"/>
  <c r="Y823" i="3" s="1"/>
  <c r="S823" i="3"/>
  <c r="N823" i="3"/>
  <c r="M823" i="3"/>
  <c r="L823" i="3"/>
  <c r="K823" i="3"/>
  <c r="J823" i="3"/>
  <c r="I823" i="3"/>
  <c r="H823" i="3"/>
  <c r="G823" i="3"/>
  <c r="F823" i="3"/>
  <c r="D823" i="3"/>
  <c r="U822" i="3"/>
  <c r="Y822" i="3" s="1"/>
  <c r="S822" i="3"/>
  <c r="N822" i="3"/>
  <c r="M822" i="3"/>
  <c r="L822" i="3"/>
  <c r="K822" i="3"/>
  <c r="J822" i="3"/>
  <c r="I822" i="3"/>
  <c r="H822" i="3"/>
  <c r="G822" i="3"/>
  <c r="F822" i="3"/>
  <c r="D822" i="3"/>
  <c r="U821" i="3"/>
  <c r="Y821" i="3" s="1"/>
  <c r="S821" i="3"/>
  <c r="N821" i="3"/>
  <c r="M821" i="3"/>
  <c r="L821" i="3"/>
  <c r="K821" i="3"/>
  <c r="J821" i="3"/>
  <c r="I821" i="3"/>
  <c r="H821" i="3"/>
  <c r="G821" i="3"/>
  <c r="F821" i="3"/>
  <c r="D821" i="3"/>
  <c r="U820" i="3"/>
  <c r="Y820" i="3" s="1"/>
  <c r="N820" i="3"/>
  <c r="M820" i="3"/>
  <c r="L820" i="3"/>
  <c r="K820" i="3"/>
  <c r="J820" i="3"/>
  <c r="I820" i="3"/>
  <c r="H820" i="3"/>
  <c r="G820" i="3"/>
  <c r="F820" i="3"/>
  <c r="D820" i="3"/>
  <c r="U819" i="3"/>
  <c r="Y819" i="3" s="1"/>
  <c r="S819" i="3"/>
  <c r="M819" i="3"/>
  <c r="L819" i="3"/>
  <c r="K819" i="3"/>
  <c r="J819" i="3"/>
  <c r="I819" i="3"/>
  <c r="H819" i="3"/>
  <c r="G819" i="3"/>
  <c r="F819" i="3"/>
  <c r="D819" i="3"/>
  <c r="V432" i="3"/>
  <c r="U818" i="3"/>
  <c r="Y818" i="3" s="1"/>
  <c r="S818" i="3"/>
  <c r="N818" i="3"/>
  <c r="M818" i="3"/>
  <c r="L818" i="3"/>
  <c r="K818" i="3"/>
  <c r="J818" i="3"/>
  <c r="I818" i="3"/>
  <c r="H818" i="3"/>
  <c r="G818" i="3"/>
  <c r="F818" i="3"/>
  <c r="D818" i="3"/>
  <c r="U817" i="3"/>
  <c r="Y817" i="3" s="1"/>
  <c r="S817" i="3"/>
  <c r="M817" i="3"/>
  <c r="L817" i="3"/>
  <c r="K817" i="3"/>
  <c r="J817" i="3"/>
  <c r="I817" i="3"/>
  <c r="H817" i="3"/>
  <c r="G817" i="3"/>
  <c r="F817" i="3"/>
  <c r="D817" i="3"/>
  <c r="U816" i="3"/>
  <c r="Y816" i="3" s="1"/>
  <c r="S816" i="3"/>
  <c r="N816" i="3"/>
  <c r="M816" i="3"/>
  <c r="L816" i="3"/>
  <c r="K816" i="3"/>
  <c r="J816" i="3"/>
  <c r="I816" i="3"/>
  <c r="H816" i="3"/>
  <c r="G816" i="3"/>
  <c r="F816" i="3"/>
  <c r="D816" i="3"/>
  <c r="U815" i="3"/>
  <c r="Y815" i="3" s="1"/>
  <c r="S815" i="3"/>
  <c r="N815" i="3"/>
  <c r="M815" i="3"/>
  <c r="L815" i="3"/>
  <c r="K815" i="3"/>
  <c r="J815" i="3"/>
  <c r="I815" i="3"/>
  <c r="H815" i="3"/>
  <c r="G815" i="3"/>
  <c r="F815" i="3"/>
  <c r="D815" i="3"/>
  <c r="U814" i="3"/>
  <c r="Y814" i="3" s="1"/>
  <c r="S814" i="3"/>
  <c r="N814" i="3"/>
  <c r="M814" i="3"/>
  <c r="L814" i="3"/>
  <c r="K814" i="3"/>
  <c r="J814" i="3"/>
  <c r="I814" i="3"/>
  <c r="H814" i="3"/>
  <c r="G814" i="3"/>
  <c r="F814" i="3"/>
  <c r="D814" i="3"/>
  <c r="AA816" i="3" a="1"/>
  <c r="AA827" i="3" a="1"/>
  <c r="AB392" i="1" a="1"/>
  <c r="AA823" i="3" a="1"/>
  <c r="AA818" i="3" a="1"/>
  <c r="AA830" i="3" a="1"/>
  <c r="AA821" i="3" a="1"/>
  <c r="AA820" i="3" a="1"/>
  <c r="AA826" i="3" a="1"/>
  <c r="AA814" i="3" a="1"/>
  <c r="AA822" i="3" a="1"/>
  <c r="AA815" i="3" a="1"/>
  <c r="AA825" i="3" a="1"/>
  <c r="AB325" i="1" a="1"/>
  <c r="AB113" i="1" a="1"/>
  <c r="AB348" i="1" a="1"/>
  <c r="AB251" i="1" a="1"/>
  <c r="AA819" i="3" a="1"/>
  <c r="AA829" i="3" a="1"/>
  <c r="AB423" i="1" a="1"/>
  <c r="AA828" i="3" a="1"/>
  <c r="AB220" i="1" a="1"/>
  <c r="AB811" i="1" a="1"/>
  <c r="AA824" i="3" a="1"/>
  <c r="AB892" i="1" a="1"/>
  <c r="AB450" i="1" a="1"/>
  <c r="AA817" i="3" a="1"/>
  <c r="N1022" i="3" l="1"/>
  <c r="AB392" i="1"/>
  <c r="AB325" i="1"/>
  <c r="AB423" i="1"/>
  <c r="AB113" i="1"/>
  <c r="AB251" i="1"/>
  <c r="AB811" i="1"/>
  <c r="AB348" i="1"/>
  <c r="AB892" i="1"/>
  <c r="AB220" i="1"/>
  <c r="AB450" i="1"/>
  <c r="AA828" i="3"/>
  <c r="AA830" i="3"/>
  <c r="AA817" i="3"/>
  <c r="AA819" i="3"/>
  <c r="AA822" i="3"/>
  <c r="AA824" i="3"/>
  <c r="AA829" i="3"/>
  <c r="AA814" i="3"/>
  <c r="AA821" i="3"/>
  <c r="AA826" i="3"/>
  <c r="AA816" i="3"/>
  <c r="AA823" i="3"/>
  <c r="AA818" i="3"/>
  <c r="AA820" i="3"/>
  <c r="AA825" i="3"/>
  <c r="AA815" i="3"/>
  <c r="AA827" i="3"/>
  <c r="N999" i="3"/>
  <c r="N998" i="3"/>
  <c r="U813" i="3"/>
  <c r="Y813" i="3" s="1"/>
  <c r="S813" i="3"/>
  <c r="M813" i="3"/>
  <c r="L813" i="3"/>
  <c r="K813" i="3"/>
  <c r="J813" i="3"/>
  <c r="I813" i="3"/>
  <c r="H813" i="3"/>
  <c r="G813" i="3"/>
  <c r="F813" i="3"/>
  <c r="D813" i="3"/>
  <c r="AB70" i="1" a="1"/>
  <c r="AB292" i="1" a="1"/>
  <c r="AB591" i="1" a="1"/>
  <c r="AB203" i="1" a="1"/>
  <c r="AB229" i="1" a="1"/>
  <c r="AB650" i="1" a="1"/>
  <c r="AB258" i="1" a="1"/>
  <c r="AB767" i="1" a="1"/>
  <c r="AB790" i="1" a="1"/>
  <c r="AB366" i="1" a="1"/>
  <c r="AB209" i="1" a="1"/>
  <c r="AB179" i="1" a="1"/>
  <c r="AB607" i="1" a="1"/>
  <c r="AB314" i="1" a="1"/>
  <c r="AB576" i="1" a="1"/>
  <c r="AA813" i="3" a="1"/>
  <c r="AB29" i="1" a="1"/>
  <c r="AB292" i="1" l="1"/>
  <c r="AB258" i="1"/>
  <c r="AB203" i="1"/>
  <c r="AB70" i="1"/>
  <c r="AB591" i="1"/>
  <c r="AB29" i="1"/>
  <c r="AB790" i="1"/>
  <c r="AB366" i="1"/>
  <c r="AB179" i="1"/>
  <c r="AB607" i="1"/>
  <c r="AB209" i="1"/>
  <c r="AB650" i="1"/>
  <c r="AB229" i="1"/>
  <c r="AB314" i="1"/>
  <c r="AB576" i="1"/>
  <c r="AB767" i="1"/>
  <c r="AA813" i="3"/>
  <c r="U812" i="3"/>
  <c r="Y812" i="3" s="1"/>
  <c r="S812" i="3"/>
  <c r="N812" i="3"/>
  <c r="M812" i="3"/>
  <c r="L812" i="3"/>
  <c r="K812" i="3"/>
  <c r="J812" i="3"/>
  <c r="I812" i="3"/>
  <c r="H812" i="3"/>
  <c r="G812" i="3"/>
  <c r="F812" i="3"/>
  <c r="D812" i="3"/>
  <c r="U811" i="3"/>
  <c r="Y811" i="3" s="1"/>
  <c r="S811" i="3"/>
  <c r="M811" i="3"/>
  <c r="L811" i="3"/>
  <c r="K811" i="3"/>
  <c r="J811" i="3"/>
  <c r="I811" i="3"/>
  <c r="H811" i="3"/>
  <c r="G811" i="3"/>
  <c r="F811" i="3"/>
  <c r="D811" i="3"/>
  <c r="U810" i="3"/>
  <c r="Y810" i="3" s="1"/>
  <c r="S810" i="3"/>
  <c r="M810" i="3"/>
  <c r="L810" i="3"/>
  <c r="K810" i="3"/>
  <c r="J810" i="3"/>
  <c r="I810" i="3"/>
  <c r="H810" i="3"/>
  <c r="G810" i="3"/>
  <c r="F810" i="3"/>
  <c r="D810" i="3"/>
  <c r="U809" i="3"/>
  <c r="Y809" i="3" s="1"/>
  <c r="S809" i="3"/>
  <c r="M809" i="3"/>
  <c r="L809" i="3"/>
  <c r="K809" i="3"/>
  <c r="J809" i="3"/>
  <c r="I809" i="3"/>
  <c r="H809" i="3"/>
  <c r="G809" i="3"/>
  <c r="F809" i="3"/>
  <c r="D809" i="3"/>
  <c r="S808" i="3"/>
  <c r="S807" i="3"/>
  <c r="S806" i="3"/>
  <c r="S805" i="3"/>
  <c r="S804" i="3"/>
  <c r="S803" i="3"/>
  <c r="D803" i="3"/>
  <c r="D804" i="3"/>
  <c r="D805" i="3"/>
  <c r="D806" i="3"/>
  <c r="D807" i="3"/>
  <c r="D808" i="3"/>
  <c r="F803" i="3"/>
  <c r="F804" i="3"/>
  <c r="F805" i="3"/>
  <c r="F806" i="3"/>
  <c r="F807" i="3"/>
  <c r="F808" i="3"/>
  <c r="G803" i="3"/>
  <c r="G804" i="3"/>
  <c r="G805" i="3"/>
  <c r="G806" i="3"/>
  <c r="G807" i="3"/>
  <c r="G808" i="3"/>
  <c r="H803" i="3"/>
  <c r="H804" i="3"/>
  <c r="H805" i="3"/>
  <c r="H806" i="3"/>
  <c r="H807" i="3"/>
  <c r="H808" i="3"/>
  <c r="I803" i="3"/>
  <c r="I804" i="3"/>
  <c r="I805" i="3"/>
  <c r="I806" i="3"/>
  <c r="I807" i="3"/>
  <c r="I808" i="3"/>
  <c r="J803" i="3"/>
  <c r="J804" i="3"/>
  <c r="J805" i="3"/>
  <c r="J806" i="3"/>
  <c r="J807" i="3"/>
  <c r="J808" i="3"/>
  <c r="K803" i="3"/>
  <c r="K804" i="3"/>
  <c r="K805" i="3"/>
  <c r="K806" i="3"/>
  <c r="K807" i="3"/>
  <c r="K808" i="3"/>
  <c r="L803" i="3"/>
  <c r="L804" i="3"/>
  <c r="L805" i="3"/>
  <c r="L806" i="3"/>
  <c r="L807" i="3"/>
  <c r="L808" i="3"/>
  <c r="M803" i="3"/>
  <c r="M804" i="3"/>
  <c r="M805" i="3"/>
  <c r="M806" i="3"/>
  <c r="M807" i="3"/>
  <c r="M808" i="3"/>
  <c r="N803" i="3"/>
  <c r="N804" i="3"/>
  <c r="N805" i="3"/>
  <c r="N806" i="3"/>
  <c r="N808" i="3"/>
  <c r="U803" i="3"/>
  <c r="Y803" i="3" s="1"/>
  <c r="U804" i="3"/>
  <c r="Y804" i="3" s="1"/>
  <c r="U805" i="3"/>
  <c r="Y805" i="3" s="1"/>
  <c r="U806" i="3"/>
  <c r="Y806" i="3" s="1"/>
  <c r="U807" i="3"/>
  <c r="Y807" i="3" s="1"/>
  <c r="U808" i="3"/>
  <c r="Y808" i="3" s="1"/>
  <c r="U802" i="3"/>
  <c r="Y802" i="3" s="1"/>
  <c r="S802" i="3"/>
  <c r="M802" i="3"/>
  <c r="L802" i="3"/>
  <c r="K802" i="3"/>
  <c r="J802" i="3"/>
  <c r="I802" i="3"/>
  <c r="H802" i="3"/>
  <c r="G802" i="3"/>
  <c r="F802" i="3"/>
  <c r="D802" i="3"/>
  <c r="U801" i="3"/>
  <c r="Y801" i="3" s="1"/>
  <c r="S801" i="3"/>
  <c r="M801" i="3"/>
  <c r="L801" i="3"/>
  <c r="K801" i="3"/>
  <c r="J801" i="3"/>
  <c r="I801" i="3"/>
  <c r="H801" i="3"/>
  <c r="G801" i="3"/>
  <c r="F801" i="3"/>
  <c r="D801" i="3"/>
  <c r="U800" i="3"/>
  <c r="Y800" i="3" s="1"/>
  <c r="S800" i="3"/>
  <c r="M800" i="3"/>
  <c r="L800" i="3"/>
  <c r="K800" i="3"/>
  <c r="J800" i="3"/>
  <c r="I800" i="3"/>
  <c r="H800" i="3"/>
  <c r="G800" i="3"/>
  <c r="F800" i="3"/>
  <c r="D800" i="3"/>
  <c r="AA812" i="3" a="1"/>
  <c r="AA800" i="3" a="1"/>
  <c r="AA808" i="3" a="1"/>
  <c r="AB794" i="1" a="1"/>
  <c r="AB365" i="1" a="1"/>
  <c r="AB20" i="1" a="1"/>
  <c r="AA805" i="3" a="1"/>
  <c r="AA811" i="3" a="1"/>
  <c r="AA806" i="3" a="1"/>
  <c r="AA803" i="3" a="1"/>
  <c r="AB766" i="1" a="1"/>
  <c r="AA810" i="3" a="1"/>
  <c r="AB562" i="1" a="1"/>
  <c r="AB186" i="1" a="1"/>
  <c r="AB597" i="1" a="1"/>
  <c r="AA801" i="3" a="1"/>
  <c r="AB854" i="1" a="1"/>
  <c r="AA802" i="3" a="1"/>
  <c r="AA804" i="3" a="1"/>
  <c r="AB416" i="1" a="1"/>
  <c r="AB396" i="1" a="1"/>
  <c r="AB152" i="1" a="1"/>
  <c r="AA807" i="3" a="1"/>
  <c r="AB649" i="1" a="1"/>
  <c r="AB523" i="1" a="1"/>
  <c r="AA809" i="3" a="1"/>
  <c r="AB152" i="1" l="1"/>
  <c r="AB416" i="1"/>
  <c r="AB396" i="1"/>
  <c r="AB20" i="1"/>
  <c r="AB649" i="1"/>
  <c r="AB562" i="1"/>
  <c r="AB365" i="1"/>
  <c r="AB794" i="1"/>
  <c r="AB597" i="1"/>
  <c r="AB523" i="1"/>
  <c r="AB186" i="1"/>
  <c r="AB766" i="1"/>
  <c r="AB854" i="1"/>
  <c r="AA800" i="3"/>
  <c r="AA812" i="3"/>
  <c r="AA808" i="3"/>
  <c r="AA806" i="3"/>
  <c r="AA805" i="3"/>
  <c r="AA804" i="3"/>
  <c r="AA802" i="3"/>
  <c r="AA807" i="3"/>
  <c r="AA803" i="3"/>
  <c r="AA809" i="3"/>
  <c r="AA811" i="3"/>
  <c r="AA810" i="3"/>
  <c r="AA801" i="3"/>
  <c r="AB151" i="1" a="1"/>
  <c r="AB134" i="1" a="1"/>
  <c r="AB134" i="1" l="1"/>
  <c r="AB151" i="1"/>
  <c r="V789" i="3"/>
  <c r="V431" i="3"/>
  <c r="U799" i="3"/>
  <c r="Y799" i="3" s="1"/>
  <c r="S799" i="3"/>
  <c r="N799" i="3"/>
  <c r="M799" i="3"/>
  <c r="L799" i="3"/>
  <c r="K799" i="3"/>
  <c r="J799" i="3"/>
  <c r="I799" i="3"/>
  <c r="H799" i="3"/>
  <c r="G799" i="3"/>
  <c r="F799" i="3"/>
  <c r="D799" i="3"/>
  <c r="AA799" i="3" a="1"/>
  <c r="AA799" i="3" l="1"/>
  <c r="D791" i="3"/>
  <c r="D792" i="3"/>
  <c r="D793" i="3"/>
  <c r="D794" i="3"/>
  <c r="D795" i="3"/>
  <c r="D796" i="3"/>
  <c r="D797" i="3"/>
  <c r="D798" i="3"/>
  <c r="F791" i="3"/>
  <c r="F792" i="3"/>
  <c r="F793" i="3"/>
  <c r="F794" i="3"/>
  <c r="F795" i="3"/>
  <c r="F796" i="3"/>
  <c r="F797" i="3"/>
  <c r="F798" i="3"/>
  <c r="G791" i="3"/>
  <c r="G792" i="3"/>
  <c r="G793" i="3"/>
  <c r="G794" i="3"/>
  <c r="G795" i="3"/>
  <c r="G796" i="3"/>
  <c r="G797" i="3"/>
  <c r="G798" i="3"/>
  <c r="H791" i="3"/>
  <c r="H792" i="3"/>
  <c r="H793" i="3"/>
  <c r="H794" i="3"/>
  <c r="H795" i="3"/>
  <c r="H796" i="3"/>
  <c r="H797" i="3"/>
  <c r="H798" i="3"/>
  <c r="I791" i="3"/>
  <c r="I792" i="3"/>
  <c r="I793" i="3"/>
  <c r="I794" i="3"/>
  <c r="I795" i="3"/>
  <c r="I796" i="3"/>
  <c r="I797" i="3"/>
  <c r="I798" i="3"/>
  <c r="J791" i="3"/>
  <c r="J792" i="3"/>
  <c r="J793" i="3"/>
  <c r="J794" i="3"/>
  <c r="J795" i="3"/>
  <c r="J796" i="3"/>
  <c r="J797" i="3"/>
  <c r="J798" i="3"/>
  <c r="K791" i="3"/>
  <c r="K792" i="3"/>
  <c r="K793" i="3"/>
  <c r="K794" i="3"/>
  <c r="K795" i="3"/>
  <c r="K796" i="3"/>
  <c r="K797" i="3"/>
  <c r="K798" i="3"/>
  <c r="L791" i="3"/>
  <c r="L792" i="3"/>
  <c r="L793" i="3"/>
  <c r="L794" i="3"/>
  <c r="L795" i="3"/>
  <c r="L796" i="3"/>
  <c r="L797" i="3"/>
  <c r="L798" i="3"/>
  <c r="M791" i="3"/>
  <c r="M792" i="3"/>
  <c r="M793" i="3"/>
  <c r="M794" i="3"/>
  <c r="M795" i="3"/>
  <c r="M796" i="3"/>
  <c r="M797" i="3"/>
  <c r="M798" i="3"/>
  <c r="N791" i="3"/>
  <c r="N792" i="3"/>
  <c r="N793" i="3"/>
  <c r="N794" i="3"/>
  <c r="N795" i="3"/>
  <c r="N796" i="3"/>
  <c r="N797" i="3"/>
  <c r="N798" i="3"/>
  <c r="S791" i="3"/>
  <c r="S792" i="3"/>
  <c r="S793" i="3"/>
  <c r="S794" i="3"/>
  <c r="S795" i="3"/>
  <c r="S796" i="3"/>
  <c r="S797" i="3"/>
  <c r="S798" i="3"/>
  <c r="U791" i="3"/>
  <c r="Y791" i="3" s="1"/>
  <c r="U792" i="3"/>
  <c r="Y792" i="3" s="1"/>
  <c r="U793" i="3"/>
  <c r="Y793" i="3" s="1"/>
  <c r="U794" i="3"/>
  <c r="Y794" i="3" s="1"/>
  <c r="U795" i="3"/>
  <c r="Y795" i="3" s="1"/>
  <c r="U796" i="3"/>
  <c r="Y796" i="3" s="1"/>
  <c r="U797" i="3"/>
  <c r="Y797" i="3" s="1"/>
  <c r="U798" i="3"/>
  <c r="Y798" i="3" s="1"/>
  <c r="Q8" i="10"/>
  <c r="T8" i="10"/>
  <c r="Q9" i="10"/>
  <c r="T9" i="10"/>
  <c r="Q10" i="10"/>
  <c r="T10" i="10"/>
  <c r="Q11" i="10"/>
  <c r="T11" i="10"/>
  <c r="T12" i="10"/>
  <c r="U790" i="3"/>
  <c r="Y790" i="3" s="1"/>
  <c r="N790" i="3"/>
  <c r="M790" i="3"/>
  <c r="L790" i="3"/>
  <c r="K790" i="3"/>
  <c r="J790" i="3"/>
  <c r="I790" i="3"/>
  <c r="H790" i="3"/>
  <c r="G790" i="3"/>
  <c r="F790" i="3"/>
  <c r="D790" i="3"/>
  <c r="AA798" i="3" a="1"/>
  <c r="AA792" i="3" a="1"/>
  <c r="AA793" i="3" a="1"/>
  <c r="AA790" i="3" a="1"/>
  <c r="AA797" i="3" a="1"/>
  <c r="AA795" i="3" a="1"/>
  <c r="AA791" i="3" a="1"/>
  <c r="AB36" i="1" a="1"/>
  <c r="AA796" i="3" a="1"/>
  <c r="AA794" i="3" a="1"/>
  <c r="AB36" i="1" l="1"/>
  <c r="AA796" i="3"/>
  <c r="AA795" i="3"/>
  <c r="AA793" i="3"/>
  <c r="AA791" i="3"/>
  <c r="AA790" i="3"/>
  <c r="AA797" i="3"/>
  <c r="AA798" i="3"/>
  <c r="AA792" i="3"/>
  <c r="AA794" i="3"/>
  <c r="R10" i="10"/>
  <c r="P9" i="10"/>
  <c r="R9" i="10" s="1"/>
  <c r="AB266" i="1" a="1"/>
  <c r="AB266" i="1" l="1"/>
  <c r="U789" i="3"/>
  <c r="Y789" i="3" s="1"/>
  <c r="S789" i="3"/>
  <c r="N789" i="3"/>
  <c r="M789" i="3"/>
  <c r="L789" i="3"/>
  <c r="K789" i="3"/>
  <c r="J789" i="3"/>
  <c r="I789" i="3"/>
  <c r="H789" i="3"/>
  <c r="G789" i="3"/>
  <c r="F789" i="3"/>
  <c r="D789" i="3"/>
  <c r="AA789" i="3" a="1"/>
  <c r="AA789" i="3" l="1"/>
  <c r="N5" i="3"/>
  <c r="N6" i="3"/>
  <c r="N7" i="3"/>
  <c r="N8" i="3"/>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7" i="3"/>
  <c r="N168" i="3"/>
  <c r="N169" i="3"/>
  <c r="N170" i="3"/>
  <c r="N171"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3" i="3"/>
  <c r="N234" i="3"/>
  <c r="N235" i="3"/>
  <c r="N236" i="3"/>
  <c r="N237" i="3"/>
  <c r="N239" i="3"/>
  <c r="N243" i="3"/>
  <c r="N244" i="3"/>
  <c r="N245" i="3"/>
  <c r="N248" i="3"/>
  <c r="N250" i="3"/>
  <c r="N251" i="3"/>
  <c r="N252" i="3"/>
  <c r="N253" i="3"/>
  <c r="N254" i="3"/>
  <c r="N255" i="3"/>
  <c r="N256" i="3"/>
  <c r="N257" i="3"/>
  <c r="N258" i="3"/>
  <c r="N259" i="3"/>
  <c r="N260" i="3"/>
  <c r="N261" i="3"/>
  <c r="N262" i="3"/>
  <c r="N263" i="3"/>
  <c r="N266" i="3"/>
  <c r="N267" i="3"/>
  <c r="N269" i="3"/>
  <c r="N270" i="3"/>
  <c r="N271" i="3"/>
  <c r="N272" i="3"/>
  <c r="N273" i="3"/>
  <c r="N274" i="3"/>
  <c r="N275" i="3"/>
  <c r="N276" i="3"/>
  <c r="N277" i="3"/>
  <c r="N278" i="3"/>
  <c r="N279" i="3"/>
  <c r="N280" i="3"/>
  <c r="N281" i="3"/>
  <c r="N282" i="3"/>
  <c r="N283" i="3"/>
  <c r="N284" i="3"/>
  <c r="N285" i="3"/>
  <c r="N286" i="3"/>
  <c r="N287" i="3"/>
  <c r="N288" i="3"/>
  <c r="N289" i="3"/>
  <c r="N290" i="3"/>
  <c r="N291"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7" i="3"/>
  <c r="N328" i="3"/>
  <c r="N329" i="3"/>
  <c r="N330" i="3"/>
  <c r="N331" i="3"/>
  <c r="N332" i="3"/>
  <c r="N333" i="3"/>
  <c r="N334" i="3"/>
  <c r="N335" i="3"/>
  <c r="N336" i="3"/>
  <c r="N337" i="3"/>
  <c r="N338" i="3"/>
  <c r="N339" i="3"/>
  <c r="N340" i="3"/>
  <c r="N344"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81" i="3"/>
  <c r="N382" i="3"/>
  <c r="N383" i="3"/>
  <c r="N384" i="3"/>
  <c r="N386" i="3"/>
  <c r="N387" i="3"/>
  <c r="N388" i="3"/>
  <c r="N389" i="3"/>
  <c r="N390" i="3"/>
  <c r="N391" i="3"/>
  <c r="N395" i="3"/>
  <c r="N396" i="3"/>
  <c r="N397" i="3"/>
  <c r="N398" i="3"/>
  <c r="N399" i="3"/>
  <c r="N400" i="3"/>
  <c r="N402" i="3"/>
  <c r="N404" i="3"/>
  <c r="N405" i="3"/>
  <c r="N406" i="3"/>
  <c r="N407" i="3"/>
  <c r="N408" i="3"/>
  <c r="N409" i="3"/>
  <c r="N410" i="3"/>
  <c r="N411" i="3"/>
  <c r="N412" i="3"/>
  <c r="N413" i="3"/>
  <c r="N414" i="3"/>
  <c r="N415" i="3"/>
  <c r="N416" i="3"/>
  <c r="N417" i="3"/>
  <c r="N418" i="3"/>
  <c r="N419" i="3"/>
  <c r="N420" i="3"/>
  <c r="N422" i="3"/>
  <c r="N423" i="3"/>
  <c r="N425"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4" i="3"/>
  <c r="N535" i="3"/>
  <c r="N537" i="3"/>
  <c r="N538" i="3"/>
  <c r="N540" i="3"/>
  <c r="N543" i="3"/>
  <c r="N544" i="3"/>
  <c r="N545" i="3"/>
  <c r="N550" i="3"/>
  <c r="N551" i="3"/>
  <c r="N552" i="3"/>
  <c r="N553" i="3"/>
  <c r="N556" i="3"/>
  <c r="N559" i="3"/>
  <c r="N560" i="3"/>
  <c r="N561" i="3"/>
  <c r="N563" i="3"/>
  <c r="N564" i="3"/>
  <c r="N565" i="3"/>
  <c r="N567" i="3"/>
  <c r="N568" i="3"/>
  <c r="N569" i="3"/>
  <c r="N570" i="3"/>
  <c r="N571" i="3"/>
  <c r="N572" i="3"/>
  <c r="N573" i="3"/>
  <c r="N576" i="3"/>
  <c r="N577" i="3"/>
  <c r="N578" i="3"/>
  <c r="N579" i="3"/>
  <c r="N580" i="3"/>
  <c r="N581" i="3"/>
  <c r="N582" i="3"/>
  <c r="N583" i="3"/>
  <c r="N584" i="3"/>
  <c r="N585" i="3"/>
  <c r="N586" i="3"/>
  <c r="N587" i="3"/>
  <c r="N588" i="3"/>
  <c r="N589" i="3"/>
  <c r="N590" i="3"/>
  <c r="N591" i="3"/>
  <c r="N592" i="3"/>
  <c r="N593" i="3"/>
  <c r="N599" i="3"/>
  <c r="N600" i="3"/>
  <c r="N601" i="3"/>
  <c r="N606" i="3"/>
  <c r="N607" i="3"/>
  <c r="N608" i="3"/>
  <c r="N609" i="3"/>
  <c r="N610" i="3"/>
  <c r="N611" i="3"/>
  <c r="N612" i="3"/>
  <c r="N615" i="3"/>
  <c r="N633" i="3"/>
  <c r="N634" i="3"/>
  <c r="N638" i="3"/>
  <c r="N639" i="3"/>
  <c r="N640" i="3"/>
  <c r="N641" i="3"/>
  <c r="N642" i="3"/>
  <c r="N643" i="3"/>
  <c r="N644" i="3"/>
  <c r="N645" i="3"/>
  <c r="N646" i="3"/>
  <c r="N647" i="3"/>
  <c r="N648" i="3"/>
  <c r="N649" i="3"/>
  <c r="N650" i="3"/>
  <c r="N651" i="3"/>
  <c r="N652" i="3"/>
  <c r="N653" i="3"/>
  <c r="N654" i="3"/>
  <c r="N655" i="3"/>
  <c r="N656" i="3"/>
  <c r="N657" i="3"/>
  <c r="N658" i="3"/>
  <c r="N659" i="3"/>
  <c r="N660" i="3"/>
  <c r="N661" i="3"/>
  <c r="N662" i="3"/>
  <c r="N663" i="3"/>
  <c r="N664" i="3"/>
  <c r="N665" i="3"/>
  <c r="N666" i="3"/>
  <c r="N667" i="3"/>
  <c r="N668" i="3"/>
  <c r="N669" i="3"/>
  <c r="N670" i="3"/>
  <c r="N671" i="3"/>
  <c r="N672" i="3"/>
  <c r="N673" i="3"/>
  <c r="N674" i="3"/>
  <c r="N675" i="3"/>
  <c r="N676" i="3"/>
  <c r="N677" i="3"/>
  <c r="N678" i="3"/>
  <c r="N679" i="3"/>
  <c r="N680" i="3"/>
  <c r="N681" i="3"/>
  <c r="N682" i="3"/>
  <c r="N683" i="3"/>
  <c r="N684" i="3"/>
  <c r="N685" i="3"/>
  <c r="N686" i="3"/>
  <c r="N687" i="3"/>
  <c r="N688" i="3"/>
  <c r="N689" i="3"/>
  <c r="N690" i="3"/>
  <c r="N691" i="3"/>
  <c r="N692" i="3"/>
  <c r="N693" i="3"/>
  <c r="N694" i="3"/>
  <c r="N695" i="3"/>
  <c r="N696" i="3"/>
  <c r="N697" i="3"/>
  <c r="N698" i="3"/>
  <c r="N699" i="3"/>
  <c r="N700" i="3"/>
  <c r="N701" i="3"/>
  <c r="N702" i="3"/>
  <c r="N703" i="3"/>
  <c r="N704" i="3"/>
  <c r="N705" i="3"/>
  <c r="N706" i="3"/>
  <c r="N707" i="3"/>
  <c r="N708" i="3"/>
  <c r="N709" i="3"/>
  <c r="N710" i="3"/>
  <c r="N711" i="3"/>
  <c r="N712" i="3"/>
  <c r="N713" i="3"/>
  <c r="N714" i="3"/>
  <c r="N715" i="3"/>
  <c r="N716" i="3"/>
  <c r="N717" i="3"/>
  <c r="N718" i="3"/>
  <c r="N719" i="3"/>
  <c r="N720" i="3"/>
  <c r="N721" i="3"/>
  <c r="N722" i="3"/>
  <c r="N723" i="3"/>
  <c r="N724" i="3"/>
  <c r="N725" i="3"/>
  <c r="N726" i="3"/>
  <c r="N727" i="3"/>
  <c r="N728" i="3"/>
  <c r="N729" i="3"/>
  <c r="N730" i="3"/>
  <c r="N731" i="3"/>
  <c r="N732" i="3"/>
  <c r="N733" i="3"/>
  <c r="N734" i="3"/>
  <c r="N735" i="3"/>
  <c r="N736" i="3"/>
  <c r="N737" i="3"/>
  <c r="N738" i="3"/>
  <c r="N739" i="3"/>
  <c r="N740" i="3"/>
  <c r="N741" i="3"/>
  <c r="N742" i="3"/>
  <c r="N743" i="3"/>
  <c r="N744" i="3"/>
  <c r="N745" i="3"/>
  <c r="N746" i="3"/>
  <c r="N747" i="3"/>
  <c r="N748" i="3"/>
  <c r="N749" i="3"/>
  <c r="N750" i="3"/>
  <c r="N751" i="3"/>
  <c r="N752" i="3"/>
  <c r="N753" i="3"/>
  <c r="N754" i="3"/>
  <c r="N755" i="3"/>
  <c r="N756" i="3"/>
  <c r="N758" i="3"/>
  <c r="N759" i="3"/>
  <c r="N760" i="3"/>
  <c r="N761" i="3"/>
  <c r="N762" i="3"/>
  <c r="N765" i="3"/>
  <c r="N768" i="3"/>
  <c r="N769" i="3"/>
  <c r="N770" i="3"/>
  <c r="N771" i="3"/>
  <c r="N772" i="3"/>
  <c r="N773" i="3"/>
  <c r="N774" i="3"/>
  <c r="N775" i="3"/>
  <c r="N776" i="3"/>
  <c r="N777" i="3"/>
  <c r="N778" i="3"/>
  <c r="N779" i="3"/>
  <c r="N780" i="3"/>
  <c r="N781" i="3"/>
  <c r="N782" i="3"/>
  <c r="N783" i="3"/>
  <c r="N784" i="3"/>
  <c r="N785" i="3"/>
  <c r="U788" i="3"/>
  <c r="Y788" i="3" s="1"/>
  <c r="S788" i="3"/>
  <c r="M788" i="3"/>
  <c r="L788" i="3"/>
  <c r="K788" i="3"/>
  <c r="J788" i="3"/>
  <c r="I788" i="3"/>
  <c r="H788" i="3"/>
  <c r="G788" i="3"/>
  <c r="F788" i="3"/>
  <c r="D788" i="3"/>
  <c r="U787" i="3"/>
  <c r="Y787" i="3" s="1"/>
  <c r="S787" i="3"/>
  <c r="M787" i="3"/>
  <c r="L787" i="3"/>
  <c r="K787" i="3"/>
  <c r="J787" i="3"/>
  <c r="I787" i="3"/>
  <c r="H787" i="3"/>
  <c r="G787" i="3"/>
  <c r="F787" i="3"/>
  <c r="D787" i="3"/>
  <c r="U786" i="3"/>
  <c r="Y786" i="3" s="1"/>
  <c r="S786" i="3"/>
  <c r="M786" i="3"/>
  <c r="L786" i="3"/>
  <c r="K786" i="3"/>
  <c r="J786" i="3"/>
  <c r="I786" i="3"/>
  <c r="H786" i="3"/>
  <c r="G786" i="3"/>
  <c r="F786" i="3"/>
  <c r="D786" i="3"/>
  <c r="AB241" i="1" a="1"/>
  <c r="AB768" i="1" a="1"/>
  <c r="AB62" i="1" a="1"/>
  <c r="AB527" i="1" a="1"/>
  <c r="AB565" i="1" a="1"/>
  <c r="AB340" i="1" a="1"/>
  <c r="AB364" i="1" a="1"/>
  <c r="AB887" i="1" a="1"/>
  <c r="AB614" i="1" a="1"/>
  <c r="AB228" i="1" a="1"/>
  <c r="AB178" i="1" a="1"/>
  <c r="AB413" i="1" a="1"/>
  <c r="AB602" i="1" a="1"/>
  <c r="AB750" i="1" a="1"/>
  <c r="AB699" i="1" a="1"/>
  <c r="AB471" i="1" a="1"/>
  <c r="AB751" i="1" a="1"/>
  <c r="AB126" i="1" a="1"/>
  <c r="AB212" i="1" a="1"/>
  <c r="AB617" i="1" a="1"/>
  <c r="AB24" i="1" a="1"/>
  <c r="AB322" i="1" a="1"/>
  <c r="AB404" i="1" a="1"/>
  <c r="AB895" i="1" a="1"/>
  <c r="AA788" i="3" a="1"/>
  <c r="AB323" i="1" a="1"/>
  <c r="AB636" i="1" a="1"/>
  <c r="AB270" i="1" a="1"/>
  <c r="AB693" i="1" a="1"/>
  <c r="AB850" i="1" a="1"/>
  <c r="AB440" i="1" a="1"/>
  <c r="AB150" i="1" a="1"/>
  <c r="AB585" i="1" a="1"/>
  <c r="AB224" i="1" a="1"/>
  <c r="AB202" i="1" a="1"/>
  <c r="AB612" i="1" a="1"/>
  <c r="AB300" i="1" a="1"/>
  <c r="AA787" i="3" a="1"/>
  <c r="AA786" i="3" a="1"/>
  <c r="AB432" i="1" a="1"/>
  <c r="AB69" i="1" a="1"/>
  <c r="AB573" i="1" a="1"/>
  <c r="AB432" i="1" l="1"/>
  <c r="AB471" i="1"/>
  <c r="AB413" i="1"/>
  <c r="AB150" i="1"/>
  <c r="AB178" i="1"/>
  <c r="AB126" i="1"/>
  <c r="AB364" i="1"/>
  <c r="AB693" i="1"/>
  <c r="AB573" i="1"/>
  <c r="AB602" i="1"/>
  <c r="AB617" i="1"/>
  <c r="AB887" i="1"/>
  <c r="AB699" i="1"/>
  <c r="AB614" i="1"/>
  <c r="AB440" i="1"/>
  <c r="AB270" i="1"/>
  <c r="AB750" i="1"/>
  <c r="AB24" i="1"/>
  <c r="AB895" i="1"/>
  <c r="AB751" i="1"/>
  <c r="AB62" i="1"/>
  <c r="AB202" i="1"/>
  <c r="AB612" i="1"/>
  <c r="AB241" i="1"/>
  <c r="AB850" i="1"/>
  <c r="AB224" i="1"/>
  <c r="AB340" i="1"/>
  <c r="AB212" i="1"/>
  <c r="AB565" i="1"/>
  <c r="AB636" i="1"/>
  <c r="AB300" i="1"/>
  <c r="AB768" i="1"/>
  <c r="AB323" i="1"/>
  <c r="AB228" i="1"/>
  <c r="AB69" i="1"/>
  <c r="AB585" i="1"/>
  <c r="AB404" i="1"/>
  <c r="AB527" i="1"/>
  <c r="AB322" i="1"/>
  <c r="AA786" i="3"/>
  <c r="AA788" i="3"/>
  <c r="AA787" i="3"/>
  <c r="U637" i="3"/>
  <c r="Y637" i="3" s="1"/>
  <c r="S637" i="3"/>
  <c r="M637" i="3"/>
  <c r="L637" i="3"/>
  <c r="K637" i="3"/>
  <c r="J637" i="3"/>
  <c r="I637" i="3"/>
  <c r="H637" i="3"/>
  <c r="G637" i="3"/>
  <c r="F637" i="3"/>
  <c r="D637" i="3"/>
  <c r="AB820" i="1" a="1"/>
  <c r="AA637" i="3" a="1"/>
  <c r="AB820" i="1" l="1"/>
  <c r="AA637" i="3"/>
  <c r="Q785" i="3"/>
  <c r="S785" i="3" s="1"/>
  <c r="Q749" i="3"/>
  <c r="U785" i="3"/>
  <c r="Y785" i="3" s="1"/>
  <c r="M785" i="3"/>
  <c r="L785" i="3"/>
  <c r="K785" i="3"/>
  <c r="J785" i="3"/>
  <c r="I785" i="3"/>
  <c r="H785" i="3"/>
  <c r="G785" i="3"/>
  <c r="F785" i="3"/>
  <c r="D785" i="3"/>
  <c r="I345" i="3"/>
  <c r="U636" i="3"/>
  <c r="Y636" i="3" s="1"/>
  <c r="S636" i="3"/>
  <c r="M636" i="3"/>
  <c r="L636" i="3"/>
  <c r="K636" i="3"/>
  <c r="J636" i="3"/>
  <c r="I636" i="3"/>
  <c r="H636" i="3"/>
  <c r="G636" i="3"/>
  <c r="F636" i="3"/>
  <c r="D636" i="3"/>
  <c r="U635" i="3"/>
  <c r="Y635" i="3" s="1"/>
  <c r="S635" i="3"/>
  <c r="M635" i="3"/>
  <c r="L635" i="3"/>
  <c r="K635" i="3"/>
  <c r="J635" i="3"/>
  <c r="I635" i="3"/>
  <c r="H635" i="3"/>
  <c r="G635" i="3"/>
  <c r="F635" i="3"/>
  <c r="D635" i="3"/>
  <c r="U401" i="3"/>
  <c r="Y401" i="3" s="1"/>
  <c r="S401" i="3"/>
  <c r="M401" i="3"/>
  <c r="L401" i="3"/>
  <c r="K401" i="3"/>
  <c r="J401" i="3"/>
  <c r="I401" i="3"/>
  <c r="H401" i="3"/>
  <c r="G401" i="3"/>
  <c r="F401" i="3"/>
  <c r="D401" i="3"/>
  <c r="L395" i="1"/>
  <c r="L249" i="1"/>
  <c r="L816" i="1"/>
  <c r="L28" i="1"/>
  <c r="V576" i="3"/>
  <c r="AA401" i="3" a="1"/>
  <c r="AA635" i="3" a="1"/>
  <c r="AA636" i="3" a="1"/>
  <c r="AA785" i="3" a="1"/>
  <c r="AB480" i="1" a="1"/>
  <c r="N403" i="3" l="1"/>
  <c r="AB480" i="1"/>
  <c r="AA635" i="3"/>
  <c r="AA785" i="3"/>
  <c r="AA636" i="3"/>
  <c r="AA401" i="3"/>
  <c r="N1248" i="3"/>
  <c r="N1283" i="3"/>
  <c r="N1206" i="3"/>
  <c r="N1207" i="3"/>
  <c r="N326" i="3"/>
  <c r="N897" i="3"/>
  <c r="N345" i="3"/>
  <c r="N341" i="3"/>
  <c r="N342" i="3"/>
  <c r="N401" i="3"/>
  <c r="N343" i="3"/>
  <c r="L727" i="1" l="1"/>
  <c r="S410" i="3"/>
  <c r="S646" i="3"/>
  <c r="D646" i="3"/>
  <c r="D410" i="3"/>
  <c r="F646" i="3"/>
  <c r="F410" i="3"/>
  <c r="G646" i="3"/>
  <c r="G410" i="3"/>
  <c r="H646" i="3"/>
  <c r="H410" i="3"/>
  <c r="I646" i="3"/>
  <c r="I410" i="3"/>
  <c r="J646" i="3"/>
  <c r="J410" i="3"/>
  <c r="K646" i="3"/>
  <c r="K410" i="3"/>
  <c r="L646" i="3"/>
  <c r="L410" i="3"/>
  <c r="M646" i="3"/>
  <c r="M410" i="3"/>
  <c r="U646" i="3"/>
  <c r="Y646" i="3" s="1"/>
  <c r="U410" i="3"/>
  <c r="Y410" i="3" s="1"/>
  <c r="Q781" i="3"/>
  <c r="S781" i="3" s="1"/>
  <c r="Q760" i="3"/>
  <c r="U781" i="3"/>
  <c r="Y781" i="3" s="1"/>
  <c r="M781" i="3"/>
  <c r="L781" i="3"/>
  <c r="K781" i="3"/>
  <c r="J781" i="3"/>
  <c r="I781" i="3"/>
  <c r="H781" i="3"/>
  <c r="G781" i="3"/>
  <c r="F781" i="3"/>
  <c r="D781" i="3"/>
  <c r="U344" i="3"/>
  <c r="Y344" i="3" s="1"/>
  <c r="S344" i="3"/>
  <c r="M344" i="3"/>
  <c r="L344" i="3"/>
  <c r="K344" i="3"/>
  <c r="J344" i="3"/>
  <c r="I344" i="3"/>
  <c r="H344" i="3"/>
  <c r="G344" i="3"/>
  <c r="F344" i="3"/>
  <c r="D344" i="3"/>
  <c r="S645" i="3"/>
  <c r="S331" i="3"/>
  <c r="S409" i="3"/>
  <c r="S332" i="3"/>
  <c r="S333" i="3"/>
  <c r="S334" i="3"/>
  <c r="S335" i="3"/>
  <c r="D645" i="3"/>
  <c r="D331" i="3"/>
  <c r="D409" i="3"/>
  <c r="D332" i="3"/>
  <c r="D333" i="3"/>
  <c r="D334" i="3"/>
  <c r="D335" i="3"/>
  <c r="F645" i="3"/>
  <c r="F331" i="3"/>
  <c r="F409" i="3"/>
  <c r="F332" i="3"/>
  <c r="F333" i="3"/>
  <c r="F334" i="3"/>
  <c r="F335" i="3"/>
  <c r="G645" i="3"/>
  <c r="G331" i="3"/>
  <c r="G409" i="3"/>
  <c r="G332" i="3"/>
  <c r="G333" i="3"/>
  <c r="G334" i="3"/>
  <c r="G335" i="3"/>
  <c r="H645" i="3"/>
  <c r="H331" i="3"/>
  <c r="H409" i="3"/>
  <c r="H332" i="3"/>
  <c r="H333" i="3"/>
  <c r="H334" i="3"/>
  <c r="H335" i="3"/>
  <c r="I645" i="3"/>
  <c r="I331" i="3"/>
  <c r="I409" i="3"/>
  <c r="I332" i="3"/>
  <c r="I333" i="3"/>
  <c r="I334" i="3"/>
  <c r="I335" i="3"/>
  <c r="J645" i="3"/>
  <c r="J331" i="3"/>
  <c r="J409" i="3"/>
  <c r="J332" i="3"/>
  <c r="J333" i="3"/>
  <c r="J334" i="3"/>
  <c r="J335" i="3"/>
  <c r="K645" i="3"/>
  <c r="K331" i="3"/>
  <c r="K409" i="3"/>
  <c r="K332" i="3"/>
  <c r="K333" i="3"/>
  <c r="K334" i="3"/>
  <c r="K335" i="3"/>
  <c r="L645" i="3"/>
  <c r="L331" i="3"/>
  <c r="L409" i="3"/>
  <c r="L332" i="3"/>
  <c r="L333" i="3"/>
  <c r="L334" i="3"/>
  <c r="L335" i="3"/>
  <c r="M645" i="3"/>
  <c r="M331" i="3"/>
  <c r="M409" i="3"/>
  <c r="M332" i="3"/>
  <c r="M333" i="3"/>
  <c r="M334" i="3"/>
  <c r="M335" i="3"/>
  <c r="U645" i="3"/>
  <c r="Y645" i="3" s="1"/>
  <c r="U331" i="3"/>
  <c r="Y331" i="3" s="1"/>
  <c r="U409" i="3"/>
  <c r="Y409" i="3" s="1"/>
  <c r="U332" i="3"/>
  <c r="Y332" i="3" s="1"/>
  <c r="U333" i="3"/>
  <c r="Y333" i="3" s="1"/>
  <c r="U334" i="3"/>
  <c r="Y334" i="3" s="1"/>
  <c r="U335" i="3"/>
  <c r="Y335" i="3" s="1"/>
  <c r="T6" i="10"/>
  <c r="T7" i="10"/>
  <c r="T13" i="10"/>
  <c r="Q7" i="10"/>
  <c r="Q13" i="10"/>
  <c r="AA409" i="3" a="1"/>
  <c r="AA331" i="3" a="1"/>
  <c r="AA333" i="3" a="1"/>
  <c r="AA344" i="3" a="1"/>
  <c r="AA646" i="3" a="1"/>
  <c r="AA781" i="3" a="1"/>
  <c r="AB119" i="1" a="1"/>
  <c r="AB698" i="1" a="1"/>
  <c r="AB836" i="1" a="1"/>
  <c r="AA335" i="3" a="1"/>
  <c r="AA332" i="3" a="1"/>
  <c r="AA334" i="3" a="1"/>
  <c r="AA645" i="3" a="1"/>
  <c r="AB263" i="1" a="1"/>
  <c r="AB133" i="1" a="1"/>
  <c r="AB749" i="1" a="1"/>
  <c r="AB33" i="1" a="1"/>
  <c r="AB878" i="1" a="1"/>
  <c r="AB363" i="1" a="1"/>
  <c r="AB439" i="1" a="1"/>
  <c r="AA410" i="3" a="1"/>
  <c r="AB23" i="1" a="1"/>
  <c r="AB439" i="1" l="1"/>
  <c r="AB363" i="1"/>
  <c r="AB698" i="1"/>
  <c r="AB749" i="1"/>
  <c r="AB878" i="1"/>
  <c r="AB263" i="1"/>
  <c r="AB33" i="1"/>
  <c r="AB133" i="1"/>
  <c r="AB836" i="1"/>
  <c r="AB23" i="1"/>
  <c r="AB119" i="1"/>
  <c r="AA344" i="3"/>
  <c r="AA781" i="3"/>
  <c r="AA335" i="3"/>
  <c r="AA645" i="3"/>
  <c r="AA410" i="3"/>
  <c r="AA646" i="3"/>
  <c r="AA332" i="3"/>
  <c r="AA334" i="3"/>
  <c r="AA333" i="3"/>
  <c r="AA409" i="3"/>
  <c r="AA331" i="3"/>
  <c r="P6" i="10"/>
  <c r="R6" i="10" s="1"/>
  <c r="N905" i="3"/>
  <c r="N896" i="3"/>
  <c r="N888" i="3"/>
  <c r="N832" i="3"/>
  <c r="N831" i="3"/>
  <c r="N819" i="3"/>
  <c r="N829" i="3"/>
  <c r="N811" i="3"/>
  <c r="N809" i="3"/>
  <c r="N810" i="3"/>
  <c r="N800" i="3"/>
  <c r="N801" i="3"/>
  <c r="N802" i="3"/>
  <c r="N623" i="3"/>
  <c r="N624" i="3"/>
  <c r="N625" i="3"/>
  <c r="N626" i="3"/>
  <c r="N787" i="3"/>
  <c r="N629" i="3"/>
  <c r="N630" i="3"/>
  <c r="N631" i="3"/>
  <c r="N632" i="3"/>
  <c r="N636" i="3"/>
  <c r="N617" i="3"/>
  <c r="N620" i="3"/>
  <c r="N621" i="3"/>
  <c r="N622" i="3"/>
  <c r="N627" i="3"/>
  <c r="N635" i="3"/>
  <c r="N637" i="3"/>
  <c r="N619" i="3"/>
  <c r="P7" i="10"/>
  <c r="R7" i="10" s="1"/>
  <c r="U644" i="3"/>
  <c r="Y644" i="3" s="1"/>
  <c r="S644" i="3"/>
  <c r="M644" i="3"/>
  <c r="L644" i="3"/>
  <c r="K644" i="3"/>
  <c r="J644" i="3"/>
  <c r="I644" i="3"/>
  <c r="H644" i="3"/>
  <c r="G644" i="3"/>
  <c r="F644" i="3"/>
  <c r="D644" i="3"/>
  <c r="AB466" i="1" a="1"/>
  <c r="AA644" i="3" a="1"/>
  <c r="AB466" i="1" l="1"/>
  <c r="AA644" i="3"/>
  <c r="L853" i="1"/>
  <c r="S327" i="3"/>
  <c r="S328" i="3"/>
  <c r="S329" i="3"/>
  <c r="S330" i="3"/>
  <c r="S643" i="3"/>
  <c r="S777" i="3"/>
  <c r="S778" i="3"/>
  <c r="S779" i="3"/>
  <c r="D327" i="3"/>
  <c r="D328" i="3"/>
  <c r="D329" i="3"/>
  <c r="D330" i="3"/>
  <c r="D643" i="3"/>
  <c r="D777" i="3"/>
  <c r="D778" i="3"/>
  <c r="D779" i="3"/>
  <c r="F327" i="3"/>
  <c r="F328" i="3"/>
  <c r="F329" i="3"/>
  <c r="F330" i="3"/>
  <c r="F643" i="3"/>
  <c r="F777" i="3"/>
  <c r="F778" i="3"/>
  <c r="F779" i="3"/>
  <c r="G327" i="3"/>
  <c r="G328" i="3"/>
  <c r="G329" i="3"/>
  <c r="G330" i="3"/>
  <c r="G643" i="3"/>
  <c r="G777" i="3"/>
  <c r="G778" i="3"/>
  <c r="G779" i="3"/>
  <c r="H327" i="3"/>
  <c r="H328" i="3"/>
  <c r="H329" i="3"/>
  <c r="H330" i="3"/>
  <c r="H643" i="3"/>
  <c r="H777" i="3"/>
  <c r="H778" i="3"/>
  <c r="H779" i="3"/>
  <c r="I327" i="3"/>
  <c r="I328" i="3"/>
  <c r="I329" i="3"/>
  <c r="I330" i="3"/>
  <c r="I643" i="3"/>
  <c r="I777" i="3"/>
  <c r="I778" i="3"/>
  <c r="I779" i="3"/>
  <c r="J327" i="3"/>
  <c r="J328" i="3"/>
  <c r="J329" i="3"/>
  <c r="J330" i="3"/>
  <c r="J643" i="3"/>
  <c r="J777" i="3"/>
  <c r="J778" i="3"/>
  <c r="J779" i="3"/>
  <c r="K327" i="3"/>
  <c r="K328" i="3"/>
  <c r="K329" i="3"/>
  <c r="K330" i="3"/>
  <c r="K643" i="3"/>
  <c r="K777" i="3"/>
  <c r="K778" i="3"/>
  <c r="K779" i="3"/>
  <c r="L327" i="3"/>
  <c r="L328" i="3"/>
  <c r="L329" i="3"/>
  <c r="L330" i="3"/>
  <c r="L643" i="3"/>
  <c r="L777" i="3"/>
  <c r="L778" i="3"/>
  <c r="L779" i="3"/>
  <c r="M327" i="3"/>
  <c r="M328" i="3"/>
  <c r="M329" i="3"/>
  <c r="M330" i="3"/>
  <c r="M643" i="3"/>
  <c r="M777" i="3"/>
  <c r="M778" i="3"/>
  <c r="M779" i="3"/>
  <c r="U327" i="3"/>
  <c r="Y327" i="3" s="1"/>
  <c r="U328" i="3"/>
  <c r="Y328" i="3" s="1"/>
  <c r="U329" i="3"/>
  <c r="Y329" i="3" s="1"/>
  <c r="U330" i="3"/>
  <c r="Y330" i="3" s="1"/>
  <c r="U643" i="3"/>
  <c r="Y643" i="3" s="1"/>
  <c r="U777" i="3"/>
  <c r="Y777" i="3" s="1"/>
  <c r="U778" i="3"/>
  <c r="Y778" i="3" s="1"/>
  <c r="U779" i="3"/>
  <c r="Y779" i="3" s="1"/>
  <c r="S326" i="3"/>
  <c r="D326" i="3"/>
  <c r="F326" i="3"/>
  <c r="G326" i="3"/>
  <c r="H326" i="3"/>
  <c r="I326" i="3"/>
  <c r="J326" i="3"/>
  <c r="K326" i="3"/>
  <c r="L326" i="3"/>
  <c r="M326" i="3"/>
  <c r="U326" i="3"/>
  <c r="Y326" i="3" s="1"/>
  <c r="S276" i="3"/>
  <c r="J5" i="3"/>
  <c r="AB661" i="1" a="1"/>
  <c r="AB519" i="1" a="1"/>
  <c r="AB470" i="1" a="1"/>
  <c r="AA329" i="3" a="1"/>
  <c r="AA328" i="3" a="1"/>
  <c r="AB827" i="1" a="1"/>
  <c r="AA326" i="3" a="1"/>
  <c r="AA779" i="3" a="1"/>
  <c r="AA330" i="3" a="1"/>
  <c r="AB802" i="1" a="1"/>
  <c r="AB839" i="1" a="1"/>
  <c r="AB34" i="1" a="1"/>
  <c r="AB753" i="1" a="1"/>
  <c r="AB756" i="1" a="1"/>
  <c r="AB746" i="1" a="1"/>
  <c r="AA777" i="3" a="1"/>
  <c r="AB320" i="1" a="1"/>
  <c r="AB874" i="1" a="1"/>
  <c r="AA327" i="3" a="1"/>
  <c r="AB867" i="1" a="1"/>
  <c r="AA643" i="3" a="1"/>
  <c r="AB283" i="1" a="1"/>
  <c r="AB561" i="1" a="1"/>
  <c r="AA778" i="3" a="1"/>
  <c r="AB852" i="1" a="1"/>
  <c r="AB242" i="1" a="1"/>
  <c r="AB412" i="1" a="1"/>
  <c r="AB19" i="1" a="1"/>
  <c r="AB867" i="1" l="1"/>
  <c r="AB746" i="1"/>
  <c r="AB412" i="1"/>
  <c r="AB874" i="1"/>
  <c r="AB852" i="1"/>
  <c r="AB34" i="1"/>
  <c r="AB827" i="1"/>
  <c r="AB756" i="1"/>
  <c r="AB242" i="1"/>
  <c r="AB283" i="1"/>
  <c r="AB839" i="1"/>
  <c r="AB19" i="1"/>
  <c r="AB470" i="1"/>
  <c r="AB519" i="1"/>
  <c r="AB561" i="1"/>
  <c r="AB661" i="1"/>
  <c r="AB320" i="1"/>
  <c r="AB753" i="1"/>
  <c r="AB802" i="1"/>
  <c r="AA779" i="3"/>
  <c r="AA778" i="3"/>
  <c r="AA777" i="3"/>
  <c r="AA643" i="3"/>
  <c r="AA328" i="3"/>
  <c r="AA327" i="3"/>
  <c r="AA326" i="3"/>
  <c r="AA329" i="3"/>
  <c r="AA330" i="3"/>
  <c r="P11" i="10"/>
  <c r="R11" i="10" s="1"/>
  <c r="N807" i="3"/>
  <c r="L819" i="1"/>
  <c r="U576" i="3"/>
  <c r="Y576" i="3" s="1"/>
  <c r="S576" i="3"/>
  <c r="M576" i="3"/>
  <c r="L576" i="3"/>
  <c r="K576" i="3"/>
  <c r="J576" i="3"/>
  <c r="I576" i="3"/>
  <c r="H576" i="3"/>
  <c r="G576" i="3"/>
  <c r="F576" i="3"/>
  <c r="D576" i="3"/>
  <c r="I343" i="3"/>
  <c r="AB853" i="1" a="1"/>
  <c r="AA576" i="3" a="1"/>
  <c r="AB853" i="1" l="1"/>
  <c r="AA576" i="3"/>
  <c r="N817" i="3"/>
  <c r="N910" i="3"/>
  <c r="N909" i="3"/>
  <c r="S32" i="2"/>
  <c r="T32" i="2"/>
  <c r="T33" i="2" s="1"/>
  <c r="T35" i="2" s="1"/>
  <c r="R29" i="2"/>
  <c r="S19" i="2"/>
  <c r="Q19" i="2"/>
  <c r="S18" i="2"/>
  <c r="S17" i="2"/>
  <c r="Q17" i="2"/>
  <c r="Q18" i="2" s="1"/>
  <c r="T18" i="2" s="1"/>
  <c r="H34" i="16"/>
  <c r="U642" i="3"/>
  <c r="Y642" i="3" s="1"/>
  <c r="S642" i="3"/>
  <c r="M642" i="3"/>
  <c r="L642" i="3"/>
  <c r="K642" i="3"/>
  <c r="J642" i="3"/>
  <c r="I642" i="3"/>
  <c r="H642" i="3"/>
  <c r="G642" i="3"/>
  <c r="F642" i="3"/>
  <c r="D642" i="3"/>
  <c r="U298" i="3"/>
  <c r="Y298" i="3" s="1"/>
  <c r="S298" i="3"/>
  <c r="M298" i="3"/>
  <c r="L298" i="3"/>
  <c r="K298" i="3"/>
  <c r="J298" i="3"/>
  <c r="I298" i="3"/>
  <c r="H298" i="3"/>
  <c r="G298" i="3"/>
  <c r="F298" i="3"/>
  <c r="D298" i="3"/>
  <c r="U72" i="3"/>
  <c r="Y72" i="3" s="1"/>
  <c r="S72" i="3"/>
  <c r="M72" i="3"/>
  <c r="L72" i="3"/>
  <c r="K72" i="3"/>
  <c r="J72" i="3"/>
  <c r="I72" i="3"/>
  <c r="H72" i="3"/>
  <c r="G72" i="3"/>
  <c r="F72" i="3"/>
  <c r="D72" i="3"/>
  <c r="U741" i="3"/>
  <c r="Y741" i="3" s="1"/>
  <c r="S741" i="3"/>
  <c r="M741" i="3"/>
  <c r="L741" i="3"/>
  <c r="K741" i="3"/>
  <c r="J741" i="3"/>
  <c r="I741" i="3"/>
  <c r="H741" i="3"/>
  <c r="G741" i="3"/>
  <c r="F741" i="3"/>
  <c r="D741" i="3"/>
  <c r="U740" i="3"/>
  <c r="Y740" i="3" s="1"/>
  <c r="S740" i="3"/>
  <c r="M740" i="3"/>
  <c r="L740" i="3"/>
  <c r="K740" i="3"/>
  <c r="J740" i="3"/>
  <c r="I740" i="3"/>
  <c r="H740" i="3"/>
  <c r="G740" i="3"/>
  <c r="F740" i="3"/>
  <c r="D740" i="3"/>
  <c r="U673" i="3"/>
  <c r="Y673" i="3" s="1"/>
  <c r="S673" i="3"/>
  <c r="M673" i="3"/>
  <c r="L673" i="3"/>
  <c r="K673" i="3"/>
  <c r="J673" i="3"/>
  <c r="I673" i="3"/>
  <c r="H673" i="3"/>
  <c r="G673" i="3"/>
  <c r="F673" i="3"/>
  <c r="D673" i="3"/>
  <c r="U71" i="3"/>
  <c r="Y71" i="3" s="1"/>
  <c r="S71" i="3"/>
  <c r="M71" i="3"/>
  <c r="L71" i="3"/>
  <c r="K71" i="3"/>
  <c r="J71" i="3"/>
  <c r="I71" i="3"/>
  <c r="H71" i="3"/>
  <c r="G71" i="3"/>
  <c r="F71" i="3"/>
  <c r="D71" i="3"/>
  <c r="U297" i="3"/>
  <c r="Y297" i="3" s="1"/>
  <c r="S297" i="3"/>
  <c r="M297" i="3"/>
  <c r="L297" i="3"/>
  <c r="K297" i="3"/>
  <c r="J297" i="3"/>
  <c r="I297" i="3"/>
  <c r="H297" i="3"/>
  <c r="G297" i="3"/>
  <c r="F297" i="3"/>
  <c r="D297" i="3"/>
  <c r="R8" i="10"/>
  <c r="U70" i="3"/>
  <c r="Y70" i="3" s="1"/>
  <c r="S70" i="3"/>
  <c r="M70" i="3"/>
  <c r="L70" i="3"/>
  <c r="K70" i="3"/>
  <c r="J70" i="3"/>
  <c r="I70" i="3"/>
  <c r="H70" i="3"/>
  <c r="G70" i="3"/>
  <c r="F70" i="3"/>
  <c r="D70" i="3"/>
  <c r="U641" i="3"/>
  <c r="Y641" i="3" s="1"/>
  <c r="S641" i="3"/>
  <c r="M641" i="3"/>
  <c r="L641" i="3"/>
  <c r="K641" i="3"/>
  <c r="J641" i="3"/>
  <c r="I641" i="3"/>
  <c r="H641" i="3"/>
  <c r="G641" i="3"/>
  <c r="F641" i="3"/>
  <c r="D641" i="3"/>
  <c r="U373" i="3"/>
  <c r="Y373" i="3" s="1"/>
  <c r="S373" i="3"/>
  <c r="M373" i="3"/>
  <c r="L373" i="3"/>
  <c r="K373" i="3"/>
  <c r="J373" i="3"/>
  <c r="I373" i="3"/>
  <c r="H373" i="3"/>
  <c r="G373" i="3"/>
  <c r="F373" i="3"/>
  <c r="D373" i="3"/>
  <c r="U296" i="3"/>
  <c r="Y296" i="3" s="1"/>
  <c r="S296" i="3"/>
  <c r="M296" i="3"/>
  <c r="L296" i="3"/>
  <c r="K296" i="3"/>
  <c r="J296" i="3"/>
  <c r="I296" i="3"/>
  <c r="H296" i="3"/>
  <c r="G296" i="3"/>
  <c r="F296" i="3"/>
  <c r="D296" i="3"/>
  <c r="U295" i="3"/>
  <c r="Y295" i="3" s="1"/>
  <c r="S295" i="3"/>
  <c r="M295" i="3"/>
  <c r="L295" i="3"/>
  <c r="K295" i="3"/>
  <c r="J295" i="3"/>
  <c r="I295" i="3"/>
  <c r="H295" i="3"/>
  <c r="G295" i="3"/>
  <c r="F295" i="3"/>
  <c r="D295" i="3"/>
  <c r="U294" i="3"/>
  <c r="Y294" i="3" s="1"/>
  <c r="S294" i="3"/>
  <c r="M294" i="3"/>
  <c r="L294" i="3"/>
  <c r="K294" i="3"/>
  <c r="J294" i="3"/>
  <c r="I294" i="3"/>
  <c r="H294" i="3"/>
  <c r="G294" i="3"/>
  <c r="F294" i="3"/>
  <c r="D294" i="3"/>
  <c r="U345" i="3"/>
  <c r="Y345" i="3" s="1"/>
  <c r="S345" i="3"/>
  <c r="M345" i="3"/>
  <c r="L345" i="3"/>
  <c r="K345" i="3"/>
  <c r="J345" i="3"/>
  <c r="H345" i="3"/>
  <c r="G345" i="3"/>
  <c r="F345" i="3"/>
  <c r="D345" i="3"/>
  <c r="U593" i="3"/>
  <c r="Y593" i="3" s="1"/>
  <c r="S593" i="3"/>
  <c r="M593" i="3"/>
  <c r="L593" i="3"/>
  <c r="K593" i="3"/>
  <c r="J593" i="3"/>
  <c r="I593" i="3"/>
  <c r="H593" i="3"/>
  <c r="G593" i="3"/>
  <c r="F593" i="3"/>
  <c r="D593" i="3"/>
  <c r="U592" i="3"/>
  <c r="Y592" i="3" s="1"/>
  <c r="S592" i="3"/>
  <c r="M592" i="3"/>
  <c r="L592" i="3"/>
  <c r="K592" i="3"/>
  <c r="J592" i="3"/>
  <c r="I592" i="3"/>
  <c r="H592" i="3"/>
  <c r="G592" i="3"/>
  <c r="F592" i="3"/>
  <c r="D592" i="3"/>
  <c r="U591" i="3"/>
  <c r="Y591" i="3" s="1"/>
  <c r="S591" i="3"/>
  <c r="M591" i="3"/>
  <c r="L591" i="3"/>
  <c r="K591" i="3"/>
  <c r="J591" i="3"/>
  <c r="I591" i="3"/>
  <c r="H591" i="3"/>
  <c r="G591" i="3"/>
  <c r="F591" i="3"/>
  <c r="D591" i="3"/>
  <c r="U590" i="3"/>
  <c r="Y590" i="3" s="1"/>
  <c r="S590" i="3"/>
  <c r="M590" i="3"/>
  <c r="L590" i="3"/>
  <c r="K590" i="3"/>
  <c r="J590" i="3"/>
  <c r="I590" i="3"/>
  <c r="H590" i="3"/>
  <c r="G590" i="3"/>
  <c r="F590" i="3"/>
  <c r="D590" i="3"/>
  <c r="U589" i="3"/>
  <c r="Y589" i="3" s="1"/>
  <c r="S589" i="3"/>
  <c r="M589" i="3"/>
  <c r="L589" i="3"/>
  <c r="K589" i="3"/>
  <c r="J589" i="3"/>
  <c r="I589" i="3"/>
  <c r="H589" i="3"/>
  <c r="G589" i="3"/>
  <c r="F589" i="3"/>
  <c r="D589" i="3"/>
  <c r="U588" i="3"/>
  <c r="Y588" i="3" s="1"/>
  <c r="S588" i="3"/>
  <c r="M588" i="3"/>
  <c r="L588" i="3"/>
  <c r="K588" i="3"/>
  <c r="J588" i="3"/>
  <c r="I588" i="3"/>
  <c r="H588" i="3"/>
  <c r="G588" i="3"/>
  <c r="F588" i="3"/>
  <c r="D588" i="3"/>
  <c r="U634" i="3"/>
  <c r="Y634" i="3" s="1"/>
  <c r="S634" i="3"/>
  <c r="M634" i="3"/>
  <c r="L634" i="3"/>
  <c r="K634" i="3"/>
  <c r="J634" i="3"/>
  <c r="I634" i="3"/>
  <c r="H634" i="3"/>
  <c r="G634" i="3"/>
  <c r="F634" i="3"/>
  <c r="D634" i="3"/>
  <c r="U293" i="3"/>
  <c r="Y293" i="3" s="1"/>
  <c r="Q293" i="3"/>
  <c r="S293" i="3" s="1"/>
  <c r="M293" i="3"/>
  <c r="L293" i="3"/>
  <c r="K293" i="3"/>
  <c r="J293" i="3"/>
  <c r="I293" i="3"/>
  <c r="H293" i="3"/>
  <c r="G293" i="3"/>
  <c r="F293" i="3"/>
  <c r="D293" i="3"/>
  <c r="U292" i="3"/>
  <c r="Y292" i="3" s="1"/>
  <c r="Q292" i="3"/>
  <c r="S292" i="3" s="1"/>
  <c r="M292" i="3"/>
  <c r="L292" i="3"/>
  <c r="K292" i="3"/>
  <c r="J292" i="3"/>
  <c r="I292" i="3"/>
  <c r="H292" i="3"/>
  <c r="G292" i="3"/>
  <c r="F292" i="3"/>
  <c r="D292" i="3"/>
  <c r="U291" i="3"/>
  <c r="Y291" i="3" s="1"/>
  <c r="S291" i="3"/>
  <c r="M291" i="3"/>
  <c r="L291" i="3"/>
  <c r="K291" i="3"/>
  <c r="J291" i="3"/>
  <c r="I291" i="3"/>
  <c r="H291" i="3"/>
  <c r="G291" i="3"/>
  <c r="F291" i="3"/>
  <c r="D291" i="3"/>
  <c r="U290" i="3"/>
  <c r="Y290" i="3" s="1"/>
  <c r="S290" i="3"/>
  <c r="M290" i="3"/>
  <c r="L290" i="3"/>
  <c r="K290" i="3"/>
  <c r="J290" i="3"/>
  <c r="I290" i="3"/>
  <c r="H290" i="3"/>
  <c r="G290" i="3"/>
  <c r="F290" i="3"/>
  <c r="D290" i="3"/>
  <c r="U289" i="3"/>
  <c r="Y289" i="3" s="1"/>
  <c r="S289" i="3"/>
  <c r="M289" i="3"/>
  <c r="L289" i="3"/>
  <c r="K289" i="3"/>
  <c r="J289" i="3"/>
  <c r="I289" i="3"/>
  <c r="H289" i="3"/>
  <c r="G289" i="3"/>
  <c r="F289" i="3"/>
  <c r="D289" i="3"/>
  <c r="U739" i="3"/>
  <c r="Y739" i="3" s="1"/>
  <c r="S739" i="3"/>
  <c r="M739" i="3"/>
  <c r="L739" i="3"/>
  <c r="K739" i="3"/>
  <c r="J739" i="3"/>
  <c r="I739" i="3"/>
  <c r="H739" i="3"/>
  <c r="G739" i="3"/>
  <c r="F739" i="3"/>
  <c r="D739" i="3"/>
  <c r="U288" i="3"/>
  <c r="Y288" i="3" s="1"/>
  <c r="S288" i="3"/>
  <c r="M288" i="3"/>
  <c r="L288" i="3"/>
  <c r="K288" i="3"/>
  <c r="J288" i="3"/>
  <c r="I288" i="3"/>
  <c r="H288" i="3"/>
  <c r="G288" i="3"/>
  <c r="F288" i="3"/>
  <c r="D288" i="3"/>
  <c r="U287" i="3"/>
  <c r="Y287" i="3" s="1"/>
  <c r="S287" i="3"/>
  <c r="M287" i="3"/>
  <c r="L287" i="3"/>
  <c r="K287" i="3"/>
  <c r="J287" i="3"/>
  <c r="I287" i="3"/>
  <c r="H287" i="3"/>
  <c r="G287" i="3"/>
  <c r="F287" i="3"/>
  <c r="D287" i="3"/>
  <c r="U286" i="3"/>
  <c r="Y286" i="3" s="1"/>
  <c r="S286" i="3"/>
  <c r="M286" i="3"/>
  <c r="L286" i="3"/>
  <c r="K286" i="3"/>
  <c r="J286" i="3"/>
  <c r="I286" i="3"/>
  <c r="H286" i="3"/>
  <c r="G286" i="3"/>
  <c r="F286" i="3"/>
  <c r="D286" i="3"/>
  <c r="U408" i="3"/>
  <c r="Y408" i="3" s="1"/>
  <c r="S408" i="3"/>
  <c r="M408" i="3"/>
  <c r="L408" i="3"/>
  <c r="K408" i="3"/>
  <c r="J408" i="3"/>
  <c r="I408" i="3"/>
  <c r="H408" i="3"/>
  <c r="G408" i="3"/>
  <c r="F408" i="3"/>
  <c r="D408" i="3"/>
  <c r="U285" i="3"/>
  <c r="Y285" i="3" s="1"/>
  <c r="S285" i="3"/>
  <c r="M285" i="3"/>
  <c r="L285" i="3"/>
  <c r="K285" i="3"/>
  <c r="J285" i="3"/>
  <c r="I285" i="3"/>
  <c r="H285" i="3"/>
  <c r="G285" i="3"/>
  <c r="F285" i="3"/>
  <c r="D285" i="3"/>
  <c r="U633" i="3"/>
  <c r="Y633" i="3" s="1"/>
  <c r="S633" i="3"/>
  <c r="M633" i="3"/>
  <c r="L633" i="3"/>
  <c r="K633" i="3"/>
  <c r="J633" i="3"/>
  <c r="I633" i="3"/>
  <c r="H633" i="3"/>
  <c r="G633" i="3"/>
  <c r="F633" i="3"/>
  <c r="D633" i="3"/>
  <c r="U284" i="3"/>
  <c r="Y284" i="3" s="1"/>
  <c r="S284" i="3"/>
  <c r="M284" i="3"/>
  <c r="L284" i="3"/>
  <c r="K284" i="3"/>
  <c r="J284" i="3"/>
  <c r="I284" i="3"/>
  <c r="H284" i="3"/>
  <c r="G284" i="3"/>
  <c r="F284" i="3"/>
  <c r="D284" i="3"/>
  <c r="U407" i="3"/>
  <c r="Y407" i="3" s="1"/>
  <c r="S407" i="3"/>
  <c r="M407" i="3"/>
  <c r="L407" i="3"/>
  <c r="K407" i="3"/>
  <c r="J407" i="3"/>
  <c r="I407" i="3"/>
  <c r="H407" i="3"/>
  <c r="G407" i="3"/>
  <c r="F407" i="3"/>
  <c r="D407" i="3"/>
  <c r="U283" i="3"/>
  <c r="Y283" i="3" s="1"/>
  <c r="S283" i="3"/>
  <c r="M283" i="3"/>
  <c r="L283" i="3"/>
  <c r="K283" i="3"/>
  <c r="J283" i="3"/>
  <c r="I283" i="3"/>
  <c r="H283" i="3"/>
  <c r="G283" i="3"/>
  <c r="F283" i="3"/>
  <c r="D283" i="3"/>
  <c r="U282" i="3"/>
  <c r="Y282" i="3" s="1"/>
  <c r="S282" i="3"/>
  <c r="M282" i="3"/>
  <c r="L282" i="3"/>
  <c r="K282" i="3"/>
  <c r="J282" i="3"/>
  <c r="I282" i="3"/>
  <c r="H282" i="3"/>
  <c r="G282" i="3"/>
  <c r="F282" i="3"/>
  <c r="D282" i="3"/>
  <c r="U406" i="3"/>
  <c r="Y406" i="3" s="1"/>
  <c r="S406" i="3"/>
  <c r="M406" i="3"/>
  <c r="L406" i="3"/>
  <c r="K406" i="3"/>
  <c r="J406" i="3"/>
  <c r="I406" i="3"/>
  <c r="H406" i="3"/>
  <c r="G406" i="3"/>
  <c r="F406" i="3"/>
  <c r="D406" i="3"/>
  <c r="U69" i="3"/>
  <c r="Y69" i="3" s="1"/>
  <c r="S69" i="3"/>
  <c r="M69" i="3"/>
  <c r="L69" i="3"/>
  <c r="K69" i="3"/>
  <c r="J69" i="3"/>
  <c r="I69" i="3"/>
  <c r="H69" i="3"/>
  <c r="G69" i="3"/>
  <c r="F69" i="3"/>
  <c r="D69" i="3"/>
  <c r="U68" i="3"/>
  <c r="Y68" i="3" s="1"/>
  <c r="S68" i="3"/>
  <c r="M68" i="3"/>
  <c r="L68" i="3"/>
  <c r="K68" i="3"/>
  <c r="J68" i="3"/>
  <c r="I68" i="3"/>
  <c r="H68" i="3"/>
  <c r="G68" i="3"/>
  <c r="F68" i="3"/>
  <c r="D68" i="3"/>
  <c r="U405" i="3"/>
  <c r="Y405" i="3" s="1"/>
  <c r="S405" i="3"/>
  <c r="M405" i="3"/>
  <c r="L405" i="3"/>
  <c r="K405" i="3"/>
  <c r="J405" i="3"/>
  <c r="I405" i="3"/>
  <c r="H405" i="3"/>
  <c r="G405" i="3"/>
  <c r="F405" i="3"/>
  <c r="D405" i="3"/>
  <c r="U281" i="3"/>
  <c r="Y281" i="3" s="1"/>
  <c r="S281" i="3"/>
  <c r="M281" i="3"/>
  <c r="L281" i="3"/>
  <c r="K281" i="3"/>
  <c r="J281" i="3"/>
  <c r="I281" i="3"/>
  <c r="H281" i="3"/>
  <c r="G281" i="3"/>
  <c r="F281" i="3"/>
  <c r="D281" i="3"/>
  <c r="U325" i="3"/>
  <c r="Y325" i="3" s="1"/>
  <c r="S325" i="3"/>
  <c r="M325" i="3"/>
  <c r="L325" i="3"/>
  <c r="K325" i="3"/>
  <c r="J325" i="3"/>
  <c r="I325" i="3"/>
  <c r="H325" i="3"/>
  <c r="G325" i="3"/>
  <c r="F325" i="3"/>
  <c r="D325" i="3"/>
  <c r="U280" i="3"/>
  <c r="Y280" i="3" s="1"/>
  <c r="S280" i="3"/>
  <c r="M280" i="3"/>
  <c r="L280" i="3"/>
  <c r="K280" i="3"/>
  <c r="J280" i="3"/>
  <c r="I280" i="3"/>
  <c r="H280" i="3"/>
  <c r="G280" i="3"/>
  <c r="F280" i="3"/>
  <c r="D280" i="3"/>
  <c r="U67" i="3"/>
  <c r="Y67" i="3" s="1"/>
  <c r="S67" i="3"/>
  <c r="M67" i="3"/>
  <c r="L67" i="3"/>
  <c r="K67" i="3"/>
  <c r="J67" i="3"/>
  <c r="I67" i="3"/>
  <c r="H67" i="3"/>
  <c r="G67" i="3"/>
  <c r="F67" i="3"/>
  <c r="D67" i="3"/>
  <c r="U672" i="3"/>
  <c r="Y672" i="3" s="1"/>
  <c r="S672" i="3"/>
  <c r="M672" i="3"/>
  <c r="L672" i="3"/>
  <c r="K672" i="3"/>
  <c r="J672" i="3"/>
  <c r="I672" i="3"/>
  <c r="H672" i="3"/>
  <c r="G672" i="3"/>
  <c r="F672" i="3"/>
  <c r="D672" i="3"/>
  <c r="U640" i="3"/>
  <c r="Y640" i="3" s="1"/>
  <c r="S640" i="3"/>
  <c r="M640" i="3"/>
  <c r="L640" i="3"/>
  <c r="K640" i="3"/>
  <c r="J640" i="3"/>
  <c r="I640" i="3"/>
  <c r="H640" i="3"/>
  <c r="G640" i="3"/>
  <c r="F640" i="3"/>
  <c r="D640" i="3"/>
  <c r="U279" i="3"/>
  <c r="Y279" i="3" s="1"/>
  <c r="Q279" i="3"/>
  <c r="S279" i="3" s="1"/>
  <c r="M279" i="3"/>
  <c r="L279" i="3"/>
  <c r="K279" i="3"/>
  <c r="J279" i="3"/>
  <c r="I279" i="3"/>
  <c r="H279" i="3"/>
  <c r="G279" i="3"/>
  <c r="F279" i="3"/>
  <c r="D279" i="3"/>
  <c r="U278" i="3"/>
  <c r="Y278" i="3" s="1"/>
  <c r="Q278" i="3"/>
  <c r="S278" i="3" s="1"/>
  <c r="M278" i="3"/>
  <c r="L278" i="3"/>
  <c r="K278" i="3"/>
  <c r="J278" i="3"/>
  <c r="I278" i="3"/>
  <c r="H278" i="3"/>
  <c r="G278" i="3"/>
  <c r="F278" i="3"/>
  <c r="D278" i="3"/>
  <c r="U399" i="3"/>
  <c r="Y399" i="3" s="1"/>
  <c r="Q399" i="3"/>
  <c r="S399" i="3" s="1"/>
  <c r="M399" i="3"/>
  <c r="L399" i="3"/>
  <c r="K399" i="3"/>
  <c r="J399" i="3"/>
  <c r="I399" i="3"/>
  <c r="H399" i="3"/>
  <c r="G399" i="3"/>
  <c r="F399" i="3"/>
  <c r="D399" i="3"/>
  <c r="U671" i="3"/>
  <c r="Y671" i="3" s="1"/>
  <c r="S671" i="3"/>
  <c r="M671" i="3"/>
  <c r="L671" i="3"/>
  <c r="K671" i="3"/>
  <c r="J671" i="3"/>
  <c r="I671" i="3"/>
  <c r="H671" i="3"/>
  <c r="G671" i="3"/>
  <c r="F671" i="3"/>
  <c r="D671" i="3"/>
  <c r="U670" i="3"/>
  <c r="Y670" i="3" s="1"/>
  <c r="S670" i="3"/>
  <c r="M670" i="3"/>
  <c r="L670" i="3"/>
  <c r="K670" i="3"/>
  <c r="J670" i="3"/>
  <c r="I670" i="3"/>
  <c r="H670" i="3"/>
  <c r="G670" i="3"/>
  <c r="F670" i="3"/>
  <c r="D670" i="3"/>
  <c r="U277" i="3"/>
  <c r="Y277" i="3" s="1"/>
  <c r="S277" i="3"/>
  <c r="M277" i="3"/>
  <c r="L277" i="3"/>
  <c r="K277" i="3"/>
  <c r="J277" i="3"/>
  <c r="I277" i="3"/>
  <c r="H277" i="3"/>
  <c r="G277" i="3"/>
  <c r="F277" i="3"/>
  <c r="D277" i="3"/>
  <c r="U276" i="3"/>
  <c r="Y276" i="3" s="1"/>
  <c r="M276" i="3"/>
  <c r="L276" i="3"/>
  <c r="K276" i="3"/>
  <c r="J276" i="3"/>
  <c r="I276" i="3"/>
  <c r="H276" i="3"/>
  <c r="G276" i="3"/>
  <c r="F276" i="3"/>
  <c r="D276" i="3"/>
  <c r="U343" i="3"/>
  <c r="Y343" i="3" s="1"/>
  <c r="S343" i="3"/>
  <c r="M343" i="3"/>
  <c r="L343" i="3"/>
  <c r="K343" i="3"/>
  <c r="J343" i="3"/>
  <c r="H343" i="3"/>
  <c r="G343" i="3"/>
  <c r="F343" i="3"/>
  <c r="D343" i="3"/>
  <c r="U275" i="3"/>
  <c r="Y275" i="3" s="1"/>
  <c r="Q275" i="3"/>
  <c r="S275" i="3" s="1"/>
  <c r="M275" i="3"/>
  <c r="L275" i="3"/>
  <c r="K275" i="3"/>
  <c r="J275" i="3"/>
  <c r="I275" i="3"/>
  <c r="H275" i="3"/>
  <c r="G275" i="3"/>
  <c r="F275" i="3"/>
  <c r="D275" i="3"/>
  <c r="U575" i="3"/>
  <c r="Y575" i="3" s="1"/>
  <c r="S575" i="3"/>
  <c r="M575" i="3"/>
  <c r="L575" i="3"/>
  <c r="K575" i="3"/>
  <c r="J575" i="3"/>
  <c r="I575" i="3"/>
  <c r="H575" i="3"/>
  <c r="G575" i="3"/>
  <c r="F575" i="3"/>
  <c r="D575" i="3"/>
  <c r="U669" i="3"/>
  <c r="Y669" i="3" s="1"/>
  <c r="S669" i="3"/>
  <c r="M669" i="3"/>
  <c r="L669" i="3"/>
  <c r="K669" i="3"/>
  <c r="J669" i="3"/>
  <c r="I669" i="3"/>
  <c r="H669" i="3"/>
  <c r="G669" i="3"/>
  <c r="F669" i="3"/>
  <c r="D669" i="3"/>
  <c r="U668" i="3"/>
  <c r="Y668" i="3" s="1"/>
  <c r="S668" i="3"/>
  <c r="M668" i="3"/>
  <c r="L668" i="3"/>
  <c r="K668" i="3"/>
  <c r="J668" i="3"/>
  <c r="I668" i="3"/>
  <c r="H668" i="3"/>
  <c r="G668" i="3"/>
  <c r="F668" i="3"/>
  <c r="D668" i="3"/>
  <c r="U738" i="3"/>
  <c r="Y738" i="3" s="1"/>
  <c r="S738" i="3"/>
  <c r="M738" i="3"/>
  <c r="L738" i="3"/>
  <c r="K738" i="3"/>
  <c r="J738" i="3"/>
  <c r="I738" i="3"/>
  <c r="H738" i="3"/>
  <c r="G738" i="3"/>
  <c r="F738" i="3"/>
  <c r="D738" i="3"/>
  <c r="U667" i="3"/>
  <c r="Y667" i="3" s="1"/>
  <c r="S667" i="3"/>
  <c r="M667" i="3"/>
  <c r="L667" i="3"/>
  <c r="K667" i="3"/>
  <c r="J667" i="3"/>
  <c r="I667" i="3"/>
  <c r="H667" i="3"/>
  <c r="G667" i="3"/>
  <c r="F667" i="3"/>
  <c r="D667" i="3"/>
  <c r="U784" i="3"/>
  <c r="Y784" i="3" s="1"/>
  <c r="S784" i="3"/>
  <c r="M784" i="3"/>
  <c r="L784" i="3"/>
  <c r="K784" i="3"/>
  <c r="J784" i="3"/>
  <c r="I784" i="3"/>
  <c r="H784" i="3"/>
  <c r="G784" i="3"/>
  <c r="F784" i="3"/>
  <c r="D784" i="3"/>
  <c r="U748" i="3"/>
  <c r="Y748" i="3" s="1"/>
  <c r="S748" i="3"/>
  <c r="M748" i="3"/>
  <c r="L748" i="3"/>
  <c r="K748" i="3"/>
  <c r="J748" i="3"/>
  <c r="I748" i="3"/>
  <c r="H748" i="3"/>
  <c r="G748" i="3"/>
  <c r="F748" i="3"/>
  <c r="D748" i="3"/>
  <c r="U767" i="3"/>
  <c r="Y767" i="3" s="1"/>
  <c r="S767" i="3"/>
  <c r="M767" i="3"/>
  <c r="L767" i="3"/>
  <c r="K767" i="3"/>
  <c r="J767" i="3"/>
  <c r="I767" i="3"/>
  <c r="H767" i="3"/>
  <c r="G767" i="3"/>
  <c r="F767" i="3"/>
  <c r="D767" i="3"/>
  <c r="U766" i="3"/>
  <c r="Y766" i="3" s="1"/>
  <c r="S766" i="3"/>
  <c r="M766" i="3"/>
  <c r="L766" i="3"/>
  <c r="K766" i="3"/>
  <c r="J766" i="3"/>
  <c r="I766" i="3"/>
  <c r="H766" i="3"/>
  <c r="G766" i="3"/>
  <c r="F766" i="3"/>
  <c r="D766" i="3"/>
  <c r="U398" i="3"/>
  <c r="Y398" i="3" s="1"/>
  <c r="Q398" i="3"/>
  <c r="S398" i="3" s="1"/>
  <c r="M398" i="3"/>
  <c r="L398" i="3"/>
  <c r="K398" i="3"/>
  <c r="J398" i="3"/>
  <c r="I398" i="3"/>
  <c r="H398" i="3"/>
  <c r="G398" i="3"/>
  <c r="F398" i="3"/>
  <c r="D398" i="3"/>
  <c r="U274" i="3"/>
  <c r="Y274" i="3" s="1"/>
  <c r="S274" i="3"/>
  <c r="M274" i="3"/>
  <c r="L274" i="3"/>
  <c r="K274" i="3"/>
  <c r="J274" i="3"/>
  <c r="I274" i="3"/>
  <c r="H274" i="3"/>
  <c r="G274" i="3"/>
  <c r="F274" i="3"/>
  <c r="D274" i="3"/>
  <c r="U273" i="3"/>
  <c r="Y273" i="3" s="1"/>
  <c r="S273" i="3"/>
  <c r="M273" i="3"/>
  <c r="L273" i="3"/>
  <c r="K273" i="3"/>
  <c r="J273" i="3"/>
  <c r="I273" i="3"/>
  <c r="H273" i="3"/>
  <c r="G273" i="3"/>
  <c r="F273" i="3"/>
  <c r="D273" i="3"/>
  <c r="U736" i="3"/>
  <c r="Y736" i="3" s="1"/>
  <c r="S736" i="3"/>
  <c r="M736" i="3"/>
  <c r="L736" i="3"/>
  <c r="K736" i="3"/>
  <c r="J736" i="3"/>
  <c r="I736" i="3"/>
  <c r="H736" i="3"/>
  <c r="G736" i="3"/>
  <c r="F736" i="3"/>
  <c r="D736" i="3"/>
  <c r="U272" i="3"/>
  <c r="Y272" i="3" s="1"/>
  <c r="S272" i="3"/>
  <c r="M272" i="3"/>
  <c r="L272" i="3"/>
  <c r="K272" i="3"/>
  <c r="J272" i="3"/>
  <c r="I272" i="3"/>
  <c r="H272" i="3"/>
  <c r="G272" i="3"/>
  <c r="F272" i="3"/>
  <c r="D272" i="3"/>
  <c r="U735" i="3"/>
  <c r="Y735" i="3" s="1"/>
  <c r="S735" i="3"/>
  <c r="M735" i="3"/>
  <c r="L735" i="3"/>
  <c r="K735" i="3"/>
  <c r="J735" i="3"/>
  <c r="I735" i="3"/>
  <c r="H735" i="3"/>
  <c r="G735" i="3"/>
  <c r="F735" i="3"/>
  <c r="D735" i="3"/>
  <c r="U666" i="3"/>
  <c r="Y666" i="3" s="1"/>
  <c r="S666" i="3"/>
  <c r="M666" i="3"/>
  <c r="L666" i="3"/>
  <c r="K666" i="3"/>
  <c r="J666" i="3"/>
  <c r="I666" i="3"/>
  <c r="H666" i="3"/>
  <c r="G666" i="3"/>
  <c r="F666" i="3"/>
  <c r="D666" i="3"/>
  <c r="U271" i="3"/>
  <c r="Y271" i="3" s="1"/>
  <c r="S271" i="3"/>
  <c r="M271" i="3"/>
  <c r="L271" i="3"/>
  <c r="K271" i="3"/>
  <c r="J271" i="3"/>
  <c r="I271" i="3"/>
  <c r="H271" i="3"/>
  <c r="G271" i="3"/>
  <c r="F271" i="3"/>
  <c r="D271" i="3"/>
  <c r="U747" i="3"/>
  <c r="Y747" i="3" s="1"/>
  <c r="S747" i="3"/>
  <c r="M747" i="3"/>
  <c r="L747" i="3"/>
  <c r="K747" i="3"/>
  <c r="J747" i="3"/>
  <c r="I747" i="3"/>
  <c r="H747" i="3"/>
  <c r="G747" i="3"/>
  <c r="F747" i="3"/>
  <c r="D747" i="3"/>
  <c r="U734" i="3"/>
  <c r="Y734" i="3" s="1"/>
  <c r="S734" i="3"/>
  <c r="M734" i="3"/>
  <c r="L734" i="3"/>
  <c r="K734" i="3"/>
  <c r="J734" i="3"/>
  <c r="I734" i="3"/>
  <c r="H734" i="3"/>
  <c r="G734" i="3"/>
  <c r="F734" i="3"/>
  <c r="D734" i="3"/>
  <c r="U665" i="3"/>
  <c r="Y665" i="3" s="1"/>
  <c r="S665" i="3"/>
  <c r="M665" i="3"/>
  <c r="L665" i="3"/>
  <c r="K665" i="3"/>
  <c r="J665" i="3"/>
  <c r="I665" i="3"/>
  <c r="H665" i="3"/>
  <c r="G665" i="3"/>
  <c r="F665" i="3"/>
  <c r="D665" i="3"/>
  <c r="U400" i="3"/>
  <c r="Y400" i="3" s="1"/>
  <c r="S400" i="3"/>
  <c r="M400" i="3"/>
  <c r="L400" i="3"/>
  <c r="K400" i="3"/>
  <c r="J400" i="3"/>
  <c r="I400" i="3"/>
  <c r="H400" i="3"/>
  <c r="G400" i="3"/>
  <c r="F400" i="3"/>
  <c r="D400" i="3"/>
  <c r="U270" i="3"/>
  <c r="Y270" i="3" s="1"/>
  <c r="S270" i="3"/>
  <c r="M270" i="3"/>
  <c r="L270" i="3"/>
  <c r="K270" i="3"/>
  <c r="J270" i="3"/>
  <c r="I270" i="3"/>
  <c r="H270" i="3"/>
  <c r="G270" i="3"/>
  <c r="F270" i="3"/>
  <c r="D270" i="3"/>
  <c r="U639" i="3"/>
  <c r="Y639" i="3" s="1"/>
  <c r="S639" i="3"/>
  <c r="M639" i="3"/>
  <c r="L639" i="3"/>
  <c r="K639" i="3"/>
  <c r="J639" i="3"/>
  <c r="I639" i="3"/>
  <c r="H639" i="3"/>
  <c r="G639" i="3"/>
  <c r="F639" i="3"/>
  <c r="D639" i="3"/>
  <c r="U638" i="3"/>
  <c r="Y638" i="3" s="1"/>
  <c r="S638" i="3"/>
  <c r="M638" i="3"/>
  <c r="L638" i="3"/>
  <c r="K638" i="3"/>
  <c r="J638" i="3"/>
  <c r="I638" i="3"/>
  <c r="H638" i="3"/>
  <c r="G638" i="3"/>
  <c r="F638" i="3"/>
  <c r="D638" i="3"/>
  <c r="U765" i="3"/>
  <c r="Y765" i="3" s="1"/>
  <c r="S765" i="3"/>
  <c r="M765" i="3"/>
  <c r="L765" i="3"/>
  <c r="K765" i="3"/>
  <c r="J765" i="3"/>
  <c r="I765" i="3"/>
  <c r="H765" i="3"/>
  <c r="G765" i="3"/>
  <c r="F765" i="3"/>
  <c r="D765" i="3"/>
  <c r="U733" i="3"/>
  <c r="Y733" i="3" s="1"/>
  <c r="S733" i="3"/>
  <c r="M733" i="3"/>
  <c r="L733" i="3"/>
  <c r="K733" i="3"/>
  <c r="J733" i="3"/>
  <c r="I733" i="3"/>
  <c r="H733" i="3"/>
  <c r="G733" i="3"/>
  <c r="F733" i="3"/>
  <c r="D733" i="3"/>
  <c r="U783" i="3"/>
  <c r="Y783" i="3" s="1"/>
  <c r="S783" i="3"/>
  <c r="M783" i="3"/>
  <c r="L783" i="3"/>
  <c r="K783" i="3"/>
  <c r="J783" i="3"/>
  <c r="I783" i="3"/>
  <c r="H783" i="3"/>
  <c r="G783" i="3"/>
  <c r="F783" i="3"/>
  <c r="D783" i="3"/>
  <c r="U404" i="3"/>
  <c r="Y404" i="3" s="1"/>
  <c r="S404" i="3"/>
  <c r="M404" i="3"/>
  <c r="L404" i="3"/>
  <c r="K404" i="3"/>
  <c r="J404" i="3"/>
  <c r="I404" i="3"/>
  <c r="H404" i="3"/>
  <c r="G404" i="3"/>
  <c r="F404" i="3"/>
  <c r="D404" i="3"/>
  <c r="U269" i="3"/>
  <c r="Y269" i="3" s="1"/>
  <c r="S269" i="3"/>
  <c r="M269" i="3"/>
  <c r="L269" i="3"/>
  <c r="K269" i="3"/>
  <c r="J269" i="3"/>
  <c r="I269" i="3"/>
  <c r="H269" i="3"/>
  <c r="G269" i="3"/>
  <c r="F269" i="3"/>
  <c r="D269" i="3"/>
  <c r="U268" i="3"/>
  <c r="Y268" i="3" s="1"/>
  <c r="S268" i="3"/>
  <c r="M268" i="3"/>
  <c r="L268" i="3"/>
  <c r="K268" i="3"/>
  <c r="J268" i="3"/>
  <c r="I268" i="3"/>
  <c r="H268" i="3"/>
  <c r="G268" i="3"/>
  <c r="F268" i="3"/>
  <c r="D268" i="3"/>
  <c r="U267" i="3"/>
  <c r="Y267" i="3" s="1"/>
  <c r="S267" i="3"/>
  <c r="M267" i="3"/>
  <c r="L267" i="3"/>
  <c r="K267" i="3"/>
  <c r="J267" i="3"/>
  <c r="I267" i="3"/>
  <c r="H267" i="3"/>
  <c r="G267" i="3"/>
  <c r="F267" i="3"/>
  <c r="D267" i="3"/>
  <c r="U266" i="3"/>
  <c r="Y266" i="3" s="1"/>
  <c r="S266" i="3"/>
  <c r="M266" i="3"/>
  <c r="L266" i="3"/>
  <c r="K266" i="3"/>
  <c r="J266" i="3"/>
  <c r="I266" i="3"/>
  <c r="H266" i="3"/>
  <c r="G266" i="3"/>
  <c r="F266" i="3"/>
  <c r="D266" i="3"/>
  <c r="U265" i="3"/>
  <c r="Y265" i="3" s="1"/>
  <c r="Q265" i="3"/>
  <c r="S265" i="3" s="1"/>
  <c r="M265" i="3"/>
  <c r="L265" i="3"/>
  <c r="K265" i="3"/>
  <c r="J265" i="3"/>
  <c r="I265" i="3"/>
  <c r="H265" i="3"/>
  <c r="G265" i="3"/>
  <c r="F265" i="3"/>
  <c r="D265" i="3"/>
  <c r="U397" i="3"/>
  <c r="Y397" i="3" s="1"/>
  <c r="S397" i="3"/>
  <c r="M397" i="3"/>
  <c r="L397" i="3"/>
  <c r="K397" i="3"/>
  <c r="J397" i="3"/>
  <c r="I397" i="3"/>
  <c r="H397" i="3"/>
  <c r="G397" i="3"/>
  <c r="F397" i="3"/>
  <c r="D397" i="3"/>
  <c r="U403" i="3"/>
  <c r="Y403" i="3" s="1"/>
  <c r="S403" i="3"/>
  <c r="M403" i="3"/>
  <c r="L403" i="3"/>
  <c r="K403" i="3"/>
  <c r="J403" i="3"/>
  <c r="I403" i="3"/>
  <c r="H403" i="3"/>
  <c r="G403" i="3"/>
  <c r="F403" i="3"/>
  <c r="D403" i="3"/>
  <c r="U372" i="3"/>
  <c r="Y372" i="3" s="1"/>
  <c r="S372" i="3"/>
  <c r="M372" i="3"/>
  <c r="L372" i="3"/>
  <c r="K372" i="3"/>
  <c r="J372" i="3"/>
  <c r="I372" i="3"/>
  <c r="H372" i="3"/>
  <c r="G372" i="3"/>
  <c r="F372" i="3"/>
  <c r="D372" i="3"/>
  <c r="U632" i="3"/>
  <c r="Y632" i="3" s="1"/>
  <c r="S632" i="3"/>
  <c r="M632" i="3"/>
  <c r="L632" i="3"/>
  <c r="K632" i="3"/>
  <c r="J632" i="3"/>
  <c r="I632" i="3"/>
  <c r="H632" i="3"/>
  <c r="G632" i="3"/>
  <c r="F632" i="3"/>
  <c r="D632" i="3"/>
  <c r="U631" i="3"/>
  <c r="Y631" i="3" s="1"/>
  <c r="S631" i="3"/>
  <c r="M631" i="3"/>
  <c r="L631" i="3"/>
  <c r="K631" i="3"/>
  <c r="J631" i="3"/>
  <c r="I631" i="3"/>
  <c r="H631" i="3"/>
  <c r="G631" i="3"/>
  <c r="F631" i="3"/>
  <c r="D631" i="3"/>
  <c r="U630" i="3"/>
  <c r="Y630" i="3" s="1"/>
  <c r="S630" i="3"/>
  <c r="M630" i="3"/>
  <c r="L630" i="3"/>
  <c r="K630" i="3"/>
  <c r="J630" i="3"/>
  <c r="I630" i="3"/>
  <c r="H630" i="3"/>
  <c r="G630" i="3"/>
  <c r="F630" i="3"/>
  <c r="D630" i="3"/>
  <c r="U664" i="3"/>
  <c r="Y664" i="3" s="1"/>
  <c r="S664" i="3"/>
  <c r="M664" i="3"/>
  <c r="L664" i="3"/>
  <c r="K664" i="3"/>
  <c r="J664" i="3"/>
  <c r="I664" i="3"/>
  <c r="H664" i="3"/>
  <c r="G664" i="3"/>
  <c r="F664" i="3"/>
  <c r="D664" i="3"/>
  <c r="U782" i="3"/>
  <c r="Y782" i="3" s="1"/>
  <c r="S782" i="3"/>
  <c r="M782" i="3"/>
  <c r="L782" i="3"/>
  <c r="K782" i="3"/>
  <c r="J782" i="3"/>
  <c r="I782" i="3"/>
  <c r="H782" i="3"/>
  <c r="G782" i="3"/>
  <c r="F782" i="3"/>
  <c r="D782" i="3"/>
  <c r="U264" i="3"/>
  <c r="Y264" i="3" s="1"/>
  <c r="S264" i="3"/>
  <c r="M264" i="3"/>
  <c r="L264" i="3"/>
  <c r="K264" i="3"/>
  <c r="J264" i="3"/>
  <c r="I264" i="3"/>
  <c r="H264" i="3"/>
  <c r="G264" i="3"/>
  <c r="F264" i="3"/>
  <c r="D264" i="3"/>
  <c r="U764" i="3"/>
  <c r="Y764" i="3" s="1"/>
  <c r="S764" i="3"/>
  <c r="M764" i="3"/>
  <c r="L764" i="3"/>
  <c r="K764" i="3"/>
  <c r="J764" i="3"/>
  <c r="I764" i="3"/>
  <c r="H764" i="3"/>
  <c r="G764" i="3"/>
  <c r="F764" i="3"/>
  <c r="D764" i="3"/>
  <c r="U263" i="3"/>
  <c r="Y263" i="3" s="1"/>
  <c r="S263" i="3"/>
  <c r="M263" i="3"/>
  <c r="L263" i="3"/>
  <c r="K263" i="3"/>
  <c r="J263" i="3"/>
  <c r="I263" i="3"/>
  <c r="H263" i="3"/>
  <c r="G263" i="3"/>
  <c r="F263" i="3"/>
  <c r="D263" i="3"/>
  <c r="U780" i="3"/>
  <c r="Y780" i="3" s="1"/>
  <c r="S780" i="3"/>
  <c r="M780" i="3"/>
  <c r="L780" i="3"/>
  <c r="K780" i="3"/>
  <c r="J780" i="3"/>
  <c r="I780" i="3"/>
  <c r="H780" i="3"/>
  <c r="G780" i="3"/>
  <c r="F780" i="3"/>
  <c r="D780" i="3"/>
  <c r="U371" i="3"/>
  <c r="Y371" i="3" s="1"/>
  <c r="S371" i="3"/>
  <c r="M371" i="3"/>
  <c r="L371" i="3"/>
  <c r="K371" i="3"/>
  <c r="J371" i="3"/>
  <c r="I371" i="3"/>
  <c r="H371" i="3"/>
  <c r="G371" i="3"/>
  <c r="F371" i="3"/>
  <c r="D371" i="3"/>
  <c r="U763" i="3"/>
  <c r="Y763" i="3" s="1"/>
  <c r="S763" i="3"/>
  <c r="M763" i="3"/>
  <c r="L763" i="3"/>
  <c r="K763" i="3"/>
  <c r="J763" i="3"/>
  <c r="I763" i="3"/>
  <c r="H763" i="3"/>
  <c r="G763" i="3"/>
  <c r="F763" i="3"/>
  <c r="D763" i="3"/>
  <c r="U574" i="3"/>
  <c r="Y574" i="3" s="1"/>
  <c r="S574" i="3"/>
  <c r="M574" i="3"/>
  <c r="L574" i="3"/>
  <c r="K574" i="3"/>
  <c r="J574" i="3"/>
  <c r="I574" i="3"/>
  <c r="H574" i="3"/>
  <c r="G574" i="3"/>
  <c r="F574" i="3"/>
  <c r="D574" i="3"/>
  <c r="U732" i="3"/>
  <c r="Y732" i="3" s="1"/>
  <c r="S732" i="3"/>
  <c r="M732" i="3"/>
  <c r="L732" i="3"/>
  <c r="K732" i="3"/>
  <c r="J732" i="3"/>
  <c r="I732" i="3"/>
  <c r="H732" i="3"/>
  <c r="G732" i="3"/>
  <c r="F732" i="3"/>
  <c r="D732" i="3"/>
  <c r="U663" i="3"/>
  <c r="Y663" i="3" s="1"/>
  <c r="S663" i="3"/>
  <c r="M663" i="3"/>
  <c r="L663" i="3"/>
  <c r="K663" i="3"/>
  <c r="J663" i="3"/>
  <c r="I663" i="3"/>
  <c r="H663" i="3"/>
  <c r="G663" i="3"/>
  <c r="F663" i="3"/>
  <c r="D663" i="3"/>
  <c r="U762" i="3"/>
  <c r="Y762" i="3" s="1"/>
  <c r="S762" i="3"/>
  <c r="M762" i="3"/>
  <c r="L762" i="3"/>
  <c r="K762" i="3"/>
  <c r="J762" i="3"/>
  <c r="I762" i="3"/>
  <c r="H762" i="3"/>
  <c r="G762" i="3"/>
  <c r="F762" i="3"/>
  <c r="D762" i="3"/>
  <c r="U731" i="3"/>
  <c r="Y731" i="3" s="1"/>
  <c r="S731" i="3"/>
  <c r="M731" i="3"/>
  <c r="L731" i="3"/>
  <c r="K731" i="3"/>
  <c r="J731" i="3"/>
  <c r="I731" i="3"/>
  <c r="H731" i="3"/>
  <c r="G731" i="3"/>
  <c r="F731" i="3"/>
  <c r="D731" i="3"/>
  <c r="U662" i="3"/>
  <c r="Y662" i="3" s="1"/>
  <c r="S662" i="3"/>
  <c r="M662" i="3"/>
  <c r="L662" i="3"/>
  <c r="K662" i="3"/>
  <c r="J662" i="3"/>
  <c r="I662" i="3"/>
  <c r="H662" i="3"/>
  <c r="G662" i="3"/>
  <c r="F662" i="3"/>
  <c r="D662" i="3"/>
  <c r="U262" i="3"/>
  <c r="Y262" i="3" s="1"/>
  <c r="S262" i="3"/>
  <c r="M262" i="3"/>
  <c r="L262" i="3"/>
  <c r="K262" i="3"/>
  <c r="J262" i="3"/>
  <c r="I262" i="3"/>
  <c r="H262" i="3"/>
  <c r="G262" i="3"/>
  <c r="F262" i="3"/>
  <c r="D262" i="3"/>
  <c r="U261" i="3"/>
  <c r="Y261" i="3" s="1"/>
  <c r="S261" i="3"/>
  <c r="M261" i="3"/>
  <c r="L261" i="3"/>
  <c r="K261" i="3"/>
  <c r="J261" i="3"/>
  <c r="I261" i="3"/>
  <c r="H261" i="3"/>
  <c r="G261" i="3"/>
  <c r="F261" i="3"/>
  <c r="D261" i="3"/>
  <c r="U737" i="3"/>
  <c r="Y737" i="3" s="1"/>
  <c r="S737" i="3"/>
  <c r="M737" i="3"/>
  <c r="L737" i="3"/>
  <c r="K737" i="3"/>
  <c r="J737" i="3"/>
  <c r="I737" i="3"/>
  <c r="H737" i="3"/>
  <c r="G737" i="3"/>
  <c r="F737" i="3"/>
  <c r="D737" i="3"/>
  <c r="U370" i="3"/>
  <c r="Y370" i="3" s="1"/>
  <c r="S370" i="3"/>
  <c r="M370" i="3"/>
  <c r="L370" i="3"/>
  <c r="K370" i="3"/>
  <c r="J370" i="3"/>
  <c r="I370" i="3"/>
  <c r="H370" i="3"/>
  <c r="G370" i="3"/>
  <c r="F370" i="3"/>
  <c r="D370" i="3"/>
  <c r="U81" i="3"/>
  <c r="Y81" i="3" s="1"/>
  <c r="S81" i="3"/>
  <c r="M81" i="3"/>
  <c r="L81" i="3"/>
  <c r="K81" i="3"/>
  <c r="J81" i="3"/>
  <c r="I81" i="3"/>
  <c r="H81" i="3"/>
  <c r="G81" i="3"/>
  <c r="F81" i="3"/>
  <c r="D81" i="3"/>
  <c r="U761" i="3"/>
  <c r="Y761" i="3" s="1"/>
  <c r="S761" i="3"/>
  <c r="M761" i="3"/>
  <c r="L761" i="3"/>
  <c r="K761" i="3"/>
  <c r="J761" i="3"/>
  <c r="I761" i="3"/>
  <c r="H761" i="3"/>
  <c r="G761" i="3"/>
  <c r="F761" i="3"/>
  <c r="D761" i="3"/>
  <c r="U760" i="3"/>
  <c r="Y760" i="3" s="1"/>
  <c r="S760" i="3"/>
  <c r="M760" i="3"/>
  <c r="L760" i="3"/>
  <c r="K760" i="3"/>
  <c r="J760" i="3"/>
  <c r="I760" i="3"/>
  <c r="H760" i="3"/>
  <c r="G760" i="3"/>
  <c r="F760" i="3"/>
  <c r="D760" i="3"/>
  <c r="U396" i="3"/>
  <c r="Y396" i="3" s="1"/>
  <c r="S396" i="3"/>
  <c r="M396" i="3"/>
  <c r="L396" i="3"/>
  <c r="K396" i="3"/>
  <c r="J396" i="3"/>
  <c r="I396" i="3"/>
  <c r="H396" i="3"/>
  <c r="G396" i="3"/>
  <c r="F396" i="3"/>
  <c r="D396" i="3"/>
  <c r="U402" i="3"/>
  <c r="Y402" i="3" s="1"/>
  <c r="S402" i="3"/>
  <c r="M402" i="3"/>
  <c r="L402" i="3"/>
  <c r="K402" i="3"/>
  <c r="J402" i="3"/>
  <c r="I402" i="3"/>
  <c r="H402" i="3"/>
  <c r="G402" i="3"/>
  <c r="F402" i="3"/>
  <c r="D402" i="3"/>
  <c r="U260" i="3"/>
  <c r="Y260" i="3" s="1"/>
  <c r="S260" i="3"/>
  <c r="M260" i="3"/>
  <c r="L260" i="3"/>
  <c r="K260" i="3"/>
  <c r="J260" i="3"/>
  <c r="I260" i="3"/>
  <c r="H260" i="3"/>
  <c r="G260" i="3"/>
  <c r="F260" i="3"/>
  <c r="D260" i="3"/>
  <c r="U259" i="3"/>
  <c r="Y259" i="3" s="1"/>
  <c r="S259" i="3"/>
  <c r="M259" i="3"/>
  <c r="L259" i="3"/>
  <c r="K259" i="3"/>
  <c r="J259" i="3"/>
  <c r="I259" i="3"/>
  <c r="H259" i="3"/>
  <c r="G259" i="3"/>
  <c r="F259" i="3"/>
  <c r="D259" i="3"/>
  <c r="U369" i="3"/>
  <c r="Y369" i="3" s="1"/>
  <c r="S369" i="3"/>
  <c r="M369" i="3"/>
  <c r="L369" i="3"/>
  <c r="K369" i="3"/>
  <c r="J369" i="3"/>
  <c r="I369" i="3"/>
  <c r="H369" i="3"/>
  <c r="G369" i="3"/>
  <c r="F369" i="3"/>
  <c r="D369" i="3"/>
  <c r="U395" i="3"/>
  <c r="Y395" i="3" s="1"/>
  <c r="S395" i="3"/>
  <c r="M395" i="3"/>
  <c r="L395" i="3"/>
  <c r="K395" i="3"/>
  <c r="J395" i="3"/>
  <c r="I395" i="3"/>
  <c r="H395" i="3"/>
  <c r="G395" i="3"/>
  <c r="F395" i="3"/>
  <c r="D395" i="3"/>
  <c r="U752" i="3"/>
  <c r="Y752" i="3" s="1"/>
  <c r="S752" i="3"/>
  <c r="M752" i="3"/>
  <c r="L752" i="3"/>
  <c r="K752" i="3"/>
  <c r="J752" i="3"/>
  <c r="I752" i="3"/>
  <c r="H752" i="3"/>
  <c r="G752" i="3"/>
  <c r="F752" i="3"/>
  <c r="D752" i="3"/>
  <c r="U394" i="3"/>
  <c r="Y394" i="3" s="1"/>
  <c r="S394" i="3"/>
  <c r="M394" i="3"/>
  <c r="L394" i="3"/>
  <c r="K394" i="3"/>
  <c r="J394" i="3"/>
  <c r="I394" i="3"/>
  <c r="H394" i="3"/>
  <c r="G394" i="3"/>
  <c r="F394" i="3"/>
  <c r="D394" i="3"/>
  <c r="U393" i="3"/>
  <c r="Y393" i="3" s="1"/>
  <c r="S393" i="3"/>
  <c r="M393" i="3"/>
  <c r="L393" i="3"/>
  <c r="K393" i="3"/>
  <c r="J393" i="3"/>
  <c r="I393" i="3"/>
  <c r="H393" i="3"/>
  <c r="G393" i="3"/>
  <c r="F393" i="3"/>
  <c r="D393" i="3"/>
  <c r="U392" i="3"/>
  <c r="Y392" i="3" s="1"/>
  <c r="S392" i="3"/>
  <c r="M392" i="3"/>
  <c r="L392" i="3"/>
  <c r="K392" i="3"/>
  <c r="J392" i="3"/>
  <c r="I392" i="3"/>
  <c r="H392" i="3"/>
  <c r="G392" i="3"/>
  <c r="F392" i="3"/>
  <c r="D392" i="3"/>
  <c r="U759" i="3"/>
  <c r="Y759" i="3" s="1"/>
  <c r="S759" i="3"/>
  <c r="M759" i="3"/>
  <c r="L759" i="3"/>
  <c r="K759" i="3"/>
  <c r="J759" i="3"/>
  <c r="I759" i="3"/>
  <c r="H759" i="3"/>
  <c r="G759" i="3"/>
  <c r="F759" i="3"/>
  <c r="D759" i="3"/>
  <c r="U758" i="3"/>
  <c r="Y758" i="3" s="1"/>
  <c r="S758" i="3"/>
  <c r="M758" i="3"/>
  <c r="L758" i="3"/>
  <c r="K758" i="3"/>
  <c r="J758" i="3"/>
  <c r="I758" i="3"/>
  <c r="H758" i="3"/>
  <c r="G758" i="3"/>
  <c r="F758" i="3"/>
  <c r="D758" i="3"/>
  <c r="U258" i="3"/>
  <c r="Y258" i="3" s="1"/>
  <c r="S258" i="3"/>
  <c r="M258" i="3"/>
  <c r="L258" i="3"/>
  <c r="K258" i="3"/>
  <c r="J258" i="3"/>
  <c r="I258" i="3"/>
  <c r="H258" i="3"/>
  <c r="G258" i="3"/>
  <c r="F258" i="3"/>
  <c r="D258" i="3"/>
  <c r="U629" i="3"/>
  <c r="Y629" i="3" s="1"/>
  <c r="S629" i="3"/>
  <c r="M629" i="3"/>
  <c r="L629" i="3"/>
  <c r="K629" i="3"/>
  <c r="J629" i="3"/>
  <c r="I629" i="3"/>
  <c r="H629" i="3"/>
  <c r="G629" i="3"/>
  <c r="F629" i="3"/>
  <c r="D629" i="3"/>
  <c r="U661" i="3"/>
  <c r="Y661" i="3" s="1"/>
  <c r="S661" i="3"/>
  <c r="M661" i="3"/>
  <c r="L661" i="3"/>
  <c r="K661" i="3"/>
  <c r="J661" i="3"/>
  <c r="I661" i="3"/>
  <c r="H661" i="3"/>
  <c r="G661" i="3"/>
  <c r="F661" i="3"/>
  <c r="D661" i="3"/>
  <c r="U391" i="3"/>
  <c r="Y391" i="3" s="1"/>
  <c r="S391" i="3"/>
  <c r="M391" i="3"/>
  <c r="L391" i="3"/>
  <c r="K391" i="3"/>
  <c r="J391" i="3"/>
  <c r="I391" i="3"/>
  <c r="H391" i="3"/>
  <c r="G391" i="3"/>
  <c r="F391" i="3"/>
  <c r="D391" i="3"/>
  <c r="U573" i="3"/>
  <c r="Y573" i="3" s="1"/>
  <c r="S573" i="3"/>
  <c r="M573" i="3"/>
  <c r="L573" i="3"/>
  <c r="K573" i="3"/>
  <c r="J573" i="3"/>
  <c r="I573" i="3"/>
  <c r="H573" i="3"/>
  <c r="G573" i="3"/>
  <c r="F573" i="3"/>
  <c r="D573" i="3"/>
  <c r="U572" i="3"/>
  <c r="Y572" i="3" s="1"/>
  <c r="S572" i="3"/>
  <c r="M572" i="3"/>
  <c r="L572" i="3"/>
  <c r="K572" i="3"/>
  <c r="J572" i="3"/>
  <c r="I572" i="3"/>
  <c r="H572" i="3"/>
  <c r="G572" i="3"/>
  <c r="F572" i="3"/>
  <c r="D572" i="3"/>
  <c r="U324" i="3"/>
  <c r="Y324" i="3" s="1"/>
  <c r="S324" i="3"/>
  <c r="M324" i="3"/>
  <c r="L324" i="3"/>
  <c r="K324" i="3"/>
  <c r="J324" i="3"/>
  <c r="I324" i="3"/>
  <c r="H324" i="3"/>
  <c r="G324" i="3"/>
  <c r="F324" i="3"/>
  <c r="D324" i="3"/>
  <c r="U628" i="3"/>
  <c r="Y628" i="3" s="1"/>
  <c r="S628" i="3"/>
  <c r="M628" i="3"/>
  <c r="L628" i="3"/>
  <c r="K628" i="3"/>
  <c r="J628" i="3"/>
  <c r="I628" i="3"/>
  <c r="H628" i="3"/>
  <c r="G628" i="3"/>
  <c r="F628" i="3"/>
  <c r="D628" i="3"/>
  <c r="U627" i="3"/>
  <c r="Y627" i="3" s="1"/>
  <c r="S627" i="3"/>
  <c r="M627" i="3"/>
  <c r="L627" i="3"/>
  <c r="K627" i="3"/>
  <c r="J627" i="3"/>
  <c r="I627" i="3"/>
  <c r="H627" i="3"/>
  <c r="G627" i="3"/>
  <c r="F627" i="3"/>
  <c r="D627" i="3"/>
  <c r="U626" i="3"/>
  <c r="Y626" i="3" s="1"/>
  <c r="S626" i="3"/>
  <c r="M626" i="3"/>
  <c r="L626" i="3"/>
  <c r="K626" i="3"/>
  <c r="J626" i="3"/>
  <c r="I626" i="3"/>
  <c r="H626" i="3"/>
  <c r="G626" i="3"/>
  <c r="F626" i="3"/>
  <c r="D626" i="3"/>
  <c r="U625" i="3"/>
  <c r="Y625" i="3" s="1"/>
  <c r="S625" i="3"/>
  <c r="M625" i="3"/>
  <c r="L625" i="3"/>
  <c r="K625" i="3"/>
  <c r="J625" i="3"/>
  <c r="I625" i="3"/>
  <c r="H625" i="3"/>
  <c r="G625" i="3"/>
  <c r="F625" i="3"/>
  <c r="D625" i="3"/>
  <c r="U390" i="3"/>
  <c r="Y390" i="3" s="1"/>
  <c r="S390" i="3"/>
  <c r="M390" i="3"/>
  <c r="L390" i="3"/>
  <c r="K390" i="3"/>
  <c r="J390" i="3"/>
  <c r="I390" i="3"/>
  <c r="H390" i="3"/>
  <c r="G390" i="3"/>
  <c r="F390" i="3"/>
  <c r="D390" i="3"/>
  <c r="U624" i="3"/>
  <c r="Y624" i="3" s="1"/>
  <c r="S624" i="3"/>
  <c r="M624" i="3"/>
  <c r="L624" i="3"/>
  <c r="K624" i="3"/>
  <c r="J624" i="3"/>
  <c r="I624" i="3"/>
  <c r="H624" i="3"/>
  <c r="G624" i="3"/>
  <c r="F624" i="3"/>
  <c r="D624" i="3"/>
  <c r="U749" i="3"/>
  <c r="Y749" i="3" s="1"/>
  <c r="S749" i="3"/>
  <c r="M749" i="3"/>
  <c r="L749" i="3"/>
  <c r="K749" i="3"/>
  <c r="J749" i="3"/>
  <c r="I749" i="3"/>
  <c r="H749" i="3"/>
  <c r="G749" i="3"/>
  <c r="F749" i="3"/>
  <c r="D749" i="3"/>
  <c r="U757" i="3"/>
  <c r="Y757" i="3" s="1"/>
  <c r="S757" i="3"/>
  <c r="M757" i="3"/>
  <c r="L757" i="3"/>
  <c r="K757" i="3"/>
  <c r="J757" i="3"/>
  <c r="I757" i="3"/>
  <c r="H757" i="3"/>
  <c r="G757" i="3"/>
  <c r="F757" i="3"/>
  <c r="D757" i="3"/>
  <c r="U342" i="3"/>
  <c r="Y342" i="3" s="1"/>
  <c r="S342" i="3"/>
  <c r="M342" i="3"/>
  <c r="L342" i="3"/>
  <c r="K342" i="3"/>
  <c r="J342" i="3"/>
  <c r="I342" i="3"/>
  <c r="H342" i="3"/>
  <c r="G342" i="3"/>
  <c r="F342" i="3"/>
  <c r="D342" i="3"/>
  <c r="U257" i="3"/>
  <c r="Y257" i="3" s="1"/>
  <c r="S257" i="3"/>
  <c r="M257" i="3"/>
  <c r="L257" i="3"/>
  <c r="K257" i="3"/>
  <c r="J257" i="3"/>
  <c r="I257" i="3"/>
  <c r="H257" i="3"/>
  <c r="G257" i="3"/>
  <c r="F257" i="3"/>
  <c r="D257" i="3"/>
  <c r="U660" i="3"/>
  <c r="Y660" i="3" s="1"/>
  <c r="S660" i="3"/>
  <c r="M660" i="3"/>
  <c r="L660" i="3"/>
  <c r="K660" i="3"/>
  <c r="J660" i="3"/>
  <c r="I660" i="3"/>
  <c r="H660" i="3"/>
  <c r="G660" i="3"/>
  <c r="F660" i="3"/>
  <c r="D660" i="3"/>
  <c r="U256" i="3"/>
  <c r="Y256" i="3" s="1"/>
  <c r="S256" i="3"/>
  <c r="M256" i="3"/>
  <c r="L256" i="3"/>
  <c r="K256" i="3"/>
  <c r="J256" i="3"/>
  <c r="I256" i="3"/>
  <c r="H256" i="3"/>
  <c r="G256" i="3"/>
  <c r="F256" i="3"/>
  <c r="D256" i="3"/>
  <c r="U368" i="3"/>
  <c r="Y368" i="3" s="1"/>
  <c r="S368" i="3"/>
  <c r="M368" i="3"/>
  <c r="L368" i="3"/>
  <c r="K368" i="3"/>
  <c r="J368" i="3"/>
  <c r="I368" i="3"/>
  <c r="H368" i="3"/>
  <c r="G368" i="3"/>
  <c r="F368" i="3"/>
  <c r="D368" i="3"/>
  <c r="U623" i="3"/>
  <c r="Y623" i="3" s="1"/>
  <c r="S623" i="3"/>
  <c r="M623" i="3"/>
  <c r="L623" i="3"/>
  <c r="K623" i="3"/>
  <c r="J623" i="3"/>
  <c r="I623" i="3"/>
  <c r="H623" i="3"/>
  <c r="G623" i="3"/>
  <c r="F623" i="3"/>
  <c r="D623" i="3"/>
  <c r="U367" i="3"/>
  <c r="Y367" i="3" s="1"/>
  <c r="S367" i="3"/>
  <c r="M367" i="3"/>
  <c r="L367" i="3"/>
  <c r="K367" i="3"/>
  <c r="J367" i="3"/>
  <c r="I367" i="3"/>
  <c r="H367" i="3"/>
  <c r="G367" i="3"/>
  <c r="F367" i="3"/>
  <c r="D367" i="3"/>
  <c r="U389" i="3"/>
  <c r="Y389" i="3" s="1"/>
  <c r="S389" i="3"/>
  <c r="M389" i="3"/>
  <c r="L389" i="3"/>
  <c r="K389" i="3"/>
  <c r="J389" i="3"/>
  <c r="I389" i="3"/>
  <c r="H389" i="3"/>
  <c r="G389" i="3"/>
  <c r="F389" i="3"/>
  <c r="D389" i="3"/>
  <c r="U366" i="3"/>
  <c r="Y366" i="3" s="1"/>
  <c r="S366" i="3"/>
  <c r="M366" i="3"/>
  <c r="L366" i="3"/>
  <c r="K366" i="3"/>
  <c r="J366" i="3"/>
  <c r="I366" i="3"/>
  <c r="H366" i="3"/>
  <c r="G366" i="3"/>
  <c r="F366" i="3"/>
  <c r="D366" i="3"/>
  <c r="U622" i="3"/>
  <c r="Y622" i="3" s="1"/>
  <c r="S622" i="3"/>
  <c r="M622" i="3"/>
  <c r="L622" i="3"/>
  <c r="K622" i="3"/>
  <c r="J622" i="3"/>
  <c r="I622" i="3"/>
  <c r="H622" i="3"/>
  <c r="G622" i="3"/>
  <c r="F622" i="3"/>
  <c r="D622" i="3"/>
  <c r="U66" i="3"/>
  <c r="Y66" i="3" s="1"/>
  <c r="S66" i="3"/>
  <c r="M66" i="3"/>
  <c r="L66" i="3"/>
  <c r="K66" i="3"/>
  <c r="J66" i="3"/>
  <c r="I66" i="3"/>
  <c r="H66" i="3"/>
  <c r="G66" i="3"/>
  <c r="F66" i="3"/>
  <c r="D66" i="3"/>
  <c r="U621" i="3"/>
  <c r="Y621" i="3" s="1"/>
  <c r="S621" i="3"/>
  <c r="M621" i="3"/>
  <c r="L621" i="3"/>
  <c r="K621" i="3"/>
  <c r="J621" i="3"/>
  <c r="I621" i="3"/>
  <c r="H621" i="3"/>
  <c r="G621" i="3"/>
  <c r="F621" i="3"/>
  <c r="D621" i="3"/>
  <c r="U432" i="3"/>
  <c r="Y432" i="3" s="1"/>
  <c r="S432" i="3"/>
  <c r="M432" i="3"/>
  <c r="L432" i="3"/>
  <c r="K432" i="3"/>
  <c r="J432" i="3"/>
  <c r="I432" i="3"/>
  <c r="H432" i="3"/>
  <c r="G432" i="3"/>
  <c r="F432" i="3"/>
  <c r="D432" i="3"/>
  <c r="U730" i="3"/>
  <c r="Y730" i="3" s="1"/>
  <c r="S730" i="3"/>
  <c r="M730" i="3"/>
  <c r="L730" i="3"/>
  <c r="K730" i="3"/>
  <c r="J730" i="3"/>
  <c r="I730" i="3"/>
  <c r="H730" i="3"/>
  <c r="G730" i="3"/>
  <c r="F730" i="3"/>
  <c r="D730" i="3"/>
  <c r="U620" i="3"/>
  <c r="Y620" i="3" s="1"/>
  <c r="S620" i="3"/>
  <c r="M620" i="3"/>
  <c r="L620" i="3"/>
  <c r="K620" i="3"/>
  <c r="J620" i="3"/>
  <c r="I620" i="3"/>
  <c r="H620" i="3"/>
  <c r="G620" i="3"/>
  <c r="F620" i="3"/>
  <c r="D620" i="3"/>
  <c r="U619" i="3"/>
  <c r="Y619" i="3" s="1"/>
  <c r="S619" i="3"/>
  <c r="M619" i="3"/>
  <c r="L619" i="3"/>
  <c r="K619" i="3"/>
  <c r="J619" i="3"/>
  <c r="I619" i="3"/>
  <c r="H619" i="3"/>
  <c r="G619" i="3"/>
  <c r="F619" i="3"/>
  <c r="D619" i="3"/>
  <c r="U571" i="3"/>
  <c r="Y571" i="3" s="1"/>
  <c r="S571" i="3"/>
  <c r="M571" i="3"/>
  <c r="L571" i="3"/>
  <c r="K571" i="3"/>
  <c r="J571" i="3"/>
  <c r="I571" i="3"/>
  <c r="H571" i="3"/>
  <c r="G571" i="3"/>
  <c r="F571" i="3"/>
  <c r="D571" i="3"/>
  <c r="U431" i="3"/>
  <c r="Y431" i="3" s="1"/>
  <c r="S431" i="3"/>
  <c r="M431" i="3"/>
  <c r="L431" i="3"/>
  <c r="K431" i="3"/>
  <c r="J431" i="3"/>
  <c r="I431" i="3"/>
  <c r="H431" i="3"/>
  <c r="G431" i="3"/>
  <c r="F431" i="3"/>
  <c r="D431" i="3"/>
  <c r="U255" i="3"/>
  <c r="Y255" i="3" s="1"/>
  <c r="S255" i="3"/>
  <c r="M255" i="3"/>
  <c r="L255" i="3"/>
  <c r="K255" i="3"/>
  <c r="J255" i="3"/>
  <c r="I255" i="3"/>
  <c r="H255" i="3"/>
  <c r="G255" i="3"/>
  <c r="F255" i="3"/>
  <c r="D255" i="3"/>
  <c r="U254" i="3"/>
  <c r="Y254" i="3" s="1"/>
  <c r="S254" i="3"/>
  <c r="M254" i="3"/>
  <c r="L254" i="3"/>
  <c r="K254" i="3"/>
  <c r="J254" i="3"/>
  <c r="I254" i="3"/>
  <c r="H254" i="3"/>
  <c r="G254" i="3"/>
  <c r="F254" i="3"/>
  <c r="D254" i="3"/>
  <c r="U253" i="3"/>
  <c r="Y253" i="3" s="1"/>
  <c r="S253" i="3"/>
  <c r="M253" i="3"/>
  <c r="L253" i="3"/>
  <c r="K253" i="3"/>
  <c r="J253" i="3"/>
  <c r="I253" i="3"/>
  <c r="H253" i="3"/>
  <c r="G253" i="3"/>
  <c r="F253" i="3"/>
  <c r="D253" i="3"/>
  <c r="U80" i="3"/>
  <c r="Y80" i="3" s="1"/>
  <c r="Q80" i="3"/>
  <c r="S80" i="3" s="1"/>
  <c r="M80" i="3"/>
  <c r="L80" i="3"/>
  <c r="K80" i="3"/>
  <c r="J80" i="3"/>
  <c r="I80" i="3"/>
  <c r="H80" i="3"/>
  <c r="G80" i="3"/>
  <c r="F80" i="3"/>
  <c r="D80" i="3"/>
  <c r="U79" i="3"/>
  <c r="Y79" i="3" s="1"/>
  <c r="Q79" i="3"/>
  <c r="S79" i="3" s="1"/>
  <c r="M79" i="3"/>
  <c r="L79" i="3"/>
  <c r="K79" i="3"/>
  <c r="J79" i="3"/>
  <c r="I79" i="3"/>
  <c r="H79" i="3"/>
  <c r="G79" i="3"/>
  <c r="F79" i="3"/>
  <c r="D79" i="3"/>
  <c r="U252" i="3"/>
  <c r="Y252" i="3" s="1"/>
  <c r="S252" i="3"/>
  <c r="M252" i="3"/>
  <c r="L252" i="3"/>
  <c r="K252" i="3"/>
  <c r="J252" i="3"/>
  <c r="I252" i="3"/>
  <c r="H252" i="3"/>
  <c r="G252" i="3"/>
  <c r="F252" i="3"/>
  <c r="D252" i="3"/>
  <c r="U251" i="3"/>
  <c r="Y251" i="3" s="1"/>
  <c r="S251" i="3"/>
  <c r="M251" i="3"/>
  <c r="L251" i="3"/>
  <c r="K251" i="3"/>
  <c r="J251" i="3"/>
  <c r="I251" i="3"/>
  <c r="H251" i="3"/>
  <c r="G251" i="3"/>
  <c r="F251" i="3"/>
  <c r="D251" i="3"/>
  <c r="U65" i="3"/>
  <c r="Y65" i="3" s="1"/>
  <c r="S65" i="3"/>
  <c r="M65" i="3"/>
  <c r="L65" i="3"/>
  <c r="K65" i="3"/>
  <c r="J65" i="3"/>
  <c r="I65" i="3"/>
  <c r="H65" i="3"/>
  <c r="G65" i="3"/>
  <c r="F65" i="3"/>
  <c r="D65" i="3"/>
  <c r="U250" i="3"/>
  <c r="Y250" i="3" s="1"/>
  <c r="S250" i="3"/>
  <c r="M250" i="3"/>
  <c r="L250" i="3"/>
  <c r="K250" i="3"/>
  <c r="J250" i="3"/>
  <c r="I250" i="3"/>
  <c r="H250" i="3"/>
  <c r="G250" i="3"/>
  <c r="F250" i="3"/>
  <c r="D250" i="3"/>
  <c r="U9" i="3"/>
  <c r="Y9" i="3" s="1"/>
  <c r="S9" i="3"/>
  <c r="M9" i="3"/>
  <c r="L9" i="3"/>
  <c r="K9" i="3"/>
  <c r="J9" i="3"/>
  <c r="I9" i="3"/>
  <c r="H9" i="3"/>
  <c r="G9" i="3"/>
  <c r="F9" i="3"/>
  <c r="D9" i="3"/>
  <c r="U365" i="3"/>
  <c r="Y365" i="3" s="1"/>
  <c r="S365" i="3"/>
  <c r="M365" i="3"/>
  <c r="L365" i="3"/>
  <c r="K365" i="3"/>
  <c r="J365" i="3"/>
  <c r="I365" i="3"/>
  <c r="H365" i="3"/>
  <c r="G365" i="3"/>
  <c r="F365" i="3"/>
  <c r="D365" i="3"/>
  <c r="U570" i="3"/>
  <c r="Y570" i="3" s="1"/>
  <c r="S570" i="3"/>
  <c r="M570" i="3"/>
  <c r="L570" i="3"/>
  <c r="K570" i="3"/>
  <c r="J570" i="3"/>
  <c r="I570" i="3"/>
  <c r="H570" i="3"/>
  <c r="G570" i="3"/>
  <c r="F570" i="3"/>
  <c r="D570" i="3"/>
  <c r="U419" i="3"/>
  <c r="Y419" i="3" s="1"/>
  <c r="S419" i="3"/>
  <c r="M419" i="3"/>
  <c r="L419" i="3"/>
  <c r="K419" i="3"/>
  <c r="J419" i="3"/>
  <c r="I419" i="3"/>
  <c r="H419" i="3"/>
  <c r="G419" i="3"/>
  <c r="F419" i="3"/>
  <c r="D419" i="3"/>
  <c r="U618" i="3"/>
  <c r="Y618" i="3" s="1"/>
  <c r="S618" i="3"/>
  <c r="M618" i="3"/>
  <c r="L618" i="3"/>
  <c r="K618" i="3"/>
  <c r="J618" i="3"/>
  <c r="I618" i="3"/>
  <c r="H618" i="3"/>
  <c r="G618" i="3"/>
  <c r="F618" i="3"/>
  <c r="D618" i="3"/>
  <c r="U388" i="3"/>
  <c r="Y388" i="3" s="1"/>
  <c r="S388" i="3"/>
  <c r="M388" i="3"/>
  <c r="L388" i="3"/>
  <c r="K388" i="3"/>
  <c r="J388" i="3"/>
  <c r="I388" i="3"/>
  <c r="H388" i="3"/>
  <c r="G388" i="3"/>
  <c r="F388" i="3"/>
  <c r="D388" i="3"/>
  <c r="U387" i="3"/>
  <c r="Y387" i="3" s="1"/>
  <c r="S387" i="3"/>
  <c r="M387" i="3"/>
  <c r="L387" i="3"/>
  <c r="K387" i="3"/>
  <c r="J387" i="3"/>
  <c r="I387" i="3"/>
  <c r="H387" i="3"/>
  <c r="G387" i="3"/>
  <c r="F387" i="3"/>
  <c r="D387" i="3"/>
  <c r="U659" i="3"/>
  <c r="Y659" i="3" s="1"/>
  <c r="S659" i="3"/>
  <c r="M659" i="3"/>
  <c r="L659" i="3"/>
  <c r="K659" i="3"/>
  <c r="J659" i="3"/>
  <c r="I659" i="3"/>
  <c r="H659" i="3"/>
  <c r="G659" i="3"/>
  <c r="F659" i="3"/>
  <c r="D659" i="3"/>
  <c r="U78" i="3"/>
  <c r="Y78" i="3" s="1"/>
  <c r="S78" i="3"/>
  <c r="M78" i="3"/>
  <c r="L78" i="3"/>
  <c r="K78" i="3"/>
  <c r="J78" i="3"/>
  <c r="I78" i="3"/>
  <c r="H78" i="3"/>
  <c r="G78" i="3"/>
  <c r="F78" i="3"/>
  <c r="D78" i="3"/>
  <c r="U756" i="3"/>
  <c r="Y756" i="3" s="1"/>
  <c r="S756" i="3"/>
  <c r="M756" i="3"/>
  <c r="L756" i="3"/>
  <c r="K756" i="3"/>
  <c r="J756" i="3"/>
  <c r="I756" i="3"/>
  <c r="H756" i="3"/>
  <c r="G756" i="3"/>
  <c r="F756" i="3"/>
  <c r="D756" i="3"/>
  <c r="U77" i="3"/>
  <c r="Y77" i="3" s="1"/>
  <c r="S77" i="3"/>
  <c r="M77" i="3"/>
  <c r="L77" i="3"/>
  <c r="K77" i="3"/>
  <c r="J77" i="3"/>
  <c r="I77" i="3"/>
  <c r="H77" i="3"/>
  <c r="G77" i="3"/>
  <c r="F77" i="3"/>
  <c r="D77" i="3"/>
  <c r="U755" i="3"/>
  <c r="Y755" i="3" s="1"/>
  <c r="S755" i="3"/>
  <c r="M755" i="3"/>
  <c r="L755" i="3"/>
  <c r="K755" i="3"/>
  <c r="J755" i="3"/>
  <c r="I755" i="3"/>
  <c r="H755" i="3"/>
  <c r="G755" i="3"/>
  <c r="F755" i="3"/>
  <c r="D755" i="3"/>
  <c r="U249" i="3"/>
  <c r="Y249" i="3" s="1"/>
  <c r="Q249" i="3"/>
  <c r="S249" i="3" s="1"/>
  <c r="M249" i="3"/>
  <c r="L249" i="3"/>
  <c r="K249" i="3"/>
  <c r="J249" i="3"/>
  <c r="I249" i="3"/>
  <c r="H249" i="3"/>
  <c r="G249" i="3"/>
  <c r="F249" i="3"/>
  <c r="D249" i="3"/>
  <c r="U582" i="3"/>
  <c r="Y582" i="3" s="1"/>
  <c r="S582" i="3"/>
  <c r="M582" i="3"/>
  <c r="L582" i="3"/>
  <c r="K582" i="3"/>
  <c r="J582" i="3"/>
  <c r="I582" i="3"/>
  <c r="H582" i="3"/>
  <c r="G582" i="3"/>
  <c r="F582" i="3"/>
  <c r="D582" i="3"/>
  <c r="U617" i="3"/>
  <c r="Y617" i="3" s="1"/>
  <c r="S617" i="3"/>
  <c r="M617" i="3"/>
  <c r="L617" i="3"/>
  <c r="K617" i="3"/>
  <c r="J617" i="3"/>
  <c r="I617" i="3"/>
  <c r="H617" i="3"/>
  <c r="G617" i="3"/>
  <c r="F617" i="3"/>
  <c r="D617" i="3"/>
  <c r="U754" i="3"/>
  <c r="Y754" i="3" s="1"/>
  <c r="S754" i="3"/>
  <c r="M754" i="3"/>
  <c r="L754" i="3"/>
  <c r="K754" i="3"/>
  <c r="J754" i="3"/>
  <c r="I754" i="3"/>
  <c r="H754" i="3"/>
  <c r="G754" i="3"/>
  <c r="F754" i="3"/>
  <c r="D754" i="3"/>
  <c r="U729" i="3"/>
  <c r="Y729" i="3" s="1"/>
  <c r="S729" i="3"/>
  <c r="M729" i="3"/>
  <c r="L729" i="3"/>
  <c r="K729" i="3"/>
  <c r="J729" i="3"/>
  <c r="I729" i="3"/>
  <c r="H729" i="3"/>
  <c r="G729" i="3"/>
  <c r="F729" i="3"/>
  <c r="D729" i="3"/>
  <c r="U569" i="3"/>
  <c r="Y569" i="3" s="1"/>
  <c r="S569" i="3"/>
  <c r="M569" i="3"/>
  <c r="L569" i="3"/>
  <c r="K569" i="3"/>
  <c r="J569" i="3"/>
  <c r="I569" i="3"/>
  <c r="H569" i="3"/>
  <c r="G569" i="3"/>
  <c r="F569" i="3"/>
  <c r="D569" i="3"/>
  <c r="U568" i="3"/>
  <c r="Y568" i="3" s="1"/>
  <c r="S568" i="3"/>
  <c r="M568" i="3"/>
  <c r="L568" i="3"/>
  <c r="K568" i="3"/>
  <c r="J568" i="3"/>
  <c r="I568" i="3"/>
  <c r="H568" i="3"/>
  <c r="G568" i="3"/>
  <c r="F568" i="3"/>
  <c r="D568" i="3"/>
  <c r="U567" i="3"/>
  <c r="Y567" i="3" s="1"/>
  <c r="S567" i="3"/>
  <c r="M567" i="3"/>
  <c r="L567" i="3"/>
  <c r="K567" i="3"/>
  <c r="J567" i="3"/>
  <c r="I567" i="3"/>
  <c r="H567" i="3"/>
  <c r="G567" i="3"/>
  <c r="F567" i="3"/>
  <c r="D567" i="3"/>
  <c r="U364" i="3"/>
  <c r="Y364" i="3" s="1"/>
  <c r="S364" i="3"/>
  <c r="M364" i="3"/>
  <c r="L364" i="3"/>
  <c r="K364" i="3"/>
  <c r="J364" i="3"/>
  <c r="I364" i="3"/>
  <c r="H364" i="3"/>
  <c r="G364" i="3"/>
  <c r="F364" i="3"/>
  <c r="D364" i="3"/>
  <c r="U248" i="3"/>
  <c r="Y248" i="3" s="1"/>
  <c r="S248" i="3"/>
  <c r="M248" i="3"/>
  <c r="L248" i="3"/>
  <c r="K248" i="3"/>
  <c r="J248" i="3"/>
  <c r="I248" i="3"/>
  <c r="H248" i="3"/>
  <c r="G248" i="3"/>
  <c r="F248" i="3"/>
  <c r="D248" i="3"/>
  <c r="U658" i="3"/>
  <c r="Y658" i="3" s="1"/>
  <c r="S658" i="3"/>
  <c r="M658" i="3"/>
  <c r="L658" i="3"/>
  <c r="K658" i="3"/>
  <c r="J658" i="3"/>
  <c r="I658" i="3"/>
  <c r="H658" i="3"/>
  <c r="G658" i="3"/>
  <c r="F658" i="3"/>
  <c r="D658" i="3"/>
  <c r="U566" i="3"/>
  <c r="Y566" i="3" s="1"/>
  <c r="S566" i="3"/>
  <c r="M566" i="3"/>
  <c r="L566" i="3"/>
  <c r="K566" i="3"/>
  <c r="J566" i="3"/>
  <c r="I566" i="3"/>
  <c r="H566" i="3"/>
  <c r="G566" i="3"/>
  <c r="F566" i="3"/>
  <c r="D566" i="3"/>
  <c r="U363" i="3"/>
  <c r="Y363" i="3" s="1"/>
  <c r="S363" i="3"/>
  <c r="M363" i="3"/>
  <c r="L363" i="3"/>
  <c r="K363" i="3"/>
  <c r="J363" i="3"/>
  <c r="I363" i="3"/>
  <c r="H363" i="3"/>
  <c r="G363" i="3"/>
  <c r="F363" i="3"/>
  <c r="D363" i="3"/>
  <c r="U657" i="3"/>
  <c r="Y657" i="3" s="1"/>
  <c r="S657" i="3"/>
  <c r="M657" i="3"/>
  <c r="L657" i="3"/>
  <c r="K657" i="3"/>
  <c r="J657" i="3"/>
  <c r="I657" i="3"/>
  <c r="H657" i="3"/>
  <c r="G657" i="3"/>
  <c r="F657" i="3"/>
  <c r="D657" i="3"/>
  <c r="U362" i="3"/>
  <c r="Y362" i="3" s="1"/>
  <c r="S362" i="3"/>
  <c r="M362" i="3"/>
  <c r="L362" i="3"/>
  <c r="K362" i="3"/>
  <c r="J362" i="3"/>
  <c r="I362" i="3"/>
  <c r="H362" i="3"/>
  <c r="G362" i="3"/>
  <c r="F362" i="3"/>
  <c r="D362" i="3"/>
  <c r="U247" i="3"/>
  <c r="Y247" i="3" s="1"/>
  <c r="S247" i="3"/>
  <c r="M247" i="3"/>
  <c r="L247" i="3"/>
  <c r="K247" i="3"/>
  <c r="J247" i="3"/>
  <c r="I247" i="3"/>
  <c r="H247" i="3"/>
  <c r="G247" i="3"/>
  <c r="F247" i="3"/>
  <c r="D247" i="3"/>
  <c r="U246" i="3"/>
  <c r="Y246" i="3" s="1"/>
  <c r="S246" i="3"/>
  <c r="M246" i="3"/>
  <c r="L246" i="3"/>
  <c r="K246" i="3"/>
  <c r="J246" i="3"/>
  <c r="I246" i="3"/>
  <c r="H246" i="3"/>
  <c r="G246" i="3"/>
  <c r="F246" i="3"/>
  <c r="D246" i="3"/>
  <c r="U386" i="3"/>
  <c r="Y386" i="3" s="1"/>
  <c r="Q386" i="3"/>
  <c r="S386" i="3" s="1"/>
  <c r="M386" i="3"/>
  <c r="L386" i="3"/>
  <c r="K386" i="3"/>
  <c r="J386" i="3"/>
  <c r="I386" i="3"/>
  <c r="H386" i="3"/>
  <c r="G386" i="3"/>
  <c r="F386" i="3"/>
  <c r="D386" i="3"/>
  <c r="U361" i="3"/>
  <c r="Y361" i="3" s="1"/>
  <c r="S361" i="3"/>
  <c r="M361" i="3"/>
  <c r="L361" i="3"/>
  <c r="K361" i="3"/>
  <c r="J361" i="3"/>
  <c r="I361" i="3"/>
  <c r="H361" i="3"/>
  <c r="G361" i="3"/>
  <c r="F361" i="3"/>
  <c r="D361" i="3"/>
  <c r="U565" i="3"/>
  <c r="Y565" i="3" s="1"/>
  <c r="S565" i="3"/>
  <c r="M565" i="3"/>
  <c r="L565" i="3"/>
  <c r="K565" i="3"/>
  <c r="J565" i="3"/>
  <c r="I565" i="3"/>
  <c r="H565" i="3"/>
  <c r="G565" i="3"/>
  <c r="F565" i="3"/>
  <c r="D565" i="3"/>
  <c r="U385" i="3"/>
  <c r="Y385" i="3" s="1"/>
  <c r="S385" i="3"/>
  <c r="M385" i="3"/>
  <c r="L385" i="3"/>
  <c r="K385" i="3"/>
  <c r="J385" i="3"/>
  <c r="I385" i="3"/>
  <c r="H385" i="3"/>
  <c r="G385" i="3"/>
  <c r="F385" i="3"/>
  <c r="D385" i="3"/>
  <c r="U751" i="3"/>
  <c r="Y751" i="3" s="1"/>
  <c r="S751" i="3"/>
  <c r="M751" i="3"/>
  <c r="L751" i="3"/>
  <c r="K751" i="3"/>
  <c r="J751" i="3"/>
  <c r="I751" i="3"/>
  <c r="H751" i="3"/>
  <c r="G751" i="3"/>
  <c r="F751" i="3"/>
  <c r="D751" i="3"/>
  <c r="U341" i="3"/>
  <c r="Y341" i="3" s="1"/>
  <c r="S341" i="3"/>
  <c r="M341" i="3"/>
  <c r="L341" i="3"/>
  <c r="K341" i="3"/>
  <c r="J341" i="3"/>
  <c r="I341" i="3"/>
  <c r="H341" i="3"/>
  <c r="G341" i="3"/>
  <c r="F341" i="3"/>
  <c r="D341" i="3"/>
  <c r="U76" i="3"/>
  <c r="Y76" i="3" s="1"/>
  <c r="Q76" i="3"/>
  <c r="S76" i="3" s="1"/>
  <c r="M76" i="3"/>
  <c r="L76" i="3"/>
  <c r="K76" i="3"/>
  <c r="J76" i="3"/>
  <c r="I76" i="3"/>
  <c r="H76" i="3"/>
  <c r="G76" i="3"/>
  <c r="F76" i="3"/>
  <c r="D76" i="3"/>
  <c r="U384" i="3"/>
  <c r="Y384" i="3" s="1"/>
  <c r="S384" i="3"/>
  <c r="M384" i="3"/>
  <c r="L384" i="3"/>
  <c r="K384" i="3"/>
  <c r="J384" i="3"/>
  <c r="I384" i="3"/>
  <c r="H384" i="3"/>
  <c r="G384" i="3"/>
  <c r="F384" i="3"/>
  <c r="D384" i="3"/>
  <c r="U360" i="3"/>
  <c r="Y360" i="3" s="1"/>
  <c r="S360" i="3"/>
  <c r="M360" i="3"/>
  <c r="L360" i="3"/>
  <c r="K360" i="3"/>
  <c r="J360" i="3"/>
  <c r="I360" i="3"/>
  <c r="H360" i="3"/>
  <c r="G360" i="3"/>
  <c r="F360" i="3"/>
  <c r="D360" i="3"/>
  <c r="U728" i="3"/>
  <c r="Y728" i="3" s="1"/>
  <c r="S728" i="3"/>
  <c r="M728" i="3"/>
  <c r="L728" i="3"/>
  <c r="K728" i="3"/>
  <c r="J728" i="3"/>
  <c r="I728" i="3"/>
  <c r="H728" i="3"/>
  <c r="G728" i="3"/>
  <c r="F728" i="3"/>
  <c r="D728" i="3"/>
  <c r="U564" i="3"/>
  <c r="Y564" i="3" s="1"/>
  <c r="S564" i="3"/>
  <c r="M564" i="3"/>
  <c r="L564" i="3"/>
  <c r="K564" i="3"/>
  <c r="J564" i="3"/>
  <c r="I564" i="3"/>
  <c r="H564" i="3"/>
  <c r="G564" i="3"/>
  <c r="F564" i="3"/>
  <c r="D564" i="3"/>
  <c r="U563" i="3"/>
  <c r="Y563" i="3" s="1"/>
  <c r="S563" i="3"/>
  <c r="M563" i="3"/>
  <c r="L563" i="3"/>
  <c r="K563" i="3"/>
  <c r="J563" i="3"/>
  <c r="I563" i="3"/>
  <c r="H563" i="3"/>
  <c r="G563" i="3"/>
  <c r="F563" i="3"/>
  <c r="D563" i="3"/>
  <c r="U727" i="3"/>
  <c r="Y727" i="3" s="1"/>
  <c r="S727" i="3"/>
  <c r="M727" i="3"/>
  <c r="L727" i="3"/>
  <c r="K727" i="3"/>
  <c r="J727" i="3"/>
  <c r="I727" i="3"/>
  <c r="H727" i="3"/>
  <c r="G727" i="3"/>
  <c r="F727" i="3"/>
  <c r="D727" i="3"/>
  <c r="U753" i="3"/>
  <c r="Y753" i="3" s="1"/>
  <c r="S753" i="3"/>
  <c r="M753" i="3"/>
  <c r="L753" i="3"/>
  <c r="K753" i="3"/>
  <c r="J753" i="3"/>
  <c r="I753" i="3"/>
  <c r="H753" i="3"/>
  <c r="G753" i="3"/>
  <c r="F753" i="3"/>
  <c r="D753" i="3"/>
  <c r="U75" i="3"/>
  <c r="Y75" i="3" s="1"/>
  <c r="S75" i="3"/>
  <c r="M75" i="3"/>
  <c r="L75" i="3"/>
  <c r="K75" i="3"/>
  <c r="J75" i="3"/>
  <c r="I75" i="3"/>
  <c r="H75" i="3"/>
  <c r="G75" i="3"/>
  <c r="F75" i="3"/>
  <c r="D75" i="3"/>
  <c r="U245" i="3"/>
  <c r="Y245" i="3" s="1"/>
  <c r="Q245" i="3"/>
  <c r="S245" i="3" s="1"/>
  <c r="M245" i="3"/>
  <c r="L245" i="3"/>
  <c r="K245" i="3"/>
  <c r="J245" i="3"/>
  <c r="I245" i="3"/>
  <c r="H245" i="3"/>
  <c r="G245" i="3"/>
  <c r="F245" i="3"/>
  <c r="D245" i="3"/>
  <c r="U359" i="3"/>
  <c r="Y359" i="3" s="1"/>
  <c r="S359" i="3"/>
  <c r="M359" i="3"/>
  <c r="L359" i="3"/>
  <c r="K359" i="3"/>
  <c r="J359" i="3"/>
  <c r="I359" i="3"/>
  <c r="H359" i="3"/>
  <c r="G359" i="3"/>
  <c r="F359" i="3"/>
  <c r="D359" i="3"/>
  <c r="U358" i="3"/>
  <c r="Y358" i="3" s="1"/>
  <c r="S358" i="3"/>
  <c r="M358" i="3"/>
  <c r="L358" i="3"/>
  <c r="K358" i="3"/>
  <c r="J358" i="3"/>
  <c r="I358" i="3"/>
  <c r="H358" i="3"/>
  <c r="G358" i="3"/>
  <c r="F358" i="3"/>
  <c r="D358" i="3"/>
  <c r="U383" i="3"/>
  <c r="Y383" i="3" s="1"/>
  <c r="Q383" i="3"/>
  <c r="S383" i="3" s="1"/>
  <c r="M383" i="3"/>
  <c r="L383" i="3"/>
  <c r="K383" i="3"/>
  <c r="J383" i="3"/>
  <c r="I383" i="3"/>
  <c r="H383" i="3"/>
  <c r="G383" i="3"/>
  <c r="F383" i="3"/>
  <c r="D383" i="3"/>
  <c r="U562" i="3"/>
  <c r="Y562" i="3" s="1"/>
  <c r="S562" i="3"/>
  <c r="M562" i="3"/>
  <c r="L562" i="3"/>
  <c r="K562" i="3"/>
  <c r="J562" i="3"/>
  <c r="I562" i="3"/>
  <c r="H562" i="3"/>
  <c r="G562" i="3"/>
  <c r="F562" i="3"/>
  <c r="D562" i="3"/>
  <c r="U357" i="3"/>
  <c r="Y357" i="3" s="1"/>
  <c r="S357" i="3"/>
  <c r="M357" i="3"/>
  <c r="L357" i="3"/>
  <c r="K357" i="3"/>
  <c r="J357" i="3"/>
  <c r="I357" i="3"/>
  <c r="H357" i="3"/>
  <c r="G357" i="3"/>
  <c r="F357" i="3"/>
  <c r="D357" i="3"/>
  <c r="U244" i="3"/>
  <c r="Y244" i="3" s="1"/>
  <c r="S244" i="3"/>
  <c r="M244" i="3"/>
  <c r="L244" i="3"/>
  <c r="K244" i="3"/>
  <c r="J244" i="3"/>
  <c r="I244" i="3"/>
  <c r="H244" i="3"/>
  <c r="G244" i="3"/>
  <c r="F244" i="3"/>
  <c r="D244" i="3"/>
  <c r="U382" i="3"/>
  <c r="Y382" i="3" s="1"/>
  <c r="S382" i="3"/>
  <c r="M382" i="3"/>
  <c r="L382" i="3"/>
  <c r="K382" i="3"/>
  <c r="J382" i="3"/>
  <c r="I382" i="3"/>
  <c r="H382" i="3"/>
  <c r="G382" i="3"/>
  <c r="F382" i="3"/>
  <c r="D382" i="3"/>
  <c r="U381" i="3"/>
  <c r="Y381" i="3" s="1"/>
  <c r="S381" i="3"/>
  <c r="M381" i="3"/>
  <c r="L381" i="3"/>
  <c r="K381" i="3"/>
  <c r="J381" i="3"/>
  <c r="I381" i="3"/>
  <c r="H381" i="3"/>
  <c r="G381" i="3"/>
  <c r="F381" i="3"/>
  <c r="D381" i="3"/>
  <c r="U356" i="3"/>
  <c r="Y356" i="3" s="1"/>
  <c r="S356" i="3"/>
  <c r="M356" i="3"/>
  <c r="L356" i="3"/>
  <c r="K356" i="3"/>
  <c r="J356" i="3"/>
  <c r="I356" i="3"/>
  <c r="H356" i="3"/>
  <c r="G356" i="3"/>
  <c r="F356" i="3"/>
  <c r="D356" i="3"/>
  <c r="U561" i="3"/>
  <c r="Y561" i="3" s="1"/>
  <c r="S561" i="3"/>
  <c r="M561" i="3"/>
  <c r="L561" i="3"/>
  <c r="K561" i="3"/>
  <c r="J561" i="3"/>
  <c r="I561" i="3"/>
  <c r="H561" i="3"/>
  <c r="G561" i="3"/>
  <c r="F561" i="3"/>
  <c r="D561" i="3"/>
  <c r="U560" i="3"/>
  <c r="Y560" i="3" s="1"/>
  <c r="S560" i="3"/>
  <c r="M560" i="3"/>
  <c r="L560" i="3"/>
  <c r="K560" i="3"/>
  <c r="J560" i="3"/>
  <c r="I560" i="3"/>
  <c r="H560" i="3"/>
  <c r="G560" i="3"/>
  <c r="F560" i="3"/>
  <c r="D560" i="3"/>
  <c r="U559" i="3"/>
  <c r="Y559" i="3" s="1"/>
  <c r="S559" i="3"/>
  <c r="M559" i="3"/>
  <c r="L559" i="3"/>
  <c r="K559" i="3"/>
  <c r="J559" i="3"/>
  <c r="I559" i="3"/>
  <c r="H559" i="3"/>
  <c r="G559" i="3"/>
  <c r="F559" i="3"/>
  <c r="D559" i="3"/>
  <c r="U430" i="3"/>
  <c r="Y430" i="3" s="1"/>
  <c r="S430" i="3"/>
  <c r="M430" i="3"/>
  <c r="L430" i="3"/>
  <c r="K430" i="3"/>
  <c r="J430" i="3"/>
  <c r="I430" i="3"/>
  <c r="H430" i="3"/>
  <c r="G430" i="3"/>
  <c r="F430" i="3"/>
  <c r="D430" i="3"/>
  <c r="U355" i="3"/>
  <c r="Y355" i="3" s="1"/>
  <c r="S355" i="3"/>
  <c r="M355" i="3"/>
  <c r="L355" i="3"/>
  <c r="K355" i="3"/>
  <c r="J355" i="3"/>
  <c r="I355" i="3"/>
  <c r="H355" i="3"/>
  <c r="G355" i="3"/>
  <c r="F355" i="3"/>
  <c r="D355" i="3"/>
  <c r="U726" i="3"/>
  <c r="Y726" i="3" s="1"/>
  <c r="S726" i="3"/>
  <c r="M726" i="3"/>
  <c r="L726" i="3"/>
  <c r="K726" i="3"/>
  <c r="J726" i="3"/>
  <c r="I726" i="3"/>
  <c r="H726" i="3"/>
  <c r="G726" i="3"/>
  <c r="F726" i="3"/>
  <c r="D726" i="3"/>
  <c r="U243" i="3"/>
  <c r="Y243" i="3" s="1"/>
  <c r="Q243" i="3"/>
  <c r="S243" i="3" s="1"/>
  <c r="M243" i="3"/>
  <c r="L243" i="3"/>
  <c r="K243" i="3"/>
  <c r="J243" i="3"/>
  <c r="I243" i="3"/>
  <c r="H243" i="3"/>
  <c r="G243" i="3"/>
  <c r="F243" i="3"/>
  <c r="D243" i="3"/>
  <c r="U74" i="3"/>
  <c r="Y74" i="3" s="1"/>
  <c r="S74" i="3"/>
  <c r="M74" i="3"/>
  <c r="L74" i="3"/>
  <c r="K74" i="3"/>
  <c r="J74" i="3"/>
  <c r="I74" i="3"/>
  <c r="H74" i="3"/>
  <c r="G74" i="3"/>
  <c r="F74" i="3"/>
  <c r="D74" i="3"/>
  <c r="U354" i="3"/>
  <c r="Y354" i="3" s="1"/>
  <c r="S354" i="3"/>
  <c r="M354" i="3"/>
  <c r="L354" i="3"/>
  <c r="K354" i="3"/>
  <c r="J354" i="3"/>
  <c r="I354" i="3"/>
  <c r="H354" i="3"/>
  <c r="G354" i="3"/>
  <c r="F354" i="3"/>
  <c r="D354" i="3"/>
  <c r="U616" i="3"/>
  <c r="Y616" i="3" s="1"/>
  <c r="S616" i="3"/>
  <c r="M616" i="3"/>
  <c r="L616" i="3"/>
  <c r="K616" i="3"/>
  <c r="J616" i="3"/>
  <c r="I616" i="3"/>
  <c r="H616" i="3"/>
  <c r="G616" i="3"/>
  <c r="F616" i="3"/>
  <c r="D616" i="3"/>
  <c r="U242" i="3"/>
  <c r="Y242" i="3" s="1"/>
  <c r="Q242" i="3"/>
  <c r="S242" i="3" s="1"/>
  <c r="M242" i="3"/>
  <c r="L242" i="3"/>
  <c r="K242" i="3"/>
  <c r="J242" i="3"/>
  <c r="I242" i="3"/>
  <c r="H242" i="3"/>
  <c r="G242" i="3"/>
  <c r="F242" i="3"/>
  <c r="D242" i="3"/>
  <c r="U241" i="3"/>
  <c r="Y241" i="3" s="1"/>
  <c r="S241" i="3"/>
  <c r="M241" i="3"/>
  <c r="L241" i="3"/>
  <c r="K241" i="3"/>
  <c r="J241" i="3"/>
  <c r="I241" i="3"/>
  <c r="H241" i="3"/>
  <c r="G241" i="3"/>
  <c r="F241" i="3"/>
  <c r="D241" i="3"/>
  <c r="U558" i="3"/>
  <c r="Y558" i="3" s="1"/>
  <c r="S558" i="3"/>
  <c r="M558" i="3"/>
  <c r="L558" i="3"/>
  <c r="K558" i="3"/>
  <c r="J558" i="3"/>
  <c r="I558" i="3"/>
  <c r="H558" i="3"/>
  <c r="G558" i="3"/>
  <c r="F558" i="3"/>
  <c r="D558" i="3"/>
  <c r="U353" i="3"/>
  <c r="Y353" i="3" s="1"/>
  <c r="Q353" i="3"/>
  <c r="S353" i="3" s="1"/>
  <c r="M353" i="3"/>
  <c r="L353" i="3"/>
  <c r="K353" i="3"/>
  <c r="J353" i="3"/>
  <c r="I353" i="3"/>
  <c r="H353" i="3"/>
  <c r="G353" i="3"/>
  <c r="F353" i="3"/>
  <c r="D353" i="3"/>
  <c r="U352" i="3"/>
  <c r="Y352" i="3" s="1"/>
  <c r="Q352" i="3"/>
  <c r="S352" i="3" s="1"/>
  <c r="M352" i="3"/>
  <c r="L352" i="3"/>
  <c r="K352" i="3"/>
  <c r="J352" i="3"/>
  <c r="I352" i="3"/>
  <c r="H352" i="3"/>
  <c r="G352" i="3"/>
  <c r="F352" i="3"/>
  <c r="D352" i="3"/>
  <c r="U340" i="3"/>
  <c r="Y340" i="3" s="1"/>
  <c r="S340" i="3"/>
  <c r="M340" i="3"/>
  <c r="L340" i="3"/>
  <c r="K340" i="3"/>
  <c r="J340" i="3"/>
  <c r="I340" i="3"/>
  <c r="H340" i="3"/>
  <c r="G340" i="3"/>
  <c r="F340" i="3"/>
  <c r="D340" i="3"/>
  <c r="U674" i="3"/>
  <c r="Y674" i="3" s="1"/>
  <c r="S674" i="3"/>
  <c r="M674" i="3"/>
  <c r="L674" i="3"/>
  <c r="K674" i="3"/>
  <c r="J674" i="3"/>
  <c r="I674" i="3"/>
  <c r="H674" i="3"/>
  <c r="G674" i="3"/>
  <c r="F674" i="3"/>
  <c r="D674" i="3"/>
  <c r="U380" i="3"/>
  <c r="Y380" i="3" s="1"/>
  <c r="S380" i="3"/>
  <c r="M380" i="3"/>
  <c r="L380" i="3"/>
  <c r="K380" i="3"/>
  <c r="J380" i="3"/>
  <c r="I380" i="3"/>
  <c r="H380" i="3"/>
  <c r="G380" i="3"/>
  <c r="F380" i="3"/>
  <c r="D380" i="3"/>
  <c r="U379" i="3"/>
  <c r="Y379" i="3" s="1"/>
  <c r="S379" i="3"/>
  <c r="M379" i="3"/>
  <c r="L379" i="3"/>
  <c r="K379" i="3"/>
  <c r="J379" i="3"/>
  <c r="I379" i="3"/>
  <c r="H379" i="3"/>
  <c r="G379" i="3"/>
  <c r="F379" i="3"/>
  <c r="D379" i="3"/>
  <c r="U378" i="3"/>
  <c r="Y378" i="3" s="1"/>
  <c r="S378" i="3"/>
  <c r="M378" i="3"/>
  <c r="L378" i="3"/>
  <c r="K378" i="3"/>
  <c r="J378" i="3"/>
  <c r="I378" i="3"/>
  <c r="H378" i="3"/>
  <c r="G378" i="3"/>
  <c r="F378" i="3"/>
  <c r="D378" i="3"/>
  <c r="U615" i="3"/>
  <c r="Y615" i="3" s="1"/>
  <c r="S615" i="3"/>
  <c r="M615" i="3"/>
  <c r="L615" i="3"/>
  <c r="K615" i="3"/>
  <c r="J615" i="3"/>
  <c r="I615" i="3"/>
  <c r="H615" i="3"/>
  <c r="G615" i="3"/>
  <c r="F615" i="3"/>
  <c r="D615" i="3"/>
  <c r="U351" i="3"/>
  <c r="Y351" i="3" s="1"/>
  <c r="S351" i="3"/>
  <c r="M351" i="3"/>
  <c r="L351" i="3"/>
  <c r="K351" i="3"/>
  <c r="J351" i="3"/>
  <c r="I351" i="3"/>
  <c r="H351" i="3"/>
  <c r="G351" i="3"/>
  <c r="F351" i="3"/>
  <c r="D351" i="3"/>
  <c r="U651" i="3"/>
  <c r="Y651" i="3" s="1"/>
  <c r="S651" i="3"/>
  <c r="M651" i="3"/>
  <c r="L651" i="3"/>
  <c r="K651" i="3"/>
  <c r="J651" i="3"/>
  <c r="I651" i="3"/>
  <c r="H651" i="3"/>
  <c r="G651" i="3"/>
  <c r="F651" i="3"/>
  <c r="D651" i="3"/>
  <c r="U240" i="3"/>
  <c r="Y240" i="3" s="1"/>
  <c r="S240" i="3"/>
  <c r="M240" i="3"/>
  <c r="L240" i="3"/>
  <c r="K240" i="3"/>
  <c r="J240" i="3"/>
  <c r="I240" i="3"/>
  <c r="H240" i="3"/>
  <c r="G240" i="3"/>
  <c r="F240" i="3"/>
  <c r="D240" i="3"/>
  <c r="U614" i="3"/>
  <c r="Y614" i="3" s="1"/>
  <c r="S614" i="3"/>
  <c r="M614" i="3"/>
  <c r="L614" i="3"/>
  <c r="K614" i="3"/>
  <c r="J614" i="3"/>
  <c r="I614" i="3"/>
  <c r="H614" i="3"/>
  <c r="G614" i="3"/>
  <c r="F614" i="3"/>
  <c r="D614" i="3"/>
  <c r="U377" i="3"/>
  <c r="Y377" i="3" s="1"/>
  <c r="S377" i="3"/>
  <c r="M377" i="3"/>
  <c r="L377" i="3"/>
  <c r="K377" i="3"/>
  <c r="J377" i="3"/>
  <c r="I377" i="3"/>
  <c r="H377" i="3"/>
  <c r="G377" i="3"/>
  <c r="F377" i="3"/>
  <c r="D377" i="3"/>
  <c r="U725" i="3"/>
  <c r="Y725" i="3" s="1"/>
  <c r="S725" i="3"/>
  <c r="M725" i="3"/>
  <c r="L725" i="3"/>
  <c r="K725" i="3"/>
  <c r="J725" i="3"/>
  <c r="I725" i="3"/>
  <c r="H725" i="3"/>
  <c r="G725" i="3"/>
  <c r="F725" i="3"/>
  <c r="D725" i="3"/>
  <c r="U350" i="3"/>
  <c r="Y350" i="3" s="1"/>
  <c r="S350" i="3"/>
  <c r="M350" i="3"/>
  <c r="L350" i="3"/>
  <c r="K350" i="3"/>
  <c r="J350" i="3"/>
  <c r="I350" i="3"/>
  <c r="H350" i="3"/>
  <c r="G350" i="3"/>
  <c r="F350" i="3"/>
  <c r="D350" i="3"/>
  <c r="U349" i="3"/>
  <c r="Y349" i="3" s="1"/>
  <c r="S349" i="3"/>
  <c r="M349" i="3"/>
  <c r="L349" i="3"/>
  <c r="K349" i="3"/>
  <c r="J349" i="3"/>
  <c r="I349" i="3"/>
  <c r="H349" i="3"/>
  <c r="G349" i="3"/>
  <c r="F349" i="3"/>
  <c r="D349" i="3"/>
  <c r="U724" i="3"/>
  <c r="Y724" i="3" s="1"/>
  <c r="S724" i="3"/>
  <c r="M724" i="3"/>
  <c r="L724" i="3"/>
  <c r="K724" i="3"/>
  <c r="J724" i="3"/>
  <c r="I724" i="3"/>
  <c r="H724" i="3"/>
  <c r="G724" i="3"/>
  <c r="F724" i="3"/>
  <c r="D724" i="3"/>
  <c r="U339" i="3"/>
  <c r="Y339" i="3" s="1"/>
  <c r="S339" i="3"/>
  <c r="M339" i="3"/>
  <c r="L339" i="3"/>
  <c r="K339" i="3"/>
  <c r="J339" i="3"/>
  <c r="I339" i="3"/>
  <c r="H339" i="3"/>
  <c r="G339" i="3"/>
  <c r="F339" i="3"/>
  <c r="D339" i="3"/>
  <c r="U338" i="3"/>
  <c r="Y338" i="3" s="1"/>
  <c r="S338" i="3"/>
  <c r="M338" i="3"/>
  <c r="L338" i="3"/>
  <c r="K338" i="3"/>
  <c r="J338" i="3"/>
  <c r="I338" i="3"/>
  <c r="H338" i="3"/>
  <c r="G338" i="3"/>
  <c r="F338" i="3"/>
  <c r="D338" i="3"/>
  <c r="U337" i="3"/>
  <c r="Y337" i="3" s="1"/>
  <c r="S337" i="3"/>
  <c r="M337" i="3"/>
  <c r="L337" i="3"/>
  <c r="K337" i="3"/>
  <c r="J337" i="3"/>
  <c r="I337" i="3"/>
  <c r="H337" i="3"/>
  <c r="G337" i="3"/>
  <c r="F337" i="3"/>
  <c r="D337" i="3"/>
  <c r="U239" i="3"/>
  <c r="Y239" i="3" s="1"/>
  <c r="S239" i="3"/>
  <c r="M239" i="3"/>
  <c r="L239" i="3"/>
  <c r="K239" i="3"/>
  <c r="J239" i="3"/>
  <c r="I239" i="3"/>
  <c r="H239" i="3"/>
  <c r="G239" i="3"/>
  <c r="F239" i="3"/>
  <c r="D239" i="3"/>
  <c r="U348" i="3"/>
  <c r="Y348" i="3" s="1"/>
  <c r="S348" i="3"/>
  <c r="M348" i="3"/>
  <c r="L348" i="3"/>
  <c r="K348" i="3"/>
  <c r="J348" i="3"/>
  <c r="I348" i="3"/>
  <c r="H348" i="3"/>
  <c r="G348" i="3"/>
  <c r="F348" i="3"/>
  <c r="D348" i="3"/>
  <c r="U557" i="3"/>
  <c r="Y557" i="3" s="1"/>
  <c r="S557" i="3"/>
  <c r="M557" i="3"/>
  <c r="L557" i="3"/>
  <c r="K557" i="3"/>
  <c r="J557" i="3"/>
  <c r="I557" i="3"/>
  <c r="H557" i="3"/>
  <c r="G557" i="3"/>
  <c r="F557" i="3"/>
  <c r="D557" i="3"/>
  <c r="U613" i="3"/>
  <c r="Y613" i="3" s="1"/>
  <c r="S613" i="3"/>
  <c r="M613" i="3"/>
  <c r="L613" i="3"/>
  <c r="K613" i="3"/>
  <c r="J613" i="3"/>
  <c r="I613" i="3"/>
  <c r="H613" i="3"/>
  <c r="G613" i="3"/>
  <c r="F613" i="3"/>
  <c r="D613" i="3"/>
  <c r="U238" i="3"/>
  <c r="Y238" i="3" s="1"/>
  <c r="S238" i="3"/>
  <c r="M238" i="3"/>
  <c r="L238" i="3"/>
  <c r="K238" i="3"/>
  <c r="J238" i="3"/>
  <c r="I238" i="3"/>
  <c r="H238" i="3"/>
  <c r="G238" i="3"/>
  <c r="F238" i="3"/>
  <c r="D238" i="3"/>
  <c r="U612" i="3"/>
  <c r="Y612" i="3" s="1"/>
  <c r="S612" i="3"/>
  <c r="M612" i="3"/>
  <c r="L612" i="3"/>
  <c r="K612" i="3"/>
  <c r="J612" i="3"/>
  <c r="I612" i="3"/>
  <c r="H612" i="3"/>
  <c r="G612" i="3"/>
  <c r="F612" i="3"/>
  <c r="D612" i="3"/>
  <c r="U611" i="3"/>
  <c r="Y611" i="3" s="1"/>
  <c r="S611" i="3"/>
  <c r="M611" i="3"/>
  <c r="L611" i="3"/>
  <c r="K611" i="3"/>
  <c r="J611" i="3"/>
  <c r="I611" i="3"/>
  <c r="H611" i="3"/>
  <c r="G611" i="3"/>
  <c r="F611" i="3"/>
  <c r="D611" i="3"/>
  <c r="U610" i="3"/>
  <c r="Y610" i="3" s="1"/>
  <c r="S610" i="3"/>
  <c r="M610" i="3"/>
  <c r="L610" i="3"/>
  <c r="K610" i="3"/>
  <c r="J610" i="3"/>
  <c r="I610" i="3"/>
  <c r="H610" i="3"/>
  <c r="G610" i="3"/>
  <c r="F610" i="3"/>
  <c r="D610" i="3"/>
  <c r="U347" i="3"/>
  <c r="Y347" i="3" s="1"/>
  <c r="S347" i="3"/>
  <c r="M347" i="3"/>
  <c r="L347" i="3"/>
  <c r="K347" i="3"/>
  <c r="J347" i="3"/>
  <c r="I347" i="3"/>
  <c r="H347" i="3"/>
  <c r="G347" i="3"/>
  <c r="F347" i="3"/>
  <c r="D347" i="3"/>
  <c r="U64" i="3"/>
  <c r="Y64" i="3" s="1"/>
  <c r="S64" i="3"/>
  <c r="M64" i="3"/>
  <c r="L64" i="3"/>
  <c r="K64" i="3"/>
  <c r="J64" i="3"/>
  <c r="I64" i="3"/>
  <c r="H64" i="3"/>
  <c r="G64" i="3"/>
  <c r="F64" i="3"/>
  <c r="D64" i="3"/>
  <c r="U656" i="3"/>
  <c r="Y656" i="3" s="1"/>
  <c r="S656" i="3"/>
  <c r="M656" i="3"/>
  <c r="L656" i="3"/>
  <c r="K656" i="3"/>
  <c r="J656" i="3"/>
  <c r="I656" i="3"/>
  <c r="H656" i="3"/>
  <c r="G656" i="3"/>
  <c r="F656" i="3"/>
  <c r="D656" i="3"/>
  <c r="U649" i="3"/>
  <c r="Y649" i="3" s="1"/>
  <c r="S649" i="3"/>
  <c r="M649" i="3"/>
  <c r="L649" i="3"/>
  <c r="K649" i="3"/>
  <c r="J649" i="3"/>
  <c r="I649" i="3"/>
  <c r="H649" i="3"/>
  <c r="G649" i="3"/>
  <c r="F649" i="3"/>
  <c r="D649" i="3"/>
  <c r="U556" i="3"/>
  <c r="Y556" i="3" s="1"/>
  <c r="S556" i="3"/>
  <c r="M556" i="3"/>
  <c r="L556" i="3"/>
  <c r="K556" i="3"/>
  <c r="J556" i="3"/>
  <c r="I556" i="3"/>
  <c r="H556" i="3"/>
  <c r="G556" i="3"/>
  <c r="F556" i="3"/>
  <c r="D556" i="3"/>
  <c r="U346" i="3"/>
  <c r="Y346" i="3" s="1"/>
  <c r="S346" i="3"/>
  <c r="M346" i="3"/>
  <c r="L346" i="3"/>
  <c r="K346" i="3"/>
  <c r="J346" i="3"/>
  <c r="I346" i="3"/>
  <c r="H346" i="3"/>
  <c r="G346" i="3"/>
  <c r="F346" i="3"/>
  <c r="D346" i="3"/>
  <c r="U655" i="3"/>
  <c r="Y655" i="3" s="1"/>
  <c r="S655" i="3"/>
  <c r="M655" i="3"/>
  <c r="L655" i="3"/>
  <c r="K655" i="3"/>
  <c r="J655" i="3"/>
  <c r="I655" i="3"/>
  <c r="H655" i="3"/>
  <c r="G655" i="3"/>
  <c r="F655" i="3"/>
  <c r="D655" i="3"/>
  <c r="U555" i="3"/>
  <c r="Y555" i="3" s="1"/>
  <c r="S555" i="3"/>
  <c r="M555" i="3"/>
  <c r="L555" i="3"/>
  <c r="K555" i="3"/>
  <c r="J555" i="3"/>
  <c r="I555" i="3"/>
  <c r="H555" i="3"/>
  <c r="G555" i="3"/>
  <c r="F555" i="3"/>
  <c r="D555" i="3"/>
  <c r="U376" i="3"/>
  <c r="Y376" i="3" s="1"/>
  <c r="S376" i="3"/>
  <c r="M376" i="3"/>
  <c r="L376" i="3"/>
  <c r="K376" i="3"/>
  <c r="J376" i="3"/>
  <c r="I376" i="3"/>
  <c r="H376" i="3"/>
  <c r="G376" i="3"/>
  <c r="F376" i="3"/>
  <c r="D376" i="3"/>
  <c r="U237" i="3"/>
  <c r="Y237" i="3" s="1"/>
  <c r="S237" i="3"/>
  <c r="M237" i="3"/>
  <c r="L237" i="3"/>
  <c r="K237" i="3"/>
  <c r="J237" i="3"/>
  <c r="I237" i="3"/>
  <c r="H237" i="3"/>
  <c r="G237" i="3"/>
  <c r="F237" i="3"/>
  <c r="D237" i="3"/>
  <c r="U236" i="3"/>
  <c r="Y236" i="3" s="1"/>
  <c r="S236" i="3"/>
  <c r="M236" i="3"/>
  <c r="L236" i="3"/>
  <c r="K236" i="3"/>
  <c r="J236" i="3"/>
  <c r="I236" i="3"/>
  <c r="H236" i="3"/>
  <c r="G236" i="3"/>
  <c r="F236" i="3"/>
  <c r="D236" i="3"/>
  <c r="U609" i="3"/>
  <c r="Y609" i="3" s="1"/>
  <c r="S609" i="3"/>
  <c r="M609" i="3"/>
  <c r="L609" i="3"/>
  <c r="K609" i="3"/>
  <c r="J609" i="3"/>
  <c r="I609" i="3"/>
  <c r="H609" i="3"/>
  <c r="G609" i="3"/>
  <c r="F609" i="3"/>
  <c r="D609" i="3"/>
  <c r="U554" i="3"/>
  <c r="Y554" i="3" s="1"/>
  <c r="S554" i="3"/>
  <c r="M554" i="3"/>
  <c r="L554" i="3"/>
  <c r="K554" i="3"/>
  <c r="J554" i="3"/>
  <c r="I554" i="3"/>
  <c r="H554" i="3"/>
  <c r="G554" i="3"/>
  <c r="F554" i="3"/>
  <c r="D554" i="3"/>
  <c r="U723" i="3"/>
  <c r="Y723" i="3" s="1"/>
  <c r="S723" i="3"/>
  <c r="M723" i="3"/>
  <c r="L723" i="3"/>
  <c r="K723" i="3"/>
  <c r="J723" i="3"/>
  <c r="I723" i="3"/>
  <c r="H723" i="3"/>
  <c r="G723" i="3"/>
  <c r="F723" i="3"/>
  <c r="D723" i="3"/>
  <c r="U553" i="3"/>
  <c r="Y553" i="3" s="1"/>
  <c r="S553" i="3"/>
  <c r="M553" i="3"/>
  <c r="L553" i="3"/>
  <c r="K553" i="3"/>
  <c r="J553" i="3"/>
  <c r="I553" i="3"/>
  <c r="H553" i="3"/>
  <c r="G553" i="3"/>
  <c r="F553" i="3"/>
  <c r="D553" i="3"/>
  <c r="U608" i="3"/>
  <c r="Y608" i="3" s="1"/>
  <c r="S608" i="3"/>
  <c r="M608" i="3"/>
  <c r="L608" i="3"/>
  <c r="K608" i="3"/>
  <c r="J608" i="3"/>
  <c r="I608" i="3"/>
  <c r="H608" i="3"/>
  <c r="G608" i="3"/>
  <c r="F608" i="3"/>
  <c r="D608" i="3"/>
  <c r="U607" i="3"/>
  <c r="Y607" i="3" s="1"/>
  <c r="S607" i="3"/>
  <c r="M607" i="3"/>
  <c r="L607" i="3"/>
  <c r="K607" i="3"/>
  <c r="J607" i="3"/>
  <c r="I607" i="3"/>
  <c r="H607" i="3"/>
  <c r="G607" i="3"/>
  <c r="F607" i="3"/>
  <c r="D607" i="3"/>
  <c r="U722" i="3"/>
  <c r="Y722" i="3" s="1"/>
  <c r="S722" i="3"/>
  <c r="M722" i="3"/>
  <c r="L722" i="3"/>
  <c r="K722" i="3"/>
  <c r="J722" i="3"/>
  <c r="I722" i="3"/>
  <c r="H722" i="3"/>
  <c r="G722" i="3"/>
  <c r="F722" i="3"/>
  <c r="D722" i="3"/>
  <c r="U235" i="3"/>
  <c r="Y235" i="3" s="1"/>
  <c r="S235" i="3"/>
  <c r="M235" i="3"/>
  <c r="L235" i="3"/>
  <c r="K235" i="3"/>
  <c r="J235" i="3"/>
  <c r="I235" i="3"/>
  <c r="H235" i="3"/>
  <c r="G235" i="3"/>
  <c r="F235" i="3"/>
  <c r="D235" i="3"/>
  <c r="U606" i="3"/>
  <c r="Y606" i="3" s="1"/>
  <c r="S606" i="3"/>
  <c r="M606" i="3"/>
  <c r="L606" i="3"/>
  <c r="K606" i="3"/>
  <c r="J606" i="3"/>
  <c r="I606" i="3"/>
  <c r="H606" i="3"/>
  <c r="G606" i="3"/>
  <c r="F606" i="3"/>
  <c r="D606" i="3"/>
  <c r="U605" i="3"/>
  <c r="Y605" i="3" s="1"/>
  <c r="S605" i="3"/>
  <c r="M605" i="3"/>
  <c r="L605" i="3"/>
  <c r="K605" i="3"/>
  <c r="J605" i="3"/>
  <c r="I605" i="3"/>
  <c r="H605" i="3"/>
  <c r="G605" i="3"/>
  <c r="F605" i="3"/>
  <c r="D605" i="3"/>
  <c r="U604" i="3"/>
  <c r="Y604" i="3" s="1"/>
  <c r="S604" i="3"/>
  <c r="M604" i="3"/>
  <c r="L604" i="3"/>
  <c r="K604" i="3"/>
  <c r="J604" i="3"/>
  <c r="I604" i="3"/>
  <c r="H604" i="3"/>
  <c r="G604" i="3"/>
  <c r="F604" i="3"/>
  <c r="D604" i="3"/>
  <c r="U774" i="3"/>
  <c r="Y774" i="3" s="1"/>
  <c r="S774" i="3"/>
  <c r="M774" i="3"/>
  <c r="L774" i="3"/>
  <c r="K774" i="3"/>
  <c r="J774" i="3"/>
  <c r="I774" i="3"/>
  <c r="H774" i="3"/>
  <c r="G774" i="3"/>
  <c r="F774" i="3"/>
  <c r="D774" i="3"/>
  <c r="U73" i="3"/>
  <c r="Y73" i="3" s="1"/>
  <c r="S73" i="3"/>
  <c r="M73" i="3"/>
  <c r="L73" i="3"/>
  <c r="K73" i="3"/>
  <c r="J73" i="3"/>
  <c r="I73" i="3"/>
  <c r="H73" i="3"/>
  <c r="G73" i="3"/>
  <c r="F73" i="3"/>
  <c r="D73" i="3"/>
  <c r="U427" i="3"/>
  <c r="Y427" i="3" s="1"/>
  <c r="S427" i="3"/>
  <c r="M427" i="3"/>
  <c r="L427" i="3"/>
  <c r="K427" i="3"/>
  <c r="J427" i="3"/>
  <c r="I427" i="3"/>
  <c r="H427" i="3"/>
  <c r="G427" i="3"/>
  <c r="F427" i="3"/>
  <c r="D427" i="3"/>
  <c r="U552" i="3"/>
  <c r="Y552" i="3" s="1"/>
  <c r="S552" i="3"/>
  <c r="M552" i="3"/>
  <c r="L552" i="3"/>
  <c r="K552" i="3"/>
  <c r="J552" i="3"/>
  <c r="I552" i="3"/>
  <c r="H552" i="3"/>
  <c r="G552" i="3"/>
  <c r="F552" i="3"/>
  <c r="D552" i="3"/>
  <c r="U603" i="3"/>
  <c r="Y603" i="3" s="1"/>
  <c r="S603" i="3"/>
  <c r="M603" i="3"/>
  <c r="L603" i="3"/>
  <c r="K603" i="3"/>
  <c r="J603" i="3"/>
  <c r="I603" i="3"/>
  <c r="H603" i="3"/>
  <c r="G603" i="3"/>
  <c r="F603" i="3"/>
  <c r="D603" i="3"/>
  <c r="U602" i="3"/>
  <c r="Y602" i="3" s="1"/>
  <c r="S602" i="3"/>
  <c r="M602" i="3"/>
  <c r="L602" i="3"/>
  <c r="K602" i="3"/>
  <c r="J602" i="3"/>
  <c r="I602" i="3"/>
  <c r="H602" i="3"/>
  <c r="G602" i="3"/>
  <c r="F602" i="3"/>
  <c r="D602" i="3"/>
  <c r="U234" i="3"/>
  <c r="Y234" i="3" s="1"/>
  <c r="S234" i="3"/>
  <c r="M234" i="3"/>
  <c r="L234" i="3"/>
  <c r="K234" i="3"/>
  <c r="J234" i="3"/>
  <c r="I234" i="3"/>
  <c r="H234" i="3"/>
  <c r="G234" i="3"/>
  <c r="F234" i="3"/>
  <c r="D234" i="3"/>
  <c r="U721" i="3"/>
  <c r="Y721" i="3" s="1"/>
  <c r="S721" i="3"/>
  <c r="M721" i="3"/>
  <c r="L721" i="3"/>
  <c r="K721" i="3"/>
  <c r="J721" i="3"/>
  <c r="I721" i="3"/>
  <c r="H721" i="3"/>
  <c r="G721" i="3"/>
  <c r="F721" i="3"/>
  <c r="D721" i="3"/>
  <c r="U601" i="3"/>
  <c r="Y601" i="3" s="1"/>
  <c r="S601" i="3"/>
  <c r="M601" i="3"/>
  <c r="L601" i="3"/>
  <c r="K601" i="3"/>
  <c r="J601" i="3"/>
  <c r="I601" i="3"/>
  <c r="H601" i="3"/>
  <c r="G601" i="3"/>
  <c r="F601" i="3"/>
  <c r="D601" i="3"/>
  <c r="U600" i="3"/>
  <c r="Y600" i="3" s="1"/>
  <c r="S600" i="3"/>
  <c r="M600" i="3"/>
  <c r="L600" i="3"/>
  <c r="K600" i="3"/>
  <c r="J600" i="3"/>
  <c r="I600" i="3"/>
  <c r="H600" i="3"/>
  <c r="G600" i="3"/>
  <c r="F600" i="3"/>
  <c r="D600" i="3"/>
  <c r="U599" i="3"/>
  <c r="Y599" i="3" s="1"/>
  <c r="S599" i="3"/>
  <c r="M599" i="3"/>
  <c r="L599" i="3"/>
  <c r="K599" i="3"/>
  <c r="J599" i="3"/>
  <c r="I599" i="3"/>
  <c r="H599" i="3"/>
  <c r="G599" i="3"/>
  <c r="F599" i="3"/>
  <c r="D599" i="3"/>
  <c r="U233" i="3"/>
  <c r="Y233" i="3" s="1"/>
  <c r="S233" i="3"/>
  <c r="M233" i="3"/>
  <c r="L233" i="3"/>
  <c r="K233" i="3"/>
  <c r="J233" i="3"/>
  <c r="I233" i="3"/>
  <c r="H233" i="3"/>
  <c r="G233" i="3"/>
  <c r="F233" i="3"/>
  <c r="D233" i="3"/>
  <c r="U750" i="3"/>
  <c r="Y750" i="3" s="1"/>
  <c r="S750" i="3"/>
  <c r="M750" i="3"/>
  <c r="L750" i="3"/>
  <c r="K750" i="3"/>
  <c r="J750" i="3"/>
  <c r="I750" i="3"/>
  <c r="H750" i="3"/>
  <c r="G750" i="3"/>
  <c r="F750" i="3"/>
  <c r="D750" i="3"/>
  <c r="U375" i="3"/>
  <c r="Y375" i="3" s="1"/>
  <c r="S375" i="3"/>
  <c r="M375" i="3"/>
  <c r="L375" i="3"/>
  <c r="K375" i="3"/>
  <c r="J375" i="3"/>
  <c r="I375" i="3"/>
  <c r="H375" i="3"/>
  <c r="G375" i="3"/>
  <c r="F375" i="3"/>
  <c r="D375" i="3"/>
  <c r="U374" i="3"/>
  <c r="Y374" i="3" s="1"/>
  <c r="S374" i="3"/>
  <c r="M374" i="3"/>
  <c r="L374" i="3"/>
  <c r="K374" i="3"/>
  <c r="J374" i="3"/>
  <c r="I374" i="3"/>
  <c r="H374" i="3"/>
  <c r="G374" i="3"/>
  <c r="F374" i="3"/>
  <c r="D374" i="3"/>
  <c r="U720" i="3"/>
  <c r="Y720" i="3" s="1"/>
  <c r="S720" i="3"/>
  <c r="M720" i="3"/>
  <c r="L720" i="3"/>
  <c r="K720" i="3"/>
  <c r="J720" i="3"/>
  <c r="I720" i="3"/>
  <c r="H720" i="3"/>
  <c r="G720" i="3"/>
  <c r="F720" i="3"/>
  <c r="D720" i="3"/>
  <c r="U63" i="3"/>
  <c r="Y63" i="3" s="1"/>
  <c r="S63" i="3"/>
  <c r="M63" i="3"/>
  <c r="L63" i="3"/>
  <c r="K63" i="3"/>
  <c r="J63" i="3"/>
  <c r="I63" i="3"/>
  <c r="H63" i="3"/>
  <c r="G63" i="3"/>
  <c r="F63" i="3"/>
  <c r="D63" i="3"/>
  <c r="U551" i="3"/>
  <c r="Y551" i="3" s="1"/>
  <c r="S551" i="3"/>
  <c r="M551" i="3"/>
  <c r="L551" i="3"/>
  <c r="K551" i="3"/>
  <c r="J551" i="3"/>
  <c r="I551" i="3"/>
  <c r="H551" i="3"/>
  <c r="G551" i="3"/>
  <c r="F551" i="3"/>
  <c r="D551" i="3"/>
  <c r="U550" i="3"/>
  <c r="Y550" i="3" s="1"/>
  <c r="S550" i="3"/>
  <c r="M550" i="3"/>
  <c r="L550" i="3"/>
  <c r="K550" i="3"/>
  <c r="J550" i="3"/>
  <c r="I550" i="3"/>
  <c r="H550" i="3"/>
  <c r="G550" i="3"/>
  <c r="F550" i="3"/>
  <c r="D550" i="3"/>
  <c r="U581" i="3"/>
  <c r="Y581" i="3" s="1"/>
  <c r="S581" i="3"/>
  <c r="M581" i="3"/>
  <c r="L581" i="3"/>
  <c r="K581" i="3"/>
  <c r="J581" i="3"/>
  <c r="I581" i="3"/>
  <c r="H581" i="3"/>
  <c r="G581" i="3"/>
  <c r="F581" i="3"/>
  <c r="D581" i="3"/>
  <c r="U549" i="3"/>
  <c r="Y549" i="3" s="1"/>
  <c r="S549" i="3"/>
  <c r="M549" i="3"/>
  <c r="L549" i="3"/>
  <c r="K549" i="3"/>
  <c r="J549" i="3"/>
  <c r="I549" i="3"/>
  <c r="H549" i="3"/>
  <c r="G549" i="3"/>
  <c r="F549" i="3"/>
  <c r="D549" i="3"/>
  <c r="U548" i="3"/>
  <c r="Y548" i="3" s="1"/>
  <c r="S548" i="3"/>
  <c r="M548" i="3"/>
  <c r="L548" i="3"/>
  <c r="K548" i="3"/>
  <c r="J548" i="3"/>
  <c r="I548" i="3"/>
  <c r="H548" i="3"/>
  <c r="G548" i="3"/>
  <c r="F548" i="3"/>
  <c r="D548" i="3"/>
  <c r="U547" i="3"/>
  <c r="Y547" i="3" s="1"/>
  <c r="S547" i="3"/>
  <c r="M547" i="3"/>
  <c r="L547" i="3"/>
  <c r="K547" i="3"/>
  <c r="J547" i="3"/>
  <c r="I547" i="3"/>
  <c r="H547" i="3"/>
  <c r="G547" i="3"/>
  <c r="F547" i="3"/>
  <c r="D547" i="3"/>
  <c r="U418" i="3"/>
  <c r="Y418" i="3" s="1"/>
  <c r="S418" i="3"/>
  <c r="M418" i="3"/>
  <c r="L418" i="3"/>
  <c r="K418" i="3"/>
  <c r="J418" i="3"/>
  <c r="I418" i="3"/>
  <c r="H418" i="3"/>
  <c r="G418" i="3"/>
  <c r="F418" i="3"/>
  <c r="D418" i="3"/>
  <c r="U323" i="3"/>
  <c r="Y323" i="3" s="1"/>
  <c r="S323" i="3"/>
  <c r="M323" i="3"/>
  <c r="L323" i="3"/>
  <c r="K323" i="3"/>
  <c r="J323" i="3"/>
  <c r="I323" i="3"/>
  <c r="H323" i="3"/>
  <c r="G323" i="3"/>
  <c r="F323" i="3"/>
  <c r="D323" i="3"/>
  <c r="U719" i="3"/>
  <c r="Y719" i="3" s="1"/>
  <c r="S719" i="3"/>
  <c r="M719" i="3"/>
  <c r="L719" i="3"/>
  <c r="K719" i="3"/>
  <c r="J719" i="3"/>
  <c r="I719" i="3"/>
  <c r="H719" i="3"/>
  <c r="G719" i="3"/>
  <c r="F719" i="3"/>
  <c r="D719" i="3"/>
  <c r="U718" i="3"/>
  <c r="Y718" i="3" s="1"/>
  <c r="S718" i="3"/>
  <c r="M718" i="3"/>
  <c r="L718" i="3"/>
  <c r="K718" i="3"/>
  <c r="J718" i="3"/>
  <c r="I718" i="3"/>
  <c r="H718" i="3"/>
  <c r="G718" i="3"/>
  <c r="F718" i="3"/>
  <c r="D718" i="3"/>
  <c r="U598" i="3"/>
  <c r="Y598" i="3" s="1"/>
  <c r="S598" i="3"/>
  <c r="M598" i="3"/>
  <c r="L598" i="3"/>
  <c r="K598" i="3"/>
  <c r="J598" i="3"/>
  <c r="I598" i="3"/>
  <c r="H598" i="3"/>
  <c r="G598" i="3"/>
  <c r="F598" i="3"/>
  <c r="D598" i="3"/>
  <c r="U597" i="3"/>
  <c r="Y597" i="3" s="1"/>
  <c r="S597" i="3"/>
  <c r="M597" i="3"/>
  <c r="L597" i="3"/>
  <c r="K597" i="3"/>
  <c r="J597" i="3"/>
  <c r="I597" i="3"/>
  <c r="H597" i="3"/>
  <c r="G597" i="3"/>
  <c r="F597" i="3"/>
  <c r="D597" i="3"/>
  <c r="U717" i="3"/>
  <c r="Y717" i="3" s="1"/>
  <c r="S717" i="3"/>
  <c r="M717" i="3"/>
  <c r="L717" i="3"/>
  <c r="K717" i="3"/>
  <c r="J717" i="3"/>
  <c r="I717" i="3"/>
  <c r="H717" i="3"/>
  <c r="G717" i="3"/>
  <c r="F717" i="3"/>
  <c r="D717" i="3"/>
  <c r="U716" i="3"/>
  <c r="Y716" i="3" s="1"/>
  <c r="S716" i="3"/>
  <c r="M716" i="3"/>
  <c r="L716" i="3"/>
  <c r="K716" i="3"/>
  <c r="J716" i="3"/>
  <c r="I716" i="3"/>
  <c r="H716" i="3"/>
  <c r="G716" i="3"/>
  <c r="F716" i="3"/>
  <c r="D716" i="3"/>
  <c r="U715" i="3"/>
  <c r="Y715" i="3" s="1"/>
  <c r="S715" i="3"/>
  <c r="M715" i="3"/>
  <c r="L715" i="3"/>
  <c r="K715" i="3"/>
  <c r="J715" i="3"/>
  <c r="I715" i="3"/>
  <c r="H715" i="3"/>
  <c r="G715" i="3"/>
  <c r="F715" i="3"/>
  <c r="D715" i="3"/>
  <c r="U714" i="3"/>
  <c r="Y714" i="3" s="1"/>
  <c r="S714" i="3"/>
  <c r="M714" i="3"/>
  <c r="L714" i="3"/>
  <c r="K714" i="3"/>
  <c r="J714" i="3"/>
  <c r="I714" i="3"/>
  <c r="H714" i="3"/>
  <c r="G714" i="3"/>
  <c r="F714" i="3"/>
  <c r="D714" i="3"/>
  <c r="U713" i="3"/>
  <c r="Y713" i="3" s="1"/>
  <c r="S713" i="3"/>
  <c r="M713" i="3"/>
  <c r="L713" i="3"/>
  <c r="K713" i="3"/>
  <c r="J713" i="3"/>
  <c r="I713" i="3"/>
  <c r="H713" i="3"/>
  <c r="G713" i="3"/>
  <c r="F713" i="3"/>
  <c r="D713" i="3"/>
  <c r="U232" i="3"/>
  <c r="Y232" i="3" s="1"/>
  <c r="S232" i="3"/>
  <c r="M232" i="3"/>
  <c r="L232" i="3"/>
  <c r="K232" i="3"/>
  <c r="J232" i="3"/>
  <c r="I232" i="3"/>
  <c r="H232" i="3"/>
  <c r="G232" i="3"/>
  <c r="F232" i="3"/>
  <c r="D232" i="3"/>
  <c r="U231" i="3"/>
  <c r="Y231" i="3" s="1"/>
  <c r="S231" i="3"/>
  <c r="M231" i="3"/>
  <c r="L231" i="3"/>
  <c r="K231" i="3"/>
  <c r="J231" i="3"/>
  <c r="I231" i="3"/>
  <c r="H231" i="3"/>
  <c r="G231" i="3"/>
  <c r="F231" i="3"/>
  <c r="D231" i="3"/>
  <c r="U712" i="3"/>
  <c r="Y712" i="3" s="1"/>
  <c r="S712" i="3"/>
  <c r="M712" i="3"/>
  <c r="L712" i="3"/>
  <c r="K712" i="3"/>
  <c r="J712" i="3"/>
  <c r="I712" i="3"/>
  <c r="H712" i="3"/>
  <c r="G712" i="3"/>
  <c r="F712" i="3"/>
  <c r="D712" i="3"/>
  <c r="U62" i="3"/>
  <c r="Y62" i="3" s="1"/>
  <c r="S62" i="3"/>
  <c r="M62" i="3"/>
  <c r="L62" i="3"/>
  <c r="K62" i="3"/>
  <c r="J62" i="3"/>
  <c r="I62" i="3"/>
  <c r="H62" i="3"/>
  <c r="G62" i="3"/>
  <c r="F62" i="3"/>
  <c r="D62" i="3"/>
  <c r="U746" i="3"/>
  <c r="Y746" i="3" s="1"/>
  <c r="S746" i="3"/>
  <c r="M746" i="3"/>
  <c r="L746" i="3"/>
  <c r="K746" i="3"/>
  <c r="J746" i="3"/>
  <c r="I746" i="3"/>
  <c r="H746" i="3"/>
  <c r="G746" i="3"/>
  <c r="F746" i="3"/>
  <c r="D746" i="3"/>
  <c r="U546" i="3"/>
  <c r="Y546" i="3" s="1"/>
  <c r="S546" i="3"/>
  <c r="M546" i="3"/>
  <c r="L546" i="3"/>
  <c r="K546" i="3"/>
  <c r="J546" i="3"/>
  <c r="I546" i="3"/>
  <c r="H546" i="3"/>
  <c r="G546" i="3"/>
  <c r="F546" i="3"/>
  <c r="D546" i="3"/>
  <c r="U648" i="3"/>
  <c r="Y648" i="3" s="1"/>
  <c r="S648" i="3"/>
  <c r="M648" i="3"/>
  <c r="L648" i="3"/>
  <c r="K648" i="3"/>
  <c r="J648" i="3"/>
  <c r="I648" i="3"/>
  <c r="H648" i="3"/>
  <c r="G648" i="3"/>
  <c r="F648" i="3"/>
  <c r="D648" i="3"/>
  <c r="U654" i="3"/>
  <c r="Y654" i="3" s="1"/>
  <c r="S654" i="3"/>
  <c r="M654" i="3"/>
  <c r="L654" i="3"/>
  <c r="K654" i="3"/>
  <c r="J654" i="3"/>
  <c r="I654" i="3"/>
  <c r="H654" i="3"/>
  <c r="G654" i="3"/>
  <c r="F654" i="3"/>
  <c r="D654" i="3"/>
  <c r="U336" i="3"/>
  <c r="Y336" i="3" s="1"/>
  <c r="S336" i="3"/>
  <c r="M336" i="3"/>
  <c r="L336" i="3"/>
  <c r="K336" i="3"/>
  <c r="J336" i="3"/>
  <c r="I336" i="3"/>
  <c r="H336" i="3"/>
  <c r="G336" i="3"/>
  <c r="F336" i="3"/>
  <c r="D336" i="3"/>
  <c r="U545" i="3"/>
  <c r="Y545" i="3" s="1"/>
  <c r="S545" i="3"/>
  <c r="M545" i="3"/>
  <c r="L545" i="3"/>
  <c r="K545" i="3"/>
  <c r="J545" i="3"/>
  <c r="I545" i="3"/>
  <c r="H545" i="3"/>
  <c r="G545" i="3"/>
  <c r="F545" i="3"/>
  <c r="D545" i="3"/>
  <c r="U650" i="3"/>
  <c r="Y650" i="3" s="1"/>
  <c r="S650" i="3"/>
  <c r="M650" i="3"/>
  <c r="L650" i="3"/>
  <c r="K650" i="3"/>
  <c r="J650" i="3"/>
  <c r="I650" i="3"/>
  <c r="H650" i="3"/>
  <c r="G650" i="3"/>
  <c r="F650" i="3"/>
  <c r="D650" i="3"/>
  <c r="U711" i="3"/>
  <c r="Y711" i="3" s="1"/>
  <c r="S711" i="3"/>
  <c r="M711" i="3"/>
  <c r="L711" i="3"/>
  <c r="K711" i="3"/>
  <c r="J711" i="3"/>
  <c r="I711" i="3"/>
  <c r="H711" i="3"/>
  <c r="G711" i="3"/>
  <c r="F711" i="3"/>
  <c r="D711" i="3"/>
  <c r="U710" i="3"/>
  <c r="Y710" i="3" s="1"/>
  <c r="S710" i="3"/>
  <c r="M710" i="3"/>
  <c r="L710" i="3"/>
  <c r="K710" i="3"/>
  <c r="J710" i="3"/>
  <c r="I710" i="3"/>
  <c r="H710" i="3"/>
  <c r="G710" i="3"/>
  <c r="F710" i="3"/>
  <c r="D710" i="3"/>
  <c r="U230" i="3"/>
  <c r="Y230" i="3" s="1"/>
  <c r="S230" i="3"/>
  <c r="M230" i="3"/>
  <c r="L230" i="3"/>
  <c r="K230" i="3"/>
  <c r="J230" i="3"/>
  <c r="I230" i="3"/>
  <c r="H230" i="3"/>
  <c r="G230" i="3"/>
  <c r="F230" i="3"/>
  <c r="D230" i="3"/>
  <c r="U709" i="3"/>
  <c r="Y709" i="3" s="1"/>
  <c r="S709" i="3"/>
  <c r="M709" i="3"/>
  <c r="L709" i="3"/>
  <c r="K709" i="3"/>
  <c r="J709" i="3"/>
  <c r="I709" i="3"/>
  <c r="H709" i="3"/>
  <c r="G709" i="3"/>
  <c r="F709" i="3"/>
  <c r="D709" i="3"/>
  <c r="U426" i="3"/>
  <c r="Y426" i="3" s="1"/>
  <c r="S426" i="3"/>
  <c r="M426" i="3"/>
  <c r="L426" i="3"/>
  <c r="K426" i="3"/>
  <c r="J426" i="3"/>
  <c r="I426" i="3"/>
  <c r="H426" i="3"/>
  <c r="G426" i="3"/>
  <c r="F426" i="3"/>
  <c r="D426" i="3"/>
  <c r="U708" i="3"/>
  <c r="Y708" i="3" s="1"/>
  <c r="S708" i="3"/>
  <c r="M708" i="3"/>
  <c r="L708" i="3"/>
  <c r="K708" i="3"/>
  <c r="J708" i="3"/>
  <c r="I708" i="3"/>
  <c r="H708" i="3"/>
  <c r="G708" i="3"/>
  <c r="F708" i="3"/>
  <c r="D708" i="3"/>
  <c r="U707" i="3"/>
  <c r="Y707" i="3" s="1"/>
  <c r="S707" i="3"/>
  <c r="M707" i="3"/>
  <c r="L707" i="3"/>
  <c r="K707" i="3"/>
  <c r="J707" i="3"/>
  <c r="I707" i="3"/>
  <c r="H707" i="3"/>
  <c r="G707" i="3"/>
  <c r="F707" i="3"/>
  <c r="D707" i="3"/>
  <c r="U544" i="3"/>
  <c r="Y544" i="3" s="1"/>
  <c r="S544" i="3"/>
  <c r="M544" i="3"/>
  <c r="L544" i="3"/>
  <c r="K544" i="3"/>
  <c r="J544" i="3"/>
  <c r="I544" i="3"/>
  <c r="H544" i="3"/>
  <c r="G544" i="3"/>
  <c r="F544" i="3"/>
  <c r="D544" i="3"/>
  <c r="U706" i="3"/>
  <c r="Y706" i="3" s="1"/>
  <c r="S706" i="3"/>
  <c r="M706" i="3"/>
  <c r="L706" i="3"/>
  <c r="K706" i="3"/>
  <c r="J706" i="3"/>
  <c r="I706" i="3"/>
  <c r="H706" i="3"/>
  <c r="G706" i="3"/>
  <c r="F706" i="3"/>
  <c r="D706" i="3"/>
  <c r="U773" i="3"/>
  <c r="Y773" i="3" s="1"/>
  <c r="S773" i="3"/>
  <c r="M773" i="3"/>
  <c r="L773" i="3"/>
  <c r="K773" i="3"/>
  <c r="J773" i="3"/>
  <c r="I773" i="3"/>
  <c r="H773" i="3"/>
  <c r="G773" i="3"/>
  <c r="F773" i="3"/>
  <c r="D773" i="3"/>
  <c r="U543" i="3"/>
  <c r="Y543" i="3" s="1"/>
  <c r="S543" i="3"/>
  <c r="M543" i="3"/>
  <c r="L543" i="3"/>
  <c r="K543" i="3"/>
  <c r="J543" i="3"/>
  <c r="I543" i="3"/>
  <c r="H543" i="3"/>
  <c r="G543" i="3"/>
  <c r="F543" i="3"/>
  <c r="D543" i="3"/>
  <c r="U542" i="3"/>
  <c r="Y542" i="3" s="1"/>
  <c r="S542" i="3"/>
  <c r="M542" i="3"/>
  <c r="L542" i="3"/>
  <c r="K542" i="3"/>
  <c r="J542" i="3"/>
  <c r="I542" i="3"/>
  <c r="H542" i="3"/>
  <c r="G542" i="3"/>
  <c r="F542" i="3"/>
  <c r="D542" i="3"/>
  <c r="U705" i="3"/>
  <c r="Y705" i="3" s="1"/>
  <c r="S705" i="3"/>
  <c r="M705" i="3"/>
  <c r="L705" i="3"/>
  <c r="K705" i="3"/>
  <c r="J705" i="3"/>
  <c r="I705" i="3"/>
  <c r="H705" i="3"/>
  <c r="G705" i="3"/>
  <c r="F705" i="3"/>
  <c r="D705" i="3"/>
  <c r="U704" i="3"/>
  <c r="Y704" i="3" s="1"/>
  <c r="S704" i="3"/>
  <c r="M704" i="3"/>
  <c r="L704" i="3"/>
  <c r="K704" i="3"/>
  <c r="J704" i="3"/>
  <c r="I704" i="3"/>
  <c r="H704" i="3"/>
  <c r="G704" i="3"/>
  <c r="F704" i="3"/>
  <c r="D704" i="3"/>
  <c r="U772" i="3"/>
  <c r="Y772" i="3" s="1"/>
  <c r="S772" i="3"/>
  <c r="M772" i="3"/>
  <c r="L772" i="3"/>
  <c r="K772" i="3"/>
  <c r="J772" i="3"/>
  <c r="I772" i="3"/>
  <c r="H772" i="3"/>
  <c r="G772" i="3"/>
  <c r="F772" i="3"/>
  <c r="D772" i="3"/>
  <c r="U771" i="3"/>
  <c r="Y771" i="3" s="1"/>
  <c r="S771" i="3"/>
  <c r="M771" i="3"/>
  <c r="L771" i="3"/>
  <c r="K771" i="3"/>
  <c r="J771" i="3"/>
  <c r="I771" i="3"/>
  <c r="H771" i="3"/>
  <c r="G771" i="3"/>
  <c r="F771" i="3"/>
  <c r="D771" i="3"/>
  <c r="U541" i="3"/>
  <c r="Y541" i="3" s="1"/>
  <c r="S541" i="3"/>
  <c r="M541" i="3"/>
  <c r="L541" i="3"/>
  <c r="K541" i="3"/>
  <c r="J541" i="3"/>
  <c r="I541" i="3"/>
  <c r="H541" i="3"/>
  <c r="G541" i="3"/>
  <c r="F541" i="3"/>
  <c r="D541" i="3"/>
  <c r="U770" i="3"/>
  <c r="Y770" i="3" s="1"/>
  <c r="S770" i="3"/>
  <c r="M770" i="3"/>
  <c r="L770" i="3"/>
  <c r="K770" i="3"/>
  <c r="J770" i="3"/>
  <c r="I770" i="3"/>
  <c r="H770" i="3"/>
  <c r="G770" i="3"/>
  <c r="F770" i="3"/>
  <c r="D770" i="3"/>
  <c r="U769" i="3"/>
  <c r="Y769" i="3" s="1"/>
  <c r="S769" i="3"/>
  <c r="M769" i="3"/>
  <c r="L769" i="3"/>
  <c r="K769" i="3"/>
  <c r="J769" i="3"/>
  <c r="I769" i="3"/>
  <c r="H769" i="3"/>
  <c r="G769" i="3"/>
  <c r="F769" i="3"/>
  <c r="D769" i="3"/>
  <c r="U703" i="3"/>
  <c r="Y703" i="3" s="1"/>
  <c r="S703" i="3"/>
  <c r="M703" i="3"/>
  <c r="L703" i="3"/>
  <c r="K703" i="3"/>
  <c r="J703" i="3"/>
  <c r="I703" i="3"/>
  <c r="H703" i="3"/>
  <c r="G703" i="3"/>
  <c r="F703" i="3"/>
  <c r="D703" i="3"/>
  <c r="U702" i="3"/>
  <c r="Y702" i="3" s="1"/>
  <c r="S702" i="3"/>
  <c r="M702" i="3"/>
  <c r="L702" i="3"/>
  <c r="K702" i="3"/>
  <c r="J702" i="3"/>
  <c r="I702" i="3"/>
  <c r="H702" i="3"/>
  <c r="G702" i="3"/>
  <c r="F702" i="3"/>
  <c r="D702" i="3"/>
  <c r="U425" i="3"/>
  <c r="Y425" i="3" s="1"/>
  <c r="Q425" i="3"/>
  <c r="S425" i="3" s="1"/>
  <c r="M425" i="3"/>
  <c r="L425" i="3"/>
  <c r="K425" i="3"/>
  <c r="J425" i="3"/>
  <c r="I425" i="3"/>
  <c r="H425" i="3"/>
  <c r="G425" i="3"/>
  <c r="F425" i="3"/>
  <c r="D425" i="3"/>
  <c r="U701" i="3"/>
  <c r="Y701" i="3" s="1"/>
  <c r="S701" i="3"/>
  <c r="M701" i="3"/>
  <c r="L701" i="3"/>
  <c r="K701" i="3"/>
  <c r="J701" i="3"/>
  <c r="I701" i="3"/>
  <c r="H701" i="3"/>
  <c r="G701" i="3"/>
  <c r="F701" i="3"/>
  <c r="D701" i="3"/>
  <c r="U700" i="3"/>
  <c r="Y700" i="3" s="1"/>
  <c r="S700" i="3"/>
  <c r="M700" i="3"/>
  <c r="L700" i="3"/>
  <c r="K700" i="3"/>
  <c r="J700" i="3"/>
  <c r="I700" i="3"/>
  <c r="H700" i="3"/>
  <c r="G700" i="3"/>
  <c r="F700" i="3"/>
  <c r="D700" i="3"/>
  <c r="U768" i="3"/>
  <c r="Y768" i="3" s="1"/>
  <c r="S768" i="3"/>
  <c r="M768" i="3"/>
  <c r="L768" i="3"/>
  <c r="K768" i="3"/>
  <c r="J768" i="3"/>
  <c r="I768" i="3"/>
  <c r="H768" i="3"/>
  <c r="G768" i="3"/>
  <c r="F768" i="3"/>
  <c r="D768" i="3"/>
  <c r="U699" i="3"/>
  <c r="Y699" i="3" s="1"/>
  <c r="S699" i="3"/>
  <c r="M699" i="3"/>
  <c r="L699" i="3"/>
  <c r="K699" i="3"/>
  <c r="J699" i="3"/>
  <c r="I699" i="3"/>
  <c r="H699" i="3"/>
  <c r="G699" i="3"/>
  <c r="F699" i="3"/>
  <c r="D699" i="3"/>
  <c r="U698" i="3"/>
  <c r="Y698" i="3" s="1"/>
  <c r="S698" i="3"/>
  <c r="M698" i="3"/>
  <c r="L698" i="3"/>
  <c r="K698" i="3"/>
  <c r="J698" i="3"/>
  <c r="I698" i="3"/>
  <c r="H698" i="3"/>
  <c r="G698" i="3"/>
  <c r="F698" i="3"/>
  <c r="D698" i="3"/>
  <c r="U540" i="3"/>
  <c r="Y540" i="3" s="1"/>
  <c r="S540" i="3"/>
  <c r="M540" i="3"/>
  <c r="L540" i="3"/>
  <c r="K540" i="3"/>
  <c r="J540" i="3"/>
  <c r="I540" i="3"/>
  <c r="H540" i="3"/>
  <c r="G540" i="3"/>
  <c r="F540" i="3"/>
  <c r="D540" i="3"/>
  <c r="U539" i="3"/>
  <c r="Y539" i="3" s="1"/>
  <c r="S539" i="3"/>
  <c r="M539" i="3"/>
  <c r="L539" i="3"/>
  <c r="K539" i="3"/>
  <c r="J539" i="3"/>
  <c r="I539" i="3"/>
  <c r="H539" i="3"/>
  <c r="G539" i="3"/>
  <c r="F539" i="3"/>
  <c r="D539" i="3"/>
  <c r="U647" i="3"/>
  <c r="Y647" i="3" s="1"/>
  <c r="S647" i="3"/>
  <c r="M647" i="3"/>
  <c r="L647" i="3"/>
  <c r="K647" i="3"/>
  <c r="J647" i="3"/>
  <c r="I647" i="3"/>
  <c r="H647" i="3"/>
  <c r="G647" i="3"/>
  <c r="F647" i="3"/>
  <c r="D647" i="3"/>
  <c r="U596" i="3"/>
  <c r="Y596" i="3" s="1"/>
  <c r="S596" i="3"/>
  <c r="M596" i="3"/>
  <c r="L596" i="3"/>
  <c r="K596" i="3"/>
  <c r="J596" i="3"/>
  <c r="I596" i="3"/>
  <c r="H596" i="3"/>
  <c r="G596" i="3"/>
  <c r="F596" i="3"/>
  <c r="D596" i="3"/>
  <c r="U538" i="3"/>
  <c r="Y538" i="3" s="1"/>
  <c r="S538" i="3"/>
  <c r="M538" i="3"/>
  <c r="L538" i="3"/>
  <c r="K538" i="3"/>
  <c r="J538" i="3"/>
  <c r="I538" i="3"/>
  <c r="H538" i="3"/>
  <c r="G538" i="3"/>
  <c r="F538" i="3"/>
  <c r="D538" i="3"/>
  <c r="U595" i="3"/>
  <c r="Y595" i="3" s="1"/>
  <c r="S595" i="3"/>
  <c r="M595" i="3"/>
  <c r="L595" i="3"/>
  <c r="K595" i="3"/>
  <c r="J595" i="3"/>
  <c r="I595" i="3"/>
  <c r="H595" i="3"/>
  <c r="G595" i="3"/>
  <c r="F595" i="3"/>
  <c r="D595" i="3"/>
  <c r="U697" i="3"/>
  <c r="Y697" i="3" s="1"/>
  <c r="S697" i="3"/>
  <c r="M697" i="3"/>
  <c r="L697" i="3"/>
  <c r="K697" i="3"/>
  <c r="J697" i="3"/>
  <c r="I697" i="3"/>
  <c r="H697" i="3"/>
  <c r="G697" i="3"/>
  <c r="F697" i="3"/>
  <c r="D697" i="3"/>
  <c r="U696" i="3"/>
  <c r="Y696" i="3" s="1"/>
  <c r="S696" i="3"/>
  <c r="M696" i="3"/>
  <c r="L696" i="3"/>
  <c r="K696" i="3"/>
  <c r="J696" i="3"/>
  <c r="I696" i="3"/>
  <c r="H696" i="3"/>
  <c r="G696" i="3"/>
  <c r="F696" i="3"/>
  <c r="D696" i="3"/>
  <c r="U695" i="3"/>
  <c r="Y695" i="3" s="1"/>
  <c r="S695" i="3"/>
  <c r="M695" i="3"/>
  <c r="L695" i="3"/>
  <c r="K695" i="3"/>
  <c r="J695" i="3"/>
  <c r="I695" i="3"/>
  <c r="H695" i="3"/>
  <c r="G695" i="3"/>
  <c r="F695" i="3"/>
  <c r="D695" i="3"/>
  <c r="U694" i="3"/>
  <c r="Y694" i="3" s="1"/>
  <c r="S694" i="3"/>
  <c r="M694" i="3"/>
  <c r="L694" i="3"/>
  <c r="K694" i="3"/>
  <c r="J694" i="3"/>
  <c r="I694" i="3"/>
  <c r="H694" i="3"/>
  <c r="G694" i="3"/>
  <c r="F694" i="3"/>
  <c r="D694" i="3"/>
  <c r="U693" i="3"/>
  <c r="Y693" i="3" s="1"/>
  <c r="S693" i="3"/>
  <c r="M693" i="3"/>
  <c r="L693" i="3"/>
  <c r="K693" i="3"/>
  <c r="J693" i="3"/>
  <c r="I693" i="3"/>
  <c r="H693" i="3"/>
  <c r="G693" i="3"/>
  <c r="F693" i="3"/>
  <c r="D693" i="3"/>
  <c r="U692" i="3"/>
  <c r="Y692" i="3" s="1"/>
  <c r="S692" i="3"/>
  <c r="M692" i="3"/>
  <c r="L692" i="3"/>
  <c r="K692" i="3"/>
  <c r="J692" i="3"/>
  <c r="I692" i="3"/>
  <c r="H692" i="3"/>
  <c r="G692" i="3"/>
  <c r="F692" i="3"/>
  <c r="D692" i="3"/>
  <c r="U691" i="3"/>
  <c r="Y691" i="3" s="1"/>
  <c r="S691" i="3"/>
  <c r="M691" i="3"/>
  <c r="L691" i="3"/>
  <c r="K691" i="3"/>
  <c r="J691" i="3"/>
  <c r="I691" i="3"/>
  <c r="H691" i="3"/>
  <c r="G691" i="3"/>
  <c r="F691" i="3"/>
  <c r="D691" i="3"/>
  <c r="U229" i="3"/>
  <c r="Y229" i="3" s="1"/>
  <c r="S229" i="3"/>
  <c r="M229" i="3"/>
  <c r="L229" i="3"/>
  <c r="K229" i="3"/>
  <c r="J229" i="3"/>
  <c r="I229" i="3"/>
  <c r="H229" i="3"/>
  <c r="G229" i="3"/>
  <c r="F229" i="3"/>
  <c r="D229" i="3"/>
  <c r="U690" i="3"/>
  <c r="Y690" i="3" s="1"/>
  <c r="S690" i="3"/>
  <c r="M690" i="3"/>
  <c r="L690" i="3"/>
  <c r="K690" i="3"/>
  <c r="J690" i="3"/>
  <c r="I690" i="3"/>
  <c r="H690" i="3"/>
  <c r="G690" i="3"/>
  <c r="F690" i="3"/>
  <c r="D690" i="3"/>
  <c r="U689" i="3"/>
  <c r="Y689" i="3" s="1"/>
  <c r="S689" i="3"/>
  <c r="M689" i="3"/>
  <c r="L689" i="3"/>
  <c r="K689" i="3"/>
  <c r="J689" i="3"/>
  <c r="I689" i="3"/>
  <c r="H689" i="3"/>
  <c r="G689" i="3"/>
  <c r="F689" i="3"/>
  <c r="D689" i="3"/>
  <c r="U688" i="3"/>
  <c r="Y688" i="3" s="1"/>
  <c r="S688" i="3"/>
  <c r="M688" i="3"/>
  <c r="L688" i="3"/>
  <c r="K688" i="3"/>
  <c r="J688" i="3"/>
  <c r="I688" i="3"/>
  <c r="H688" i="3"/>
  <c r="G688" i="3"/>
  <c r="F688" i="3"/>
  <c r="D688" i="3"/>
  <c r="U687" i="3"/>
  <c r="Y687" i="3" s="1"/>
  <c r="S687" i="3"/>
  <c r="M687" i="3"/>
  <c r="L687" i="3"/>
  <c r="K687" i="3"/>
  <c r="J687" i="3"/>
  <c r="I687" i="3"/>
  <c r="H687" i="3"/>
  <c r="G687" i="3"/>
  <c r="F687" i="3"/>
  <c r="D687" i="3"/>
  <c r="U686" i="3"/>
  <c r="Y686" i="3" s="1"/>
  <c r="S686" i="3"/>
  <c r="M686" i="3"/>
  <c r="L686" i="3"/>
  <c r="K686" i="3"/>
  <c r="J686" i="3"/>
  <c r="I686" i="3"/>
  <c r="H686" i="3"/>
  <c r="G686" i="3"/>
  <c r="F686" i="3"/>
  <c r="D686" i="3"/>
  <c r="U685" i="3"/>
  <c r="Y685" i="3" s="1"/>
  <c r="S685" i="3"/>
  <c r="M685" i="3"/>
  <c r="L685" i="3"/>
  <c r="K685" i="3"/>
  <c r="J685" i="3"/>
  <c r="I685" i="3"/>
  <c r="H685" i="3"/>
  <c r="G685" i="3"/>
  <c r="F685" i="3"/>
  <c r="D685" i="3"/>
  <c r="U684" i="3"/>
  <c r="Y684" i="3" s="1"/>
  <c r="S684" i="3"/>
  <c r="M684" i="3"/>
  <c r="L684" i="3"/>
  <c r="K684" i="3"/>
  <c r="J684" i="3"/>
  <c r="I684" i="3"/>
  <c r="H684" i="3"/>
  <c r="G684" i="3"/>
  <c r="F684" i="3"/>
  <c r="D684" i="3"/>
  <c r="U683" i="3"/>
  <c r="Y683" i="3" s="1"/>
  <c r="S683" i="3"/>
  <c r="M683" i="3"/>
  <c r="L683" i="3"/>
  <c r="K683" i="3"/>
  <c r="J683" i="3"/>
  <c r="I683" i="3"/>
  <c r="H683" i="3"/>
  <c r="G683" i="3"/>
  <c r="F683" i="3"/>
  <c r="D683" i="3"/>
  <c r="U682" i="3"/>
  <c r="Y682" i="3" s="1"/>
  <c r="S682" i="3"/>
  <c r="M682" i="3"/>
  <c r="L682" i="3"/>
  <c r="K682" i="3"/>
  <c r="J682" i="3"/>
  <c r="I682" i="3"/>
  <c r="H682" i="3"/>
  <c r="G682" i="3"/>
  <c r="F682" i="3"/>
  <c r="D682" i="3"/>
  <c r="U681" i="3"/>
  <c r="Y681" i="3" s="1"/>
  <c r="S681" i="3"/>
  <c r="M681" i="3"/>
  <c r="L681" i="3"/>
  <c r="K681" i="3"/>
  <c r="J681" i="3"/>
  <c r="I681" i="3"/>
  <c r="H681" i="3"/>
  <c r="G681" i="3"/>
  <c r="F681" i="3"/>
  <c r="D681" i="3"/>
  <c r="U680" i="3"/>
  <c r="Y680" i="3" s="1"/>
  <c r="S680" i="3"/>
  <c r="M680" i="3"/>
  <c r="L680" i="3"/>
  <c r="K680" i="3"/>
  <c r="J680" i="3"/>
  <c r="I680" i="3"/>
  <c r="H680" i="3"/>
  <c r="G680" i="3"/>
  <c r="F680" i="3"/>
  <c r="D680" i="3"/>
  <c r="U679" i="3"/>
  <c r="Y679" i="3" s="1"/>
  <c r="S679" i="3"/>
  <c r="M679" i="3"/>
  <c r="L679" i="3"/>
  <c r="K679" i="3"/>
  <c r="J679" i="3"/>
  <c r="I679" i="3"/>
  <c r="H679" i="3"/>
  <c r="G679" i="3"/>
  <c r="F679" i="3"/>
  <c r="D679" i="3"/>
  <c r="U537" i="3"/>
  <c r="Y537" i="3" s="1"/>
  <c r="S537" i="3"/>
  <c r="M537" i="3"/>
  <c r="L537" i="3"/>
  <c r="K537" i="3"/>
  <c r="J537" i="3"/>
  <c r="I537" i="3"/>
  <c r="H537" i="3"/>
  <c r="G537" i="3"/>
  <c r="F537" i="3"/>
  <c r="D537" i="3"/>
  <c r="U745" i="3"/>
  <c r="Y745" i="3" s="1"/>
  <c r="S745" i="3"/>
  <c r="M745" i="3"/>
  <c r="L745" i="3"/>
  <c r="K745" i="3"/>
  <c r="J745" i="3"/>
  <c r="I745" i="3"/>
  <c r="H745" i="3"/>
  <c r="G745" i="3"/>
  <c r="F745" i="3"/>
  <c r="D745" i="3"/>
  <c r="U536" i="3"/>
  <c r="Y536" i="3" s="1"/>
  <c r="S536" i="3"/>
  <c r="M536" i="3"/>
  <c r="L536" i="3"/>
  <c r="K536" i="3"/>
  <c r="J536" i="3"/>
  <c r="I536" i="3"/>
  <c r="H536" i="3"/>
  <c r="G536" i="3"/>
  <c r="F536" i="3"/>
  <c r="D536" i="3"/>
  <c r="U678" i="3"/>
  <c r="Y678" i="3" s="1"/>
  <c r="S678" i="3"/>
  <c r="M678" i="3"/>
  <c r="L678" i="3"/>
  <c r="K678" i="3"/>
  <c r="J678" i="3"/>
  <c r="I678" i="3"/>
  <c r="H678" i="3"/>
  <c r="G678" i="3"/>
  <c r="F678" i="3"/>
  <c r="D678" i="3"/>
  <c r="U776" i="3"/>
  <c r="Y776" i="3" s="1"/>
  <c r="S776" i="3"/>
  <c r="M776" i="3"/>
  <c r="L776" i="3"/>
  <c r="K776" i="3"/>
  <c r="J776" i="3"/>
  <c r="I776" i="3"/>
  <c r="H776" i="3"/>
  <c r="G776" i="3"/>
  <c r="F776" i="3"/>
  <c r="D776" i="3"/>
  <c r="U535" i="3"/>
  <c r="Y535" i="3" s="1"/>
  <c r="S535" i="3"/>
  <c r="M535" i="3"/>
  <c r="L535" i="3"/>
  <c r="K535" i="3"/>
  <c r="J535" i="3"/>
  <c r="I535" i="3"/>
  <c r="H535" i="3"/>
  <c r="G535" i="3"/>
  <c r="F535" i="3"/>
  <c r="D535" i="3"/>
  <c r="U228" i="3"/>
  <c r="Y228" i="3" s="1"/>
  <c r="S228" i="3"/>
  <c r="M228" i="3"/>
  <c r="L228" i="3"/>
  <c r="K228" i="3"/>
  <c r="J228" i="3"/>
  <c r="I228" i="3"/>
  <c r="H228" i="3"/>
  <c r="G228" i="3"/>
  <c r="F228" i="3"/>
  <c r="D228" i="3"/>
  <c r="U424" i="3"/>
  <c r="Y424" i="3" s="1"/>
  <c r="S424" i="3"/>
  <c r="M424" i="3"/>
  <c r="L424" i="3"/>
  <c r="K424" i="3"/>
  <c r="J424" i="3"/>
  <c r="I424" i="3"/>
  <c r="H424" i="3"/>
  <c r="G424" i="3"/>
  <c r="F424" i="3"/>
  <c r="D424" i="3"/>
  <c r="U417" i="3"/>
  <c r="Y417" i="3" s="1"/>
  <c r="S417" i="3"/>
  <c r="M417" i="3"/>
  <c r="L417" i="3"/>
  <c r="K417" i="3"/>
  <c r="J417" i="3"/>
  <c r="I417" i="3"/>
  <c r="H417" i="3"/>
  <c r="G417" i="3"/>
  <c r="F417" i="3"/>
  <c r="D417" i="3"/>
  <c r="U677" i="3"/>
  <c r="Y677" i="3" s="1"/>
  <c r="S677" i="3"/>
  <c r="M677" i="3"/>
  <c r="L677" i="3"/>
  <c r="K677" i="3"/>
  <c r="J677" i="3"/>
  <c r="I677" i="3"/>
  <c r="H677" i="3"/>
  <c r="G677" i="3"/>
  <c r="F677" i="3"/>
  <c r="D677" i="3"/>
  <c r="U676" i="3"/>
  <c r="Y676" i="3" s="1"/>
  <c r="S676" i="3"/>
  <c r="M676" i="3"/>
  <c r="L676" i="3"/>
  <c r="K676" i="3"/>
  <c r="J676" i="3"/>
  <c r="I676" i="3"/>
  <c r="H676" i="3"/>
  <c r="G676" i="3"/>
  <c r="F676" i="3"/>
  <c r="D676" i="3"/>
  <c r="U675" i="3"/>
  <c r="Y675" i="3" s="1"/>
  <c r="S675" i="3"/>
  <c r="M675" i="3"/>
  <c r="L675" i="3"/>
  <c r="K675" i="3"/>
  <c r="J675" i="3"/>
  <c r="I675" i="3"/>
  <c r="H675" i="3"/>
  <c r="G675" i="3"/>
  <c r="F675" i="3"/>
  <c r="D675" i="3"/>
  <c r="U227" i="3"/>
  <c r="Y227" i="3" s="1"/>
  <c r="S227" i="3"/>
  <c r="M227" i="3"/>
  <c r="L227" i="3"/>
  <c r="K227" i="3"/>
  <c r="J227" i="3"/>
  <c r="I227" i="3"/>
  <c r="H227" i="3"/>
  <c r="G227" i="3"/>
  <c r="F227" i="3"/>
  <c r="D227" i="3"/>
  <c r="U423" i="3"/>
  <c r="Y423" i="3" s="1"/>
  <c r="S423" i="3"/>
  <c r="M423" i="3"/>
  <c r="L423" i="3"/>
  <c r="K423" i="3"/>
  <c r="J423" i="3"/>
  <c r="I423" i="3"/>
  <c r="H423" i="3"/>
  <c r="G423" i="3"/>
  <c r="F423" i="3"/>
  <c r="D423" i="3"/>
  <c r="U226" i="3"/>
  <c r="Y226" i="3" s="1"/>
  <c r="S226" i="3"/>
  <c r="M226" i="3"/>
  <c r="L226" i="3"/>
  <c r="K226" i="3"/>
  <c r="J226" i="3"/>
  <c r="I226" i="3"/>
  <c r="H226" i="3"/>
  <c r="G226" i="3"/>
  <c r="F226" i="3"/>
  <c r="D226" i="3"/>
  <c r="U534" i="3"/>
  <c r="Y534" i="3" s="1"/>
  <c r="S534" i="3"/>
  <c r="M534" i="3"/>
  <c r="L534" i="3"/>
  <c r="K534" i="3"/>
  <c r="J534" i="3"/>
  <c r="I534" i="3"/>
  <c r="H534" i="3"/>
  <c r="G534" i="3"/>
  <c r="F534" i="3"/>
  <c r="D534" i="3"/>
  <c r="U225" i="3"/>
  <c r="Y225" i="3" s="1"/>
  <c r="S225" i="3"/>
  <c r="M225" i="3"/>
  <c r="L225" i="3"/>
  <c r="K225" i="3"/>
  <c r="J225" i="3"/>
  <c r="I225" i="3"/>
  <c r="H225" i="3"/>
  <c r="G225" i="3"/>
  <c r="F225" i="3"/>
  <c r="D225" i="3"/>
  <c r="U30" i="3"/>
  <c r="Y30" i="3" s="1"/>
  <c r="S30" i="3"/>
  <c r="M30" i="3"/>
  <c r="L30" i="3"/>
  <c r="K30" i="3"/>
  <c r="J30" i="3"/>
  <c r="I30" i="3"/>
  <c r="H30" i="3"/>
  <c r="G30" i="3"/>
  <c r="F30" i="3"/>
  <c r="D30" i="3"/>
  <c r="U28" i="3"/>
  <c r="Y28" i="3" s="1"/>
  <c r="S28" i="3"/>
  <c r="M28" i="3"/>
  <c r="L28" i="3"/>
  <c r="K28" i="3"/>
  <c r="J28" i="3"/>
  <c r="I28" i="3"/>
  <c r="H28" i="3"/>
  <c r="G28" i="3"/>
  <c r="F28" i="3"/>
  <c r="D28" i="3"/>
  <c r="U44" i="3"/>
  <c r="Y44" i="3" s="1"/>
  <c r="S44" i="3"/>
  <c r="M44" i="3"/>
  <c r="L44" i="3"/>
  <c r="K44" i="3"/>
  <c r="J44" i="3"/>
  <c r="I44" i="3"/>
  <c r="H44" i="3"/>
  <c r="G44" i="3"/>
  <c r="F44" i="3"/>
  <c r="D44" i="3"/>
  <c r="U224" i="3"/>
  <c r="Y224" i="3" s="1"/>
  <c r="S224" i="3"/>
  <c r="M224" i="3"/>
  <c r="L224" i="3"/>
  <c r="K224" i="3"/>
  <c r="J224" i="3"/>
  <c r="I224" i="3"/>
  <c r="H224" i="3"/>
  <c r="G224" i="3"/>
  <c r="F224" i="3"/>
  <c r="D224" i="3"/>
  <c r="U223" i="3"/>
  <c r="Y223" i="3" s="1"/>
  <c r="S223" i="3"/>
  <c r="M223" i="3"/>
  <c r="L223" i="3"/>
  <c r="K223" i="3"/>
  <c r="J223" i="3"/>
  <c r="I223" i="3"/>
  <c r="H223" i="3"/>
  <c r="G223" i="3"/>
  <c r="F223" i="3"/>
  <c r="D223" i="3"/>
  <c r="U27" i="3"/>
  <c r="Y27" i="3" s="1"/>
  <c r="S27" i="3"/>
  <c r="M27" i="3"/>
  <c r="L27" i="3"/>
  <c r="K27" i="3"/>
  <c r="J27" i="3"/>
  <c r="I27" i="3"/>
  <c r="H27" i="3"/>
  <c r="G27" i="3"/>
  <c r="F27" i="3"/>
  <c r="D27" i="3"/>
  <c r="U26" i="3"/>
  <c r="Y26" i="3" s="1"/>
  <c r="S26" i="3"/>
  <c r="M26" i="3"/>
  <c r="L26" i="3"/>
  <c r="K26" i="3"/>
  <c r="J26" i="3"/>
  <c r="I26" i="3"/>
  <c r="H26" i="3"/>
  <c r="G26" i="3"/>
  <c r="F26" i="3"/>
  <c r="D26" i="3"/>
  <c r="U222" i="3"/>
  <c r="Y222" i="3" s="1"/>
  <c r="S222" i="3"/>
  <c r="M222" i="3"/>
  <c r="L222" i="3"/>
  <c r="K222" i="3"/>
  <c r="J222" i="3"/>
  <c r="I222" i="3"/>
  <c r="H222" i="3"/>
  <c r="G222" i="3"/>
  <c r="F222" i="3"/>
  <c r="D222" i="3"/>
  <c r="U221" i="3"/>
  <c r="Y221" i="3" s="1"/>
  <c r="S221" i="3"/>
  <c r="M221" i="3"/>
  <c r="L221" i="3"/>
  <c r="K221" i="3"/>
  <c r="J221" i="3"/>
  <c r="I221" i="3"/>
  <c r="H221" i="3"/>
  <c r="G221" i="3"/>
  <c r="F221" i="3"/>
  <c r="D221" i="3"/>
  <c r="U55" i="3"/>
  <c r="Y55" i="3" s="1"/>
  <c r="S55" i="3"/>
  <c r="M55" i="3"/>
  <c r="L55" i="3"/>
  <c r="K55" i="3"/>
  <c r="J55" i="3"/>
  <c r="I55" i="3"/>
  <c r="H55" i="3"/>
  <c r="G55" i="3"/>
  <c r="F55" i="3"/>
  <c r="D55" i="3"/>
  <c r="U54" i="3"/>
  <c r="Y54" i="3" s="1"/>
  <c r="S54" i="3"/>
  <c r="M54" i="3"/>
  <c r="L54" i="3"/>
  <c r="K54" i="3"/>
  <c r="J54" i="3"/>
  <c r="I54" i="3"/>
  <c r="H54" i="3"/>
  <c r="G54" i="3"/>
  <c r="F54" i="3"/>
  <c r="D54" i="3"/>
  <c r="U53" i="3"/>
  <c r="Y53" i="3" s="1"/>
  <c r="S53" i="3"/>
  <c r="M53" i="3"/>
  <c r="L53" i="3"/>
  <c r="K53" i="3"/>
  <c r="J53" i="3"/>
  <c r="I53" i="3"/>
  <c r="H53" i="3"/>
  <c r="G53" i="3"/>
  <c r="F53" i="3"/>
  <c r="D53" i="3"/>
  <c r="U52" i="3"/>
  <c r="Y52" i="3" s="1"/>
  <c r="S52" i="3"/>
  <c r="M52" i="3"/>
  <c r="L52" i="3"/>
  <c r="K52" i="3"/>
  <c r="J52" i="3"/>
  <c r="I52" i="3"/>
  <c r="H52" i="3"/>
  <c r="G52" i="3"/>
  <c r="F52" i="3"/>
  <c r="D52" i="3"/>
  <c r="U51" i="3"/>
  <c r="Y51" i="3" s="1"/>
  <c r="S51" i="3"/>
  <c r="M51" i="3"/>
  <c r="L51" i="3"/>
  <c r="K51" i="3"/>
  <c r="J51" i="3"/>
  <c r="I51" i="3"/>
  <c r="H51" i="3"/>
  <c r="G51" i="3"/>
  <c r="F51" i="3"/>
  <c r="D51" i="3"/>
  <c r="U50" i="3"/>
  <c r="Y50" i="3" s="1"/>
  <c r="S50" i="3"/>
  <c r="M50" i="3"/>
  <c r="L50" i="3"/>
  <c r="K50" i="3"/>
  <c r="J50" i="3"/>
  <c r="I50" i="3"/>
  <c r="H50" i="3"/>
  <c r="G50" i="3"/>
  <c r="F50" i="3"/>
  <c r="D50" i="3"/>
  <c r="U49" i="3"/>
  <c r="Y49" i="3" s="1"/>
  <c r="S49" i="3"/>
  <c r="M49" i="3"/>
  <c r="L49" i="3"/>
  <c r="K49" i="3"/>
  <c r="J49" i="3"/>
  <c r="I49" i="3"/>
  <c r="H49" i="3"/>
  <c r="G49" i="3"/>
  <c r="F49" i="3"/>
  <c r="D49" i="3"/>
  <c r="U48" i="3"/>
  <c r="Y48" i="3" s="1"/>
  <c r="S48" i="3"/>
  <c r="M48" i="3"/>
  <c r="L48" i="3"/>
  <c r="K48" i="3"/>
  <c r="J48" i="3"/>
  <c r="I48" i="3"/>
  <c r="H48" i="3"/>
  <c r="G48" i="3"/>
  <c r="F48" i="3"/>
  <c r="D48" i="3"/>
  <c r="U47" i="3"/>
  <c r="Y47" i="3" s="1"/>
  <c r="S47" i="3"/>
  <c r="M47" i="3"/>
  <c r="L47" i="3"/>
  <c r="K47" i="3"/>
  <c r="J47" i="3"/>
  <c r="I47" i="3"/>
  <c r="H47" i="3"/>
  <c r="G47" i="3"/>
  <c r="F47" i="3"/>
  <c r="D47" i="3"/>
  <c r="U46" i="3"/>
  <c r="Y46" i="3" s="1"/>
  <c r="S46" i="3"/>
  <c r="M46" i="3"/>
  <c r="L46" i="3"/>
  <c r="K46" i="3"/>
  <c r="J46" i="3"/>
  <c r="I46" i="3"/>
  <c r="H46" i="3"/>
  <c r="G46" i="3"/>
  <c r="F46" i="3"/>
  <c r="D46" i="3"/>
  <c r="U45" i="3"/>
  <c r="Y45" i="3" s="1"/>
  <c r="S45" i="3"/>
  <c r="M45" i="3"/>
  <c r="L45" i="3"/>
  <c r="K45" i="3"/>
  <c r="J45" i="3"/>
  <c r="I45" i="3"/>
  <c r="H45" i="3"/>
  <c r="G45" i="3"/>
  <c r="F45" i="3"/>
  <c r="D45" i="3"/>
  <c r="U25" i="3"/>
  <c r="Y25" i="3" s="1"/>
  <c r="S25" i="3"/>
  <c r="M25" i="3"/>
  <c r="L25" i="3"/>
  <c r="K25" i="3"/>
  <c r="J25" i="3"/>
  <c r="I25" i="3"/>
  <c r="H25" i="3"/>
  <c r="G25" i="3"/>
  <c r="F25" i="3"/>
  <c r="D25" i="3"/>
  <c r="U24" i="3"/>
  <c r="Y24" i="3" s="1"/>
  <c r="S24" i="3"/>
  <c r="M24" i="3"/>
  <c r="L24" i="3"/>
  <c r="K24" i="3"/>
  <c r="J24" i="3"/>
  <c r="I24" i="3"/>
  <c r="H24" i="3"/>
  <c r="G24" i="3"/>
  <c r="F24" i="3"/>
  <c r="D24" i="3"/>
  <c r="U23" i="3"/>
  <c r="Y23" i="3" s="1"/>
  <c r="S23" i="3"/>
  <c r="M23" i="3"/>
  <c r="L23" i="3"/>
  <c r="K23" i="3"/>
  <c r="J23" i="3"/>
  <c r="I23" i="3"/>
  <c r="H23" i="3"/>
  <c r="G23" i="3"/>
  <c r="F23" i="3"/>
  <c r="D23" i="3"/>
  <c r="U22" i="3"/>
  <c r="Y22" i="3" s="1"/>
  <c r="S22" i="3"/>
  <c r="M22" i="3"/>
  <c r="L22" i="3"/>
  <c r="K22" i="3"/>
  <c r="J22" i="3"/>
  <c r="I22" i="3"/>
  <c r="H22" i="3"/>
  <c r="G22" i="3"/>
  <c r="F22" i="3"/>
  <c r="D22" i="3"/>
  <c r="U21" i="3"/>
  <c r="Y21" i="3" s="1"/>
  <c r="S21" i="3"/>
  <c r="M21" i="3"/>
  <c r="L21" i="3"/>
  <c r="K21" i="3"/>
  <c r="J21" i="3"/>
  <c r="I21" i="3"/>
  <c r="H21" i="3"/>
  <c r="G21" i="3"/>
  <c r="F21" i="3"/>
  <c r="D21" i="3"/>
  <c r="U20" i="3"/>
  <c r="Y20" i="3" s="1"/>
  <c r="S20" i="3"/>
  <c r="M20" i="3"/>
  <c r="L20" i="3"/>
  <c r="K20" i="3"/>
  <c r="J20" i="3"/>
  <c r="I20" i="3"/>
  <c r="H20" i="3"/>
  <c r="G20" i="3"/>
  <c r="F20" i="3"/>
  <c r="D20" i="3"/>
  <c r="U19" i="3"/>
  <c r="Y19" i="3" s="1"/>
  <c r="S19" i="3"/>
  <c r="M19" i="3"/>
  <c r="L19" i="3"/>
  <c r="K19" i="3"/>
  <c r="J19" i="3"/>
  <c r="I19" i="3"/>
  <c r="H19" i="3"/>
  <c r="G19" i="3"/>
  <c r="F19" i="3"/>
  <c r="D19" i="3"/>
  <c r="U18" i="3"/>
  <c r="Y18" i="3" s="1"/>
  <c r="S18" i="3"/>
  <c r="M18" i="3"/>
  <c r="L18" i="3"/>
  <c r="K18" i="3"/>
  <c r="J18" i="3"/>
  <c r="I18" i="3"/>
  <c r="H18" i="3"/>
  <c r="G18" i="3"/>
  <c r="F18" i="3"/>
  <c r="D18" i="3"/>
  <c r="U17" i="3"/>
  <c r="Y17" i="3" s="1"/>
  <c r="S17" i="3"/>
  <c r="M17" i="3"/>
  <c r="L17" i="3"/>
  <c r="K17" i="3"/>
  <c r="J17" i="3"/>
  <c r="I17" i="3"/>
  <c r="H17" i="3"/>
  <c r="G17" i="3"/>
  <c r="F17" i="3"/>
  <c r="D17" i="3"/>
  <c r="U16" i="3"/>
  <c r="Y16" i="3" s="1"/>
  <c r="S16" i="3"/>
  <c r="M16" i="3"/>
  <c r="L16" i="3"/>
  <c r="K16" i="3"/>
  <c r="J16" i="3"/>
  <c r="I16" i="3"/>
  <c r="H16" i="3"/>
  <c r="G16" i="3"/>
  <c r="F16" i="3"/>
  <c r="D16" i="3"/>
  <c r="U15" i="3"/>
  <c r="Y15" i="3" s="1"/>
  <c r="S15" i="3"/>
  <c r="M15" i="3"/>
  <c r="L15" i="3"/>
  <c r="K15" i="3"/>
  <c r="J15" i="3"/>
  <c r="I15" i="3"/>
  <c r="H15" i="3"/>
  <c r="G15" i="3"/>
  <c r="F15" i="3"/>
  <c r="D15" i="3"/>
  <c r="U14" i="3"/>
  <c r="Y14" i="3" s="1"/>
  <c r="S14" i="3"/>
  <c r="M14" i="3"/>
  <c r="L14" i="3"/>
  <c r="K14" i="3"/>
  <c r="J14" i="3"/>
  <c r="I14" i="3"/>
  <c r="H14" i="3"/>
  <c r="G14" i="3"/>
  <c r="F14" i="3"/>
  <c r="D14" i="3"/>
  <c r="U13" i="3"/>
  <c r="Y13" i="3" s="1"/>
  <c r="S13" i="3"/>
  <c r="M13" i="3"/>
  <c r="L13" i="3"/>
  <c r="K13" i="3"/>
  <c r="J13" i="3"/>
  <c r="I13" i="3"/>
  <c r="H13" i="3"/>
  <c r="G13" i="3"/>
  <c r="F13" i="3"/>
  <c r="D13" i="3"/>
  <c r="U322" i="3"/>
  <c r="Y322" i="3" s="1"/>
  <c r="S322" i="3"/>
  <c r="M322" i="3"/>
  <c r="L322" i="3"/>
  <c r="K322" i="3"/>
  <c r="J322" i="3"/>
  <c r="I322" i="3"/>
  <c r="H322" i="3"/>
  <c r="G322" i="3"/>
  <c r="F322" i="3"/>
  <c r="D322" i="3"/>
  <c r="U321" i="3"/>
  <c r="Y321" i="3" s="1"/>
  <c r="S321" i="3"/>
  <c r="M321" i="3"/>
  <c r="L321" i="3"/>
  <c r="K321" i="3"/>
  <c r="J321" i="3"/>
  <c r="I321" i="3"/>
  <c r="H321" i="3"/>
  <c r="G321" i="3"/>
  <c r="F321" i="3"/>
  <c r="D321" i="3"/>
  <c r="U320" i="3"/>
  <c r="Y320" i="3" s="1"/>
  <c r="S320" i="3"/>
  <c r="M320" i="3"/>
  <c r="L320" i="3"/>
  <c r="K320" i="3"/>
  <c r="J320" i="3"/>
  <c r="I320" i="3"/>
  <c r="H320" i="3"/>
  <c r="G320" i="3"/>
  <c r="F320" i="3"/>
  <c r="D320" i="3"/>
  <c r="U319" i="3"/>
  <c r="Y319" i="3" s="1"/>
  <c r="S319" i="3"/>
  <c r="M319" i="3"/>
  <c r="L319" i="3"/>
  <c r="K319" i="3"/>
  <c r="J319" i="3"/>
  <c r="I319" i="3"/>
  <c r="H319" i="3"/>
  <c r="G319" i="3"/>
  <c r="F319" i="3"/>
  <c r="D319" i="3"/>
  <c r="U318" i="3"/>
  <c r="Y318" i="3" s="1"/>
  <c r="S318" i="3"/>
  <c r="M318" i="3"/>
  <c r="L318" i="3"/>
  <c r="K318" i="3"/>
  <c r="J318" i="3"/>
  <c r="I318" i="3"/>
  <c r="H318" i="3"/>
  <c r="G318" i="3"/>
  <c r="F318" i="3"/>
  <c r="D318" i="3"/>
  <c r="U317" i="3"/>
  <c r="Y317" i="3" s="1"/>
  <c r="S317" i="3"/>
  <c r="M317" i="3"/>
  <c r="L317" i="3"/>
  <c r="K317" i="3"/>
  <c r="J317" i="3"/>
  <c r="I317" i="3"/>
  <c r="H317" i="3"/>
  <c r="G317" i="3"/>
  <c r="F317" i="3"/>
  <c r="D317" i="3"/>
  <c r="U316" i="3"/>
  <c r="Y316" i="3" s="1"/>
  <c r="S316" i="3"/>
  <c r="M316" i="3"/>
  <c r="L316" i="3"/>
  <c r="K316" i="3"/>
  <c r="J316" i="3"/>
  <c r="I316" i="3"/>
  <c r="H316" i="3"/>
  <c r="G316" i="3"/>
  <c r="F316" i="3"/>
  <c r="D316" i="3"/>
  <c r="U315" i="3"/>
  <c r="Y315" i="3" s="1"/>
  <c r="S315" i="3"/>
  <c r="M315" i="3"/>
  <c r="L315" i="3"/>
  <c r="K315" i="3"/>
  <c r="J315" i="3"/>
  <c r="I315" i="3"/>
  <c r="H315" i="3"/>
  <c r="G315" i="3"/>
  <c r="F315" i="3"/>
  <c r="D315" i="3"/>
  <c r="U314" i="3"/>
  <c r="Y314" i="3" s="1"/>
  <c r="S314" i="3"/>
  <c r="M314" i="3"/>
  <c r="L314" i="3"/>
  <c r="K314" i="3"/>
  <c r="J314" i="3"/>
  <c r="I314" i="3"/>
  <c r="H314" i="3"/>
  <c r="G314" i="3"/>
  <c r="F314" i="3"/>
  <c r="D314" i="3"/>
  <c r="U313" i="3"/>
  <c r="Y313" i="3" s="1"/>
  <c r="S313" i="3"/>
  <c r="M313" i="3"/>
  <c r="L313" i="3"/>
  <c r="K313" i="3"/>
  <c r="J313" i="3"/>
  <c r="I313" i="3"/>
  <c r="H313" i="3"/>
  <c r="G313" i="3"/>
  <c r="F313" i="3"/>
  <c r="D313" i="3"/>
  <c r="U312" i="3"/>
  <c r="Y312" i="3" s="1"/>
  <c r="S312" i="3"/>
  <c r="M312" i="3"/>
  <c r="L312" i="3"/>
  <c r="K312" i="3"/>
  <c r="J312" i="3"/>
  <c r="I312" i="3"/>
  <c r="H312" i="3"/>
  <c r="G312" i="3"/>
  <c r="F312" i="3"/>
  <c r="D312" i="3"/>
  <c r="U311" i="3"/>
  <c r="Y311" i="3" s="1"/>
  <c r="S311" i="3"/>
  <c r="M311" i="3"/>
  <c r="L311" i="3"/>
  <c r="K311" i="3"/>
  <c r="J311" i="3"/>
  <c r="I311" i="3"/>
  <c r="H311" i="3"/>
  <c r="G311" i="3"/>
  <c r="F311" i="3"/>
  <c r="D311" i="3"/>
  <c r="U310" i="3"/>
  <c r="Y310" i="3" s="1"/>
  <c r="S310" i="3"/>
  <c r="M310" i="3"/>
  <c r="L310" i="3"/>
  <c r="K310" i="3"/>
  <c r="J310" i="3"/>
  <c r="I310" i="3"/>
  <c r="H310" i="3"/>
  <c r="G310" i="3"/>
  <c r="F310" i="3"/>
  <c r="D310" i="3"/>
  <c r="U309" i="3"/>
  <c r="Y309" i="3" s="1"/>
  <c r="S309" i="3"/>
  <c r="M309" i="3"/>
  <c r="L309" i="3"/>
  <c r="K309" i="3"/>
  <c r="J309" i="3"/>
  <c r="I309" i="3"/>
  <c r="H309" i="3"/>
  <c r="G309" i="3"/>
  <c r="F309" i="3"/>
  <c r="D309" i="3"/>
  <c r="U429" i="3"/>
  <c r="Y429" i="3" s="1"/>
  <c r="S429" i="3"/>
  <c r="M429" i="3"/>
  <c r="L429" i="3"/>
  <c r="K429" i="3"/>
  <c r="J429" i="3"/>
  <c r="I429" i="3"/>
  <c r="H429" i="3"/>
  <c r="G429" i="3"/>
  <c r="F429" i="3"/>
  <c r="D429" i="3"/>
  <c r="U61" i="3"/>
  <c r="Y61" i="3" s="1"/>
  <c r="S61" i="3"/>
  <c r="M61" i="3"/>
  <c r="L61" i="3"/>
  <c r="K61" i="3"/>
  <c r="J61" i="3"/>
  <c r="I61" i="3"/>
  <c r="H61" i="3"/>
  <c r="G61" i="3"/>
  <c r="F61" i="3"/>
  <c r="D61" i="3"/>
  <c r="U60" i="3"/>
  <c r="Y60" i="3" s="1"/>
  <c r="S60" i="3"/>
  <c r="M60" i="3"/>
  <c r="L60" i="3"/>
  <c r="K60" i="3"/>
  <c r="J60" i="3"/>
  <c r="I60" i="3"/>
  <c r="H60" i="3"/>
  <c r="G60" i="3"/>
  <c r="F60" i="3"/>
  <c r="D60" i="3"/>
  <c r="U220" i="3"/>
  <c r="Y220" i="3" s="1"/>
  <c r="S220" i="3"/>
  <c r="M220" i="3"/>
  <c r="L220" i="3"/>
  <c r="K220" i="3"/>
  <c r="J220" i="3"/>
  <c r="I220" i="3"/>
  <c r="H220" i="3"/>
  <c r="G220" i="3"/>
  <c r="F220" i="3"/>
  <c r="D220" i="3"/>
  <c r="U219" i="3"/>
  <c r="Y219" i="3" s="1"/>
  <c r="S219" i="3"/>
  <c r="M219" i="3"/>
  <c r="L219" i="3"/>
  <c r="K219" i="3"/>
  <c r="J219" i="3"/>
  <c r="I219" i="3"/>
  <c r="H219" i="3"/>
  <c r="G219" i="3"/>
  <c r="F219" i="3"/>
  <c r="D219" i="3"/>
  <c r="U218" i="3"/>
  <c r="Y218" i="3" s="1"/>
  <c r="S218" i="3"/>
  <c r="M218" i="3"/>
  <c r="L218" i="3"/>
  <c r="K218" i="3"/>
  <c r="J218" i="3"/>
  <c r="I218" i="3"/>
  <c r="H218" i="3"/>
  <c r="G218" i="3"/>
  <c r="F218" i="3"/>
  <c r="D218" i="3"/>
  <c r="U217" i="3"/>
  <c r="Y217" i="3" s="1"/>
  <c r="S217" i="3"/>
  <c r="M217" i="3"/>
  <c r="L217" i="3"/>
  <c r="K217" i="3"/>
  <c r="J217" i="3"/>
  <c r="I217" i="3"/>
  <c r="H217" i="3"/>
  <c r="G217" i="3"/>
  <c r="F217" i="3"/>
  <c r="D217" i="3"/>
  <c r="U216" i="3"/>
  <c r="Y216" i="3" s="1"/>
  <c r="S216" i="3"/>
  <c r="M216" i="3"/>
  <c r="L216" i="3"/>
  <c r="K216" i="3"/>
  <c r="J216" i="3"/>
  <c r="I216" i="3"/>
  <c r="H216" i="3"/>
  <c r="G216" i="3"/>
  <c r="F216" i="3"/>
  <c r="D216" i="3"/>
  <c r="U29" i="3"/>
  <c r="Y29" i="3" s="1"/>
  <c r="S29" i="3"/>
  <c r="M29" i="3"/>
  <c r="L29" i="3"/>
  <c r="K29" i="3"/>
  <c r="J29" i="3"/>
  <c r="I29" i="3"/>
  <c r="H29" i="3"/>
  <c r="G29" i="3"/>
  <c r="F29" i="3"/>
  <c r="D29" i="3"/>
  <c r="U215" i="3"/>
  <c r="Y215" i="3" s="1"/>
  <c r="S215" i="3"/>
  <c r="M215" i="3"/>
  <c r="L215" i="3"/>
  <c r="K215" i="3"/>
  <c r="J215" i="3"/>
  <c r="I215" i="3"/>
  <c r="H215" i="3"/>
  <c r="G215" i="3"/>
  <c r="F215" i="3"/>
  <c r="D215" i="3"/>
  <c r="U214" i="3"/>
  <c r="Y214" i="3" s="1"/>
  <c r="S214" i="3"/>
  <c r="M214" i="3"/>
  <c r="L214" i="3"/>
  <c r="K214" i="3"/>
  <c r="J214" i="3"/>
  <c r="I214" i="3"/>
  <c r="H214" i="3"/>
  <c r="G214" i="3"/>
  <c r="F214" i="3"/>
  <c r="D214" i="3"/>
  <c r="U213" i="3"/>
  <c r="Y213" i="3" s="1"/>
  <c r="S213" i="3"/>
  <c r="M213" i="3"/>
  <c r="L213" i="3"/>
  <c r="K213" i="3"/>
  <c r="J213" i="3"/>
  <c r="I213" i="3"/>
  <c r="H213" i="3"/>
  <c r="G213" i="3"/>
  <c r="F213" i="3"/>
  <c r="D213" i="3"/>
  <c r="U43" i="3"/>
  <c r="Y43" i="3" s="1"/>
  <c r="S43" i="3"/>
  <c r="M43" i="3"/>
  <c r="L43" i="3"/>
  <c r="K43" i="3"/>
  <c r="J43" i="3"/>
  <c r="I43" i="3"/>
  <c r="H43" i="3"/>
  <c r="G43" i="3"/>
  <c r="F43" i="3"/>
  <c r="D43" i="3"/>
  <c r="U42" i="3"/>
  <c r="Y42" i="3" s="1"/>
  <c r="S42" i="3"/>
  <c r="M42" i="3"/>
  <c r="L42" i="3"/>
  <c r="K42" i="3"/>
  <c r="J42" i="3"/>
  <c r="I42" i="3"/>
  <c r="H42" i="3"/>
  <c r="G42" i="3"/>
  <c r="F42" i="3"/>
  <c r="D42" i="3"/>
  <c r="U41" i="3"/>
  <c r="Y41" i="3" s="1"/>
  <c r="S41" i="3"/>
  <c r="M41" i="3"/>
  <c r="L41" i="3"/>
  <c r="K41" i="3"/>
  <c r="J41" i="3"/>
  <c r="I41" i="3"/>
  <c r="H41" i="3"/>
  <c r="G41" i="3"/>
  <c r="F41" i="3"/>
  <c r="D41" i="3"/>
  <c r="U40" i="3"/>
  <c r="Y40" i="3" s="1"/>
  <c r="S40" i="3"/>
  <c r="M40" i="3"/>
  <c r="L40" i="3"/>
  <c r="K40" i="3"/>
  <c r="J40" i="3"/>
  <c r="I40" i="3"/>
  <c r="H40" i="3"/>
  <c r="G40" i="3"/>
  <c r="F40" i="3"/>
  <c r="D40" i="3"/>
  <c r="U212" i="3"/>
  <c r="Y212" i="3" s="1"/>
  <c r="S212" i="3"/>
  <c r="M212" i="3"/>
  <c r="L212" i="3"/>
  <c r="K212" i="3"/>
  <c r="J212" i="3"/>
  <c r="I212" i="3"/>
  <c r="H212" i="3"/>
  <c r="G212" i="3"/>
  <c r="F212" i="3"/>
  <c r="D212" i="3"/>
  <c r="U211" i="3"/>
  <c r="Y211" i="3" s="1"/>
  <c r="S211" i="3"/>
  <c r="M211" i="3"/>
  <c r="L211" i="3"/>
  <c r="K211" i="3"/>
  <c r="J211" i="3"/>
  <c r="I211" i="3"/>
  <c r="H211" i="3"/>
  <c r="G211" i="3"/>
  <c r="F211" i="3"/>
  <c r="D211" i="3"/>
  <c r="U210" i="3"/>
  <c r="Y210" i="3" s="1"/>
  <c r="S210" i="3"/>
  <c r="M210" i="3"/>
  <c r="L210" i="3"/>
  <c r="K210" i="3"/>
  <c r="J210" i="3"/>
  <c r="I210" i="3"/>
  <c r="H210" i="3"/>
  <c r="G210" i="3"/>
  <c r="F210" i="3"/>
  <c r="D210" i="3"/>
  <c r="U209" i="3"/>
  <c r="Y209" i="3" s="1"/>
  <c r="S209" i="3"/>
  <c r="M209" i="3"/>
  <c r="L209" i="3"/>
  <c r="K209" i="3"/>
  <c r="J209" i="3"/>
  <c r="I209" i="3"/>
  <c r="H209" i="3"/>
  <c r="G209" i="3"/>
  <c r="F209" i="3"/>
  <c r="D209" i="3"/>
  <c r="U208" i="3"/>
  <c r="Y208" i="3" s="1"/>
  <c r="S208" i="3"/>
  <c r="M208" i="3"/>
  <c r="L208" i="3"/>
  <c r="K208" i="3"/>
  <c r="J208" i="3"/>
  <c r="I208" i="3"/>
  <c r="H208" i="3"/>
  <c r="G208" i="3"/>
  <c r="F208" i="3"/>
  <c r="D208" i="3"/>
  <c r="U39" i="3"/>
  <c r="Y39" i="3" s="1"/>
  <c r="S39" i="3"/>
  <c r="M39" i="3"/>
  <c r="L39" i="3"/>
  <c r="K39" i="3"/>
  <c r="J39" i="3"/>
  <c r="I39" i="3"/>
  <c r="H39" i="3"/>
  <c r="G39" i="3"/>
  <c r="F39" i="3"/>
  <c r="D39" i="3"/>
  <c r="U38" i="3"/>
  <c r="Y38" i="3" s="1"/>
  <c r="S38" i="3"/>
  <c r="M38" i="3"/>
  <c r="L38" i="3"/>
  <c r="K38" i="3"/>
  <c r="J38" i="3"/>
  <c r="I38" i="3"/>
  <c r="H38" i="3"/>
  <c r="G38" i="3"/>
  <c r="F38" i="3"/>
  <c r="D38" i="3"/>
  <c r="U37" i="3"/>
  <c r="Y37" i="3" s="1"/>
  <c r="S37" i="3"/>
  <c r="M37" i="3"/>
  <c r="L37" i="3"/>
  <c r="K37" i="3"/>
  <c r="J37" i="3"/>
  <c r="I37" i="3"/>
  <c r="H37" i="3"/>
  <c r="G37" i="3"/>
  <c r="F37" i="3"/>
  <c r="D37" i="3"/>
  <c r="U36" i="3"/>
  <c r="Y36" i="3" s="1"/>
  <c r="S36" i="3"/>
  <c r="M36" i="3"/>
  <c r="L36" i="3"/>
  <c r="K36" i="3"/>
  <c r="J36" i="3"/>
  <c r="I36" i="3"/>
  <c r="H36" i="3"/>
  <c r="G36" i="3"/>
  <c r="F36" i="3"/>
  <c r="D36" i="3"/>
  <c r="U12" i="3"/>
  <c r="Y12" i="3" s="1"/>
  <c r="S12" i="3"/>
  <c r="M12" i="3"/>
  <c r="L12" i="3"/>
  <c r="K12" i="3"/>
  <c r="J12" i="3"/>
  <c r="I12" i="3"/>
  <c r="H12" i="3"/>
  <c r="G12" i="3"/>
  <c r="F12" i="3"/>
  <c r="D12" i="3"/>
  <c r="U11" i="3"/>
  <c r="Y11" i="3" s="1"/>
  <c r="S11" i="3"/>
  <c r="M11" i="3"/>
  <c r="L11" i="3"/>
  <c r="K11" i="3"/>
  <c r="J11" i="3"/>
  <c r="I11" i="3"/>
  <c r="H11" i="3"/>
  <c r="G11" i="3"/>
  <c r="F11" i="3"/>
  <c r="D11" i="3"/>
  <c r="U35" i="3"/>
  <c r="Y35" i="3" s="1"/>
  <c r="S35" i="3"/>
  <c r="M35" i="3"/>
  <c r="L35" i="3"/>
  <c r="K35" i="3"/>
  <c r="J35" i="3"/>
  <c r="I35" i="3"/>
  <c r="H35" i="3"/>
  <c r="G35" i="3"/>
  <c r="F35" i="3"/>
  <c r="D35" i="3"/>
  <c r="U34" i="3"/>
  <c r="Y34" i="3" s="1"/>
  <c r="S34" i="3"/>
  <c r="M34" i="3"/>
  <c r="L34" i="3"/>
  <c r="K34" i="3"/>
  <c r="J34" i="3"/>
  <c r="I34" i="3"/>
  <c r="H34" i="3"/>
  <c r="G34" i="3"/>
  <c r="F34" i="3"/>
  <c r="D34" i="3"/>
  <c r="U207" i="3"/>
  <c r="Y207" i="3" s="1"/>
  <c r="S207" i="3"/>
  <c r="M207" i="3"/>
  <c r="L207" i="3"/>
  <c r="K207" i="3"/>
  <c r="J207" i="3"/>
  <c r="I207" i="3"/>
  <c r="H207" i="3"/>
  <c r="G207" i="3"/>
  <c r="F207" i="3"/>
  <c r="D207" i="3"/>
  <c r="U206" i="3"/>
  <c r="Y206" i="3" s="1"/>
  <c r="S206" i="3"/>
  <c r="M206" i="3"/>
  <c r="L206" i="3"/>
  <c r="K206" i="3"/>
  <c r="J206" i="3"/>
  <c r="I206" i="3"/>
  <c r="H206" i="3"/>
  <c r="G206" i="3"/>
  <c r="F206" i="3"/>
  <c r="D206" i="3"/>
  <c r="U33" i="3"/>
  <c r="Y33" i="3" s="1"/>
  <c r="S33" i="3"/>
  <c r="M33" i="3"/>
  <c r="L33" i="3"/>
  <c r="K33" i="3"/>
  <c r="J33" i="3"/>
  <c r="I33" i="3"/>
  <c r="H33" i="3"/>
  <c r="G33" i="3"/>
  <c r="F33" i="3"/>
  <c r="D33" i="3"/>
  <c r="U205" i="3"/>
  <c r="Y205" i="3" s="1"/>
  <c r="S205" i="3"/>
  <c r="M205" i="3"/>
  <c r="L205" i="3"/>
  <c r="K205" i="3"/>
  <c r="J205" i="3"/>
  <c r="I205" i="3"/>
  <c r="H205" i="3"/>
  <c r="G205" i="3"/>
  <c r="F205" i="3"/>
  <c r="D205" i="3"/>
  <c r="U204" i="3"/>
  <c r="Y204" i="3" s="1"/>
  <c r="S204" i="3"/>
  <c r="M204" i="3"/>
  <c r="L204" i="3"/>
  <c r="K204" i="3"/>
  <c r="J204" i="3"/>
  <c r="I204" i="3"/>
  <c r="H204" i="3"/>
  <c r="G204" i="3"/>
  <c r="F204" i="3"/>
  <c r="D204" i="3"/>
  <c r="U203" i="3"/>
  <c r="Y203" i="3" s="1"/>
  <c r="S203" i="3"/>
  <c r="M203" i="3"/>
  <c r="L203" i="3"/>
  <c r="K203" i="3"/>
  <c r="J203" i="3"/>
  <c r="I203" i="3"/>
  <c r="H203" i="3"/>
  <c r="G203" i="3"/>
  <c r="F203" i="3"/>
  <c r="D203" i="3"/>
  <c r="U10" i="3"/>
  <c r="Y10" i="3" s="1"/>
  <c r="S10" i="3"/>
  <c r="M10" i="3"/>
  <c r="L10" i="3"/>
  <c r="K10" i="3"/>
  <c r="J10" i="3"/>
  <c r="I10" i="3"/>
  <c r="H10" i="3"/>
  <c r="G10" i="3"/>
  <c r="F10" i="3"/>
  <c r="D10" i="3"/>
  <c r="U32" i="3"/>
  <c r="Y32" i="3" s="1"/>
  <c r="S32" i="3"/>
  <c r="M32" i="3"/>
  <c r="L32" i="3"/>
  <c r="K32" i="3"/>
  <c r="J32" i="3"/>
  <c r="I32" i="3"/>
  <c r="H32" i="3"/>
  <c r="G32" i="3"/>
  <c r="F32" i="3"/>
  <c r="D32" i="3"/>
  <c r="U202" i="3"/>
  <c r="Y202" i="3" s="1"/>
  <c r="S202" i="3"/>
  <c r="M202" i="3"/>
  <c r="L202" i="3"/>
  <c r="K202" i="3"/>
  <c r="J202" i="3"/>
  <c r="I202" i="3"/>
  <c r="H202" i="3"/>
  <c r="G202" i="3"/>
  <c r="F202" i="3"/>
  <c r="D202" i="3"/>
  <c r="U201" i="3"/>
  <c r="Y201" i="3" s="1"/>
  <c r="S201" i="3"/>
  <c r="M201" i="3"/>
  <c r="L201" i="3"/>
  <c r="K201" i="3"/>
  <c r="J201" i="3"/>
  <c r="I201" i="3"/>
  <c r="H201" i="3"/>
  <c r="G201" i="3"/>
  <c r="F201" i="3"/>
  <c r="D201" i="3"/>
  <c r="U200" i="3"/>
  <c r="Y200" i="3" s="1"/>
  <c r="S200" i="3"/>
  <c r="M200" i="3"/>
  <c r="L200" i="3"/>
  <c r="K200" i="3"/>
  <c r="J200" i="3"/>
  <c r="I200" i="3"/>
  <c r="H200" i="3"/>
  <c r="G200" i="3"/>
  <c r="F200" i="3"/>
  <c r="D200" i="3"/>
  <c r="U199" i="3"/>
  <c r="Y199" i="3" s="1"/>
  <c r="S199" i="3"/>
  <c r="M199" i="3"/>
  <c r="L199" i="3"/>
  <c r="K199" i="3"/>
  <c r="J199" i="3"/>
  <c r="I199" i="3"/>
  <c r="H199" i="3"/>
  <c r="G199" i="3"/>
  <c r="F199" i="3"/>
  <c r="D199" i="3"/>
  <c r="U198" i="3"/>
  <c r="Y198" i="3" s="1"/>
  <c r="S198" i="3"/>
  <c r="M198" i="3"/>
  <c r="L198" i="3"/>
  <c r="K198" i="3"/>
  <c r="J198" i="3"/>
  <c r="I198" i="3"/>
  <c r="H198" i="3"/>
  <c r="G198" i="3"/>
  <c r="F198" i="3"/>
  <c r="D198" i="3"/>
  <c r="U197" i="3"/>
  <c r="Y197" i="3" s="1"/>
  <c r="S197" i="3"/>
  <c r="M197" i="3"/>
  <c r="L197" i="3"/>
  <c r="K197" i="3"/>
  <c r="J197" i="3"/>
  <c r="I197" i="3"/>
  <c r="H197" i="3"/>
  <c r="G197" i="3"/>
  <c r="F197" i="3"/>
  <c r="D197" i="3"/>
  <c r="U196" i="3"/>
  <c r="Y196" i="3" s="1"/>
  <c r="S196" i="3"/>
  <c r="M196" i="3"/>
  <c r="L196" i="3"/>
  <c r="K196" i="3"/>
  <c r="J196" i="3"/>
  <c r="I196" i="3"/>
  <c r="H196" i="3"/>
  <c r="G196" i="3"/>
  <c r="F196" i="3"/>
  <c r="D196" i="3"/>
  <c r="U195" i="3"/>
  <c r="Y195" i="3" s="1"/>
  <c r="S195" i="3"/>
  <c r="M195" i="3"/>
  <c r="L195" i="3"/>
  <c r="K195" i="3"/>
  <c r="J195" i="3"/>
  <c r="I195" i="3"/>
  <c r="H195" i="3"/>
  <c r="G195" i="3"/>
  <c r="F195" i="3"/>
  <c r="D195" i="3"/>
  <c r="U59" i="3"/>
  <c r="Y59" i="3" s="1"/>
  <c r="S59" i="3"/>
  <c r="M59" i="3"/>
  <c r="L59" i="3"/>
  <c r="K59" i="3"/>
  <c r="J59" i="3"/>
  <c r="I59" i="3"/>
  <c r="H59" i="3"/>
  <c r="G59" i="3"/>
  <c r="F59" i="3"/>
  <c r="D59" i="3"/>
  <c r="U58" i="3"/>
  <c r="Y58" i="3" s="1"/>
  <c r="S58" i="3"/>
  <c r="M58" i="3"/>
  <c r="L58" i="3"/>
  <c r="K58" i="3"/>
  <c r="J58" i="3"/>
  <c r="I58" i="3"/>
  <c r="H58" i="3"/>
  <c r="G58" i="3"/>
  <c r="F58" i="3"/>
  <c r="D58" i="3"/>
  <c r="U57" i="3"/>
  <c r="Y57" i="3" s="1"/>
  <c r="S57" i="3"/>
  <c r="M57" i="3"/>
  <c r="L57" i="3"/>
  <c r="K57" i="3"/>
  <c r="J57" i="3"/>
  <c r="I57" i="3"/>
  <c r="H57" i="3"/>
  <c r="G57" i="3"/>
  <c r="F57" i="3"/>
  <c r="D57" i="3"/>
  <c r="U56" i="3"/>
  <c r="Y56" i="3" s="1"/>
  <c r="S56" i="3"/>
  <c r="M56" i="3"/>
  <c r="L56" i="3"/>
  <c r="K56" i="3"/>
  <c r="J56" i="3"/>
  <c r="I56" i="3"/>
  <c r="H56" i="3"/>
  <c r="G56" i="3"/>
  <c r="F56" i="3"/>
  <c r="D56" i="3"/>
  <c r="U194" i="3"/>
  <c r="Y194" i="3" s="1"/>
  <c r="S194" i="3"/>
  <c r="M194" i="3"/>
  <c r="L194" i="3"/>
  <c r="K194" i="3"/>
  <c r="J194" i="3"/>
  <c r="I194" i="3"/>
  <c r="H194" i="3"/>
  <c r="G194" i="3"/>
  <c r="F194" i="3"/>
  <c r="D194" i="3"/>
  <c r="U193" i="3"/>
  <c r="Y193" i="3" s="1"/>
  <c r="S193" i="3"/>
  <c r="M193" i="3"/>
  <c r="L193" i="3"/>
  <c r="K193" i="3"/>
  <c r="J193" i="3"/>
  <c r="I193" i="3"/>
  <c r="H193" i="3"/>
  <c r="G193" i="3"/>
  <c r="F193" i="3"/>
  <c r="D193" i="3"/>
  <c r="U192" i="3"/>
  <c r="Y192" i="3" s="1"/>
  <c r="S192" i="3"/>
  <c r="M192" i="3"/>
  <c r="L192" i="3"/>
  <c r="K192" i="3"/>
  <c r="J192" i="3"/>
  <c r="I192" i="3"/>
  <c r="H192" i="3"/>
  <c r="G192" i="3"/>
  <c r="F192" i="3"/>
  <c r="D192" i="3"/>
  <c r="U191" i="3"/>
  <c r="Y191" i="3" s="1"/>
  <c r="S191" i="3"/>
  <c r="M191" i="3"/>
  <c r="L191" i="3"/>
  <c r="K191" i="3"/>
  <c r="J191" i="3"/>
  <c r="I191" i="3"/>
  <c r="H191" i="3"/>
  <c r="G191" i="3"/>
  <c r="F191" i="3"/>
  <c r="D191" i="3"/>
  <c r="U190" i="3"/>
  <c r="Y190" i="3" s="1"/>
  <c r="S190" i="3"/>
  <c r="M190" i="3"/>
  <c r="L190" i="3"/>
  <c r="K190" i="3"/>
  <c r="J190" i="3"/>
  <c r="I190" i="3"/>
  <c r="H190" i="3"/>
  <c r="G190" i="3"/>
  <c r="F190" i="3"/>
  <c r="D190" i="3"/>
  <c r="U189" i="3"/>
  <c r="Y189" i="3" s="1"/>
  <c r="S189" i="3"/>
  <c r="M189" i="3"/>
  <c r="L189" i="3"/>
  <c r="K189" i="3"/>
  <c r="J189" i="3"/>
  <c r="I189" i="3"/>
  <c r="H189" i="3"/>
  <c r="G189" i="3"/>
  <c r="F189" i="3"/>
  <c r="D189" i="3"/>
  <c r="U188" i="3"/>
  <c r="Y188" i="3" s="1"/>
  <c r="S188" i="3"/>
  <c r="M188" i="3"/>
  <c r="L188" i="3"/>
  <c r="K188" i="3"/>
  <c r="J188" i="3"/>
  <c r="I188" i="3"/>
  <c r="H188" i="3"/>
  <c r="G188" i="3"/>
  <c r="F188" i="3"/>
  <c r="D188" i="3"/>
  <c r="U187" i="3"/>
  <c r="Y187" i="3" s="1"/>
  <c r="S187" i="3"/>
  <c r="M187" i="3"/>
  <c r="L187" i="3"/>
  <c r="K187" i="3"/>
  <c r="J187" i="3"/>
  <c r="I187" i="3"/>
  <c r="H187" i="3"/>
  <c r="G187" i="3"/>
  <c r="F187" i="3"/>
  <c r="D187" i="3"/>
  <c r="U186" i="3"/>
  <c r="Y186" i="3" s="1"/>
  <c r="S186" i="3"/>
  <c r="M186" i="3"/>
  <c r="L186" i="3"/>
  <c r="K186" i="3"/>
  <c r="J186" i="3"/>
  <c r="I186" i="3"/>
  <c r="H186" i="3"/>
  <c r="G186" i="3"/>
  <c r="F186" i="3"/>
  <c r="D186" i="3"/>
  <c r="U185" i="3"/>
  <c r="Y185" i="3" s="1"/>
  <c r="S185" i="3"/>
  <c r="M185" i="3"/>
  <c r="L185" i="3"/>
  <c r="K185" i="3"/>
  <c r="J185" i="3"/>
  <c r="I185" i="3"/>
  <c r="H185" i="3"/>
  <c r="G185" i="3"/>
  <c r="F185" i="3"/>
  <c r="D185" i="3"/>
  <c r="U184" i="3"/>
  <c r="Y184" i="3" s="1"/>
  <c r="S184" i="3"/>
  <c r="M184" i="3"/>
  <c r="L184" i="3"/>
  <c r="K184" i="3"/>
  <c r="J184" i="3"/>
  <c r="I184" i="3"/>
  <c r="H184" i="3"/>
  <c r="G184" i="3"/>
  <c r="F184" i="3"/>
  <c r="D184" i="3"/>
  <c r="U183" i="3"/>
  <c r="Y183" i="3" s="1"/>
  <c r="S183" i="3"/>
  <c r="M183" i="3"/>
  <c r="L183" i="3"/>
  <c r="K183" i="3"/>
  <c r="J183" i="3"/>
  <c r="I183" i="3"/>
  <c r="H183" i="3"/>
  <c r="G183" i="3"/>
  <c r="F183" i="3"/>
  <c r="D183" i="3"/>
  <c r="U182" i="3"/>
  <c r="Y182" i="3" s="1"/>
  <c r="S182" i="3"/>
  <c r="M182" i="3"/>
  <c r="L182" i="3"/>
  <c r="K182" i="3"/>
  <c r="J182" i="3"/>
  <c r="I182" i="3"/>
  <c r="H182" i="3"/>
  <c r="G182" i="3"/>
  <c r="F182" i="3"/>
  <c r="D182" i="3"/>
  <c r="U181" i="3"/>
  <c r="Y181" i="3" s="1"/>
  <c r="S181" i="3"/>
  <c r="M181" i="3"/>
  <c r="L181" i="3"/>
  <c r="K181" i="3"/>
  <c r="J181" i="3"/>
  <c r="I181" i="3"/>
  <c r="H181" i="3"/>
  <c r="G181" i="3"/>
  <c r="F181" i="3"/>
  <c r="D181" i="3"/>
  <c r="U180" i="3"/>
  <c r="Y180" i="3" s="1"/>
  <c r="S180" i="3"/>
  <c r="M180" i="3"/>
  <c r="L180" i="3"/>
  <c r="K180" i="3"/>
  <c r="J180" i="3"/>
  <c r="I180" i="3"/>
  <c r="H180" i="3"/>
  <c r="G180" i="3"/>
  <c r="F180" i="3"/>
  <c r="D180" i="3"/>
  <c r="U179" i="3"/>
  <c r="Y179" i="3" s="1"/>
  <c r="S179" i="3"/>
  <c r="M179" i="3"/>
  <c r="L179" i="3"/>
  <c r="K179" i="3"/>
  <c r="J179" i="3"/>
  <c r="I179" i="3"/>
  <c r="H179" i="3"/>
  <c r="G179" i="3"/>
  <c r="F179" i="3"/>
  <c r="D179" i="3"/>
  <c r="U178" i="3"/>
  <c r="Y178" i="3" s="1"/>
  <c r="S178" i="3"/>
  <c r="M178" i="3"/>
  <c r="L178" i="3"/>
  <c r="K178" i="3"/>
  <c r="J178" i="3"/>
  <c r="I178" i="3"/>
  <c r="H178" i="3"/>
  <c r="G178" i="3"/>
  <c r="F178" i="3"/>
  <c r="D178" i="3"/>
  <c r="U177" i="3"/>
  <c r="Y177" i="3" s="1"/>
  <c r="S177" i="3"/>
  <c r="M177" i="3"/>
  <c r="L177" i="3"/>
  <c r="K177" i="3"/>
  <c r="J177" i="3"/>
  <c r="I177" i="3"/>
  <c r="H177" i="3"/>
  <c r="G177" i="3"/>
  <c r="F177" i="3"/>
  <c r="D177" i="3"/>
  <c r="U176" i="3"/>
  <c r="Y176" i="3" s="1"/>
  <c r="S176" i="3"/>
  <c r="M176" i="3"/>
  <c r="L176" i="3"/>
  <c r="K176" i="3"/>
  <c r="J176" i="3"/>
  <c r="I176" i="3"/>
  <c r="H176" i="3"/>
  <c r="G176" i="3"/>
  <c r="F176" i="3"/>
  <c r="D176" i="3"/>
  <c r="U175" i="3"/>
  <c r="Y175" i="3" s="1"/>
  <c r="S175" i="3"/>
  <c r="M175" i="3"/>
  <c r="L175" i="3"/>
  <c r="K175" i="3"/>
  <c r="J175" i="3"/>
  <c r="I175" i="3"/>
  <c r="H175" i="3"/>
  <c r="G175" i="3"/>
  <c r="F175" i="3"/>
  <c r="D175" i="3"/>
  <c r="U174" i="3"/>
  <c r="Y174" i="3" s="1"/>
  <c r="S174" i="3"/>
  <c r="M174" i="3"/>
  <c r="L174" i="3"/>
  <c r="K174" i="3"/>
  <c r="J174" i="3"/>
  <c r="I174" i="3"/>
  <c r="H174" i="3"/>
  <c r="G174" i="3"/>
  <c r="F174" i="3"/>
  <c r="D174" i="3"/>
  <c r="U173" i="3"/>
  <c r="Y173" i="3" s="1"/>
  <c r="S173" i="3"/>
  <c r="M173" i="3"/>
  <c r="L173" i="3"/>
  <c r="K173" i="3"/>
  <c r="J173" i="3"/>
  <c r="I173" i="3"/>
  <c r="H173" i="3"/>
  <c r="G173" i="3"/>
  <c r="F173" i="3"/>
  <c r="D173" i="3"/>
  <c r="U172" i="3"/>
  <c r="Y172" i="3" s="1"/>
  <c r="S172" i="3"/>
  <c r="M172" i="3"/>
  <c r="L172" i="3"/>
  <c r="K172" i="3"/>
  <c r="J172" i="3"/>
  <c r="I172" i="3"/>
  <c r="H172" i="3"/>
  <c r="G172" i="3"/>
  <c r="F172" i="3"/>
  <c r="D172" i="3"/>
  <c r="U171" i="3"/>
  <c r="Y171" i="3" s="1"/>
  <c r="S171" i="3"/>
  <c r="M171" i="3"/>
  <c r="L171" i="3"/>
  <c r="K171" i="3"/>
  <c r="J171" i="3"/>
  <c r="I171" i="3"/>
  <c r="H171" i="3"/>
  <c r="G171" i="3"/>
  <c r="F171" i="3"/>
  <c r="D171" i="3"/>
  <c r="U533" i="3"/>
  <c r="Y533" i="3" s="1"/>
  <c r="S533" i="3"/>
  <c r="M533" i="3"/>
  <c r="L533" i="3"/>
  <c r="K533" i="3"/>
  <c r="J533" i="3"/>
  <c r="I533" i="3"/>
  <c r="H533" i="3"/>
  <c r="G533" i="3"/>
  <c r="F533" i="3"/>
  <c r="D533" i="3"/>
  <c r="U422" i="3"/>
  <c r="Y422" i="3" s="1"/>
  <c r="S422" i="3"/>
  <c r="M422" i="3"/>
  <c r="L422" i="3"/>
  <c r="K422" i="3"/>
  <c r="J422" i="3"/>
  <c r="I422" i="3"/>
  <c r="H422" i="3"/>
  <c r="G422" i="3"/>
  <c r="F422" i="3"/>
  <c r="D422" i="3"/>
  <c r="U170" i="3"/>
  <c r="Y170" i="3" s="1"/>
  <c r="S170" i="3"/>
  <c r="M170" i="3"/>
  <c r="L170" i="3"/>
  <c r="K170" i="3"/>
  <c r="J170" i="3"/>
  <c r="I170" i="3"/>
  <c r="H170" i="3"/>
  <c r="G170" i="3"/>
  <c r="F170" i="3"/>
  <c r="D170" i="3"/>
  <c r="U532" i="3"/>
  <c r="Y532" i="3" s="1"/>
  <c r="S532" i="3"/>
  <c r="M532" i="3"/>
  <c r="L532" i="3"/>
  <c r="K532" i="3"/>
  <c r="J532" i="3"/>
  <c r="I532" i="3"/>
  <c r="H532" i="3"/>
  <c r="G532" i="3"/>
  <c r="F532" i="3"/>
  <c r="D532" i="3"/>
  <c r="U531" i="3"/>
  <c r="Y531" i="3" s="1"/>
  <c r="S531" i="3"/>
  <c r="M531" i="3"/>
  <c r="L531" i="3"/>
  <c r="K531" i="3"/>
  <c r="J531" i="3"/>
  <c r="I531" i="3"/>
  <c r="H531" i="3"/>
  <c r="G531" i="3"/>
  <c r="F531" i="3"/>
  <c r="D531" i="3"/>
  <c r="U530" i="3"/>
  <c r="Y530" i="3" s="1"/>
  <c r="S530" i="3"/>
  <c r="M530" i="3"/>
  <c r="L530" i="3"/>
  <c r="K530" i="3"/>
  <c r="J530" i="3"/>
  <c r="I530" i="3"/>
  <c r="H530" i="3"/>
  <c r="G530" i="3"/>
  <c r="F530" i="3"/>
  <c r="D530" i="3"/>
  <c r="U169" i="3"/>
  <c r="Y169" i="3" s="1"/>
  <c r="S169" i="3"/>
  <c r="M169" i="3"/>
  <c r="L169" i="3"/>
  <c r="K169" i="3"/>
  <c r="J169" i="3"/>
  <c r="I169" i="3"/>
  <c r="H169" i="3"/>
  <c r="G169" i="3"/>
  <c r="F169" i="3"/>
  <c r="D169" i="3"/>
  <c r="U168" i="3"/>
  <c r="Y168" i="3" s="1"/>
  <c r="S168" i="3"/>
  <c r="M168" i="3"/>
  <c r="L168" i="3"/>
  <c r="K168" i="3"/>
  <c r="J168" i="3"/>
  <c r="I168" i="3"/>
  <c r="H168" i="3"/>
  <c r="G168" i="3"/>
  <c r="F168" i="3"/>
  <c r="D168" i="3"/>
  <c r="U167" i="3"/>
  <c r="Y167" i="3" s="1"/>
  <c r="S167" i="3"/>
  <c r="M167" i="3"/>
  <c r="L167" i="3"/>
  <c r="K167" i="3"/>
  <c r="J167" i="3"/>
  <c r="I167" i="3"/>
  <c r="H167" i="3"/>
  <c r="G167" i="3"/>
  <c r="F167" i="3"/>
  <c r="D167" i="3"/>
  <c r="U529" i="3"/>
  <c r="Y529" i="3" s="1"/>
  <c r="S529" i="3"/>
  <c r="M529" i="3"/>
  <c r="L529" i="3"/>
  <c r="K529" i="3"/>
  <c r="J529" i="3"/>
  <c r="I529" i="3"/>
  <c r="H529" i="3"/>
  <c r="G529" i="3"/>
  <c r="F529" i="3"/>
  <c r="D529" i="3"/>
  <c r="U594" i="3"/>
  <c r="Y594" i="3" s="1"/>
  <c r="S594" i="3"/>
  <c r="M594" i="3"/>
  <c r="L594" i="3"/>
  <c r="K594" i="3"/>
  <c r="J594" i="3"/>
  <c r="I594" i="3"/>
  <c r="H594" i="3"/>
  <c r="G594" i="3"/>
  <c r="F594" i="3"/>
  <c r="D594" i="3"/>
  <c r="U744" i="3"/>
  <c r="Y744" i="3" s="1"/>
  <c r="S744" i="3"/>
  <c r="M744" i="3"/>
  <c r="L744" i="3"/>
  <c r="K744" i="3"/>
  <c r="J744" i="3"/>
  <c r="I744" i="3"/>
  <c r="H744" i="3"/>
  <c r="G744" i="3"/>
  <c r="F744" i="3"/>
  <c r="D744" i="3"/>
  <c r="U775" i="3"/>
  <c r="Y775" i="3" s="1"/>
  <c r="S775" i="3"/>
  <c r="M775" i="3"/>
  <c r="L775" i="3"/>
  <c r="K775" i="3"/>
  <c r="J775" i="3"/>
  <c r="I775" i="3"/>
  <c r="H775" i="3"/>
  <c r="G775" i="3"/>
  <c r="F775" i="3"/>
  <c r="D775" i="3"/>
  <c r="U166" i="3"/>
  <c r="Y166" i="3" s="1"/>
  <c r="S166" i="3"/>
  <c r="M166" i="3"/>
  <c r="L166" i="3"/>
  <c r="K166" i="3"/>
  <c r="J166" i="3"/>
  <c r="I166" i="3"/>
  <c r="H166" i="3"/>
  <c r="G166" i="3"/>
  <c r="F166" i="3"/>
  <c r="D166" i="3"/>
  <c r="U653" i="3"/>
  <c r="Y653" i="3" s="1"/>
  <c r="S653" i="3"/>
  <c r="M653" i="3"/>
  <c r="L653" i="3"/>
  <c r="K653" i="3"/>
  <c r="J653" i="3"/>
  <c r="I653" i="3"/>
  <c r="H653" i="3"/>
  <c r="G653" i="3"/>
  <c r="F653" i="3"/>
  <c r="D653" i="3"/>
  <c r="U743" i="3"/>
  <c r="Y743" i="3" s="1"/>
  <c r="S743" i="3"/>
  <c r="M743" i="3"/>
  <c r="L743" i="3"/>
  <c r="K743" i="3"/>
  <c r="J743" i="3"/>
  <c r="I743" i="3"/>
  <c r="H743" i="3"/>
  <c r="G743" i="3"/>
  <c r="F743" i="3"/>
  <c r="D743" i="3"/>
  <c r="U742" i="3"/>
  <c r="Y742" i="3" s="1"/>
  <c r="S742" i="3"/>
  <c r="M742" i="3"/>
  <c r="L742" i="3"/>
  <c r="K742" i="3"/>
  <c r="J742" i="3"/>
  <c r="I742" i="3"/>
  <c r="H742" i="3"/>
  <c r="G742" i="3"/>
  <c r="F742" i="3"/>
  <c r="D742" i="3"/>
  <c r="U652" i="3"/>
  <c r="Y652" i="3" s="1"/>
  <c r="S652" i="3"/>
  <c r="M652" i="3"/>
  <c r="L652" i="3"/>
  <c r="K652" i="3"/>
  <c r="J652" i="3"/>
  <c r="I652" i="3"/>
  <c r="H652" i="3"/>
  <c r="G652" i="3"/>
  <c r="F652" i="3"/>
  <c r="D652" i="3"/>
  <c r="U416" i="3"/>
  <c r="Y416" i="3" s="1"/>
  <c r="S416" i="3"/>
  <c r="M416" i="3"/>
  <c r="L416" i="3"/>
  <c r="K416" i="3"/>
  <c r="J416" i="3"/>
  <c r="I416" i="3"/>
  <c r="H416" i="3"/>
  <c r="G416" i="3"/>
  <c r="F416" i="3"/>
  <c r="D416" i="3"/>
  <c r="U415" i="3"/>
  <c r="Y415" i="3" s="1"/>
  <c r="S415" i="3"/>
  <c r="M415" i="3"/>
  <c r="L415" i="3"/>
  <c r="K415" i="3"/>
  <c r="J415" i="3"/>
  <c r="I415" i="3"/>
  <c r="H415" i="3"/>
  <c r="G415" i="3"/>
  <c r="F415" i="3"/>
  <c r="D415" i="3"/>
  <c r="U528" i="3"/>
  <c r="Y528" i="3" s="1"/>
  <c r="S528" i="3"/>
  <c r="M528" i="3"/>
  <c r="L528" i="3"/>
  <c r="K528" i="3"/>
  <c r="J528" i="3"/>
  <c r="I528" i="3"/>
  <c r="H528" i="3"/>
  <c r="G528" i="3"/>
  <c r="F528" i="3"/>
  <c r="D528" i="3"/>
  <c r="U527" i="3"/>
  <c r="Y527" i="3" s="1"/>
  <c r="S527" i="3"/>
  <c r="M527" i="3"/>
  <c r="L527" i="3"/>
  <c r="K527" i="3"/>
  <c r="J527" i="3"/>
  <c r="I527" i="3"/>
  <c r="H527" i="3"/>
  <c r="G527" i="3"/>
  <c r="F527" i="3"/>
  <c r="D527" i="3"/>
  <c r="U526" i="3"/>
  <c r="Y526" i="3" s="1"/>
  <c r="S526" i="3"/>
  <c r="M526" i="3"/>
  <c r="L526" i="3"/>
  <c r="K526" i="3"/>
  <c r="J526" i="3"/>
  <c r="I526" i="3"/>
  <c r="H526" i="3"/>
  <c r="G526" i="3"/>
  <c r="F526" i="3"/>
  <c r="D526" i="3"/>
  <c r="U525" i="3"/>
  <c r="Y525" i="3" s="1"/>
  <c r="S525" i="3"/>
  <c r="M525" i="3"/>
  <c r="L525" i="3"/>
  <c r="K525" i="3"/>
  <c r="J525" i="3"/>
  <c r="I525" i="3"/>
  <c r="H525" i="3"/>
  <c r="G525" i="3"/>
  <c r="F525" i="3"/>
  <c r="D525" i="3"/>
  <c r="U524" i="3"/>
  <c r="Y524" i="3" s="1"/>
  <c r="S524" i="3"/>
  <c r="M524" i="3"/>
  <c r="L524" i="3"/>
  <c r="K524" i="3"/>
  <c r="J524" i="3"/>
  <c r="I524" i="3"/>
  <c r="H524" i="3"/>
  <c r="G524" i="3"/>
  <c r="F524" i="3"/>
  <c r="D524" i="3"/>
  <c r="U523" i="3"/>
  <c r="Y523" i="3" s="1"/>
  <c r="S523" i="3"/>
  <c r="M523" i="3"/>
  <c r="L523" i="3"/>
  <c r="K523" i="3"/>
  <c r="J523" i="3"/>
  <c r="I523" i="3"/>
  <c r="H523" i="3"/>
  <c r="G523" i="3"/>
  <c r="F523" i="3"/>
  <c r="D523" i="3"/>
  <c r="U522" i="3"/>
  <c r="Y522" i="3" s="1"/>
  <c r="S522" i="3"/>
  <c r="M522" i="3"/>
  <c r="L522" i="3"/>
  <c r="K522" i="3"/>
  <c r="J522" i="3"/>
  <c r="I522" i="3"/>
  <c r="H522" i="3"/>
  <c r="G522" i="3"/>
  <c r="F522" i="3"/>
  <c r="D522" i="3"/>
  <c r="U521" i="3"/>
  <c r="Y521" i="3" s="1"/>
  <c r="S521" i="3"/>
  <c r="M521" i="3"/>
  <c r="L521" i="3"/>
  <c r="K521" i="3"/>
  <c r="J521" i="3"/>
  <c r="I521" i="3"/>
  <c r="H521" i="3"/>
  <c r="G521" i="3"/>
  <c r="F521" i="3"/>
  <c r="D521" i="3"/>
  <c r="U520" i="3"/>
  <c r="Y520" i="3" s="1"/>
  <c r="S520" i="3"/>
  <c r="M520" i="3"/>
  <c r="L520" i="3"/>
  <c r="K520" i="3"/>
  <c r="J520" i="3"/>
  <c r="I520" i="3"/>
  <c r="H520" i="3"/>
  <c r="G520" i="3"/>
  <c r="F520" i="3"/>
  <c r="D520" i="3"/>
  <c r="U421" i="3"/>
  <c r="Y421" i="3" s="1"/>
  <c r="S421" i="3"/>
  <c r="M421" i="3"/>
  <c r="L421" i="3"/>
  <c r="K421" i="3"/>
  <c r="J421" i="3"/>
  <c r="I421" i="3"/>
  <c r="H421" i="3"/>
  <c r="G421" i="3"/>
  <c r="F421" i="3"/>
  <c r="D421" i="3"/>
  <c r="U420" i="3"/>
  <c r="Y420" i="3" s="1"/>
  <c r="S420" i="3"/>
  <c r="M420" i="3"/>
  <c r="L420" i="3"/>
  <c r="K420" i="3"/>
  <c r="J420" i="3"/>
  <c r="I420" i="3"/>
  <c r="H420" i="3"/>
  <c r="G420" i="3"/>
  <c r="F420" i="3"/>
  <c r="D420" i="3"/>
  <c r="U580" i="3"/>
  <c r="Y580" i="3" s="1"/>
  <c r="S580" i="3"/>
  <c r="M580" i="3"/>
  <c r="L580" i="3"/>
  <c r="K580" i="3"/>
  <c r="J580" i="3"/>
  <c r="I580" i="3"/>
  <c r="H580" i="3"/>
  <c r="G580" i="3"/>
  <c r="F580" i="3"/>
  <c r="D580" i="3"/>
  <c r="U579" i="3"/>
  <c r="Y579" i="3" s="1"/>
  <c r="S579" i="3"/>
  <c r="M579" i="3"/>
  <c r="L579" i="3"/>
  <c r="K579" i="3"/>
  <c r="J579" i="3"/>
  <c r="I579" i="3"/>
  <c r="H579" i="3"/>
  <c r="G579" i="3"/>
  <c r="F579" i="3"/>
  <c r="D579" i="3"/>
  <c r="U578" i="3"/>
  <c r="Y578" i="3" s="1"/>
  <c r="S578" i="3"/>
  <c r="M578" i="3"/>
  <c r="L578" i="3"/>
  <c r="K578" i="3"/>
  <c r="J578" i="3"/>
  <c r="I578" i="3"/>
  <c r="H578" i="3"/>
  <c r="G578" i="3"/>
  <c r="F578" i="3"/>
  <c r="D578" i="3"/>
  <c r="U577" i="3"/>
  <c r="Y577" i="3" s="1"/>
  <c r="S577" i="3"/>
  <c r="M577" i="3"/>
  <c r="L577" i="3"/>
  <c r="K577" i="3"/>
  <c r="J577" i="3"/>
  <c r="I577" i="3"/>
  <c r="H577" i="3"/>
  <c r="G577" i="3"/>
  <c r="F577" i="3"/>
  <c r="D577" i="3"/>
  <c r="U414" i="3"/>
  <c r="Y414" i="3" s="1"/>
  <c r="S414" i="3"/>
  <c r="M414" i="3"/>
  <c r="L414" i="3"/>
  <c r="K414" i="3"/>
  <c r="J414" i="3"/>
  <c r="I414" i="3"/>
  <c r="H414" i="3"/>
  <c r="G414" i="3"/>
  <c r="F414" i="3"/>
  <c r="D414" i="3"/>
  <c r="U413" i="3"/>
  <c r="Y413" i="3" s="1"/>
  <c r="S413" i="3"/>
  <c r="M413" i="3"/>
  <c r="L413" i="3"/>
  <c r="K413" i="3"/>
  <c r="J413" i="3"/>
  <c r="I413" i="3"/>
  <c r="H413" i="3"/>
  <c r="G413" i="3"/>
  <c r="F413" i="3"/>
  <c r="D413" i="3"/>
  <c r="U412" i="3"/>
  <c r="Y412" i="3" s="1"/>
  <c r="S412" i="3"/>
  <c r="M412" i="3"/>
  <c r="L412" i="3"/>
  <c r="K412" i="3"/>
  <c r="J412" i="3"/>
  <c r="I412" i="3"/>
  <c r="H412" i="3"/>
  <c r="G412" i="3"/>
  <c r="F412" i="3"/>
  <c r="D412" i="3"/>
  <c r="U411" i="3"/>
  <c r="Y411" i="3" s="1"/>
  <c r="S411" i="3"/>
  <c r="M411" i="3"/>
  <c r="L411" i="3"/>
  <c r="K411" i="3"/>
  <c r="J411" i="3"/>
  <c r="I411" i="3"/>
  <c r="H411" i="3"/>
  <c r="G411" i="3"/>
  <c r="F411" i="3"/>
  <c r="D411" i="3"/>
  <c r="U428" i="3"/>
  <c r="Y428" i="3" s="1"/>
  <c r="S428" i="3"/>
  <c r="M428" i="3"/>
  <c r="L428" i="3"/>
  <c r="K428" i="3"/>
  <c r="J428" i="3"/>
  <c r="I428" i="3"/>
  <c r="H428" i="3"/>
  <c r="G428" i="3"/>
  <c r="F428" i="3"/>
  <c r="D428" i="3"/>
  <c r="U519" i="3"/>
  <c r="Y519" i="3" s="1"/>
  <c r="S519" i="3"/>
  <c r="M519" i="3"/>
  <c r="L519" i="3"/>
  <c r="K519" i="3"/>
  <c r="J519" i="3"/>
  <c r="I519" i="3"/>
  <c r="H519" i="3"/>
  <c r="G519" i="3"/>
  <c r="F519" i="3"/>
  <c r="D519" i="3"/>
  <c r="U518" i="3"/>
  <c r="Y518" i="3" s="1"/>
  <c r="S518" i="3"/>
  <c r="M518" i="3"/>
  <c r="L518" i="3"/>
  <c r="K518" i="3"/>
  <c r="J518" i="3"/>
  <c r="I518" i="3"/>
  <c r="H518" i="3"/>
  <c r="G518" i="3"/>
  <c r="F518" i="3"/>
  <c r="D518" i="3"/>
  <c r="U517" i="3"/>
  <c r="Y517" i="3" s="1"/>
  <c r="S517" i="3"/>
  <c r="M517" i="3"/>
  <c r="L517" i="3"/>
  <c r="K517" i="3"/>
  <c r="J517" i="3"/>
  <c r="I517" i="3"/>
  <c r="H517" i="3"/>
  <c r="G517" i="3"/>
  <c r="F517" i="3"/>
  <c r="D517" i="3"/>
  <c r="U516" i="3"/>
  <c r="Y516" i="3" s="1"/>
  <c r="S516" i="3"/>
  <c r="M516" i="3"/>
  <c r="L516" i="3"/>
  <c r="K516" i="3"/>
  <c r="J516" i="3"/>
  <c r="I516" i="3"/>
  <c r="H516" i="3"/>
  <c r="G516" i="3"/>
  <c r="F516" i="3"/>
  <c r="D516" i="3"/>
  <c r="U515" i="3"/>
  <c r="Y515" i="3" s="1"/>
  <c r="S515" i="3"/>
  <c r="M515" i="3"/>
  <c r="L515" i="3"/>
  <c r="K515" i="3"/>
  <c r="J515" i="3"/>
  <c r="I515" i="3"/>
  <c r="H515" i="3"/>
  <c r="G515" i="3"/>
  <c r="F515" i="3"/>
  <c r="D515" i="3"/>
  <c r="U514" i="3"/>
  <c r="Y514" i="3" s="1"/>
  <c r="S514" i="3"/>
  <c r="M514" i="3"/>
  <c r="L514" i="3"/>
  <c r="K514" i="3"/>
  <c r="J514" i="3"/>
  <c r="I514" i="3"/>
  <c r="H514" i="3"/>
  <c r="G514" i="3"/>
  <c r="F514" i="3"/>
  <c r="D514" i="3"/>
  <c r="U513" i="3"/>
  <c r="Y513" i="3" s="1"/>
  <c r="S513" i="3"/>
  <c r="M513" i="3"/>
  <c r="L513" i="3"/>
  <c r="K513" i="3"/>
  <c r="J513" i="3"/>
  <c r="I513" i="3"/>
  <c r="H513" i="3"/>
  <c r="G513" i="3"/>
  <c r="F513" i="3"/>
  <c r="D513" i="3"/>
  <c r="U512" i="3"/>
  <c r="Y512" i="3" s="1"/>
  <c r="S512" i="3"/>
  <c r="M512" i="3"/>
  <c r="L512" i="3"/>
  <c r="K512" i="3"/>
  <c r="J512" i="3"/>
  <c r="I512" i="3"/>
  <c r="H512" i="3"/>
  <c r="G512" i="3"/>
  <c r="F512" i="3"/>
  <c r="D512" i="3"/>
  <c r="U511" i="3"/>
  <c r="Y511" i="3" s="1"/>
  <c r="S511" i="3"/>
  <c r="M511" i="3"/>
  <c r="L511" i="3"/>
  <c r="K511" i="3"/>
  <c r="J511" i="3"/>
  <c r="I511" i="3"/>
  <c r="H511" i="3"/>
  <c r="G511" i="3"/>
  <c r="F511" i="3"/>
  <c r="D511" i="3"/>
  <c r="U510" i="3"/>
  <c r="Y510" i="3" s="1"/>
  <c r="S510" i="3"/>
  <c r="M510" i="3"/>
  <c r="L510" i="3"/>
  <c r="K510" i="3"/>
  <c r="J510" i="3"/>
  <c r="I510" i="3"/>
  <c r="H510" i="3"/>
  <c r="G510" i="3"/>
  <c r="F510" i="3"/>
  <c r="D510" i="3"/>
  <c r="U509" i="3"/>
  <c r="Y509" i="3" s="1"/>
  <c r="S509" i="3"/>
  <c r="M509" i="3"/>
  <c r="L509" i="3"/>
  <c r="K509" i="3"/>
  <c r="J509" i="3"/>
  <c r="I509" i="3"/>
  <c r="H509" i="3"/>
  <c r="G509" i="3"/>
  <c r="F509" i="3"/>
  <c r="D509" i="3"/>
  <c r="U508" i="3"/>
  <c r="Y508" i="3" s="1"/>
  <c r="S508" i="3"/>
  <c r="M508" i="3"/>
  <c r="L508" i="3"/>
  <c r="K508" i="3"/>
  <c r="J508" i="3"/>
  <c r="I508" i="3"/>
  <c r="H508" i="3"/>
  <c r="G508" i="3"/>
  <c r="F508" i="3"/>
  <c r="D508" i="3"/>
  <c r="U507" i="3"/>
  <c r="Y507" i="3" s="1"/>
  <c r="S507" i="3"/>
  <c r="M507" i="3"/>
  <c r="L507" i="3"/>
  <c r="K507" i="3"/>
  <c r="J507" i="3"/>
  <c r="I507" i="3"/>
  <c r="H507" i="3"/>
  <c r="G507" i="3"/>
  <c r="F507" i="3"/>
  <c r="D507" i="3"/>
  <c r="U506" i="3"/>
  <c r="Y506" i="3" s="1"/>
  <c r="S506" i="3"/>
  <c r="M506" i="3"/>
  <c r="L506" i="3"/>
  <c r="K506" i="3"/>
  <c r="J506" i="3"/>
  <c r="I506" i="3"/>
  <c r="H506" i="3"/>
  <c r="G506" i="3"/>
  <c r="F506" i="3"/>
  <c r="D506" i="3"/>
  <c r="U505" i="3"/>
  <c r="Y505" i="3" s="1"/>
  <c r="S505" i="3"/>
  <c r="M505" i="3"/>
  <c r="L505" i="3"/>
  <c r="K505" i="3"/>
  <c r="J505" i="3"/>
  <c r="I505" i="3"/>
  <c r="H505" i="3"/>
  <c r="G505" i="3"/>
  <c r="F505" i="3"/>
  <c r="D505" i="3"/>
  <c r="U504" i="3"/>
  <c r="Y504" i="3" s="1"/>
  <c r="S504" i="3"/>
  <c r="M504" i="3"/>
  <c r="L504" i="3"/>
  <c r="K504" i="3"/>
  <c r="J504" i="3"/>
  <c r="I504" i="3"/>
  <c r="H504" i="3"/>
  <c r="G504" i="3"/>
  <c r="F504" i="3"/>
  <c r="D504" i="3"/>
  <c r="U503" i="3"/>
  <c r="Y503" i="3" s="1"/>
  <c r="S503" i="3"/>
  <c r="M503" i="3"/>
  <c r="L503" i="3"/>
  <c r="K503" i="3"/>
  <c r="J503" i="3"/>
  <c r="I503" i="3"/>
  <c r="H503" i="3"/>
  <c r="G503" i="3"/>
  <c r="F503" i="3"/>
  <c r="D503" i="3"/>
  <c r="U502" i="3"/>
  <c r="Y502" i="3" s="1"/>
  <c r="S502" i="3"/>
  <c r="M502" i="3"/>
  <c r="L502" i="3"/>
  <c r="K502" i="3"/>
  <c r="J502" i="3"/>
  <c r="I502" i="3"/>
  <c r="H502" i="3"/>
  <c r="G502" i="3"/>
  <c r="F502" i="3"/>
  <c r="D502" i="3"/>
  <c r="U501" i="3"/>
  <c r="Y501" i="3" s="1"/>
  <c r="S501" i="3"/>
  <c r="M501" i="3"/>
  <c r="L501" i="3"/>
  <c r="K501" i="3"/>
  <c r="J501" i="3"/>
  <c r="I501" i="3"/>
  <c r="H501" i="3"/>
  <c r="G501" i="3"/>
  <c r="F501" i="3"/>
  <c r="D501" i="3"/>
  <c r="U500" i="3"/>
  <c r="Y500" i="3" s="1"/>
  <c r="S500" i="3"/>
  <c r="M500" i="3"/>
  <c r="L500" i="3"/>
  <c r="K500" i="3"/>
  <c r="J500" i="3"/>
  <c r="I500" i="3"/>
  <c r="H500" i="3"/>
  <c r="G500" i="3"/>
  <c r="F500" i="3"/>
  <c r="D500" i="3"/>
  <c r="U499" i="3"/>
  <c r="Y499" i="3" s="1"/>
  <c r="S499" i="3"/>
  <c r="M499" i="3"/>
  <c r="L499" i="3"/>
  <c r="K499" i="3"/>
  <c r="J499" i="3"/>
  <c r="I499" i="3"/>
  <c r="H499" i="3"/>
  <c r="G499" i="3"/>
  <c r="F499" i="3"/>
  <c r="D499" i="3"/>
  <c r="U498" i="3"/>
  <c r="Y498" i="3" s="1"/>
  <c r="S498" i="3"/>
  <c r="M498" i="3"/>
  <c r="L498" i="3"/>
  <c r="K498" i="3"/>
  <c r="J498" i="3"/>
  <c r="I498" i="3"/>
  <c r="H498" i="3"/>
  <c r="G498" i="3"/>
  <c r="F498" i="3"/>
  <c r="D498" i="3"/>
  <c r="U497" i="3"/>
  <c r="Y497" i="3" s="1"/>
  <c r="S497" i="3"/>
  <c r="M497" i="3"/>
  <c r="L497" i="3"/>
  <c r="K497" i="3"/>
  <c r="J497" i="3"/>
  <c r="I497" i="3"/>
  <c r="H497" i="3"/>
  <c r="G497" i="3"/>
  <c r="F497" i="3"/>
  <c r="D497" i="3"/>
  <c r="U496" i="3"/>
  <c r="Y496" i="3" s="1"/>
  <c r="S496" i="3"/>
  <c r="M496" i="3"/>
  <c r="L496" i="3"/>
  <c r="K496" i="3"/>
  <c r="J496" i="3"/>
  <c r="I496" i="3"/>
  <c r="H496" i="3"/>
  <c r="G496" i="3"/>
  <c r="F496" i="3"/>
  <c r="D496" i="3"/>
  <c r="U495" i="3"/>
  <c r="Y495" i="3" s="1"/>
  <c r="S495" i="3"/>
  <c r="M495" i="3"/>
  <c r="L495" i="3"/>
  <c r="K495" i="3"/>
  <c r="J495" i="3"/>
  <c r="I495" i="3"/>
  <c r="H495" i="3"/>
  <c r="G495" i="3"/>
  <c r="F495" i="3"/>
  <c r="D495" i="3"/>
  <c r="U494" i="3"/>
  <c r="Y494" i="3" s="1"/>
  <c r="S494" i="3"/>
  <c r="M494" i="3"/>
  <c r="L494" i="3"/>
  <c r="K494" i="3"/>
  <c r="J494" i="3"/>
  <c r="I494" i="3"/>
  <c r="H494" i="3"/>
  <c r="G494" i="3"/>
  <c r="F494" i="3"/>
  <c r="D494" i="3"/>
  <c r="U493" i="3"/>
  <c r="Y493" i="3" s="1"/>
  <c r="S493" i="3"/>
  <c r="M493" i="3"/>
  <c r="L493" i="3"/>
  <c r="K493" i="3"/>
  <c r="J493" i="3"/>
  <c r="I493" i="3"/>
  <c r="H493" i="3"/>
  <c r="G493" i="3"/>
  <c r="F493" i="3"/>
  <c r="D493" i="3"/>
  <c r="U492" i="3"/>
  <c r="Y492" i="3" s="1"/>
  <c r="S492" i="3"/>
  <c r="M492" i="3"/>
  <c r="L492" i="3"/>
  <c r="K492" i="3"/>
  <c r="J492" i="3"/>
  <c r="I492" i="3"/>
  <c r="H492" i="3"/>
  <c r="G492" i="3"/>
  <c r="F492" i="3"/>
  <c r="D492" i="3"/>
  <c r="U491" i="3"/>
  <c r="Y491" i="3" s="1"/>
  <c r="S491" i="3"/>
  <c r="M491" i="3"/>
  <c r="L491" i="3"/>
  <c r="K491" i="3"/>
  <c r="J491" i="3"/>
  <c r="I491" i="3"/>
  <c r="H491" i="3"/>
  <c r="G491" i="3"/>
  <c r="F491" i="3"/>
  <c r="D491" i="3"/>
  <c r="U490" i="3"/>
  <c r="Y490" i="3" s="1"/>
  <c r="S490" i="3"/>
  <c r="M490" i="3"/>
  <c r="L490" i="3"/>
  <c r="K490" i="3"/>
  <c r="J490" i="3"/>
  <c r="I490" i="3"/>
  <c r="H490" i="3"/>
  <c r="G490" i="3"/>
  <c r="F490" i="3"/>
  <c r="D490" i="3"/>
  <c r="U489" i="3"/>
  <c r="Y489" i="3" s="1"/>
  <c r="S489" i="3"/>
  <c r="M489" i="3"/>
  <c r="L489" i="3"/>
  <c r="K489" i="3"/>
  <c r="J489" i="3"/>
  <c r="I489" i="3"/>
  <c r="H489" i="3"/>
  <c r="G489" i="3"/>
  <c r="F489" i="3"/>
  <c r="D489" i="3"/>
  <c r="U488" i="3"/>
  <c r="Y488" i="3" s="1"/>
  <c r="S488" i="3"/>
  <c r="M488" i="3"/>
  <c r="L488" i="3"/>
  <c r="K488" i="3"/>
  <c r="J488" i="3"/>
  <c r="I488" i="3"/>
  <c r="H488" i="3"/>
  <c r="G488" i="3"/>
  <c r="F488" i="3"/>
  <c r="D488" i="3"/>
  <c r="U487" i="3"/>
  <c r="Y487" i="3" s="1"/>
  <c r="S487" i="3"/>
  <c r="M487" i="3"/>
  <c r="L487" i="3"/>
  <c r="K487" i="3"/>
  <c r="J487" i="3"/>
  <c r="I487" i="3"/>
  <c r="H487" i="3"/>
  <c r="G487" i="3"/>
  <c r="F487" i="3"/>
  <c r="D487" i="3"/>
  <c r="U486" i="3"/>
  <c r="Y486" i="3" s="1"/>
  <c r="S486" i="3"/>
  <c r="M486" i="3"/>
  <c r="L486" i="3"/>
  <c r="K486" i="3"/>
  <c r="J486" i="3"/>
  <c r="I486" i="3"/>
  <c r="H486" i="3"/>
  <c r="G486" i="3"/>
  <c r="F486" i="3"/>
  <c r="D486" i="3"/>
  <c r="U485" i="3"/>
  <c r="Y485" i="3" s="1"/>
  <c r="S485" i="3"/>
  <c r="M485" i="3"/>
  <c r="L485" i="3"/>
  <c r="K485" i="3"/>
  <c r="J485" i="3"/>
  <c r="I485" i="3"/>
  <c r="H485" i="3"/>
  <c r="G485" i="3"/>
  <c r="F485" i="3"/>
  <c r="D485" i="3"/>
  <c r="U484" i="3"/>
  <c r="Y484" i="3" s="1"/>
  <c r="S484" i="3"/>
  <c r="M484" i="3"/>
  <c r="L484" i="3"/>
  <c r="K484" i="3"/>
  <c r="J484" i="3"/>
  <c r="I484" i="3"/>
  <c r="H484" i="3"/>
  <c r="G484" i="3"/>
  <c r="F484" i="3"/>
  <c r="D484" i="3"/>
  <c r="U483" i="3"/>
  <c r="Y483" i="3" s="1"/>
  <c r="S483" i="3"/>
  <c r="M483" i="3"/>
  <c r="L483" i="3"/>
  <c r="K483" i="3"/>
  <c r="J483" i="3"/>
  <c r="I483" i="3"/>
  <c r="H483" i="3"/>
  <c r="G483" i="3"/>
  <c r="F483" i="3"/>
  <c r="D483" i="3"/>
  <c r="U482" i="3"/>
  <c r="Y482" i="3" s="1"/>
  <c r="S482" i="3"/>
  <c r="M482" i="3"/>
  <c r="L482" i="3"/>
  <c r="K482" i="3"/>
  <c r="J482" i="3"/>
  <c r="I482" i="3"/>
  <c r="H482" i="3"/>
  <c r="G482" i="3"/>
  <c r="F482" i="3"/>
  <c r="D482" i="3"/>
  <c r="U481" i="3"/>
  <c r="Y481" i="3" s="1"/>
  <c r="S481" i="3"/>
  <c r="M481" i="3"/>
  <c r="L481" i="3"/>
  <c r="K481" i="3"/>
  <c r="J481" i="3"/>
  <c r="I481" i="3"/>
  <c r="H481" i="3"/>
  <c r="G481" i="3"/>
  <c r="F481" i="3"/>
  <c r="D481" i="3"/>
  <c r="U480" i="3"/>
  <c r="Y480" i="3" s="1"/>
  <c r="S480" i="3"/>
  <c r="M480" i="3"/>
  <c r="L480" i="3"/>
  <c r="K480" i="3"/>
  <c r="J480" i="3"/>
  <c r="I480" i="3"/>
  <c r="H480" i="3"/>
  <c r="G480" i="3"/>
  <c r="F480" i="3"/>
  <c r="D480" i="3"/>
  <c r="U479" i="3"/>
  <c r="Y479" i="3" s="1"/>
  <c r="S479" i="3"/>
  <c r="M479" i="3"/>
  <c r="L479" i="3"/>
  <c r="K479" i="3"/>
  <c r="J479" i="3"/>
  <c r="I479" i="3"/>
  <c r="H479" i="3"/>
  <c r="G479" i="3"/>
  <c r="F479" i="3"/>
  <c r="D479" i="3"/>
  <c r="U478" i="3"/>
  <c r="Y478" i="3" s="1"/>
  <c r="S478" i="3"/>
  <c r="M478" i="3"/>
  <c r="L478" i="3"/>
  <c r="K478" i="3"/>
  <c r="J478" i="3"/>
  <c r="I478" i="3"/>
  <c r="H478" i="3"/>
  <c r="G478" i="3"/>
  <c r="F478" i="3"/>
  <c r="D478" i="3"/>
  <c r="U477" i="3"/>
  <c r="Y477" i="3" s="1"/>
  <c r="S477" i="3"/>
  <c r="M477" i="3"/>
  <c r="L477" i="3"/>
  <c r="K477" i="3"/>
  <c r="J477" i="3"/>
  <c r="I477" i="3"/>
  <c r="H477" i="3"/>
  <c r="G477" i="3"/>
  <c r="F477" i="3"/>
  <c r="D477" i="3"/>
  <c r="U476" i="3"/>
  <c r="Y476" i="3" s="1"/>
  <c r="S476" i="3"/>
  <c r="M476" i="3"/>
  <c r="L476" i="3"/>
  <c r="K476" i="3"/>
  <c r="J476" i="3"/>
  <c r="I476" i="3"/>
  <c r="H476" i="3"/>
  <c r="G476" i="3"/>
  <c r="F476" i="3"/>
  <c r="D476" i="3"/>
  <c r="U475" i="3"/>
  <c r="Y475" i="3" s="1"/>
  <c r="S475" i="3"/>
  <c r="M475" i="3"/>
  <c r="L475" i="3"/>
  <c r="K475" i="3"/>
  <c r="J475" i="3"/>
  <c r="I475" i="3"/>
  <c r="H475" i="3"/>
  <c r="G475" i="3"/>
  <c r="F475" i="3"/>
  <c r="D475" i="3"/>
  <c r="U474" i="3"/>
  <c r="Y474" i="3" s="1"/>
  <c r="S474" i="3"/>
  <c r="M474" i="3"/>
  <c r="L474" i="3"/>
  <c r="K474" i="3"/>
  <c r="J474" i="3"/>
  <c r="I474" i="3"/>
  <c r="H474" i="3"/>
  <c r="G474" i="3"/>
  <c r="F474" i="3"/>
  <c r="D474" i="3"/>
  <c r="U473" i="3"/>
  <c r="Y473" i="3" s="1"/>
  <c r="S473" i="3"/>
  <c r="M473" i="3"/>
  <c r="L473" i="3"/>
  <c r="K473" i="3"/>
  <c r="J473" i="3"/>
  <c r="I473" i="3"/>
  <c r="H473" i="3"/>
  <c r="G473" i="3"/>
  <c r="F473" i="3"/>
  <c r="D473" i="3"/>
  <c r="U472" i="3"/>
  <c r="Y472" i="3" s="1"/>
  <c r="S472" i="3"/>
  <c r="M472" i="3"/>
  <c r="L472" i="3"/>
  <c r="K472" i="3"/>
  <c r="J472" i="3"/>
  <c r="I472" i="3"/>
  <c r="H472" i="3"/>
  <c r="G472" i="3"/>
  <c r="F472" i="3"/>
  <c r="D472" i="3"/>
  <c r="U471" i="3"/>
  <c r="Y471" i="3" s="1"/>
  <c r="S471" i="3"/>
  <c r="M471" i="3"/>
  <c r="L471" i="3"/>
  <c r="K471" i="3"/>
  <c r="J471" i="3"/>
  <c r="I471" i="3"/>
  <c r="H471" i="3"/>
  <c r="G471" i="3"/>
  <c r="F471" i="3"/>
  <c r="D471" i="3"/>
  <c r="U470" i="3"/>
  <c r="Y470" i="3" s="1"/>
  <c r="S470" i="3"/>
  <c r="M470" i="3"/>
  <c r="L470" i="3"/>
  <c r="K470" i="3"/>
  <c r="J470" i="3"/>
  <c r="I470" i="3"/>
  <c r="H470" i="3"/>
  <c r="G470" i="3"/>
  <c r="F470" i="3"/>
  <c r="D470" i="3"/>
  <c r="U469" i="3"/>
  <c r="Y469" i="3" s="1"/>
  <c r="S469" i="3"/>
  <c r="M469" i="3"/>
  <c r="L469" i="3"/>
  <c r="K469" i="3"/>
  <c r="J469" i="3"/>
  <c r="I469" i="3"/>
  <c r="H469" i="3"/>
  <c r="G469" i="3"/>
  <c r="F469" i="3"/>
  <c r="D469" i="3"/>
  <c r="U468" i="3"/>
  <c r="Y468" i="3" s="1"/>
  <c r="S468" i="3"/>
  <c r="M468" i="3"/>
  <c r="L468" i="3"/>
  <c r="K468" i="3"/>
  <c r="J468" i="3"/>
  <c r="I468" i="3"/>
  <c r="H468" i="3"/>
  <c r="G468" i="3"/>
  <c r="F468" i="3"/>
  <c r="D468" i="3"/>
  <c r="U467" i="3"/>
  <c r="Y467" i="3" s="1"/>
  <c r="S467" i="3"/>
  <c r="M467" i="3"/>
  <c r="L467" i="3"/>
  <c r="K467" i="3"/>
  <c r="J467" i="3"/>
  <c r="I467" i="3"/>
  <c r="H467" i="3"/>
  <c r="G467" i="3"/>
  <c r="F467" i="3"/>
  <c r="D467" i="3"/>
  <c r="U466" i="3"/>
  <c r="Y466" i="3" s="1"/>
  <c r="S466" i="3"/>
  <c r="M466" i="3"/>
  <c r="L466" i="3"/>
  <c r="K466" i="3"/>
  <c r="J466" i="3"/>
  <c r="I466" i="3"/>
  <c r="H466" i="3"/>
  <c r="G466" i="3"/>
  <c r="F466" i="3"/>
  <c r="D466" i="3"/>
  <c r="U465" i="3"/>
  <c r="Y465" i="3" s="1"/>
  <c r="S465" i="3"/>
  <c r="M465" i="3"/>
  <c r="L465" i="3"/>
  <c r="K465" i="3"/>
  <c r="J465" i="3"/>
  <c r="I465" i="3"/>
  <c r="H465" i="3"/>
  <c r="G465" i="3"/>
  <c r="F465" i="3"/>
  <c r="D465" i="3"/>
  <c r="U464" i="3"/>
  <c r="Y464" i="3" s="1"/>
  <c r="S464" i="3"/>
  <c r="M464" i="3"/>
  <c r="L464" i="3"/>
  <c r="K464" i="3"/>
  <c r="J464" i="3"/>
  <c r="I464" i="3"/>
  <c r="H464" i="3"/>
  <c r="G464" i="3"/>
  <c r="F464" i="3"/>
  <c r="D464" i="3"/>
  <c r="U463" i="3"/>
  <c r="Y463" i="3" s="1"/>
  <c r="S463" i="3"/>
  <c r="M463" i="3"/>
  <c r="L463" i="3"/>
  <c r="K463" i="3"/>
  <c r="J463" i="3"/>
  <c r="I463" i="3"/>
  <c r="H463" i="3"/>
  <c r="G463" i="3"/>
  <c r="F463" i="3"/>
  <c r="D463" i="3"/>
  <c r="U462" i="3"/>
  <c r="Y462" i="3" s="1"/>
  <c r="S462" i="3"/>
  <c r="M462" i="3"/>
  <c r="L462" i="3"/>
  <c r="K462" i="3"/>
  <c r="J462" i="3"/>
  <c r="I462" i="3"/>
  <c r="H462" i="3"/>
  <c r="G462" i="3"/>
  <c r="F462" i="3"/>
  <c r="D462" i="3"/>
  <c r="U461" i="3"/>
  <c r="Y461" i="3" s="1"/>
  <c r="S461" i="3"/>
  <c r="M461" i="3"/>
  <c r="L461" i="3"/>
  <c r="K461" i="3"/>
  <c r="J461" i="3"/>
  <c r="I461" i="3"/>
  <c r="H461" i="3"/>
  <c r="G461" i="3"/>
  <c r="F461" i="3"/>
  <c r="D461" i="3"/>
  <c r="U460" i="3"/>
  <c r="Y460" i="3" s="1"/>
  <c r="S460" i="3"/>
  <c r="M460" i="3"/>
  <c r="L460" i="3"/>
  <c r="K460" i="3"/>
  <c r="J460" i="3"/>
  <c r="I460" i="3"/>
  <c r="H460" i="3"/>
  <c r="G460" i="3"/>
  <c r="F460" i="3"/>
  <c r="D460" i="3"/>
  <c r="U459" i="3"/>
  <c r="Y459" i="3" s="1"/>
  <c r="S459" i="3"/>
  <c r="M459" i="3"/>
  <c r="L459" i="3"/>
  <c r="K459" i="3"/>
  <c r="J459" i="3"/>
  <c r="I459" i="3"/>
  <c r="H459" i="3"/>
  <c r="G459" i="3"/>
  <c r="F459" i="3"/>
  <c r="D459" i="3"/>
  <c r="U458" i="3"/>
  <c r="Y458" i="3" s="1"/>
  <c r="S458" i="3"/>
  <c r="M458" i="3"/>
  <c r="L458" i="3"/>
  <c r="K458" i="3"/>
  <c r="J458" i="3"/>
  <c r="I458" i="3"/>
  <c r="H458" i="3"/>
  <c r="G458" i="3"/>
  <c r="F458" i="3"/>
  <c r="D458" i="3"/>
  <c r="U457" i="3"/>
  <c r="Y457" i="3" s="1"/>
  <c r="S457" i="3"/>
  <c r="M457" i="3"/>
  <c r="L457" i="3"/>
  <c r="K457" i="3"/>
  <c r="J457" i="3"/>
  <c r="I457" i="3"/>
  <c r="H457" i="3"/>
  <c r="G457" i="3"/>
  <c r="F457" i="3"/>
  <c r="D457" i="3"/>
  <c r="U456" i="3"/>
  <c r="Y456" i="3" s="1"/>
  <c r="S456" i="3"/>
  <c r="M456" i="3"/>
  <c r="L456" i="3"/>
  <c r="K456" i="3"/>
  <c r="J456" i="3"/>
  <c r="I456" i="3"/>
  <c r="H456" i="3"/>
  <c r="G456" i="3"/>
  <c r="F456" i="3"/>
  <c r="D456" i="3"/>
  <c r="U455" i="3"/>
  <c r="Y455" i="3" s="1"/>
  <c r="S455" i="3"/>
  <c r="M455" i="3"/>
  <c r="L455" i="3"/>
  <c r="K455" i="3"/>
  <c r="J455" i="3"/>
  <c r="I455" i="3"/>
  <c r="H455" i="3"/>
  <c r="G455" i="3"/>
  <c r="F455" i="3"/>
  <c r="D455" i="3"/>
  <c r="U454" i="3"/>
  <c r="Y454" i="3" s="1"/>
  <c r="S454" i="3"/>
  <c r="M454" i="3"/>
  <c r="L454" i="3"/>
  <c r="K454" i="3"/>
  <c r="J454" i="3"/>
  <c r="I454" i="3"/>
  <c r="H454" i="3"/>
  <c r="G454" i="3"/>
  <c r="F454" i="3"/>
  <c r="D454" i="3"/>
  <c r="U453" i="3"/>
  <c r="Y453" i="3" s="1"/>
  <c r="S453" i="3"/>
  <c r="M453" i="3"/>
  <c r="L453" i="3"/>
  <c r="K453" i="3"/>
  <c r="J453" i="3"/>
  <c r="I453" i="3"/>
  <c r="H453" i="3"/>
  <c r="G453" i="3"/>
  <c r="F453" i="3"/>
  <c r="D453" i="3"/>
  <c r="U452" i="3"/>
  <c r="Y452" i="3" s="1"/>
  <c r="S452" i="3"/>
  <c r="M452" i="3"/>
  <c r="L452" i="3"/>
  <c r="K452" i="3"/>
  <c r="J452" i="3"/>
  <c r="I452" i="3"/>
  <c r="H452" i="3"/>
  <c r="G452" i="3"/>
  <c r="F452" i="3"/>
  <c r="D452" i="3"/>
  <c r="U451" i="3"/>
  <c r="Y451" i="3" s="1"/>
  <c r="S451" i="3"/>
  <c r="M451" i="3"/>
  <c r="L451" i="3"/>
  <c r="K451" i="3"/>
  <c r="J451" i="3"/>
  <c r="I451" i="3"/>
  <c r="H451" i="3"/>
  <c r="G451" i="3"/>
  <c r="F451" i="3"/>
  <c r="D451" i="3"/>
  <c r="U450" i="3"/>
  <c r="Y450" i="3" s="1"/>
  <c r="S450" i="3"/>
  <c r="M450" i="3"/>
  <c r="L450" i="3"/>
  <c r="K450" i="3"/>
  <c r="J450" i="3"/>
  <c r="I450" i="3"/>
  <c r="H450" i="3"/>
  <c r="G450" i="3"/>
  <c r="F450" i="3"/>
  <c r="D450" i="3"/>
  <c r="U449" i="3"/>
  <c r="Y449" i="3" s="1"/>
  <c r="S449" i="3"/>
  <c r="M449" i="3"/>
  <c r="L449" i="3"/>
  <c r="K449" i="3"/>
  <c r="J449" i="3"/>
  <c r="I449" i="3"/>
  <c r="H449" i="3"/>
  <c r="G449" i="3"/>
  <c r="F449" i="3"/>
  <c r="D449" i="3"/>
  <c r="U448" i="3"/>
  <c r="Y448" i="3" s="1"/>
  <c r="S448" i="3"/>
  <c r="M448" i="3"/>
  <c r="L448" i="3"/>
  <c r="K448" i="3"/>
  <c r="J448" i="3"/>
  <c r="I448" i="3"/>
  <c r="H448" i="3"/>
  <c r="G448" i="3"/>
  <c r="F448" i="3"/>
  <c r="D448" i="3"/>
  <c r="U447" i="3"/>
  <c r="Y447" i="3" s="1"/>
  <c r="S447" i="3"/>
  <c r="M447" i="3"/>
  <c r="L447" i="3"/>
  <c r="K447" i="3"/>
  <c r="J447" i="3"/>
  <c r="I447" i="3"/>
  <c r="H447" i="3"/>
  <c r="G447" i="3"/>
  <c r="F447" i="3"/>
  <c r="D447" i="3"/>
  <c r="U446" i="3"/>
  <c r="Y446" i="3" s="1"/>
  <c r="S446" i="3"/>
  <c r="M446" i="3"/>
  <c r="L446" i="3"/>
  <c r="K446" i="3"/>
  <c r="J446" i="3"/>
  <c r="I446" i="3"/>
  <c r="H446" i="3"/>
  <c r="G446" i="3"/>
  <c r="F446" i="3"/>
  <c r="D446" i="3"/>
  <c r="U445" i="3"/>
  <c r="Y445" i="3" s="1"/>
  <c r="S445" i="3"/>
  <c r="M445" i="3"/>
  <c r="L445" i="3"/>
  <c r="K445" i="3"/>
  <c r="J445" i="3"/>
  <c r="I445" i="3"/>
  <c r="H445" i="3"/>
  <c r="G445" i="3"/>
  <c r="F445" i="3"/>
  <c r="D445" i="3"/>
  <c r="U444" i="3"/>
  <c r="Y444" i="3" s="1"/>
  <c r="S444" i="3"/>
  <c r="M444" i="3"/>
  <c r="L444" i="3"/>
  <c r="K444" i="3"/>
  <c r="J444" i="3"/>
  <c r="I444" i="3"/>
  <c r="H444" i="3"/>
  <c r="G444" i="3"/>
  <c r="F444" i="3"/>
  <c r="D444" i="3"/>
  <c r="U443" i="3"/>
  <c r="Y443" i="3" s="1"/>
  <c r="S443" i="3"/>
  <c r="M443" i="3"/>
  <c r="L443" i="3"/>
  <c r="K443" i="3"/>
  <c r="J443" i="3"/>
  <c r="I443" i="3"/>
  <c r="H443" i="3"/>
  <c r="G443" i="3"/>
  <c r="F443" i="3"/>
  <c r="D443" i="3"/>
  <c r="U442" i="3"/>
  <c r="Y442" i="3" s="1"/>
  <c r="S442" i="3"/>
  <c r="M442" i="3"/>
  <c r="L442" i="3"/>
  <c r="K442" i="3"/>
  <c r="J442" i="3"/>
  <c r="I442" i="3"/>
  <c r="H442" i="3"/>
  <c r="G442" i="3"/>
  <c r="F442" i="3"/>
  <c r="D442" i="3"/>
  <c r="U441" i="3"/>
  <c r="Y441" i="3" s="1"/>
  <c r="S441" i="3"/>
  <c r="M441" i="3"/>
  <c r="L441" i="3"/>
  <c r="K441" i="3"/>
  <c r="J441" i="3"/>
  <c r="I441" i="3"/>
  <c r="H441" i="3"/>
  <c r="G441" i="3"/>
  <c r="F441" i="3"/>
  <c r="D441" i="3"/>
  <c r="U440" i="3"/>
  <c r="Y440" i="3" s="1"/>
  <c r="S440" i="3"/>
  <c r="M440" i="3"/>
  <c r="L440" i="3"/>
  <c r="K440" i="3"/>
  <c r="J440" i="3"/>
  <c r="I440" i="3"/>
  <c r="H440" i="3"/>
  <c r="G440" i="3"/>
  <c r="F440" i="3"/>
  <c r="D440" i="3"/>
  <c r="U439" i="3"/>
  <c r="Y439" i="3" s="1"/>
  <c r="S439" i="3"/>
  <c r="M439" i="3"/>
  <c r="L439" i="3"/>
  <c r="K439" i="3"/>
  <c r="J439" i="3"/>
  <c r="I439" i="3"/>
  <c r="H439" i="3"/>
  <c r="G439" i="3"/>
  <c r="F439" i="3"/>
  <c r="D439" i="3"/>
  <c r="U438" i="3"/>
  <c r="Y438" i="3" s="1"/>
  <c r="S438" i="3"/>
  <c r="M438" i="3"/>
  <c r="L438" i="3"/>
  <c r="K438" i="3"/>
  <c r="J438" i="3"/>
  <c r="I438" i="3"/>
  <c r="H438" i="3"/>
  <c r="G438" i="3"/>
  <c r="F438" i="3"/>
  <c r="D438" i="3"/>
  <c r="U437" i="3"/>
  <c r="Y437" i="3" s="1"/>
  <c r="S437" i="3"/>
  <c r="M437" i="3"/>
  <c r="L437" i="3"/>
  <c r="K437" i="3"/>
  <c r="J437" i="3"/>
  <c r="I437" i="3"/>
  <c r="H437" i="3"/>
  <c r="G437" i="3"/>
  <c r="F437" i="3"/>
  <c r="D437" i="3"/>
  <c r="U436" i="3"/>
  <c r="Y436" i="3" s="1"/>
  <c r="S436" i="3"/>
  <c r="M436" i="3"/>
  <c r="L436" i="3"/>
  <c r="K436" i="3"/>
  <c r="J436" i="3"/>
  <c r="I436" i="3"/>
  <c r="H436" i="3"/>
  <c r="G436" i="3"/>
  <c r="F436" i="3"/>
  <c r="D436" i="3"/>
  <c r="U435" i="3"/>
  <c r="Y435" i="3" s="1"/>
  <c r="S435" i="3"/>
  <c r="M435" i="3"/>
  <c r="L435" i="3"/>
  <c r="K435" i="3"/>
  <c r="J435" i="3"/>
  <c r="I435" i="3"/>
  <c r="H435" i="3"/>
  <c r="G435" i="3"/>
  <c r="F435" i="3"/>
  <c r="D435" i="3"/>
  <c r="U434" i="3"/>
  <c r="Y434" i="3" s="1"/>
  <c r="S434" i="3"/>
  <c r="M434" i="3"/>
  <c r="L434" i="3"/>
  <c r="K434" i="3"/>
  <c r="J434" i="3"/>
  <c r="I434" i="3"/>
  <c r="H434" i="3"/>
  <c r="G434" i="3"/>
  <c r="F434" i="3"/>
  <c r="D434" i="3"/>
  <c r="U433" i="3"/>
  <c r="Y433" i="3" s="1"/>
  <c r="S433" i="3"/>
  <c r="M433" i="3"/>
  <c r="L433" i="3"/>
  <c r="K433" i="3"/>
  <c r="J433" i="3"/>
  <c r="I433" i="3"/>
  <c r="H433" i="3"/>
  <c r="G433" i="3"/>
  <c r="F433" i="3"/>
  <c r="D433" i="3"/>
  <c r="U587" i="3"/>
  <c r="Y587" i="3" s="1"/>
  <c r="S587" i="3"/>
  <c r="M587" i="3"/>
  <c r="L587" i="3"/>
  <c r="K587" i="3"/>
  <c r="J587" i="3"/>
  <c r="I587" i="3"/>
  <c r="H587" i="3"/>
  <c r="G587" i="3"/>
  <c r="F587" i="3"/>
  <c r="D587" i="3"/>
  <c r="U586" i="3"/>
  <c r="Y586" i="3" s="1"/>
  <c r="S586" i="3"/>
  <c r="M586" i="3"/>
  <c r="L586" i="3"/>
  <c r="K586" i="3"/>
  <c r="J586" i="3"/>
  <c r="I586" i="3"/>
  <c r="H586" i="3"/>
  <c r="G586" i="3"/>
  <c r="F586" i="3"/>
  <c r="D586" i="3"/>
  <c r="U585" i="3"/>
  <c r="Y585" i="3" s="1"/>
  <c r="S585" i="3"/>
  <c r="M585" i="3"/>
  <c r="L585" i="3"/>
  <c r="K585" i="3"/>
  <c r="J585" i="3"/>
  <c r="I585" i="3"/>
  <c r="H585" i="3"/>
  <c r="G585" i="3"/>
  <c r="F585" i="3"/>
  <c r="D585" i="3"/>
  <c r="U584" i="3"/>
  <c r="Y584" i="3" s="1"/>
  <c r="S584" i="3"/>
  <c r="M584" i="3"/>
  <c r="L584" i="3"/>
  <c r="K584" i="3"/>
  <c r="J584" i="3"/>
  <c r="I584" i="3"/>
  <c r="H584" i="3"/>
  <c r="G584" i="3"/>
  <c r="F584" i="3"/>
  <c r="D584" i="3"/>
  <c r="U583" i="3"/>
  <c r="Y583" i="3" s="1"/>
  <c r="S583" i="3"/>
  <c r="M583" i="3"/>
  <c r="L583" i="3"/>
  <c r="K583" i="3"/>
  <c r="J583" i="3"/>
  <c r="I583" i="3"/>
  <c r="H583" i="3"/>
  <c r="G583" i="3"/>
  <c r="F583" i="3"/>
  <c r="D583" i="3"/>
  <c r="U165" i="3"/>
  <c r="Y165" i="3" s="1"/>
  <c r="S165" i="3"/>
  <c r="M165" i="3"/>
  <c r="L165" i="3"/>
  <c r="K165" i="3"/>
  <c r="J165" i="3"/>
  <c r="I165" i="3"/>
  <c r="H165" i="3"/>
  <c r="G165" i="3"/>
  <c r="F165" i="3"/>
  <c r="D165" i="3"/>
  <c r="U164" i="3"/>
  <c r="Y164" i="3" s="1"/>
  <c r="S164" i="3"/>
  <c r="M164" i="3"/>
  <c r="L164" i="3"/>
  <c r="K164" i="3"/>
  <c r="J164" i="3"/>
  <c r="I164" i="3"/>
  <c r="H164" i="3"/>
  <c r="G164" i="3"/>
  <c r="F164" i="3"/>
  <c r="D164" i="3"/>
  <c r="U163" i="3"/>
  <c r="Y163" i="3" s="1"/>
  <c r="S163" i="3"/>
  <c r="M163" i="3"/>
  <c r="L163" i="3"/>
  <c r="K163" i="3"/>
  <c r="J163" i="3"/>
  <c r="I163" i="3"/>
  <c r="H163" i="3"/>
  <c r="G163" i="3"/>
  <c r="F163" i="3"/>
  <c r="D163" i="3"/>
  <c r="U162" i="3"/>
  <c r="Y162" i="3" s="1"/>
  <c r="S162" i="3"/>
  <c r="M162" i="3"/>
  <c r="L162" i="3"/>
  <c r="K162" i="3"/>
  <c r="J162" i="3"/>
  <c r="I162" i="3"/>
  <c r="H162" i="3"/>
  <c r="G162" i="3"/>
  <c r="F162" i="3"/>
  <c r="D162" i="3"/>
  <c r="U161" i="3"/>
  <c r="Y161" i="3" s="1"/>
  <c r="S161" i="3"/>
  <c r="M161" i="3"/>
  <c r="L161" i="3"/>
  <c r="K161" i="3"/>
  <c r="J161" i="3"/>
  <c r="I161" i="3"/>
  <c r="H161" i="3"/>
  <c r="G161" i="3"/>
  <c r="F161" i="3"/>
  <c r="D161" i="3"/>
  <c r="U160" i="3"/>
  <c r="Y160" i="3" s="1"/>
  <c r="S160" i="3"/>
  <c r="M160" i="3"/>
  <c r="L160" i="3"/>
  <c r="K160" i="3"/>
  <c r="J160" i="3"/>
  <c r="I160" i="3"/>
  <c r="H160" i="3"/>
  <c r="G160" i="3"/>
  <c r="F160" i="3"/>
  <c r="D160" i="3"/>
  <c r="U159" i="3"/>
  <c r="Y159" i="3" s="1"/>
  <c r="S159" i="3"/>
  <c r="M159" i="3"/>
  <c r="L159" i="3"/>
  <c r="K159" i="3"/>
  <c r="J159" i="3"/>
  <c r="I159" i="3"/>
  <c r="H159" i="3"/>
  <c r="G159" i="3"/>
  <c r="F159" i="3"/>
  <c r="D159" i="3"/>
  <c r="U158" i="3"/>
  <c r="Y158" i="3" s="1"/>
  <c r="S158" i="3"/>
  <c r="M158" i="3"/>
  <c r="L158" i="3"/>
  <c r="K158" i="3"/>
  <c r="J158" i="3"/>
  <c r="I158" i="3"/>
  <c r="H158" i="3"/>
  <c r="G158" i="3"/>
  <c r="F158" i="3"/>
  <c r="D158" i="3"/>
  <c r="U157" i="3"/>
  <c r="Y157" i="3" s="1"/>
  <c r="S157" i="3"/>
  <c r="M157" i="3"/>
  <c r="L157" i="3"/>
  <c r="K157" i="3"/>
  <c r="J157" i="3"/>
  <c r="I157" i="3"/>
  <c r="H157" i="3"/>
  <c r="G157" i="3"/>
  <c r="F157" i="3"/>
  <c r="D157" i="3"/>
  <c r="U156" i="3"/>
  <c r="Y156" i="3" s="1"/>
  <c r="S156" i="3"/>
  <c r="M156" i="3"/>
  <c r="L156" i="3"/>
  <c r="K156" i="3"/>
  <c r="J156" i="3"/>
  <c r="I156" i="3"/>
  <c r="H156" i="3"/>
  <c r="G156" i="3"/>
  <c r="F156" i="3"/>
  <c r="D156" i="3"/>
  <c r="U155" i="3"/>
  <c r="Y155" i="3" s="1"/>
  <c r="S155" i="3"/>
  <c r="M155" i="3"/>
  <c r="L155" i="3"/>
  <c r="K155" i="3"/>
  <c r="J155" i="3"/>
  <c r="I155" i="3"/>
  <c r="H155" i="3"/>
  <c r="G155" i="3"/>
  <c r="F155" i="3"/>
  <c r="D155" i="3"/>
  <c r="U154" i="3"/>
  <c r="Y154" i="3" s="1"/>
  <c r="S154" i="3"/>
  <c r="M154" i="3"/>
  <c r="L154" i="3"/>
  <c r="K154" i="3"/>
  <c r="J154" i="3"/>
  <c r="I154" i="3"/>
  <c r="H154" i="3"/>
  <c r="G154" i="3"/>
  <c r="F154" i="3"/>
  <c r="D154" i="3"/>
  <c r="U153" i="3"/>
  <c r="Y153" i="3" s="1"/>
  <c r="S153" i="3"/>
  <c r="M153" i="3"/>
  <c r="L153" i="3"/>
  <c r="K153" i="3"/>
  <c r="J153" i="3"/>
  <c r="I153" i="3"/>
  <c r="H153" i="3"/>
  <c r="G153" i="3"/>
  <c r="F153" i="3"/>
  <c r="D153" i="3"/>
  <c r="U8" i="3"/>
  <c r="Y8" i="3" s="1"/>
  <c r="S8" i="3"/>
  <c r="M8" i="3"/>
  <c r="L8" i="3"/>
  <c r="K8" i="3"/>
  <c r="J8" i="3"/>
  <c r="I8" i="3"/>
  <c r="H8" i="3"/>
  <c r="G8" i="3"/>
  <c r="F8" i="3"/>
  <c r="D8" i="3"/>
  <c r="U7" i="3"/>
  <c r="Y7" i="3" s="1"/>
  <c r="S7" i="3"/>
  <c r="M7" i="3"/>
  <c r="L7" i="3"/>
  <c r="K7" i="3"/>
  <c r="J7" i="3"/>
  <c r="I7" i="3"/>
  <c r="H7" i="3"/>
  <c r="G7" i="3"/>
  <c r="F7" i="3"/>
  <c r="D7" i="3"/>
  <c r="U6" i="3"/>
  <c r="Y6" i="3" s="1"/>
  <c r="S6" i="3"/>
  <c r="M6" i="3"/>
  <c r="L6" i="3"/>
  <c r="K6" i="3"/>
  <c r="J6" i="3"/>
  <c r="I6" i="3"/>
  <c r="H6" i="3"/>
  <c r="G6" i="3"/>
  <c r="F6" i="3"/>
  <c r="D6" i="3"/>
  <c r="U5" i="3"/>
  <c r="Y5" i="3" s="1"/>
  <c r="S5" i="3"/>
  <c r="M5" i="3"/>
  <c r="L5" i="3"/>
  <c r="K5" i="3"/>
  <c r="I5" i="3"/>
  <c r="H5" i="3"/>
  <c r="G5" i="3"/>
  <c r="F5" i="3"/>
  <c r="D5" i="3"/>
  <c r="U152" i="3"/>
  <c r="Y152" i="3" s="1"/>
  <c r="S152" i="3"/>
  <c r="M152" i="3"/>
  <c r="L152" i="3"/>
  <c r="K152" i="3"/>
  <c r="J152" i="3"/>
  <c r="I152" i="3"/>
  <c r="H152" i="3"/>
  <c r="G152" i="3"/>
  <c r="F152" i="3"/>
  <c r="D152" i="3"/>
  <c r="U151" i="3"/>
  <c r="Y151" i="3" s="1"/>
  <c r="S151" i="3"/>
  <c r="M151" i="3"/>
  <c r="L151" i="3"/>
  <c r="K151" i="3"/>
  <c r="J151" i="3"/>
  <c r="I151" i="3"/>
  <c r="H151" i="3"/>
  <c r="G151" i="3"/>
  <c r="F151" i="3"/>
  <c r="D151" i="3"/>
  <c r="U150" i="3"/>
  <c r="Y150" i="3" s="1"/>
  <c r="S150" i="3"/>
  <c r="M150" i="3"/>
  <c r="L150" i="3"/>
  <c r="K150" i="3"/>
  <c r="J150" i="3"/>
  <c r="I150" i="3"/>
  <c r="H150" i="3"/>
  <c r="G150" i="3"/>
  <c r="F150" i="3"/>
  <c r="D150" i="3"/>
  <c r="U149" i="3"/>
  <c r="Y149" i="3" s="1"/>
  <c r="S149" i="3"/>
  <c r="M149" i="3"/>
  <c r="L149" i="3"/>
  <c r="K149" i="3"/>
  <c r="J149" i="3"/>
  <c r="I149" i="3"/>
  <c r="H149" i="3"/>
  <c r="G149" i="3"/>
  <c r="F149" i="3"/>
  <c r="D149" i="3"/>
  <c r="U148" i="3"/>
  <c r="Y148" i="3" s="1"/>
  <c r="S148" i="3"/>
  <c r="M148" i="3"/>
  <c r="L148" i="3"/>
  <c r="K148" i="3"/>
  <c r="J148" i="3"/>
  <c r="I148" i="3"/>
  <c r="H148" i="3"/>
  <c r="G148" i="3"/>
  <c r="F148" i="3"/>
  <c r="D148" i="3"/>
  <c r="U147" i="3"/>
  <c r="Y147" i="3" s="1"/>
  <c r="S147" i="3"/>
  <c r="M147" i="3"/>
  <c r="L147" i="3"/>
  <c r="K147" i="3"/>
  <c r="J147" i="3"/>
  <c r="I147" i="3"/>
  <c r="H147" i="3"/>
  <c r="G147" i="3"/>
  <c r="F147" i="3"/>
  <c r="D147" i="3"/>
  <c r="U146" i="3"/>
  <c r="Y146" i="3" s="1"/>
  <c r="S146" i="3"/>
  <c r="M146" i="3"/>
  <c r="L146" i="3"/>
  <c r="K146" i="3"/>
  <c r="J146" i="3"/>
  <c r="I146" i="3"/>
  <c r="H146" i="3"/>
  <c r="G146" i="3"/>
  <c r="F146" i="3"/>
  <c r="D146" i="3"/>
  <c r="U145" i="3"/>
  <c r="Y145" i="3" s="1"/>
  <c r="S145" i="3"/>
  <c r="M145" i="3"/>
  <c r="L145" i="3"/>
  <c r="K145" i="3"/>
  <c r="J145" i="3"/>
  <c r="I145" i="3"/>
  <c r="H145" i="3"/>
  <c r="G145" i="3"/>
  <c r="F145" i="3"/>
  <c r="D145" i="3"/>
  <c r="U144" i="3"/>
  <c r="Y144" i="3" s="1"/>
  <c r="S144" i="3"/>
  <c r="M144" i="3"/>
  <c r="L144" i="3"/>
  <c r="K144" i="3"/>
  <c r="J144" i="3"/>
  <c r="I144" i="3"/>
  <c r="H144" i="3"/>
  <c r="G144" i="3"/>
  <c r="F144" i="3"/>
  <c r="D144" i="3"/>
  <c r="U143" i="3"/>
  <c r="Y143" i="3" s="1"/>
  <c r="S143" i="3"/>
  <c r="M143" i="3"/>
  <c r="L143" i="3"/>
  <c r="K143" i="3"/>
  <c r="J143" i="3"/>
  <c r="I143" i="3"/>
  <c r="H143" i="3"/>
  <c r="G143" i="3"/>
  <c r="F143" i="3"/>
  <c r="D143" i="3"/>
  <c r="U142" i="3"/>
  <c r="Y142" i="3" s="1"/>
  <c r="S142" i="3"/>
  <c r="M142" i="3"/>
  <c r="L142" i="3"/>
  <c r="K142" i="3"/>
  <c r="J142" i="3"/>
  <c r="I142" i="3"/>
  <c r="H142" i="3"/>
  <c r="G142" i="3"/>
  <c r="F142" i="3"/>
  <c r="D142" i="3"/>
  <c r="U141" i="3"/>
  <c r="Y141" i="3" s="1"/>
  <c r="S141" i="3"/>
  <c r="M141" i="3"/>
  <c r="L141" i="3"/>
  <c r="K141" i="3"/>
  <c r="J141" i="3"/>
  <c r="I141" i="3"/>
  <c r="H141" i="3"/>
  <c r="G141" i="3"/>
  <c r="F141" i="3"/>
  <c r="D141" i="3"/>
  <c r="U140" i="3"/>
  <c r="Y140" i="3" s="1"/>
  <c r="S140" i="3"/>
  <c r="M140" i="3"/>
  <c r="L140" i="3"/>
  <c r="K140" i="3"/>
  <c r="J140" i="3"/>
  <c r="I140" i="3"/>
  <c r="H140" i="3"/>
  <c r="G140" i="3"/>
  <c r="F140" i="3"/>
  <c r="D140" i="3"/>
  <c r="U139" i="3"/>
  <c r="Y139" i="3" s="1"/>
  <c r="S139" i="3"/>
  <c r="M139" i="3"/>
  <c r="L139" i="3"/>
  <c r="K139" i="3"/>
  <c r="J139" i="3"/>
  <c r="I139" i="3"/>
  <c r="H139" i="3"/>
  <c r="G139" i="3"/>
  <c r="F139" i="3"/>
  <c r="D139" i="3"/>
  <c r="U138" i="3"/>
  <c r="Y138" i="3" s="1"/>
  <c r="S138" i="3"/>
  <c r="M138" i="3"/>
  <c r="L138" i="3"/>
  <c r="K138" i="3"/>
  <c r="J138" i="3"/>
  <c r="I138" i="3"/>
  <c r="H138" i="3"/>
  <c r="G138" i="3"/>
  <c r="F138" i="3"/>
  <c r="D138" i="3"/>
  <c r="U137" i="3"/>
  <c r="Y137" i="3" s="1"/>
  <c r="S137" i="3"/>
  <c r="M137" i="3"/>
  <c r="L137" i="3"/>
  <c r="K137" i="3"/>
  <c r="J137" i="3"/>
  <c r="I137" i="3"/>
  <c r="H137" i="3"/>
  <c r="G137" i="3"/>
  <c r="F137" i="3"/>
  <c r="D137" i="3"/>
  <c r="U136" i="3"/>
  <c r="Y136" i="3" s="1"/>
  <c r="S136" i="3"/>
  <c r="M136" i="3"/>
  <c r="L136" i="3"/>
  <c r="K136" i="3"/>
  <c r="J136" i="3"/>
  <c r="I136" i="3"/>
  <c r="H136" i="3"/>
  <c r="G136" i="3"/>
  <c r="F136" i="3"/>
  <c r="D136" i="3"/>
  <c r="U135" i="3"/>
  <c r="Y135" i="3" s="1"/>
  <c r="S135" i="3"/>
  <c r="M135" i="3"/>
  <c r="L135" i="3"/>
  <c r="K135" i="3"/>
  <c r="J135" i="3"/>
  <c r="I135" i="3"/>
  <c r="H135" i="3"/>
  <c r="G135" i="3"/>
  <c r="F135" i="3"/>
  <c r="D135" i="3"/>
  <c r="U134" i="3"/>
  <c r="Y134" i="3" s="1"/>
  <c r="S134" i="3"/>
  <c r="M134" i="3"/>
  <c r="L134" i="3"/>
  <c r="K134" i="3"/>
  <c r="J134" i="3"/>
  <c r="I134" i="3"/>
  <c r="H134" i="3"/>
  <c r="G134" i="3"/>
  <c r="F134" i="3"/>
  <c r="D134" i="3"/>
  <c r="U133" i="3"/>
  <c r="Y133" i="3" s="1"/>
  <c r="S133" i="3"/>
  <c r="M133" i="3"/>
  <c r="L133" i="3"/>
  <c r="K133" i="3"/>
  <c r="J133" i="3"/>
  <c r="I133" i="3"/>
  <c r="H133" i="3"/>
  <c r="G133" i="3"/>
  <c r="F133" i="3"/>
  <c r="D133" i="3"/>
  <c r="U132" i="3"/>
  <c r="Y132" i="3" s="1"/>
  <c r="S132" i="3"/>
  <c r="M132" i="3"/>
  <c r="L132" i="3"/>
  <c r="K132" i="3"/>
  <c r="J132" i="3"/>
  <c r="I132" i="3"/>
  <c r="H132" i="3"/>
  <c r="G132" i="3"/>
  <c r="F132" i="3"/>
  <c r="D132" i="3"/>
  <c r="U131" i="3"/>
  <c r="Y131" i="3" s="1"/>
  <c r="S131" i="3"/>
  <c r="M131" i="3"/>
  <c r="L131" i="3"/>
  <c r="K131" i="3"/>
  <c r="J131" i="3"/>
  <c r="I131" i="3"/>
  <c r="H131" i="3"/>
  <c r="G131" i="3"/>
  <c r="F131" i="3"/>
  <c r="D131" i="3"/>
  <c r="U130" i="3"/>
  <c r="Y130" i="3" s="1"/>
  <c r="S130" i="3"/>
  <c r="M130" i="3"/>
  <c r="L130" i="3"/>
  <c r="K130" i="3"/>
  <c r="J130" i="3"/>
  <c r="I130" i="3"/>
  <c r="H130" i="3"/>
  <c r="G130" i="3"/>
  <c r="F130" i="3"/>
  <c r="D130" i="3"/>
  <c r="U129" i="3"/>
  <c r="Y129" i="3" s="1"/>
  <c r="S129" i="3"/>
  <c r="M129" i="3"/>
  <c r="L129" i="3"/>
  <c r="K129" i="3"/>
  <c r="J129" i="3"/>
  <c r="I129" i="3"/>
  <c r="H129" i="3"/>
  <c r="G129" i="3"/>
  <c r="F129" i="3"/>
  <c r="D129" i="3"/>
  <c r="U128" i="3"/>
  <c r="Y128" i="3" s="1"/>
  <c r="S128" i="3"/>
  <c r="M128" i="3"/>
  <c r="L128" i="3"/>
  <c r="K128" i="3"/>
  <c r="J128" i="3"/>
  <c r="I128" i="3"/>
  <c r="H128" i="3"/>
  <c r="G128" i="3"/>
  <c r="F128" i="3"/>
  <c r="D128" i="3"/>
  <c r="U127" i="3"/>
  <c r="Y127" i="3" s="1"/>
  <c r="S127" i="3"/>
  <c r="M127" i="3"/>
  <c r="L127" i="3"/>
  <c r="K127" i="3"/>
  <c r="J127" i="3"/>
  <c r="I127" i="3"/>
  <c r="H127" i="3"/>
  <c r="G127" i="3"/>
  <c r="F127" i="3"/>
  <c r="D127" i="3"/>
  <c r="U126" i="3"/>
  <c r="Y126" i="3" s="1"/>
  <c r="S126" i="3"/>
  <c r="M126" i="3"/>
  <c r="L126" i="3"/>
  <c r="K126" i="3"/>
  <c r="J126" i="3"/>
  <c r="I126" i="3"/>
  <c r="H126" i="3"/>
  <c r="G126" i="3"/>
  <c r="F126" i="3"/>
  <c r="D126" i="3"/>
  <c r="U125" i="3"/>
  <c r="Y125" i="3" s="1"/>
  <c r="S125" i="3"/>
  <c r="M125" i="3"/>
  <c r="L125" i="3"/>
  <c r="K125" i="3"/>
  <c r="J125" i="3"/>
  <c r="I125" i="3"/>
  <c r="H125" i="3"/>
  <c r="G125" i="3"/>
  <c r="F125" i="3"/>
  <c r="D125" i="3"/>
  <c r="U124" i="3"/>
  <c r="Y124" i="3" s="1"/>
  <c r="S124" i="3"/>
  <c r="M124" i="3"/>
  <c r="L124" i="3"/>
  <c r="K124" i="3"/>
  <c r="J124" i="3"/>
  <c r="I124" i="3"/>
  <c r="H124" i="3"/>
  <c r="G124" i="3"/>
  <c r="F124" i="3"/>
  <c r="D124" i="3"/>
  <c r="U123" i="3"/>
  <c r="Y123" i="3" s="1"/>
  <c r="S123" i="3"/>
  <c r="M123" i="3"/>
  <c r="L123" i="3"/>
  <c r="K123" i="3"/>
  <c r="J123" i="3"/>
  <c r="I123" i="3"/>
  <c r="H123" i="3"/>
  <c r="G123" i="3"/>
  <c r="F123" i="3"/>
  <c r="D123" i="3"/>
  <c r="U122" i="3"/>
  <c r="Y122" i="3" s="1"/>
  <c r="S122" i="3"/>
  <c r="M122" i="3"/>
  <c r="L122" i="3"/>
  <c r="K122" i="3"/>
  <c r="J122" i="3"/>
  <c r="I122" i="3"/>
  <c r="H122" i="3"/>
  <c r="G122" i="3"/>
  <c r="F122" i="3"/>
  <c r="D122" i="3"/>
  <c r="U121" i="3"/>
  <c r="Y121" i="3" s="1"/>
  <c r="S121" i="3"/>
  <c r="M121" i="3"/>
  <c r="L121" i="3"/>
  <c r="K121" i="3"/>
  <c r="J121" i="3"/>
  <c r="I121" i="3"/>
  <c r="H121" i="3"/>
  <c r="G121" i="3"/>
  <c r="F121" i="3"/>
  <c r="D121" i="3"/>
  <c r="U120" i="3"/>
  <c r="Y120" i="3" s="1"/>
  <c r="S120" i="3"/>
  <c r="M120" i="3"/>
  <c r="L120" i="3"/>
  <c r="K120" i="3"/>
  <c r="J120" i="3"/>
  <c r="I120" i="3"/>
  <c r="H120" i="3"/>
  <c r="G120" i="3"/>
  <c r="F120" i="3"/>
  <c r="D120" i="3"/>
  <c r="U119" i="3"/>
  <c r="Y119" i="3" s="1"/>
  <c r="S119" i="3"/>
  <c r="M119" i="3"/>
  <c r="L119" i="3"/>
  <c r="K119" i="3"/>
  <c r="J119" i="3"/>
  <c r="I119" i="3"/>
  <c r="H119" i="3"/>
  <c r="G119" i="3"/>
  <c r="F119" i="3"/>
  <c r="D119" i="3"/>
  <c r="U118" i="3"/>
  <c r="Y118" i="3" s="1"/>
  <c r="S118" i="3"/>
  <c r="M118" i="3"/>
  <c r="L118" i="3"/>
  <c r="K118" i="3"/>
  <c r="J118" i="3"/>
  <c r="I118" i="3"/>
  <c r="H118" i="3"/>
  <c r="G118" i="3"/>
  <c r="F118" i="3"/>
  <c r="D118" i="3"/>
  <c r="U117" i="3"/>
  <c r="Y117" i="3" s="1"/>
  <c r="S117" i="3"/>
  <c r="M117" i="3"/>
  <c r="L117" i="3"/>
  <c r="K117" i="3"/>
  <c r="J117" i="3"/>
  <c r="I117" i="3"/>
  <c r="H117" i="3"/>
  <c r="G117" i="3"/>
  <c r="F117" i="3"/>
  <c r="D117" i="3"/>
  <c r="U116" i="3"/>
  <c r="Y116" i="3" s="1"/>
  <c r="S116" i="3"/>
  <c r="M116" i="3"/>
  <c r="L116" i="3"/>
  <c r="K116" i="3"/>
  <c r="J116" i="3"/>
  <c r="I116" i="3"/>
  <c r="H116" i="3"/>
  <c r="G116" i="3"/>
  <c r="F116" i="3"/>
  <c r="D116" i="3"/>
  <c r="U115" i="3"/>
  <c r="Y115" i="3" s="1"/>
  <c r="S115" i="3"/>
  <c r="M115" i="3"/>
  <c r="L115" i="3"/>
  <c r="K115" i="3"/>
  <c r="J115" i="3"/>
  <c r="I115" i="3"/>
  <c r="H115" i="3"/>
  <c r="G115" i="3"/>
  <c r="F115" i="3"/>
  <c r="D115" i="3"/>
  <c r="U114" i="3"/>
  <c r="Y114" i="3" s="1"/>
  <c r="S114" i="3"/>
  <c r="M114" i="3"/>
  <c r="L114" i="3"/>
  <c r="K114" i="3"/>
  <c r="J114" i="3"/>
  <c r="I114" i="3"/>
  <c r="H114" i="3"/>
  <c r="G114" i="3"/>
  <c r="F114" i="3"/>
  <c r="D114" i="3"/>
  <c r="U113" i="3"/>
  <c r="Y113" i="3" s="1"/>
  <c r="S113" i="3"/>
  <c r="M113" i="3"/>
  <c r="L113" i="3"/>
  <c r="K113" i="3"/>
  <c r="J113" i="3"/>
  <c r="I113" i="3"/>
  <c r="H113" i="3"/>
  <c r="G113" i="3"/>
  <c r="F113" i="3"/>
  <c r="D113" i="3"/>
  <c r="U112" i="3"/>
  <c r="Y112" i="3" s="1"/>
  <c r="S112" i="3"/>
  <c r="M112" i="3"/>
  <c r="L112" i="3"/>
  <c r="K112" i="3"/>
  <c r="J112" i="3"/>
  <c r="I112" i="3"/>
  <c r="H112" i="3"/>
  <c r="G112" i="3"/>
  <c r="F112" i="3"/>
  <c r="D112" i="3"/>
  <c r="U111" i="3"/>
  <c r="Y111" i="3" s="1"/>
  <c r="S111" i="3"/>
  <c r="M111" i="3"/>
  <c r="L111" i="3"/>
  <c r="K111" i="3"/>
  <c r="J111" i="3"/>
  <c r="I111" i="3"/>
  <c r="H111" i="3"/>
  <c r="G111" i="3"/>
  <c r="F111" i="3"/>
  <c r="D111" i="3"/>
  <c r="U110" i="3"/>
  <c r="Y110" i="3" s="1"/>
  <c r="S110" i="3"/>
  <c r="M110" i="3"/>
  <c r="L110" i="3"/>
  <c r="K110" i="3"/>
  <c r="J110" i="3"/>
  <c r="I110" i="3"/>
  <c r="H110" i="3"/>
  <c r="G110" i="3"/>
  <c r="F110" i="3"/>
  <c r="D110" i="3"/>
  <c r="U109" i="3"/>
  <c r="Y109" i="3" s="1"/>
  <c r="S109" i="3"/>
  <c r="M109" i="3"/>
  <c r="L109" i="3"/>
  <c r="K109" i="3"/>
  <c r="J109" i="3"/>
  <c r="I109" i="3"/>
  <c r="H109" i="3"/>
  <c r="G109" i="3"/>
  <c r="F109" i="3"/>
  <c r="D109" i="3"/>
  <c r="U108" i="3"/>
  <c r="Y108" i="3" s="1"/>
  <c r="S108" i="3"/>
  <c r="M108" i="3"/>
  <c r="L108" i="3"/>
  <c r="K108" i="3"/>
  <c r="J108" i="3"/>
  <c r="I108" i="3"/>
  <c r="H108" i="3"/>
  <c r="G108" i="3"/>
  <c r="F108" i="3"/>
  <c r="D108" i="3"/>
  <c r="U107" i="3"/>
  <c r="Y107" i="3" s="1"/>
  <c r="S107" i="3"/>
  <c r="M107" i="3"/>
  <c r="L107" i="3"/>
  <c r="K107" i="3"/>
  <c r="J107" i="3"/>
  <c r="I107" i="3"/>
  <c r="H107" i="3"/>
  <c r="G107" i="3"/>
  <c r="F107" i="3"/>
  <c r="D107" i="3"/>
  <c r="U106" i="3"/>
  <c r="Y106" i="3" s="1"/>
  <c r="S106" i="3"/>
  <c r="M106" i="3"/>
  <c r="L106" i="3"/>
  <c r="K106" i="3"/>
  <c r="J106" i="3"/>
  <c r="I106" i="3"/>
  <c r="H106" i="3"/>
  <c r="G106" i="3"/>
  <c r="F106" i="3"/>
  <c r="D106" i="3"/>
  <c r="U105" i="3"/>
  <c r="Y105" i="3" s="1"/>
  <c r="S105" i="3"/>
  <c r="M105" i="3"/>
  <c r="L105" i="3"/>
  <c r="K105" i="3"/>
  <c r="J105" i="3"/>
  <c r="I105" i="3"/>
  <c r="H105" i="3"/>
  <c r="G105" i="3"/>
  <c r="F105" i="3"/>
  <c r="D105" i="3"/>
  <c r="U104" i="3"/>
  <c r="Y104" i="3" s="1"/>
  <c r="S104" i="3"/>
  <c r="M104" i="3"/>
  <c r="L104" i="3"/>
  <c r="K104" i="3"/>
  <c r="J104" i="3"/>
  <c r="I104" i="3"/>
  <c r="H104" i="3"/>
  <c r="G104" i="3"/>
  <c r="F104" i="3"/>
  <c r="D104" i="3"/>
  <c r="U103" i="3"/>
  <c r="Y103" i="3" s="1"/>
  <c r="S103" i="3"/>
  <c r="M103" i="3"/>
  <c r="L103" i="3"/>
  <c r="K103" i="3"/>
  <c r="J103" i="3"/>
  <c r="I103" i="3"/>
  <c r="H103" i="3"/>
  <c r="G103" i="3"/>
  <c r="F103" i="3"/>
  <c r="D103" i="3"/>
  <c r="U102" i="3"/>
  <c r="Y102" i="3" s="1"/>
  <c r="S102" i="3"/>
  <c r="M102" i="3"/>
  <c r="L102" i="3"/>
  <c r="K102" i="3"/>
  <c r="J102" i="3"/>
  <c r="I102" i="3"/>
  <c r="H102" i="3"/>
  <c r="G102" i="3"/>
  <c r="F102" i="3"/>
  <c r="D102" i="3"/>
  <c r="U101" i="3"/>
  <c r="Y101" i="3" s="1"/>
  <c r="S101" i="3"/>
  <c r="M101" i="3"/>
  <c r="L101" i="3"/>
  <c r="K101" i="3"/>
  <c r="J101" i="3"/>
  <c r="I101" i="3"/>
  <c r="H101" i="3"/>
  <c r="G101" i="3"/>
  <c r="F101" i="3"/>
  <c r="D101" i="3"/>
  <c r="U100" i="3"/>
  <c r="Y100" i="3" s="1"/>
  <c r="S100" i="3"/>
  <c r="M100" i="3"/>
  <c r="L100" i="3"/>
  <c r="K100" i="3"/>
  <c r="J100" i="3"/>
  <c r="I100" i="3"/>
  <c r="H100" i="3"/>
  <c r="G100" i="3"/>
  <c r="F100" i="3"/>
  <c r="D100" i="3"/>
  <c r="U99" i="3"/>
  <c r="Y99" i="3" s="1"/>
  <c r="S99" i="3"/>
  <c r="M99" i="3"/>
  <c r="L99" i="3"/>
  <c r="K99" i="3"/>
  <c r="J99" i="3"/>
  <c r="I99" i="3"/>
  <c r="H99" i="3"/>
  <c r="G99" i="3"/>
  <c r="F99" i="3"/>
  <c r="D99" i="3"/>
  <c r="U98" i="3"/>
  <c r="Y98" i="3" s="1"/>
  <c r="S98" i="3"/>
  <c r="M98" i="3"/>
  <c r="L98" i="3"/>
  <c r="K98" i="3"/>
  <c r="J98" i="3"/>
  <c r="I98" i="3"/>
  <c r="H98" i="3"/>
  <c r="G98" i="3"/>
  <c r="F98" i="3"/>
  <c r="D98" i="3"/>
  <c r="U97" i="3"/>
  <c r="Y97" i="3" s="1"/>
  <c r="S97" i="3"/>
  <c r="M97" i="3"/>
  <c r="L97" i="3"/>
  <c r="K97" i="3"/>
  <c r="J97" i="3"/>
  <c r="I97" i="3"/>
  <c r="H97" i="3"/>
  <c r="G97" i="3"/>
  <c r="F97" i="3"/>
  <c r="D97" i="3"/>
  <c r="U96" i="3"/>
  <c r="Y96" i="3" s="1"/>
  <c r="S96" i="3"/>
  <c r="M96" i="3"/>
  <c r="L96" i="3"/>
  <c r="K96" i="3"/>
  <c r="J96" i="3"/>
  <c r="I96" i="3"/>
  <c r="H96" i="3"/>
  <c r="G96" i="3"/>
  <c r="F96" i="3"/>
  <c r="D96" i="3"/>
  <c r="U95" i="3"/>
  <c r="Y95" i="3" s="1"/>
  <c r="S95" i="3"/>
  <c r="M95" i="3"/>
  <c r="L95" i="3"/>
  <c r="K95" i="3"/>
  <c r="J95" i="3"/>
  <c r="I95" i="3"/>
  <c r="H95" i="3"/>
  <c r="G95" i="3"/>
  <c r="F95" i="3"/>
  <c r="D95" i="3"/>
  <c r="U94" i="3"/>
  <c r="Y94" i="3" s="1"/>
  <c r="S94" i="3"/>
  <c r="M94" i="3"/>
  <c r="L94" i="3"/>
  <c r="K94" i="3"/>
  <c r="J94" i="3"/>
  <c r="I94" i="3"/>
  <c r="H94" i="3"/>
  <c r="G94" i="3"/>
  <c r="F94" i="3"/>
  <c r="D94" i="3"/>
  <c r="U93" i="3"/>
  <c r="Y93" i="3" s="1"/>
  <c r="S93" i="3"/>
  <c r="M93" i="3"/>
  <c r="L93" i="3"/>
  <c r="K93" i="3"/>
  <c r="J93" i="3"/>
  <c r="I93" i="3"/>
  <c r="H93" i="3"/>
  <c r="G93" i="3"/>
  <c r="F93" i="3"/>
  <c r="D93" i="3"/>
  <c r="U92" i="3"/>
  <c r="Y92" i="3" s="1"/>
  <c r="S92" i="3"/>
  <c r="M92" i="3"/>
  <c r="L92" i="3"/>
  <c r="K92" i="3"/>
  <c r="J92" i="3"/>
  <c r="I92" i="3"/>
  <c r="H92" i="3"/>
  <c r="G92" i="3"/>
  <c r="F92" i="3"/>
  <c r="D92" i="3"/>
  <c r="U91" i="3"/>
  <c r="Y91" i="3" s="1"/>
  <c r="S91" i="3"/>
  <c r="M91" i="3"/>
  <c r="L91" i="3"/>
  <c r="K91" i="3"/>
  <c r="J91" i="3"/>
  <c r="I91" i="3"/>
  <c r="H91" i="3"/>
  <c r="G91" i="3"/>
  <c r="F91" i="3"/>
  <c r="D91" i="3"/>
  <c r="U90" i="3"/>
  <c r="Y90" i="3" s="1"/>
  <c r="S90" i="3"/>
  <c r="M90" i="3"/>
  <c r="L90" i="3"/>
  <c r="K90" i="3"/>
  <c r="J90" i="3"/>
  <c r="I90" i="3"/>
  <c r="H90" i="3"/>
  <c r="G90" i="3"/>
  <c r="F90" i="3"/>
  <c r="D90" i="3"/>
  <c r="U89" i="3"/>
  <c r="Y89" i="3" s="1"/>
  <c r="S89" i="3"/>
  <c r="M89" i="3"/>
  <c r="L89" i="3"/>
  <c r="K89" i="3"/>
  <c r="J89" i="3"/>
  <c r="I89" i="3"/>
  <c r="H89" i="3"/>
  <c r="G89" i="3"/>
  <c r="F89" i="3"/>
  <c r="D89" i="3"/>
  <c r="U88" i="3"/>
  <c r="Y88" i="3" s="1"/>
  <c r="S88" i="3"/>
  <c r="M88" i="3"/>
  <c r="L88" i="3"/>
  <c r="K88" i="3"/>
  <c r="J88" i="3"/>
  <c r="I88" i="3"/>
  <c r="H88" i="3"/>
  <c r="G88" i="3"/>
  <c r="F88" i="3"/>
  <c r="D88" i="3"/>
  <c r="U87" i="3"/>
  <c r="Y87" i="3" s="1"/>
  <c r="S87" i="3"/>
  <c r="M87" i="3"/>
  <c r="L87" i="3"/>
  <c r="K87" i="3"/>
  <c r="J87" i="3"/>
  <c r="I87" i="3"/>
  <c r="H87" i="3"/>
  <c r="G87" i="3"/>
  <c r="F87" i="3"/>
  <c r="D87" i="3"/>
  <c r="U86" i="3"/>
  <c r="Y86" i="3" s="1"/>
  <c r="S86" i="3"/>
  <c r="M86" i="3"/>
  <c r="L86" i="3"/>
  <c r="K86" i="3"/>
  <c r="J86" i="3"/>
  <c r="I86" i="3"/>
  <c r="H86" i="3"/>
  <c r="G86" i="3"/>
  <c r="F86" i="3"/>
  <c r="D86" i="3"/>
  <c r="U85" i="3"/>
  <c r="Y85" i="3" s="1"/>
  <c r="S85" i="3"/>
  <c r="M85" i="3"/>
  <c r="L85" i="3"/>
  <c r="K85" i="3"/>
  <c r="J85" i="3"/>
  <c r="I85" i="3"/>
  <c r="H85" i="3"/>
  <c r="G85" i="3"/>
  <c r="F85" i="3"/>
  <c r="D85" i="3"/>
  <c r="U84" i="3"/>
  <c r="Y84" i="3" s="1"/>
  <c r="S84" i="3"/>
  <c r="M84" i="3"/>
  <c r="L84" i="3"/>
  <c r="K84" i="3"/>
  <c r="J84" i="3"/>
  <c r="I84" i="3"/>
  <c r="H84" i="3"/>
  <c r="G84" i="3"/>
  <c r="F84" i="3"/>
  <c r="D84" i="3"/>
  <c r="U83" i="3"/>
  <c r="Y83" i="3" s="1"/>
  <c r="S83" i="3"/>
  <c r="M83" i="3"/>
  <c r="L83" i="3"/>
  <c r="K83" i="3"/>
  <c r="J83" i="3"/>
  <c r="I83" i="3"/>
  <c r="H83" i="3"/>
  <c r="G83" i="3"/>
  <c r="F83" i="3"/>
  <c r="D83" i="3"/>
  <c r="U82" i="3"/>
  <c r="Y82" i="3" s="1"/>
  <c r="S82" i="3"/>
  <c r="M82" i="3"/>
  <c r="L82" i="3"/>
  <c r="K82" i="3"/>
  <c r="J82" i="3"/>
  <c r="I82" i="3"/>
  <c r="H82" i="3"/>
  <c r="G82" i="3"/>
  <c r="F82" i="3"/>
  <c r="D82" i="3"/>
  <c r="U31" i="3"/>
  <c r="Y31" i="3" s="1"/>
  <c r="S31" i="3"/>
  <c r="M31" i="3"/>
  <c r="L31" i="3"/>
  <c r="K31" i="3"/>
  <c r="J31" i="3"/>
  <c r="I31" i="3"/>
  <c r="H31" i="3"/>
  <c r="G31" i="3"/>
  <c r="F31" i="3"/>
  <c r="D31" i="3"/>
  <c r="U308" i="3"/>
  <c r="Y308" i="3" s="1"/>
  <c r="S308" i="3"/>
  <c r="M308" i="3"/>
  <c r="L308" i="3"/>
  <c r="K308" i="3"/>
  <c r="J308" i="3"/>
  <c r="I308" i="3"/>
  <c r="H308" i="3"/>
  <c r="G308" i="3"/>
  <c r="F308" i="3"/>
  <c r="D308" i="3"/>
  <c r="U307" i="3"/>
  <c r="Y307" i="3" s="1"/>
  <c r="S307" i="3"/>
  <c r="M307" i="3"/>
  <c r="L307" i="3"/>
  <c r="K307" i="3"/>
  <c r="J307" i="3"/>
  <c r="I307" i="3"/>
  <c r="H307" i="3"/>
  <c r="G307" i="3"/>
  <c r="F307" i="3"/>
  <c r="D307" i="3"/>
  <c r="U306" i="3"/>
  <c r="Y306" i="3" s="1"/>
  <c r="S306" i="3"/>
  <c r="M306" i="3"/>
  <c r="L306" i="3"/>
  <c r="K306" i="3"/>
  <c r="J306" i="3"/>
  <c r="I306" i="3"/>
  <c r="H306" i="3"/>
  <c r="G306" i="3"/>
  <c r="F306" i="3"/>
  <c r="D306" i="3"/>
  <c r="U305" i="3"/>
  <c r="Y305" i="3" s="1"/>
  <c r="S305" i="3"/>
  <c r="M305" i="3"/>
  <c r="L305" i="3"/>
  <c r="K305" i="3"/>
  <c r="J305" i="3"/>
  <c r="I305" i="3"/>
  <c r="H305" i="3"/>
  <c r="G305" i="3"/>
  <c r="F305" i="3"/>
  <c r="D305" i="3"/>
  <c r="U304" i="3"/>
  <c r="Y304" i="3" s="1"/>
  <c r="S304" i="3"/>
  <c r="M304" i="3"/>
  <c r="L304" i="3"/>
  <c r="K304" i="3"/>
  <c r="J304" i="3"/>
  <c r="I304" i="3"/>
  <c r="H304" i="3"/>
  <c r="G304" i="3"/>
  <c r="F304" i="3"/>
  <c r="D304" i="3"/>
  <c r="U303" i="3"/>
  <c r="Y303" i="3" s="1"/>
  <c r="S303" i="3"/>
  <c r="M303" i="3"/>
  <c r="L303" i="3"/>
  <c r="K303" i="3"/>
  <c r="J303" i="3"/>
  <c r="I303" i="3"/>
  <c r="H303" i="3"/>
  <c r="G303" i="3"/>
  <c r="F303" i="3"/>
  <c r="D303" i="3"/>
  <c r="U302" i="3"/>
  <c r="Y302" i="3" s="1"/>
  <c r="S302" i="3"/>
  <c r="M302" i="3"/>
  <c r="L302" i="3"/>
  <c r="K302" i="3"/>
  <c r="J302" i="3"/>
  <c r="I302" i="3"/>
  <c r="H302" i="3"/>
  <c r="G302" i="3"/>
  <c r="F302" i="3"/>
  <c r="D302" i="3"/>
  <c r="U301" i="3"/>
  <c r="Y301" i="3" s="1"/>
  <c r="S301" i="3"/>
  <c r="M301" i="3"/>
  <c r="L301" i="3"/>
  <c r="K301" i="3"/>
  <c r="J301" i="3"/>
  <c r="I301" i="3"/>
  <c r="H301" i="3"/>
  <c r="G301" i="3"/>
  <c r="F301" i="3"/>
  <c r="D301" i="3"/>
  <c r="U300" i="3"/>
  <c r="Y300" i="3" s="1"/>
  <c r="S300" i="3"/>
  <c r="M300" i="3"/>
  <c r="L300" i="3"/>
  <c r="K300" i="3"/>
  <c r="J300" i="3"/>
  <c r="I300" i="3"/>
  <c r="H300" i="3"/>
  <c r="G300" i="3"/>
  <c r="F300" i="3"/>
  <c r="D300" i="3"/>
  <c r="U299" i="3"/>
  <c r="Y299" i="3" s="1"/>
  <c r="S299" i="3"/>
  <c r="M299" i="3"/>
  <c r="L299" i="3"/>
  <c r="K299" i="3"/>
  <c r="J299" i="3"/>
  <c r="I299" i="3"/>
  <c r="H299" i="3"/>
  <c r="G299" i="3"/>
  <c r="F299" i="3"/>
  <c r="D299" i="3"/>
  <c r="N943" i="3"/>
  <c r="L818" i="1"/>
  <c r="L10" i="1"/>
  <c r="L824" i="1"/>
  <c r="L235" i="1"/>
  <c r="L604" i="1"/>
  <c r="L891" i="1"/>
  <c r="L453" i="1"/>
  <c r="L848" i="1"/>
  <c r="N1021" i="3"/>
  <c r="L531" i="1"/>
  <c r="L264" i="1"/>
  <c r="AB537" i="1" a="1"/>
  <c r="AB849" i="1" a="1"/>
  <c r="AB265" i="1" a="1"/>
  <c r="AB44" i="1" a="1"/>
  <c r="AB128" i="1" a="1"/>
  <c r="AB88" i="1" a="1"/>
  <c r="AB512" i="1" a="1"/>
  <c r="AB679" i="1" a="1"/>
  <c r="AB79" i="1" a="1"/>
  <c r="AB745" i="1" a="1"/>
  <c r="AB318" i="1" a="1"/>
  <c r="AB743" i="1" a="1"/>
  <c r="AB844" i="1" a="1"/>
  <c r="AB65" i="1" a="1"/>
  <c r="AB769" i="1" a="1"/>
  <c r="AB462" i="1" a="1"/>
  <c r="AB411" i="1" a="1"/>
  <c r="AB124" i="1" a="1"/>
  <c r="AB456" i="1" a="1"/>
  <c r="AB703" i="1" a="1"/>
  <c r="AB641" i="1" a="1"/>
  <c r="AB382" i="1" a="1"/>
  <c r="AB486" i="1" a="1"/>
  <c r="AB583" i="1" a="1"/>
  <c r="AB871" i="1" a="1"/>
  <c r="AB613" i="1" a="1"/>
  <c r="AB343" i="1" a="1"/>
  <c r="AB103" i="1" a="1"/>
  <c r="AB459" i="1" a="1"/>
  <c r="AB580" i="1" a="1"/>
  <c r="AB814" i="1" a="1"/>
  <c r="AB646" i="1" a="1"/>
  <c r="AB387" i="1" a="1"/>
  <c r="AB219" i="1" a="1"/>
  <c r="AB681" i="1" a="1"/>
  <c r="AB417" i="1" a="1"/>
  <c r="AB680" i="1" a="1"/>
  <c r="AB97" i="1" a="1"/>
  <c r="AB832" i="1" a="1"/>
  <c r="AB399" i="1" a="1"/>
  <c r="AB403" i="1" a="1"/>
  <c r="AB185" i="1" a="1"/>
  <c r="AB60" i="1" a="1"/>
  <c r="AB667" i="1" a="1"/>
  <c r="AB522" i="1" a="1"/>
  <c r="AB837" i="1" a="1"/>
  <c r="AB734" i="1" a="1"/>
  <c r="AB457" i="1" a="1"/>
  <c r="AB362" i="1" a="1"/>
  <c r="AB388" i="1" a="1"/>
  <c r="AB783" i="1" a="1"/>
  <c r="AB484" i="1" a="1"/>
  <c r="AB100" i="1" a="1"/>
  <c r="AB538" i="1" a="1"/>
  <c r="AB355" i="1" a="1"/>
  <c r="AB778" i="1" a="1"/>
  <c r="AB101" i="1" a="1"/>
  <c r="AB487" i="1" a="1"/>
  <c r="AB463" i="1" a="1"/>
  <c r="AB317" i="1" a="1"/>
  <c r="AB570" i="1" a="1"/>
  <c r="AB9" i="1" a="1"/>
  <c r="AB118" i="1" a="1"/>
  <c r="AB90" i="1" a="1"/>
  <c r="AB78" i="1" a="1"/>
  <c r="AB309" i="1" a="1"/>
  <c r="AB6" i="1" a="1"/>
  <c r="AB773" i="1" a="1"/>
  <c r="AB544" i="1" a="1"/>
  <c r="AB147" i="1" a="1"/>
  <c r="AB525" i="1" a="1"/>
  <c r="AB45" i="1" a="1"/>
  <c r="AB696" i="1" a="1"/>
  <c r="AB75" i="1" a="1"/>
  <c r="AB141" i="1" a="1"/>
  <c r="AB122" i="1" a="1"/>
  <c r="AB454" i="1" a="1"/>
  <c r="AB742" i="1" a="1"/>
  <c r="AB144" i="1" a="1"/>
  <c r="AB550" i="1" a="1"/>
  <c r="AB444" i="1" a="1"/>
  <c r="AB545" i="1" a="1"/>
  <c r="AB833" i="1" a="1"/>
  <c r="AB336" i="1" a="1"/>
  <c r="AB653" i="1" a="1"/>
  <c r="AB882" i="1" a="1"/>
  <c r="AB176" i="1" a="1"/>
  <c r="AB232" i="1" a="1"/>
  <c r="AB28" i="1" a="1"/>
  <c r="AB256" i="1" a="1"/>
  <c r="AB257" i="1" a="1"/>
  <c r="AB358" i="1" a="1"/>
  <c r="AB546" i="1" a="1"/>
  <c r="AB142" i="1" a="1"/>
  <c r="AB381" i="1" a="1"/>
  <c r="AB135" i="1" a="1"/>
  <c r="AB566" i="1" a="1"/>
  <c r="AB383" i="1" a="1"/>
  <c r="AB560" i="1" a="1"/>
  <c r="AB724" i="1" a="1"/>
  <c r="AB94" i="1" a="1"/>
  <c r="AB407" i="1" a="1"/>
  <c r="AB869" i="1" a="1"/>
  <c r="AB600" i="1" a="1"/>
  <c r="AB102" i="1" a="1"/>
  <c r="AB638" i="1" a="1"/>
  <c r="AB579" i="1" a="1"/>
  <c r="AB894" i="1" a="1"/>
  <c r="AB810" i="1" a="1"/>
  <c r="AB838" i="1" a="1"/>
  <c r="AB634" i="1" a="1"/>
  <c r="AB59" i="1" a="1"/>
  <c r="AB881" i="1" a="1"/>
  <c r="AB275" i="1" a="1"/>
  <c r="AB169" i="1" a="1"/>
  <c r="AB116" i="1" a="1"/>
  <c r="AB162" i="1" a="1"/>
  <c r="AB870" i="1" a="1"/>
  <c r="AB293" i="1" a="1"/>
  <c r="AB139" i="1" a="1"/>
  <c r="AB301" i="1" a="1"/>
  <c r="AB717" i="1" a="1"/>
  <c r="AB400" i="1" a="1"/>
  <c r="AB53" i="1" a="1"/>
  <c r="AB731" i="1" a="1"/>
  <c r="AB819" i="1" a="1"/>
  <c r="AB214" i="1" a="1"/>
  <c r="AB448" i="1" a="1"/>
  <c r="AB710" i="1" a="1"/>
  <c r="AB823" i="1" a="1"/>
  <c r="AB535" i="1" a="1"/>
  <c r="AB337" i="1" a="1"/>
  <c r="AB642" i="1" a="1"/>
  <c r="AB215" i="1" a="1"/>
  <c r="AB847" i="1" a="1"/>
  <c r="AB726" i="1" a="1"/>
  <c r="AB409" i="1" a="1"/>
  <c r="AB659" i="1" a="1"/>
  <c r="AB452" i="1" a="1"/>
  <c r="AB338" i="1" a="1"/>
  <c r="AB455" i="1" a="1"/>
  <c r="AB226" i="1" a="1"/>
  <c r="AB475" i="1" a="1"/>
  <c r="AB50" i="1" a="1"/>
  <c r="AB167" i="1" a="1"/>
  <c r="AB92" i="1" a="1"/>
  <c r="AB433" i="1" a="1"/>
  <c r="AB306" i="1" a="1"/>
  <c r="AB352" i="1" a="1"/>
  <c r="AB98" i="1" a="1"/>
  <c r="AB695" i="1" a="1"/>
  <c r="AB479" i="1" a="1"/>
  <c r="AB406" i="1" a="1"/>
  <c r="AB510" i="1" a="1"/>
  <c r="AB709" i="1" a="1"/>
  <c r="AB137" i="1" a="1"/>
  <c r="AB744" i="1" a="1"/>
  <c r="AB310" i="1" a="1"/>
  <c r="AB261" i="1" a="1"/>
  <c r="AB678" i="1" a="1"/>
  <c r="AB673" i="1" a="1"/>
  <c r="AB672" i="1" a="1"/>
  <c r="AB305" i="1" a="1"/>
  <c r="AB675" i="1" a="1"/>
  <c r="AB47" i="1" a="1"/>
  <c r="AB610" i="1" a="1"/>
  <c r="AB888" i="1" a="1"/>
  <c r="AB880" i="1" a="1"/>
  <c r="AB43" i="1" a="1"/>
  <c r="AB217" i="1" a="1"/>
  <c r="R34" i="16" a="1"/>
  <c r="AB458" i="1" a="1"/>
  <c r="AB408" i="1" a="1"/>
  <c r="AB415" i="1" a="1"/>
  <c r="AB131" i="1" a="1"/>
  <c r="AB63" i="1" a="1"/>
  <c r="AB518" i="1" a="1"/>
  <c r="AB619" i="1" a="1"/>
  <c r="AB350" i="1" a="1"/>
  <c r="AB788" i="1" a="1"/>
  <c r="AB815" i="1" a="1"/>
  <c r="AB899" i="1" a="1"/>
  <c r="AB713" i="1" a="1"/>
  <c r="AB238" i="1" a="1"/>
  <c r="AB8" i="1" a="1"/>
  <c r="AB735" i="1" a="1"/>
  <c r="AB520" i="1" a="1"/>
  <c r="AB5" i="1" a="1"/>
  <c r="AB164" i="1" a="1"/>
  <c r="AB655" i="1" a="1"/>
  <c r="AB798" i="1" a="1"/>
  <c r="AB313" i="1" a="1"/>
  <c r="AB740" i="1" a="1"/>
  <c r="AB57" i="1" a="1"/>
  <c r="AB669" i="1" a="1"/>
  <c r="AB105" i="1" a="1"/>
  <c r="AB787" i="1" a="1"/>
  <c r="AB542" i="1" a="1"/>
  <c r="AB356" i="1" a="1"/>
  <c r="AB193" i="1" a="1"/>
  <c r="AB676" i="1" a="1"/>
  <c r="AB499" i="1" a="1"/>
  <c r="AB461" i="1" a="1"/>
  <c r="AB733" i="1" a="1"/>
  <c r="AB555" i="1" a="1"/>
  <c r="AB324" i="1" a="1"/>
  <c r="AB54" i="1" a="1"/>
  <c r="AB469" i="1" a="1"/>
  <c r="AB107" i="1" a="1"/>
  <c r="AB885" i="1" a="1"/>
  <c r="AB129" i="1" a="1"/>
  <c r="AB354" i="1" a="1"/>
  <c r="AB684" i="1" a="1"/>
  <c r="AB567" i="1" a="1"/>
  <c r="AB834" i="1" a="1"/>
  <c r="AB235" i="1" a="1"/>
  <c r="AB249" i="1" a="1"/>
  <c r="AB556" i="1" a="1"/>
  <c r="AB149" i="1" a="1"/>
  <c r="AB49" i="1" a="1"/>
  <c r="AB201" i="1" a="1"/>
  <c r="AB732" i="1" a="1"/>
  <c r="AB342" i="1" a="1"/>
  <c r="AB146" i="1" a="1"/>
  <c r="AB311" i="1" a="1"/>
  <c r="AB552" i="1" a="1"/>
  <c r="AB174" i="1" a="1"/>
  <c r="AB99" i="1" a="1"/>
  <c r="AB494" i="1" a="1"/>
  <c r="AB736" i="1" a="1"/>
  <c r="AB628" i="1" a="1"/>
  <c r="AB677" i="1" a="1"/>
  <c r="AB568" i="1" a="1"/>
  <c r="AB501" i="1" a="1"/>
  <c r="AB104" i="1" a="1"/>
  <c r="AB656" i="1" a="1"/>
  <c r="AB477" i="1" a="1"/>
  <c r="AB16" i="1" a="1"/>
  <c r="AB841" i="1" a="1"/>
  <c r="AB531" i="1" a="1"/>
  <c r="AB389" i="1" a="1"/>
  <c r="AB67" i="1" a="1"/>
  <c r="AB762" i="1" a="1"/>
  <c r="AB647" i="1" a="1"/>
  <c r="AB631" i="1" a="1"/>
  <c r="AB706" i="1" a="1"/>
  <c r="AB276" i="1" a="1"/>
  <c r="AB418" i="1" a="1"/>
  <c r="AB227" i="1" a="1"/>
  <c r="AB64" i="1" a="1"/>
  <c r="AB402" i="1" a="1"/>
  <c r="AB626" i="1" a="1"/>
  <c r="AB738" i="1" a="1"/>
  <c r="AB225" i="1" a="1"/>
  <c r="AB690" i="1" a="1"/>
  <c r="AB704" i="1" a="1"/>
  <c r="AB657" i="1" a="1"/>
  <c r="AB785" i="1" a="1"/>
  <c r="AB533" i="1" a="1"/>
  <c r="AB52" i="1" a="1"/>
  <c r="AB715" i="1" a="1"/>
  <c r="AB395" i="1" a="1"/>
  <c r="AB771" i="1" a="1"/>
  <c r="AB165" i="1" a="1"/>
  <c r="AB708" i="1" a="1"/>
  <c r="AB143" i="1" a="1"/>
  <c r="AB509" i="1" a="1"/>
  <c r="AB168" i="1" a="1"/>
  <c r="AB491" i="1" a="1"/>
  <c r="AB172" i="1" a="1"/>
  <c r="AB694" i="1" a="1"/>
  <c r="AB351" i="1" a="1"/>
  <c r="AB682" i="1" a="1"/>
  <c r="AB763" i="1" a="1"/>
  <c r="AB61" i="1" a="1"/>
  <c r="AB464" i="1" a="1"/>
  <c r="AB622" i="1" a="1"/>
  <c r="AB437" i="1" a="1"/>
  <c r="AB296" i="1" a="1"/>
  <c r="AB177" i="1" a="1"/>
  <c r="AB536" i="1" a="1"/>
  <c r="AB280" i="1" a="1"/>
  <c r="AB361" i="1" a="1"/>
  <c r="AB645" i="1" a="1"/>
  <c r="AB683" i="1" a="1"/>
  <c r="AB18" i="1" a="1"/>
  <c r="AB500" i="1" a="1"/>
  <c r="AB278" i="1" a="1"/>
  <c r="AB85" i="1" a="1"/>
  <c r="AB553" i="1" a="1"/>
  <c r="AB277" i="1" a="1"/>
  <c r="AB829" i="1" a="1"/>
  <c r="AB712" i="1" a="1"/>
  <c r="AB784" i="1" a="1"/>
  <c r="AB868" i="1" a="1"/>
  <c r="AB748" i="1" a="1"/>
  <c r="AB714" i="1" a="1"/>
  <c r="AB218" i="1" a="1"/>
  <c r="AB571" i="1" a="1"/>
  <c r="AB328" i="1" a="1"/>
  <c r="AB786" i="1" a="1"/>
  <c r="AB615" i="1" a="1"/>
  <c r="AB578" i="1" a="1"/>
  <c r="AB51" i="1" a="1"/>
  <c r="AB333" i="1" a="1"/>
  <c r="AB846" i="1" a="1"/>
  <c r="AB816" i="1" a="1"/>
  <c r="AB188" i="1" a="1"/>
  <c r="AB132" i="1" a="1"/>
  <c r="AB14" i="1" a="1"/>
  <c r="AB574" i="1" a="1"/>
  <c r="AB719" i="1" a="1"/>
  <c r="AB879" i="1" a="1"/>
  <c r="AB551" i="1" a="1"/>
  <c r="AB729" i="1" a="1"/>
  <c r="AB80" i="1" a="1"/>
  <c r="AB898" i="1" a="1"/>
  <c r="AB428" i="1" a="1"/>
  <c r="AB596" i="1" a="1"/>
  <c r="AB140" i="1" a="1"/>
  <c r="AB213" i="1" a="1"/>
  <c r="AB772" i="1" a="1"/>
  <c r="AB385" i="1" a="1"/>
  <c r="AB478" i="1" a="1"/>
  <c r="AB727" i="1" a="1"/>
  <c r="AB344" i="1" a="1"/>
  <c r="AB526" i="1" a="1"/>
  <c r="AB886" i="1" a="1"/>
  <c r="AB380" i="1" a="1"/>
  <c r="AB539" i="1" a="1"/>
  <c r="AB357" i="1" a="1"/>
  <c r="AB422" i="1" a="1"/>
  <c r="AB46" i="1" a="1"/>
  <c r="AB166" i="1" a="1"/>
  <c r="AB702" i="1" a="1"/>
  <c r="AB208" i="1" a="1"/>
  <c r="AB438" i="1" a="1"/>
  <c r="AB56" i="1" a="1"/>
  <c r="AB173" i="1" a="1"/>
  <c r="AB68" i="1" a="1"/>
  <c r="AB792" i="1" a="1"/>
  <c r="AB222" i="1" a="1"/>
  <c r="AB429" i="1" a="1"/>
  <c r="AB312" i="1" a="1"/>
  <c r="AB465" i="1" a="1"/>
  <c r="AB701" i="1" a="1"/>
  <c r="AB447" i="1" a="1"/>
  <c r="AB581" i="1" a="1"/>
  <c r="AB692" i="1" a="1"/>
  <c r="AB495" i="1" a="1"/>
  <c r="AB273" i="1" a="1"/>
  <c r="AB716" i="1" a="1"/>
  <c r="AB840" i="1" a="1"/>
  <c r="AB793" i="1" a="1"/>
  <c r="AB688" i="1" a="1"/>
  <c r="AB82" i="1" a="1"/>
  <c r="AB511" i="1" a="1"/>
  <c r="AB294" i="1" a="1"/>
  <c r="AB138" i="1" a="1"/>
  <c r="AB260" i="1" a="1"/>
  <c r="AB532" i="1" a="1"/>
  <c r="AB394" i="1" a="1"/>
  <c r="AB410" i="1" a="1"/>
  <c r="AB163" i="1" a="1"/>
  <c r="AB513" i="1" a="1"/>
  <c r="AB540" i="1" a="1"/>
  <c r="AB339" i="1" a="1"/>
  <c r="AB541" i="1" a="1"/>
  <c r="AB255" i="1" a="1"/>
  <c r="AB55" i="1" a="1"/>
  <c r="AB76" i="1" a="1"/>
  <c r="AB87" i="1" a="1"/>
  <c r="AB711" i="1" a="1"/>
  <c r="AB803" i="1" a="1"/>
  <c r="AB121" i="1" a="1"/>
  <c r="AB148" i="1" a="1"/>
  <c r="AB633" i="1" a="1"/>
  <c r="AB200" i="1" a="1"/>
  <c r="AB123" i="1" a="1"/>
  <c r="AB170" i="1" a="1"/>
  <c r="AB66" i="1" a="1"/>
  <c r="AB876" i="1" a="1"/>
  <c r="AB125" i="1" a="1"/>
  <c r="AB117" i="1" a="1"/>
  <c r="AB58" i="1" a="1"/>
  <c r="AB106" i="1" a="1"/>
  <c r="AB718" i="1" a="1"/>
  <c r="AB865" i="1" a="1"/>
  <c r="AB828" i="1" a="1"/>
  <c r="AB269" i="1" a="1"/>
  <c r="AB77" i="1" a="1"/>
  <c r="AB11" i="1" a="1"/>
  <c r="AB809" i="1" a="1"/>
  <c r="AB504" i="1" a="1"/>
  <c r="AB889" i="1" a="1"/>
  <c r="AB282" i="1" a="1"/>
  <c r="AB873" i="1" a="1"/>
  <c r="AB866" i="1" a="1"/>
  <c r="AB770" i="1" a="1"/>
  <c r="AB279" i="1" a="1"/>
  <c r="AB897" i="1" a="1"/>
  <c r="AB643" i="1" a="1"/>
  <c r="AB493" i="1" a="1"/>
  <c r="AB424" i="1" a="1"/>
  <c r="AB359" i="1" a="1"/>
  <c r="AB460" i="1" a="1"/>
  <c r="AB730" i="1" a="1"/>
  <c r="AB86" i="1" a="1"/>
  <c r="AB109" i="1" a="1"/>
  <c r="AB534" i="1" a="1"/>
  <c r="AB842" i="1" a="1"/>
  <c r="AB723" i="1" a="1"/>
  <c r="AB184" i="1" a="1"/>
  <c r="AB632" i="1" a="1"/>
  <c r="AB237" i="1" a="1"/>
  <c r="AB893" i="1" a="1"/>
  <c r="AB498" i="1" a="1"/>
  <c r="AB334" i="1" a="1"/>
  <c r="AB405" i="1" a="1"/>
  <c r="AB644" i="1" a="1"/>
  <c r="AB41" i="1" a="1"/>
  <c r="AB697" i="1" a="1"/>
  <c r="AB817" i="1" a="1"/>
  <c r="AB386" i="1" a="1"/>
  <c r="AB674" i="1" a="1"/>
  <c r="AB569" i="1" a="1"/>
  <c r="AB272" i="1" a="1"/>
  <c r="AB332" i="1" a="1"/>
  <c r="AB689" i="1" a="1"/>
  <c r="AB506" i="1" a="1"/>
  <c r="AB243" i="1" a="1"/>
  <c r="AB671" i="1" a="1"/>
  <c r="AB205" i="1" a="1"/>
  <c r="AB274" i="1" a="1"/>
  <c r="AB286" i="1" a="1"/>
  <c r="AB503" i="1" a="1"/>
  <c r="AB384" i="1" a="1"/>
  <c r="AB807" i="1" a="1"/>
  <c r="AB223" i="1" a="1"/>
  <c r="AB262" i="1" a="1"/>
  <c r="AB145" i="1" a="1"/>
  <c r="AB665" i="1" a="1"/>
  <c r="AB360" i="1" a="1"/>
  <c r="AB582" i="1" a="1"/>
  <c r="AB590" i="1" a="1"/>
  <c r="AB791" i="1" a="1"/>
  <c r="AB782" i="1" a="1"/>
  <c r="AB601" i="1" a="1"/>
  <c r="AB81" i="1" a="1"/>
  <c r="AB666" i="1" a="1"/>
  <c r="AB236" i="1" a="1"/>
  <c r="AB875" i="1" a="1"/>
  <c r="AB648" i="1" a="1"/>
  <c r="AB307" i="1" a="1"/>
  <c r="AB40" i="1" a="1"/>
  <c r="AB17" i="1" a="1"/>
  <c r="AB550" i="1" l="1"/>
  <c r="AB351" i="1"/>
  <c r="AB791" i="1"/>
  <c r="AB732" i="1"/>
  <c r="AB531" i="1"/>
  <c r="AB336" i="1"/>
  <c r="AB342" i="1"/>
  <c r="AB338" i="1"/>
  <c r="AB81" i="1"/>
  <c r="AB360" i="1"/>
  <c r="AB219" i="1"/>
  <c r="AB583" i="1"/>
  <c r="AB458" i="1"/>
  <c r="AB894" i="1"/>
  <c r="AB634" i="1"/>
  <c r="AB403" i="1"/>
  <c r="AB681" i="1"/>
  <c r="AB176" i="1"/>
  <c r="AB667" i="1"/>
  <c r="AB479" i="1"/>
  <c r="AB655" i="1"/>
  <c r="AB803" i="1"/>
  <c r="AB149" i="1"/>
  <c r="AB590" i="1"/>
  <c r="AB162" i="1"/>
  <c r="AB104" i="1"/>
  <c r="AB65" i="1"/>
  <c r="AB358" i="1"/>
  <c r="AB40" i="1"/>
  <c r="AB511" i="1"/>
  <c r="AB666" i="1"/>
  <c r="AB223" i="1"/>
  <c r="AB47" i="1"/>
  <c r="AB745" i="1"/>
  <c r="AB870" i="1"/>
  <c r="AB382" i="1"/>
  <c r="AB671" i="1"/>
  <c r="AB354" i="1"/>
  <c r="AB438" i="1"/>
  <c r="AB703" i="1"/>
  <c r="AB682" i="1"/>
  <c r="AB538" i="1"/>
  <c r="AB269" i="1"/>
  <c r="AB124" i="1"/>
  <c r="AB173" i="1"/>
  <c r="AB407" i="1"/>
  <c r="AB301" i="1"/>
  <c r="AB433" i="1"/>
  <c r="AB646" i="1"/>
  <c r="AB828" i="1"/>
  <c r="AB79" i="1"/>
  <c r="AB339" i="1"/>
  <c r="AB525" i="1"/>
  <c r="AB498" i="1"/>
  <c r="AB748" i="1"/>
  <c r="AB56" i="1"/>
  <c r="AB495" i="1"/>
  <c r="AB846" i="1"/>
  <c r="AB383" i="1"/>
  <c r="AB174" i="1"/>
  <c r="AB333" i="1"/>
  <c r="AB462" i="1"/>
  <c r="AB255" i="1"/>
  <c r="AB868" i="1"/>
  <c r="AB276" i="1"/>
  <c r="AB613" i="1"/>
  <c r="AB819" i="1"/>
  <c r="AB713" i="1"/>
  <c r="AB448" i="1"/>
  <c r="AB672" i="1"/>
  <c r="AB272" i="1"/>
  <c r="AB459" i="1"/>
  <c r="AB679" i="1"/>
  <c r="AB355" i="1"/>
  <c r="AB257" i="1"/>
  <c r="AB53" i="1"/>
  <c r="AB138" i="1"/>
  <c r="AB782" i="1"/>
  <c r="AB829" i="1"/>
  <c r="AB201" i="1"/>
  <c r="AB893" i="1"/>
  <c r="AB381" i="1"/>
  <c r="AB641" i="1"/>
  <c r="AB168" i="1"/>
  <c r="AB871" i="1"/>
  <c r="AB499" i="1"/>
  <c r="AB817" i="1"/>
  <c r="AB503" i="1"/>
  <c r="AB733" i="1"/>
  <c r="AB147" i="1"/>
  <c r="AB166" i="1"/>
  <c r="AB484" i="1"/>
  <c r="AB280" i="1"/>
  <c r="AB873" i="1"/>
  <c r="AB680" i="1"/>
  <c r="AB387" i="1"/>
  <c r="AB676" i="1"/>
  <c r="AB235" i="1"/>
  <c r="AB730" i="1"/>
  <c r="AB544" i="1"/>
  <c r="AB477" i="1"/>
  <c r="AB723" i="1"/>
  <c r="AB809" i="1"/>
  <c r="AB628" i="1"/>
  <c r="AB632" i="1"/>
  <c r="AB296" i="1"/>
  <c r="AB457" i="1"/>
  <c r="AB731" i="1"/>
  <c r="AB311" i="1"/>
  <c r="AB888" i="1"/>
  <c r="AB68" i="1"/>
  <c r="AB683" i="1"/>
  <c r="AB841" i="1"/>
  <c r="AB560" i="1"/>
  <c r="AB14" i="1"/>
  <c r="AB724" i="1"/>
  <c r="AB710" i="1"/>
  <c r="AB86" i="1"/>
  <c r="AB103" i="1"/>
  <c r="AB714" i="1"/>
  <c r="AB537" i="1"/>
  <c r="AB107" i="1"/>
  <c r="AB359" i="1"/>
  <c r="AB464" i="1"/>
  <c r="AB876" i="1"/>
  <c r="AB51" i="1"/>
  <c r="AB566" i="1"/>
  <c r="AB98" i="1"/>
  <c r="AB293" i="1"/>
  <c r="AB90" i="1"/>
  <c r="AB578" i="1"/>
  <c r="AB356" i="1"/>
  <c r="AB455" i="1"/>
  <c r="AB513" i="1"/>
  <c r="AB238" i="1"/>
  <c r="AB478" i="1"/>
  <c r="AB343" i="1"/>
  <c r="AB719" i="1"/>
  <c r="AB881" i="1"/>
  <c r="AB501" i="1"/>
  <c r="AB388" i="1"/>
  <c r="AB170" i="1"/>
  <c r="AB16" i="1"/>
  <c r="AB256" i="1"/>
  <c r="AB540" i="1"/>
  <c r="AB539" i="1"/>
  <c r="AB11" i="1"/>
  <c r="AB798" i="1"/>
  <c r="AB411" i="1"/>
  <c r="AB601" i="1"/>
  <c r="AB362" i="1"/>
  <c r="AB237" i="1"/>
  <c r="AB307" i="1"/>
  <c r="AB579" i="1"/>
  <c r="AB542" i="1"/>
  <c r="AB770" i="1"/>
  <c r="AB567" i="1"/>
  <c r="AB494" i="1"/>
  <c r="AB334" i="1"/>
  <c r="AB193" i="1"/>
  <c r="AB99" i="1"/>
  <c r="AB214" i="1"/>
  <c r="AB551" i="1"/>
  <c r="AB866" i="1"/>
  <c r="AB260" i="1"/>
  <c r="AB447" i="1"/>
  <c r="AB317" i="1"/>
  <c r="AB82" i="1"/>
  <c r="AB631" i="1"/>
  <c r="AB75" i="1"/>
  <c r="AB889" i="1"/>
  <c r="AB535" i="1"/>
  <c r="AB536" i="1"/>
  <c r="AB638" i="1"/>
  <c r="AB215" i="1"/>
  <c r="AB117" i="1"/>
  <c r="AB879" i="1"/>
  <c r="AB226" i="1"/>
  <c r="AB418" i="1"/>
  <c r="AB816" i="1"/>
  <c r="AB546" i="1"/>
  <c r="AB405" i="1"/>
  <c r="AB708" i="1"/>
  <c r="AB273" i="1"/>
  <c r="AB59" i="1"/>
  <c r="AB580" i="1"/>
  <c r="AB135" i="1"/>
  <c r="AB57" i="1"/>
  <c r="AB227" i="1"/>
  <c r="AB875" i="1"/>
  <c r="AB541" i="1"/>
  <c r="AB97" i="1"/>
  <c r="AB100" i="1"/>
  <c r="AB622" i="1"/>
  <c r="AB105" i="1"/>
  <c r="AB899" i="1"/>
  <c r="AB626" i="1"/>
  <c r="AB552" i="1"/>
  <c r="AB568" i="1"/>
  <c r="AB132" i="1"/>
  <c r="AB600" i="1"/>
  <c r="AB810" i="1"/>
  <c r="AB424" i="1"/>
  <c r="AB555" i="1"/>
  <c r="AB769" i="1"/>
  <c r="AB615" i="1"/>
  <c r="AB716" i="1"/>
  <c r="AB417" i="1"/>
  <c r="AB596" i="1"/>
  <c r="AB744" i="1"/>
  <c r="AB740" i="1"/>
  <c r="AB842" i="1"/>
  <c r="AB200" i="1"/>
  <c r="AB318" i="1"/>
  <c r="AB696" i="1"/>
  <c r="AB556" i="1"/>
  <c r="AB128" i="1"/>
  <c r="AB533" i="1"/>
  <c r="AB213" i="1"/>
  <c r="AB8" i="1"/>
  <c r="AB520" i="1"/>
  <c r="AB677" i="1"/>
  <c r="AB886" i="1"/>
  <c r="AB357" i="1"/>
  <c r="AB838" i="1"/>
  <c r="AB94" i="1"/>
  <c r="AB217" i="1"/>
  <c r="AB129" i="1"/>
  <c r="AB642" i="1"/>
  <c r="AB734" i="1"/>
  <c r="AB172" i="1"/>
  <c r="AB328" i="1"/>
  <c r="AB78" i="1"/>
  <c r="AB123" i="1"/>
  <c r="AB261" i="1"/>
  <c r="AB729" i="1"/>
  <c r="AB185" i="1"/>
  <c r="AB167" i="1"/>
  <c r="AB399" i="1"/>
  <c r="AB380" i="1"/>
  <c r="AB305" i="1"/>
  <c r="AB313" i="1"/>
  <c r="AB461" i="1"/>
  <c r="AB77" i="1"/>
  <c r="AB389" i="1"/>
  <c r="AB140" i="1"/>
  <c r="AB118" i="1"/>
  <c r="AB17" i="1"/>
  <c r="AB278" i="1"/>
  <c r="AB684" i="1"/>
  <c r="AB422" i="1"/>
  <c r="AB85" i="1"/>
  <c r="AB55" i="1"/>
  <c r="AB832" i="1"/>
  <c r="AB643" i="1"/>
  <c r="AB143" i="1"/>
  <c r="AB486" i="1"/>
  <c r="AB45" i="1"/>
  <c r="AB222" i="1"/>
  <c r="AB574" i="1"/>
  <c r="AB487" i="1"/>
  <c r="AB610" i="1"/>
  <c r="AB619" i="1"/>
  <c r="AB785" i="1"/>
  <c r="AB309" i="1"/>
  <c r="AB735" i="1"/>
  <c r="AB243" i="1"/>
  <c r="AB463" i="1"/>
  <c r="AB880" i="1"/>
  <c r="AB139" i="1"/>
  <c r="AB205" i="1"/>
  <c r="AB54" i="1"/>
  <c r="AB286" i="1"/>
  <c r="AB837" i="1"/>
  <c r="AB332" i="1"/>
  <c r="AB188" i="1"/>
  <c r="AB673" i="1"/>
  <c r="AB58" i="1"/>
  <c r="AB570" i="1"/>
  <c r="AB52" i="1"/>
  <c r="AB28" i="1"/>
  <c r="AB46" i="1"/>
  <c r="AB653" i="1"/>
  <c r="AB522" i="1"/>
  <c r="AB491" i="1"/>
  <c r="AB692" i="1"/>
  <c r="AB704" i="1"/>
  <c r="AB844" i="1"/>
  <c r="AB384" i="1"/>
  <c r="AB460" i="1"/>
  <c r="AB218" i="1"/>
  <c r="AB408" i="1"/>
  <c r="AB500" i="1"/>
  <c r="AB121" i="1"/>
  <c r="AB695" i="1"/>
  <c r="AB582" i="1"/>
  <c r="AB249" i="1"/>
  <c r="AB236" i="1"/>
  <c r="AB385" i="1"/>
  <c r="AB736" i="1"/>
  <c r="AB823" i="1"/>
  <c r="AB743" i="1"/>
  <c r="AB274" i="1"/>
  <c r="AB518" i="1"/>
  <c r="AB645" i="1"/>
  <c r="AB277" i="1"/>
  <c r="AB415" i="1"/>
  <c r="AB18" i="1"/>
  <c r="AB762" i="1"/>
  <c r="AB674" i="1"/>
  <c r="AB669" i="1"/>
  <c r="AB102" i="1"/>
  <c r="AB437" i="1"/>
  <c r="AB306" i="1"/>
  <c r="AB569" i="1"/>
  <c r="AB452" i="1"/>
  <c r="AB701" i="1"/>
  <c r="AB60" i="1"/>
  <c r="AB352" i="1"/>
  <c r="AB647" i="1"/>
  <c r="AB833" i="1"/>
  <c r="AB109" i="1"/>
  <c r="AB512" i="1"/>
  <c r="AB690" i="1"/>
  <c r="AB718" i="1"/>
  <c r="AB648" i="1"/>
  <c r="AB783" i="1"/>
  <c r="AB659" i="1"/>
  <c r="AB814" i="1"/>
  <c r="AB444" i="1"/>
  <c r="AB400" i="1"/>
  <c r="AB184" i="1"/>
  <c r="AB163" i="1"/>
  <c r="AB76" i="1"/>
  <c r="AB44" i="1"/>
  <c r="AB694" i="1"/>
  <c r="AB545" i="1"/>
  <c r="AB702" i="1"/>
  <c r="AB727" i="1"/>
  <c r="AB526" i="1"/>
  <c r="AB279" i="1"/>
  <c r="AB131" i="1"/>
  <c r="AB793" i="1"/>
  <c r="AB63" i="1"/>
  <c r="AB282" i="1"/>
  <c r="AB742" i="1"/>
  <c r="AB506" i="1"/>
  <c r="AB706" i="1"/>
  <c r="AB294" i="1"/>
  <c r="AB410" i="1"/>
  <c r="AB265" i="1"/>
  <c r="AB644" i="1"/>
  <c r="AB177" i="1"/>
  <c r="AB778" i="1"/>
  <c r="AB225" i="1"/>
  <c r="AB738" i="1"/>
  <c r="AB865" i="1"/>
  <c r="AB715" i="1"/>
  <c r="AB510" i="1"/>
  <c r="AB324" i="1"/>
  <c r="AB885" i="1"/>
  <c r="AB712" i="1"/>
  <c r="AB633" i="1"/>
  <c r="AB344" i="1"/>
  <c r="AB87" i="1"/>
  <c r="AB847" i="1"/>
  <c r="AB784" i="1"/>
  <c r="AB688" i="1"/>
  <c r="AB456" i="1"/>
  <c r="AB717" i="1"/>
  <c r="AB689" i="1"/>
  <c r="AB581" i="1"/>
  <c r="AB840" i="1"/>
  <c r="AB678" i="1"/>
  <c r="AB428" i="1"/>
  <c r="AB475" i="1"/>
  <c r="AB312" i="1"/>
  <c r="AB310" i="1"/>
  <c r="AB350" i="1"/>
  <c r="AB665" i="1"/>
  <c r="AB43" i="1"/>
  <c r="AB337" i="1"/>
  <c r="AB9" i="1"/>
  <c r="AB771" i="1"/>
  <c r="AB772" i="1"/>
  <c r="AB169" i="1"/>
  <c r="AB697" i="1"/>
  <c r="AB869" i="1"/>
  <c r="AB101" i="1"/>
  <c r="AB709" i="1"/>
  <c r="AB898" i="1"/>
  <c r="AB122" i="1"/>
  <c r="AB815" i="1"/>
  <c r="AB402" i="1"/>
  <c r="AB409" i="1"/>
  <c r="AB504" i="1"/>
  <c r="AB394" i="1"/>
  <c r="AB148" i="1"/>
  <c r="AB88" i="1"/>
  <c r="AB786" i="1"/>
  <c r="AB553" i="1"/>
  <c r="AB64" i="1"/>
  <c r="AB50" i="1"/>
  <c r="AB49" i="1"/>
  <c r="AB726" i="1"/>
  <c r="AB275" i="1"/>
  <c r="AB395" i="1"/>
  <c r="AB80" i="1"/>
  <c r="AB773" i="1"/>
  <c r="AB5" i="1"/>
  <c r="AB6" i="1"/>
  <c r="AB787" i="1"/>
  <c r="AB406" i="1"/>
  <c r="AB144" i="1"/>
  <c r="AB262" i="1"/>
  <c r="AB429" i="1"/>
  <c r="AB145" i="1"/>
  <c r="AB41" i="1"/>
  <c r="AB116" i="1"/>
  <c r="AB361" i="1"/>
  <c r="AB763" i="1"/>
  <c r="AB125" i="1"/>
  <c r="AB534" i="1"/>
  <c r="AB106" i="1"/>
  <c r="AB788" i="1"/>
  <c r="AB142" i="1"/>
  <c r="AB469" i="1"/>
  <c r="AB711" i="1"/>
  <c r="AB137" i="1"/>
  <c r="AB165" i="1"/>
  <c r="AB146" i="1"/>
  <c r="AB208" i="1"/>
  <c r="AB807" i="1"/>
  <c r="AB657" i="1"/>
  <c r="AB675" i="1"/>
  <c r="AB897" i="1"/>
  <c r="AB141" i="1"/>
  <c r="AB386" i="1"/>
  <c r="AB67" i="1"/>
  <c r="AB509" i="1"/>
  <c r="AB66" i="1"/>
  <c r="AB92" i="1"/>
  <c r="AB454" i="1"/>
  <c r="AB232" i="1"/>
  <c r="AB61" i="1"/>
  <c r="AB834" i="1"/>
  <c r="AB164" i="1"/>
  <c r="AB465" i="1"/>
  <c r="AB493" i="1"/>
  <c r="AB571" i="1"/>
  <c r="AB882" i="1"/>
  <c r="AB849" i="1"/>
  <c r="AB532" i="1"/>
  <c r="AB656" i="1"/>
  <c r="AB792" i="1"/>
  <c r="N1176" i="3"/>
  <c r="N1507" i="3"/>
  <c r="R34" i="16"/>
  <c r="T19" i="2"/>
  <c r="N925" i="3"/>
  <c r="N922" i="3"/>
  <c r="N920" i="3"/>
  <c r="N921" i="3"/>
  <c r="N813" i="3"/>
  <c r="N891" i="3"/>
  <c r="N893" i="3"/>
  <c r="N892" i="3"/>
  <c r="N890" i="3"/>
  <c r="N898" i="3"/>
  <c r="T36" i="2"/>
  <c r="T37" i="2" s="1"/>
  <c r="T17" i="2"/>
  <c r="N603" i="3"/>
  <c r="N604" i="3"/>
  <c r="N605" i="3"/>
  <c r="N613" i="3"/>
  <c r="N614" i="3"/>
  <c r="N596" i="3"/>
  <c r="N618" i="3"/>
  <c r="N602" i="3"/>
  <c r="N628" i="3"/>
  <c r="N594" i="3"/>
  <c r="N595" i="3"/>
  <c r="N616" i="3"/>
  <c r="N597" i="3"/>
  <c r="N598" i="3"/>
  <c r="N424" i="3"/>
  <c r="N421" i="3"/>
  <c r="N426" i="3"/>
  <c r="N539" i="3"/>
  <c r="N562" i="3"/>
  <c r="N557" i="3"/>
  <c r="N763" i="3"/>
  <c r="N764" i="3"/>
  <c r="N757" i="3"/>
  <c r="N766" i="3"/>
  <c r="N767" i="3"/>
  <c r="N788" i="3"/>
  <c r="N385" i="3"/>
  <c r="N393" i="3"/>
  <c r="N394" i="3"/>
  <c r="N376" i="3"/>
  <c r="N379" i="3"/>
  <c r="N380" i="3"/>
  <c r="N392" i="3"/>
  <c r="N377" i="3"/>
  <c r="N378" i="3"/>
  <c r="N265" i="3"/>
  <c r="N166" i="3"/>
  <c r="N246" i="3"/>
  <c r="N247" i="3"/>
  <c r="N786" i="3"/>
  <c r="N232" i="3"/>
  <c r="N113" i="3"/>
  <c r="N293" i="3"/>
  <c r="N117" i="3"/>
  <c r="N118" i="3"/>
  <c r="N238" i="3"/>
  <c r="N241" i="3"/>
  <c r="N242" i="3"/>
  <c r="N264" i="3"/>
  <c r="N268" i="3"/>
  <c r="N249" i="3"/>
  <c r="N111" i="3"/>
  <c r="N231" i="3"/>
  <c r="N112" i="3"/>
  <c r="N172" i="3"/>
  <c r="N292" i="3"/>
  <c r="N114" i="3"/>
  <c r="N115" i="3"/>
  <c r="N116" i="3"/>
  <c r="N119" i="3"/>
  <c r="N240" i="3"/>
  <c r="N533" i="3"/>
  <c r="N542" i="3"/>
  <c r="N546" i="3"/>
  <c r="N566" i="3"/>
  <c r="N554" i="3"/>
  <c r="N555" i="3"/>
  <c r="N536" i="3"/>
  <c r="N548" i="3"/>
  <c r="N574" i="3"/>
  <c r="N575" i="3"/>
  <c r="N558" i="3"/>
  <c r="N541" i="3"/>
  <c r="N547" i="3"/>
  <c r="N549" i="3"/>
  <c r="R12" i="10"/>
  <c r="P13" i="10"/>
  <c r="R13" i="10" s="1"/>
  <c r="AB890" i="1" a="1"/>
  <c r="AB848" i="1" a="1"/>
  <c r="AB10" i="1" a="1"/>
  <c r="AB755" i="1" a="1"/>
  <c r="AB453" i="1" a="1"/>
  <c r="AB824" i="1" a="1"/>
  <c r="AB264" i="1" a="1"/>
  <c r="AB818" i="1" a="1"/>
  <c r="AB604" i="1" a="1"/>
  <c r="AB891" i="1" a="1"/>
  <c r="AB451" i="1" a="1"/>
  <c r="AB264" i="1" l="1"/>
  <c r="AB604" i="1"/>
  <c r="AB824" i="1"/>
  <c r="AB453" i="1"/>
  <c r="AB10" i="1"/>
  <c r="AB451" i="1"/>
  <c r="AB755" i="1"/>
  <c r="AB848" i="1"/>
  <c r="AB891" i="1"/>
  <c r="AB890" i="1"/>
  <c r="AB818" i="1"/>
  <c r="T20" i="2"/>
  <c r="T22" i="2" l="1"/>
  <c r="T23" i="2" s="1"/>
  <c r="T25" i="2" s="1"/>
  <c r="V51" i="26" l="1"/>
  <c r="V53" i="26" s="1"/>
  <c r="V54" i="26" l="1"/>
  <c r="AA69" i="3" a="1"/>
  <c r="AA86" i="3" a="1"/>
  <c r="AA468" i="3" a="1"/>
  <c r="AA363" i="3" a="1"/>
  <c r="AA520" i="3" a="1"/>
  <c r="AA82" i="3" a="1"/>
  <c r="AA317" i="3" a="1"/>
  <c r="AA680" i="3" a="1"/>
  <c r="AA203" i="3" a="1"/>
  <c r="AA38" i="3" a="1"/>
  <c r="AA748" i="3" a="1"/>
  <c r="AA529" i="3" a="1"/>
  <c r="AA168" i="3" a="1"/>
  <c r="AA30" i="3" a="1"/>
  <c r="AA187" i="3" a="1"/>
  <c r="AA291" i="3" a="1"/>
  <c r="AA80" i="3" a="1"/>
  <c r="AA388" i="3" a="1"/>
  <c r="AA615" i="3" a="1"/>
  <c r="AA540" i="3" a="1"/>
  <c r="AA216" i="3" a="1"/>
  <c r="AA45" i="3" a="1"/>
  <c r="AA662" i="3" a="1"/>
  <c r="AA566" i="3" a="1"/>
  <c r="AA316" i="3" a="1"/>
  <c r="AA105" i="3" a="1"/>
  <c r="AA496" i="3" a="1"/>
  <c r="AA600" i="3" a="1"/>
  <c r="AA559" i="3" a="1"/>
  <c r="AA479" i="3" a="1"/>
  <c r="AA110" i="3" a="1"/>
  <c r="AA11" i="3" a="1"/>
  <c r="AA431" i="3" a="1"/>
  <c r="AA348" i="3" a="1"/>
  <c r="AA434" i="3" a="1"/>
  <c r="AA691" i="3" a="1"/>
  <c r="AA616" i="3" a="1"/>
  <c r="AA48" i="3" a="1"/>
  <c r="AA96" i="3" a="1"/>
  <c r="AA318" i="3" a="1"/>
  <c r="AA211" i="3" a="1"/>
  <c r="AA122" i="3" a="1"/>
  <c r="AA175" i="3" a="1"/>
  <c r="AA277" i="3" a="1"/>
  <c r="AA489" i="3" a="1"/>
  <c r="AA706" i="3" a="1"/>
  <c r="AA322" i="3" a="1"/>
  <c r="AA420" i="3" a="1"/>
  <c r="AA314" i="3" a="1"/>
  <c r="AA19" i="3" a="1"/>
  <c r="AA24" i="3" a="1"/>
  <c r="AA152" i="3" a="1"/>
  <c r="AA66" i="3" a="1"/>
  <c r="AA753" i="3" a="1"/>
  <c r="AA642" i="3" a="1"/>
  <c r="AA139" i="3" a="1"/>
  <c r="AA469" i="3" a="1"/>
  <c r="AA745" i="3" a="1"/>
  <c r="AA308" i="3" a="1"/>
  <c r="AA353" i="3" a="1"/>
  <c r="AA31" i="3" a="1"/>
  <c r="AA52" i="3" a="1"/>
  <c r="AA142" i="3" a="1"/>
  <c r="AA121" i="3" a="1"/>
  <c r="AA501" i="3" a="1"/>
  <c r="AA159" i="3" a="1"/>
  <c r="AA143" i="3" a="1"/>
  <c r="AA577" i="3" a="1"/>
  <c r="AA249" i="3" a="1"/>
  <c r="AA584" i="3" a="1"/>
  <c r="AA244" i="3" a="1"/>
  <c r="AA465" i="3" a="1"/>
  <c r="AA58" i="3" a="1"/>
  <c r="AA117" i="3" a="1"/>
  <c r="AA145" i="3" a="1"/>
  <c r="AA771" i="3" a="1"/>
  <c r="AA126" i="3" a="1"/>
  <c r="AA202" i="3" a="1"/>
  <c r="AA156" i="3" a="1"/>
  <c r="AA552" i="3" a="1"/>
  <c r="AA405" i="3" a="1"/>
  <c r="AA563" i="3" a="1"/>
  <c r="AA729" i="3" a="1"/>
  <c r="AA562" i="3" a="1"/>
  <c r="AA599" i="3" a="1"/>
  <c r="AA356" i="3" a="1"/>
  <c r="AA94" i="3" a="1"/>
  <c r="AA226" i="3" a="1"/>
  <c r="AA541" i="3" a="1"/>
  <c r="AA100" i="3" a="1"/>
  <c r="AA756" i="3" a="1"/>
  <c r="AA579" i="3" a="1"/>
  <c r="AA618" i="3" a="1"/>
  <c r="AA417" i="3" a="1"/>
  <c r="AA655" i="3" a="1"/>
  <c r="AA281" i="3" a="1"/>
  <c r="AA85" i="3" a="1"/>
  <c r="AA120" i="3" a="1"/>
  <c r="AA355" i="3" a="1"/>
  <c r="AA554" i="3" a="1"/>
  <c r="AA273" i="3" a="1"/>
  <c r="AA209" i="3" a="1"/>
  <c r="AA531" i="3" a="1"/>
  <c r="AA189" i="3" a="1"/>
  <c r="AA736" i="3" a="1"/>
  <c r="AA111" i="3" a="1"/>
  <c r="AA633" i="3" a="1"/>
  <c r="AA725" i="3" a="1"/>
  <c r="AA488" i="3" a="1"/>
  <c r="AA534" i="3" a="1"/>
  <c r="AA514" i="3" a="1"/>
  <c r="AA259" i="3" a="1"/>
  <c r="AA606" i="3" a="1"/>
  <c r="AA292" i="3" a="1"/>
  <c r="AA27" i="3" a="1"/>
  <c r="AA357" i="3" a="1"/>
  <c r="AA153" i="3" a="1"/>
  <c r="AA141" i="3" a="1"/>
  <c r="AA574" i="3" a="1"/>
  <c r="AA611" i="3" a="1"/>
  <c r="AA98" i="3" a="1"/>
  <c r="AA6" i="3" a="1"/>
  <c r="AA757" i="3" a="1"/>
  <c r="AA712" i="3" a="1"/>
  <c r="AA389" i="3" a="1"/>
  <c r="AA466" i="3" a="1"/>
  <c r="AA470" i="3" a="1"/>
  <c r="AA513" i="3" a="1"/>
  <c r="AA653" i="3" a="1"/>
  <c r="AA532" i="3" a="1"/>
  <c r="AA495" i="3" a="1"/>
  <c r="AA713" i="3" a="1"/>
  <c r="AA460" i="3" a="1"/>
  <c r="AA571" i="3" a="1"/>
  <c r="AA507" i="3" a="1"/>
  <c r="AA440" i="3" a="1"/>
  <c r="AA191" i="3" a="1"/>
  <c r="AA262" i="3" a="1"/>
  <c r="AA297" i="3" a="1"/>
  <c r="AA18" i="3" a="1"/>
  <c r="AA710" i="3" a="1"/>
  <c r="AA255" i="3" a="1"/>
  <c r="AA65" i="3" a="1"/>
  <c r="AA425" i="3" a="1"/>
  <c r="AA358" i="3" a="1"/>
  <c r="AA42" i="3" a="1"/>
  <c r="AA205" i="3" a="1"/>
  <c r="AA261" i="3" a="1"/>
  <c r="AA631" i="3" a="1"/>
  <c r="AA705" i="3" a="1"/>
  <c r="AA32" i="3" a="1"/>
  <c r="AA731" i="3" a="1"/>
  <c r="AA225" i="3" a="1"/>
  <c r="AA690" i="3" a="1"/>
  <c r="AA268" i="3" a="1"/>
  <c r="AA414" i="3" a="1"/>
  <c r="AA620" i="3" a="1"/>
  <c r="AA464" i="3" a="1"/>
  <c r="AA453" i="3" a="1"/>
  <c r="AA311" i="3" a="1"/>
  <c r="AA674" i="3" a="1"/>
  <c r="AA150" i="3" a="1"/>
  <c r="AA539" i="3" a="1"/>
  <c r="AA684" i="3" a="1"/>
  <c r="AA418" i="3" a="1"/>
  <c r="AA369" i="3" a="1"/>
  <c r="AA515" i="3" a="1"/>
  <c r="AA626" i="3" a="1"/>
  <c r="AA385" i="3" a="1"/>
  <c r="AA68" i="3" a="1"/>
  <c r="AA223" i="3" a="1"/>
  <c r="AA392" i="3" a="1"/>
  <c r="AA339" i="3" a="1"/>
  <c r="AA108" i="3" a="1"/>
  <c r="AA709" i="3" a="1"/>
  <c r="AA484" i="3" a="1"/>
  <c r="AA422" i="3" a="1"/>
  <c r="AA107" i="3" a="1"/>
  <c r="AA660" i="3" a="1"/>
  <c r="AA383" i="3" a="1"/>
  <c r="AA428" i="3" a="1"/>
  <c r="AA393" i="3" a="1"/>
  <c r="AA695" i="3" a="1"/>
  <c r="AA449" i="3" a="1"/>
  <c r="AA196" i="3" a="1"/>
  <c r="AA109" i="3" a="1"/>
  <c r="AA455" i="3" a="1"/>
  <c r="AA503" i="3" a="1"/>
  <c r="AA176" i="3" a="1"/>
  <c r="AA192" i="3" a="1"/>
  <c r="AA83" i="3" a="1"/>
  <c r="AA670" i="3" a="1"/>
  <c r="AA717" i="3" a="1"/>
  <c r="AA23" i="3" a="1"/>
  <c r="AA493" i="3" a="1"/>
  <c r="AA7" i="3" a="1"/>
  <c r="AA15" i="3" a="1"/>
  <c r="AA667" i="3" a="1"/>
  <c r="AA433" i="3" a="1"/>
  <c r="AA722" i="3" a="1"/>
  <c r="AA354" i="3" a="1"/>
  <c r="AA397" i="3" a="1"/>
  <c r="AA604" i="3" a="1"/>
  <c r="AA124" i="3" a="1"/>
  <c r="AA181" i="3" a="1"/>
  <c r="AA714" i="3" a="1"/>
  <c r="AA442" i="3" a="1"/>
  <c r="AA426" i="3" a="1"/>
  <c r="AA525" i="3" a="1"/>
  <c r="AA41" i="3" a="1"/>
  <c r="AA35" i="3" a="1"/>
  <c r="AA134" i="3" a="1"/>
  <c r="AA337" i="3" a="1"/>
  <c r="AA186" i="3" a="1"/>
  <c r="AA391" i="3" a="1"/>
  <c r="AA258" i="3" a="1"/>
  <c r="AA614" i="3" a="1"/>
  <c r="AA770" i="3" a="1"/>
  <c r="AA517" i="3" a="1"/>
  <c r="AA672" i="3" a="1"/>
  <c r="AA376" i="3" a="1"/>
  <c r="AA119" i="3" a="1"/>
  <c r="AA603" i="3" a="1"/>
  <c r="AA283" i="3" a="1"/>
  <c r="AA43" i="3" a="1"/>
  <c r="AA367" i="3" a="1"/>
  <c r="AA9" i="3" a="1"/>
  <c r="AA689" i="3" a="1"/>
  <c r="AA500" i="3" a="1"/>
  <c r="AA242" i="3" a="1"/>
  <c r="AA625" i="3" a="1"/>
  <c r="AA371" i="3" a="1"/>
  <c r="AA394" i="3" a="1"/>
  <c r="AA741" i="3" a="1"/>
  <c r="AA204" i="3" a="1"/>
  <c r="AA253" i="3" a="1"/>
  <c r="AA530" i="3" a="1"/>
  <c r="AA673" i="3" a="1"/>
  <c r="AA692" i="3" a="1"/>
  <c r="AA456" i="3" a="1"/>
  <c r="AA683" i="3" a="1"/>
  <c r="AA675" i="3" a="1"/>
  <c r="AA697" i="3" a="1"/>
  <c r="AA444" i="3" a="1"/>
  <c r="AA350" i="3" a="1"/>
  <c r="AA665" i="3" a="1"/>
  <c r="AA271" i="3" a="1"/>
  <c r="AA287" i="3" a="1"/>
  <c r="AA447" i="3" a="1"/>
  <c r="AA93" i="3" a="1"/>
  <c r="AA594" i="3" a="1"/>
  <c r="AA593" i="3" a="1"/>
  <c r="AA373" i="3" a="1"/>
  <c r="AA169" i="3" a="1"/>
  <c r="AA597" i="3" a="1"/>
  <c r="AA610" i="3" a="1"/>
  <c r="AA544" i="3" a="1"/>
  <c r="AA669" i="3" a="1"/>
  <c r="AA240" i="3" a="1"/>
  <c r="AA78" i="3" a="1"/>
  <c r="AA707" i="3" a="1"/>
  <c r="AA113" i="3" a="1"/>
  <c r="AA20" i="3" a="1"/>
  <c r="AA148" i="3" a="1"/>
  <c r="AA424" i="3" a="1"/>
  <c r="AA342" i="3" a="1"/>
  <c r="AA295" i="3" a="1"/>
  <c r="AA290" i="3" a="1"/>
  <c r="AA210" i="3" a="1"/>
  <c r="AA276" i="3" a="1"/>
  <c r="AA84" i="3" a="1"/>
  <c r="AA234" i="3" a="1"/>
  <c r="AA269" i="3" a="1"/>
  <c r="AA752" i="3" a="1"/>
  <c r="AA180" i="3" a="1"/>
  <c r="AA39" i="3" a="1"/>
  <c r="AA591" i="3" a="1"/>
  <c r="AA755" i="3" a="1"/>
  <c r="AA641" i="3" a="1"/>
  <c r="AA511" i="3" a="1"/>
  <c r="AA598" i="3" a="1"/>
  <c r="AA738" i="3" a="1"/>
  <c r="AA622" i="3" a="1"/>
  <c r="AA361" i="3" a="1"/>
  <c r="AA704" i="3" a="1"/>
  <c r="AA505" i="3" a="1"/>
  <c r="AA364" i="3" a="1"/>
  <c r="AA366" i="3" a="1"/>
  <c r="AA302" i="3" a="1"/>
  <c r="AA702" i="3" a="1"/>
  <c r="AA71" i="3" a="1"/>
  <c r="AA146" i="3" a="1"/>
  <c r="AA769" i="3" a="1"/>
  <c r="AA538" i="3" a="1"/>
  <c r="AA230" i="3" a="1"/>
  <c r="AA22" i="3" a="1"/>
  <c r="AA305" i="3" a="1"/>
  <c r="AA657" i="3" a="1"/>
  <c r="AA557" i="3" a="1"/>
  <c r="AA185" i="3" a="1"/>
  <c r="AA312" i="3" a="1"/>
  <c r="AA634" i="3" a="1"/>
  <c r="AA289" i="3" a="1"/>
  <c r="AA206" i="3" a="1"/>
  <c r="AA285" i="3" a="1"/>
  <c r="AA25" i="3" a="1"/>
  <c r="AA67" i="3" a="1"/>
  <c r="AA375" i="3" a="1"/>
  <c r="AA220" i="3" a="1"/>
  <c r="AA502" i="3" a="1"/>
  <c r="AA198" i="3" a="1"/>
  <c r="AA429" i="3" a="1"/>
  <c r="AA5" i="3" a="1"/>
  <c r="AA17" i="3" a="1"/>
  <c r="AA87" i="3" a="1"/>
  <c r="AA650" i="3" a="1"/>
  <c r="AA522" i="3" a="1"/>
  <c r="AA474" i="3" a="1"/>
  <c r="AA561" i="3" a="1"/>
  <c r="AA135" i="3" a="1"/>
  <c r="AA379" i="3" a="1"/>
  <c r="AA233" i="3" a="1"/>
  <c r="AA149" i="3" a="1"/>
  <c r="AA54" i="3" a="1"/>
  <c r="AA59" i="3" a="1"/>
  <c r="AA128" i="3" a="1"/>
  <c r="AA448" i="3" a="1"/>
  <c r="AA647" i="3" a="1"/>
  <c r="AA687" i="3" a="1"/>
  <c r="AA443" i="3" a="1"/>
  <c r="AA569" i="3" a="1"/>
  <c r="AA760" i="3" a="1"/>
  <c r="AA509" i="3" a="1"/>
  <c r="AA171" i="3" a="1"/>
  <c r="AA294" i="3" a="1"/>
  <c r="AA395" i="3" a="1"/>
  <c r="AA726" i="3" a="1"/>
  <c r="AA215" i="3" a="1"/>
  <c r="AA162" i="3" a="1"/>
  <c r="AA450" i="3" a="1"/>
  <c r="AA485" i="3" a="1"/>
  <c r="AA251" i="3" a="1"/>
  <c r="AA558" i="3" a="1"/>
  <c r="AA700" i="3" a="1"/>
  <c r="AA473" i="3" a="1"/>
  <c r="AA166" i="3" a="1"/>
  <c r="AA73" i="3" a="1"/>
  <c r="AA775" i="3" a="1"/>
  <c r="AA155" i="3" a="1"/>
  <c r="AA555" i="3" a="1"/>
  <c r="AA685" i="3" a="1"/>
  <c r="AA744" i="3" a="1"/>
  <c r="AA654" i="3" a="1"/>
  <c r="AA16" i="3" a="1"/>
  <c r="AA504" i="3" a="1"/>
  <c r="AA766" i="3" a="1"/>
  <c r="AA103" i="3" a="1"/>
  <c r="AA279" i="3" a="1"/>
  <c r="AA178" i="3" a="1"/>
  <c r="AA293" i="3" a="1"/>
  <c r="AA471" i="3" a="1"/>
  <c r="AA200" i="3" a="1"/>
  <c r="AA698" i="3" a="1"/>
  <c r="AA325" i="3" a="1"/>
  <c r="AA581" i="3" a="1"/>
  <c r="AA21" i="3" a="1"/>
  <c r="AA137" i="3" a="1"/>
  <c r="AA776" i="3" a="1"/>
  <c r="AA632" i="3" a="1"/>
  <c r="AA284" i="3" a="1"/>
  <c r="AA286" i="3" a="1"/>
  <c r="AA678" i="3" a="1"/>
  <c r="AA621" i="3" a="1"/>
  <c r="AA767" i="3" a="1"/>
  <c r="AA723" i="3" a="1"/>
  <c r="AA734" i="3" a="1"/>
  <c r="AA195" i="3" a="1"/>
  <c r="AA235" i="3" a="1"/>
  <c r="AA263" i="3" a="1"/>
  <c r="AA368" i="3" a="1"/>
  <c r="AA446" i="3" a="1"/>
  <c r="AA246" i="3" a="1"/>
  <c r="AA528" i="3" a="1"/>
  <c r="AA247" i="3" a="1"/>
  <c r="AA746" i="3" a="1"/>
  <c r="AA664" i="3" a="1"/>
  <c r="AA197" i="3" a="1"/>
  <c r="AA411" i="3" a="1"/>
  <c r="AA154" i="3" a="1"/>
  <c r="AA303" i="3" a="1"/>
  <c r="AA386" i="3" a="1"/>
  <c r="AA241" i="3" a="1"/>
  <c r="AA768" i="3" a="1"/>
  <c r="AA53" i="3" a="1"/>
  <c r="AA699" i="3" a="1"/>
  <c r="AA724" i="3" a="1"/>
  <c r="AA696" i="3" a="1"/>
  <c r="AA319" i="3" a="1"/>
  <c r="AA321" i="3" a="1"/>
  <c r="AA260" i="3" a="1"/>
  <c r="AA40" i="3" a="1"/>
  <c r="AA219" i="3" a="1"/>
  <c r="AA221" i="3" a="1"/>
  <c r="AA372" i="3" a="1"/>
  <c r="AA542" i="3" a="1"/>
  <c r="AA499" i="3" a="1"/>
  <c r="AA693" i="3" a="1"/>
  <c r="AA56" i="3" a="1"/>
  <c r="AA523" i="3" a="1"/>
  <c r="AA619" i="3" a="1"/>
  <c r="AA510" i="3" a="1"/>
  <c r="AA516" i="3" a="1"/>
  <c r="AA421" i="3" a="1"/>
  <c r="AA533" i="3" a="1"/>
  <c r="AA715" i="3" a="1"/>
  <c r="AA519" i="3" a="1"/>
  <c r="AA239" i="3" a="1"/>
  <c r="AA136" i="3" a="1"/>
  <c r="AA250" i="3" a="1"/>
  <c r="AA402" i="3" a="1"/>
  <c r="AA774" i="3" a="1"/>
  <c r="AA188" i="3" a="1"/>
  <c r="AA88" i="3" a="1"/>
  <c r="AA666" i="3" a="1"/>
  <c r="AA310" i="3" a="1"/>
  <c r="AA214" i="3" a="1"/>
  <c r="AA173" i="3" a="1"/>
  <c r="AA751" i="3" a="1"/>
  <c r="AA720" i="3" a="1"/>
  <c r="AA602" i="3" a="1"/>
  <c r="AA304" i="3" a="1"/>
  <c r="AA694" i="3" a="1"/>
  <c r="AA374" i="3" a="1"/>
  <c r="AA472" i="3" a="1"/>
  <c r="AA585" i="3" a="1"/>
  <c r="AA412" i="3" a="1"/>
  <c r="AA617" i="3" a="1"/>
  <c r="AA257" i="3" a="1"/>
  <c r="AA475" i="3" a="1"/>
  <c r="AA313" i="3" a="1"/>
  <c r="AA754" i="3" a="1"/>
  <c r="AA34" i="3" a="1"/>
  <c r="AA589" i="3" a="1"/>
  <c r="AA483" i="3" a="1"/>
  <c r="AA416" i="3" a="1"/>
  <c r="AA437" i="3" a="1"/>
  <c r="AA730" i="3" a="1"/>
  <c r="AA346" i="3" a="1"/>
  <c r="AA133" i="3" a="1"/>
  <c r="AA296" i="3" a="1"/>
  <c r="AA454" i="3" a="1"/>
  <c r="AA765" i="3" a="1"/>
  <c r="AA8" i="3" a="1"/>
  <c r="AA46" i="3" a="1"/>
  <c r="AA439" i="3" a="1"/>
  <c r="AA408" i="3" a="1"/>
  <c r="AA436" i="3" a="1"/>
  <c r="AA10" i="3" a="1"/>
  <c r="AA480" i="3" a="1"/>
  <c r="AA565" i="3" a="1"/>
  <c r="AA265" i="3" a="1"/>
  <c r="AA780" i="3" a="1"/>
  <c r="AA201" i="3" a="1"/>
  <c r="AA199" i="3" a="1"/>
  <c r="AA407" i="3" a="1"/>
  <c r="AA95" i="3" a="1"/>
  <c r="AA546" i="3" a="1"/>
  <c r="AA147" i="3" a="1"/>
  <c r="AA583" i="3" a="1"/>
  <c r="AA106" i="3" a="1"/>
  <c r="AA772" i="3" a="1"/>
  <c r="AA727" i="3" a="1"/>
  <c r="AA231" i="3" a="1"/>
  <c r="AA359" i="3" a="1"/>
  <c r="AA608" i="3" a="1"/>
  <c r="AA537" i="3" a="1"/>
  <c r="AA81" i="3" a="1"/>
  <c r="AA360" i="3" a="1"/>
  <c r="AA282" i="3" a="1"/>
  <c r="AA194" i="3" a="1"/>
  <c r="AA232" i="3" a="1"/>
  <c r="AA612" i="3" a="1"/>
  <c r="AA656" i="3" a="1"/>
  <c r="AA463" i="3" a="1"/>
  <c r="AA278" i="3" a="1"/>
  <c r="AA343" i="3" a="1"/>
  <c r="AA624" i="3" a="1"/>
  <c r="AA482" i="3" a="1"/>
  <c r="AA362" i="3" a="1"/>
  <c r="AA492" i="3" a="1"/>
  <c r="AA596" i="3" a="1"/>
  <c r="AA733" i="3" a="1"/>
  <c r="AA390" i="3" a="1"/>
  <c r="AA341" i="3" a="1"/>
  <c r="AA270" i="3" a="1"/>
  <c r="AA762" i="3" a="1"/>
  <c r="AA595" i="3" a="1"/>
  <c r="AA718" i="3" a="1"/>
  <c r="AA64" i="3" a="1"/>
  <c r="AA245" i="3" a="1"/>
  <c r="AA55" i="3" a="1"/>
  <c r="AA116" i="3" a="1"/>
  <c r="AA506" i="3" a="1"/>
  <c r="AA609" i="3" a="1"/>
  <c r="AA13" i="3" a="1"/>
  <c r="AA70" i="3" a="1"/>
  <c r="AA728" i="3" a="1"/>
  <c r="AA172" i="3" a="1"/>
  <c r="AA212" i="3" a="1"/>
  <c r="AA125" i="3" a="1"/>
  <c r="AA613" i="3" a="1"/>
  <c r="AA47" i="3" a="1"/>
  <c r="AA50" i="3" a="1"/>
  <c r="AA378" i="3" a="1"/>
  <c r="AA272" i="3" a="1"/>
  <c r="AA275" i="3" a="1"/>
  <c r="AA663" i="3" a="1"/>
  <c r="AA607" i="3" a="1"/>
  <c r="AA572" i="3" a="1"/>
  <c r="AA627" i="3" a="1"/>
  <c r="AA243" i="3" a="1"/>
  <c r="AA467" i="3" a="1"/>
  <c r="AA658" i="3" a="1"/>
  <c r="AA320" i="3" a="1"/>
  <c r="AA404" i="3" a="1"/>
  <c r="AA338" i="3" a="1"/>
  <c r="AA740" i="3" a="1"/>
  <c r="AA264" i="3" a="1"/>
  <c r="AA163" i="3" a="1"/>
  <c r="AA668" i="3" a="1"/>
  <c r="AA782" i="3" a="1"/>
  <c r="AA521" i="3" a="1"/>
  <c r="AA543" i="3" a="1"/>
  <c r="AA382" i="3" a="1"/>
  <c r="AA89" i="3" a="1"/>
  <c r="AA588" i="3" a="1"/>
  <c r="AA254" i="3" a="1"/>
  <c r="AA26" i="3" a="1"/>
  <c r="AA550" i="3" a="1"/>
  <c r="AA267" i="3" a="1"/>
  <c r="AA548" i="3" a="1"/>
  <c r="AA252" i="3" a="1"/>
  <c r="AA508" i="3" a="1"/>
  <c r="AA758" i="3" a="1"/>
  <c r="AA377" i="3" a="1"/>
  <c r="AA681" i="3" a="1"/>
  <c r="AA170" i="3" a="1"/>
  <c r="AA490" i="3" a="1"/>
  <c r="AA435" i="3" a="1"/>
  <c r="AA676" i="3" a="1"/>
  <c r="AA639" i="3" a="1"/>
  <c r="AA590" i="3" a="1"/>
  <c r="AA750" i="3" a="1"/>
  <c r="AA28" i="3" a="1"/>
  <c r="AA477" i="3" a="1"/>
  <c r="AA299" i="3" a="1"/>
  <c r="AA586" i="3" a="1"/>
  <c r="AA131" i="3" a="1"/>
  <c r="AA12" i="3" a="1"/>
  <c r="AA51" i="3" a="1"/>
  <c r="AA671" i="3" a="1"/>
  <c r="AA138" i="3" a="1"/>
  <c r="AA708" i="3" a="1"/>
  <c r="AA441" i="3" a="1"/>
  <c r="AA487" i="3" a="1"/>
  <c r="AA679" i="3" a="1"/>
  <c r="AA711" i="3" a="1"/>
  <c r="AA403" i="3" a="1"/>
  <c r="AA167" i="3" a="1"/>
  <c r="AA57" i="3" a="1"/>
  <c r="AA573" i="3" a="1"/>
  <c r="AA570" i="3" a="1"/>
  <c r="AA309" i="3" a="1"/>
  <c r="AA381" i="3" a="1"/>
  <c r="AA430" i="3" a="1"/>
  <c r="AA461" i="3" a="1"/>
  <c r="AA90" i="3" a="1"/>
  <c r="AA773" i="3" a="1"/>
  <c r="AA274" i="3" a="1"/>
  <c r="AA92" i="3" a="1"/>
  <c r="AA315" i="3" a="1"/>
  <c r="AA179" i="3" a="1"/>
  <c r="AA158" i="3" a="1"/>
  <c r="AA651" i="3" a="1"/>
  <c r="AA536" i="3" a="1"/>
  <c r="AA400" i="3" a="1"/>
  <c r="AA164" i="3" a="1"/>
  <c r="AA184" i="3" a="1"/>
  <c r="AA451" i="3" a="1"/>
  <c r="AA587" i="3" a="1"/>
  <c r="AA340" i="3" a="1"/>
  <c r="AA60" i="3" a="1"/>
  <c r="AA759" i="3" a="1"/>
  <c r="AA300" i="3" a="1"/>
  <c r="AA237" i="3" a="1"/>
  <c r="AA74" i="3" a="1"/>
  <c r="AA737" i="3" a="1"/>
  <c r="AA628" i="3" a="1"/>
  <c r="AA370" i="3" a="1"/>
  <c r="AA44" i="3" a="1"/>
  <c r="AA213" i="3" a="1"/>
  <c r="AA457" i="3" a="1"/>
  <c r="AA716" i="3" a="1"/>
  <c r="AA481" i="3" a="1"/>
  <c r="AA560" i="3" a="1"/>
  <c r="AA248" i="3" a="1"/>
  <c r="AA76" i="3" a="1"/>
  <c r="AA63" i="3" a="1"/>
  <c r="AA114" i="3" a="1"/>
  <c r="AA486" i="3" a="1"/>
  <c r="AA101" i="3" a="1"/>
  <c r="AA701" i="3" a="1"/>
  <c r="AA688" i="3" a="1"/>
  <c r="AA659" i="3" a="1"/>
  <c r="AA459" i="3" a="1"/>
  <c r="AA423" i="3" a="1"/>
  <c r="AA36" i="3" a="1"/>
  <c r="AA567" i="3" a="1"/>
  <c r="AA743" i="3" a="1"/>
  <c r="AA747" i="3" a="1"/>
  <c r="AA764" i="3" a="1"/>
  <c r="AA77" i="3" a="1"/>
  <c r="AA415" i="3" a="1"/>
  <c r="AA49" i="3" a="1"/>
  <c r="AA735" i="3" a="1"/>
  <c r="AA491" i="3" a="1"/>
  <c r="AA526" i="3" a="1"/>
  <c r="AA132" i="3" a="1"/>
  <c r="AA630" i="3" a="1"/>
  <c r="AA547" i="3" a="1"/>
  <c r="AA580" i="3" a="1"/>
  <c r="AA351" i="3" a="1"/>
  <c r="AA512" i="3" a="1"/>
  <c r="AA33" i="3" a="1"/>
  <c r="AA396" i="3" a="1"/>
  <c r="AA144" i="3" a="1"/>
  <c r="AA452" i="3" a="1"/>
  <c r="AA218" i="3" a="1"/>
  <c r="AA445" i="3" a="1"/>
  <c r="AA129" i="3" a="1"/>
  <c r="AA217" i="3" a="1"/>
  <c r="AA721" i="3" a="1"/>
  <c r="AA498" i="3" a="1"/>
  <c r="AA549" i="3" a="1"/>
  <c r="AA605" i="3" a="1"/>
  <c r="AA763" i="3" a="1"/>
  <c r="AA29" i="3" a="1"/>
  <c r="AA427" i="3" a="1"/>
  <c r="AA104" i="3" a="1"/>
  <c r="AA193" i="3" a="1"/>
  <c r="AA182" i="3" a="1"/>
  <c r="AA419" i="3" a="1"/>
  <c r="AA97" i="3" a="1"/>
  <c r="AA458" i="3" a="1"/>
  <c r="AA229" i="3" a="1"/>
  <c r="AA582" i="3" a="1"/>
  <c r="AA749" i="3" a="1"/>
  <c r="AA661" i="3" a="1"/>
  <c r="AA228" i="3" a="1"/>
  <c r="AA629" i="3" a="1"/>
  <c r="AA222" i="3" a="1"/>
  <c r="AA224" i="3" a="1"/>
  <c r="AA682" i="3" a="1"/>
  <c r="AA518" i="3" a="1"/>
  <c r="AA14" i="3" a="1"/>
  <c r="AA648" i="3" a="1"/>
  <c r="AA208" i="3" a="1"/>
  <c r="AA160" i="3" a="1"/>
  <c r="AA345" i="3" a="1"/>
  <c r="AA732" i="3" a="1"/>
  <c r="AA238" i="3" a="1"/>
  <c r="AA601" i="3" a="1"/>
  <c r="AA130" i="3" a="1"/>
  <c r="AA227" i="3" a="1"/>
  <c r="AA266" i="3" a="1"/>
  <c r="AA99" i="3" a="1"/>
  <c r="AA256" i="3" a="1"/>
  <c r="AA399" i="3" a="1"/>
  <c r="AA165" i="3" a="1"/>
  <c r="AA719" i="3" a="1"/>
  <c r="AA556" i="3" a="1"/>
  <c r="AA115" i="3" a="1"/>
  <c r="AA347" i="3" a="1"/>
  <c r="AA123" i="3" a="1"/>
  <c r="AA157" i="3" a="1"/>
  <c r="AA72" i="3" a="1"/>
  <c r="AA553" i="3" a="1"/>
  <c r="AA207" i="3" a="1"/>
  <c r="AA307" i="3" a="1"/>
  <c r="AA236" i="3" a="1"/>
  <c r="AA703" i="3" a="1"/>
  <c r="AA638" i="3" a="1"/>
  <c r="AA623" i="3" a="1"/>
  <c r="AA640" i="3" a="1"/>
  <c r="AA413" i="3" a="1"/>
  <c r="AA438" i="3" a="1"/>
  <c r="AA37" i="3" a="1"/>
  <c r="AA102" i="3" a="1"/>
  <c r="AA462" i="3" a="1"/>
  <c r="AA349" i="3" a="1"/>
  <c r="AA551" i="3" a="1"/>
  <c r="AA649" i="3" a="1"/>
  <c r="AA301" i="3" a="1"/>
  <c r="AA592" i="3" a="1"/>
  <c r="AA183" i="3" a="1"/>
  <c r="AA323" i="3" a="1"/>
  <c r="AA545" i="3" a="1"/>
  <c r="AA288" i="3" a="1"/>
  <c r="AA174" i="3" a="1"/>
  <c r="AA79" i="3" a="1"/>
  <c r="AA365" i="3" a="1"/>
  <c r="AA652" i="3" a="1"/>
  <c r="AA306" i="3" a="1"/>
  <c r="AA568" i="3" a="1"/>
  <c r="AA494" i="3" a="1"/>
  <c r="AA190" i="3" a="1"/>
  <c r="AA677" i="3" a="1"/>
  <c r="AA527" i="3" a="1"/>
  <c r="AA524" i="3" a="1"/>
  <c r="AA535" i="3" a="1"/>
  <c r="AA140" i="3" a="1"/>
  <c r="AA476" i="3" a="1"/>
  <c r="AA75" i="3" a="1"/>
  <c r="AA578" i="3" a="1"/>
  <c r="AA398" i="3" a="1"/>
  <c r="AA742" i="3" a="1"/>
  <c r="AA161" i="3" a="1"/>
  <c r="AA324" i="3" a="1"/>
  <c r="AA352" i="3" a="1"/>
  <c r="AA387" i="3" a="1"/>
  <c r="AA497" i="3" a="1"/>
  <c r="AA575" i="3" a="1"/>
  <c r="AA91" i="3" a="1"/>
  <c r="AA784" i="3" a="1"/>
  <c r="AA380" i="3" a="1"/>
  <c r="AA432" i="3" a="1"/>
  <c r="AA406" i="3" a="1"/>
  <c r="AA151" i="3" a="1"/>
  <c r="AA177" i="3" a="1"/>
  <c r="AA112" i="3" a="1"/>
  <c r="AA384" i="3" a="1"/>
  <c r="AA118" i="3" a="1"/>
  <c r="AA298" i="3" a="1"/>
  <c r="AA62" i="3" a="1"/>
  <c r="AA280" i="3" a="1"/>
  <c r="AA783" i="3" a="1"/>
  <c r="AA739" i="3" a="1"/>
  <c r="AA127" i="3" a="1"/>
  <c r="AA686" i="3" a="1"/>
  <c r="AA61" i="3" a="1"/>
  <c r="AA564" i="3" a="1"/>
  <c r="AA478" i="3" a="1"/>
  <c r="AA336" i="3" a="1"/>
  <c r="AA761" i="3" a="1"/>
  <c r="AA640" i="3" l="1"/>
  <c r="AA452" i="3"/>
  <c r="AA415" i="3"/>
  <c r="AA750" i="3"/>
  <c r="AA612" i="3"/>
  <c r="AA507" i="3"/>
  <c r="AA391" i="3"/>
  <c r="AA66" i="3"/>
  <c r="AA702" i="3"/>
  <c r="AA757" i="3"/>
  <c r="AA606" i="3"/>
  <c r="AA295" i="3"/>
  <c r="AA449" i="3"/>
  <c r="AA209" i="3"/>
  <c r="AA616" i="3"/>
  <c r="AA536" i="3"/>
  <c r="AA499" i="3"/>
  <c r="AA34" i="3"/>
  <c r="AA609" i="3"/>
  <c r="AA398" i="3"/>
  <c r="AA623" i="3"/>
  <c r="AA390" i="3"/>
  <c r="AA77" i="3"/>
  <c r="AA590" i="3"/>
  <c r="AA232" i="3"/>
  <c r="AA657" i="3"/>
  <c r="AA139" i="3"/>
  <c r="AA525" i="3"/>
  <c r="AA522" i="3"/>
  <c r="AA505" i="3"/>
  <c r="AA39" i="3"/>
  <c r="AA342" i="3"/>
  <c r="AA695" i="3"/>
  <c r="AA273" i="3"/>
  <c r="AA691" i="3"/>
  <c r="AA500" i="3"/>
  <c r="AA61" i="3"/>
  <c r="AA233" i="3"/>
  <c r="AA177" i="3"/>
  <c r="AA445" i="3"/>
  <c r="AA638" i="3"/>
  <c r="AA679" i="3"/>
  <c r="AA764" i="3"/>
  <c r="AA639" i="3"/>
  <c r="AA194" i="3"/>
  <c r="AA571" i="3"/>
  <c r="AA305" i="3"/>
  <c r="AA775" i="3"/>
  <c r="AA470" i="3"/>
  <c r="AA397" i="3"/>
  <c r="AA717" i="3"/>
  <c r="AA424" i="3"/>
  <c r="AA393" i="3"/>
  <c r="AA554" i="3"/>
  <c r="AA434" i="3"/>
  <c r="AA582" i="3"/>
  <c r="AA179" i="3"/>
  <c r="AA783" i="3"/>
  <c r="AA506" i="3"/>
  <c r="AA578" i="3"/>
  <c r="AA703" i="3"/>
  <c r="AA144" i="3"/>
  <c r="AA747" i="3"/>
  <c r="AA676" i="3"/>
  <c r="AA282" i="3"/>
  <c r="AA258" i="3"/>
  <c r="AA186" i="3"/>
  <c r="AA769" i="3"/>
  <c r="AA714" i="3"/>
  <c r="AA6" i="3"/>
  <c r="AA259" i="3"/>
  <c r="AA148" i="3"/>
  <c r="AA428" i="3"/>
  <c r="AA355" i="3"/>
  <c r="AA348" i="3"/>
  <c r="AA220" i="3"/>
  <c r="AA654" i="3"/>
  <c r="AA212" i="3"/>
  <c r="AA763" i="3"/>
  <c r="AA270" i="3"/>
  <c r="AA236" i="3"/>
  <c r="AA733" i="3"/>
  <c r="AA743" i="3"/>
  <c r="AA435" i="3"/>
  <c r="AA360" i="3"/>
  <c r="AA313" i="3"/>
  <c r="AA460" i="3"/>
  <c r="AA532" i="3"/>
  <c r="AA73" i="3"/>
  <c r="AA314" i="3"/>
  <c r="AA122" i="3"/>
  <c r="AA20" i="3"/>
  <c r="AA383" i="3"/>
  <c r="AA120" i="3"/>
  <c r="AA431" i="3"/>
  <c r="AA272" i="3"/>
  <c r="AA97" i="3"/>
  <c r="AA372" i="3"/>
  <c r="AA430" i="3"/>
  <c r="AA403" i="3"/>
  <c r="AA307" i="3"/>
  <c r="AA487" i="3"/>
  <c r="AA567" i="3"/>
  <c r="AA490" i="3"/>
  <c r="AA81" i="3"/>
  <c r="AA368" i="3"/>
  <c r="AA135" i="3"/>
  <c r="AA474" i="3"/>
  <c r="AA302" i="3"/>
  <c r="AA87" i="3"/>
  <c r="AA180" i="3"/>
  <c r="AA113" i="3"/>
  <c r="AA660" i="3"/>
  <c r="AA85" i="3"/>
  <c r="AA11" i="3"/>
  <c r="AA42" i="3"/>
  <c r="AA283" i="3"/>
  <c r="AA262" i="3"/>
  <c r="AA151" i="3"/>
  <c r="AA75" i="3"/>
  <c r="AA207" i="3"/>
  <c r="AA396" i="3"/>
  <c r="AA36" i="3"/>
  <c r="AA170" i="3"/>
  <c r="AA537" i="3"/>
  <c r="AA475" i="3"/>
  <c r="AA555" i="3"/>
  <c r="AA146" i="3"/>
  <c r="AA466" i="3"/>
  <c r="AA704" i="3"/>
  <c r="AA670" i="3"/>
  <c r="AA707" i="3"/>
  <c r="AA107" i="3"/>
  <c r="AA281" i="3"/>
  <c r="AA110" i="3"/>
  <c r="AA121" i="3"/>
  <c r="AA31" i="3"/>
  <c r="AA274" i="3"/>
  <c r="AA116" i="3"/>
  <c r="AA218" i="3"/>
  <c r="AA553" i="3"/>
  <c r="AA596" i="3"/>
  <c r="AA423" i="3"/>
  <c r="AA681" i="3"/>
  <c r="AA608" i="3"/>
  <c r="AA257" i="3"/>
  <c r="AA22" i="3"/>
  <c r="AA426" i="3"/>
  <c r="AA181" i="3"/>
  <c r="AA354" i="3"/>
  <c r="AA514" i="3"/>
  <c r="AA78" i="3"/>
  <c r="AA422" i="3"/>
  <c r="AA655" i="3"/>
  <c r="AA479" i="3"/>
  <c r="AA761" i="3"/>
  <c r="AA47" i="3"/>
  <c r="AA280" i="3"/>
  <c r="AA406" i="3"/>
  <c r="AA341" i="3"/>
  <c r="AA72" i="3"/>
  <c r="AA441" i="3"/>
  <c r="AA459" i="3"/>
  <c r="AA377" i="3"/>
  <c r="AA359" i="3"/>
  <c r="AA617" i="3"/>
  <c r="AA219" i="3"/>
  <c r="AA653" i="3"/>
  <c r="AA24" i="3"/>
  <c r="AA98" i="3"/>
  <c r="AA752" i="3"/>
  <c r="AA240" i="3"/>
  <c r="AA484" i="3"/>
  <c r="AA417" i="3"/>
  <c r="AA559" i="3"/>
  <c r="AA247" i="3"/>
  <c r="AA285" i="3"/>
  <c r="AA745" i="3"/>
  <c r="AA605" i="3"/>
  <c r="AA476" i="3"/>
  <c r="AA157" i="3"/>
  <c r="AA33" i="3"/>
  <c r="AA659" i="3"/>
  <c r="AA758" i="3"/>
  <c r="AA231" i="3"/>
  <c r="AA412" i="3"/>
  <c r="AA337" i="3"/>
  <c r="AA152" i="3"/>
  <c r="AA366" i="3"/>
  <c r="AA361" i="3"/>
  <c r="AA83" i="3"/>
  <c r="AA669" i="3"/>
  <c r="AA709" i="3"/>
  <c r="AA618" i="3"/>
  <c r="AA600" i="3"/>
  <c r="AA689" i="3"/>
  <c r="AA603" i="3"/>
  <c r="AA770" i="3"/>
  <c r="AA381" i="3"/>
  <c r="AA711" i="3"/>
  <c r="AA123" i="3"/>
  <c r="AA492" i="3"/>
  <c r="AA688" i="3"/>
  <c r="AA508" i="3"/>
  <c r="AA727" i="3"/>
  <c r="AA585" i="3"/>
  <c r="AA642" i="3"/>
  <c r="AA263" i="3"/>
  <c r="AA389" i="3"/>
  <c r="AA722" i="3"/>
  <c r="AA211" i="3"/>
  <c r="AA544" i="3"/>
  <c r="AA108" i="3"/>
  <c r="AA579" i="3"/>
  <c r="AA496" i="3"/>
  <c r="AA358" i="3"/>
  <c r="AA710" i="3"/>
  <c r="AA185" i="3"/>
  <c r="AA432" i="3"/>
  <c r="AA140" i="3"/>
  <c r="AA347" i="3"/>
  <c r="AA708" i="3"/>
  <c r="AA701" i="3"/>
  <c r="AA252" i="3"/>
  <c r="AA772" i="3"/>
  <c r="AA472" i="3"/>
  <c r="AA134" i="3"/>
  <c r="AA71" i="3"/>
  <c r="AA124" i="3"/>
  <c r="AA420" i="3"/>
  <c r="AA534" i="3"/>
  <c r="AA610" i="3"/>
  <c r="AA339" i="3"/>
  <c r="AA756" i="3"/>
  <c r="AA105" i="3"/>
  <c r="AA375" i="3"/>
  <c r="AA686" i="3"/>
  <c r="AA193" i="3"/>
  <c r="AA55" i="3"/>
  <c r="AA535" i="3"/>
  <c r="AA115" i="3"/>
  <c r="AA512" i="3"/>
  <c r="AA101" i="3"/>
  <c r="AA548" i="3"/>
  <c r="AA106" i="3"/>
  <c r="AA374" i="3"/>
  <c r="AA713" i="3"/>
  <c r="AA513" i="3"/>
  <c r="AA650" i="3"/>
  <c r="AA611" i="3"/>
  <c r="AA192" i="3"/>
  <c r="AA597" i="3"/>
  <c r="AA392" i="3"/>
  <c r="AA100" i="3"/>
  <c r="AA316" i="3"/>
  <c r="AA336" i="3"/>
  <c r="AA206" i="3"/>
  <c r="AA172" i="3"/>
  <c r="AA380" i="3"/>
  <c r="AA524" i="3"/>
  <c r="AA556" i="3"/>
  <c r="AA362" i="3"/>
  <c r="AA486" i="3"/>
  <c r="AA267" i="3"/>
  <c r="AA583" i="3"/>
  <c r="AA694" i="3"/>
  <c r="AA230" i="3"/>
  <c r="AA442" i="3"/>
  <c r="AA166" i="3"/>
  <c r="AA622" i="3"/>
  <c r="AA269" i="3"/>
  <c r="AA169" i="3"/>
  <c r="AA223" i="3"/>
  <c r="AA541" i="3"/>
  <c r="AA566" i="3"/>
  <c r="AA651" i="3"/>
  <c r="AA119" i="3"/>
  <c r="AA62" i="3"/>
  <c r="AA549" i="3"/>
  <c r="AA527" i="3"/>
  <c r="AA719" i="3"/>
  <c r="AA138" i="3"/>
  <c r="AA114" i="3"/>
  <c r="AA550" i="3"/>
  <c r="AA147" i="3"/>
  <c r="AA304" i="3"/>
  <c r="AA35" i="3"/>
  <c r="AA235" i="3"/>
  <c r="AA364" i="3"/>
  <c r="AA433" i="3"/>
  <c r="AA488" i="3"/>
  <c r="AA373" i="3"/>
  <c r="AA68" i="3"/>
  <c r="AA226" i="3"/>
  <c r="AA662" i="3"/>
  <c r="AA59" i="3"/>
  <c r="AA353" i="3"/>
  <c r="AA191" i="3"/>
  <c r="AA309" i="3"/>
  <c r="AA677" i="3"/>
  <c r="AA165" i="3"/>
  <c r="AA351" i="3"/>
  <c r="AA63" i="3"/>
  <c r="AA26" i="3"/>
  <c r="AA546" i="3"/>
  <c r="AA602" i="3"/>
  <c r="AA753" i="3"/>
  <c r="AA195" i="3"/>
  <c r="AA712" i="3"/>
  <c r="AA574" i="3"/>
  <c r="AA176" i="3"/>
  <c r="AA593" i="3"/>
  <c r="AA385" i="3"/>
  <c r="AA94" i="3"/>
  <c r="AA45" i="3"/>
  <c r="AA229" i="3"/>
  <c r="AA315" i="3"/>
  <c r="AA298" i="3"/>
  <c r="AA784" i="3"/>
  <c r="AA190" i="3"/>
  <c r="AA399" i="3"/>
  <c r="AA482" i="3"/>
  <c r="AA76" i="3"/>
  <c r="AA254" i="3"/>
  <c r="AA95" i="3"/>
  <c r="AA720" i="3"/>
  <c r="AA40" i="3"/>
  <c r="AA734" i="3"/>
  <c r="AA604" i="3"/>
  <c r="AA738" i="3"/>
  <c r="AA725" i="3"/>
  <c r="AA594" i="3"/>
  <c r="AA626" i="3"/>
  <c r="AA356" i="3"/>
  <c r="AA216" i="3"/>
  <c r="AA378" i="3"/>
  <c r="AA419" i="3"/>
  <c r="AA773" i="3"/>
  <c r="AA245" i="3"/>
  <c r="AA494" i="3"/>
  <c r="AA256" i="3"/>
  <c r="AA671" i="3"/>
  <c r="AA248" i="3"/>
  <c r="AA588" i="3"/>
  <c r="AA407" i="3"/>
  <c r="AA751" i="3"/>
  <c r="AA41" i="3"/>
  <c r="AA723" i="3"/>
  <c r="AA19" i="3"/>
  <c r="AA17" i="3"/>
  <c r="AA318" i="3"/>
  <c r="AA93" i="3"/>
  <c r="AA515" i="3"/>
  <c r="AA599" i="3"/>
  <c r="AA540" i="3"/>
  <c r="AA9" i="3"/>
  <c r="AA289" i="3"/>
  <c r="AA754" i="3"/>
  <c r="AA498" i="3"/>
  <c r="AA568" i="3"/>
  <c r="AA99" i="3"/>
  <c r="AA580" i="3"/>
  <c r="AA560" i="3"/>
  <c r="AA89" i="3"/>
  <c r="AA199" i="3"/>
  <c r="AA173" i="3"/>
  <c r="AA155" i="3"/>
  <c r="AA767" i="3"/>
  <c r="AA473" i="3"/>
  <c r="AA322" i="3"/>
  <c r="AA234" i="3"/>
  <c r="AA447" i="3"/>
  <c r="AA369" i="3"/>
  <c r="AA562" i="3"/>
  <c r="AA615" i="3"/>
  <c r="AA142" i="3"/>
  <c r="AA613" i="3"/>
  <c r="AA104" i="3"/>
  <c r="AA91" i="3"/>
  <c r="AA306" i="3"/>
  <c r="AA266" i="3"/>
  <c r="AA624" i="3"/>
  <c r="AA481" i="3"/>
  <c r="AA382" i="3"/>
  <c r="AA201" i="3"/>
  <c r="AA214" i="3"/>
  <c r="AA561" i="3"/>
  <c r="AA621" i="3"/>
  <c r="AA700" i="3"/>
  <c r="AA141" i="3"/>
  <c r="AA503" i="3"/>
  <c r="AA287" i="3"/>
  <c r="AA418" i="3"/>
  <c r="AA729" i="3"/>
  <c r="AA388" i="3"/>
  <c r="AA425" i="3"/>
  <c r="AA376" i="3"/>
  <c r="AA221" i="3"/>
  <c r="AA570" i="3"/>
  <c r="AA652" i="3"/>
  <c r="AA227" i="3"/>
  <c r="AA51" i="3"/>
  <c r="AA716" i="3"/>
  <c r="AA543" i="3"/>
  <c r="AA780" i="3"/>
  <c r="AA310" i="3"/>
  <c r="AA538" i="3"/>
  <c r="AA678" i="3"/>
  <c r="AA558" i="3"/>
  <c r="AA667" i="3"/>
  <c r="AA633" i="3"/>
  <c r="AA271" i="3"/>
  <c r="AA684" i="3"/>
  <c r="AA563" i="3"/>
  <c r="AA80" i="3"/>
  <c r="AA693" i="3"/>
  <c r="AA18" i="3"/>
  <c r="AA379" i="3"/>
  <c r="AA575" i="3"/>
  <c r="AA365" i="3"/>
  <c r="AA130" i="3"/>
  <c r="AA547" i="3"/>
  <c r="AA457" i="3"/>
  <c r="AA521" i="3"/>
  <c r="AA265" i="3"/>
  <c r="AA666" i="3"/>
  <c r="AA495" i="3"/>
  <c r="AA286" i="3"/>
  <c r="AA251" i="3"/>
  <c r="AA598" i="3"/>
  <c r="AA5" i="3"/>
  <c r="AA665" i="3"/>
  <c r="AA539" i="3"/>
  <c r="AA405" i="3"/>
  <c r="AA291" i="3"/>
  <c r="AA16" i="3"/>
  <c r="AA246" i="3"/>
  <c r="AA728" i="3"/>
  <c r="AA64" i="3"/>
  <c r="AA79" i="3"/>
  <c r="AA601" i="3"/>
  <c r="AA343" i="3"/>
  <c r="AA213" i="3"/>
  <c r="AA782" i="3"/>
  <c r="AA565" i="3"/>
  <c r="AA88" i="3"/>
  <c r="AA260" i="3"/>
  <c r="AA284" i="3"/>
  <c r="AA485" i="3"/>
  <c r="AA153" i="3"/>
  <c r="AA84" i="3"/>
  <c r="AA350" i="3"/>
  <c r="AA150" i="3"/>
  <c r="AA552" i="3"/>
  <c r="AA187" i="3"/>
  <c r="AA483" i="3"/>
  <c r="AA127" i="3"/>
  <c r="AA685" i="3"/>
  <c r="AA721" i="3"/>
  <c r="AA174" i="3"/>
  <c r="AA238" i="3"/>
  <c r="AA12" i="3"/>
  <c r="AA44" i="3"/>
  <c r="AA668" i="3"/>
  <c r="AA480" i="3"/>
  <c r="AA188" i="3"/>
  <c r="AA321" i="3"/>
  <c r="AA632" i="3"/>
  <c r="AA450" i="3"/>
  <c r="AA15" i="3"/>
  <c r="AA455" i="3"/>
  <c r="AA444" i="3"/>
  <c r="AA674" i="3"/>
  <c r="AA156" i="3"/>
  <c r="AA30" i="3"/>
  <c r="AA478" i="3"/>
  <c r="AA634" i="3"/>
  <c r="AA118" i="3"/>
  <c r="AA497" i="3"/>
  <c r="AA288" i="3"/>
  <c r="AA732" i="3"/>
  <c r="AA630" i="3"/>
  <c r="AA370" i="3"/>
  <c r="AA163" i="3"/>
  <c r="AA10" i="3"/>
  <c r="AA774" i="3"/>
  <c r="AA319" i="3"/>
  <c r="AA776" i="3"/>
  <c r="AA162" i="3"/>
  <c r="AA706" i="3"/>
  <c r="AA111" i="3"/>
  <c r="AA697" i="3"/>
  <c r="AA311" i="3"/>
  <c r="AA202" i="3"/>
  <c r="AA168" i="3"/>
  <c r="AA67" i="3"/>
  <c r="AA672" i="3"/>
  <c r="AA446" i="3"/>
  <c r="AA573" i="3"/>
  <c r="AA545" i="3"/>
  <c r="AA345" i="3"/>
  <c r="AA278" i="3"/>
  <c r="AA628" i="3"/>
  <c r="AA264" i="3"/>
  <c r="AA436" i="3"/>
  <c r="AA402" i="3"/>
  <c r="AA696" i="3"/>
  <c r="AA137" i="3"/>
  <c r="AA215" i="3"/>
  <c r="AA511" i="3"/>
  <c r="AA96" i="3"/>
  <c r="AA675" i="3"/>
  <c r="AA453" i="3"/>
  <c r="AA126" i="3"/>
  <c r="AA529" i="3"/>
  <c r="AA65" i="3"/>
  <c r="AA149" i="3"/>
  <c r="AA440" i="3"/>
  <c r="AA387" i="3"/>
  <c r="AA323" i="3"/>
  <c r="AA160" i="3"/>
  <c r="AA131" i="3"/>
  <c r="AA737" i="3"/>
  <c r="AA740" i="3"/>
  <c r="AA408" i="3"/>
  <c r="AA250" i="3"/>
  <c r="AA724" i="3"/>
  <c r="AA21" i="3"/>
  <c r="AA726" i="3"/>
  <c r="AA357" i="3"/>
  <c r="AA276" i="3"/>
  <c r="AA683" i="3"/>
  <c r="AA464" i="3"/>
  <c r="AA771" i="3"/>
  <c r="AA748" i="3"/>
  <c r="AA367" i="3"/>
  <c r="AA542" i="3"/>
  <c r="AA469" i="3"/>
  <c r="AA718" i="3"/>
  <c r="AA183" i="3"/>
  <c r="AA208" i="3"/>
  <c r="AA132" i="3"/>
  <c r="AA74" i="3"/>
  <c r="AA338" i="3"/>
  <c r="AA439" i="3"/>
  <c r="AA136" i="3"/>
  <c r="AA699" i="3"/>
  <c r="AA581" i="3"/>
  <c r="AA395" i="3"/>
  <c r="AA7" i="3"/>
  <c r="AA736" i="3"/>
  <c r="AA456" i="3"/>
  <c r="AA620" i="3"/>
  <c r="AA145" i="3"/>
  <c r="AA38" i="3"/>
  <c r="AA54" i="3"/>
  <c r="AA744" i="3"/>
  <c r="AA90" i="3"/>
  <c r="AA217" i="3"/>
  <c r="AA592" i="3"/>
  <c r="AA648" i="3"/>
  <c r="AA586" i="3"/>
  <c r="AA237" i="3"/>
  <c r="AA404" i="3"/>
  <c r="AA46" i="3"/>
  <c r="AA239" i="3"/>
  <c r="AA53" i="3"/>
  <c r="AA325" i="3"/>
  <c r="AA294" i="3"/>
  <c r="AA641" i="3"/>
  <c r="AA109" i="3"/>
  <c r="AA692" i="3"/>
  <c r="AA414" i="3"/>
  <c r="AA117" i="3"/>
  <c r="AA203" i="3"/>
  <c r="AA528" i="3"/>
  <c r="AA589" i="3"/>
  <c r="AA427" i="3"/>
  <c r="AA352" i="3"/>
  <c r="AA301" i="3"/>
  <c r="AA14" i="3"/>
  <c r="AA463" i="3"/>
  <c r="AA300" i="3"/>
  <c r="AA320" i="3"/>
  <c r="AA8" i="3"/>
  <c r="AA519" i="3"/>
  <c r="AA768" i="3"/>
  <c r="AA698" i="3"/>
  <c r="AA171" i="3"/>
  <c r="AA489" i="3"/>
  <c r="AA210" i="3"/>
  <c r="AA673" i="3"/>
  <c r="AA268" i="3"/>
  <c r="AA58" i="3"/>
  <c r="AA680" i="3"/>
  <c r="AA458" i="3"/>
  <c r="AA312" i="3"/>
  <c r="AA614" i="3"/>
  <c r="AA57" i="3"/>
  <c r="AA649" i="3"/>
  <c r="AA518" i="3"/>
  <c r="AA526" i="3"/>
  <c r="AA759" i="3"/>
  <c r="AA658" i="3"/>
  <c r="AA765" i="3"/>
  <c r="AA715" i="3"/>
  <c r="AA241" i="3"/>
  <c r="AA200" i="3"/>
  <c r="AA509" i="3"/>
  <c r="AA27" i="3"/>
  <c r="AA189" i="3"/>
  <c r="AA530" i="3"/>
  <c r="AA690" i="3"/>
  <c r="AA465" i="3"/>
  <c r="AA317" i="3"/>
  <c r="AA158" i="3"/>
  <c r="AA517" i="3"/>
  <c r="AA70" i="3"/>
  <c r="AA324" i="3"/>
  <c r="AA551" i="3"/>
  <c r="AA682" i="3"/>
  <c r="AA299" i="3"/>
  <c r="AA60" i="3"/>
  <c r="AA467" i="3"/>
  <c r="AA454" i="3"/>
  <c r="AA533" i="3"/>
  <c r="AA386" i="3"/>
  <c r="AA471" i="3"/>
  <c r="AA760" i="3"/>
  <c r="AA493" i="3"/>
  <c r="AA429" i="3"/>
  <c r="AA253" i="3"/>
  <c r="AA225" i="3"/>
  <c r="AA244" i="3"/>
  <c r="AA82" i="3"/>
  <c r="AA52" i="3"/>
  <c r="AA125" i="3"/>
  <c r="AA557" i="3"/>
  <c r="AA595" i="3"/>
  <c r="AA349" i="3"/>
  <c r="AA224" i="3"/>
  <c r="AA491" i="3"/>
  <c r="AA340" i="3"/>
  <c r="AA243" i="3"/>
  <c r="AA296" i="3"/>
  <c r="AA421" i="3"/>
  <c r="AA303" i="3"/>
  <c r="AA293" i="3"/>
  <c r="AA569" i="3"/>
  <c r="AA755" i="3"/>
  <c r="AA531" i="3"/>
  <c r="AA204" i="3"/>
  <c r="AA731" i="3"/>
  <c r="AA584" i="3"/>
  <c r="AA520" i="3"/>
  <c r="AA50" i="3"/>
  <c r="AA308" i="3"/>
  <c r="AA384" i="3"/>
  <c r="AA161" i="3"/>
  <c r="AA462" i="3"/>
  <c r="AA222" i="3"/>
  <c r="AA477" i="3"/>
  <c r="AA587" i="3"/>
  <c r="AA627" i="3"/>
  <c r="AA133" i="3"/>
  <c r="AA516" i="3"/>
  <c r="AA154" i="3"/>
  <c r="AA178" i="3"/>
  <c r="AA443" i="3"/>
  <c r="AA277" i="3"/>
  <c r="AA290" i="3"/>
  <c r="AA741" i="3"/>
  <c r="AA32" i="3"/>
  <c r="AA249" i="3"/>
  <c r="AA363" i="3"/>
  <c r="AA255" i="3"/>
  <c r="AA92" i="3"/>
  <c r="AA13" i="3"/>
  <c r="AA742" i="3"/>
  <c r="AA102" i="3"/>
  <c r="AA629" i="3"/>
  <c r="AA735" i="3"/>
  <c r="AA451" i="3"/>
  <c r="AA572" i="3"/>
  <c r="AA346" i="3"/>
  <c r="AA510" i="3"/>
  <c r="AA411" i="3"/>
  <c r="AA279" i="3"/>
  <c r="AA687" i="3"/>
  <c r="AA175" i="3"/>
  <c r="AA196" i="3"/>
  <c r="AA394" i="3"/>
  <c r="AA705" i="3"/>
  <c r="AA577" i="3"/>
  <c r="AA468" i="3"/>
  <c r="AA564" i="3"/>
  <c r="AA182" i="3"/>
  <c r="AA461" i="3"/>
  <c r="AA762" i="3"/>
  <c r="AA37" i="3"/>
  <c r="AA228" i="3"/>
  <c r="AA49" i="3"/>
  <c r="AA184" i="3"/>
  <c r="AA607" i="3"/>
  <c r="AA730" i="3"/>
  <c r="AA619" i="3"/>
  <c r="AA197" i="3"/>
  <c r="AA103" i="3"/>
  <c r="AA647" i="3"/>
  <c r="AA591" i="3"/>
  <c r="AA48" i="3"/>
  <c r="AA371" i="3"/>
  <c r="AA631" i="3"/>
  <c r="AA143" i="3"/>
  <c r="AA86" i="3"/>
  <c r="AA43" i="3"/>
  <c r="AA739" i="3"/>
  <c r="AA29" i="3"/>
  <c r="AA167" i="3"/>
  <c r="AA438" i="3"/>
  <c r="AA661" i="3"/>
  <c r="AA28" i="3"/>
  <c r="AA164" i="3"/>
  <c r="AA663" i="3"/>
  <c r="AA437" i="3"/>
  <c r="AA523" i="3"/>
  <c r="AA664" i="3"/>
  <c r="AA766" i="3"/>
  <c r="AA448" i="3"/>
  <c r="AA292" i="3"/>
  <c r="AA198" i="3"/>
  <c r="AA625" i="3"/>
  <c r="AA261" i="3"/>
  <c r="AA159" i="3"/>
  <c r="AA69" i="3"/>
  <c r="AA25" i="3"/>
  <c r="AA297" i="3"/>
  <c r="AA112" i="3"/>
  <c r="AA129" i="3"/>
  <c r="AA413" i="3"/>
  <c r="AA749" i="3"/>
  <c r="AA656" i="3"/>
  <c r="AA400" i="3"/>
  <c r="AA275" i="3"/>
  <c r="AA416" i="3"/>
  <c r="AA56" i="3"/>
  <c r="AA746" i="3"/>
  <c r="AA504" i="3"/>
  <c r="AA128" i="3"/>
  <c r="AA23" i="3"/>
  <c r="AA502" i="3"/>
  <c r="AA242" i="3"/>
  <c r="AA205" i="3"/>
  <c r="AA50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Farhan Amanulla Shaikh</author>
    <author>Farhan Shaikh</author>
    <author>amer amer</author>
  </authors>
  <commentList>
    <comment ref="F7" authorId="0" shapeId="0" xr:uid="{01394929-D4DA-40F6-BED5-D926837C7DD3}">
      <text>
        <r>
          <rPr>
            <b/>
            <sz val="9"/>
            <color indexed="81"/>
            <rFont val="Tahoma"/>
            <family val="2"/>
          </rPr>
          <t>Farhan Amanulla Shaikh:</t>
        </r>
        <r>
          <rPr>
            <sz val="9"/>
            <color indexed="81"/>
            <rFont val="Tahoma"/>
            <family val="2"/>
          </rPr>
          <t xml:space="preserve">
Multipurpose</t>
        </r>
      </text>
    </comment>
    <comment ref="F12" authorId="0" shapeId="0" xr:uid="{F5CB1BBE-A2DD-496C-9BA6-1C09BABBA203}">
      <text>
        <r>
          <rPr>
            <b/>
            <sz val="9"/>
            <color indexed="81"/>
            <rFont val="Tahoma"/>
            <family val="2"/>
          </rPr>
          <t>Farhan Amanulla Shaikh:</t>
        </r>
        <r>
          <rPr>
            <sz val="9"/>
            <color indexed="81"/>
            <rFont val="Tahoma"/>
            <family val="2"/>
          </rPr>
          <t xml:space="preserve">
Multipurpose</t>
        </r>
      </text>
    </comment>
    <comment ref="F19" authorId="0" shapeId="0" xr:uid="{E8570115-3A22-4A7C-86E2-13F52F1E1AE9}">
      <text>
        <r>
          <rPr>
            <b/>
            <sz val="9"/>
            <color indexed="81"/>
            <rFont val="Tahoma"/>
            <family val="2"/>
          </rPr>
          <t>Farhan Amanulla Shaikh:</t>
        </r>
        <r>
          <rPr>
            <sz val="9"/>
            <color indexed="81"/>
            <rFont val="Tahoma"/>
            <family val="2"/>
          </rPr>
          <t xml:space="preserve">
Multipurpose</t>
        </r>
      </text>
    </comment>
    <comment ref="L28" authorId="0" shapeId="0" xr:uid="{416A190F-7C55-4A6E-B769-C48B559EEF94}">
      <text>
        <r>
          <rPr>
            <b/>
            <sz val="9"/>
            <color indexed="81"/>
            <rFont val="Tahoma"/>
            <family val="2"/>
          </rPr>
          <t xml:space="preserve">Farhan Amanulla Shaikh
</t>
        </r>
        <r>
          <rPr>
            <sz val="9"/>
            <color indexed="81"/>
            <rFont val="Tahoma"/>
            <family val="2"/>
          </rPr>
          <t>10,101,435.80 - Actual Amount</t>
        </r>
      </text>
    </comment>
    <comment ref="F34" authorId="0" shapeId="0" xr:uid="{143D470D-399B-47BB-9798-9DF4569DF0DB}">
      <text>
        <r>
          <rPr>
            <b/>
            <sz val="9"/>
            <color indexed="81"/>
            <rFont val="Tahoma"/>
            <family val="2"/>
          </rPr>
          <t>Farhan Amanulla Shaikh:</t>
        </r>
        <r>
          <rPr>
            <sz val="9"/>
            <color indexed="81"/>
            <rFont val="Tahoma"/>
            <family val="2"/>
          </rPr>
          <t xml:space="preserve">
Multipurpose</t>
        </r>
      </text>
    </comment>
    <comment ref="D52" authorId="0" shapeId="0" xr:uid="{49F18272-940B-4777-B660-9D45C18FAA43}">
      <text>
        <r>
          <rPr>
            <b/>
            <sz val="9"/>
            <color indexed="81"/>
            <rFont val="Tahoma"/>
            <family val="2"/>
          </rPr>
          <t>Farhan Amanulla Shaikh:</t>
        </r>
        <r>
          <rPr>
            <sz val="9"/>
            <color indexed="81"/>
            <rFont val="Tahoma"/>
            <family val="2"/>
          </rPr>
          <t xml:space="preserve">
KSP New LC List 10m</t>
        </r>
      </text>
    </comment>
    <comment ref="F91" authorId="1" shapeId="0" xr:uid="{7EC87A52-7BEF-4A1C-B7DC-12EA9B564896}">
      <text>
        <r>
          <rPr>
            <b/>
            <sz val="9"/>
            <color indexed="81"/>
            <rFont val="Tahoma"/>
            <family val="2"/>
          </rPr>
          <t>Farhan Shaikh:</t>
        </r>
        <r>
          <rPr>
            <sz val="9"/>
            <color indexed="81"/>
            <rFont val="Tahoma"/>
            <family val="2"/>
          </rPr>
          <t xml:space="preserve">
Oceanarium</t>
        </r>
      </text>
    </comment>
    <comment ref="F93" authorId="0" shapeId="0" xr:uid="{7AA60208-E65D-4A7C-A672-22B5F6F7A63E}">
      <text>
        <r>
          <rPr>
            <b/>
            <sz val="9"/>
            <color indexed="81"/>
            <rFont val="Tahoma"/>
            <family val="2"/>
          </rPr>
          <t>Farhan Amanulla Shaikh:</t>
        </r>
        <r>
          <rPr>
            <sz val="9"/>
            <color indexed="81"/>
            <rFont val="Tahoma"/>
            <family val="2"/>
          </rPr>
          <t xml:space="preserve">
Multipurpose</t>
        </r>
      </text>
    </comment>
    <comment ref="D107" authorId="0" shapeId="0" xr:uid="{BAB5F063-E442-489A-A6F0-AE045894BE2D}">
      <text>
        <r>
          <rPr>
            <b/>
            <sz val="9"/>
            <color indexed="81"/>
            <rFont val="Tahoma"/>
            <family val="2"/>
          </rPr>
          <t>Farhan Amanulla Shaikh:</t>
        </r>
        <r>
          <rPr>
            <sz val="9"/>
            <color indexed="81"/>
            <rFont val="Tahoma"/>
            <family val="2"/>
          </rPr>
          <t xml:space="preserve">
KSP New LC List 10m</t>
        </r>
      </text>
    </comment>
    <comment ref="F108" authorId="0" shapeId="0" xr:uid="{02A6D3D4-681B-4BF5-8608-9297CE4C1C0D}">
      <text>
        <r>
          <rPr>
            <b/>
            <sz val="9"/>
            <color indexed="81"/>
            <rFont val="Tahoma"/>
            <family val="2"/>
          </rPr>
          <t>Farhan Amanulla Shaikh:</t>
        </r>
        <r>
          <rPr>
            <sz val="9"/>
            <color indexed="81"/>
            <rFont val="Tahoma"/>
            <family val="2"/>
          </rPr>
          <t xml:space="preserve">
Multipurpose</t>
        </r>
      </text>
    </comment>
    <comment ref="D117" authorId="0" shapeId="0" xr:uid="{7023FA19-F2F9-4AA0-BDE7-F944ED2640C3}">
      <text>
        <r>
          <rPr>
            <b/>
            <sz val="9"/>
            <color indexed="81"/>
            <rFont val="Tahoma"/>
            <family val="2"/>
          </rPr>
          <t>Farhan Amanulla Shaikh:</t>
        </r>
        <r>
          <rPr>
            <sz val="9"/>
            <color indexed="81"/>
            <rFont val="Tahoma"/>
            <family val="2"/>
          </rPr>
          <t xml:space="preserve">
KSP New LC List 10m</t>
        </r>
      </text>
    </comment>
    <comment ref="F119" authorId="0" shapeId="0" xr:uid="{21166BEC-93C5-4D9C-8CF3-4E6E6E804932}">
      <text>
        <r>
          <rPr>
            <b/>
            <sz val="9"/>
            <color indexed="81"/>
            <rFont val="Tahoma"/>
            <family val="2"/>
          </rPr>
          <t>Farhan Amanulla Shaikh:</t>
        </r>
        <r>
          <rPr>
            <sz val="9"/>
            <color indexed="81"/>
            <rFont val="Tahoma"/>
            <family val="2"/>
          </rPr>
          <t xml:space="preserve">
Oceanarium</t>
        </r>
      </text>
    </comment>
    <comment ref="D135" authorId="0" shapeId="0" xr:uid="{73BFBB41-4511-4A1A-AD88-DC149A7C6085}">
      <text>
        <r>
          <rPr>
            <b/>
            <sz val="9"/>
            <color indexed="81"/>
            <rFont val="Tahoma"/>
            <family val="2"/>
          </rPr>
          <t>Farhan Amanulla Shaikh:</t>
        </r>
        <r>
          <rPr>
            <sz val="9"/>
            <color indexed="81"/>
            <rFont val="Tahoma"/>
            <family val="2"/>
          </rPr>
          <t xml:space="preserve">
KAP Novation- payment plan and issuance of LC's</t>
        </r>
      </text>
    </comment>
    <comment ref="D140" authorId="0" shapeId="0" xr:uid="{EE3364F9-7221-4BB3-A4FE-9745484CC6C9}">
      <text>
        <r>
          <rPr>
            <b/>
            <sz val="9"/>
            <color indexed="81"/>
            <rFont val="Tahoma"/>
            <family val="2"/>
          </rPr>
          <t>Farhan Amanulla Shaikh:</t>
        </r>
        <r>
          <rPr>
            <sz val="9"/>
            <color indexed="81"/>
            <rFont val="Tahoma"/>
            <family val="2"/>
          </rPr>
          <t xml:space="preserve">
KAP Novation- payment plan and issuance of LC's</t>
        </r>
      </text>
    </comment>
    <comment ref="F158" authorId="0" shapeId="0" xr:uid="{547998ED-3ED7-432F-83CD-345EF36AEEFC}">
      <text>
        <r>
          <rPr>
            <b/>
            <sz val="9"/>
            <color indexed="81"/>
            <rFont val="Tahoma"/>
            <family val="2"/>
          </rPr>
          <t>Farhan Amanulla Shaikh:</t>
        </r>
        <r>
          <rPr>
            <sz val="9"/>
            <color indexed="81"/>
            <rFont val="Tahoma"/>
            <family val="2"/>
          </rPr>
          <t xml:space="preserve">
Oceanarium</t>
        </r>
      </text>
    </comment>
    <comment ref="F189" authorId="0" shapeId="0" xr:uid="{ECA6AFFC-D44F-4F56-BDA2-659317E3DD6C}">
      <text>
        <r>
          <rPr>
            <b/>
            <sz val="9"/>
            <color indexed="81"/>
            <rFont val="Tahoma"/>
            <family val="2"/>
          </rPr>
          <t>Farhan Amanulla Shaikh:</t>
        </r>
        <r>
          <rPr>
            <sz val="9"/>
            <color indexed="81"/>
            <rFont val="Tahoma"/>
            <family val="2"/>
          </rPr>
          <t xml:space="preserve">
Multipurpose</t>
        </r>
      </text>
    </comment>
    <comment ref="F233" authorId="1" shapeId="0" xr:uid="{3CECDD13-472C-4019-9292-FBB05B16C7B9}">
      <text>
        <r>
          <rPr>
            <b/>
            <sz val="9"/>
            <color indexed="81"/>
            <rFont val="Tahoma"/>
            <family val="2"/>
          </rPr>
          <t>Farhan Shaikh:</t>
        </r>
        <r>
          <rPr>
            <sz val="9"/>
            <color indexed="81"/>
            <rFont val="Tahoma"/>
            <family val="2"/>
          </rPr>
          <t xml:space="preserve">
Oceanarium</t>
        </r>
      </text>
    </comment>
    <comment ref="F239" authorId="0" shapeId="0" xr:uid="{2D754CB5-25E0-43EB-AAE3-D7E37D6A0862}">
      <text>
        <r>
          <rPr>
            <b/>
            <sz val="9"/>
            <color indexed="81"/>
            <rFont val="Tahoma"/>
            <family val="2"/>
          </rPr>
          <t>Farhan Amanulla Shaikh:</t>
        </r>
        <r>
          <rPr>
            <sz val="9"/>
            <color indexed="81"/>
            <rFont val="Tahoma"/>
            <family val="2"/>
          </rPr>
          <t xml:space="preserve">
Multipurpose</t>
        </r>
      </text>
    </comment>
    <comment ref="F242" authorId="0" shapeId="0" xr:uid="{EFC52026-8BAA-4CFA-AE84-8B580371D7D6}">
      <text>
        <r>
          <rPr>
            <b/>
            <sz val="9"/>
            <color indexed="81"/>
            <rFont val="Tahoma"/>
            <family val="2"/>
          </rPr>
          <t>Farhan Amanulla Shaikh:</t>
        </r>
        <r>
          <rPr>
            <sz val="9"/>
            <color indexed="81"/>
            <rFont val="Tahoma"/>
            <family val="2"/>
          </rPr>
          <t xml:space="preserve">
Multipurpose</t>
        </r>
      </text>
    </comment>
    <comment ref="D262" authorId="0" shapeId="0" xr:uid="{75C7FE63-3385-4A50-BEA5-C6355F33ED24}">
      <text>
        <r>
          <rPr>
            <b/>
            <sz val="9"/>
            <color indexed="81"/>
            <rFont val="Tahoma"/>
            <family val="2"/>
          </rPr>
          <t>Farhan Amanulla Shaikh:</t>
        </r>
        <r>
          <rPr>
            <sz val="9"/>
            <color indexed="81"/>
            <rFont val="Tahoma"/>
            <family val="2"/>
          </rPr>
          <t xml:space="preserve">
KSP New LC List 10m</t>
        </r>
      </text>
    </comment>
    <comment ref="F263" authorId="0" shapeId="0" xr:uid="{797A54DC-34C4-4079-8409-BC980CE25B94}">
      <text>
        <r>
          <rPr>
            <b/>
            <sz val="9"/>
            <color indexed="81"/>
            <rFont val="Tahoma"/>
            <family val="2"/>
          </rPr>
          <t>Farhan Amanulla Shaikh:</t>
        </r>
        <r>
          <rPr>
            <sz val="9"/>
            <color indexed="81"/>
            <rFont val="Tahoma"/>
            <family val="2"/>
          </rPr>
          <t xml:space="preserve">
Oceanarium</t>
        </r>
      </text>
    </comment>
    <comment ref="L265" authorId="0" shapeId="0" xr:uid="{466EEE4C-CA3B-4F05-90E6-B21CD8D3757D}">
      <text>
        <r>
          <rPr>
            <b/>
            <sz val="9"/>
            <color indexed="81"/>
            <rFont val="Tahoma"/>
            <family val="2"/>
          </rPr>
          <t>Farhan Amanulla Shaikh:</t>
        </r>
        <r>
          <rPr>
            <sz val="9"/>
            <color indexed="81"/>
            <rFont val="Tahoma"/>
            <family val="2"/>
          </rPr>
          <t xml:space="preserve">
Initial Amount 19323348.88</t>
        </r>
      </text>
    </comment>
    <comment ref="F281" authorId="0" shapeId="0" xr:uid="{C1C57600-4B60-42F4-8108-5C54A0A16F46}">
      <text>
        <r>
          <rPr>
            <b/>
            <sz val="9"/>
            <color indexed="81"/>
            <rFont val="Tahoma"/>
            <family val="2"/>
          </rPr>
          <t>Farhan Amanulla Shaikh:</t>
        </r>
        <r>
          <rPr>
            <sz val="9"/>
            <color indexed="81"/>
            <rFont val="Tahoma"/>
            <family val="2"/>
          </rPr>
          <t xml:space="preserve">
Multipurpose</t>
        </r>
      </text>
    </comment>
    <comment ref="F283" authorId="0" shapeId="0" xr:uid="{298FCD6C-CB50-4532-8752-7058BC3B104D}">
      <text>
        <r>
          <rPr>
            <b/>
            <sz val="9"/>
            <color indexed="81"/>
            <rFont val="Tahoma"/>
            <family val="2"/>
          </rPr>
          <t>Farhan Amanulla Shaikh:</t>
        </r>
        <r>
          <rPr>
            <sz val="9"/>
            <color indexed="81"/>
            <rFont val="Tahoma"/>
            <family val="2"/>
          </rPr>
          <t xml:space="preserve">
Multipurpose</t>
        </r>
      </text>
    </comment>
    <comment ref="F298" authorId="0" shapeId="0" xr:uid="{1FC9F074-F2EA-495F-9CBB-98A7C5E71BE9}">
      <text>
        <r>
          <rPr>
            <b/>
            <sz val="9"/>
            <color indexed="81"/>
            <rFont val="Tahoma"/>
            <family val="2"/>
          </rPr>
          <t>Farhan Amanulla Shaikh:</t>
        </r>
        <r>
          <rPr>
            <sz val="9"/>
            <color indexed="81"/>
            <rFont val="Tahoma"/>
            <family val="2"/>
          </rPr>
          <t xml:space="preserve">
Multipurpose</t>
        </r>
      </text>
    </comment>
    <comment ref="L302" authorId="0" shapeId="0" xr:uid="{DCFC5211-B44C-435B-93E9-B22DD0CF991F}">
      <text>
        <r>
          <rPr>
            <b/>
            <sz val="9"/>
            <color indexed="81"/>
            <rFont val="Tahoma"/>
            <family val="2"/>
          </rPr>
          <t>Farhan Amanulla Shaikh:</t>
        </r>
        <r>
          <rPr>
            <sz val="9"/>
            <color indexed="81"/>
            <rFont val="Tahoma"/>
            <family val="2"/>
          </rPr>
          <t xml:space="preserve">
SAR 315000.00 with 5% tolerance
</t>
        </r>
      </text>
    </comment>
    <comment ref="F319" authorId="0" shapeId="0" xr:uid="{1ACD7CF3-6A1F-4297-A0FC-0CF28A8E98FC}">
      <text>
        <r>
          <rPr>
            <b/>
            <sz val="9"/>
            <color indexed="81"/>
            <rFont val="Tahoma"/>
            <family val="2"/>
          </rPr>
          <t>Farhan Amanulla Shaikh:</t>
        </r>
        <r>
          <rPr>
            <sz val="9"/>
            <color indexed="81"/>
            <rFont val="Tahoma"/>
            <family val="2"/>
          </rPr>
          <t xml:space="preserve">
Multipurpose</t>
        </r>
      </text>
    </comment>
    <comment ref="F320" authorId="0" shapeId="0" xr:uid="{DDB54C42-0D92-44C0-842C-312BEA1138F5}">
      <text>
        <r>
          <rPr>
            <b/>
            <sz val="9"/>
            <color indexed="81"/>
            <rFont val="Tahoma"/>
            <family val="2"/>
          </rPr>
          <t>Farhan Amanulla Shaikh:</t>
        </r>
        <r>
          <rPr>
            <sz val="9"/>
            <color indexed="81"/>
            <rFont val="Tahoma"/>
            <family val="2"/>
          </rPr>
          <t xml:space="preserve">
Multipurpose</t>
        </r>
      </text>
    </comment>
    <comment ref="D324" authorId="0" shapeId="0" xr:uid="{4AA2485C-B5B8-4F8B-9710-A7820A7F2D6F}">
      <text>
        <r>
          <rPr>
            <b/>
            <sz val="9"/>
            <color indexed="81"/>
            <rFont val="Tahoma"/>
            <family val="2"/>
          </rPr>
          <t>Farhan Amanulla Shaikh:</t>
        </r>
        <r>
          <rPr>
            <sz val="9"/>
            <color indexed="81"/>
            <rFont val="Tahoma"/>
            <family val="2"/>
          </rPr>
          <t xml:space="preserve">
New LC list - Old Dues 17M (Hamza)</t>
        </r>
      </text>
    </comment>
    <comment ref="D342" authorId="0" shapeId="0" xr:uid="{C363DD2D-5BF9-45A2-BD95-11E4A89B8941}">
      <text>
        <r>
          <rPr>
            <b/>
            <sz val="9"/>
            <color indexed="81"/>
            <rFont val="Tahoma"/>
            <family val="2"/>
          </rPr>
          <t>Farhan Amanulla Shaikh:</t>
        </r>
        <r>
          <rPr>
            <sz val="9"/>
            <color indexed="81"/>
            <rFont val="Tahoma"/>
            <family val="2"/>
          </rPr>
          <t xml:space="preserve">
KSP New LC List 10m</t>
        </r>
      </text>
    </comment>
    <comment ref="F345" authorId="0" shapeId="0" xr:uid="{2C26A14D-6402-405E-B96D-CC0DE59B2262}">
      <text>
        <r>
          <rPr>
            <b/>
            <sz val="9"/>
            <color indexed="81"/>
            <rFont val="Tahoma"/>
            <family val="2"/>
          </rPr>
          <t>Farhan Amanulla Shaikh:</t>
        </r>
        <r>
          <rPr>
            <sz val="9"/>
            <color indexed="81"/>
            <rFont val="Tahoma"/>
            <family val="2"/>
          </rPr>
          <t xml:space="preserve">
Multipurpose</t>
        </r>
      </text>
    </comment>
    <comment ref="F349" authorId="0" shapeId="0" xr:uid="{CF3BC3E5-8674-4F92-8159-4E01121A3E51}">
      <text>
        <r>
          <rPr>
            <b/>
            <sz val="9"/>
            <color indexed="81"/>
            <rFont val="Tahoma"/>
            <family val="2"/>
          </rPr>
          <t>Farhan Amanulla Shaikh:</t>
        </r>
        <r>
          <rPr>
            <sz val="9"/>
            <color indexed="81"/>
            <rFont val="Tahoma"/>
            <family val="2"/>
          </rPr>
          <t xml:space="preserve">
Multipurpose</t>
        </r>
      </text>
    </comment>
    <comment ref="D352" authorId="0" shapeId="0" xr:uid="{E1571C13-243A-4275-9A98-529E2F686704}">
      <text>
        <r>
          <rPr>
            <b/>
            <sz val="9"/>
            <color indexed="81"/>
            <rFont val="Tahoma"/>
            <family val="2"/>
          </rPr>
          <t>Farhan Amanulla Shaikh:</t>
        </r>
        <r>
          <rPr>
            <sz val="9"/>
            <color indexed="81"/>
            <rFont val="Tahoma"/>
            <family val="2"/>
          </rPr>
          <t xml:space="preserve">
KSP New LC List 10m</t>
        </r>
      </text>
    </comment>
    <comment ref="F362" authorId="0" shapeId="0" xr:uid="{903C9BCA-5CB8-42C1-BAC4-8AA36A130543}">
      <text>
        <r>
          <rPr>
            <b/>
            <sz val="9"/>
            <color indexed="81"/>
            <rFont val="Tahoma"/>
            <family val="2"/>
          </rPr>
          <t>Farhan Amanulla Shaikh:</t>
        </r>
        <r>
          <rPr>
            <sz val="9"/>
            <color indexed="81"/>
            <rFont val="Tahoma"/>
            <family val="2"/>
          </rPr>
          <t xml:space="preserve">
Multipurpose</t>
        </r>
      </text>
    </comment>
    <comment ref="P384" authorId="2" shapeId="0" xr:uid="{F6BE3D78-AA75-485F-8E9A-5B336ED3BE3E}">
      <text>
        <r>
          <rPr>
            <sz val="8"/>
            <color indexed="81"/>
            <rFont val="Tahoma"/>
            <family val="2"/>
          </rPr>
          <t xml:space="preserve">
Expiry Before 3 months we need to Request for Amendment to FCC </t>
        </r>
      </text>
    </comment>
    <comment ref="P385" authorId="2" shapeId="0" xr:uid="{BDA9AAB9-2B44-4D4F-BEE3-BD35F1DFB7B1}">
      <text>
        <r>
          <rPr>
            <sz val="8"/>
            <color indexed="81"/>
            <rFont val="Tahoma"/>
            <family val="2"/>
          </rPr>
          <t xml:space="preserve">
Expiry Before 3 months we need to Request for Amendment to FCC </t>
        </r>
      </text>
    </comment>
    <comment ref="D417" authorId="0" shapeId="0" xr:uid="{55B335F1-4789-4B7C-BDF7-936A1BF6AC94}">
      <text>
        <r>
          <rPr>
            <b/>
            <sz val="9"/>
            <color indexed="81"/>
            <rFont val="Tahoma"/>
            <family val="2"/>
          </rPr>
          <t>Farhan Amanulla Shaikh:</t>
        </r>
        <r>
          <rPr>
            <sz val="9"/>
            <color indexed="81"/>
            <rFont val="Tahoma"/>
            <family val="2"/>
          </rPr>
          <t xml:space="preserve">
New LC list - Old Dues 17M (Hamza)</t>
        </r>
      </text>
    </comment>
    <comment ref="F420" authorId="0" shapeId="0" xr:uid="{F651016B-176D-4E56-8548-E77C455A5483}">
      <text>
        <r>
          <rPr>
            <b/>
            <sz val="9"/>
            <color indexed="81"/>
            <rFont val="Tahoma"/>
            <family val="2"/>
          </rPr>
          <t>Farhan Amanulla Shaikh:</t>
        </r>
        <r>
          <rPr>
            <sz val="9"/>
            <color indexed="81"/>
            <rFont val="Tahoma"/>
            <family val="2"/>
          </rPr>
          <t xml:space="preserve">
Multipurpose</t>
        </r>
      </text>
    </comment>
    <comment ref="F422" authorId="0" shapeId="0" xr:uid="{7B09C624-39AB-4DDC-ADA0-8A7A88742B19}">
      <text>
        <r>
          <rPr>
            <b/>
            <sz val="9"/>
            <color indexed="81"/>
            <rFont val="Tahoma"/>
            <family val="2"/>
          </rPr>
          <t>Farhan Amanulla Shaikh:</t>
        </r>
        <r>
          <rPr>
            <sz val="9"/>
            <color indexed="81"/>
            <rFont val="Tahoma"/>
            <family val="2"/>
          </rPr>
          <t xml:space="preserve">
Multipurpose</t>
        </r>
      </text>
    </comment>
    <comment ref="L422" authorId="0" shapeId="0" xr:uid="{40420C27-C8E7-46B8-8282-1A554F98C283}">
      <text>
        <r>
          <rPr>
            <b/>
            <sz val="9"/>
            <color indexed="81"/>
            <rFont val="Tahoma"/>
            <family val="2"/>
          </rPr>
          <t>Farhan Amanulla Shaikh:</t>
        </r>
        <r>
          <rPr>
            <sz val="9"/>
            <color indexed="81"/>
            <rFont val="Tahoma"/>
            <family val="2"/>
          </rPr>
          <t xml:space="preserve">
10,000,000.00</t>
        </r>
      </text>
    </comment>
    <comment ref="L423" authorId="0" shapeId="0" xr:uid="{D96CEDDE-5B14-4C8E-BB6C-3D31F2D2B876}">
      <text>
        <r>
          <rPr>
            <b/>
            <sz val="9"/>
            <color indexed="81"/>
            <rFont val="Tahoma"/>
            <family val="2"/>
          </rPr>
          <t>Farhan Amanulla Shaikh:</t>
        </r>
        <r>
          <rPr>
            <sz val="9"/>
            <color indexed="81"/>
            <rFont val="Tahoma"/>
            <family val="2"/>
          </rPr>
          <t xml:space="preserve">
This is part of IM2512733006</t>
        </r>
      </text>
    </comment>
    <comment ref="L429" authorId="0" shapeId="0" xr:uid="{CE07AD5F-F1B6-4E34-A414-617F50F2D689}">
      <text>
        <r>
          <rPr>
            <b/>
            <sz val="9"/>
            <color indexed="81"/>
            <rFont val="Tahoma"/>
            <family val="2"/>
          </rPr>
          <t>Farhan Amanulla Shaikh:</t>
        </r>
        <r>
          <rPr>
            <sz val="9"/>
            <color indexed="81"/>
            <rFont val="Tahoma"/>
            <family val="2"/>
          </rPr>
          <t xml:space="preserve">
Half Amount
4,262,455.25</t>
        </r>
      </text>
    </comment>
    <comment ref="P437" authorId="2" shapeId="0" xr:uid="{09F250EA-1FF4-41FF-B37C-A36524346B19}">
      <text>
        <r>
          <rPr>
            <sz val="8"/>
            <color indexed="81"/>
            <rFont val="Tahoma"/>
            <family val="2"/>
          </rPr>
          <t xml:space="preserve">
Expiry Before 3 months we need to Request for Amendment to FCC </t>
        </r>
      </text>
    </comment>
    <comment ref="D447" authorId="0" shapeId="0" xr:uid="{0FBBE70F-BC54-41CB-9CBE-7C6073EC1BE5}">
      <text>
        <r>
          <rPr>
            <b/>
            <sz val="9"/>
            <color indexed="81"/>
            <rFont val="Tahoma"/>
            <family val="2"/>
          </rPr>
          <t>Farhan Amanulla Shaikh:</t>
        </r>
        <r>
          <rPr>
            <sz val="9"/>
            <color indexed="81"/>
            <rFont val="Tahoma"/>
            <family val="2"/>
          </rPr>
          <t xml:space="preserve">
KAP Novation- payment plan and issuance of LC's</t>
        </r>
      </text>
    </comment>
    <comment ref="D454" authorId="0" shapeId="0" xr:uid="{0994F55F-9494-4D53-A611-51B53B3184A0}">
      <text>
        <r>
          <rPr>
            <b/>
            <sz val="9"/>
            <color indexed="81"/>
            <rFont val="Tahoma"/>
            <family val="2"/>
          </rPr>
          <t>Farhan Amanulla Shaikh:</t>
        </r>
        <r>
          <rPr>
            <sz val="9"/>
            <color indexed="81"/>
            <rFont val="Tahoma"/>
            <family val="2"/>
          </rPr>
          <t xml:space="preserve">
KSP New LC List 10m</t>
        </r>
      </text>
    </comment>
    <comment ref="L466" authorId="0" shapeId="0" xr:uid="{95DBAFC1-E59B-4B24-A763-10705EC515F4}">
      <text>
        <r>
          <rPr>
            <b/>
            <sz val="9"/>
            <color indexed="81"/>
            <rFont val="Tahoma"/>
            <family val="2"/>
          </rPr>
          <t>Farhan Amanulla Shaikh:</t>
        </r>
        <r>
          <rPr>
            <sz val="9"/>
            <color indexed="81"/>
            <rFont val="Tahoma"/>
            <family val="2"/>
          </rPr>
          <t xml:space="preserve">
Actual Amount 13,155,618.20</t>
        </r>
      </text>
    </comment>
    <comment ref="F470" authorId="0" shapeId="0" xr:uid="{360999C8-3BDE-429D-9378-AFB6E9C46643}">
      <text>
        <r>
          <rPr>
            <b/>
            <sz val="9"/>
            <color indexed="81"/>
            <rFont val="Tahoma"/>
            <family val="2"/>
          </rPr>
          <t>Farhan Amanulla Shaikh:</t>
        </r>
        <r>
          <rPr>
            <sz val="9"/>
            <color indexed="81"/>
            <rFont val="Tahoma"/>
            <family val="2"/>
          </rPr>
          <t xml:space="preserve">
Multipurpose</t>
        </r>
      </text>
    </comment>
    <comment ref="O479" authorId="0" shapeId="0" xr:uid="{28DFE4EC-27C8-4DEB-8672-BF13600CDB9D}">
      <text>
        <r>
          <rPr>
            <b/>
            <sz val="9"/>
            <color indexed="81"/>
            <rFont val="Tahoma"/>
            <family val="2"/>
          </rPr>
          <t>Farhan Amanulla Shaikh:</t>
        </r>
        <r>
          <rPr>
            <sz val="9"/>
            <color indexed="81"/>
            <rFont val="Tahoma"/>
            <family val="2"/>
          </rPr>
          <t xml:space="preserve">
22-May-25</t>
        </r>
      </text>
    </comment>
    <comment ref="P479" authorId="0" shapeId="0" xr:uid="{7EE34561-70A0-4BAA-9305-6D6434CBCED3}">
      <text>
        <r>
          <rPr>
            <b/>
            <sz val="9"/>
            <color indexed="81"/>
            <rFont val="Tahoma"/>
            <family val="2"/>
          </rPr>
          <t>Farhan Amanulla Shaikh:</t>
        </r>
        <r>
          <rPr>
            <sz val="9"/>
            <color indexed="81"/>
            <rFont val="Tahoma"/>
            <family val="2"/>
          </rPr>
          <t xml:space="preserve">
01-May-25</t>
        </r>
      </text>
    </comment>
    <comment ref="D486" authorId="0" shapeId="0" xr:uid="{E56EC424-84E9-460D-A5CC-EC77F0563709}">
      <text>
        <r>
          <rPr>
            <b/>
            <sz val="9"/>
            <color indexed="81"/>
            <rFont val="Tahoma"/>
            <family val="2"/>
          </rPr>
          <t>Farhan Amanulla Shaikh:</t>
        </r>
        <r>
          <rPr>
            <sz val="9"/>
            <color indexed="81"/>
            <rFont val="Tahoma"/>
            <family val="2"/>
          </rPr>
          <t xml:space="preserve">
New LC list - Old Dues 17M (Hamza)</t>
        </r>
      </text>
    </comment>
    <comment ref="F496" authorId="1" shapeId="0" xr:uid="{27263D38-1922-4BAD-9111-8F6EA2B57315}">
      <text>
        <r>
          <rPr>
            <b/>
            <sz val="9"/>
            <color indexed="81"/>
            <rFont val="Tahoma"/>
            <family val="2"/>
          </rPr>
          <t>Farhan Shaikh:</t>
        </r>
        <r>
          <rPr>
            <sz val="9"/>
            <color indexed="81"/>
            <rFont val="Tahoma"/>
            <family val="2"/>
          </rPr>
          <t xml:space="preserve">
Oceanarium</t>
        </r>
      </text>
    </comment>
    <comment ref="F505" authorId="0" shapeId="0" xr:uid="{8F4C1CBC-4805-4A94-A26B-97A130BA659D}">
      <text>
        <r>
          <rPr>
            <b/>
            <sz val="9"/>
            <color indexed="81"/>
            <rFont val="Tahoma"/>
            <family val="2"/>
          </rPr>
          <t>Farhan Amanulla Shaikh:</t>
        </r>
        <r>
          <rPr>
            <sz val="9"/>
            <color indexed="81"/>
            <rFont val="Tahoma"/>
            <family val="2"/>
          </rPr>
          <t xml:space="preserve">
Multipurpose</t>
        </r>
      </text>
    </comment>
    <comment ref="D506" authorId="0" shapeId="0" xr:uid="{327CF057-8804-4397-B7F1-4E09F17CA579}">
      <text>
        <r>
          <rPr>
            <b/>
            <sz val="9"/>
            <color indexed="81"/>
            <rFont val="Tahoma"/>
            <family val="2"/>
          </rPr>
          <t>Farhan Amanulla Shaikh:</t>
        </r>
        <r>
          <rPr>
            <sz val="9"/>
            <color indexed="81"/>
            <rFont val="Tahoma"/>
            <family val="2"/>
          </rPr>
          <t xml:space="preserve">
New LC list - Old Dues 17M (Hamza)</t>
        </r>
      </text>
    </comment>
    <comment ref="F519" authorId="0" shapeId="0" xr:uid="{39442B6E-03BE-439B-B3AA-800E7CD6EFC9}">
      <text>
        <r>
          <rPr>
            <b/>
            <sz val="9"/>
            <color indexed="81"/>
            <rFont val="Tahoma"/>
            <family val="2"/>
          </rPr>
          <t>Farhan Amanulla Shaikh:</t>
        </r>
        <r>
          <rPr>
            <sz val="9"/>
            <color indexed="81"/>
            <rFont val="Tahoma"/>
            <family val="2"/>
          </rPr>
          <t xml:space="preserve">
Multipurpose</t>
        </r>
      </text>
    </comment>
    <comment ref="F528" authorId="0" shapeId="0" xr:uid="{9F1378DC-1858-4AC9-8F48-863F13677961}">
      <text>
        <r>
          <rPr>
            <b/>
            <sz val="9"/>
            <color indexed="81"/>
            <rFont val="Tahoma"/>
            <family val="2"/>
          </rPr>
          <t>Farhan Amanulla Shaikh:</t>
        </r>
        <r>
          <rPr>
            <sz val="9"/>
            <color indexed="81"/>
            <rFont val="Tahoma"/>
            <family val="2"/>
          </rPr>
          <t xml:space="preserve">
Multipurpose</t>
        </r>
      </text>
    </comment>
    <comment ref="D552" authorId="0" shapeId="0" xr:uid="{1C0B06D5-1BCC-44A9-B2C2-E24D18CCA5ED}">
      <text>
        <r>
          <rPr>
            <b/>
            <sz val="9"/>
            <color indexed="81"/>
            <rFont val="Tahoma"/>
            <family val="2"/>
          </rPr>
          <t>Farhan Amanulla Shaikh:</t>
        </r>
        <r>
          <rPr>
            <sz val="9"/>
            <color indexed="81"/>
            <rFont val="Tahoma"/>
            <family val="2"/>
          </rPr>
          <t xml:space="preserve">
KAP Novation- payment plan and issuance of LC's</t>
        </r>
      </text>
    </comment>
    <comment ref="F561" authorId="0" shapeId="0" xr:uid="{8D988CA1-D6F7-4C88-853B-002CE4BEBE58}">
      <text>
        <r>
          <rPr>
            <b/>
            <sz val="9"/>
            <color indexed="81"/>
            <rFont val="Tahoma"/>
            <family val="2"/>
          </rPr>
          <t>Farhan Amanulla Shaikh:</t>
        </r>
        <r>
          <rPr>
            <sz val="9"/>
            <color indexed="81"/>
            <rFont val="Tahoma"/>
            <family val="2"/>
          </rPr>
          <t xml:space="preserve">
Multipurpose</t>
        </r>
      </text>
    </comment>
    <comment ref="L597" authorId="0" shapeId="0" xr:uid="{3D1ABC7D-FB13-45FC-B1F6-EA374B31E44F}">
      <text>
        <r>
          <rPr>
            <b/>
            <sz val="9"/>
            <color indexed="81"/>
            <rFont val="Tahoma"/>
            <family val="2"/>
          </rPr>
          <t>Farhan Amanulla Shaikh:</t>
        </r>
        <r>
          <rPr>
            <sz val="9"/>
            <color indexed="81"/>
            <rFont val="Tahoma"/>
            <family val="2"/>
          </rPr>
          <t xml:space="preserve">
Full Amount - SAR 36,462,500</t>
        </r>
      </text>
    </comment>
    <comment ref="F598" authorId="1" shapeId="0" xr:uid="{5D7917AA-9F3D-40C5-8F11-A6A4710D2246}">
      <text>
        <r>
          <rPr>
            <b/>
            <sz val="9"/>
            <color indexed="81"/>
            <rFont val="Tahoma"/>
            <family val="2"/>
          </rPr>
          <t>Farhan Shaikh:</t>
        </r>
        <r>
          <rPr>
            <sz val="9"/>
            <color indexed="81"/>
            <rFont val="Tahoma"/>
            <family val="2"/>
          </rPr>
          <t xml:space="preserve">
Oceanarium</t>
        </r>
      </text>
    </comment>
    <comment ref="L598" authorId="0" shapeId="0" xr:uid="{69C5AF65-5E08-48D9-A19F-09E627F638D8}">
      <text>
        <r>
          <rPr>
            <b/>
            <sz val="9"/>
            <color indexed="81"/>
            <rFont val="Tahoma"/>
            <family val="2"/>
          </rPr>
          <t>Farhan Amanulla Shaikh:</t>
        </r>
        <r>
          <rPr>
            <sz val="9"/>
            <color indexed="81"/>
            <rFont val="Tahoma"/>
            <family val="2"/>
          </rPr>
          <t xml:space="preserve">
Full Amount - SAR 36,462,500</t>
        </r>
      </text>
    </comment>
    <comment ref="F625" authorId="0" shapeId="0" xr:uid="{AA538ED4-DEDE-4190-93F3-D5F2FBFDBFAB}">
      <text>
        <r>
          <rPr>
            <b/>
            <sz val="9"/>
            <color indexed="81"/>
            <rFont val="Tahoma"/>
            <family val="2"/>
          </rPr>
          <t>Farhan Amanulla Shaikh:</t>
        </r>
        <r>
          <rPr>
            <sz val="9"/>
            <color indexed="81"/>
            <rFont val="Tahoma"/>
            <family val="2"/>
          </rPr>
          <t xml:space="preserve">
Multipurpose</t>
        </r>
      </text>
    </comment>
    <comment ref="D626" authorId="0" shapeId="0" xr:uid="{55D19FAD-4C6E-474D-91C6-F6B069E08FF2}">
      <text>
        <r>
          <rPr>
            <b/>
            <sz val="9"/>
            <color indexed="81"/>
            <rFont val="Tahoma"/>
            <family val="2"/>
          </rPr>
          <t>Farhan Amanulla Shaikh:</t>
        </r>
        <r>
          <rPr>
            <sz val="9"/>
            <color indexed="81"/>
            <rFont val="Tahoma"/>
            <family val="2"/>
          </rPr>
          <t xml:space="preserve">
New LC list - Old Dues 17M (Hamza)</t>
        </r>
      </text>
    </comment>
    <comment ref="F637" authorId="0" shapeId="0" xr:uid="{370B61E2-2996-40C5-9BC5-8E267FB730B5}">
      <text>
        <r>
          <rPr>
            <b/>
            <sz val="9"/>
            <color indexed="81"/>
            <rFont val="Tahoma"/>
            <family val="2"/>
          </rPr>
          <t>Farhan Amanulla Shaikh:</t>
        </r>
        <r>
          <rPr>
            <sz val="9"/>
            <color indexed="81"/>
            <rFont val="Tahoma"/>
            <family val="2"/>
          </rPr>
          <t xml:space="preserve">
Multipurpose</t>
        </r>
      </text>
    </comment>
    <comment ref="F658" authorId="0" shapeId="0" xr:uid="{90CE9F43-FAD1-4EA2-869D-F3709DBD3DA4}">
      <text>
        <r>
          <rPr>
            <b/>
            <sz val="9"/>
            <color indexed="81"/>
            <rFont val="Tahoma"/>
            <family val="2"/>
          </rPr>
          <t>Farhan Amanulla Shaikh:</t>
        </r>
        <r>
          <rPr>
            <sz val="9"/>
            <color indexed="81"/>
            <rFont val="Tahoma"/>
            <family val="2"/>
          </rPr>
          <t xml:space="preserve">
Multipurpose</t>
        </r>
      </text>
    </comment>
    <comment ref="L660" authorId="1" shapeId="0" xr:uid="{B4C11650-81E9-4EC5-88B6-49E2C9FCC4BA}">
      <text>
        <r>
          <rPr>
            <b/>
            <sz val="9"/>
            <color indexed="81"/>
            <rFont val="Tahoma"/>
            <family val="2"/>
          </rPr>
          <t>Farhan Shaikh:</t>
        </r>
        <r>
          <rPr>
            <sz val="9"/>
            <color indexed="81"/>
            <rFont val="Tahoma"/>
            <family val="2"/>
          </rPr>
          <t xml:space="preserve">
Total Value - 27,163,072.25</t>
        </r>
      </text>
    </comment>
    <comment ref="F661" authorId="0" shapeId="0" xr:uid="{F45D4DD7-3A04-4921-96B7-5B75121B83A0}">
      <text>
        <r>
          <rPr>
            <b/>
            <sz val="9"/>
            <color indexed="81"/>
            <rFont val="Tahoma"/>
            <family val="2"/>
          </rPr>
          <t>Farhan Amanulla Shaikh:</t>
        </r>
        <r>
          <rPr>
            <sz val="9"/>
            <color indexed="81"/>
            <rFont val="Tahoma"/>
            <family val="2"/>
          </rPr>
          <t xml:space="preserve">
Multipurpose</t>
        </r>
      </text>
    </comment>
    <comment ref="F663" authorId="0" shapeId="0" xr:uid="{3B15FAB7-AEC1-4DB9-9A3B-6330A9F5CB3D}">
      <text>
        <r>
          <rPr>
            <b/>
            <sz val="9"/>
            <color indexed="81"/>
            <rFont val="Tahoma"/>
            <family val="2"/>
          </rPr>
          <t>Farhan Amanulla Shaikh:</t>
        </r>
        <r>
          <rPr>
            <sz val="9"/>
            <color indexed="81"/>
            <rFont val="Tahoma"/>
            <family val="2"/>
          </rPr>
          <t xml:space="preserve">
Multipurpose</t>
        </r>
      </text>
    </comment>
    <comment ref="D689" authorId="0" shapeId="0" xr:uid="{D32F81D0-F158-4E61-8FA4-03DB3B66F0D5}">
      <text>
        <r>
          <rPr>
            <b/>
            <sz val="9"/>
            <color indexed="81"/>
            <rFont val="Tahoma"/>
            <family val="2"/>
          </rPr>
          <t>Farhan Amanulla Shaikh:</t>
        </r>
        <r>
          <rPr>
            <sz val="9"/>
            <color indexed="81"/>
            <rFont val="Tahoma"/>
            <family val="2"/>
          </rPr>
          <t xml:space="preserve">
Contact for LC's</t>
        </r>
      </text>
    </comment>
    <comment ref="G689" authorId="0" shapeId="0" xr:uid="{7DFB189F-C10E-47C6-8B2A-25E2987FA919}">
      <text>
        <r>
          <rPr>
            <b/>
            <sz val="9"/>
            <color indexed="81"/>
            <rFont val="Tahoma"/>
            <family val="2"/>
          </rPr>
          <t>Farhan Amanulla Shaikh:</t>
        </r>
        <r>
          <rPr>
            <sz val="9"/>
            <color indexed="81"/>
            <rFont val="Tahoma"/>
            <family val="2"/>
          </rPr>
          <t xml:space="preserve">
Modern
</t>
        </r>
      </text>
    </comment>
    <comment ref="D703" authorId="0" shapeId="0" xr:uid="{088C2870-02E5-4586-AB24-25CB9EADECBA}">
      <text>
        <r>
          <rPr>
            <b/>
            <sz val="9"/>
            <color indexed="81"/>
            <rFont val="Tahoma"/>
            <family val="2"/>
          </rPr>
          <t>Farhan Amanulla Shaikh:</t>
        </r>
        <r>
          <rPr>
            <sz val="9"/>
            <color indexed="81"/>
            <rFont val="Tahoma"/>
            <family val="2"/>
          </rPr>
          <t xml:space="preserve">
KSP New LC List 10m</t>
        </r>
      </text>
    </comment>
    <comment ref="L705" authorId="1" shapeId="0" xr:uid="{964EC1DC-CC59-4F59-B36D-49AE6EF7A31C}">
      <text>
        <r>
          <rPr>
            <b/>
            <sz val="9"/>
            <color indexed="81"/>
            <rFont val="Tahoma"/>
            <family val="2"/>
          </rPr>
          <t>Farhan Shaikh:</t>
        </r>
        <r>
          <rPr>
            <sz val="9"/>
            <color indexed="81"/>
            <rFont val="Tahoma"/>
            <family val="2"/>
          </rPr>
          <t xml:space="preserve">
Actual LC Value 7,463,500.00</t>
        </r>
      </text>
    </comment>
    <comment ref="D706" authorId="0" shapeId="0" xr:uid="{BDCE2609-31B5-4BBF-A2C9-5678A7E966EB}">
      <text>
        <r>
          <rPr>
            <b/>
            <sz val="9"/>
            <color indexed="81"/>
            <rFont val="Tahoma"/>
            <family val="2"/>
          </rPr>
          <t>Farhan Amanulla Shaikh:</t>
        </r>
        <r>
          <rPr>
            <sz val="9"/>
            <color indexed="81"/>
            <rFont val="Tahoma"/>
            <family val="2"/>
          </rPr>
          <t xml:space="preserve">
KAP Novation- payment plan and issuance of LC's</t>
        </r>
      </text>
    </comment>
    <comment ref="D711" authorId="0" shapeId="0" xr:uid="{51CDD118-815F-4B0E-A17F-DFA910551A76}">
      <text>
        <r>
          <rPr>
            <b/>
            <sz val="9"/>
            <color indexed="81"/>
            <rFont val="Tahoma"/>
            <family val="2"/>
          </rPr>
          <t>Farhan Amanulla Shaikh:</t>
        </r>
        <r>
          <rPr>
            <sz val="9"/>
            <color indexed="81"/>
            <rFont val="Tahoma"/>
            <family val="2"/>
          </rPr>
          <t xml:space="preserve">
KSP New LC List 10m</t>
        </r>
      </text>
    </comment>
    <comment ref="F746" authorId="0" shapeId="0" xr:uid="{CBE28848-11F2-4E9D-B002-ED7BF549CE5B}">
      <text>
        <r>
          <rPr>
            <b/>
            <sz val="9"/>
            <color indexed="81"/>
            <rFont val="Tahoma"/>
            <family val="2"/>
          </rPr>
          <t>Farhan Amanulla Shaikh:</t>
        </r>
        <r>
          <rPr>
            <sz val="9"/>
            <color indexed="81"/>
            <rFont val="Tahoma"/>
            <family val="2"/>
          </rPr>
          <t xml:space="preserve">
Multipurpose</t>
        </r>
      </text>
    </comment>
    <comment ref="F753" authorId="0" shapeId="0" xr:uid="{F90D6E4A-C0C3-475A-A772-BE5D0229ED2E}">
      <text>
        <r>
          <rPr>
            <b/>
            <sz val="9"/>
            <color indexed="81"/>
            <rFont val="Tahoma"/>
            <family val="2"/>
          </rPr>
          <t>Farhan Amanulla Shaikh:</t>
        </r>
        <r>
          <rPr>
            <sz val="9"/>
            <color indexed="81"/>
            <rFont val="Tahoma"/>
            <family val="2"/>
          </rPr>
          <t xml:space="preserve">
Multipurpose</t>
        </r>
      </text>
    </comment>
    <comment ref="F756" authorId="0" shapeId="0" xr:uid="{EB511778-2D54-484B-BCC0-05BF6B5954DC}">
      <text>
        <r>
          <rPr>
            <b/>
            <sz val="9"/>
            <color indexed="81"/>
            <rFont val="Tahoma"/>
            <family val="2"/>
          </rPr>
          <t>Farhan Amanulla Shaikh:</t>
        </r>
        <r>
          <rPr>
            <sz val="9"/>
            <color indexed="81"/>
            <rFont val="Tahoma"/>
            <family val="2"/>
          </rPr>
          <t xml:space="preserve">
Multipurpose</t>
        </r>
      </text>
    </comment>
    <comment ref="F761" authorId="0" shapeId="0" xr:uid="{17E5D56F-AD05-438C-98CB-71633A619B97}">
      <text>
        <r>
          <rPr>
            <b/>
            <sz val="9"/>
            <color indexed="81"/>
            <rFont val="Tahoma"/>
            <family val="2"/>
          </rPr>
          <t>Farhan Amanulla Shaikh:</t>
        </r>
        <r>
          <rPr>
            <sz val="9"/>
            <color indexed="81"/>
            <rFont val="Tahoma"/>
            <family val="2"/>
          </rPr>
          <t xml:space="preserve">
Multipurpose</t>
        </r>
      </text>
    </comment>
    <comment ref="F765" authorId="1" shapeId="0" xr:uid="{BE2502CF-293A-4AEB-8C7C-7E36E9A9594F}">
      <text>
        <r>
          <rPr>
            <b/>
            <sz val="9"/>
            <color indexed="81"/>
            <rFont val="Tahoma"/>
            <family val="2"/>
          </rPr>
          <t>Farhan Shaikh:</t>
        </r>
        <r>
          <rPr>
            <sz val="9"/>
            <color indexed="81"/>
            <rFont val="Tahoma"/>
            <family val="2"/>
          </rPr>
          <t xml:space="preserve">
Oceanarium</t>
        </r>
      </text>
    </comment>
    <comment ref="F799" authorId="0" shapeId="0" xr:uid="{29B69B4D-B6F2-417B-B99F-789FF89A0A19}">
      <text>
        <r>
          <rPr>
            <b/>
            <sz val="9"/>
            <color indexed="81"/>
            <rFont val="Tahoma"/>
            <family val="2"/>
          </rPr>
          <t>Farhan Amanulla Shaikh:</t>
        </r>
        <r>
          <rPr>
            <sz val="9"/>
            <color indexed="81"/>
            <rFont val="Tahoma"/>
            <family val="2"/>
          </rPr>
          <t xml:space="preserve">
Multipurpose</t>
        </r>
      </text>
    </comment>
    <comment ref="F802" authorId="0" shapeId="0" xr:uid="{EE3BF945-3535-4F0D-B2F6-ED1D8AEA8A5D}">
      <text>
        <r>
          <rPr>
            <b/>
            <sz val="9"/>
            <color indexed="81"/>
            <rFont val="Tahoma"/>
            <family val="2"/>
          </rPr>
          <t>Farhan Amanulla Shaikh:</t>
        </r>
        <r>
          <rPr>
            <sz val="9"/>
            <color indexed="81"/>
            <rFont val="Tahoma"/>
            <family val="2"/>
          </rPr>
          <t xml:space="preserve">
Multipurpose</t>
        </r>
      </text>
    </comment>
    <comment ref="F806" authorId="0" shapeId="0" xr:uid="{4A81A3EC-6942-4608-8A97-39374EF805B6}">
      <text>
        <r>
          <rPr>
            <b/>
            <sz val="9"/>
            <color indexed="81"/>
            <rFont val="Tahoma"/>
            <family val="2"/>
          </rPr>
          <t>Farhan Amanulla Shaikh:</t>
        </r>
        <r>
          <rPr>
            <sz val="9"/>
            <color indexed="81"/>
            <rFont val="Tahoma"/>
            <family val="2"/>
          </rPr>
          <t xml:space="preserve">
Multipurpose</t>
        </r>
      </text>
    </comment>
    <comment ref="D815" authorId="0" shapeId="0" xr:uid="{4624D115-3597-4EE6-A640-B77070760F77}">
      <text>
        <r>
          <rPr>
            <b/>
            <sz val="9"/>
            <color indexed="81"/>
            <rFont val="Tahoma"/>
            <family val="2"/>
          </rPr>
          <t>Farhan Amanulla Shaikh:</t>
        </r>
        <r>
          <rPr>
            <sz val="9"/>
            <color indexed="81"/>
            <rFont val="Tahoma"/>
            <family val="2"/>
          </rPr>
          <t xml:space="preserve">
New LC - B05 Project (Hamza)</t>
        </r>
      </text>
    </comment>
    <comment ref="L816" authorId="0" shapeId="0" xr:uid="{AB65E5BE-146C-4969-BC31-319E1A00C533}">
      <text>
        <r>
          <rPr>
            <b/>
            <sz val="9"/>
            <color indexed="81"/>
            <rFont val="Tahoma"/>
            <family val="2"/>
          </rPr>
          <t>Farhan Amanulla Shaikh:</t>
        </r>
        <r>
          <rPr>
            <sz val="9"/>
            <color indexed="81"/>
            <rFont val="Tahoma"/>
            <family val="2"/>
          </rPr>
          <t xml:space="preserve">
Actual LC: 17,471,352</t>
        </r>
      </text>
    </comment>
    <comment ref="L820" authorId="0" shapeId="0" xr:uid="{C1DDE188-2785-407B-ACCE-8BCA419E4FF9}">
      <text>
        <r>
          <rPr>
            <b/>
            <sz val="9"/>
            <color indexed="81"/>
            <rFont val="Tahoma"/>
            <family val="2"/>
          </rPr>
          <t>Farhan Amanulla Shaikh:</t>
        </r>
        <r>
          <rPr>
            <sz val="9"/>
            <color indexed="81"/>
            <rFont val="Tahoma"/>
            <family val="2"/>
          </rPr>
          <t xml:space="preserve">
Total LC: 37,536,000.00 + 4,623,922.5</t>
        </r>
      </text>
    </comment>
    <comment ref="F827" authorId="0" shapeId="0" xr:uid="{498EA9BD-BF06-41B0-9CF6-9E962F3B086C}">
      <text>
        <r>
          <rPr>
            <b/>
            <sz val="9"/>
            <color indexed="81"/>
            <rFont val="Tahoma"/>
            <family val="2"/>
          </rPr>
          <t>Farhan Amanulla Shaikh:</t>
        </r>
        <r>
          <rPr>
            <sz val="9"/>
            <color indexed="81"/>
            <rFont val="Tahoma"/>
            <family val="2"/>
          </rPr>
          <t xml:space="preserve">
Multipurpose</t>
        </r>
      </text>
    </comment>
    <comment ref="F828" authorId="0" shapeId="0" xr:uid="{C43C93C7-F298-4240-BBAA-F1C3F8DBD925}">
      <text>
        <r>
          <rPr>
            <b/>
            <sz val="9"/>
            <color indexed="81"/>
            <rFont val="Tahoma"/>
            <family val="2"/>
          </rPr>
          <t>Farhan Amanulla Shaikh:</t>
        </r>
        <r>
          <rPr>
            <sz val="9"/>
            <color indexed="81"/>
            <rFont val="Tahoma"/>
            <family val="2"/>
          </rPr>
          <t xml:space="preserve">
Oceanarium</t>
        </r>
      </text>
    </comment>
    <comment ref="D833" authorId="0" shapeId="0" xr:uid="{3DB27B49-1435-4098-B900-27A7A161B764}">
      <text>
        <r>
          <rPr>
            <b/>
            <sz val="9"/>
            <color indexed="81"/>
            <rFont val="Tahoma"/>
            <family val="2"/>
          </rPr>
          <t>Farhan Amanulla Shaikh:</t>
        </r>
        <r>
          <rPr>
            <sz val="9"/>
            <color indexed="81"/>
            <rFont val="Tahoma"/>
            <family val="2"/>
          </rPr>
          <t xml:space="preserve">
KAP Novation Contract - LC opening to M/s Tabarak Al Momyza</t>
        </r>
      </text>
    </comment>
    <comment ref="F839" authorId="0" shapeId="0" xr:uid="{715ED30F-36CC-4D7E-B8A1-E3B56FF6478C}">
      <text>
        <r>
          <rPr>
            <b/>
            <sz val="9"/>
            <color indexed="81"/>
            <rFont val="Tahoma"/>
            <family val="2"/>
          </rPr>
          <t>Farhan Amanulla Shaikh:</t>
        </r>
        <r>
          <rPr>
            <sz val="9"/>
            <color indexed="81"/>
            <rFont val="Tahoma"/>
            <family val="2"/>
          </rPr>
          <t xml:space="preserve">
Multipurpose</t>
        </r>
      </text>
    </comment>
    <comment ref="L842" authorId="0" shapeId="0" xr:uid="{29ED18B6-594E-4EFE-A288-DDE42F94906A}">
      <text>
        <r>
          <rPr>
            <b/>
            <sz val="9"/>
            <color indexed="81"/>
            <rFont val="Tahoma"/>
            <family val="2"/>
          </rPr>
          <t>Farhan Amanulla Shaikh:</t>
        </r>
        <r>
          <rPr>
            <sz val="9"/>
            <color indexed="81"/>
            <rFont val="Tahoma"/>
            <family val="2"/>
          </rPr>
          <t xml:space="preserve">
Initial LC: 11,
821,448</t>
        </r>
      </text>
    </comment>
    <comment ref="F852" authorId="0" shapeId="0" xr:uid="{C2E1A2D1-2C9D-4CD1-8ECA-1BC841827DBB}">
      <text>
        <r>
          <rPr>
            <b/>
            <sz val="9"/>
            <color indexed="81"/>
            <rFont val="Tahoma"/>
            <family val="2"/>
          </rPr>
          <t>Farhan Amanulla Shaikh:</t>
        </r>
        <r>
          <rPr>
            <sz val="9"/>
            <color indexed="81"/>
            <rFont val="Tahoma"/>
            <family val="2"/>
          </rPr>
          <t xml:space="preserve">
Multipurpose</t>
        </r>
      </text>
    </comment>
    <comment ref="F853" authorId="0" shapeId="0" xr:uid="{CF21985C-A625-4E77-A70C-8FC92E8CA764}">
      <text>
        <r>
          <rPr>
            <b/>
            <sz val="9"/>
            <color indexed="81"/>
            <rFont val="Tahoma"/>
            <family val="2"/>
          </rPr>
          <t>Farhan Amanulla Shaikh:</t>
        </r>
        <r>
          <rPr>
            <sz val="9"/>
            <color indexed="81"/>
            <rFont val="Tahoma"/>
            <family val="2"/>
          </rPr>
          <t xml:space="preserve">
Multipurpose</t>
        </r>
      </text>
    </comment>
    <comment ref="I860" authorId="1" shapeId="0" xr:uid="{E022D286-B31A-4E23-97CC-37C6686E7FF6}">
      <text>
        <r>
          <rPr>
            <b/>
            <sz val="9"/>
            <color indexed="81"/>
            <rFont val="Tahoma"/>
            <family val="2"/>
          </rPr>
          <t>Farhan Shaikh:</t>
        </r>
        <r>
          <rPr>
            <sz val="9"/>
            <color indexed="81"/>
            <rFont val="Tahoma"/>
            <family val="2"/>
          </rPr>
          <t xml:space="preserve">
L01-12M &amp; ADF-13M</t>
        </r>
      </text>
    </comment>
    <comment ref="F864" authorId="0" shapeId="0" xr:uid="{4E8D2353-6B39-4193-8C88-C619D6678C64}">
      <text>
        <r>
          <rPr>
            <b/>
            <sz val="9"/>
            <color indexed="81"/>
            <rFont val="Tahoma"/>
            <family val="2"/>
          </rPr>
          <t>Farhan Amanulla Shaikh:</t>
        </r>
        <r>
          <rPr>
            <sz val="9"/>
            <color indexed="81"/>
            <rFont val="Tahoma"/>
            <family val="2"/>
          </rPr>
          <t xml:space="preserve">
Multipurpose</t>
        </r>
      </text>
    </comment>
    <comment ref="F867" authorId="0" shapeId="0" xr:uid="{A8FD0EB6-14FC-4667-90FE-61C312A9A4E5}">
      <text>
        <r>
          <rPr>
            <b/>
            <sz val="9"/>
            <color indexed="81"/>
            <rFont val="Tahoma"/>
            <family val="2"/>
          </rPr>
          <t>Farhan Amanulla Shaikh:</t>
        </r>
        <r>
          <rPr>
            <sz val="9"/>
            <color indexed="81"/>
            <rFont val="Tahoma"/>
            <family val="2"/>
          </rPr>
          <t xml:space="preserve">
Multipurpose</t>
        </r>
      </text>
    </comment>
    <comment ref="F872" authorId="0" shapeId="0" xr:uid="{DDAF66BF-7BDE-4B97-9291-415D6621C819}">
      <text>
        <r>
          <rPr>
            <b/>
            <sz val="9"/>
            <color indexed="81"/>
            <rFont val="Tahoma"/>
            <family val="2"/>
          </rPr>
          <t>Farhan Amanulla Shaikh:</t>
        </r>
        <r>
          <rPr>
            <sz val="9"/>
            <color indexed="81"/>
            <rFont val="Tahoma"/>
            <family val="2"/>
          </rPr>
          <t xml:space="preserve">
Multipurpose</t>
        </r>
      </text>
    </comment>
    <comment ref="F874" authorId="0" shapeId="0" xr:uid="{4A1C71C2-23BC-4BEF-965B-2CE6D35EEEE8}">
      <text>
        <r>
          <rPr>
            <b/>
            <sz val="9"/>
            <color indexed="81"/>
            <rFont val="Tahoma"/>
            <family val="2"/>
          </rPr>
          <t>Farhan Amanulla Shaikh:</t>
        </r>
        <r>
          <rPr>
            <sz val="9"/>
            <color indexed="81"/>
            <rFont val="Tahoma"/>
            <family val="2"/>
          </rPr>
          <t xml:space="preserve">
Multipurpose</t>
        </r>
      </text>
    </comment>
    <comment ref="B880" authorId="0" shapeId="0" xr:uid="{616C7779-CDFB-48FF-868A-09900DCA37F6}">
      <text>
        <r>
          <rPr>
            <b/>
            <sz val="9"/>
            <color indexed="81"/>
            <rFont val="Tahoma"/>
            <family val="2"/>
          </rPr>
          <t>Farhan Amanulla Shaikh:</t>
        </r>
        <r>
          <rPr>
            <sz val="9"/>
            <color indexed="81"/>
            <rFont val="Tahoma"/>
            <family val="2"/>
          </rPr>
          <t xml:space="preserve">
J209442</t>
        </r>
      </text>
    </comment>
    <comment ref="G880" authorId="0" shapeId="0" xr:uid="{C63881C6-ABBB-4F80-9C7B-8EF0C5F8F056}">
      <text>
        <r>
          <rPr>
            <b/>
            <sz val="9"/>
            <color indexed="81"/>
            <rFont val="Tahoma"/>
            <family val="2"/>
          </rPr>
          <t>Farhan Amanulla Shaikh:</t>
        </r>
        <r>
          <rPr>
            <sz val="9"/>
            <color indexed="81"/>
            <rFont val="Tahoma"/>
            <family val="2"/>
          </rPr>
          <t xml:space="preserve">
Marine</t>
        </r>
      </text>
    </comment>
    <comment ref="L920" authorId="1" shapeId="0" xr:uid="{A87ABCD2-A685-4BA4-83F4-4CD531089805}">
      <text>
        <r>
          <rPr>
            <b/>
            <sz val="9"/>
            <color indexed="81"/>
            <rFont val="Tahoma"/>
            <family val="2"/>
          </rPr>
          <t>Farhan Shaikh:</t>
        </r>
        <r>
          <rPr>
            <sz val="9"/>
            <color indexed="81"/>
            <rFont val="Tahoma"/>
            <family val="2"/>
          </rPr>
          <t xml:space="preserve">
10934851.89</t>
        </r>
      </text>
    </comment>
    <comment ref="L953" authorId="1" shapeId="0" xr:uid="{D0BC2926-66F6-47E2-86E8-00C635A206ED}">
      <text>
        <r>
          <rPr>
            <b/>
            <sz val="9"/>
            <color indexed="81"/>
            <rFont val="Tahoma"/>
            <family val="2"/>
          </rPr>
          <t>Farhan Shaikh:</t>
        </r>
        <r>
          <rPr>
            <sz val="9"/>
            <color indexed="81"/>
            <rFont val="Tahoma"/>
            <family val="2"/>
          </rPr>
          <t xml:space="preserve">
12750268.55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Farhan Amanulla Shaikh</author>
  </authors>
  <commentList>
    <comment ref="Q452" authorId="0" shapeId="0" xr:uid="{B819FB3C-06F2-4512-A8B2-7D8F76E513E0}">
      <text>
        <r>
          <rPr>
            <b/>
            <sz val="9"/>
            <color indexed="81"/>
            <rFont val="Tahoma"/>
            <family val="2"/>
          </rPr>
          <t>Farhan Amanulla Shaikh:</t>
        </r>
        <r>
          <rPr>
            <sz val="9"/>
            <color indexed="81"/>
            <rFont val="Tahoma"/>
            <family val="2"/>
          </rPr>
          <t xml:space="preserve">
Incorrect amt 24692.16</t>
        </r>
      </text>
    </comment>
    <comment ref="Q453" authorId="0" shapeId="0" xr:uid="{A78E1B5F-A502-4DCE-9686-9B8949531C47}">
      <text>
        <r>
          <rPr>
            <b/>
            <sz val="9"/>
            <color indexed="81"/>
            <rFont val="Tahoma"/>
            <family val="2"/>
          </rPr>
          <t>Farhan Amanulla Shaikh:</t>
        </r>
        <r>
          <rPr>
            <sz val="9"/>
            <color indexed="81"/>
            <rFont val="Tahoma"/>
            <family val="2"/>
          </rPr>
          <t xml:space="preserve">
Incorrect amt 52622.71</t>
        </r>
      </text>
    </comment>
    <comment ref="Q533" authorId="0" shapeId="0" xr:uid="{8E333AA9-B938-43D1-B025-6D757BA0D4CE}">
      <text>
        <r>
          <rPr>
            <b/>
            <sz val="9"/>
            <color indexed="81"/>
            <rFont val="Tahoma"/>
            <family val="2"/>
          </rPr>
          <t>Farhan Amanulla Shaikh:</t>
        </r>
        <r>
          <rPr>
            <sz val="9"/>
            <color indexed="81"/>
            <rFont val="Tahoma"/>
            <family val="2"/>
          </rPr>
          <t xml:space="preserve">
EUR 203128.10 + Charges EUR 699.38</t>
        </r>
      </text>
    </comment>
    <comment ref="Q542" authorId="0" shapeId="0" xr:uid="{7BBDA8DD-8261-4B98-887D-78D87E714CC1}">
      <text>
        <r>
          <rPr>
            <b/>
            <sz val="9"/>
            <color indexed="81"/>
            <rFont val="Tahoma"/>
            <family val="2"/>
          </rPr>
          <t>Farhan Amanulla Shaikh:</t>
        </r>
        <r>
          <rPr>
            <sz val="9"/>
            <color indexed="81"/>
            <rFont val="Tahoma"/>
            <family val="2"/>
          </rPr>
          <t xml:space="preserve">
EUR 747,55.00 + Charges EUR 703.65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Farhan Amanulla Shaikh</author>
  </authors>
  <commentList>
    <comment ref="B7" authorId="0" shapeId="0" xr:uid="{CE597A32-0813-4D3B-8221-F0733E98566C}">
      <text>
        <r>
          <rPr>
            <b/>
            <sz val="9"/>
            <color indexed="81"/>
            <rFont val="Tahoma"/>
            <family val="2"/>
          </rPr>
          <t>Farhan Amanulla Shaikh:</t>
        </r>
        <r>
          <rPr>
            <sz val="9"/>
            <color indexed="81"/>
            <rFont val="Tahoma"/>
            <family val="2"/>
          </rPr>
          <t xml:space="preserve">
Facility ID: 
Local | Sight = 279850
Local | Deff = 279852
Foreign | Sight = 279851
Foreign | Deff = 279853
302091 for SNB material gurantee</t>
        </r>
      </text>
    </comment>
    <comment ref="B17" authorId="0" shapeId="0" xr:uid="{71235DFC-CE6A-4260-B720-37429191E6B8}">
      <text>
        <r>
          <rPr>
            <b/>
            <sz val="9"/>
            <color indexed="81"/>
            <rFont val="Tahoma"/>
            <family val="2"/>
          </rPr>
          <t>Farhan Amanulla Shaikh:</t>
        </r>
        <r>
          <rPr>
            <sz val="9"/>
            <color indexed="81"/>
            <rFont val="Tahoma"/>
            <family val="2"/>
          </rPr>
          <t xml:space="preserve">
Facility ID: 258846</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Farhan Shaikh</author>
  </authors>
  <commentList>
    <comment ref="T70" authorId="0" shapeId="0" xr:uid="{448D06E4-EA4A-41E0-9D85-059E14966DBA}">
      <text>
        <r>
          <rPr>
            <b/>
            <sz val="9"/>
            <color indexed="81"/>
            <rFont val="Tahoma"/>
            <family val="2"/>
          </rPr>
          <t>Farhan Shaikh:</t>
        </r>
        <r>
          <rPr>
            <sz val="9"/>
            <color indexed="81"/>
            <rFont val="Tahoma"/>
            <family val="2"/>
          </rPr>
          <t xml:space="preserve">
150 - International
75 - Local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8C1C479-9F22-431C-812D-CFB7486B48F0}" keepAlive="1" name="Query - Alinma_Loans" description="Connection to the 'Alinma_Loans' query in the workbook." type="5" refreshedVersion="8" background="1" saveData="1">
    <dbPr connection="Provider=Microsoft.Mashup.OleDb.1;Data Source=$Workbook$;Location=Alinma_Loans;Extended Properties=&quot;&quot;" command="SELECT * FROM [Alinma_Loans]"/>
  </connection>
  <connection id="2" xr16:uid="{E4C352BD-365A-4803-B973-77BD72842DE8}" keepAlive="1" name="Query - Append11" description="Connection to the 'Append1' query in the workbook." type="5" refreshedVersion="0" background="1">
    <dbPr connection="Provider=Microsoft.Mashup.OleDb.1;Data Source=$Workbook$;Location=Append1;Extended Properties=&quot;&quot;" command="SELECT * FROM [Append1]"/>
  </connection>
  <connection id="3" xr16:uid="{BA97BAA2-04CB-466D-AC33-7D390BB7C733}" keepAlive="1" name="Query - Applicants Signature" description="Connection to the 'Applicants Signature' query in the workbook." type="5" refreshedVersion="0" background="1">
    <dbPr connection="Provider=Microsoft.Mashup.OleDb.1;Data Source=$Workbook$;Location=&quot;Applicants Signature&quot;;Extended Properties=&quot;&quot;" command="SELECT * FROM [Applicants Signature]"/>
  </connection>
  <connection id="4" xr16:uid="{59568EF5-70D7-49BF-807E-B2FDFB923176}" keepAlive="1" name="Query - Applicants Signature pivot" description="Connection to the 'Applicants Signature pivot' query in the workbook." type="5" refreshedVersion="8" background="1">
    <dbPr connection="Provider=Microsoft.Mashup.OleDb.1;Data Source=$Workbook$;Location=&quot;Applicants Signature pivot&quot;;Extended Properties=&quot;&quot;" command="SELECT * FROM [Applicants Signature pivot]"/>
  </connection>
  <connection id="5" xr16:uid="{7CE23618-64F5-4F49-AA77-25105D38A57A}" keepAlive="1" name="Query - Combine_List_Dr_Advice" description="Connection to the 'Combine_List_Dr_Advice' query in the workbook." type="5" refreshedVersion="8" background="1" saveData="1">
    <dbPr connection="Provider=Microsoft.Mashup.OleDb.1;Data Source=$Workbook$;Location=Combine_List_Dr_Advice;Extended Properties=&quot;&quot;" command="SELECT * FROM [Combine_List_Dr_Advice]"/>
  </connection>
  <connection id="6" xr16:uid="{C0A0EBBE-F67C-46A8-9A46-3C53328F9245}" keepAlive="1" name="Query - Document Collection" description="Connection to the 'Document Collection' query in the workbook." type="5" refreshedVersion="8" background="1" saveData="1">
    <dbPr connection="Provider=Microsoft.Mashup.OleDb.1;Data Source=$Workbook$;Location=&quot;Document Collection&quot;;Extended Properties=&quot;&quot;" command="SELECT * FROM [Document Collection]"/>
  </connection>
  <connection id="7" xr16:uid="{C5B69037-5DFA-4289-BD3F-72D71A80EEFF}" keepAlive="1" name="Query - Due Dates" description="Connection to the 'Due Dates' query in the workbook." type="5" refreshedVersion="8" background="1" saveData="1">
    <dbPr connection="Provider=Microsoft.Mashup.OleDb.1;Data Source=$Workbook$;Location=&quot;Due Dates&quot;;Extended Properties=&quot;&quot;" command="SELECT * FROM [Due Dates]"/>
  </connection>
  <connection id="8" xr16:uid="{2DD8CF35-04E6-4D72-AF25-B1B54029ADE5}" keepAlive="1" name="Query - Facility Space(1)" description="Connection to the 'Facility Space' query in the workbook." type="5" refreshedVersion="8" background="1" saveData="1">
    <dbPr connection="Provider=Microsoft.Mashup.OleDb.1;Data Source=$Workbook$;Location=&quot;Facility Space&quot;;Extended Properties=&quot;&quot;" command="SELECT * FROM [Facility Space]"/>
  </connection>
  <connection id="9" xr16:uid="{362F6EC8-1C06-48EE-A6E4-4B9F3F8993DD}" keepAlive="1" name="Query - Facility_Amendment" description="Connection to the 'Facility_Amendment' query in the workbook." type="5" refreshedVersion="8" background="1">
    <dbPr connection="Provider=Microsoft.Mashup.OleDb.1;Data Source=$Workbook$;Location=Facility_Amendment;Extended Properties=&quot;&quot;" command="SELECT * FROM [Facility_Amendment]"/>
  </connection>
  <connection id="10" xr16:uid="{F6023C67-7333-451D-B8BE-00D3D884EE69}" keepAlive="1" name="Query - Facility_Release_Weekwise" description="Connection to the 'Facility_Release_Weekwise' query in the workbook." type="5" refreshedVersion="8" background="1" saveData="1">
    <dbPr connection="Provider=Microsoft.Mashup.OleDb.1;Data Source=$Workbook$;Location=Facility_Release_Weekwise;Extended Properties=&quot;&quot;" command="SELECT * FROM [Facility_Release_Weekwise]"/>
  </connection>
  <connection id="11" xr16:uid="{4DF9828F-B8B7-4921-BDBB-D9973B7F96A7}" keepAlive="1" name="Query - Facility_Request Received" description="Connection to the 'Facility_Request Received' query in the workbook." type="5" refreshedVersion="8" background="1">
    <dbPr connection="Provider=Microsoft.Mashup.OleDb.1;Data Source=$Workbook$;Location=&quot;Facility_Request Received&quot;;Extended Properties=&quot;&quot;" command="SELECT * FROM [Facility_Request Received]"/>
  </connection>
  <connection id="12" xr16:uid="{2C2A6FAB-4C84-4425-AB90-E74D6E108C49}" keepAlive="1" name="Query - Facility_Under_Process" description="Connection to the 'Facility_Under_Process' query in the workbook." type="5" refreshedVersion="8" background="1">
    <dbPr connection="Provider=Microsoft.Mashup.OleDb.1;Data Source=$Workbook$;Location=Facility_Under_Process;Extended Properties=&quot;&quot;" command="SELECT * FROM [Facility_Under_Process]"/>
  </connection>
  <connection id="13" xr16:uid="{C56A9667-1BFD-40BE-AFF5-C8B6E3658931}" keepAlive="1" name="Query - Gua_Debit_Advice" description="Connection to the 'Gua_Debit_Advice' query in the workbook." type="5" refreshedVersion="0" background="1">
    <dbPr connection="Provider=Microsoft.Mashup.OleDb.1;Data Source=$Workbook$;Location=Gua_Debit_Advice;Extended Properties=&quot;&quot;" command="SELECT * FROM [Gua_Debit_Advice]"/>
  </connection>
  <connection id="14" xr16:uid="{D77F6B2F-10E5-4F20-8A40-32073D78D86A}" keepAlive="1" name="Query - Guarantees" description="Connection to the 'Guarantees' query in the workbook." type="5" refreshedVersion="0" background="1">
    <dbPr connection="Provider=Microsoft.Mashup.OleDb.1;Data Source=$Workbook$;Location=Guarantees;Extended Properties=&quot;&quot;" command="SELECT * FROM [Guarantees]"/>
  </connection>
  <connection id="15" xr16:uid="{7E72ECDA-6E87-4F1C-B83C-10BBDDA2CD0F}" keepAlive="1" name="Query - Holding_Acceptance" description="Connection to the 'Holding_Acceptance' query in the workbook." type="5" refreshedVersion="8" background="1">
    <dbPr connection="Provider=Microsoft.Mashup.OleDb.1;Data Source=$Workbook$;Location=Holding_Acceptance;Extended Properties=&quot;&quot;" command="SELECT * FROM [Holding_Acceptance]"/>
  </connection>
  <connection id="16" xr16:uid="{BB5EB8AA-10CB-4AF0-8E04-8B118BD78555}" keepAlive="1" name="Query - Issuance_Stats" description="Connection to the 'Issuance_Stats' query in the workbook." type="5" refreshedVersion="8" background="1">
    <dbPr connection="Provider=Microsoft.Mashup.OleDb.1;Data Source=$Workbook$;Location=Issuance_Stats;Extended Properties=&quot;&quot;" command="SELECT * FROM [Issuance_Stats]"/>
  </connection>
  <connection id="17" xr16:uid="{A8D81910-E344-49E3-85E1-6A164A927B87}" keepAlive="1" name="Query - LC_Cancellation_data1" description="Connection to the 'LC_Cancellation_data' query in the workbook." type="5" refreshedVersion="8" background="1" saveData="1">
    <dbPr connection="Provider=Microsoft.Mashup.OleDb.1;Data Source=$Workbook$;Location=LC_Cancellation_data;Extended Properties=&quot;&quot;" command="SELECT * FROM [LC_Cancellation_data]"/>
  </connection>
  <connection id="18" xr16:uid="{D3228D0B-8998-47E4-A6DE-33C5711F454F}" keepAlive="1" name="Query - LC_Cancellation_pivot" description="Connection to the 'LC_Cancellation_pivot' query in the workbook." type="5" refreshedVersion="8" background="1">
    <dbPr connection="Provider=Microsoft.Mashup.OleDb.1;Data Source=$Workbook$;Location=LC_Cancellation_pivot;Extended Properties=&quot;&quot;" command="SELECT * FROM [LC_Cancellation_pivot]"/>
  </connection>
  <connection id="19" xr16:uid="{7268B759-F934-46DA-8FFC-E4E70A17A5AC}" keepAlive="1" name="Query - LC_Debit_Advice" description="Connection to the 'LC_Debit_Advice' query in the workbook." type="5" refreshedVersion="0" background="1">
    <dbPr connection="Provider=Microsoft.Mashup.OleDb.1;Data Source=$Workbook$;Location=LC_Debit_Advice;Extended Properties=&quot;&quot;" command="SELECT * FROM [LC_Debit_Advice]"/>
  </connection>
  <connection id="20" xr16:uid="{E306080E-4782-426C-96D8-65D54DE418F1}" keepAlive="1" name="Query - LC_Overdrawn" description="Connection to the 'LC_Overdrawn' query in the workbook." type="5" refreshedVersion="8" background="1" saveData="1">
    <dbPr connection="Provider=Microsoft.Mashup.OleDb.1;Data Source=$Workbook$;Location=LC_Overdrawn;Extended Properties=&quot;&quot;" command="SELECT * FROM [LC_Overdrawn]"/>
  </connection>
  <connection id="21" xr16:uid="{BDE82ED1-EA86-4226-9582-E818CAF8F9A1}" keepAlive="1" name="Query - LC_Summary" description="Connection to the 'LC_Summary' query in the workbook." type="5" refreshedVersion="8" background="1" saveData="1">
    <dbPr connection="Provider=Microsoft.Mashup.OleDb.1;Data Source=$Workbook$;Location=LC_Summary;Extended Properties=&quot;&quot;" command="SELECT * FROM [LC_Summary]"/>
  </connection>
  <connection id="22" xr16:uid="{6CFDE677-299F-43A2-8DA6-89D889635AD2}" keepAlive="1" name="Query - List of Due Dates" description="Connection to the 'List of Due Dates' query in the workbook." type="5" refreshedVersion="0" background="1">
    <dbPr connection="Provider=Microsoft.Mashup.OleDb.1;Data Source=$Workbook$;Location=&quot;List of Due Dates&quot;;Extended Properties=&quot;&quot;" command="SELECT * FROM [List of Due Dates]"/>
  </connection>
  <connection id="23" xr16:uid="{EF72F81D-ED7F-48E6-88B7-4E52A6C07075}" keepAlive="1" name="Query - Main_Issuance" description="Connection to the 'Main_Issuance' query in the workbook." type="5" refreshedVersion="0" background="1">
    <dbPr connection="Provider=Microsoft.Mashup.OleDb.1;Data Source=$Workbook$;Location=Main_Issuance;Extended Properties=&quot;&quot;" command="SELECT * FROM [Main_Issuance]"/>
  </connection>
  <connection id="24" xr16:uid="{9D8DBFE2-0E5E-4392-99A2-55146014D4F8}" keepAlive="1" name="Query - Main_Presentation" description="Connection to the 'Main_Presentation' query in the workbook." type="5" refreshedVersion="8" background="1" saveData="1">
    <dbPr connection="Provider=Microsoft.Mashup.OleDb.1;Data Source=$Workbook$;Location=Main_Presentation;Extended Properties=&quot;&quot;" command="SELECT * FROM [Main_Presentation]"/>
  </connection>
  <connection id="25" xr16:uid="{D8A08191-21C0-42E3-ADEB-57AAEB7F983B}" keepAlive="1" name="Query - On_Hold_For_Sign" description="Connection to the 'On_Hold_For_Sign' query in the workbook." type="5" refreshedVersion="8" background="1">
    <dbPr connection="Provider=Microsoft.Mashup.OleDb.1;Data Source=$Workbook$;Location=On_Hold_For_Sign;Extended Properties=&quot;&quot;" command="SELECT * FROM [On_Hold_For_Sign]"/>
  </connection>
  <connection id="26" xr16:uid="{3596A1BB-075D-45ED-9C4F-F600BB56AC31}" keepAlive="1" name="Query - Pending_Guarantees_Stats" description="Connection to the 'Pending_Guarantees_Stats' query in the workbook." type="5" refreshedVersion="0" background="1">
    <dbPr connection="Provider=Microsoft.Mashup.OleDb.1;Data Source=$Workbook$;Location=Pending_Guarantees_Stats;Extended Properties=&quot;&quot;" command="SELECT * FROM [Pending_Guarantees_Stats]"/>
  </connection>
  <connection id="27" xr16:uid="{5CE296BB-DDB8-420B-8667-C7E822937756}" keepAlive="1" name="Query - Pending_Issuance_Stats_Pivot" description="Connection to the 'Pending_Issuance_Stats_Pivot' query in the workbook." type="5" refreshedVersion="8" background="1">
    <dbPr connection="Provider=Microsoft.Mashup.OleDb.1;Data Source=$Workbook$;Location=Pending_Issuance_Stats_Pivot;Extended Properties=&quot;&quot;" command="SELECT * FROM [Pending_Issuance_Stats_Pivot]"/>
  </connection>
  <connection id="28" xr16:uid="{9E6D6BDE-6CE1-494C-A06E-9B2C48D91234}" keepAlive="1" name="Query - Pending_Issuance_Stats11" description="Connection to the 'Pending_Issuance_Stats' query in the workbook." type="5" refreshedVersion="8" background="1" saveData="1">
    <dbPr connection="Provider=Microsoft.Mashup.OleDb.1;Data Source=$Workbook$;Location=Pending_Issuance_Stats;Extended Properties=&quot;&quot;" command="SELECT * FROM [Pending_Issuance_Stats]"/>
  </connection>
  <connection id="29" xr16:uid="{67B47228-0E19-446B-A9C1-62C27F077A72}" keepAlive="1" name="Query - Pending_Settlement_Stats" description="Connection to the 'Pending_Settlement_Stats' query in the workbook." type="5" refreshedVersion="8" background="1" saveData="1">
    <dbPr connection="Provider=Microsoft.Mashup.OleDb.1;Data Source=$Workbook$;Location=Pending_Settlement_Stats;Extended Properties=&quot;&quot;" command="SELECT * FROM [Pending_Settlement_Stats]"/>
  </connection>
  <connection id="30" xr16:uid="{3C1D9C68-6766-4AE3-813F-F42AB45A8D45}" keepAlive="1" name="Query - Pending_Stats1" description="Connection to the 'Pending_Stats' query in the workbook." type="5" refreshedVersion="8" background="1" saveData="1">
    <dbPr connection="Provider=Microsoft.Mashup.OleDb.1;Data Source=$Workbook$;Location=Pending_Stats;Extended Properties=&quot;&quot;" command="SELECT * FROM [Pending_Stats]"/>
  </connection>
  <connection id="31" xr16:uid="{9E108708-7DE2-4C10-925C-BCFDF7D49A06}" keepAlive="1" name="Query - Presentation Settled" description="Connection to the 'Presentation Settled' query in the workbook." type="5" refreshedVersion="8" background="1" saveData="1">
    <dbPr connection="Provider=Microsoft.Mashup.OleDb.1;Data Source=$Workbook$;Location=&quot;Presentation Settled&quot;;Extended Properties=&quot;&quot;" command="SELECT * FROM [Presentation Settled]"/>
  </connection>
  <connection id="32" xr16:uid="{E226185E-FBD6-4971-86DA-FF54AC5C2C5F}" keepAlive="1" name="Query - Presentation_Stats" description="Connection to the 'Presentation_Stats' query in the workbook." type="5" refreshedVersion="8" background="1">
    <dbPr connection="Provider=Microsoft.Mashup.OleDb.1;Data Source=$Workbook$;Location=Presentation_Stats;Extended Properties=&quot;&quot;" command="SELECT * FROM [Presentation_Stats]"/>
  </connection>
  <connection id="33" xr16:uid="{6019A9E8-77C9-4D20-A0BF-8D16C5EA53F0}" keepAlive="1" name="Query - SNB_Loans" description="Connection to the 'SNB_Loans' query in the workbook." type="5" refreshedVersion="8" background="1" saveData="1">
    <dbPr connection="Provider=Microsoft.Mashup.OleDb.1;Data Source=$Workbook$;Location=SNB_Loans;Extended Properties=&quot;&quot;" command="SELECT * FROM [SNB_Loans]"/>
  </connection>
  <connection id="34" xr16:uid="{E019F7E5-0E58-4595-970B-9CBE840E777B}" keepAlive="1" name="Query - Sum_LC_Pending_Settlement" description="Connection to the 'Sum_LC_Pending_Settlement' query in the workbook." type="5" refreshedVersion="0" background="1">
    <dbPr connection="Provider=Microsoft.Mashup.OleDb.1;Data Source=$Workbook$;Location=Sum_LC_Pending_Settlement;Extended Properties=&quot;&quot;" command="SELECT * FROM [Sum_LC_Pending_Settlement]"/>
  </connection>
  <connection id="35" xr16:uid="{5C0AFBE0-4514-493E-AEE5-15243D812959}" keepAlive="1" name="Query - Sum_LC_Settled" description="Connection to the 'Sum_LC_Settled' query in the workbook." type="5" refreshedVersion="0" background="1">
    <dbPr connection="Provider=Microsoft.Mashup.OleDb.1;Data Source=$Workbook$;Location=Sum_LC_Settled;Extended Properties=&quot;&quot;" command="SELECT * FROM [Sum_LC_Settle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<sst xmlns="http://schemas.openxmlformats.org/spreadsheetml/2006/main" count="93742" uniqueCount="5707">
  <si>
    <t>LC Number</t>
  </si>
  <si>
    <t>Issue Date.</t>
  </si>
  <si>
    <t>Status</t>
  </si>
  <si>
    <t>Facility Space</t>
  </si>
  <si>
    <t>Beneficiary</t>
  </si>
  <si>
    <t>Group Company</t>
  </si>
  <si>
    <t>Project</t>
  </si>
  <si>
    <t>Curr</t>
  </si>
  <si>
    <t>LC Amt(FCY)</t>
  </si>
  <si>
    <t>Rate</t>
  </si>
  <si>
    <t>LC Amt(SAR)</t>
  </si>
  <si>
    <t>Cash Margin</t>
  </si>
  <si>
    <t>Recovered</t>
  </si>
  <si>
    <t>Expiry Date</t>
  </si>
  <si>
    <t>Last Ship Date</t>
  </si>
  <si>
    <t>Lines</t>
  </si>
  <si>
    <t>Payment Terms</t>
  </si>
  <si>
    <t>Remarks</t>
  </si>
  <si>
    <t>Active/Cancelled</t>
  </si>
  <si>
    <t>TF2315082491</t>
  </si>
  <si>
    <t>Completed</t>
  </si>
  <si>
    <t>Alinma</t>
  </si>
  <si>
    <t>KSP</t>
  </si>
  <si>
    <t>AL SALEM AIR CONDITIONING CO</t>
  </si>
  <si>
    <t>FIRST FIX</t>
  </si>
  <si>
    <t>B05</t>
  </si>
  <si>
    <t>SAR</t>
  </si>
  <si>
    <t>Credit</t>
  </si>
  <si>
    <t>90 Days from Delivery Date</t>
  </si>
  <si>
    <t>TF2319883712</t>
  </si>
  <si>
    <t>LSI PROJECTS LIMITIED - ICAD</t>
  </si>
  <si>
    <t>GBP</t>
  </si>
  <si>
    <t>60 Days from Shipment Date</t>
  </si>
  <si>
    <t>TF2322084323</t>
  </si>
  <si>
    <t>ALBILAD CONCRETE PIPES</t>
  </si>
  <si>
    <t>60 Days from Delivery Date</t>
  </si>
  <si>
    <t>TF2324184994</t>
  </si>
  <si>
    <t>ARABIAN INTERNATIONAL COMPANY</t>
  </si>
  <si>
    <t>TF2324084975</t>
  </si>
  <si>
    <t>ELECTRIC HOUSE TRADING COMPANY LLC</t>
  </si>
  <si>
    <t>TF2329286515</t>
  </si>
  <si>
    <t>AL MOUSA TRADING COMPANY</t>
  </si>
  <si>
    <t>TF2331987210</t>
  </si>
  <si>
    <t>THKM CO</t>
  </si>
  <si>
    <t>TF2331987213</t>
  </si>
  <si>
    <t>DEPTH CO</t>
  </si>
  <si>
    <t>TF2331987203</t>
  </si>
  <si>
    <t>A. Abunayyan Trading Corporation</t>
  </si>
  <si>
    <t>TF2335188225</t>
  </si>
  <si>
    <t>LIGHT TECHNOLOGIES COMPANY</t>
  </si>
  <si>
    <t>TF2400188734</t>
  </si>
  <si>
    <t>SAUDI ELECTRIC CO</t>
  </si>
  <si>
    <t>TF2400188737</t>
  </si>
  <si>
    <t>NATIONAL MARKITING CO</t>
  </si>
  <si>
    <t>TF2400188738</t>
  </si>
  <si>
    <t>ELECTRIC HOUSE CO</t>
  </si>
  <si>
    <t>TF2400188721</t>
  </si>
  <si>
    <t>RIYAD CO</t>
  </si>
  <si>
    <t>TF2400788864</t>
  </si>
  <si>
    <t>MASE CO</t>
  </si>
  <si>
    <t>TF2400788861</t>
  </si>
  <si>
    <t>JLC6701492</t>
  </si>
  <si>
    <t>Riyad</t>
  </si>
  <si>
    <t>Multipurpose</t>
  </si>
  <si>
    <t>ARCELORMITTAL DSTC FZE</t>
  </si>
  <si>
    <t>MBL - (JV)</t>
  </si>
  <si>
    <t>OXAGON</t>
  </si>
  <si>
    <t>EUR</t>
  </si>
  <si>
    <t>45 Days from B/L DATE</t>
  </si>
  <si>
    <t>JLC6701905</t>
  </si>
  <si>
    <t>Cash</t>
  </si>
  <si>
    <t>TDM SL</t>
  </si>
  <si>
    <t>MBL</t>
  </si>
  <si>
    <t>L01</t>
  </si>
  <si>
    <t xml:space="preserve">21 days from the shipment </t>
  </si>
  <si>
    <t>JLC6702384</t>
  </si>
  <si>
    <t>PETER CREMER GMBH</t>
  </si>
  <si>
    <t>JCD</t>
  </si>
  <si>
    <t>USD</t>
  </si>
  <si>
    <t>JLC6702457</t>
  </si>
  <si>
    <t>ICAD</t>
  </si>
  <si>
    <t>ABHA</t>
  </si>
  <si>
    <t>JLC6702455</t>
  </si>
  <si>
    <t>TRINDEL ARABIA LTD. CO</t>
  </si>
  <si>
    <t>JLC6800287</t>
  </si>
  <si>
    <t>MACHINERY RENTAL ALTERNATIVES CO.</t>
  </si>
  <si>
    <t>Neom - Pilling (Equip)</t>
  </si>
  <si>
    <t>JLC6800286</t>
  </si>
  <si>
    <t>JLC6800559</t>
  </si>
  <si>
    <t>APTEC SAUDI ARABIA</t>
  </si>
  <si>
    <t>ADF</t>
  </si>
  <si>
    <t>JLC6800620</t>
  </si>
  <si>
    <t>JLC6801052</t>
  </si>
  <si>
    <t>DAIKIN AIR CONDITIONING SAUDI ARABI</t>
  </si>
  <si>
    <t>J208364</t>
  </si>
  <si>
    <t>SNB</t>
  </si>
  <si>
    <t>Opera House</t>
  </si>
  <si>
    <t>SAUDI LIEBHERR COMPANY LIMITED</t>
  </si>
  <si>
    <t>Equipment</t>
  </si>
  <si>
    <t>J208650</t>
  </si>
  <si>
    <t>TF2233877699</t>
  </si>
  <si>
    <t>TATA INTERNATIONAL WEST ASIA</t>
  </si>
  <si>
    <t>KSP - AICS</t>
  </si>
  <si>
    <t>TF2301278790</t>
  </si>
  <si>
    <t>ARCELORMITTAL COMMERICAL SECTION</t>
  </si>
  <si>
    <t>TF2307380289</t>
  </si>
  <si>
    <t>PETER CREMER GMBH CLOCKENGIESSERWAL</t>
  </si>
  <si>
    <t>TF2307380291</t>
  </si>
  <si>
    <t>TF2311581336</t>
  </si>
  <si>
    <t>HUDA LIGHTING LLC CO</t>
  </si>
  <si>
    <t>TF2311581348</t>
  </si>
  <si>
    <t>TF2311581331</t>
  </si>
  <si>
    <t>TF2311581354</t>
  </si>
  <si>
    <t>UNITED INTEGRATED COMPANY LIMITED</t>
  </si>
  <si>
    <t>TF2311581357</t>
  </si>
  <si>
    <t>AL-HADBANIA TRADING CO.</t>
  </si>
  <si>
    <t>TF2313482016</t>
  </si>
  <si>
    <t>45 Days from Delivery Date</t>
  </si>
  <si>
    <t>TF2318783381</t>
  </si>
  <si>
    <t>LIGHT TECHNOLOGIES COMPANY LTD</t>
  </si>
  <si>
    <t>TF2322084306</t>
  </si>
  <si>
    <t>EMPOWER AIR TECHNOLOGIES CO</t>
  </si>
  <si>
    <t>TF2320083752</t>
  </si>
  <si>
    <t>TF2315082509</t>
  </si>
  <si>
    <t>BUILDING SYSTEM INTELLIGENT EST.</t>
  </si>
  <si>
    <t>TF2313582060</t>
  </si>
  <si>
    <t>SCHNEIDER ELECTRIC S.A. CO. LTD</t>
  </si>
  <si>
    <t>30 Days from Delivery Date</t>
  </si>
  <si>
    <t>TF2325485343</t>
  </si>
  <si>
    <t>SAFID CO. LTD</t>
  </si>
  <si>
    <t>TF2322084321</t>
  </si>
  <si>
    <t>CUBE METAL INDUSTRIES CO</t>
  </si>
  <si>
    <t>TF2320083748</t>
  </si>
  <si>
    <t>AL FANAR ELECTRICAL SYSTEMS</t>
  </si>
  <si>
    <t>TF2315082490</t>
  </si>
  <si>
    <t>TF2322084317</t>
  </si>
  <si>
    <t>ALMAYMANAH FOR CONTRACTING CO LTD</t>
  </si>
  <si>
    <t>TF2319983726</t>
  </si>
  <si>
    <t>A. ABUNAYYAN TRADING CORPORATION</t>
  </si>
  <si>
    <t>TF2308980806</t>
  </si>
  <si>
    <t>AL SALEM AIR CONDITIONING CO. P.O.B</t>
  </si>
  <si>
    <t>TF2322084309</t>
  </si>
  <si>
    <t xml:space="preserve">OPTIMAL ENGINEERING SOLUTIONS              </t>
  </si>
  <si>
    <t>TF2308980805</t>
  </si>
  <si>
    <t>ZAHID TRACTOR AND HEAVEY MACHINERY</t>
  </si>
  <si>
    <t>TF2313582062</t>
  </si>
  <si>
    <t>SAUDI PREINSULATED PIPES INDUSTRIES LLC</t>
  </si>
  <si>
    <t>TF2309380880</t>
  </si>
  <si>
    <t>TF2308980792</t>
  </si>
  <si>
    <t>ALFANAR ELECTRICAL SYSTEMS P.O.BOX</t>
  </si>
  <si>
    <t>TF2319983728</t>
  </si>
  <si>
    <t>TF2324084976</t>
  </si>
  <si>
    <t>CUBE METAL INDUSTRIES CO.</t>
  </si>
  <si>
    <t>TF2319983736</t>
  </si>
  <si>
    <t>TF2324184986</t>
  </si>
  <si>
    <t>Branch of National Fire Fighting (NAFFCO)</t>
  </si>
  <si>
    <t>TF2322084311</t>
  </si>
  <si>
    <t>NATIONAL MARKERING EST. CO</t>
  </si>
  <si>
    <t>TF2324185011</t>
  </si>
  <si>
    <t>POWER CENTER COMPANY FOR INDUSTRIES LLC</t>
  </si>
  <si>
    <t>TF2322084325</t>
  </si>
  <si>
    <t>ALMABANI ALUMUMIYYAH LTD</t>
  </si>
  <si>
    <t>TF2319983729</t>
  </si>
  <si>
    <t>ALBABTAIN LEBLANC</t>
  </si>
  <si>
    <t>TF2324184984</t>
  </si>
  <si>
    <t>TF2329286508</t>
  </si>
  <si>
    <t>SAUDI LIEBHERR COM LIMITED</t>
  </si>
  <si>
    <t>TF2328186174</t>
  </si>
  <si>
    <t>ELECTRIC HOUSE</t>
  </si>
  <si>
    <t>TF2400788846</t>
  </si>
  <si>
    <t xml:space="preserve">DAIKIN AIR CONDITIONING </t>
  </si>
  <si>
    <t>TF2331887127</t>
  </si>
  <si>
    <t>LUMIERE KSA</t>
  </si>
  <si>
    <t>TF2308580633</t>
  </si>
  <si>
    <t>TF2308580653</t>
  </si>
  <si>
    <t>TF2314982485</t>
  </si>
  <si>
    <t>TF2324084957</t>
  </si>
  <si>
    <t>ALFANAR ELECTRICAL SYSTEMS</t>
  </si>
  <si>
    <t>TF2308980798</t>
  </si>
  <si>
    <t>ROOTS INNOVATIVE INDUSTRIAL CO. JED</t>
  </si>
  <si>
    <t>TF2324885182</t>
  </si>
  <si>
    <t xml:space="preserve">WESTCON SAUDI COMPANY                          </t>
  </si>
  <si>
    <t>TF2325585403</t>
  </si>
  <si>
    <t>BUILDING COMPONENT SOLUTIONS CO</t>
  </si>
  <si>
    <t>Araqa Palace</t>
  </si>
  <si>
    <t>TF2328386223</t>
  </si>
  <si>
    <t>ISSAM KABBANI AND PARTNERS LTD</t>
  </si>
  <si>
    <t>TF2334688086</t>
  </si>
  <si>
    <t>EMPOWER AIR TECHNOLOGIES CO.</t>
  </si>
  <si>
    <t>TF2329186488</t>
  </si>
  <si>
    <t>API ENERGY MIDDLE EAST</t>
  </si>
  <si>
    <t>AED</t>
  </si>
  <si>
    <t>TF2327686006</t>
  </si>
  <si>
    <t>TF2324184990</t>
  </si>
  <si>
    <t>RIYAD CABLES GROUP COMPANY</t>
  </si>
  <si>
    <t>TF2324184991</t>
  </si>
  <si>
    <t>MOHAMMAD SALEH BAHARETH CO.</t>
  </si>
  <si>
    <t>TF2324184996</t>
  </si>
  <si>
    <t>TF2324084979</t>
  </si>
  <si>
    <t>AL MABANI AL UMUMIYYAH LTD.</t>
  </si>
  <si>
    <t>TF2324185008</t>
  </si>
  <si>
    <t>THKM ALAALMYT LLTAQT COMPANY</t>
  </si>
  <si>
    <t>TF2322084319</t>
  </si>
  <si>
    <t xml:space="preserve">DAIKIN AIR CONDITIONING SAUDI ARABIA </t>
  </si>
  <si>
    <t>TF2322084312</t>
  </si>
  <si>
    <t>T,NAGADI PREFORMED CONCRETE</t>
  </si>
  <si>
    <t>TF2320083754</t>
  </si>
  <si>
    <t>TF2317083066</t>
  </si>
  <si>
    <t>Sight</t>
  </si>
  <si>
    <t>JLC6702402</t>
  </si>
  <si>
    <t>JLC6702401</t>
  </si>
  <si>
    <t>TF2307380286</t>
  </si>
  <si>
    <t>GREEN CONCRETE CJSC 6550 AL QIRAWAN</t>
  </si>
  <si>
    <t>L01-YAMMAMA</t>
  </si>
  <si>
    <t>TF2308980790</t>
  </si>
  <si>
    <t>TF2308980803</t>
  </si>
  <si>
    <t>TF2309380877</t>
  </si>
  <si>
    <t>TF2311581329</t>
  </si>
  <si>
    <t>TF2315082507</t>
  </si>
  <si>
    <t>PERMA PIPE SAUDI ARABIA L.L.C</t>
  </si>
  <si>
    <t>TF2322084298</t>
  </si>
  <si>
    <t>MARINETEK CONTRACTING LLC</t>
  </si>
  <si>
    <t>TF2324185001</t>
  </si>
  <si>
    <t>TF2330986927</t>
  </si>
  <si>
    <t>TF2331887165</t>
  </si>
  <si>
    <t>ALFANAR SYSTEM</t>
  </si>
  <si>
    <t>TF2324185016</t>
  </si>
  <si>
    <t>TF2308980795</t>
  </si>
  <si>
    <t>TF2330986923</t>
  </si>
  <si>
    <t>LIGHT TECHNOLOGIES CO</t>
  </si>
  <si>
    <t>TF2330986924</t>
  </si>
  <si>
    <t>NATIONAL MARKETING EST</t>
  </si>
  <si>
    <t>TF2331987218</t>
  </si>
  <si>
    <t>POWER LLC</t>
  </si>
  <si>
    <t>TF2331887169</t>
  </si>
  <si>
    <t>OPTIMAL</t>
  </si>
  <si>
    <t>TF2334688090</t>
  </si>
  <si>
    <t>SAFID CO LTD</t>
  </si>
  <si>
    <t>TF2334688088</t>
  </si>
  <si>
    <t>TF2335188226</t>
  </si>
  <si>
    <t>TF2402489352</t>
  </si>
  <si>
    <t>TF2402489351</t>
  </si>
  <si>
    <t>TF2334688091</t>
  </si>
  <si>
    <t>AL MAYMANAH FOR CONTRACTING CO. LTD.</t>
  </si>
  <si>
    <t>JLC6702462</t>
  </si>
  <si>
    <t>TF2315082508</t>
  </si>
  <si>
    <t>MULTI LIGHTS EST.</t>
  </si>
  <si>
    <t>TF2400188736</t>
  </si>
  <si>
    <t>AL OTHMAN CO</t>
  </si>
  <si>
    <t>TF2308580642</t>
  </si>
  <si>
    <t>TF2311581369</t>
  </si>
  <si>
    <t>CANME GROUP CORPORATION 1965 SA LLU</t>
  </si>
  <si>
    <t>30 Day from Shipment Date -10% LC at sight</t>
  </si>
  <si>
    <t>TF2319983732</t>
  </si>
  <si>
    <t>TF2320583838</t>
  </si>
  <si>
    <t>30 Days from Shipment Date</t>
  </si>
  <si>
    <t>TF2333887830</t>
  </si>
  <si>
    <t>TF2335188217</t>
  </si>
  <si>
    <t>TF2400188729</t>
  </si>
  <si>
    <t xml:space="preserve">MODERN TIMES </t>
  </si>
  <si>
    <t>TF2328386224</t>
  </si>
  <si>
    <t>BRANCH OF TECON LIMITED</t>
  </si>
  <si>
    <t>TF2414292637</t>
  </si>
  <si>
    <t>RIYADH CABLES GROUP COMPANY</t>
  </si>
  <si>
    <t>TF2414292642</t>
  </si>
  <si>
    <t>TF2414292661</t>
  </si>
  <si>
    <t>NATIONAL MARKETING EST CO LTD</t>
  </si>
  <si>
    <t>TF2414292663</t>
  </si>
  <si>
    <t>ZAHID TRACTOR AND HEAVY MACHINERY CO LTD</t>
  </si>
  <si>
    <t>TF2414292664</t>
  </si>
  <si>
    <t>AL MABANI AL UMUMIYYAH LTD</t>
  </si>
  <si>
    <t>TF2414292659</t>
  </si>
  <si>
    <t>TF2414292651</t>
  </si>
  <si>
    <t>TF2414292662</t>
  </si>
  <si>
    <t>MARIAM AHMAD JAMAL IBRAHIM AND PARTNER TRADING CO</t>
  </si>
  <si>
    <t>TF2419794178</t>
  </si>
  <si>
    <t>JOHNSON CONTROLS ARABIA LIMITED</t>
  </si>
  <si>
    <t>TF2419794181</t>
  </si>
  <si>
    <t>LEADERS FORT ARABIA CONTRACTING</t>
  </si>
  <si>
    <t>TF2420494373</t>
  </si>
  <si>
    <t>RIYADH CABLES GROUP CO</t>
  </si>
  <si>
    <t>TF2420494386</t>
  </si>
  <si>
    <t>AL MABANI LTD</t>
  </si>
  <si>
    <t>TF2420494370</t>
  </si>
  <si>
    <t>ELECTRIC HOUSE LLC</t>
  </si>
  <si>
    <t>TF2421494834</t>
  </si>
  <si>
    <t>LIGHTING LTD</t>
  </si>
  <si>
    <t>TF2421494840</t>
  </si>
  <si>
    <t>TF2421494832</t>
  </si>
  <si>
    <t>NATIONAL EST. CO. LTD</t>
  </si>
  <si>
    <t>TF2421494838</t>
  </si>
  <si>
    <t>TF2422095043</t>
  </si>
  <si>
    <t>POWER CENTER</t>
  </si>
  <si>
    <t>TF2421995039</t>
  </si>
  <si>
    <t>AL MOUSA CO</t>
  </si>
  <si>
    <t>90 Days from Applicant Sign date</t>
  </si>
  <si>
    <t>TF2421995040</t>
  </si>
  <si>
    <t>API EAST</t>
  </si>
  <si>
    <t>TF2422095042</t>
  </si>
  <si>
    <t>SAFID CO</t>
  </si>
  <si>
    <t>TF2423595735</t>
  </si>
  <si>
    <t>HUDA LIGHTING CO</t>
  </si>
  <si>
    <t>TF2424695983</t>
  </si>
  <si>
    <t>Al Faisal Steel Products Co.</t>
  </si>
  <si>
    <t>Neom - The Line</t>
  </si>
  <si>
    <t>45 Days from Invoice Date</t>
  </si>
  <si>
    <t>JLC6701731</t>
  </si>
  <si>
    <t>ATELIER HOSPITALITY SRL</t>
  </si>
  <si>
    <t>30 days from the date of comm. inv.</t>
  </si>
  <si>
    <t>JLC6702456-Cre</t>
  </si>
  <si>
    <t>AL FANAR CO. LTD</t>
  </si>
  <si>
    <t>90 Days from Invoice Date</t>
  </si>
  <si>
    <t>JLC6800561-Cre</t>
  </si>
  <si>
    <t>JLC6800618</t>
  </si>
  <si>
    <t>SPECIALIZED SECURITY SERVICES</t>
  </si>
  <si>
    <t>JLC6800619</t>
  </si>
  <si>
    <t>HOME ITEMS INTERNATIONAL TRADING</t>
  </si>
  <si>
    <t>JLC6801271</t>
  </si>
  <si>
    <t>SAMSARA SRL</t>
  </si>
  <si>
    <t>JLC6801559</t>
  </si>
  <si>
    <t>JLC6801574</t>
  </si>
  <si>
    <t>JLC6801573</t>
  </si>
  <si>
    <t>Visio INC</t>
  </si>
  <si>
    <t>J208455</t>
  </si>
  <si>
    <t>ALFARRA GRES S.L.U</t>
  </si>
  <si>
    <t>KSP Finishing</t>
  </si>
  <si>
    <t>J208909</t>
  </si>
  <si>
    <t>GETZNER WERKSTOFFE GMBH</t>
  </si>
  <si>
    <t>OPERA House</t>
  </si>
  <si>
    <t>60 Days from BL Date</t>
  </si>
  <si>
    <t>J208998</t>
  </si>
  <si>
    <t>J209003</t>
  </si>
  <si>
    <t>POWER CENTER COMPANY FOR</t>
  </si>
  <si>
    <t>J209000</t>
  </si>
  <si>
    <t>J209006</t>
  </si>
  <si>
    <t>ZAHID TRACTOR HEAVY MACHINERY CO</t>
  </si>
  <si>
    <t>J209002</t>
  </si>
  <si>
    <t>J209001</t>
  </si>
  <si>
    <t>SAFID CO.LTD</t>
  </si>
  <si>
    <t>J209004</t>
  </si>
  <si>
    <t>J208999</t>
  </si>
  <si>
    <t>AL MOUSA TRADING CO</t>
  </si>
  <si>
    <t>J209005</t>
  </si>
  <si>
    <t>J209060</t>
  </si>
  <si>
    <t>ALAM AL WEFAQ FOR CONTRACTING CO</t>
  </si>
  <si>
    <t>J209063</t>
  </si>
  <si>
    <t>MARIAM AHMAD JAMAL IBRAHIM PARTNE</t>
  </si>
  <si>
    <t>J209064</t>
  </si>
  <si>
    <t>J209062</t>
  </si>
  <si>
    <t>IDEAL CALIBER COMPANY</t>
  </si>
  <si>
    <t>J209061</t>
  </si>
  <si>
    <t>RAWABI AL MAHFAR TRADING COMPANY LL</t>
  </si>
  <si>
    <t>J209067</t>
  </si>
  <si>
    <t>AL MAYMANAH FOR CONTRACTING CO. LTD</t>
  </si>
  <si>
    <t>J209069</t>
  </si>
  <si>
    <t>DEPTH MODERN TECHNOLOGIES CO.</t>
  </si>
  <si>
    <t>J209068</t>
  </si>
  <si>
    <t>J209070</t>
  </si>
  <si>
    <t>ELECTRIC HOUSE TRADING COMPANY</t>
  </si>
  <si>
    <t>J209071</t>
  </si>
  <si>
    <t>GULF GRILLES CO</t>
  </si>
  <si>
    <t>J209072</t>
  </si>
  <si>
    <t>J209066</t>
  </si>
  <si>
    <t>J209065</t>
  </si>
  <si>
    <t>API ENERGY MIDDLE EASTAPI ENERGY GE</t>
  </si>
  <si>
    <t>DCBWPM510983</t>
  </si>
  <si>
    <t>SAB</t>
  </si>
  <si>
    <t>CEER</t>
  </si>
  <si>
    <t>METALLURGICAL CORP OF CHINA (MCC)</t>
  </si>
  <si>
    <t>14 Days after Sight</t>
  </si>
  <si>
    <t>DCBWPM512796</t>
  </si>
  <si>
    <t>Arabian Roofs Company</t>
  </si>
  <si>
    <t>IM2422833001</t>
  </si>
  <si>
    <t>BAB</t>
  </si>
  <si>
    <t>Submitted to Bank on 12/11/2024, Cannot extend</t>
  </si>
  <si>
    <t>JLC6801678</t>
  </si>
  <si>
    <t>ABDULAH ABDIN ALBUKHARI FACTORY FOR</t>
  </si>
  <si>
    <t>Abha</t>
  </si>
  <si>
    <t>No</t>
  </si>
  <si>
    <t>45 Days from Comm. Invoice Date</t>
  </si>
  <si>
    <t>J209161</t>
  </si>
  <si>
    <t>AL-HADBANIA TRADING CO</t>
  </si>
  <si>
    <t>J209162</t>
  </si>
  <si>
    <t>J209165</t>
  </si>
  <si>
    <t>J209164</t>
  </si>
  <si>
    <t>J209163</t>
  </si>
  <si>
    <t>AL FANAR CO LTD</t>
  </si>
  <si>
    <t>J209167</t>
  </si>
  <si>
    <t>J209166</t>
  </si>
  <si>
    <t>J209171</t>
  </si>
  <si>
    <t>J209170</t>
  </si>
  <si>
    <t>AL OTHMAN INDUSTRIAL MARKETING LTD.</t>
  </si>
  <si>
    <t>J209169</t>
  </si>
  <si>
    <t>UNIVERSAL BUILDING MATERIALS MERCHANTS CO.LTD</t>
  </si>
  <si>
    <t>J209168</t>
  </si>
  <si>
    <t>EMAAR POLE COMPANY</t>
  </si>
  <si>
    <t>J209172</t>
  </si>
  <si>
    <t>MARIAM TRADING COMPANY AND PARTNER</t>
  </si>
  <si>
    <t>J209174</t>
  </si>
  <si>
    <t>AFAQ AL MALAZ TRADING CO LTD</t>
  </si>
  <si>
    <t>Amend to 28-02/submitted to Bank on 03/02</t>
  </si>
  <si>
    <t>J209173</t>
  </si>
  <si>
    <t>NATIONAL MARKETING EST. CO. LTD</t>
  </si>
  <si>
    <t>J209175</t>
  </si>
  <si>
    <t>BANAN THIBA TRADING EST</t>
  </si>
  <si>
    <t>J209217</t>
  </si>
  <si>
    <t>Electric House Trading Co LLC</t>
  </si>
  <si>
    <t>JCD SPMI</t>
  </si>
  <si>
    <t>90 Days from Date of Delivery</t>
  </si>
  <si>
    <t>J209218</t>
  </si>
  <si>
    <t>Neom - Bay Jetty</t>
  </si>
  <si>
    <t>J209318</t>
  </si>
  <si>
    <t>MOHAMMED KHALAF ALANIZI EST FOR CONTRACTING</t>
  </si>
  <si>
    <t>Old Dues</t>
  </si>
  <si>
    <t>J209317</t>
  </si>
  <si>
    <t>ESTABLISHMENT OF AL OROUBA TOWER FOR GENERAL CONTRACTING</t>
  </si>
  <si>
    <t>J209315</t>
  </si>
  <si>
    <t>JAY CO LTD</t>
  </si>
  <si>
    <t>J209316</t>
  </si>
  <si>
    <t>DELHAM AL JANOUB FOR CONTRACTING</t>
  </si>
  <si>
    <t>J209219</t>
  </si>
  <si>
    <t>J209239</t>
  </si>
  <si>
    <t>INTELLIGENT SYSTEM GENERAL CONTRACTING COMPANY</t>
  </si>
  <si>
    <t>J209241</t>
  </si>
  <si>
    <t>SMART HOME TRADING COMPANY</t>
  </si>
  <si>
    <t>60 Days from Invoice Date</t>
  </si>
  <si>
    <t>J209393</t>
  </si>
  <si>
    <t>Al Fanar Co. Ltd.</t>
  </si>
  <si>
    <t>J209341</t>
  </si>
  <si>
    <t>Banan Thiba Trading Est. (BTT)</t>
  </si>
  <si>
    <t>J209513</t>
  </si>
  <si>
    <t>Riyadh Cable Group Of Company</t>
  </si>
  <si>
    <t>J209512</t>
  </si>
  <si>
    <t>Electric House Est</t>
  </si>
  <si>
    <t>J209395</t>
  </si>
  <si>
    <t>Huda Lighting</t>
  </si>
  <si>
    <t>J209392</t>
  </si>
  <si>
    <t>DEPTH MODERN TECHNOLOGIES.</t>
  </si>
  <si>
    <t>J209391</t>
  </si>
  <si>
    <t>Al Salem Airconditioning Co.Ltd (Johnson)</t>
  </si>
  <si>
    <t>J209335</t>
  </si>
  <si>
    <t>Hassan Taleb</t>
  </si>
  <si>
    <t>AL BILAD CONCRETE PIPE CO.LTD</t>
  </si>
  <si>
    <t>Exp 30-04-25; LDS 04-04-2025 / on 03/03</t>
  </si>
  <si>
    <t>J209515</t>
  </si>
  <si>
    <t>Rawabi Al Mahfar Trdg.Company Llc</t>
  </si>
  <si>
    <t>J209514</t>
  </si>
  <si>
    <t>Mariam Ahmad Jamal Ibrahim &amp; Partner Trading Co.</t>
  </si>
  <si>
    <t>J209517</t>
  </si>
  <si>
    <t>Bahra Advanced Cable Manufacture Co.Ltd</t>
  </si>
  <si>
    <t>J209516</t>
  </si>
  <si>
    <t>Al Wefaq Contracting Company</t>
  </si>
  <si>
    <t>DC WPM518533</t>
  </si>
  <si>
    <t>Isotherm Insulations Fzc</t>
  </si>
  <si>
    <t>J209320</t>
  </si>
  <si>
    <t xml:space="preserve">ROOTS INNOVATIVE INDUSTRIAL CO. </t>
  </si>
  <si>
    <t>IM2428833006</t>
  </si>
  <si>
    <t>Qawaed Aleskan Company General Contracting</t>
  </si>
  <si>
    <t>IM2428833005</t>
  </si>
  <si>
    <t>Khalid M.Algarboo Company</t>
  </si>
  <si>
    <t>IM2431833001</t>
  </si>
  <si>
    <t>30 Days from Invoice Date</t>
  </si>
  <si>
    <t>J209526</t>
  </si>
  <si>
    <t>Premium For General Contracting Est.</t>
  </si>
  <si>
    <t>IM2431133001</t>
  </si>
  <si>
    <t>Abdulah Abdin Albukhari Factory For Industry.</t>
  </si>
  <si>
    <t>J209442</t>
  </si>
  <si>
    <t>United Arab Aluminum Company Limited</t>
  </si>
  <si>
    <t>DPCWPM519485</t>
  </si>
  <si>
    <t>Roof Metal Ind LLC</t>
  </si>
  <si>
    <t>DPCWPM519562</t>
  </si>
  <si>
    <t>IM2431833002</t>
  </si>
  <si>
    <t>TF2429897807</t>
  </si>
  <si>
    <t>National Marketing Est. Co. Ltd</t>
  </si>
  <si>
    <t>J209951</t>
  </si>
  <si>
    <t>Arabian Plastic Manufacturing Co. Ltd</t>
  </si>
  <si>
    <t>IM2431933001</t>
  </si>
  <si>
    <t>Al Maymanah for Contracting Co. Ltd.</t>
  </si>
  <si>
    <t>TF2429897813</t>
  </si>
  <si>
    <t>Power Center Company for Industries LLC</t>
  </si>
  <si>
    <t>TF2429897810</t>
  </si>
  <si>
    <t>TF2429897815</t>
  </si>
  <si>
    <t>IM2433133003</t>
  </si>
  <si>
    <t>Oceanarium</t>
  </si>
  <si>
    <t>Stratconn Commercial Broker LLC</t>
  </si>
  <si>
    <t>TF2431898505</t>
  </si>
  <si>
    <t>Hesham Elswedy Trading Company Ltd</t>
  </si>
  <si>
    <t>KAP</t>
  </si>
  <si>
    <t>TF2431898506</t>
  </si>
  <si>
    <t>TF2431798460</t>
  </si>
  <si>
    <t>Al-Dawliyah Al-Ariqah For Contract And Development Company</t>
  </si>
  <si>
    <t>TF2431898513</t>
  </si>
  <si>
    <t>Lucy Switchgear Arabia Co Ltd</t>
  </si>
  <si>
    <t>TF2431898512</t>
  </si>
  <si>
    <t>MASTTE - Moadon Advance Services Technology Company</t>
  </si>
  <si>
    <t>TF2431898515</t>
  </si>
  <si>
    <t>Reda Trading Development Company For Machinery And Equipment</t>
  </si>
  <si>
    <t>TF2431898511</t>
  </si>
  <si>
    <t>United Technology Of Electric Substation &amp; Switchgear Company</t>
  </si>
  <si>
    <t>Draft at Sight Pending with Rashid Naamani</t>
  </si>
  <si>
    <t>TF2431898507</t>
  </si>
  <si>
    <t>Al-Fanar Company</t>
  </si>
  <si>
    <t>Submitted to bank on 11/12</t>
  </si>
  <si>
    <t>IM2431133005</t>
  </si>
  <si>
    <t>J209426</t>
  </si>
  <si>
    <t>Emaan International Company</t>
  </si>
  <si>
    <t>IM2433133002</t>
  </si>
  <si>
    <t>Ajzal United for Safety Co Ltd</t>
  </si>
  <si>
    <t>IM2431833003</t>
  </si>
  <si>
    <t>Rabih Makhoul</t>
  </si>
  <si>
    <t>Future Pipe Industries LLC</t>
  </si>
  <si>
    <t>Rabigh Power Plant</t>
  </si>
  <si>
    <t>20 Days from Invoice Date</t>
  </si>
  <si>
    <t>JLC6800618-Cre</t>
  </si>
  <si>
    <t>J209691</t>
  </si>
  <si>
    <t>Tabarak Al-Momyza For Trading Company</t>
  </si>
  <si>
    <t>TF2433399028</t>
  </si>
  <si>
    <t>Al Mabani Al Umumiyyah Ltd</t>
  </si>
  <si>
    <t>TF2433399032</t>
  </si>
  <si>
    <t>Depth Modern Technologies Co.</t>
  </si>
  <si>
    <t>TF2433399025</t>
  </si>
  <si>
    <t>Electric House Trading Company L.L.C.</t>
  </si>
  <si>
    <t>TF2433399024</t>
  </si>
  <si>
    <t>Johnson Controls Arabia Limited</t>
  </si>
  <si>
    <t>TF2433399033</t>
  </si>
  <si>
    <t>TF2433399031</t>
  </si>
  <si>
    <t>Isam Kabbani &amp; Partners Ltd-Unitech</t>
  </si>
  <si>
    <t>TF2433399026</t>
  </si>
  <si>
    <t>Thkm Alaalmyt Lltaqt Company.</t>
  </si>
  <si>
    <t>TF2433399020</t>
  </si>
  <si>
    <t>Union Pipes Industry Co. Llc.</t>
  </si>
  <si>
    <t>IM2433133001</t>
  </si>
  <si>
    <t>Soliman Saleh Al Mohileb And Sons Holding Company (Closed Joint)</t>
  </si>
  <si>
    <t>TF2434399308</t>
  </si>
  <si>
    <t>Nadim Salhieh</t>
  </si>
  <si>
    <t>LSI PROJECTS LIMITED</t>
  </si>
  <si>
    <t>TF2434399302</t>
  </si>
  <si>
    <t>J209615</t>
  </si>
  <si>
    <t>Power Center Company fo Industries LLC</t>
  </si>
  <si>
    <t>J209619</t>
  </si>
  <si>
    <t>Al Mousa Trading Co</t>
  </si>
  <si>
    <t>J209621</t>
  </si>
  <si>
    <t>Masdar Technical Supplies</t>
  </si>
  <si>
    <t>J209613</t>
  </si>
  <si>
    <t>J209618</t>
  </si>
  <si>
    <t>ALFANAR COMPANY</t>
  </si>
  <si>
    <t>J209620</t>
  </si>
  <si>
    <t>J209617</t>
  </si>
  <si>
    <t>AL ZAMIL CO. FOR TRADE &amp; TRANSPORT</t>
  </si>
  <si>
    <t>J209616</t>
  </si>
  <si>
    <t>KATHOOM JEDDAH TRADING EST.</t>
  </si>
  <si>
    <t>J209622</t>
  </si>
  <si>
    <t>Al Tagadom Alaly</t>
  </si>
  <si>
    <t>J209614</t>
  </si>
  <si>
    <t>Tabark Al - Momyza For Trading Est.</t>
  </si>
  <si>
    <t>IM2433733003</t>
  </si>
  <si>
    <t>IM2434733007</t>
  </si>
  <si>
    <t>AL-HADBANIA TRADING COMPANY.</t>
  </si>
  <si>
    <t>IM2434733003</t>
  </si>
  <si>
    <t>IM2434733001</t>
  </si>
  <si>
    <t>Light Technologies Company Ltd. (Lightech)</t>
  </si>
  <si>
    <t>IM2434733005</t>
  </si>
  <si>
    <t>IM2435133002</t>
  </si>
  <si>
    <t>Daikin Airconditioning Sa, Llc</t>
  </si>
  <si>
    <t>IM2434733002</t>
  </si>
  <si>
    <t>IM2435033008</t>
  </si>
  <si>
    <t>Al Mabani Al Ummumiyah Ltd</t>
  </si>
  <si>
    <t>IM2435033003</t>
  </si>
  <si>
    <t>IM2434733004</t>
  </si>
  <si>
    <t>Safid Co.Ltd</t>
  </si>
  <si>
    <t>IM2435033004</t>
  </si>
  <si>
    <t>Building System Intelligent (BSICO)</t>
  </si>
  <si>
    <t>IM2435033007</t>
  </si>
  <si>
    <t>IM2435033009</t>
  </si>
  <si>
    <t>AL WEFAQ CONTRACTING COMPANY</t>
  </si>
  <si>
    <t>IM2435033005</t>
  </si>
  <si>
    <t>ARAB EAGLE CO</t>
  </si>
  <si>
    <t>IM2435033006</t>
  </si>
  <si>
    <t>Energy Concept Co Ltd</t>
  </si>
  <si>
    <t>IM2434733009</t>
  </si>
  <si>
    <t>IM2435433001</t>
  </si>
  <si>
    <t>IM2435433002</t>
  </si>
  <si>
    <t>Alfa Laval Arabia for Maintenance Company</t>
  </si>
  <si>
    <t>IM2500633007</t>
  </si>
  <si>
    <t>TF2500600007</t>
  </si>
  <si>
    <t>ALFANAR ELECTRICAL SYSTEMS.</t>
  </si>
  <si>
    <t>TF2500700024</t>
  </si>
  <si>
    <t>AL MOUSA TRADING CO.</t>
  </si>
  <si>
    <t>TF2500700023</t>
  </si>
  <si>
    <t>Huda Lighting LLC Co</t>
  </si>
  <si>
    <t>TF2500700017</t>
  </si>
  <si>
    <t>Optimal Engineering Solutions</t>
  </si>
  <si>
    <t>IM2500633008</t>
  </si>
  <si>
    <t>Light Technologies Company LTD / Lightech.</t>
  </si>
  <si>
    <t>IM2500633010</t>
  </si>
  <si>
    <t>DEPTH MODERN TECHNOLOGIES</t>
  </si>
  <si>
    <t>IM2500633009</t>
  </si>
  <si>
    <t>TF2500700015</t>
  </si>
  <si>
    <t>IM2500733007</t>
  </si>
  <si>
    <t>Jamil Ali Nasser AlZadjali Factory for Industry</t>
  </si>
  <si>
    <t>IM2500733003</t>
  </si>
  <si>
    <t>IDEAL CALIBER COMPANY.</t>
  </si>
  <si>
    <t>IM2500733001</t>
  </si>
  <si>
    <t>RAWABI AL MAHFAR TRADING COMPANY LLC.</t>
  </si>
  <si>
    <t>IM2500733004</t>
  </si>
  <si>
    <t>Universal Building Materials Merchants Co. Ltd</t>
  </si>
  <si>
    <t>IM2500733002</t>
  </si>
  <si>
    <t>ALAM AL WEFAQ FOR CONTRACTING CO.</t>
  </si>
  <si>
    <t>J209789</t>
  </si>
  <si>
    <t>TAMEER STEEL FACTORY CO LTD</t>
  </si>
  <si>
    <t>J209833</t>
  </si>
  <si>
    <t>ILC-0840-25-7173</t>
  </si>
  <si>
    <t>Jazira</t>
  </si>
  <si>
    <t>RCRC</t>
  </si>
  <si>
    <t>AL-Tawi Ready Mix Concrete Factory Co</t>
  </si>
  <si>
    <t>ILC-0840-25-7171</t>
  </si>
  <si>
    <t>Elsewedy Cables Co.</t>
  </si>
  <si>
    <t>ILC-0840-25-7174</t>
  </si>
  <si>
    <t>Rabigh Solb Industry Factory Company</t>
  </si>
  <si>
    <t>ILC-0840-25-7172</t>
  </si>
  <si>
    <t>National Marketing Est.</t>
  </si>
  <si>
    <t>120 Days from Invoice Date</t>
  </si>
  <si>
    <t>TF2502300064</t>
  </si>
  <si>
    <t>Prime Star Technologies Co. Ltd.</t>
  </si>
  <si>
    <t>J210018</t>
  </si>
  <si>
    <t>2nd Lot</t>
  </si>
  <si>
    <t>TF2502300062</t>
  </si>
  <si>
    <t>TF2502300057</t>
  </si>
  <si>
    <t>TF2502300059</t>
  </si>
  <si>
    <t>TF2502300056</t>
  </si>
  <si>
    <t>J210019</t>
  </si>
  <si>
    <t>TF2502300053</t>
  </si>
  <si>
    <t>J210028</t>
  </si>
  <si>
    <t>TF2502300049</t>
  </si>
  <si>
    <t>J210020</t>
  </si>
  <si>
    <t>ALBYT ALTHAKI Trading CO</t>
  </si>
  <si>
    <t>3rd Lot</t>
  </si>
  <si>
    <t>TF2502300048</t>
  </si>
  <si>
    <t>Safid Co. Ltd.</t>
  </si>
  <si>
    <t>TF2502300040</t>
  </si>
  <si>
    <t>ENERGY CONCEPT CO LTD</t>
  </si>
  <si>
    <t>TF2502300039</t>
  </si>
  <si>
    <t>MUDN DISTRINGUISHED ADVANCE CO</t>
  </si>
  <si>
    <t>J210023</t>
  </si>
  <si>
    <t>Afaq Al Malaz Trading Co Ltd</t>
  </si>
  <si>
    <t>TF2502300038</t>
  </si>
  <si>
    <t>MARIAM TRADING CO. &amp; PARTNER</t>
  </si>
  <si>
    <t>TF2502300037</t>
  </si>
  <si>
    <t>Jamil Ali Nasser Al-Zadjali Factory For Industry</t>
  </si>
  <si>
    <t>TF2502300036</t>
  </si>
  <si>
    <t>National Marketing Est. Co. Ltd.</t>
  </si>
  <si>
    <t>TF2502300034</t>
  </si>
  <si>
    <t>TF2502300033</t>
  </si>
  <si>
    <t>J210027</t>
  </si>
  <si>
    <t>TF2502300031</t>
  </si>
  <si>
    <t>ISAM KABBANI &amp; PARTNERS LTD - UNITECH</t>
  </si>
  <si>
    <t>TF2502300030</t>
  </si>
  <si>
    <t>J210025</t>
  </si>
  <si>
    <t>Union Pipes Industry Co</t>
  </si>
  <si>
    <t>J210022</t>
  </si>
  <si>
    <t>Arab Eagle Co.</t>
  </si>
  <si>
    <t>J210021</t>
  </si>
  <si>
    <t>Br. Mumtaz &amp; Construction Co.</t>
  </si>
  <si>
    <t>TF2502300026</t>
  </si>
  <si>
    <t>Kingdom Deserts Contracting Co.</t>
  </si>
  <si>
    <t>TF2502300023</t>
  </si>
  <si>
    <t>MODERN HOUSING CONTRACTING CO.</t>
  </si>
  <si>
    <t>J210024</t>
  </si>
  <si>
    <t>J210026</t>
  </si>
  <si>
    <t>Rubiya Contracting Company</t>
  </si>
  <si>
    <t>J210017</t>
  </si>
  <si>
    <t>Rolaco Arabian Sounds &amp; Lights CO.</t>
  </si>
  <si>
    <t>DPCWPM551225</t>
  </si>
  <si>
    <t>J209963</t>
  </si>
  <si>
    <t>J209958</t>
  </si>
  <si>
    <t>Banan Thiba Trading Est (BTT)</t>
  </si>
  <si>
    <t>J209961</t>
  </si>
  <si>
    <t>J209960</t>
  </si>
  <si>
    <t>J209955</t>
  </si>
  <si>
    <t>Al Fanar company</t>
  </si>
  <si>
    <t>J209956</t>
  </si>
  <si>
    <t>J209957</t>
  </si>
  <si>
    <t>J209959</t>
  </si>
  <si>
    <t>J209962</t>
  </si>
  <si>
    <t>J209954</t>
  </si>
  <si>
    <t>Mariam Ahmed Jamal Ibrahim</t>
  </si>
  <si>
    <t>J209950</t>
  </si>
  <si>
    <t>DCBWPM551288</t>
  </si>
  <si>
    <t>IFAS - Innovative Facility Management Services</t>
  </si>
  <si>
    <t>DCBWPM551279</t>
  </si>
  <si>
    <t>Arnon Plastic Industries Co Ltd</t>
  </si>
  <si>
    <t>J209953</t>
  </si>
  <si>
    <t>ILC-0840-25-7266</t>
  </si>
  <si>
    <t>Alpha Limit Trading and Contracting Company</t>
  </si>
  <si>
    <t>ILC-0840-25-7264</t>
  </si>
  <si>
    <t>MOHAMMED RAMADAN SHAT FACTORY FOR METAL</t>
  </si>
  <si>
    <t>ILC-0840-25-7267</t>
  </si>
  <si>
    <t>Saudi Hepco Co. Ltd</t>
  </si>
  <si>
    <t>ILC-0840-25-7269</t>
  </si>
  <si>
    <t>Union Pipes Industry</t>
  </si>
  <si>
    <t>DCBWPM554250</t>
  </si>
  <si>
    <t>MATERIALS SYSTEMS AND INDUSTRIAL SOLUTIONS COMPANY</t>
  </si>
  <si>
    <t>J210096</t>
  </si>
  <si>
    <t>HOLCIM SOLUTIONS AND PRODUCTS EMEA BV</t>
  </si>
  <si>
    <t>MBL/IFAS</t>
  </si>
  <si>
    <t>90 Days from Shipment Date</t>
  </si>
  <si>
    <t>IM2505633002</t>
  </si>
  <si>
    <t>J210104</t>
  </si>
  <si>
    <t>Chaminda Indrajit</t>
  </si>
  <si>
    <t>DCBWPM553297</t>
  </si>
  <si>
    <t>MP1</t>
  </si>
  <si>
    <t>Diakin Air Conditioning Saudi Arabia</t>
  </si>
  <si>
    <t>DCBWPM553752</t>
  </si>
  <si>
    <t>DCBWPM553808</t>
  </si>
  <si>
    <t>Interplast Co Ltd</t>
  </si>
  <si>
    <t>DCBWPM553753</t>
  </si>
  <si>
    <t>Elsewedy Cables Co Ltd</t>
  </si>
  <si>
    <t>ILC-0840-25-7355</t>
  </si>
  <si>
    <t>Khorayef Industries</t>
  </si>
  <si>
    <t>ILC-0840-25-7351</t>
  </si>
  <si>
    <t>Al Wasail Industrial Company</t>
  </si>
  <si>
    <t>ILC-0840-25-7352</t>
  </si>
  <si>
    <t>ILC-0840-25-7353</t>
  </si>
  <si>
    <t>ILC-0840-25-7354</t>
  </si>
  <si>
    <t>UNITED PARK CO</t>
  </si>
  <si>
    <t>JLC6800561</t>
  </si>
  <si>
    <t>JLC6702456</t>
  </si>
  <si>
    <t>IM2505733002</t>
  </si>
  <si>
    <t>Submitted to Bank</t>
  </si>
  <si>
    <t>SCHUCO MIDDLE EAST WINDOWS AND FACADE SYSTEMS LLC</t>
  </si>
  <si>
    <t>IM2505733001</t>
  </si>
  <si>
    <t>IM2506533001</t>
  </si>
  <si>
    <t>SOLB STEEL TRADING COMPANY</t>
  </si>
  <si>
    <t>ILC-0840-25-7406</t>
  </si>
  <si>
    <t>ILC-0840-25-7407</t>
  </si>
  <si>
    <t>SITE TECHNOLOGY SAUDI ARABIA LTD</t>
  </si>
  <si>
    <t>DCBWPM553893</t>
  </si>
  <si>
    <t>Kingspan Insulated Panels Manufacturing LLC</t>
  </si>
  <si>
    <t>180 Days from Invoice Date</t>
  </si>
  <si>
    <t>IM2506533002</t>
  </si>
  <si>
    <t>TABUK STEEL COMPANY</t>
  </si>
  <si>
    <t>TF2507700041</t>
  </si>
  <si>
    <t>Roots Innovative Industrial Co</t>
  </si>
  <si>
    <t>DCBWPM554916</t>
  </si>
  <si>
    <t>FUTURE ACE CONTRACTING COMPANY</t>
  </si>
  <si>
    <t>DCBWPM554913</t>
  </si>
  <si>
    <t>Al-Fares Advanced Contracting Company</t>
  </si>
  <si>
    <t>DCBWPM554940</t>
  </si>
  <si>
    <t>Brilliant Skies Est</t>
  </si>
  <si>
    <t>DCBWPM554939</t>
  </si>
  <si>
    <t>Isam Kabbani &amp; Partners</t>
  </si>
  <si>
    <t>TF2507700035</t>
  </si>
  <si>
    <t>ELECTRIC HOUSE TRADING COMPANY L.L.C.</t>
  </si>
  <si>
    <t>TF2507700038</t>
  </si>
  <si>
    <t>EQTISAD - ELMAMLAKAH FOR CONSTRUCTION LTD.</t>
  </si>
  <si>
    <t>TF2507700036</t>
  </si>
  <si>
    <t>NIZA ABD ALGHANY KABLI FOR GENERAL CONTRACTING</t>
  </si>
  <si>
    <t>TF2507700047</t>
  </si>
  <si>
    <t>TECHNICAL TOOLS TRADING CO</t>
  </si>
  <si>
    <t>TF2507700039</t>
  </si>
  <si>
    <t>MAHMOUD ALTAHENI &amp; PARTNERS TRADING CO.</t>
  </si>
  <si>
    <t>TF2507700057</t>
  </si>
  <si>
    <t>TF2507700050</t>
  </si>
  <si>
    <t>TF2507700052</t>
  </si>
  <si>
    <t>ALAM ALWEFAQ FOR CONTRACTING CO</t>
  </si>
  <si>
    <t>TF2507700062</t>
  </si>
  <si>
    <t>SAFID CO.LTD.</t>
  </si>
  <si>
    <t>TF2507600031</t>
  </si>
  <si>
    <t>AL MAYMANAH FOR CONTRACTING CO.LTD.</t>
  </si>
  <si>
    <t>Systemair For Electrical Equipment Co.</t>
  </si>
  <si>
    <t>TF2507700061</t>
  </si>
  <si>
    <t>Ready for Submission</t>
  </si>
  <si>
    <t>SKM AIR CONDITIONING CO</t>
  </si>
  <si>
    <t>AL-SAYED CENTER A/C FOR MATERIALS COMPANY</t>
  </si>
  <si>
    <t>National Marketing Est Co Ltd</t>
  </si>
  <si>
    <t>DCBWPM553960</t>
  </si>
  <si>
    <t>DCBWPM553897</t>
  </si>
  <si>
    <t>Mimar For Construction Tools And Trading Ltd</t>
  </si>
  <si>
    <t>DCBWPM553955</t>
  </si>
  <si>
    <t>Alfanar Electrical Systems</t>
  </si>
  <si>
    <t>DCBWPM553914</t>
  </si>
  <si>
    <t>Awtad Jeddah for General Contracting Company</t>
  </si>
  <si>
    <t>DCBWPM554918</t>
  </si>
  <si>
    <t>AMCC CONSTRUCTION</t>
  </si>
  <si>
    <t>DCBWPM554917</t>
  </si>
  <si>
    <t>Smart Access Solutions Company Ltd.</t>
  </si>
  <si>
    <t>DCBWPM554915</t>
  </si>
  <si>
    <t>Light Box Trading Company</t>
  </si>
  <si>
    <t>DCBWPM554912</t>
  </si>
  <si>
    <t>ADIRONDACK ARCHITECTURAL MODELS INDUSTRY L.L.C</t>
  </si>
  <si>
    <t>DC WPM554941</t>
  </si>
  <si>
    <t>ShowTex Middle East F.Z.C</t>
  </si>
  <si>
    <t>TF2508300046</t>
  </si>
  <si>
    <t>TF2508300047</t>
  </si>
  <si>
    <t>TF2508300055</t>
  </si>
  <si>
    <t>Al Fanar Electrical Systems</t>
  </si>
  <si>
    <t>TF2508300025</t>
  </si>
  <si>
    <t>TF2508300051</t>
  </si>
  <si>
    <t>TF2508300035</t>
  </si>
  <si>
    <t>TF2508300029</t>
  </si>
  <si>
    <t>MOHAMMED MASOUD AL-KHALDI EST</t>
  </si>
  <si>
    <t>TF2508300048</t>
  </si>
  <si>
    <t>DAIKIN AIRCONDITIONING SA, LLC</t>
  </si>
  <si>
    <t>TF2508300052</t>
  </si>
  <si>
    <t>TF2508300053</t>
  </si>
  <si>
    <t>Al Mousa Trading Company</t>
  </si>
  <si>
    <t>TF2508300039</t>
  </si>
  <si>
    <t>Ideal Caliber Company Ltd</t>
  </si>
  <si>
    <t>TF2508300026</t>
  </si>
  <si>
    <t>Rawabi Al Mahfar Trading Co.</t>
  </si>
  <si>
    <t>TF2508300060</t>
  </si>
  <si>
    <t>Tabark Al-Momyza For Tarding Est.</t>
  </si>
  <si>
    <t>TF2508300024</t>
  </si>
  <si>
    <t>Project Supply For Trading Est.</t>
  </si>
  <si>
    <t>TF2508300006</t>
  </si>
  <si>
    <t>TF2508300056</t>
  </si>
  <si>
    <t>TF2508300036</t>
  </si>
  <si>
    <t>Gulf Grilles Company -GGC</t>
  </si>
  <si>
    <t>TF2508300021</t>
  </si>
  <si>
    <t>National Marketing Est.Co.Ltd</t>
  </si>
  <si>
    <t>TF2508300031</t>
  </si>
  <si>
    <t>Masdar Technical Supplies Co</t>
  </si>
  <si>
    <t>TF2508300030</t>
  </si>
  <si>
    <t>Mariam Ahmad Jamal Ibrahim &amp; Partner Trading  Company</t>
  </si>
  <si>
    <t>TF2508300020</t>
  </si>
  <si>
    <t>TF2508300028</t>
  </si>
  <si>
    <t>MAWARID AISHAMELA TRADING CO.</t>
  </si>
  <si>
    <t>TF2508300032</t>
  </si>
  <si>
    <t>ISAM KABBANI &amp; PARTNERS LTD-UNITECH</t>
  </si>
  <si>
    <t>TF2508300059</t>
  </si>
  <si>
    <t>Received to Open</t>
  </si>
  <si>
    <t>Hashmat Khan</t>
  </si>
  <si>
    <t>Innovative Specialised Security Solutions</t>
  </si>
  <si>
    <t>Extron Electronics Middle East FZE</t>
  </si>
  <si>
    <t>ILC-0840-25-7481</t>
  </si>
  <si>
    <t>AL RASHED TIRES COMPANY LLC</t>
  </si>
  <si>
    <t>DAIKIN AIR CONDITIONING SAUDI ARABIA</t>
  </si>
  <si>
    <t>MOHAMAD SAEED AFIFI TRADING EST.</t>
  </si>
  <si>
    <t>AL NAKHEEL FOR TRADING CO</t>
  </si>
  <si>
    <t>SITE TECHNOLOGY SAUDI ARABIA CO</t>
  </si>
  <si>
    <t>ELSEWEDY CABLES CO.LIMITED</t>
  </si>
  <si>
    <t>Project Director</t>
  </si>
  <si>
    <t>Other Amendment</t>
  </si>
  <si>
    <t>Increase Amendment</t>
  </si>
  <si>
    <t>Increase Amount in SAR</t>
  </si>
  <si>
    <t>Cancelled</t>
  </si>
  <si>
    <t>Project Code</t>
  </si>
  <si>
    <t>Date Recd</t>
  </si>
  <si>
    <t>Presentation No</t>
  </si>
  <si>
    <t>Clean / Disc</t>
  </si>
  <si>
    <t>Bank</t>
  </si>
  <si>
    <t>LC Amount</t>
  </si>
  <si>
    <t>Invoice Amt (FCY)</t>
  </si>
  <si>
    <t xml:space="preserve"> Invoice Amt (SAR)</t>
  </si>
  <si>
    <t>Due Date</t>
  </si>
  <si>
    <t>Funds Utilize</t>
  </si>
  <si>
    <t>Clean</t>
  </si>
  <si>
    <t>Yes</t>
  </si>
  <si>
    <t>Discrepant</t>
  </si>
  <si>
    <t>Ref no in Bank records TF2420594431</t>
  </si>
  <si>
    <t>Presentation No 4 Not received</t>
  </si>
  <si>
    <t>overdue charges SAR 11,787.96</t>
  </si>
  <si>
    <t>overdue charges SAR 11,037.83</t>
  </si>
  <si>
    <t>problem in goods</t>
  </si>
  <si>
    <t>overdue charges SAR 25,203.41</t>
  </si>
  <si>
    <t>Pre-settled act due date 28-10-24</t>
  </si>
  <si>
    <t>Pre-settled act due date 21-11-24</t>
  </si>
  <si>
    <t>pre-settled act due 05/11/2024</t>
  </si>
  <si>
    <t>pre-settled act due 14/11/24</t>
  </si>
  <si>
    <t>IFAS</t>
  </si>
  <si>
    <t>Cabanas</t>
  </si>
  <si>
    <t>Ras Al Khair</t>
  </si>
  <si>
    <t>Email not marked</t>
  </si>
  <si>
    <t>Elapsed / Disc received from Project on 29/10</t>
  </si>
  <si>
    <t>J162 - MBL Office DQ Area (Old Dues)</t>
  </si>
  <si>
    <t>Part Cash SAR 4219083.67 &amp; Part Credit SAR 4219083.67</t>
  </si>
  <si>
    <t>J178 - World Defence Show 2022 (Old Dues)</t>
  </si>
  <si>
    <t>J181 - VIA Mall Internal &amp; External (Old Dues)</t>
  </si>
  <si>
    <t>Ghamama</t>
  </si>
  <si>
    <t>J225 - Alshatea Palace (Old Dues)</t>
  </si>
  <si>
    <t>J201 - D - Al Riyadh (Old Dues)</t>
  </si>
  <si>
    <t>J203 - SZ1 8 Villas in Sharma (Old Dues)</t>
  </si>
  <si>
    <t>Lagoon</t>
  </si>
  <si>
    <t>All Charges are on Applicant EUR 1032.52</t>
  </si>
  <si>
    <t>Wadi Khassf</t>
  </si>
  <si>
    <t>40M CEER RESERVE</t>
  </si>
  <si>
    <t>J195 - New Jeddah Downtown (Old Dues)</t>
  </si>
  <si>
    <t>75M SNB Loan</t>
  </si>
  <si>
    <t>All Charges are on Applicant EUR 452.74</t>
  </si>
  <si>
    <t>All Charges are on Applicant EUR 732.35</t>
  </si>
  <si>
    <t>Sharma Project</t>
  </si>
  <si>
    <t>Bilad Funds</t>
  </si>
  <si>
    <t>All Charges are on Applicant EUR 1268.21</t>
  </si>
  <si>
    <t>All Charges are on Applicant EUR 1696.25</t>
  </si>
  <si>
    <t>on 22/01</t>
  </si>
  <si>
    <t>Collection</t>
  </si>
  <si>
    <t>Collection received from Alinma under TF2502100032</t>
  </si>
  <si>
    <t>All Charges are on Applicant EUR 2004.01</t>
  </si>
  <si>
    <t>All Charges are on Applicant EUR 1032.48</t>
  </si>
  <si>
    <t>16.8M JCD SPMI</t>
  </si>
  <si>
    <t>due on 18/03</t>
  </si>
  <si>
    <t>Actual Due 16/03</t>
  </si>
  <si>
    <t>Paid by Bank without our approval on 18/02</t>
  </si>
  <si>
    <t>Overdue</t>
  </si>
  <si>
    <t>on 05/03</t>
  </si>
  <si>
    <t>All Charges are on Applicant EUR 353.86</t>
  </si>
  <si>
    <t>All Charges are on Applicant EUR 611.45</t>
  </si>
  <si>
    <t>Docs Received</t>
  </si>
  <si>
    <t>Applicant Signatures</t>
  </si>
  <si>
    <t>Disc. Submitted to Project</t>
  </si>
  <si>
    <t>Disc. Rejected</t>
  </si>
  <si>
    <t>Disc. Document</t>
  </si>
  <si>
    <t>Pending Settlement</t>
  </si>
  <si>
    <t>Accep. Received from Project</t>
  </si>
  <si>
    <t>Cash-Fund Utilized</t>
  </si>
  <si>
    <t>Cash-Recovered</t>
  </si>
  <si>
    <t>1</t>
  </si>
  <si>
    <t>0</t>
  </si>
  <si>
    <t>2</t>
  </si>
  <si>
    <t>14</t>
  </si>
  <si>
    <t>13</t>
  </si>
  <si>
    <t>12</t>
  </si>
  <si>
    <t>6</t>
  </si>
  <si>
    <t>112</t>
  </si>
  <si>
    <t>3</t>
  </si>
  <si>
    <t>16</t>
  </si>
  <si>
    <t>11</t>
  </si>
  <si>
    <t>10</t>
  </si>
  <si>
    <t>4</t>
  </si>
  <si>
    <t>7</t>
  </si>
  <si>
    <t>8</t>
  </si>
  <si>
    <t>9</t>
  </si>
  <si>
    <t>109</t>
  </si>
  <si>
    <t>5</t>
  </si>
  <si>
    <t>15</t>
  </si>
  <si>
    <t>108</t>
  </si>
  <si>
    <t>111</t>
  </si>
  <si>
    <t>110</t>
  </si>
  <si>
    <t>106</t>
  </si>
  <si>
    <t>105</t>
  </si>
  <si>
    <t>18</t>
  </si>
  <si>
    <t>19</t>
  </si>
  <si>
    <t>103</t>
  </si>
  <si>
    <t>104</t>
  </si>
  <si>
    <t>102</t>
  </si>
  <si>
    <t>99</t>
  </si>
  <si>
    <t>97</t>
  </si>
  <si>
    <t>98</t>
  </si>
  <si>
    <t>96</t>
  </si>
  <si>
    <t>94</t>
  </si>
  <si>
    <t>92</t>
  </si>
  <si>
    <t>95</t>
  </si>
  <si>
    <t>93</t>
  </si>
  <si>
    <t>91</t>
  </si>
  <si>
    <t>90</t>
  </si>
  <si>
    <t>89</t>
  </si>
  <si>
    <t>88</t>
  </si>
  <si>
    <t>87</t>
  </si>
  <si>
    <t>86</t>
  </si>
  <si>
    <t>84</t>
  </si>
  <si>
    <t>85</t>
  </si>
  <si>
    <t>81</t>
  </si>
  <si>
    <t>80</t>
  </si>
  <si>
    <t>83</t>
  </si>
  <si>
    <t>82</t>
  </si>
  <si>
    <t>77</t>
  </si>
  <si>
    <t>79</t>
  </si>
  <si>
    <t>76</t>
  </si>
  <si>
    <t>78</t>
  </si>
  <si>
    <t>75</t>
  </si>
  <si>
    <t>74</t>
  </si>
  <si>
    <t>72</t>
  </si>
  <si>
    <t>70</t>
  </si>
  <si>
    <t>73</t>
  </si>
  <si>
    <t>69</t>
  </si>
  <si>
    <t>68</t>
  </si>
  <si>
    <t>66</t>
  </si>
  <si>
    <t>64</t>
  </si>
  <si>
    <t>65</t>
  </si>
  <si>
    <t>63</t>
  </si>
  <si>
    <t>61</t>
  </si>
  <si>
    <t>62</t>
  </si>
  <si>
    <t>60</t>
  </si>
  <si>
    <t>58</t>
  </si>
  <si>
    <t>59</t>
  </si>
  <si>
    <t>57</t>
  </si>
  <si>
    <t>55</t>
  </si>
  <si>
    <t>54</t>
  </si>
  <si>
    <t>56</t>
  </si>
  <si>
    <t>52</t>
  </si>
  <si>
    <t>53</t>
  </si>
  <si>
    <t>47</t>
  </si>
  <si>
    <t>50</t>
  </si>
  <si>
    <t>51</t>
  </si>
  <si>
    <t>48</t>
  </si>
  <si>
    <t>49</t>
  </si>
  <si>
    <t>45</t>
  </si>
  <si>
    <t>46</t>
  </si>
  <si>
    <t>44</t>
  </si>
  <si>
    <t>43</t>
  </si>
  <si>
    <t>42</t>
  </si>
  <si>
    <t>41</t>
  </si>
  <si>
    <t>40</t>
  </si>
  <si>
    <t>39</t>
  </si>
  <si>
    <t>38</t>
  </si>
  <si>
    <t>37</t>
  </si>
  <si>
    <t>36</t>
  </si>
  <si>
    <t>23</t>
  </si>
  <si>
    <t>22</t>
  </si>
  <si>
    <t>24</t>
  </si>
  <si>
    <t>25</t>
  </si>
  <si>
    <t>26</t>
  </si>
  <si>
    <t>21</t>
  </si>
  <si>
    <t>28</t>
  </si>
  <si>
    <t>27</t>
  </si>
  <si>
    <t>30</t>
  </si>
  <si>
    <t>31</t>
  </si>
  <si>
    <t>32</t>
  </si>
  <si>
    <t>33</t>
  </si>
  <si>
    <t>34</t>
  </si>
  <si>
    <t>35</t>
  </si>
  <si>
    <t>29</t>
  </si>
  <si>
    <t>20</t>
  </si>
  <si>
    <t>17</t>
  </si>
  <si>
    <t>LC Settled</t>
  </si>
  <si>
    <t>LC Balance</t>
  </si>
  <si>
    <t>Active</t>
  </si>
  <si>
    <t>Grand Total</t>
  </si>
  <si>
    <t>Start of Week</t>
  </si>
  <si>
    <t>End of Week</t>
  </si>
  <si>
    <t>Sum of LC Amt(SAR)</t>
  </si>
  <si>
    <t>Bank Name</t>
  </si>
  <si>
    <t>Limits</t>
  </si>
  <si>
    <t>Other Utilization</t>
  </si>
  <si>
    <t>In Process</t>
  </si>
  <si>
    <t>Available Space</t>
  </si>
  <si>
    <t>Cash Flow Balance</t>
  </si>
  <si>
    <t>Amendment Increase (SAR)</t>
  </si>
  <si>
    <t>LG Number</t>
  </si>
  <si>
    <t>Amount</t>
  </si>
  <si>
    <t>Percentage</t>
  </si>
  <si>
    <t>Type</t>
  </si>
  <si>
    <t>Purpose</t>
  </si>
  <si>
    <t>RLG6501812</t>
  </si>
  <si>
    <t>Performance</t>
  </si>
  <si>
    <t>JLG6802904</t>
  </si>
  <si>
    <t>Neom Company</t>
  </si>
  <si>
    <t>4800001199 - Design, Supply and Installation of a Floating Breakwater and Additional Works at Neom Bay Jetty</t>
  </si>
  <si>
    <t>PEBGCU553740</t>
  </si>
  <si>
    <t>Riyadh Airports Company</t>
  </si>
  <si>
    <t>RAC</t>
  </si>
  <si>
    <t>PROJECT- 3049: T5 Conversion Domestic to International - Contract No 241446 dated 21/08/24</t>
  </si>
  <si>
    <t>PEBGCU434591</t>
  </si>
  <si>
    <t>JLG6802934</t>
  </si>
  <si>
    <t>Advance</t>
  </si>
  <si>
    <t>MD2408833005</t>
  </si>
  <si>
    <t>LGI-0840-25-4498</t>
  </si>
  <si>
    <t>King Salman Park Foundation</t>
  </si>
  <si>
    <t>KSPF</t>
  </si>
  <si>
    <t>Bid</t>
  </si>
  <si>
    <t>CP-20.04 - Hubs 2, 7 &amp; 8 MEP, Façade &amp; Landscaping
KSP-SAP-HME-COM-RFP-0003</t>
  </si>
  <si>
    <t>MD2413733001</t>
  </si>
  <si>
    <t>CEER National Automative Company</t>
  </si>
  <si>
    <t>JLG6900510</t>
  </si>
  <si>
    <t>Jeddah Central Development Company</t>
  </si>
  <si>
    <t>Financial</t>
  </si>
  <si>
    <t>Material Guarantee</t>
  </si>
  <si>
    <t>Establish a dedicated BHS transit center at Terminal Link–TL2
TL2 TRANSIT BHS SYSTEM - Contract No 1521</t>
  </si>
  <si>
    <t>LGI-0840-25-4575</t>
  </si>
  <si>
    <t>Saline Water Conversion Corporation</t>
  </si>
  <si>
    <t>WTS</t>
  </si>
  <si>
    <t>Construction of Pipeline, Pump Stations and Reservoir Stations 
WTS PROJECTS OF AL DUWADIMI – AFFIF, TENDER NO 241139001811</t>
  </si>
  <si>
    <t>B003279</t>
  </si>
  <si>
    <t>NBK</t>
  </si>
  <si>
    <t>MOC</t>
  </si>
  <si>
    <t>AL TANFEETHI OFFICES COMPANY</t>
  </si>
  <si>
    <t>Third Party</t>
  </si>
  <si>
    <t>Saudi Ground Services Company</t>
  </si>
  <si>
    <t>Third party ground handler, Equipment and RAMPservices</t>
  </si>
  <si>
    <t>CATRION CATERING HOLDING COMPANY</t>
  </si>
  <si>
    <t>JLG6601246</t>
  </si>
  <si>
    <t xml:space="preserve">JEDDAH CENTRAL DEVELOPMENT COMPANY (JCD) </t>
  </si>
  <si>
    <t>JLG6800803</t>
  </si>
  <si>
    <t>JLG6602654</t>
  </si>
  <si>
    <t>JLG6802682</t>
  </si>
  <si>
    <t xml:space="preserve">      47,373,436 </t>
  </si>
  <si>
    <t>Material</t>
  </si>
  <si>
    <t>JLG6804722</t>
  </si>
  <si>
    <t>Diriyah Company</t>
  </si>
  <si>
    <t>SAR (Saudi Arabia Railways)</t>
  </si>
  <si>
    <t>APGGCU504175</t>
  </si>
  <si>
    <t>REBGCU509622</t>
  </si>
  <si>
    <t>JLG6900886</t>
  </si>
  <si>
    <t>Riyadh Airports Company (RAC)</t>
  </si>
  <si>
    <t>TR3 &amp; TR4 Conversion from International To
Domestic -RFQ 983</t>
  </si>
  <si>
    <t>B314277</t>
  </si>
  <si>
    <t>JLG6805539</t>
  </si>
  <si>
    <t>Cluster 2</t>
  </si>
  <si>
    <t>Expiry Date extended - 20/04 to 23/05</t>
  </si>
  <si>
    <t>CL - Cover Letter</t>
  </si>
  <si>
    <t>GA - Group Approval</t>
  </si>
  <si>
    <t>SAB-MP1 (262-307200-001)</t>
  </si>
  <si>
    <t>SS - Specimen Signature</t>
  </si>
  <si>
    <t>SAB-CEER (262-307200-006)</t>
  </si>
  <si>
    <t>SAUDI VITRIFIED CLAY PIPE CO</t>
  </si>
  <si>
    <t>All Charges are on Applicant EUR 769.15</t>
  </si>
  <si>
    <t>Hassan Island</t>
  </si>
  <si>
    <t>SH Mohammed</t>
  </si>
  <si>
    <t>NBK Loan Fund</t>
  </si>
  <si>
    <t>Almansha Almubasher Trading Company</t>
  </si>
  <si>
    <t>LC Presentation</t>
  </si>
  <si>
    <t>LC Issuance</t>
  </si>
  <si>
    <t>Due Dates</t>
  </si>
  <si>
    <t>Presentation Settled</t>
  </si>
  <si>
    <t>Documents Collection</t>
  </si>
  <si>
    <t>LC Overdrawn</t>
  </si>
  <si>
    <t>LC Summary</t>
  </si>
  <si>
    <t>Invoice Amt (SAR)</t>
  </si>
  <si>
    <t>Dipu Sir</t>
  </si>
  <si>
    <t>Tareeq Telmasani</t>
  </si>
  <si>
    <t>Actual Due 6/04</t>
  </si>
  <si>
    <t>MD2431733004</t>
  </si>
  <si>
    <t>Rawadf International Co.</t>
  </si>
  <si>
    <t>Accep. Submitted to Bank</t>
  </si>
  <si>
    <t>Amendment</t>
  </si>
  <si>
    <t>Acceptance</t>
  </si>
  <si>
    <t>Settlement</t>
  </si>
  <si>
    <t>DCBWPM554837</t>
  </si>
  <si>
    <t>115</t>
  </si>
  <si>
    <t>DCBWPM554738</t>
  </si>
  <si>
    <t>ISAM MUAMMED KHAIRI KABBANI GLASS (IKK Glass)</t>
  </si>
  <si>
    <t>1020100</t>
  </si>
  <si>
    <t>1020055</t>
  </si>
  <si>
    <t>1020098</t>
  </si>
  <si>
    <t>1020015</t>
  </si>
  <si>
    <t>1020106</t>
  </si>
  <si>
    <t>1020091</t>
  </si>
  <si>
    <t>1020085</t>
  </si>
  <si>
    <t>1020052</t>
  </si>
  <si>
    <t>1020070</t>
  </si>
  <si>
    <t>1020060</t>
  </si>
  <si>
    <t>1020001</t>
  </si>
  <si>
    <t>1020097</t>
  </si>
  <si>
    <t>1020051</t>
  </si>
  <si>
    <t>1020076</t>
  </si>
  <si>
    <t>Oxagon</t>
  </si>
  <si>
    <t>1020003</t>
  </si>
  <si>
    <t>JLG6901089</t>
  </si>
  <si>
    <t>LC Expiry</t>
  </si>
  <si>
    <t>LC Status</t>
  </si>
  <si>
    <t>Applicant Signature Checkpoint</t>
  </si>
  <si>
    <t>ILC-0840-25-7517</t>
  </si>
  <si>
    <t>ILC-0840-25-7518</t>
  </si>
  <si>
    <t>Recd. For Sign</t>
  </si>
  <si>
    <t>BOUTIQUE GROUP</t>
  </si>
  <si>
    <t>Various Repairs and Maintenance of Al-Hamra Palace, jeddah</t>
  </si>
  <si>
    <t>HO Reserve</t>
  </si>
  <si>
    <t>1020068</t>
  </si>
  <si>
    <t>Saudi Royal Avaition</t>
  </si>
  <si>
    <t>JLG6901122</t>
  </si>
  <si>
    <t>Saudi Royal Aviation (HQ Riyadh) FM Services – IFAS-TTD-COM-2011-R00</t>
  </si>
  <si>
    <t>Tariff</t>
  </si>
  <si>
    <t>Issuance Charges</t>
  </si>
  <si>
    <t>Amendment Charges</t>
  </si>
  <si>
    <t>Months</t>
  </si>
  <si>
    <t>Settlement Charges</t>
  </si>
  <si>
    <t>Other Charges</t>
  </si>
  <si>
    <t>DCBWPM555614</t>
  </si>
  <si>
    <t>percentage</t>
  </si>
  <si>
    <t>Charges</t>
  </si>
  <si>
    <t>DCBWPM555618</t>
  </si>
  <si>
    <t>DCBWPM555723</t>
  </si>
  <si>
    <t>DCBWPM555729</t>
  </si>
  <si>
    <t>SAMA-Alinma</t>
  </si>
  <si>
    <t>VAT</t>
  </si>
  <si>
    <t>Total Charges</t>
  </si>
  <si>
    <t>Courier</t>
  </si>
  <si>
    <t>Final Charges</t>
  </si>
  <si>
    <t>DCBWPM555720</t>
  </si>
  <si>
    <t>SAB - 0.50 Flat</t>
  </si>
  <si>
    <t>STD 200 / Same Bank - 75</t>
  </si>
  <si>
    <t>Mohammed Kotb</t>
  </si>
  <si>
    <t>Bassam Marawie</t>
  </si>
  <si>
    <t xml:space="preserve"> - </t>
  </si>
  <si>
    <t>Mohammed Atef</t>
  </si>
  <si>
    <t>Khaled Sultan</t>
  </si>
  <si>
    <t>Wissam Arafa</t>
  </si>
  <si>
    <t>Mathew Mckernan</t>
  </si>
  <si>
    <t>DCBWPM555615</t>
  </si>
  <si>
    <t>DCBWPM555620</t>
  </si>
  <si>
    <t>ROLACO ARABIAN SOUNDS &amp; LIGHTS COMPANY</t>
  </si>
  <si>
    <t>TF2510400017</t>
  </si>
  <si>
    <t>VENTLINE AIR CONDITIONING REQUISITES MANUFACTURING LLC</t>
  </si>
  <si>
    <t>TF2510400021</t>
  </si>
  <si>
    <t>TF2510400020</t>
  </si>
  <si>
    <t>TF2509900019</t>
  </si>
  <si>
    <t>TF2509900021</t>
  </si>
  <si>
    <t>7.5M NBK Loan Funds</t>
  </si>
  <si>
    <t>316K Funds</t>
  </si>
  <si>
    <t>LC Utilized</t>
  </si>
  <si>
    <t>High Al Shuhra Contracting Company</t>
  </si>
  <si>
    <t>J210386</t>
  </si>
  <si>
    <t>RUH Station Design &amp; Construction Works</t>
  </si>
  <si>
    <t>J210388</t>
  </si>
  <si>
    <t>WATANIA STEEL FACTORY COMPANY</t>
  </si>
  <si>
    <t>MOHAMMED RAMADAN SHAT FACTORY FOR METAL INDUSTRIES</t>
  </si>
  <si>
    <t>RABIGH SOLB INDUSTRY FACTORY COMPANY</t>
  </si>
  <si>
    <t>SAUDI HEPCO</t>
  </si>
  <si>
    <t>Expertise Contracting Company Ltd</t>
  </si>
  <si>
    <t>1020088</t>
  </si>
  <si>
    <t>TF2510400028</t>
  </si>
  <si>
    <t>116</t>
  </si>
  <si>
    <t>Year</t>
  </si>
  <si>
    <t>January</t>
  </si>
  <si>
    <t>February</t>
  </si>
  <si>
    <t>March</t>
  </si>
  <si>
    <t>April</t>
  </si>
  <si>
    <t>May</t>
  </si>
  <si>
    <t>June</t>
  </si>
  <si>
    <t>July</t>
  </si>
  <si>
    <t>August</t>
  </si>
  <si>
    <t>September</t>
  </si>
  <si>
    <t>October</t>
  </si>
  <si>
    <t>November</t>
  </si>
  <si>
    <t>December</t>
  </si>
  <si>
    <t>LC Issued - Till Date</t>
  </si>
  <si>
    <t>Month</t>
  </si>
  <si>
    <t>Total LC Issued</t>
  </si>
  <si>
    <t>Document Received</t>
  </si>
  <si>
    <t>DC WPM556764</t>
  </si>
  <si>
    <t>ILC-0840-25-7568</t>
  </si>
  <si>
    <t>ILC-0840-25-7572</t>
  </si>
  <si>
    <t>ILC-0840-25-7571</t>
  </si>
  <si>
    <t>ILC-0840-25-7566</t>
  </si>
  <si>
    <t>ILC-0840-25-7574</t>
  </si>
  <si>
    <t>ILC-0840-25-7570</t>
  </si>
  <si>
    <t>1020107</t>
  </si>
  <si>
    <t>Days Remaining</t>
  </si>
  <si>
    <t>TECHNICAL TOOLS TRADING COMPANY</t>
  </si>
  <si>
    <t>KENZ SARAB MACHINERY AND EQUIPMENT COMPANY</t>
  </si>
  <si>
    <t>SHEHAB TRADING COMPANY</t>
  </si>
  <si>
    <t>SAUD JAMAL ALHADDAD EQUIPMENT RENTAL EST.</t>
  </si>
  <si>
    <t>TAMEA AND TAHENA FOR FAST FOOD</t>
  </si>
  <si>
    <t>NMA ALMUTAMIZA INDUSTRIAL AND EQUIPMENT CO.</t>
  </si>
  <si>
    <t>AKNAN ALKHAIR TRADING EST.</t>
  </si>
  <si>
    <t>ULTIMATE SOLUTIONS TRADING CO.</t>
  </si>
  <si>
    <t>TEN POINTS EST</t>
  </si>
  <si>
    <t>DALHAM AL JANOUB CONTRACTING EST.</t>
  </si>
  <si>
    <t>SAHM AL-MADINAH CONTRACTING EST</t>
  </si>
  <si>
    <t>AFAQ AL MALAZ TRADING CO LTD.</t>
  </si>
  <si>
    <t>STAR SQUARES COMPANY LTD.</t>
  </si>
  <si>
    <t>J210425</t>
  </si>
  <si>
    <t>BRC Industrial (Saudia) Company</t>
  </si>
  <si>
    <t>Amt Recd. for Sign</t>
  </si>
  <si>
    <t>I Engineering KSA</t>
  </si>
  <si>
    <t>DCBWPM555709</t>
  </si>
  <si>
    <t>Balance After Settlement</t>
  </si>
  <si>
    <t>J210387</t>
  </si>
  <si>
    <t>Under Collection - IC251143300301</t>
  </si>
  <si>
    <t>Matthew Mckernan</t>
  </si>
  <si>
    <t>Bawan Metal Industries Company</t>
  </si>
  <si>
    <t>Al Yamamah Company for Reinforcing Steel Bars</t>
  </si>
  <si>
    <t>Sum of Balance After Settlement</t>
  </si>
  <si>
    <t>GULF GRILLES COMPANY</t>
  </si>
  <si>
    <t>ALBYT ALTHAKI TRADING CO</t>
  </si>
  <si>
    <t>RAWABI AL MAHFAR TRADING CO.</t>
  </si>
  <si>
    <t>TABARK AL-MOMMYZA FOR TRADING EST</t>
  </si>
  <si>
    <t>UNION PIPES INDUSTRY CO.</t>
  </si>
  <si>
    <t>AFAQ AL MALAZ TRADING CO.LTD</t>
  </si>
  <si>
    <t>AKNAN ALKHAIR TRADING EST</t>
  </si>
  <si>
    <t>GAS SOLUTIONS</t>
  </si>
  <si>
    <t>L01 Cash Margin Funds</t>
  </si>
  <si>
    <t>IM2512733009</t>
  </si>
  <si>
    <t>IM2512733014</t>
  </si>
  <si>
    <t>IM2512733015</t>
  </si>
  <si>
    <t>IM2512733013</t>
  </si>
  <si>
    <t>IM2512733007</t>
  </si>
  <si>
    <t>IM2512733005</t>
  </si>
  <si>
    <t>IM2512733003</t>
  </si>
  <si>
    <t>IM2512733012</t>
  </si>
  <si>
    <t>IM2512733008</t>
  </si>
  <si>
    <t>IM2512733010</t>
  </si>
  <si>
    <t>117</t>
  </si>
  <si>
    <t>IM2512733016</t>
  </si>
  <si>
    <t>IM2512733017</t>
  </si>
  <si>
    <t>TF2512800002</t>
  </si>
  <si>
    <t>TF2512800006</t>
  </si>
  <si>
    <t>IM2512833001</t>
  </si>
  <si>
    <t>IM2512833002</t>
  </si>
  <si>
    <t>IM2512833003</t>
  </si>
  <si>
    <t>IM2512733011</t>
  </si>
  <si>
    <t>IM2512733006</t>
  </si>
  <si>
    <t>IM2512833006</t>
  </si>
  <si>
    <t>IM2512833004</t>
  </si>
  <si>
    <t>IM2512833005</t>
  </si>
  <si>
    <t>IM2512833009</t>
  </si>
  <si>
    <t>Innovative Contractors for Advanced Dimension (ICAD)</t>
  </si>
  <si>
    <t>IM2513133003</t>
  </si>
  <si>
    <t xml:space="preserve"> </t>
  </si>
  <si>
    <t>1-(Partial-1)</t>
  </si>
  <si>
    <t>1-(Partial-2)</t>
  </si>
  <si>
    <t>1-(Partial-3)</t>
  </si>
  <si>
    <t>2-(Partial-2)</t>
  </si>
  <si>
    <t>3-(Partial-2)</t>
  </si>
  <si>
    <t>3-(Partial-1)</t>
  </si>
  <si>
    <t>21-(Partial-3)</t>
  </si>
  <si>
    <t>21-(Partial-2)</t>
  </si>
  <si>
    <t>21-(Partial-1)</t>
  </si>
  <si>
    <t>17-(Partial-2)</t>
  </si>
  <si>
    <t>17-(Partial-1)</t>
  </si>
  <si>
    <t>TF2513100025</t>
  </si>
  <si>
    <t>TF2513100011</t>
  </si>
  <si>
    <t>TF2513100027</t>
  </si>
  <si>
    <t>TF2513100028</t>
  </si>
  <si>
    <t>TF2513100029</t>
  </si>
  <si>
    <t>TF2513100026</t>
  </si>
  <si>
    <t>TF2513100024</t>
  </si>
  <si>
    <t>TF2513100023</t>
  </si>
  <si>
    <t>PROJECT SUPPLY FOR TRADING EST.</t>
  </si>
  <si>
    <t>NAJM AL FALAK TRADING CO.</t>
  </si>
  <si>
    <t>ARABIAN INTERNATIONAL COMPANY FOR CONTRACTING</t>
  </si>
  <si>
    <t>ATC Saudi Co.</t>
  </si>
  <si>
    <t>ALI MANEA ALYAMI TRADING EST.</t>
  </si>
  <si>
    <t>MANATIQ GENERAL CONTRACTING COMPANY</t>
  </si>
  <si>
    <t>CAN ALSHARQ GENERAL CONT. EST</t>
  </si>
  <si>
    <t>MODON ADVANCE SERVICES TECH CO (MASTTE)</t>
  </si>
  <si>
    <t>ANSSAM AL RIYADH CONTRACTING EST</t>
  </si>
  <si>
    <t>MARIAM TRADING CO &amp; PARTNERS</t>
  </si>
  <si>
    <t>IM2513233001</t>
  </si>
  <si>
    <t>Gulf Grilles Company</t>
  </si>
  <si>
    <t>ARAB EAGLE TRANSPORT CO.</t>
  </si>
  <si>
    <t>DANIA AIR CONTROL SYSTEM FACTORY</t>
  </si>
  <si>
    <t>TF2513200005</t>
  </si>
  <si>
    <t>JLC6800561-ADF Cash Margin Refund</t>
  </si>
  <si>
    <t>MASDAR TECHNICAL Supplies CO.</t>
  </si>
  <si>
    <t>Discrepancy Rejected</t>
  </si>
  <si>
    <t>J210548</t>
  </si>
  <si>
    <t>Al Arabia Construction &amp; Building Co.</t>
  </si>
  <si>
    <t>45 Days from the Invoice Date</t>
  </si>
  <si>
    <t>TF2513500039</t>
  </si>
  <si>
    <t>TF2513500016</t>
  </si>
  <si>
    <t>TF2513500017</t>
  </si>
  <si>
    <t>TF2513500018</t>
  </si>
  <si>
    <t>TF2513500019</t>
  </si>
  <si>
    <t>TF2513500026</t>
  </si>
  <si>
    <t>TF2513500029</t>
  </si>
  <si>
    <t>TF2513500030</t>
  </si>
  <si>
    <t>TF2513500031</t>
  </si>
  <si>
    <t>TF2513500032</t>
  </si>
  <si>
    <t>TF2513500033</t>
  </si>
  <si>
    <t>TF2513500034</t>
  </si>
  <si>
    <t>TF2513500035</t>
  </si>
  <si>
    <t>TF2513500036</t>
  </si>
  <si>
    <t>TF2513500037</t>
  </si>
  <si>
    <t>TF2513500038</t>
  </si>
  <si>
    <t>113</t>
  </si>
  <si>
    <t>118</t>
  </si>
  <si>
    <t>SAB-T5 (262-307200-009)</t>
  </si>
  <si>
    <t>BR.MUMTAZ &amp; CONSTRUCTION CO.MIRPUR A.K.</t>
  </si>
  <si>
    <t>MODERN AL BONYAN CAPITAL COMPANY LIMITED</t>
  </si>
  <si>
    <t>World Systems Co. Ltd.</t>
  </si>
  <si>
    <t>Klimacontra International</t>
  </si>
  <si>
    <t>Energy International Controls</t>
  </si>
  <si>
    <t>DAR-AL MAWARED TRADING CO.</t>
  </si>
  <si>
    <t>Universal Building Materials Merchants Co. ltd</t>
  </si>
  <si>
    <t>SAHM AL MADINAH CONTRACTING EST</t>
  </si>
  <si>
    <t>All Charges are on Applicant SAR 1550.00 | Collection under ref-TF2513200020 | Free of Payment Documents</t>
  </si>
  <si>
    <t>Free of Payment</t>
  </si>
  <si>
    <t>TF2511400003</t>
  </si>
  <si>
    <t>Mixed Payment</t>
  </si>
  <si>
    <t>DCBWPM557847</t>
  </si>
  <si>
    <t>Reserve Funds</t>
  </si>
  <si>
    <t>SCHNEIDER ELECTRIC SAUDI ARABIA CO</t>
  </si>
  <si>
    <t>ESSAM KABBANI AND PARTNERS CO FOR CONSTRUCTION AND MAINTENANCE CO</t>
  </si>
  <si>
    <t>ELSEWEDY CABLES CO. LIMITED</t>
  </si>
  <si>
    <t>AFAQ AL MALAZ TRADING CO. LTD</t>
  </si>
  <si>
    <t>IFAS Fund</t>
  </si>
  <si>
    <t>Mimar for Construction Tools &amp; Tradina Ltd.</t>
  </si>
  <si>
    <t>Ajzal United for Safety CO.LTD.</t>
  </si>
  <si>
    <t xml:space="preserve">MARIAM TRADING CO. &amp; PARTNER </t>
  </si>
  <si>
    <t>Saudi Pipe Systems Co. Ltd.</t>
  </si>
  <si>
    <t>Brooq Al-Amaan Trading Company</t>
  </si>
  <si>
    <t>Al-Sayed Center A/C for Materials Company</t>
  </si>
  <si>
    <t>ANDHMAH ALMNANI ALTWARH EST</t>
  </si>
  <si>
    <t>MASE GULF COMPANY</t>
  </si>
  <si>
    <t>Arabian International Company For Contracting</t>
  </si>
  <si>
    <t xml:space="preserve">Daikin Air Conditioning Saudi Arabia </t>
  </si>
  <si>
    <t>TF - Talal Fares - RCRC | MP1 | Abha | ADF | KSP | Opera | Oceanarium</t>
  </si>
  <si>
    <t>114</t>
  </si>
  <si>
    <t>Al Wasail Industrial Co</t>
  </si>
  <si>
    <t>Baamer Group for Trading Company</t>
  </si>
  <si>
    <t xml:space="preserve">EALLA FOR GENERAL CONTRACTING CO </t>
  </si>
  <si>
    <t xml:space="preserve">VOLTAGE ELEMENTS INDUSTRIAL Co. </t>
  </si>
  <si>
    <t>SPMI Fund</t>
  </si>
  <si>
    <t>Justin Xavier</t>
  </si>
  <si>
    <t>ILC-0840-25-7735</t>
  </si>
  <si>
    <t>ILC-0840-25-7736</t>
  </si>
  <si>
    <t>ILC-0840-25-7737</t>
  </si>
  <si>
    <t>ILC-0840-25-7739</t>
  </si>
  <si>
    <t>TF2514700033</t>
  </si>
  <si>
    <t>TF2514700025</t>
  </si>
  <si>
    <t>TF2514700030</t>
  </si>
  <si>
    <t>TF2514700037</t>
  </si>
  <si>
    <t>TF2514700038</t>
  </si>
  <si>
    <t>TF2514700066</t>
  </si>
  <si>
    <t>TF2514700064</t>
  </si>
  <si>
    <t>TF2514700061</t>
  </si>
  <si>
    <t>TF2514700056</t>
  </si>
  <si>
    <t>TF2514700055</t>
  </si>
  <si>
    <t>TF2514700052</t>
  </si>
  <si>
    <t>TF2514700051</t>
  </si>
  <si>
    <t>TF2514700046</t>
  </si>
  <si>
    <t>TF2514600068</t>
  </si>
  <si>
    <t>Elite Arabian Contracting Co Ltd</t>
  </si>
  <si>
    <t>HILTI SAUDI ARABIA FOR CONSTRUCTION TOOLS</t>
  </si>
  <si>
    <t>Permanent Freeze</t>
  </si>
  <si>
    <t>Metal and Glass Trading Co</t>
  </si>
  <si>
    <t>J210605</t>
  </si>
  <si>
    <t>J210603</t>
  </si>
  <si>
    <t>J210610</t>
  </si>
  <si>
    <t>J210611</t>
  </si>
  <si>
    <t>J210609</t>
  </si>
  <si>
    <t>J210612</t>
  </si>
  <si>
    <t>J210606</t>
  </si>
  <si>
    <t>J210607</t>
  </si>
  <si>
    <t>J210604</t>
  </si>
  <si>
    <t>J210608</t>
  </si>
  <si>
    <t>M1 Project - Hassan</t>
  </si>
  <si>
    <t>TF2514600059</t>
  </si>
  <si>
    <t>TF2514600067</t>
  </si>
  <si>
    <t>DCBCPM558780</t>
  </si>
  <si>
    <t>DCBWPM558787</t>
  </si>
  <si>
    <t>DCBWPM558782</t>
  </si>
  <si>
    <t>DCBWPM558785</t>
  </si>
  <si>
    <t>DCBWPM558775</t>
  </si>
  <si>
    <t>DCBWPM558756</t>
  </si>
  <si>
    <t>DCBWPM558778</t>
  </si>
  <si>
    <t>DCBWPM558786</t>
  </si>
  <si>
    <t>DCBWPM558776</t>
  </si>
  <si>
    <t>DCBWPM558781</t>
  </si>
  <si>
    <t>DCBWPM558755</t>
  </si>
  <si>
    <t>DCBWPM558763</t>
  </si>
  <si>
    <t>DCBWPM558769</t>
  </si>
  <si>
    <t>DCBWPM558768</t>
  </si>
  <si>
    <t>DCBWPM558751</t>
  </si>
  <si>
    <t>DCBWPM558759</t>
  </si>
  <si>
    <t>J210617</t>
  </si>
  <si>
    <t>ILC-0840-25-7799</t>
  </si>
  <si>
    <t>UAE Complex</t>
  </si>
  <si>
    <t>J210679</t>
  </si>
  <si>
    <t>T5</t>
  </si>
  <si>
    <t>J210676</t>
  </si>
  <si>
    <t>Received To Open</t>
  </si>
  <si>
    <t>Collect Original</t>
  </si>
  <si>
    <t>J210690</t>
  </si>
  <si>
    <t>King Salman International Airport Development Company</t>
  </si>
  <si>
    <t>EARLY CONTRACTOR INVOLVEMENT FOR AIR TRAFFIC CONTROL TOWER</t>
  </si>
  <si>
    <t>JLG6901987</t>
  </si>
  <si>
    <t>Operational and Improvement Requirements Project for the Building</t>
  </si>
  <si>
    <t>Makarat Office</t>
  </si>
  <si>
    <t>O&amp;M KAP</t>
  </si>
  <si>
    <t>Al Bayrak Red Contracting Establishment</t>
  </si>
  <si>
    <t>ENGINEERING STYLES EST FOR CONTRACTING</t>
  </si>
  <si>
    <t>Awad Batel Bin Awad Al Rashidi Contracting Est.</t>
  </si>
  <si>
    <t>AL RAWNAQ AL THAHABI ENGINEERING CONSULTING. CO.</t>
  </si>
  <si>
    <t>MAHAWAR AL JAZEERA CONTRACTING CO.</t>
  </si>
  <si>
    <t>CAN AL SHARQ GENERAL CONT.EST</t>
  </si>
  <si>
    <t>Establishment SAFIH ABDULLAH BEN BAKRI</t>
  </si>
  <si>
    <t>LAILA M.BIN ABDULLAH AL-FARAJ FOR GENERAL CONT.EST</t>
  </si>
  <si>
    <t>STAR SQUARES CO LTD</t>
  </si>
  <si>
    <t>DCBWPM559830</t>
  </si>
  <si>
    <t>JLG6901966</t>
  </si>
  <si>
    <t>King Khalid International Airport Development Company</t>
  </si>
  <si>
    <t>EARLY CONTRACTOR INVOLVEMENT package for Terminal 6</t>
  </si>
  <si>
    <t>JLG6902011</t>
  </si>
  <si>
    <t>Rehabilitation, equipment and replacement works for uninterruptible power supply (UPS) units</t>
  </si>
  <si>
    <t>Private Affairs Of The Custodian Of The Two Holy Mosques</t>
  </si>
  <si>
    <t>119</t>
  </si>
  <si>
    <t>ASSA ABLOY ENTRANCE SYSTEMS SAUDI CO.</t>
  </si>
  <si>
    <t>The Desert Resort Development Company</t>
  </si>
  <si>
    <t>Design, Build of the shaybah resort project (boh and infrastructure)</t>
  </si>
  <si>
    <t>JLG6902029</t>
  </si>
  <si>
    <t>GIBCA Furniture Industry Co Ltd</t>
  </si>
  <si>
    <t>Anixter Saudi Arabia Ltd</t>
  </si>
  <si>
    <t>Retention</t>
  </si>
  <si>
    <t>JLG6902037</t>
  </si>
  <si>
    <t>DCBWPM560155</t>
  </si>
  <si>
    <t>TF2517300038</t>
  </si>
  <si>
    <t>TF2517400017</t>
  </si>
  <si>
    <t>TF2517400019</t>
  </si>
  <si>
    <t>TF2517400022</t>
  </si>
  <si>
    <t>TF2517400023</t>
  </si>
  <si>
    <t>TF2517400030</t>
  </si>
  <si>
    <t>TF2517400038</t>
  </si>
  <si>
    <t>TF2517400044</t>
  </si>
  <si>
    <t>TF2517400045</t>
  </si>
  <si>
    <t>TF2517400050</t>
  </si>
  <si>
    <t>TF2517400053</t>
  </si>
  <si>
    <t>TF2517400057</t>
  </si>
  <si>
    <t>TF2517400062</t>
  </si>
  <si>
    <t>TF2517400066</t>
  </si>
  <si>
    <t>TF2517400070</t>
  </si>
  <si>
    <t>TF2517400086</t>
  </si>
  <si>
    <t>TF2517400098</t>
  </si>
  <si>
    <t>TF2517400111</t>
  </si>
  <si>
    <t>on 24-06</t>
  </si>
  <si>
    <t>120</t>
  </si>
  <si>
    <t>Sum of LC Balance</t>
  </si>
  <si>
    <t>Final Expiry Date</t>
  </si>
  <si>
    <t>LC Cancellation - Facility Release Schedule</t>
  </si>
  <si>
    <t>LC Settlement - Facility Release Schedule</t>
  </si>
  <si>
    <t>ILC-0840-25-7877</t>
  </si>
  <si>
    <t>LC Cancellation Report</t>
  </si>
  <si>
    <t>Aluminium Products company (ALUPCO)</t>
  </si>
  <si>
    <t>King Salman International Airport</t>
  </si>
  <si>
    <t>Progressive Design of Terminal 6 Apron, New 4th Runway and Associated Airfield Infrastructure</t>
  </si>
  <si>
    <t>TF2517700078</t>
  </si>
  <si>
    <t>TF2517700014</t>
  </si>
  <si>
    <t>TF2517700020</t>
  </si>
  <si>
    <t>TF2517700028</t>
  </si>
  <si>
    <t>TF2517700035</t>
  </si>
  <si>
    <t>TF2517700045</t>
  </si>
  <si>
    <t>TF2517700054</t>
  </si>
  <si>
    <t>TF2517700061</t>
  </si>
  <si>
    <t>TF2517700068</t>
  </si>
  <si>
    <t>TF2517700087</t>
  </si>
  <si>
    <t>TF2517700091</t>
  </si>
  <si>
    <t>Exp: 31-08 | LDS: 31-08 | to bank on 29-06</t>
  </si>
  <si>
    <t>JEDDAH CENTRAL DEVELOPMENT COMPANY</t>
  </si>
  <si>
    <t>JLG6902202 | SRLG6900030</t>
  </si>
  <si>
    <t>DCBWPM560813</t>
  </si>
  <si>
    <t>Not in Use</t>
  </si>
  <si>
    <t>ATEEQ AL-LUQMANI EST</t>
  </si>
  <si>
    <t>JLG6902268</t>
  </si>
  <si>
    <t>JLG6902265</t>
  </si>
  <si>
    <t>LC Increase</t>
  </si>
  <si>
    <t>Airfields Upgrade Program - Aerodrome</t>
  </si>
  <si>
    <t>Luis Puente</t>
  </si>
  <si>
    <t>JLG6902319</t>
  </si>
  <si>
    <t>Pierre Samaha</t>
  </si>
  <si>
    <t>TF2518100017</t>
  </si>
  <si>
    <t>Depa Saudi Arabia for Contracting and Interior Decorating Co. Ltd.</t>
  </si>
  <si>
    <t>Future Plastic Factory for Industry</t>
  </si>
  <si>
    <t>Mohammed Ramadan Shat</t>
  </si>
  <si>
    <t>Saudi Hepco Co Ltd</t>
  </si>
  <si>
    <t>Union Pipes Industry Co LLC</t>
  </si>
  <si>
    <t>121</t>
  </si>
  <si>
    <t>Lagoon Phase 1</t>
  </si>
  <si>
    <t>Ealla For General Contracting</t>
  </si>
  <si>
    <t>AL FALWA CO. LTD. FOR READYMIX CONCRETE</t>
  </si>
  <si>
    <t>J210868</t>
  </si>
  <si>
    <t>TF2519400032</t>
  </si>
  <si>
    <t>Banks</t>
  </si>
  <si>
    <t>Pending Document Collection</t>
  </si>
  <si>
    <t>Foreign Documents</t>
  </si>
  <si>
    <t>TF2519600062</t>
  </si>
  <si>
    <t>Metten Al-Arabia Ltd Co (METARA)</t>
  </si>
  <si>
    <t>Count</t>
  </si>
  <si>
    <t>ILC-0840-25-7980</t>
  </si>
  <si>
    <t>ILC-0840-25-7979</t>
  </si>
  <si>
    <t>ILC-0840-25-7981</t>
  </si>
  <si>
    <t>Overdrawn Amount</t>
  </si>
  <si>
    <t>King Abdulaziz and His Companions Foundation for Giftedness and Creativity</t>
  </si>
  <si>
    <t>King Abdulaziz and His Companions Foundation for Giftedness and Creativity
(Maintenance &amp; Cleaning Services) IFAS-TTD-COM-2148-R00</t>
  </si>
  <si>
    <t>ILC-0840-25-7986</t>
  </si>
  <si>
    <t>ILC-0840-25-7984</t>
  </si>
  <si>
    <t>ILC-0840-25-7982</t>
  </si>
  <si>
    <t>Mahmoud AI-Taheni &amp; Partners Trading Co.</t>
  </si>
  <si>
    <t>JLG6902522</t>
  </si>
  <si>
    <t>ILC-0840-25-7992</t>
  </si>
  <si>
    <t>Al Taqadom Alaly Trading Est</t>
  </si>
  <si>
    <t>Sami Yousee Bin Abdel Rahim Alharbi Foundation</t>
  </si>
  <si>
    <t>MASQ FOR ELECTRICAL TOOLS CO</t>
  </si>
  <si>
    <t>BROOQ ALAMAAN TRAD COMPANY</t>
  </si>
  <si>
    <t>ALGHAMDI COMPANY FOR SANITARY WARES</t>
  </si>
  <si>
    <t>INTERPLAST CO.LTD</t>
  </si>
  <si>
    <t>ALDREES INDUSTRIAL AND TRADING CO</t>
  </si>
  <si>
    <t>TECHNICAL TOOLS TRADING CO.</t>
  </si>
  <si>
    <t>MASDAR TECHNICAL SUPPLIES CO</t>
  </si>
  <si>
    <t>Al Wasail Industrial Co.</t>
  </si>
  <si>
    <t>OPTIMAL ENGINEERING SOLUTIONS</t>
  </si>
  <si>
    <t>JOHNSON CONTROLS ARABIA LTD.</t>
  </si>
  <si>
    <t>Mohammed A. Al-Awani Trading</t>
  </si>
  <si>
    <t>JLG6902552</t>
  </si>
  <si>
    <t>JLG6902554</t>
  </si>
  <si>
    <t>JLG6902551</t>
  </si>
  <si>
    <t>Prime Star Technologies Company Limited</t>
  </si>
  <si>
    <t>COMPANY IMDAD AL-TAQA FOR LOGISTIC</t>
  </si>
  <si>
    <t>ZAHID TRACTOR &amp; HEAVY MACHINERY CO. LTD.</t>
  </si>
  <si>
    <t>TABARK AL-MOMMYZA FOR TRADING COMPANY</t>
  </si>
  <si>
    <t>HO Loan</t>
  </si>
  <si>
    <t>2-(Partial-1)</t>
  </si>
  <si>
    <t>ATLANTIC SUPPLIES FOR TRADING</t>
  </si>
  <si>
    <t>CONTRACTORS SERVICES CO.</t>
  </si>
  <si>
    <t>Albarq Alarabi For Logistics Services</t>
  </si>
  <si>
    <t>DELHAM ALJANOUB FOR TRADING CONTRACTING</t>
  </si>
  <si>
    <t>DCBWPM562598</t>
  </si>
  <si>
    <t>DCBWPM562620</t>
  </si>
  <si>
    <t>DCBWPM562615</t>
  </si>
  <si>
    <t>DCBWPM562626</t>
  </si>
  <si>
    <t>DCBWPM562592</t>
  </si>
  <si>
    <t>DCBWPM562628</t>
  </si>
  <si>
    <t>DCBWPM562625</t>
  </si>
  <si>
    <t>DCBWPM562624</t>
  </si>
  <si>
    <t>DCBWPM562590</t>
  </si>
  <si>
    <t>DCBWPM562600</t>
  </si>
  <si>
    <t>DCBWPM562612</t>
  </si>
  <si>
    <t>DCBWPM562605</t>
  </si>
  <si>
    <t>DCBWPM562595</t>
  </si>
  <si>
    <t>DCBWPM562604</t>
  </si>
  <si>
    <t>ILC-0840-25-8011</t>
  </si>
  <si>
    <t>Alkhorayef Commercial co.</t>
  </si>
  <si>
    <t>Ezdehar Industrial Services Co.</t>
  </si>
  <si>
    <t xml:space="preserve">Masdar Technical Supplies Co. </t>
  </si>
  <si>
    <t>Riyadh Unity for Trading</t>
  </si>
  <si>
    <t>DCBWPM562622</t>
  </si>
  <si>
    <t>J210928</t>
  </si>
  <si>
    <t>J210929</t>
  </si>
  <si>
    <t>Document Presented - Till Date</t>
  </si>
  <si>
    <t>J210927</t>
  </si>
  <si>
    <t>JLG6902637</t>
  </si>
  <si>
    <t>to bank on 28-07</t>
  </si>
  <si>
    <t>DCBWPM562572</t>
  </si>
  <si>
    <t>AC SOLUTIONS TRADING CO</t>
  </si>
  <si>
    <t>90 Days from Appl. Representative Sign</t>
  </si>
  <si>
    <t>Atlas Industrial Equipment Co.</t>
  </si>
  <si>
    <t>150 Days from Appl. Representative Sign</t>
  </si>
  <si>
    <t>AFKAR ALTATHBET TRADING COMPANY</t>
  </si>
  <si>
    <t>Mab United For Trading &amp; Contracting Co</t>
  </si>
  <si>
    <t>120 Days from Appl. Representative Sign</t>
  </si>
  <si>
    <t>JAD AL RIYADH Trading Co. Ltd</t>
  </si>
  <si>
    <t>AFAQ AL MALAZ TRADING CO. LTD.</t>
  </si>
  <si>
    <t>Systemair for Electrical Equipment Co.</t>
  </si>
  <si>
    <t>MODON ADVANCE SERVICES TECH CO.</t>
  </si>
  <si>
    <t>Al-Sayed Center A/C &amp; Refrigeration Materials Company</t>
  </si>
  <si>
    <t>IDEAL CALIBER COMPANY LTD</t>
  </si>
  <si>
    <t>DCBWPM562731</t>
  </si>
  <si>
    <t>DCBWPM562728</t>
  </si>
  <si>
    <t>DCBWPM562730</t>
  </si>
  <si>
    <t>J210944</t>
  </si>
  <si>
    <t>Invoice Amt</t>
  </si>
  <si>
    <t>Mat Filtrasyon Teknolojeleri A.S</t>
  </si>
  <si>
    <t>NATIONAL MARKETING EST.CO.LTD</t>
  </si>
  <si>
    <t>National Fire Fighting Manufacturing</t>
  </si>
  <si>
    <t>Modern Times Technical System Co</t>
  </si>
  <si>
    <t>Alshrkt Mzaya Almttwrt Alsnaayt shkhs Wahd</t>
  </si>
  <si>
    <t>1020096</t>
  </si>
  <si>
    <t>Jiangsu Donchamp New Materials Technology Co.Ltd.</t>
  </si>
  <si>
    <t>DCBWPM563017</t>
  </si>
  <si>
    <t>DCBWPM563019</t>
  </si>
  <si>
    <t>DCBWPM563021</t>
  </si>
  <si>
    <t>DCBWPM563023</t>
  </si>
  <si>
    <t>DCBWPM563025</t>
  </si>
  <si>
    <t>AL-RIYADHA AL-OULA FOR INDUSTRIAL MATERIAL SUPPLY CO.</t>
  </si>
  <si>
    <t>TF2521100011</t>
  </si>
  <si>
    <t>TF2521100101</t>
  </si>
  <si>
    <t>TF2521100097</t>
  </si>
  <si>
    <t>TF2521100095</t>
  </si>
  <si>
    <t>TF2521100088</t>
  </si>
  <si>
    <t>TF2521100048</t>
  </si>
  <si>
    <t>TF2521000028</t>
  </si>
  <si>
    <t>TF2521100037</t>
  </si>
  <si>
    <t>DCBWPM563027</t>
  </si>
  <si>
    <t>DCBWPM563026</t>
  </si>
  <si>
    <t>DCBWPM563039</t>
  </si>
  <si>
    <t>JLG6902732</t>
  </si>
  <si>
    <t>Ministry of Municipalities and Housing - Riyadh Region Municipality</t>
  </si>
  <si>
    <t>Riyadh Gardens 2026 Phase One Implementation Project</t>
  </si>
  <si>
    <t>TF2521000022</t>
  </si>
  <si>
    <t>DCBWPM563059</t>
  </si>
  <si>
    <t>DCBWPM563055</t>
  </si>
  <si>
    <t>DCBWPM563046</t>
  </si>
  <si>
    <t>DCBWPM563043</t>
  </si>
  <si>
    <t>DCBWPM563040</t>
  </si>
  <si>
    <t>DCBWPM563030</t>
  </si>
  <si>
    <t>DCBWPM563064</t>
  </si>
  <si>
    <t>Fawaz Refrigeration &amp; Air Conditioning Cont. Co. LLC</t>
  </si>
  <si>
    <t>DCBWPM563067</t>
  </si>
  <si>
    <t>JLG6902744</t>
  </si>
  <si>
    <t>Cube Metal Industries Co.</t>
  </si>
  <si>
    <t>TF2521100016</t>
  </si>
  <si>
    <t>Awraq Alqyqb Lltjart Company</t>
  </si>
  <si>
    <t>EVOLVING CONSTELLATION CO. FOR ENERGY</t>
  </si>
  <si>
    <t>60 Days from Appl. Representative Sign</t>
  </si>
  <si>
    <t>to bank on 04-08 | Exp and LDS 20-08</t>
  </si>
  <si>
    <t>DCBWPM563229</t>
  </si>
  <si>
    <t>DCBWPM563228</t>
  </si>
  <si>
    <t>DCBWPM563232</t>
  </si>
  <si>
    <t>M111365</t>
  </si>
  <si>
    <t>DCBWPM563374</t>
  </si>
  <si>
    <t>DCBWPM563372</t>
  </si>
  <si>
    <t>DCBWPM563375</t>
  </si>
  <si>
    <t>Docs Returned on 07-08</t>
  </si>
  <si>
    <t>Actual Due 25-08 | to bank on 07-08</t>
  </si>
  <si>
    <t>J211005</t>
  </si>
  <si>
    <t>MARIAM TRADING CO &amp; PARTNER</t>
  </si>
  <si>
    <t>Johnson Controls Arabia Ltd</t>
  </si>
  <si>
    <t>TEN POINTS TRADING EST</t>
  </si>
  <si>
    <t>Masdar Technical Supplies Co.</t>
  </si>
  <si>
    <t>EALAA FOR GENERAL CONTRACTING CO</t>
  </si>
  <si>
    <t>SAUDI HEPCO CO LTD</t>
  </si>
  <si>
    <t>Mohammed Ramadan Shat Factory</t>
  </si>
  <si>
    <t>Saudi Benaa Company for Building Materials</t>
  </si>
  <si>
    <t>United Park Co.</t>
  </si>
  <si>
    <t>Alimna Loan Balance</t>
  </si>
  <si>
    <t>ASCO Company Ltd</t>
  </si>
  <si>
    <t>Norah Abdullah Mubarak Abu Dhabi Fuel Est</t>
  </si>
  <si>
    <t>Abdul Aziz Mohammed Abu Shaiea Trading Est</t>
  </si>
  <si>
    <t>Al Qimam Contracting &amp; Trading Est</t>
  </si>
  <si>
    <t>Abu Dawood Trading Co.</t>
  </si>
  <si>
    <t>ALMAYMANAH FOR CONTRACTING CO.</t>
  </si>
  <si>
    <t>KONE AREECO LIMITED COMPANY</t>
  </si>
  <si>
    <t>Business Existing Trading Company</t>
  </si>
  <si>
    <t>Diamond Towers Trading &amp; Contracting Company</t>
  </si>
  <si>
    <t>EASTERN CATERING &amp; OPERATIONS CO</t>
  </si>
  <si>
    <t>European World Trading Co.</t>
  </si>
  <si>
    <t>JARIR MARKETING CO</t>
  </si>
  <si>
    <t>Theqah Al Tawseel Co. for Transport</t>
  </si>
  <si>
    <t>Sindal Arabia Trading Company</t>
  </si>
  <si>
    <t>Seerah Operation &amp; Maintenance Company</t>
  </si>
  <si>
    <t>Saudi company for development of construction and trading limited - SACODECO</t>
  </si>
  <si>
    <t>TRAP Pest Control and Garden Maintenance Co. Ltd</t>
  </si>
  <si>
    <t>Naseej Uniforms Co.</t>
  </si>
  <si>
    <t>Mohammed hamad Bin Dakhil EST.For Contracting</t>
  </si>
  <si>
    <t>Nesma Nibras Maintenance &amp; Cleaning International Co.</t>
  </si>
  <si>
    <t>Dalal Al Sham Security Company</t>
  </si>
  <si>
    <t>Al Salem York Services Co Ltd</t>
  </si>
  <si>
    <t>Muhammed Khan</t>
  </si>
  <si>
    <t>LGI-0840-25-5382</t>
  </si>
  <si>
    <t>CEER NATIONAL AUTOMOTIVE COMPANY</t>
  </si>
  <si>
    <t>General Contracting For Automotive Supplier Park</t>
  </si>
  <si>
    <t>DCBWPM563695</t>
  </si>
  <si>
    <t>Temporary from ADF</t>
  </si>
  <si>
    <t>DCBWPM563824</t>
  </si>
  <si>
    <t>DCBWPM563822</t>
  </si>
  <si>
    <t>DCBWPM563814</t>
  </si>
  <si>
    <t>DCBWPM563813</t>
  </si>
  <si>
    <t>Diriyah II New Iconic Museum Block Contract Package. Contract No D2-CN24-319</t>
  </si>
  <si>
    <t>JLC6901485</t>
  </si>
  <si>
    <t>JLC6901481</t>
  </si>
  <si>
    <t>B003486</t>
  </si>
  <si>
    <t>JLC6901483</t>
  </si>
  <si>
    <t>JLC6901470</t>
  </si>
  <si>
    <t>JLC6901472</t>
  </si>
  <si>
    <t>JLC6901486</t>
  </si>
  <si>
    <t>JLC6901484</t>
  </si>
  <si>
    <t>JLC6901487</t>
  </si>
  <si>
    <t>JLC6901489</t>
  </si>
  <si>
    <t>JLC6901479</t>
  </si>
  <si>
    <t>JLC6901482</t>
  </si>
  <si>
    <t>JLC6901469</t>
  </si>
  <si>
    <t>JLC6901467</t>
  </si>
  <si>
    <t>JLC6901477</t>
  </si>
  <si>
    <t>JLC6901476</t>
  </si>
  <si>
    <t>Al Saadeh Trading Establishment</t>
  </si>
  <si>
    <t>60 Days from Date of Delivery</t>
  </si>
  <si>
    <t>Brooq Al Amaan Trading Company</t>
  </si>
  <si>
    <t xml:space="preserve">Advance Future Al Arabiya </t>
  </si>
  <si>
    <t>Depth Modern Technologies</t>
  </si>
  <si>
    <t>FAISAL AWAD AL HARBI COMPANY</t>
  </si>
  <si>
    <t>Safid Co. Ltd</t>
  </si>
  <si>
    <t>120 Days from Date of Delivery</t>
  </si>
  <si>
    <t>IFAS - Various Projects</t>
  </si>
  <si>
    <t>JLG6902747</t>
  </si>
  <si>
    <t>STAR SQUARES CO. LTD.</t>
  </si>
  <si>
    <t>Soundlines Administrative Co Ltd.</t>
  </si>
  <si>
    <t>Al-Sayed Center A/C &amp; Refrigeration Materials Company.</t>
  </si>
  <si>
    <t>TF2523000034</t>
  </si>
  <si>
    <t>DCBWPM563936</t>
  </si>
  <si>
    <t>DCBWPM563935</t>
  </si>
  <si>
    <t>DCBWPM563933</t>
  </si>
  <si>
    <t>DCBWPM563932</t>
  </si>
  <si>
    <t>L01 O&amp;M Funds</t>
  </si>
  <si>
    <t>JLG6901738</t>
  </si>
  <si>
    <t>ROYAL COMMISSION OF RIYADH CITY</t>
  </si>
  <si>
    <t>CONSTRUCTION OF WELCOMING GATEWAY AT KING ABDULAZIZ PARK GP-PC-PB-658-CON045-RCRC-COM-RFP-00001</t>
  </si>
  <si>
    <t>JLC6901480</t>
  </si>
  <si>
    <t>JLC6901474</t>
  </si>
  <si>
    <t>JLC6901473</t>
  </si>
  <si>
    <t>JLC6901468</t>
  </si>
  <si>
    <t>JLC6901471</t>
  </si>
  <si>
    <t>JLC6901466</t>
  </si>
  <si>
    <t>SERGAS SAUDI CONTRACTING CO. L.L.C</t>
  </si>
  <si>
    <t>JLC6901475</t>
  </si>
  <si>
    <t>Sika Saudi Arabia Co. Ltd.</t>
  </si>
  <si>
    <t>120 Days from the Invoice Date</t>
  </si>
  <si>
    <t>AL-TAYYAR AL-HAQIQI COMMERCIAL CO.</t>
  </si>
  <si>
    <t>lmdadat Al Jazera Al Arabia Trading Co.</t>
  </si>
  <si>
    <t>Johnson Controls Arabia</t>
  </si>
  <si>
    <t>Saudi Electric Supply Company</t>
  </si>
  <si>
    <t>Al Othman Industrial Marketing Co.</t>
  </si>
  <si>
    <t>MBL/ICAD</t>
  </si>
  <si>
    <t>TF2523600029</t>
  </si>
  <si>
    <t>TF2523600024</t>
  </si>
  <si>
    <t>TF2523600022</t>
  </si>
  <si>
    <t>Row Labels</t>
  </si>
  <si>
    <t>Column Labels</t>
  </si>
  <si>
    <t>Pending Document For Signatures</t>
  </si>
  <si>
    <t>Active LCs</t>
  </si>
  <si>
    <t>Acceptance on Hold</t>
  </si>
  <si>
    <t>DCBWPM564579</t>
  </si>
  <si>
    <t>DCBWPM564582</t>
  </si>
  <si>
    <t>JLG6900302</t>
  </si>
  <si>
    <t>CROWN PRINCE PRIVATE AFFAIRS</t>
  </si>
  <si>
    <t>DESIGN AND BUILD OF 5 (FIVE) VIP COMPANION VILLAS IN NEOM</t>
  </si>
  <si>
    <t>Arabian Point Eight Power Co.Ltd.</t>
  </si>
  <si>
    <t>DCBWPM564600</t>
  </si>
  <si>
    <t>DCBWPM564596</t>
  </si>
  <si>
    <t>DCBWPM564593</t>
  </si>
  <si>
    <t>ILC-0840-25-8163</t>
  </si>
  <si>
    <t>ILC-0840-25-8159</t>
  </si>
  <si>
    <t>DCBWPM564575</t>
  </si>
  <si>
    <t>DCBWPM564601</t>
  </si>
  <si>
    <t>DCBWPM564603</t>
  </si>
  <si>
    <t>ILC-0840-25-8161</t>
  </si>
  <si>
    <t>DCBWPM564605</t>
  </si>
  <si>
    <t>DCBWPM564585</t>
  </si>
  <si>
    <t>DCBWPM564584</t>
  </si>
  <si>
    <t>DCBWPM564580</t>
  </si>
  <si>
    <t>ILC-0840-25-8160</t>
  </si>
  <si>
    <t>ILC-0840-25-8162</t>
  </si>
  <si>
    <t>ILC-0840-25-8164</t>
  </si>
  <si>
    <t>ILC-0840-25-8166</t>
  </si>
  <si>
    <t>ILC-0840-25-8165</t>
  </si>
  <si>
    <t>TF2523800026</t>
  </si>
  <si>
    <t>JLG6902881</t>
  </si>
  <si>
    <t>Company Alabwab Aldulaya For Contracting</t>
  </si>
  <si>
    <t>30 Days from Delivery Note Date</t>
  </si>
  <si>
    <t>JLG6605266</t>
  </si>
  <si>
    <t>ABHA CULTURAL COMPLEX - P6</t>
  </si>
  <si>
    <t>RLG6702386</t>
  </si>
  <si>
    <t>Loan from MP1</t>
  </si>
  <si>
    <t>SAUDI ENTERTAINMENT VENTURES COMPANY (SEVEN)</t>
  </si>
  <si>
    <t>LC Expiring On:</t>
  </si>
  <si>
    <t>JLC6901492</t>
  </si>
  <si>
    <t>Check with Bank for settlement Advice</t>
  </si>
  <si>
    <t>Available Credit Facility Space</t>
  </si>
  <si>
    <t xml:space="preserve">DAIKIN AIR CONDITIONING SAUDI ARABIA LLC </t>
  </si>
  <si>
    <t>ELSEWEDY CABLES COMPANY LTD.</t>
  </si>
  <si>
    <t>Mimar For Construction Tools &amp; Trading Ltd.</t>
  </si>
  <si>
    <t xml:space="preserve">National Marketing Est. Co. Ltd. </t>
  </si>
  <si>
    <t>ELECTRIC HOUSE LIMITED COMPANY.</t>
  </si>
  <si>
    <t>Building System Intelligent Est.</t>
  </si>
  <si>
    <t>BAHRA ADVANCED CABLE MANUFACTURE CO. LTD.</t>
  </si>
  <si>
    <t>Branch of National Fire Fighting</t>
  </si>
  <si>
    <t>TAWREED INTEGRATED INDUSTRIES</t>
  </si>
  <si>
    <t>to bank on 08-09 | EXP &amp; LDS 31-10</t>
  </si>
  <si>
    <t>JLG6903291</t>
  </si>
  <si>
    <t>Diriyah II Delivery Partner for Pendry Superblock Package</t>
  </si>
  <si>
    <t>39M Neom - The Line</t>
  </si>
  <si>
    <t>122</t>
  </si>
  <si>
    <t>DCBWPM565536</t>
  </si>
  <si>
    <t>JLG6603862</t>
  </si>
  <si>
    <t>NEOM Company</t>
  </si>
  <si>
    <t>PILED JETTY TO SHUSHAH ISLAND</t>
  </si>
  <si>
    <t>JLC6901613</t>
  </si>
  <si>
    <t>This is a joint venture bid bond between MBL-50% and Hassan Alam Construction Co-50%. Riyad Bank has received the counter guarantee from Hassan Alam. Please combine both guarantees and issue a Master Guarantee to the Beneficiary: King Salman International Airport Development Company in Riyad City.</t>
  </si>
  <si>
    <t>DCBWPM565760</t>
  </si>
  <si>
    <t>JLC6901608</t>
  </si>
  <si>
    <t>JLC6901610</t>
  </si>
  <si>
    <t>JLC6901616</t>
  </si>
  <si>
    <t>JLC6901611</t>
  </si>
  <si>
    <t>JLC6901612</t>
  </si>
  <si>
    <t>DANAH METAL CO.</t>
  </si>
  <si>
    <t>Kotb - Morganti</t>
  </si>
  <si>
    <t>This is a joint venture bid bond between MBL-50% and AL Rawaf Contracting Company-50%. SNB has received the counter guarantee from Alrawaf. Please combine both guarantees and issue a Master Guarantee to the Beneficiary: King Salman International Airport Development Company in Riyad City.</t>
  </si>
  <si>
    <t>Iconic Terminal - Mass Excavation Works - Project: KSIA-RFP-IT-MX-210</t>
  </si>
  <si>
    <t>IM2500633009_Cre</t>
  </si>
  <si>
    <t>IM2435433001_Cre</t>
  </si>
  <si>
    <t>DCBWPM565824</t>
  </si>
  <si>
    <t>DCBWPM565850</t>
  </si>
  <si>
    <t>DCBWPM565836</t>
  </si>
  <si>
    <t>DCBWPM565846</t>
  </si>
  <si>
    <t>DCBWPM565843</t>
  </si>
  <si>
    <t>DCBWPM565841</t>
  </si>
  <si>
    <t>DCBWPM565832</t>
  </si>
  <si>
    <t>DCBWPM565818</t>
  </si>
  <si>
    <t>SWIFT not received</t>
  </si>
  <si>
    <t>Tareeq - Premium</t>
  </si>
  <si>
    <t>Saudi Real Estate</t>
  </si>
  <si>
    <t>Integrated FM Services for Saudi Real Estate - 24552</t>
  </si>
  <si>
    <t>JLG6903421</t>
  </si>
  <si>
    <t>60 Days From the Delivery Date</t>
  </si>
  <si>
    <t>Saudi Perfect Pumps Trading &amp; Manufacturing Company</t>
  </si>
  <si>
    <t>National Container Terminal Funds</t>
  </si>
  <si>
    <t>TF2526500017</t>
  </si>
  <si>
    <t>45 Days from Applicant Sign on Invoice</t>
  </si>
  <si>
    <t>TF2526500019</t>
  </si>
  <si>
    <t>With Tax</t>
  </si>
  <si>
    <t>Without Tax</t>
  </si>
  <si>
    <t>RLG6700215</t>
  </si>
  <si>
    <t>PEBGCU566430</t>
  </si>
  <si>
    <t>Al Diriyah Company</t>
  </si>
  <si>
    <t>JLG6903548</t>
  </si>
  <si>
    <t>JLG6903543</t>
  </si>
  <si>
    <t>TF2527100025</t>
  </si>
  <si>
    <t>TF2527100024</t>
  </si>
  <si>
    <t>DCBWPM566643</t>
  </si>
  <si>
    <t>DCBWPM566639</t>
  </si>
  <si>
    <t>DCBWPM566634</t>
  </si>
  <si>
    <t>CONSTRUCTION OF PUMPING FACILITIES FOR TSE AT KING ABDULAZIZ PARK</t>
  </si>
  <si>
    <t>DCBWPM566642</t>
  </si>
  <si>
    <t>JLG6903583</t>
  </si>
  <si>
    <t>JLG6903586</t>
  </si>
  <si>
    <t>90 Days from Applicant representative sign on Invoice</t>
  </si>
  <si>
    <t>DCBWPM566848</t>
  </si>
  <si>
    <t>DCBWPM566842</t>
  </si>
  <si>
    <t>JLG6800204</t>
  </si>
  <si>
    <t>DEVELOPMENT OF MEDINAH AUTHORITY</t>
  </si>
  <si>
    <t>PORTABLE TOILETS QUBAA MOSQUE</t>
  </si>
  <si>
    <t>JLG6903643</t>
  </si>
  <si>
    <t>LGI-0840-25-6611</t>
  </si>
  <si>
    <t>DCBWPM566972</t>
  </si>
  <si>
    <t>to bank on 05-10 | EXP &amp; LDS - 31-12-25</t>
  </si>
  <si>
    <t>4800000052-Main Piling Works (MBL &amp; Huta Hegerfeld)</t>
  </si>
  <si>
    <t>RLG6708290</t>
  </si>
  <si>
    <t>PREPARATIONS FOR THE HEADQUARTERS OF THE CUSTODIAN OF THE TWO HOLY MOSQUES GUESTS IN ARAFAT - Project Reference MBL-LTR-RPM-KS-2025</t>
  </si>
  <si>
    <t>Diriyah II Delivery Partner for 1 Hotel - D2-CN25-008</t>
  </si>
  <si>
    <t>to bank on 08-10</t>
  </si>
  <si>
    <t>Contract 2200000997 Design and Build for OXAGON Port Dredging and Quay Walls ? Stage 1 ? Taxation Security Bond (ENSACG23000052)</t>
  </si>
  <si>
    <t>Taxation</t>
  </si>
  <si>
    <t>RLG6702388</t>
  </si>
  <si>
    <t>200-0012439-940</t>
  </si>
  <si>
    <t>LGI-0840-25-6682</t>
  </si>
  <si>
    <t>Saudi Benaa Company For Building Materials</t>
  </si>
  <si>
    <t>60 Days from Applicant representative sign on Invoice</t>
  </si>
  <si>
    <t>NEOM - BAY JETTY</t>
  </si>
  <si>
    <t>JLC6901617_Cre</t>
  </si>
  <si>
    <t>B323741</t>
  </si>
  <si>
    <t>B323823</t>
  </si>
  <si>
    <t>APGGCU436409</t>
  </si>
  <si>
    <t>ROLLC FOR TRADING COMPANY</t>
  </si>
  <si>
    <t>7 Days from Delivery Date</t>
  </si>
  <si>
    <t>Programme 4: Makkah Entertainment Complex</t>
  </si>
  <si>
    <t>JLC6901431_Cre</t>
  </si>
  <si>
    <t>PEBGCU567257</t>
  </si>
  <si>
    <t>Madinah Region Development Authority</t>
  </si>
  <si>
    <t>45 Days from Invoice Date / Sight</t>
  </si>
  <si>
    <t>Alrashid Trading and Contracting Company</t>
  </si>
  <si>
    <t>JLG6903822</t>
  </si>
  <si>
    <t>LGI-0840-25-6701</t>
  </si>
  <si>
    <t>Ministry of Defense</t>
  </si>
  <si>
    <t>Pre-settled - Actual Date 23-11-25</t>
  </si>
  <si>
    <t>Pre-settled - Actual Date 20-11-25</t>
  </si>
  <si>
    <t>Design and construction of the Ministry of Defense headquarters building - P563 MOD HQ</t>
  </si>
  <si>
    <t>Transaction Date</t>
  </si>
  <si>
    <t>Account No</t>
  </si>
  <si>
    <t>Transaction Details</t>
  </si>
  <si>
    <t>Full Reference</t>
  </si>
  <si>
    <t>Debit</t>
  </si>
  <si>
    <t>Reln-Charges</t>
  </si>
  <si>
    <t>68203972500000</t>
  </si>
  <si>
    <t xml:space="preserve">CUSTOMER = 3972500 DEAL AMT = 1250 DEAL CCY = SAR TAX CODE = 1 </t>
  </si>
  <si>
    <t>TF251310001102</t>
  </si>
  <si>
    <t>LC ACCEPTANCE COMMISSION FOR LC NO. TF251310001102\BNK</t>
  </si>
  <si>
    <t>TF251770005401</t>
  </si>
  <si>
    <t>LC ACCEPTANCE COMMISSION FOR LC NO. TF251770005401\BNK</t>
  </si>
  <si>
    <t xml:space="preserve">CUSTOMER = 3972500 DEAL AMT = 1557.86 DEAL CCY = SAR TAX CODE = 1 </t>
  </si>
  <si>
    <t>TF252110001101</t>
  </si>
  <si>
    <t>LC ACCEPTANCE COMMISSION FOR LC NO. TF252110001101\BNK</t>
  </si>
  <si>
    <t xml:space="preserve">CUSTOMER = 3972500 DEAL AMT = 75 DEAL CCY = SAR TAX CODE = 1 </t>
  </si>
  <si>
    <t>TF251040002002</t>
  </si>
  <si>
    <t>LC SWIFT CHARGES FOR LC NO. TF251040002002\BNK</t>
  </si>
  <si>
    <t>Swift Charges</t>
  </si>
  <si>
    <t>REIMBURSE UNDER LCS DR FOR LC NO. TF251040002002\BNK</t>
  </si>
  <si>
    <t>TF251470005501</t>
  </si>
  <si>
    <t>LC SWIFT CHARGES FOR LC NO. TF251470005501\BNK</t>
  </si>
  <si>
    <t>REIMBURSE UNDER LCS DR FOR LC NO. TF251470005501\BNK</t>
  </si>
  <si>
    <t>TF250230005601</t>
  </si>
  <si>
    <t>LC SWIFT CHARGES FOR LC NO. TF250230005601\BNK</t>
  </si>
  <si>
    <t>REIMBURSE UNDER LCS DR FOR LC NO. TF250230005601\BNK</t>
  </si>
  <si>
    <t>TF250830002901</t>
  </si>
  <si>
    <t>LC SWIFT CHARGES FOR LC NO. TF250830002901\BNK</t>
  </si>
  <si>
    <t>REIMBURSE UNDER LCS DR FOR LC NO. TF250830002901\BNK</t>
  </si>
  <si>
    <t>TF250830003501</t>
  </si>
  <si>
    <t>LC SWIFT CHARGES FOR LC NO. TF250830003501\BNK</t>
  </si>
  <si>
    <t>REIMBURSE UNDER LCS DR FOR LC NO. TF250830003501\BNK</t>
  </si>
  <si>
    <t>TF251740008601</t>
  </si>
  <si>
    <t>LC SWIFT CHARGES FOR LC NO. TF251740008601\BNK</t>
  </si>
  <si>
    <t>REIMBURSE UNDER LCS DR FOR LC NO. TF251740008601\BNK</t>
  </si>
  <si>
    <t>TF251310002401</t>
  </si>
  <si>
    <t>LC SWIFT CHARGES FOR LC NO. TF251310002401\BNK</t>
  </si>
  <si>
    <t>REIMBURSE UNDER LCS DR FOR LC NO. TF251310002401\BNK</t>
  </si>
  <si>
    <t xml:space="preserve">CUSTOMER = 3972500 DEAL AMT = 1267.69 DEAL CCY = SAR TAX CODE = 1 </t>
  </si>
  <si>
    <t>TF251320000501</t>
  </si>
  <si>
    <t>LC ACCEPTANCE COMMISSION FOR LC NO. TF251320000501\BNK</t>
  </si>
  <si>
    <t>TF251470006601</t>
  </si>
  <si>
    <t>LC SWIFT CHARGES FOR LC NO. TF251470006601\BNK</t>
  </si>
  <si>
    <t>REIMBURSE UNDER LCS DR FOR LC NO. TF251470006601\BNK</t>
  </si>
  <si>
    <t xml:space="preserve">CUSTOMER = 3972500 DEAL AMT = 2894.55 DEAL CCY = SAR TAX CODE = 1 </t>
  </si>
  <si>
    <t>TF251730003801</t>
  </si>
  <si>
    <t>LC ACCEPTANCE COMMISSION FOR LC NO. TF251730003801\BNK</t>
  </si>
  <si>
    <t>TF251310002601</t>
  </si>
  <si>
    <t>LC ACCEPTANCE COMMISSION FOR LC NO. TF251310002601\BNK</t>
  </si>
  <si>
    <t>TF251470003301</t>
  </si>
  <si>
    <t>LC ACCEPTANCE COMMISSION FOR LC NO. TF251470003301\BNK</t>
  </si>
  <si>
    <t xml:space="preserve">CUSTOMER = 3972500 DEAL AMT = 500.00 DEAL CCY = EUR TAX CODE = 1 </t>
  </si>
  <si>
    <t>LC SWIFT CHARGES FOR LC NO. TF2519400032\BNK</t>
  </si>
  <si>
    <t>LC AMENDMENT COMMISSION FOR LC NO. TF2519400032\BNK</t>
  </si>
  <si>
    <t>TF251040001703</t>
  </si>
  <si>
    <t>LC ACCEPTANCE COMMISSION FOR LC NO. TF251040001703\BNK</t>
  </si>
  <si>
    <t xml:space="preserve">CUSTOMER = 3972500 DEAL AMT = 2535.32 DEAL CCY = SAR TAX CODE = 1 </t>
  </si>
  <si>
    <t>TF251040001704</t>
  </si>
  <si>
    <t>LC ACCEPTANCE COMMISSION FOR LC NO. TF251040001704\BNK</t>
  </si>
  <si>
    <t>TF251350003902</t>
  </si>
  <si>
    <t>LC ACCEPTANCE COMMISSION FOR LC NO. TF251350003902\BNK</t>
  </si>
  <si>
    <t>TF251740004501</t>
  </si>
  <si>
    <t>LC SWIFT CHARGES FOR LC NO. TF251740004501\BNK</t>
  </si>
  <si>
    <t>REIMBURSE UNDER LCS DR FOR LC NO. TF251740004501\BNK</t>
  </si>
  <si>
    <t>TF251350002901</t>
  </si>
  <si>
    <t>LC SWIFT CHARGES FOR LC NO. TF251350002901\BNK</t>
  </si>
  <si>
    <t>REIMBURSE UNDER LCS DR FOR LC NO. TF251350002901\BNK</t>
  </si>
  <si>
    <t>TF251350003701</t>
  </si>
  <si>
    <t>LC ACCEPTANCE COMMISSION FOR LC NO. TF251350003701\BNK</t>
  </si>
  <si>
    <t xml:space="preserve">CUSTOMER = 3972500 DEAL AMT = 1752.31 DEAL CCY = SAR TAX CODE = 1 </t>
  </si>
  <si>
    <t>TF251770002001</t>
  </si>
  <si>
    <t>LC ACCEPTANCE COMMISSION FOR LC NO. TF251770002001\BNK</t>
  </si>
  <si>
    <t>TF252110001601</t>
  </si>
  <si>
    <t>LC ACCEPTANCE COMMISSION FOR LC NO. TF252110001601\BNK</t>
  </si>
  <si>
    <t xml:space="preserve">CUSTOMER = 3972500 DEAL AMT = 4500 DEAL CCY = SAR TAX CODE = 1 </t>
  </si>
  <si>
    <t>TF252360002901</t>
  </si>
  <si>
    <t>LC ACCEPTANCE COMMISSION FOR LC NO. TF252360002901\BNK</t>
  </si>
  <si>
    <t>JLG6903871</t>
  </si>
  <si>
    <t>Operation, maintenance and cleaning of the Qiblatain Cultural Center Tender No POM-615-25</t>
  </si>
  <si>
    <t>AMSteel</t>
  </si>
  <si>
    <t>Received</t>
  </si>
  <si>
    <t>19100000033209</t>
  </si>
  <si>
    <t>CITY:Jeddah 0000006132225J210386004</t>
  </si>
  <si>
    <t>J210386004</t>
  </si>
  <si>
    <t>CITY:Jeddah 0000006132225J210929001</t>
  </si>
  <si>
    <t>J210929001</t>
  </si>
  <si>
    <t>CITY:Jeddah 6132225J210607001</t>
  </si>
  <si>
    <t>J210607001</t>
  </si>
  <si>
    <t>CITY:Jeddah 0000006132225J210608001</t>
  </si>
  <si>
    <t>J210608001</t>
  </si>
  <si>
    <t>CITY:Jeddah 6132225J210610001</t>
  </si>
  <si>
    <t>J210610001</t>
  </si>
  <si>
    <t>CITY:Jeddah 6132225J210617001</t>
  </si>
  <si>
    <t>J210617001</t>
  </si>
  <si>
    <t>1000027429940</t>
  </si>
  <si>
    <t>REF 000000JLC6801573,RB REF JLC6801573,VIA CORE SYSTEM,DATE-TIME 07/10-15:54:12, عن طريق النظام الآ لي ,VALUE DT 07/10/25</t>
  </si>
  <si>
    <t/>
  </si>
  <si>
    <t>2000012439940</t>
  </si>
  <si>
    <t>RB REF JLG6605266,VIA CORE SYSTEM,DATE-TIME 07/10-09:08:41, عن طريق النظام الآ لي ,VALUE DT 07/10/25</t>
  </si>
  <si>
    <t>RB REF JLG6903548,VIA CORE SYSTEM,DATE-TIME 08/10-16:43:33, عن طريق النظام الآ لي ,VALUE DT 08/10/25</t>
  </si>
  <si>
    <t>RB REF JLG6903643,VIA CORE SYSTEM,DATE-TIME 08/10-16:40:25, عن طريق النظام الآ لي ,VALUE DT 08/10/25</t>
  </si>
  <si>
    <t>REF 000000JLC6901611,RB REF JLC6901611,VIA CORE SYSTEM,DATE-TIME 09/10-15:24:53, عن طريق النظام الآ لي ,VALUE DT 09/10/25</t>
  </si>
  <si>
    <t>REF 000000JLC6901616,RB REF JLC6901616,VIA CORE SYSTEM,DATE-TIME 09/10-15:26:21, عن طريق النظام الآ لي ,VALUE DT 09/10/25</t>
  </si>
  <si>
    <t>REF 000000JLC6901617,RB REF JLC6901617,VIA CORE SYSTEM,DATE-TIME 09/10-15:27:40, عن طريق النظام الآ لي ,VALUE DT 09/10/25</t>
  </si>
  <si>
    <t>REF 000000JLC6901613,RB REF JLC6901613,VIA CORE SYSTEM,DATE-TIME 09/10-15:25:47, عن طريق النظام الآ لي ,VALUE DT 09/10/25</t>
  </si>
  <si>
    <t>REF 000000JLC6901612,RB REF JLC6901612,VIA CORE SYSTEM,DATE-TIME 09/10-15:25:33, عن طريق النظام الآ لي ,VALUE DT 09/10/25</t>
  </si>
  <si>
    <t>RB REF JLG6603862,VIA CORE SYSTEM,DATE-TIME 09/10-11:24:59, عن طريق النظام الآ لي ,VALUE DT 09/10/25</t>
  </si>
  <si>
    <t>REF 000000JLC6901468,RB REF JLC6901468,VIA CORE SYSTEM,DATE-TIME 13/10-12:44:21, عن طريق النظام الآ لي ,VALUE DT 13/10/25</t>
  </si>
  <si>
    <t>RB REF JLG6903822,VIA CORE SYSTEM,DATE-TIME 13/10-16:45:15, عن طريق النظام الآ لي ,VALUE DT 13/10/25</t>
  </si>
  <si>
    <t>REF JLC6901468,REF JLC6901468,VIA CORE SYSTEM,DATE-TIME 13/10-18:00:43, عن طريق النظام الآ لي ,VALUE DT 13/10/25</t>
  </si>
  <si>
    <t>1574596640440</t>
  </si>
  <si>
    <t>REF 000000JLC6901492,RB REF JLC6901492,VIA CORE SYSTEM,DATE-TIME 13/10-13:29:59, عن طريق النظام الآ لي ,VALUE DT 13/10/25</t>
  </si>
  <si>
    <t>262-307200-006</t>
  </si>
  <si>
    <t>IMP BILL COMM DPBEPM622287WPM DCBWPM563813</t>
  </si>
  <si>
    <t>IMP BILL COMM DPBCOR622675WPM DCBWPM562731</t>
  </si>
  <si>
    <t>262-307200-001</t>
  </si>
  <si>
    <t>IMP BILL RETIRE. CHARGES DPBCOR622314WPM DCBWPM554837</t>
  </si>
  <si>
    <t>DPBCOR622314WPM DCBWPM554837</t>
  </si>
  <si>
    <t>IMP BILL COMM DPBCOR622610WPM DCBWPM563932</t>
  </si>
  <si>
    <t>DCBWPM560813 PROJECT FLASH LC REF BILL COMM</t>
  </si>
  <si>
    <t>IMP BILL AMEND. CHARGES DPBCOR622589WPM DCBWPM554738</t>
  </si>
  <si>
    <t>DC ISSUE COMM CHARGES DCBWPM566972</t>
  </si>
  <si>
    <t>DC AMENDMENT COMM CHARGES DCBWPM560813</t>
  </si>
  <si>
    <t>BR COR622377WPM DC WPM556764</t>
  </si>
  <si>
    <t>IMP BILL RETIRE. CHARGES BR COR622377WPM DC WPM556764</t>
  </si>
  <si>
    <t>IMP BILL AMEND. CHARGES DPBCOR622229WPM DCBWPM563023</t>
  </si>
  <si>
    <t>IMP BILL AMEND. CHARGES DPBCOR622248WPM DCBWPM553893</t>
  </si>
  <si>
    <t>DPBEPM617651WPM DCBWPM554250</t>
  </si>
  <si>
    <t>DPBCOR609778WPM DCBWPM553893</t>
  </si>
  <si>
    <t>IMP BILL COMM DPBEPM622962WPM DCBWPM553955</t>
  </si>
  <si>
    <t>IMP BILL COMM DPBCOR622971WPM DCBWPM560813</t>
  </si>
  <si>
    <t>IMP BILL AMEND. CHARGES DPBCOR622887WPM DCBWPM551279 DCBMBL551279</t>
  </si>
  <si>
    <t>DPBCOR622589WPM DCBWPM554738</t>
  </si>
  <si>
    <t>IMP BILL AMEND. CHARGES DPBCOR622878WPM DCBWPM551279 DCBMBL551279</t>
  </si>
  <si>
    <t>IMP BILL AMEND. CHARGES DPBEPM622848WPM DCBWPM563040</t>
  </si>
  <si>
    <t>DPBCOR615230WPM DCBWPM558769</t>
  </si>
  <si>
    <t>IMP BILL AMEND. CHARGES DPBCOR622776WPM DCBWPM564593</t>
  </si>
  <si>
    <t>DPBEPM618900WPM DCBWPM558755</t>
  </si>
  <si>
    <t>IMP BILL AMEND. CHARGES DPBCOR622786WPM DCBWPM558781</t>
  </si>
  <si>
    <t>IMP BILL AMEND. CHARGES DPBCOR622872WPM DCBWPM565536</t>
  </si>
  <si>
    <t>IMP BILL COMM DPBEPM623300WPM DCBWPM563814</t>
  </si>
  <si>
    <t>IMP BILL AMEND. CHARGES DPBCOR622974WPM DCBWPM551279 DCBMBL551279</t>
  </si>
  <si>
    <t>DPBCOR621515WPM DCBWPM553897</t>
  </si>
  <si>
    <t>GTE ISSUE COMM CHARGES PEBGCU567257</t>
  </si>
  <si>
    <t>Bilad</t>
  </si>
  <si>
    <t>924140048640004</t>
  </si>
  <si>
    <t>DISCOUNT COMMISSION CR</t>
  </si>
  <si>
    <t>TF2512733014</t>
  </si>
  <si>
    <t>924140048640063</t>
  </si>
  <si>
    <t>TF251273300803</t>
  </si>
  <si>
    <t>REIMBURSE UNDER LC'S DR</t>
  </si>
  <si>
    <t>DISCOUNT SPREAD CR</t>
  </si>
  <si>
    <t>TF251283300501</t>
  </si>
  <si>
    <t>IMP LC FULL POSTAGE</t>
  </si>
  <si>
    <t>LC SWIFT CHARGES</t>
  </si>
  <si>
    <t>TF2513233001</t>
  </si>
  <si>
    <t>084095029184001</t>
  </si>
  <si>
    <t xml:space="preserve">Dr TI ILC Comm/Other Charges                                          
POC002-273922952                                                      
At Bank Aljazira                                                      
 CORPORATE BANKING DEPT-JEDDAH                                        
Exchange Rate 1.0                                                     
Date 13-04-1447(H) Time 09.05.58                                      
Reference ILC-0840-25-7351                                            
Value Date 13-04-1447(H)                                              
Fee Collected By Bank AlJazira                                        
</t>
  </si>
  <si>
    <t xml:space="preserve">Value Added Tax                                                       
On ILC Acceptance Comm.                                               
15% of SAR100.00                                                      
Through CORPORATE BANKING DEPT-JEDDAH                                 
Date 13-04-1447(H) Time 09.05.59                                      
Reference ILC-0840-25-7351                                            
At Bank Aljazira                                                      
Exchange Rate 1.0                                                     
</t>
  </si>
  <si>
    <t xml:space="preserve">Dr TI ILC Comm/Other Charges                                          
POC002-273922994                                                      
At Bank Aljazira                                                      
 CORPORATE BANKING DEPT-JEDDAH                                        
Exchange Rate 1.0                                                     
Date 13-04-1447(H) Time 09.05.59                                      
Reference ILC-0840-25-7351                                            
Value Date 13-04-1447(H)                                              
Fee Collected By Bank AlJazira                                        
</t>
  </si>
  <si>
    <t xml:space="preserve">Value Added Tax                                                       
On ILC Acceptance Comm.                                               
15% of SAR289.00                                                      
Through CORPORATE BANKING DEPT-JEDDAH                                 
Date 13-04-1447(H) Time 09.06.00                                      
Reference ILC-0840-25-7351                                            
At Bank Aljazira                                                      
Exchange Rate 1.0                                                     
</t>
  </si>
  <si>
    <t xml:space="preserve">Dr TI ILC Comm/Other Charges                                          
POC002-273922996                                                      
At Bank Aljazira                                                      
 CORPORATE BANKING DEPT-JEDDAH                                        
Exchange Rate 1.0                                                     
Date 13-04-1447(H) Time 09.06.00                                      
Reference ILC-0840-25-7351                                            
Value Date 13-04-1447(H)                                              
Fee Collected By Bank AlJazira                                        
</t>
  </si>
  <si>
    <t xml:space="preserve">Value Added Tax                                                       
On SWIFT charges                                                      
15% of SAR200.00                                                      
Through CORPORATE BANKING DEPT-JEDDAH                                 
Date 13-04-1447(H) Time 09.06.01                                      
Reference ILC-0840-25-7351                                            
At Bank Aljazira                                                      
Exchange Rate 1.0                                                     
</t>
  </si>
  <si>
    <t xml:space="preserve">TI Bill Settled                                                       
POC003                                                                
At Bank AlJazira                                                      
CORPORATE BANKING DEPT-JEDDAH                                         
Date 13-04-1447(H) Time 09.54.51                                      
Reference ILC-0840-25-7351                                            
</t>
  </si>
  <si>
    <t xml:space="preserve">Dr TI ILC Comm/Other Charges                                          
POC002-273974418                                                      
At Bank Aljazira                                                      
 CORPORATE BANKING DEPT-JEDDAH                                        
Date 13-04-1447(H) Time 11.44.44                                      
Reference ILC-0840-25-7980                                            
Value Date 13-04-1447(H)                                              
Fee Collected By Bank AlJazira                                        
</t>
  </si>
  <si>
    <t xml:space="preserve">Value Added Tax                                                       
On ILC Acceptance Comm.                                               
15% of SAR100.00                                                      
Through CORPORATE BANKING DEPT-JEDDAH                                 
Date 13-04-1447(H) Time 11.44.44                                      
Reference ILC-0840-25-7980                                            
At Bank Aljazira                                                      
</t>
  </si>
  <si>
    <t xml:space="preserve">Dr TI ILC Comm/Other Charges                                          
POC002-273974523                                                      
At Bank Aljazira                                                      
 CORPORATE BANKING DEPT-JEDDAH                                        
Date 13-04-1447(H) Time 11.44.45                                      
Reference ILC-0840-25-7980                                            
Value Date 13-04-1447(H)                                              
Fee Collected By Bank AlJazira                                        
</t>
  </si>
  <si>
    <t xml:space="preserve">Value Added Tax                                                       
On ILC Acceptance Comm.                                               
15% of SAR660.00                                                      
Through CORPORATE BANKING DEPT-JEDDAH                                 
Date 13-04-1447(H) Time 11.44.45                                      
Reference ILC-0840-25-7980                                            
At Bank Aljazira                                                      
</t>
  </si>
  <si>
    <t xml:space="preserve">Dr TI ILC Comm/Other Charges                                          
POC002-273974525                                                      
At Bank Aljazira                                                      
 CORPORATE BANKING DEPT-JEDDAH                                        
Date 13-04-1447(H) Time 11.44.45                                      
Reference ILC-0840-25-7980                                            
Value Date 13-04-1447(H)                                              
Fee Collected By Bank AlJazira                                        
</t>
  </si>
  <si>
    <t xml:space="preserve">Value Added Tax                                                       
On SWIFT charges                                                      
15% of SAR200.00                                                      
Through CORPORATE BANKING DEPT-JEDDAH                                 
Date 13-04-1447(H) Time 11.44.45                                      
Reference ILC-0840-25-7980                                            
At Bank Aljazira                                                      
</t>
  </si>
  <si>
    <t xml:space="preserve">Dr TI ILC Comm/Other Charges                                          
POC001-273970365                                                      
At Bank Aljazira                                                      
 CORPORATE BANKING DEPT-JEDDAH                                        
Date 13-04-1447(H) Time 11.45.40                                      
Reference ILC-0840-25-8011                                            
Value Date 13-04-1447(H)                                              
Fee Collected By Bank AlJazira                                        
</t>
  </si>
  <si>
    <t xml:space="preserve">Value Added Tax                                                       
On ILC Acceptance Comm.                                               
15% of SAR100.00                                                      
Through CORPORATE BANKING DEPT-JEDDAH                                 
Date 13-04-1447(H) Time 11.45.40                                      
Reference ILC-0840-25-8011                                            
At Bank Aljazira                                                      
</t>
  </si>
  <si>
    <t xml:space="preserve">Dr TI ILC Comm/Other Charges                                          
POC001-273970558                                                      
At Bank Aljazira                                                      
 CORPORATE BANKING DEPT-JEDDAH                                        
Date 13-04-1447(H) Time 11.45.40                                      
Reference ILC-0840-25-8011                                            
Value Date 13-04-1447(H)                                              
Fee Collected By Bank AlJazira                                        
</t>
  </si>
  <si>
    <t xml:space="preserve">Value Added Tax                                                       
On ILC Acceptance Comm.                                               
15% of SAR376.00                                                      
Through CORPORATE BANKING DEPT-JEDDAH                                 
Date 13-04-1447(H) Time 11.45.41                                      
Reference ILC-0840-25-8011                                            
At Bank Aljazira                                                      
</t>
  </si>
  <si>
    <t xml:space="preserve">Dr TI ILC Comm/Other Charges                                          
POC001-273970560                                                      
At Bank Aljazira                                                      
 CORPORATE BANKING DEPT-JEDDAH                                        
Date 13-04-1447(H) Time 11.45.41                                      
Reference ILC-0840-25-8011                                            
Value Date 13-04-1447(H)                                              
Fee Collected By Bank AlJazira                                        
</t>
  </si>
  <si>
    <t xml:space="preserve">Value Added Tax                                                       
On SWIFT charges                                                      
15% of SAR200.00                                                      
Through CORPORATE BANKING DEPT-JEDDAH                                 
Date 13-04-1447(H) Time 11.45.41                                      
Reference ILC-0840-25-8011                                            
At Bank Aljazira                                                      
</t>
  </si>
  <si>
    <t xml:space="preserve">Dr TI ILC Comm/Other Charges                                          
POC003-274117892                                                      
At Bank Aljazira                                                      
 CORPORATE BANKING DEPT-JEDDAH                                        
Date 14-04-1447(H) Time 10.09.29                                      
Reference ILC-0840-25-7799                                            
Value Date 14-04-1447(H)                                              
Fee Collected By Bank AlJazira                                        
</t>
  </si>
  <si>
    <t xml:space="preserve">Value Added Tax                                                       
On ILC Acceptance Comm.                                               
15% of SAR100.00                                                      
Through CORPORATE BANKING DEPT-JEDDAH                                 
Date 14-04-1447(H) Time 10.09.29                                      
Reference ILC-0840-25-7799                                            
At Bank Aljazira                                                      
</t>
  </si>
  <si>
    <t xml:space="preserve">Dr TI ILC Comm/Other Charges                                          
POC003-274118344                                                      
At Bank Aljazira                                                      
 CORPORATE BANKING DEPT-JEDDAH                                        
Date 14-04-1447(H) Time 10.09.30                                      
Reference ILC-0840-25-7799                                            
Value Date 14-04-1447(H)                                              
Fee Collected By Bank AlJazira                                        
</t>
  </si>
  <si>
    <t xml:space="preserve">Value Added Tax                                                       
On ILC Acceptance Comm.                                               
15% of SAR706.00                                                      
Through CORPORATE BANKING DEPT-JEDDAH                                 
Date 14-04-1447(H) Time 10.09.30                                      
Reference ILC-0840-25-7799                                            
At Bank Aljazira                                                      
</t>
  </si>
  <si>
    <t xml:space="preserve">Dr TI ILC Comm/Other Charges                                          
POC003-274118348                                                      
At Bank Aljazira                                                      
 CORPORATE BANKING DEPT-JEDDAH                                        
Date 14-04-1447(H) Time 10.09.30                                      
Reference ILC-0840-25-7799                                            
Value Date 14-04-1447(H)                                              
Fee Collected By Bank AlJazira                                        
</t>
  </si>
  <si>
    <t xml:space="preserve">Value Added Tax                                                       
On SWIFT charges                                                      
15% of SAR200.00                                                      
Through CORPORATE BANKING DEPT-JEDDAH                                 
Date 14-04-1447(H) Time 10.09.30                                      
Reference ILC-0840-25-7799                                            
At Bank Aljazira                                                      
</t>
  </si>
  <si>
    <t xml:space="preserve">Dr TI ILC Comm/Other Charges                                          
AMD003-274208322                                                      
At Bank Aljazira                                                      
 CORPORATE BANKING DEPT-JEDDAH                                        
Exchange Rate 1.0                                                     
Date 14-04-1447(H) Time 15.27.32                                      
Reference ILC-0840-25-7353                                            
Value Date 14-04-1447(H)                                              
Fee Collected By Bank AlJazira                                        
</t>
  </si>
  <si>
    <t xml:space="preserve">Value Added Tax                                                       
On ILC Commission                                                     
15% of SAR1,619.43                                                    
Through CORPORATE BANKING DEPT-JEDDAH                                 
Date 14-04-1447(H) Time 15.27.32                                      
Reference ILC-0840-25-7353                                            
At Bank Aljazira                                                      
Exchange Rate 1.0                                                     
</t>
  </si>
  <si>
    <t xml:space="preserve">Dr TI ILC Comm/Other Charges                                          
AMD003-274208324                                                      
At Bank Aljazira                                                      
 CORPORATE BANKING DEPT-JEDDAH                                        
Exchange Rate 1.0                                                     
Date 14-04-1447(H) Time 15.27.33                                      
Reference ILC-0840-25-7353                                            
Value Date 14-04-1447(H)                                              
Fee Collected By Bank AlJazira                                        
</t>
  </si>
  <si>
    <t xml:space="preserve">Value Added Tax                                                       
On SWIFT charges                                                      
15% of SAR400.00                                                      
Through CORPORATE BANKING DEPT-JEDDAH                                 
Date 14-04-1447(H) Time 15.27.33                                      
Reference ILC-0840-25-7353                                            
At Bank Aljazira                                                      
Exchange Rate 1.0                                                     
</t>
  </si>
  <si>
    <t xml:space="preserve">Dr TI ILC Comm/Other Charges                                          
AMD001-274207551                                                      
At Bank Aljazira                                                      
 CORPORATE BANKING DEPT-JEDDAH                                        
Date 14-04-1447(H) Time 15.27.59                                      
Reference ILC-0840-25-7982                                            
Value Date 14-04-1447(H)                                              
Fee Collected By Bank AlJazira                                        
</t>
  </si>
  <si>
    <t xml:space="preserve">Value Added Tax                                                       
On ILC Commission                                                     
15% of SAR500.00                                                      
Through CORPORATE BANKING DEPT-JEDDAH                                 
Date 14-04-1447(H) Time 15.27.59                                      
Reference ILC-0840-25-7982                                            
At Bank Aljazira                                                      
</t>
  </si>
  <si>
    <t xml:space="preserve">Dr TI ILC Comm/Other Charges                                          
AMD001-274207553                                                      
At Bank Aljazira                                                      
 CORPORATE BANKING DEPT-JEDDAH                                        
Date 14-04-1447(H) Time 15.27.59                                      
Reference ILC-0840-25-7982                                            
Value Date 14-04-1447(H)                                              
Fee Collected By Bank AlJazira                                        
</t>
  </si>
  <si>
    <t xml:space="preserve">Value Added Tax                                                       
On SWIFT charges                                                      
15% of SAR400.00                                                      
Through CORPORATE BANKING DEPT-JEDDAH                                 
Date 14-04-1447(H) Time 15.27.59                                      
Reference ILC-0840-25-7982                                            
At Bank Aljazira                                                      
</t>
  </si>
  <si>
    <t xml:space="preserve">Dr TI ILC Comm/Other Charges                                          
AMD004-274206332                                                      
At Bank Aljazira                                                      
 CORPORATE BANKING DEPT-JEDDAH                                        
Exchange Rate 1.0                                                     
Date 14-04-1447(H) Time 15.28.31                                      
Reference ILC-0840-25-7352                                            
Value Date 14-04-1447(H)                                              
Fee Collected By Bank AlJazira                                        
</t>
  </si>
  <si>
    <t xml:space="preserve">Value Added Tax                                                       
On ILC Commission                                                     
15% of SAR3,368.49                                                    
Through CORPORATE BANKING DEPT-JEDDAH                                 
Date 14-04-1447(H) Time 15.28.32                                      
Reference ILC-0840-25-7352                                            
At Bank Aljazira                                                      
Exchange Rate 1.0                                                     
</t>
  </si>
  <si>
    <t xml:space="preserve">Dr TI ILC Comm/Other Charges                                          
AMD004-274206334                                                      
At Bank Aljazira                                                      
 CORPORATE BANKING DEPT-JEDDAH                                        
Exchange Rate 1.0                                                     
Date 14-04-1447(H) Time 15.28.32                                      
Reference ILC-0840-25-7352                                            
Value Date 14-04-1447(H)                                              
Fee Collected By Bank AlJazira                                        
</t>
  </si>
  <si>
    <t xml:space="preserve">Value Added Tax                                                       
On SWIFT charges                                                      
15% of SAR400.00                                                      
Through CORPORATE BANKING DEPT-JEDDAH                                 
Date 14-04-1447(H) Time 15.28.33                                      
Reference ILC-0840-25-7352                                            
At Bank Aljazira                                                      
Exchange Rate 1.0                                                     
</t>
  </si>
  <si>
    <t xml:space="preserve">Dr TI ILC Comm/Other Charges                                          
AMD001-274204768                                                      
At Bank Aljazira                                                      
 CORPORATE BANKING DEPT-JEDDAH                                        
Date 14-04-1447(H) Time 15.28.56                                      
Reference ILC-0840-25-7981                                            
Value Date 14-04-1447(H)                                              
Fee Collected By Bank AlJazira                                        
</t>
  </si>
  <si>
    <t xml:space="preserve">Value Added Tax                                                       
On ILC Commission                                                     
15% of SAR500.00                                                      
Through CORPORATE BANKING DEPT-JEDDAH                                 
Date 14-04-1447(H) Time 15.28.57                                      
Reference ILC-0840-25-7981                                            
At Bank Aljazira                                                      
</t>
  </si>
  <si>
    <t xml:space="preserve">Dr TI ILC Comm/Other Charges                                          
AMD001-274203702                                                      
At Bank Aljazira                                                      
 CORPORATE BANKING DEPT-JEDDAH                                        
Date 14-04-1447(H) Time 15.29.25                                      
Reference ILC-0840-25-7992                                            
Value Date 14-04-1447(H)                                              
Fee Collected By Bank AlJazira                                        
</t>
  </si>
  <si>
    <t xml:space="preserve">Value Added Tax                                                       
On ILC Commission                                                     
15% of SAR2,633.28                                                    
Through CORPORATE BANKING DEPT-JEDDAH                                 
Date 14-04-1447(H) Time 15.29.25                                      
Reference ILC-0840-25-7992                                            
At Bank Aljazira                                                      
</t>
  </si>
  <si>
    <t xml:space="preserve">Dr TI ILC Comm/Other Charges                                          
AMD001-274203704                                                      
At Bank Aljazira                                                      
 CORPORATE BANKING DEPT-JEDDAH                                        
Date 14-04-1447(H) Time 15.29.25                                      
Reference ILC-0840-25-7992                                            
Value Date 14-04-1447(H)                                              
Fee Collected By Bank AlJazira                                        
</t>
  </si>
  <si>
    <t xml:space="preserve">Value Added Tax                                                       
On SWIFT charges                                                      
15% of SAR400.00                                                      
Through CORPORATE BANKING DEPT-JEDDAH                                 
Date 14-04-1447(H) Time 15.29.25                                      
Reference ILC-0840-25-7992                                            
At Bank Aljazira                                                      
</t>
  </si>
  <si>
    <t xml:space="preserve">Dr TI ILC Comm/Other Charges                                          
AMD002-274202919                                                      
At Bank Aljazira                                                      
 CORPORATE BANKING DEPT-JEDDAH                                        
Date 14-04-1447(H) Time 15.29.49                                      
Reference ILC-0840-25-7570                                            
Value Date 14-04-1447(H)                                              
Fee Collected By Bank AlJazira                                        
</t>
  </si>
  <si>
    <t xml:space="preserve">Value Added Tax                                                       
On ILC Commission                                                     
15% of SAR500.00                                                      
Through CORPORATE BANKING DEPT-JEDDAH                                 
Date 14-04-1447(H) Time 15.29.49                                      
Reference ILC-0840-25-7570                                            
At Bank Aljazira                                                      
</t>
  </si>
  <si>
    <t xml:space="preserve">Dr TI ILC Comm/Other Charges                                          
AMD002-274202921                                                      
At Bank Aljazira                                                      
 CORPORATE BANKING DEPT-JEDDAH                                        
Date 14-04-1447(H) Time 15.29.49                                      
Reference ILC-0840-25-7570                                            
Value Date 14-04-1447(H)                                              
Fee Collected By Bank AlJazira                                        
</t>
  </si>
  <si>
    <t xml:space="preserve">Value Added Tax                                                       
On SWIFT charges                                                      
15% of SAR400.00                                                      
Through CORPORATE BANKING DEPT-JEDDAH                                 
Date 14-04-1447(H) Time 15.29.49                                      
Reference ILC-0840-25-7570                                            
At Bank Aljazira                                                      
</t>
  </si>
  <si>
    <t xml:space="preserve">Dr TI ILC Comm/Other Charges                                          
AMD003-274201345                                                      
At Bank Aljazira                                                      
 CORPORATE BANKING DEPT-JEDDAH                                        
Exchange Rate 1.0                                                     
Date 14-04-1447(H) Time 15.30.21                                      
Reference ILC-0840-25-7354                                            
Value Date 14-04-1447(H)                                              
Fee Collected By Bank AlJazira                                        
</t>
  </si>
  <si>
    <t xml:space="preserve">Value Added Tax                                                       
On ILC Commission                                                     
15% of SAR500.00                                                      
Through CORPORATE BANKING DEPT-JEDDAH                                 
Date 14-04-1447(H) Time 15.30.21                                      
Reference ILC-0840-25-7354                                            
At Bank Aljazira                                                      
Exchange Rate 1.0                                                     
</t>
  </si>
  <si>
    <t xml:space="preserve">Dr TI ILC Comm/Other Charges                                          
AMD003-274201347                                                      
At Bank Aljazira                                                      
 CORPORATE BANKING DEPT-JEDDAH                                        
Exchange Rate 1.0                                                     
Date 14-04-1447(H) Time 15.30.22                                      
Reference ILC-0840-25-7354                                            
Value Date 14-04-1447(H)                                              
Fee Collected By Bank AlJazira                                        
</t>
  </si>
  <si>
    <t xml:space="preserve">Value Added Tax                                                       
On SWIFT charges                                                      
15% of SAR400.00                                                      
Through CORPORATE BANKING DEPT-JEDDAH                                 
Date 14-04-1447(H) Time 15.30.23                                      
Reference ILC-0840-25-7354                                            
At Bank Aljazira                                                      
Exchange Rate 1.0                                                     
</t>
  </si>
  <si>
    <t xml:space="preserve">Dr TI ILC Comm/Other Charges                                          
AMD001-274200359                                                      
At Bank Aljazira                                                      
 CORPORATE BANKING DEPT-JEDDAH                                        
Date 14-04-1447(H) Time 15.31.06                                      
Reference ILC-0840-25-7984                                            
Value Date 14-04-1447(H)                                              
Fee Collected By Bank AlJazira                                        
</t>
  </si>
  <si>
    <t xml:space="preserve">Value Added Tax                                                       
On ILC Commission                                                     
15% of SAR500.00                                                      
Through CORPORATE BANKING DEPT-JEDDAH                                 
Date 14-04-1447(H) Time 15.31.06                                      
Reference ILC-0840-25-7984                                            
At Bank Aljazira                                                      
</t>
  </si>
  <si>
    <t xml:space="preserve">Dr TI ILC Comm/Other Charges                                          
AMD001-274200361                                                      
At Bank Aljazira                                                      
 CORPORATE BANKING DEPT-JEDDAH                                        
Date 14-04-1447(H) Time 15.31.07                                      
Reference ILC-0840-25-7984                                            
Value Date 14-04-1447(H)                                              
Fee Collected By Bank AlJazira                                        
</t>
  </si>
  <si>
    <t xml:space="preserve">Value Added Tax                                                       
On SWIFT charges                                                      
15% of SAR400.00                                                      
Through CORPORATE BANKING DEPT-JEDDAH                                 
Date 14-04-1447(H) Time 15.31.07                                      
Reference ILC-0840-25-7984                                            
At Bank Aljazira                                                      
</t>
  </si>
  <si>
    <t xml:space="preserve">Dr TI ILC Comm/Other Charges                                          
AMD003-274199123                                                      
At Bank Aljazira                                                      
 CORPORATE BANKING DEPT-JEDDAH                                        
Date 14-04-1447(H) Time 15.32.05                                      
Reference ILC-0840-25-7407                                            
Value Date 14-04-1447(H)                                              
Fee Collected By Bank AlJazira                                        
</t>
  </si>
  <si>
    <t xml:space="preserve">Value Added Tax                                                       
On ILC Commission                                                     
15% of SAR989.73                                                      
Through CORPORATE BANKING DEPT-JEDDAH                                 
Date 14-04-1447(H) Time 15.32.05                                      
Reference ILC-0840-25-7407                                            
At Bank Aljazira                                                      
</t>
  </si>
  <si>
    <t xml:space="preserve">Dr TI ILC Comm/Other Charges                                          
AMD003-274199125                                                      
At Bank Aljazira                                                      
 CORPORATE BANKING DEPT-JEDDAH                                        
Date 14-04-1447(H) Time 15.32.05                                      
Reference ILC-0840-25-7407                                            
Value Date 14-04-1447(H)                                              
Fee Collected By Bank AlJazira                                        
</t>
  </si>
  <si>
    <t xml:space="preserve">Value Added Tax                                                       
On SWIFT charges                                                      
15% of SAR400.00                                                      
Through CORPORATE BANKING DEPT-JEDDAH                                 
Date 14-04-1447(H) Time 15.32.05                                      
Reference ILC-0840-25-7407                                            
At Bank Aljazira                                                      
</t>
  </si>
  <si>
    <t xml:space="preserve">TI Bill Settled                                                       
POC004                                                                
At Bank AlJazira                                                      
CORPORATE BANKING DEPT-JEDDAH                                         
Date 15-04-1447(H) Time 10.51.10                                      
Reference ILC-0840-25-7352                                            
</t>
  </si>
  <si>
    <t xml:space="preserve">TI Bill Settled                                                       
POC004                                                                
At Bank AlJazira                                                      
CORPORATE BANKING DEPT-JEDDAH                                         
Date 20-04-1447(H) Time 10.30.14                                      
Reference ILC-0840-25-7266                                            
</t>
  </si>
  <si>
    <t xml:space="preserve">TI Bill Settled                                                       
POC006                                                                
At Bank AlJazira                                                      
CORPORATE BANKING DEPT-JEDDAH                                         
Date 20-04-1447(H) Time 10.32.54                                      
Reference ILC-0840-25-7566                                            
</t>
  </si>
  <si>
    <t xml:space="preserve">TI Bill Settled                                                       
POC003                                                                
At Bank AlJazira                                                      
CORPORATE BANKING DEPT-JEDDAH                                         
Date 20-04-1447(H) Time 10.33.39                                      
Reference ILC-0840-25-7982                                            
</t>
  </si>
  <si>
    <t xml:space="preserve">Dr TI ILC Comm/Other Charges                                          
POC002-274724904                                                      
At Bank Aljazira                                                      
 CORPORATE BANKING DEPT-JEDDAH                                        
Date 20-04-1447(H) Time 12.06.14                                      
Reference ILC-0840-25-8011                                            
Value Date 20-04-1447(H)                                              
Fee Collected By Bank AlJazira                                        
</t>
  </si>
  <si>
    <t xml:space="preserve">Value Added Tax                                                       
On ILC Acceptance Comm.                                               
15% of SAR100.00                                                      
Through CORPORATE BANKING DEPT-JEDDAH                                 
Date 20-04-1447(H) Time 12.06.14                                      
Reference ILC-0840-25-8011                                            
At Bank Aljazira                                                      
</t>
  </si>
  <si>
    <t xml:space="preserve">Dr TI ILC Comm/Other Charges                                          
POC002-274725245                                                      
At Bank Aljazira                                                      
 CORPORATE BANKING DEPT-JEDDAH                                        
Date 20-04-1447(H) Time 12.06.14                                      
Reference ILC-0840-25-8011                                            
Value Date 20-04-1447(H)                                              
Fee Collected By Bank AlJazira                                        
</t>
  </si>
  <si>
    <t xml:space="preserve">Value Added Tax                                                       
On ILC Acceptance Comm.                                               
15% of SAR299.00                                                      
Through CORPORATE BANKING DEPT-JEDDAH                                 
Date 20-04-1447(H) Time 12.06.15                                      
Reference ILC-0840-25-8011                                            
At Bank Aljazira                                                      
</t>
  </si>
  <si>
    <t xml:space="preserve">Dr TI ILC Comm/Other Charges                                          
POC002-274725247                                                      
At Bank Aljazira                                                      
 CORPORATE BANKING DEPT-JEDDAH                                        
Date 20-04-1447(H) Time 12.06.15                                      
Reference ILC-0840-25-8011                                            
Value Date 20-04-1447(H)                                              
Fee Collected By Bank AlJazira                                        
</t>
  </si>
  <si>
    <t xml:space="preserve">Value Added Tax                                                       
On SWIFT charges                                                      
15% of SAR200.00                                                      
Through CORPORATE BANKING DEPT-JEDDAH                                 
Date 20-04-1447(H) Time 12.06.15                                      
Reference ILC-0840-25-8011                                            
At Bank Aljazira                                                      
</t>
  </si>
  <si>
    <t xml:space="preserve">Dr TI ILC Comm/Other Charges                                          
POC005-274769741                                                      
At Bank Aljazira                                                      
 CORPORATE BANKING DEPT-JEDDAH                                        
Exchange Rate 1.0                                                     
Date 20-04-1447(H) Time 14.53.47                                      
Reference ILC-0840-25-7351                                            
Value Date 20-04-1447(H)                                              
Fee Collected By Bank AlJazira                                        
</t>
  </si>
  <si>
    <t xml:space="preserve">Value Added Tax                                                       
On ILC Acceptance Comm.                                               
15% of SAR100.00                                                      
Through CORPORATE BANKING DEPT-JEDDAH                                 
Date 20-04-1447(H) Time 14.53.48                                      
Reference ILC-0840-25-7351                                            
At Bank Aljazira                                                      
Exchange Rate 1.0                                                     
</t>
  </si>
  <si>
    <t xml:space="preserve">Dr TI ILC Comm/Other Charges                                          
POC005-274769802                                                      
At Bank Aljazira                                                      
 CORPORATE BANKING DEPT-JEDDAH                                        
Exchange Rate 1.0                                                     
Date 20-04-1447(H) Time 14.53.48                                      
Reference ILC-0840-25-7351                                            
Value Date 20-04-1447(H)                                              
Fee Collected By Bank AlJazira                                        
</t>
  </si>
  <si>
    <t xml:space="preserve">Value Added Tax                                                       
On ILC Acceptance Comm.                                               
15% of SAR250.00                                                      
Through CORPORATE BANKING DEPT-JEDDAH                                 
Date 20-04-1447(H) Time 14.53.49                                      
Reference ILC-0840-25-7351                                            
At Bank Aljazira                                                      
Exchange Rate 1.0                                                     
</t>
  </si>
  <si>
    <t xml:space="preserve">Dr TI ILC Comm/Other Charges                                          
POC005-274769804                                                      
At Bank Aljazira                                                      
 CORPORATE BANKING DEPT-JEDDAH                                        
Exchange Rate 1.0                                                     
Date 20-04-1447(H) Time 14.53.49                                      
Reference ILC-0840-25-7351                                            
Value Date 20-04-1447(H)                                              
Fee Collected By Bank AlJazira                                        
</t>
  </si>
  <si>
    <t xml:space="preserve">Value Added Tax                                                       
On SWIFT charges                                                      
15% of SAR200.00                                                      
Through CORPORATE BANKING DEPT-JEDDAH                                 
Date 20-04-1447(H) Time 14.53.50                                      
Reference ILC-0840-25-7351                                            
At Bank Aljazira                                                      
Exchange Rate 1.0                                                     
</t>
  </si>
  <si>
    <t xml:space="preserve">Dr TI ILC Comm/Other Charges                                          
POC002-274846909                                                      
At Bank Aljazira                                                      
 CORPORATE BANKING DEPT-JEDDAH                                        
Date 21-04-1447(H) Time 10.03.44                                      
Reference ILC-0840-25-8159                                            
Value Date 21-04-1447(H)                                              
Fee Collected By Bank AlJazira                                        
</t>
  </si>
  <si>
    <t xml:space="preserve">Value Added Tax                                                       
On ILC Acceptance Comm.                                               
15% of SAR100.00                                                      
Through CORPORATE BANKING DEPT-JEDDAH                                 
Date 21-04-1447(H) Time 10.03.44                                      
Reference ILC-0840-25-8159                                            
At Bank Aljazira                                                      
</t>
  </si>
  <si>
    <t xml:space="preserve">Dr TI ILC Comm/Other Charges                                          
POC002-274847106                                                      
At Bank Aljazira                                                      
 CORPORATE BANKING DEPT-JEDDAH                                        
Date 21-04-1447(H) Time 10.03.45                                      
Reference ILC-0840-25-8159                                            
Value Date 21-04-1447(H)                                              
Fee Collected By Bank AlJazira                                        
</t>
  </si>
  <si>
    <t xml:space="preserve">Value Added Tax                                                       
On ILC Acceptance Comm.                                               
15% of SAR336.00                                                      
Through CORPORATE BANKING DEPT-JEDDAH                                 
Date 21-04-1447(H) Time 10.03.45                                      
Reference ILC-0840-25-8159                                            
At Bank Aljazira                                                      
</t>
  </si>
  <si>
    <t xml:space="preserve">Dr TI ILC Comm/Other Charges                                          
POC002-274847233                                                      
At Bank Aljazira                                                      
 CORPORATE BANKING DEPT-JEDDAH                                        
Date 21-04-1447(H) Time 10.03.45                                      
Reference ILC-0840-25-8159                                            
Value Date 21-04-1447(H)                                              
Fee Collected By Bank AlJazira                                        
</t>
  </si>
  <si>
    <t xml:space="preserve">Value Added Tax                                                       
On SWIFT charges                                                      
15% of SAR200.00                                                      
Through CORPORATE BANKING DEPT-JEDDAH                                 
Date 21-04-1447(H) Time 10.03.45                                      
Reference ILC-0840-25-8159                                            
At Bank Aljazira                                                      
</t>
  </si>
  <si>
    <t xml:space="preserve">TI Bill Settled                                                       
POC002                                                                
At Bank AlJazira                                                      
CORPORATE BANKING DEPT-JEDDAH                                         
Date 21-04-1447(H) Time 10.59.31                                      
Reference ILC-0840-25-7355                                            
</t>
  </si>
  <si>
    <t xml:space="preserve">TI Bill Settled                                                       
POC002                                                                
At Bank AlJazira                                                      
CORPORATE BANKING DEPT-JEDDAH                                         
Date 21-04-1447(H) Time 11.00.38                                      
Reference ILC-0840-25-7736                                            
</t>
  </si>
  <si>
    <t xml:space="preserve">TI Bill Settled                                                       
POC003                                                                
At Bank AlJazira                                                      
CORPORATE BANKING DEPT-JEDDAH                                         
Date 21-04-1447(H) Time 11.01.10                                      
Reference ILC-0840-25-8011                                            
</t>
  </si>
  <si>
    <t>TF250770006101</t>
  </si>
  <si>
    <t>LC SWIFT CHARGES FOR LC NO. TF250770006101\BNK</t>
  </si>
  <si>
    <t>REIMBURSE UNDER LCS DR FOR LC NO. TF250770006101\BNK</t>
  </si>
  <si>
    <t>TF250830003101</t>
  </si>
  <si>
    <t>LC SWIFT CHARGES FOR LC NO. TF250830003101\BNK</t>
  </si>
  <si>
    <t>REIMBURSE UNDER LCS DR FOR LC NO. TF250830003101\BNK</t>
  </si>
  <si>
    <t>TF251740006601</t>
  </si>
  <si>
    <t>LC SWIFT CHARGES FOR LC NO. TF251740006601\BNK</t>
  </si>
  <si>
    <t>REIMBURSE UNDER LCS DR FOR LC NO. TF251740006601\BNK</t>
  </si>
  <si>
    <t xml:space="preserve">CUSTOMER = 3972500 DEAL AMT = 2885.89 DEAL CCY = SAR TAX CODE = 1 </t>
  </si>
  <si>
    <t>LC SWIFT CHARGES FOR LC NO. TF2527100025\BNK</t>
  </si>
  <si>
    <t>LC AMENDMENT COMMISSION FOR LC NO. TF2527100025\BNK</t>
  </si>
  <si>
    <t xml:space="preserve">TI Bill Settled                                                       
POC002                                                                
At Bank AlJazira                                                      
CORPORATE BANKING DEPT-JEDDAH                                         
Date 22-04-1447(H) Time 10.01.38                                      
Reference ILC-0840-25-7570                                            
</t>
  </si>
  <si>
    <t xml:space="preserve">Dr TI ILC Comm/Other Charges                                          
POC001-275056172                                                      
At Bank Aljazira                                                      
 CORPORATE BANKING DEPT-JEDDAH                                        
Date 22-04-1447(H) Time 12.02.13                                      
Reference ILC-0840-25-8162                                            
Value Date 22-04-1447(H)                                              
Fee Collected By Bank AlJazira                                        
</t>
  </si>
  <si>
    <t xml:space="preserve">Value Added Tax                                                       
On ILC Acceptance Comm.                                               
15% of SAR100.00                                                      
Through CORPORATE BANKING DEPT-JEDDAH                                 
Date 22-04-1447(H) Time 12.02.13                                      
Reference ILC-0840-25-8162                                            
At Bank Aljazira                                                      
</t>
  </si>
  <si>
    <t xml:space="preserve">Dr TI ILC Comm/Other Charges                                          
POC001-275056212                                                      
At Bank Aljazira                                                      
 CORPORATE BANKING DEPT-JEDDAH                                        
Date 22-04-1447(H) Time 12.02.14                                      
Reference ILC-0840-25-8162                                            
Value Date 22-04-1447(H)                                              
Fee Collected By Bank AlJazira                                        
</t>
  </si>
  <si>
    <t xml:space="preserve">Value Added Tax                                                       
On ILC Acceptance Comm.                                               
15% of SAR250.00                                                      
Through CORPORATE BANKING DEPT-JEDDAH                                 
Date 22-04-1447(H) Time 12.02.14                                      
Reference ILC-0840-25-8162                                            
At Bank Aljazira                                                      
</t>
  </si>
  <si>
    <t xml:space="preserve">Dr TI ILC Comm/Other Charges                                          
POC001-275056214                                                      
At Bank Aljazira                                                      
 CORPORATE BANKING DEPT-JEDDAH                                        
Date 22-04-1447(H) Time 12.02.14                                      
Reference ILC-0840-25-8162                                            
Value Date 22-04-1447(H)                                              
Fee Collected By Bank AlJazira                                        
</t>
  </si>
  <si>
    <t xml:space="preserve">Value Added Tax                                                       
On SWIFT charges                                                      
15% of SAR200.00                                                      
Through CORPORATE BANKING DEPT-JEDDAH                                 
Date 22-04-1447(H) Time 12.02.14                                      
Reference ILC-0840-25-8162                                            
At Bank Aljazira                                                      
</t>
  </si>
  <si>
    <t xml:space="preserve">CUSTOMER = 3972500 DEAL AMT = 150 DEAL CCY = USD TAX CODE = 1 </t>
  </si>
  <si>
    <t>TF251280000201</t>
  </si>
  <si>
    <t>LC SWIFT CHARGES FOR LC NO. TF251280000201\BNK</t>
  </si>
  <si>
    <t>REIMBURSE UNDER LCS DR FOR LC NO. TF251280000201\BNK</t>
  </si>
  <si>
    <t>TF251740003801</t>
  </si>
  <si>
    <t>LC SWIFT CHARGES FOR LC NO. TF251740003801\BNK</t>
  </si>
  <si>
    <t>REIMBURSE UNDER LCS DR FOR LC NO. TF251740003801\BNK</t>
  </si>
  <si>
    <t>TF251740005001</t>
  </si>
  <si>
    <t>LC SWIFT CHARGES FOR LC NO. TF251740005001\BNK</t>
  </si>
  <si>
    <t>REIMBURSE UNDER LCS DR FOR LC NO. TF251740005001\BNK</t>
  </si>
  <si>
    <t>REF 000000JLC6901431,RB REF JLC6901431,VIA CORE SYSTEM,DATE-TIME 15/10-14:42:21, عن طريق النظام الآ لي ,VALUE DT 15/10/25</t>
  </si>
  <si>
    <t>REF 000000JLC6701731,RB REF JLC6701731,VIA CORE SYSTEM,DATE-TIME 15/10-15:47:18, عن طريق النظام الآ لي ,VALUE DT 15/10/25</t>
  </si>
  <si>
    <t>IMP BILL AMEND. CHARGES DPBEPM623114WPM DCBWPM564601</t>
  </si>
  <si>
    <t xml:space="preserve">Dr TI ILC Comm/Other Charges                                          
POC009-275179806                                                      
At Bank Aljazira                                                      
 CORPORATE BANKING DEPT-JEDDAH                                        
Date 23-04-1447(H) Time 14.39.01                                      
Reference ILC-0840-25-7264                                            
Value Date 23-04-1447(H)                                              
Fee Collected By Bank AlJazira                                        
</t>
  </si>
  <si>
    <t xml:space="preserve">Value Added Tax                                                       
On ILC Acceptance Comm.                                               
15% of SAR100.00                                                      
Through CORPORATE BANKING DEPT-JEDDAH                                 
Date 23-04-1447(H) Time 14.39.01                                      
Reference ILC-0840-25-7264                                            
At Bank Aljazira                                                      
</t>
  </si>
  <si>
    <t xml:space="preserve">Dr TI ILC Comm/Other Charges                                          
POC009-275179943                                                      
At Bank Aljazira                                                      
 CORPORATE BANKING DEPT-JEDDAH                                        
Date 23-04-1447(H) Time 14.39.02                                      
Reference ILC-0840-25-7264                                            
Value Date 23-04-1447(H)                                              
Fee Collected By Bank AlJazira                                        
</t>
  </si>
  <si>
    <t xml:space="preserve">Value Added Tax                                                       
On ILC Acceptance Comm.                                               
15% of SAR250.00                                                      
Through CORPORATE BANKING DEPT-JEDDAH                                 
Date 23-04-1447(H) Time 14.39.02                                      
Reference ILC-0840-25-7264                                            
At Bank Aljazira                                                      
</t>
  </si>
  <si>
    <t xml:space="preserve">Dr TI ILC Comm/Other Charges                                          
POC009-275179947                                                      
At Bank Aljazira                                                      
 CORPORATE BANKING DEPT-JEDDAH                                        
Date 23-04-1447(H) Time 14.39.02                                      
Reference ILC-0840-25-7264                                            
Value Date 23-04-1447(H)                                              
Fee Collected By Bank AlJazira                                        
</t>
  </si>
  <si>
    <t xml:space="preserve">Value Added Tax                                                       
On SWIFT charges                                                      
15% of SAR200.00                                                      
Through CORPORATE BANKING DEPT-JEDDAH                                 
Date 23-04-1447(H) Time 14.39.02                                      
Reference ILC-0840-25-7264                                            
At Bank Aljazira                                                      
</t>
  </si>
  <si>
    <t xml:space="preserve">Dr TI ILC Comm/Other Charges                                          
POC005-275181919                                                      
At Bank Aljazira                                                      
 CORPORATE BANKING DEPT-JEDDAH                                        
Date 23-04-1447(H) Time 14.39.26                                      
Reference ILC-0840-25-7352                                            
Value Date 23-04-1447(H)                                              
Fee Collected By Bank AlJazira                                        
</t>
  </si>
  <si>
    <t xml:space="preserve">Value Added Tax                                                       
On ILC Acceptance Comm.                                               
15% of SAR100.00                                                      
Through CORPORATE BANKING DEPT-JEDDAH                                 
Date 23-04-1447(H) Time 14.39.26                                      
Reference ILC-0840-25-7352                                            
At Bank Aljazira                                                      
</t>
  </si>
  <si>
    <t xml:space="preserve">Dr TI ILC Comm/Other Charges                                          
POC005-275181959                                                      
At Bank Aljazira                                                      
 CORPORATE BANKING DEPT-JEDDAH                                        
Date 23-04-1447(H) Time 14.39.26                                      
Reference ILC-0840-25-7352                                            
Value Date 23-04-1447(H)                                              
Fee Collected By Bank AlJazira                                        
</t>
  </si>
  <si>
    <t xml:space="preserve">Value Added Tax                                                       
On ILC Acceptance Comm.                                               
15% of SAR917.00                                                      
Through CORPORATE BANKING DEPT-JEDDAH                                 
Date 23-04-1447(H) Time 14.39.27                                      
Reference ILC-0840-25-7352                                            
At Bank Aljazira                                                      
</t>
  </si>
  <si>
    <t xml:space="preserve">Dr TI ILC Comm/Other Charges                                          
POC005-275181963                                                      
At Bank Aljazira                                                      
 CORPORATE BANKING DEPT-JEDDAH                                        
Date 23-04-1447(H) Time 14.39.27                                      
Reference ILC-0840-25-7352                                            
Value Date 23-04-1447(H)                                              
Fee Collected By Bank AlJazira                                        
</t>
  </si>
  <si>
    <t xml:space="preserve">Value Added Tax                                                       
On SWIFT charges                                                      
15% of SAR200.00                                                      
Through CORPORATE BANKING DEPT-JEDDAH                                 
Date 23-04-1447(H) Time 14.39.27                                      
Reference ILC-0840-25-7352                                            
At Bank Aljazira                                                      
</t>
  </si>
  <si>
    <t xml:space="preserve">Dr TI ILC Comm/Other Charges                                          
POC001-275183402                                                      
At Bank Aljazira                                                      
 CORPORATE BANKING DEPT-JEDDAH                                        
Date 23-04-1447(H) Time 14.40.24                                      
Reference ILC-0840-25-8161                                            
Value Date 23-04-1447(H)                                              
Fee Collected By Bank AlJazira                                        
</t>
  </si>
  <si>
    <t xml:space="preserve">Value Added Tax                                                       
On ILC Acceptance Comm.                                               
15% of SAR100.00                                                      
Through CORPORATE BANKING DEPT-JEDDAH                                 
Date 23-04-1447(H) Time 14.40.24                                      
Reference ILC-0840-25-8161                                            
At Bank Aljazira                                                      
</t>
  </si>
  <si>
    <t xml:space="preserve">Dr TI ILC Comm/Other Charges                                          
POC001-275183442                                                      
At Bank Aljazira                                                      
 CORPORATE BANKING DEPT-JEDDAH                                        
Date 23-04-1447(H) Time 14.40.25                                      
Reference ILC-0840-25-8161                                            
Value Date 23-04-1447(H)                                              
Fee Collected By Bank AlJazira                                        
</t>
  </si>
  <si>
    <t xml:space="preserve">Value Added Tax                                                       
On ILC Acceptance Comm.                                               
15% of SAR1,250.00                                                    
Through CORPORATE BANKING DEPT-JEDDAH                                 
Date 23-04-1447(H) Time 14.40.25                                      
Reference ILC-0840-25-8161                                            
At Bank Aljazira                                                      
</t>
  </si>
  <si>
    <t xml:space="preserve">Dr TI ILC Comm/Other Charges                                          
POC001-275183444                                                      
At Bank Aljazira                                                      
 CORPORATE BANKING DEPT-JEDDAH                                        
Date 23-04-1447(H) Time 14.40.25                                      
Reference ILC-0840-25-8161                                            
Value Date 23-04-1447(H)                                              
Fee Collected By Bank AlJazira                                        
</t>
  </si>
  <si>
    <t xml:space="preserve">Value Added Tax                                                       
On SWIFT charges                                                      
15% of SAR200.00                                                      
Through CORPORATE BANKING DEPT-JEDDAH                                 
Date 23-04-1447(H) Time 14.40.25                                      
Reference ILC-0840-25-8161                                            
At Bank Aljazira                                                      
</t>
  </si>
  <si>
    <t>DCBWPM567556</t>
  </si>
  <si>
    <t>DCBWPM567554</t>
  </si>
  <si>
    <t>JLG6800853</t>
  </si>
  <si>
    <t>TOTAL FACILITIES MANAGEMENT SERVICES, Historic Diriyah - Samhan area PROJECT REFERENCE - IFAS-TTD-COM-2245-R00 - Tender No SR214960733</t>
  </si>
  <si>
    <t>TOTAL FACILITIES MANAGEMENT SERVICES, Historic Diriyah - Al-Bujairi District PROJECT REFERENCE - IFAS-TTD-COM-2237-R00 - Tender No SR214958048</t>
  </si>
  <si>
    <t>TF251470005201</t>
  </si>
  <si>
    <t>LC SWIFT CHARGES FOR LC NO. TF251470005201\BNK</t>
  </si>
  <si>
    <t>REIMBURSE UNDER LCS DR FOR LC NO. TF251470005201\BNK</t>
  </si>
  <si>
    <t>RB REF JLG6903548,VIA CORE SYSTEM,DATE-TIME 16/10-13:59:28, عن طريق النظام الآ لي ,VALUE DT 16/10/25</t>
  </si>
  <si>
    <t>RB REF JLG6903643,VIA CORE SYSTEM,DATE-TIME 16/10-14:00:04, عن طريق النظام الآ لي ,VALUE DT 16/10/25</t>
  </si>
  <si>
    <t>DC ISSUE COMM CHARGES DCBWPM567554</t>
  </si>
  <si>
    <t>DC ISSUE COMM CHARGES DCBWPM567556</t>
  </si>
  <si>
    <t xml:space="preserve">Dr TI ILC Comm/Other Charges                                          
POC002-275343574                                                      
At Bank Aljazira                                                      
 CORPORATE BANKING DEPT-JEDDAH                                        
Date 24-04-1447(H) Time 09.36.22                                      
Reference ILC-0840-25-7992                                            
Value Date 24-04-1447(H)                                              
Fee Collected By Bank AlJazira                                        
</t>
  </si>
  <si>
    <t xml:space="preserve">Value Added Tax                                                       
On ILC Acceptance Comm.                                               
15% of SAR100.00                                                      
Through CORPORATE BANKING DEPT-JEDDAH                                 
Date 24-04-1447(H) Time 09.36.22                                      
Reference ILC-0840-25-7992                                            
At Bank Aljazira                                                      
</t>
  </si>
  <si>
    <t xml:space="preserve">Dr TI ILC Comm/Other Charges                                          
POC002-275343618                                                      
At Bank Aljazira                                                      
 CORPORATE BANKING DEPT-JEDDAH                                        
Date 24-04-1447(H) Time 09.36.22                                      
Reference ILC-0840-25-7992                                            
Value Date 24-04-1447(H)                                              
Fee Collected By Bank AlJazira                                        
</t>
  </si>
  <si>
    <t xml:space="preserve">Value Added Tax                                                       
On ILC Acceptance Comm.                                               
15% of SAR1,296.00                                                    
Through CORPORATE BANKING DEPT-JEDDAH                                 
Date 24-04-1447(H) Time 09.36.23                                      
Reference ILC-0840-25-7992                                            
At Bank Aljazira                                                      
</t>
  </si>
  <si>
    <t xml:space="preserve">Dr TI ILC Comm/Other Charges                                          
POC002-275343622                                                      
At Bank Aljazira                                                      
 CORPORATE BANKING DEPT-JEDDAH                                        
Date 24-04-1447(H) Time 09.36.23                                      
Reference ILC-0840-25-7992                                            
Value Date 24-04-1447(H)                                              
Fee Collected By Bank AlJazira                                        
</t>
  </si>
  <si>
    <t xml:space="preserve">Value Added Tax                                                       
On SWIFT charges                                                      
15% of SAR200.00                                                      
Through CORPORATE BANKING DEPT-JEDDAH                                 
Date 24-04-1447(H) Time 09.36.23                                      
Reference ILC-0840-25-7992                                            
At Bank Aljazira                                                      
</t>
  </si>
  <si>
    <t>Failure to submit Acceptance on time by FF.</t>
  </si>
  <si>
    <t>DCBWPM567940</t>
  </si>
  <si>
    <t>to bank on 20-10</t>
  </si>
  <si>
    <t>CITY:Jeddah 6132225J210028001</t>
  </si>
  <si>
    <t>J210028001</t>
  </si>
  <si>
    <t>DC ISSUE COMM CHARGES DCBWPM567940</t>
  </si>
  <si>
    <t>DCBWPM567940 PROJECT FLASH REF DCBWPM567940 COMMISSION</t>
  </si>
  <si>
    <t>DPBCOR616974WPM DCBWPM558756</t>
  </si>
  <si>
    <t>IMP BILL AMEND. CHARGES DPBCOR623810WPM DCBWPM558759</t>
  </si>
  <si>
    <t>TRADE FINANCE PAYMENT</t>
  </si>
  <si>
    <t>TF251273300801</t>
  </si>
  <si>
    <t xml:space="preserve">TI Bill Settled                                                       
POC003                                                                
At Bank AlJazira                                                      
CORPORATE BANKING DEPT-JEDDAH                                         
Date 27-04-1447(H) Time 10.13.33                                      
Reference ILC-0840-25-7354                                            
</t>
  </si>
  <si>
    <t xml:space="preserve">CUSTOMER = 3972500 DEAL AMT = 1271.95 DEAL CCY = SAR TAX CODE = 1 </t>
  </si>
  <si>
    <t>TF251350003101</t>
  </si>
  <si>
    <t>LC ACCEPTANCE COMMISSION FOR LC NO. TF251350003101\BNK</t>
  </si>
  <si>
    <t xml:space="preserve">CUSTOMER = 3972500 DEAL AMT = 1909.36 DEAL CCY = SAR TAX CODE = 1 </t>
  </si>
  <si>
    <t>TF251470003801</t>
  </si>
  <si>
    <t>LC ACCEPTANCE COMMISSION FOR LC NO. TF251470003801\BNK</t>
  </si>
  <si>
    <t>PROVISION MARGIN CR</t>
  </si>
  <si>
    <t>TF243543300102</t>
  </si>
  <si>
    <t xml:space="preserve">TI Bill Settled                                                       
POC004                                                                
At Bank AlJazira                                                      
CORPORATE BANKING DEPT-JEDDAH                                         
Date 28-04-1447(H) Time 12.48.25                                      
Reference ILC-0840-25-7481                                            
</t>
  </si>
  <si>
    <t>Dr TI ILC Comm/Other Charges                                          
POC003-275579206                                                      
At Bank Aljazira                                                      
 CORPORATE BANKING DEPT-JEDDAH                                        
Date 28-04-1447(H) Time 12.49.41                                      
Reference ILC-0840-25-7570                                            
Value Date 27-04-1447(H)                                              
Fee Collected By Bank AlJazira                                        
Value date 19-OCT-25</t>
  </si>
  <si>
    <t>Value Added Tax                                                       
On ILC Acceptance Comm.                                               
15% of SAR100.00                                                      
Through CORPORATE BANKING DEPT-JEDDAH                                 
Date 28-04-1447(H) Time 12.49.41                                      
Reference ILC-0840-25-7570                                            
At Bank Aljazira                                                      
Value date 19-OCT-25</t>
  </si>
  <si>
    <t>Dr TI ILC Comm/Other Charges                                          
POC003-275579282                                                      
At Bank Aljazira                                                      
 CORPORATE BANKING DEPT-JEDDAH                                        
Date 28-04-1447(H) Time 12.49.41                                      
Reference ILC-0840-25-7570                                            
Value Date 27-04-1447(H)                                              
Fee Collected By Bank AlJazira                                        
Value date 19-OCT-25</t>
  </si>
  <si>
    <t>Value Added Tax                                                       
On ILC Acceptance Comm.                                               
15% of SAR250.00                                                      
Through CORPORATE BANKING DEPT-JEDDAH                                 
Date 28-04-1447(H) Time 12.49.42                                      
Reference ILC-0840-25-7570                                            
At Bank Aljazira                                                      
Value date 19-OCT-25</t>
  </si>
  <si>
    <t>Dr TI ILC Comm/Other Charges                                          
POC003-275579284                                                      
At Bank Aljazira                                                      
 CORPORATE BANKING DEPT-JEDDAH                                        
Date 28-04-1447(H) Time 12.49.42                                      
Reference ILC-0840-25-7570                                            
Value Date 27-04-1447(H)                                              
Fee Collected By Bank AlJazira                                        
Value date 19-OCT-25</t>
  </si>
  <si>
    <t>Value Added Tax                                                       
On SWIFT charges                                                      
15% of SAR200.00                                                      
Through CORPORATE BANKING DEPT-JEDDAH                                 
Date 28-04-1447(H) Time 12.49.43                                      
Reference ILC-0840-25-7570                                            
At Bank Aljazira                                                      
Value date 19-OCT-25</t>
  </si>
  <si>
    <t xml:space="preserve">Dr TI ILC Comm/Other Charges                                          
POC003-275816620                                                      
At Bank Aljazira                                                      
 CORPORATE BANKING DEPT-JEDDAH                                        
Exchange Rate 1.0                                                     
Date 28-04-1447(H) Time 15.25.09                                      
Reference ILC-0840-25-8159                                            
Value Date 28-04-1447(H)                                              
Fee Collected By Bank AlJazira                                        
</t>
  </si>
  <si>
    <t xml:space="preserve">Value Added Tax                                                       
On ILC Acceptance Comm.                                               
15% of SAR100.00                                                      
Through CORPORATE BANKING DEPT-JEDDAH                                 
Date 28-04-1447(H) Time 15.25.12                                      
Reference ILC-0840-25-8159                                            
At Bank Aljazira                                                      
Exchange Rate 1.0                                                     
</t>
  </si>
  <si>
    <t xml:space="preserve">Dr TI ILC Comm/Other Charges                                          
POC003-275816660                                                      
At Bank Aljazira                                                      
 CORPORATE BANKING DEPT-JEDDAH                                        
Exchange Rate 1.0                                                     
Date 28-04-1447(H) Time 15.25.15                                      
Reference ILC-0840-25-8159                                            
Value Date 28-04-1447(H)                                              
Fee Collected By Bank AlJazira                                        
</t>
  </si>
  <si>
    <t xml:space="preserve">Value Added Tax                                                       
On ILC Acceptance Comm.                                               
15% of SAR1,009.00                                                    
Through CORPORATE BANKING DEPT-JEDDAH                                 
Date 28-04-1447(H) Time 15.25.15                                      
Reference ILC-0840-25-8159                                            
At Bank Aljazira                                                      
Exchange Rate 1.0                                                     
</t>
  </si>
  <si>
    <t xml:space="preserve">Dr TI ILC Comm/Other Charges                                          
POC003-275816664                                                      
At Bank Aljazira                                                      
 CORPORATE BANKING DEPT-JEDDAH                                        
Exchange Rate 1.0                                                     
Date 28-04-1447(H) Time 15.25.17                                      
Reference ILC-0840-25-8159                                            
Value Date 28-04-1447(H)                                              
Fee Collected By Bank AlJazira                                        
</t>
  </si>
  <si>
    <t xml:space="preserve">Value Added Tax                                                       
On SWIFT charges                                                      
15% of SAR200.00                                                      
Through CORPORATE BANKING DEPT-JEDDAH                                 
Date 28-04-1447(H) Time 15.25.19                                      
Reference ILC-0840-25-8159                                            
At Bank Aljazira                                                      
Exchange Rate 1.0                                                     
</t>
  </si>
  <si>
    <t>ILC-0840-25-8427</t>
  </si>
  <si>
    <t>JLG6800101</t>
  </si>
  <si>
    <t>PORTABLE CABINS QUBAA MOSQUE - MOBILE OFFICE</t>
  </si>
  <si>
    <t xml:space="preserve">CUSTOMER = 3972500 DEAL AMT = 4697.50 DEAL CCY = SAR TAX CODE = 1 </t>
  </si>
  <si>
    <t>LC SWIFT CHARGES FOR LC NO. TF2527100024\BNK</t>
  </si>
  <si>
    <t>LC AMENDMENT COMMISSION FOR LC NO. TF2527100024\BNK</t>
  </si>
  <si>
    <t>RB REF JLG6903586,VIA CORE SYSTEM,DATE-TIME 21/10-12:23:29, عن طريق النظام الآ لي ,VALUE DT 21/10/25</t>
  </si>
  <si>
    <t>RB REF JLG6800101,VIA CORE SYSTEM,DATE-TIME 21/10-13:23:53, عن طريق النظام الآ لي ,VALUE DT 21/10/25</t>
  </si>
  <si>
    <t>IMP BILL AMEND. CHARGES DPBCOR623965WPM DCBWPM563936</t>
  </si>
  <si>
    <t xml:space="preserve">Dr TI LGI Commission (Unearned)                                       
ISS001-275865389                                                      
At Bank AlJazira                                                      
CORPORATE BANKING DEPT-JEDDAH                                         
Date 29-04-1447(H) Time 10.38.57                                      
Reference ILC-0840-25-8427                                            
</t>
  </si>
  <si>
    <t xml:space="preserve">Value Added Tax                                                       
On ILC Commission                                                     
15% of SAR21,414.71                                                   
Through CORPORATE BANKING DEPT-JEDDAH                                 
Date 29-04-1447(H) Time 10.38.57                                      
Reference ILC-0840-25-8427                                            
At Bank Aljazira                                                      
</t>
  </si>
  <si>
    <t xml:space="preserve">Dr TI ILC Comm/Other Charges                                          
ISS001-275865391                                                      
At Bank Aljazira                                                      
 CORPORATE BANKING DEPT-JEDDAH                                        
Date 29-04-1447(H) Time 10.38.57                                      
Reference ILC-0840-25-8427                                            
Value Date 29-04-1447(H)                                              
Fee Collected By Bank AlJazira                                        
</t>
  </si>
  <si>
    <t xml:space="preserve">Value Added Tax                                                       
On ILC Commission                                                     
15% of SAR10,457.35                                                   
Through CORPORATE BANKING DEPT-JEDDAH                                 
Date 29-04-1447(H) Time 10.38.57                                      
Reference ILC-0840-25-8427                                            
At Bank Aljazira                                                      
</t>
  </si>
  <si>
    <t xml:space="preserve">Dr TI ILC Comm/Other Charges                                          
ISS001-275865393                                                      
At Bank Aljazira                                                      
 CORPORATE BANKING DEPT-JEDDAH                                        
Date 29-04-1447(H) Time 10.38.58                                      
Reference ILC-0840-25-8427                                            
Value Date 29-04-1447(H)                                              
Fee Collected By Bank AlJazira                                        
</t>
  </si>
  <si>
    <t xml:space="preserve">Value Added Tax                                                       
On ILC SWIFT/Telex Charges                                            
15% of SAR750.00                                                      
Through CORPORATE BANKING DEPT-JEDDAH                                 
Date 29-04-1447(H) Time 10.38.58                                      
Reference ILC-0840-25-8427                                            
At Bank Aljazira                                                      
</t>
  </si>
  <si>
    <t xml:space="preserve">Dr TI ILC Comm/Other Charges                                          
ISS001-275865395                                                      
At Bank Aljazira                                                      
 CORPORATE BANKING DEPT-JEDDAH                                        
Date 29-04-1447(H) Time 10.38.58                                      
Reference ILC-0840-25-8427                                            
Value Date 29-04-1447(H)                                              
Fee Collected By Bank AlJazira                                        
</t>
  </si>
  <si>
    <t xml:space="preserve">Value Added Tax                                                       
On LC PROCESSING FEE                                                  
15% of SAR23,703.33                                                   
Through CORPORATE BANKING DEPT-JEDDAH                                 
Date 29-04-1447(H) Time 10.38.58                                      
Reference ILC-0840-25-8427                                            
At Bank Aljazira                                                      
</t>
  </si>
  <si>
    <t>19100000060709</t>
  </si>
  <si>
    <t>CITY:Jeddah 6132225B323741000</t>
  </si>
  <si>
    <t>CITY:Jeddah 0000006132225B323823000</t>
  </si>
  <si>
    <t>19100000155300</t>
  </si>
  <si>
    <t>CITY:Jeddah 0000006132225B314277011</t>
  </si>
  <si>
    <t>to bank on 22-10 | Increase &amp; Extension 30-11</t>
  </si>
  <si>
    <t>Bank Charges EUR 442.46</t>
  </si>
  <si>
    <t>TF251310002901</t>
  </si>
  <si>
    <t>LC SWIFT CHARGES FOR LC NO. TF251310002901\BNK</t>
  </si>
  <si>
    <t>REIMBURSE UNDER LCS DR FOR LC NO. TF251310002901\BNK</t>
  </si>
  <si>
    <t>TF251350001601</t>
  </si>
  <si>
    <t>LC SWIFT CHARGES FOR LC NO. TF251350001601\BNK</t>
  </si>
  <si>
    <t>REIMBURSE UNDER LCS DR FOR LC NO. TF251350001601\BNK</t>
  </si>
  <si>
    <t>TF251350003302</t>
  </si>
  <si>
    <t>LC SWIFT CHARGES FOR LC NO. TF251350003302\BNK</t>
  </si>
  <si>
    <t>REIMBURSE UNDER LCS DR FOR LC NO. TF251350003302\BNK</t>
  </si>
  <si>
    <t>TF251350003501</t>
  </si>
  <si>
    <t>LC SWIFT CHARGES FOR LC NO. TF251350003501\BNK</t>
  </si>
  <si>
    <t>REIMBURSE UNDER LCS DR FOR LC NO. TF251350003501\BNK</t>
  </si>
  <si>
    <t>TF251470006101</t>
  </si>
  <si>
    <t>LC SWIFT CHARGES FOR LC NO. TF251470006101\BNK</t>
  </si>
  <si>
    <t>REIMBURSE UNDER LCS DR FOR LC NO. TF251470006101\BNK</t>
  </si>
  <si>
    <t>IMP BILL RETIRE. CHARGES BR COR624111WPM DC WPM556764</t>
  </si>
  <si>
    <t>DPBCOR622872WPM DCBWPM565536</t>
  </si>
  <si>
    <t>BR COR624111WPM DC WPM556764</t>
  </si>
  <si>
    <t>IMP BILL COMM DPBCOR624200WPM DCBWPM565836</t>
  </si>
  <si>
    <t xml:space="preserve">TI Bill Settled                                                       
POC004                                                                
At Bank AlJazira                                                      
CORPORATE BANKING DEPT-JEDDAH                                         
Date 30-04-1447(H) Time 09.23.43                                      
Reference ILC-0840-25-8159                                            
</t>
  </si>
  <si>
    <t>TF251470005601</t>
  </si>
  <si>
    <t>LC SWIFT CHARGES FOR LC NO. TF251470005601\BNK</t>
  </si>
  <si>
    <t>REIMBURSE UNDER LCS DR FOR LC NO. TF251470005601\BNK</t>
  </si>
  <si>
    <t xml:space="preserve">CUSTOMER = 3972500 DEAL AMT = 150 DEAL CCY = EUR TAX CODE = 1 </t>
  </si>
  <si>
    <t>TF251940003201</t>
  </si>
  <si>
    <t>LC SWIFT CHARGES FOR LC NO. TF251940003201\BNK</t>
  </si>
  <si>
    <t>REIMBURSE UNDER LCS DR FOR LC NO. TF251940003201\BNK</t>
  </si>
  <si>
    <t>RB REF JLG6903586,VIA CORE SYSTEM,DATE-TIME 23/10-13:19:55, عن طريق النظام الآ لي ,VALUE DT 23/10/25</t>
  </si>
  <si>
    <t>DPBCOR621076WPM DCBWPM551279 DCBMBL551279</t>
  </si>
  <si>
    <t xml:space="preserve">Dr TI ILC Comm/Other Charges                                          
POC006-276125982                                                      
At Bank Aljazira                                                      
 CORPORATE BANKING DEPT-JEDDAH                                        
Exchange Rate 1.0                                                     
Date 01-05-1447(H) Time 08.55.50                                      
Reference ILC-0840-25-7352                                            
Value Date 01-05-1447(H)                                              
Fee Collected By Bank AlJazira                                        
</t>
  </si>
  <si>
    <t xml:space="preserve">Value Added Tax                                                       
On ILC Acceptance Comm.                                               
15% of SAR100.00                                                      
Through CORPORATE BANKING DEPT-JEDDAH                                 
Date 01-05-1447(H) Time 08.55.51                                      
Reference ILC-0840-25-7352                                            
At Bank Aljazira                                                      
Exchange Rate 1.0                                                     
</t>
  </si>
  <si>
    <t xml:space="preserve">Dr TI ILC Comm/Other Charges                                          
POC006-276126024                                                      
At Bank Aljazira                                                      
 CORPORATE BANKING DEPT-JEDDAH                                        
Exchange Rate 1.0                                                     
Date 01-05-1447(H) Time 08.55.51                                      
Reference ILC-0840-25-7352                                            
Value Date 01-05-1447(H)                                              
Fee Collected By Bank AlJazira                                        
</t>
  </si>
  <si>
    <t xml:space="preserve">Value Added Tax                                                       
On ILC Acceptance Comm.                                               
15% of SAR707.00                                                      
Through CORPORATE BANKING DEPT-JEDDAH                                 
Date 01-05-1447(H) Time 08.55.52                                      
Reference ILC-0840-25-7352                                            
At Bank Aljazira                                                      
Exchange Rate 1.0                                                     
</t>
  </si>
  <si>
    <t xml:space="preserve">Dr TI ILC Comm/Other Charges                                          
POC006-276126026                                                      
At Bank Aljazira                                                      
 CORPORATE BANKING DEPT-JEDDAH                                        
Exchange Rate 1.0                                                     
Date 01-05-1447(H) Time 08.55.52                                      
Reference ILC-0840-25-7352                                            
Value Date 01-05-1447(H)                                              
Fee Collected By Bank AlJazira                                        
</t>
  </si>
  <si>
    <t xml:space="preserve">Value Added Tax                                                       
On SWIFT charges                                                      
15% of SAR200.00                                                      
Through CORPORATE BANKING DEPT-JEDDAH                                 
Date 01-05-1447(H) Time 08.55.53                                      
Reference ILC-0840-25-7352                                            
At Bank Aljazira                                                      
Exchange Rate 1.0                                                     
</t>
  </si>
  <si>
    <t>Sum of Amount (SAR)</t>
  </si>
  <si>
    <t>Sum of Amount (FCY)</t>
  </si>
  <si>
    <t>GC/Project</t>
  </si>
  <si>
    <t>Pending Status</t>
  </si>
  <si>
    <t>TF251310002501</t>
  </si>
  <si>
    <t>LC SWIFT CHARGES FOR LC NO. TF251310002501\BNK</t>
  </si>
  <si>
    <t>REIMBURSE UNDER LCS DR FOR LC NO. TF251310002501\BNK</t>
  </si>
  <si>
    <t>TF251740005301</t>
  </si>
  <si>
    <t>LC SWIFT CHARGES FOR LC NO. TF251740005301\BNK</t>
  </si>
  <si>
    <t>REIMBURSE UNDER LCS DR FOR LC NO. TF251740005301\BNK</t>
  </si>
  <si>
    <t>65800000701003</t>
  </si>
  <si>
    <t>CITY:Jeddah 6132225J210096013 955403.55 SAR</t>
  </si>
  <si>
    <t>J210096013</t>
  </si>
  <si>
    <t>DPBCOR618931WPM DCBWPM560813</t>
  </si>
  <si>
    <t>DC AMENDMENT COMM CHARGES DCBWPM562728</t>
  </si>
  <si>
    <t>DCBWPM562728 PROJECT FLASH LC BILL BILL COMMISSION</t>
  </si>
  <si>
    <t>TF251273301301</t>
  </si>
  <si>
    <t>IBA MIDDLE EAST FZE</t>
  </si>
  <si>
    <t>TF251350001701</t>
  </si>
  <si>
    <t>LC SWIFT CHARGES FOR LC NO. TF251350001701\BNK</t>
  </si>
  <si>
    <t>REIMBURSE UNDER LCS DR FOR LC NO. TF251350001701\BNK</t>
  </si>
  <si>
    <t>TF251350002601</t>
  </si>
  <si>
    <t>LC SWIFT CHARGES FOR LC NO. TF251350002601\BNK</t>
  </si>
  <si>
    <t>REIMBURSE UNDER LCS DR FOR LC NO. TF251350002601\BNK</t>
  </si>
  <si>
    <t>TF251350003001</t>
  </si>
  <si>
    <t>LC SWIFT CHARGES FOR LC NO. TF251350003001\BNK</t>
  </si>
  <si>
    <t>REIMBURSE UNDER LCS DR FOR LC NO. TF251350003001\BNK</t>
  </si>
  <si>
    <t>REF 000000JLC6901431,RB REF JLC6901431,VIA CORE SYSTEM,DATE-TIME 27/10-12:10:53, عن طريق النظام الآ لي ,VALUE DT 27/10/25</t>
  </si>
  <si>
    <t>CITY:Jeddah 6132225J210611002</t>
  </si>
  <si>
    <t>J210611002</t>
  </si>
  <si>
    <t>CITY:Jeddah 6132225J210604003</t>
  </si>
  <si>
    <t>J210604003</t>
  </si>
  <si>
    <t>CITY:Jeddah 6132225J210104000</t>
  </si>
  <si>
    <t>J210104000</t>
  </si>
  <si>
    <t>Issuance/Amendment</t>
  </si>
  <si>
    <t>DPBCOR612328WPM DCBWPM553893</t>
  </si>
  <si>
    <t>IMP BILL AMEND. CHARGES DPBCOR624433WPM DCBWPM554837</t>
  </si>
  <si>
    <t>IMP BILL COMM DPBEPM624675WPM DCBWPM565760</t>
  </si>
  <si>
    <t>IMP BILL AMEND. CHARGES DPBCOR624477WPM DCBWPM554837</t>
  </si>
  <si>
    <t>DCBWPM565760 PROJECT FLASH LC REFERENCE COMMISSION</t>
  </si>
  <si>
    <t>IMP BILL COMM DPBEPM624627WPM DCBWPM562620</t>
  </si>
  <si>
    <t>TF251323300103</t>
  </si>
  <si>
    <t xml:space="preserve">CUSTOMER = 3972500 DEAL AMT = 11268.44 DEAL CCY = GBP TAX CODE = 1 </t>
  </si>
  <si>
    <t>LC SWIFT CHARGES FOR LC NO. TF2511400003\BNK</t>
  </si>
  <si>
    <t>LC AMENDMENT COMMISSION FOR LC NO. TF2511400003\BNK</t>
  </si>
  <si>
    <t>DPBCOR624477WPM DCBWPM554837</t>
  </si>
  <si>
    <t>IMP BILL COMM DPBCOR624825WPM DCBWPM560813</t>
  </si>
  <si>
    <t>IMP BILL AMEND. CHARGES DPBCOR624577WPM DCBWPM562595</t>
  </si>
  <si>
    <t>ILC-0840-25-8471</t>
  </si>
  <si>
    <t>ILC-0840-25-8473</t>
  </si>
  <si>
    <t>ILC-0840-25-8470</t>
  </si>
  <si>
    <t>to bank on 30-10 | EXP &amp; LDS 31-12</t>
  </si>
  <si>
    <t>JCD OCENARIUM</t>
  </si>
  <si>
    <t>TF252300003401</t>
  </si>
  <si>
    <t>LC SWIFT CHARGES FOR LC NO. TF252300003401\BNK</t>
  </si>
  <si>
    <t>REIMBURSE UNDER LCS DR FOR LC NO. TF252300003401\BNK</t>
  </si>
  <si>
    <t>CITY:Jeddah 6132225J210608001</t>
  </si>
  <si>
    <t>DPBCOR622974WPM DCBWPM551279 DCBMBL551279</t>
  </si>
  <si>
    <t>DPBEPM619988WPM DCBWPM560155</t>
  </si>
  <si>
    <t>IMP BILL RETIRE. CHARGES BR COR624845WPM DC WPM556764</t>
  </si>
  <si>
    <t>BR COR624845WPM DC WPM556764</t>
  </si>
  <si>
    <t>DPBCOR617251WPM DCBWPM558751</t>
  </si>
  <si>
    <t xml:space="preserve">Dr TI LGI Commission (Unearned)                                       
ISS001-276959528                                                      
At Bank AlJazira                                                      
CORPORATE BANKING DEPT-JEDDAH                                         
Date 07-05-1447(H) Time 13.29.07                                      
Reference ILC-0840-25-8471                                            
</t>
  </si>
  <si>
    <t xml:space="preserve">Value Added Tax                                                       
On ILC Commission                                                     
15% of SAR3,000.00                                                    
Through CORPORATE BANKING DEPT-JEDDAH                                 
Date 07-05-1447(H) Time 13.29.08                                      
Reference ILC-0840-25-8471                                            
At Bank Aljazira                                                      
</t>
  </si>
  <si>
    <t xml:space="preserve">Dr TI ILC Comm/Other Charges                                          
ISS001-276959530                                                      
At Bank Aljazira                                                      
 CORPORATE BANKING DEPT-JEDDAH                                        
Date 07-05-1447(H) Time 13.29.08                                      
Reference ILC-0840-25-8471                                            
Value Date 07-05-1447(H)                                              
Fee Collected By Bank AlJazira                                        
</t>
  </si>
  <si>
    <t xml:space="preserve">Value Added Tax                                                       
On ILC SWIFT/Telex Charges                                            
15% of SAR750.00                                                      
Through CORPORATE BANKING DEPT-JEDDAH                                 
Date 07-05-1447(H) Time 13.29.09                                      
Reference ILC-0840-25-8471                                            
At Bank Aljazira                                                      
</t>
  </si>
  <si>
    <t xml:space="preserve">Dr TI ILC Comm/Other Charges                                          
ISS001-276959532                                                      
At Bank Aljazira                                                      
 CORPORATE BANKING DEPT-JEDDAH                                        
Date 07-05-1447(H) Time 13.29.09                                      
Reference ILC-0840-25-8471                                            
Value Date 07-05-1447(H)                                              
Fee Collected By Bank AlJazira                                        
</t>
  </si>
  <si>
    <t xml:space="preserve">Value Added Tax                                                       
On LC PROCESSING FEE                                                  
15% of SAR1,750.00                                                    
Through CORPORATE BANKING DEPT-JEDDAH                                 
Date 07-05-1447(H) Time 13.29.09                                      
Reference ILC-0840-25-8471                                            
At Bank Aljazira                                                      
</t>
  </si>
  <si>
    <t xml:space="preserve">Dr TI ILC Comm/Other Charges                                          
ISS001-276959534                                                      
At Bank Aljazira                                                      
 CORPORATE BANKING DEPT-JEDDAH                                        
Date 07-05-1447(H) Time 13.29.10                                      
Reference ILC-0840-25-8471                                            
Value Date 07-05-1447(H)                                              
Fee Collected By Bank AlJazira                                        
</t>
  </si>
  <si>
    <t xml:space="preserve">Value Added Tax                                                       
On ILC Postal/DHL Charges                                             
15% of SAR75.00                                                       
Through CORPORATE BANKING DEPT-JEDDAH                                 
Date 07-05-1447(H) Time 13.29.10                                      
Reference ILC-0840-25-8471                                            
At Bank Aljazira                                                      
</t>
  </si>
  <si>
    <t xml:space="preserve">Dr TI LGI Commission (Unearned)                                       
ISS001-276954603                                                      
At Bank AlJazira                                                      
CORPORATE BANKING DEPT-JEDDAH                                         
Date 07-05-1447(H) Time 14.30.06                                      
Reference ILC-0840-25-8470                                            
</t>
  </si>
  <si>
    <t xml:space="preserve">Value Added Tax                                                       
On ILC Commission                                                     
15% of SAR1,157.66                                                    
Through CORPORATE BANKING DEPT-JEDDAH                                 
Date 07-05-1447(H) Time 14.30.07                                      
Reference ILC-0840-25-8470                                            
At Bank Aljazira                                                      
</t>
  </si>
  <si>
    <t xml:space="preserve">Dr TI ILC Comm/Other Charges                                          
ISS001-276954605                                                      
At Bank Aljazira                                                      
 CORPORATE BANKING DEPT-JEDDAH                                        
Date 07-05-1447(H) Time 14.30.07                                      
Reference ILC-0840-25-8470                                            
Value Date 07-05-1447(H)                                              
Fee Collected By Bank AlJazira                                        
</t>
  </si>
  <si>
    <t xml:space="preserve">Value Added Tax                                                       
On ILC SWIFT/Telex Charges                                            
15% of SAR750.00                                                      
Through CORPORATE BANKING DEPT-JEDDAH                                 
Date 07-05-1447(H) Time 14.30.07                                      
Reference ILC-0840-25-8470                                            
At Bank Aljazira                                                      
</t>
  </si>
  <si>
    <t xml:space="preserve">Dr TI ILC Comm/Other Charges                                          
ISS001-276954607                                                      
At Bank Aljazira                                                      
 CORPORATE BANKING DEPT-JEDDAH                                        
Date 07-05-1447(H) Time 14.30.07                                      
Reference ILC-0840-25-8470                                            
Value Date 07-05-1447(H)                                              
Fee Collected By Bank AlJazira                                        
</t>
  </si>
  <si>
    <t xml:space="preserve">Value Added Tax                                                       
On LC PROCESSING FEE                                                  
15% of SAR460.36                                                      
Through CORPORATE BANKING DEPT-JEDDAH                                 
Date 07-05-1447(H) Time 14.30.08                                      
Reference ILC-0840-25-8470                                            
At Bank Aljazira                                                      
</t>
  </si>
  <si>
    <t xml:space="preserve">Dr TI ILC Comm/Other Charges                                          
ISS001-276957572                                                      
At Bank Aljazira                                                      
 CORPORATE BANKING DEPT-JEDDAH                                        
Date 07-05-1447(H) Time 14.30.08                                      
Reference ILC-0840-25-8470                                            
Value Date 07-05-1447(H)                                              
Fee Collected By Bank AlJazira                                        
</t>
  </si>
  <si>
    <t xml:space="preserve">Value Added Tax                                                       
On ILC Postal/DHL Charges                                             
15% of SAR75.00                                                       
Through CORPORATE BANKING DEPT-JEDDAH                                 
Date 07-05-1447(H) Time 14.30.08                                      
Reference ILC-0840-25-8470                                            
At Bank Aljazira                                                      
</t>
  </si>
  <si>
    <t xml:space="preserve">Dr TI LGI Commission (Unearned)                                       
ISS001-276961609                                                      
At Bank AlJazira                                                      
CORPORATE BANKING DEPT-JEDDAH                                         
Date 07-05-1447(H) Time 14.31.46                                      
Reference ILC-0840-25-8473                                            
</t>
  </si>
  <si>
    <t xml:space="preserve">Value Added Tax                                                       
On ILC Commission                                                     
15% of SAR705.70                                                      
Through CORPORATE BANKING DEPT-JEDDAH                                 
Date 07-05-1447(H) Time 14.31.46                                      
Reference ILC-0840-25-8473                                            
At Bank Aljazira                                                      
</t>
  </si>
  <si>
    <t xml:space="preserve">Dr TI ILC Comm/Other Charges                                          
ISS001-276961611                                                      
At Bank Aljazira                                                      
 CORPORATE BANKING DEPT-JEDDAH                                        
Date 07-05-1447(H) Time 14.31.46                                      
Reference ILC-0840-25-8473                                            
Value Date 07-05-1447(H)                                              
Fee Collected By Bank AlJazira                                        
</t>
  </si>
  <si>
    <t xml:space="preserve">Value Added Tax                                                       
On ILC SWIFT/Telex Charges                                            
15% of SAR750.00                                                      
Through CORPORATE BANKING DEPT-JEDDAH                                 
Date 07-05-1447(H) Time 14.31.46                                      
Reference ILC-0840-25-8473                                            
At Bank Aljazira                                                      
</t>
  </si>
  <si>
    <t xml:space="preserve">Dr TI ILC Comm/Other Charges                                          
ISS001-276961613                                                      
At Bank Aljazira                                                      
 CORPORATE BANKING DEPT-JEDDAH                                        
Date 07-05-1447(H) Time 14.31.47                                      
Reference ILC-0840-25-8473                                            
Value Date 07-05-1447(H)                                              
Fee Collected By Bank AlJazira                                        
</t>
  </si>
  <si>
    <t xml:space="preserve">Value Added Tax                                                       
On LC PROCESSING FEE                                                  
15% of SAR125.46                                                      
Through CORPORATE BANKING DEPT-JEDDAH                                 
Date 07-05-1447(H) Time 14.31.47                                      
Reference ILC-0840-25-8473                                            
At Bank Aljazira                                                      
</t>
  </si>
  <si>
    <t xml:space="preserve">Dr TI ILC Comm/Other Charges                                          
ISS001-276961615                                                      
At Bank Aljazira                                                      
 CORPORATE BANKING DEPT-JEDDAH                                        
Date 07-05-1447(H) Time 14.31.47                                      
Reference ILC-0840-25-8473                                            
Value Date 07-05-1447(H)                                              
Fee Collected By Bank AlJazira                                        
</t>
  </si>
  <si>
    <t xml:space="preserve">Value Added Tax                                                       
On ILC Postal/DHL Charges                                             
15% of SAR75.00                                                       
Through CORPORATE BANKING DEPT-JEDDAH                                 
Date 07-05-1447(H) Time 14.31.47                                      
Reference ILC-0840-25-8473                                            
At Bank Aljazira                                                      
</t>
  </si>
  <si>
    <t>JLG6603079</t>
  </si>
  <si>
    <t>JIP - DREDGING WORKS IN APPROACH CHANNELS</t>
  </si>
  <si>
    <t>DCBWPM566637</t>
  </si>
  <si>
    <t xml:space="preserve">CUSTOMER = 3972500 DEAL AMT = 2199.05 DEAL CCY = SAR TAX CODE = 1 </t>
  </si>
  <si>
    <t>TF251040001705</t>
  </si>
  <si>
    <t>LC ACCEPTANCE COMMISSION FOR LC NO. TF251040001705\BNK</t>
  </si>
  <si>
    <t>TF252110008802</t>
  </si>
  <si>
    <t>LC ACCEPTANCE COMMISSION FOR LC NO. TF252110008802\BNK</t>
  </si>
  <si>
    <t>RB REF JLG6603079,VIA CORE SYSTEM,DATE-TIME 30/10-11:51:00, عن طريق النظام الآ لي ,VALUE DT 30/10/25</t>
  </si>
  <si>
    <t>CITY:Jeddah 6132225J210605001</t>
  </si>
  <si>
    <t>J210605001</t>
  </si>
  <si>
    <t>DPBCOR617256WPM DCBWPM558782</t>
  </si>
  <si>
    <t>DPBCOR622776WPM DCBWPM564593</t>
  </si>
  <si>
    <t>IMP BILL COMM DPBEPM625018WPM DCBWPM565818</t>
  </si>
  <si>
    <t>TF2500633009</t>
  </si>
  <si>
    <t xml:space="preserve">TI Bill Settled                                                       
POC004                                                                
At Bank AlJazira                                                      
CORPORATE BANKING DEPT-JEDDAH                                         
Date 08-05-1447(H) Time 09.52.14                                      
Reference ILC-0840-25-8011                                            
</t>
  </si>
  <si>
    <t>ALNAFIE METAL INDUSTRIES CO LTD</t>
  </si>
  <si>
    <t>ISSUANCE</t>
  </si>
  <si>
    <t>SAB - 0.75%</t>
  </si>
  <si>
    <t>FAB - 0.75%</t>
  </si>
  <si>
    <t>FAB - 0.25%</t>
  </si>
  <si>
    <t>Operation, maintenance and cleaning of the Qiblatain Cultural Center Tender No POM-625-25 Project Reference: IFAS-TTD-COM-2265-R00</t>
  </si>
  <si>
    <t>Operation, maintenance and cleaning of the Qiblatain Cultural Center Tender No POM-616-25 Project Reference: IFAS-TTD-COM-2266-R00</t>
  </si>
  <si>
    <t xml:space="preserve">CUSTOMER = 3972500 DEAL AMT = 2500 DEAL CCY = SAR TAX CODE = 1 </t>
  </si>
  <si>
    <t>TF251740007001</t>
  </si>
  <si>
    <t>LC ACCEPTANCE COMMISSION FOR LC NO. TF251740007001\BNK</t>
  </si>
  <si>
    <t>TF251310001101</t>
  </si>
  <si>
    <t>LC SWIFT CHARGES FOR LC NO. TF251310001101\BNK</t>
  </si>
  <si>
    <t>REIMBURSE UNDER LCS DR FOR LC NO. TF251310001101\BNK</t>
  </si>
  <si>
    <t>RB REF JLG6902202,VIA CORE SYSTEM,DATE-TIME 02/11-15:36:35, عن طريق النظام الآ لي ,VALUE DT 02/11/25</t>
  </si>
  <si>
    <t>JLG6902202</t>
  </si>
  <si>
    <t>REF 000000JLC6801573,RB REF JLC6801573,VIA CORE SYSTEM,DATE-TIME 03/11-15:50:55, عن طريق النظام الآ لي ,VALUE DT 03/11/25</t>
  </si>
  <si>
    <t>REF 000000JLC6801271,RB REF JLC6801271,VIA CORE SYSTEM,DATE-TIME 03/11-15:49:06, عن طريق النظام الآ لي ,VALUE DT 03/11/25</t>
  </si>
  <si>
    <t>REF 000000JLC6701731,RB REF JLC6701731,VIA CORE SYSTEM,DATE-TIME 03/11-15:52:27, عن طريق النظام الآ لي ,VALUE DT 03/11/25</t>
  </si>
  <si>
    <t>CITY:Jeddah 6132225J210606001</t>
  </si>
  <si>
    <t>J210606001</t>
  </si>
  <si>
    <t>CITY:Jeddah 6132225J210425003</t>
  </si>
  <si>
    <t>J210425003</t>
  </si>
  <si>
    <t>DPBCOR619290WPM DCBWPM558786</t>
  </si>
  <si>
    <t>IMP BILL COMM DPBCOR625101WPM DCBWPM558768</t>
  </si>
  <si>
    <t>IMP BILL AMEND. CHARGES DPBCOR625046WPM DCBWPM567940</t>
  </si>
  <si>
    <t>IMP BILL AMEND. CHARGES DPBEPM624631WPM DCBWPM563027</t>
  </si>
  <si>
    <t>DPBEPM618331WPM DCBCPM558780</t>
  </si>
  <si>
    <t>DPBCOR617958WPM DCBWPM558776</t>
  </si>
  <si>
    <t>DCBWPM560155 PROJECT FLASH LC BILL BILL COMMISSION</t>
  </si>
  <si>
    <t>DC AMENDMENT COMM CHARGES DCBWPM560155</t>
  </si>
  <si>
    <t>IMP BILL AMEND. CHARGES DPBEPM624827WPM DCBWPM563374</t>
  </si>
  <si>
    <t>IMP BILL AMEND. CHARGES DPBEPM624817WPM DCBWPM563374</t>
  </si>
  <si>
    <t>DPBCOR625046WPM DCBWPM567940</t>
  </si>
  <si>
    <t>DPBCOR621529WPM DCBWPM558787</t>
  </si>
  <si>
    <t>IMP BILL COMM DPBCOR625240WPM DCBWPM565846</t>
  </si>
  <si>
    <t>DPBCOR624918WPM DCBWPM567940</t>
  </si>
  <si>
    <t>IMP BILL RETIRE. CHARGES DPBCOR624918WPM DCBWPM567940</t>
  </si>
  <si>
    <t xml:space="preserve">TI Bill Settled                                                       
POC003                                                                
At Bank AlJazira                                                      
CORPORATE BANKING DEPT-JEDDAH                                         
Date 11-05-1447(H) Time 09.48.39                                      
Reference ILC-0840-25-7980                                            
</t>
  </si>
  <si>
    <t xml:space="preserve">Dr TI ILC Comm/Other Charges                                          
POC004-277268887                                                      
At Bank Aljazira                                                      
 CORPORATE BANKING DEPT-JEDDAH                                        
Date 11-05-1447(H) Time 13.14.29                                      
Reference ILC-0840-25-7982                                            
Value Date 11-05-1447(H)                                              
Fee Collected By Bank AlJazira                                        
</t>
  </si>
  <si>
    <t xml:space="preserve">Value Added Tax                                                       
On ILC Acceptance Comm.                                               
15% of SAR100.00                                                      
Through CORPORATE BANKING DEPT-JEDDAH                                 
Date 11-05-1447(H) Time 13.14.29                                      
Reference ILC-0840-25-7982                                            
At Bank Aljazira                                                      
</t>
  </si>
  <si>
    <t xml:space="preserve">Dr TI ILC Comm/Other Charges                                          
POC004-277268942                                                      
At Bank Aljazira                                                      
 CORPORATE BANKING DEPT-JEDDAH                                        
Date 11-05-1447(H) Time 13.14.29                                      
Reference ILC-0840-25-7982                                            
Value Date 11-05-1447(H)                                              
Fee Collected By Bank AlJazira                                        
</t>
  </si>
  <si>
    <t xml:space="preserve">Value Added Tax                                                       
On ILC Acceptance Comm.                                               
15% of SAR250.00                                                      
Through CORPORATE BANKING DEPT-JEDDAH                                 
Date 11-05-1447(H) Time 13.14.30                                      
Reference ILC-0840-25-7982                                            
At Bank Aljazira                                                      
</t>
  </si>
  <si>
    <t xml:space="preserve">Dr TI ILC Comm/Other Charges                                          
POC004-277268944                                                      
At Bank Aljazira                                                      
 CORPORATE BANKING DEPT-JEDDAH                                        
Date 11-05-1447(H) Time 13.14.30                                      
Reference ILC-0840-25-7982                                            
Value Date 11-05-1447(H)                                              
Fee Collected By Bank AlJazira                                        
</t>
  </si>
  <si>
    <t xml:space="preserve">Value Added Tax                                                       
On SWIFT charges                                                      
15% of SAR200.00                                                      
Through CORPORATE BANKING DEPT-JEDDAH                                 
Date 11-05-1447(H) Time 13.14.30                                      
Reference ILC-0840-25-7982                                            
At Bank Aljazira                                                      
</t>
  </si>
  <si>
    <t xml:space="preserve">Dr TI ILC Comm/Other Charges                                          
AMD005-277343846                                                      
At Bank Aljazira                                                      
 CORPORATE BANKING DEPT-JEDDAH                                        
Date 11-05-1447(H) Time 16.22.18                                      
Reference ILC-0840-25-7173                                            
Value Date 11-05-1447(H)                                              
Fee Collected By Bank AlJazira                                        
</t>
  </si>
  <si>
    <t xml:space="preserve">Value Added Tax                                                       
On ILC Commission                                                     
15% of SAR1,623.40                                                    
Through CORPORATE BANKING DEPT-JEDDAH                                 
Date 11-05-1447(H) Time 16.22.18                                      
Reference ILC-0840-25-7173                                            
At Bank Aljazira                                                      
Exchange Rate 1.0                                                     
</t>
  </si>
  <si>
    <t xml:space="preserve">Dr TI ILC Comm/Other Charges                                          
AMD005-277343848                                                      
At Bank Aljazira                                                      
 CORPORATE BANKING DEPT-JEDDAH                                        
Exchange Rate 1.0                                                     
Date 11-05-1447(H) Time 16.22.19                                      
Reference ILC-0840-25-7173                                            
Value Date 11-05-1447(H)                                              
Fee Collected By Bank AlJazira                                        
</t>
  </si>
  <si>
    <t xml:space="preserve">Value Added Tax                                                       
On SWIFT charges                                                      
15% of SAR400.00                                                      
Through CORPORATE BANKING DEPT-JEDDAH                                 
Date 11-05-1447(H) Time 16.22.19                                      
Reference ILC-0840-25-7173                                            
At Bank Aljazira                                                      
</t>
  </si>
  <si>
    <t xml:space="preserve">Dr TI ILC Comm/Other Charges                                          
AMD004-277342347                                                      
At Bank Aljazira                                                      
 CORPORATE BANKING DEPT-JEDDAH                                        
Exchange Rate 1.0                                                     
Date 11-05-1447(H) Time 16.22.52                                      
Reference ILC-0840-25-7269                                            
Value Date 11-05-1447(H)                                              
Fee Collected By Bank AlJazira                                        
</t>
  </si>
  <si>
    <t xml:space="preserve">Value Added Tax                                                       
On ILC Commission                                                     
15% of SAR500.00                                                      
Through CORPORATE BANKING DEPT-JEDDAH                                 
Date 11-05-1447(H) Time 16.22.52                                      
Reference ILC-0840-25-7269                                            
At Bank Aljazira                                                      
Exchange Rate 1.0                                                     
</t>
  </si>
  <si>
    <t xml:space="preserve">Dr TI ILC Comm/Other Charges                                          
AMD004-277342349                                                      
At Bank Aljazira                                                      
 CORPORATE BANKING DEPT-JEDDAH                                        
Exchange Rate 1.0                                                     
Date 11-05-1447(H) Time 16.22.53                                      
Reference ILC-0840-25-7269                                            
Value Date 11-05-1447(H)                                              
Fee Collected By Bank AlJazira                                        
</t>
  </si>
  <si>
    <t xml:space="preserve">Value Added Tax                                                       
On SWIFT charges                                                      
15% of SAR400.00                                                      
Through CORPORATE BANKING DEPT-JEDDAH                                 
Date 11-05-1447(H) Time 16.22.53                                      
Reference ILC-0840-25-7269                                            
At Bank Aljazira                                                      
Exchange Rate 1.0                                                     
</t>
  </si>
  <si>
    <t xml:space="preserve">Dr TI ILC Comm/Other Charges                                          
AMD003-277340898                                                      
At Bank Aljazira                                                      
 CORPORATE BANKING DEPT-JEDDAH                                        
Exchange Rate 1.0                                                     
Date 11-05-1447(H) Time 16.23.10                                      
Reference ILC-0840-25-7517                                            
Value Date 11-05-1447(H)                                              
Fee Collected By Bank AlJazira                                        
</t>
  </si>
  <si>
    <t xml:space="preserve">Value Added Tax                                                       
On ILC Commission                                                     
15% of SAR884.44                                                      
Through CORPORATE BANKING DEPT-JEDDAH                                 
Date 11-05-1447(H) Time 16.23.11                                      
Reference ILC-0840-25-7517                                            
At Bank Aljazira                                                      
Exchange Rate 1.0                                                     
</t>
  </si>
  <si>
    <t xml:space="preserve">Dr TI ILC Comm/Other Charges                                          
AMD003-277340900                                                      
At Bank Aljazira                                                      
 CORPORATE BANKING DEPT-JEDDAH                                        
Exchange Rate 1.0                                                     
Date 11-05-1447(H) Time 16.23.11                                      
Reference ILC-0840-25-7517                                            
Value Date 11-05-1447(H)                                              
Fee Collected By Bank AlJazira                                        
</t>
  </si>
  <si>
    <t xml:space="preserve">Value Added Tax                                                       
On SWIFT charges                                                      
15% of SAR400.00                                                      
Through CORPORATE BANKING DEPT-JEDDAH                                 
Date 11-05-1447(H) Time 16.23.12                                      
Reference ILC-0840-25-7517                                            
At Bank Aljazira                                                      
Exchange Rate 1.0                                                     
</t>
  </si>
  <si>
    <t xml:space="preserve">Dr TI ILC Comm/Other Charges                                          
AMD002-277339887                                                      
At Bank Aljazira                                                      
 CORPORATE BANKING DEPT-JEDDAH                                        
Date 11-05-1447(H) Time 16.23.20                                      
Reference ILC-0840-25-7736                                            
Value Date 11-05-1447(H)                                              
Fee Collected By Bank AlJazira                                        
</t>
  </si>
  <si>
    <t xml:space="preserve">Value Added Tax                                                       
On ILC Commission                                                     
15% of SAR500.00                                                      
Through CORPORATE BANKING DEPT-JEDDAH                                 
Date 11-05-1447(H) Time 16.23.20                                      
Reference ILC-0840-25-7736                                            
At Bank Aljazira                                                      
</t>
  </si>
  <si>
    <t xml:space="preserve">Dr TI ILC Comm/Other Charges                                          
AMD002-277339889                                                      
At Bank Aljazira                                                      
 CORPORATE BANKING DEPT-JEDDAH                                        
Date 11-05-1447(H) Time 16.23.20                                      
Reference ILC-0840-25-7736                                            
Value Date 11-05-1447(H)                                              
Fee Collected By Bank AlJazira                                        
</t>
  </si>
  <si>
    <t xml:space="preserve">Value Added Tax                                                       
On SWIFT charges                                                      
15% of SAR400.00                                                      
Through CORPORATE BANKING DEPT-JEDDAH                                 
Date 11-05-1447(H) Time 16.23.21                                      
Reference ILC-0840-25-7736                                            
At Bank Aljazira                                                      
</t>
  </si>
  <si>
    <t xml:space="preserve">Dr TI ILC Comm/Other Charges                                          
AMD002-277344485                                                      
At Bank Aljazira                                                      
 CORPORATE BANKING DEPT-JEDDAH                                        
Date 11-05-1447(H) Time 16.23.32                                      
Reference ILC-0840-25-7799                                            
Value Date 11-05-1447(H)                                              
Fee Collected By Bank AlJazira                                        
</t>
  </si>
  <si>
    <t xml:space="preserve">Value Added Tax                                                       
On ILC Commission                                                     
15% of SAR1,277.12                                                    
Through CORPORATE BANKING DEPT-JEDDAH                                 
Date 11-05-1447(H) Time 16.23.32                                      
Reference ILC-0840-25-7799                                            
At Bank Aljazira                                                      
</t>
  </si>
  <si>
    <t xml:space="preserve">Dr TI ILC Comm/Other Charges                                          
AMD002-277344487                                                      
At Bank Aljazira                                                      
 CORPORATE BANKING DEPT-JEDDAH                                        
Date 11-05-1447(H) Time 16.23.32                                      
Reference ILC-0840-25-7799                                            
Value Date 11-05-1447(H)                                              
Fee Collected By Bank AlJazira                                        
</t>
  </si>
  <si>
    <t xml:space="preserve">Value Added Tax                                                       
On SWIFT charges                                                      
15% of SAR400.00                                                      
Through CORPORATE BANKING DEPT-JEDDAH                                 
Date 11-05-1447(H) Time 16.23.32                                      
Reference ILC-0840-25-7799                                            
At Bank Aljazira                                                      
</t>
  </si>
  <si>
    <t xml:space="preserve">TI Bill Settled                                                       
POC002                                                                
At Bank AlJazira                                                      
CORPORATE BANKING DEPT-JEDDAH                                         
Date 12-05-1447(H) Time 10.24.37                                      
Reference ILC-0840-25-7737                                            
</t>
  </si>
  <si>
    <t xml:space="preserve">Dr TI LGI Commission (Earned)                                         
ISS001-273818000                                                      
At Bank AlJazira                                                      
CORPORATE BANKING DEPT-JEDDAH                                         
Date 10-04-1447(H) Time 11.15.48                                      
Reference LGI-0840-25-6611                                            
</t>
  </si>
  <si>
    <t xml:space="preserve">Value Added Tax                                                       
On LGI ISSUANCE COMMISSION                                            
15% of SAR9,375.00                                                    
Through CORPORATE BANKING DEPT-JEDDAH                                 
Date 10-04-1447(H) Time 11.15.48                                      
Reference LGI-0840-25-6611                                            
At Bank Aljazira                                                      
Exchange Rate 1.0                                                     
</t>
  </si>
  <si>
    <t xml:space="preserve">Dr TI LGI Comm/Other Charges                                          
ISS001-273818002                                                      
At Bank AlJazira                                                      
CORPORATE BANKING DEPT-JEDDAH                                         
Date 10-04-1447(H) Time 11.15.49                                      
Reference LGI-0840-25-6611                                            
</t>
  </si>
  <si>
    <t xml:space="preserve">Value Added Tax                                                       
On LG Processing/Facility Fees                                        
15% of SAR26,027.40                                                   
Through CORPORATE BANKING DEPT-JEDDAH                                 
Date 10-04-1447(H) Time 11.15.49                                      
Reference LGI-0840-25-6611                                            
At Bank Aljazira                                                      
Exchange Rate 1.0                                                     
</t>
  </si>
  <si>
    <t xml:space="preserve">Dr TI LGI Commission (Earned)                                         
ISS001-274512749                                                      
At Bank AlJazira                                                      
CORPORATE BANKING DEPT-JEDDAH                                         
Date 16-04-1447(H) Time 17.32.59                                      
Reference LGI-0840-25-6682                                            
</t>
  </si>
  <si>
    <t xml:space="preserve">Value Added Tax                                                       
On LGI ISSUANCE COMMISSION                                            
15% of SAR6,718.75                                                    
Through CORPORATE BANKING DEPT-JEDDAH                                 
Date 16-04-1447(H) Time 17.33.00                                      
Reference LGI-0840-25-6682                                            
At Bank Aljazira                                                      
Exchange Rate 1.0                                                     
</t>
  </si>
  <si>
    <t xml:space="preserve">Dr TI LGI Comm/Other Charges                                          
ISS001-274512855                                                      
At Bank AlJazira                                                      
CORPORATE BANKING DEPT-JEDDAH                                         
Date 16-04-1447(H) Time 17.33.00                                      
Reference LGI-0840-25-6682                                            
</t>
  </si>
  <si>
    <t xml:space="preserve">Value Added Tax                                                       
On LG Processing/Facility Fees                                        
15% of SAR14,808.22                                                   
Through CORPORATE BANKING DEPT-JEDDAH                                 
Date 16-04-1447(H) Time 17.33.01                                      
Reference LGI-0840-25-6682                                            
At Bank Aljazira                                                      
Exchange Rate 1.0                                                     
</t>
  </si>
  <si>
    <t xml:space="preserve">Dr TI LGI Comm/Other Charges                                          
ISS001-274746884                                                      
At Bank AlJazira                                                      
CORPORATE BANKING DEPT-JEDDAH                                         
Date 20-04-1447(H) Time 16.00.32                                      
Reference LGI-0840-25-6701                                            
</t>
  </si>
  <si>
    <t xml:space="preserve">Value Added Tax                                                       
On LG Processing/Facility Fees                                        
15% of SAR97,602.74                                                   
Through CORPORATE BANKING DEPT-JEDDAH                                 
Date 20-04-1447(H) Time 16.00.32                                      
Reference LGI-0840-25-6701                                            
At Bank Aljazira                                                      
Exchange Rate 1.0                                                     
</t>
  </si>
  <si>
    <t xml:space="preserve">Dr TI LGI Commission (Earned)                                         
ISS001-277535120                                                      
At Bank AlJazira                                                      
CORPORATE BANKING DEPT-JEDDAH                                         
Date 13-05-1447(H) Time 13.28.21                                      
Reference LGI-0840-25-6932                                            
</t>
  </si>
  <si>
    <t xml:space="preserve">Value Added Tax                                                       
On LGI ISSUANCE COMMISSION                                            
15% of SAR42,500.00                                                   
Through CORPORATE BANKING DEPT-JEDDAH                                 
Date 13-05-1447(H) Time 13.28.22                                      
Reference LGI-0840-25-6932                                            
At Bank Aljazira                                                      
Exchange Rate 1.0                                                     
</t>
  </si>
  <si>
    <t xml:space="preserve">Dr TI LGI Comm/Other Charges                                          
ISS001-277535122                                                      
At Bank AlJazira                                                      
CORPORATE BANKING DEPT-JEDDAH                                         
Date 13-05-1447(H) Time 13.28.22                                      
Reference LGI-0840-25-6932                                            
</t>
  </si>
  <si>
    <t xml:space="preserve">Value Added Tax                                                       
On LG Processing/Facility Fees                                        
15% of SAR86,164.38                                                   
Through CORPORATE BANKING DEPT-JEDDAH                                 
Date 13-05-1447(H) Time 13.28.23                                      
Reference LGI-0840-25-6932                                            
At Bank Aljazira                                                      
Exchange Rate 1.0                                                     
</t>
  </si>
  <si>
    <t>TF251350001801</t>
  </si>
  <si>
    <t>LC SWIFT CHARGES FOR LC NO. TF251350001801\BNK</t>
  </si>
  <si>
    <t>REIMBURSE UNDER LCS DR FOR LC NO. TF251350001801\BNK</t>
  </si>
  <si>
    <t>TF251350003201</t>
  </si>
  <si>
    <t>LC SWIFT CHARGES FOR LC NO. TF251350003201\BNK</t>
  </si>
  <si>
    <t>REIMBURSE UNDER LCS DR FOR LC NO. TF251350003201\BNK</t>
  </si>
  <si>
    <t>TF251460006701</t>
  </si>
  <si>
    <t>LC SWIFT CHARGES FOR LC NO. TF251460006701\BNK</t>
  </si>
  <si>
    <t>REIMBURSE UNDER LCS DR FOR LC NO. TF251460006701\BNK</t>
  </si>
  <si>
    <t>TF251470006401</t>
  </si>
  <si>
    <t>LC SWIFT CHARGES FOR LC NO. TF251470006401\BNK</t>
  </si>
  <si>
    <t>REIMBURSE UNDER LCS DR FOR LC NO. TF251470006401\BNK</t>
  </si>
  <si>
    <t>TF251740006201</t>
  </si>
  <si>
    <t>LC SWIFT CHARGES FOR LC NO. TF251740006201\BNK</t>
  </si>
  <si>
    <t>REIMBURSE UNDER LCS DR FOR LC NO. TF251740006201\BNK</t>
  </si>
  <si>
    <t>CITY:Jeddah 6132225J210096015 955403.55 SAR</t>
  </si>
  <si>
    <t>J210096015</t>
  </si>
  <si>
    <t>CITY:Jeddah 6132225J210096014 330693.49 SAR</t>
  </si>
  <si>
    <t>J210096014</t>
  </si>
  <si>
    <t>IMP BILL COMM DPBCOR625317WPM DCBWPM563046</t>
  </si>
  <si>
    <t>IMP BILL AMEND. CHARGES DPBCOR625089WPM DCBWPM565536</t>
  </si>
  <si>
    <t>IMP BILL COMM DPBCOR625351WPM DCBWPM564579</t>
  </si>
  <si>
    <t>IMP BILL COMM DPBEPM625354WPM DCBWPM565818</t>
  </si>
  <si>
    <t>LGI-0840-25-6932</t>
  </si>
  <si>
    <t>JLG6904263</t>
  </si>
  <si>
    <t>JLG6904264</t>
  </si>
  <si>
    <t>Iconic Terminal - Mass Excavation Works (KSIA-TEN-0000094)</t>
  </si>
  <si>
    <t>RB REF JLG6904264,VIA CORE SYSTEM,DATE-TIME 05/11-12:15:12, عن طريق النظام الآ لي ,VALUE DT 05/11/25</t>
  </si>
  <si>
    <t>RB REF JLG6904263,VIA CORE SYSTEM,DATE-TIME 05/11-12:08:57, عن طريق النظام الآ لي ,VALUE DT 05/11/25</t>
  </si>
  <si>
    <t>CITY:Jeddah 6132225J210104001</t>
  </si>
  <si>
    <t>J210104001</t>
  </si>
  <si>
    <t>CITY:Jeddah 6132225J210617002</t>
  </si>
  <si>
    <t>J210617002</t>
  </si>
  <si>
    <t xml:space="preserve">TI Bill Settled                                                       
POC005                                                                
At Bank AlJazira                                                      
CORPORATE BANKING DEPT-JEDDAH                                         
Date 14-05-1447(H) Time 09.26.48                                      
Reference ILC-0840-25-8159                                            
</t>
  </si>
  <si>
    <t>Hamada Decoration Company</t>
  </si>
  <si>
    <t>J211485</t>
  </si>
  <si>
    <t>AI-Hadbania Trading Co.</t>
  </si>
  <si>
    <t>Mohammad Saleh Bahareth co.</t>
  </si>
  <si>
    <t>124</t>
  </si>
  <si>
    <t>Presentation No 2 is internal. Hence No Presentation</t>
  </si>
  <si>
    <t>Under Collection - TF2530200031</t>
  </si>
  <si>
    <t>JLC6901431_Cash</t>
  </si>
  <si>
    <t>TF2531400014</t>
  </si>
  <si>
    <t>LC SWIFT CHARGES FOR LC NO. TF251040001703\BNK</t>
  </si>
  <si>
    <t>REIMBURSE UNDER LCS DR FOR LC NO. TF251040001703\BNK</t>
  </si>
  <si>
    <t>LC SWIFT CHARGES FOR LC NO. TF251040001704\BNK</t>
  </si>
  <si>
    <t>REIMBURSE UNDER LCS DR FOR LC NO. TF251040001704\BNK</t>
  </si>
  <si>
    <t xml:space="preserve">CUSTOMER = 3972500 DEAL AMT = 500.00 DEAL CCY = SAR TAX CODE = 1 </t>
  </si>
  <si>
    <t>LC SWIFT CHARGES FOR LC NO. TF2514700033\BNK</t>
  </si>
  <si>
    <t>LC AMENDMENT COMMISSION FOR LC NO. TF2514700033\BNK</t>
  </si>
  <si>
    <t>LC SWIFT CHARGES FOR LC NO. TF2514700037\BNK</t>
  </si>
  <si>
    <t>LC AMENDMENT COMMISSION FOR LC NO. TF2514700037\BNK</t>
  </si>
  <si>
    <t>LC SWIFT CHARGES FOR LC NO. TF2514700051\BNK</t>
  </si>
  <si>
    <t>LC AMENDMENT COMMISSION FOR LC NO. TF2514700051\BNK</t>
  </si>
  <si>
    <t>LC SWIFT CHARGES FOR LC NO. TF2517400019\BNK</t>
  </si>
  <si>
    <t>LC AMENDMENT COMMISSION FOR LC NO. TF2517400019\BNK</t>
  </si>
  <si>
    <t>LC SWIFT CHARGES FOR LC NO. TF2517400045\BNK</t>
  </si>
  <si>
    <t>LC AMENDMENT COMMISSION FOR LC NO. TF2517400045\BNK</t>
  </si>
  <si>
    <t xml:space="preserve">CUSTOMER = 3972500 DEAL AMT = 1152.63 DEAL CCY = SAR TAX CODE = 1 </t>
  </si>
  <si>
    <t>LC SWIFT CHARGES FOR LC NO. TF2517400098\BNK</t>
  </si>
  <si>
    <t>LC AMENDMENT COMMISSION FOR LC NO. TF2517400098\BNK</t>
  </si>
  <si>
    <t>LC SWIFT CHARGES FOR LC NO. TF2517700028\BNK</t>
  </si>
  <si>
    <t>LC AMENDMENT COMMISSION FOR LC NO. TF2517700028\BNK</t>
  </si>
  <si>
    <t>LC SWIFT CHARGES FOR LC NO. TF2517700087\BNK</t>
  </si>
  <si>
    <t>LC AMENDMENT COMMISSION FOR LC NO. TF2517700087\BNK</t>
  </si>
  <si>
    <t>LC SWIFT CHARGES FOR LC NO. TF2521100048\BNK</t>
  </si>
  <si>
    <t>LC AMENDMENT COMMISSION FOR LC NO. TF2521100048\BNK</t>
  </si>
  <si>
    <t xml:space="preserve">CUSTOMER = 3972500 DEAL AMT = 625.00 DEAL CCY = SAR TAX CODE = 1 </t>
  </si>
  <si>
    <t>LC SWIFT CHARGES FOR LC NO. TF2521100101\BNK</t>
  </si>
  <si>
    <t>LC AMENDMENT COMMISSION FOR LC NO. TF2521100101\BNK</t>
  </si>
  <si>
    <t>RB REF JLG6903586,VIA CORE SYSTEM,DATE-TIME 06/11-16:49:03, عن طريق النظام الآ لي ,VALUE DT 06/11/25</t>
  </si>
  <si>
    <t>RB REF JLG6800803,VIA CORE SYSTEM,DATE-TIME 09/11-17:25:02, عن طريق النظام الآ لي ,VALUE DT 09/11/25</t>
  </si>
  <si>
    <t>REF 000000JLC6701731,RB REF JLC6701731,VIA CORE SYSTEM,DATE-TIME 09/11-13:32:01, عن طريق النظام الآ لي ,VALUE DT 09/11/25</t>
  </si>
  <si>
    <t>CITY:Jeddah 6132225J211485000</t>
  </si>
  <si>
    <t>J211485000</t>
  </si>
  <si>
    <t>CITY:Jeddah 6132225J210617003</t>
  </si>
  <si>
    <t>J210617003</t>
  </si>
  <si>
    <t>DPBCOR622156WPM DCBWPM563824</t>
  </si>
  <si>
    <t>IMP BILL AMEND. CHARGES DPBCOR625255WPM DCBWPM563025</t>
  </si>
  <si>
    <t>IMP BILL COMM DPBCOR625565WPM DCBWPM563695</t>
  </si>
  <si>
    <t>IMP BILL COMM DPBEPM625553WPM DCBWPM566643</t>
  </si>
  <si>
    <t>DPBCOR621520WPM DCBWPM558775</t>
  </si>
  <si>
    <t>IMP BILL AMEND. CHARGES DPBCOR625341WPM DCBWPM563030</t>
  </si>
  <si>
    <t>IMP BILL AMEND. CHARGES DPBEPM625540WPM DCBWPM562728</t>
  </si>
  <si>
    <t>DPBCOR621114WPM DCBWPM558763</t>
  </si>
  <si>
    <t>DPBEPM622962WPM DCBWPM553955</t>
  </si>
  <si>
    <t>IMP BILL COMM DPBCOR625589WPM DCBWPM564584</t>
  </si>
  <si>
    <t>TF251323300104</t>
  </si>
  <si>
    <t>123</t>
  </si>
  <si>
    <t>Issuance</t>
  </si>
  <si>
    <t>Sent to Shareef Sir | Payment term 90 Days from Inv Date</t>
  </si>
  <si>
    <t>TF2531600062</t>
  </si>
  <si>
    <t>TF2531600053</t>
  </si>
  <si>
    <t>TF2531600056</t>
  </si>
  <si>
    <t>B310111</t>
  </si>
  <si>
    <t>Osalas GMBH</t>
  </si>
  <si>
    <t>to bank on 23-11 | Extn 04-03-26</t>
  </si>
  <si>
    <t>JLC6901617_Cash</t>
  </si>
  <si>
    <t>Debits</t>
  </si>
  <si>
    <t>Credits</t>
  </si>
  <si>
    <t>Prepared By:</t>
  </si>
  <si>
    <t>_____________________</t>
  </si>
  <si>
    <t>Debit / Credit Notes</t>
  </si>
  <si>
    <t>LC SWIFT CHARGES FOR LC NO. TF2502300034\BNK</t>
  </si>
  <si>
    <t>LC OPENING COMMISSION - DEBIT FOR LC NO. TF2502300034\BNK</t>
  </si>
  <si>
    <t>LC SWIFT CHARGES FOR LC NO. TF2508300056\BNK</t>
  </si>
  <si>
    <t>LC AMENDMENT COMMISSION FOR LC NO. TF2508300056\BNK</t>
  </si>
  <si>
    <t>LC SWIFT CHARGES FOR LC NO. TF2509900019\BNK</t>
  </si>
  <si>
    <t>LC AMENDMENT COMMISSION FOR LC NO. TF2509900019\BNK</t>
  </si>
  <si>
    <t>LC SWIFT CHARGES FOR LC NO. TF2513100027\BNK</t>
  </si>
  <si>
    <t>LC AMENDMENT COMMISSION FOR LC NO. TF2513100027\BNK</t>
  </si>
  <si>
    <t>LC SWIFT CHARGES FOR LC NO. TF2513500019\BNK</t>
  </si>
  <si>
    <t>LC AMENDMENT COMMISSION FOR LC NO. TF2513500019\BNK</t>
  </si>
  <si>
    <t>LC SWIFT CHARGES FOR LC NO. TF2513500034\BNK</t>
  </si>
  <si>
    <t>LC AMENDMENT COMMISSION FOR LC NO. TF2513500034\BNK</t>
  </si>
  <si>
    <t>LC SWIFT CHARGES FOR LC NO. TF2514600059\BNK</t>
  </si>
  <si>
    <t>LC AMENDMENT COMMISSION FOR LC NO. TF2514600059\BNK</t>
  </si>
  <si>
    <t>LC SWIFT CHARGES FOR LC NO. TF2514700025\BNK</t>
  </si>
  <si>
    <t>LC AMENDMENT COMMISSION FOR LC NO. TF2514700025\BNK</t>
  </si>
  <si>
    <t xml:space="preserve">CUSTOMER = 3972500 DEAL AMT = 100.00 DEAL CCY = SAR TAX CODE = 1 </t>
  </si>
  <si>
    <t>TF2530200031</t>
  </si>
  <si>
    <t>TF253020003101</t>
  </si>
  <si>
    <t>LC SWIFT CHARGES FOR LC NO. TF253020003101\BNK</t>
  </si>
  <si>
    <t xml:space="preserve">CUSTOMER = 3972500 DEAL AMT = 750.00 DEAL CCY = SAR TAX CODE = 1 </t>
  </si>
  <si>
    <t>LC INWARD COLLECTION FEE FOR LC NO. TF253020003101\BNK</t>
  </si>
  <si>
    <t>REIMBURSE UNDER LCS DR FOR LC NO. TF253020003101\BNK</t>
  </si>
  <si>
    <t xml:space="preserve">CUSTOMER = 3972500 DEAL AMT = 118000.00 DEAL CCY = SAR TAX CODE = 1 </t>
  </si>
  <si>
    <t>LC SWIFT CHARGES FOR LC NO. TF2531400014\BNK</t>
  </si>
  <si>
    <t>LC OPENING COMMISSION - DEBIT FOR LC NO. TF2531400014\BNK</t>
  </si>
  <si>
    <t>TF251470003001</t>
  </si>
  <si>
    <t>LC SWIFT CHARGES FOR LC NO. TF251470003001\BNK</t>
  </si>
  <si>
    <t>REIMBURSE UNDER LCS DR FOR LC NO. TF251470003001\BNK</t>
  </si>
  <si>
    <t xml:space="preserve">CUSTOMER = 3972500 DEAL AMT = 2065.54 DEAL CCY = SAR TAX CODE = 1 </t>
  </si>
  <si>
    <t>LC SWIFT CHARGES FOR LC NO. TF2531600053\BNK</t>
  </si>
  <si>
    <t>LC OPENING COMMISSION - DEBIT FOR LC NO. TF2531600053\BNK</t>
  </si>
  <si>
    <t xml:space="preserve">CUSTOMER = 3972500 DEAL AMT = 1206.32 DEAL CCY = SAR TAX CODE = 1 </t>
  </si>
  <si>
    <t>LC SWIFT CHARGES FOR LC NO. TF2531600056\BNK</t>
  </si>
  <si>
    <t>LC OPENING COMMISSION - DEBIT FOR LC NO. TF2531600056\BNK</t>
  </si>
  <si>
    <t xml:space="preserve">CUSTOMER = 3972500 DEAL AMT = 4858.79 DEAL CCY = SAR TAX CODE = 1 </t>
  </si>
  <si>
    <t>LC SWIFT CHARGES FOR LC NO. TF2531600062\BNK</t>
  </si>
  <si>
    <t>LC OPENING COMMISSION - DEBIT FOR LC NO. TF2531600062\BNK</t>
  </si>
  <si>
    <t>TF250830004701</t>
  </si>
  <si>
    <t>LC SWIFT CHARGES FOR LC NO. TF250830004701\BNK</t>
  </si>
  <si>
    <t>REIMBURSE UNDER LCS DR FOR LC NO. TF250830004701\BNK</t>
  </si>
  <si>
    <t>TF251350003901</t>
  </si>
  <si>
    <t>LC SWIFT CHARGES FOR LC NO. TF251350003901\BNK</t>
  </si>
  <si>
    <t>REIMBURSE UNDER LCS DR FOR LC NO. TF251350003901\BNK</t>
  </si>
  <si>
    <t>TF251470003002</t>
  </si>
  <si>
    <t>LC SWIFT CHARGES FOR LC NO. TF251470003002\BNK</t>
  </si>
  <si>
    <t>REIMBURSE UNDER LCS DR FOR LC NO. TF251470003002\BNK</t>
  </si>
  <si>
    <t>TF251470003701</t>
  </si>
  <si>
    <t>LC SWIFT CHARGES FOR LC NO. TF251470003701\BNK</t>
  </si>
  <si>
    <t>REIMBURSE UNDER LCS DR FOR LC NO. TF251470003701\BNK</t>
  </si>
  <si>
    <t>TF251470004601</t>
  </si>
  <si>
    <t>LC SWIFT CHARGES FOR LC NO. TF251470004601\BNK</t>
  </si>
  <si>
    <t>REIMBURSE UNDER LCS DR FOR LC NO. TF251470004601\BNK</t>
  </si>
  <si>
    <t>TF251740001701</t>
  </si>
  <si>
    <t>LC SWIFT CHARGES FOR LC NO. TF251740001701\BNK</t>
  </si>
  <si>
    <t>REIMBURSE UNDER LCS DR FOR LC NO. TF251740001701\BNK</t>
  </si>
  <si>
    <t>TF251740003001</t>
  </si>
  <si>
    <t>LC SWIFT CHARGES FOR LC NO. TF251740003001\BNK</t>
  </si>
  <si>
    <t>REIMBURSE UNDER LCS DR FOR LC NO. TF251740003001\BNK</t>
  </si>
  <si>
    <t>TF251740004401</t>
  </si>
  <si>
    <t>LC SWIFT CHARGES FOR LC NO. TF251740004401\BNK</t>
  </si>
  <si>
    <t>REIMBURSE UNDER LCS DR FOR LC NO. TF251740004401\BNK</t>
  </si>
  <si>
    <t>TF251770003501</t>
  </si>
  <si>
    <t>LC SWIFT CHARGES FOR LC NO. TF251770003501\BNK</t>
  </si>
  <si>
    <t>REIMBURSE UNDER LCS DR FOR LC NO. TF251770003501\BNK</t>
  </si>
  <si>
    <t>TF251770006101</t>
  </si>
  <si>
    <t>LC SWIFT CHARGES FOR LC NO. TF251770006101\BNK</t>
  </si>
  <si>
    <t>REIMBURSE UNDER LCS DR FOR LC NO. TF251770006101\BNK</t>
  </si>
  <si>
    <t>TF251310002701</t>
  </si>
  <si>
    <t>LC SWIFT CHARGES FOR LC NO. TF251310002701\BNK</t>
  </si>
  <si>
    <t>REIMBURSE UNDER LCS DR FOR LC NO. TF251310002701\BNK</t>
  </si>
  <si>
    <t>TF2530600034</t>
  </si>
  <si>
    <t>TF253060003401</t>
  </si>
  <si>
    <t>LC SWIFT CHARGES FOR LC NO. TF253060003401\BNK</t>
  </si>
  <si>
    <t>LC INWARD COLLECTION FEE FOR LC NO. TF253060003401\BNK</t>
  </si>
  <si>
    <t>REIMBURSE UNDER LCS DR FOR LC NO. TF253060003401\BNK</t>
  </si>
  <si>
    <t xml:space="preserve">CUSTOMER = 3972500 DEAL AMT = 56666.67 DEAL CCY = SAR TAX CODE = 1 </t>
  </si>
  <si>
    <t>TF253140001401</t>
  </si>
  <si>
    <t>LC ACCEPTANCE COMMISSION FOR LC NO. TF253140001401\BNK</t>
  </si>
  <si>
    <t>REF 000000JLC6901431,RB REF JLC6901431,VIA CORE SYSTEM,DATE-TIME 11/11-10:55:43, عن طريق النظام الآ لي ,VALUE DT 11/11/25</t>
  </si>
  <si>
    <t>RB REF JLG6601246,VIA CORE SYSTEM,DATE-TIME 12/11-11:34:24, عن طريق النظام الآ لي ,VALUE DT 12/11/25</t>
  </si>
  <si>
    <t>RB REF JLG6602654,VIA CORE SYSTEM,DATE-TIME 12/11-11:31:18, عن طريق النظام الآ لي ,VALUE DT 12/11/25</t>
  </si>
  <si>
    <t>2000012433840</t>
  </si>
  <si>
    <t>REF 000000JLC6701731,RB REF JLC6701731,VIA CORE SYSTEM,DATE-TIME 12/11-14:15:51, عن طريق النظام الآ لي ,VALUE DT 12/11/25</t>
  </si>
  <si>
    <t>REF 000000JLC6701731,RB REF JLC6701731,VIA CORE SYSTEM,DATE-TIME 12/11-10:06:18, عن طريق النظام الآ لي ,VALUE DT 12/11/25</t>
  </si>
  <si>
    <t>REF 000000JLC6901431,RB REF JLC6901431,VIA CORE SYSTEM,DATE-TIME 18/11-10:12:00, عن طريق النظام الآ لي ,VALUE DT 18/11/25</t>
  </si>
  <si>
    <t>1851811079940</t>
  </si>
  <si>
    <t>RB REF JLG6902637,VIA CORE SYSTEM,DATE-TIME 19/11-16:58:08, عن طريق النظام الآ لي ,VALUE DT 19/11/25</t>
  </si>
  <si>
    <t>CITY:Jeddah 6132225J210868001</t>
  </si>
  <si>
    <t>J210868001</t>
  </si>
  <si>
    <t>CITY:Jeddah 6132225J211485001</t>
  </si>
  <si>
    <t>J211485001</t>
  </si>
  <si>
    <t>CITY:Jeddah 6132225J211485002</t>
  </si>
  <si>
    <t>J211485002</t>
  </si>
  <si>
    <t>CITY:Jeddah 6132225J210611001</t>
  </si>
  <si>
    <t>J210611001</t>
  </si>
  <si>
    <t>CITY:Jeddah 6132225J210868002</t>
  </si>
  <si>
    <t>J210868002</t>
  </si>
  <si>
    <t>CITY:Jeddah 6132225J210868003</t>
  </si>
  <si>
    <t>J210868003</t>
  </si>
  <si>
    <t>CITY:Jeddah 6132225J210096016 1273871.4 SAR</t>
  </si>
  <si>
    <t>J210096016</t>
  </si>
  <si>
    <t>CITY:Jeddah 6132225B314277012</t>
  </si>
  <si>
    <t>DPBEPM618769WPM DCBWPM562730</t>
  </si>
  <si>
    <t>IMP BILL RETIRE. CHARGES DPBCOR625416WPM DCBWPM554738</t>
  </si>
  <si>
    <t>DPBCOR614822WPM DCBWPM553893</t>
  </si>
  <si>
    <t>IMP BILL COMM DPBCOR625929WPM DCBWPM566639</t>
  </si>
  <si>
    <t>DPBCOR625416WPM DCBWPM554738</t>
  </si>
  <si>
    <t>DPBCOR625089WPM DCBWPM565536</t>
  </si>
  <si>
    <t>IMP BILL AMEND. CHARGES DPBCOR625701WPM DCBWPM564596</t>
  </si>
  <si>
    <t>DPBCOR625703WPM DCBWPM564605</t>
  </si>
  <si>
    <t>IMP BILL RETIRE. CHARGES DPBCOR625703WPM DCBWPM564605</t>
  </si>
  <si>
    <t>IMP BILL COMM DPBCOR625985WPM DCBWPM566842</t>
  </si>
  <si>
    <t>IMP BILL AMEND. CHARGES DPBEPM625846WPM DCBWPM563067</t>
  </si>
  <si>
    <t>DPBEPM625846WPM PROJECT FLASH BILL COMM DCBWPM563067</t>
  </si>
  <si>
    <t>DPBCOR619352WPM DCBWPM563375</t>
  </si>
  <si>
    <t>DPBEPM619989WPM DCBWPM563067</t>
  </si>
  <si>
    <t>DPBCOR622878WPM DCBWPM551279 DCBMBL551279</t>
  </si>
  <si>
    <t>DPBEPM620630WPM DCBWPM554250</t>
  </si>
  <si>
    <t>IMP BILL AMEND. CHARGES DPBCOR626155WPM DCBWPM563039</t>
  </si>
  <si>
    <t>DPBCOR620211WPM DCBWPM563229</t>
  </si>
  <si>
    <t>IMP BILL COMM DPBEPM626537WPM DCBWPM566972</t>
  </si>
  <si>
    <t>TF251273300802</t>
  </si>
  <si>
    <t>TF2433133003</t>
  </si>
  <si>
    <t xml:space="preserve">TI Bill Settled                                                       
POC002                                                                
At Bank AlJazira                                                      
CORPORATE BANKING DEPT-JEDDAH                                         
Date 19-05-1447(H) Time 11.34.17                                      
Reference ILC-0840-25-7986                                            
</t>
  </si>
  <si>
    <t xml:space="preserve">Dr TI ILC Comm/Other Charges                                          
POC007-278273773                                                      
At Bank Aljazira                                                      
 CORPORATE BANKING DEPT-JEDDAH                                        
Exchange Rate 1.0                                                     
Date 19-05-1447(H) Time 16.04.34                                      
Reference ILC-0840-25-7352                                            
Value Date 19-05-1447(H)                                              
Fee Collected By Bank AlJazira                                        
</t>
  </si>
  <si>
    <t xml:space="preserve">Value Added Tax                                                       
On ILC Acceptance Comm.                                               
15% of SAR100.00                                                      
Through CORPORATE BANKING DEPT-JEDDAH                                 
Date 19-05-1447(H) Time 16.04.35                                      
Reference ILC-0840-25-7352                                            
At Bank Aljazira                                                      
Exchange Rate 1.0                                                     
</t>
  </si>
  <si>
    <t xml:space="preserve">Dr TI ILC Comm/Other Charges                                          
POC007-278273969                                                      
At Bank Aljazira                                                      
 CORPORATE BANKING DEPT-JEDDAH                                        
Exchange Rate 1.0                                                     
Date 19-05-1447(H) Time 16.04.35                                      
Reference ILC-0840-25-7352                                            
Value Date 19-05-1447(H)                                              
Fee Collected By Bank AlJazira                                        
</t>
  </si>
  <si>
    <t xml:space="preserve">Value Added Tax                                                       
On ILC Acceptance Comm.                                               
15% of SAR621.00                                                      
Through CORPORATE BANKING DEPT-JEDDAH                                 
Date 19-05-1447(H) Time 16.04.36                                      
Reference ILC-0840-25-7352                                            
At Bank Aljazira                                                      
Exchange Rate 1.0                                                     
</t>
  </si>
  <si>
    <t xml:space="preserve">Dr TI ILC Comm/Other Charges                                          
POC007-278273971                                                      
At Bank Aljazira                                                      
 CORPORATE BANKING DEPT-JEDDAH                                        
Exchange Rate 1.0                                                     
Date 19-05-1447(H) Time 16.04.36                                      
Reference ILC-0840-25-7352                                            
Value Date 19-05-1447(H)                                              
Fee Collected By Bank AlJazira                                        
</t>
  </si>
  <si>
    <t xml:space="preserve">Value Added Tax                                                       
On SWIFT charges                                                      
15% of SAR200.00                                                      
Through CORPORATE BANKING DEPT-JEDDAH                                 
Date 19-05-1447(H) Time 16.04.37                                      
Reference ILC-0840-25-7352                                            
At Bank Aljazira                                                      
Exchange Rate 1.0                                                     
</t>
  </si>
  <si>
    <t xml:space="preserve">Dr TI LGI Comm/Other Charges                                          
AMD001-278858915                                                      
At Bank AlJazira                                                      
CORPORATE BANKING DEPT-JEDDAH                                         
Date 25-05-1447(H) Time 10.42.02                                      
Reference LGI-0840-25-6932                                            
</t>
  </si>
  <si>
    <t xml:space="preserve">Value Added Tax                                                       
On LGI Amend Commission                                               
15% of SAR4,583.31                                                    
Through CORPORATE BANKING DEPT-JEDDAH                                 
Date 25-05-1447(H) Time 10.42.03                                      
Reference LGI-0840-25-6932                                            
At Bank Aljazira                                                      
Exchange Rate 1.0                                                     
</t>
  </si>
  <si>
    <t xml:space="preserve">Dr TI LGI Comm/Other Charges                                          
AMD001-278858917                                                      
At Bank AlJazira                                                      
CORPORATE BANKING DEPT-JEDDAH                                         
Date 25-05-1447(H) Time 10.42.03                                      
Reference LGI-0840-25-6932                                            
</t>
  </si>
  <si>
    <t xml:space="preserve">Value Added Tax                                                       
On LG Processing/Facility Fees                                        
15% of SAR10,712.33                                                   
Through CORPORATE BANKING DEPT-JEDDAH                                 
Date 25-05-1447(H) Time 10.42.04                                      
Reference LGI-0840-25-6932                                            
At Bank Aljazira                                                      
Exchange Rate 1.0                                                     
</t>
  </si>
  <si>
    <t xml:space="preserve">Dr TI ILC Comm/Other Charges                                          
AMD001-278983796                                                      
At Bank Aljazira                                                      
 CORPORATE BANKING DEPT-JEDDAH                                        
Date 26-05-1447(H) Time 12.35.20                                      
Reference ILC-0840-25-8427                                            
Value Date 26-05-1447(H)                                              
Fee Collected By Bank AlJazira                                        
</t>
  </si>
  <si>
    <t xml:space="preserve">Value Added Tax                                                       
On SWIFT charges                                                      
15% of SAR400.00                                                      
Through CORPORATE BANKING DEPT-JEDDAH                                 
Date 26-05-1447(H) Time 12.35.20                                      
Reference ILC-0840-25-8427                                            
At Bank Aljazira                                                      
</t>
  </si>
  <si>
    <t xml:space="preserve">Dr TI ILC Comm/Other Charges                                          
AMD001-278995879                                                      
At Bank Aljazira                                                      
 CORPORATE BANKING DEPT-JEDDAH                                        
Date 26-05-1447(H) Time 12.35.20                                      
Reference ILC-0840-25-8427                                            
Value Date 26-05-1447(H)                                              
Fee Collected By Bank AlJazira                                        
</t>
  </si>
  <si>
    <t xml:space="preserve">Value Added Tax                                                       
On ILC Commission                                                     
15% of SAR52,286.75                                                   
Through CORPORATE BANKING DEPT-JEDDAH                                 
Date 26-05-1447(H) Time 12.35.20                                      
Reference ILC-0840-25-8427                                            
At Bank Aljazira                                                      
</t>
  </si>
  <si>
    <t xml:space="preserve">TI Bill Settled                                                       
POC004                                                                
At Bank AlJazira                                                      
CORPORATE BANKING DEPT-JEDDAH                                         
Date 26-05-1447(H) Time 13.33.40                                      
Reference ILC-0840-25-7572                                            
</t>
  </si>
  <si>
    <t xml:space="preserve">TI Bill Settled                                                       
POC006                                                                
At Bank AlJazira                                                      
CORPORATE BANKING DEPT-JEDDAH                                         
Date 27-05-1447(H) Time 10.17.55                                      
Reference ILC-0840-25-7351                                            
</t>
  </si>
  <si>
    <t xml:space="preserve">TI Bill Settled                                                       
POC002                                                                
At Bank AlJazira                                                      
CORPORATE BANKING DEPT-JEDDAH                                         
Date 27-05-1447(H) Time 10.18.24                                      
Reference ILC-0840-25-7979                                            
</t>
  </si>
  <si>
    <t xml:space="preserve">Dr TI ILC Comm/Other Charges                                          
POC004-279383456                                                      
At Bank Aljazira                                                      
 CORPORATE BANKING DEPT-JEDDAH                                        
Date 28-05-1447(H) Time 14.28.07                                      
Reference ILC-0840-25-7799                                            
Value Date 28-05-1447(H)                                              
Fee Collected By Bank AlJazira                                        
</t>
  </si>
  <si>
    <t xml:space="preserve">Value Added Tax                                                       
On ILC Acceptance Comm.                                               
15% of SAR100.00                                                      
Through CORPORATE BANKING DEPT-JEDDAH                                 
Date 28-05-1447(H) Time 14.28.08                                      
Reference ILC-0840-25-7799                                            
At Bank Aljazira                                                      
</t>
  </si>
  <si>
    <t xml:space="preserve">Dr TI ILC Comm/Other Charges                                          
POC004-279383496                                                      
At Bank Aljazira                                                      
 CORPORATE BANKING DEPT-JEDDAH                                        
Date 28-05-1447(H) Time 14.28.08                                      
Reference ILC-0840-25-7799                                            
Value Date 28-05-1447(H)                                              
Fee Collected By Bank AlJazira                                        
</t>
  </si>
  <si>
    <t xml:space="preserve">Value Added Tax                                                       
On ILC Acceptance Comm.                                               
15% of SAR625.00                                                      
Through CORPORATE BANKING DEPT-JEDDAH                                 
Date 28-05-1447(H) Time 14.28.08                                      
Reference ILC-0840-25-7799                                            
At Bank Aljazira                                                      
</t>
  </si>
  <si>
    <t xml:space="preserve">Dr TI ILC Comm/Other Charges                                          
POC004-279383498                                                      
At Bank Aljazira                                                      
 CORPORATE BANKING DEPT-JEDDAH                                        
Date 28-05-1447(H) Time 14.28.08                                      
Reference ILC-0840-25-7799                                            
Value Date 28-05-1447(H)                                              
Fee Collected By Bank AlJazira                                        
</t>
  </si>
  <si>
    <t xml:space="preserve">Value Added Tax                                                       
On SWIFT charges                                                      
15% of SAR200.00                                                      
Through CORPORATE BANKING DEPT-JEDDAH                                 
Date 28-05-1447(H) Time 14.28.09                                      
Reference ILC-0840-25-7799                                            
At Bank Aljazira                                                      
</t>
  </si>
  <si>
    <t xml:space="preserve">Dr TI LGI Commission (Earned)                                         
ISS001-279442494                                                      
At Bank AlJazira                                                      
CORPORATE BANKING DEPT-JEDDAH                                         
Date 29-05-1447(H) Time 10.08.17                                      
Reference LGI-0840-25-7098                                            
</t>
  </si>
  <si>
    <t xml:space="preserve">Value Added Tax                                                       
On LGI ISSUANCE COMMISSION                                            
15% of SAR11,199.00                                                   
Through CORPORATE BANKING DEPT-JEDDAH                                 
Date 29-05-1447(H) Time 10.08.17                                      
Reference LGI-0840-25-7098                                            
At Bank Aljazira                                                      
Exchange Rate 1.0                                                     
</t>
  </si>
  <si>
    <t xml:space="preserve">Dr TI LGI Comm/Other Charges                                          
ISS001-279442496                                                      
At Bank AlJazira                                                      
CORPORATE BANKING DEPT-JEDDAH                                         
Date 29-05-1447(H) Time 10.08.18                                      
Reference LGI-0840-25-7098                                            
</t>
  </si>
  <si>
    <t xml:space="preserve">Value Added Tax                                                       
On LG Processing/Facility Fees                                        
15% of SAR20,636.99                                                   
Through CORPORATE BANKING DEPT-JEDDAH                                 
Date 29-05-1447(H) Time 10.08.18                                      
Reference LGI-0840-25-7098                                            
At Bank Aljazira                                                      
Exchange Rate 1.0                                                     
</t>
  </si>
  <si>
    <t xml:space="preserve">Dr TI ILC Comm/Other Charges                                          
AMD001-279542770                                                      
At Bank Aljazira                                                      
 CORPORATE BANKING DEPT-JEDDAH                                        
Date 29-05-1447(H) Time 15.16.20                                      
Reference ILC-0840-25-8011                                            
Value Date 29-05-1447(H)                                              
Fee Collected By Bank AlJazira                                        
</t>
  </si>
  <si>
    <t xml:space="preserve">Value Added Tax                                                       
On ILC Commission                                                     
15% of SAR30,365.84                                                   
Through CORPORATE BANKING DEPT-JEDDAH                                 
Date 29-05-1447(H) Time 15.16.21                                      
Reference ILC-0840-25-8011                                            
At Bank Aljazira                                                      
</t>
  </si>
  <si>
    <t xml:space="preserve">Dr TI ILC Comm/Other Charges                                          
AMD001-279542772                                                      
At Bank Aljazira                                                      
 CORPORATE BANKING DEPT-JEDDAH                                        
Date 29-05-1447(H) Time 15.16.21                                      
Reference ILC-0840-25-8011                                            
Value Date 29-05-1447(H)                                              
Fee Collected By Bank AlJazira                                        
</t>
  </si>
  <si>
    <t xml:space="preserve">Value Added Tax                                                       
On SWIFT charges                                                      
15% of SAR400.00                                                      
Through CORPORATE BANKING DEPT-JEDDAH                                 
Date 29-05-1447(H) Time 15.16.21                                      
Reference ILC-0840-25-8011                                            
At Bank Aljazira                                                      
</t>
  </si>
  <si>
    <t>Treasury Team</t>
  </si>
  <si>
    <t>Verified By:</t>
  </si>
  <si>
    <t>Treasury Head</t>
  </si>
  <si>
    <t>overdue charges SAR 573.34</t>
  </si>
  <si>
    <t>30 Days From Invoice Date</t>
  </si>
  <si>
    <t>Inward Collection Fee</t>
  </si>
  <si>
    <t>Docx Handling Fees</t>
  </si>
  <si>
    <t>LG Issuance</t>
  </si>
  <si>
    <t>LGI-0840-25-7098</t>
  </si>
  <si>
    <t>LG Amend</t>
  </si>
  <si>
    <t>Past Due</t>
  </si>
  <si>
    <t>Margin Maintenance</t>
  </si>
  <si>
    <t>Project Flash</t>
  </si>
  <si>
    <t>Mohamad Saeed Afifi Trading Est.</t>
  </si>
  <si>
    <t>Description</t>
  </si>
  <si>
    <t>Matthew Mckernan - AICS</t>
  </si>
  <si>
    <t>JLG6900681</t>
  </si>
  <si>
    <t>JLG6900685</t>
  </si>
  <si>
    <t>Automotive Sector Development Investment Company (ASDIC)</t>
  </si>
  <si>
    <t>Red C</t>
  </si>
  <si>
    <t>JLG6900682</t>
  </si>
  <si>
    <t xml:space="preserve">CUSTOMER = 3972500 DEAL AMT = 75.00 DEAL CCY = SAR TAX CODE = 1 </t>
  </si>
  <si>
    <t>TF251040001706</t>
  </si>
  <si>
    <t>LC SWIFT CHARGES FOR LC NO. TF251040001706\BNK</t>
  </si>
  <si>
    <t xml:space="preserve">CUSTOMER = 3972500 DEAL AMT = 2018.21 DEAL CCY = SAR TAX CODE = 1 </t>
  </si>
  <si>
    <t>LC ACCEPTANCE COMMISSION FOR LC NO. TF251040001706\BNK</t>
  </si>
  <si>
    <t>REIMBURSE UNDER LCS DR FOR LC NO. TF251040001706\BNK</t>
  </si>
  <si>
    <t>TF251740005701</t>
  </si>
  <si>
    <t>LC SWIFT CHARGES FOR LC NO. TF251740005701\BNK</t>
  </si>
  <si>
    <t>REIMBURSE UNDER LCS DR FOR LC NO. TF251740005701\BNK</t>
  </si>
  <si>
    <t>TF251770004501</t>
  </si>
  <si>
    <t>LC SWIFT CHARGES FOR LC NO. TF251770004501\BNK</t>
  </si>
  <si>
    <t>REIMBURSE UNDER LCS DR FOR LC NO. TF251770004501\BNK</t>
  </si>
  <si>
    <t>TF251770007801</t>
  </si>
  <si>
    <t>LC SWIFT CHARGES FOR LC NO. TF251770007801\BNK</t>
  </si>
  <si>
    <t>REIMBURSE UNDER LCS DR FOR LC NO. TF251770007801\BNK</t>
  </si>
  <si>
    <t>TF251740009801</t>
  </si>
  <si>
    <t>LC ACCEPTANCE COMMISSION FOR LC NO. TF251740009801\BNK</t>
  </si>
  <si>
    <t>TF252650001701</t>
  </si>
  <si>
    <t>LC ACCEPTANCE COMMISSION FOR LC NO. TF252650001701\BNK</t>
  </si>
  <si>
    <t>TF252710002401</t>
  </si>
  <si>
    <t>LC ACCEPTANCE COMMISSION FOR LC NO. TF252710002401\BNK</t>
  </si>
  <si>
    <t>RB REF JLC6901431,VIA CORE SYSTEM,DATE-TIME 23/11-16:15:38, عن طريق النظام الآ لي ,VALUE DT 23/11/25</t>
  </si>
  <si>
    <t>RB REF JLG6902554,VIA CORE SYSTEM,DATE-TIME 23/11-13:17:57, عن طريق النظام الآ لي ,VALUE DT 23/11/25</t>
  </si>
  <si>
    <t>LG</t>
  </si>
  <si>
    <t>RB REF JLG6903291,VIA CORE SYSTEM,DATE-TIME 23/11-15:12:29, عن طريق النظام الآ لي ,VALUE DT 23/11/25</t>
  </si>
  <si>
    <t>RB REF JLG6900682,VIA CORE SYSTEM,DATE-TIME 24/11-15:54:28, عن طريق النظام الآ لي ,VALUE DT 24/11/25</t>
  </si>
  <si>
    <t>RB REF JLC6901431,VIA CORE SYSTEM,DATE-TIME 24/11-10:15:23, عن طريق النظام الآ لي ,VALUE DT 24/11/25</t>
  </si>
  <si>
    <t>RB REF JLG6900685,VIA CORE SYSTEM,DATE-TIME 25/11-18:25:00, عن طريق النظام الآ لي ,VALUE DT 25/11/25</t>
  </si>
  <si>
    <t>CITY:Jeddah 0000006132225J210868002</t>
  </si>
  <si>
    <t>IMP BILL COMM DPBCOR626724WPM DCBWPM563043</t>
  </si>
  <si>
    <t>DPBCOR621089WPM DCBWPM562624</t>
  </si>
  <si>
    <t>DPBCOR621266WPM DCBWPM562598</t>
  </si>
  <si>
    <t>DPBCOR625565WPM DCBWPM563695</t>
  </si>
  <si>
    <t>DPBEPM621478WPM DCBWPM562592</t>
  </si>
  <si>
    <t>DPBCOR621014WPM DCBWPM562615</t>
  </si>
  <si>
    <t>DPBCOR621662WPM DCBWPM564579</t>
  </si>
  <si>
    <t>DPBEPM619987WPM DCBWPM563055</t>
  </si>
  <si>
    <t>IMP BILL AMEND. CHARGES DPBCOR626146WPM DCBWPM558775</t>
  </si>
  <si>
    <t>DPBEPM620153WPM DCBWPM563027</t>
  </si>
  <si>
    <t>IMP BILL AMEND. CHARGES DPBEPM626288WPM DCBWPM563027</t>
  </si>
  <si>
    <t>DPBCOR620580WPM DCBWPM563021</t>
  </si>
  <si>
    <t>DPBCOR620972WPM DCBWPM563059</t>
  </si>
  <si>
    <t>DPBCOR621219WPM DCBWPM563039</t>
  </si>
  <si>
    <t>DPBEPM620109WPM DCBWPM563813</t>
  </si>
  <si>
    <t>IMP BILL AMEND. CHARGES DPBEPM626525WPM DCBWPM566637</t>
  </si>
  <si>
    <t>DPBCOR620900WPM DCBWPM563025</t>
  </si>
  <si>
    <t>IMP BILL AMEND. CHARGES DPBCOR626203WPM DCBWPM562604</t>
  </si>
  <si>
    <t xml:space="preserve">TI Bill Settled                                                       
POC005                                                                
At Bank AlJazira                                                      
CORPORATE BANKING DEPT-JEDDAH                                         
Date 02-06-1447(H) Time 11.40.45                                      
Reference ILC-0840-25-7982                                            
</t>
  </si>
  <si>
    <t xml:space="preserve">Dr TI ILC Comm/Other Charges                                          
POC002-279995124                                                      
At Bank Aljazira                                                      
 CORPORATE BANKING DEPT-JEDDAH                                        
Date 04-06-1447(H) Time 16.41.21                                      
Reference ILC-0840-25-7735                                            
Value Date 04-06-1447(H)                                              
Fee Collected By Bank AlJazira                                        
</t>
  </si>
  <si>
    <t xml:space="preserve">Value Added Tax                                                       
On ILC Acceptance Comm.                                               
15% of SAR100.00                                                      
Through CORPORATE BANKING DEPT-JEDDAH                                 
Date 04-06-1447(H) Time 16.41.21                                      
Reference ILC-0840-25-7735                                            
At Bank Aljazira                                                      
</t>
  </si>
  <si>
    <t xml:space="preserve">Dr TI ILC Comm/Other Charges                                          
POC002-279995568                                                      
At Bank Aljazira                                                      
 CORPORATE BANKING DEPT-JEDDAH                                        
Date 04-06-1447(H) Time 16.41.22                                      
Reference ILC-0840-25-7735                                            
Value Date 04-06-1447(H)                                              
Fee Collected By Bank AlJazira                                        
</t>
  </si>
  <si>
    <t xml:space="preserve">Value Added Tax                                                       
On ILC Acceptance Comm.                                               
15% of SAR773.00                                                      
Through CORPORATE BANKING DEPT-JEDDAH                                 
Date 04-06-1447(H) Time 16.41.22                                      
Reference ILC-0840-25-7735                                            
At Bank Aljazira                                                      
</t>
  </si>
  <si>
    <t xml:space="preserve">Dr TI ILC Comm/Other Charges                                          
POC002-279995849                                                      
At Bank Aljazira                                                      
 CORPORATE BANKING DEPT-JEDDAH                                        
Date 04-06-1447(H) Time 16.41.22                                      
Reference ILC-0840-25-7735                                            
Value Date 04-06-1447(H)                                              
Fee Collected By Bank AlJazira                                        
</t>
  </si>
  <si>
    <t xml:space="preserve">Value Added Tax                                                       
On SWIFT charges                                                      
15% of SAR200.00                                                      
Through CORPORATE BANKING DEPT-JEDDAH                                 
Date 04-06-1447(H) Time 16.41.22                                      
Reference ILC-0840-25-7735                                            
At Bank Aljazira                                                      
</t>
  </si>
  <si>
    <t>Margin refunded - 153759.93 SAR</t>
  </si>
  <si>
    <t>Margin refunded - 50355.18 SAR</t>
  </si>
  <si>
    <t>Margin refunded - 82081.84 SAR</t>
  </si>
  <si>
    <t>Margin refunded - 138804.50 SAR</t>
  </si>
  <si>
    <t>B325009</t>
  </si>
  <si>
    <t>First Fix</t>
  </si>
  <si>
    <t>LC SWIFT CHARGES FOR LC NO. TF2523000034\BNK</t>
  </si>
  <si>
    <t xml:space="preserve">CUSTOMER = 3972500 DEAL AMT = 2898.20 DEAL CCY = SAR TAX CODE = 1 </t>
  </si>
  <si>
    <t>LC AMENDMENT COMMISSION FOR LC NO. TF2523000034\BNK</t>
  </si>
  <si>
    <t>LC SWIFT CHARGES FOR LC NO. TF251040001705\BNK</t>
  </si>
  <si>
    <t>REIMBURSE UNDER LCS DR FOR LC NO. TF251040001705\BNK</t>
  </si>
  <si>
    <t>REF JLC6901472,REF JLC6901472,VIA CORE SYSTEM,DATE-TIME 26/11-15:26:04, عن طريق النظام الآ لي ,VALUE DT 26/11/25</t>
  </si>
  <si>
    <t>REF JLC6901475,REF JLC6901475,VIA CORE SYSTEM,DATE-TIME 26/11-15:26:14, عن طريق النظام الآ لي ,VALUE DT 26/11/25</t>
  </si>
  <si>
    <t>REF JLC6901487,REF JLC6901487,VIA CORE SYSTEM,DATE-TIME 26/11-15:26:30, عن طريق النظام الآ لي ,VALUE DT 26/11/25</t>
  </si>
  <si>
    <t>REF JLC6901470,REF JLC6901470,VIA CORE SYSTEM,DATE-TIME 26/11-15:25:50, عن طريق النظام الآ لي ,VALUE DT 26/11/25</t>
  </si>
  <si>
    <t>RB REF JLG6900681,VIA CORE SYSTEM,DATE-TIME 26/11-09:17:54, عن طريق النظام الآ لي ,VALUE DT 26/11/25</t>
  </si>
  <si>
    <t>CITY:Jeddah 6132225B325009000</t>
  </si>
  <si>
    <t>CITY:Jeddah 6132225J210944001</t>
  </si>
  <si>
    <t>J210944001</t>
  </si>
  <si>
    <t>CITY:Jeddah 6132225J210617004</t>
  </si>
  <si>
    <t>J210617004</t>
  </si>
  <si>
    <t>DPBCOR620745WPM DCBWPM562590</t>
  </si>
  <si>
    <t>DPBCOR621589WPM DCBWPM562622</t>
  </si>
  <si>
    <t>DPBCOR620623WPM DCBWPM558751</t>
  </si>
  <si>
    <t>DPBCOR624433WPM DCBWPM554837</t>
  </si>
  <si>
    <t>IMP BILL AMEND. CHARGES DPBCOR626959WPM DCBWPM555620</t>
  </si>
  <si>
    <t xml:space="preserve">TI Bill Settled                                                       
POC004                                                                
At Bank AlJazira                                                      
CORPORATE BANKING DEPT-JEDDAH                                         
Date 05-06-1447(H) Time 12.55.21                                      
Reference ILC-0840-25-7992                                            
</t>
  </si>
  <si>
    <t xml:space="preserve">Dr TI ILC Comm/Other Charges                                          
POC003-280178368                                                      
At Bank Aljazira                                                      
 CORPORATE BANKING DEPT-JEDDAH                                        
Date 05-06-1447(H) Time 14.16.19                                      
Reference ILC-0840-25-7173                                            
Value Date 05-06-1447(H)                                              
Fee Collected By Bank AlJazira                                        
</t>
  </si>
  <si>
    <t xml:space="preserve">Value Added Tax                                                       
On ILC Acceptance Comm.                                               
15% of SAR100.00                                                      
Through CORPORATE BANKING DEPT-JEDDAH                                 
Date 05-06-1447(H) Time 14.16.19                                      
Reference ILC-0840-25-7173                                            
At Bank Aljazira                                                      
</t>
  </si>
  <si>
    <t xml:space="preserve">Dr TI ILC Comm/Other Charges                                          
POC003-280178414                                                      
At Bank Aljazira                                                      
 CORPORATE BANKING DEPT-JEDDAH                                        
Date 05-06-1447(H) Time 14.16.19                                      
Reference ILC-0840-25-7173                                            
Value Date 05-06-1447(H)                                              
Fee Collected By Bank AlJazira                                        
</t>
  </si>
  <si>
    <t xml:space="preserve">Value Added Tax                                                       
On ILC Acceptance Comm.                                               
15% of SAR833.00                                                      
Through CORPORATE BANKING DEPT-JEDDAH                                 
Date 05-06-1447(H) Time 14.16.19                                      
Reference ILC-0840-25-7173                                            
At Bank Aljazira                                                      
</t>
  </si>
  <si>
    <t xml:space="preserve">Dr TI ILC Comm/Other Charges                                          
POC003-280178488                                                      
At Bank Aljazira                                                      
 CORPORATE BANKING DEPT-JEDDAH                                        
Date 05-06-1447(H) Time 14.16.20                                      
Reference ILC-0840-25-7173                                            
Value Date 05-06-1447(H)                                              
Fee Collected By Bank AlJazira                                        
</t>
  </si>
  <si>
    <t xml:space="preserve">Value Added Tax                                                       
On SWIFT charges                                                      
15% of SAR200.00                                                      
Through CORPORATE BANKING DEPT-JEDDAH                                 
Date 05-06-1447(H) Time 14.16.20                                      
Reference ILC-0840-25-7173                                            
At Bank Aljazira                                                      
</t>
  </si>
  <si>
    <t xml:space="preserve">TI Bill Settled                                                       
POC008                                                                
At Bank AlJazira                                                      
CORPORATE BANKING DEPT-JEDDAH                                         
Date 06-06-1447(H) Time 11.34.49                                      
Reference ILC-0840-25-7352                                            
</t>
  </si>
  <si>
    <t xml:space="preserve">Dr TI LGI Comm/Other Charges                                          
AMD001-280273841                                                      
At Bank AlJazira                                                      
CORPORATE BANKING DEPT-JEDDAH                                         
Date 06-06-1447(H) Time 12.44.44                                      
Reference LGI-0840-25-6611                                            
</t>
  </si>
  <si>
    <t xml:space="preserve">Value Added Tax                                                       
On LGI Amend Commission                                               
15% of SAR6,250.00                                                    
Through CORPORATE BANKING DEPT-JEDDAH                                 
Date 06-06-1447(H) Time 12.44.45                                      
Reference LGI-0840-25-6611                                            
At Bank Aljazira                                                      
Exchange Rate 1.0                                                     
</t>
  </si>
  <si>
    <t xml:space="preserve">Dr TI LGI Comm/Other Charges                                          
AMD001-280273843                                                      
At Bank AlJazira                                                      
CORPORATE BANKING DEPT-JEDDAH                                         
Date 06-06-1447(H) Time 12.44.45                                      
Reference LGI-0840-25-6611                                            
</t>
  </si>
  <si>
    <t xml:space="preserve">Value Added Tax                                                       
On LG Processing/Facility Fees                                        
15% of SAR16,438.36                                                   
Through CORPORATE BANKING DEPT-JEDDAH                                 
Date 06-06-1447(H) Time 12.44.46                                      
Reference LGI-0840-25-6611                                            
At Bank Aljazira                                                      
Exchange Rate 1.0                                                     
</t>
  </si>
  <si>
    <t>Margin Refund</t>
  </si>
  <si>
    <t>LG Amendment</t>
  </si>
  <si>
    <t>LG Issued</t>
  </si>
  <si>
    <t>DCBWPM570384</t>
  </si>
  <si>
    <t>DCBWPM570380</t>
  </si>
  <si>
    <t>DCBWPM570361</t>
  </si>
  <si>
    <t>DCBWPM570369</t>
  </si>
  <si>
    <t>JLC6902213</t>
  </si>
  <si>
    <t>J211600</t>
  </si>
  <si>
    <t>DPBCOR622887WPM DCBWPM551279 DCBMBL551279</t>
  </si>
  <si>
    <t>DPBEPM623114WPM DCBWPM564601</t>
  </si>
  <si>
    <t xml:space="preserve">TI Bill Settled                                                       
POC003                                                                
At Bank AlJazira                                                      
CORPORATE BANKING DEPT-JEDDAH                                         
Date 09-06-1447(H) Time 13.24.48                                      
Reference ILC-0840-25-7735                                            
</t>
  </si>
  <si>
    <t xml:space="preserve">TI Bill Settled                                                       
POC005                                                                
At Bank AlJazira                                                      
CORPORATE BANKING DEPT-JEDDAH                                         
Date 09-06-1447(H) Time 13.25.48                                      
Reference ILC-0840-25-7799                                            
</t>
  </si>
  <si>
    <t xml:space="preserve">TI Bill Settled                                                       
POC002                                                                
At Bank AlJazira                                                      
CORPORATE BANKING DEPT-JEDDAH                                         
Date 09-06-1447(H) Time 13.28.52                                      
Reference ILC-0840-25-8162                                            
</t>
  </si>
  <si>
    <t>General Authority of Ports - Jeddah Islamic Port</t>
  </si>
  <si>
    <t>JLG6604324</t>
  </si>
  <si>
    <t>JLC6902211</t>
  </si>
  <si>
    <t>DCBWPM570414</t>
  </si>
  <si>
    <t>TF2533500010</t>
  </si>
  <si>
    <t>TF2533500006</t>
  </si>
  <si>
    <t>TF2533600018</t>
  </si>
  <si>
    <t>JLG6802458</t>
  </si>
  <si>
    <t>J211604</t>
  </si>
  <si>
    <t>JLG6604420</t>
  </si>
  <si>
    <t>NIZAR ABDALGHANY KABLI FOR GENERAL CONTRACTING</t>
  </si>
  <si>
    <t>Al Arabia for Construction &amp; Building Co.</t>
  </si>
  <si>
    <t>APS ARABIAN CONTRACTING COMPANY</t>
  </si>
  <si>
    <t>Mahmoud Al Tahini and Partners Company</t>
  </si>
  <si>
    <t>SIEMENS Limited Company</t>
  </si>
  <si>
    <t>Essam Zahran - Signal Control</t>
  </si>
  <si>
    <t>PEBGCU504055</t>
  </si>
  <si>
    <t>T5 - HO Funds</t>
  </si>
  <si>
    <t>TF252110003701</t>
  </si>
  <si>
    <t>LC SWIFT CHARGES FOR LC NO. TF252110003701\BNK</t>
  </si>
  <si>
    <t>REIMBURSE UNDER LCS DR FOR LC NO. TF252110003701\BNK</t>
  </si>
  <si>
    <t>TF252110004801</t>
  </si>
  <si>
    <t>LC ACCEPTANCE COMMISSION FOR LC NO. TF252110004801\BNK</t>
  </si>
  <si>
    <t>TF252110009701</t>
  </si>
  <si>
    <t>LC SWIFT CHARGES FOR LC NO. TF252110009701\BNK</t>
  </si>
  <si>
    <t>REIMBURSE UNDER LCS DR FOR LC NO. TF252110009701\BNK</t>
  </si>
  <si>
    <t>LC SWIFT CHARGES FOR LC NO. TF252710002401\BNK</t>
  </si>
  <si>
    <t>REIMBURSE UNDER LCS DR FOR LC NO. TF252710002401\BNK</t>
  </si>
  <si>
    <t xml:space="preserve">CUSTOMER = 3972500 DEAL AMT = 3889.34 DEAL CCY = SAR TAX CODE = 1 </t>
  </si>
  <si>
    <t>TF251350003401</t>
  </si>
  <si>
    <t>LC ACCEPTANCE COMMISSION FOR LC NO. TF251350003401\BNK</t>
  </si>
  <si>
    <t>TF251470005101</t>
  </si>
  <si>
    <t>LC ACCEPTANCE COMMISSION FOR LC NO. TF251470005101\BNK</t>
  </si>
  <si>
    <t xml:space="preserve">CUSTOMER = 3972500 DEAL AMT = 1892.87 DEAL CCY = SAR TAX CODE = 1 </t>
  </si>
  <si>
    <t>TF251770001402</t>
  </si>
  <si>
    <t>LC ACCEPTANCE COMMISSION FOR LC NO. TF251770001402\BNK</t>
  </si>
  <si>
    <t>TF252300003402</t>
  </si>
  <si>
    <t>LC SWIFT CHARGES FOR LC NO. TF252300003402\BNK</t>
  </si>
  <si>
    <t xml:space="preserve">CUSTOMER = 3972500 DEAL AMT = 1361.57 DEAL CCY = SAR TAX CODE = 1 </t>
  </si>
  <si>
    <t>LC ACCEPTANCE COMMISSION FOR LC NO. TF252300003402\BNK</t>
  </si>
  <si>
    <t>REIMBURSE UNDER LCS DR FOR LC NO. TF252300003402\BNK</t>
  </si>
  <si>
    <t>TF252360002201</t>
  </si>
  <si>
    <t>LC ACCEPTANCE COMMISSION FOR LC NO. TF252360002201\BNK</t>
  </si>
  <si>
    <t xml:space="preserve">CUSTOMER = 3972500 DEAL AMT = 3055.57 DEAL CCY = SAR TAX CODE = 1 </t>
  </si>
  <si>
    <t>LC SWIFT CHARGES FOR LC NO. TF2533500006\BNK</t>
  </si>
  <si>
    <t>LC OPENING COMMISSION - DEBIT FOR LC NO. TF2533500006\BNK</t>
  </si>
  <si>
    <t xml:space="preserve">CUSTOMER = 3972500 DEAL AMT = 5500.00 DEAL CCY = SAR TAX CODE = 1 </t>
  </si>
  <si>
    <t>LC SWIFT CHARGES FOR LC NO. TF2533500010\BNK</t>
  </si>
  <si>
    <t>LC OPENING COMMISSION - DEBIT FOR LC NO. TF2533500010\BNK</t>
  </si>
  <si>
    <t>TF252100002801</t>
  </si>
  <si>
    <t>LC SWIFT CHARGES FOR LC NO. TF252100002801\BNK</t>
  </si>
  <si>
    <t>REIMBURSE UNDER LCS DR FOR LC NO. TF252100002801\BNK</t>
  </si>
  <si>
    <t xml:space="preserve">CUSTOMER = 3972500 DEAL AMT = 7738.75 DEAL CCY = SAR TAX CODE = 1 </t>
  </si>
  <si>
    <t>TF252110008801</t>
  </si>
  <si>
    <t>LC SWIFT CHARGES FOR LC NO. TF252110008801\BNK</t>
  </si>
  <si>
    <t>REIMBURSE UNDER LCS DR FOR LC NO. TF252110008801\BNK</t>
  </si>
  <si>
    <t xml:space="preserve">CUSTOMER = 3972500 DEAL AMT = 2138.32 DEAL CCY = GBP TAX CODE = 1 </t>
  </si>
  <si>
    <t>LC SWIFT CHARGES FOR LC NO. TF2533600018\BNK</t>
  </si>
  <si>
    <t>LC OPENING COMMISSION - DEBIT FOR LC NO. TF2533600018\BNK</t>
  </si>
  <si>
    <t>TF251040002102</t>
  </si>
  <si>
    <t>LC SWIFT CHARGES FOR LC NO. TF251040002102\BNK</t>
  </si>
  <si>
    <t>REIMBURSE UNDER LCS DR FOR LC NO. TF251040002102\BNK</t>
  </si>
  <si>
    <t>TF251740002301</t>
  </si>
  <si>
    <t>LC SWIFT CHARGES FOR LC NO. TF251740002301\BNK</t>
  </si>
  <si>
    <t>REIMBURSE UNDER LCS DR FOR LC NO. TF251740002301\BNK</t>
  </si>
  <si>
    <t>LC SWIFT CHARGES FOR LC NO. TF251740007001\BNK</t>
  </si>
  <si>
    <t>REIMBURSE UNDER LCS DR FOR LC NO. TF251740007001\BNK</t>
  </si>
  <si>
    <t>TF252110009501</t>
  </si>
  <si>
    <t>LC SWIFT CHARGES FOR LC NO. TF252110009501\BNK</t>
  </si>
  <si>
    <t>REIMBURSE UNDER LCS DR FOR LC NO. TF252110009501\BNK</t>
  </si>
  <si>
    <t>TF251040002003</t>
  </si>
  <si>
    <t>LC SWIFT CHARGES FOR LC NO. TF251040002003\BNK</t>
  </si>
  <si>
    <t>REIMBURSE UNDER LCS DR FOR LC NO. TF251040002003\BNK</t>
  </si>
  <si>
    <t>TF252110010101</t>
  </si>
  <si>
    <t>LC ACCEPTANCE COMMISSION FOR LC NO. TF252110010101\BNK</t>
  </si>
  <si>
    <t xml:space="preserve">CUSTOMER = 3972500 DEAL AMT = 2652.51 DEAL CCY = SAR TAX CODE = 1 </t>
  </si>
  <si>
    <t>TF252710002402</t>
  </si>
  <si>
    <t>LC ACCEPTANCE COMMISSION FOR LC NO. TF252710002402\BNK</t>
  </si>
  <si>
    <t xml:space="preserve">CUSTOMER = 3972500 DEAL AMT = 53333.33 DEAL CCY = SAR TAX CODE = 1 </t>
  </si>
  <si>
    <t>TF253140001402</t>
  </si>
  <si>
    <t>LC ACCEPTANCE COMMISSION FOR LC NO. TF253140001402\BNK</t>
  </si>
  <si>
    <t>REF 000000JLC6902213,RB REF JLC6902213,VIA CORE SYSTEM,DATE-TIME 01/12-16:59:09, عن طريق النظام الآ لي ,VALUE DT 01/12/25</t>
  </si>
  <si>
    <t>REF 000000JLC6901616,RB REF JLC6901616,VIA CORE SYSTEM,DATE-TIME 01/12-16:38:56, عن طريق النظام الآ لي ,VALUE DT 01/12/25</t>
  </si>
  <si>
    <t>REF 000000JLC6902211,RB REF JLC6902211,VIA CORE SYSTEM,DATE-TIME 02/12-15:57:15, عن طريق النظام الآ لي ,VALUE DT 02/12/25</t>
  </si>
  <si>
    <t>RB REF JLG6604324,VIA CORE SYSTEM,DATE-TIME 02/12-13:29:42, عن طريق النظام الآ لي ,VALUE DT 02/12/25</t>
  </si>
  <si>
    <t>REF 000000JLC6901608,RB REF JLC6901608,VIA CORE SYSTEM,DATE-TIME 03/12-14:36:38, عن طريق النظام الآ لي ,VALUE DT 03/12/25</t>
  </si>
  <si>
    <t>RB REF JLG6802458,VIA CORE SYSTEM,DATE-TIME 04/12-15:40:38, عن طريق النظام الآ لي ,VALUE DT 04/12/25</t>
  </si>
  <si>
    <t>RB REF JLG6900510,VIA CORE SYSTEM,DATE-TIME 07/12-15:50:25, عن طريق النظام الآ لي ,VALUE DT 07/12/25</t>
  </si>
  <si>
    <t>RB REF JLG6903543,VIA CORE SYSTEM,DATE-TIME 07/12-18:00:40, عن طريق النظام الآ لي ,VALUE DT 07/12/25</t>
  </si>
  <si>
    <t>REF 000000JLC6901611,RB REF JLC6901611,VIA CORE SYSTEM,DATE-TIME 07/12-13:36:18, عن طريق النظام الآ لي ,VALUE DT 07/12/25</t>
  </si>
  <si>
    <t>REF 000000JLC6901612,RB REF JLC6901612,VIA CORE SYSTEM,DATE-TIME 07/12-13:35:10, عن طريق النظام الآ لي ,VALUE DT 07/12/25</t>
  </si>
  <si>
    <t>RB REF JLG6604420,VIA CORE SYSTEM,DATE-TIME 08/12-10:02:55, عن طريق النظام الآ لي ,VALUE DT 08/12/25</t>
  </si>
  <si>
    <t>RB REF JLG6902202,VIA CORE SYSTEM,DATE-TIME 09/12-11:21:13, عن طريق النظام الآ لي ,VALUE DT 09/12/25</t>
  </si>
  <si>
    <t>REF 000000JLC6901492,RB REF JLC6901492,VIA CORE SYSTEM,DATE-TIME 10/12-12:01:55, عن طريق النظام الآ لي ,VALUE DT 10/12/25</t>
  </si>
  <si>
    <t>REF 000000JLC6901610,RB REF JLC6901610,VIA CORE SYSTEM,DATE-TIME 10/12-16:04:01, عن طريق النظام الآ لي ,VALUE DT 10/12/25</t>
  </si>
  <si>
    <t>REF 000000JLC6901616,RB REF JLC6901616,VIA CORE SYSTEM,DATE-TIME 10/12-14:12:29, عن طريق النظام الآ لي ,VALUE DT 10/12/25</t>
  </si>
  <si>
    <t>REF 000000JLC6901431,RB REF JLC6901431,VIA CORE SYSTEM,DATE-TIME 10/12-12:00:59, عن طريق النظام الآ لي ,VALUE DT 10/12/25</t>
  </si>
  <si>
    <t>CITY:Jeddah 6132225J210096017 318467.85 SAR</t>
  </si>
  <si>
    <t>J210096017</t>
  </si>
  <si>
    <t>CITY:Jeddah 6132225J211600000</t>
  </si>
  <si>
    <t>J211600000</t>
  </si>
  <si>
    <t>CITY:Jeddah 6132225J211604000</t>
  </si>
  <si>
    <t>J211604000</t>
  </si>
  <si>
    <t>CITY:Jeddah 6132225J210928001</t>
  </si>
  <si>
    <t>J210928001</t>
  </si>
  <si>
    <t>DC ISSUE COMM CHARGES DCBWPM570384</t>
  </si>
  <si>
    <t>DC ISSUE COMM CHARGES DCBWPM570361</t>
  </si>
  <si>
    <t>DC ISSUE COMM CHARGES DCBWPM570380</t>
  </si>
  <si>
    <t>DC ISSUE COMM CHARGES DCBWPM570369</t>
  </si>
  <si>
    <t>IMP BILL AMEND. CHARGES DPBEPM626949WPM DCBWPM565841</t>
  </si>
  <si>
    <t>SA SABB 262-307200-001 262-307200-001 IKK GLASS - DCBWPM554738</t>
  </si>
  <si>
    <t>SA SABB 262-307200-006 TFR+ SCHUCO MIDDLE EAST LLC DCBWPM554837</t>
  </si>
  <si>
    <t>SA SABB 262-307200-006 TFR+ IKK GLASS - DCBWPM554738</t>
  </si>
  <si>
    <t>DC ISSUE COMM CHARGES DCBWPM570414</t>
  </si>
  <si>
    <t>SA SABB 262-307200-001 262-307200-001 SCHUCO MIDDLE EAST LLC DCBWPM554837</t>
  </si>
  <si>
    <t>DPBCOR626181WPM DCBWPM564600</t>
  </si>
  <si>
    <t>IMP BILL AMEND. CHARGES DPBEPM627467WPM DCBWPM562612</t>
  </si>
  <si>
    <t>IMP BILL RETIRE. CHARGES DPBCOR626181WPM DCBWPM564600</t>
  </si>
  <si>
    <t>DPBCOR621665WPM DCBWPM563064</t>
  </si>
  <si>
    <t>SA SABB 262-307200-006 TFR+ DCBWPM563064 EZDEHAR INDUSTRIAL SERVICES CO</t>
  </si>
  <si>
    <t>DPBCOR621634WPM DCBWPM563026</t>
  </si>
  <si>
    <t>DPBCOR622229WPM DCBWPM563023</t>
  </si>
  <si>
    <t>DPBCOR622786WPM DCBWPM558781</t>
  </si>
  <si>
    <t>SA SABB 262-307200-001 262-307200-001 DCBWPM563064 EZDEHAR INDUSTRIAL SERVICES CO</t>
  </si>
  <si>
    <t>DPBEPM621546WPM DCBWPM563814</t>
  </si>
  <si>
    <t>DPBEPM621028WPM DCBWPM563813</t>
  </si>
  <si>
    <t>DPBEPM620949WPM DCBWPM563822</t>
  </si>
  <si>
    <t>DPBCOR622675WPM DCBWPM562731</t>
  </si>
  <si>
    <t>IMP BILL COMM DPBCOR628026WPM DCBWPM566642</t>
  </si>
  <si>
    <t>DPBEPM620832WPM DCBWPM562626</t>
  </si>
  <si>
    <t>IMP BILL AMEND. CHARGES DPBCOR627986WPM DCBWPM564575</t>
  </si>
  <si>
    <t>GTE AMEND COMM CHARGES PEBGCU504055</t>
  </si>
  <si>
    <t>DPBCOR622971WPM DCBWPM560813</t>
  </si>
  <si>
    <t>PEBGCU504055 PROJECT FLASH PEBGCU504055QUARTERLY COMMISSION,VAT INCLUSIVE</t>
  </si>
  <si>
    <t>DPBCOR621417WPM DCBWPM562605</t>
  </si>
  <si>
    <t>TF2512833005</t>
  </si>
  <si>
    <t xml:space="preserve">TI Bill Settled                                                       
POC004                                                                
At Bank AlJazira                                                      
CORPORATE BANKING DEPT-JEDDAH                                         
Date 10-06-1447(H) Time 11.00.30                                      
Reference ILC-0840-25-7980                                            
</t>
  </si>
  <si>
    <t xml:space="preserve">Dr TI ILC Comm/Other Charges                                          
POC005-281089728                                                      
At Bank Aljazira                                                      
 CORPORATE BANKING DEPT-JEDDAH                                        
Date 13-06-1447(H) Time 11.41.26                                      
Reference ILC-0840-25-7992                                            
Value Date 13-06-1447(H)                                              
Fee Collected By Bank AlJazira                                        
</t>
  </si>
  <si>
    <t xml:space="preserve">Value Added Tax                                                       
On ILC Acceptance Comm.                                               
15% of SAR100.00                                                      
Through CORPORATE BANKING DEPT-JEDDAH                                 
Date 13-06-1447(H) Time 11.41.26                                      
Reference ILC-0840-25-7992                                            
At Bank Aljazira                                                      
</t>
  </si>
  <si>
    <t xml:space="preserve">Dr TI ILC Comm/Other Charges                                          
POC005-281089793                                                      
At Bank Aljazira                                                      
 CORPORATE BANKING DEPT-JEDDAH                                        
Date 13-06-1447(H) Time 11.41.26                                      
Reference ILC-0840-25-7992                                            
Value Date 13-06-1447(H)                                              
Fee Collected By Bank AlJazira                                        
</t>
  </si>
  <si>
    <t xml:space="preserve">Value Added Tax                                                       
On ILC Acceptance Comm.                                               
15% of SAR460.00                                                      
Through CORPORATE BANKING DEPT-JEDDAH                                 
Date 13-06-1447(H) Time 11.41.26                                      
Reference ILC-0840-25-7992                                            
At Bank Aljazira                                                      
</t>
  </si>
  <si>
    <t xml:space="preserve">Dr TI ILC Comm/Other Charges                                          
POC005-281089797                                                      
At Bank Aljazira                                                      
 CORPORATE BANKING DEPT-JEDDAH                                        
Date 13-06-1447(H) Time 11.41.27                                      
Reference ILC-0840-25-7992                                            
Value Date 13-06-1447(H)                                              
Fee Collected By Bank AlJazira                                        
</t>
  </si>
  <si>
    <t xml:space="preserve">Value Added Tax                                                       
On SWIFT charges                                                      
15% of SAR200.00                                                      
Through CORPORATE BANKING DEPT-JEDDAH                                 
Date 13-06-1447(H) Time 11.41.27                                      
Reference ILC-0840-25-7992                                            
At Bank Aljazira                                                      
</t>
  </si>
  <si>
    <t xml:space="preserve">Dr TI ILC Comm/Other Charges                                          
AMD001-281306259                                                      
At Bank Aljazira                                                      
 CORPORATE BANKING DEPT-JEDDAH                                        
Exchange Rate 1.0                                                     
Date 16-06-1447(H) Time 12.37.37                                      
Reference ILC-0840-25-8166                                            
Value Date 16-06-1447(H)                                              
Fee Collected By Bank AlJazira                                        
</t>
  </si>
  <si>
    <t xml:space="preserve">Value Added Tax                                                       
On ILC Commission                                                     
15% of SAR500.00                                                      
Through CORPORATE BANKING DEPT-JEDDAH                                 
Date 16-06-1447(H) Time 12.37.38                                      
Reference ILC-0840-25-8166                                            
At Bank Aljazira                                                      
Exchange Rate 1.0                                                     
</t>
  </si>
  <si>
    <t xml:space="preserve">Dr TI ILC Comm/Other Charges                                          
AMD001-281306269                                                      
At Bank Aljazira                                                      
 CORPORATE BANKING DEPT-JEDDAH                                        
Exchange Rate 1.0                                                     
Date 16-06-1447(H) Time 12.37.38                                      
Reference ILC-0840-25-8166                                            
Value Date 16-06-1447(H)                                              
Fee Collected By Bank AlJazira                                        
</t>
  </si>
  <si>
    <t xml:space="preserve">Value Added Tax                                                       
On SWIFT charges                                                      
15% of SAR400.00                                                      
Through CORPORATE BANKING DEPT-JEDDAH                                 
Date 16-06-1447(H) Time 12.37.39                                      
Reference ILC-0840-25-8166                                            
At Bank Aljazira                                                      
Exchange Rate 1.0                                                     
</t>
  </si>
  <si>
    <t xml:space="preserve">Dr TI ILC Comm/Other Charges                                          
AMD001-281306970                                                      
At Bank Aljazira                                                      
 CORPORATE BANKING DEPT-JEDDAH                                        
Exchange Rate 1.0                                                     
Date 16-06-1447(H) Time 12.38.24                                      
Reference ILC-0840-25-8165                                            
Value Date 16-06-1447(H)                                              
Fee Collected By Bank AlJazira                                        
</t>
  </si>
  <si>
    <t xml:space="preserve">Value Added Tax                                                       
On ILC Commission                                                     
15% of SAR937.50                                                      
Through CORPORATE BANKING DEPT-JEDDAH                                 
Date 16-06-1447(H) Time 12.38.24                                      
Reference ILC-0840-25-8165                                            
At Bank Aljazira                                                      
Exchange Rate 1.0                                                     
</t>
  </si>
  <si>
    <t xml:space="preserve">Dr TI ILC Comm/Other Charges                                          
AMD001-281306972                                                      
At Bank Aljazira                                                      
 CORPORATE BANKING DEPT-JEDDAH                                        
Exchange Rate 1.0                                                     
Date 16-06-1447(H) Time 12.38.25                                      
Reference ILC-0840-25-8165                                            
Value Date 16-06-1447(H)                                              
Fee Collected By Bank AlJazira                                        
</t>
  </si>
  <si>
    <t xml:space="preserve">Value Added Tax                                                       
On SWIFT charges                                                      
15% of SAR400.00                                                      
Through CORPORATE BANKING DEPT-JEDDAH                                 
Date 16-06-1447(H) Time 12.38.25                                      
Reference ILC-0840-25-8165                                            
At Bank Aljazira                                                      
Exchange Rate 1.0                                                     
</t>
  </si>
  <si>
    <t xml:space="preserve">Dr TI ILC Comm/Other Charges                                          
AMD001-281308776                                                      
At Bank Aljazira                                                      
 CORPORATE BANKING DEPT-JEDDAH                                        
Exchange Rate 1.0                                                     
Date 16-06-1447(H) Time 12.39.08                                      
Reference ILC-0840-25-8160                                            
Value Date 16-06-1447(H)                                              
Fee Collected By Bank AlJazira                                        
</t>
  </si>
  <si>
    <t xml:space="preserve">Value Added Tax                                                       
On ILC Commission                                                     
15% of SAR500.00                                                      
Through CORPORATE BANKING DEPT-JEDDAH                                 
Date 16-06-1447(H) Time 12.39.08                                      
Reference ILC-0840-25-8160                                            
At Bank Aljazira                                                      
Exchange Rate 1.0                                                     
</t>
  </si>
  <si>
    <t xml:space="preserve">Dr TI ILC Comm/Other Charges                                          
AMD001-281308778                                                      
At Bank Aljazira                                                      
 CORPORATE BANKING DEPT-JEDDAH                                        
Exchange Rate 1.0                                                     
Date 16-06-1447(H) Time 12.39.09                                      
Reference ILC-0840-25-8160                                            
Value Date 16-06-1447(H)                                              
Fee Collected By Bank AlJazira                                        
</t>
  </si>
  <si>
    <t xml:space="preserve">Value Added Tax                                                       
On SWIFT charges                                                      
15% of SAR400.00                                                      
Through CORPORATE BANKING DEPT-JEDDAH                                 
Date 16-06-1447(H) Time 12.39.09                                      
Reference ILC-0840-25-8160                                            
At Bank Aljazira                                                      
Exchange Rate 1.0                                                     
</t>
  </si>
  <si>
    <t xml:space="preserve">Dr TI ILC Comm/Other Charges                                          
AMD001-281309806                                                      
At Bank Aljazira                                                      
 CORPORATE BANKING DEPT-JEDDAH                                        
Exchange Rate 1.0                                                     
Date 16-06-1447(H) Time 12.39.44                                      
Reference ILC-0840-25-8164                                            
Value Date 16-06-1447(H)                                              
Fee Collected By Bank AlJazira                                        
</t>
  </si>
  <si>
    <t xml:space="preserve">Value Added Tax                                                       
On ILC Commission                                                     
15% of SAR626.44                                                      
Through CORPORATE BANKING DEPT-JEDDAH                                 
Date 16-06-1447(H) Time 12.39.45                                      
Reference ILC-0840-25-8164                                            
At Bank Aljazira                                                      
Exchange Rate 1.0                                                     
</t>
  </si>
  <si>
    <t xml:space="preserve">Dr TI ILC Comm/Other Charges                                          
AMD001-281309808                                                      
At Bank Aljazira                                                      
 CORPORATE BANKING DEPT-JEDDAH                                        
Exchange Rate 1.0                                                     
Date 16-06-1447(H) Time 12.39.45                                      
Reference ILC-0840-25-8164                                            
Value Date 16-06-1447(H)                                              
Fee Collected By Bank AlJazira                                        
</t>
  </si>
  <si>
    <t xml:space="preserve">Value Added Tax                                                       
On SWIFT charges                                                      
15% of SAR400.00                                                      
Through CORPORATE BANKING DEPT-JEDDAH                                 
Date 16-06-1447(H) Time 12.39.46                                      
Reference ILC-0840-25-8164                                            
At Bank Aljazira                                                      
Exchange Rate 1.0                                                     
</t>
  </si>
  <si>
    <t xml:space="preserve">Dr TI ILC Comm/Other Charges                                          
POC001-281427935                                                      
At Bank Aljazira                                                      
 CORPORATE BANKING DEPT-JEDDAH                                        
Date 17-06-1447(H) Time 10.07.51                                      
Reference ILC-0840-25-7407                                            
Value Date 17-06-1447(H)                                              
Fee Collected By Bank AlJazira                                        
</t>
  </si>
  <si>
    <t xml:space="preserve">Value Added Tax                                                       
On ILC Acceptance Comm.                                               
15% of SAR100.00                                                      
Through CORPORATE BANKING DEPT-JEDDAH                                 
Date 17-06-1447(H) Time 10.07.52                                      
Reference ILC-0840-25-7407                                            
At Bank Aljazira                                                      
</t>
  </si>
  <si>
    <t xml:space="preserve">Dr TI ILC Comm/Other Charges                                          
POC001-281428457                                                      
At Bank Aljazira                                                      
 CORPORATE BANKING DEPT-JEDDAH                                        
Date 17-06-1447(H) Time 10.07.52                                      
Reference ILC-0840-25-7407                                            
Value Date 17-06-1447(H)                                              
Fee Collected By Bank AlJazira                                        
</t>
  </si>
  <si>
    <t xml:space="preserve">Value Added Tax                                                       
On ILC Acceptance Comm.                                               
15% of SAR250.00                                                      
Through CORPORATE BANKING DEPT-JEDDAH                                 
Date 17-06-1447(H) Time 10.07.52                                      
Reference ILC-0840-25-7407                                            
At Bank Aljazira                                                      
</t>
  </si>
  <si>
    <t xml:space="preserve">Dr TI ILC Comm/Other Charges                                          
POC001-281428459                                                      
At Bank Aljazira                                                      
 CORPORATE BANKING DEPT-JEDDAH                                        
Date 17-06-1447(H) Time 10.07.52                                      
Reference ILC-0840-25-7407                                            
Value Date 17-06-1447(H)                                              
Fee Collected By Bank AlJazira                                        
</t>
  </si>
  <si>
    <t xml:space="preserve">Value Added Tax                                                       
On SWIFT charges                                                      
15% of SAR200.00                                                      
Through CORPORATE BANKING DEPT-JEDDAH                                 
Date 17-06-1447(H) Time 10.07.53                                      
Reference ILC-0840-25-7407                                            
At Bank Aljazira                                                      
</t>
  </si>
  <si>
    <t xml:space="preserve">Dr TI LGI Commission (Earned)                                         
ISS001-281611737                                                      
At Bank AlJazira                                                      
CORPORATE BANKING DEPT-JEDDAH                                         
Date 18-06-1447(H) Time 13.44.46                                      
Reference LGI-0840-25-7282                                            
</t>
  </si>
  <si>
    <t xml:space="preserve">Value Added Tax                                                       
On LGI ISSUANCE COMMISSION                                            
15% of SAR12,124.00                                                   
Through CORPORATE BANKING DEPT-JEDDAH                                 
Date 18-06-1447(H) Time 13.44.47                                      
Reference LGI-0840-25-7282                                            
At Bank Aljazira                                                      
Exchange Rate 1.0                                                     
</t>
  </si>
  <si>
    <t xml:space="preserve">Dr TI LGI Comm/Other Charges                                          
ISS001-281611739                                                      
At Bank AlJazira                                                      
CORPORATE BANKING DEPT-JEDDAH                                         
Date 18-06-1447(H) Time 13.44.47                                      
Reference LGI-0840-25-7282                                            
</t>
  </si>
  <si>
    <t xml:space="preserve">Value Added Tax                                                       
On LG Processing/Facility Fees                                        
15% of SAR26,973.97                                                   
Through CORPORATE BANKING DEPT-JEDDAH                                 
Date 18-06-1447(H) Time 13.44.47                                      
Reference LGI-0840-25-7282                                            
At Bank Aljazira                                                      
Exchange Rate 1.0                                                     
</t>
  </si>
  <si>
    <t xml:space="preserve">LGI-0840-25-7282 </t>
  </si>
  <si>
    <t>Transfer</t>
  </si>
  <si>
    <t>LGI-0840-25-7282</t>
  </si>
  <si>
    <t>LC SWIFT CHARGES FOR LC NO. TF252110001101\BNK</t>
  </si>
  <si>
    <t>REIMBURSE UNDER LCS DR FOR LC NO. TF252110001101\BNK</t>
  </si>
  <si>
    <t>LC SWIFT CHARGES FOR LC NO. TF252710002402\BNK</t>
  </si>
  <si>
    <t>REIMBURSE UNDER LCS DR FOR LC NO. TF252710002402\BNK</t>
  </si>
  <si>
    <t xml:space="preserve">TI Bill Settled                                                       
POC006                                                                
At Bank AlJazira                                                      
CORPORATE BANKING DEPT-JEDDAH                                         
Date 20-06-1447(H) Time 09.33.45                                      
Reference ILC-0840-25-7992                                            
</t>
  </si>
  <si>
    <t xml:space="preserve">TI Bill Settled                                                       
POC002                                                                
At Bank AlJazira                                                      
CORPORATE BANKING DEPT-JEDDAH                                         
Date 20-06-1447(H) Time 09.34.25                                      
Reference ILC-0840-25-8161                                            
</t>
  </si>
  <si>
    <t xml:space="preserve">Dr TI ILC Comm/Other Charges                                          
POC006-281855564                                                      
At Bank Aljazira                                                      
 CORPORATE BANKING DEPT-JEDDAH                                        
Date 20-06-1447(H) Time 12.26.55                                      
Reference ILC-0840-25-8159                                            
Value Date 20-06-1447(H)                                              
Fee Collected By Bank AlJazira                                        
</t>
  </si>
  <si>
    <t xml:space="preserve">Value Added Tax                                                       
On ILC Acceptance Comm.                                               
15% of SAR100.00                                                      
Through CORPORATE BANKING DEPT-JEDDAH                                 
Date 20-06-1447(H) Time 12.26.55                                      
Reference ILC-0840-25-8159                                            
At Bank Aljazira                                                      
</t>
  </si>
  <si>
    <t xml:space="preserve">Dr TI ILC Comm/Other Charges                                          
POC006-281855612                                                      
At Bank Aljazira                                                      
 CORPORATE BANKING DEPT-JEDDAH                                        
Date 20-06-1447(H) Time 12.26.55                                      
Reference ILC-0840-25-8159                                            
Value Date 20-06-1447(H)                                              
Fee Collected By Bank AlJazira                                        
</t>
  </si>
  <si>
    <t xml:space="preserve">Value Added Tax                                                       
On ILC Acceptance Comm.                                               
15% of SAR250.00                                                      
Through CORPORATE BANKING DEPT-JEDDAH                                 
Date 20-06-1447(H) Time 12.26.55                                      
Reference ILC-0840-25-8159                                            
At Bank Aljazira                                                      
</t>
  </si>
  <si>
    <t xml:space="preserve">Dr TI ILC Comm/Other Charges                                          
POC006-281855627                                                      
At Bank Aljazira                                                      
 CORPORATE BANKING DEPT-JEDDAH                                        
Date 20-06-1447(H) Time 12.26.56                                      
Reference ILC-0840-25-8159                                            
Value Date 20-06-1447(H)                                              
Fee Collected By Bank AlJazira                                        
</t>
  </si>
  <si>
    <t xml:space="preserve">Value Added Tax                                                       
On SWIFT charges                                                      
15% of SAR200.00                                                      
Through CORPORATE BANKING DEPT-JEDDAH                                 
Date 20-06-1447(H) Time 12.26.56                                      
Reference ILC-0840-25-8159                                            
At Bank Aljazira                                                      
</t>
  </si>
  <si>
    <t xml:space="preserve">Dr TI ILC Comm/Other Charges                                          
POC001-281857973                                                      
At Bank Aljazira                                                      
 CORPORATE BANKING DEPT-JEDDAH                                        
Date 20-06-1447(H) Time 12.27.38                                      
Reference ILC-0840-25-8471                                            
Value Date 20-06-1447(H)                                              
Fee Collected By Bank AlJazira                                        
</t>
  </si>
  <si>
    <t xml:space="preserve">Value Added Tax                                                       
On ILC Acceptance Comm.                                               
15% of SAR100.00                                                      
Through CORPORATE BANKING DEPT-JEDDAH                                 
Date 20-06-1447(H) Time 12.27.38                                      
Reference ILC-0840-25-8471                                            
At Bank Aljazira                                                      
</t>
  </si>
  <si>
    <t xml:space="preserve">Dr TI ILC Comm/Other Charges                                          
POC001-281858163                                                      
At Bank Aljazira                                                      
 CORPORATE BANKING DEPT-JEDDAH                                        
Date 20-06-1447(H) Time 12.27.38                                      
Reference ILC-0840-25-8471                                            
Value Date 20-06-1447(H)                                              
Fee Collected By Bank AlJazira                                        
</t>
  </si>
  <si>
    <t xml:space="preserve">Value Added Tax                                                       
On ILC Acceptance Comm.                                               
15% of SAR2,500.00                                                    
Through CORPORATE BANKING DEPT-JEDDAH                                 
Date 20-06-1447(H) Time 12.27.38                                      
Reference ILC-0840-25-8471                                            
At Bank Aljazira                                                      
</t>
  </si>
  <si>
    <t xml:space="preserve">Dr TI ILC Comm/Other Charges                                          
POC001-281858165                                                      
At Bank Aljazira                                                      
 CORPORATE BANKING DEPT-JEDDAH                                        
Date 20-06-1447(H) Time 12.27.39                                      
Reference ILC-0840-25-8471                                            
Value Date 20-06-1447(H)                                              
Fee Collected By Bank AlJazira                                        
</t>
  </si>
  <si>
    <t xml:space="preserve">Value Added Tax                                                       
On SWIFT charges                                                      
15% of SAR200.00                                                      
Through CORPORATE BANKING DEPT-JEDDAH                                 
Date 20-06-1447(H) Time 12.27.39                                      
Reference ILC-0840-25-8471                                            
At Bank Aljazira                                                      
</t>
  </si>
  <si>
    <t>LG-Amendent</t>
  </si>
  <si>
    <t>Master Guarantee Pending</t>
  </si>
  <si>
    <t>REF 000000JLC6901492,RB REF JLC6901492,VIA CORE SYSTEM,DATE-TIME 14/12-16:34:54, عن طريق النظام الآ لي ,VALUE DT 14/12/25</t>
  </si>
  <si>
    <t>RB REF JLG6902202,VIA CORE SYSTEM,DATE-TIME 14/12-11:00:02, عن طريق النظام الآ لي ,VALUE DT 14/12/25</t>
  </si>
  <si>
    <t>RB REF JLG6903583,VIA CORE SYSTEM,DATE-TIME 14/12-13:46:09, عن طريق النظام الآ لي ,VALUE DT 14/12/25</t>
  </si>
  <si>
    <t>IMP BILL AMEND. CHARGES DPBEPM627759WPM DCBWPM563040</t>
  </si>
  <si>
    <t>IMP BILL AMEND. CHARGES DPBEPM628104WPM DCBWPM563027</t>
  </si>
  <si>
    <t>IMP BILL COMM DPBEPM628463WPM DCBWPM565832</t>
  </si>
  <si>
    <t>IMP BILL AMEND. CHARGES DPBCOR628144WPM DCBWPM567556</t>
  </si>
  <si>
    <t>LC SWIFT CHARGES FOR LC NO. TF251350003902\BNK</t>
  </si>
  <si>
    <t>REIMBURSE UNDER LCS DR FOR LC NO. TF251350003902\BNK</t>
  </si>
  <si>
    <t>RB REF JLG6902732,VIA CORE SYSTEM,DATE-TIME 15/12-13:25:24, عن طريق النظام الآ لي ,VALUE DT 15/12/25</t>
  </si>
  <si>
    <t>RB REF JLG6901738,VIA CORE SYSTEM,DATE-TIME 15/12-13:25:34, عن طريق النظام الآ لي ,VALUE DT 15/12/25</t>
  </si>
  <si>
    <t>RB REF JLG6602654,VIA CORE SYSTEM,DATE-TIME 15/12-15:28:14, عن طريق النظام الآ لي ,VALUE DT 15/12/25</t>
  </si>
  <si>
    <t>RB REF JLG6800803,VIA CORE SYSTEM,DATE-TIME 15/12-13:28:28, عن طريق النظام الآ لي ,VALUE DT 15/12/25</t>
  </si>
  <si>
    <t>RB REF JLG6601246,VIA CORE SYSTEM,DATE-TIME 15/12-15:27:59, عن طريق النظام الآ لي ,VALUE DT 15/12/25</t>
  </si>
  <si>
    <t>DPBCOR622346WPM DCBWPM562600</t>
  </si>
  <si>
    <t>REF 000000JLC6901431,RB REF JLC6901431,VIA CORE SYSTEM,DATE-TIME 16/12-13:04:04, عن طريق النظام الآ لي ,VALUE DT 16/12/25</t>
  </si>
  <si>
    <t>REF 000000JLC6901431,RB REF JLC6901431,VIA CORE SYSTEM,DATE-TIME 16/12-13:05:03, عن طريق النظام الآ لي ,VALUE DT 16/12/25</t>
  </si>
  <si>
    <t>CITY:Jeddah 6132225J210611003</t>
  </si>
  <si>
    <t>J210611003</t>
  </si>
  <si>
    <t>DPBEPM619433WPM DCBWPM563228</t>
  </si>
  <si>
    <t>IMP BILL AMEND. CHARGES DPBCOR628476WPM DCBWPM565824</t>
  </si>
  <si>
    <t>DC AMENDMENT COMM CHARGES DCBWPM563695</t>
  </si>
  <si>
    <t>DPBEPM624627WPM DCBWPM562620</t>
  </si>
  <si>
    <t>DPBCOR620578WPM DCBWPM563019</t>
  </si>
  <si>
    <t>IMP BILL AMEND. CHARGES DPBCOR628519WPM DCBWPM555615</t>
  </si>
  <si>
    <t xml:space="preserve">TI Bill Settled                                                       
POC009                                                                
At Bank AlJazira                                                      
CORPORATE BANKING DEPT-JEDDAH                                         
Date 25-06-1447(H) Time 09.31.57                                      
Reference ILC-0840-25-7352                                            
</t>
  </si>
  <si>
    <t xml:space="preserve">IM2512733008-03      </t>
  </si>
  <si>
    <t>REF 000000JLC6901492,RB REF JLC6901492,VIA CORE SYSTEM,DATE-TIME 17/12-10:56:13, عن طريق النظام الآ لي ,VALUE DT 17/12/25</t>
  </si>
  <si>
    <t>DPBCOR622284WPM DCBWPM563935</t>
  </si>
  <si>
    <t>DPBCOR623965WPM DCBWPM563936</t>
  </si>
  <si>
    <t>DPBEPM621951WPM DCBWPM564585</t>
  </si>
  <si>
    <t xml:space="preserve">Dr TI ILC Comm/Other Charges                                          
POC001-282623341                                                      
At Bank Aljazira                                                      
 CORPORATE BANKING DEPT-JEDDAH                                        
Date 26-06-1447(H) Time 16.06.57                                      
Reference ILC-0840-25-8160                                            
Value Date 26-06-1447(H)                                              
Fee Collected By Bank AlJazira                                        
</t>
  </si>
  <si>
    <t xml:space="preserve">Value Added Tax                                                       
On ILC Acceptance Comm.                                               
15% of SAR100.00                                                      
Through CORPORATE BANKING DEPT-JEDDAH                                 
Date 26-06-1447(H) Time 16.06.57                                      
Reference ILC-0840-25-8160                                            
At Bank Aljazira                                                      
</t>
  </si>
  <si>
    <t xml:space="preserve">Dr TI ILC Comm/Other Charges                                          
POC001-282623743                                                      
At Bank Aljazira                                                      
 CORPORATE BANKING DEPT-JEDDAH                                        
Date 26-06-1447(H) Time 16.06.57                                      
Reference ILC-0840-25-8160                                            
Value Date 26-06-1447(H)                                              
Fee Collected By Bank AlJazira                                        
</t>
  </si>
  <si>
    <t xml:space="preserve">Value Added Tax                                                       
On ILC Acceptance Comm.                                               
15% of SAR314.00                                                      
Through CORPORATE BANKING DEPT-JEDDAH                                 
Date 26-06-1447(H) Time 16.06.57                                      
Reference ILC-0840-25-8160                                            
At Bank Aljazira                                                      
</t>
  </si>
  <si>
    <t xml:space="preserve">Dr TI ILC Comm/Other Charges                                          
POC001-282623745                                                      
At Bank Aljazira                                                      
 CORPORATE BANKING DEPT-JEDDAH                                        
Date 26-06-1447(H) Time 16.06.58                                      
Reference ILC-0840-25-8160                                            
Value Date 26-06-1447(H)                                              
Fee Collected By Bank AlJazira                                        
</t>
  </si>
  <si>
    <t xml:space="preserve">Value Added Tax                                                       
On SWIFT charges                                                      
15% of SAR200.00                                                      
Through CORPORATE BANKING DEPT-JEDDAH                                 
Date 26-06-1447(H) Time 16.06.58                                      
Reference ILC-0840-25-8160                                            
At Bank Aljazira                                                      
</t>
  </si>
  <si>
    <t>J211681</t>
  </si>
  <si>
    <t>overdue charges SAR 22,416.71</t>
  </si>
  <si>
    <t>TF2534800029</t>
  </si>
  <si>
    <t>TF2535200018</t>
  </si>
  <si>
    <t>TF2535200019</t>
  </si>
  <si>
    <t>Documents</t>
  </si>
  <si>
    <t xml:space="preserve">CUSTOMER = 3972500 DEAL AMT = 38000.00 DEAL CCY = SAR TAX CODE = 1 </t>
  </si>
  <si>
    <t>LC SWIFT CHARGES FOR LC NO. TF2534800029\BNK</t>
  </si>
  <si>
    <t>LC OPENING COMMISSION - DEBIT FOR LC NO. TF2534800029\BNK</t>
  </si>
  <si>
    <t xml:space="preserve">CUSTOMER = 3972500 DEAL AMT = 2062.49 DEAL CCY = SAR TAX CODE = 1 </t>
  </si>
  <si>
    <t>LC SWIFT CHARGES FOR LC NO. TF2535200018\BNK</t>
  </si>
  <si>
    <t>LC OPENING COMMISSION - DEBIT FOR LC NO. TF2535200018\BNK</t>
  </si>
  <si>
    <t xml:space="preserve">CUSTOMER = 3972500 DEAL AMT = 9574.00 DEAL CCY = SAR TAX CODE = 1 </t>
  </si>
  <si>
    <t>LC SWIFT CHARGES FOR LC NO. TF2535200019\BNK</t>
  </si>
  <si>
    <t>LC OPENING COMMISSION - DEBIT FOR LC NO. TF2535200019\BNK</t>
  </si>
  <si>
    <t>REF 000000JLC6901492,RB REF JLC6901492,VIA CORE SYSTEM,DATE-TIME 18/12-10:11:16, عن طريق النظام الآ لي ,VALUE DT 18/12/25</t>
  </si>
  <si>
    <t>CITY:Jeddah 6132225J211681000</t>
  </si>
  <si>
    <t>J211681000</t>
  </si>
  <si>
    <t>SA SABB 262-307200-001 262-307200-001 EVOLVING CONSTELLATION CO DCBWPM563374</t>
  </si>
  <si>
    <t>DPBEPM624817WPM DCBWPM563374</t>
  </si>
  <si>
    <t>SA SABB 262-307200-006 TFR+ EVOLVING CONSTELLATION CO DCBWPM563374</t>
  </si>
  <si>
    <t xml:space="preserve">TI Bill Settled                                                       
POC004                                                                
At Bank AlJazira                                                      
CORPORATE BANKING DEPT-JEDDAH                                         
Date 27-06-1447(H) Time 10.11.18                                      
Reference ILC-0840-25-7570                                            
</t>
  </si>
  <si>
    <t>XXXXXXXXX9001</t>
  </si>
  <si>
    <t>BT Commission Debit</t>
  </si>
  <si>
    <t>BT SWIFT Chg Debit</t>
  </si>
  <si>
    <t>BT Courier Chg Debit</t>
  </si>
  <si>
    <t>Value Added Tax (VAT)</t>
  </si>
  <si>
    <t>TF2535200021</t>
  </si>
  <si>
    <t>LC SWIFT CHARGES FOR LC NO. TF251730003801\BNK</t>
  </si>
  <si>
    <t>REIMBURSE UNDER LCS DR FOR LC NO. TF251730003801\BNK</t>
  </si>
  <si>
    <t xml:space="preserve">CUSTOMER = 3972500 DEAL AMT = 28000.00 DEAL CCY = EUR TAX CODE = 1 </t>
  </si>
  <si>
    <t>LC SWIFT CHARGES FOR LC NO. TF2535200021\BNK</t>
  </si>
  <si>
    <t>LC OPENING COMMISSION - DEBIT FOR LC NO. TF2535200021\BNK</t>
  </si>
  <si>
    <t>REF 000000JLC6901431,RB REF JLC6901431,VIA CORE SYSTEM,DATE-TIME 21/12-12:48:54, عن طريق النظام الآ لي ,VALUE DT 21/12/25</t>
  </si>
  <si>
    <t>CITY:Jeddah 6132225J211600001</t>
  </si>
  <si>
    <t>J211600001</t>
  </si>
  <si>
    <t>CITY:Jeddah 6132225J210944002</t>
  </si>
  <si>
    <t>J210944002</t>
  </si>
  <si>
    <t>19100000155300 DEP ID:4030219311 CHNL:SNB Payment Systems LC Charges - J211681</t>
  </si>
  <si>
    <t>19100000060709 BEN ID:4030219311 LC Charges - J211681</t>
  </si>
  <si>
    <t>65800000723001</t>
  </si>
  <si>
    <t>CITY:Jeddah 6132225J210104000 8358.35 SAR</t>
  </si>
  <si>
    <t>DPBCOR620388WPM DCBWPM563030</t>
  </si>
  <si>
    <t>DPBEPM624827WPM DCBWPM563374</t>
  </si>
  <si>
    <t>Advising Charges</t>
  </si>
  <si>
    <t>Green Concrete CJSC</t>
  </si>
  <si>
    <t>60 Days From Invoice Date</t>
  </si>
  <si>
    <t>BeWunder Turnkey Projects Arabia Contracting Company</t>
  </si>
  <si>
    <t>Count of LC</t>
  </si>
  <si>
    <t>TF251460005901</t>
  </si>
  <si>
    <t>LC ACCEPTANCE COMMISSION FOR LC NO. TF251460005901\BNK</t>
  </si>
  <si>
    <t>CITY:Jeddah 6132225J210676001</t>
  </si>
  <si>
    <t>J210676001</t>
  </si>
  <si>
    <t>19100000155300 DEP ID:4030219311 CHNL:SNB Payment Systems J211600 LC Charges</t>
  </si>
  <si>
    <t>J211600 LC</t>
  </si>
  <si>
    <t>19100000033209 BEN ID:4030219311 J211600 LC Charges</t>
  </si>
  <si>
    <t>DPBCOR623810WPM DCBWPM558759</t>
  </si>
  <si>
    <t>Acceptance Commission</t>
  </si>
  <si>
    <t>SWIFT</t>
  </si>
  <si>
    <t>Document Handling</t>
  </si>
  <si>
    <t>SAB - 0.0625%</t>
  </si>
  <si>
    <t>LC SWIFT CHARGES FOR LC NO. TF252360002901\BNK</t>
  </si>
  <si>
    <t>REIMBURSE UNDER LCS DR FOR LC NO. TF252360002901\BNK</t>
  </si>
  <si>
    <t xml:space="preserve">CUSTOMER = 3972500 DEAL AMT = 1458.14 DEAL CCY = SAR TAX CODE = 1 </t>
  </si>
  <si>
    <t>TF252650001901</t>
  </si>
  <si>
    <t>LC ACCEPTANCE COMMISSION FOR LC NO. TF252650001901\BNK</t>
  </si>
  <si>
    <t>IMP BILL COMM DPBCOR629221WPM DCBWPM567554</t>
  </si>
  <si>
    <t xml:space="preserve">Dr TI ILC Comm/Other Charges                                          
AMD001-283248869                                                      
At Bank Aljazira                                                      
 CORPORATE BANKING DEPT-JEDDAH                                        
Exchange Rate 1.0                                                     
Date 03-07-1447(H) Time 12.45.59                                      
Reference ILC-0840-25-8159                                            
Value Date 03-07-1447(H)                                              
Fee Collected By Bank AlJazira                                        
</t>
  </si>
  <si>
    <t xml:space="preserve">Value Added Tax                                                       
On ILC Commission                                                     
15% of SAR15,248.85                                                   
Through CORPORATE BANKING DEPT-JEDDAH                                 
Date 03-07-1447(H) Time 12.46.00                                      
Reference ILC-0840-25-8159                                            
At Bank Aljazira                                                      
Exchange Rate 1.0                                                     
</t>
  </si>
  <si>
    <t xml:space="preserve">Dr TI ILC Comm/Other Charges                                          
AMD001-283248871                                                      
At Bank Aljazira                                                      
 CORPORATE BANKING DEPT-JEDDAH                                        
Exchange Rate 1.0                                                     
Date 03-07-1447(H) Time 12.46.00                                      
Reference ILC-0840-25-8159                                            
Value Date 03-07-1447(H)                                              
Fee Collected By Bank AlJazira                                        
</t>
  </si>
  <si>
    <t xml:space="preserve">Value Added Tax                                                       
On SWIFT charges                                                      
15% of SAR400.00                                                      
Through CORPORATE BANKING DEPT-JEDDAH                                 
Date 03-07-1447(H) Time 12.46.00                                      
Reference ILC-0840-25-8159                                            
At Bank Aljazira                                                      
Exchange Rate 1.0                                                     
</t>
  </si>
  <si>
    <t xml:space="preserve">Dr TI ILC Comm/Other Charges                                          
POC001-283268261                                                      
At Bank Aljazira                                                      
 CORPORATE BANKING DEPT-JEDDAH                                        
Date 03-07-1447(H) Time 13.10.29                                      
Reference ILC-0840-25-8470                                            
Value Date 03-07-1447(H)                                              
Fee Collected By Bank AlJazira                                        
</t>
  </si>
  <si>
    <t xml:space="preserve">Value Added Tax                                                       
On ILC Acceptance Comm.                                               
15% of SAR100.00                                                      
Through CORPORATE BANKING DEPT-JEDDAH                                 
Date 03-07-1447(H) Time 13.10.30                                      
Reference ILC-0840-25-8470                                            
At Bank Aljazira                                                      
</t>
  </si>
  <si>
    <t xml:space="preserve">Dr TI ILC Comm/Other Charges                                          
POC001-283268301                                                      
At Bank Aljazira                                                      
 CORPORATE BANKING DEPT-JEDDAH                                        
Date 03-07-1447(H) Time 13.10.30                                      
Reference ILC-0840-25-8470                                            
Value Date 03-07-1447(H)                                              
Fee Collected By Bank AlJazira                                        
</t>
  </si>
  <si>
    <t xml:space="preserve">Value Added Tax                                                       
On ILC Acceptance Comm.                                               
15% of SAR658.00                                                      
Through CORPORATE BANKING DEPT-JEDDAH                                 
Date 03-07-1447(H) Time 13.10.31                                      
Reference ILC-0840-25-8470                                            
At Bank Aljazira                                                      
</t>
  </si>
  <si>
    <t xml:space="preserve">Dr TI ILC Comm/Other Charges                                          
POC001-283268303                                                      
At Bank Aljazira                                                      
 CORPORATE BANKING DEPT-JEDDAH                                        
Date 03-07-1447(H) Time 13.10.31                                      
Reference ILC-0840-25-8470                                            
Value Date 03-07-1447(H)                                              
Fee Collected By Bank AlJazira                                        
</t>
  </si>
  <si>
    <t xml:space="preserve">Value Added Tax                                                       
On SWIFT charges                                                      
15% of SAR200.00                                                      
Through CORPORATE BANKING DEPT-JEDDAH                                 
Date 03-07-1447(H) Time 13.10.31                                      
Reference ILC-0840-25-8470                                            
At Bank Aljazira                                                      
</t>
  </si>
  <si>
    <t>MBL/AICS</t>
  </si>
  <si>
    <t>MBL/Premium</t>
  </si>
  <si>
    <t>MBL/Morganti</t>
  </si>
  <si>
    <t>Haytham Salem</t>
  </si>
  <si>
    <t>DPBEPM622287WPM DCBWPM563813</t>
  </si>
  <si>
    <t>DPBCOR621939WPM DCBWPM562628</t>
  </si>
  <si>
    <t xml:space="preserve">TI Bill Settled                                                       
POC006                                                                
At Bank AlJazira                                                      
CORPORATE BANKING DEPT-JEDDAH                                         
Date 04-07-1447(H) Time 09.53.11                                      
Reference ILC-0840-25-7799                                            
</t>
  </si>
  <si>
    <t>to bank on 25-12 | Exp: 21-09 &amp; LDS 31-08</t>
  </si>
  <si>
    <t>TF2535900016</t>
  </si>
  <si>
    <t>TF2535900014</t>
  </si>
  <si>
    <t>90 Days from Appln Rep Sign on Invoice</t>
  </si>
  <si>
    <t>Mahmoud Altaheni &amp; Partners Trading Co.</t>
  </si>
  <si>
    <t>SKM Air Conditioning Company</t>
  </si>
  <si>
    <t>Teqniye Al-Majra For Contracting</t>
  </si>
  <si>
    <t>0.5 per month min 250</t>
  </si>
  <si>
    <t>Discrepancy</t>
  </si>
  <si>
    <t>SAMA-Jazira</t>
  </si>
  <si>
    <t>0.5 per month min 1250</t>
  </si>
  <si>
    <t>150 (Local 75)</t>
  </si>
  <si>
    <t>-</t>
  </si>
  <si>
    <t>75 Intl 150</t>
  </si>
  <si>
    <t>Done</t>
  </si>
  <si>
    <t>LC SWIFT CHARGES FOR LC NO. TF252650001901\BNK</t>
  </si>
  <si>
    <t>REIMBURSE UNDER LCS DR FOR LC NO. TF252650001901\BNK</t>
  </si>
  <si>
    <t xml:space="preserve">CUSTOMER = 3972500 DEAL AMT = 46666.67 DEAL CCY = SAR TAX CODE = 1 </t>
  </si>
  <si>
    <t>TF253140001403</t>
  </si>
  <si>
    <t>LC ACCEPTANCE COMMISSION FOR LC NO. TF253140001403\BNK</t>
  </si>
  <si>
    <t xml:space="preserve">CUSTOMER = 3972500 DEAL AMT = 29162.87 DEAL CCY = GBP TAX CODE = 1 </t>
  </si>
  <si>
    <t xml:space="preserve">CUSTOMER = 3972500 DEAL AMT = 10220.96 DEAL CCY = GBP TAX CODE = 1 </t>
  </si>
  <si>
    <t>LC COURIER CHARGES FOR LC NO. TF2535900014\BNK</t>
  </si>
  <si>
    <t>LC SWIFT CHARGES FOR LC NO. TF2535900014\BNK</t>
  </si>
  <si>
    <t>LC OPENING COMMISSION - DEBIT FOR LC NO. TF2535900014\BNK</t>
  </si>
  <si>
    <t xml:space="preserve">CUSTOMER = 3972500 DEAL AMT = 37765.74 DEAL CCY = EUR TAX CODE = 1 </t>
  </si>
  <si>
    <t>LC COURIER CHARGES FOR LC NO. TF2535900016\BNK</t>
  </si>
  <si>
    <t>LC SWIFT CHARGES FOR LC NO. TF2535900016\BNK</t>
  </si>
  <si>
    <t>LC OPENING COMMISSION - DEBIT FOR LC NO. TF2535900016\BNK</t>
  </si>
  <si>
    <t>DPBCOR620530WPM DCBWPM563232</t>
  </si>
  <si>
    <t>DPBCOR621749WPM DCBWPM564582</t>
  </si>
  <si>
    <t>DPBEPM625540WPM DCBWPM562728</t>
  </si>
  <si>
    <t>PEBGCU566430 STDBY/COMM QUARTERLY FROM 25DEC2025 TO 24MAR2026</t>
  </si>
  <si>
    <t xml:space="preserve">Dr TI ILC Comm/Other Charges                                          
POC003-283519484                                                      
At Bank Aljazira                                                      
 CORPORATE BANKING DEPT-JEDDAH                                        
Exchange Rate 1.0                                                     
Date 05-07-1447(H) Time 14.02.10                                      
Reference ILC-0840-25-7517                                            
Value Date 05-07-1447(H)                                              
Fee Collected By Bank AlJazira                                        
</t>
  </si>
  <si>
    <t xml:space="preserve">Value Added Tax                                                       
On ILC Acceptance Comm.                                               
15% of SAR100.00                                                      
Through CORPORATE BANKING DEPT-JEDDAH                                 
Date 05-07-1447(H) Time 14.02.11                                      
Reference ILC-0840-25-7517                                            
At Bank Aljazira                                                      
Exchange Rate 1.0                                                     
</t>
  </si>
  <si>
    <t xml:space="preserve">Dr TI ILC Comm/Other Charges                                          
POC003-283519524                                                      
At Bank Aljazira                                                      
 CORPORATE BANKING DEPT-JEDDAH                                        
Exchange Rate 1.0                                                     
Date 05-07-1447(H) Time 14.02.11                                      
Reference ILC-0840-25-7517                                            
Value Date 05-07-1447(H)                                              
Fee Collected By Bank AlJazira                                        
</t>
  </si>
  <si>
    <t xml:space="preserve">Value Added Tax                                                       
On ILC Acceptance Comm.                                               
15% of SAR250.00                                                      
Through CORPORATE BANKING DEPT-JEDDAH                                 
Date 05-07-1447(H) Time 14.02.12                                      
Reference ILC-0840-25-7517                                            
At Bank Aljazira                                                      
Exchange Rate 1.0                                                     
</t>
  </si>
  <si>
    <t xml:space="preserve">Dr TI ILC Comm/Other Charges                                          
POC003-283519526                                                      
At Bank Aljazira                                                      
 CORPORATE BANKING DEPT-JEDDAH                                        
Exchange Rate 1.0                                                     
Date 05-07-1447(H) Time 14.02.12                                      
Reference ILC-0840-25-7517                                            
Value Date 05-07-1447(H)                                              
Fee Collected By Bank AlJazira                                        
</t>
  </si>
  <si>
    <t xml:space="preserve">Value Added Tax                                                       
On SWIFT charges                                                      
15% of SAR200.00                                                      
Through CORPORATE BANKING DEPT-JEDDAH                                 
Date 05-07-1447(H) Time 14.02.13                                      
Reference ILC-0840-25-7517                                            
At Bank Aljazira                                                      
Exchange Rate 1.0                                                     
</t>
  </si>
  <si>
    <t>DCBWPM570839</t>
  </si>
  <si>
    <t>Off Premises Solutions</t>
  </si>
  <si>
    <t>AlJammaz Hydrotek</t>
  </si>
  <si>
    <t>RB-OCN 1000027429940</t>
  </si>
  <si>
    <t xml:space="preserve"> Amount (SAR)</t>
  </si>
  <si>
    <t xml:space="preserve">Project </t>
  </si>
  <si>
    <t xml:space="preserve">CUSTOMER = 3972500 DEAL AMT = 68988.28 DEAL CCY = EUR TAX CODE = 1 </t>
  </si>
  <si>
    <t>LC AMENDMENT COMMISSION FOR LC NO. TF2535200021\BNK</t>
  </si>
  <si>
    <t>DPBEPM623300WPM DCBWPM563814</t>
  </si>
  <si>
    <t>DC ISSUE COMM CHARGES DCBWPM570839</t>
  </si>
  <si>
    <t>IMP BILL AMEND. CHARGES DPBCOR629548WPM DCBWPM565824</t>
  </si>
  <si>
    <t>TF refused to extend this LC</t>
  </si>
  <si>
    <t>Ministry of Culture</t>
  </si>
  <si>
    <t>JHD Buildings Renovation - G2 - LAFO - 0421</t>
  </si>
  <si>
    <t>LC SWIFT CHARGES FOR LC NO. TF252360002201\BNK</t>
  </si>
  <si>
    <t>REIMBURSE UNDER LCS DR FOR LC NO. TF252360002201\BNK</t>
  </si>
  <si>
    <t>REF 000000JLC6801271,RB REF JLC6801271,VIA CORE SYSTEM,DATE-TIME 29/12-17:20:41, عن طريق النظام الآ لي ,VALUE DT 29/12/25</t>
  </si>
  <si>
    <t>REF 000000JLC6701731,RB REF JLC6701731,VIA CORE SYSTEM,DATE-TIME 29/12-17:18:31, عن طريق النظام الآ لي ,VALUE DT 29/12/25</t>
  </si>
  <si>
    <t>REF 000000JLC6801573,RB REF JLC6801573,VIA CORE SYSTEM,DATE-TIME 29/12-16:58:49, عن طريق النظام الآ لي ,VALUE DT 29/12/25</t>
  </si>
  <si>
    <t>VAT MANUAL COLLECTION 262-307200-001 PEBGCU566430 197,611.33 SA SABB 095-918835-001 BENF ID : 29DEC25 11:52:51</t>
  </si>
  <si>
    <t>DPBCOR625351WPM DCBWPM564579</t>
  </si>
  <si>
    <t>IMP BILL AMEND. CHARGES DPBCOR629572WPM DCBWPM567556</t>
  </si>
  <si>
    <t>Signal Control</t>
  </si>
  <si>
    <t>BRC Industrial Saudia Company.</t>
  </si>
  <si>
    <t>Mimar for Construction Tools &amp; Trading Ltd.</t>
  </si>
  <si>
    <t>Mase Gulf Company</t>
  </si>
  <si>
    <t>Mariam Trading CO. &amp; Partner</t>
  </si>
  <si>
    <t>INTERPLAST CO. LTD</t>
  </si>
  <si>
    <t>BAHRA ADVANCED CABLE MANUFACTURE CO. LTD</t>
  </si>
  <si>
    <t>Afaq Al Malaz Trading Co. LTD.</t>
  </si>
  <si>
    <t>SAUDI ELECTRIC SUPPLY COMPANY</t>
  </si>
  <si>
    <t>REF 000000JLC6901431,RB REF JLC6901431,VIA CORE SYSTEM,DATE-TIME 30/12-10:49:49, عن طريق النظام الآ لي ,VALUE DT 30/12/25</t>
  </si>
  <si>
    <t>CITY:Jeddah 6132225J210676002</t>
  </si>
  <si>
    <t>J210676002</t>
  </si>
  <si>
    <t>CITY:Jeddah 6132225J210604004</t>
  </si>
  <si>
    <t>J210604004</t>
  </si>
  <si>
    <t xml:space="preserve">TI Bill Settled                                                       
POC004                                                                
At Bank AlJazira                                                      
CORPORATE BANKING DEPT-JEDDAH                                         
Date 10-07-1447(H) Time 10.39.18                                      
Reference ILC-0840-25-7173                                            
</t>
  </si>
  <si>
    <t xml:space="preserve">CUSTOMER = 3972500 DEAL AMT = 893.02 DEAL CCY = SAR TAX CODE = 1 </t>
  </si>
  <si>
    <t>TF251770002801</t>
  </si>
  <si>
    <t>LC ACCEPTANCE COMMISSION FOR LC NO. TF251770002801\BNK</t>
  </si>
  <si>
    <t xml:space="preserve">CUSTOMER = 3972500 DEAL AMT = 5000 DEAL CCY = SAR TAX CODE = 1 </t>
  </si>
  <si>
    <t>TF253350001001</t>
  </si>
  <si>
    <t>LC ACCEPTANCE COMMISSION FOR LC NO. TF253350001001\BNK</t>
  </si>
  <si>
    <t>CITY:Jeddah 6132225J210104002</t>
  </si>
  <si>
    <t>J210104002</t>
  </si>
  <si>
    <t>CITY:Jeddah 6132225B314277013</t>
  </si>
  <si>
    <t>J2</t>
  </si>
  <si>
    <t xml:space="preserve">Dr TI ILC Comm/Other Charges                                          
POC002-284133547                                                      
At Bank Aljazira                                                      
 CORPORATE BANKING DEPT-JEDDAH                                        
Exchange Rate 1.0                                                     
Date 11-07-1447(H) Time 14.37.34                                      
Reference ILC-0840-25-8163                                            
Value Date 11-07-1447(H)                                              
Fee Collected By Bank AlJazira                                        
</t>
  </si>
  <si>
    <t xml:space="preserve">Value Added Tax                                                       
On ILC Acceptance Comm.                                               
15% of SAR100.00                                                      
Through CORPORATE BANKING DEPT-JEDDAH                                 
Date 11-07-1447(H) Time 14.37.34                                      
Reference ILC-0840-25-8163                                            
At Bank Aljazira                                                      
Exchange Rate 1.0                                                     
</t>
  </si>
  <si>
    <t xml:space="preserve">Dr TI ILC Comm/Other Charges                                          
POC002-284133589                                                      
At Bank Aljazira                                                      
 CORPORATE BANKING DEPT-JEDDAH                                        
Exchange Rate 1.0                                                     
Date 11-07-1447(H) Time 14.37.35                                      
Reference ILC-0840-25-8163                                            
Value Date 11-07-1447(H)                                              
Fee Collected By Bank AlJazira                                        
</t>
  </si>
  <si>
    <t xml:space="preserve">Value Added Tax                                                       
On ILC Acceptance Comm.                                               
15% of SAR250.00                                                      
Through CORPORATE BANKING DEPT-JEDDAH                                 
Date 11-07-1447(H) Time 14.37.35                                      
Reference ILC-0840-25-8163                                            
At Bank Aljazira                                                      
Exchange Rate 1.0                                                     
</t>
  </si>
  <si>
    <t xml:space="preserve">Dr TI ILC Comm/Other Charges                                          
POC002-284133591                                                      
At Bank Aljazira                                                      
 CORPORATE BANKING DEPT-JEDDAH                                        
Exchange Rate 1.0                                                     
Date 11-07-1447(H) Time 14.37.36                                      
Reference ILC-0840-25-8163                                            
Value Date 11-07-1447(H)                                              
Fee Collected By Bank AlJazira                                        
</t>
  </si>
  <si>
    <t xml:space="preserve">Value Added Tax                                                       
On SWIFT charges                                                      
15% of SAR200.00                                                      
Through CORPORATE BANKING DEPT-JEDDAH                                 
Date 11-07-1447(H) Time 14.37.36                                      
Reference ILC-0840-25-8163                                            
At Bank Aljazira                                                      
Exchange Rate 1.0                                                     
</t>
  </si>
  <si>
    <t>JEDDAH CENTRAL DEVELOPMENT COMPANY (JCD)</t>
  </si>
  <si>
    <t>ILC-0840-26-8758</t>
  </si>
  <si>
    <t>JLC7000002</t>
  </si>
  <si>
    <t>JLC7000004</t>
  </si>
  <si>
    <t>JLC7000009</t>
  </si>
  <si>
    <t>JLC7000007</t>
  </si>
  <si>
    <t>JLC7000003</t>
  </si>
  <si>
    <t>JLC7002384</t>
  </si>
  <si>
    <t>JLC7000006</t>
  </si>
  <si>
    <t>JLC7000005</t>
  </si>
  <si>
    <t>JLC7000008</t>
  </si>
  <si>
    <t>JLC7000001</t>
  </si>
  <si>
    <t>Isam Kabanni And Partners For Construction And Maintenance Co Ltd</t>
  </si>
  <si>
    <t>Mohammed Masoud Al Khaldi Est</t>
  </si>
  <si>
    <t xml:space="preserve">Al Wasail Industrial Co </t>
  </si>
  <si>
    <t>LC AMENDMENT COMMISSION FOR LC NO. TF2502300034\BNK</t>
  </si>
  <si>
    <t xml:space="preserve">CUSTOMER = 3972500 DEAL AMT = 13937.32 DEAL CCY = EUR TAX CODE = 1 </t>
  </si>
  <si>
    <t>LC AMENDMENT COMMISSION FOR LC NO. TF2535900016\BNK</t>
  </si>
  <si>
    <t>REF 000000JLC7000003,RB REF JLC7000003,VIA CORE SYSTEM,DATE-TIME 01/01-16:18:32, عن طريق النظام الآ لي ,VALUE DT 01/01/26</t>
  </si>
  <si>
    <t>REF 000000JLC7000007,RB REF JLC7000007,VIA CORE SYSTEM,DATE-TIME 01/01-16:16:24, عن طريق النظام الآ لي ,VALUE DT 01/01/26</t>
  </si>
  <si>
    <t>REF 000000JLC7000001,RB REF JLC7000001,VIA CORE SYSTEM,DATE-TIME 01/01-16:45:05, عن طريق النظام الآ لي ,VALUE DT 01/01/26</t>
  </si>
  <si>
    <t>REF 000000JLC7000009,RB REF JLC7000009,VIA CORE SYSTEM,DATE-TIME 01/01-16:03:48, عن طريق النظام الآ لي ,VALUE DT 01/01/26</t>
  </si>
  <si>
    <t>REF 000000JLC7002384,RB REF JLC7002384,VIA CORE SYSTEM,DATE-TIME 01/01-16:14:17, عن طريق النظام الآ لي ,VALUE DT 01/01/26</t>
  </si>
  <si>
    <t>REF 000000JLC7000006,RB REF JLC7000006,VIA CORE SYSTEM,DATE-TIME 01/01-16:10:28, عن طريق النظام الآ لي ,VALUE DT 01/01/26</t>
  </si>
  <si>
    <t>REF 000000JLC7000005,RB REF JLC7000005,VIA CORE SYSTEM,DATE-TIME 01/01-16:07:44, عن طريق النظام الآ لي ,VALUE DT 01/01/26</t>
  </si>
  <si>
    <t>REF 000000JLC7000008,RB REF JLC7000008,VIA CORE SYSTEM,DATE-TIME 01/01-16:05:37, عن طريق النظام الآ لي ,VALUE DT 01/01/26</t>
  </si>
  <si>
    <t>REF 000000JLC7000002,RB REF JLC7000002,VIA CORE SYSTEM,DATE-TIME 01/01-15:51:51, عن طريق النظام الآ لي ,VALUE DT 01/01/26</t>
  </si>
  <si>
    <t>REF 000000JLC7000004,RB REF JLC7000004,VIA CORE SYSTEM,DATE-TIME 01/01-15:50:37, عن طريق النظام الآ لي ,VALUE DT 01/01/26</t>
  </si>
  <si>
    <t>CITY:Jeddah 6132226J211600001</t>
  </si>
  <si>
    <t>IMP BILL COMM DPBCOR630004WPM DCBWPM564575</t>
  </si>
  <si>
    <t>DPBCOR627986WPM DCBWPM564575</t>
  </si>
  <si>
    <t>IMP BILL AMEND. CHARGES DPBCOR629826WPM DCBWPM570380</t>
  </si>
  <si>
    <t>DPBCOR624825WPM DCBWPM560813</t>
  </si>
  <si>
    <t xml:space="preserve">Dr TI ILC Comm/Other Charges                                          
ISS001-283852825                                                      
At Bank Aljazira                                                      
 CORPORATE BANKING DEPT-JEDDAH                                        
Exchange Rate 1.0                                                     
Date 12-07-1447(H) Time 13.46.31                                      
Reference ILC-0840-26-8758                                            
Value Date 12-07-1447(H)                                              
Fee Collected By Bank AlJazira                                        
</t>
  </si>
  <si>
    <t xml:space="preserve">Value Added Tax                                                       
On ILC SWIFT/Telex Charges                                            
15% of SAR750.00                                                      
Through CORPORATE BANKING DEPT-JEDDAH                                 
Date 12-07-1447(H) Time 13.46.31                                      
Reference ILC-0840-26-8758                                            
At Bank Aljazira                                                      
Exchange Rate 1.0                                                     
</t>
  </si>
  <si>
    <t xml:space="preserve">Dr TI LGI Commission (Unearned)                                       
ISS001-283852829                                                      
At Bank AlJazira                                                      
CORPORATE BANKING DEPT-JEDDAH                                         
Date 12-07-1447(H) Time 13.46.32                                      
Reference ILC-0840-26-8758                                            
</t>
  </si>
  <si>
    <t xml:space="preserve">Value Added Tax                                                       
On ILC Commission                                                     
15% of SAR7,753.63                                                    
Through CORPORATE BANKING DEPT-JEDDAH                                 
Date 12-07-1447(H) Time 13.46.32                                      
Reference ILC-0840-26-8758                                            
At Bank Aljazira                                                      
Exchange Rate 1.0                                                     
</t>
  </si>
  <si>
    <t xml:space="preserve">Dr TI ILC Comm/Other Charges                                          
ISS001-283852831                                                      
At Bank Aljazira                                                      
 CORPORATE BANKING DEPT-JEDDAH                                        
Exchange Rate 1.0                                                     
Date 12-07-1447(H) Time 13.46.33                                      
Reference ILC-0840-26-8758                                            
Value Date 12-07-1447(H)                                              
Fee Collected By Bank AlJazira                                        
</t>
  </si>
  <si>
    <t xml:space="preserve">Value Added Tax                                                       
On LC PROCESSING FEE                                                  
15% of SAR7,074.77                                                    
Through CORPORATE BANKING DEPT-JEDDAH                                 
Date 12-07-1447(H) Time 13.46.33                                      
Reference ILC-0840-26-8758                                            
At Bank Aljazira                                                      
Exchange Rate 1.0                                                     
</t>
  </si>
  <si>
    <t xml:space="preserve">Dr TI ILC Comm/Other Charges                                          
ISS001-283852833                                                      
At Bank Aljazira                                                      
 CORPORATE BANKING DEPT-JEDDAH                                        
Exchange Rate 1.0                                                     
Date 12-07-1447(H) Time 13.46.34                                      
Reference ILC-0840-26-8758                                            
Value Date 12-07-1447(H)                                              
Fee Collected By Bank AlJazira                                        
</t>
  </si>
  <si>
    <t xml:space="preserve">Value Added Tax                                                       
On ILC Postal/DHL Charges                                             
15% of SAR75.00                                                       
Through CORPORATE BANKING DEPT-JEDDAH                                 
Date 12-07-1447(H) Time 13.46.34                                      
Reference ILC-0840-26-8758                                            
At Bank Aljazira                                                      
Exchange Rate 1.0                                                     
</t>
  </si>
  <si>
    <t xml:space="preserve">TI Bill Settled                                                       
POC010                                                                
At Bank AlJazira                                                      
CORPORATE BANKING DEPT-JEDDAH                                         
Date 15-07-1447(H) Time 13.07.29                                      
Reference ILC-0840-25-7352                                            
</t>
  </si>
  <si>
    <t>Technnical Issue With SAB</t>
  </si>
  <si>
    <t>TF252100002201</t>
  </si>
  <si>
    <t>LC SWIFT CHARGES FOR LC NO. TF252100002201\BNK</t>
  </si>
  <si>
    <t>REIMBURSE UNDER LCS DR FOR LC NO. TF252100002201\BNK</t>
  </si>
  <si>
    <t>RB REF JLG7000064,VIA CORE SYSTEM,DATE-TIME 05/01-15:42:58, عن طريق النظام الآ لي ,VALUE DT 05/01/26</t>
  </si>
  <si>
    <t>JLG7000064</t>
  </si>
  <si>
    <t>REF 000000JLC6901492,RB REF JLC6901492,VIA CORE SYSTEM,DATE-TIME 05/01-14:35:48, عن طريق النظام الآ لي ,VALUE DT 05/01/26</t>
  </si>
  <si>
    <t>IMP BILL AMEND. CHARGES DPBCOR629754WPM DCBWPM565846</t>
  </si>
  <si>
    <t>DPBEPM622187WPM DCBWPM562625</t>
  </si>
  <si>
    <t>DPBEPM622186WPM DCBWPM558778</t>
  </si>
  <si>
    <t>DPBCOR622013WPM DCBWPM563019</t>
  </si>
  <si>
    <t xml:space="preserve">Dr TI ILC Comm/Other Charges                                          
POC006-284634913                                                      
At Bank Aljazira                                                      
 CORPORATE BANKING DEPT-JEDDAH                                        
Date 16-07-1447(H) Time 15.12.45                                      
Reference ILC-0840-25-7982                                            
Value Date 16-07-1447(H)                                              
Fee Collected By Bank AlJazira                                        
</t>
  </si>
  <si>
    <t xml:space="preserve">Value Added Tax                                                       
On ILC Acceptance Comm.                                               
15% of SAR100.00                                                      
Through CORPORATE BANKING DEPT-JEDDAH                                 
Date 16-07-1447(H) Time 15.12.45                                      
Reference ILC-0840-25-7982                                            
At Bank Aljazira                                                      
</t>
  </si>
  <si>
    <t xml:space="preserve">Dr TI ILC Comm/Other Charges                                          
POC006-284635201                                                      
At Bank Aljazira                                                      
 CORPORATE BANKING DEPT-JEDDAH                                        
Date 16-07-1447(H) Time 15.12.45                                      
Reference ILC-0840-25-7982                                            
Value Date 16-07-1447(H)                                              
Fee Collected By Bank AlJazira                                        
</t>
  </si>
  <si>
    <t xml:space="preserve">Value Added Tax                                                       
On ILC Acceptance Comm.                                               
15% of SAR250.00                                                      
Through CORPORATE BANKING DEPT-JEDDAH                                 
Date 16-07-1447(H) Time 15.12.45                                      
Reference ILC-0840-25-7982                                            
At Bank Aljazira                                                      
</t>
  </si>
  <si>
    <t xml:space="preserve">Dr TI ILC Comm/Other Charges                                          
POC006-284635205                                                      
At Bank Aljazira                                                      
 CORPORATE BANKING DEPT-JEDDAH                                        
Date 16-07-1447(H) Time 15.12.46                                      
Reference ILC-0840-25-7982                                            
Value Date 16-07-1447(H)                                              
Fee Collected By Bank AlJazira                                        
</t>
  </si>
  <si>
    <t xml:space="preserve">Value Added Tax                                                       
On SWIFT charges                                                      
15% of SAR200.00                                                      
Through CORPORATE BANKING DEPT-JEDDAH                                 
Date 16-07-1447(H) Time 15.12.46                                      
Reference ILC-0840-25-7982                                            
At Bank Aljazira                                                      
</t>
  </si>
  <si>
    <t>LG - Bid Bond</t>
  </si>
  <si>
    <t>LC SWIFT CHARGES FOR LC NO. TF251310001102\BNK</t>
  </si>
  <si>
    <t>REIMBURSE UNDER LCS DR FOR LC NO. TF251310001102\BNK</t>
  </si>
  <si>
    <t>LC SWIFT CHARGES FOR LC NO. TF251310002601\BNK</t>
  </si>
  <si>
    <t>REIMBURSE UNDER LCS DR FOR LC NO. TF251310002601\BNK</t>
  </si>
  <si>
    <t>TF251310002801</t>
  </si>
  <si>
    <t>LC SWIFT CHARGES FOR LC NO. TF251310002801\BNK</t>
  </si>
  <si>
    <t>REIMBURSE UNDER LCS DR FOR LC NO. TF251310002801\BNK</t>
  </si>
  <si>
    <t>LC SWIFT CHARGES FOR LC NO. TF251350003101\BNK</t>
  </si>
  <si>
    <t>REIMBURSE UNDER LCS DR FOR LC NO. TF251350003101\BNK</t>
  </si>
  <si>
    <t>LC SWIFT CHARGES FOR LC NO. TF251350003701\BNK</t>
  </si>
  <si>
    <t>REIMBURSE UNDER LCS DR FOR LC NO. TF251350003701\BNK</t>
  </si>
  <si>
    <t>TF251460006801</t>
  </si>
  <si>
    <t>LC SWIFT CHARGES FOR LC NO. TF251460006801\BNK</t>
  </si>
  <si>
    <t>REIMBURSE UNDER LCS DR FOR LC NO. TF251460006801\BNK</t>
  </si>
  <si>
    <t>LC SWIFT CHARGES FOR LC NO. TF251470003301\BNK</t>
  </si>
  <si>
    <t>REIMBURSE UNDER LCS DR FOR LC NO. TF251470003301\BNK</t>
  </si>
  <si>
    <t>LC SWIFT CHARGES FOR LC NO. TF251470003801\BNK</t>
  </si>
  <si>
    <t>REIMBURSE UNDER LCS DR FOR LC NO. TF251470003801\BNK</t>
  </si>
  <si>
    <t>TF251740011101</t>
  </si>
  <si>
    <t>LC SWIFT CHARGES FOR LC NO. TF251740011101\BNK</t>
  </si>
  <si>
    <t>REIMBURSE UNDER LCS DR FOR LC NO. TF251740011101\BNK</t>
  </si>
  <si>
    <t>LC SWIFT CHARGES FOR LC NO. TF251770002801\BNK</t>
  </si>
  <si>
    <t>REIMBURSE UNDER LCS DR FOR LC NO. TF251770002801\BNK</t>
  </si>
  <si>
    <t>DPBEPM622287WPM</t>
  </si>
  <si>
    <t>DPBCOR622675WPM</t>
  </si>
  <si>
    <t>DPBCOR622314WPM</t>
  </si>
  <si>
    <t>DPBCOR622610WPM</t>
  </si>
  <si>
    <t>DPBCOR622589WPM</t>
  </si>
  <si>
    <t>DPBCOR622229WPM</t>
  </si>
  <si>
    <t>DPBCOR622248WPM</t>
  </si>
  <si>
    <t>DPBEPM622962WPM</t>
  </si>
  <si>
    <t>DPBCOR622971WPM</t>
  </si>
  <si>
    <t>DPBCOR622887WPM</t>
  </si>
  <si>
    <t>DPBCOR622878WPM</t>
  </si>
  <si>
    <t>DPBEPM622848WPM</t>
  </si>
  <si>
    <t>DPBCOR622776WPM</t>
  </si>
  <si>
    <t>DPBCOR622786WPM</t>
  </si>
  <si>
    <t>DPBCOR622872WPM</t>
  </si>
  <si>
    <t>DPBEPM623300WPM</t>
  </si>
  <si>
    <t>DPBCOR622974WPM</t>
  </si>
  <si>
    <t>DPBEPM623114WPM</t>
  </si>
  <si>
    <t>DPBCOR623810WPM</t>
  </si>
  <si>
    <t>DPBCOR623965WPM</t>
  </si>
  <si>
    <t>DPBCOR624200WPM</t>
  </si>
  <si>
    <t>DPBCOR624433WPM</t>
  </si>
  <si>
    <t>DPBEPM624675WPM</t>
  </si>
  <si>
    <t>DPBCOR624477WPM</t>
  </si>
  <si>
    <t>DPBEPM624627WPM</t>
  </si>
  <si>
    <t>DPBCOR624825WPM</t>
  </si>
  <si>
    <t>DPBCOR624577WPM</t>
  </si>
  <si>
    <t>DPBEPM625018WPM</t>
  </si>
  <si>
    <t>DPBCOR625101WPM</t>
  </si>
  <si>
    <t>DPBCOR625046WPM</t>
  </si>
  <si>
    <t>DPBEPM624631WPM</t>
  </si>
  <si>
    <t>DPBEPM624827WPM</t>
  </si>
  <si>
    <t>DPBEPM624817WPM</t>
  </si>
  <si>
    <t>DPBCOR625240WPM</t>
  </si>
  <si>
    <t>DPBCOR624918WPM</t>
  </si>
  <si>
    <t>DPBCOR625317WPM</t>
  </si>
  <si>
    <t>DPBCOR625089WPM</t>
  </si>
  <si>
    <t>DPBCOR625351WPM</t>
  </si>
  <si>
    <t>DPBEPM625354WPM</t>
  </si>
  <si>
    <t>DPBCOR625255WPM</t>
  </si>
  <si>
    <t>DPBCOR625565WPM</t>
  </si>
  <si>
    <t>DPBEPM625553WPM</t>
  </si>
  <si>
    <t>DPBCOR625341WPM</t>
  </si>
  <si>
    <t>DPBEPM625540WPM</t>
  </si>
  <si>
    <t>DPBCOR625589WPM</t>
  </si>
  <si>
    <t>DPBCOR625416WPM</t>
  </si>
  <si>
    <t>DPBCOR625929WPM</t>
  </si>
  <si>
    <t>DPBCOR625701WPM</t>
  </si>
  <si>
    <t>DPBCOR625703WPM</t>
  </si>
  <si>
    <t>DPBCOR625985WPM</t>
  </si>
  <si>
    <t>DPBEPM625846WPM</t>
  </si>
  <si>
    <t>DPBCOR626155WPM</t>
  </si>
  <si>
    <t>DPBEPM626537WPM</t>
  </si>
  <si>
    <t>DPBCOR626724WPM</t>
  </si>
  <si>
    <t>DPBCOR626146WPM</t>
  </si>
  <si>
    <t>DPBEPM626288WPM</t>
  </si>
  <si>
    <t>DPBEPM626525WPM</t>
  </si>
  <si>
    <t>DPBCOR626203WPM</t>
  </si>
  <si>
    <t>DPBCOR626959WPM</t>
  </si>
  <si>
    <t>DPBEPM626949WPM</t>
  </si>
  <si>
    <t>DPBEPM627467WPM</t>
  </si>
  <si>
    <t>DPBCOR626181WPM</t>
  </si>
  <si>
    <t>DPBCOR628026WPM</t>
  </si>
  <si>
    <t>DPBCOR627986WPM</t>
  </si>
  <si>
    <t>DPBEPM627759WPM</t>
  </si>
  <si>
    <t>DPBEPM628104WPM</t>
  </si>
  <si>
    <t>DPBEPM628463WPM</t>
  </si>
  <si>
    <t>DPBCOR628144WPM</t>
  </si>
  <si>
    <t>DPBCOR628476WPM</t>
  </si>
  <si>
    <t>DPBCOR628519WPM</t>
  </si>
  <si>
    <t>DPBCOR629221WPM</t>
  </si>
  <si>
    <t>DPBCOR629548WPM</t>
  </si>
  <si>
    <t>DPBCOR629572WPM</t>
  </si>
  <si>
    <t>DPBCOR630004WPM</t>
  </si>
  <si>
    <t>DPBCOR629826WPM</t>
  </si>
  <si>
    <t>DPBCOR629754WPM</t>
  </si>
  <si>
    <t>BR COR622377WPM</t>
  </si>
  <si>
    <t>DPBEPM617651WPM</t>
  </si>
  <si>
    <t>DPBCOR609778WPM</t>
  </si>
  <si>
    <t>DPBCOR615230WPM</t>
  </si>
  <si>
    <t>DPBEPM618900WPM</t>
  </si>
  <si>
    <t>DPBCOR621515WPM</t>
  </si>
  <si>
    <t>DPBCOR616974WPM</t>
  </si>
  <si>
    <t>BR COR624111WPM</t>
  </si>
  <si>
    <t>DPBCOR621076WPM</t>
  </si>
  <si>
    <t>DPBCOR618931WPM</t>
  </si>
  <si>
    <t>DPBCOR612328WPM</t>
  </si>
  <si>
    <t>DPBEPM619988WPM</t>
  </si>
  <si>
    <t>BR COR624845WPM</t>
  </si>
  <si>
    <t>DPBCOR617251WPM</t>
  </si>
  <si>
    <t>DPBCOR617256WPM</t>
  </si>
  <si>
    <t>DPBCOR619290WPM</t>
  </si>
  <si>
    <t>DPBEPM618331WPM</t>
  </si>
  <si>
    <t>DPBCOR617958WPM</t>
  </si>
  <si>
    <t>DCBWPM560155 PR</t>
  </si>
  <si>
    <t>DPBCOR621529WPM</t>
  </si>
  <si>
    <t>DPBCOR622156WPM</t>
  </si>
  <si>
    <t>DPBCOR621520WPM</t>
  </si>
  <si>
    <t>DPBCOR621114WPM</t>
  </si>
  <si>
    <t>DPBEPM618769WPM</t>
  </si>
  <si>
    <t>DPBCOR614822WPM</t>
  </si>
  <si>
    <t>DPBCOR619352WPM</t>
  </si>
  <si>
    <t>DPBEPM619989WPM</t>
  </si>
  <si>
    <t>DPBEPM620630WPM</t>
  </si>
  <si>
    <t>DPBCOR620211WPM</t>
  </si>
  <si>
    <t>DPBCOR621089WPM</t>
  </si>
  <si>
    <t>DPBCOR621266WPM</t>
  </si>
  <si>
    <t>DPBEPM621478WPM</t>
  </si>
  <si>
    <t>DPBCOR621014WPM</t>
  </si>
  <si>
    <t>DPBCOR621662WPM</t>
  </si>
  <si>
    <t>DPBEPM619987WPM</t>
  </si>
  <si>
    <t>DPBEPM620153WPM</t>
  </si>
  <si>
    <t>DPBCOR620580WPM</t>
  </si>
  <si>
    <t>DPBCOR620972WPM</t>
  </si>
  <si>
    <t>DPBCOR621219WPM</t>
  </si>
  <si>
    <t>DPBEPM620109WPM</t>
  </si>
  <si>
    <t>DPBCOR620900WPM</t>
  </si>
  <si>
    <t>DPBCOR620745WPM</t>
  </si>
  <si>
    <t>DPBCOR621589WPM</t>
  </si>
  <si>
    <t>DPBCOR620623WPM</t>
  </si>
  <si>
    <t>DPBCOR621665WPM</t>
  </si>
  <si>
    <t>DPBCOR621634WPM</t>
  </si>
  <si>
    <t>DPBEPM621546WPM</t>
  </si>
  <si>
    <t>DPBEPM621028WPM</t>
  </si>
  <si>
    <t>DPBEPM620949WPM</t>
  </si>
  <si>
    <t>DPBEPM620832WPM</t>
  </si>
  <si>
    <t>PEBGCU504055 PR</t>
  </si>
  <si>
    <t>DPBCOR621417WPM</t>
  </si>
  <si>
    <t>DPBCOR622346WPM</t>
  </si>
  <si>
    <t>DPBEPM619433WPM</t>
  </si>
  <si>
    <t>DPBCOR620578WPM</t>
  </si>
  <si>
    <t>DPBCOR622284WPM</t>
  </si>
  <si>
    <t>DPBEPM621951WPM</t>
  </si>
  <si>
    <t>DPBCOR620388WPM</t>
  </si>
  <si>
    <t>DPBCOR621939WPM</t>
  </si>
  <si>
    <t>DPBCOR620530WPM</t>
  </si>
  <si>
    <t>DPBCOR621749WPM</t>
  </si>
  <si>
    <t>PEBGCU566430 ST</t>
  </si>
  <si>
    <t>DPBEPM622187WPM</t>
  </si>
  <si>
    <t>DPBEPM622186WPM</t>
  </si>
  <si>
    <t>DPBCOR622013WPM</t>
  </si>
  <si>
    <t>LC SWIFT CHARGES FOR LC NO. TF251320000501\BNK</t>
  </si>
  <si>
    <t>REIMBURSE UNDER LCS DR FOR LC NO. TF251320000501\BNK</t>
  </si>
  <si>
    <t>LC SWIFT CHARGES FOR LC NO. TF251770001402\BNK</t>
  </si>
  <si>
    <t>REIMBURSE UNDER LCS DR FOR LC NO. TF251770001402\BNK</t>
  </si>
  <si>
    <t>LC SWIFT CHARGES FOR LC NO. TF251770002001\BNK</t>
  </si>
  <si>
    <t>REIMBURSE UNDER LCS DR FOR LC NO. TF251770002001\BNK</t>
  </si>
  <si>
    <t>LC SWIFT CHARGES FOR LC NO. TF251770005401\BNK</t>
  </si>
  <si>
    <t>REIMBURSE UNDER LCS DR FOR LC NO. TF251770005401\BNK</t>
  </si>
  <si>
    <t>CITY:Jeddah 6132226J210929001</t>
  </si>
  <si>
    <t>DPBCOR622610WPM DCBWPM563932</t>
  </si>
  <si>
    <t xml:space="preserve">TI Bill Settled                                                       
POC007                                                                
At Bank AlJazira                                                      
CORPORATE BANKING DEPT-JEDDAH                                         
Date 18-07-1447(H) Time 09.38.28                                      
Reference ILC-0840-25-8159                                            
</t>
  </si>
  <si>
    <t>(All)</t>
  </si>
  <si>
    <t>Terminal 6 Substructure Works KSIA-RFP-T6-SSW-230</t>
  </si>
  <si>
    <t>TF251350003801</t>
  </si>
  <si>
    <t>LC SWIFT CHARGES FOR LC NO. TF251350003801\BNK</t>
  </si>
  <si>
    <t>LC ACCEPTANCE COMMISSION FOR LC NO. TF251350003801\BNK</t>
  </si>
  <si>
    <t>REIMBURSE UNDER LCS DR FOR LC NO. TF251350003801\BNK</t>
  </si>
  <si>
    <t>LC SWIFT CHARGES FOR LC NO. TF252110001601\BNK</t>
  </si>
  <si>
    <t>REIMBURSE UNDER LCS DR FOR LC NO. TF252110001601\BNK</t>
  </si>
  <si>
    <t>LC AMENDMENT COMMISSION FOR LC NO. TF2535200018\BNK</t>
  </si>
  <si>
    <t>LC AMENDMENT COMMISSION FOR LC NO. TF2535200019\BNK</t>
  </si>
  <si>
    <t>DPBCOR624577WPM DCBWPM562595</t>
  </si>
  <si>
    <t>DPBCOR621769WPM DCBWPM558768</t>
  </si>
  <si>
    <t>DPBCOR621769WPM</t>
  </si>
  <si>
    <t>AbdulAziz Eraiba Fawzi</t>
  </si>
  <si>
    <t>ILC-0840-26-8823</t>
  </si>
  <si>
    <t>ILC-0840-26-8821</t>
  </si>
  <si>
    <t>ILC-0840-26-8819</t>
  </si>
  <si>
    <t>ILC-0840-26-8822</t>
  </si>
  <si>
    <t>ILC-0840-26-8820</t>
  </si>
  <si>
    <t>J211763</t>
  </si>
  <si>
    <t>CITY:Jeddah 6132226J211763000</t>
  </si>
  <si>
    <t>J211763000</t>
  </si>
  <si>
    <t>DPBCOR628519WPM DCBWPM555615</t>
  </si>
  <si>
    <t>IMP BILL AMEND. CHARGES DPBEPM627819WPM DCBWPM563055</t>
  </si>
  <si>
    <t>DPBEPM627819WPM</t>
  </si>
  <si>
    <t xml:space="preserve">TI Bill Settled                                                       
POC002                                                                
At Bank AlJazira                                                      
CORPORATE BANKING DEPT-JEDDAH                                         
Date 22-07-1447(H) Time 11.25.45                                      
Reference ILC-0840-25-7407                                            
</t>
  </si>
  <si>
    <t xml:space="preserve">Dr TI LGI Commission (Unearned)                                       
ISS001-285241407                                                      
At Bank AlJazira                                                      
CORPORATE BANKING DEPT-JEDDAH                                         
Date 22-07-1447(H) Time 13.10.55                                      
Reference ILC-0840-26-8820                                            
</t>
  </si>
  <si>
    <t xml:space="preserve">Value Added Tax                                                       
On ILC Commission                                                     
15% of SAR2,375.00                                                    
Through CORPORATE BANKING DEPT-JEDDAH                                 
Date 22-07-1447(H) Time 13.10.55                                      
Reference ILC-0840-26-8820                                            
At Bank Aljazira                                                      
</t>
  </si>
  <si>
    <t xml:space="preserve">Dr TI ILC Comm/Other Charges                                          
ISS001-285241409                                                      
At Bank Aljazira                                                      
 CORPORATE BANKING DEPT-JEDDAH                                        
Date 22-07-1447(H) Time 13.10.55                                      
Reference ILC-0840-26-8820                                            
Value Date 22-07-1447(H)                                              
Fee Collected By Bank AlJazira                                        
</t>
  </si>
  <si>
    <t xml:space="preserve">Value Added Tax                                                       
On ILC SWIFT/Telex Charges                                            
15% of SAR750.00                                                      
Through CORPORATE BANKING DEPT-JEDDAH                                 
Date 22-07-1447(H) Time 13.10.55                                      
Reference ILC-0840-26-8820                                            
At Bank Aljazira                                                      
</t>
  </si>
  <si>
    <t xml:space="preserve">Dr TI ILC Comm/Other Charges                                          
ISS001-285241419                                                      
At Bank Aljazira                                                      
 CORPORATE BANKING DEPT-JEDDAH                                        
Date 22-07-1447(H) Time 13.10.56                                      
Reference ILC-0840-26-8820                                            
Value Date 22-07-1447(H)                                              
Fee Collected By Bank AlJazira                                        
</t>
  </si>
  <si>
    <t xml:space="preserve">Value Added Tax                                                       
On LC PROCESSING FEE                                                  
15% of SAR1,645.83                                                    
Through CORPORATE BANKING DEPT-JEDDAH                                 
Date 22-07-1447(H) Time 13.10.56                                      
Reference ILC-0840-26-8820                                            
At Bank Aljazira                                                      
</t>
  </si>
  <si>
    <t xml:space="preserve">Dr TI LGI Commission (Unearned)                                       
ISS001-285260079                                                      
At Bank AlJazira                                                      
CORPORATE BANKING DEPT-JEDDAH                                         
Date 22-07-1447(H) Time 14.54.36                                      
Reference ILC-0840-26-8823                                            
</t>
  </si>
  <si>
    <t xml:space="preserve">Value Added Tax                                                       
On ILC Commission                                                     
15% of SAR1,030.87                                                    
Through CORPORATE BANKING DEPT-JEDDAH                                 
Date 22-07-1447(H) Time 14.54.36                                      
Reference ILC-0840-26-8823                                            
At Bank Aljazira                                                      
</t>
  </si>
  <si>
    <t xml:space="preserve">Dr TI ILC Comm/Other Charges                                          
ISS001-285260081                                                      
At Bank Aljazira                                                      
 CORPORATE BANKING DEPT-JEDDAH                                        
Date 22-07-1447(H) Time 14.54.37                                      
Reference ILC-0840-26-8823                                            
Value Date 22-07-1447(H)                                              
Fee Collected By Bank AlJazira                                        
</t>
  </si>
  <si>
    <t xml:space="preserve">Value Added Tax                                                       
On ILC SWIFT/Telex Charges                                            
15% of SAR750.00                                                      
Through CORPORATE BANKING DEPT-JEDDAH                                 
Date 22-07-1447(H) Time 14.54.37                                      
Reference ILC-0840-26-8823                                            
At Bank Aljazira                                                      
</t>
  </si>
  <si>
    <t xml:space="preserve">Dr TI ILC Comm/Other Charges                                          
ISS001-285260083                                                      
At Bank Aljazira                                                      
 CORPORATE BANKING DEPT-JEDDAH                                        
Date 22-07-1447(H) Time 14.54.37                                      
Reference ILC-0840-26-8823                                            
Value Date 22-07-1447(H)                                              
Fee Collected By Bank AlJazira                                        
</t>
  </si>
  <si>
    <t xml:space="preserve">Value Added Tax                                                       
On LC PROCESSING FEE                                                  
15% of SAR465.99                                                      
Through CORPORATE BANKING DEPT-JEDDAH                                 
Date 22-07-1447(H) Time 14.54.38                                      
Reference ILC-0840-26-8823                                            
At Bank Aljazira                                                      
</t>
  </si>
  <si>
    <t xml:space="preserve">Dr TI ILC Comm/Other Charges                                          
ISS001-285260085                                                      
At Bank Aljazira                                                      
 CORPORATE BANKING DEPT-JEDDAH                                        
Date 22-07-1447(H) Time 14.54.38                                      
Reference ILC-0840-26-8823                                            
Value Date 22-07-1447(H)                                              
Fee Collected By Bank AlJazira                                        
</t>
  </si>
  <si>
    <t xml:space="preserve">Value Added Tax                                                       
On ILC Postal/DHL Charges                                             
15% of SAR200.00                                                      
Through CORPORATE BANKING DEPT-JEDDAH                                 
Date 22-07-1447(H) Time 14.54.38                                      
Reference ILC-0840-26-8823                                            
At Bank Aljazira                                                      
</t>
  </si>
  <si>
    <t xml:space="preserve">Dr TI LGI Commission (Unearned)                                       
ISS001-285255515                                                      
At Bank AlJazira                                                      
CORPORATE BANKING DEPT-JEDDAH                                         
Date 22-07-1447(H) Time 14.57.14                                      
Reference ILC-0840-26-8822                                            
</t>
  </si>
  <si>
    <t xml:space="preserve">Value Added Tax                                                       
On ILC Commission                                                     
15% of SAR1,424.31                                                    
Through CORPORATE BANKING DEPT-JEDDAH                                 
Date 22-07-1447(H) Time 14.57.14                                      
Reference ILC-0840-26-8822                                            
At Bank Aljazira                                                      
</t>
  </si>
  <si>
    <t xml:space="preserve">Dr TI ILC Comm/Other Charges                                          
ISS001-285255517                                                      
At Bank Aljazira                                                      
 CORPORATE BANKING DEPT-JEDDAH                                        
Date 22-07-1447(H) Time 14.57.14                                      
Reference ILC-0840-26-8822                                            
Value Date 22-07-1447(H)                                              
Fee Collected By Bank AlJazira                                        
</t>
  </si>
  <si>
    <t xml:space="preserve">Value Added Tax                                                       
On ILC SWIFT/Telex Charges                                            
15% of SAR750.00                                                      
Through CORPORATE BANKING DEPT-JEDDAH                                 
Date 22-07-1447(H) Time 14.57.14                                      
Reference ILC-0840-26-8822                                            
At Bank Aljazira                                                      
</t>
  </si>
  <si>
    <t xml:space="preserve">Dr TI ILC Comm/Other Charges                                          
ISS001-285255519                                                      
At Bank Aljazira                                                      
 CORPORATE BANKING DEPT-JEDDAH                                        
Date 22-07-1447(H) Time 14.57.15                                      
Reference ILC-0840-26-8822                                            
Value Date 22-07-1447(H)                                              
Fee Collected By Bank AlJazira                                        
</t>
  </si>
  <si>
    <t xml:space="preserve">Value Added Tax                                                       
On LC PROCESSING FEE                                                  
15% of SAR811.34                                                      
Through CORPORATE BANKING DEPT-JEDDAH                                 
Date 22-07-1447(H) Time 14.57.15                                      
Reference ILC-0840-26-8822                                            
At Bank Aljazira                                                      
</t>
  </si>
  <si>
    <t xml:space="preserve">Dr TI ILC Comm/Other Charges                                          
ISS001-285255533                                                      
At Bank Aljazira                                                      
 CORPORATE BANKING DEPT-JEDDAH                                        
Date 22-07-1447(H) Time 14.57.15                                      
Reference ILC-0840-26-8822                                            
Value Date 22-07-1447(H)                                              
Fee Collected By Bank AlJazira                                        
</t>
  </si>
  <si>
    <t xml:space="preserve">Value Added Tax                                                       
On ILC Postal/DHL Charges                                             
15% of SAR200.00                                                      
Through CORPORATE BANKING DEPT-JEDDAH                                 
Date 22-07-1447(H) Time 14.57.15                                      
Reference ILC-0840-26-8822                                            
At Bank Aljazira                                                      
</t>
  </si>
  <si>
    <t xml:space="preserve">Dr TI LGI Commission (Unearned)                                       
ISS001-285238751                                                      
At Bank AlJazira                                                      
CORPORATE BANKING DEPT-JEDDAH                                         
Date 22-07-1447(H) Time 14.59.26                                      
Reference ILC-0840-26-8819                                            
</t>
  </si>
  <si>
    <t xml:space="preserve">Value Added Tax                                                       
On ILC Commission                                                     
15% of SAR630.27                                                      
Through CORPORATE BANKING DEPT-JEDDAH                                 
Date 22-07-1447(H) Time 14.59.26                                      
Reference ILC-0840-26-8819                                            
At Bank Aljazira                                                      
</t>
  </si>
  <si>
    <t xml:space="preserve">Dr TI ILC Comm/Other Charges                                          
ISS001-285238753                                                      
At Bank Aljazira                                                      
 CORPORATE BANKING DEPT-JEDDAH                                        
Date 22-07-1447(H) Time 14.59.26                                      
Reference ILC-0840-26-8819                                            
Value Date 22-07-1447(H)                                              
Fee Collected By Bank AlJazira                                        
</t>
  </si>
  <si>
    <t xml:space="preserve">Value Added Tax                                                       
On ILC SWIFT/Telex Charges                                            
15% of SAR750.00                                                      
Through CORPORATE BANKING DEPT-JEDDAH                                 
Date 22-07-1447(H) Time 14.59.27                                      
Reference ILC-0840-26-8819                                            
At Bank Aljazira                                                      
</t>
  </si>
  <si>
    <t xml:space="preserve">Dr TI ILC Comm/Other Charges                                          
ISS001-285238755                                                      
At Bank Aljazira                                                      
 CORPORATE BANKING DEPT-JEDDAH                                        
Date 22-07-1447(H) Time 14.59.28                                      
Reference ILC-0840-26-8819                                            
Value Date 22-07-1447(H)                                              
Fee Collected By Bank AlJazira                                        
</t>
  </si>
  <si>
    <t xml:space="preserve">Value Added Tax                                                       
On LC PROCESSING FEE                                                  
15% of SAR276.62                                                      
Through CORPORATE BANKING DEPT-JEDDAH                                 
Date 22-07-1447(H) Time 14.59.28                                      
Reference ILC-0840-26-8819                                            
At Bank Aljazira                                                      
</t>
  </si>
  <si>
    <t xml:space="preserve">Dr TI ILC Comm/Other Charges                                          
ISS001-285285336                                                      
At Bank Aljazira                                                      
 CORPORATE BANKING DEPT-JEDDAH                                        
Date 22-07-1447(H) Time 14.59.29                                      
Reference ILC-0840-26-8819                                            
Value Date 22-07-1447(H)                                              
Fee Collected By Bank AlJazira                                        
</t>
  </si>
  <si>
    <t xml:space="preserve">Value Added Tax                                                       
On ILC Postal/DHL Charges                                             
15% of SAR200.00                                                      
Through CORPORATE BANKING DEPT-JEDDAH                                 
Date 22-07-1447(H) Time 14.59.29                                      
Reference ILC-0840-26-8819                                            
At Bank Aljazira                                                      
</t>
  </si>
  <si>
    <t xml:space="preserve">Dr TI LGI Commission (Unearned)                                       
ISS001-285249211                                                      
At Bank AlJazira                                                      
CORPORATE BANKING DEPT-JEDDAH                                         
Date 22-07-1447(H) Time 15.00.15                                      
Reference ILC-0840-26-8821                                            
</t>
  </si>
  <si>
    <t xml:space="preserve">Value Added Tax                                                       
On ILC Commission                                                     
15% of SAR524.69                                                      
Through CORPORATE BANKING DEPT-JEDDAH                                 
Date 22-07-1447(H) Time 15.00.15                                      
Reference ILC-0840-26-8821                                            
At Bank Aljazira                                                      
</t>
  </si>
  <si>
    <t xml:space="preserve">Dr TI ILC Comm/Other Charges                                          
ISS001-285249213                                                      
At Bank Aljazira                                                      
 CORPORATE BANKING DEPT-JEDDAH                                        
Date 22-07-1447(H) Time 15.00.16                                      
Reference ILC-0840-26-8821                                            
Value Date 22-07-1447(H)                                              
Fee Collected By Bank AlJazira                                        
</t>
  </si>
  <si>
    <t xml:space="preserve">Value Added Tax                                                       
On ILC SWIFT/Telex Charges                                            
15% of SAR750.00                                                      
Through CORPORATE BANKING DEPT-JEDDAH                                 
Date 22-07-1447(H) Time 15.00.16                                      
Reference ILC-0840-26-8821                                            
At Bank Aljazira                                                      
</t>
  </si>
  <si>
    <t xml:space="preserve">Dr TI ILC Comm/Other Charges                                          
ISS001-285249215                                                      
At Bank Aljazira                                                      
 CORPORATE BANKING DEPT-JEDDAH                                        
Date 22-07-1447(H) Time 15.00.16                                      
Reference ILC-0840-26-8821                                            
Value Date 22-07-1447(H)                                              
Fee Collected By Bank AlJazira                                        
</t>
  </si>
  <si>
    <t xml:space="preserve">Value Added Tax                                                       
On LC PROCESSING FEE                                                  
15% of SAR230.28                                                      
Through CORPORATE BANKING DEPT-JEDDAH                                 
Date 22-07-1447(H) Time 15.00.16                                      
Reference ILC-0840-26-8821                                            
At Bank Aljazira                                                      
</t>
  </si>
  <si>
    <t xml:space="preserve">Dr TI ILC Comm/Other Charges                                          
ISS001-285255562                                                      
At Bank Aljazira                                                      
 CORPORATE BANKING DEPT-JEDDAH                                        
Date 22-07-1447(H) Time 15.00.17                                      
Reference ILC-0840-26-8821                                            
Value Date 22-07-1447(H)                                              
Fee Collected By Bank AlJazira                                        
</t>
  </si>
  <si>
    <t xml:space="preserve">Value Added Tax                                                       
On ILC Postal/DHL Charges                                             
15% of SAR200.00                                                      
Through CORPORATE BANKING DEPT-JEDDAH                                 
Date 22-07-1447(H) Time 15.00.17                                      
Reference ILC-0840-26-8821                                            
At Bank Aljazira                                                      
</t>
  </si>
  <si>
    <t>JLG6900058</t>
  </si>
  <si>
    <t>Electro Mechanical Supplies Company</t>
  </si>
  <si>
    <t>Alkhorayef Commercial Company</t>
  </si>
  <si>
    <t>LO1 OPERATION AND MAINTENANCE OF OFFICES IN AL YAMAMA PALACE OFFICE COMPLEX</t>
  </si>
  <si>
    <t>Brooq Al Amaan Trading</t>
  </si>
  <si>
    <t>120 Days from Delivery Date</t>
  </si>
  <si>
    <t>BBH-CHEMTROL INTERNATIONAL ORGANIZATION S.L</t>
  </si>
  <si>
    <t>4-(Partial-1)</t>
  </si>
  <si>
    <t>4-Partial(1)</t>
  </si>
  <si>
    <t>Under Collection - IC2600833001</t>
  </si>
  <si>
    <t>Sight / 60 Days from Appl. Rep Sign on Invoice</t>
  </si>
  <si>
    <t>TF251310002702</t>
  </si>
  <si>
    <t>LC ACCEPTANCE COMMISSION FOR LC NO. TF251310002702\BNK</t>
  </si>
  <si>
    <t>TF251470002501</t>
  </si>
  <si>
    <t>LC ACCEPTANCE COMMISSION FOR LC NO. TF251470002501\BNK</t>
  </si>
  <si>
    <t>REF 000000JLC6901431,RB REF JLC6901431,VIA CORE SYSTEM,DATE-TIME 12/01-11:09:51, عن طريق النظام الآ لي ,VALUE DT 12/01/26</t>
  </si>
  <si>
    <t xml:space="preserve">TI Bill Settled                                                       
POC010                                                                
At Bank AlJazira                                                      
CORPORATE BANKING DEPT-JEDDAH                                         
Date 23-07-1447(H) Time 11.23.43                                      
Reference ILC-0840-25-7264                                            
</t>
  </si>
  <si>
    <t xml:space="preserve">Dr TI ILC Comm/Other Charges                                          
POC005-285348495                                                      
At Bank Aljazira                                                      
 CORPORATE BANKING DEPT-JEDDAH                                        
Exchange Rate 1.0                                                     
Date 23-07-1447(H) Time 11.23.55                                      
Reference ILC-0840-25-7354                                            
Value Date 23-07-1447(H)                                              
Fee Collected By Bank AlJazira                                        
</t>
  </si>
  <si>
    <t xml:space="preserve">Value Added Tax                                                       
On ILC Acceptance Comm.                                               
15% of SAR100.00                                                      
Through CORPORATE BANKING DEPT-JEDDAH                                 
Date 23-07-1447(H) Time 11.23.55                                      
Reference ILC-0840-25-7354                                            
At Bank Aljazira                                                      
Exchange Rate 1.0                                                     
</t>
  </si>
  <si>
    <t xml:space="preserve">Dr TI ILC Comm/Other Charges                                          
POC005-285348535                                                      
At Bank Aljazira                                                      
 CORPORATE BANKING DEPT-JEDDAH                                        
Exchange Rate 1.0                                                     
Date 23-07-1447(H) Time 11.23.56                                      
Reference ILC-0840-25-7354                                            
Value Date 23-07-1447(H)                                              
Fee Collected By Bank AlJazira                                        
</t>
  </si>
  <si>
    <t xml:space="preserve">Value Added Tax                                                       
On ILC Acceptance Comm.                                               
15% of SAR314.00                                                      
Through CORPORATE BANKING DEPT-JEDDAH                                 
Date 23-07-1447(H) Time 11.23.56                                      
Reference ILC-0840-25-7354                                            
At Bank Aljazira                                                      
Exchange Rate 1.0                                                     
</t>
  </si>
  <si>
    <t xml:space="preserve">TI Bill Settled                                                       
POC004                                                                
At Bank AlJazira                                                      
CORPORATE BANKING DEPT-JEDDAH                                         
Date 23-07-1447(H) Time 11.24.24                                      
Reference ILC-0840-25-7517                                            
</t>
  </si>
  <si>
    <t xml:space="preserve">Dr TI ILC Comm/Other Charges                                          
POC002-285338025                                                      
At Bank Aljazira                                                      
 CORPORATE BANKING DEPT-JEDDAH                                        
Date 23-07-1447(H) Time 11.26.26                                      
Reference ILC-0840-25-8473                                            
Value Date 23-07-1447(H)                                              
Fee Collected By Bank AlJazira                                        
</t>
  </si>
  <si>
    <t xml:space="preserve">Value Added Tax                                                       
On ILC Acceptance Comm.                                               
15% of SAR100.00                                                      
Through CORPORATE BANKING DEPT-JEDDAH                                 
Date 23-07-1447(H) Time 11.26.26                                      
Reference ILC-0840-25-8473                                            
At Bank Aljazira                                                      
</t>
  </si>
  <si>
    <t xml:space="preserve">Dr TI ILC Comm/Other Charges                                          
POC002-285338067                                                      
At Bank Aljazira                                                      
 CORPORATE BANKING DEPT-JEDDAH                                        
Date 23-07-1447(H) Time 11.26.26                                      
Reference ILC-0840-25-8473                                            
Value Date 23-07-1447(H)                                              
Fee Collected By Bank AlJazira                                        
</t>
  </si>
  <si>
    <t xml:space="preserve">Value Added Tax                                                       
On ILC Acceptance Comm.                                               
15% of SAR353.00                                                      
Through CORPORATE BANKING DEPT-JEDDAH                                 
Date 23-07-1447(H) Time 11.26.27                                      
Reference ILC-0840-25-8473                                            
At Bank Aljazira                                                      
</t>
  </si>
  <si>
    <t xml:space="preserve">Dr TI ILC Comm/Other Charges                                          
POC002-285338069                                                      
At Bank Aljazira                                                      
 CORPORATE BANKING DEPT-JEDDAH                                        
Date 23-07-1447(H) Time 11.26.27                                      
Reference ILC-0840-25-8473                                            
Value Date 23-07-1447(H)                                              
Fee Collected By Bank AlJazira                                        
</t>
  </si>
  <si>
    <t xml:space="preserve">Value Added Tax                                                       
On SWIFT charges                                                      
15% of SAR200.00                                                      
Through CORPORATE BANKING DEPT-JEDDAH                                 
Date 23-07-1447(H) Time 11.26.27                                      
Reference ILC-0840-25-8473                                            
At Bank Aljazira                                                      
</t>
  </si>
  <si>
    <t xml:space="preserve">Dr TI LGI Comm/Other Charges                                          
AMD001-285352794                                                      
At Bank AlJazira                                                      
CORPORATE BANKING DEPT-JEDDAH                                         
Date 23-07-1447(H) Time 12.29.02                                      
Reference LGI-0840-25-7098                                            
</t>
  </si>
  <si>
    <t xml:space="preserve">Value Added Tax                                                       
On LGI Amend Commission                                               
15% of SAR4,479.16                                                    
Through CORPORATE BANKING DEPT-JEDDAH                                 
Date 23-07-1447(H) Time 12.29.02                                      
Reference LGI-0840-25-7098                                            
At Bank Aljazira                                                      
Exchange Rate 1.0                                                     
</t>
  </si>
  <si>
    <t xml:space="preserve">Dr TI LGI Comm/Other Charges                                          
AMD001-285352796                                                      
At Bank AlJazira                                                      
CORPORATE BANKING DEPT-JEDDAH                                         
Date 23-07-1447(H) Time 12.29.03                                      
Reference LGI-0840-25-7098                                            
</t>
  </si>
  <si>
    <t xml:space="preserve">Value Added Tax                                                       
On LG Processing/Facility Fees                                        
15% of SAR6,773.97                                                    
Through CORPORATE BANKING DEPT-JEDDAH                                 
Date 23-07-1447(H) Time 12.29.03                                      
Reference LGI-0840-25-7098                                            
At Bank Aljazira                                                      
Exchange Rate 1.0                                                     
</t>
  </si>
  <si>
    <t>Under Collection TF2530600034</t>
  </si>
  <si>
    <t>PEBGCU160563</t>
  </si>
  <si>
    <t>RB REF JLG6900058,VIA CORE SYSTEM,DATE-TIME 13/01-10:04:45, عن طريق النظام الآ لي ,VALUE DT 13/01/26</t>
  </si>
  <si>
    <t>REF 000000JLC6901431,RB REF JLC6901431,VIA CORE SYSTEM,DATE-TIME 13/01-14:19:41, عن طريق النظام الآ لي ,VALUE DT 13/01/26</t>
  </si>
  <si>
    <t>REF 000000JLC6901431,RB REF JLC6901431,VIA CORE SYSTEM,DATE-TIME 13/01-12:47:22, عن طريق النظام الآ لي ,VALUE DT 13/01/26</t>
  </si>
  <si>
    <t>CITY:Jeddah 6132226J210104000</t>
  </si>
  <si>
    <t>GTE ISSUE COMM CHARGES PEBGCU160563</t>
  </si>
  <si>
    <t>UE COMM CHARGES</t>
  </si>
  <si>
    <t xml:space="preserve">TF250063300902  DIFF CASH MRG      </t>
  </si>
  <si>
    <t>BPP26013SKYZ</t>
  </si>
  <si>
    <t>BPP26013SKYZ8</t>
  </si>
  <si>
    <t xml:space="preserve">TF260083300101      </t>
  </si>
  <si>
    <t>IM2600833001</t>
  </si>
  <si>
    <t>TF260083300101</t>
  </si>
  <si>
    <t xml:space="preserve">MBL  MARGIN      </t>
  </si>
  <si>
    <t>BPP26012BMQB</t>
  </si>
  <si>
    <t>BPP26012BMQBQ</t>
  </si>
  <si>
    <t xml:space="preserve">Dr TI ILC Comm/Other Charges                                          
AMD002-285514034                                                      
At Bank Aljazira                                                      
 CORPORATE BANKING DEPT-JEDDAH                                        
Date 24-07-1447(H) Time 11.48.32                                      
Reference ILC-0840-25-7984                                            
Value Date 24-07-1447(H)                                              
Fee Collected By Bank AlJazira                                        
</t>
  </si>
  <si>
    <t xml:space="preserve">Value Added Tax                                                       
On ILC Commission                                                     
15% of SAR500.00                                                      
Through CORPORATE BANKING DEPT-JEDDAH                                 
Date 24-07-1447(H) Time 11.48.32                                      
Reference ILC-0840-25-7984                                            
At Bank Aljazira                                                      
</t>
  </si>
  <si>
    <t xml:space="preserve">Dr TI ILC Comm/Other Charges                                          
AMD002-285514036                                                      
At Bank Aljazira                                                      
 CORPORATE BANKING DEPT-JEDDAH                                        
Date 24-07-1447(H) Time 11.48.33                                      
Reference ILC-0840-25-7984                                            
Value Date 24-07-1447(H)                                              
Fee Collected By Bank AlJazira                                        
</t>
  </si>
  <si>
    <t xml:space="preserve">Value Added Tax                                                       
On SWIFT charges                                                      
15% of SAR200.00                                                      
Through CORPORATE BANKING DEPT-JEDDAH                                 
Date 24-07-1447(H) Time 11.48.33                                      
Reference ILC-0840-25-7984                                            
At Bank Aljazira                                                      
</t>
  </si>
  <si>
    <t xml:space="preserve">Dr TI ILC Comm/Other Charges                                          
AMD003-285515229                                                      
At Bank Aljazira                                                      
 CORPORATE BANKING DEPT-JEDDAH                                        
Date 24-07-1447(H) Time 11.48.57                                      
Reference ILC-0840-25-7736                                            
Value Date 24-07-1447(H)                                              
Fee Collected By Bank AlJazira                                        
</t>
  </si>
  <si>
    <t xml:space="preserve">Value Added Tax                                                       
On ILC Commission                                                     
15% of SAR500.00                                                      
Through CORPORATE BANKING DEPT-JEDDAH                                 
Date 24-07-1447(H) Time 11.48.57                                      
Reference ILC-0840-25-7736                                            
At Bank Aljazira                                                      
</t>
  </si>
  <si>
    <t xml:space="preserve">Dr TI ILC Comm/Other Charges                                          
AMD003-285515262                                                      
At Bank Aljazira                                                      
 CORPORATE BANKING DEPT-JEDDAH                                        
Date 24-07-1447(H) Time 11.48.57                                      
Reference ILC-0840-25-7736                                            
Value Date 24-07-1447(H)                                              
Fee Collected By Bank AlJazira                                        
</t>
  </si>
  <si>
    <t xml:space="preserve">Value Added Tax                                                       
On SWIFT charges                                                      
15% of SAR200.00                                                      
Through CORPORATE BANKING DEPT-JEDDAH                                 
Date 24-07-1447(H) Time 11.48.57                                      
Reference ILC-0840-25-7736                                            
At Bank Aljazira                                                      
</t>
  </si>
  <si>
    <t xml:space="preserve">Dr TI ILC Comm/Other Charges                                          
AMD004-285516582                                                      
At Bank Aljazira                                                      
 CORPORATE BANKING DEPT-JEDDAH                                        
Exchange Rate 1.0                                                     
Date 24-07-1447(H) Time 11.49.21                                      
Reference ILC-0840-25-7353                                            
Value Date 24-07-1447(H)                                              
Fee Collected By Bank AlJazira                                        
</t>
  </si>
  <si>
    <t xml:space="preserve">Value Added Tax                                                       
On ILC Commission                                                     
15% of SAR1,079.62                                                    
Through CORPORATE BANKING DEPT-JEDDAH                                 
Date 24-07-1447(H) Time 11.49.21                                      
Reference ILC-0840-25-7353                                            
At Bank Aljazira                                                      
Exchange Rate 1.0                                                     
</t>
  </si>
  <si>
    <t xml:space="preserve">Dr TI ILC Comm/Other Charges                                          
AMD004-285516584                                                      
At Bank Aljazira                                                      
 CORPORATE BANKING DEPT-JEDDAH                                        
Exchange Rate 1.0                                                     
Date 24-07-1447(H) Time 11.49.22                                      
Reference ILC-0840-25-7353                                            
Value Date 24-07-1447(H)                                              
Fee Collected By Bank AlJazira                                        
</t>
  </si>
  <si>
    <t xml:space="preserve">Value Added Tax                                                       
On SWIFT charges                                                      
15% of SAR200.00                                                      
Through CORPORATE BANKING DEPT-JEDDAH                                 
Date 24-07-1447(H) Time 11.49.22                                      
Reference ILC-0840-25-7353                                            
At Bank Aljazira                                                      
Exchange Rate 1.0                                                     
</t>
  </si>
  <si>
    <t xml:space="preserve">Dr TI ILC Comm/Other Charges                                          
AMD003-285517905                                                      
At Bank Aljazira                                                      
 CORPORATE BANKING DEPT-JEDDAH                                        
Date 24-07-1447(H) Time 11.49.57                                      
Reference ILC-0840-25-7799                                            
Value Date 24-07-1447(H)                                              
Fee Collected By Bank AlJazira                                        
</t>
  </si>
  <si>
    <t xml:space="preserve">Value Added Tax                                                       
On ILC Commission                                                     
15% of SAR652.12                                                      
Through CORPORATE BANKING DEPT-JEDDAH                                 
Date 24-07-1447(H) Time 11.49.57                                      
Reference ILC-0840-25-7799                                            
At Bank Aljazira                                                      
</t>
  </si>
  <si>
    <t xml:space="preserve">Dr TI ILC Comm/Other Charges                                          
AMD003-285517907                                                      
At Bank Aljazira                                                      
 CORPORATE BANKING DEPT-JEDDAH                                        
Date 24-07-1447(H) Time 11.49.57                                      
Reference ILC-0840-25-7799                                            
Value Date 24-07-1447(H)                                              
Fee Collected By Bank AlJazira                                        
</t>
  </si>
  <si>
    <t xml:space="preserve">Value Added Tax                                                       
On SWIFT charges                                                      
15% of SAR200.00                                                      
Through CORPORATE BANKING DEPT-JEDDAH                                 
Date 24-07-1447(H) Time 11.49.58                                      
Reference ILC-0840-25-7799                                            
At Bank Aljazira                                                      
</t>
  </si>
  <si>
    <t xml:space="preserve">Dr TI ILC Comm/Other Charges                                          
AMD004-285519767                                                      
At Bank Aljazira                                                      
 CORPORATE BANKING DEPT-JEDDAH                                        
Date 24-07-1447(H) Time 11.50.38                                      
Reference ILC-0840-25-7407                                            
Value Date 24-07-1447(H)                                              
Fee Collected By Bank AlJazira                                        
</t>
  </si>
  <si>
    <t xml:space="preserve">Value Added Tax                                                       
On ILC Commission                                                     
15% of SAR500.00                                                      
Through CORPORATE BANKING DEPT-JEDDAH                                 
Date 24-07-1447(H) Time 11.50.38                                      
Reference ILC-0840-25-7407                                            
At Bank Aljazira                                                      
</t>
  </si>
  <si>
    <t xml:space="preserve">Dr TI ILC Comm/Other Charges                                          
AMD004-285519769                                                      
At Bank Aljazira                                                      
 CORPORATE BANKING DEPT-JEDDAH                                        
Date 24-07-1447(H) Time 11.50.39                                      
Reference ILC-0840-25-7407                                            
Value Date 24-07-1447(H)                                              
Fee Collected By Bank AlJazira                                        
</t>
  </si>
  <si>
    <t xml:space="preserve">Value Added Tax                                                       
On SWIFT charges                                                      
15% of SAR200.00                                                      
Through CORPORATE BANKING DEPT-JEDDAH                                 
Date 24-07-1447(H) Time 11.50.39                                      
Reference ILC-0840-25-7407                                            
At Bank Aljazira                                                      
</t>
  </si>
  <si>
    <t xml:space="preserve">Dr TI ILC Comm/Other Charges                                          
AMD002-285522136                                                      
At Bank Aljazira                                                      
 CORPORATE BANKING DEPT-JEDDAH                                        
Date 24-07-1447(H) Time 11.51.05                                      
Reference ILC-0840-25-7981                                            
Value Date 24-07-1447(H)                                              
Fee Collected By Bank AlJazira                                        
</t>
  </si>
  <si>
    <t xml:space="preserve">Value Added Tax                                                       
On ILC Commission                                                     
15% of SAR500.00                                                      
Through CORPORATE BANKING DEPT-JEDDAH                                 
Date 24-07-1447(H) Time 11.51.05                                      
Reference ILC-0840-25-7981                                            
At Bank Aljazira                                                      
</t>
  </si>
  <si>
    <t xml:space="preserve">Dr TI ILC Comm/Other Charges                                          
AMD002-285522138                                                      
At Bank Aljazira                                                      
 CORPORATE BANKING DEPT-JEDDAH                                        
Date 24-07-1447(H) Time 11.51.06                                      
Reference ILC-0840-25-7981                                            
Value Date 24-07-1447(H)                                              
Fee Collected By Bank AlJazira                                        
</t>
  </si>
  <si>
    <t xml:space="preserve">Value Added Tax                                                       
On SWIFT charges                                                      
15% of SAR200.00                                                      
Through CORPORATE BANKING DEPT-JEDDAH                                 
Date 24-07-1447(H) Time 11.51.06                                      
Reference ILC-0840-25-7981                                            
At Bank Aljazira                                                      
</t>
  </si>
  <si>
    <t xml:space="preserve">Dr TI ILC Comm/Other Charges                                          
AMD004-285524507                                                      
At Bank Aljazira                                                      
 CORPORATE BANKING DEPT-JEDDAH                                        
Exchange Rate 1.0                                                     
Date 24-07-1447(H) Time 11.51.33                                      
Reference ILC-0840-25-7517                                            
Value Date 24-07-1447(H)                                              
Fee Collected By Bank AlJazira                                        
</t>
  </si>
  <si>
    <t xml:space="preserve">Value Added Tax                                                       
On ILC Commission                                                     
15% of SAR802.84                                                      
Through CORPORATE BANKING DEPT-JEDDAH                                 
Date 24-07-1447(H) Time 11.51.34                                      
Reference ILC-0840-25-7517                                            
At Bank Aljazira                                                      
Exchange Rate 1.0                                                     
</t>
  </si>
  <si>
    <t xml:space="preserve">Dr TI ILC Comm/Other Charges                                          
AMD004-285524509                                                      
At Bank Aljazira                                                      
 CORPORATE BANKING DEPT-JEDDAH                                        
Exchange Rate 1.0                                                     
Date 24-07-1447(H) Time 11.51.34                                      
Reference ILC-0840-25-7517                                            
Value Date 24-07-1447(H)                                              
Fee Collected By Bank AlJazira                                        
</t>
  </si>
  <si>
    <t xml:space="preserve">Value Added Tax                                                       
On SWIFT charges                                                      
15% of SAR200.00                                                      
Through CORPORATE BANKING DEPT-JEDDAH                                 
Date 24-07-1447(H) Time 11.51.35                                      
Reference ILC-0840-25-7517                                            
At Bank Aljazira                                                      
Exchange Rate 1.0                                                     
</t>
  </si>
  <si>
    <t xml:space="preserve">Dr TI ILC Comm/Other Charges                                          
AMD002-285525985                                                      
At Bank Aljazira                                                      
 CORPORATE BANKING DEPT-JEDDAH                                        
Date 24-07-1447(H) Time 11.52.24                                      
Reference ILC-0840-25-7982                                            
Value Date 24-07-1447(H)                                              
Fee Collected By Bank AlJazira                                        
</t>
  </si>
  <si>
    <t xml:space="preserve">Value Added Tax                                                       
On ILC Commission                                                     
15% of SAR500.00                                                      
Through CORPORATE BANKING DEPT-JEDDAH                                 
Date 24-07-1447(H) Time 11.52.24                                      
Reference ILC-0840-25-7982                                            
At Bank Aljazira                                                      
</t>
  </si>
  <si>
    <t xml:space="preserve">Dr TI ILC Comm/Other Charges                                          
AMD002-285525989                                                      
At Bank Aljazira                                                      
 CORPORATE BANKING DEPT-JEDDAH                                        
Date 24-07-1447(H) Time 11.52.24                                      
Reference ILC-0840-25-7982                                            
Value Date 24-07-1447(H)                                              
Fee Collected By Bank AlJazira                                        
</t>
  </si>
  <si>
    <t xml:space="preserve">Value Added Tax                                                       
On SWIFT charges                                                      
15% of SAR200.00                                                      
Through CORPORATE BANKING DEPT-JEDDAH                                 
Date 24-07-1447(H) Time 11.52.24                                      
Reference ILC-0840-25-7982                                            
At Bank Aljazira                                                      
</t>
  </si>
  <si>
    <t>Dr TI ILC Comm/Other Charges                                          
MAI001-285287196                                                      
At Bank Aljazira                                                      
 CORPORATE BANKING DEPT-JEDDAH                                        
Date 24-07-1447(H) Time 13.49.10                                      
Reference ILC-0840-26-8820                                            
Value Date 22-07-1447(H)                                              
Fee Collected By Bank AlJazira                                        
Value date 11-JAN-26</t>
  </si>
  <si>
    <t>Value Added Tax                                                       
On ILC Postal/DHL Charges                                             
15% of SAR200.00                                                      
Through CORPORATE BANKING DEPT-JEDDAH                                 
Date 24-07-1447(H) Time 13.49.10                                      
Reference ILC-0840-26-8820                                            
At Bank Aljazira                                                      
Value date 11-JAN-26</t>
  </si>
  <si>
    <t>Collection_IC2600833001</t>
  </si>
  <si>
    <t>DCBWPM160364</t>
  </si>
  <si>
    <t>Confirmation Charges</t>
  </si>
  <si>
    <t>DCBWPM160342</t>
  </si>
  <si>
    <t>DCBWPM160363</t>
  </si>
  <si>
    <t>IMP BILL COMM DPBEPM210962WPM DCBWPM565843</t>
  </si>
  <si>
    <t>DPBEPM210962WPM</t>
  </si>
  <si>
    <t>IMP BILL COMM DPBCOR210930WPM DCBWPM566848</t>
  </si>
  <si>
    <t>DPBCOR210930WPM</t>
  </si>
  <si>
    <t>DC ISSUE COMM CHARGES DCBWPM160364</t>
  </si>
  <si>
    <t>DC ISSUE COMM CHARGES DCBWPM160342</t>
  </si>
  <si>
    <t>DC ISSUE COMM CHARGES DCBWPM160363</t>
  </si>
  <si>
    <t xml:space="preserve">TI Bill Settled                                                       
POC007                                                                
At Bank AlJazira                                                      
CORPORATE BANKING DEPT-JEDDAH                                         
Date 25-07-1447(H) Time 13.37.10                                      
Reference ILC-0840-25-7982                                            
</t>
  </si>
  <si>
    <t>DCBWPM160344</t>
  </si>
  <si>
    <t>DCBWPM160343</t>
  </si>
  <si>
    <t>DCBWPM160355</t>
  </si>
  <si>
    <t>Al Talal Modern Est</t>
  </si>
  <si>
    <t>Delmatic Co Ltd</t>
  </si>
  <si>
    <t>J211808</t>
  </si>
  <si>
    <t>J211809</t>
  </si>
  <si>
    <t>J211806</t>
  </si>
  <si>
    <t>J211810</t>
  </si>
  <si>
    <t>J211807</t>
  </si>
  <si>
    <t>J211811</t>
  </si>
  <si>
    <t>CITY:Jeddah 6132226J210617002</t>
  </si>
  <si>
    <t>DPBCOR625240WPM DCBWPM565846</t>
  </si>
  <si>
    <t>DC ISSUE COMM CHARGES DCBWPM160344</t>
  </si>
  <si>
    <t>DC ISSUE COMM CHARGES DCBWPM160343</t>
  </si>
  <si>
    <t>DC ISSUE COMM CHARGES DCBWPM160355</t>
  </si>
  <si>
    <t>90 Days From the Delivery Date</t>
  </si>
  <si>
    <t>DCBCPM160316</t>
  </si>
  <si>
    <t>DCBWPM160340</t>
  </si>
  <si>
    <t>Exhibition Centre Construction Works - D2-CN25-140</t>
  </si>
  <si>
    <t>LGI-0857-26-7603</t>
  </si>
  <si>
    <t>LC SWIFT CHARGES FOR LC NO. TF252110008802\BNK</t>
  </si>
  <si>
    <t>REIMBURSE UNDER LCS DR FOR LC NO. TF252110008802\BNK</t>
  </si>
  <si>
    <t>RB REF JLG7000184,VIA CORE SYSTEM,DATE-TIME 18/01-12:45:44, عن طريق النظام الآ لي ,VALUE DT 18/01/26</t>
  </si>
  <si>
    <t>JLG7000184</t>
  </si>
  <si>
    <t>CITY:Jeddah 6132226J211604001</t>
  </si>
  <si>
    <t>J211604001</t>
  </si>
  <si>
    <t>CITY:Jeddah 6132226J211811000</t>
  </si>
  <si>
    <t>J211811000</t>
  </si>
  <si>
    <t>CITY:Jeddah 6132226J211808000</t>
  </si>
  <si>
    <t>J211808000</t>
  </si>
  <si>
    <t>CITY:Jeddah 6132226J211809000</t>
  </si>
  <si>
    <t>J211809000</t>
  </si>
  <si>
    <t>CITY:Jeddah 6132226J211806000</t>
  </si>
  <si>
    <t>J211806000</t>
  </si>
  <si>
    <t>CITY:Jeddah 6132226J211810000</t>
  </si>
  <si>
    <t>J211810000</t>
  </si>
  <si>
    <t>CITY:Jeddah 6132226J211807000</t>
  </si>
  <si>
    <t>J211807000</t>
  </si>
  <si>
    <t>DPBCOR625317WPM DCBWPM563046</t>
  </si>
  <si>
    <t>DPBCOR626155WPM DCBWPM563039</t>
  </si>
  <si>
    <t>DPBEPM624631WPM DCBWPM563027</t>
  </si>
  <si>
    <t>262-307200-009</t>
  </si>
  <si>
    <t>DC ISSUE COMM CHARGES DCBCPM160316</t>
  </si>
  <si>
    <t>IMP BILL AMEND. CHARGES DPBCOR211036WPM DCBWPM570380</t>
  </si>
  <si>
    <t>DPBCOR211036WPM</t>
  </si>
  <si>
    <t>DPBCOR625255WPM DCBWPM563025</t>
  </si>
  <si>
    <t>DPBCOR626959WPM DCBWPM555620</t>
  </si>
  <si>
    <t>DPBEPM619787WPM DCBWPM563017</t>
  </si>
  <si>
    <t>DPBEPM619787WPM</t>
  </si>
  <si>
    <t>DC ISSUE COMM CHARGES DCBWPM160340</t>
  </si>
  <si>
    <t>FAB</t>
  </si>
  <si>
    <t>CEER-2</t>
  </si>
  <si>
    <t>REF 000000JLC6901492,RB REF JLC6901492,VIA CORE SYSTEM,DATE-TIME 19/01-14:31:00, عن طريق النظام الآ لي ,VALUE DT 19/01/26</t>
  </si>
  <si>
    <t>RB REF JLG6603079,VIA CORE SYSTEM,DATE-TIME 19/01-17:11:09, عن طريق النظام الآ لي ,VALUE DT 19/01/26</t>
  </si>
  <si>
    <t>RB REF JLG6600939,VIA CORE SYSTEM,DATE-TIME 19/01-09:46:24, عن طريق النظام الآ لي ,VALUE DT 19/01/26</t>
  </si>
  <si>
    <t>JLG6600939</t>
  </si>
  <si>
    <t>REF 000000JLC6901431,RB REF JLC6901431,VIA CORE SYSTEM,DATE-TIME 19/01-15:17:03, عن طريق النظام الآ لي ,VALUE DT 19/01/26</t>
  </si>
  <si>
    <t>DPBEPM626949WPM DCBWPM565841</t>
  </si>
  <si>
    <t xml:space="preserve">Dr TI LGI Commission (Earned)                                         
ISS001-286176542                                                      
At Bank AlJazira                                                      
CBS CENTRAL                                                           
Date 30-07-1447(H) Time 10.57.01                                      
Reference LGI-0857-26-7603                                            
</t>
  </si>
  <si>
    <t xml:space="preserve">Value Added Tax                                                       
On LGI ISSUANCE COMMISSION                                            
15% of SAR9,374.98                                                    
Through CBS CENTRAL                                                   
Date 30-07-1447(H) Time 10.57.02                                      
Reference LGI-0857-26-7603                                            
At Bank Aljazira                                                      
Exchange Rate 1.0                                                     
</t>
  </si>
  <si>
    <t xml:space="preserve">Dr TI LGI Comm/Other Charges                                          
ISS001-286176544                                                      
At Bank AlJazira                                                      
CBS CENTRAL                                                           
Date 30-07-1447(H) Time 10.57.02                                      
Reference LGI-0857-26-7603                                            
</t>
  </si>
  <si>
    <t xml:space="preserve">Value Added Tax                                                       
On LG Processing/Facility Fees                                        
15% of SAR25,479.45                                                   
Through CBS CENTRAL                                                   
Date 30-07-1447(H) Time 10.57.03                                      
Reference LGI-0857-26-7603                                            
At Bank Aljazira                                                      
Exchange Rate 1.0                                                     
</t>
  </si>
  <si>
    <t xml:space="preserve">Dr TI ILC Comm/Other Charges                                          
POC001-286244757                                                      
At Bank Aljazira                                                      
 CORPORATE BANKING DEPT-JEDDAH                                        
Date 30-07-1447(H) Time 14.14.49                                      
Reference ILC-0840-25-8427                                            
Value Date 30-07-1447(H)                                              
Fee Collected By Bank AlJazira                                        
</t>
  </si>
  <si>
    <t xml:space="preserve">Value Added Tax                                                       
On ILC Acceptance Comm.                                               
15% of SAR100.00                                                      
Through CORPORATE BANKING DEPT-JEDDAH                                 
Date 30-07-1447(H) Time 14.14.50                                      
Reference ILC-0840-25-8427                                            
At Bank Aljazira                                                      
</t>
  </si>
  <si>
    <t xml:space="preserve">Dr TI ILC Comm/Other Charges                                          
POC001-286244797                                                      
At Bank Aljazira                                                      
 CORPORATE BANKING DEPT-JEDDAH                                        
Date 30-07-1447(H) Time 14.14.50                                      
Reference ILC-0840-25-8427                                            
Value Date 30-07-1447(H)                                              
Fee Collected By Bank AlJazira                                        
</t>
  </si>
  <si>
    <t xml:space="preserve">Value Added Tax                                                       
On ILC Acceptance Comm.                                               
15% of SAR465.00                                                      
Through CORPORATE BANKING DEPT-JEDDAH                                 
Date 30-07-1447(H) Time 14.14.50                                      
Reference ILC-0840-25-8427                                            
At Bank Aljazira                                                      
</t>
  </si>
  <si>
    <t xml:space="preserve">Dr TI ILC Comm/Other Charges                                          
POC001-286244799                                                      
At Bank Aljazira                                                      
 CORPORATE BANKING DEPT-JEDDAH                                        
Date 30-07-1447(H) Time 14.14.50                                      
Reference ILC-0840-25-8427                                            
Value Date 30-07-1447(H)                                              
Fee Collected By Bank AlJazira                                        
</t>
  </si>
  <si>
    <t xml:space="preserve">Value Added Tax                                                       
On SWIFT charges                                                      
15% of SAR200.00                                                      
Through CORPORATE BANKING DEPT-JEDDAH                                 
Date 30-07-1447(H) Time 14.14.51                                      
Reference ILC-0840-25-8427                                            
At Bank Aljazira                                                      
</t>
  </si>
  <si>
    <t>MBL / Green Roots</t>
  </si>
  <si>
    <t>J211805</t>
  </si>
  <si>
    <t>J211835</t>
  </si>
  <si>
    <t>J211836</t>
  </si>
  <si>
    <t>GENERAL AUTHORITY OF PORTS - JEDDAH ISLAMIC PORT</t>
  </si>
  <si>
    <t>Settled from Curr A/c instead of Cash Margin / Margin refunded on 12-01-26 for SAR 141,838.25</t>
  </si>
  <si>
    <t>Rabigh 2 IPP Expansion Project - P004-SC-032</t>
  </si>
  <si>
    <t>overdue charges SAR 11,303.22</t>
  </si>
  <si>
    <t>CITY:Jeddah 6132226J211485002</t>
  </si>
  <si>
    <t>CITY:Jeddah 6132226J211835000</t>
  </si>
  <si>
    <t>J211835000</t>
  </si>
  <si>
    <t>CITY:Jeddah 6132226J211836000</t>
  </si>
  <si>
    <t>J211836000</t>
  </si>
  <si>
    <t>CITY:Jeddah 6132226J211805000</t>
  </si>
  <si>
    <t>J211805000</t>
  </si>
  <si>
    <t>LG amount</t>
  </si>
  <si>
    <t xml:space="preserve">Rate </t>
  </si>
  <si>
    <t>No of mo.</t>
  </si>
  <si>
    <t xml:space="preserve">Commission </t>
  </si>
  <si>
    <t>TOTAL</t>
  </si>
  <si>
    <t xml:space="preserve">CUSTOMER = 3972500 DEAL AMT = 14710.93 DEAL CCY = SAR TAX CODE = 1 </t>
  </si>
  <si>
    <t>TF253480002901</t>
  </si>
  <si>
    <t>LC ACCEPTANCE COMMISSION FOR LC NO. TF253480002901\BNK</t>
  </si>
  <si>
    <t>REF 000000JLC6901492,RB REF JLC6901492,VIA CORE SYSTEM,DATE-TIME 21/01-14:50:45, عن طريق النظام الآ لي ,VALUE DT 21/01/26</t>
  </si>
  <si>
    <t>RB REF JLG7000251,VIA CORE SYSTEM,DATE-TIME 21/01-16:49:24, عن طريق النظام الآ لي ,VALUE DT 21/01/26</t>
  </si>
  <si>
    <t>JLG7000251</t>
  </si>
  <si>
    <t>IMP BILL AMEND. CHARGES DPBCOR211390WPM DCBWPM570414</t>
  </si>
  <si>
    <t>DPBCOR211390WPM</t>
  </si>
  <si>
    <t>RRPP-2</t>
  </si>
  <si>
    <t>Sight / Remitting Bank Charges 699.38 (All Charges on Beneficiary except Issuing Bank Charges)</t>
  </si>
  <si>
    <t>ASD003 AL SALAM DISTRICT PROJECT</t>
  </si>
  <si>
    <t>JLG6700362</t>
  </si>
  <si>
    <t>MADINAH REGIONAL DEVELOPMENT CO.</t>
  </si>
  <si>
    <t>QIBAA MOSQUE PROJECT</t>
  </si>
  <si>
    <t xml:space="preserve">CUSTOMER = 3972500 DEAL AMT = 1565.55 DEAL CCY = SAR TAX CODE = 1 </t>
  </si>
  <si>
    <t>TF253160005301</t>
  </si>
  <si>
    <t>LC ACCEPTANCE COMMISSION FOR LC NO. TF253160005301\BNK</t>
  </si>
  <si>
    <t>REF 000000JLC6901492,RB REF JLC6901492,VIA CORE SYSTEM,DATE-TIME 22/01-11:28:08, عن طريق النظام الآ لي ,VALUE DT 22/01/26</t>
  </si>
  <si>
    <t>REF 000000JLC7000001,RB REF JLC7000001,VIA CORE SYSTEM,DATE-TIME 22/01-12:12:25, عن طريق النظام الآ لي ,VALUE DT 22/01/26</t>
  </si>
  <si>
    <t>IMP BILL AMEND. CHARGES DPBEPM211613WPM DCBWPM563027</t>
  </si>
  <si>
    <t>DPBEPM211613WPM</t>
  </si>
  <si>
    <t>DPBEPM625018WPM DCBWPM565818</t>
  </si>
  <si>
    <t xml:space="preserve">Dr TI ILC Comm/Other Charges                                          
POC001-286653574                                                      
At Bank Aljazira                                                      
 CORPORATE BANKING DEPT-JEDDAH                                        
Date 03-08-1447(H) Time 11.24.01                                      
Reference ILC-0840-25-8165                                            
Value Date 03-08-1447(H)                                              
Fee Collected By Bank AlJazira                                        
</t>
  </si>
  <si>
    <t xml:space="preserve">Value Added Tax                                                       
On ILC Acceptance Comm.                                               
15% of SAR100.00                                                      
Through CORPORATE BANKING DEPT-JEDDAH                                 
Date 03-08-1447(H) Time 11.24.01                                      
Reference ILC-0840-25-8165                                            
At Bank Aljazira                                                      
</t>
  </si>
  <si>
    <t xml:space="preserve">Dr TI ILC Comm/Other Charges                                          
POC001-286653858                                                      
At Bank Aljazira                                                      
 CORPORATE BANKING DEPT-JEDDAH                                        
Date 03-08-1447(H) Time 11.24.01                                      
Reference ILC-0840-25-8165                                            
Value Date 03-08-1447(H)                                              
Fee Collected By Bank AlJazira                                        
</t>
  </si>
  <si>
    <t xml:space="preserve">Value Added Tax                                                       
On ILC Acceptance Comm.                                               
15% of SAR922.00                                                      
Through CORPORATE BANKING DEPT-JEDDAH                                 
Date 03-08-1447(H) Time 11.24.01                                      
Reference ILC-0840-25-8165                                            
At Bank Aljazira                                                      
</t>
  </si>
  <si>
    <t xml:space="preserve">Dr TI ILC Comm/Other Charges                                          
POC001-286653862                                                      
At Bank Aljazira                                                      
 CORPORATE BANKING DEPT-JEDDAH                                        
Date 03-08-1447(H) Time 11.24.02                                      
Reference ILC-0840-25-8165                                            
Value Date 03-08-1447(H)                                              
Fee Collected By Bank AlJazira                                        
</t>
  </si>
  <si>
    <t xml:space="preserve">Value Added Tax                                                       
On SWIFT charges                                                      
15% of SAR200.00                                                      
Through CORPORATE BANKING DEPT-JEDDAH                                 
Date 03-08-1447(H) Time 11.24.02                                      
Reference ILC-0840-25-8165                                            
At Bank Aljazira                                                      
</t>
  </si>
  <si>
    <t>TF251740001901</t>
  </si>
  <si>
    <t>LC ACCEPTANCE COMMISSION FOR LC NO. TF251740001901\BNK</t>
  </si>
  <si>
    <t>TF252300003403</t>
  </si>
  <si>
    <t>LC SWIFT CHARGES FOR LC NO. TF252300003403\BNK</t>
  </si>
  <si>
    <t>LC ACCEPTANCE COMMISSION FOR LC NO. TF252300003403\BNK</t>
  </si>
  <si>
    <t>REIMBURSE UNDER LCS DR FOR LC NO. TF252300003403\BNK</t>
  </si>
  <si>
    <t>LC SWIFT CHARGES FOR LC NO. TF252650001701\BNK</t>
  </si>
  <si>
    <t>REIMBURSE UNDER LCS DR FOR LC NO. TF252650001701\BNK</t>
  </si>
  <si>
    <t>RB REF JLG6700362,VIA CORE SYSTEM,DATE-TIME 25/01-12:07:40, عن طريق النظام الآ لي ,VALUE DT 25/01/26</t>
  </si>
  <si>
    <t>REF 000000JLC7000009,RB REF JLC7000009,VIA CORE SYSTEM,DATE-TIME 25/01-13:03:50, عن طريق النظام الآ لي ,VALUE DT 25/01/26</t>
  </si>
  <si>
    <t>CITY:Jeddah 6132226J211763001</t>
  </si>
  <si>
    <t>J211763001</t>
  </si>
  <si>
    <t>DPBCOR625589WPM DCBWPM564584</t>
  </si>
  <si>
    <t>DPBEPM622848WPM DCBWPM563040</t>
  </si>
  <si>
    <t xml:space="preserve">TI Bill Settled                                                       
POC008                                                                
At Bank AlJazira                                                      
CORPORATE BANKING DEPT-JEDDAH                                         
Date 06-08-1447(H) Time 12.31.57                                      
Reference ILC-0840-25-7982                                            
</t>
  </si>
  <si>
    <t xml:space="preserve">Dr TI ILC Comm/Other Charges                                          
POC002-286811657                                                      
At Bank Aljazira                                                      
 CORPORATE BANKING DEPT-JEDDAH                                        
Date 06-08-1447(H) Time 12.32.29                                      
Reference ILC-0840-25-8427                                            
Value Date 06-08-1447(H)                                              
Fee Collected By Bank AlJazira                                        
</t>
  </si>
  <si>
    <t xml:space="preserve">Value Added Tax                                                       
On ILC Acceptance Comm.                                               
15% of SAR100.00                                                      
Through CORPORATE BANKING DEPT-JEDDAH                                 
Date 06-08-1447(H) Time 12.32.29                                      
Reference ILC-0840-25-8427                                            
At Bank Aljazira                                                      
</t>
  </si>
  <si>
    <t xml:space="preserve">Dr TI ILC Comm/Other Charges                                          
POC002-286811710                                                      
At Bank Aljazira                                                      
 CORPORATE BANKING DEPT-JEDDAH                                        
Date 06-08-1447(H) Time 12.32.29                                      
Reference ILC-0840-25-8427                                            
Value Date 06-08-1447(H)                                              
Fee Collected By Bank AlJazira                                        
</t>
  </si>
  <si>
    <t xml:space="preserve">Value Added Tax                                                       
On ILC Acceptance Comm.                                               
15% of SAR656.00                                                      
Through CORPORATE BANKING DEPT-JEDDAH                                 
Date 06-08-1447(H) Time 12.32.29                                      
Reference ILC-0840-25-8427                                            
At Bank Aljazira                                                      
</t>
  </si>
  <si>
    <t xml:space="preserve">Dr TI ILC Comm/Other Charges                                          
POC002-286811726                                                      
At Bank Aljazira                                                      
 CORPORATE BANKING DEPT-JEDDAH                                        
Date 06-08-1447(H) Time 12.32.30                                      
Reference ILC-0840-25-8427                                            
Value Date 06-08-1447(H)                                              
Fee Collected By Bank AlJazira                                        
</t>
  </si>
  <si>
    <t xml:space="preserve">Value Added Tax                                                       
On SWIFT charges                                                      
15% of SAR200.00                                                      
Through CORPORATE BANKING DEPT-JEDDAH                                 
Date 06-08-1447(H) Time 12.32.30                                      
Reference ILC-0840-25-8427                                            
At Bank Aljazira                                                      
</t>
  </si>
  <si>
    <t>Performance_Amendment</t>
  </si>
  <si>
    <t>Start Date</t>
  </si>
  <si>
    <t>Days</t>
  </si>
  <si>
    <t>Maturity</t>
  </si>
  <si>
    <t>Tenor</t>
  </si>
  <si>
    <t>Electro Mechanical Supplies</t>
  </si>
  <si>
    <t>Mahmoud Altaheni And His Partners Trading Company</t>
  </si>
  <si>
    <t>Ideal Caliber Company</t>
  </si>
  <si>
    <t>Schneider Electric Saudi Arabia Co</t>
  </si>
  <si>
    <t xml:space="preserve">CUSTOMER = 3972500 DEAL AMT = 2555.57 DEAL CCY = SAR TAX CODE = 1 </t>
  </si>
  <si>
    <t>TF253350000601</t>
  </si>
  <si>
    <t>LC ACCEPTANCE COMMISSION FOR LC NO. TF253350000601\BNK</t>
  </si>
  <si>
    <t>REF 000000JLC6901431,RB REF JLC6901431,VIA CORE SYSTEM,DATE-TIME 26/01-09:45:16, عن طريق النظام الآ لي ,VALUE DT 26/01/26</t>
  </si>
  <si>
    <t>CITY:Jeddah 6132226J210617006</t>
  </si>
  <si>
    <t>J210617006</t>
  </si>
  <si>
    <t>CITY:Jeddah 6132226J210617005</t>
  </si>
  <si>
    <t>J210617005</t>
  </si>
  <si>
    <t>IMP BILL AMEND. CHARGES DPBCOR211591WPM DCBWPM563372</t>
  </si>
  <si>
    <t>DPBCOR211591WPM</t>
  </si>
  <si>
    <t>IMP BILL AMEND. CHARGES DPBCOR211578WPM DCBWPM566634</t>
  </si>
  <si>
    <t>DPBCOR211578WPM</t>
  </si>
  <si>
    <t xml:space="preserve">Dr TI ILC Comm/Other Charges                                          
POC008-286961727                                                      
At Bank Aljazira                                                      
 CORPORATE BANKING DEPT-JEDDAH                                        
Date 07-08-1447(H) Time 10.31.32                                      
Reference ILC-0840-25-8159                                            
Value Date 07-08-1447(H)                                              
Fee Collected By Bank AlJazira                                        
</t>
  </si>
  <si>
    <t xml:space="preserve">Value Added Tax                                                       
On ILC Acceptance Comm.                                               
15% of SAR100.00                                                      
Through CORPORATE BANKING DEPT-JEDDAH                                 
Date 07-08-1447(H) Time 10.31.32                                      
Reference ILC-0840-25-8159                                            
At Bank Aljazira                                                      
</t>
  </si>
  <si>
    <t xml:space="preserve">Dr TI ILC Comm/Other Charges                                          
POC008-286963116                                                      
At Bank Aljazira                                                      
 CORPORATE BANKING DEPT-JEDDAH                                        
Date 07-08-1447(H) Time 10.31.32                                      
Reference ILC-0840-25-8159                                            
Value Date 07-08-1447(H)                                              
Fee Collected By Bank AlJazira                                        
</t>
  </si>
  <si>
    <t xml:space="preserve">Value Added Tax                                                       
On ILC Acceptance Comm.                                               
15% of SAR433.00                                                      
Through CORPORATE BANKING DEPT-JEDDAH                                 
Date 07-08-1447(H) Time 10.31.32                                      
Reference ILC-0840-25-8159                                            
At Bank Aljazira                                                      
</t>
  </si>
  <si>
    <t xml:space="preserve">Dr TI ILC Comm/Other Charges                                          
POC008-286963118                                                      
At Bank Aljazira                                                      
 CORPORATE BANKING DEPT-JEDDAH                                        
Date 07-08-1447(H) Time 10.31.33                                      
Reference ILC-0840-25-8159                                            
Value Date 07-08-1447(H)                                              
Fee Collected By Bank AlJazira                                        
</t>
  </si>
  <si>
    <t xml:space="preserve">Value Added Tax                                                       
On SWIFT charges                                                      
15% of SAR200.00                                                      
Through CORPORATE BANKING DEPT-JEDDAH                                 
Date 07-08-1447(H) Time 10.31.33                                      
Reference ILC-0840-25-8159                                            
At Bank Aljazira                                                      
</t>
  </si>
  <si>
    <t>LC SWIFT CHARGES FOR LC NO. TF251350003401\BNK</t>
  </si>
  <si>
    <t>REIMBURSE UNDER LCS DR FOR LC NO. TF251350003401\BNK</t>
  </si>
  <si>
    <t xml:space="preserve">CUSTOMER = 3972500 DEAL AMT = 2487.33 DEAL CCY = SAR TAX CODE = 1 </t>
  </si>
  <si>
    <t>TF253160006201</t>
  </si>
  <si>
    <t>LC ACCEPTANCE COMMISSION FOR LC NO. TF253160006201\BNK</t>
  </si>
  <si>
    <t xml:space="preserve">CUSTOMER = 3972500 DEAL AMT = 500.00 DEAL CCY = GBP TAX CODE = 1 </t>
  </si>
  <si>
    <t>LC AMENDMENT COMMISSION FOR LC NO. TF2533600018\BNK</t>
  </si>
  <si>
    <t>TF253520002101</t>
  </si>
  <si>
    <t>LC SWIFT CHARGES FOR LC NO. TF253520002101\BNK</t>
  </si>
  <si>
    <t>REIMBURSE UNDER LCS DR FOR LC NO. TF253520002101\BNK</t>
  </si>
  <si>
    <t>LC AMENDMENT COMMISSION FOR LC NO. TF2535900014\BNK</t>
  </si>
  <si>
    <t>CITY:Jeddah 6132226J211485003</t>
  </si>
  <si>
    <t>J211485003</t>
  </si>
  <si>
    <t>DPBCOR622248WPM DCBWPM553893</t>
  </si>
  <si>
    <t>DPBCOR625701WPM DCBWPM564596</t>
  </si>
  <si>
    <t>DPBEPM625354WPM DCBWPM565818</t>
  </si>
  <si>
    <t>DCBWPM161319</t>
  </si>
  <si>
    <t>Perfect</t>
  </si>
  <si>
    <t>DCBWPM161322</t>
  </si>
  <si>
    <t>DCBWPM161326</t>
  </si>
  <si>
    <t>DCBWPM161328</t>
  </si>
  <si>
    <t>DCBWPM161329</t>
  </si>
  <si>
    <t>DCBWPM161330</t>
  </si>
  <si>
    <t>DCBWPM161331</t>
  </si>
  <si>
    <t>Tenor (Months)</t>
  </si>
  <si>
    <t>0.5% Flat | Courier - STD 200 / Same Bank - 75</t>
  </si>
  <si>
    <t>MBL &amp; Rowad Modern Engineering Pioneers Company (JV – 50%)</t>
  </si>
  <si>
    <t>DC ISSUE COMM CHARGES DCBWPM161330</t>
  </si>
  <si>
    <t>DC ISSUE COMM CHARGES DCBWPM161329</t>
  </si>
  <si>
    <t>DC ISSUE COMM CHARGES DCBWPM161328</t>
  </si>
  <si>
    <t>DPBCOR624200WPM DCBWPM565836</t>
  </si>
  <si>
    <t>DC ISSUE COMM CHARGES DCBWPM161322</t>
  </si>
  <si>
    <t>DC ISSUE COMM CHARGES DCBWPM161319</t>
  </si>
  <si>
    <t>DPBEPM626525WPM DCBWPM566637</t>
  </si>
  <si>
    <t>DC ISSUE COMM CHARGES DCBWPM161326</t>
  </si>
  <si>
    <t>DC ISSUE COMM CHARGES DCBWPM161331</t>
  </si>
  <si>
    <t xml:space="preserve">TI Bill Settled                                                       
POC003                                                                
At Bank AlJazira                                                      
CORPORATE BANKING DEPT-JEDDAH                                         
Date 09-08-1447(H) Time 10.39.47                                      
Reference ILC-0840-25-8427                                            
</t>
  </si>
  <si>
    <t xml:space="preserve">Dr TI ILC Comm/Other Charges                                          
POC004-287367532                                                      
At Bank Aljazira                                                      
 CORPORATE BANKING DEPT-JEDDAH                                        
Date 09-08-1447(H) Time 13.11.49                                      
Reference ILC-0840-25-7736                                            
Value Date 09-08-1447(H)                                              
Fee Collected By Bank AlJazira                                        
</t>
  </si>
  <si>
    <t xml:space="preserve">Value Added Tax                                                       
On ILC Acceptance Comm.                                               
15% of SAR100.00                                                      
Through CORPORATE BANKING DEPT-JEDDAH                                 
Date 09-08-1447(H) Time 13.11.49                                      
Reference ILC-0840-25-7736                                            
At Bank Aljazira                                                      
</t>
  </si>
  <si>
    <t xml:space="preserve">Dr TI ILC Comm/Other Charges                                          
POC004-287367753                                                      
At Bank Aljazira                                                      
 CORPORATE BANKING DEPT-JEDDAH                                        
Date 09-08-1447(H) Time 13.11.50                                      
Reference ILC-0840-25-7736                                            
Value Date 09-08-1447(H)                                              
Fee Collected By Bank AlJazira                                        
</t>
  </si>
  <si>
    <t xml:space="preserve">Value Added Tax                                                       
On ILC Acceptance Comm.                                               
15% of SAR250.00                                                      
Through CORPORATE BANKING DEPT-JEDDAH                                 
Date 09-08-1447(H) Time 13.11.50                                      
Reference ILC-0840-25-7736                                            
At Bank Aljazira                                                      
</t>
  </si>
  <si>
    <t xml:space="preserve">Dr TI ILC Comm/Other Charges                                          
POC004-287367755                                                      
At Bank Aljazira                                                      
 CORPORATE BANKING DEPT-JEDDAH                                        
Date 09-08-1447(H) Time 13.11.50                                      
Reference ILC-0840-25-7736                                            
Value Date 09-08-1447(H)                                              
Fee Collected By Bank AlJazira                                        
</t>
  </si>
  <si>
    <t xml:space="preserve">Value Added Tax                                                       
On SWIFT charges                                                      
15% of SAR200.00                                                      
Through CORPORATE BANKING DEPT-JEDDAH                                 
Date 09-08-1447(H) Time 13.11.50                                      
Reference ILC-0840-25-7736                                            
At Bank Aljazira                                                      
</t>
  </si>
  <si>
    <t>B003739</t>
  </si>
  <si>
    <t>JLG7000294</t>
  </si>
  <si>
    <t xml:space="preserve">TF2512733014      </t>
  </si>
  <si>
    <t>From Date</t>
  </si>
  <si>
    <t>JLC6901617</t>
  </si>
  <si>
    <t>0.5% Flat For no of Months Min 250.00| Document Handling - 100 | SWIFT- 200</t>
  </si>
  <si>
    <t>Handling</t>
  </si>
  <si>
    <t>0.5% Flat For no of Months Min 1250.00| SWIFT- 150(local 75)</t>
  </si>
  <si>
    <t>Courier/SWIFT</t>
  </si>
  <si>
    <t>First 40K 0.25% for 3 months | Remaining Bal 0.125% | 0.0625% on full amount * no of months</t>
  </si>
  <si>
    <t>(blank)</t>
  </si>
  <si>
    <t>0.375 % per quarter minimum 500.00 charged in advance</t>
  </si>
  <si>
    <t>LC SWIFT CHARGES FOR LC NO. TF252110010101\BNK</t>
  </si>
  <si>
    <t>REIMBURSE UNDER LCS DR FOR LC NO. TF252110010101\BNK</t>
  </si>
  <si>
    <t>RB REF JLG7000294,VIA CORE SYSTEM,DATE-TIME 01/02-10:39:30, عن طريق النظام الآ لي ,VALUE DT 01/02/26</t>
  </si>
  <si>
    <t>CITY:Jeddah 6132226J210604001</t>
  </si>
  <si>
    <t>J210604001</t>
  </si>
  <si>
    <t>DPBCOR628026WPM DCBWPM566642</t>
  </si>
  <si>
    <t>DPBCOR630004WPM DCBWPM564575</t>
  </si>
  <si>
    <t>DPBCOR625985WPM DCBWPM566842</t>
  </si>
  <si>
    <t>IMP BILL AMEND. CHARGES DPBEPM211928WPM DCBWPM570361</t>
  </si>
  <si>
    <t>DPBEPM211928WPM</t>
  </si>
  <si>
    <t>IMP BILL COMM DPBCOR212566WPM DCBWPM570414</t>
  </si>
  <si>
    <t>DPBCOR212566WPM</t>
  </si>
  <si>
    <t>IMP BILL AMEND. CHARGES DPBEPM212076WPM DCBWPM563374</t>
  </si>
  <si>
    <t>DPBEPM212076WPM</t>
  </si>
  <si>
    <t>LG-Bid</t>
  </si>
  <si>
    <t>JLC7000188</t>
  </si>
  <si>
    <t>JLC7000192</t>
  </si>
  <si>
    <t>JLC7000193</t>
  </si>
  <si>
    <t>JLC7000184</t>
  </si>
  <si>
    <t>JLC7000186</t>
  </si>
  <si>
    <t>JLC7000187</t>
  </si>
  <si>
    <t>JLC7000182</t>
  </si>
  <si>
    <t>JLC7000183</t>
  </si>
  <si>
    <t>JLC7000185</t>
  </si>
  <si>
    <t>TF251350001901</t>
  </si>
  <si>
    <t>LC ACCEPTANCE COMMISSION FOR LC NO. TF251350001901\BNK</t>
  </si>
  <si>
    <t xml:space="preserve">CUSTOMER = 3972500 DEAL AMT = 2282.19 DEAL CCY = SAR TAX CODE = 1 </t>
  </si>
  <si>
    <t>TF253520001901</t>
  </si>
  <si>
    <t>LC ACCEPTANCE COMMISSION FOR LC NO. TF253520001901\BNK</t>
  </si>
  <si>
    <t>TF253520001902</t>
  </si>
  <si>
    <t>LC ACCEPTANCE COMMISSION FOR LC NO. TF253520001902\BNK</t>
  </si>
  <si>
    <t>REF 000000JLC7000184,RB REF JLC7000184,VIA CORE SYSTEM,DATE-TIME 04/02-16:09:05, عن طريق النظام الآ لي ,VALUE DT 04/02/26</t>
  </si>
  <si>
    <t>REF 000000JLC7000193,RB REF JLC7000193,VIA CORE SYSTEM,DATE-TIME 04/02-16:03:43, عن طريق النظام الآ لي ,VALUE DT 04/02/26</t>
  </si>
  <si>
    <t>REF 000000JLC7000183,RB REF JLC7000183,VIA CORE SYSTEM,DATE-TIME 04/02-16:20:38, عن طريق النظام الآ لي ,VALUE DT 04/02/26</t>
  </si>
  <si>
    <t>REF 000000JLC7000185,RB REF JLC7000185,VIA CORE SYSTEM,DATE-TIME 04/02-16:15:11, عن طريق النظام الآ لي ,VALUE DT 04/02/26</t>
  </si>
  <si>
    <t>REF 000000JLC7000182,RB REF JLC7000182,VIA CORE SYSTEM,DATE-TIME 04/02-16:12:58, عن طريق النظام الآ لي ,VALUE DT 04/02/26</t>
  </si>
  <si>
    <t>REF 000000JLC7000187,RB REF JLC7000187,VIA CORE SYSTEM,DATE-TIME 04/02-16:10:49, عن طريق النظام الآ لي ,VALUE DT 04/02/26</t>
  </si>
  <si>
    <t>REF 000000JLC7000186,RB REF JLC7000186,VIA CORE SYSTEM,DATE-TIME 04/02-16:07:10, عن طريق النظام الآ لي ,VALUE DT 04/02/26</t>
  </si>
  <si>
    <t>REF 000000JLC7000192,RB REF JLC7000192,VIA CORE SYSTEM,DATE-TIME 04/02-15:36:58, عن طريق النظام الآ لي ,VALUE DT 04/02/26</t>
  </si>
  <si>
    <t>REF 000000JLC7000188,RB REF JLC7000188,VIA CORE SYSTEM,DATE-TIME 04/02-14:56:31, عن طريق النظام الآ لي ,VALUE DT 04/02/26</t>
  </si>
  <si>
    <t>IMP BILL AMEND. CHARGES DPBEPM212633WPM DCBWPM553808</t>
  </si>
  <si>
    <t>DPBEPM212633WPM</t>
  </si>
  <si>
    <t>DPBCOR626724WPM DCBWPM563043</t>
  </si>
  <si>
    <t>DPBCOR626146WPM DCBWPM558775</t>
  </si>
  <si>
    <t>DPBCOR625929WPM DCBWPM566639</t>
  </si>
  <si>
    <t>DPBEPM625846WPM DCBWPM563067</t>
  </si>
  <si>
    <t>DPBEPM626288WPM DCBWPM563027</t>
  </si>
  <si>
    <t>DPBEPM621179WPM DCBWPM563017</t>
  </si>
  <si>
    <t>DPBEPM621179WPM</t>
  </si>
  <si>
    <t xml:space="preserve">TI Bill Settled                                                       
POC002                                                                
At Bank AlJazira                                                      
CORPORATE BANKING DEPT-JEDDAH                                         
Date 16-08-1447(H) Time 11.52.48                                      
Reference ILC-0840-25-8160                                            
</t>
  </si>
  <si>
    <t xml:space="preserve">Dr TI ILC Comm/Other Charges                                          
AMD002-288248384                                                      
At Bank Aljazira                                                      
 CORPORATE BANKING DEPT-JEDDAH                                        
Exchange Rate 1.0                                                     
Date 16-08-1447(H) Time 14.57.19                                      
Reference ILC-0840-25-8164                                            
Value Date 16-08-1447(H)                                              
Fee Collected By Bank AlJazira                                        
</t>
  </si>
  <si>
    <t xml:space="preserve">Value Added Tax                                                       
On SWIFT charges                                                      
15% of SAR200.00                                                      
Through CORPORATE BANKING DEPT-JEDDAH                                 
Date 16-08-1447(H) Time 14.57.19                                      
Reference ILC-0840-25-8164                                            
At Bank Aljazira                                                      
Exchange Rate 1.0                                                     
</t>
  </si>
  <si>
    <t xml:space="preserve">Dr TI ILC Comm/Other Charges                                          
AMD002-288248386                                                      
At Bank Aljazira                                                      
 CORPORATE BANKING DEPT-JEDDAH                                        
Exchange Rate 1.0                                                     
Date 16-08-1447(H) Time 14.57.20                                      
Reference ILC-0840-25-8164                                            
Value Date 16-08-1447(H)                                              
Fee Collected By Bank AlJazira                                        
</t>
  </si>
  <si>
    <t xml:space="preserve">Value Added Tax                                                       
On ILC Commission                                                     
15% of SAR626.44                                                      
Through CORPORATE BANKING DEPT-JEDDAH                                 
Date 16-08-1447(H) Time 14.57.20                                      
Reference ILC-0840-25-8164                                            
At Bank Aljazira                                                      
Exchange Rate 1.0                                                     
</t>
  </si>
  <si>
    <t xml:space="preserve">Dr TI ILC Comm/Other Charges                                          
AMD002-288247432                                                      
At Bank Aljazira                                                      
 CORPORATE BANKING DEPT-JEDDAH                                        
Exchange Rate 1.0                                                     
Date 16-08-1447(H) Time 15.07.41                                      
Reference ILC-0840-25-8166                                            
Value Date 16-08-1447(H)                                              
Fee Collected By Bank AlJazira                                        
</t>
  </si>
  <si>
    <t xml:space="preserve">Value Added Tax                                                       
On SWIFT charges                                                      
15% of SAR200.00                                                      
Through CORPORATE BANKING DEPT-JEDDAH                                 
Date 16-08-1447(H) Time 15.07.41                                      
Reference ILC-0840-25-8166                                            
At Bank Aljazira                                                      
Exchange Rate 1.0                                                     
</t>
  </si>
  <si>
    <t xml:space="preserve">Dr TI ILC Comm/Other Charges                                          
AMD002-288247434                                                      
At Bank Aljazira                                                      
 CORPORATE BANKING DEPT-JEDDAH                                        
Exchange Rate 1.0                                                     
Date 16-08-1447(H) Time 15.07.41                                      
Reference ILC-0840-25-8166                                            
Value Date 16-08-1447(H)                                              
Fee Collected By Bank AlJazira                                        
</t>
  </si>
  <si>
    <t xml:space="preserve">Value Added Tax                                                       
On ILC Commission                                                     
15% of SAR500.00                                                      
Through CORPORATE BANKING DEPT-JEDDAH                                 
Date 16-08-1447(H) Time 15.07.42                                      
Reference ILC-0840-25-8166                                            
At Bank Aljazira                                                      
Exchange Rate 1.0                                                     
</t>
  </si>
  <si>
    <t>SAMA + 0.5%p.a+SWIFT 750.00</t>
  </si>
  <si>
    <t>SAMA-Riyad</t>
  </si>
  <si>
    <t>Date of Issue:</t>
  </si>
  <si>
    <t>LC Expiry:</t>
  </si>
  <si>
    <t>Postage</t>
  </si>
  <si>
    <t>Tenor (Days)</t>
  </si>
  <si>
    <t>Total</t>
  </si>
  <si>
    <t>SAMA + 1%p.a(In Days)+SWIFT/Postage/Courier 460.00</t>
  </si>
  <si>
    <t>0.5% Flat for no of Months | 250 Courier | 150 Postage</t>
  </si>
  <si>
    <t>DPBCOR626203WPM DCBWPM562604</t>
  </si>
  <si>
    <t xml:space="preserve">Dr TI ILC Comm/Other Charges                                          
POC001-288342971                                                      
At Bank Aljazira                                                      
 CORPORATE BANKING DEPT-JEDDAH                                        
Date 17-08-1447(H) Time 11.22.27                                      
Reference ILC-0840-26-8819                                            
Value Date 17-08-1447(H)                                              
Fee Collected By Bank AlJazira                                        
</t>
  </si>
  <si>
    <t xml:space="preserve">Value Added Tax                                                       
On ILC Acceptance Comm.                                               
15% of SAR100.00                                                      
Through CORPORATE BANKING DEPT-JEDDAH                                 
Date 17-08-1447(H) Time 11.22.27                                      
Reference ILC-0840-26-8819                                            
At Bank Aljazira                                                      
</t>
  </si>
  <si>
    <t xml:space="preserve">Dr TI ILC Comm/Other Charges                                          
POC001-288343105                                                      
At Bank Aljazira                                                      
 CORPORATE BANKING DEPT-JEDDAH                                        
Date 17-08-1447(H) Time 11.22.27                                      
Reference ILC-0840-26-8819                                            
Value Date 17-08-1447(H)                                              
Fee Collected By Bank AlJazira                                        
</t>
  </si>
  <si>
    <t xml:space="preserve">Value Added Tax                                                       
On ILC Acceptance Comm.                                               
15% of SAR315.00                                                      
Through CORPORATE BANKING DEPT-JEDDAH                                 
Date 17-08-1447(H) Time 11.22.28                                      
Reference ILC-0840-26-8819                                            
At Bank Aljazira                                                      
</t>
  </si>
  <si>
    <t xml:space="preserve">Dr TI ILC Comm/Other Charges                                          
POC001-288343109                                                      
At Bank Aljazira                                                      
 CORPORATE BANKING DEPT-JEDDAH                                        
Date 17-08-1447(H) Time 11.22.28                                      
Reference ILC-0840-26-8819                                            
Value Date 17-08-1447(H)                                              
Fee Collected By Bank AlJazira                                        
</t>
  </si>
  <si>
    <t xml:space="preserve">Value Added Tax                                                       
On SWIFT charges                                                      
15% of SAR200.00                                                      
Through CORPORATE BANKING DEPT-JEDDAH                                 
Date 17-08-1447(H) Time 11.22.28                                      
Reference ILC-0840-26-8819                                            
At Bank Aljazira                                                      
</t>
  </si>
  <si>
    <t>Advance SAMA+1.5</t>
  </si>
  <si>
    <t>Performance SAMA+0.5</t>
  </si>
  <si>
    <t>Issuance Date</t>
  </si>
  <si>
    <t>First Fix/MBL</t>
  </si>
  <si>
    <t>Increase Amt</t>
  </si>
  <si>
    <t>Previous Expiry Date</t>
  </si>
  <si>
    <t>New Expiry Date</t>
  </si>
  <si>
    <t>JLG7000450</t>
  </si>
  <si>
    <t>Bid SAMA+0.5</t>
  </si>
  <si>
    <t xml:space="preserve">1.5% Flat For no of Months </t>
  </si>
  <si>
    <t xml:space="preserve">CUSTOMER = 3972500 DEAL AMT = 2605.68 DEAL CCY = SAR TAX CODE = 1 </t>
  </si>
  <si>
    <t xml:space="preserve">CUSTOMER = 3972500 DEAL AMT = 14151.25 DEAL CCY = SAR TAX CODE = 1 </t>
  </si>
  <si>
    <t xml:space="preserve">CUSTOMER = 3972500 DEAL AMT = 300.00 DEAL CCY = EUR TAX CODE = 1 </t>
  </si>
  <si>
    <t>REF 000000JLC7000186,RB REF JLC7000186,VIA CORE SYSTEM,DATE-TIME 08/02-18:05:31, عن طريق النظام الآ لي ,VALUE DT 08/02/26</t>
  </si>
  <si>
    <t>RB REF JLG6902265,VIA CORE SYSTEM,DATE-TIME 08/02-10:12:00, عن طريق النظام الآ لي ,VALUE DT 08/02/26</t>
  </si>
  <si>
    <t>RB REF JLG6800803,VIA CORE SYSTEM,DATE-TIME 08/02-17:13:03, عن طريق النظام الآ لي ,VALUE DT 08/02/26</t>
  </si>
  <si>
    <t>CITY:Jeddah 6132226J210868002</t>
  </si>
  <si>
    <t>IMP BILL COMM DPBCOR213004WPM DCBWPM570839</t>
  </si>
  <si>
    <t>DPBCOR213004WPM</t>
  </si>
  <si>
    <t xml:space="preserve">TI Bill Settled                                                       
POC002                                                                
At Bank AlJazira                                                      
CORPORATE BANKING DEPT-JEDDAH                                         
Date 20-08-1447(H) Time 14.11.51                                      
Reference ILC-0840-25-8470                                            
</t>
  </si>
  <si>
    <t>Retention SAMA+0.5</t>
  </si>
  <si>
    <t>Loan from Oceanarium</t>
  </si>
  <si>
    <t>REF 000000JLC7002384,RB REF JLC7002384,VIA CORE SYSTEM,DATE-TIME 09/02-13:01:48, عن طريق النظام الآ لي ,VALUE DT 09/02/26</t>
  </si>
  <si>
    <t>RB REF JLG7000450,VIA CORE SYSTEM,DATE-TIME 09/02-10:19:50, عن طريق النظام الآ لي ,VALUE DT 09/02/26</t>
  </si>
  <si>
    <t>REF 000000JLC6901431,RB REF JLC6901431,VIA CORE SYSTEM,DATE-TIME 09/02-14:45:53, عن طريق النظام الآ لي ,VALUE DT 09/02/26</t>
  </si>
  <si>
    <t>RB REF JLG6900058,VIA CORE SYSTEM,DATE-TIME 09/02-15:32:26, عن طريق النظام الآ لي ,VALUE DT 09/02/26</t>
  </si>
  <si>
    <t>RB REF JLG6601246,VIA CORE SYSTEM,DATE-TIME 09/02-16:10:44, عن طريق النظام الآ لي ,VALUE DT 09/02/26</t>
  </si>
  <si>
    <t>RB REF JLG6800853,VIA CORE SYSTEM,DATE-TIME 09/02-16:56:12, عن طريق النظام الآ لي ,VALUE DT 09/02/26</t>
  </si>
  <si>
    <t>RB REF JLG6602654,VIA CORE SYSTEM,DATE-TIME 09/02-16:09:48, عن طريق النظام الآ لي ,VALUE DT 09/02/26</t>
  </si>
  <si>
    <t xml:space="preserve">TI Bill Settled                                                       
POC003                                                                
At Bank AlJazira                                                      
CORPORATE BANKING DEPT-JEDDAH                                         
Date 21-08-1447(H) Time 10.19.24                                      
Reference ILC-0840-25-8163                                            
</t>
  </si>
  <si>
    <t>LG-Retention</t>
  </si>
  <si>
    <t>LG-Performance</t>
  </si>
  <si>
    <t>LG-Advance</t>
  </si>
  <si>
    <t>SAMA + 0.25%p.a+SWIFT 1000 + Courier 250</t>
  </si>
  <si>
    <t>TF253160005601</t>
  </si>
  <si>
    <t>LC ACCEPTANCE COMMISSION FOR LC NO. TF253160005601\BNK</t>
  </si>
  <si>
    <t>RB REF JLG7000450,VIA CORE SYSTEM,DATE-TIME 10/02-13:20:54, عن طريق النظام الآ لي ,VALUE DT 10/02/26</t>
  </si>
  <si>
    <t>CITY:Jeddah 6132226J210617007</t>
  </si>
  <si>
    <t>J210617007</t>
  </si>
  <si>
    <t>CITY:Jeddah 6132226J211485001</t>
  </si>
  <si>
    <t>DPBCOR628476WPM DCBWPM565824</t>
  </si>
  <si>
    <t>LGI-0840-26-7783</t>
  </si>
  <si>
    <t>SAMA - min 1000</t>
  </si>
  <si>
    <t>SAMA + 0.66%p.a+SWIFT 750.00</t>
  </si>
  <si>
    <t>Riyad Bank</t>
  </si>
  <si>
    <t>Jazira Bank</t>
  </si>
  <si>
    <t>Bid - SAMA+0.5</t>
  </si>
  <si>
    <t>TF2604200011_A</t>
  </si>
  <si>
    <t>TF2604200011_B</t>
  </si>
  <si>
    <t>LC SWIFT CHARGES FOR LC NO. TF252110004801\BNK</t>
  </si>
  <si>
    <t>REIMBURSE UNDER LCS DR FOR LC NO. TF252110004801\BNK</t>
  </si>
  <si>
    <t xml:space="preserve">CUSTOMER = 3972500 DEAL AMT = 31750.00 DEAL CCY = SAR TAX CODE = 1 </t>
  </si>
  <si>
    <t>TF2604200011</t>
  </si>
  <si>
    <t>LC COURIER CHARGES FOR LC NO. TF2604200011\BNK</t>
  </si>
  <si>
    <t>LC SWIFT CHARGES FOR LC NO. TF2604200011\BNK</t>
  </si>
  <si>
    <t>LC OPENING COMMISSION - DEBIT FOR LC NO. TF2604200011\BNK</t>
  </si>
  <si>
    <t>REF 000000JLC7000006,RB REF JLC7000006,VIA CORE SYSTEM,DATE-TIME 11/02-11:37:15, عن طريق النظام الآ لي ,VALUE DT 11/02/26</t>
  </si>
  <si>
    <t>REF 000000JLC6901431,RB REF JLC6901431,VIA CORE SYSTEM,DATE-TIME 11/02-11:32:35, عن طريق النظام الآ لي ,VALUE DT 11/02/26</t>
  </si>
  <si>
    <t>DPBEPM625553WPM DCBWPM566643</t>
  </si>
  <si>
    <t xml:space="preserve">Dr TI LGI Commission (Earned)                                         
ISS001-289065909                                                      
At Bank AlJazira                                                      
CORPORATE BANKING DEPT-JEDDAH                                         
Date 23-08-1447(H) Time 15.36.15                                      
Reference LGI-0840-26-7783                                            
</t>
  </si>
  <si>
    <t xml:space="preserve">Value Added Tax                                                       
On LGI ISSUANCE COMMISSION                                            
15% of SAR12,500.01                                                   
Through CORPORATE BANKING DEPT-JEDDAH                                 
Date 23-08-1447(H) Time 15.36.16                                      
Reference LGI-0840-26-7783                                            
At Bank Aljazira                                                      
Exchange Rate 1.0                                                     
</t>
  </si>
  <si>
    <t xml:space="preserve">Dr TI LGI Comm/Other Charges                                          
ISS001-289065911                                                      
At Bank AlJazira                                                      
CORPORATE BANKING DEPT-JEDDAH                                         
Date 23-08-1447(H) Time 15.36.17                                      
Reference LGI-0840-26-7783                                            
</t>
  </si>
  <si>
    <t xml:space="preserve">Value Added Tax                                                       
On LG Processing/Facility Fees                                        
15% of SAR35,616.44                                                   
Through CORPORATE BANKING DEPT-JEDDAH                                 
Date 23-08-1447(H) Time 15.36.17                                      
Reference LGI-0840-26-7783                                            
At Bank Aljazira                                                      
Exchange Rate 1.0                                                     
</t>
  </si>
  <si>
    <t>J211945</t>
  </si>
  <si>
    <t>Koon Trading Company</t>
  </si>
  <si>
    <t>Building System Intelligent Contractor BSICO</t>
  </si>
  <si>
    <t>DCBWPM162155</t>
  </si>
  <si>
    <t>REBGCU558551</t>
  </si>
  <si>
    <t>Makkah Entertainment Complex</t>
  </si>
  <si>
    <t>REF JLG6800803,REF JLG6800803,VIA CORE SYSTEM,DATE-TIME 12/02-10:22:32, عن طريق النظام الآ لي ,VALUE DT 12/02/26</t>
  </si>
  <si>
    <t>CITY:Jeddah 6132226J211945000</t>
  </si>
  <si>
    <t>J211945000</t>
  </si>
  <si>
    <t>DC ISSUE COMM CHARGES DCBWPM162155</t>
  </si>
  <si>
    <t xml:space="preserve">TI Bill Settled                                                       
POC004                                                                
At Bank AlJazira                                                      
CORPORATE BANKING DEPT-JEDDAH                                         
Date 24-08-1447(H) Time 10.20.44                                      
Reference ILC-0840-25-8427                                            
</t>
  </si>
  <si>
    <t>LG-Refund</t>
  </si>
  <si>
    <t>Bid - SAMA+0.6</t>
  </si>
  <si>
    <t>SNB Bank</t>
  </si>
  <si>
    <t xml:space="preserve">CUSTOMER = 3972500 DEAL AMT = 1250 DEAL CCY = EUR TAX CODE = 1 </t>
  </si>
  <si>
    <t>TF253590001601</t>
  </si>
  <si>
    <t>LC ACCEPTANCE COMMISSION FOR LC NO. TF253590001601\BNK</t>
  </si>
  <si>
    <t>TF253590001602</t>
  </si>
  <si>
    <t>LC ACCEPTANCE COMMISSION FOR LC NO. TF253590001602\BNK</t>
  </si>
  <si>
    <t>LC AMENDMENT COMMISSION FOR LC NO. TF2604200011\BNK</t>
  </si>
  <si>
    <t>CITY:Jeddah 6132226B314277014</t>
  </si>
  <si>
    <t>DPBCOR629572WPM DCBWPM567556</t>
  </si>
  <si>
    <t>DPBCOR625101WPM DCBWPM558768</t>
  </si>
  <si>
    <t>DPBCOR628144WPM DCBWPM567556</t>
  </si>
  <si>
    <t>B314277-014</t>
  </si>
  <si>
    <t>Material Gua</t>
  </si>
  <si>
    <t>Contract No:440014</t>
  </si>
  <si>
    <t>Al-Assas Specialized Co</t>
  </si>
  <si>
    <t>Safid Co Ltd</t>
  </si>
  <si>
    <t>Available Credit Facility</t>
  </si>
  <si>
    <t>LCs In process</t>
  </si>
  <si>
    <t>126</t>
  </si>
  <si>
    <t>REF 000000JLC6701731,RB REF JLC6701731,VIA CORE SYSTEM,DATE-TIME 16/02-15:58:17, عن طريق النظام الآ لي ,VALUE DT 16/02/26</t>
  </si>
  <si>
    <t>DPBEPM624675WPM DCBWPM565760</t>
  </si>
  <si>
    <t>DPBCOR625341WPM DCBWPM563030</t>
  </si>
  <si>
    <t xml:space="preserve">TI Bill Settled                                                       
POC006                                                                
At Bank AlJazira                                                      
CORPORATE BANKING DEPT-JEDDAH                                         
Date 28-08-1447(H) Time 10.40.35                                      
Reference ILC-0840-25-7354                                            
</t>
  </si>
  <si>
    <t xml:space="preserve">Dr TI ILC Comm/Other Charges                                          
POC001-289512493                                                      
At Bank Aljazira                                                      
 CORPORATE BANKING DEPT-JEDDAH                                        
Date 28-08-1447(H) Time 10.40.55                                      
Reference ILC-0840-26-8821                                            
Value Date 28-08-1447(H)                                              
Fee Collected By Bank AlJazira                                        
</t>
  </si>
  <si>
    <t xml:space="preserve">Value Added Tax                                                       
On ILC Acceptance Comm.                                               
15% of SAR100.00                                                      
Through CORPORATE BANKING DEPT-JEDDAH                                 
Date 28-08-1447(H) Time 10.40.55                                      
Reference ILC-0840-26-8821                                            
At Bank Aljazira                                                      
</t>
  </si>
  <si>
    <t xml:space="preserve">Dr TI ILC Comm/Other Charges                                          
POC001-289512793                                                      
At Bank Aljazira                                                      
 CORPORATE BANKING DEPT-JEDDAH                                        
Date 28-08-1447(H) Time 10.40.56                                      
Reference ILC-0840-26-8821                                            
Value Date 28-08-1447(H)                                              
Fee Collected By Bank AlJazira                                        
</t>
  </si>
  <si>
    <t xml:space="preserve">Value Added Tax                                                       
On ILC Acceptance Comm.                                               
15% of SAR262.00                                                      
Through CORPORATE BANKING DEPT-JEDDAH                                 
Date 28-08-1447(H) Time 10.40.56                                      
Reference ILC-0840-26-8821                                            
At Bank Aljazira                                                      
</t>
  </si>
  <si>
    <t xml:space="preserve">Dr TI ILC Comm/Other Charges                                          
POC001-289512795                                                      
At Bank Aljazira                                                      
 CORPORATE BANKING DEPT-JEDDAH                                        
Date 28-08-1447(H) Time 10.40.56                                      
Reference ILC-0840-26-8821                                            
Value Date 28-08-1447(H)                                              
Fee Collected By Bank AlJazira                                        
</t>
  </si>
  <si>
    <t xml:space="preserve">Value Added Tax                                                       
On SWIFT charges                                                      
15% of SAR200.00                                                      
Through CORPORATE BANKING DEPT-JEDDAH                                 
Date 28-08-1447(H) Time 10.40.56                                      
Reference ILC-0840-26-8821                                            
At Bank Aljazira                                                      
</t>
  </si>
  <si>
    <t>KCLG2600085</t>
  </si>
  <si>
    <t>FAB Bank</t>
  </si>
  <si>
    <t>Under Collection - TF2603600014</t>
  </si>
  <si>
    <t>PEBGCU431928</t>
  </si>
  <si>
    <t>NEOM COMPANY</t>
  </si>
  <si>
    <t>200+35</t>
  </si>
  <si>
    <t>REF 000000JLC6701731,RB REF JLC6701731,VIA CORE SYSTEM,DATE-TIME 17/02-16:25:53, عن طريق النظام الآ لي ,VALUE DT 17/02/26</t>
  </si>
  <si>
    <t>REF JLC6701731,REF JLC6701731,VIA CORE SYSTEM,DATE-TIME 17/02-16:25:53, عن طريق النظام الآ لي ,VALUE DT 17/02/26</t>
  </si>
  <si>
    <t>REF 000000JLC6902213,RB REF JLC6902213,VIA CORE SYSTEM,DATE-TIME 18/02-13:19:38, عن طريق النظام الآ لي ,VALUE DT 18/02/26</t>
  </si>
  <si>
    <t>REF 000000JLC6902213,RB REF JLC6902213,VIA CORE SYSTEM,DATE-TIME 18/02-13:18:15, عن طريق النظام الآ لي ,VALUE DT 18/02/26</t>
  </si>
  <si>
    <t>IMP BILL COMM DPBEPM214073WPM DCBWPM161326</t>
  </si>
  <si>
    <t>DPBEPM214073WPM</t>
  </si>
  <si>
    <t xml:space="preserve">Dr TI LGI Comm/Other Charges                                          
AMD002-289714115                                                      
At Bank AlJazira                                                      
CORPORATE BANKING DEPT-JEDDAH                                         
Date 29-08-1447(H) Time 11.41.30                                      
Reference LGI-0840-25-6611                                            
</t>
  </si>
  <si>
    <t xml:space="preserve">Value Added Tax                                                       
On LGI Amend Commission                                               
15% of SAR12,499.96                                                   
Through CORPORATE BANKING DEPT-JEDDAH                                 
Date 29-08-1447(H) Time 11.41.31                                      
Reference LGI-0840-25-6611                                            
At Bank Aljazira                                                      
Exchange Rate 1.0                                                     
</t>
  </si>
  <si>
    <t xml:space="preserve">Dr TI LGI Comm/Other Charges                                          
AMD002-289714117                                                      
At Bank AlJazira                                                      
CORPORATE BANKING DEPT-JEDDAH                                         
Date 29-08-1447(H) Time 11.41.31                                      
Reference LGI-0840-25-6611                                            
</t>
  </si>
  <si>
    <t xml:space="preserve">Value Added Tax                                                       
On LG Processing/Facility Fees                                        
15% of SAR31,780.82                                                   
Through CORPORATE BANKING DEPT-JEDDAH                                 
Date 29-08-1447(H) Time 11.41.32                                      
Reference LGI-0840-25-6611                                            
At Bank Aljazira                                                      
Exchange Rate 1.0                                                     
</t>
  </si>
  <si>
    <t xml:space="preserve">Dr TI ILC Comm/Other Charges                                          
POC007-289720586                                                      
At Bank Aljazira                                                      
 CORPORATE BANKING DEPT-JEDDAH                                        
Date 29-08-1447(H) Time 12.31.55                                      
Reference ILC-0840-25-7799                                            
Value Date 29-08-1447(H)                                              
Fee Collected By Bank AlJazira                                        
</t>
  </si>
  <si>
    <t xml:space="preserve">Value Added Tax                                                       
On ILC Acceptance Comm.                                               
15% of SAR100.00                                                      
Through CORPORATE BANKING DEPT-JEDDAH                                 
Date 29-08-1447(H) Time 12.31.55                                      
Reference ILC-0840-25-7799                                            
At Bank Aljazira                                                      
</t>
  </si>
  <si>
    <t xml:space="preserve">Dr TI ILC Comm/Other Charges                                          
POC007-289720626                                                      
At Bank Aljazira                                                      
 CORPORATE BANKING DEPT-JEDDAH                                        
Date 29-08-1447(H) Time 12.31.55                                      
Reference ILC-0840-25-7799                                            
Value Date 29-08-1447(H)                                              
Fee Collected By Bank AlJazira                                        
</t>
  </si>
  <si>
    <t xml:space="preserve">Value Added Tax                                                       
On ILC Acceptance Comm.                                               
15% of SAR652.00                                                      
Through CORPORATE BANKING DEPT-JEDDAH                                 
Date 29-08-1447(H) Time 12.31.56                                      
Reference ILC-0840-25-7799                                            
At Bank Aljazira                                                      
</t>
  </si>
  <si>
    <t xml:space="preserve">Dr TI ILC Comm/Other Charges                                          
POC007-289720683                                                      
At Bank Aljazira                                                      
 CORPORATE BANKING DEPT-JEDDAH                                        
Date 29-08-1447(H) Time 12.31.56                                      
Reference ILC-0840-25-7799                                            
Value Date 29-08-1447(H)                                              
Fee Collected By Bank AlJazira                                        
</t>
  </si>
  <si>
    <t xml:space="preserve">Value Added Tax                                                       
On SWIFT charges                                                      
15% of SAR200.00                                                      
Through CORPORATE BANKING DEPT-JEDDAH                                 
Date 29-08-1447(H) Time 12.31.56                                      
Reference ILC-0840-25-7799                                            
At Bank Aljazira                                                      
</t>
  </si>
  <si>
    <t>1020108</t>
  </si>
  <si>
    <t>Mimar For Construction Tools and Trading Ltd.</t>
  </si>
  <si>
    <t>Al NAKHEEL FOR TRADING COMPANY</t>
  </si>
  <si>
    <t>TF2605600008</t>
  </si>
  <si>
    <t xml:space="preserve">CUSTOMER = 3972500 DEAL AMT = 1562.49 DEAL CCY = SAR TAX CODE = 1 </t>
  </si>
  <si>
    <t>TF253520001801</t>
  </si>
  <si>
    <t>LC ACCEPTANCE COMMISSION FOR LC NO. TF253520001801\BNK</t>
  </si>
  <si>
    <t>TF260420001101</t>
  </si>
  <si>
    <t>LC ACCEPTANCE COMMISSION FOR LC NO. TF260420001101\BNK</t>
  </si>
  <si>
    <t>TF253520001903</t>
  </si>
  <si>
    <t>LC ACCEPTANCE COMMISSION FOR LC NO. TF253520001903\BNK</t>
  </si>
  <si>
    <t>TF253520001904</t>
  </si>
  <si>
    <t>LC ACCEPTANCE COMMISSION FOR LC NO. TF253520001904\BNK</t>
  </si>
  <si>
    <t>RB REF JLG7000585,VIA CORE SYSTEM,DATE-TIME 19/02-16:33:41, عن طريق النظام الآ لي ,VALUE DT 19/02/26</t>
  </si>
  <si>
    <t>JLG7000585</t>
  </si>
  <si>
    <t>DPBEPM627467WPM DCBWPM562612</t>
  </si>
  <si>
    <t>DPBEPM627819WPM DCBWPM563055</t>
  </si>
  <si>
    <t>DPBEPM628104WPM DCBWPM563027</t>
  </si>
  <si>
    <t>IMP BILL AMEND. CHARGES DPBCOR214068WPM DCBWPM570380</t>
  </si>
  <si>
    <t>DPBCOR214068WPM</t>
  </si>
  <si>
    <t>DPBCOR629754WPM DCBWPM565846</t>
  </si>
  <si>
    <t>IMP BILL COMM DPBCOR214425WPM DCBWPM161319</t>
  </si>
  <si>
    <t>DPBCOR214425WPM</t>
  </si>
  <si>
    <t>IMP BILL COMM DPBCOR214449WPM DCBWPM161319</t>
  </si>
  <si>
    <t>DPBCOR214449WPM</t>
  </si>
  <si>
    <t>BT Cust Gur Fee</t>
  </si>
  <si>
    <t xml:space="preserve">Dr TI ILC Comm/Other Charges                                          
POC001-290002638                                                      
At Bank Aljazira                                                      
 CORPORATE BANKING DEPT-JEDDAH                                        
Date 02-09-1447(H) Time 13.07.35                                      
Reference ILC-0840-26-8823                                            
Value Date 02-09-1447(H)                                              
Fee Collected By Bank AlJazira                                        
</t>
  </si>
  <si>
    <t xml:space="preserve">Value Added Tax                                                       
On ILC Acceptance Comm.                                               
15% of SAR100.00                                                      
Through CORPORATE BANKING DEPT-JEDDAH                                 
Date 02-09-1447(H) Time 13.07.35                                      
Reference ILC-0840-26-8823                                            
At Bank Aljazira                                                      
</t>
  </si>
  <si>
    <t xml:space="preserve">Dr TI ILC Comm/Other Charges                                          
POC001-290002821                                                      
At Bank Aljazira                                                      
 CORPORATE BANKING DEPT-JEDDAH                                        
Date 02-09-1447(H) Time 13.07.36                                      
Reference ILC-0840-26-8823                                            
Value Date 02-09-1447(H)                                              
Fee Collected By Bank AlJazira                                        
</t>
  </si>
  <si>
    <t xml:space="preserve">Value Added Tax                                                       
On ILC Acceptance Comm.                                               
15% of SAR265.00                                                      
Through CORPORATE BANKING DEPT-JEDDAH                                 
Date 02-09-1447(H) Time 13.07.36                                      
Reference ILC-0840-26-8823                                            
At Bank Aljazira                                                      
</t>
  </si>
  <si>
    <t xml:space="preserve">Dr TI ILC Comm/Other Charges                                          
POC001-290002826                                                      
At Bank Aljazira                                                      
 CORPORATE BANKING DEPT-JEDDAH                                        
Date 02-09-1447(H) Time 13.07.36                                      
Reference ILC-0840-26-8823                                            
Value Date 02-09-1447(H)                                              
Fee Collected By Bank AlJazira                                        
</t>
  </si>
  <si>
    <t xml:space="preserve">Value Added Tax                                                       
On SWIFT charges                                                      
15% of SAR200.00                                                      
Through CORPORATE BANKING DEPT-JEDDAH                                 
Date 02-09-1447(H) Time 13.07.36                                      
Reference ILC-0840-26-8823                                            
At Bank Aljazira                                                      
</t>
  </si>
  <si>
    <t xml:space="preserve">TI Bill Settled                                                       
POC009                                                                
At Bank AlJazira                                                      
CORPORATE BANKING DEPT-JEDDAH                                         
Date 06-09-1447(H) Time 13.09.04                                      
Reference ILC-0840-25-8159                                            
</t>
  </si>
  <si>
    <t xml:space="preserve">Dr TI ILC Comm/Other Charges                                          
POC001-290373886                                                      
At Bank Aljazira                                                      
 CORPORATE BANKING DEPT-JEDDAH                                        
Date 07-09-1447(H) Time 15.51.13                                      
Reference ILC-0840-25-7984                                            
Value Date 07-09-1447(H)                                              
Fee Collected By Bank AlJazira                                        
</t>
  </si>
  <si>
    <t xml:space="preserve">Value Added Tax                                                       
On ILC Acceptance Comm.                                               
15% of SAR100.00                                                      
Through CORPORATE BANKING DEPT-JEDDAH                                 
Date 07-09-1447(H) Time 15.51.13                                      
Reference ILC-0840-25-7984                                            
At Bank Aljazira                                                      
</t>
  </si>
  <si>
    <t xml:space="preserve">Dr TI ILC Comm/Other Charges                                          
POC001-290373926                                                      
At Bank Aljazira                                                      
 CORPORATE BANKING DEPT-JEDDAH                                        
Date 07-09-1447(H) Time 15.51.13                                      
Reference ILC-0840-25-7984                                            
Value Date 07-09-1447(H)                                              
Fee Collected By Bank AlJazira                                        
</t>
  </si>
  <si>
    <t xml:space="preserve">Value Added Tax                                                       
On ILC Acceptance Comm.                                               
15% of SAR250.00                                                      
Through CORPORATE BANKING DEPT-JEDDAH                                 
Date 07-09-1447(H) Time 15.51.14                                      
Reference ILC-0840-25-7984                                            
At Bank Aljazira                                                      
</t>
  </si>
  <si>
    <t xml:space="preserve">Dr TI ILC Comm/Other Charges                                          
POC001-290373928                                                      
At Bank Aljazira                                                      
 CORPORATE BANKING DEPT-JEDDAH                                        
Date 07-09-1447(H) Time 15.51.14                                      
Reference ILC-0840-25-7984                                            
Value Date 07-09-1447(H)                                              
Fee Collected By Bank AlJazira                                        
</t>
  </si>
  <si>
    <t xml:space="preserve">Value Added Tax                                                       
On SWIFT charges                                                      
15% of SAR200.00                                                      
Through CORPORATE BANKING DEPT-JEDDAH                                 
Date 07-09-1447(H) Time 15.51.14                                      
Reference ILC-0840-25-7984                                            
At Bank Aljazira                                                      
</t>
  </si>
  <si>
    <t xml:space="preserve">Dr TI ILC Comm/Other Charges                                          
POC001-290372557                                                      
At Bank Aljazira                                                      
 CORPORATE BANKING DEPT-JEDDAH                                        
Exchange Rate 1.0                                                     
Date 07-09-1447(H) Time 15.51.43                                      
Reference ILC-0840-25-8164                                            
Value Date 07-09-1447(H)                                              
Fee Collected By Bank AlJazira                                        
</t>
  </si>
  <si>
    <t xml:space="preserve">Value Added Tax                                                       
On ILC Acceptance Comm.                                               
15% of SAR100.00                                                      
Through CORPORATE BANKING DEPT-JEDDAH                                 
Date 07-09-1447(H) Time 15.51.43                                      
Reference ILC-0840-25-8164                                            
At Bank Aljazira                                                      
Exchange Rate 1.0                                                     
</t>
  </si>
  <si>
    <t xml:space="preserve">Dr TI ILC Comm/Other Charges                                          
POC001-290372597                                                      
At Bank Aljazira                                                      
 CORPORATE BANKING DEPT-JEDDAH                                        
Exchange Rate 1.0                                                     
Date 07-09-1447(H) Time 15.51.44                                      
Reference ILC-0840-25-8164                                            
Value Date 07-09-1447(H)                                              
Fee Collected By Bank AlJazira                                        
</t>
  </si>
  <si>
    <t xml:space="preserve">Value Added Tax                                                       
On ILC Acceptance Comm.                                               
15% of SAR250.00                                                      
Through CORPORATE BANKING DEPT-JEDDAH                                 
Date 07-09-1447(H) Time 15.51.44                                      
Reference ILC-0840-25-8164                                            
At Bank Aljazira                                                      
Exchange Rate 1.0                                                     
</t>
  </si>
  <si>
    <t xml:space="preserve">Dr TI ILC Comm/Other Charges                                          
POC001-290372599                                                      
At Bank Aljazira                                                      
 CORPORATE BANKING DEPT-JEDDAH                                        
Exchange Rate 1.0                                                     
Date 07-09-1447(H) Time 15.51.45                                      
Reference ILC-0840-25-8164                                            
Value Date 07-09-1447(H)                                              
Fee Collected By Bank AlJazira                                        
</t>
  </si>
  <si>
    <t xml:space="preserve">Value Added Tax                                                       
On SWIFT charges                                                      
15% of SAR200.00                                                      
Through CORPORATE BANKING DEPT-JEDDAH                                 
Date 07-09-1447(H) Time 15.51.45                                      
Reference ILC-0840-25-8164                                            
At Bank Aljazira                                                      
Exchange Rate 1.0                                                     
</t>
  </si>
  <si>
    <t xml:space="preserve">Dr TI ILC Comm/Other Charges                                          
POC001-290370406                                                      
At Bank Aljazira                                                      
 CORPORATE BANKING DEPT-JEDDAH                                        
Date 07-09-1447(H) Time 15.52.45                                      
Reference ILC-0840-26-8820                                            
Value Date 07-09-1447(H)                                              
Fee Collected By Bank AlJazira                                        
</t>
  </si>
  <si>
    <t xml:space="preserve">Value Added Tax                                                       
On ILC Acceptance Comm.                                               
15% of SAR100.00                                                      
Through CORPORATE BANKING DEPT-JEDDAH                                 
Date 07-09-1447(H) Time 15.52.46                                      
Reference ILC-0840-26-8820                                            
At Bank Aljazira                                                      
</t>
  </si>
  <si>
    <t xml:space="preserve">Dr TI ILC Comm/Other Charges                                          
POC001-290370446                                                      
At Bank Aljazira                                                      
 CORPORATE BANKING DEPT-JEDDAH                                        
Date 07-09-1447(H) Time 15.52.46                                      
Reference ILC-0840-26-8820                                            
Value Date 07-09-1447(H)                                              
Fee Collected By Bank AlJazira                                        
</t>
  </si>
  <si>
    <t xml:space="preserve">Value Added Tax                                                       
On ILC Acceptance Comm.                                               
15% of SAR1,848.00                                                    
Through CORPORATE BANKING DEPT-JEDDAH                                 
Date 07-09-1447(H) Time 15.52.46                                      
Reference ILC-0840-26-8820                                            
At Bank Aljazira                                                      
</t>
  </si>
  <si>
    <t xml:space="preserve">Dr TI ILC Comm/Other Charges                                          
POC001-290370448                                                      
At Bank Aljazira                                                      
 CORPORATE BANKING DEPT-JEDDAH                                        
Date 07-09-1447(H) Time 15.52.46                                      
Reference ILC-0840-26-8820                                            
Value Date 07-09-1447(H)                                              
Fee Collected By Bank AlJazira                                        
</t>
  </si>
  <si>
    <t xml:space="preserve">Value Added Tax                                                       
On SWIFT charges                                                      
15% of SAR200.00                                                      
Through CORPORATE BANKING DEPT-JEDDAH                                 
Date 07-09-1447(H) Time 15.52.46                                      
Reference ILC-0840-26-8820                                            
At Bank Aljazira                                                      
</t>
  </si>
  <si>
    <t>CUSTOMER = 3972500 DEAL AMT = 31250 DEAL CCY = SAR TAX CODE = 1</t>
  </si>
  <si>
    <t>ELSEWEDY ELECTRIC FOR POWER SYSTEMS</t>
  </si>
  <si>
    <t>Duplicate</t>
  </si>
  <si>
    <t xml:space="preserve">CUSTOMER = 3972500 DEAL AMT = 8096.96 DEAL CCY = GBP TAX CODE = 1 </t>
  </si>
  <si>
    <t>LC SWIFT CHARGES FOR LC NO. TF2605600008\BNK</t>
  </si>
  <si>
    <t>LC OPENING COMMISSION - DEBIT FOR LC NO. TF2605600008\BNK</t>
  </si>
  <si>
    <t>RB REF JLG6902554,VIA CORE SYSTEM,DATE-TIME 25/02-13:14:35, عن طريق النظام الآ لي ,VALUE DT 25/02/26</t>
  </si>
  <si>
    <t xml:space="preserve">TI Bill Settled                                                       
POC003                                                                
At Bank AlJazira                                                      
CORPORATE BANKING DEPT-JEDDAH                                         
Date 08-09-1447(H) Time 10.11.48                                      
Reference ILC-0840-25-8473                                            
</t>
  </si>
  <si>
    <t>J211987</t>
  </si>
  <si>
    <t>0.5% Flat for no of Months Min 500| 250 Courier | 150 Postage</t>
  </si>
  <si>
    <t>to bank on 26-02 | Exp &amp; LDS 28-06</t>
  </si>
  <si>
    <t>LG Issuance -Bid</t>
  </si>
  <si>
    <t>J211986</t>
  </si>
  <si>
    <t>TF253520002102</t>
  </si>
  <si>
    <t>LC SWIFT CHARGES FOR LC NO. TF253520002102\BNK</t>
  </si>
  <si>
    <t>REIMBURSE UNDER LCS DR FOR LC NO. TF253520002102\BNK</t>
  </si>
  <si>
    <t>RB REF JLG6605266,VIA CORE SYSTEM,DATE-TIME 26/02-10:00:46, عن طريق النظام الآ لي ,VALUE DT 26/02/26</t>
  </si>
  <si>
    <t>CITY:Jeddah 6132226J211987000</t>
  </si>
  <si>
    <t>J211987000</t>
  </si>
  <si>
    <t xml:space="preserve">TI Bill Settled                                                       
POC002                                                                
At Bank AlJazira                                                      
CORPORATE BANKING DEPT-JEDDAH                                         
Date 09-09-1447(H) Time 10.05.25                                      
Reference ILC-0840-25-8471                                            
</t>
  </si>
  <si>
    <t>J211985</t>
  </si>
  <si>
    <t>Luis Puente - United Arab Aluminum Company</t>
  </si>
  <si>
    <t>MBL/United Arab Aluminum Co</t>
  </si>
  <si>
    <t>APGGCU162451</t>
  </si>
  <si>
    <t>TF2603600014</t>
  </si>
  <si>
    <t>TF260360001401</t>
  </si>
  <si>
    <t>LC SWIFT CHARGES FOR LC NO. TF260360001401\BNK</t>
  </si>
  <si>
    <t>LC INWARD COLLECTION FEE FOR LC NO. TF260360001401\BNK</t>
  </si>
  <si>
    <t>REIMBURSE UNDER LCS DR FOR LC NO. TF260360001401\BNK</t>
  </si>
  <si>
    <t xml:space="preserve">CUSTOMER = 3972500 DEAL AMT = 4447.84 DEAL CCY = SAR TAX CODE = 1 </t>
  </si>
  <si>
    <t>LC SWIFT CHARGES FOR LC NO. TF2526500019\BNK</t>
  </si>
  <si>
    <t>LC AMENDMENT COMMISSION FOR LC NO. TF2526500019\BNK</t>
  </si>
  <si>
    <t xml:space="preserve">CUSTOMER = 3972500 DEAL AMT = 5185.78 DEAL CCY = SAR TAX CODE = 1 </t>
  </si>
  <si>
    <t>TF253520002103</t>
  </si>
  <si>
    <t>LC SWIFT CHARGES FOR LC NO. TF253520002103\BNK</t>
  </si>
  <si>
    <t>REIMBURSE UNDER LCS DR FOR LC NO. TF253520002103\BNK</t>
  </si>
  <si>
    <t>RB REF JLG6901089,VIA CORE SYSTEM,DATE-TIME 01/03-11:36:01, عن طريق النظام الآ لي ,VALUE DT 01/03/26</t>
  </si>
  <si>
    <t>CITY:Jeddah 6132226J211985000</t>
  </si>
  <si>
    <t>J211985000</t>
  </si>
  <si>
    <t>CITY:Jeddah 6132226J211986000</t>
  </si>
  <si>
    <t>J211986000</t>
  </si>
  <si>
    <t>DPBCOR629221WPM DCBWPM567554</t>
  </si>
  <si>
    <t>IMP BILL COMM DPBCOR214728WPM DCBWPM563043</t>
  </si>
  <si>
    <t>DPBCOR214728WPM</t>
  </si>
  <si>
    <t>JLG7000680</t>
  </si>
  <si>
    <t>Ready Mix Company Limited.</t>
  </si>
  <si>
    <t>Nader Ageeb</t>
  </si>
  <si>
    <t>RB REF JLG6900058,VIA CORE SYSTEM,DATE-TIME 03/03-11:05:11, عن طريق النظام الآ لي ,VALUE DT 03/03/26</t>
  </si>
  <si>
    <t>RB REF JLG7000680,VIA CORE SYSTEM,DATE-TIME 03/03-12:32:42, عن طريق النظام الآ لي ,VALUE DT 03/03/26</t>
  </si>
  <si>
    <t>RB REF JLG6605266,VIA CORE SYSTEM,DATE-TIME 03/03-15:34:36, عن طريق النظام الآ لي ,VALUE DT 03/03/26</t>
  </si>
  <si>
    <t>DC AMENDMENT COMM CHARGES DCBWPM558787</t>
  </si>
  <si>
    <t>DPBEPM626537WPM DCBWPM566972</t>
  </si>
  <si>
    <t>GTE AMEND COMM CHARGES PEBGCU431928</t>
  </si>
  <si>
    <t>DEVELOPMENT OF SHEIKH JABER AL-SABAH ROAD NORTHERN SECTION PART 1 - RIYADH</t>
  </si>
  <si>
    <t>TF2606300014</t>
  </si>
  <si>
    <t>LC SWIFT CHARGES FOR LC NO. TF253350001001\BNK</t>
  </si>
  <si>
    <t>REIMBURSE UNDER LCS DR FOR LC NO. TF253350001001\BNK</t>
  </si>
  <si>
    <t xml:space="preserve">CUSTOMER = 3972500 DEAL AMT = 3619.97 DEAL CCY = SAR TAX CODE = 1 </t>
  </si>
  <si>
    <t>LC SWIFT CHARGES FOR LC NO. TF2606300014\BNK</t>
  </si>
  <si>
    <t>LC OPENING COMMISSION - DEBIT FOR LC NO. TF2606300014\BNK</t>
  </si>
  <si>
    <t>RB REF JLG7000450,VIA CORE SYSTEM,DATE-TIME 04/03-11:06:40, عن طريق النظام الآ لي ,VALUE DT 04/03/26</t>
  </si>
  <si>
    <t>IMP BILL AMEND. CHARGES DPBEPM214910WPM DCBWPM161322</t>
  </si>
  <si>
    <t>DPBEPM214910WPM</t>
  </si>
  <si>
    <t>GTE AMEND COMM CHARGES PEBGCU553740</t>
  </si>
  <si>
    <t>ND COMM CHARGES</t>
  </si>
  <si>
    <t>DCBWPM162993</t>
  </si>
  <si>
    <t>DCBWPM162992</t>
  </si>
  <si>
    <t>DCBWPM162995</t>
  </si>
  <si>
    <t>0.5% Flat | Courier - STD 200 / Same Bank - 75 | Amendment for Other cases flat 300.00</t>
  </si>
  <si>
    <t>60 Days after applicant repr sign on Invoice</t>
  </si>
  <si>
    <t>to bank on 05-03 | Exp &amp; LDS 30-04</t>
  </si>
  <si>
    <t>KCLG2600152</t>
  </si>
  <si>
    <t>KCLG2600153</t>
  </si>
  <si>
    <t>Issue Date</t>
  </si>
  <si>
    <t>New Start Date</t>
  </si>
  <si>
    <t>Calculate</t>
  </si>
  <si>
    <t>LC SWIFT CHARGES FOR LC NO. TF251470005101\BNK</t>
  </si>
  <si>
    <t>REIMBURSE UNDER LCS DR FOR LC NO. TF251470005101\BNK</t>
  </si>
  <si>
    <t>LC SWIFT CHARGES FOR LC NO. TF251740009801\BNK</t>
  </si>
  <si>
    <t>REIMBURSE UNDER LCS DR FOR LC NO. TF251740009801\BNK</t>
  </si>
  <si>
    <t xml:space="preserve">CUSTOMER = 3972500 DEAL AMT = 300.00 DEAL CCY = GBP TAX CODE = 1 </t>
  </si>
  <si>
    <t xml:space="preserve">CUSTOMER = 3972500 DEAL AMT = 3119.97 DEAL CCY = SAR TAX CODE = 1 </t>
  </si>
  <si>
    <t xml:space="preserve">TI Bill Settled                                                       
POC002                                                                
At Bank AlJazira                                                      
CORPORATE BANKING DEPT-JEDDAH                                         
Date 16-09-1447(H) Time 13.26.49                                      
Reference ILC-0840-25-8165                                            
</t>
  </si>
  <si>
    <t>IMP BILL COMM DPBCOR214997WPM DCBWPM161329</t>
  </si>
  <si>
    <t>DPBCOR214997WPM</t>
  </si>
  <si>
    <t>DC AMENDMENT COMM CHARGES DCBCPM160316</t>
  </si>
  <si>
    <t>DC ISSUE COMM CHARGES DCBWPM162995</t>
  </si>
  <si>
    <t>DC ISSUE COMM CHARGES DCBWPM162993</t>
  </si>
  <si>
    <t>DC ISSUE COMM CHARGES DCBWPM162992</t>
  </si>
  <si>
    <t>J212031</t>
  </si>
  <si>
    <t>LGI-0840-26-7930</t>
  </si>
  <si>
    <t>J212030</t>
  </si>
  <si>
    <t>The Fundamental Installation For Electric Work Co</t>
  </si>
  <si>
    <t>REF 000000JLC7000006,RB REF JLC7000006,VIA CORE SYSTEM,DATE-TIME 05/03-15:21:25, عن طريق النظام الآ لي ,VALUE DT 05/03/26</t>
  </si>
  <si>
    <t>CITY:Jeddah 6132226J212030000</t>
  </si>
  <si>
    <t>J212030000</t>
  </si>
  <si>
    <t>CITY:Jeddah 6132226J212031000</t>
  </si>
  <si>
    <t>J212031000</t>
  </si>
  <si>
    <t>IMP BILL COMM DPBCOR215049WPM DCBWPM161331</t>
  </si>
  <si>
    <t>DPBCOR215049WPM</t>
  </si>
  <si>
    <t>IMP BILL AMEND. CHARGES DPBCOR214373WPM DCBWPM563025</t>
  </si>
  <si>
    <t>DPBCOR214373WPM</t>
  </si>
  <si>
    <t xml:space="preserve">TI Bill Settled                                                       
POC005                                                                
At Bank AlJazira                                                      
CORPORATE BANKING DEPT-JEDDAH                                         
Date 19-09-1447(H) Time 11.18.04                                      
Reference ILC-0840-25-7736                                            
</t>
  </si>
  <si>
    <t xml:space="preserve">Dr TI LGI Commission (Earned)                                         
ISS001-291408982                                                      
At Bank AlJazira                                                      
CORPORATE BANKING DEPT-JEDDAH                                         
Date 19-09-1447(H) Time 11.30.03                                      
Reference LGI-0840-26-7930                                            
</t>
  </si>
  <si>
    <t xml:space="preserve">Value Added Tax                                                       
On LGI ISSUANCE COMMISSION                                            
15% of SAR14,322.91                                                   
Through CORPORATE BANKING DEPT-JEDDAH                                 
Date 19-09-1447(H) Time 11.30.04                                      
Reference LGI-0840-26-7930                                            
At Bank Aljazira                                                      
Exchange Rate 1.0                                                     
</t>
  </si>
  <si>
    <t xml:space="preserve">Dr TI LGI Comm/Other Charges                                          
ISS001-291408984                                                      
At Bank AlJazira                                                      
CORPORATE BANKING DEPT-JEDDAH                                         
Date 19-09-1447(H) Time 11.30.04                                      
Reference LGI-0840-26-7930                                            
</t>
  </si>
  <si>
    <t xml:space="preserve">Value Added Tax                                                       
On LG Processing/Facility Fees                                        
15% of SAR34,760.27                                                   
Through CORPORATE BANKING DEPT-JEDDAH                                 
Date 19-09-1447(H) Time 11.30.05                                      
Reference LGI-0840-26-7930                                            
At Bank Aljazira                                                      
Exchange Rate 1.0                                                     
</t>
  </si>
  <si>
    <t>to bank on 09-03 | Exp &amp; LDS 30-06</t>
  </si>
  <si>
    <t>Mixed Tenor - 60 / 45 / 21 Days from Invoice Date</t>
  </si>
  <si>
    <t>ADF Loan</t>
  </si>
  <si>
    <t>TF2604200011_C</t>
  </si>
  <si>
    <t>LC AMENDMENT COMMISSION FOR LC NO. TF2531600056\BNK</t>
  </si>
  <si>
    <t xml:space="preserve">CUSTOMER = 3972500 DEAL AMT = 1871.46 DEAL CCY = SAR TAX CODE = 1 </t>
  </si>
  <si>
    <t>LC AMENDMENT COMMISSION FOR LC NO. TF2531600062\BNK</t>
  </si>
  <si>
    <t xml:space="preserve">CUSTOMER = 3972500 DEAL AMT = 63000.00 DEAL CCY = SAR TAX CODE = 1 </t>
  </si>
  <si>
    <t>REF 000000JLC6901608,RB REF JLC6901608,VIA CORE SYSTEM,DATE-TIME 09/03-13:38:27, عن طريق النظام الآ لي ,VALUE DT 09/03/26</t>
  </si>
  <si>
    <t>Banktrade Debit</t>
  </si>
  <si>
    <t>Bank Charges EUR 101.47</t>
  </si>
  <si>
    <t>Bill Amount  x 1.5% per annum x 60days (tenor) / 360 = SAR 2912.49.</t>
  </si>
  <si>
    <t>ILC-0840-26-9073</t>
  </si>
  <si>
    <t>Contract 2200000997 - OXAGON PROJECT (ENSACG23000054)</t>
  </si>
  <si>
    <t>LC SWIFT CHARGES FOR LC NO. TF253590001601\BNK</t>
  </si>
  <si>
    <t>REIMBURSE UNDER LCS DR FOR LC NO. TF253590001601\BNK</t>
  </si>
  <si>
    <t>PEBGCU504055 PROJECT FLASH PEBGCU504055 QUARTERLY COMMISSION,VATINCLUSIVE</t>
  </si>
  <si>
    <t xml:space="preserve">Dr TI LGI Commission (Unearned)                                       
ISS001-291716853                                                      
At Bank AlJazira                                                      
CORPORATE BANKING DEPT-JEDDAH                                         
Date 21-09-1447(H) Time 15.07.12                                      
Reference ILC-0840-26-9073                                            
</t>
  </si>
  <si>
    <t xml:space="preserve">Value Added Tax                                                       
On ILC Commission                                                     
15% of SAR31,750.00                                                   
Through CORPORATE BANKING DEPT-JEDDAH                                 
Date 21-09-1447(H) Time 15.07.12                                      
Reference ILC-0840-26-9073                                            
At Bank Aljazira                                                      
</t>
  </si>
  <si>
    <t xml:space="preserve">Dr TI ILC Comm/Other Charges                                          
ISS001-291716855                                                      
At Bank Aljazira                                                      
 CORPORATE BANKING DEPT-JEDDAH                                        
Date 21-09-1447(H) Time 15.07.13                                      
Reference ILC-0840-26-9073                                            
Value Date 21-09-1447(H)                                              
Fee Collected By Bank AlJazira                                        
</t>
  </si>
  <si>
    <t xml:space="preserve">Value Added Tax                                                       
On ILC Commission                                                     
15% of SAR15,625.00                                                   
Through CORPORATE BANKING DEPT-JEDDAH                                 
Date 21-09-1447(H) Time 15.07.13                                      
Reference ILC-0840-26-9073                                            
At Bank Aljazira                                                      
</t>
  </si>
  <si>
    <t xml:space="preserve">Dr TI ILC Comm/Other Charges                                          
ISS001-291716857                                                      
At Bank Aljazira                                                      
 CORPORATE BANKING DEPT-JEDDAH                                        
Date 21-09-1447(H) Time 15.07.13                                      
Reference ILC-0840-26-9073                                            
Value Date 21-09-1447(H)                                              
Fee Collected By Bank AlJazira                                        
</t>
  </si>
  <si>
    <t xml:space="preserve">Value Added Tax                                                       
On ILC SWIFT/Telex Charges                                            
15% of SAR750.00                                                      
Through CORPORATE BANKING DEPT-JEDDAH                                 
Date 21-09-1447(H) Time 15.07.13                                      
Reference ILC-0840-26-9073                                            
At Bank Aljazira                                                      
</t>
  </si>
  <si>
    <t xml:space="preserve">Dr TI ILC Comm/Other Charges                                          
ISS001-291717246                                                      
At Bank Aljazira                                                      
 CORPORATE BANKING DEPT-JEDDAH                                        
Date 21-09-1447(H) Time 15.07.14                                      
Reference ILC-0840-26-9073                                            
Value Date 21-09-1447(H)                                              
Fee Collected By Bank AlJazira                                        
</t>
  </si>
  <si>
    <t xml:space="preserve">Value Added Tax                                                       
On LC PROCESSING FEE                                                  
15% of SAR38,888.89                                                   
Through CORPORATE BANKING DEPT-JEDDAH                                 
Date 21-09-1447(H) Time 15.07.14                                      
Reference ILC-0840-26-9073                                            
At Bank Aljazira                                                      
</t>
  </si>
  <si>
    <t xml:space="preserve">Dr TI ILC Comm/Other Charges                                          
ISS001-291717248                                                      
At Bank Aljazira                                                      
 CORPORATE BANKING DEPT-JEDDAH                                        
Date 21-09-1447(H) Time 15.07.14                                      
Reference ILC-0840-26-9073                                            
Value Date 21-09-1447(H)                                              
Fee Collected By Bank AlJazira                                        
</t>
  </si>
  <si>
    <t xml:space="preserve">Value Added Tax                                                       
On ILC Postal/DHL Charges                                             
15% of SAR200.00                                                      
Through CORPORATE BANKING DEPT-JEDDAH                                 
Date 21-09-1447(H) Time 15.07.14                                      
Reference ILC-0840-26-9073                                            
At Bank Aljazira                                                      
</t>
  </si>
  <si>
    <t>SAMA + SWIFT 1000 + Courier 250</t>
  </si>
  <si>
    <t>RB REF JLG6900510,VIA CORE SYSTEM,DATE-TIME 11/03-11:01:45, عن طريق النظام الآ لي ,VALUE DT 11/03/26</t>
  </si>
  <si>
    <t>REF 000000JLC7000187,RB REF JLC7000187,VIA CORE SYSTEM,DATE-TIME 11/03-13:51:12, عن طريق النظام الآ لي ,VALUE DT 11/03/26</t>
  </si>
  <si>
    <t>REF 000000JLC7000182,RB REF JLC7000182,VIA CORE SYSTEM,DATE-TIME 11/03-13:50:28, عن طريق النظام الآ لي ,VALUE DT 11/03/26</t>
  </si>
  <si>
    <t>IMP BILL AMEND. CHARGES DPBCOR215052WPM DCBWPM162155</t>
  </si>
  <si>
    <t>DPBCOR215052WPM</t>
  </si>
  <si>
    <t xml:space="preserve">Dr TI LGI Comm/Other Charges                                          
AMD001-291773984                                                      
At Bank AlJazira                                                      
CBS CENTRAL                                                           
Date 22-09-1447(H) Time 12.02.57                                      
Reference LGI-0857-26-7603                                            
</t>
  </si>
  <si>
    <t xml:space="preserve">Value Added Tax                                                       
On LGI Amend Commission                                               
15% of SAR6,249.98                                                    
Through CBS CENTRAL                                                   
Date 22-09-1447(H) Time 12.02.57                                      
Reference LGI-0857-26-7603                                            
At Bank Aljazira                                                      
Exchange Rate 1.0                                                     
</t>
  </si>
  <si>
    <t xml:space="preserve">Dr TI LGI Comm/Other Charges                                          
AMD001-291773986                                                      
At Bank AlJazira                                                      
CBS CENTRAL                                                           
Date 22-09-1447(H) Time 12.02.58                                      
Reference LGI-0857-26-7603                                            
</t>
  </si>
  <si>
    <t xml:space="preserve">Value Added Tax                                                       
On LG Processing/Facility Fees                                        
15% of SAR10,410.96                                                   
Through CBS CENTRAL                                                   
Date 22-09-1447(H) Time 12.02.58                                      
Reference LGI-0857-26-7603                                            
At Bank Aljazira                                                      
Exchange Rate 1.0                                                     
</t>
  </si>
  <si>
    <t xml:space="preserve">Dr TI ILC Comm/Other Charges                                          
AMD003-291799955                                                      
At Bank Aljazira                                                      
 CORPORATE BANKING DEPT-JEDDAH                                        
Date 22-09-1447(H) Time 14.23.57                                      
Reference ILC-0840-25-7984                                            
Value Date 22-09-1447(H)                                              
Fee Collected By Bank AlJazira                                        
</t>
  </si>
  <si>
    <t xml:space="preserve">Value Added Tax                                                       
On ILC Commission                                                     
15% of SAR500.00                                                      
Through CORPORATE BANKING DEPT-JEDDAH                                 
Date 22-09-1447(H) Time 14.23.57                                      
Reference ILC-0840-25-7984                                            
At Bank Aljazira                                                      
</t>
  </si>
  <si>
    <t xml:space="preserve">Dr TI ILC Comm/Other Charges                                          
AMD003-291799957                                                      
At Bank Aljazira                                                      
 CORPORATE BANKING DEPT-JEDDAH                                        
Date 22-09-1447(H) Time 14.23.57                                      
Reference ILC-0840-25-7984                                            
Value Date 22-09-1447(H)                                              
Fee Collected By Bank AlJazira                                        
</t>
  </si>
  <si>
    <t xml:space="preserve">Value Added Tax                                                       
On SWIFT charges                                                      
15% of SAR200.00                                                      
Through CORPORATE BANKING DEPT-JEDDAH                                 
Date 22-09-1447(H) Time 14.23.57                                      
Reference ILC-0840-25-7984                                            
At Bank Aljazira                                                      
</t>
  </si>
  <si>
    <t xml:space="preserve">Dr TI ILC Comm/Other Charges                                          
AMD004-291800737                                                      
At Bank Aljazira                                                      
 CORPORATE BANKING DEPT-JEDDAH                                        
Date 22-09-1447(H) Time 14.24.16                                      
Reference ILC-0840-25-7736                                            
Value Date 22-09-1447(H)                                              
Fee Collected By Bank AlJazira                                        
</t>
  </si>
  <si>
    <t xml:space="preserve">Value Added Tax                                                       
On ILC Commission                                                     
15% of SAR500.00                                                      
Through CORPORATE BANKING DEPT-JEDDAH                                 
Date 22-09-1447(H) Time 14.24.16                                      
Reference ILC-0840-25-7736                                            
At Bank Aljazira                                                      
</t>
  </si>
  <si>
    <t xml:space="preserve">Dr TI ILC Comm/Other Charges                                          
AMD004-291800739                                                      
At Bank Aljazira                                                      
 CORPORATE BANKING DEPT-JEDDAH                                        
Date 22-09-1447(H) Time 14.24.16                                      
Reference ILC-0840-25-7736                                            
Value Date 22-09-1447(H)                                              
Fee Collected By Bank AlJazira                                        
</t>
  </si>
  <si>
    <t xml:space="preserve">Value Added Tax                                                       
On SWIFT charges                                                      
15% of SAR200.00                                                      
Through CORPORATE BANKING DEPT-JEDDAH                                 
Date 22-09-1447(H) Time 14.24.17                                      
Reference ILC-0840-25-7736                                            
At Bank Aljazira                                                      
</t>
  </si>
  <si>
    <t xml:space="preserve">Dr TI ILC Comm/Other Charges                                          
AMD005-291801510                                                      
At Bank Aljazira                                                      
 CORPORATE BANKING DEPT-JEDDAH                                        
Exchange Rate 1.0                                                     
Date 22-09-1447(H) Time 14.24.42                                      
Reference ILC-0840-25-7353                                            
Value Date 22-09-1447(H)                                              
Fee Collected By Bank AlJazira                                        
</t>
  </si>
  <si>
    <t xml:space="preserve">Value Added Tax                                                       
On ILC Commission                                                     
15% of SAR1,079.62                                                    
Through CORPORATE BANKING DEPT-JEDDAH                                 
Date 22-09-1447(H) Time 14.24.43                                      
Reference ILC-0840-25-7353                                            
At Bank Aljazira                                                      
Exchange Rate 1.0                                                     
</t>
  </si>
  <si>
    <t xml:space="preserve">Dr TI ILC Comm/Other Charges                                          
AMD005-291801512                                                      
At Bank Aljazira                                                      
 CORPORATE BANKING DEPT-JEDDAH                                        
Exchange Rate 1.0                                                     
Date 22-09-1447(H) Time 14.24.43                                      
Reference ILC-0840-25-7353                                            
Value Date 22-09-1447(H)                                              
Fee Collected By Bank AlJazira                                        
</t>
  </si>
  <si>
    <t xml:space="preserve">Value Added Tax                                                       
On SWIFT charges                                                      
15% of SAR200.00                                                      
Through CORPORATE BANKING DEPT-JEDDAH                                 
Date 22-09-1447(H) Time 14.24.44                                      
Reference ILC-0840-25-7353                                            
At Bank Aljazira                                                      
Exchange Rate 1.0                                                     
</t>
  </si>
  <si>
    <t xml:space="preserve">Dr TI ILC Comm/Other Charges                                          
AMD003-291802408                                                      
At Bank Aljazira                                                      
 CORPORATE BANKING DEPT-JEDDAH                                        
Date 22-09-1447(H) Time 14.25.12                                      
Reference ILC-0840-25-7981                                            
Value Date 22-09-1447(H)                                              
Fee Collected By Bank AlJazira                                        
</t>
  </si>
  <si>
    <t xml:space="preserve">Value Added Tax                                                       
On ILC Commission                                                     
15% of SAR500.00                                                      
Through CORPORATE BANKING DEPT-JEDDAH                                 
Date 22-09-1447(H) Time 14.25.13                                      
Reference ILC-0840-25-7981                                            
At Bank Aljazira                                                      
</t>
  </si>
  <si>
    <t xml:space="preserve">Dr TI ILC Comm/Other Charges                                          
AMD005-291805754                                                      
At Bank Aljazira                                                      
 CORPORATE BANKING DEPT-JEDDAH                                        
Exchange Rate 1.0                                                     
Date 22-09-1447(H) Time 14.26.35                                      
Reference ILC-0840-25-7517                                            
Value Date 22-09-1447(H)                                              
Fee Collected By Bank AlJazira                                        
</t>
  </si>
  <si>
    <t xml:space="preserve">Value Added Tax                                                       
On ILC Commission                                                     
15% of SAR802.84                                                      
Through CORPORATE BANKING DEPT-JEDDAH                                 
Date 22-09-1447(H) Time 14.26.35                                      
Reference ILC-0840-25-7517                                            
At Bank Aljazira                                                      
Exchange Rate 1.0                                                     
</t>
  </si>
  <si>
    <t xml:space="preserve">Dr TI ILC Comm/Other Charges                                          
AMD005-291805756                                                      
At Bank Aljazira                                                      
 CORPORATE BANKING DEPT-JEDDAH                                        
Exchange Rate 1.0                                                     
Date 22-09-1447(H) Time 14.26.36                                      
Reference ILC-0840-25-7517                                            
Value Date 22-09-1447(H)                                              
Fee Collected By Bank AlJazira                                        
</t>
  </si>
  <si>
    <t xml:space="preserve">Value Added Tax                                                       
On SWIFT charges                                                      
15% of SAR200.00                                                      
Through CORPORATE BANKING DEPT-JEDDAH                                 
Date 22-09-1447(H) Time 14.26.36                                      
Reference ILC-0840-25-7517                                            
At Bank Aljazira                                                      
Exchange Rate 1.0                                                     
</t>
  </si>
  <si>
    <t xml:space="preserve">Dr TI ILC Comm/Other Charges                                          
AMD002-291807842                                                      
At Bank Aljazira                                                      
 CORPORATE BANKING DEPT-JEDDAH                                        
Date 22-09-1447(H) Time 14.26.57                                      
Reference ILC-0840-25-8011                                            
Value Date 22-09-1447(H)                                              
Fee Collected By Bank AlJazira                                        
</t>
  </si>
  <si>
    <t xml:space="preserve">Value Added Tax                                                       
On ILC Commission                                                     
15% of SAR30,365.84                                                   
Through CORPORATE BANKING DEPT-JEDDAH                                 
Date 22-09-1447(H) Time 14.26.57                                      
Reference ILC-0840-25-8011                                            
At Bank Aljazira                                                      
</t>
  </si>
  <si>
    <t xml:space="preserve">Dr TI ILC Comm/Other Charges                                          
AMD002-291807844                                                      
At Bank Aljazira                                                      
 CORPORATE BANKING DEPT-JEDDAH                                        
Date 22-09-1447(H) Time 14.26.58                                      
Reference ILC-0840-25-8011                                            
Value Date 22-09-1447(H)                                              
Fee Collected By Bank AlJazira                                        
</t>
  </si>
  <si>
    <t xml:space="preserve">Value Added Tax                                                       
On SWIFT charges                                                      
15% of SAR200.00                                                      
Through CORPORATE BANKING DEPT-JEDDAH                                 
Date 22-09-1447(H) Time 14.26.58                                      
Reference ILC-0840-25-8011                                            
At Bank Aljazira                                                      
</t>
  </si>
  <si>
    <t>LG-Financial</t>
  </si>
  <si>
    <t>2200000997 - Design and Build for OXAGON Port Dredging and Quay Walls - Stage 1</t>
  </si>
  <si>
    <t>Ceer</t>
  </si>
  <si>
    <t>Original Due 25-03-26</t>
  </si>
  <si>
    <t>FIFTY INVESTMENT COMPANY</t>
  </si>
  <si>
    <t>Financial - SAMA+0.6</t>
  </si>
  <si>
    <t>127</t>
  </si>
  <si>
    <t>120 Days from Appl Rep Sign on Invoice</t>
  </si>
  <si>
    <t xml:space="preserve">CUSTOMER = 3972500 DEAL AMT = 2275.53 DEAL CCY = SAR TAX CODE = 1 </t>
  </si>
  <si>
    <t>TF252710002501</t>
  </si>
  <si>
    <t>LC ACCEPTANCE COMMISSION FOR LC NO. TF252710002501\BNK</t>
  </si>
  <si>
    <t>LC SWIFT CHARGES FOR LC NO. TF253140001401\BNK</t>
  </si>
  <si>
    <t>REIMBURSE UNDER LCS DR FOR LC NO. TF253140001401\BNK</t>
  </si>
  <si>
    <t>REF 000000JLC7000002,RB REF JLC7000002,VIA CORE SYSTEM,DATE-TIME 12/03-14:06:56, عن طريق النظام الآ لي ,VALUE DT 12/03/26</t>
  </si>
  <si>
    <t>CITY:Jeddah 6132226J211810001</t>
  </si>
  <si>
    <t>J211810001</t>
  </si>
  <si>
    <t>CITY:Jeddah 6132226B314277015</t>
  </si>
  <si>
    <t>DPBEPM212076WPM DCBWPM563374</t>
  </si>
  <si>
    <t>Dr TI ILC Comm/Other Charges                                          
AMD005-291803630                                                      
At Bank Aljazira                                                      
 CORPORATE BANKING DEPT-JEDDAH                                        
Date 23-09-1447(H) Time 15.16.33                                      
Reference ILC-0840-25-7407                                            
Value Date 22-09-1447(H)                                              
Fee Collected By Bank AlJazira                                        
Value date 11-MAR-26</t>
  </si>
  <si>
    <t>Value Added Tax                                                       
On ILC Commission                                                     
15% of SAR500.00                                                      
Through CORPORATE BANKING DEPT-JEDDAH                                 
Date 23-09-1447(H) Time 15.16.34                                      
Reference ILC-0840-25-7407                                            
At Bank Aljazira                                                      
Value date 11-MAR-26</t>
  </si>
  <si>
    <t>Dr TI ILC Comm/Other Charges                                          
AMD005-291803632                                                      
At Bank Aljazira                                                      
 CORPORATE BANKING DEPT-JEDDAH                                        
Date 23-09-1447(H) Time 15.16.34                                      
Reference ILC-0840-25-7407                                            
Value Date 22-09-1447(H)                                              
Fee Collected By Bank AlJazira                                        
Value date 11-MAR-26</t>
  </si>
  <si>
    <t>Value Added Tax                                                       
On SWIFT charges                                                      
15% of SAR200.00                                                      
Through CORPORATE BANKING DEPT-JEDDAH                                 
Date 23-09-1447(H) Time 15.16.34                                      
Reference ILC-0840-25-7407                                            
At Bank Aljazira                                                      
Value date 11-MAR-26</t>
  </si>
  <si>
    <t>B314277-015</t>
  </si>
  <si>
    <t>Material Gua-Extension</t>
  </si>
  <si>
    <t>Refund of Charges</t>
  </si>
  <si>
    <t>Date</t>
  </si>
  <si>
    <t>Ref No</t>
  </si>
  <si>
    <t>Total:</t>
  </si>
  <si>
    <t>LC SWIFT CHARGES FOR LC NO. TF253140001402\BNK</t>
  </si>
  <si>
    <t>REIMBURSE UNDER LCS DR FOR LC NO. TF253140001402\BNK</t>
  </si>
  <si>
    <t>LC COURIER CHARGES FOR LC NO. TF2605600008\BNK</t>
  </si>
  <si>
    <t>REF 000000JLC7000183,RB REF JLC7000183,VIA CORE SYSTEM,DATE-TIME 15/03-14:03:47, عن طريق النظام الآ لي ,VALUE DT 15/03/26</t>
  </si>
  <si>
    <t>REF JLG7000450,REF JLG7000450,VIA CORE SYSTEM,DATE-TIME 15/03-15:24:12, عن طريق النظام الآ لي ,VALUE DT 15/03/26</t>
  </si>
  <si>
    <t>CITY:Jeddah 6132226J211811001</t>
  </si>
  <si>
    <t>J211811001</t>
  </si>
  <si>
    <t>CITY:Jeddah 6132226J211985001</t>
  </si>
  <si>
    <t>J211985001</t>
  </si>
  <si>
    <t>LGI-0840-26-8000</t>
  </si>
  <si>
    <t>KSP Loan</t>
  </si>
  <si>
    <t>Pre-settled Original Due 23-03</t>
  </si>
  <si>
    <t>Bank Charges EUR 116.00</t>
  </si>
  <si>
    <t>DCBWPM163413</t>
  </si>
  <si>
    <t>DCBWPM163417</t>
  </si>
  <si>
    <t>JLC7000384</t>
  </si>
  <si>
    <t>JLG7000787</t>
  </si>
  <si>
    <t>JLG6804864</t>
  </si>
  <si>
    <t>PRIVATE AFFAIRS OF THE CUSTODIAN OF THE TWO HOLY MOSQUES</t>
  </si>
  <si>
    <t>REHABILITATION AND EQUIPMENT OF THE BEACH PALACE</t>
  </si>
  <si>
    <t>LC SWIFT CHARGES FOR LC NO. TF253480002901\BNK</t>
  </si>
  <si>
    <t>REIMBURSE UNDER LCS DR FOR LC NO. TF253480002901\BNK</t>
  </si>
  <si>
    <t>TF252710002403</t>
  </si>
  <si>
    <t>LC ACCEPTANCE COMMISSION FOR LC NO. TF252710002403\BNK</t>
  </si>
  <si>
    <t>LC SWIFT CHARGES FOR LC NO. TF253160006201\BNK</t>
  </si>
  <si>
    <t>REIMBURSE UNDER LCS DR FOR LC NO. TF253160006201\BNK</t>
  </si>
  <si>
    <t>LC SWIFT CHARGES FOR LC NO. TF253520001903\BNK</t>
  </si>
  <si>
    <t>REIMBURSE UNDER LCS DR FOR LC NO. TF253520001903\BNK</t>
  </si>
  <si>
    <t>LC SWIFT CHARGES FOR LC NO. TF253520001904\BNK</t>
  </si>
  <si>
    <t>REIMBURSE UNDER LCS DR FOR LC NO. TF253520001904\BNK</t>
  </si>
  <si>
    <t xml:space="preserve">CUSTOMER = 3972500 DEAL AMT = 1705.32 DEAL CCY = SAR TAX CODE = 1 </t>
  </si>
  <si>
    <t>TF253520001905</t>
  </si>
  <si>
    <t>LC ACCEPTANCE COMMISSION FOR LC NO. TF253520001905\BNK</t>
  </si>
  <si>
    <t>TF253520001906</t>
  </si>
  <si>
    <t>LC ACCEPTANCE COMMISSION FOR LC NO. TF253520001906\BNK</t>
  </si>
  <si>
    <t>TF253520001907</t>
  </si>
  <si>
    <t>LC ACCEPTANCE COMMISSION FOR LC NO. TF253520001907\BNK</t>
  </si>
  <si>
    <t>TF253520001908</t>
  </si>
  <si>
    <t>LC ACCEPTANCE COMMISSION FOR LC NO. TF253520001908\BNK</t>
  </si>
  <si>
    <t xml:space="preserve">CUSTOMER = 3972500 DEAL AMT = 2128.51 DEAL CCY = SAR TAX CODE = 1 </t>
  </si>
  <si>
    <t>TF253520001910</t>
  </si>
  <si>
    <t>LC ACCEPTANCE COMMISSION FOR LC NO. TF253520001910\BNK</t>
  </si>
  <si>
    <t>LC SWIFT CHARGES FOR LC NO. TF253590001602\BNK</t>
  </si>
  <si>
    <t>REIMBURSE UNDER LCS DR FOR LC NO. TF253590001602\BNK</t>
  </si>
  <si>
    <t>TF253590001603</t>
  </si>
  <si>
    <t>LC ACCEPTANCE COMMISSION FOR LC NO. TF253590001603\BNK</t>
  </si>
  <si>
    <t>TF253590001604</t>
  </si>
  <si>
    <t>LC ACCEPTANCE COMMISSION FOR LC NO. TF253590001604\BNK</t>
  </si>
  <si>
    <t>REF 000000JLC7000188,RB REF JLC7000188,VIA CORE SYSTEM,DATE-TIME 16/03-12:59:49, عن طريق النظام الآ لي ,VALUE DT 16/03/26</t>
  </si>
  <si>
    <t>RB REF JLG6804864,VIA CORE SYSTEM,DATE-TIME 24/03-09:06:19, عن طريق النظام الآ لي ,VALUE DT 24/03/26</t>
  </si>
  <si>
    <t>REF 000000JLC7000186,RB REF JLC7000186,VIA CORE SYSTEM,DATE-TIME 24/03-14:27:11, عن طريق النظام الآ لي ,VALUE DT 24/03/26</t>
  </si>
  <si>
    <t>REF 000000JLC7000384,RB REF JLC7000384,VIA CORE SYSTEM,DATE-TIME 24/03-14:05:43, عن طريق النظام الآ لي ,VALUE DT 24/03/26</t>
  </si>
  <si>
    <t>REF 000000JLC6901431,RB REF JLC6901431,VIA CORE SYSTEM,DATE-TIME 24/03-12:44:11, عن طريق النظام الآ لي ,VALUE DT 24/03/26</t>
  </si>
  <si>
    <t>RB REF JLG7000787,VIA CORE SYSTEM,DATE-TIME 25/03-16:11:39, عن طريق النظام الآ لي ,VALUE DT 25/03/26</t>
  </si>
  <si>
    <t>REF JLC6701731,REF JLC6701731,VIA CORE SYSTEM,DATE-TIME 26/03-16:27:54, عن طريق النظام الآ لي ,VALUE DT 26/03/26</t>
  </si>
  <si>
    <t>REF 000000JLC6701731,RB REF JLC6701731,VIA CORE SYSTEM,DATE-TIME 26/03-16:27:53, عن طريق النظام الآ لي ,VALUE DT 26/03/26</t>
  </si>
  <si>
    <t>CITY:Jeddah 6132226J211809001</t>
  </si>
  <si>
    <t>J211809001</t>
  </si>
  <si>
    <t>CITY:Jeddah 6132226J211681001</t>
  </si>
  <si>
    <t>J211681001</t>
  </si>
  <si>
    <t>CITY:Jeddah 6132226J211485004</t>
  </si>
  <si>
    <t>J211485004</t>
  </si>
  <si>
    <t>CITY:Jeddah 6132226J211808001</t>
  </si>
  <si>
    <t>J211808001</t>
  </si>
  <si>
    <t>CITY:Jeddah 6132226J210611003</t>
  </si>
  <si>
    <t>DC ISSUE COMM CHARGES DCBWPM163413</t>
  </si>
  <si>
    <t>DC ISSUE COMM CHARGES DCBWPM163417</t>
  </si>
  <si>
    <t>DPBCOR629548WPM DCBWPM565824</t>
  </si>
  <si>
    <t>DPBEPM627759WPM DCBWPM563040</t>
  </si>
  <si>
    <t>PEBGCU566430 STDBY/COMM QUARTERLY FROM 25MAR2026 TO 24JUN2026</t>
  </si>
  <si>
    <t>PEBGCU566430 VAT MANUAL COLLECTION 262-307200-001 GTE REF PEBGCU566430</t>
  </si>
  <si>
    <t xml:space="preserve">Dr TI ILC Comm/Other Charges                                          
POC001-292150871                                                      
At Bank Aljazira                                                      
 CORPORATE BANKING DEPT-JEDDAH                                        
Exchange Rate 1.0                                                     
Date 26-09-1447(H) Time 21.25.03                                      
Reference ILC-0840-26-8758                                            
Value Date 27-09-1447(H)                                              
Fee Collected By Bank AlJazira                                        
</t>
  </si>
  <si>
    <t xml:space="preserve">Value Added Tax                                                       
On ILC Acceptance Comm.                                               
15% of SAR100.00                                                      
Through CORPORATE BANKING DEPT-JEDDAH                                 
Date 26-09-1447(H) Time 21.25.04                                      
Reference ILC-0840-26-8758                                            
At Bank Aljazira                                                      
Exchange Rate 1.0                                                     
</t>
  </si>
  <si>
    <t xml:space="preserve">Dr TI ILC Comm/Other Charges                                          
POC001-292150911                                                      
At Bank Aljazira                                                      
 CORPORATE BANKING DEPT-JEDDAH                                        
Exchange Rate 1.0                                                     
Date 26-09-1447(H) Time 21.25.05                                      
Reference ILC-0840-26-8758                                            
Value Date 27-09-1447(H)                                              
Fee Collected By Bank AlJazira                                        
</t>
  </si>
  <si>
    <t xml:space="preserve">Value Added Tax                                                       
On ILC Acceptance Comm.                                               
15% of SAR250.00                                                      
Through CORPORATE BANKING DEPT-JEDDAH                                 
Date 26-09-1447(H) Time 21.25.05                                      
Reference ILC-0840-26-8758                                            
At Bank Aljazira                                                      
Exchange Rate 1.0                                                     
</t>
  </si>
  <si>
    <t xml:space="preserve">Dr TI ILC Comm/Other Charges                                          
POC001-292150913                                                      
At Bank Aljazira                                                      
 CORPORATE BANKING DEPT-JEDDAH                                        
Exchange Rate 1.0                                                     
Date 26-09-1447(H) Time 21.25.06                                      
Reference ILC-0840-26-8758                                            
Value Date 27-09-1447(H)                                              
Fee Collected By Bank AlJazira                                        
</t>
  </si>
  <si>
    <t xml:space="preserve">Value Added Tax                                                       
On SWIFT charges                                                      
15% of SAR200.00                                                      
Through CORPORATE BANKING DEPT-JEDDAH                                 
Date 26-09-1447(H) Time 21.25.06                                      
Reference ILC-0840-26-8758                                            
At Bank Aljazira                                                      
Exchange Rate 1.0                                                     
</t>
  </si>
  <si>
    <t xml:space="preserve">Dr TI ILC Comm/Other Charges                                          
POC005-292146168                                                      
At Bank Aljazira                                                      
 CORPORATE BANKING DEPT-JEDDAH                                        
Date 26-09-1447(H) Time 21.25.54                                      
Reference ILC-0840-25-8427                                            
Value Date 27-09-1447(H)                                              
Fee Collected By Bank AlJazira                                        
</t>
  </si>
  <si>
    <t xml:space="preserve">Value Added Tax                                                       
On ILC Acceptance Comm.                                               
15% of SAR100.00                                                      
Through CORPORATE BANKING DEPT-JEDDAH                                 
Date 26-09-1447(H) Time 21.25.54                                      
Reference ILC-0840-25-8427                                            
At Bank Aljazira                                                      
</t>
  </si>
  <si>
    <t xml:space="preserve">Dr TI ILC Comm/Other Charges                                          
POC005-292146208                                                      
At Bank Aljazira                                                      
 CORPORATE BANKING DEPT-JEDDAH                                        
Date 26-09-1447(H) Time 21.25.54                                      
Reference ILC-0840-25-8427                                            
Value Date 27-09-1447(H)                                              
Fee Collected By Bank AlJazira                                        
</t>
  </si>
  <si>
    <t xml:space="preserve">Value Added Tax                                                       
On ILC Acceptance Comm.                                               
15% of SAR765.00                                                      
Through CORPORATE BANKING DEPT-JEDDAH                                 
Date 26-09-1447(H) Time 21.25.54                                      
Reference ILC-0840-25-8427                                            
At Bank Aljazira                                                      
</t>
  </si>
  <si>
    <t xml:space="preserve">Dr TI ILC Comm/Other Charges                                          
POC005-292146210                                                      
At Bank Aljazira                                                      
 CORPORATE BANKING DEPT-JEDDAH                                        
Date 26-09-1447(H) Time 21.25.54                                      
Reference ILC-0840-25-8427                                            
Value Date 27-09-1447(H)                                              
Fee Collected By Bank AlJazira                                        
</t>
  </si>
  <si>
    <t xml:space="preserve">Value Added Tax                                                       
On SWIFT charges                                                      
15% of SAR200.00                                                      
Through CORPORATE BANKING DEPT-JEDDAH                                 
Date 26-09-1447(H) Time 21.25.55                                      
Reference ILC-0840-25-8427                                            
At Bank Aljazira                                                      
</t>
  </si>
  <si>
    <t xml:space="preserve">Dr TI ILC Comm/Other Charges                                          
POC005-292157398                                                      
At Bank Aljazira                                                      
 CORPORATE BANKING DEPT-JEDDAH                                        
Date 26-09-1447(H) Time 21.27.12                                      
Reference ILC-0840-25-8011                                            
Value Date 27-09-1447(H)                                              
Fee Collected By Bank AlJazira                                        
</t>
  </si>
  <si>
    <t xml:space="preserve">Value Added Tax                                                       
On ILC Acceptance Comm.                                               
15% of SAR100.00                                                      
Through CORPORATE BANKING DEPT-JEDDAH                                 
Date 26-09-1447(H) Time 21.27.12                                      
Reference ILC-0840-25-8011                                            
At Bank Aljazira                                                      
</t>
  </si>
  <si>
    <t xml:space="preserve">Dr TI ILC Comm/Other Charges                                          
POC005-292157438                                                      
At Bank Aljazira                                                      
 CORPORATE BANKING DEPT-JEDDAH                                        
Date 26-09-1447(H) Time 21.27.12                                      
Reference ILC-0840-25-8011                                            
Value Date 27-09-1447(H)                                              
Fee Collected By Bank AlJazira                                        
</t>
  </si>
  <si>
    <t xml:space="preserve">Value Added Tax                                                       
On ILC Acceptance Comm.                                               
15% of SAR250.00                                                      
Through CORPORATE BANKING DEPT-JEDDAH                                 
Date 26-09-1447(H) Time 21.27.13                                      
Reference ILC-0840-25-8011                                            
At Bank Aljazira                                                      
</t>
  </si>
  <si>
    <t xml:space="preserve">Dr TI ILC Comm/Other Charges                                          
POC005-292157440                                                      
At Bank Aljazira                                                      
 CORPORATE BANKING DEPT-JEDDAH                                        
Date 26-09-1447(H) Time 21.27.13                                      
Reference ILC-0840-25-8011                                            
Value Date 27-09-1447(H)                                              
Fee Collected By Bank AlJazira                                        
</t>
  </si>
  <si>
    <t xml:space="preserve">Value Added Tax                                                       
On SWIFT charges                                                      
15% of SAR200.00                                                      
Through CORPORATE BANKING DEPT-JEDDAH                                 
Date 26-09-1447(H) Time 21.27.13                                      
Reference ILC-0840-25-8011                                            
At Bank Aljazira                                                      
</t>
  </si>
  <si>
    <t xml:space="preserve">TI Bill Settled                                                       
POC006                                                                
At Bank AlJazira                                                      
CORPORATE BANKING DEPT-JEDDAH                                         
Date 27-09-1447(H) Time 10.43.45                                      
Reference ILC-0840-25-8011                                            
</t>
  </si>
  <si>
    <t xml:space="preserve">TI Bill Settled                                                       
POC006                                                                
At Bank AlJazira                                                      
CORPORATE BANKING DEPT-JEDDAH                                         
Date 27-09-1447(H) Time 10.44.22                                      
Reference ILC-0840-25-8427                                            
</t>
  </si>
  <si>
    <t xml:space="preserve">Dr TI LGI Commission (Earned)                                         
ISS001-292247699                                                      
At Bank AlJazira                                                      
CORPORATE BANKING DEPT-JEDDAH                                         
Date 27-09-1447(H) Time 13.28.29                                      
Reference LGI-0840-26-8000                                            
</t>
  </si>
  <si>
    <t xml:space="preserve">Value Added Tax                                                       
On LGI ISSUANCE COMMISSION                                            
15% of SAR5,000.00                                                    
Through CORPORATE BANKING DEPT-JEDDAH                                 
Date 27-09-1447(H) Time 13.28.29                                      
Reference LGI-0840-26-8000                                            
At Bank Aljazira                                                      
Exchange Rate 1.0                                                     
</t>
  </si>
  <si>
    <t xml:space="preserve">Dr TI LGI Comm/Other Charges                                          
ISS001-292247701                                                      
At Bank AlJazira                                                      
CORPORATE BANKING DEPT-JEDDAH                                         
Date 27-09-1447(H) Time 13.28.30                                      
Reference LGI-0840-26-8000                                            
</t>
  </si>
  <si>
    <t xml:space="preserve">Value Added Tax                                                       
On LG Processing/Facility Fees                                        
15% of SAR17,424.66                                                   
Through CORPORATE BANKING DEPT-JEDDAH                                 
Date 27-09-1447(H) Time 13.28.30                                      
Reference LGI-0840-26-8000                                            
At Bank Aljazira                                                      
Exchange Rate 1.0                                                     
</t>
  </si>
  <si>
    <t>LG Performance</t>
  </si>
  <si>
    <t xml:space="preserve">Dr TI ILC Comm/Other Charges                                          
POC001-292853229                                                      
At Bank Aljazira                                                      
 CORPORATE BANKING DEPT-JEDDAH                                        
Date 10-10-1447(H) Time 15.12.42                                      
Reference ILC-0840-26-9073                                            
Value Date 10-10-1447(H)                                              
Fee Collected By Bank AlJazira                                        
</t>
  </si>
  <si>
    <t xml:space="preserve">Value Added Tax                                                       
On ILC Acceptance Comm.                                               
15% of SAR100.00                                                      
Through CORPORATE BANKING DEPT-JEDDAH                                 
Date 10-10-1447(H) Time 15.12.42                                      
Reference ILC-0840-26-9073                                            
At Bank Aljazira                                                      
</t>
  </si>
  <si>
    <t xml:space="preserve">Dr TI ILC Comm/Other Charges                                          
POC001-292853269                                                      
At Bank Aljazira                                                      
 CORPORATE BANKING DEPT-JEDDAH                                        
Date 10-10-1447(H) Time 15.12.43                                      
Reference ILC-0840-26-9073                                            
Value Date 10-10-1447(H)                                              
Fee Collected By Bank AlJazira                                        
</t>
  </si>
  <si>
    <t xml:space="preserve">Value Added Tax                                                       
On ILC Acceptance Comm.                                               
15% of SAR31,250.00                                                   
Through CORPORATE BANKING DEPT-JEDDAH                                 
Date 10-10-1447(H) Time 15.12.43                                      
Reference ILC-0840-26-9073                                            
At Bank Aljazira                                                      
</t>
  </si>
  <si>
    <t xml:space="preserve">Dr TI ILC Comm/Other Charges                                          
POC001-292853271                                                      
At Bank Aljazira                                                      
 CORPORATE BANKING DEPT-JEDDAH                                        
Date 10-10-1447(H) Time 15.12.43                                      
Reference ILC-0840-26-9073                                            
Value Date 10-10-1447(H)                                              
Fee Collected By Bank AlJazira                                        
</t>
  </si>
  <si>
    <t xml:space="preserve">Value Added Tax                                                       
On SWIFT charges                                                      
15% of SAR200.00                                                      
Through CORPORATE BANKING DEPT-JEDDAH                                 
Date 10-10-1447(H) Time 15.12.43                                      
Reference ILC-0840-26-9073                                            
At Bank Aljazira                                                      
</t>
  </si>
  <si>
    <t>DPBEPM628463WPM DCBWPM565832</t>
  </si>
  <si>
    <t>REF 000000JLC7000384,RB REF JLC7000384,VIA CORE SYSTEM,DATE-TIME 29/03-15:05:23, عن طريق النظام الآ لي ,VALUE DT 29/03/26</t>
  </si>
  <si>
    <t>REF 000000JLC6901431,RB REF JLC6901431,VIA CORE SYSTEM,DATE-TIME 29/03-11:56:34, عن طريق النظام الآ لي ,VALUE DT 29/03/26</t>
  </si>
  <si>
    <t>TF252710002404</t>
  </si>
  <si>
    <t>LC ACCEPTANCE COMMISSION FOR LC NO. TF252710002404\BNK</t>
  </si>
  <si>
    <t>TF252710002405</t>
  </si>
  <si>
    <t>LC ACCEPTANCE COMMISSION FOR LC NO. TF252710002405\BNK</t>
  </si>
  <si>
    <t>TF252710002406</t>
  </si>
  <si>
    <t>LC ACCEPTANCE COMMISSION FOR LC NO. TF252710002406\BNK</t>
  </si>
  <si>
    <t>to bank on 31-03</t>
  </si>
  <si>
    <t>PEBGCU163715</t>
  </si>
  <si>
    <t>APGGCU163707</t>
  </si>
  <si>
    <t>90 Days from App Rep Sign on Invoice</t>
  </si>
  <si>
    <t>Johnson Controls Arabia Ltd.</t>
  </si>
  <si>
    <t>Aknan Alkhair Tranding Est</t>
  </si>
  <si>
    <t>Al Maymanah For Contracting Co. Ltd.</t>
  </si>
  <si>
    <t>Ali Manea Alyami Trading Est.</t>
  </si>
  <si>
    <t>Khereiji Showrooms Co.</t>
  </si>
  <si>
    <t>Elsewedy Cables Co. Limited</t>
  </si>
  <si>
    <t>Bahra Advanced Cable Manufacture Co.</t>
  </si>
  <si>
    <t>Power Center Company For Industries Llc</t>
  </si>
  <si>
    <t>Mushal Khalf Hijri For Contracting</t>
  </si>
  <si>
    <t>Elmady Solution Company</t>
  </si>
  <si>
    <t>Ajzal United For Safety Co.Ltd.</t>
  </si>
  <si>
    <t>LC SWIFT CHARGES FOR LC NO. TF253350000601\BNK</t>
  </si>
  <si>
    <t>REIMBURSE UNDER LCS DR FOR LC NO. TF253350000601\BNK</t>
  </si>
  <si>
    <t xml:space="preserve">CUSTOMER = 3972500 DEAL AMT = 8000.00 DEAL CCY = SAR TAX CODE = 1 </t>
  </si>
  <si>
    <t>REF 000000JLC6901610,RB REF JLC6901610,VIA CORE SYSTEM,DATE-TIME 30/03-13:35:44, عن طريق النظام الآ لي ,VALUE DT 30/03/26</t>
  </si>
  <si>
    <t>RB REF JLG6802458,VIA CORE SYSTEM,DATE-TIME 31/03-16:36:49, عن طريق النظام الآ لي ,VALUE DT 31/03/26</t>
  </si>
  <si>
    <t>CITY:Jeddah 6132226J211805001</t>
  </si>
  <si>
    <t>J211805001</t>
  </si>
  <si>
    <t>CITY:Jeddah 6132226J210104003</t>
  </si>
  <si>
    <t>J210104003</t>
  </si>
  <si>
    <t>GTE ISSUE COMM CHARGES PEBGCU163715</t>
  </si>
  <si>
    <t xml:space="preserve">Dr TI ILC Comm/Other Charges                                          
AMD001-293177648                                                      
At Bank Aljazira                                                      
 CORPORATE BANKING DEPT-JEDDAH                                        
Date 12-10-1447(H) Time 11.11.26                                      
Reference ILC-0840-26-9073                                            
Value Date 12-10-1447(H)                                              
Fee Collected By Bank AlJazira                                        
</t>
  </si>
  <si>
    <t xml:space="preserve">Value Added Tax                                                       
On ILC Commission                                                     
15% of SAR53,000.00                                                   
Through CORPORATE BANKING DEPT-JEDDAH                                 
Date 12-10-1447(H) Time 11.11.26                                      
Reference ILC-0840-26-9073                                            
At Bank Aljazira                                                      
</t>
  </si>
  <si>
    <t xml:space="preserve">Dr TI ILC Comm/Other Charges                                          
AMD001-293177650                                                      
At Bank Aljazira                                                      
 CORPORATE BANKING DEPT-JEDDAH                                        
Date 12-10-1447(H) Time 11.11.27                                      
Reference ILC-0840-26-9073                                            
Value Date 12-10-1447(H)                                              
Fee Collected By Bank AlJazira                                        
</t>
  </si>
  <si>
    <t xml:space="preserve">Value Added Tax                                                       
On SWIFT charges                                                      
15% of SAR200.00                                                      
Through CORPORATE BANKING DEPT-JEDDAH                                 
Date 12-10-1447(H) Time 11.11.27                                      
Reference ILC-0840-26-9073                                            
At Bank Aljazira                                                      
</t>
  </si>
  <si>
    <t xml:space="preserve">Credit                                                                
901050                                                                
MIG001-293208278                                                      
At Bank AlJazira                                                      
CORPORATE BANKING DEPT-JEDDAH                                         
Date 12-10-1447(H) Time 12.50.37                                      
Reference LGI-0840-26-8000                                            
</t>
  </si>
  <si>
    <t xml:space="preserve">Credit                                                                
803097                                                                
MIG001-293208278                                                      
At Bank AlJazira                                                      
CORPORATE BANKING DEPT-JEDDAH                                         
Date 12-10-1447(H) Time 12.50.37                                      
Reference LGI-0840-26-8000                                            
</t>
  </si>
  <si>
    <t xml:space="preserve">Credit                                                                
901010                                                                
MIG001-293208385                                                      
At Bank AlJazira                                                      
CORPORATE BANKING DEPT-JEDDAH                                         
Date 12-10-1447(H) Time 12.50.37                                      
Reference LGI-0840-26-8000                                            
</t>
  </si>
  <si>
    <t xml:space="preserve">Credit                                                                
803097                                                                
MIG001-293208385                                                      
At Bank AlJazira                                                      
CORPORATE BANKING DEPT-JEDDAH                                         
Date 12-10-1447(H) Time 12.50.37                                      
Reference LGI-0840-26-8000                                            
</t>
  </si>
  <si>
    <t xml:space="preserve">Dr TI LGI Comm/Other Charges                                          
MIG002-293214391                                                      
At Bank AlJazira                                                      
CORPORATE BANKING DEPT-JEDDAH                                         
Date 12-10-1447(H) Time 12.52.51                                      
Reference LGI-0840-26-8000                                            
</t>
  </si>
  <si>
    <t xml:space="preserve">Value Added Tax                                                       
On LGI Amend Commission                                               
15% of SAR5,000.00                                                    
Through CORPORATE BANKING DEPT-JEDDAH                                 
Date 12-10-1447(H) Time 12.52.52                                      
Reference LGI-0840-26-8000                                            
At Bank Aljazira                                                      
Exchange Rate 1.0                                                     
</t>
  </si>
  <si>
    <t xml:space="preserve">Dr TI LGI Comm/Other Charges                                          
MIG002-293214393                                                      
At Bank AlJazira                                                      
CORPORATE BANKING DEPT-JEDDAH                                         
Date 12-10-1447(H) Time 12.52.52                                      
Reference LGI-0840-26-8000                                            
</t>
  </si>
  <si>
    <t xml:space="preserve">Value Added Tax                                                       
On LG Processing/Facility Fees                                        
15% of SAR10,000.00                                                   
Through CORPORATE BANKING DEPT-JEDDAH                                 
Date 12-10-1447(H) Time 12.52.53                                      
Reference LGI-0840-26-8000                                            
At Bank Aljazira                                                      
Exchange Rate 1.0                                                     
</t>
  </si>
  <si>
    <t>Min 5000</t>
  </si>
  <si>
    <t>Min 10000</t>
  </si>
  <si>
    <t>Facility Expired</t>
  </si>
  <si>
    <t>Saudi Electric Supply Company Limited(SESCO)</t>
  </si>
  <si>
    <t>3351007012660017</t>
  </si>
  <si>
    <t>Trade Transaction Dr
SAR -673180.02
Value date : 18-FEB-26
Transaction Ref : FTM2604956WTP6G7
Purpose/Details of Txn : Outward Guarantee KCLG2600085</t>
  </si>
  <si>
    <t>FTM2604956WTP6G7</t>
  </si>
  <si>
    <t>Trade Transaction Dr
SAR -575.00
Value date : 19-FEB-26
Transaction Ref : FTM2605056WSS69B
Purpose/Details of Txn : Outward Guarantee KCLG2600085</t>
  </si>
  <si>
    <t>FTM2605056WSS69B</t>
  </si>
  <si>
    <t>Trade Transaction Dr
SAR -695619.35
Value date : 05-MAR-26
Transaction Ref : FTM260642MR0BJQ0
Purpose/Details of Txn : Outward Guarantee KCLG2600152</t>
  </si>
  <si>
    <t>FTM260642MR0BJQ0</t>
  </si>
  <si>
    <t>Trade Transaction Dr
SAR -695619.35
Value date : 05-MAR-26
Transaction Ref : FTM260642MR0BMMB
Purpose/Details of Txn : Outward Guarantee KCLG2600153</t>
  </si>
  <si>
    <t>FTM260642MR0BMMB</t>
  </si>
  <si>
    <t>LG Charges</t>
  </si>
  <si>
    <t>LG-Performace</t>
  </si>
  <si>
    <t>National Fire Fighting Manufacturing Fzco Br.</t>
  </si>
  <si>
    <t>Atiaf International Trading Company</t>
  </si>
  <si>
    <t>M001910</t>
  </si>
  <si>
    <t>M001909</t>
  </si>
  <si>
    <t>M001959</t>
  </si>
  <si>
    <t>DCBWPM163945</t>
  </si>
  <si>
    <t>DCBWPM163960</t>
  </si>
  <si>
    <t>DCBWPM163957</t>
  </si>
  <si>
    <t>MIDU</t>
  </si>
  <si>
    <t>DCBWPM163953</t>
  </si>
  <si>
    <t>DCBWPM163950</t>
  </si>
  <si>
    <t>DCBWPM163971</t>
  </si>
  <si>
    <t>DCBWPM163967</t>
  </si>
  <si>
    <t>DCBWPM163964</t>
  </si>
  <si>
    <t>DCBWPM163961</t>
  </si>
  <si>
    <t>LGI-0840-26-8103</t>
  </si>
  <si>
    <t>DCBWPM163990</t>
  </si>
  <si>
    <t>DCBWPM163988</t>
  </si>
  <si>
    <t>DCBWPM163997</t>
  </si>
  <si>
    <t>DCBWPM163995</t>
  </si>
  <si>
    <t>DCBWPM164003</t>
  </si>
  <si>
    <t>DCBWPM163999</t>
  </si>
  <si>
    <t>DCBWPM164009</t>
  </si>
  <si>
    <t>DCBWPM164007</t>
  </si>
  <si>
    <t>DCBWPM164010</t>
  </si>
  <si>
    <t>DCBWPM164001</t>
  </si>
  <si>
    <t>J212103</t>
  </si>
  <si>
    <t xml:space="preserve"> LC SWIFT CHARGES   </t>
  </si>
  <si>
    <t xml:space="preserve"> REIMBURSE UNDER LCS DR   </t>
  </si>
  <si>
    <t>TF252300003404</t>
  </si>
  <si>
    <t xml:space="preserve"> LC ACCEPTANCE COMMISSION   </t>
  </si>
  <si>
    <t>TF252300003405</t>
  </si>
  <si>
    <t xml:space="preserve">CUSTOMER = 3972500 DEAL AMT = 1919.88 DEAL CCY = SAR TAX CODE = 1 </t>
  </si>
  <si>
    <t>TF252650001902</t>
  </si>
  <si>
    <t xml:space="preserve">CUSTOMER = 3972500 DEAL AMT = 62500 DEAL CCY = SAR TAX CODE = 1 </t>
  </si>
  <si>
    <t>TF260420001102</t>
  </si>
  <si>
    <t>REF 000000JLC6901492,RB REF JLC6901492,VIA CORE SYSTEM,DATE-TIME 01/04-12:37:40, عن طريق النظام الآ لي ,VALUE DT 01/04/26</t>
  </si>
  <si>
    <t>REF 000000JLC6801573,RB REF JLC6801573,VIA CORE SYSTEM,DATE-TIME 02/04-17:04:06, عن طريق النظام الآ لي ,VALUE DT 02/04/26</t>
  </si>
  <si>
    <t>REF 000000JLC6701731,RB REF JLC6701731,VIA CORE SYSTEM,DATE-TIME 02/04-17:02:30, عن طريق النظام الآ لي ,VALUE DT 02/04/26</t>
  </si>
  <si>
    <t>REF 000000JLC6901492,RB REF JLC6901492,VIA CORE SYSTEM,DATE-TIME 02/04-14:51:13, عن طريق النظام الآ لي ,VALUE DT 02/04/26</t>
  </si>
  <si>
    <t>REF JLC6901617,REF JLC6901617,VIA CORE SYSTEM,DATE-TIME 05/04-16:22:01, عن طريق النظام الآ لي ,VALUE DT 05/04/26</t>
  </si>
  <si>
    <t>CITY:Jeddah 6132226B323741001</t>
  </si>
  <si>
    <t>IMP BILL COMM DPBEPM216497WPM DCBWPM565843</t>
  </si>
  <si>
    <t>DPBEPM216497WPM</t>
  </si>
  <si>
    <t>IMP BILL AMEND. CHARGES DPBCOR216581WPM DCBCPM160316</t>
  </si>
  <si>
    <t>DPBCOR216581WPM</t>
  </si>
  <si>
    <t>IMP BILL AMEND. CHARGES DPBCOR216504WPM DCBWPM163417</t>
  </si>
  <si>
    <t>DPBCOR216504WPM</t>
  </si>
  <si>
    <t>DPBCOR629826WPM DCBWPM570380</t>
  </si>
  <si>
    <t>DC ISSUE COMM CHARGES DCBWPM164001</t>
  </si>
  <si>
    <t>DC ISSUE COMM CHARGES DCBWPM164010</t>
  </si>
  <si>
    <t>DC ISSUE COMM CHARGES DCBWPM164009</t>
  </si>
  <si>
    <t>DC ISSUE COMM CHARGES DCBWPM164007</t>
  </si>
  <si>
    <t>DC ISSUE COMM CHARGES DCBWPM164003</t>
  </si>
  <si>
    <t>DC ISSUE COMM CHARGES DCBWPM163999</t>
  </si>
  <si>
    <t>DC ISSUE COMM CHARGES DCBWPM163997</t>
  </si>
  <si>
    <t>DC ISSUE COMM CHARGES DCBWPM163995</t>
  </si>
  <si>
    <t>DC ISSUE COMM CHARGES DCBWPM163988</t>
  </si>
  <si>
    <t>DC ISSUE COMM CHARGES DCBWPM163971</t>
  </si>
  <si>
    <t>DC ISSUE COMM CHARGES DCBWPM163967</t>
  </si>
  <si>
    <t>DC ISSUE COMM CHARGES DCBWPM163964</t>
  </si>
  <si>
    <t>DC ISSUE COMM CHARGES DCBWPM163961</t>
  </si>
  <si>
    <t>DC ISSUE COMM CHARGES DCBWPM163950</t>
  </si>
  <si>
    <t>DC ISSUE COMM CHARGES DCBWPM163945</t>
  </si>
  <si>
    <t>DC ISSUE COMM CHARGES DCBWPM163953</t>
  </si>
  <si>
    <t>DC ISSUE COMM CHARGES DCBWPM163957</t>
  </si>
  <si>
    <t>DC ISSUE COMM CHARGES DCBWPM163990</t>
  </si>
  <si>
    <t>DC ISSUE COMM CHARGES DCBWPM163960</t>
  </si>
  <si>
    <t xml:space="preserve">TI Bill Settled                                                       
POC008                                                                
At Bank AlJazira                                                      
CORPORATE BANKING DEPT-JEDDAH                                         
Date 13-10-1447(H) Time 10.32.51                                      
Reference ILC-0840-25-7799                                            
</t>
  </si>
  <si>
    <t xml:space="preserve">Dr TI ILC Comm/Other Charges                                          
POC010-293326156                                                      
At Bank Aljazira                                                      
 CORPORATE BANKING DEPT-JEDDAH                                        
Date 13-10-1447(H) Time 11.59.57                                      
Reference ILC-0840-25-8159                                            
Value Date 13-10-1447(H)                                              
Fee Collected By Bank AlJazira                                        
</t>
  </si>
  <si>
    <t xml:space="preserve">Value Added Tax                                                       
On ILC Acceptance Comm.                                               
15% of SAR448.00                                                      
Through CORPORATE BANKING DEPT-JEDDAH                                 
Date 13-10-1447(H) Time 11.59.57                                      
Reference ILC-0840-25-8159                                            
At Bank Aljazira                                                      
</t>
  </si>
  <si>
    <t xml:space="preserve">Dr TI ILC Comm/Other Charges                                          
POC010-293326160                                                      
At Bank Aljazira                                                      
 CORPORATE BANKING DEPT-JEDDAH                                        
Date 13-10-1447(H) Time 11.59.58                                      
Reference ILC-0840-25-8159                                            
Value Date 13-10-1447(H)                                              
Fee Collected By Bank AlJazira                                        
</t>
  </si>
  <si>
    <t xml:space="preserve">Value Added Tax                                                       
On SWIFT charges                                                      
15% of SAR200.00                                                      
Through CORPORATE BANKING DEPT-JEDDAH                                 
Date 13-10-1447(H) Time 11.59.58                                      
Reference ILC-0840-25-8159                                            
At Bank Aljazira                                                      
</t>
  </si>
  <si>
    <t xml:space="preserve">Dr TI LGI Comm/Other Charges                                          
ISS001-293776751                                                      
At Bank AlJazira                                                      
CORPORATE BANKING DEPT-JEDDAH                                         
Date 18-10-1447(H) Time 10.18.39                                      
Reference LGI-0840-26-8103                                            
</t>
  </si>
  <si>
    <t xml:space="preserve">Value Added Tax                                                       
On LG Processing/Facility Fees                                        
15% of SAR37,397.26                                                   
Through CORPORATE BANKING DEPT-JEDDAH                                 
Date 18-10-1447(H) Time 10.18.40                                      
Reference LGI-0840-26-8103                                            
At Bank Aljazira                                                      
Exchange Rate 1.0                                                     
</t>
  </si>
  <si>
    <t xml:space="preserve">Dr TI LGI Commission (Earned)                                         
ISS001-293776780                                                      
At Bank AlJazira                                                      
CORPORATE BANKING DEPT-JEDDAH                                         
Date 18-10-1447(H) Time 10.18.40                                      
Reference LGI-0840-26-8103                                            
</t>
  </si>
  <si>
    <t xml:space="preserve">Value Added Tax                                                       
On LGI ISSUANCE COMMISSION                                            
15% of SAR12,500.00                                                   
Through CORPORATE BANKING DEPT-JEDDAH                                 
Date 18-10-1447(H) Time 10.18.41                                      
Reference LGI-0840-26-8103                                            
At Bank Aljazira                                                      
Exchange Rate 1.0                                                     
</t>
  </si>
  <si>
    <t>Essam Zahran</t>
  </si>
  <si>
    <t>02/08/2026</t>
  </si>
  <si>
    <t>JLG7001000</t>
  </si>
  <si>
    <t>to bank on 08-04</t>
  </si>
  <si>
    <t>CITY:Jeddah 6132226J211806001</t>
  </si>
  <si>
    <t>J211806001</t>
  </si>
  <si>
    <t>CITY:Jeddah 6132226J212103000</t>
  </si>
  <si>
    <t>J212103000</t>
  </si>
  <si>
    <t xml:space="preserve">LGI-0840-26-8103      </t>
  </si>
  <si>
    <t>TF2609800008</t>
  </si>
  <si>
    <t>LGI-0840-26-8147</t>
  </si>
  <si>
    <t>TF2609900016</t>
  </si>
  <si>
    <t xml:space="preserve">CUSTOMER = 3972500 DEAL AMT = 7500 DEAL CCY = SAR TAX CODE = 1 </t>
  </si>
  <si>
    <t>TF260420001103</t>
  </si>
  <si>
    <t xml:space="preserve">CUSTOMER = 3972500 DEAL AMT = 27351.29 DEAL CCY = SAR TAX CODE = 1 </t>
  </si>
  <si>
    <t xml:space="preserve"> LC OPENING COMMISSION- DEBIT   </t>
  </si>
  <si>
    <t>RB REF JLG7001000,VIA CORE SYSTEM,DATE-TIME 08/04-10:47:22, عن طريق النظام الآ لي ,VALUE DT 08/04/26</t>
  </si>
  <si>
    <t>CITY:Jeddah 6132226J210617003</t>
  </si>
  <si>
    <t>CITY:Jeddah 6132226J210104003 1143966.92 SAR</t>
  </si>
  <si>
    <t xml:space="preserve">Dr TI ILC Comm/Other Charges                                          
AMD001-294021499                                                      
At Bank Aljazira                                                      
 CORPORATE BANKING DEPT-JEDDAH                                        
Date 20-10-1447(H) Time 10.15.04                                      
Reference ILC-0840-26-8823                                            
Value Date 20-10-1447(H)                                              
Fee Collected By Bank AlJazira                                        
</t>
  </si>
  <si>
    <t xml:space="preserve">Value Added Tax                                                       
On ILC Commission                                                     
15% of SAR500.00                                                      
Through CORPORATE BANKING DEPT-JEDDAH                                 
Date 20-10-1447(H) Time 10.15.04                                      
Reference ILC-0840-26-8823                                            
At Bank Aljazira                                                      
</t>
  </si>
  <si>
    <t xml:space="preserve">Dr TI ILC Comm/Other Charges                                          
AMD001-294021501                                                      
At Bank Aljazira                                                      
 CORPORATE BANKING DEPT-JEDDAH                                        
Date 20-10-1447(H) Time 10.15.04                                      
Reference ILC-0840-26-8823                                            
Value Date 20-10-1447(H)                                              
Fee Collected By Bank AlJazira                                        
</t>
  </si>
  <si>
    <t xml:space="preserve">Value Added Tax                                                       
On SWIFT charges                                                      
15% of SAR200.00                                                      
Through CORPORATE BANKING DEPT-JEDDAH                                 
Date 20-10-1447(H) Time 10.15.05                                      
Reference ILC-0840-26-8823                                            
At Bank Aljazira                                                      
</t>
  </si>
  <si>
    <t xml:space="preserve">Dr TI ILC Comm/Other Charges                                          
AMD001-294022684                                                      
At Bank Aljazira                                                      
 CORPORATE BANKING DEPT-JEDDAH                                        
Date 20-10-1447(H) Time 10.15.28                                      
Reference ILC-0840-26-8820                                            
Value Date 20-10-1447(H)                                              
Fee Collected By Bank AlJazira                                        
</t>
  </si>
  <si>
    <t xml:space="preserve">Value Added Tax                                                       
On ILC Commission                                                     
15% of SAR500.00                                                      
Through CORPORATE BANKING DEPT-JEDDAH                                 
Date 20-10-1447(H) Time 10.15.29                                      
Reference ILC-0840-26-8820                                            
At Bank Aljazira                                                      
</t>
  </si>
  <si>
    <t xml:space="preserve">Dr TI ILC Comm/Other Charges                                          
AMD001-294022686                                                      
At Bank Aljazira                                                      
 CORPORATE BANKING DEPT-JEDDAH                                        
Date 20-10-1447(H) Time 10.15.29                                      
Reference ILC-0840-26-8820                                            
Value Date 20-10-1447(H)                                              
Fee Collected By Bank AlJazira                                        
</t>
  </si>
  <si>
    <t xml:space="preserve">Value Added Tax                                                       
On SWIFT charges                                                      
15% of SAR200.00                                                      
Through CORPORATE BANKING DEPT-JEDDAH                                 
Date 20-10-1447(H) Time 10.15.29                                      
Reference ILC-0840-26-8820                                            
At Bank Aljazira                                                      
</t>
  </si>
  <si>
    <t xml:space="preserve">Dr TI ILC Comm/Other Charges                                          
AMD001-294024565                                                      
At Bank Aljazira                                                      
 CORPORATE BANKING DEPT-JEDDAH                                        
Date 20-10-1447(H) Time 10.15.49                                      
Reference ILC-0840-26-8822                                            
Value Date 20-10-1447(H)                                              
Fee Collected By Bank AlJazira                                        
</t>
  </si>
  <si>
    <t xml:space="preserve">Value Added Tax                                                       
On ILC Commission                                                     
15% of SAR924.32                                                      
Through CORPORATE BANKING DEPT-JEDDAH                                 
Date 20-10-1447(H) Time 10.15.49                                      
Reference ILC-0840-26-8822                                            
At Bank Aljazira                                                      
</t>
  </si>
  <si>
    <t xml:space="preserve">Dr TI ILC Comm/Other Charges                                          
AMD001-294024567                                                      
At Bank Aljazira                                                      
 CORPORATE BANKING DEPT-JEDDAH                                        
Date 20-10-1447(H) Time 10.15.50                                      
Reference ILC-0840-26-8822                                            
Value Date 20-10-1447(H)                                              
Fee Collected By Bank AlJazira                                        
</t>
  </si>
  <si>
    <t xml:space="preserve">Value Added Tax                                                       
On SWIFT charges                                                      
15% of SAR200.00                                                      
Through CORPORATE BANKING DEPT-JEDDAH                                 
Date 20-10-1447(H) Time 10.15.50                                      
Reference ILC-0840-26-8822                                            
At Bank Aljazira                                                      
</t>
  </si>
  <si>
    <t xml:space="preserve">Incoming Local Transfer                                               
Sender MODERN BUILDING LEADERS COMPANY                                
From Saudi Awwal Bank                                                 
Purpose LC CHARGES                                                    
Exchange Rate 1.0                                                     
Transfer Amount SAR 197,758.47                                        
Through Bank Aljazira                                                 
 CENTRAL OPERATIONS-JEDDAH                                            
Date 20-10-1447(H) Time 11.52.57                                      
Reference SABBREM2609800NI                                            
</t>
  </si>
  <si>
    <t>ILC-</t>
  </si>
  <si>
    <t xml:space="preserve">Dr TI LGI Comm/Other Charges                                          
ISS001-294104894                                                      
At Bank AlJazira                                                      
CORPORATE BANKING DEPT-JEDDAH                                         
Date 20-10-1447(H) Time 13.39.25                                      
Reference LGI-0840-26-8147                                            
</t>
  </si>
  <si>
    <t xml:space="preserve">Value Added Tax                                                       
On LG Processing/Facility Fees                                        
15% of SAR20,164.38                                                   
Through CORPORATE BANKING DEPT-JEDDAH                                 
Date 20-10-1447(H) Time 13.39.25                                      
Reference LGI-0840-26-8147                                            
At Bank Aljazira                                                      
Exchange Rate 1.0                                                     
</t>
  </si>
  <si>
    <t xml:space="preserve">Dr TI LGI Commission (Earned)                                         
ISS001-294104925                                                      
At Bank AlJazira                                                      
CORPORATE BANKING DEPT-JEDDAH                                         
Date 20-10-1447(H) Time 13.39.26                                      
Reference LGI-0840-26-8147                                            
</t>
  </si>
  <si>
    <t xml:space="preserve">Value Added Tax                                                       
On LGI ISSUANCE COMMISSION                                            
15% of SAR9,999.99                                                    
Through CORPORATE BANKING DEPT-JEDDAH                                 
Date 20-10-1447(H) Time 13.39.26                                      
Reference LGI-0840-26-8147                                            
At Bank Aljazira                                                      
Exchange Rate 1.0                                                     
</t>
  </si>
  <si>
    <t xml:space="preserve">Dr TI LGI Comm/Other Charges                                          
AMD002-294097655                                                      
At Bank AlJazira                                                      
CORPORATE BANKING DEPT-JEDDAH                                         
Date 20-10-1447(H) Time 13.45.30                                      
Reference LGI-0840-25-7098                                            
</t>
  </si>
  <si>
    <t xml:space="preserve">Value Added Tax                                                       
On LG Processing/Facility Fees                                        
15% of SAR28,986.30                                                   
Through CORPORATE BANKING DEPT-JEDDAH                                 
Date 20-10-1447(H) Time 13.45.31                                      
Reference LGI-0840-25-7098                                            
At Bank Aljazira                                                      
Exchange Rate 1.0                                                     
</t>
  </si>
  <si>
    <t xml:space="preserve">Dr TI LGI Comm/Other Charges                                          
AMD002-294097851                                                      
At Bank AlJazira                                                      
CORPORATE BANKING DEPT-JEDDAH                                         
Date 20-10-1447(H) Time 13.45.31                                      
Reference LGI-0840-25-7098                                            
</t>
  </si>
  <si>
    <t xml:space="preserve">Value Added Tax                                                       
On LGI Amend Commission                                               
15% of SAR13,437.50                                                   
Through CORPORATE BANKING DEPT-JEDDAH                                 
Date 20-10-1447(H) Time 13.45.32                                      
Reference LGI-0840-25-7098                                            
At Bank Aljazira                                                      
Exchange Rate 1.0                                                     
</t>
  </si>
  <si>
    <t xml:space="preserve">LGI-0840-25-7098 </t>
  </si>
  <si>
    <t>Internal Transfer</t>
  </si>
  <si>
    <t>LG - Bid</t>
  </si>
  <si>
    <t>King Salman International Airport Development Company (KSIADC)</t>
  </si>
  <si>
    <t>TF260630001401</t>
  </si>
  <si>
    <t xml:space="preserve">CUSTOMER = 3972500 DEAL AMT = 75500.00 DEAL CCY = SAR TAX CODE = 1 </t>
  </si>
  <si>
    <t>RB REF JLG7000585,VIA CORE SYSTEM,DATE-TIME 09/04-17:37:16, عن طريق النظام الآ لي ,VALUE DT 09/04/26</t>
  </si>
  <si>
    <t>RB REF JLG7000680,VIA CORE SYSTEM,DATE-TIME 09/04-17:38:12, عن طريق النظام الآ لي ,VALUE DT 09/04/26</t>
  </si>
  <si>
    <t>DPBCOR211390WPM DCBWPM570414</t>
  </si>
  <si>
    <t>IMP BILL COMM DPBCOR216857WPM DCBWPM161330</t>
  </si>
  <si>
    <t>DPBCOR216857WPM</t>
  </si>
  <si>
    <t xml:space="preserve">Dr TI ILC Comm/Other Charges                                          
POC002-294217066                                                      
At Bank Aljazira                                                      
 CORPORATE BANKING DEPT-JEDDAH                                        
Date 21-10-1447(H) Time 13.26.48                                      
Reference ILC-0840-26-9073                                            
Value Date 21-10-1447(H)                                              
Fee Collected By Bank AlJazira                                        
</t>
  </si>
  <si>
    <t xml:space="preserve">Value Added Tax                                                       
On ILC Acceptance Comm.                                               
15% of SAR100.00                                                      
Through CORPORATE BANKING DEPT-JEDDAH                                 
Date 21-10-1447(H) Time 13.26.48                                      
Reference ILC-0840-26-9073                                            
At Bank Aljazira                                                      
</t>
  </si>
  <si>
    <t xml:space="preserve">Dr TI ILC Comm/Other Charges                                          
POC002-294217196                                                      
At Bank Aljazira                                                      
 CORPORATE BANKING DEPT-JEDDAH                                        
Date 21-10-1447(H) Time 13.26.48                                      
Reference ILC-0840-26-9073                                            
Value Date 21-10-1447(H)                                              
Fee Collected By Bank AlJazira                                        
</t>
  </si>
  <si>
    <t xml:space="preserve">Value Added Tax                                                       
On ILC Acceptance Comm.                                               
15% of SAR52,500.00                                                   
Through CORPORATE BANKING DEPT-JEDDAH                                 
Date 21-10-1447(H) Time 13.26.49                                      
Reference ILC-0840-26-9073                                            
At Bank Aljazira                                                      
</t>
  </si>
  <si>
    <t xml:space="preserve">Dr TI ILC Comm/Other Charges                                          
POC002-294217198                                                      
At Bank Aljazira                                                      
 CORPORATE BANKING DEPT-JEDDAH                                        
Date 21-10-1447(H) Time 13.26.49                                      
Reference ILC-0840-26-9073                                            
Value Date 21-10-1447(H)                                              
Fee Collected By Bank AlJazira                                        
</t>
  </si>
  <si>
    <t xml:space="preserve">Value Added Tax                                                       
On SWIFT charges                                                      
15% of SAR200.00                                                      
Through CORPORATE BANKING DEPT-JEDDAH                                 
Date 21-10-1447(H) Time 13.26.49                                      
Reference ILC-0840-26-9073                                            
At Bank Aljazira                                                      
</t>
  </si>
  <si>
    <t>LG - Per - Corresponding Bank Charges</t>
  </si>
  <si>
    <t>Innovative Specialized Security Solution</t>
  </si>
  <si>
    <t>J212139</t>
  </si>
  <si>
    <t>J212140</t>
  </si>
  <si>
    <t>DCBWPM164211</t>
  </si>
  <si>
    <t>SCHUCO MIDDLE EAST</t>
  </si>
  <si>
    <t>LGI-0840-26-8188</t>
  </si>
  <si>
    <t>05/07/2026</t>
  </si>
  <si>
    <t>JLG7001038</t>
  </si>
  <si>
    <t>28/06/2026</t>
  </si>
  <si>
    <t>68203972500001</t>
  </si>
  <si>
    <t>REF 000000JLC6902211,RB REF JLC6902211,VIA CORE SYSTEM,DATE-TIME 12/04-12:16:59, عن طريق النظام الآ لي ,VALUE DT 12/04/26</t>
  </si>
  <si>
    <t>RB REF JLG7001038,VIA CORE SYSTEM,DATE-TIME 12/04-11:36:58, عن طريق النظام الآ لي ,VALUE DT 12/04/26</t>
  </si>
  <si>
    <t>REF 000000JLC6902211,RB REF JLC6902211,VIA CORE SYSTEM,DATE-TIME 13/04-16:35:57, عن طريق النظام الآ لي ,VALUE DT 13/04/26</t>
  </si>
  <si>
    <t>CITY:Jeddah 6132226J212139000</t>
  </si>
  <si>
    <t>J212139000</t>
  </si>
  <si>
    <t>CITY:Jeddah 6132226J212140000</t>
  </si>
  <si>
    <t>J212140000</t>
  </si>
  <si>
    <t>CITY:Jeddah 6132226J211485005</t>
  </si>
  <si>
    <t>J211485005</t>
  </si>
  <si>
    <t>IMP BILL AMEND. CHARGES DPBCOR216863WPM DCBWPM163413</t>
  </si>
  <si>
    <t>DPBCOR216863WPM</t>
  </si>
  <si>
    <t>DPBEPM212633WPM DCBWPM553808</t>
  </si>
  <si>
    <t>DC ISSUE COMM CHARGES DCBWPM164211</t>
  </si>
  <si>
    <t>DPBEPM211613WPM DCBWPM563027</t>
  </si>
  <si>
    <t>IMP BILL AMEND. CHARGES DPBEPM217007WPM DCBWPM570361</t>
  </si>
  <si>
    <t>DPBEPM217007WPM</t>
  </si>
  <si>
    <t xml:space="preserve">TI Bill Settled                                                       
POC002                                                                
At Bank AlJazira                                                      
CORPORATE BANKING DEPT-JEDDAH                                         
Date 24-10-1447(H) Time 11.01.52                                      
Reference ILC-0840-26-8758                                            
</t>
  </si>
  <si>
    <t xml:space="preserve">Dr TI LGI Comm/Other Charges                                          
AMD001-294519030                                                      
At Bank AlJazira                                                      
CORPORATE BANKING DEPT-JEDDAH                                         
Date 25-10-1447(H) Time 14.45.36                                      
Reference LGI-0840-26-8103                                            
</t>
  </si>
  <si>
    <t xml:space="preserve">Value Added Tax                                                       
On LGI Amend Commission                                               
15% of SAR8,333.30                                                    
Through CORPORATE BANKING DEPT-JEDDAH                                 
Date 25-10-1447(H) Time 14.45.37                                      
Reference LGI-0840-26-8103                                            
At Bank Aljazira                                                      
Exchange Rate 1.0                                                     
</t>
  </si>
  <si>
    <t xml:space="preserve">Value Added Tax                                                       
On SWIFT charges                                                      
15% of SAR200.00                                                      
Through CORPORATE BANKING DEPT-JEDDAH                                 
Date 25-10-1447(H) Time 10.39.48                                      
Reference ILC-0840-25-8166                                            
At Bank Aljazira                                                      
Exchange Rate 1.0                                                     
</t>
  </si>
  <si>
    <t xml:space="preserve">Dr TI ILC Comm/Other Charges                                          
AMD003-294463398                                                      
At Bank Aljazira                                                      
 CORPORATE BANKING DEPT-JEDDAH                                        
Exchange Rate 1.0                                                     
Date 25-10-1447(H) Time 10.39.48                                      
Reference ILC-0840-25-8166                                            
Value Date 25-10-1447(H)                                              
Fee Collected By Bank AlJazira                                        
</t>
  </si>
  <si>
    <t xml:space="preserve">Value Added Tax                                                       
On ILC Commission                                                     
15% of SAR500.00                                                      
Through CORPORATE BANKING DEPT-JEDDAH                                 
Date 25-10-1447(H) Time 10.39.48                                      
Reference ILC-0840-25-8166                                            
At Bank Aljazira                                                      
Exchange Rate 1.0                                                     
</t>
  </si>
  <si>
    <t xml:space="preserve">Dr TI ILC Comm/Other Charges                                          
AMD003-294463396                                                      
At Bank Aljazira                                                      
 CORPORATE BANKING DEPT-JEDDAH                                        
Exchange Rate 1.0                                                     
Date 25-10-1447(H) Time 10.39.47                                      
Reference ILC-0840-25-8166                                            
Value Date 25-10-1447(H)                                              
Fee Collected By Bank AlJazira                                        
</t>
  </si>
  <si>
    <t xml:space="preserve">Value Added Tax                                                       
On SWIFT charges                                                      
15% of SAR200.00                                                      
Through CORPORATE BANKING DEPT-JEDDAH                                 
Date 25-10-1447(H) Time 10.39.05                                      
Reference ILC-0840-25-8164                                            
At Bank Aljazira                                                      
Exchange Rate 1.0                                                     
</t>
  </si>
  <si>
    <t xml:space="preserve">Dr TI ILC Comm/Other Charges                                          
AMD003-294464842                                                      
At Bank Aljazira                                                      
 CORPORATE BANKING DEPT-JEDDAH                                        
Exchange Rate 1.0                                                     
Date 25-10-1447(H) Time 10.39.04                                      
Reference ILC-0840-25-8164                                            
Value Date 25-10-1447(H)                                              
Fee Collected By Bank AlJazira                                        
</t>
  </si>
  <si>
    <t xml:space="preserve">Value Added Tax                                                       
On ILC Commission                                                     
15% of SAR573.20                                                      
Through CORPORATE BANKING DEPT-JEDDAH                                 
Date 25-10-1447(H) Time 10.39.04                                      
Reference ILC-0840-25-8164                                            
At Bank Aljazira                                                      
Exchange Rate 1.0                                                     
</t>
  </si>
  <si>
    <t>Value Added Tax                                                       
On LGI ISSUANCE COMMISSION                                            
15% of SAR7,187.49                                                    
Through CORPORATE BANKING DEPT-JEDDAH                                 
Date 25-10-1447(H) Time 10.33.42                                      
Reference LGI-0840-26-8188                                            
At Bank Aljazira                                                      
Exchange Rate 1.0                                                     
Value date 12-APR-26</t>
  </si>
  <si>
    <t xml:space="preserve">Value Added Tax                                                       
On SWIFT charges                                                      
15% of SAR200.00                                                      
Through CORPORATE BANKING DEPT-JEDDAH                                 
Date 25-10-1447(H) Time 10.38.09                                      
Reference ILC-0840-26-8758                                            
At Bank Aljazira                                                      
Exchange Rate 1.0                                                     
</t>
  </si>
  <si>
    <t xml:space="preserve">Dr TI ILC Comm/Other Charges                                          
AMD001-294465551                                                      
At Bank Aljazira                                                      
 CORPORATE BANKING DEPT-JEDDAH                                        
Exchange Rate 1.0                                                     
Date 25-10-1447(H) Time 10.38.08                                      
Reference ILC-0840-26-8758                                            
Value Date 25-10-1447(H)                                              
Fee Collected By Bank AlJazira                                        
</t>
  </si>
  <si>
    <t xml:space="preserve">Value Added Tax                                                       
On ILC Commission                                                     
15% of SAR500.00                                                      
Through CORPORATE BANKING DEPT-JEDDAH                                 
Date 25-10-1447(H) Time 10.38.08                                      
Reference ILC-0840-26-8758                                            
At Bank Aljazira                                                      
Exchange Rate 1.0                                                     
</t>
  </si>
  <si>
    <t xml:space="preserve">Dr TI ILC Comm/Other Charges                                          
AMD001-294465549                                                      
At Bank Aljazira                                                      
 CORPORATE BANKING DEPT-JEDDAH                                        
Exchange Rate 1.0                                                     
Date 25-10-1447(H) Time 10.38.08                                      
Reference ILC-0840-26-8758                                            
Value Date 25-10-1447(H)                                              
Fee Collected By Bank AlJazira                                        
</t>
  </si>
  <si>
    <t>Value Added Tax                                                       
On LG Processing/Facility Fees                                        
15% of SAR16,739.73                                                   
Through CORPORATE BANKING DEPT-JEDDAH                                 
Date 25-10-1447(H) Time 10.33.43                                      
Reference LGI-0840-26-8188                                            
At Bank Aljazira                                                      
Exchange Rate 1.0                                                     
Value date 12-APR-26</t>
  </si>
  <si>
    <t>Dr TI LGI Comm/Other Charges                                          
ISS001-294399856                                                      
At Bank AlJazira                                                      
CORPORATE BANKING DEPT-JEDDAH                                         
Date 25-10-1447(H) Time 10.33.42                                      
Reference LGI-0840-26-8188                                            
Value date 24-10-1447(H)                                              
Value date 12-APR-26</t>
  </si>
  <si>
    <t>Dr TI LGI Commission (Earned)                                         
ISS001-294399854                                                      
At Bank AlJazira                                                      
CORPORATE BANKING DEPT-JEDDAH                                         
Date 25-10-1447(H) Time 10.33.41                                      
Reference LGI-0840-26-8188                                            
Value date 24-10-1447(H)                                              
Value date 12-APR-26</t>
  </si>
  <si>
    <t xml:space="preserve">Dr TI LGI Comm/Other Charges                                          
AMD001-294519032                                                      
At Bank AlJazira                                                      
CORPORATE BANKING DEPT-JEDDAH                                         
Date 25-10-1447(H) Time 14.45.37                                      
Reference LGI-0840-26-8103                                            
</t>
  </si>
  <si>
    <t xml:space="preserve">Dr TI ILC Comm/Other Charges                                          
AMD003-294464840                                                      
At Bank Aljazira                                                      
 CORPORATE BANKING DEPT-JEDDAH                                        
Exchange Rate 1.0                                                     
Date 25-10-1447(H) Time 10.39.03                                      
Reference ILC-0840-25-8164                                            
Value Date 25-10-1447(H)                                              
Fee Collected By Bank AlJazira                                        
</t>
  </si>
  <si>
    <t xml:space="preserve">Value Added Tax                                                       
On LG Processing/Facility Fees                                        
15% of SAR16,849.32                                                   
Through CORPORATE BANKING DEPT-JEDDAH                                 
Date 25-10-1447(H) Time 14.45.38                                      
Reference LGI-0840-26-8103                                            
At Bank Aljazira                                                      
Exchange Rate 1.0                                                     
</t>
  </si>
  <si>
    <t xml:space="preserve">LGI-0840-26-8188  </t>
  </si>
  <si>
    <t>JLG7000276</t>
  </si>
  <si>
    <t>REF 000000JLC7000001,RB REF JLC7000001,VIA CORE SYSTEM,DATE-TIME 14/04-15:16:30, عن طريق النظام الآ لي ,VALUE DT 14/04/26</t>
  </si>
  <si>
    <t>REF 000000JLC7000009,RB REF JLC7000009,VIA CORE SYSTEM,DATE-TIME 14/04-15:16:50, عن طريق النظام الآ لي ,VALUE DT 14/04/26</t>
  </si>
  <si>
    <t>RB REF JLG7000276,VIA CORE SYSTEM,DATE-TIME 14/04-12:41:00, عن طريق النظام الآ لي ,VALUE DT 14/04/26</t>
  </si>
  <si>
    <t>CITY:Jeddah 6132226J210944002</t>
  </si>
  <si>
    <t>CITY:Jeddah 6132226J212139001</t>
  </si>
  <si>
    <t>J212139001</t>
  </si>
  <si>
    <t>DPBEPM211928WPM DCBWPM570361</t>
  </si>
  <si>
    <t xml:space="preserve">Incoming Local Transfer                                               
Sender MODERN BUILDING LEADERS COMPANY                                
From Saudi Awwal Bank                                                 
Purpose ILC0840269073                                                 
Exchange Rate 1.0                                                     
Transfer Amount SAR 60,720.00                                         
Through Bank Aljazira                                                 
 CENTRAL OPERATIONS-JEDDAH                                            
Date 26-10-1447(H) Time 13.21.58                                      
Reference SABBREM2610400Z9                                            
</t>
  </si>
  <si>
    <t>TF2610500016</t>
  </si>
  <si>
    <t>TF2610500019</t>
  </si>
  <si>
    <t>TF2610500021</t>
  </si>
  <si>
    <t>PEBGCU164245</t>
  </si>
  <si>
    <t>CEER2</t>
  </si>
  <si>
    <t>JLG7001733</t>
  </si>
  <si>
    <t>JLG6804535</t>
  </si>
  <si>
    <t>REHABILITATION AND EQUIPMENT OF THE BEACH PALACE -202420015452</t>
  </si>
  <si>
    <t>JLG7001853</t>
  </si>
  <si>
    <t>Delete after Issuing the Performance in RB</t>
  </si>
  <si>
    <t>Early Contractor Involvement (ECI) Stage-1 Terminal 6 - Contract Reference Number: C00113</t>
  </si>
  <si>
    <t xml:space="preserve">CUSTOMER = 3972500 DEAL AMT = 13300.33 DEAL CCY = SAR TAX CODE = 1 </t>
  </si>
  <si>
    <t xml:space="preserve">CUSTOMER = 3972500 DEAL AMT = 7617.06 DEAL CCY = SAR TAX CODE = 1 </t>
  </si>
  <si>
    <t xml:space="preserve">CUSTOMER = 3972500 DEAL AMT = 20155.42 DEAL CCY = SAR TAX CODE = 1 </t>
  </si>
  <si>
    <t>TF252710002407</t>
  </si>
  <si>
    <t>TF252710002408</t>
  </si>
  <si>
    <t>RB REF JLG6802904,VIA CORE SYSTEM,DATE-TIME 15/04-12:19:53, عن طريق النظام الآ لي ,VALUE DT 15/04/26</t>
  </si>
  <si>
    <t>RB REF JLG7001733,VIA CORE SYSTEM,DATE-TIME 16/04-13:45:56, عن طريق النظام الآ لي ,VALUE DT 16/04/26</t>
  </si>
  <si>
    <t>RB REF JLG7001853,VIA CORE SYSTEM,DATE-TIME 16/04-19:04:57, عن طريق النظام الآ لي ,VALUE DT 16/04/26</t>
  </si>
  <si>
    <t>RB REF JLG6802458,VIA CORE SYSTEM,DATE-TIME 16/04-13:19:16, عن طريق النظام الآ لي ,VALUE DT 16/04/26</t>
  </si>
  <si>
    <t>RB REF JLG6804535,VIA CORE SYSTEM,DATE-TIME 16/04-16:25:48, عن طريق النظام الآ لي ,VALUE DT 16/04/26</t>
  </si>
  <si>
    <t>65800000767008</t>
  </si>
  <si>
    <t>SA CHNL: ALNAEEM,JEDDAH 6521 PRINCE SULTAN (46) 0202 056904 005 Goods / Supplier Payments 65800000767008 SIBCSARI ADVANCED FGEN ENGINEERING DEVE EXTN98026106VJ2M</t>
  </si>
  <si>
    <t>J2M</t>
  </si>
  <si>
    <t>GTE ISSUE COMM CHARGES PEBGCU164245</t>
  </si>
  <si>
    <t>PEBGCU164245 STDBY/COMM QUARTERLY FROM 15APR2026 TO 14JUL2026</t>
  </si>
  <si>
    <t>VAT MANUAL COLLECTION 262-307200-001 PEBGCU164245 350,032.18 SA SABB 095-918835-001 BENF ID : 16APR26 13:09:37</t>
  </si>
  <si>
    <t>IMP BILL AMEND. CHARGES DPBCOR217083WPM DCBWPM162993</t>
  </si>
  <si>
    <t>DPBCOR217083WPM</t>
  </si>
  <si>
    <t>IMP BILL AMEND. CHARGES DPBCOR217124WPM DCBWPM567556</t>
  </si>
  <si>
    <t>DPBCOR217124WPM</t>
  </si>
  <si>
    <t xml:space="preserve">Dr TI ILC Comm/Other Charges                                          
AMD002-294951856                                                      
At Bank Aljazira                                                      
 CORPORATE BANKING DEPT-JEDDAH                                        
Exchange Rate 1.0                                                     
Date 28-10-1447(H) Time 15.47.53                                      
Reference ILC-0840-25-8159                                            
Value Date 28-10-1447(H)                                              
Fee Collected By Bank AlJazira                                        
</t>
  </si>
  <si>
    <t xml:space="preserve">Dr TI ILC Comm/Other Charges                                          
AMD002-294951854                                                      
At Bank Aljazira                                                      
 CORPORATE BANKING DEPT-JEDDAH                                        
Exchange Rate 1.0                                                     
Date 28-10-1447(H) Time 15.47.52                                      
Reference ILC-0840-25-8159                                            
Value Date 28-10-1447(H)                                              
Fee Collected By Bank AlJazira                                        
</t>
  </si>
  <si>
    <t xml:space="preserve">Value Added Tax                                                       
On ILC Commission                                                     
15% of SAR39,801.60                                                   
Through CORPORATE BANKING DEPT-JEDDAH                                 
Date 28-10-1447(H) Time 15.47.52                                      
Reference ILC-0840-25-8159                                            
At Bank Aljazira                                                      
Exchange Rate 1.0                                                     
</t>
  </si>
  <si>
    <t xml:space="preserve">Value Added Tax                                                       
On SWIFT charges                                                      
15% of SAR200.00                                                      
Through CORPORATE BANKING DEPT-JEDDAH                                 
Date 28-10-1447(H) Time 15.47.53                                      
Reference ILC-0840-25-8159                                            
At Bank Aljazira                                                      
Exchange Rate 1.0                                                     
</t>
  </si>
  <si>
    <t>08/07/2026</t>
  </si>
  <si>
    <t>QTR Comm</t>
  </si>
  <si>
    <t>REF JLG7000251,REF JLG7000251,VIA CORE SYSTEM,DATE-TIME 19/04-12:40:30, عن طريق النظام الآ لي ,VALUE DT 19/04/26</t>
  </si>
  <si>
    <t>CITY:Jeddah 6132226J210617008</t>
  </si>
  <si>
    <t>J210617008</t>
  </si>
  <si>
    <t>DPBCOR214728WPM DCBWPM563043</t>
  </si>
  <si>
    <t>IMP BILL AMEND. CHARGES DPBCOR217156WPM DCBWPM563039</t>
  </si>
  <si>
    <t>DPBCOR217156WPM</t>
  </si>
  <si>
    <t>IMP BILL COMM DPBCOR217400WPM DCBWPM162992</t>
  </si>
  <si>
    <t>DPBCOR217400WPM</t>
  </si>
  <si>
    <t>LG-Cancellation</t>
  </si>
  <si>
    <t>Approvals Pending with Faiz | Increase in LC | Addition of PO's</t>
  </si>
  <si>
    <t>Henan Chongpeng Machinery Co Ltd</t>
  </si>
  <si>
    <t>REF 000000JLC7000384,RB REF JLC7000384,VIA CORE SYSTEM,DATE-TIME 20/04-10:28:39, عن طريق النظام الآ لي ,VALUE DT 20/04/26</t>
  </si>
  <si>
    <t>LC/LG Number</t>
  </si>
  <si>
    <t>Bid - Al Diriyah Company</t>
  </si>
  <si>
    <t>Financial - AL TANFEETHI OFFICES COMPANY</t>
  </si>
  <si>
    <t>Bid - Automotive Sector Development Investment Company (ASDIC)</t>
  </si>
  <si>
    <t>Bid - BOUTIQUE GROUP</t>
  </si>
  <si>
    <t>Financial - CATRION CATERING HOLDING COMPANY</t>
  </si>
  <si>
    <t>Bid - CEER National Automative Company</t>
  </si>
  <si>
    <t>Bid - CEER NATIONAL AUTOMOTIVE COMPANY</t>
  </si>
  <si>
    <t>Advance - CEER NATIONAL AUTOMOTIVE COMPANY</t>
  </si>
  <si>
    <t>Bid - Cluster 2</t>
  </si>
  <si>
    <t>Performance - CROWN PRINCE PRIVATE AFFAIRS</t>
  </si>
  <si>
    <t>Performance - DEVELOPMENT OF MEDINAH AUTHORITY</t>
  </si>
  <si>
    <t>Material - Diriyah Company</t>
  </si>
  <si>
    <t>Bid - Diriyah Company</t>
  </si>
  <si>
    <t>Material - JEDDAH CENTRAL DEVELOPMENT COMPANY</t>
  </si>
  <si>
    <t>Financial - Jeddah Central Development Company</t>
  </si>
  <si>
    <t xml:space="preserve">Advance - JEDDAH CENTRAL DEVELOPMENT COMPANY (JCD) </t>
  </si>
  <si>
    <t>Material - JEDDAH CENTRAL DEVELOPMENT COMPANY (JCD)</t>
  </si>
  <si>
    <t>Bid - King Abdulaziz and His Companions Foundation for Giftedness and Creativity</t>
  </si>
  <si>
    <t>Bid - King Khalid International Airport Development Company</t>
  </si>
  <si>
    <t>Bid - King Salman International Airport</t>
  </si>
  <si>
    <t>Bid - King Salman International Airport Development Company</t>
  </si>
  <si>
    <t>Bid - King Salman International Airport Development Company (KSIADC)</t>
  </si>
  <si>
    <t>Bid - King Salman Park Foundation</t>
  </si>
  <si>
    <t>Bid - Madinah Region Development Authority</t>
  </si>
  <si>
    <t>Bid - Makarat Office</t>
  </si>
  <si>
    <t>Bid - Ministry of Defense</t>
  </si>
  <si>
    <t>Bid - Ministry of Municipalities and Housing - Riyadh Region Municipality</t>
  </si>
  <si>
    <t>Performance - Neom Company</t>
  </si>
  <si>
    <t>Advance - Neom Company</t>
  </si>
  <si>
    <t>Performance - NEOM Company</t>
  </si>
  <si>
    <t>Bid - Private Affairs Of The Custodian Of The Two Holy Mosques</t>
  </si>
  <si>
    <t>Bid - Riyadh Airports Company</t>
  </si>
  <si>
    <t>Bid - Riyadh Airports Company (RAC)</t>
  </si>
  <si>
    <t>Bid - ROYAL COMMISSION OF RIYADH CITY</t>
  </si>
  <si>
    <t>Bid - Saline Water Conversion Corporation</t>
  </si>
  <si>
    <t>Bid - SAR (Saudi Arabia Railways)</t>
  </si>
  <si>
    <t>Advance - SAUDI ENTERTAINMENT VENTURES COMPANY (SEVEN)</t>
  </si>
  <si>
    <t>Retention - SAUDI ENTERTAINMENT VENTURES COMPANY (SEVEN)</t>
  </si>
  <si>
    <t>Financial - Saudi Ground Services Company</t>
  </si>
  <si>
    <t>Bid - Saudi Real Estate</t>
  </si>
  <si>
    <t>Bid - Saudi Royal Avaition</t>
  </si>
  <si>
    <t>Bid - The Desert Resort Development Company</t>
  </si>
  <si>
    <t>Performance - CEER NATIONAL AUTOMOTIVE COMPANY</t>
  </si>
  <si>
    <t>Performance - Ministry of Culture</t>
  </si>
  <si>
    <t>Performance - GENERAL AUTHORITY OF PORTS - JEDDAH ISLAMIC PORT</t>
  </si>
  <si>
    <t>Performance - ELSEWEDY ELECTRIC FOR POWER SYSTEMS</t>
  </si>
  <si>
    <t>Performance - MADINAH REGIONAL DEVELOPMENT CO.</t>
  </si>
  <si>
    <t>Performance - NEOM COMPANY</t>
  </si>
  <si>
    <t>Performance - FIFTY INVESTMENT COMPANY</t>
  </si>
  <si>
    <t>Advance - PRIVATE AFFAIRS OF THE CUSTODIAN OF THE TWO HOLY MOSQUES</t>
  </si>
  <si>
    <t>Advance - FIFTY INVESTMENT COMPANY</t>
  </si>
  <si>
    <t>Performance - King Salman International Airport Development Company (KSIADC)</t>
  </si>
  <si>
    <t>Advance - Diriyah Company</t>
  </si>
  <si>
    <t>JLG6801036</t>
  </si>
  <si>
    <t>JLG6802225</t>
  </si>
  <si>
    <t>JLG6802294</t>
  </si>
  <si>
    <t>JLG6802295</t>
  </si>
  <si>
    <t>JLG6802819</t>
  </si>
  <si>
    <t>JLG6804419</t>
  </si>
  <si>
    <t>JLG6901023</t>
  </si>
  <si>
    <t>JLG6803912</t>
  </si>
  <si>
    <t>JLG6802537</t>
  </si>
  <si>
    <t>JLG6900684</t>
  </si>
  <si>
    <t>JLG6605093</t>
  </si>
  <si>
    <t>ROYAL COMMISSION (RCRC)</t>
  </si>
  <si>
    <t>ROYAL COMMISSION FOR RIYADH CITY (RCRC)</t>
  </si>
  <si>
    <t>MAKARAT OFFICE</t>
  </si>
  <si>
    <t>THAKHER DEVELOPMENT COMPANY</t>
  </si>
  <si>
    <t>BARAKA FOR REAL ESTATE AND INVESTMENT</t>
  </si>
  <si>
    <t>KING SALMAN INTERNATIONAL AIRPORT (Frst Fix)</t>
  </si>
  <si>
    <t>JEDDAH MUNICIPALITY – RABIGH GOVERNORATE MUNICIPALITY</t>
  </si>
  <si>
    <t>SAL ZONES COMPANY</t>
  </si>
  <si>
    <t>SHARJAH INTERNATIONAL AIRPORT AUTHORITY (SIAA)</t>
  </si>
  <si>
    <t>BRANCH OF ELSEWEDY ELECTRIC FOR POWER SYSTEMS PROJECTS</t>
  </si>
  <si>
    <t>JEDDAH ISLAMIC PORT</t>
  </si>
  <si>
    <t>PRIVATE AFFAIRS OF THE CUSTODIAN OF THE TWO HOLY MOSQUES(IFAS)</t>
  </si>
  <si>
    <t>THE JOINT VENTURE OF THE BRANCH OF EL SEWEDY ELECTRIC FOR POWER SYSTEMS (PSP) AND THE BRANCH OF SINOHYDRO CORPORATION LIMITED (SHC)</t>
  </si>
  <si>
    <r>
      <t xml:space="preserve">ROYAL PRIVATE AFFAIRS </t>
    </r>
    <r>
      <rPr>
        <b/>
        <sz val="9"/>
        <color theme="1"/>
        <rFont val="Times New Roman"/>
        <family val="1"/>
      </rPr>
      <t>(IFAS)</t>
    </r>
  </si>
  <si>
    <t>RIYADH AIRPORTS COMPANY</t>
  </si>
  <si>
    <t>CROWN PRINCE PRIVATE AFFAIRS (CPPA)</t>
  </si>
  <si>
    <t>MINISTRY OF CULTURE</t>
  </si>
  <si>
    <t>BRANCH OF DOOSAN ENERBILITY CO.LTD</t>
  </si>
  <si>
    <t>ROYAL PRIVATE AFFAIRS</t>
  </si>
  <si>
    <t>SAUDI GROUND SERVICES COMPANY (THIRD PARTY RED C)</t>
  </si>
  <si>
    <t>RIYADH AIRPORT COMPANY (THIRD PARTY RED C)</t>
  </si>
  <si>
    <t>ROYAL SAUDI AIRLINES (THIRD PARTY IFAS)</t>
  </si>
  <si>
    <t>SEVEN</t>
  </si>
  <si>
    <t>DEVELOPMENT OF PRINCE TURKI BIN ABDULAZIZ AL-AWAL ROAD, MIDDLE SECTION - SECTION A - PROJECT NO 30000065</t>
  </si>
  <si>
    <t>DIESEL TANK REHABILITATION AND FILLING PROJECT IN A BUILDING IN RIYADH</t>
  </si>
  <si>
    <t>ROCK CUTTING WORKS OF THE MATHABA PROJECT</t>
  </si>
  <si>
    <t>WASTEWATER TREATMENT PLANT</t>
  </si>
  <si>
    <t>INVESTMENT – ESTABLISHMENT, OPERATION AND MAINTENANCE OF AN INDUSTRIAL COMPLEX ON PLOT NO. (4) AT SUABIR CENTER IN RABIGH GOVERNORATE TENDER OPPORTUNITY REFERENCE - 01-26-005201-1</t>
  </si>
  <si>
    <t>New Fuel Farm - Early Works Package - KSIA-TEN-00000146</t>
  </si>
  <si>
    <t>INFRASTRUCTURE, ROADS, UTILITIES WORKS FOR PHASE 1 OF THE MALHAM LOGISTICS ZONE - DOC242786599</t>
  </si>
  <si>
    <t>SUPPLY, INSTALLATION, COMMISSIONING AND TESTING OF AIR CONDITIONING UNITS AT QASR AL SHATI IN JEDDAH - MBL-TTD-COM-2511-R00</t>
  </si>
  <si>
    <t>CONSTRUCTION OF NEW ADDITIONAL REMOTE HARDSTANDS AND ASSOCIATED WORKS TENDER REF. NO. SIAEP-P23-1-COM-TEN-001</t>
  </si>
  <si>
    <t>JDC SITE PREPARATION AN MARINE INFRASTRUCTURE</t>
  </si>
  <si>
    <t>JDC SITE PREPARATION AN MARINE INFRASTRUCTURE - VO</t>
  </si>
  <si>
    <t>REINFORCEMENT OF RABIGH POWER PLANT - 1.2GW SCC6-5000F 3+1 PROJECT</t>
  </si>
  <si>
    <t>DESIGN AND CONSTRUCTION OF AIRCRAFT PARKING HANGAR FOR THE PRIVATE AVIATION TERMINAL AT KING ABDULAZIZ INTERNATIONAL AIRPORT. CONTRACT NO. 1300000828</t>
  </si>
  <si>
    <t>Refurbishment of Arabasco Building in General Aviation terminal. Contract No 1300000826</t>
  </si>
  <si>
    <t>REHABILITATION, EQUIPMENT AND REPLACEMENT WORKS FOR UNINTERRUPTIBLE POWER SUPPLY (UPS) UNITS</t>
  </si>
  <si>
    <t>RABIGH 2 IPP EXPANSION PROJECT - P004/SC/032</t>
  </si>
  <si>
    <t>JDC SITE PREPARATION AN MARINE INFRASTRUCTURE + VO</t>
  </si>
  <si>
    <t>AL SALAM BEACH PLACE</t>
  </si>
  <si>
    <t>ARAQA STAFF ACCOMMODATION &amp; WAREHOUSES - 1020064</t>
  </si>
  <si>
    <t>AC2 BUILDING RENOVATION - CONTRACT NO:4600000188</t>
  </si>
  <si>
    <t>QUBA MOSQUE SURROUNDING AREA</t>
  </si>
  <si>
    <t>AL-GHAMAMA CULTURAL CENTER-240639004898</t>
  </si>
  <si>
    <t>4800001199, DESIGN, SUPPLY AND INSTALLATION OF A FLOATING BREAKWATER AND ADDITIONAL WORKS AT NEOM BAY JETTY</t>
  </si>
  <si>
    <t>ROYAL ARTS COMPLEX DESIGN UPDATE WORKS</t>
  </si>
  <si>
    <t>REFURBISHMENT OF ARABASCO BUILDING IN GENERAL AVIATION TERMINAL C.CONTRACT NO.1300000826</t>
  </si>
  <si>
    <t xml:space="preserve">OFFSHORE CIVIL WORK OF YANBU 4IWP -  DOOSAN-YANBU4-C-007 </t>
  </si>
  <si>
    <t>AL SALAM PALACE ISLAND 1-JEDDAH</t>
  </si>
  <si>
    <t>THIRD PARTY GROUND HANDLER, EQUIPMENT AND RAMP SERVICES</t>
  </si>
  <si>
    <t>TO ENSURE RENOVATION AFTER LEASING PERIOD SPACE RENT AGREEMENT.</t>
  </si>
  <si>
    <t>EXECUTIVE LOUNGE</t>
  </si>
  <si>
    <t>SPACE RENT AGREEMENT</t>
  </si>
  <si>
    <t>CATERING SUPPLY</t>
  </si>
  <si>
    <t>PROVIDING FACILITIES MANAGEMENT SERVICES</t>
  </si>
  <si>
    <t>Contract No. 440013(Bank Albilad to Riyad)</t>
  </si>
  <si>
    <t>LO1</t>
  </si>
  <si>
    <t>NewProject</t>
  </si>
  <si>
    <t>RED C</t>
  </si>
  <si>
    <t>MD2216700013</t>
  </si>
  <si>
    <t>MD2216700017</t>
  </si>
  <si>
    <t>KING SALMAN PARK/GEN</t>
  </si>
  <si>
    <t>KING SALMAN PARK</t>
  </si>
  <si>
    <t>PEBGCU436415</t>
  </si>
  <si>
    <t>APGGCU557332</t>
  </si>
  <si>
    <t xml:space="preserve">SAUDI ENTERTAINMENT VENTURES COMPANY </t>
  </si>
  <si>
    <t>RIYADH AIRPORTS COMPANY (RAC) ICAD</t>
  </si>
  <si>
    <t>SIXTY INVESTMENT CO</t>
  </si>
  <si>
    <t>RIYADH AIRPORTS COMPANY (RAC)-First Fix</t>
  </si>
  <si>
    <t>DIRIYAH COMPANY</t>
  </si>
  <si>
    <t>NEOM Bay Airport Interim Terminal Phase 2 (10% PG)</t>
  </si>
  <si>
    <t>NEOM Bay Airport Temporary Jetty  (10% PG) - 4800000828</t>
  </si>
  <si>
    <t>PROJECT- 3049: T5 Conversion Domestic to International - Adavance Payment 20% of the value of Contract</t>
  </si>
  <si>
    <t>Al Salam Islands Projects - SBN 978-2-88432-082-5</t>
  </si>
  <si>
    <t>Airfield Upgrade Program (4600000352)</t>
  </si>
  <si>
    <t>Contractor C Early Works Parcels 7.1, 7.2 and Haul Road Package 5</t>
  </si>
  <si>
    <t>Construction of Electric Vehicle Manufacturing Plant -CEER-CNI0013-2024</t>
  </si>
  <si>
    <t>AM Steel</t>
  </si>
  <si>
    <t>B306578</t>
  </si>
  <si>
    <t>B309295</t>
  </si>
  <si>
    <t>JCD OPERA HOUSE</t>
  </si>
  <si>
    <t>SAUDI MANPOWER SOLUTION COMPANY (Third Party AM Steel)</t>
  </si>
  <si>
    <t>ROYAL PROTOCOL CAMP</t>
  </si>
  <si>
    <t>MANPOWER OUTSOURCING SERVICES SMCB003476</t>
  </si>
  <si>
    <t>LGI-0840-24-3252</t>
  </si>
  <si>
    <t>LGI-0840-24-2103</t>
  </si>
  <si>
    <t>ERTH Al-AWTAN REAL ESTATE DEVELOPMENT COMPANY</t>
  </si>
  <si>
    <t>EMAAR THE ECONOMIC CITY</t>
  </si>
  <si>
    <t>CLUSTER 2 AIRPORT COMPANY</t>
  </si>
  <si>
    <t>SAUDI ARABIA LOGISTIC COMPANY - SAL</t>
  </si>
  <si>
    <t>SAUDI ARABIA RAILWAY SAR</t>
  </si>
  <si>
    <t>AL YASMEEN DEVELOPMENT PROJECT THREE ERTH RIYADH PACKAGE MAIN WORKS PHASE 01.</t>
  </si>
  <si>
    <t>IV PHASE 2.2 AND 2.3 - CONSTRUCTION OF INFRASTRUCTURE NETWORKS 24552.</t>
  </si>
  <si>
    <t>EXHIBITION CENTER CONSTRUCTION WORKS D2-CN25-140.</t>
  </si>
  <si>
    <t>CONSTRUCTION OF HAIL AIRPORT HAS CAPACITY ENHANCEMENT PROJECT CL2-HAS-EXE035.</t>
  </si>
  <si>
    <t>DESIGN &amp; BUILD CONTRACTOR FOR MEDIA DISTRICT - MBC PLOTS -D2 CN25-119.</t>
  </si>
  <si>
    <t>EXECUTION BUILDING AND CONSTRUCTION WORKS FOR THE JEDDAH
DISTRIBUTION CENTER 1.</t>
  </si>
  <si>
    <t>Construction of City Park (1)</t>
  </si>
  <si>
    <t>B003102</t>
  </si>
  <si>
    <t>B003740</t>
  </si>
  <si>
    <t>Al Arbaeen Lagoon Rehabilitation Marine Works</t>
  </si>
  <si>
    <t>JHD Buildings Renovation - G2 - LAFO - 0421 MBL &amp; Rowad Modern Engineering Pioneers Company (JV – 50%)</t>
  </si>
  <si>
    <t>AUTOMOTIVE SECTOR DEVELOPMENT INVESTMENT COMPANY (CEER 2)</t>
  </si>
  <si>
    <t>GENERAL CONTRACTING FOR AUTOMOTIVE SUPPLIER PARK</t>
  </si>
  <si>
    <t>JEDDAH AIRPORTS COMPANY - JEDCO</t>
  </si>
  <si>
    <t>Bid - ROYAL COMMISSION (RCRC)</t>
  </si>
  <si>
    <t>Bid - ROYAL COMMISSION FOR RIYADH CITY (RCRC)</t>
  </si>
  <si>
    <t>Bid - MAKARAT OFFICE</t>
  </si>
  <si>
    <t>Bid - THAKHER DEVELOPMENT COMPANY</t>
  </si>
  <si>
    <t>Bid - BARAKA FOR REAL ESTATE AND INVESTMENT</t>
  </si>
  <si>
    <t>Bid - KING SALMAN INTERNATIONAL AIRPORT (Frst Fix)</t>
  </si>
  <si>
    <t>Bid - JEDDAH MUNICIPALITY – RABIGH GOVERNORATE MUNICIPALITY</t>
  </si>
  <si>
    <t>Bid - SAL ZONES COMPANY</t>
  </si>
  <si>
    <t>Bid - PRIVATE AFFAIRS OF THE CUSTODIAN OF THE TWO HOLY MOSQUES</t>
  </si>
  <si>
    <t>Bid - SHARJAH INTERNATIONAL AIRPORT AUTHORITY (SIAA)</t>
  </si>
  <si>
    <t>Advance - BRANCH OF ELSEWEDY ELECTRIC FOR POWER SYSTEMS PROJECTS</t>
  </si>
  <si>
    <t>Advance - JEDDAH ISLAMIC PORT</t>
  </si>
  <si>
    <t>Advance - JEDDAH AIRPORTS COMPANY - JEDCO</t>
  </si>
  <si>
    <t>Advance - PRIVATE AFFAIRS OF THE CUSTODIAN OF THE TWO HOLY MOSQUES(IFAS)</t>
  </si>
  <si>
    <t>Advance - THE JOINT VENTURE OF THE BRANCH OF EL SEWEDY ELECTRIC FOR POWER SYSTEMS (PSP) AND THE BRANCH OF SINOHYDRO CORPORATION LIMITED (SHC)</t>
  </si>
  <si>
    <t>Performance - JEDDAH CENTRAL DEVELOPMENT COMPANY</t>
  </si>
  <si>
    <t>Performance - ROYAL PRIVATE AFFAIRS (IFAS)</t>
  </si>
  <si>
    <t>Performance - PRIVATE AFFAIRS OF THE CUSTODIAN OF THE TWO HOLY MOSQUES</t>
  </si>
  <si>
    <t>Performance - RIYADH AIRPORTS COMPANY</t>
  </si>
  <si>
    <t>Performance - BRANCH OF ELSEWEDY ELECTRIC FOR POWER SYSTEMS PROJECTS</t>
  </si>
  <si>
    <t>Performance - CROWN PRINCE PRIVATE AFFAIRS (CPPA)</t>
  </si>
  <si>
    <t>Performance - MINISTRY OF CULTURE</t>
  </si>
  <si>
    <t>Performance - JEDDAH AIRPORTS COMPANY - JEDCO</t>
  </si>
  <si>
    <t>Performance - THE JOINT VENTURE OF THE BRANCH OF EL SEWEDY ELECTRIC FOR POWER SYSTEMS (PSP) AND THE BRANCH OF SINOHYDRO CORPORATION LIMITED (SHC)</t>
  </si>
  <si>
    <t>Retention - BRANCH OF DOOSAN ENERBILITY CO.LTD</t>
  </si>
  <si>
    <t>Material - ROYAL PRIVATE AFFAIRS</t>
  </si>
  <si>
    <t>Material - SAUDI GROUND SERVICES COMPANY (THIRD PARTY RED C)</t>
  </si>
  <si>
    <t>Advance - ROYAL SAUDI AIRLINES (THIRD PARTY IFAS)</t>
  </si>
  <si>
    <t>Advance - JEDDAH CENTRAL DEVELOPMENT COMPANY</t>
  </si>
  <si>
    <t>Retention - JEDDAH CENTRAL DEVELOPMENT COMPANY</t>
  </si>
  <si>
    <t>Performance - SEVEN</t>
  </si>
  <si>
    <t>Taxation - NEOM COMPANY</t>
  </si>
  <si>
    <t>Advance - KING SALMAN PARK/GEN</t>
  </si>
  <si>
    <t>Performance - KING SALMAN PARK/GEN</t>
  </si>
  <si>
    <t xml:space="preserve">Advance - SAUDI ENTERTAINMENT VENTURES COMPANY </t>
  </si>
  <si>
    <t xml:space="preserve">Performance - SAUDI ENTERTAINMENT VENTURES COMPANY </t>
  </si>
  <si>
    <t xml:space="preserve">Retention - SAUDI ENTERTAINMENT VENTURES COMPANY </t>
  </si>
  <si>
    <t>Advance - RIYADH AIRPORTS COMPANY (RAC) ICAD</t>
  </si>
  <si>
    <t>Performance - RIYADH AIRPORTS COMPANY (RAC) ICAD</t>
  </si>
  <si>
    <t>Performance - SIXTY INVESTMENT CO</t>
  </si>
  <si>
    <t>Performance - RIYADH AIRPORTS COMPANY (RAC)-First Fix</t>
  </si>
  <si>
    <t>Advance - RIYADH AIRPORTS COMPANY (RAC)-First Fix</t>
  </si>
  <si>
    <t>Performance - DIRIYAH COMPANY</t>
  </si>
  <si>
    <t>Retention - CEER NATIONAL AUTOMOTIVE COMPANY</t>
  </si>
  <si>
    <t>Advance - ROYAL PROTOCOL CAMP</t>
  </si>
  <si>
    <t>Performance - ROYAL PROTOCOL CAMP</t>
  </si>
  <si>
    <t>Advance - JCD OPERA HOUSE</t>
  </si>
  <si>
    <t>Performance - JCD OPERA HOUSE</t>
  </si>
  <si>
    <t>Retention - JCD OPERA HOUSE</t>
  </si>
  <si>
    <t>Bid - ERTH Al-AWTAN REAL ESTATE DEVELOPMENT COMPANY</t>
  </si>
  <si>
    <t>Bid - EMAAR THE ECONOMIC CITY</t>
  </si>
  <si>
    <t>Bid - DIRIYAH COMPANY</t>
  </si>
  <si>
    <t>Bid - CLUSTER 2 AIRPORT COMPANY</t>
  </si>
  <si>
    <t>Bid - SAUDI ARABIA LOGISTIC COMPANY - SAL</t>
  </si>
  <si>
    <t>Bid - SAUDI ARABIA RAILWAY SAR</t>
  </si>
  <si>
    <t>Advance - ROYAL COMMISSION FOR RIYADH CITY (RCRC)</t>
  </si>
  <si>
    <t>Performance - ROYAL COMMISSION FOR RIYADH CITY (RCRC)</t>
  </si>
  <si>
    <t>Advance - MINISTRY OF CULTURE</t>
  </si>
  <si>
    <t>Performance - AUTOMOTIVE SECTOR DEVELOPMENT INVESTMENT COMPANY (CEER 2)</t>
  </si>
  <si>
    <t>Advance - AUTOMOTIVE SECTOR DEVELOPMENT INVESTMENT COMPANY (CEER 2)</t>
  </si>
  <si>
    <t>Retention - AUTOMOTIVE SECTOR DEVELOPMENT INVESTMENT COMPANY (CEER 2)</t>
  </si>
  <si>
    <t>NSR TRACK DOUBLING PHOSPHATE 3 SECTION 2 &amp; LOOPS REF NO 749831.</t>
  </si>
  <si>
    <t>KING SALMAN INTERNATIONAL AIRPORT DEVELOPMENT COMPANY</t>
  </si>
  <si>
    <t>Cancel Adv</t>
  </si>
  <si>
    <t>Bid - KING SALMAN INTERNATIONAL AIRPORT DEVELOPMENT COMPANY</t>
  </si>
  <si>
    <t>Financial - RIYADH AIRPORT COMPANY (THIRD PARTY RED C)</t>
  </si>
  <si>
    <t>Material - General Authority of Ports - Jeddah Islamic Port</t>
  </si>
  <si>
    <t>Financial - SAUDI MANPOWER SOLUTION COMPANY (Third Party AM Steel)</t>
  </si>
  <si>
    <t>REF 000000JLC7000384,RB REF JLC7000384,VIA CORE SYSTEM,DATE-TIME 21/04-11:23:57, عن طريق النظام الآ لي ,VALUE DT 21/04/26</t>
  </si>
  <si>
    <t>DPBCOR211036WPM DCBWPM570380</t>
  </si>
  <si>
    <t>JLG7002299</t>
  </si>
  <si>
    <t>Upcoming LC Dues</t>
  </si>
  <si>
    <t>Al Dhow Gulf Company for Trading and Contracting Ltd</t>
  </si>
  <si>
    <t>1020113</t>
  </si>
  <si>
    <t>1020053</t>
  </si>
  <si>
    <t>1020138</t>
  </si>
  <si>
    <t>1020065</t>
  </si>
  <si>
    <t>1020066</t>
  </si>
  <si>
    <t>1020064</t>
  </si>
  <si>
    <t>1020102</t>
  </si>
  <si>
    <t>1020104</t>
  </si>
  <si>
    <t>1020103</t>
  </si>
  <si>
    <t>1020094</t>
  </si>
  <si>
    <t>1020074</t>
  </si>
  <si>
    <t>1020116</t>
  </si>
  <si>
    <t>1020056</t>
  </si>
  <si>
    <t>1020044</t>
  </si>
  <si>
    <t>1020095</t>
  </si>
  <si>
    <t>1020093</t>
  </si>
  <si>
    <t>1020082</t>
  </si>
  <si>
    <t>1020117</t>
  </si>
  <si>
    <t>1020002</t>
  </si>
  <si>
    <t>1020141</t>
  </si>
  <si>
    <t>1020140</t>
  </si>
  <si>
    <t>1020148</t>
  </si>
  <si>
    <t>1020133</t>
  </si>
  <si>
    <t>1020143</t>
  </si>
  <si>
    <t>1020139</t>
  </si>
  <si>
    <t>TF251470003702</t>
  </si>
  <si>
    <t>RB REF JLG7002299,VIA CORE SYSTEM,DATE-TIME 22/04-11:30:44, عن طريق النظام الآ لي ,VALUE DT 22/04/26</t>
  </si>
  <si>
    <t>DPBCOR211578WPM DCBWPM566634</t>
  </si>
  <si>
    <t>IMP BILL AMEND. CHARGES DPBCOR217647WPM DCBWPM161328</t>
  </si>
  <si>
    <t>DPBCOR217647WPM</t>
  </si>
  <si>
    <t>NINETY Real Estate Development Company</t>
  </si>
  <si>
    <t>Full Value</t>
  </si>
  <si>
    <t>A11 – Main Contractor Works – Phase Two - NI-PRC-A11-RFP-MCW-002</t>
  </si>
  <si>
    <t>03/08/2026</t>
  </si>
  <si>
    <t>Bid - NINETY Real Estate Development Company</t>
  </si>
  <si>
    <t>APLUS TRADE MIKE</t>
  </si>
  <si>
    <t>14/07/2026</t>
  </si>
  <si>
    <t>ARABIAN PLASTIC MANUF CO</t>
  </si>
  <si>
    <t>Alfa Laval Al Arabia for Maintenance</t>
  </si>
  <si>
    <t>Facility Issue | Complete Pending</t>
  </si>
  <si>
    <t>to bank on 26-04</t>
  </si>
  <si>
    <t>REF 000000JLC6901431,RB REF JLC6901431,VIA CORE SYSTEM,DATE-TIME 23/04-15:42:50, عن طريق النظام الآ لي ,VALUE DT 23/04/26</t>
  </si>
  <si>
    <t>19100000155300 DEP ID:4030219311 CHNL:SNB Payment Systems LC - J211485</t>
  </si>
  <si>
    <t>CITY:Jeddah 6132226J211485006</t>
  </si>
  <si>
    <t>J211485006</t>
  </si>
  <si>
    <t>19100000033209 BEN ID:4030219311 LC - J211485</t>
  </si>
  <si>
    <t>DPBCOR211591WPM DCBWPM563372</t>
  </si>
  <si>
    <t>IMP BILL AMEND. CHARGES DPBCOR217770WPM DCBWPM163417</t>
  </si>
  <si>
    <t>DPBCOR217770WPM</t>
  </si>
  <si>
    <t>Dr TI ILC Comm/Other Charges                                          
CLM005-293222466                                                      
At Bank Aljazira                                                      
 CORPORATE BANKING DEPT-JEDDAH                                        
Exchange Rate 1.0                                                     
Date 06-11-1447(H) Time 19.24.20                                      
Reference ILC-0840-25-8159                                            
Value Date 09-11-1447(H)                                              
Fee Collected By Bank AlJazira                                        
Value date 26-APR-26</t>
  </si>
  <si>
    <t>Value Added Tax                                                       
On ILC Acceptance Comm.                                               
15% of SAR50.00                                                       
Through CORPORATE BANKING DEPT-JEDDAH                                 
Date 06-11-1447(H) Time 19.24.20                                      
Reference ILC-0840-25-8159                                            
At Bank Aljazira                                                      
Exchange Rate 1.0                                                     
Value date 26-APR-26</t>
  </si>
  <si>
    <t>JLG7001085</t>
  </si>
  <si>
    <t>12/07/2026</t>
  </si>
  <si>
    <t>19/07/2026</t>
  </si>
  <si>
    <t>07/07/2026</t>
  </si>
  <si>
    <t>to bank on 27-04 | Exp/ LDS 30-06</t>
  </si>
  <si>
    <t>J212228</t>
  </si>
  <si>
    <t>REF 000000JLC6902213,RB REF JLC6902213,VIA CORE SYSTEM,DATE-TIME 26/04-17:04:20, عن طريق النظام الآ لي ,VALUE DT 26/04/26</t>
  </si>
  <si>
    <t>RB REF JLG7001085,VIA CORE SYSTEM,DATE-TIME 26/04-13:59:31, عن طريق النظام الآ لي ,VALUE DT 26/04/26</t>
  </si>
  <si>
    <t>REF 000000JLC6801573,RB REF JLC6801573,VIA CORE SYSTEM,DATE-TIME 26/04-14:18:10, عن طريق النظام الآ لي ,VALUE DT 26/04/26</t>
  </si>
  <si>
    <t>REF 000000JLC7000192,RB REF JLC7000192,VIA CORE SYSTEM,DATE-TIME 27/04-16:13:54, عن طريق النظام الآ لي ,VALUE DT 27/04/26</t>
  </si>
  <si>
    <t>REF 000000JLC7000002,RB REF JLC7000002,VIA CORE SYSTEM,DATE-TIME 27/04-16:17:28, عن طريق النظام الآ لي ,VALUE DT 27/04/26</t>
  </si>
  <si>
    <t>REF 000000JLC7000007,RB REF JLC7000007,VIA CORE SYSTEM,DATE-TIME 27/04-16:16:39, عن طريق النظام الآ لي ,VALUE DT 27/04/26</t>
  </si>
  <si>
    <t>REF 000000JLC7000005,RB REF JLC7000005,VIA CORE SYSTEM,DATE-TIME 27/04-16:13:07, عن طريق النظام الآ لي ,VALUE DT 27/04/26</t>
  </si>
  <si>
    <t>REF 000000JLC7000003,RB REF JLC7000003,VIA CORE SYSTEM,DATE-TIME 27/04-16:18:26, عن طريق النظام الآ لي ,VALUE DT 27/04/26</t>
  </si>
  <si>
    <t>REF 000000JLC7000008,RB REF JLC7000008,VIA CORE SYSTEM,DATE-TIME 27/04-12:10:45, عن طريق النظام الآ لي ,VALUE DT 27/04/26</t>
  </si>
  <si>
    <t>RB REF JLG7001038,VIA CORE SYSTEM,DATE-TIME 27/04-17:03:37, عن طريق النظام الآ لي ,VALUE DT 27/04/26</t>
  </si>
  <si>
    <t>19100000155300 DEP ID:4030219311 CHNL:SNB Payment Systems J212030</t>
  </si>
  <si>
    <t>CITY:Jeddah 6132226J212030001</t>
  </si>
  <si>
    <t>J212030001</t>
  </si>
  <si>
    <t>19100000033209 BEN ID:4030219311 J212030</t>
  </si>
  <si>
    <t>IMP BILL COMM DPBCOR217930WPM DCBWPM163967</t>
  </si>
  <si>
    <t>DPBCOR217930WPM</t>
  </si>
  <si>
    <t>DPBCOR210930WPM DCBWPM566848</t>
  </si>
  <si>
    <t>IMP BILL AMEND. CHARGES DPBCOR217703WPM DCBWPM160342</t>
  </si>
  <si>
    <t>DPBCOR217703WPM</t>
  </si>
  <si>
    <t>IMP BILL AMEND. CHARGES DPBCOR217882WPM DCBWPM566634</t>
  </si>
  <si>
    <t>DPBCOR217882WPM</t>
  </si>
  <si>
    <t>IMP BILL COMM DPBCOR218035WPM DCBWPM163957</t>
  </si>
  <si>
    <t>DPBCOR218035WPM</t>
  </si>
  <si>
    <t xml:space="preserve">Value Added Tax                                                       
On LGI Amend Commission                                               
15% of SAR4,791.66                                                    
Through CORPORATE BANKING DEPT-JEDDAH                                 
Date 09-11-1447(H) Time 15.06.44                                      
Reference LGI-0840-26-8188                                            
At Bank Aljazira                                                      
Exchange Rate 1.0                                                     
</t>
  </si>
  <si>
    <t xml:space="preserve">Dr TI LGI Comm/Other Charges                                          
AMD001-295771206                                                      
At Bank AlJazira                                                      
CORPORATE BANKING DEPT-JEDDAH                                         
Date 09-11-1447(H) Time 15.06.44                                      
Reference LGI-0840-26-8188                                            
</t>
  </si>
  <si>
    <t xml:space="preserve">Value Added Tax                                                       
On                                                                    
15% of SAR4,212.33                                                    
Through CORPORATE BANKING DEPT-JEDDAH                                 
Date 09-11-1447(H) Time 15.06.43                                      
Reference LGI-0840-26-8188                                            
At Bank Aljazira                                                      
Exchange Rate 1.0                                                     
</t>
  </si>
  <si>
    <t xml:space="preserve">Dr TI LGI Comm/Other Charges                                          
AMD001-295770765                                                      
At Bank AlJazira                                                      
CORPORATE BANKING DEPT-JEDDAH                                         
Date 09-11-1447(H) Time 15.06.43                                      
Reference LGI-0840-26-8188                                            
</t>
  </si>
  <si>
    <t xml:space="preserve">Value Added Tax                                                       
On SWIFT charges                                                      
15% of SAR200.00                                                      
Through CORPORATE BANKING DEPT-JEDDAH                                 
Date 09-11-1447(H) Time 10.54.19                                      
Reference ILC-0840-26-8758                                            
At Bank Aljazira                                                      
</t>
  </si>
  <si>
    <t xml:space="preserve">Dr TI ILC Comm/Other Charges                                          
POC003-295695671                                                      
At Bank Aljazira                                                      
 CORPORATE BANKING DEPT-JEDDAH                                        
Date 09-11-1447(H) Time 10.54.19                                      
Reference ILC-0840-26-8758                                            
Value Date 09-11-1447(H)                                              
Fee Collected By Bank AlJazira                                        
</t>
  </si>
  <si>
    <t xml:space="preserve">Value Added Tax                                                       
On ILC Acceptance Comm.                                               
15% of SAR100.00                                                      
Through CORPORATE BANKING DEPT-JEDDAH                                 
Date 09-11-1447(H) Time 10.54.18                                      
Reference ILC-0840-26-8758                                            
At Bank Aljazira                                                      
</t>
  </si>
  <si>
    <t xml:space="preserve">Dr TI ILC Comm/Other Charges                                          
POC003-295695667                                                      
At Bank Aljazira                                                      
 CORPORATE BANKING DEPT-JEDDAH                                        
Date 09-11-1447(H) Time 10.54.18                                      
Reference ILC-0840-26-8758                                            
Value Date 09-11-1447(H)                                              
Fee Collected By Bank AlJazira                                        
</t>
  </si>
  <si>
    <t xml:space="preserve">Dr TI ILC Comm/Other Charges                                          
POC003-295695627                                                      
At Bank Aljazira                                                      
 CORPORATE BANKING DEPT-JEDDAH                                        
Date 09-11-1447(H) Time 10.54.18                                      
Reference ILC-0840-26-8758                                            
Value Date 09-11-1447(H)                                              
Fee Collected By Bank AlJazira                                        
</t>
  </si>
  <si>
    <t xml:space="preserve">TI Bill Settled                                                       
POC002                                                                
At Bank AlJazira                                                      
CORPORATE BANKING DEPT-JEDDAH                                         
Date 09-11-1447(H) Time 10.53.06                                      
Reference ILC-0840-25-8164                                            
</t>
  </si>
  <si>
    <t xml:space="preserve">TI Bill Settled                                                       
POC011                                                                
At Bank AlJazira                                                      
CORPORATE BANKING DEPT-JEDDAH                                         
Date 09-11-1447(H) Time 10.52.56                                      
Reference ILC-0840-25-8159                                            
</t>
  </si>
  <si>
    <t xml:space="preserve">TI Bill Settled                                                       
POC002                                                                
At Bank AlJazira                                                      
CORPORATE BANKING DEPT-JEDDAH                                         
Date 09-11-1447(H) Time 10.52.06                                      
Reference ILC-0840-25-7984                                            
</t>
  </si>
  <si>
    <t xml:space="preserve">Value Added Tax                                                       
On ILC Acceptance Comm.                                               
15% of SAR250.00                                                      
Through CORPORATE BANKING DEPT-JEDDAH                                 
Date 09-11-1447(H) Time 10.54.19                                      
Reference ILC-0840-26-8758                                            
At Bank Aljazira                                                      
</t>
  </si>
  <si>
    <t xml:space="preserve">Value Added Tax                                                       
On ILC Acceptance Comm.                                               
15% of SAR250.00                                                      
Through CORPORATE BANKING DEPT-JEDDAH                                 
Date 10-11-1447(H) Time 11.45.04                                      
Reference ILC-0840-25-8164                                            
At Bank Aljazira                                                      
</t>
  </si>
  <si>
    <t xml:space="preserve">Dr TI ILC Comm/Other Charges                                          
POC003-295864159                                                      
At Bank Aljazira                                                      
 CORPORATE BANKING DEPT-JEDDAH                                        
Date 10-11-1447(H) Time 11.45.03                                      
Reference ILC-0840-25-8164                                            
Value Date 10-11-1447(H)                                              
Fee Collected By Bank AlJazira                                        
</t>
  </si>
  <si>
    <t xml:space="preserve">Value Added Tax                                                       
On ILC Acceptance Comm.                                               
15% of SAR100.00                                                      
Through CORPORATE BANKING DEPT-JEDDAH                                 
Date 10-11-1447(H) Time 11.45.03                                      
Reference ILC-0840-25-8164                                            
At Bank Aljazira                                                      
</t>
  </si>
  <si>
    <t xml:space="preserve">Dr TI ILC Comm/Other Charges                                          
POC003-295864107                                                      
At Bank Aljazira                                                      
 CORPORATE BANKING DEPT-JEDDAH                                        
Date 10-11-1447(H) Time 11.45.03                                      
Reference ILC-0840-25-8164                                            
Value Date 10-11-1447(H)                                              
Fee Collected By Bank AlJazira                                        
</t>
  </si>
  <si>
    <t xml:space="preserve">Value Added Tax                                                       
On SWIFT charges                                                      
15% of SAR200.00                                                      
Through CORPORATE BANKING DEPT-JEDDAH                                 
Date 10-11-1447(H) Time 11.44.49                                      
Reference ILC-0840-25-8011                                            
At Bank Aljazira                                                      
</t>
  </si>
  <si>
    <t xml:space="preserve">Dr TI ILC Comm/Other Charges                                          
POC007-295866095                                                      
At Bank Aljazira                                                      
 CORPORATE BANKING DEPT-JEDDAH                                        
Date 10-11-1447(H) Time 11.44.48                                      
Reference ILC-0840-25-8011                                            
Value Date 10-11-1447(H)                                              
Fee Collected By Bank AlJazira                                        
</t>
  </si>
  <si>
    <t xml:space="preserve">Value Added Tax                                                       
On ILC Acceptance Comm.                                               
15% of SAR537.00                                                      
Through CORPORATE BANKING DEPT-JEDDAH                                 
Date 10-11-1447(H) Time 11.44.48                                      
Reference ILC-0840-25-8011                                            
At Bank Aljazira                                                      
</t>
  </si>
  <si>
    <t xml:space="preserve">Value Added Tax                                                       
On ILC Acceptance Comm.                                               
15% of SAR100.00                                                      
Through CORPORATE BANKING DEPT-JEDDAH                                 
Date 10-11-1447(H) Time 11.44.48                                      
Reference ILC-0840-25-8011                                            
At Bank Aljazira                                                      
</t>
  </si>
  <si>
    <t xml:space="preserve">Dr TI ILC Comm/Other Charges                                          
POC007-295865893                                                      
At Bank Aljazira                                                      
 CORPORATE BANKING DEPT-JEDDAH                                        
Date 10-11-1447(H) Time 11.44.47                                      
Reference ILC-0840-25-8011                                            
Value Date 10-11-1447(H)                                              
Fee Collected By Bank AlJazira                                        
</t>
  </si>
  <si>
    <t xml:space="preserve">Dr TI ILC Comm/Other Charges                                          
POC003-295864163                                                      
At Bank Aljazira                                                      
 CORPORATE BANKING DEPT-JEDDAH                                        
Date 10-11-1447(H) Time 11.45.04                                      
Reference ILC-0840-25-8164                                            
Value Date 10-11-1447(H)                                              
Fee Collected By Bank AlJazira                                        
</t>
  </si>
  <si>
    <t xml:space="preserve">Dr TI ILC Comm/Other Charges                                          
POC007-295866099                                                      
At Bank Aljazira                                                      
 CORPORATE BANKING DEPT-JEDDAH                                        
Date 10-11-1447(H) Time 11.44.48                                      
Reference ILC-0840-25-8011                                            
Value Date 10-11-1447(H)                                              
Fee Collected By Bank AlJazira                                        
</t>
  </si>
  <si>
    <t xml:space="preserve">Value Added Tax                                                       
On SWIFT charges                                                      
15% of SAR200.00                                                      
Through CORPORATE BANKING DEPT-JEDDAH                                 
Date 10-11-1447(H) Time 11.45.05                                      
Reference ILC-0840-25-8164                                            
At Bank Aljazira                                                      
</t>
  </si>
  <si>
    <t>Cannot Extend Further</t>
  </si>
  <si>
    <t>MBL/ICAD/Baumat</t>
  </si>
  <si>
    <t>05/07/2026 , 14/07/2026</t>
  </si>
  <si>
    <t>Al-Tawi READY -MIX FACTORY</t>
  </si>
  <si>
    <t>90 Days From Appl sign on Invoice</t>
  </si>
  <si>
    <t xml:space="preserve">CUSTOMER = 3972500 DEAL AMT = 7606.74 DEAL CCY = GBP TAX CODE = 1 </t>
  </si>
  <si>
    <t>TF260560000801</t>
  </si>
  <si>
    <t xml:space="preserve">CUSTOMER = 3972500 DEAL AMT = 1250 DEAL CCY = GBP TAX CODE = 1 </t>
  </si>
  <si>
    <t>TF253590001401</t>
  </si>
  <si>
    <t>REF JLG6802458,REF JLG6802458,VIA CORE SYSTEM,DATE-TIME 28/04-11:54:01, عن طريق النظام الآ لي ,VALUE DT 28/04/26</t>
  </si>
  <si>
    <t>REF 000000JLC7000006,RB REF JLC7000006,VIA CORE SYSTEM,DATE-TIME 28/04-10:37:51, عن طريق النظام الآ لي ,VALUE DT 28/04/26</t>
  </si>
  <si>
    <t>REF 000000JLC7002384,RB REF JLC7002384,VIA CORE SYSTEM,DATE-TIME 28/04-10:38:45, عن طريق النظام الآ لي ,VALUE DT 28/04/26</t>
  </si>
  <si>
    <t>19100000100305 DEP ID:4030219311 CHNL:SNB Payment Systems J209958</t>
  </si>
  <si>
    <t>CITY:Jeddah 6132226J212228000</t>
  </si>
  <si>
    <t>J212228000</t>
  </si>
  <si>
    <t>CITY:Jeddah 6132226J209958007</t>
  </si>
  <si>
    <t>J209958007</t>
  </si>
  <si>
    <t>19100000155300 DEP ID:4030219311 CHNL:SNB Payment Systems J212228</t>
  </si>
  <si>
    <t>19100000033209 BEN ID:4030219311 J212228</t>
  </si>
  <si>
    <t xml:space="preserve">TI Bill Settled                                                       
POC002                                                                
At Bank AlJazira                                                      
CORPORATE BANKING DEPT-JEDDAH                                         
Date 11-11-1447(H) Time 11.10.43                                      
Reference ILC-0840-26-8819                                            
</t>
  </si>
  <si>
    <t xml:space="preserve">TI Bill Settled                                                       
POC008                                                                
At Bank AlJazira                                                      
CORPORATE BANKING DEPT-JEDDAH                                         
Date 11-11-1447(H) Time 11.11.37                                      
Reference ILC-0840-25-8011                                            
</t>
  </si>
  <si>
    <t>D/C Reversal</t>
  </si>
  <si>
    <t>LG- Reversal</t>
  </si>
  <si>
    <t>Do Not Submit discrepancy as per agreement with Anil Sir and Project it has to be more than 90 Days</t>
  </si>
  <si>
    <t>to bank on 15-04 | Facility Issue</t>
  </si>
  <si>
    <t>Imdadat Al-jazera Al-arabia Trading Co.</t>
  </si>
  <si>
    <t>REF JLC6801271,REF JLC6801271,VIA CORE SYSTEM,DATE-TIME 30/04-17:00:39, عن طريق النظام الآ لي ,VALUE DT 30/04/26</t>
  </si>
  <si>
    <t>REF 000000JLC6901431,RB REF JLC6901431,VIA CORE SYSTEM,DATE-TIME 30/04-13:20:06, عن طريق النظام الآ لي ,VALUE DT 30/04/26</t>
  </si>
  <si>
    <t>IMP BILL AMEND. CHARGES DPBEPM218156WPM DCBWPM164003</t>
  </si>
  <si>
    <t>DPBEPM218156WPM</t>
  </si>
  <si>
    <t>IMP BILL AMEND. CHARGES DPBCOR218217WPM DCBWPM162993</t>
  </si>
  <si>
    <t>DPBCOR218217WPM</t>
  </si>
  <si>
    <t>IMP BILL COMM DPBCOR218358WPM DCBWPM163999</t>
  </si>
  <si>
    <t>DPBCOR218358WPM</t>
  </si>
  <si>
    <t>IMP BILL AMEND. CHARGES DPBCOR218195WPM DCBWPM163960</t>
  </si>
  <si>
    <t>DPBCOR218195WPM</t>
  </si>
  <si>
    <t>27/07/2026</t>
  </si>
  <si>
    <t>MONTAGE HOTEL AND BRANDED RESIDENCES MAIN CONSTRUCTION WS-CN24-221.</t>
  </si>
  <si>
    <t>GUARANTEE</t>
  </si>
  <si>
    <t>MBL/AICS (L01)</t>
  </si>
  <si>
    <t>General Contracting for the Construction of the Automotive Supplier Park - 7110000596 Contract No: CEER-CN-I0201-2025/7110000596.</t>
  </si>
  <si>
    <t>QINGZHOU JULONG ENVIRONMENT</t>
  </si>
  <si>
    <t>120 Days from Applicant representative sign on Invoice</t>
  </si>
  <si>
    <t>Rehabilitation, restoration and development of a residential building in Project No. 6 - MAQ-10425-0000035-01- إعادة تأهيل وترميم وتطوير مبنى سكني في مشروع رقم 6</t>
  </si>
  <si>
    <t>Metallurgical Corporation of China Ltd (MCC) Saudi Branch.</t>
  </si>
  <si>
    <t>Advance - MAKARAT OFFICE</t>
  </si>
  <si>
    <t>1020109</t>
  </si>
  <si>
    <t>Manar Alomran Company For Trading And Industrial Ltd</t>
  </si>
  <si>
    <t>DAIKIN AIR CONDITIONING SAUDI ARABIA LLC</t>
  </si>
  <si>
    <t>16/07/2026</t>
  </si>
  <si>
    <t>Manual Request</t>
  </si>
  <si>
    <t>For Pickup</t>
  </si>
  <si>
    <t>Mohammed Aslam Shah, Waheed Nazir</t>
  </si>
  <si>
    <t>to bank on 06-05</t>
  </si>
  <si>
    <t>JLG7001227</t>
  </si>
  <si>
    <t>Isam Kabbani &amp; Partners for Building and Construction</t>
  </si>
  <si>
    <t>Saudi Pro-Kitchen</t>
  </si>
  <si>
    <t>07/08/2026</t>
  </si>
  <si>
    <t>30/07/2026</t>
  </si>
  <si>
    <t>M001990</t>
  </si>
  <si>
    <t>TF260630001404</t>
  </si>
  <si>
    <t>TF260630001403</t>
  </si>
  <si>
    <t>TF260630001402</t>
  </si>
  <si>
    <t xml:space="preserve"> LC AMENDMENT COMMISSION   </t>
  </si>
  <si>
    <t xml:space="preserve">CUSTOMER = 3972500 DEAL AMT = 2971.51 DEAL CCY = SAR TAX CODE = 1 </t>
  </si>
  <si>
    <t>REF 000000JLC6902213,RB REF JLC6902213,VIA CORE SYSTEM,DATE-TIME 03/05-12:27:51, عن طريق النظام الآ لي ,VALUE DT 03/05/26</t>
  </si>
  <si>
    <t>REF 000000JLC7000006,RB REF JLC7000006,VIA CORE SYSTEM,DATE-TIME 04/05-11:09:15, عن طريق النظام الآ لي ,VALUE DT 04/05/26</t>
  </si>
  <si>
    <t>REF 000000JLC7000193,RB REF JLC7000193,VIA CORE SYSTEM,DATE-TIME 04/05-11:30:43, عن طريق النظام الآ لي ,VALUE DT 04/05/26</t>
  </si>
  <si>
    <t>RB REF JLG6900058,VIA CORE SYSTEM,DATE-TIME 05/05-09:45:54, عن طريق النظام الآ لي ,VALUE DT 05/05/26</t>
  </si>
  <si>
    <t>RB REF JLG7001227,VIA CORE SYSTEM,DATE-TIME 06/05-12:40:44, عن طريق النظام الآ لي ,VALUE DT 06/05/26</t>
  </si>
  <si>
    <t>RB REF JLG6804419,VIA CORE SYSTEM,DATE-TIME 06/05-09:50:05, عن طريق النظام الآ لي ,VALUE DT 06/05/26</t>
  </si>
  <si>
    <t>CITY:Jeddah 6132226J211807001</t>
  </si>
  <si>
    <t>J211807001</t>
  </si>
  <si>
    <t>CITY:Jeddah 6132226J210104004</t>
  </si>
  <si>
    <t>J210104004</t>
  </si>
  <si>
    <t>19100000155300 DEP ID:4030219311 CHNL:SNB Payment Systems J211485</t>
  </si>
  <si>
    <t>19100000155300 DEP ID:4030219311 CHNL:SNB Payment Systems J211681</t>
  </si>
  <si>
    <t>CITY:Jeddah 6132226J211681002</t>
  </si>
  <si>
    <t>J211681002</t>
  </si>
  <si>
    <t>19100000033209 BEN ID:4030219311 J211485</t>
  </si>
  <si>
    <t>19100000033209 BEN ID:4030219311 J211681</t>
  </si>
  <si>
    <t>DC AMENDMENT COMM CHARGES DCBWPM565846</t>
  </si>
  <si>
    <t>NT COMM CHARGES</t>
  </si>
  <si>
    <t>DPBCOR214373WPM DCBWPM563025</t>
  </si>
  <si>
    <t>DPBEPM210962WPM DCBWPM565843</t>
  </si>
  <si>
    <t>DPBCOR216857WPM DCBWPM161330</t>
  </si>
  <si>
    <t>DPBCOR213004WPM DCBWPM570839</t>
  </si>
  <si>
    <t xml:space="preserve">TI Bill Settled                                                       
POC002                                                                
At Bank AlJazira                                                      
CORPORATE BANKING DEPT-JEDDAH                                         
Date 16-11-1447(H) Time 10.05.30                                      
Reference ILC-0840-26-8821                                            
</t>
  </si>
  <si>
    <t xml:space="preserve">TI Bill Settled                                                       
POC002                                                                
At Bank AlJazira                                                      
CORPORATE BANKING DEPT-JEDDAH                                         
Date 16-11-1447(H) Time 10.07.09                                      
Reference ILC-0840-26-8823                                            
</t>
  </si>
  <si>
    <t xml:space="preserve">Value Added Tax                                                       
On LGI Amend Commission                                               
15% of SAR9,375.00                                                    
Through CORPORATE BANKING DEPT-JEDDAH                                 
Date 17-11-1447(H) Time 15.35.12                                      
Reference LGI-0840-26-7783                                            
At Bank Aljazira                                                      
Exchange Rate 1.0                                                     
</t>
  </si>
  <si>
    <t xml:space="preserve">Dr TI LGI Comm/Other Charges                                          
AMD001-296647716                                                      
At Bank AlJazira                                                      
CORPORATE BANKING DEPT-JEDDAH                                         
Date 17-11-1447(H) Time 15.35.12                                      
Reference LGI-0840-26-7783                                            
</t>
  </si>
  <si>
    <t xml:space="preserve">Value Added Tax                                                       
On ILC Commission                                                     
15% of SAR500.00                                                      
Through CORPORATE BANKING DEPT-JEDDAH                                 
Date 17-11-1447(H) Time 14.38.16                                      
Reference ILC-0840-25-7981                                            
At Bank Aljazira                                                      
</t>
  </si>
  <si>
    <t xml:space="preserve">Dr TI ILC Comm/Other Charges                                          
AMD004-296646710                                                      
At Bank Aljazira                                                      
 CORPORATE BANKING DEPT-JEDDAH                                        
Date 17-11-1447(H) Time 14.38.16                                      
Reference ILC-0840-25-7981                                            
Value Date 17-11-1447(H)                                              
Fee Collected By Bank AlJazira                                        
</t>
  </si>
  <si>
    <t xml:space="preserve">Value Added Tax                                                       
On SWIFT charges                                                      
15% of SAR200.00                                                      
Through CORPORATE BANKING DEPT-JEDDAH                                 
Date 17-11-1447(H) Time 14.37.48                                      
Reference ILC-0840-25-7736                                            
At Bank Aljazira                                                      
</t>
  </si>
  <si>
    <t xml:space="preserve">Dr TI ILC Comm/Other Charges                                          
AMD005-296645530                                                      
At Bank Aljazira                                                      
 CORPORATE BANKING DEPT-JEDDAH                                        
Date 17-11-1447(H) Time 14.37.48                                      
Reference ILC-0840-25-7736                                            
Value Date 17-11-1447(H)                                              
Fee Collected By Bank AlJazira                                        
</t>
  </si>
  <si>
    <t xml:space="preserve">Value Added Tax                                                       
On ILC Commission                                                     
15% of SAR500.00                                                      
Through CORPORATE BANKING DEPT-JEDDAH                                 
Date 17-11-1447(H) Time 14.37.48                                      
Reference ILC-0840-25-7736                                            
At Bank Aljazira                                                      
</t>
  </si>
  <si>
    <t xml:space="preserve">Dr TI ILC Comm/Other Charges                                          
AMD005-296645528                                                      
At Bank Aljazira                                                      
 CORPORATE BANKING DEPT-JEDDAH                                        
Date 17-11-1447(H) Time 14.37.48                                      
Reference ILC-0840-25-7736                                            
Value Date 17-11-1447(H)                                              
Fee Collected By Bank AlJazira                                        
</t>
  </si>
  <si>
    <t xml:space="preserve">Value Added Tax                                                       
On SWIFT charges                                                      
15% of SAR200.00                                                      
Through CORPORATE BANKING DEPT-JEDDAH                                 
Date 17-11-1447(H) Time 14.37.24                                      
Reference ILC-0840-25-7517                                            
At Bank Aljazira                                                      
Exchange Rate 1.0                                                     
</t>
  </si>
  <si>
    <t xml:space="preserve">Dr TI ILC Comm/Other Charges                                          
AMD006-296644798                                                      
At Bank Aljazira                                                      
 CORPORATE BANKING DEPT-JEDDAH                                        
Exchange Rate 1.0                                                     
Date 17-11-1447(H) Time 14.37.23                                      
Reference ILC-0840-25-7517                                            
Value Date 17-11-1447(H)                                              
Fee Collected By Bank AlJazira                                        
</t>
  </si>
  <si>
    <t xml:space="preserve">Value Added Tax                                                       
On ILC Commission                                                     
15% of SAR802.84                                                      
Through CORPORATE BANKING DEPT-JEDDAH                                 
Date 17-11-1447(H) Time 14.37.23                                      
Reference ILC-0840-25-7517                                            
At Bank Aljazira                                                      
Exchange Rate 1.0                                                     
</t>
  </si>
  <si>
    <t xml:space="preserve">Dr TI ILC Comm/Other Charges                                          
AMD006-296644796                                                      
At Bank Aljazira                                                      
 CORPORATE BANKING DEPT-JEDDAH                                        
Exchange Rate 1.0                                                     
Date 17-11-1447(H) Time 14.37.23                                      
Reference ILC-0840-25-7517                                            
Value Date 17-11-1447(H)                                              
Fee Collected By Bank AlJazira                                        
</t>
  </si>
  <si>
    <t xml:space="preserve">Value Added Tax                                                       
On SWIFT charges                                                      
15% of SAR200.00                                                      
Through CORPORATE BANKING DEPT-JEDDAH                                 
Date 17-11-1447(H) Time 14.36.55                                      
Reference ILC-0840-25-7407                                            
At Bank Aljazira                                                      
</t>
  </si>
  <si>
    <t xml:space="preserve">Dr TI ILC Comm/Other Charges                                          
AMD006-296643258                                                      
At Bank Aljazira                                                      
 CORPORATE BANKING DEPT-JEDDAH                                        
Date 17-11-1447(H) Time 14.36.54                                      
Reference ILC-0840-25-7407                                            
Value Date 17-11-1447(H)                                              
Fee Collected By Bank AlJazira                                        
</t>
  </si>
  <si>
    <t xml:space="preserve">Value Added Tax                                                       
On ILC Commission                                                     
15% of SAR500.00                                                      
Through CORPORATE BANKING DEPT-JEDDAH                                 
Date 17-11-1447(H) Time 14.36.54                                      
Reference ILC-0840-25-7407                                            
At Bank Aljazira                                                      
</t>
  </si>
  <si>
    <t xml:space="preserve">Dr TI ILC Comm/Other Charges                                          
AMD006-296643256                                                      
At Bank Aljazira                                                      
 CORPORATE BANKING DEPT-JEDDAH                                        
Date 17-11-1447(H) Time 14.36.54                                      
Reference ILC-0840-25-7407                                            
Value Date 17-11-1447(H)                                              
Fee Collected By Bank AlJazira                                        
</t>
  </si>
  <si>
    <t xml:space="preserve">Value Added Tax                                                       
On SWIFT charges                                                      
15% of SAR200.00                                                      
Through CORPORATE BANKING DEPT-JEDDAH                                 
Date 17-11-1447(H) Time 14.36.30                                      
Reference ILC-0840-25-7353                                            
At Bank Aljazira                                                      
Exchange Rate 1.0                                                     
</t>
  </si>
  <si>
    <t xml:space="preserve">Dr TI ILC Comm/Other Charges                                          
AMD006-296642608                                                      
At Bank Aljazira                                                      
 CORPORATE BANKING DEPT-JEDDAH                                        
Exchange Rate 1.0                                                     
Date 17-11-1447(H) Time 14.36.30                                      
Reference ILC-0840-25-7353                                            
Value Date 17-11-1447(H)                                              
Fee Collected By Bank AlJazira                                        
</t>
  </si>
  <si>
    <t xml:space="preserve">Value Added Tax                                                       
On ILC Commission                                                     
15% of SAR500.00                                                      
Through CORPORATE BANKING DEPT-JEDDAH                                 
Date 17-11-1447(H) Time 14.36.29                                      
Reference ILC-0840-25-7353                                            
At Bank Aljazira                                                      
Exchange Rate 1.0                                                     
</t>
  </si>
  <si>
    <t xml:space="preserve">Dr TI ILC Comm/Other Charges                                          
AMD006-296642606                                                      
At Bank Aljazira                                                      
 CORPORATE BANKING DEPT-JEDDAH                                        
Exchange Rate 1.0                                                     
Date 17-11-1447(H) Time 14.36.29                                      
Reference ILC-0840-25-7353                                            
Value Date 17-11-1447(H)                                              
Fee Collected By Bank AlJazira                                        
</t>
  </si>
  <si>
    <t xml:space="preserve">Value Added Tax                                                       
On SWIFT charges                                                      
15% of SAR200.00                                                      
Through CORPORATE BANKING DEPT-JEDDAH                                 
Date 17-11-1447(H) Time 12.11.51                                      
Reference ILC-0840-26-8758                                            
At Bank Aljazira                                                      
Exchange Rate 1.0                                                     
</t>
  </si>
  <si>
    <t xml:space="preserve">Dr TI ILC Comm/Other Charges                                          
POC004-296583355                                                      
At Bank Aljazira                                                      
 CORPORATE BANKING DEPT-JEDDAH                                        
Exchange Rate 1.0                                                     
Date 17-11-1447(H) Time 12.11.51                                      
Reference ILC-0840-26-8758                                            
Value Date 17-11-1447(H)                                              
Fee Collected By Bank AlJazira                                        
</t>
  </si>
  <si>
    <t xml:space="preserve">Value Added Tax                                                       
On ILC Acceptance Comm.                                               
15% of SAR250.00                                                      
Through CORPORATE BANKING DEPT-JEDDAH                                 
Date 17-11-1447(H) Time 12.11.50                                      
Reference ILC-0840-26-8758                                            
At Bank Aljazira                                                      
Exchange Rate 1.0                                                     
</t>
  </si>
  <si>
    <t xml:space="preserve">Dr TI ILC Comm/Other Charges                                          
POC004-296583353                                                      
At Bank Aljazira                                                      
 CORPORATE BANKING DEPT-JEDDAH                                        
Exchange Rate 1.0                                                     
Date 17-11-1447(H) Time 12.11.50                                      
Reference ILC-0840-26-8758                                            
Value Date 17-11-1447(H)                                              
Fee Collected By Bank AlJazira                                        
</t>
  </si>
  <si>
    <t xml:space="preserve">Value Added Tax                                                       
On ILC Acceptance Comm.                                               
15% of SAR100.00                                                      
Through CORPORATE BANKING DEPT-JEDDAH                                 
Date 17-11-1447(H) Time 12.11.49                                      
Reference ILC-0840-26-8758                                            
At Bank Aljazira                                                      
Exchange Rate 1.0                                                     
</t>
  </si>
  <si>
    <t xml:space="preserve">Dr TI ILC Comm/Other Charges                                          
POC004-296582987                                                      
At Bank Aljazira                                                      
 CORPORATE BANKING DEPT-JEDDAH                                        
Exchange Rate 1.0                                                     
Date 17-11-1447(H) Time 12.11.49                                      
Reference ILC-0840-26-8758                                            
Value Date 17-11-1447(H)                                              
Fee Collected By Bank AlJazira                                        
</t>
  </si>
  <si>
    <t xml:space="preserve">Dr TI LGI Comm/Other Charges                                          
AMD001-296647718                                                      
At Bank AlJazira                                                      
CORPORATE BANKING DEPT-JEDDAH                                         
Date 17-11-1447(H) Time 15.35.12                                      
Reference LGI-0840-26-7783                                            
</t>
  </si>
  <si>
    <t xml:space="preserve">Value Added Tax                                                       
On LG Processing/Facility Fees                                        
15% of SAR25,000.00                                                   
Through CORPORATE BANKING DEPT-JEDDAH                                 
Date 17-11-1447(H) Time 15.35.13                                      
Reference LGI-0840-26-7783                                            
At Bank Aljazira                                                      
Exchange Rate 1.0                                                     
</t>
  </si>
  <si>
    <t>LC Issuance-Cash margin</t>
  </si>
  <si>
    <t>J212311</t>
  </si>
  <si>
    <t>ILC-0840-26-9256</t>
  </si>
  <si>
    <t>Emergency works project to address cracks in the structural framework of Quba Mosque - مشروع الاعمال الطارئة لمعالجة التصدعات في الهيكل الانشائي لمسجد قباء</t>
  </si>
  <si>
    <t>Mr. Mohammed Al-Badri - Madinah</t>
  </si>
  <si>
    <t>DCBWPM165531</t>
  </si>
  <si>
    <t>JLG7001279</t>
  </si>
  <si>
    <t>M1 Golf Course</t>
  </si>
  <si>
    <t>DCBWPM165571</t>
  </si>
  <si>
    <t>HO Funds</t>
  </si>
  <si>
    <t>TF260980000801</t>
  </si>
  <si>
    <t xml:space="preserve">CUSTOMER = 3972500 DEAL AMT = 35801.72 DEAL CCY = SAR TAX CODE = 1 </t>
  </si>
  <si>
    <t>to bank on 12-05</t>
  </si>
  <si>
    <t>REF 000000JLC7000184,RB REF JLC7000184,VIA CORE SYSTEM,DATE-TIME 10/05-14:14:58, عن طريق النظام الآ لي ,VALUE DT 10/05/26</t>
  </si>
  <si>
    <t>REF 000000JLC7000004,RB REF JLC7000004,VIA CORE SYSTEM,DATE-TIME 10/05-10:23:58, عن طريق النظام الآ لي ,VALUE DT 10/05/26</t>
  </si>
  <si>
    <t>REF 000000JLC7000185,RB REF JLC7000185,VIA CORE SYSTEM,DATE-TIME 10/05-10:22:48, عن طريق النظام الآ لي ,VALUE DT 10/05/26</t>
  </si>
  <si>
    <t>RB REF JLG7001279,VIA CORE SYSTEM,DATE-TIME 10/05-15:28:07, عن طريق النظام الآ لي ,VALUE DT 10/05/26</t>
  </si>
  <si>
    <t>RB REF JLG6604420,VIA CORE SYSTEM,DATE-TIME 10/05-14:29:41, عن طريق النظام الآ لي ,VALUE DT 10/05/26</t>
  </si>
  <si>
    <t>19100000155300 DEP ID:4030219311 CHNL:SNB Payment Systems J212311</t>
  </si>
  <si>
    <t>CITY:Jeddah 6132226J210617009</t>
  </si>
  <si>
    <t>J210617009</t>
  </si>
  <si>
    <t>CITY:Jeddah 6132226J212311000</t>
  </si>
  <si>
    <t>J212311000</t>
  </si>
  <si>
    <t>19100000033209 BEN ID:4030219311 J212311</t>
  </si>
  <si>
    <t>19100000155300 DEP ID:4030219311 CHNL:SNB Payment Systems J212140</t>
  </si>
  <si>
    <t>CITY:Jeddah 6132226J212140001</t>
  </si>
  <si>
    <t>J212140001</t>
  </si>
  <si>
    <t>19100000033209 BEN ID:4030219311 J212140</t>
  </si>
  <si>
    <t>IMP BILL AMEND. CHARGES DPBCOR218791WPM DCBWPM163995</t>
  </si>
  <si>
    <t>DPBCOR218791WPM</t>
  </si>
  <si>
    <t>IMP BILL AMEND. CHARGES DPBCOR218434WPM DCBWPM567554</t>
  </si>
  <si>
    <t>DPBCOR218434WPM</t>
  </si>
  <si>
    <t>DC ISSUE COMM CHARGES DCBWPM165531</t>
  </si>
  <si>
    <t>DC ISSUE COMM CHARGES DCBWPM165571</t>
  </si>
  <si>
    <t>DPBCOR214449WPM DCBWPM161319</t>
  </si>
  <si>
    <t>DPBEPM214073WPM DCBWPM161326</t>
  </si>
  <si>
    <t>DPBCOR215049WPM DCBWPM161331</t>
  </si>
  <si>
    <t>DPBCOR214425WPM DCBWPM161319</t>
  </si>
  <si>
    <t>DPBCOR214997WPM DCBWPM161329</t>
  </si>
  <si>
    <t xml:space="preserve">Value Added Tax                                                       
On ILC Postal/DHL Charges                                             
15% of SAR200.00                                                      
Through CORPORATE BANKING DEPT-JEDDAH                                 
Date 20-11-1447(H) Time 11.28.51                                      
Reference ILC-0840-26-9256                                            
At Bank Aljazira                                                      
</t>
  </si>
  <si>
    <t xml:space="preserve">Dr TI LGI Commission (Unearned)                                       
ISS001-296945148                                                      
At Bank AlJazira                                                      
CORPORATE BANKING DEPT-JEDDAH                                         
Date 20-11-1447(H) Time 11.28.49                                      
Reference ILC-0840-26-9256                                            
</t>
  </si>
  <si>
    <t xml:space="preserve">Value Added Tax                                                       
On ILC Commission                                                     
15% of SAR1,250.00                                                    
Through CORPORATE BANKING DEPT-JEDDAH                                 
Date 20-11-1447(H) Time 11.28.49                                      
Reference ILC-0840-26-9256                                            
At Bank Aljazira                                                      
</t>
  </si>
  <si>
    <t xml:space="preserve">Dr TI ILC Comm/Other Charges                                          
ISS001-296945152                                                      
At Bank Aljazira                                                      
 CORPORATE BANKING DEPT-JEDDAH                                        
Date 20-11-1447(H) Time 11.28.50                                      
Reference ILC-0840-26-9256                                            
Value Date 20-11-1447(H)                                              
Fee Collected By Bank AlJazira                                        
</t>
  </si>
  <si>
    <t xml:space="preserve">Value Added Tax                                                       
On ILC SWIFT/Telex Charges                                            
15% of SAR750.00                                                      
Through CORPORATE BANKING DEPT-JEDDAH                                 
Date 20-11-1447(H) Time 11.28.50                                      
Reference ILC-0840-26-9256                                            
At Bank Aljazira                                                      
</t>
  </si>
  <si>
    <t xml:space="preserve">Dr TI ILC Comm/Other Charges                                          
ISS001-296945154                                                      
At Bank Aljazira                                                      
 CORPORATE BANKING DEPT-JEDDAH                                        
Date 20-11-1447(H) Time 11.28.50                                      
Reference ILC-0840-26-9256                                            
Value Date 20-11-1447(H)                                              
Fee Collected By Bank AlJazira                                        
</t>
  </si>
  <si>
    <t xml:space="preserve">Value Added Tax                                                       
On LC PROCESSING FEE                                                  
15% of SAR708.33                                                      
Through CORPORATE BANKING DEPT-JEDDAH                                 
Date 20-11-1447(H) Time 11.28.51                                      
Reference ILC-0840-26-9256                                            
At Bank Aljazira                                                      
</t>
  </si>
  <si>
    <t xml:space="preserve">Dr TI ILC Comm/Other Charges                                          
ISS001-296945156                                                      
At Bank Aljazira                                                      
 CORPORATE BANKING DEPT-JEDDAH                                        
Date 20-11-1447(H) Time 11.28.51                                      
Reference ILC-0840-26-9256                                            
Value Date 20-11-1447(H)                                              
Fee Collected By Bank AlJazira                                        
</t>
  </si>
  <si>
    <t xml:space="preserve">TI Bill Settled                                                       
POC002                                                                
At Bank AlJazira                                                      
CORPORATE BANKING DEPT-JEDDAH                                         
Date 23-11-1447(H) Time 10.04.09                                      
Reference ILC-0840-26-8820                                            
</t>
  </si>
  <si>
    <t>Refinance Requested</t>
  </si>
  <si>
    <t>Abdulfattah Zeyad Alassali</t>
  </si>
  <si>
    <t>HUSAIN OMAR ALATHAS FACTORY CO.</t>
  </si>
  <si>
    <t>LC received from supplier | Hold as per S.S</t>
  </si>
  <si>
    <t>GA Received | Increase VAT Amount: SAR 85189.94</t>
  </si>
  <si>
    <t>29/06/2026</t>
  </si>
  <si>
    <t>01/08/2026</t>
  </si>
  <si>
    <t xml:space="preserve"> LC Amt(SAR)</t>
  </si>
  <si>
    <t>Received Request</t>
  </si>
  <si>
    <t>No Rollover Facility</t>
  </si>
  <si>
    <t>Lanaro S.R.L</t>
  </si>
  <si>
    <t>Alinma Bank Loan</t>
  </si>
  <si>
    <t>02/09/2026</t>
  </si>
  <si>
    <t>DCBWPM165765</t>
  </si>
  <si>
    <t>TF2613700036</t>
  </si>
  <si>
    <t>EXP: 30-05-2027</t>
  </si>
  <si>
    <t>05/07/2026 , 24/08/2026</t>
  </si>
  <si>
    <t>Rajhi</t>
  </si>
  <si>
    <t>Main Contractor for Boulevard South East
Package B (Offices) - D2-CN25-365</t>
  </si>
  <si>
    <t>Martin Professional Information Technology Company</t>
  </si>
  <si>
    <t>GALAXY TECHOLOGY CO.</t>
  </si>
  <si>
    <t>Machinery Land Equipment Rental.</t>
  </si>
  <si>
    <t>Establishment Marjane El- Shammal for watertransport and distribution</t>
  </si>
  <si>
    <t>RAWADF INTERNATIONAL CO.</t>
  </si>
  <si>
    <t>RAPID SAUDI ARABIA CO LIMITED.</t>
  </si>
  <si>
    <t>SAUDI ELECTRIC SUPPLY COMPANY.</t>
  </si>
  <si>
    <t>TEN POINTS EST.</t>
  </si>
  <si>
    <t>NUKHBA ALETFA CO</t>
  </si>
  <si>
    <t>KHEREIJI SHOWROOMS CO.</t>
  </si>
  <si>
    <t>SPECTRA INTERNATIONAL TRADING COMPANY</t>
  </si>
  <si>
    <t>JOHNSON CONTROLS ARABIA</t>
  </si>
  <si>
    <t>MARIAM TRADING CO AND PARTNER</t>
  </si>
  <si>
    <t>AFAQ AL MALAZ TRADING CO.LTD.</t>
  </si>
  <si>
    <t>National Fire Fighting Manufacturing FZCO BR.</t>
  </si>
  <si>
    <t>Saraya Al Andalus for Construction company</t>
  </si>
  <si>
    <t>LC Cancellation</t>
  </si>
  <si>
    <t xml:space="preserve">APGGCU165693 </t>
  </si>
  <si>
    <t>Oxagon Dredging and Quay Walls</t>
  </si>
  <si>
    <t>White Tower Project</t>
  </si>
  <si>
    <t>O&amp;M Of KAP Power Plant</t>
  </si>
  <si>
    <t>to bank on 31-05</t>
  </si>
  <si>
    <t>to bank on 01-06 | Shipment Date - 31-12-2026</t>
  </si>
  <si>
    <t>TF261050002101</t>
  </si>
  <si>
    <t xml:space="preserve">CUSTOMER = 3972500 DEAL AMT = 8750 DEAL CCY = SAR TAX CODE = 1 </t>
  </si>
  <si>
    <t xml:space="preserve">CUSTOMER = 3972500 DEAL AMT = 150 DEAL CCY = GBP TAX CODE = 1 </t>
  </si>
  <si>
    <t>TF251740009802</t>
  </si>
  <si>
    <t>TF252710002409</t>
  </si>
  <si>
    <t>TF252650001903</t>
  </si>
  <si>
    <t xml:space="preserve">CUSTOMER = 3972500 DEAL AMT = 3000.00 DEAL CCY = SAR TAX CODE = 1 </t>
  </si>
  <si>
    <t>REF 000000JLC6901431,RB REF JLC6901431,VIA CORE SYSTEM,DATE-TIME 13/05-11:06:40, عن طريق النظام الآ لي ,VALUE DT 13/05/26</t>
  </si>
  <si>
    <t>JLC6901431</t>
  </si>
  <si>
    <t>RB REF JLG7001227,VIA CORE SYSTEM,DATE-TIME 14/05-09:36:38, عن طريق النظام الآ لي ,VALUE DT 14/05/26</t>
  </si>
  <si>
    <t>REF 000000JLC7000007,RB REF JLC7000007,VIA CORE SYSTEM,DATE-TIME 14/05-12:40:05, عن طريق النظام الآ لي ,VALUE DT 14/05/26</t>
  </si>
  <si>
    <t>REF 000000JLC7000005,RB REF JLC7000005,VIA CORE SYSTEM,DATE-TIME 14/05-12:41:26, عن طريق النظام الآ لي ,VALUE DT 14/05/26</t>
  </si>
  <si>
    <t>REF 000000JLC6902211,RB REF JLC6902211,VIA CORE SYSTEM,DATE-TIME 18/05-13:39:15, عن طريق النظام الآ لي ,VALUE DT 18/05/26</t>
  </si>
  <si>
    <t>19100000155300 DEP ID:4030219311 CHNL:SNB Payment Systems J211805</t>
  </si>
  <si>
    <t>19100000155300 DEP ID:4030219311 CHNL:SNB Payment Systems J211808</t>
  </si>
  <si>
    <t>19100000033209 BEN ID:4030219311 J211808</t>
  </si>
  <si>
    <t>19100000033209 BEN ID:4030219311 J211805</t>
  </si>
  <si>
    <t>CITY:Jeddah 6132226J210104006</t>
  </si>
  <si>
    <t>J210104006</t>
  </si>
  <si>
    <t>CITY:Jeddah 6132226J210104005</t>
  </si>
  <si>
    <t>J210104005</t>
  </si>
  <si>
    <t>CITY:Jeddah 6132226J211485007</t>
  </si>
  <si>
    <t>J211485007</t>
  </si>
  <si>
    <t>19100000155300 DEP ID:4030219311 CHNL:SNB Payment Systems J210104</t>
  </si>
  <si>
    <t>19100000033209 BEN ID:4030219311 J210104</t>
  </si>
  <si>
    <t>CITY:Jeddah 6132226J212139002</t>
  </si>
  <si>
    <t>J212139002</t>
  </si>
  <si>
    <t>CITY:Jeddah 6132226J210104004 2721364.74 SAR</t>
  </si>
  <si>
    <t>19100000155300 DEP ID:4030219311 CHNL:SNB Payment Systems J211811</t>
  </si>
  <si>
    <t>19100000033209 BEN ID:4030219311 J211811</t>
  </si>
  <si>
    <t>CITY:Jeddah 6132226J210104005 669250.69 SAR</t>
  </si>
  <si>
    <t>IMP BILL COMM DPBCOR219372WPM DCBWPM160355</t>
  </si>
  <si>
    <t>DPBCOR219372WPM</t>
  </si>
  <si>
    <t>IMP BILL COMM DPBCOR219152WPM DCBWPM570384</t>
  </si>
  <si>
    <t>DPBCOR219152WPM</t>
  </si>
  <si>
    <t>IMP BILL COMM DPBCOR219384WPM DCBWPM163953</t>
  </si>
  <si>
    <t>DPBCOR219384WPM</t>
  </si>
  <si>
    <t>IMP BILL COMM DPBCOR219409WPM DCBWPM160343</t>
  </si>
  <si>
    <t>DPBCOR219409WPM</t>
  </si>
  <si>
    <t>DPBCOR216504WPM DCBWPM163417</t>
  </si>
  <si>
    <t>DPBEPM214910WPM DCBWPM161322</t>
  </si>
  <si>
    <t>DPBCOR216581WPM DCBCPM160316</t>
  </si>
  <si>
    <t>IMP BILL COMM DPBEPM219404WPM DCBWPM570369</t>
  </si>
  <si>
    <t>DPBEPM219404WPM</t>
  </si>
  <si>
    <t>IMP BILL COMM DPBCOR219700WPM DCBWPM570384</t>
  </si>
  <si>
    <t>DPBCOR219700WPM</t>
  </si>
  <si>
    <t>DPBCOR215052WPM DCBWPM162155</t>
  </si>
  <si>
    <t>DC ISSUE COMM CHARGES DCBWPM165765</t>
  </si>
  <si>
    <t>GTE AMEND COMM CHARGES PEBGCU434591</t>
  </si>
  <si>
    <t>DPBCOR212566WPM DCBWPM570414</t>
  </si>
  <si>
    <t xml:space="preserve">TI Bill Settled                                                       
POC005                                                                
At Bank AlJazira                                                      
CORPORATE BANKING DEPT-JEDDAH                                         
Date 25-11-1447(H) Time 09.45.40                                      
Reference ILC-0840-26-8758                                            
</t>
  </si>
  <si>
    <t xml:space="preserve">Dr TI LGI Comm/Other Charges                                          
AMD001-298209435                                                      
At Bank AlJazira                                                      
CORPORATE BANKING DEPT-JEDDAH                                         
Date 03-12-1447(H) Time 13.24.02                                      
Reference LGI-0840-24-3252                                            
</t>
  </si>
  <si>
    <t xml:space="preserve">Value Added Tax                                                       
On LGI Amend Commission                                               
15% of SAR200.00                                                      
Through CORPORATE BANKING DEPT-JEDDAH                                 
Date 03-12-1447(H) Time 13.24.03                                      
Reference LGI-0840-24-3252                                            
At Bank Aljazira                                                      
Exchange Rate 1.0                                                     
</t>
  </si>
  <si>
    <t>TF2604200011_A&amp;B</t>
  </si>
  <si>
    <t>L01-YAMMAMA/ADF</t>
  </si>
  <si>
    <t>Technical Issue with Jazira</t>
  </si>
  <si>
    <t>26OGTE49101492</t>
  </si>
  <si>
    <t>Al-Rajhi Bank</t>
  </si>
  <si>
    <t xml:space="preserve">MADA INTERNATIONAL HOLDING </t>
  </si>
  <si>
    <t>fixed</t>
  </si>
  <si>
    <t xml:space="preserve">Abha Airport PPP Project </t>
  </si>
  <si>
    <t>TAV HAVALIMANLARI HOLDING A.S</t>
  </si>
  <si>
    <t>CITY:Jeddah 6132226J210104000 533.16 SAR</t>
  </si>
  <si>
    <t>19100000033209 BEN ID:4030219311 J211807 Electric Hous LC</t>
  </si>
  <si>
    <t>J211807 El</t>
  </si>
  <si>
    <t>19100000155300 DEP ID:4030219311 CHNL:SNB Payment Systems J211807 Electric Hous LC</t>
  </si>
  <si>
    <t>DPBCOR214068WPM DCBWPM570380</t>
  </si>
  <si>
    <t>Bank Charges</t>
  </si>
  <si>
    <t>Under review | Draft Pending</t>
  </si>
  <si>
    <t xml:space="preserve">Bid - MADA INTERNATIONAL HOLDING </t>
  </si>
  <si>
    <t>Bid - TAV HAVALIMANLARI HOLDING A.S</t>
  </si>
  <si>
    <t>Construction materials, equipment, systems, tools, and related supplies required for the project works. - SIAEP-P23-2-COM-TEN-001</t>
  </si>
  <si>
    <t>pre-settled</t>
  </si>
  <si>
    <t>SNB Loan Balance</t>
  </si>
  <si>
    <t>Tuwaiq Palace</t>
  </si>
  <si>
    <t>DCBWPM166277</t>
  </si>
  <si>
    <t>DCBWPM166270</t>
  </si>
  <si>
    <t>DCBWPM166275</t>
  </si>
  <si>
    <t>DCBWPM166257</t>
  </si>
  <si>
    <t>DCBWPM166259</t>
  </si>
  <si>
    <t>DCBWPM166281</t>
  </si>
  <si>
    <t>DCBWPM166278</t>
  </si>
  <si>
    <t>DCBWPM166298</t>
  </si>
  <si>
    <t>DCBWPM166294</t>
  </si>
  <si>
    <t>DCBWPM166284</t>
  </si>
  <si>
    <t>DCBWPM166285</t>
  </si>
  <si>
    <t>DCBWPM166282</t>
  </si>
  <si>
    <t>DCBWPM166264</t>
  </si>
  <si>
    <t>CEER Loan Refinance</t>
  </si>
  <si>
    <t>Oceanarium Loan Refinance</t>
  </si>
  <si>
    <t>26OGTE49101516</t>
  </si>
  <si>
    <t>DCBWPM166289</t>
  </si>
  <si>
    <t>DCBWPM166267</t>
  </si>
  <si>
    <t>DCBWPM166272</t>
  </si>
  <si>
    <t>DCBWPM166261</t>
  </si>
  <si>
    <t>DCBWPM166271</t>
  </si>
  <si>
    <t>02/07/2026</t>
  </si>
  <si>
    <t>26/06/2026</t>
  </si>
  <si>
    <t>DCBWPM166274</t>
  </si>
  <si>
    <t>DCBWPM166276</t>
  </si>
  <si>
    <t>Please hold as per Hossam Elkeshawy</t>
  </si>
  <si>
    <t>J212344</t>
  </si>
  <si>
    <t>DCBWPM166297</t>
  </si>
  <si>
    <t>DCBWPM166296</t>
  </si>
  <si>
    <t>DCBWPM166292</t>
  </si>
  <si>
    <t>DCBWPM166290</t>
  </si>
  <si>
    <t>DCBWPM166286</t>
  </si>
  <si>
    <t>DCBWPM166287</t>
  </si>
  <si>
    <t>DCBWPM166279</t>
  </si>
  <si>
    <t>Revised Special Text</t>
  </si>
  <si>
    <t>Process on Anil Sir Request. PD approval not received.</t>
  </si>
  <si>
    <t>JLG7001514</t>
  </si>
  <si>
    <t>JLG7001467</t>
  </si>
  <si>
    <t>J212386</t>
  </si>
  <si>
    <t>AL RAMSAT CONTRACTING COMPANY</t>
  </si>
  <si>
    <t>RCRC Loan Refinance</t>
  </si>
  <si>
    <t>SAB / Alinma</t>
  </si>
  <si>
    <t>to bank on 06-05 | Payment terms 180 Days instead of 90 Days | Cannot proceed as per bank</t>
  </si>
  <si>
    <t>Gulf Applications - GAPP</t>
  </si>
  <si>
    <t>Technical Issue</t>
  </si>
  <si>
    <t>TF252300003407</t>
  </si>
  <si>
    <t>TF252300003408</t>
  </si>
  <si>
    <t>TF252300003406</t>
  </si>
  <si>
    <t>TF261050002102</t>
  </si>
  <si>
    <t>REF 000000JLC7000186,RB REF JLC7000186,VIA CORE SYSTEM,DATE-TIME 03/06-14:28:44, عن طريق النظام الآ لي ,VALUE DT 03/06/26</t>
  </si>
  <si>
    <t>REF 000000JLC7000183,RB REF JLC7000183,VIA CORE SYSTEM,DATE-TIME 03/06-14:28:12, عن طريق النظام الآ لي ,VALUE DT 03/06/26</t>
  </si>
  <si>
    <t>REF 000000JLC7000188,RB REF JLC7000188,VIA CORE SYSTEM,DATE-TIME 03/06-14:27:06, عن طريق النظام الآ لي ,VALUE DT 03/06/26</t>
  </si>
  <si>
    <t>REF 000000JLC7000187,RB REF JLC7000187,VIA CORE SYSTEM,DATE-TIME 03/06-14:26:32, عن طريق النظام الآ لي ,VALUE DT 03/06/26</t>
  </si>
  <si>
    <t>REF 000000JLC7000182,RB REF JLC7000182,VIA CORE SYSTEM,DATE-TIME 03/06-14:26:11, عن طريق النظام الآ لي ,VALUE DT 03/06/26</t>
  </si>
  <si>
    <t>REF 000000JLC7000002,RB REF JLC7000002,VIA CORE SYSTEM,DATE-TIME 03/06-14:27:50, عن طريق النظام الآ لي ,VALUE DT 03/06/26</t>
  </si>
  <si>
    <t>REF 000000JLC6901492,RB REF JLC6901492,VIA CORE SYSTEM,DATE-TIME 03/06-14:54:08, عن طريق النظام الآ لي ,VALUE DT 03/06/26</t>
  </si>
  <si>
    <t>RB REF JLG7001514,VIA CORE SYSTEM,DATE-TIME 07/06-13:52:32, عن طريق النظام الآ لي ,VALUE DT 07/06/26</t>
  </si>
  <si>
    <t>RB REF JLG7001467,VIA CORE SYSTEM,DATE-TIME 07/06-14:08:10, عن طريق النظام الآ لي ,VALUE DT 07/06/26</t>
  </si>
  <si>
    <t>REF 000000JLC6901431,RB REF JLC6901431,VIA CORE SYSTEM,DATE-TIME 08/06-12:04:44, عن طريق النظام الآ لي ,VALUE DT 08/06/26</t>
  </si>
  <si>
    <t>CITY:Jeddah 6132226J210104006 3863052.77 SAR</t>
  </si>
  <si>
    <t>CITY:Jeddah 6132226B314277016</t>
  </si>
  <si>
    <t>CITY:Jeddah 6132226J212344000</t>
  </si>
  <si>
    <t>J212344000</t>
  </si>
  <si>
    <t>CITY:Jeddah 6132226J211681003</t>
  </si>
  <si>
    <t>J211681003</t>
  </si>
  <si>
    <t>CITY:Jeddah 6132226J212139003</t>
  </si>
  <si>
    <t>J212139003</t>
  </si>
  <si>
    <t>CITY:Jeddah 6132226J212386000</t>
  </si>
  <si>
    <t>J212386000</t>
  </si>
  <si>
    <t>IMP BILL AMEND. CHARGES DPBCOR220026WPM DCBWPM163417</t>
  </si>
  <si>
    <t>DPBCOR220026WPM</t>
  </si>
  <si>
    <t>DPBEPM625568WPM DCBWPM564580</t>
  </si>
  <si>
    <t>DPBEPM625568WPM</t>
  </si>
  <si>
    <t>IMP BILL RETIRE. CHARGES DPBEPM625568WPM DCBWPM564580</t>
  </si>
  <si>
    <t>DPBCOR217156WPM DCBWPM563039</t>
  </si>
  <si>
    <t>DC ISSUE COMM CHARGES DCBWPM166259</t>
  </si>
  <si>
    <t>DC ISSUE COMM CHARGES DCBWPM166257</t>
  </si>
  <si>
    <t>DC ISSUE COMM CHARGES DCBWPM166275</t>
  </si>
  <si>
    <t>DC ISSUE COMM CHARGES DCBWPM166277</t>
  </si>
  <si>
    <t>DC ISSUE COMM CHARGES DCBWPM166270</t>
  </si>
  <si>
    <t>DC ISSUE COMM CHARGES DCBWPM166281</t>
  </si>
  <si>
    <t>DC ISSUE COMM CHARGES DCBWPM166278</t>
  </si>
  <si>
    <t>DC ISSUE COMM CHARGES DCBWPM166284</t>
  </si>
  <si>
    <t>DC ISSUE COMM CHARGES DCBWPM166294</t>
  </si>
  <si>
    <t>DC ISSUE COMM CHARGES DCBWPM166298</t>
  </si>
  <si>
    <t>DC ISSUE COMM CHARGES DCBWPM166264</t>
  </si>
  <si>
    <t>DC ISSUE COMM CHARGES DCBWPM166282</t>
  </si>
  <si>
    <t>DC ISSUE COMM CHARGES DCBWPM166289</t>
  </si>
  <si>
    <t>DC ISSUE COMM CHARGES DCBWPM166267</t>
  </si>
  <si>
    <t>DC ISSUE COMM CHARGES DCBWPM166271</t>
  </si>
  <si>
    <t>DC ISSUE COMM CHARGES DCBWPM166261</t>
  </si>
  <si>
    <t>DC ISSUE COMM CHARGES DCBWPM166272</t>
  </si>
  <si>
    <t>DC ISSUE COMM CHARGES DCBWPM166274</t>
  </si>
  <si>
    <t>DC ISSUE COMM CHARGES DCBWPM166276</t>
  </si>
  <si>
    <t>DC ISSUE COMM CHARGES DCBWPM166279</t>
  </si>
  <si>
    <t>DC ISSUE COMM CHARGES DCBWPM166287</t>
  </si>
  <si>
    <t>DC ISSUE COMM CHARGES DCBWPM166286</t>
  </si>
  <si>
    <t>DC ISSUE COMM CHARGES DCBWPM166290</t>
  </si>
  <si>
    <t>DC ISSUE COMM CHARGES DCBWPM166292</t>
  </si>
  <si>
    <t>DC ISSUE COMM CHARGES DCBWPM166296</t>
  </si>
  <si>
    <t>DC ISSUE COMM CHARGES DCBWPM166285</t>
  </si>
  <si>
    <t>DC ISSUE COMM CHARGES DCBWPM166297</t>
  </si>
  <si>
    <t>Banktrade Credit</t>
  </si>
  <si>
    <t xml:space="preserve">Dr TI LGI Comm/Other Charges                                          
MIG002-298796527                                                      
At Bank AlJazira                                                      
CORPORATE BANKING DEPT-JEDDAH                                         
Date 16-12-1447(H) Time 11.15.27                                      
Reference LGI-0840-24-2103                                            
</t>
  </si>
  <si>
    <t xml:space="preserve">Value Added Tax                                                       
On LGI ISSUANCE COMMISSION                                            
15% of SAR266,683.64                                                  
Through CORPORATE BANKING DEPT-JEDDAH                                 
Date 16-12-1447(H) Time 11.15.27                                      
Reference LGI-0840-24-2103                                            
At Bank Aljazira                                                      
Exchange Rate 1.0                                                     
</t>
  </si>
  <si>
    <t xml:space="preserve">Dr TI LGI Comm/Other Charges                                          
MIG002-298796529                                                      
At Bank AlJazira                                                      
CORPORATE BANKING DEPT-JEDDAH                                         
Date 16-12-1447(H) Time 11.15.28                                      
Reference LGI-0840-24-2103                                            
</t>
  </si>
  <si>
    <t xml:space="preserve">Value Added Tax                                                       
On LG Processing/Facility Fees                                        
15% of SAR1,015,901.21                                                
Through CORPORATE BANKING DEPT-JEDDAH                                 
Date 16-12-1447(H) Time 11.15.29                                      
Reference LGI-0840-24-2103                                            
At Bank Aljazira                                                      
Exchange Rate 1.0                                                     
</t>
  </si>
  <si>
    <t xml:space="preserve">Dr TI ILC Comm/Other Charges                                          
POC007-298950268                                                      
At Bank Aljazira                                                      
 CORPORATE BANKING DEPT-JEDDAH                                        
Date 17-12-1447(H) Time 12.53.02                                      
Reference ILC-0840-25-8427                                            
Value Date 17-12-1447(H)                                              
Fee Collected By Bank AlJazira                                        
</t>
  </si>
  <si>
    <t xml:space="preserve">Value Added Tax                                                       
On ILC Acceptance Comm.                                               
15% of SAR100.00                                                      
Through CORPORATE BANKING DEPT-JEDDAH                                 
Date 17-12-1447(H) Time 12.53.03                                      
Reference ILC-0840-25-8427                                            
At Bank Aljazira                                                      
</t>
  </si>
  <si>
    <t xml:space="preserve">Dr TI ILC Comm/Other Charges                                          
POC007-298950308                                                      
At Bank Aljazira                                                      
 CORPORATE BANKING DEPT-JEDDAH                                        
Date 17-12-1447(H) Time 12.53.03                                      
Reference ILC-0840-25-8427                                            
Value Date 17-12-1447(H)                                              
Fee Collected By Bank AlJazira                                        
</t>
  </si>
  <si>
    <t xml:space="preserve">Value Added Tax                                                       
On ILC Acceptance Comm.                                               
15% of SAR502.00                                                      
Through CORPORATE BANKING DEPT-JEDDAH                                 
Date 17-12-1447(H) Time 12.53.03                                      
Reference ILC-0840-25-8427                                            
At Bank Aljazira                                                      
</t>
  </si>
  <si>
    <t xml:space="preserve">Dr TI ILC Comm/Other Charges                                          
POC007-298950312                                                      
At Bank Aljazira                                                      
 CORPORATE BANKING DEPT-JEDDAH                                        
Date 17-12-1447(H) Time 12.53.03                                      
Reference ILC-0840-25-8427                                            
Value Date 17-12-1447(H)                                              
Fee Collected By Bank AlJazira                                        
</t>
  </si>
  <si>
    <t xml:space="preserve">Value Added Tax                                                       
On SWIFT charges                                                      
15% of SAR200.00                                                      
Through CORPORATE BANKING DEPT-JEDDAH                                 
Date 17-12-1447(H) Time 12.53.04                                      
Reference ILC-0840-25-8427                                            
At Bank Aljazira                                                      
</t>
  </si>
  <si>
    <t xml:space="preserve">TI Bill Settled                                                       
POC008                                                                
At Bank AlJazira                                                      
CORPORATE BANKING DEPT-JEDDAH                                         
Date 22-12-1447(H) Time 09.34.02                                      
Reference ILC-0840-25-8427                                            
</t>
  </si>
  <si>
    <t xml:space="preserve">TI Bill Settled                                                       
POC003                                                                
At Bank AlJazira                                                      
CORPORATE BANKING DEPT-JEDDAH                                         
Date 22-12-1447(H) Time 11.20.13                                      
Reference ILC-0840-26-9073                                            
</t>
  </si>
  <si>
    <t>Trade Transaction Dr
SAR -695619.35
Value date : 07-JUN-26
Transaction Ref : FTM261553QWBY2J2
Purpose/Details of Txn : Outward Guarantee KCLG2600152</t>
  </si>
  <si>
    <t>FTM261553QWBY2J2</t>
  </si>
  <si>
    <t>Trade Transaction Dr
SAR -695619.35
Value date : 07-JUN-26
Transaction Ref : FTM261553QWBY2TR
Purpose/Details of Txn : Outward Guarantee KCLG2600153</t>
  </si>
  <si>
    <t>FTM261553QWBY2TR</t>
  </si>
  <si>
    <t>REMOTE APRON EXPANSION 6 CODE E STANDS</t>
  </si>
  <si>
    <t>Management Sign</t>
  </si>
  <si>
    <t>REF 000000JLC6901492,RB REF JLC6901492,VIA CORE SYSTEM,DATE-TIME 09/06-11:30:11, عن طريق النظام الآ لي ,VALUE DT 09/06/26</t>
  </si>
  <si>
    <t>REF 000000JLC7000384,RB REF JLC7000384,VIA CORE SYSTEM,DATE-TIME 09/06-10:15:10, عن طريق النظام الآ لي ,VALUE DT 09/06/26</t>
  </si>
  <si>
    <t>1851811079941</t>
  </si>
  <si>
    <t>RB REF JLG6800803,VIA CORE SYSTEM,DATE-TIME 09/06-13:46:45, عن طريق النظام الآ لي ,VALUE DT 09/06/26</t>
  </si>
  <si>
    <t>RB REF JLG6601246,VIA CORE SYSTEM,DATE-TIME 09/06-13:47:36, عن طريق النظام الآ لي ,VALUE DT 09/06/26</t>
  </si>
  <si>
    <t>CITY:Jeddah 6132226J212228001</t>
  </si>
  <si>
    <t>J212228001</t>
  </si>
  <si>
    <t>30/08/2026</t>
  </si>
  <si>
    <t>On hold by Beneficiary</t>
  </si>
  <si>
    <t>Potable Water &amp; Fire Water Tanks and Pumping Station Package - KSIA-TEN-00000129</t>
  </si>
  <si>
    <t>Irrigation Storage Tanks &amp; Pumping Station - KSIA-TEN-00000123</t>
  </si>
  <si>
    <t xml:space="preserve">CUSTOMER = 3972500 DEAL AMT = 7054.65 DEAL CCY = SAR TAX CODE = 1 </t>
  </si>
  <si>
    <t>TF260990001601</t>
  </si>
  <si>
    <t>IMP BILL COMM DPBEPM221355WPM DCBWPM164001</t>
  </si>
  <si>
    <t>DPBEPM221355WPM</t>
  </si>
  <si>
    <t>JLG7001572</t>
  </si>
  <si>
    <t>Integrated Transport Centre</t>
  </si>
  <si>
    <t xml:space="preserve">Supply, replacement,  upgrading and Installation Services for TCS/ITS Tunnel Assets in the Emirates of Abu Dhabi - Tender No. ITC/T/ITS/1218/26  </t>
  </si>
  <si>
    <t>ICAD Abu Dhabi</t>
  </si>
  <si>
    <t>J212290</t>
  </si>
  <si>
    <t>Bid - Integrated Transport Centre</t>
  </si>
  <si>
    <t>JLG7001577</t>
  </si>
  <si>
    <t>JLG7001576</t>
  </si>
  <si>
    <t>(Multiple Items)</t>
  </si>
  <si>
    <t>18/07/2026 , 19/07/2026 , 18/07/2026</t>
  </si>
  <si>
    <t>Hold the Payment until Mid June-Faisal /Gehad</t>
  </si>
  <si>
    <t>TF252710002410</t>
  </si>
  <si>
    <t>RB REF JLG7001577,VIA CORE SYSTEM,DATE-TIME 11/06-15:15:25, عن طريق النظام الآ لي ,VALUE DT 11/06/26</t>
  </si>
  <si>
    <t>RB REF JLG7001576,VIA CORE SYSTEM,DATE-TIME 11/06-15:20:18, عن طريق النظام الآ لي ,VALUE DT 11/06/26</t>
  </si>
  <si>
    <t>RB REF JLG7001572,VIA CORE SYSTEM,DATE-TIME 11/06-12:47:26, عن طريق النظام الآ لي ,VALUE DT 11/06/26</t>
  </si>
  <si>
    <t>CITY:Jeddah 6132226J212290000</t>
  </si>
  <si>
    <t>J212290000</t>
  </si>
  <si>
    <t>19100000155300 DEP ID:4030219311 CHNL:SNB Payment Systems J212139</t>
  </si>
  <si>
    <t>19100000033209 BEN ID:4030219311 J212139</t>
  </si>
  <si>
    <t>CITY:Jeddah 6132226B323741002</t>
  </si>
  <si>
    <t>B314277016</t>
  </si>
  <si>
    <t>B323741002</t>
  </si>
  <si>
    <t>01/07/2026</t>
  </si>
  <si>
    <t>50M Loan Funds</t>
  </si>
  <si>
    <t>13/07/2026</t>
  </si>
  <si>
    <t>Cash Margin-10%</t>
  </si>
  <si>
    <t>Cash Margin-Refund</t>
  </si>
  <si>
    <t xml:space="preserve">CUSTOMER = 3972500 DEAL AMT = 5905.42 DEAL CCY = SAR TAX CODE = 1 </t>
  </si>
  <si>
    <t>TF261050002103</t>
  </si>
  <si>
    <t>DPBCOR217770WPM DCBWPM163417</t>
  </si>
  <si>
    <t xml:space="preserve">TI Bill Settled                                                       
POC006                                                                
At Bank AlJazira                                                      
CORPORATE BANKING DEPT-JEDDAH                                         
Date 28-12-1447(H) Time 08.46.46                                      
Reference ILC-0840-26-8758                                            
</t>
  </si>
  <si>
    <t>25/06/2026 , 29/06/2026</t>
  </si>
  <si>
    <t>20/07/2026 , 10/08/2026</t>
  </si>
  <si>
    <t>30 Days from Appl. Rep Sign on Invoice</t>
  </si>
  <si>
    <t>to bank on 16-06 | Exp01-10</t>
  </si>
  <si>
    <t>to bank on 16-06 | Exp15.12 LDS 15-11</t>
  </si>
  <si>
    <t>25/06/2026 , 17/09/2026</t>
  </si>
  <si>
    <t>KINGSPAN INSULATED PANELS MANUFACTURING LLC</t>
  </si>
  <si>
    <t>Shaikh Sign Pending</t>
  </si>
  <si>
    <t xml:space="preserve">CUSTOMER = 3972500 DEAL AMT = 3241.74 DEAL CCY = SAR TAX CODE = 1 </t>
  </si>
  <si>
    <t>TF260990001602</t>
  </si>
  <si>
    <t>REF 000000JLC6902211,RB REF JLC6902211,VIA CORE SYSTEM,DATE-TIME 15/06-11:19:39, عن طريق النظام الآ لي ,VALUE DT 15/06/26</t>
  </si>
  <si>
    <t>REF 000000JLC7000003,RB REF JLC7000003,VIA CORE SYSTEM,DATE-TIME 16/06-16:13:47, عن طريق النظام الآ لي ,VALUE DT 16/06/26</t>
  </si>
  <si>
    <t>REF 000000JLC6902213,RB REF JLC6902213,VIA CORE SYSTEM,DATE-TIME 16/06-17:34:23, عن طريق النظام الآ لي ,VALUE DT 16/06/26</t>
  </si>
  <si>
    <t>REF 000000JLC7000002,RB REF JLC7000002,VIA CORE SYSTEM,DATE-TIME 16/06-17:43:54, عن طريق النظام الآ لي ,VALUE DT 16/06/26</t>
  </si>
  <si>
    <t>REF 000000JLC6902211,RB REF JLC6902211,VIA CORE SYSTEM,DATE-TIME 16/06-17:44:43, عن طريق النظام الآ لي ,VALUE DT 16/06/26</t>
  </si>
  <si>
    <t>CITY:Jeddah 6132226J210104008</t>
  </si>
  <si>
    <t>J210104008</t>
  </si>
  <si>
    <t>CITY:Jeddah 6132226J210104007</t>
  </si>
  <si>
    <t>J210104007</t>
  </si>
  <si>
    <t>DPBEPM217007WPM DCBWPM570361</t>
  </si>
  <si>
    <t>IMP BILL COMM DPBCOR221641WPM DCBWPM160363</t>
  </si>
  <si>
    <t>DPBCOR221641WPM</t>
  </si>
  <si>
    <t>IMP BILL COMM DPBCOR221779WPM DCBWPM163950</t>
  </si>
  <si>
    <t>DPBCOR221779WPM</t>
  </si>
  <si>
    <t>ILC-0840-26-9418</t>
  </si>
  <si>
    <t>09/07/2026 , 02/07/2026</t>
  </si>
  <si>
    <t>GA received | Specimen Pending for Tareq Sir Sign</t>
  </si>
  <si>
    <t>Cash Margin - 5%</t>
  </si>
  <si>
    <t>REF 000000JLC7000007,RB REF JLC7000007,VIA CORE SYSTEM,DATE-TIME 17/06-10:06:19, عن طريق النظام الآ لي ,VALUE DT 17/06/26</t>
  </si>
  <si>
    <t>RB REF JLG6602654,VIA CORE SYSTEM,DATE-TIME 17/06-16:44:08, عن طريق النظام الآ لي ,VALUE DT 17/06/26</t>
  </si>
  <si>
    <t>REF 000000JLC7000192,RB REF JLC7000192,VIA CORE SYSTEM,DATE-TIME 17/06-10:23:35, عن طريق النظام الآ لي ,VALUE DT 17/06/26</t>
  </si>
  <si>
    <t xml:space="preserve">Dr TI ILC Comm/Other Charges                                          
POC007-300382320                                                      
At Bank Aljazira                                                      
 CORPORATE BANKING DEPT-JEDDAH                                        
Date 02-01-1448(H) Time 10.44.47                                      
Reference ILC-0840-26-8758                                            
Value Date 02-01-1448(H)                                              
Fee Collected By Bank AlJazira                                        
</t>
  </si>
  <si>
    <t xml:space="preserve">Value Added Tax                                                       
On SWIFT charges                                                      
15% of SAR200.00                                                      
Through CORPORATE BANKING DEPT-JEDDAH                                 
Date 02-01-1448(H) Time 10.28.27                                      
Reference ILC-0840-25-8166                                            
At Bank Aljazira                                                      
Exchange Rate 1.0                                                     
</t>
  </si>
  <si>
    <t xml:space="preserve">Dr TI ILC Comm/Other Charges                                          
POC007-300382266                                                      
At Bank Aljazira                                                      
 CORPORATE BANKING DEPT-JEDDAH                                        
Date 02-01-1448(H) Time 10.44.46                                      
Reference ILC-0840-26-8758                                            
Value Date 02-01-1448(H)                                              
Fee Collected By Bank AlJazira                                        
</t>
  </si>
  <si>
    <t xml:space="preserve">Value Added Tax                                                       
On ILC Acceptance Comm.                                               
15% of SAR100.00                                                      
Through CORPORATE BANKING DEPT-JEDDAH                                 
Date 02-01-1448(H) Time 10.44.46                                      
Reference ILC-0840-26-8758                                            
At Bank Aljazira                                                      
</t>
  </si>
  <si>
    <t xml:space="preserve">Dr TI ILC Comm/Other Charges                                          
POC007-300382318                                                      
At Bank Aljazira                                                      
 CORPORATE BANKING DEPT-JEDDAH                                        
Date 02-01-1448(H) Time 10.44.47                                      
Reference ILC-0840-26-8758                                            
Value Date 02-01-1448(H)                                              
Fee Collected By Bank AlJazira                                        
</t>
  </si>
  <si>
    <t xml:space="preserve">Value Added Tax                                                       
On ILC Acceptance Comm.                                               
15% of SAR250.00                                                      
Through CORPORATE BANKING DEPT-JEDDAH                                 
Date 02-01-1448(H) Time 10.44.47                                      
Reference ILC-0840-26-8758                                            
At Bank Aljazira                                                      
</t>
  </si>
  <si>
    <t xml:space="preserve">Value Added Tax                                                       
On SWIFT charges                                                      
15% of SAR200.00                                                      
Through CORPORATE BANKING DEPT-JEDDAH                                 
Date 02-01-1448(H) Time 10.44.47                                      
Reference ILC-0840-26-8758                                            
At Bank Aljazira                                                      
</t>
  </si>
  <si>
    <t xml:space="preserve">Dr TI ILC Comm/Other Charges                                          
ISS001-300429661                                                      
At Bank Aljazira                                                      
 CORPORATE BANKING DEPT-JEDDAH                                        
Date 02-01-1448(H) Time 12.33.16                                      
Reference ILC-0840-26-9418                                            
Value Date 02-01-1448(H)                                              
Fee Collected By Bank AlJazira                                        
</t>
  </si>
  <si>
    <t xml:space="preserve">Value Added Tax                                                       
On ILC Commission                                                     
15% of SAR6,750.00                                                    
Through CORPORATE BANKING DEPT-JEDDAH                                 
Date 02-01-1448(H) Time 12.33.14                                      
Reference ILC-0840-26-9418                                            
At Bank Aljazira                                                      
</t>
  </si>
  <si>
    <t xml:space="preserve">Dr TI ILC Comm/Other Charges                                          
ISS001-300429657                                                      
At Bank Aljazira                                                      
 CORPORATE BANKING DEPT-JEDDAH                                        
Date 02-01-1448(H) Time 12.33.15                                      
Reference ILC-0840-26-9418                                            
Value Date 02-01-1448(H)                                              
Fee Collected By Bank AlJazira                                        
</t>
  </si>
  <si>
    <t xml:space="preserve">Value Added Tax                                                       
On ILC Commission                                                     
15% of SAR6,250.00                                                    
Through CORPORATE BANKING DEPT-JEDDAH                                 
Date 02-01-1448(H) Time 12.33.15                                      
Reference ILC-0840-26-9418                                            
At Bank Aljazira                                                      
</t>
  </si>
  <si>
    <t xml:space="preserve">Dr TI ILC Comm/Other Charges                                          
ISS001-300429659                                                      
At Bank Aljazira                                                      
 CORPORATE BANKING DEPT-JEDDAH                                        
Date 02-01-1448(H) Time 12.33.15                                      
Reference ILC-0840-26-9418                                            
Value Date 02-01-1448(H)                                              
Fee Collected By Bank AlJazira                                        
</t>
  </si>
  <si>
    <t xml:space="preserve">Value Added Tax                                                       
On ILC SWIFT/Telex Charges                                            
15% of SAR750.00                                                      
Through CORPORATE BANKING DEPT-JEDDAH                                 
Date 02-01-1448(H) Time 12.33.15                                      
Reference ILC-0840-26-9418                                            
At Bank Aljazira                                                      
</t>
  </si>
  <si>
    <t xml:space="preserve">Dr TI ILC Comm/Other Charges                                          
AMD004-300376430                                                      
At Bank Aljazira                                                      
 CORPORATE BANKING DEPT-JEDDAH                                        
Exchange Rate 1.0                                                     
Date 02-01-1448(H) Time 10.28.27                                      
Reference ILC-0840-25-8166                                            
Value Date 02-01-1448(H)                                              
Fee Collected By Bank AlJazira                                        
</t>
  </si>
  <si>
    <t xml:space="preserve">Value Added Tax                                                       
On ILC Postal/DHL Charges                                             
15% of SAR200.00                                                      
Through CORPORATE BANKING DEPT-JEDDAH                                 
Date 02-01-1448(H) Time 12.33.16                                      
Reference ILC-0840-26-9418                                            
At Bank Aljazira                                                      
</t>
  </si>
  <si>
    <t xml:space="preserve">Dr TI LGI Commission (Unearned)                                       
ISS001-300429654                                                      
At Bank AlJazira                                                      
CORPORATE BANKING DEPT-JEDDAH                                         
Date 02-01-1448(H) Time 12.33.14                                      
Reference ILC-0840-26-9418                                            
</t>
  </si>
  <si>
    <t xml:space="preserve">Value Added Tax                                                       
On ILC Commission                                                     
15% of SAR500.00                                                      
Through CORPORATE BANKING DEPT-JEDDAH                                 
Date 02-01-1448(H) Time 10.28.26                                      
Reference ILC-0840-25-8166                                            
At Bank Aljazira                                                      
Exchange Rate 1.0                                                     
</t>
  </si>
  <si>
    <t xml:space="preserve">Value Added Tax                                                       
On SWIFT charges                                                      
15% of SAR200.00                                                      
Through CORPORATE BANKING DEPT-JEDDAH                                 
Date 02-01-1448(H) Time 10.27.31                                      
Reference ILC-0840-26-8820                                            
At Bank Aljazira                                                      
</t>
  </si>
  <si>
    <t xml:space="preserve">Value Added Tax                                                       
On SWIFT charges                                                      
15% of SAR200.00                                                      
Through CORPORATE BANKING DEPT-JEDDAH                                 
Date 02-01-1448(H) Time 10.28.08                                      
Reference ILC-0840-25-8164                                            
At Bank Aljazira                                                      
Exchange Rate 1.0                                                     
</t>
  </si>
  <si>
    <t xml:space="preserve">Dr TI ILC Comm/Other Charges                                          
AMD002-300375638                                                      
At Bank Aljazira                                                      
 CORPORATE BANKING DEPT-JEDDAH                                        
Date 02-01-1448(H) Time 10.26.41                                      
Reference ILC-0840-26-8823                                            
Value Date 02-01-1448(H)                                              
Fee Collected By Bank AlJazira                                        
</t>
  </si>
  <si>
    <t xml:space="preserve">Value Added Tax                                                       
On ILC Commission                                                     
15% of SAR500.00                                                      
Through CORPORATE BANKING DEPT-JEDDAH                                 
Date 02-01-1448(H) Time 10.26.42                                      
Reference ILC-0840-26-8823                                            
At Bank Aljazira                                                      
</t>
  </si>
  <si>
    <t xml:space="preserve">Dr TI ILC Comm/Other Charges                                          
AMD002-300375640                                                      
At Bank Aljazira                                                      
 CORPORATE BANKING DEPT-JEDDAH                                        
Date 02-01-1448(H) Time 10.26.42                                      
Reference ILC-0840-26-8823                                            
Value Date 02-01-1448(H)                                              
Fee Collected By Bank AlJazira                                        
</t>
  </si>
  <si>
    <t xml:space="preserve">Value Added Tax                                                       
On SWIFT charges                                                      
15% of SAR200.00                                                      
Through CORPORATE BANKING DEPT-JEDDAH                                 
Date 02-01-1448(H) Time 10.26.42                                      
Reference ILC-0840-26-8823                                            
At Bank Aljazira                                                      
</t>
  </si>
  <si>
    <t xml:space="preserve">Dr TI ILC Comm/Other Charges                                          
AMD002-300377346                                                      
At Bank Aljazira                                                      
 CORPORATE BANKING DEPT-JEDDAH                                        
Date 02-01-1448(H) Time 10.27.06                                      
Reference ILC-0840-26-8822                                            
Value Date 02-01-1448(H)                                              
Fee Collected By Bank AlJazira                                        
</t>
  </si>
  <si>
    <t xml:space="preserve">Value Added Tax                                                       
On ILC Commission                                                     
15% of SAR1,386.48                                                    
Through CORPORATE BANKING DEPT-JEDDAH                                 
Date 02-01-1448(H) Time 10.27.06                                      
Reference ILC-0840-26-8822                                            
At Bank Aljazira                                                      
</t>
  </si>
  <si>
    <t xml:space="preserve">Dr TI ILC Comm/Other Charges                                          
AMD002-300377348                                                      
At Bank Aljazira                                                      
 CORPORATE BANKING DEPT-JEDDAH                                        
Date 02-01-1448(H) Time 10.27.07                                      
Reference ILC-0840-26-8822                                            
Value Date 02-01-1448(H)                                              
Fee Collected By Bank AlJazira                                        
</t>
  </si>
  <si>
    <t xml:space="preserve">Value Added Tax                                                       
On SWIFT charges                                                      
15% of SAR200.00                                                      
Through CORPORATE BANKING DEPT-JEDDAH                                 
Date 02-01-1448(H) Time 10.27.07                                      
Reference ILC-0840-26-8822                                            
At Bank Aljazira                                                      
</t>
  </si>
  <si>
    <t xml:space="preserve">Dr TI ILC Comm/Other Charges                                          
AMD002-300379662                                                      
At Bank Aljazira                                                      
 CORPORATE BANKING DEPT-JEDDAH                                        
Date 02-01-1448(H) Time 10.27.30                                      
Reference ILC-0840-26-8820                                            
Value Date 02-01-1448(H)                                              
Fee Collected By Bank AlJazira                                        
</t>
  </si>
  <si>
    <t xml:space="preserve">Value Added Tax                                                       
On ILC Commission                                                     
15% of SAR500.00                                                      
Through CORPORATE BANKING DEPT-JEDDAH                                 
Date 02-01-1448(H) Time 10.27.30                                      
Reference ILC-0840-26-8820                                            
At Bank Aljazira                                                      
</t>
  </si>
  <si>
    <t xml:space="preserve">Dr TI ILC Comm/Other Charges                                          
AMD002-300379664                                                      
At Bank Aljazira                                                      
 CORPORATE BANKING DEPT-JEDDAH                                        
Date 02-01-1448(H) Time 10.27.31                                      
Reference ILC-0840-26-8820                                            
Value Date 02-01-1448(H)                                              
Fee Collected By Bank AlJazira                                        
</t>
  </si>
  <si>
    <t xml:space="preserve">Dr TI ILC Comm/Other Charges                                          
ISS001-300429663                                                      
At Bank Aljazira                                                      
 CORPORATE BANKING DEPT-JEDDAH                                        
Date 02-01-1448(H) Time 12.33.16                                      
Reference ILC-0840-26-9418                                            
Value Date 02-01-1448(H)                                              
Fee Collected By Bank AlJazira                                        
</t>
  </si>
  <si>
    <t xml:space="preserve">Dr TI ILC Comm/Other Charges                                          
AMD004-300378374                                                      
At Bank Aljazira                                                      
 CORPORATE BANKING DEPT-JEDDAH                                        
Exchange Rate 1.0                                                     
Date 02-01-1448(H) Time 10.28.05                                      
Reference ILC-0840-25-8164                                            
Value Date 02-01-1448(H)                                              
Fee Collected By Bank AlJazira                                        
</t>
  </si>
  <si>
    <t xml:space="preserve">Value Added Tax                                                       
On ILC Commission                                                     
15% of SAR500.00                                                      
Through CORPORATE BANKING DEPT-JEDDAH                                 
Date 02-01-1448(H) Time 10.28.05                                      
Reference ILC-0840-25-8164                                            
At Bank Aljazira                                                      
Exchange Rate 1.0                                                     
</t>
  </si>
  <si>
    <t xml:space="preserve">Dr TI ILC Comm/Other Charges                                          
AMD004-300378376                                                      
At Bank Aljazira                                                      
 CORPORATE BANKING DEPT-JEDDAH                                        
Exchange Rate 1.0                                                     
Date 02-01-1448(H) Time 10.28.08                                      
Reference ILC-0840-25-8164                                            
Value Date 02-01-1448(H)                                              
Fee Collected By Bank AlJazira                                        
</t>
  </si>
  <si>
    <t xml:space="preserve">Dr TI ILC Comm/Other Charges                                          
AMD004-300376428                                                      
At Bank Aljazira                                                      
 CORPORATE BANKING DEPT-JEDDAH                                        
Exchange Rate 1.0                                                     
Date 02-01-1448(H) Time 10.28.26                                      
Reference ILC-0840-25-8166                                            
Value Date 02-01-1448(H)                                              
Fee Collected By Bank AlJazira                                        
</t>
  </si>
  <si>
    <t xml:space="preserve">Value Added Tax                                                       
On LC PROCESSING FEE                                                  
15% of SAR9,444.44                                                    
Through CORPORATE BANKING DEPT-JEDDAH                                 
Date 02-01-1448(H) Time 12.33.16                                      
Reference ILC-0840-26-9418                                            
At Bank Aljazira                                                      
</t>
  </si>
  <si>
    <t>NR</t>
  </si>
  <si>
    <t>Special Text vetting with Bank | RTF submitted to bank on 18-06</t>
  </si>
  <si>
    <t>Pico International for Event and Expo</t>
  </si>
  <si>
    <t>to bank on 18-06 | EXP: 31-07-2027</t>
  </si>
  <si>
    <t>to bank on 18-06 | Exp: 31-12</t>
  </si>
  <si>
    <t>Guarantee</t>
  </si>
  <si>
    <t xml:space="preserve">ICAD / </t>
  </si>
  <si>
    <t>577000010006080920117</t>
  </si>
  <si>
    <t>26OGTE49101516 2 20260603102656</t>
  </si>
  <si>
    <t>26OGTE49101492 2 20260601093431</t>
  </si>
  <si>
    <t>BFG International W.L.L.</t>
  </si>
  <si>
    <t>30 Days from the Shipment Date</t>
  </si>
  <si>
    <t>11/08/2026</t>
  </si>
  <si>
    <t>Royal Commission for Riyadh City</t>
  </si>
  <si>
    <t xml:space="preserve">Implementation of the Second Group of Urgent Bridges Project - Riyadh </t>
  </si>
  <si>
    <t>LC Cancelled by Project</t>
  </si>
  <si>
    <t>Bid - Royal Commission for Riyadh City</t>
  </si>
  <si>
    <t>JLG7001686</t>
  </si>
  <si>
    <t>REF 000000JLC6901431,RB REF JLC6901431,VIA CORE SYSTEM,DATE-TIME 18/06-10:36:55, عن طريق النظام الآ لي ,VALUE DT 18/06/26</t>
  </si>
  <si>
    <t>REF 000000JLC6901431,RB REF JLC6901431,VIA CORE SYSTEM,DATE-TIME 18/06-10:35:48, عن طريق النظام الآ لي ,VALUE DT 18/06/26</t>
  </si>
  <si>
    <t>CITY:Jeddah 6132226J210944003</t>
  </si>
  <si>
    <t>J210944003</t>
  </si>
  <si>
    <t>65800000764401 DEP ID:4030219311 CHNL:SNB Payment Systems J210104</t>
  </si>
  <si>
    <t>65800000764401</t>
  </si>
  <si>
    <t>JLC6901431_cre</t>
  </si>
  <si>
    <t>reimbursing Charges</t>
  </si>
  <si>
    <t>Project #</t>
  </si>
  <si>
    <t>Project Name</t>
  </si>
  <si>
    <t>LC #</t>
  </si>
  <si>
    <t>Amount of LC (SR)</t>
  </si>
  <si>
    <t>Goods</t>
  </si>
  <si>
    <t>Date of Issue</t>
  </si>
  <si>
    <t>Date of Expiry</t>
  </si>
  <si>
    <t>Proposed Extension Date</t>
  </si>
  <si>
    <t>Partial shipments made/ Amount already settled from the initial LC amount. (SR)</t>
  </si>
  <si>
    <t>PR-1</t>
  </si>
  <si>
    <t>King AbdulAziz Park – Riyadh</t>
  </si>
  <si>
    <t>19/08/2026</t>
  </si>
  <si>
    <t>J212502</t>
  </si>
  <si>
    <t>Metal and Glass Trading Co One Person</t>
  </si>
  <si>
    <t>M-Cancelled</t>
  </si>
  <si>
    <t>Modern Material Leaders</t>
  </si>
  <si>
    <t>to bank on 23-06</t>
  </si>
  <si>
    <t>DCBWPM166944</t>
  </si>
  <si>
    <t>INDUSTRIAL STONES SOURCE</t>
  </si>
  <si>
    <t>RB REF JLG7001686,VIA CORE SYSTEM,DATE-TIME 22/06-10:14:46, عن طريق النظام الآ لي ,VALUE DT 22/06/26</t>
  </si>
  <si>
    <t>CITY:Jeddah 6132226J212502000</t>
  </si>
  <si>
    <t>J212502000</t>
  </si>
  <si>
    <t>CITY:Jeddah 6132226J212311001</t>
  </si>
  <si>
    <t>J212311001</t>
  </si>
  <si>
    <t>IMP BILL AMEND. CHARGES DPBEPM221682WPM DCBWPM564580</t>
  </si>
  <si>
    <t>DPBEPM221682WPM</t>
  </si>
  <si>
    <t>Facility Issue | GA Pending | PD Received | Preparation Pending</t>
  </si>
  <si>
    <t>to bank on 23-06| LC Increase 1.5M | Exp Date 31-08</t>
  </si>
  <si>
    <t>to bank on 23-06| Increase 25M | Extend 30-09 |Tenor 120 Days</t>
  </si>
  <si>
    <t>Hold as per Obada | Facility Issue | Draft Pending</t>
  </si>
  <si>
    <t>GA Pending | NBK Prepared</t>
  </si>
  <si>
    <t>GA Pending | SAB Prepared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</si>
</sst>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43" formatCode="_(* #,##0.00_);_(* \(#,##0.00\);_(* &quot;-&quot;??_);_(@_)"/>
    <numFmt numFmtId="164" formatCode="_(* #,##0.00_);_(* \(#,##0.00\);_(* &quot;-&quot;??_);_(@_)"/>
    <numFmt numFmtId="165" formatCode="[$-409]dd\-mmm\-yy;@"/>
    <numFmt numFmtId="166" formatCode="#,##0.00_ ;[Red]\-#,##0.00\ "/>
    <numFmt numFmtId="167" formatCode="dd\-mmm\-yyyy"/>
    <numFmt numFmtId="168" formatCode="0.000%"/>
    <numFmt numFmtId="169" formatCode="0.0000%"/>
    <numFmt numFmtId="170" formatCode="_-* #,##0_-;\-* #,##0_-;_-* &quot;-&quot;??_-;_-@_-"/>
    <numFmt numFmtId="171" formatCode="m/d/yyyy"/>
    <numFmt numFmtId="172" formatCode="#,##0.00_);[Red]\(#,##0.00\)"/>
    <numFmt numFmtId="173" formatCode="d\-mmm\-yy"/>
    <numFmt numFmtId="174" formatCode="_(* #,##0.000_);_(* \(#,##0.000\);_(* &quot;-&quot;??_);_(@_)"/>
  </numFmts>
  <fonts count="56" x14ac:knownFonts="1">
    <font>
      <sz val="11"/>
      <color theme="1"/>
      <name val="Calibri"/>
      <family val="2"/>
      <scheme val="minor"/>
    </font>
    <font>
      <sz val="11"/>
      <color theme="1"/>
      <name val="Calibri"/>
      <family val="2"/>
      <scheme val="minor"/>
    </font>
    <font>
      <b/>
      <sz val="11"/>
      <color theme="0"/>
      <name val="Calibri"/>
      <family val="2"/>
      <scheme val="minor"/>
    </font>
    <font>
      <sz val="12"/>
      <color theme="1"/>
      <name val="Calibri"/>
      <family val="2"/>
      <scheme val="minor"/>
    </font>
    <font>
      <sz val="12"/>
      <name val="Calibri"/>
      <family val="2"/>
      <scheme val="minor"/>
    </font>
    <font>
      <sz val="8"/>
      <color indexed="81"/>
      <name val="Tahoma"/>
      <family val="2"/>
    </font>
    <font>
      <b/>
      <sz val="9"/>
      <color indexed="81"/>
      <name val="Tahoma"/>
      <family val="2"/>
    </font>
    <font>
      <sz val="9"/>
      <color indexed="81"/>
      <name val="Tahoma"/>
      <family val="2"/>
    </font>
    <font>
      <sz val="10"/>
      <name val="Arial"/>
      <family val="2"/>
    </font>
    <font>
      <b/>
      <sz val="12"/>
      <color theme="0"/>
      <name val="Calibri"/>
      <family val="2"/>
      <scheme val="minor"/>
    </font>
    <font>
      <b/>
      <sz val="11"/>
      <color theme="1"/>
      <name val="Calibri"/>
      <family val="2"/>
      <scheme val="minor"/>
    </font>
    <font>
      <sz val="11"/>
      <color theme="0"/>
      <name val="Calibri"/>
      <family val="2"/>
      <scheme val="minor"/>
    </font>
    <font>
      <b/>
      <sz val="16"/>
      <color theme="4"/>
      <name val="Georgia"/>
      <family val="1"/>
    </font>
    <font>
      <b/>
      <sz val="11"/>
      <color rgb="FF000000"/>
      <name val="Aptos Narrow"/>
      <family val="2"/>
    </font>
    <font>
      <b/>
      <sz val="20"/>
      <color theme="1"/>
      <name val="Calibri"/>
      <family val="2"/>
      <scheme val="minor"/>
    </font>
    <font>
      <b/>
      <sz val="10"/>
      <color theme="1"/>
      <name val="Calibri"/>
      <family val="2"/>
      <scheme val="minor"/>
    </font>
    <font>
      <b/>
      <sz val="11"/>
      <color theme="0"/>
      <name val="Calibri"/>
      <family val="2"/>
    </font>
    <font>
      <sz val="12"/>
      <color theme="1"/>
      <name val="Calibri"/>
      <family val="2"/>
    </font>
    <font>
      <sz val="12"/>
      <name val="Calibri"/>
      <family val="2"/>
    </font>
    <font>
      <b/>
      <sz val="18"/>
      <color theme="4"/>
      <name val="Georgia"/>
      <family val="1"/>
    </font>
    <font>
      <i/>
      <sz val="12"/>
      <color theme="0" tint="-0.34998626667073579"/>
      <name val="Calibri"/>
      <family val="2"/>
      <scheme val="minor"/>
    </font>
    <font>
      <i/>
      <sz val="12"/>
      <color theme="0" tint="-0.34998626667073579"/>
      <name val="Calibri"/>
      <family val="2"/>
    </font>
    <font>
      <sz val="12"/>
      <color rgb="FF00B050"/>
      <name val="Calibri"/>
      <family val="2"/>
      <scheme val="minor"/>
    </font>
    <font>
      <i/>
      <sz val="11"/>
      <color theme="0" tint="-0.14999847407452621"/>
      <name val="Calibri"/>
      <family val="2"/>
      <scheme val="minor"/>
    </font>
    <font>
      <sz val="8"/>
      <name val="Calibri"/>
      <family val="2"/>
      <scheme val="minor"/>
    </font>
    <font>
      <b/>
      <sz val="10"/>
      <name val="Arial"/>
      <family val="2"/>
    </font>
    <font>
      <b/>
      <sz val="12"/>
      <color theme="4"/>
      <name val="Georgia"/>
      <family val="1"/>
    </font>
    <font>
      <sz val="12"/>
      <color rgb="FFC00000"/>
      <name val="Calibri"/>
      <family val="2"/>
      <scheme val="minor"/>
    </font>
    <font>
      <b/>
      <sz val="16"/>
      <color theme="3"/>
      <name val="Georgia"/>
      <family val="1"/>
    </font>
    <font>
      <b/>
      <sz val="11"/>
      <color rgb="FFFF0000"/>
      <name val="Calibri"/>
      <family val="2"/>
      <scheme val="minor"/>
    </font>
    <font>
      <b/>
      <sz val="11"/>
      <color rgb="FFC00000"/>
      <name val="Calibri"/>
      <family val="2"/>
      <scheme val="minor"/>
    </font>
    <font>
      <sz val="12"/>
      <color rgb="FF000000"/>
      <name val="Calibri"/>
      <family val="2"/>
      <scheme val="minor"/>
    </font>
    <font>
      <b/>
      <sz val="12"/>
      <name val="Calibri"/>
      <family val="2"/>
      <scheme val="minor"/>
    </font>
    <font>
      <b/>
      <sz val="12"/>
      <color theme="5"/>
      <name val="Georgia"/>
      <family val="1"/>
    </font>
    <font>
      <sz val="11"/>
      <color rgb="FF00B0F0"/>
      <name val="Calibri"/>
      <family val="2"/>
      <scheme val="minor"/>
    </font>
    <font>
      <b/>
      <sz val="12"/>
      <color theme="1"/>
      <name val="Calibri"/>
      <family val="2"/>
      <scheme val="minor"/>
    </font>
    <font>
      <b/>
      <sz val="11"/>
      <color rgb="FF00B0F0"/>
      <name val="Calibri"/>
      <family val="2"/>
      <scheme val="minor"/>
    </font>
    <font>
      <sz val="11"/>
      <color theme="5" tint="-0.499984740745262"/>
      <name val="Calibri"/>
      <family val="2"/>
      <scheme val="minor"/>
    </font>
    <font>
      <sz val="11"/>
      <name val="Calibri"/>
      <family val="2"/>
      <scheme val="minor"/>
    </font>
    <font>
      <sz val="12"/>
      <color theme="0"/>
      <name val="Calibri"/>
      <family val="2"/>
      <scheme val="minor"/>
    </font>
    <font>
      <sz val="11"/>
      <color rgb="FF00B050"/>
      <name val="Calibri"/>
      <family val="2"/>
      <scheme val="minor"/>
    </font>
    <font>
      <sz val="10"/>
      <color rgb="FF000000"/>
      <name val="Calibri"/>
      <family val="2"/>
    </font>
    <font>
      <b/>
      <sz val="10"/>
      <color rgb="FF000000"/>
      <name val="Calibri"/>
      <family val="2"/>
    </font>
    <font>
      <b/>
      <sz val="11"/>
      <color rgb="FFFFFF00"/>
      <name val="Calibri"/>
      <family val="2"/>
    </font>
    <font>
      <u/>
      <sz val="11"/>
      <color theme="10"/>
      <name val="Calibri"/>
      <family val="2"/>
      <scheme val="minor"/>
    </font>
    <font>
      <sz val="9"/>
      <name val="Times New Roman"/>
      <family val="1"/>
    </font>
    <font>
      <sz val="9"/>
      <color theme="1"/>
      <name val="Times New Roman"/>
      <family val="1"/>
    </font>
    <font>
      <b/>
      <sz val="9"/>
      <color theme="1"/>
      <name val="Times New Roman"/>
      <family val="1"/>
    </font>
    <font>
      <sz val="12"/>
      <color rgb="FFFF0000"/>
      <name val="Calibri"/>
      <family val="2"/>
      <scheme val="minor"/>
    </font>
    <font>
      <sz val="11"/>
      <color theme="0"/>
      <name val="Calibri"/>
      <family val="2"/>
    </font>
    <font>
      <b/>
      <sz val="11"/>
      <color rgb="FFFFFF00"/>
      <name val="Calibri"/>
      <family val="2"/>
      <scheme val="minor"/>
    </font>
    <font>
      <sz val="12"/>
      <color rgb="FF000000"/>
      <name val="Calibri"/>
      <family val="2"/>
    </font>
    <font>
      <sz val="11"/>
      <color rgb="FF000000"/>
      <name val="Arial"/>
      <family val="2"/>
    </font>
    <font>
      <sz val="11"/>
      <color rgb="FF000000"/>
      <name val="Aptos"/>
      <family val="2"/>
    </font>
    <font>
      <sz val="11"/>
      <color rgb="FF000000"/>
      <name val="Trebuchet MS"/>
      <family val="2"/>
    </font>
    <font>
      <b/>
      <sz val="11"/>
      <color rgb="FF000000"/>
      <name val="Trebuchet MS"/>
      <family val="2"/>
    </font>
  </fonts>
  <fills count="31">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3"/>
        <bgColor indexed="64"/>
      </patternFill>
    </fill>
    <fill>
      <patternFill patternType="solid">
        <fgColor theme="0"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3"/>
        <bgColor theme="3"/>
      </patternFill>
    </fill>
    <fill>
      <patternFill patternType="solid">
        <fgColor theme="3" tint="0.59999389629810485"/>
        <bgColor indexed="64"/>
      </patternFill>
    </fill>
    <fill>
      <patternFill patternType="solid">
        <fgColor theme="3"/>
        <bgColor rgb="FF002060"/>
      </patternFill>
    </fill>
    <fill>
      <patternFill patternType="solid">
        <fgColor theme="1"/>
        <bgColor indexed="64"/>
      </patternFill>
    </fill>
    <fill>
      <patternFill patternType="solid">
        <fgColor theme="4" tint="0.79998168889431442"/>
        <bgColor indexed="64"/>
      </patternFill>
    </fill>
    <fill>
      <patternFill patternType="solid">
        <fgColor theme="8" tint="-0.249977111117893"/>
        <bgColor indexed="64"/>
      </patternFill>
    </fill>
    <fill>
      <patternFill patternType="solid">
        <fgColor rgb="FFFFC000"/>
        <bgColor indexed="64"/>
      </patternFill>
    </fill>
    <fill>
      <patternFill patternType="solid">
        <fgColor theme="7" tint="0.39997558519241921"/>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5" tint="-0.499984740745262"/>
        <bgColor indexed="64"/>
      </patternFill>
    </fill>
    <fill>
      <patternFill patternType="solid">
        <fgColor theme="5" tint="-0.499984740745262"/>
        <bgColor theme="5" tint="-0.499984740745262"/>
      </patternFill>
    </fill>
    <fill>
      <patternFill patternType="solid">
        <fgColor theme="1" tint="0.249977111117893"/>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4" tint="-0.499984740745262"/>
        <bgColor indexed="64"/>
      </patternFill>
    </fill>
    <fill>
      <patternFill patternType="solid">
        <fgColor theme="5"/>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6" tint="0.39997558519241921"/>
        <bgColor indexed="64"/>
      </patternFill>
    </fill>
  </fills>
  <borders count="55">
    <border>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theme="0" tint="-0.249977111117893"/>
      </right>
      <top/>
      <bottom/>
      <diagonal/>
    </border>
    <border>
      <left style="thin">
        <color theme="0" tint="-0.249977111117893"/>
      </left>
      <right style="thin">
        <color theme="0" tint="-0.249977111117893"/>
      </right>
      <top/>
      <bottom/>
      <diagonal/>
    </border>
    <border>
      <left style="thin">
        <color theme="0" tint="-0.249977111117893"/>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bottom/>
      <diagonal/>
    </border>
    <border>
      <left style="thin">
        <color rgb="FF999999"/>
      </left>
      <right/>
      <top style="thin">
        <color rgb="FF999999"/>
      </top>
      <bottom/>
      <diagonal/>
    </border>
    <border>
      <left style="thin">
        <color rgb="FF999999"/>
      </left>
      <right/>
      <top style="thin">
        <color indexed="65"/>
      </top>
      <bottom/>
      <diagonal/>
    </border>
    <border>
      <left style="thin">
        <color rgb="FF999999"/>
      </left>
      <right style="thin">
        <color rgb="FF999999"/>
      </right>
      <top style="thin">
        <color rgb="FF999999"/>
      </top>
      <bottom/>
      <diagonal/>
    </border>
    <border>
      <left style="thin">
        <color rgb="FF999999"/>
      </left>
      <right/>
      <top style="thin">
        <color rgb="FF999999"/>
      </top>
      <bottom style="thin">
        <color rgb="FF999999"/>
      </bottom>
      <diagonal/>
    </border>
    <border>
      <left style="thin">
        <color indexed="65"/>
      </left>
      <right/>
      <top style="thin">
        <color rgb="FF999999"/>
      </top>
      <bottom style="thin">
        <color rgb="FF999999"/>
      </bottom>
      <diagonal/>
    </border>
    <border>
      <left style="thin">
        <color rgb="FF999999"/>
      </left>
      <right style="thin">
        <color rgb="FF999999"/>
      </right>
      <top style="thin">
        <color rgb="FF999999"/>
      </top>
      <bottom style="thin">
        <color rgb="FF999999"/>
      </bottom>
      <diagonal/>
    </border>
    <border>
      <left style="thin">
        <color rgb="FF999999"/>
      </left>
      <right style="thin">
        <color rgb="FF999999"/>
      </right>
      <top/>
      <bottom/>
      <diagonal/>
    </border>
    <border>
      <left style="medium">
        <color indexed="64"/>
      </left>
      <right style="medium">
        <color indexed="64"/>
      </right>
      <top style="medium">
        <color indexed="64"/>
      </top>
      <bottom style="medium">
        <color indexed="64"/>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indexed="65"/>
      </left>
      <right/>
      <top style="thin">
        <color indexed="65"/>
      </top>
      <bottom/>
      <diagonal/>
    </border>
    <border>
      <left style="thin">
        <color rgb="FF999999"/>
      </left>
      <right style="thin">
        <color rgb="FF999999"/>
      </right>
      <top style="thin">
        <color indexed="65"/>
      </top>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top style="medium">
        <color indexed="64"/>
      </top>
      <bottom/>
      <diagonal/>
    </border>
    <border>
      <left style="thin">
        <color indexed="64"/>
      </left>
      <right style="thin">
        <color theme="0" tint="-0.249977111117893"/>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rgb="FF999999"/>
      </left>
      <right/>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theme="0" tint="-0.249977111117893"/>
      </left>
      <right style="thin">
        <color indexed="64"/>
      </right>
      <top style="thin">
        <color indexed="64"/>
      </top>
      <bottom style="thin">
        <color indexed="64"/>
      </bottom>
      <diagonal/>
    </border>
    <border>
      <left/>
      <right/>
      <top/>
      <bottom style="thin">
        <color indexed="64"/>
      </bottom>
      <diagonal/>
    </border>
    <border>
      <left style="thin">
        <color theme="0" tint="-0.249977111117893"/>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medium">
        <color indexed="64"/>
      </bottom>
      <diagonal/>
    </border>
    <border>
      <left style="thin">
        <color theme="0" tint="-0.249977111117893"/>
      </left>
      <right style="thin">
        <color indexed="64"/>
      </right>
      <top style="thin">
        <color indexed="64"/>
      </top>
      <bottom style="thin">
        <color theme="4" tint="0.39997558519241921"/>
      </bottom>
      <diagonal/>
    </border>
    <border>
      <left/>
      <right style="thin">
        <color indexed="64"/>
      </right>
      <top style="thin">
        <color indexed="64"/>
      </top>
      <bottom style="thin">
        <color theme="4" tint="0.39997558519241921"/>
      </bottom>
      <diagonal/>
    </border>
    <border>
      <left style="thin">
        <color rgb="FF999999"/>
      </left>
      <right style="thin">
        <color indexed="64"/>
      </right>
      <top style="thin">
        <color indexed="64"/>
      </top>
      <bottom style="thin">
        <color indexed="64"/>
      </bottom>
      <diagonal/>
    </border>
    <border>
      <left style="thin">
        <color rgb="FF999999"/>
      </left>
      <right style="thin">
        <color indexed="64"/>
      </right>
      <top style="thin">
        <color rgb="FF999999"/>
      </top>
      <bottom/>
      <diagonal/>
    </border>
  </borders>
  <cellStyleXfs count="8">
    <xf numFmtId="0" fontId="0" fillId="0" borderId="0"/>
    <xf numFmtId="164" fontId="1" fillId="0" borderId="0" applyFont="0" applyFill="0" applyBorder="0" applyAlignment="0" applyProtection="0"/>
    <xf numFmtId="0" fontId="8" fillId="0" borderId="0"/>
    <xf numFmtId="164" fontId="1" fillId="0" borderId="0" applyFont="0" applyFill="0" applyBorder="0" applyAlignment="0" applyProtection="0"/>
    <xf numFmtId="164" fontId="8" fillId="0" borderId="0" applyFont="0" applyFill="0" applyBorder="0" applyAlignment="0" applyProtection="0"/>
    <xf numFmtId="0" fontId="8" fillId="0" borderId="0"/>
    <xf numFmtId="164" fontId="1" fillId="0" borderId="0" applyFont="0" applyFill="0" applyBorder="0" applyAlignment="0" applyProtection="0"/>
    <xf numFmtId="0" fontId="44" fillId="0" borderId="0" applyNumberFormat="0" applyFill="0" applyBorder="0" applyAlignment="0" applyProtection="0"/>
  </cellStyleXfs>
  <cellXfs count="654">
    <xf numFmtId="0" fontId="0" fillId="0" borderId="0" xfId="0"/>
    <xf numFmtId="0" fontId="0" fillId="0" borderId="6" xfId="0" applyBorder="1"/>
    <xf numFmtId="0" fontId="9" fillId="4" borderId="1" xfId="0" applyFont="1" applyFill="1" applyBorder="1" applyAlignment="1">
      <alignment horizontal="center" vertical="center"/>
    </xf>
    <xf numFmtId="0" fontId="9" fillId="4" borderId="2" xfId="0" applyFont="1" applyFill="1" applyBorder="1" applyAlignment="1">
      <alignment horizontal="center" vertical="center"/>
    </xf>
    <xf numFmtId="0" fontId="9" fillId="4" borderId="3" xfId="0" applyFont="1" applyFill="1" applyBorder="1" applyAlignment="1">
      <alignment horizontal="center" vertical="center"/>
    </xf>
    <xf numFmtId="0" fontId="9" fillId="4" borderId="9" xfId="0" applyFont="1" applyFill="1" applyBorder="1" applyAlignment="1">
      <alignment horizontal="center" vertical="center"/>
    </xf>
    <xf numFmtId="0" fontId="9" fillId="4" borderId="4" xfId="0" applyFont="1" applyFill="1" applyBorder="1" applyAlignment="1">
      <alignment horizontal="center" vertical="center"/>
    </xf>
    <xf numFmtId="0" fontId="2" fillId="4" borderId="0" xfId="0" applyFont="1" applyFill="1"/>
    <xf numFmtId="164" fontId="0" fillId="0" borderId="0" xfId="0" applyNumberFormat="1"/>
    <xf numFmtId="0" fontId="0" fillId="5" borderId="0" xfId="0" applyFill="1"/>
    <xf numFmtId="164" fontId="2" fillId="4" borderId="18" xfId="0" applyNumberFormat="1" applyFont="1" applyFill="1" applyBorder="1"/>
    <xf numFmtId="164" fontId="2" fillId="4" borderId="19" xfId="0" applyNumberFormat="1" applyFont="1" applyFill="1" applyBorder="1"/>
    <xf numFmtId="164" fontId="2" fillId="4" borderId="21" xfId="0" applyNumberFormat="1" applyFont="1" applyFill="1" applyBorder="1"/>
    <xf numFmtId="164" fontId="0" fillId="0" borderId="6" xfId="1" applyFont="1" applyBorder="1"/>
    <xf numFmtId="0" fontId="3" fillId="2" borderId="6" xfId="0" applyFont="1" applyFill="1" applyBorder="1" applyAlignment="1">
      <alignment horizontal="left"/>
    </xf>
    <xf numFmtId="165" fontId="4" fillId="2" borderId="6" xfId="2" applyNumberFormat="1" applyFont="1" applyFill="1" applyBorder="1" applyAlignment="1">
      <alignment horizontal="center" vertical="center"/>
    </xf>
    <xf numFmtId="0" fontId="3" fillId="2" borderId="6" xfId="0" applyFont="1" applyFill="1" applyBorder="1"/>
    <xf numFmtId="0" fontId="3" fillId="2" borderId="6" xfId="0" quotePrefix="1" applyFont="1" applyFill="1" applyBorder="1"/>
    <xf numFmtId="164" fontId="4" fillId="2" borderId="6" xfId="1" applyFont="1" applyFill="1" applyBorder="1" applyAlignment="1">
      <alignment vertical="center"/>
    </xf>
    <xf numFmtId="0" fontId="3" fillId="2" borderId="6" xfId="0" applyFont="1" applyFill="1" applyBorder="1" applyAlignment="1">
      <alignment horizontal="left" vertical="top"/>
    </xf>
    <xf numFmtId="165" fontId="4" fillId="2" borderId="6" xfId="2" applyNumberFormat="1" applyFont="1" applyFill="1" applyBorder="1" applyAlignment="1">
      <alignment horizontal="left" vertical="center"/>
    </xf>
    <xf numFmtId="165" fontId="4" fillId="2" borderId="6" xfId="2" applyNumberFormat="1" applyFont="1" applyFill="1" applyBorder="1" applyAlignment="1">
      <alignment horizontal="left" vertical="top"/>
    </xf>
    <xf numFmtId="165" fontId="4" fillId="2" borderId="6" xfId="1" applyNumberFormat="1" applyFont="1" applyFill="1" applyBorder="1" applyAlignment="1">
      <alignment vertical="center"/>
    </xf>
    <xf numFmtId="0" fontId="2" fillId="4" borderId="1" xfId="0" applyFont="1" applyFill="1" applyBorder="1"/>
    <xf numFmtId="0" fontId="2" fillId="4" borderId="2" xfId="0" applyFont="1" applyFill="1" applyBorder="1"/>
    <xf numFmtId="0" fontId="2" fillId="4" borderId="3" xfId="0" applyFont="1" applyFill="1" applyBorder="1"/>
    <xf numFmtId="0" fontId="4" fillId="2" borderId="6" xfId="2" applyFont="1" applyFill="1" applyBorder="1" applyAlignment="1">
      <alignment horizontal="center" vertical="center"/>
    </xf>
    <xf numFmtId="0" fontId="2" fillId="4" borderId="16" xfId="0" applyFont="1" applyFill="1" applyBorder="1"/>
    <xf numFmtId="0" fontId="2" fillId="4" borderId="24" xfId="0" applyFont="1" applyFill="1" applyBorder="1"/>
    <xf numFmtId="0" fontId="2" fillId="4" borderId="17" xfId="0" applyFont="1" applyFill="1" applyBorder="1"/>
    <xf numFmtId="0" fontId="2" fillId="4" borderId="26" xfId="0" applyFont="1" applyFill="1" applyBorder="1"/>
    <xf numFmtId="0" fontId="2" fillId="4" borderId="25" xfId="0" applyFont="1" applyFill="1" applyBorder="1"/>
    <xf numFmtId="0" fontId="2" fillId="4" borderId="18" xfId="0" applyFont="1" applyFill="1" applyBorder="1"/>
    <xf numFmtId="0" fontId="17" fillId="2" borderId="6" xfId="0" applyFont="1" applyFill="1" applyBorder="1"/>
    <xf numFmtId="0" fontId="17" fillId="2" borderId="6" xfId="0" applyFont="1" applyFill="1" applyBorder="1" applyAlignment="1">
      <alignment horizontal="left"/>
    </xf>
    <xf numFmtId="165" fontId="18" fillId="2" borderId="6" xfId="2" applyNumberFormat="1" applyFont="1" applyFill="1" applyBorder="1" applyAlignment="1">
      <alignment horizontal="center" vertical="center"/>
    </xf>
    <xf numFmtId="0" fontId="18" fillId="2" borderId="6" xfId="2" applyFont="1" applyFill="1" applyBorder="1" applyAlignment="1">
      <alignment horizontal="center" vertical="center"/>
    </xf>
    <xf numFmtId="0" fontId="17" fillId="2" borderId="6" xfId="0" quotePrefix="1" applyFont="1" applyFill="1" applyBorder="1"/>
    <xf numFmtId="164" fontId="18" fillId="2" borderId="6" xfId="1" applyFont="1" applyFill="1" applyBorder="1" applyAlignment="1">
      <alignment vertical="center"/>
    </xf>
    <xf numFmtId="0" fontId="17" fillId="2" borderId="6" xfId="0" applyFont="1" applyFill="1" applyBorder="1" applyAlignment="1">
      <alignment horizontal="left" vertical="top"/>
    </xf>
    <xf numFmtId="165" fontId="18" fillId="2" borderId="6" xfId="2" applyNumberFormat="1" applyFont="1" applyFill="1" applyBorder="1" applyAlignment="1">
      <alignment horizontal="left" vertical="center"/>
    </xf>
    <xf numFmtId="165" fontId="18" fillId="2" borderId="6" xfId="2" applyNumberFormat="1" applyFont="1" applyFill="1" applyBorder="1" applyAlignment="1">
      <alignment horizontal="left" vertical="top"/>
    </xf>
    <xf numFmtId="0" fontId="0" fillId="2" borderId="15" xfId="0" applyFill="1" applyBorder="1"/>
    <xf numFmtId="14" fontId="0" fillId="2" borderId="4" xfId="0" applyNumberFormat="1" applyFill="1" applyBorder="1"/>
    <xf numFmtId="0" fontId="0" fillId="2" borderId="4" xfId="0" applyFill="1" applyBorder="1"/>
    <xf numFmtId="0" fontId="0" fillId="2" borderId="9" xfId="0" applyFill="1" applyBorder="1"/>
    <xf numFmtId="164" fontId="17" fillId="0" borderId="2" xfId="1" applyFont="1" applyFill="1" applyBorder="1" applyAlignment="1">
      <alignment horizontal="center" vertical="center"/>
    </xf>
    <xf numFmtId="164" fontId="17" fillId="0" borderId="6" xfId="1" applyFont="1" applyFill="1" applyBorder="1" applyAlignment="1">
      <alignment horizontal="center" vertical="center"/>
    </xf>
    <xf numFmtId="0" fontId="3" fillId="2" borderId="6" xfId="0" applyFont="1" applyFill="1" applyBorder="1" applyAlignment="1">
      <alignment horizontal="center" vertical="center"/>
    </xf>
    <xf numFmtId="14" fontId="3" fillId="2" borderId="6" xfId="0" applyNumberFormat="1" applyFont="1" applyFill="1" applyBorder="1" applyAlignment="1">
      <alignment horizontal="center" vertical="center"/>
    </xf>
    <xf numFmtId="164" fontId="3" fillId="2" borderId="6" xfId="1" applyFont="1" applyFill="1" applyBorder="1" applyAlignment="1">
      <alignment horizontal="center" vertical="center"/>
    </xf>
    <xf numFmtId="0" fontId="3" fillId="2" borderId="2" xfId="0" applyFont="1" applyFill="1" applyBorder="1" applyAlignment="1">
      <alignment horizontal="center" vertical="center"/>
    </xf>
    <xf numFmtId="14" fontId="3" fillId="2" borderId="2" xfId="0" applyNumberFormat="1" applyFont="1" applyFill="1" applyBorder="1" applyAlignment="1">
      <alignment horizontal="center" vertical="center"/>
    </xf>
    <xf numFmtId="164" fontId="3" fillId="2" borderId="2" xfId="1" applyFont="1" applyFill="1" applyBorder="1" applyAlignment="1">
      <alignment horizontal="center" vertical="center"/>
    </xf>
    <xf numFmtId="164" fontId="3" fillId="2" borderId="7" xfId="1" applyFont="1" applyFill="1" applyBorder="1" applyAlignment="1">
      <alignment horizontal="center" vertical="center"/>
    </xf>
    <xf numFmtId="49" fontId="4" fillId="2" borderId="6" xfId="2" applyNumberFormat="1" applyFont="1" applyFill="1" applyBorder="1" applyAlignment="1">
      <alignment horizontal="center" vertical="center"/>
    </xf>
    <xf numFmtId="15" fontId="3" fillId="2" borderId="7" xfId="0" applyNumberFormat="1" applyFont="1" applyFill="1" applyBorder="1" applyAlignment="1">
      <alignment horizontal="left" vertical="top"/>
    </xf>
    <xf numFmtId="0" fontId="3" fillId="2" borderId="5" xfId="0" applyFont="1" applyFill="1" applyBorder="1" applyAlignment="1">
      <alignment horizontal="left" vertical="top"/>
    </xf>
    <xf numFmtId="15" fontId="3" fillId="2" borderId="6" xfId="0" applyNumberFormat="1" applyFont="1" applyFill="1" applyBorder="1" applyAlignment="1">
      <alignment horizontal="left" vertical="top"/>
    </xf>
    <xf numFmtId="0" fontId="3" fillId="2" borderId="6" xfId="0" quotePrefix="1" applyFont="1" applyFill="1" applyBorder="1" applyAlignment="1">
      <alignment horizontal="left" vertical="top"/>
    </xf>
    <xf numFmtId="4" fontId="3" fillId="2" borderId="6" xfId="0" applyNumberFormat="1" applyFont="1" applyFill="1" applyBorder="1" applyAlignment="1">
      <alignment horizontal="left" vertical="top"/>
    </xf>
    <xf numFmtId="4" fontId="3" fillId="2" borderId="6" xfId="1" applyNumberFormat="1" applyFont="1" applyFill="1" applyBorder="1" applyAlignment="1">
      <alignment horizontal="left" vertical="top"/>
    </xf>
    <xf numFmtId="164" fontId="3" fillId="2" borderId="6" xfId="1" applyFont="1" applyFill="1" applyBorder="1" applyAlignment="1">
      <alignment horizontal="left" vertical="top"/>
    </xf>
    <xf numFmtId="15" fontId="3" fillId="2" borderId="2" xfId="0" applyNumberFormat="1" applyFont="1" applyFill="1" applyBorder="1" applyAlignment="1">
      <alignment horizontal="left" vertical="top"/>
    </xf>
    <xf numFmtId="0" fontId="4" fillId="2" borderId="6" xfId="0" applyFont="1" applyFill="1" applyBorder="1" applyAlignment="1">
      <alignment horizontal="left" vertical="top"/>
    </xf>
    <xf numFmtId="0" fontId="3" fillId="2" borderId="7" xfId="0" quotePrefix="1" applyFont="1" applyFill="1" applyBorder="1" applyAlignment="1">
      <alignment horizontal="left" vertical="top"/>
    </xf>
    <xf numFmtId="0" fontId="4" fillId="2" borderId="5" xfId="0" applyFont="1" applyFill="1" applyBorder="1" applyAlignment="1">
      <alignment horizontal="left" vertical="top"/>
    </xf>
    <xf numFmtId="15" fontId="4" fillId="2" borderId="6" xfId="0" applyNumberFormat="1" applyFont="1" applyFill="1" applyBorder="1" applyAlignment="1">
      <alignment horizontal="left" vertical="top"/>
    </xf>
    <xf numFmtId="164" fontId="3" fillId="2" borderId="7" xfId="1" applyFont="1" applyFill="1" applyBorder="1" applyAlignment="1">
      <alignment horizontal="left" vertical="top"/>
    </xf>
    <xf numFmtId="0" fontId="3" fillId="2" borderId="7" xfId="0" applyFont="1" applyFill="1" applyBorder="1" applyAlignment="1">
      <alignment horizontal="left" vertical="top"/>
    </xf>
    <xf numFmtId="0" fontId="3" fillId="2" borderId="8" xfId="0" applyFont="1" applyFill="1" applyBorder="1" applyAlignment="1">
      <alignment horizontal="left" vertical="top"/>
    </xf>
    <xf numFmtId="4" fontId="3" fillId="2" borderId="7" xfId="1" applyNumberFormat="1" applyFont="1" applyFill="1" applyBorder="1" applyAlignment="1">
      <alignment horizontal="left" vertical="top"/>
    </xf>
    <xf numFmtId="4" fontId="3" fillId="2" borderId="7" xfId="0" applyNumberFormat="1" applyFont="1" applyFill="1" applyBorder="1" applyAlignment="1">
      <alignment horizontal="left" vertical="top"/>
    </xf>
    <xf numFmtId="167" fontId="3" fillId="2" borderId="2" xfId="0" applyNumberFormat="1" applyFont="1" applyFill="1" applyBorder="1" applyAlignment="1">
      <alignment horizontal="center" vertical="center"/>
    </xf>
    <xf numFmtId="167" fontId="3" fillId="2" borderId="6" xfId="0" applyNumberFormat="1" applyFont="1" applyFill="1" applyBorder="1" applyAlignment="1">
      <alignment horizontal="center" vertical="center"/>
    </xf>
    <xf numFmtId="0" fontId="3" fillId="0" borderId="8" xfId="0" applyFont="1" applyBorder="1" applyAlignment="1">
      <alignment horizontal="left" vertical="top"/>
    </xf>
    <xf numFmtId="15" fontId="3" fillId="0" borderId="7" xfId="0" applyNumberFormat="1" applyFont="1" applyBorder="1" applyAlignment="1">
      <alignment horizontal="left" vertical="top"/>
    </xf>
    <xf numFmtId="15" fontId="3" fillId="0" borderId="6" xfId="0" applyNumberFormat="1" applyFont="1" applyBorder="1" applyAlignment="1">
      <alignment horizontal="left" vertical="top"/>
    </xf>
    <xf numFmtId="0" fontId="3" fillId="0" borderId="7" xfId="0" applyFont="1" applyBorder="1" applyAlignment="1">
      <alignment horizontal="left" vertical="top"/>
    </xf>
    <xf numFmtId="0" fontId="3" fillId="0" borderId="7" xfId="0" quotePrefix="1" applyFont="1" applyBorder="1" applyAlignment="1">
      <alignment horizontal="left" vertical="top"/>
    </xf>
    <xf numFmtId="4" fontId="3" fillId="0" borderId="7" xfId="0" applyNumberFormat="1" applyFont="1" applyBorder="1" applyAlignment="1">
      <alignment horizontal="left" vertical="top"/>
    </xf>
    <xf numFmtId="4" fontId="3" fillId="0" borderId="7" xfId="1" applyNumberFormat="1" applyFont="1" applyFill="1" applyBorder="1" applyAlignment="1">
      <alignment horizontal="left" vertical="top"/>
    </xf>
    <xf numFmtId="4" fontId="3" fillId="0" borderId="6" xfId="1" applyNumberFormat="1" applyFont="1" applyFill="1" applyBorder="1" applyAlignment="1">
      <alignment horizontal="left" vertical="top"/>
    </xf>
    <xf numFmtId="164" fontId="3" fillId="0" borderId="7" xfId="1" applyFont="1" applyFill="1" applyBorder="1" applyAlignment="1">
      <alignment horizontal="left" vertical="top"/>
    </xf>
    <xf numFmtId="164" fontId="20" fillId="2" borderId="6" xfId="1" quotePrefix="1" applyFont="1" applyFill="1" applyBorder="1"/>
    <xf numFmtId="164" fontId="21" fillId="2" borderId="6" xfId="1" quotePrefix="1" applyFont="1" applyFill="1" applyBorder="1"/>
    <xf numFmtId="164" fontId="20" fillId="2" borderId="6" xfId="1" applyFont="1" applyFill="1" applyBorder="1"/>
    <xf numFmtId="164" fontId="22" fillId="2" borderId="6" xfId="1" applyFont="1" applyFill="1" applyBorder="1" applyAlignment="1">
      <alignment horizontal="center" vertical="center"/>
    </xf>
    <xf numFmtId="0" fontId="22" fillId="2" borderId="2" xfId="0" applyFont="1" applyFill="1" applyBorder="1" applyAlignment="1">
      <alignment horizontal="center" vertical="center"/>
    </xf>
    <xf numFmtId="0" fontId="22" fillId="2" borderId="6" xfId="0" applyFont="1" applyFill="1" applyBorder="1" applyAlignment="1">
      <alignment horizontal="center" vertical="center"/>
    </xf>
    <xf numFmtId="0" fontId="0" fillId="5" borderId="6" xfId="0" applyFill="1" applyBorder="1"/>
    <xf numFmtId="164" fontId="0" fillId="5" borderId="6" xfId="1" applyFont="1" applyFill="1" applyBorder="1" applyAlignment="1">
      <alignment horizontal="center" vertical="center"/>
    </xf>
    <xf numFmtId="167" fontId="0" fillId="5" borderId="6" xfId="1" applyNumberFormat="1" applyFont="1" applyFill="1" applyBorder="1" applyAlignment="1">
      <alignment horizontal="left"/>
    </xf>
    <xf numFmtId="0" fontId="2" fillId="4" borderId="31" xfId="0" applyFont="1" applyFill="1" applyBorder="1"/>
    <xf numFmtId="0" fontId="2" fillId="4" borderId="32" xfId="0" applyFont="1" applyFill="1" applyBorder="1"/>
    <xf numFmtId="0" fontId="0" fillId="0" borderId="33" xfId="0" applyBorder="1"/>
    <xf numFmtId="1" fontId="3" fillId="0" borderId="6" xfId="0" applyNumberFormat="1" applyFont="1" applyBorder="1" applyAlignment="1">
      <alignment horizontal="left" vertical="top"/>
    </xf>
    <xf numFmtId="164" fontId="3" fillId="0" borderId="6" xfId="1" applyFont="1" applyFill="1" applyBorder="1" applyAlignment="1">
      <alignment horizontal="left" vertical="top"/>
    </xf>
    <xf numFmtId="0" fontId="0" fillId="0" borderId="28" xfId="0" applyBorder="1"/>
    <xf numFmtId="0" fontId="0" fillId="0" borderId="29" xfId="0" applyBorder="1"/>
    <xf numFmtId="0" fontId="0" fillId="0" borderId="35" xfId="0" applyBorder="1"/>
    <xf numFmtId="0" fontId="10" fillId="0" borderId="0" xfId="0" applyFont="1"/>
    <xf numFmtId="0" fontId="0" fillId="0" borderId="36" xfId="0" applyBorder="1"/>
    <xf numFmtId="0" fontId="25" fillId="0" borderId="0" xfId="0" applyFont="1"/>
    <xf numFmtId="164" fontId="0" fillId="0" borderId="0" xfId="1" applyFont="1" applyBorder="1"/>
    <xf numFmtId="0" fontId="10" fillId="0" borderId="36" xfId="0" applyFont="1" applyBorder="1"/>
    <xf numFmtId="10" fontId="0" fillId="0" borderId="0" xfId="0" applyNumberFormat="1"/>
    <xf numFmtId="164" fontId="0" fillId="0" borderId="36" xfId="0" applyNumberFormat="1" applyBorder="1"/>
    <xf numFmtId="168" fontId="0" fillId="0" borderId="0" xfId="0" applyNumberFormat="1"/>
    <xf numFmtId="169" fontId="0" fillId="0" borderId="0" xfId="0" applyNumberFormat="1"/>
    <xf numFmtId="0" fontId="0" fillId="0" borderId="37" xfId="0" applyBorder="1"/>
    <xf numFmtId="0" fontId="0" fillId="0" borderId="30" xfId="0" applyBorder="1"/>
    <xf numFmtId="0" fontId="0" fillId="0" borderId="38" xfId="0" applyBorder="1"/>
    <xf numFmtId="0" fontId="3" fillId="0" borderId="6" xfId="0" quotePrefix="1" applyFont="1" applyBorder="1" applyAlignment="1">
      <alignment horizontal="left" vertical="top"/>
    </xf>
    <xf numFmtId="0" fontId="3" fillId="0" borderId="5" xfId="0" applyFont="1" applyBorder="1" applyAlignment="1">
      <alignment horizontal="left" vertical="top"/>
    </xf>
    <xf numFmtId="0" fontId="3" fillId="0" borderId="6" xfId="0" applyFont="1" applyBorder="1" applyAlignment="1">
      <alignment horizontal="left" vertical="top"/>
    </xf>
    <xf numFmtId="0" fontId="17" fillId="0" borderId="6" xfId="0" applyFont="1" applyBorder="1" applyAlignment="1">
      <alignment horizontal="center" vertical="center"/>
    </xf>
    <xf numFmtId="0" fontId="17" fillId="0" borderId="2" xfId="0" applyFont="1" applyBorder="1" applyAlignment="1">
      <alignment horizontal="center" vertical="center"/>
    </xf>
    <xf numFmtId="15" fontId="3" fillId="0" borderId="14" xfId="0" applyNumberFormat="1" applyFont="1" applyBorder="1" applyAlignment="1">
      <alignment horizontal="left" vertical="top"/>
    </xf>
    <xf numFmtId="4" fontId="3" fillId="0" borderId="6" xfId="0" applyNumberFormat="1" applyFont="1" applyBorder="1" applyAlignment="1">
      <alignment horizontal="left" vertical="top"/>
    </xf>
    <xf numFmtId="15" fontId="3" fillId="0" borderId="2" xfId="0" applyNumberFormat="1" applyFont="1" applyBorder="1" applyAlignment="1">
      <alignment horizontal="left" vertical="top"/>
    </xf>
    <xf numFmtId="0" fontId="4" fillId="0" borderId="8" xfId="0" applyFont="1" applyBorder="1" applyAlignment="1">
      <alignment horizontal="left" vertical="top"/>
    </xf>
    <xf numFmtId="15" fontId="4" fillId="0" borderId="7" xfId="0" applyNumberFormat="1" applyFont="1" applyBorder="1" applyAlignment="1">
      <alignment horizontal="left" vertical="top"/>
    </xf>
    <xf numFmtId="0" fontId="4" fillId="0" borderId="7" xfId="0" applyFont="1" applyBorder="1" applyAlignment="1">
      <alignment horizontal="left" vertical="top"/>
    </xf>
    <xf numFmtId="0" fontId="4" fillId="0" borderId="6" xfId="0" applyFont="1" applyBorder="1" applyAlignment="1">
      <alignment horizontal="left" vertical="top"/>
    </xf>
    <xf numFmtId="0" fontId="4" fillId="0" borderId="7" xfId="0" quotePrefix="1" applyFont="1" applyBorder="1" applyAlignment="1">
      <alignment horizontal="left" vertical="top"/>
    </xf>
    <xf numFmtId="4" fontId="4" fillId="0" borderId="7" xfId="1" applyNumberFormat="1" applyFont="1" applyFill="1" applyBorder="1" applyAlignment="1">
      <alignment horizontal="left" vertical="top"/>
    </xf>
    <xf numFmtId="4" fontId="4" fillId="0" borderId="6" xfId="1" applyNumberFormat="1" applyFont="1" applyFill="1" applyBorder="1" applyAlignment="1">
      <alignment horizontal="left" vertical="top"/>
    </xf>
    <xf numFmtId="164" fontId="4" fillId="0" borderId="7" xfId="1" applyFont="1" applyFill="1" applyBorder="1" applyAlignment="1">
      <alignment horizontal="left" vertical="top"/>
    </xf>
    <xf numFmtId="165" fontId="4" fillId="0" borderId="6" xfId="2" applyNumberFormat="1" applyFont="1" applyBorder="1" applyAlignment="1">
      <alignment horizontal="left" vertical="center"/>
    </xf>
    <xf numFmtId="164" fontId="21" fillId="2" borderId="6" xfId="1" applyFont="1" applyFill="1" applyBorder="1"/>
    <xf numFmtId="164" fontId="4" fillId="0" borderId="6" xfId="1" applyFont="1" applyFill="1" applyBorder="1" applyAlignment="1">
      <alignment vertical="center"/>
    </xf>
    <xf numFmtId="165" fontId="18" fillId="2" borderId="6" xfId="1" applyNumberFormat="1" applyFont="1" applyFill="1" applyBorder="1" applyAlignment="1">
      <alignment vertical="center"/>
    </xf>
    <xf numFmtId="0" fontId="2" fillId="6" borderId="0" xfId="0" applyFont="1" applyFill="1" applyAlignment="1">
      <alignment horizontal="center"/>
    </xf>
    <xf numFmtId="164" fontId="0" fillId="5" borderId="7" xfId="1" applyFont="1" applyFill="1" applyBorder="1" applyAlignment="1">
      <alignment horizontal="center" vertical="center"/>
    </xf>
    <xf numFmtId="0" fontId="0" fillId="5" borderId="7" xfId="0" applyFill="1" applyBorder="1"/>
    <xf numFmtId="167" fontId="0" fillId="5" borderId="7" xfId="1" applyNumberFormat="1" applyFont="1" applyFill="1" applyBorder="1" applyAlignment="1">
      <alignment horizontal="left"/>
    </xf>
    <xf numFmtId="165" fontId="4" fillId="0" borderId="6" xfId="2" applyNumberFormat="1" applyFont="1" applyBorder="1" applyAlignment="1">
      <alignment horizontal="center" vertical="center"/>
    </xf>
    <xf numFmtId="0" fontId="4" fillId="0" borderId="6" xfId="2" applyFont="1" applyBorder="1" applyAlignment="1">
      <alignment horizontal="center" vertical="center"/>
    </xf>
    <xf numFmtId="49" fontId="4" fillId="0" borderId="6" xfId="2" applyNumberFormat="1" applyFont="1" applyBorder="1" applyAlignment="1">
      <alignment horizontal="center" vertical="center"/>
    </xf>
    <xf numFmtId="0" fontId="3" fillId="0" borderId="6" xfId="0" applyFont="1" applyBorder="1"/>
    <xf numFmtId="164" fontId="20" fillId="0" borderId="6" xfId="1" applyFont="1" applyFill="1" applyBorder="1"/>
    <xf numFmtId="164" fontId="18" fillId="0" borderId="6" xfId="1" applyFont="1" applyFill="1" applyBorder="1" applyAlignment="1">
      <alignment vertical="center"/>
    </xf>
    <xf numFmtId="165" fontId="4" fillId="0" borderId="6" xfId="2" applyNumberFormat="1" applyFont="1" applyBorder="1" applyAlignment="1">
      <alignment horizontal="left" vertical="top"/>
    </xf>
    <xf numFmtId="165" fontId="18" fillId="0" borderId="6" xfId="1" applyNumberFormat="1" applyFont="1" applyFill="1" applyBorder="1" applyAlignment="1">
      <alignment vertical="center"/>
    </xf>
    <xf numFmtId="165" fontId="4" fillId="0" borderId="6" xfId="1" applyNumberFormat="1" applyFont="1" applyFill="1" applyBorder="1" applyAlignment="1">
      <alignment vertical="center"/>
    </xf>
    <xf numFmtId="15" fontId="3" fillId="0" borderId="13" xfId="0" applyNumberFormat="1" applyFont="1" applyBorder="1" applyAlignment="1">
      <alignment horizontal="left" vertical="top"/>
    </xf>
    <xf numFmtId="0" fontId="4" fillId="0" borderId="5" xfId="0" applyFont="1" applyBorder="1" applyAlignment="1">
      <alignment horizontal="left" vertical="top"/>
    </xf>
    <xf numFmtId="15" fontId="4" fillId="0" borderId="6" xfId="0" applyNumberFormat="1" applyFont="1" applyBorder="1" applyAlignment="1">
      <alignment horizontal="left" vertical="top"/>
    </xf>
    <xf numFmtId="0" fontId="4" fillId="0" borderId="6" xfId="0" quotePrefix="1" applyFont="1" applyBorder="1" applyAlignment="1">
      <alignment horizontal="left" vertical="top"/>
    </xf>
    <xf numFmtId="15" fontId="4" fillId="0" borderId="13" xfId="0" applyNumberFormat="1" applyFont="1" applyBorder="1" applyAlignment="1">
      <alignment horizontal="left" vertical="top"/>
    </xf>
    <xf numFmtId="0" fontId="26" fillId="0" borderId="0" xfId="0" applyFont="1"/>
    <xf numFmtId="164" fontId="27" fillId="2" borderId="6" xfId="1" applyFont="1" applyFill="1" applyBorder="1" applyAlignment="1">
      <alignment horizontal="center" vertical="center"/>
    </xf>
    <xf numFmtId="164" fontId="22" fillId="2" borderId="2" xfId="1" applyFont="1" applyFill="1" applyBorder="1" applyAlignment="1">
      <alignment horizontal="center" vertical="center"/>
    </xf>
    <xf numFmtId="164" fontId="27" fillId="2" borderId="2" xfId="1" applyFont="1" applyFill="1" applyBorder="1" applyAlignment="1">
      <alignment horizontal="center" vertical="center"/>
    </xf>
    <xf numFmtId="164" fontId="3" fillId="0" borderId="6" xfId="1" applyFont="1" applyFill="1" applyBorder="1" applyAlignment="1">
      <alignment horizontal="left" vertical="center"/>
    </xf>
    <xf numFmtId="164" fontId="3" fillId="0" borderId="7" xfId="1" applyFont="1" applyFill="1" applyBorder="1" applyAlignment="1">
      <alignment horizontal="left" vertical="center"/>
    </xf>
    <xf numFmtId="0" fontId="3" fillId="0" borderId="6" xfId="0" applyFont="1" applyBorder="1" applyAlignment="1">
      <alignment horizontal="left" vertical="center"/>
    </xf>
    <xf numFmtId="15" fontId="4" fillId="0" borderId="6" xfId="2" applyNumberFormat="1" applyFont="1" applyBorder="1" applyAlignment="1">
      <alignment horizontal="left" vertical="center"/>
    </xf>
    <xf numFmtId="14" fontId="3" fillId="0" borderId="6" xfId="0" applyNumberFormat="1" applyFont="1" applyBorder="1" applyAlignment="1">
      <alignment horizontal="left" vertical="center"/>
    </xf>
    <xf numFmtId="0" fontId="3" fillId="0" borderId="6" xfId="0" applyFont="1" applyBorder="1" applyAlignment="1">
      <alignment horizontal="left" vertical="center" wrapText="1"/>
    </xf>
    <xf numFmtId="0" fontId="3" fillId="0" borderId="5" xfId="0" applyFont="1" applyBorder="1" applyAlignment="1">
      <alignment horizontal="left" vertical="center"/>
    </xf>
    <xf numFmtId="9" fontId="3" fillId="0" borderId="6" xfId="1" applyNumberFormat="1" applyFont="1" applyFill="1" applyBorder="1" applyAlignment="1">
      <alignment horizontal="left" vertical="center"/>
    </xf>
    <xf numFmtId="15" fontId="3" fillId="0" borderId="6" xfId="0" applyNumberFormat="1" applyFont="1" applyBorder="1" applyAlignment="1">
      <alignment horizontal="left" vertical="center"/>
    </xf>
    <xf numFmtId="9" fontId="3" fillId="0" borderId="6" xfId="0" applyNumberFormat="1" applyFont="1" applyBorder="1" applyAlignment="1">
      <alignment horizontal="left" vertical="center"/>
    </xf>
    <xf numFmtId="15" fontId="3" fillId="0" borderId="7" xfId="1" applyNumberFormat="1" applyFont="1" applyFill="1" applyBorder="1" applyAlignment="1">
      <alignment horizontal="left" vertical="center"/>
    </xf>
    <xf numFmtId="164" fontId="32" fillId="0" borderId="6" xfId="1" applyFont="1" applyFill="1" applyBorder="1" applyAlignment="1">
      <alignment vertical="center"/>
    </xf>
    <xf numFmtId="0" fontId="2" fillId="4" borderId="6" xfId="0" applyFont="1" applyFill="1" applyBorder="1"/>
    <xf numFmtId="4" fontId="2" fillId="4" borderId="6" xfId="0" applyNumberFormat="1" applyFont="1" applyFill="1" applyBorder="1"/>
    <xf numFmtId="164" fontId="2" fillId="4" borderId="6" xfId="0" applyNumberFormat="1" applyFont="1" applyFill="1" applyBorder="1"/>
    <xf numFmtId="164" fontId="3" fillId="0" borderId="6" xfId="1" applyFont="1" applyFill="1" applyBorder="1" applyAlignment="1">
      <alignment horizontal="center"/>
    </xf>
    <xf numFmtId="164" fontId="2" fillId="4" borderId="27" xfId="0" applyNumberFormat="1" applyFont="1" applyFill="1" applyBorder="1"/>
    <xf numFmtId="164" fontId="2" fillId="4" borderId="20" xfId="0" applyNumberFormat="1" applyFont="1" applyFill="1" applyBorder="1"/>
    <xf numFmtId="164" fontId="22" fillId="0" borderId="6" xfId="1" applyFont="1" applyFill="1" applyBorder="1" applyAlignment="1">
      <alignment horizontal="center"/>
    </xf>
    <xf numFmtId="0" fontId="0" fillId="0" borderId="6" xfId="1" applyNumberFormat="1" applyFont="1" applyBorder="1"/>
    <xf numFmtId="0" fontId="0" fillId="0" borderId="2" xfId="1" applyNumberFormat="1" applyFont="1" applyBorder="1"/>
    <xf numFmtId="164" fontId="22" fillId="0" borderId="2" xfId="1" applyFont="1" applyFill="1" applyBorder="1" applyAlignment="1">
      <alignment horizontal="center"/>
    </xf>
    <xf numFmtId="164" fontId="3" fillId="0" borderId="2" xfId="1" applyFont="1" applyFill="1" applyBorder="1" applyAlignment="1">
      <alignment horizontal="center"/>
    </xf>
    <xf numFmtId="14" fontId="0" fillId="0" borderId="6" xfId="0" applyNumberFormat="1" applyBorder="1"/>
    <xf numFmtId="0" fontId="9" fillId="4" borderId="0" xfId="0" applyFont="1" applyFill="1"/>
    <xf numFmtId="0" fontId="9" fillId="4" borderId="7" xfId="0" applyFont="1" applyFill="1" applyBorder="1"/>
    <xf numFmtId="0" fontId="0" fillId="0" borderId="6" xfId="0" applyBorder="1" applyAlignment="1">
      <alignment horizontal="center"/>
    </xf>
    <xf numFmtId="0" fontId="33" fillId="0" borderId="0" xfId="0" applyFont="1"/>
    <xf numFmtId="164" fontId="10" fillId="0" borderId="36" xfId="0" applyNumberFormat="1" applyFont="1" applyBorder="1"/>
    <xf numFmtId="14" fontId="3" fillId="0" borderId="7" xfId="0" applyNumberFormat="1" applyFont="1" applyBorder="1" applyAlignment="1">
      <alignment horizontal="left" vertical="center"/>
    </xf>
    <xf numFmtId="0" fontId="11" fillId="4" borderId="6" xfId="0" applyFont="1" applyFill="1" applyBorder="1"/>
    <xf numFmtId="0" fontId="0" fillId="4" borderId="19" xfId="0" applyFill="1" applyBorder="1"/>
    <xf numFmtId="14" fontId="3" fillId="0" borderId="5" xfId="0" applyNumberFormat="1" applyFont="1" applyBorder="1" applyAlignment="1">
      <alignment horizontal="left" vertical="top"/>
    </xf>
    <xf numFmtId="15" fontId="4" fillId="2" borderId="7" xfId="0" applyNumberFormat="1" applyFont="1" applyFill="1" applyBorder="1" applyAlignment="1">
      <alignment horizontal="left" vertical="top"/>
    </xf>
    <xf numFmtId="0" fontId="4" fillId="2" borderId="7" xfId="0" applyFont="1" applyFill="1" applyBorder="1" applyAlignment="1">
      <alignment horizontal="left" vertical="top"/>
    </xf>
    <xf numFmtId="15" fontId="3" fillId="2" borderId="14" xfId="0" applyNumberFormat="1" applyFont="1" applyFill="1" applyBorder="1" applyAlignment="1">
      <alignment horizontal="left" vertical="top"/>
    </xf>
    <xf numFmtId="15" fontId="3" fillId="2" borderId="13" xfId="0" applyNumberFormat="1" applyFont="1" applyFill="1" applyBorder="1" applyAlignment="1">
      <alignment horizontal="left" vertical="top"/>
    </xf>
    <xf numFmtId="15" fontId="4" fillId="0" borderId="2" xfId="0" applyNumberFormat="1" applyFont="1" applyBorder="1" applyAlignment="1">
      <alignment horizontal="left" vertical="top"/>
    </xf>
    <xf numFmtId="0" fontId="0" fillId="0" borderId="6" xfId="0" applyBorder="1" applyAlignment="1">
      <alignment horizontal="left" indent="2"/>
    </xf>
    <xf numFmtId="0" fontId="2" fillId="4" borderId="6" xfId="0" applyFont="1" applyFill="1" applyBorder="1" applyAlignment="1">
      <alignment horizontal="center"/>
    </xf>
    <xf numFmtId="0" fontId="2" fillId="4" borderId="0" xfId="0" applyFont="1" applyFill="1" applyAlignment="1">
      <alignment horizontal="center"/>
    </xf>
    <xf numFmtId="0" fontId="11" fillId="4" borderId="0" xfId="0" applyFont="1" applyFill="1"/>
    <xf numFmtId="0" fontId="2" fillId="4" borderId="2" xfId="0" applyFont="1" applyFill="1" applyBorder="1" applyAlignment="1">
      <alignment horizontal="center"/>
    </xf>
    <xf numFmtId="0" fontId="2" fillId="10" borderId="2" xfId="0" applyFont="1" applyFill="1" applyBorder="1" applyAlignment="1">
      <alignment horizontal="center"/>
    </xf>
    <xf numFmtId="0" fontId="0" fillId="0" borderId="0" xfId="0" pivotButton="1"/>
    <xf numFmtId="0" fontId="2" fillId="4" borderId="40" xfId="0" applyFont="1" applyFill="1" applyBorder="1"/>
    <xf numFmtId="0" fontId="38" fillId="0" borderId="6" xfId="0" applyFont="1" applyBorder="1"/>
    <xf numFmtId="40" fontId="38" fillId="0" borderId="6" xfId="1" applyNumberFormat="1" applyFont="1" applyFill="1" applyBorder="1"/>
    <xf numFmtId="40" fontId="38" fillId="0" borderId="6" xfId="1" quotePrefix="1" applyNumberFormat="1" applyFont="1" applyFill="1" applyBorder="1"/>
    <xf numFmtId="0" fontId="0" fillId="0" borderId="0" xfId="0" applyAlignment="1">
      <alignment horizontal="center"/>
    </xf>
    <xf numFmtId="0" fontId="19" fillId="0" borderId="0" xfId="0" applyFont="1"/>
    <xf numFmtId="0" fontId="15" fillId="7" borderId="23" xfId="0" applyFont="1" applyFill="1" applyBorder="1" applyAlignment="1">
      <alignment horizontal="center" vertical="center"/>
    </xf>
    <xf numFmtId="0" fontId="15" fillId="7" borderId="40" xfId="0" applyFont="1" applyFill="1" applyBorder="1" applyAlignment="1">
      <alignment horizontal="center" vertical="center"/>
    </xf>
    <xf numFmtId="0" fontId="15" fillId="7" borderId="23" xfId="0" applyFont="1" applyFill="1" applyBorder="1" applyAlignment="1">
      <alignment horizontal="left" vertical="center"/>
    </xf>
    <xf numFmtId="0" fontId="0" fillId="7" borderId="41" xfId="0" applyFill="1" applyBorder="1"/>
    <xf numFmtId="0" fontId="0" fillId="7" borderId="42" xfId="0" applyFill="1" applyBorder="1"/>
    <xf numFmtId="0" fontId="14" fillId="0" borderId="0" xfId="0" applyFont="1"/>
    <xf numFmtId="0" fontId="23" fillId="0" borderId="0" xfId="0" applyFont="1"/>
    <xf numFmtId="0" fontId="12" fillId="0" borderId="0" xfId="0" applyFont="1"/>
    <xf numFmtId="164" fontId="0" fillId="0" borderId="0" xfId="1" applyFont="1" applyFill="1"/>
    <xf numFmtId="0" fontId="29" fillId="0" borderId="0" xfId="0" applyFont="1"/>
    <xf numFmtId="0" fontId="30" fillId="0" borderId="0" xfId="0" applyFont="1"/>
    <xf numFmtId="0" fontId="3" fillId="2" borderId="7" xfId="0" applyFont="1" applyFill="1" applyBorder="1"/>
    <xf numFmtId="164" fontId="4" fillId="2" borderId="7" xfId="1" applyFont="1" applyFill="1" applyBorder="1" applyAlignment="1">
      <alignment vertical="center"/>
    </xf>
    <xf numFmtId="0" fontId="11" fillId="11" borderId="6" xfId="0" applyFont="1" applyFill="1" applyBorder="1"/>
    <xf numFmtId="40" fontId="11" fillId="11" borderId="6" xfId="1" applyNumberFormat="1" applyFont="1" applyFill="1" applyBorder="1"/>
    <xf numFmtId="40" fontId="11" fillId="11" borderId="6" xfId="0" quotePrefix="1" applyNumberFormat="1" applyFont="1" applyFill="1" applyBorder="1"/>
    <xf numFmtId="0" fontId="2" fillId="4" borderId="23" xfId="0" applyFont="1" applyFill="1" applyBorder="1"/>
    <xf numFmtId="0" fontId="2" fillId="4" borderId="23" xfId="0" applyFont="1" applyFill="1" applyBorder="1" applyAlignment="1">
      <alignment horizontal="center"/>
    </xf>
    <xf numFmtId="0" fontId="2" fillId="4" borderId="43" xfId="0" applyFont="1" applyFill="1" applyBorder="1"/>
    <xf numFmtId="0" fontId="2" fillId="4" borderId="43" xfId="0" applyFont="1" applyFill="1" applyBorder="1" applyAlignment="1">
      <alignment horizontal="center"/>
    </xf>
    <xf numFmtId="165" fontId="4" fillId="2" borderId="7" xfId="2" applyNumberFormat="1" applyFont="1" applyFill="1" applyBorder="1" applyAlignment="1">
      <alignment horizontal="left" vertical="center"/>
    </xf>
    <xf numFmtId="165" fontId="4" fillId="2" borderId="7" xfId="2" applyNumberFormat="1" applyFont="1" applyFill="1" applyBorder="1" applyAlignment="1">
      <alignment horizontal="center" vertical="center"/>
    </xf>
    <xf numFmtId="49" fontId="4" fillId="2" borderId="7" xfId="2" applyNumberFormat="1" applyFont="1" applyFill="1" applyBorder="1" applyAlignment="1">
      <alignment horizontal="center" vertical="center"/>
    </xf>
    <xf numFmtId="165" fontId="4" fillId="2" borderId="7" xfId="1" applyNumberFormat="1" applyFont="1" applyFill="1" applyBorder="1" applyAlignment="1">
      <alignment vertical="center"/>
    </xf>
    <xf numFmtId="0" fontId="3" fillId="0" borderId="6" xfId="0" quotePrefix="1" applyFont="1" applyBorder="1"/>
    <xf numFmtId="164" fontId="20" fillId="0" borderId="6" xfId="1" quotePrefix="1" applyFont="1" applyFill="1" applyBorder="1"/>
    <xf numFmtId="0" fontId="3" fillId="0" borderId="6" xfId="0" applyFont="1" applyBorder="1" applyAlignment="1">
      <alignment horizontal="left"/>
    </xf>
    <xf numFmtId="165" fontId="4" fillId="2" borderId="7" xfId="2" quotePrefix="1" applyNumberFormat="1" applyFont="1" applyFill="1" applyBorder="1" applyAlignment="1">
      <alignment horizontal="left" vertical="top"/>
    </xf>
    <xf numFmtId="2" fontId="3" fillId="2" borderId="6" xfId="0" applyNumberFormat="1" applyFont="1" applyFill="1" applyBorder="1"/>
    <xf numFmtId="0" fontId="10" fillId="7" borderId="23" xfId="0" applyFont="1" applyFill="1" applyBorder="1" applyAlignment="1">
      <alignment horizontal="center" vertical="center"/>
    </xf>
    <xf numFmtId="15" fontId="3" fillId="0" borderId="6" xfId="1" applyNumberFormat="1" applyFont="1" applyFill="1" applyBorder="1" applyAlignment="1">
      <alignment horizontal="left" vertical="center"/>
    </xf>
    <xf numFmtId="0" fontId="3" fillId="0" borderId="7" xfId="0" applyFont="1" applyBorder="1" applyAlignment="1">
      <alignment horizontal="left" vertical="center"/>
    </xf>
    <xf numFmtId="9" fontId="3" fillId="0" borderId="7" xfId="0" applyNumberFormat="1" applyFont="1" applyBorder="1" applyAlignment="1">
      <alignment horizontal="left" vertical="center"/>
    </xf>
    <xf numFmtId="15" fontId="3" fillId="0" borderId="7" xfId="0" applyNumberFormat="1" applyFont="1" applyBorder="1" applyAlignment="1">
      <alignment horizontal="left" vertical="center"/>
    </xf>
    <xf numFmtId="15" fontId="4" fillId="0" borderId="6" xfId="1" applyNumberFormat="1" applyFont="1" applyFill="1" applyBorder="1" applyAlignment="1">
      <alignment horizontal="left" vertical="center"/>
    </xf>
    <xf numFmtId="15" fontId="4" fillId="0" borderId="7" xfId="1" applyNumberFormat="1" applyFont="1" applyFill="1" applyBorder="1" applyAlignment="1">
      <alignment horizontal="left" vertical="center"/>
    </xf>
    <xf numFmtId="14" fontId="3" fillId="2" borderId="6" xfId="0" quotePrefix="1" applyNumberFormat="1" applyFont="1" applyFill="1" applyBorder="1"/>
    <xf numFmtId="0" fontId="4" fillId="2" borderId="7" xfId="2" applyFont="1" applyFill="1" applyBorder="1" applyAlignment="1">
      <alignment horizontal="center" vertical="center"/>
    </xf>
    <xf numFmtId="0" fontId="3" fillId="2" borderId="7" xfId="0" quotePrefix="1" applyFont="1" applyFill="1" applyBorder="1"/>
    <xf numFmtId="164" fontId="20" fillId="2" borderId="7" xfId="1" quotePrefix="1" applyFont="1" applyFill="1" applyBorder="1"/>
    <xf numFmtId="165" fontId="4" fillId="2" borderId="44" xfId="2" applyNumberFormat="1" applyFont="1" applyFill="1" applyBorder="1" applyAlignment="1">
      <alignment horizontal="left" vertical="center"/>
    </xf>
    <xf numFmtId="165" fontId="4" fillId="14" borderId="6" xfId="2" applyNumberFormat="1" applyFont="1" applyFill="1" applyBorder="1" applyAlignment="1">
      <alignment horizontal="left" vertical="center"/>
    </xf>
    <xf numFmtId="0" fontId="9" fillId="4" borderId="6" xfId="0" applyFont="1" applyFill="1" applyBorder="1"/>
    <xf numFmtId="165" fontId="4" fillId="2" borderId="6" xfId="2" quotePrefix="1" applyNumberFormat="1" applyFont="1" applyFill="1" applyBorder="1" applyAlignment="1">
      <alignment horizontal="left" vertical="top"/>
    </xf>
    <xf numFmtId="165" fontId="4" fillId="0" borderId="7" xfId="2" applyNumberFormat="1" applyFont="1" applyBorder="1" applyAlignment="1">
      <alignment horizontal="left" vertical="center"/>
    </xf>
    <xf numFmtId="164" fontId="0" fillId="0" borderId="6" xfId="1" applyFont="1" applyFill="1" applyBorder="1"/>
    <xf numFmtId="0" fontId="11" fillId="11" borderId="0" xfId="0" applyFont="1" applyFill="1"/>
    <xf numFmtId="165" fontId="3" fillId="2" borderId="7" xfId="2" applyNumberFormat="1" applyFont="1" applyFill="1" applyBorder="1" applyAlignment="1">
      <alignment horizontal="left" vertical="center"/>
    </xf>
    <xf numFmtId="0" fontId="29" fillId="0" borderId="0" xfId="0" applyFont="1" applyAlignment="1">
      <alignment horizontal="center"/>
    </xf>
    <xf numFmtId="0" fontId="10" fillId="3" borderId="23" xfId="0" applyFont="1" applyFill="1" applyBorder="1"/>
    <xf numFmtId="0" fontId="10" fillId="3" borderId="40" xfId="0" applyFont="1" applyFill="1" applyBorder="1"/>
    <xf numFmtId="0" fontId="25" fillId="0" borderId="6" xfId="0" applyFont="1" applyBorder="1"/>
    <xf numFmtId="0" fontId="0" fillId="0" borderId="6" xfId="0" pivotButton="1" applyBorder="1"/>
    <xf numFmtId="164" fontId="0" fillId="5" borderId="8" xfId="1" applyFont="1" applyFill="1" applyBorder="1" applyAlignment="1">
      <alignment horizontal="center" vertical="center"/>
    </xf>
    <xf numFmtId="165" fontId="38" fillId="2" borderId="46" xfId="2" applyNumberFormat="1" applyFont="1" applyFill="1" applyBorder="1" applyAlignment="1">
      <alignment horizontal="left" vertical="center"/>
    </xf>
    <xf numFmtId="164" fontId="38" fillId="2" borderId="6" xfId="1" applyFont="1" applyFill="1" applyBorder="1" applyAlignment="1">
      <alignment vertical="center"/>
    </xf>
    <xf numFmtId="164" fontId="38" fillId="2" borderId="7" xfId="1" applyFont="1" applyFill="1" applyBorder="1" applyAlignment="1">
      <alignment vertical="center"/>
    </xf>
    <xf numFmtId="14" fontId="0" fillId="0" borderId="6" xfId="0" applyNumberFormat="1" applyBorder="1" applyAlignment="1">
      <alignment horizontal="left"/>
    </xf>
    <xf numFmtId="0" fontId="0" fillId="0" borderId="7" xfId="0" applyBorder="1"/>
    <xf numFmtId="14" fontId="0" fillId="0" borderId="7" xfId="0" applyNumberFormat="1" applyBorder="1"/>
    <xf numFmtId="164" fontId="0" fillId="0" borderId="7" xfId="1" applyFont="1" applyBorder="1"/>
    <xf numFmtId="0" fontId="39" fillId="4" borderId="10" xfId="0" applyFont="1" applyFill="1" applyBorder="1"/>
    <xf numFmtId="0" fontId="39" fillId="4" borderId="2" xfId="0" applyFont="1" applyFill="1" applyBorder="1" applyAlignment="1">
      <alignment horizontal="center" vertical="center"/>
    </xf>
    <xf numFmtId="0" fontId="39" fillId="4" borderId="11" xfId="0" applyFont="1" applyFill="1" applyBorder="1"/>
    <xf numFmtId="0" fontId="39" fillId="4" borderId="12" xfId="0" applyFont="1" applyFill="1" applyBorder="1"/>
    <xf numFmtId="0" fontId="39" fillId="4" borderId="4" xfId="0" applyFont="1" applyFill="1" applyBorder="1" applyAlignment="1">
      <alignment horizontal="center" vertical="center"/>
    </xf>
    <xf numFmtId="0" fontId="39" fillId="4" borderId="34" xfId="0" applyFont="1" applyFill="1" applyBorder="1" applyAlignment="1">
      <alignment horizontal="center" vertical="center"/>
    </xf>
    <xf numFmtId="9" fontId="3" fillId="0" borderId="7" xfId="1" applyNumberFormat="1" applyFont="1" applyFill="1" applyBorder="1" applyAlignment="1">
      <alignment horizontal="left" vertical="center"/>
    </xf>
    <xf numFmtId="15" fontId="4" fillId="0" borderId="7" xfId="2" applyNumberFormat="1" applyFont="1" applyBorder="1" applyAlignment="1">
      <alignment horizontal="left" vertical="center"/>
    </xf>
    <xf numFmtId="0" fontId="0" fillId="12" borderId="6" xfId="0" applyFill="1" applyBorder="1" applyAlignment="1">
      <alignment horizontal="left" indent="2"/>
    </xf>
    <xf numFmtId="0" fontId="0" fillId="0" borderId="13" xfId="0" applyBorder="1" applyAlignment="1">
      <alignment horizontal="left"/>
    </xf>
    <xf numFmtId="0" fontId="37" fillId="9" borderId="6" xfId="0" applyFont="1" applyFill="1" applyBorder="1" applyAlignment="1">
      <alignment horizontal="left" indent="1"/>
    </xf>
    <xf numFmtId="0" fontId="4" fillId="2" borderId="7" xfId="2" applyFont="1" applyFill="1" applyBorder="1" applyAlignment="1">
      <alignment horizontal="left" vertical="center"/>
    </xf>
    <xf numFmtId="0" fontId="0" fillId="0" borderId="0" xfId="0" applyAlignment="1">
      <alignment horizontal="left"/>
    </xf>
    <xf numFmtId="0" fontId="0" fillId="5" borderId="39" xfId="0" applyFill="1" applyBorder="1"/>
    <xf numFmtId="164" fontId="32" fillId="2" borderId="7" xfId="1" applyFont="1" applyFill="1" applyBorder="1" applyAlignment="1">
      <alignment vertical="center"/>
    </xf>
    <xf numFmtId="164" fontId="0" fillId="0" borderId="38" xfId="0" applyNumberFormat="1" applyBorder="1"/>
    <xf numFmtId="0" fontId="0" fillId="0" borderId="13" xfId="0" applyBorder="1" applyAlignment="1">
      <alignment horizontal="left" indent="1"/>
    </xf>
    <xf numFmtId="0" fontId="11" fillId="4" borderId="0" xfId="0" applyFont="1" applyFill="1" applyAlignment="1">
      <alignment horizontal="left"/>
    </xf>
    <xf numFmtId="0" fontId="11" fillId="4" borderId="23" xfId="0" applyFont="1" applyFill="1" applyBorder="1"/>
    <xf numFmtId="0" fontId="2" fillId="4" borderId="48" xfId="0" applyFont="1" applyFill="1" applyBorder="1"/>
    <xf numFmtId="0" fontId="2" fillId="4" borderId="47" xfId="0" applyFont="1" applyFill="1" applyBorder="1" applyAlignment="1">
      <alignment horizontal="center"/>
    </xf>
    <xf numFmtId="0" fontId="2" fillId="4" borderId="49" xfId="0" applyFont="1" applyFill="1" applyBorder="1" applyAlignment="1">
      <alignment horizontal="center"/>
    </xf>
    <xf numFmtId="164" fontId="0" fillId="0" borderId="23" xfId="0" applyNumberFormat="1" applyBorder="1"/>
    <xf numFmtId="164" fontId="0" fillId="0" borderId="36" xfId="0" applyNumberFormat="1" applyBorder="1" applyAlignment="1">
      <alignment horizontal="center"/>
    </xf>
    <xf numFmtId="0" fontId="10" fillId="0" borderId="40" xfId="0" applyFont="1" applyBorder="1"/>
    <xf numFmtId="0" fontId="0" fillId="0" borderId="32" xfId="0" applyBorder="1"/>
    <xf numFmtId="0" fontId="0" fillId="0" borderId="31" xfId="0" applyBorder="1"/>
    <xf numFmtId="0" fontId="40" fillId="0" borderId="0" xfId="0" applyFont="1"/>
    <xf numFmtId="164" fontId="10" fillId="0" borderId="0" xfId="0" applyNumberFormat="1" applyFont="1"/>
    <xf numFmtId="164" fontId="0" fillId="0" borderId="0" xfId="0" applyNumberFormat="1" applyAlignment="1">
      <alignment horizontal="center"/>
    </xf>
    <xf numFmtId="164" fontId="0" fillId="0" borderId="30" xfId="0" applyNumberFormat="1" applyBorder="1"/>
    <xf numFmtId="4" fontId="11" fillId="4" borderId="0" xfId="0" applyNumberFormat="1" applyFont="1" applyFill="1" applyAlignment="1">
      <alignment horizontal="center"/>
    </xf>
    <xf numFmtId="164" fontId="1" fillId="0" borderId="7" xfId="1" applyFont="1" applyBorder="1"/>
    <xf numFmtId="0" fontId="0" fillId="0" borderId="7" xfId="1" applyNumberFormat="1" applyFont="1" applyBorder="1"/>
    <xf numFmtId="4" fontId="4" fillId="2" borderId="6" xfId="0" applyNumberFormat="1" applyFont="1" applyFill="1" applyBorder="1" applyAlignment="1">
      <alignment horizontal="left" vertical="top"/>
    </xf>
    <xf numFmtId="0" fontId="2" fillId="4" borderId="49" xfId="0" applyFont="1" applyFill="1" applyBorder="1"/>
    <xf numFmtId="0" fontId="2" fillId="4" borderId="48" xfId="0" applyFont="1" applyFill="1" applyBorder="1" applyAlignment="1">
      <alignment horizontal="center"/>
    </xf>
    <xf numFmtId="0" fontId="2" fillId="4" borderId="42" xfId="0" applyFont="1" applyFill="1" applyBorder="1"/>
    <xf numFmtId="0" fontId="2" fillId="4" borderId="42" xfId="0" applyFont="1" applyFill="1" applyBorder="1" applyAlignment="1">
      <alignment horizontal="center"/>
    </xf>
    <xf numFmtId="164" fontId="0" fillId="0" borderId="6" xfId="0" applyNumberFormat="1" applyBorder="1"/>
    <xf numFmtId="167" fontId="0" fillId="0" borderId="6" xfId="0" applyNumberFormat="1" applyBorder="1" applyAlignment="1">
      <alignment horizontal="center"/>
    </xf>
    <xf numFmtId="0" fontId="0" fillId="0" borderId="2" xfId="0" applyBorder="1"/>
    <xf numFmtId="164" fontId="10" fillId="9" borderId="6" xfId="0" applyNumberFormat="1" applyFont="1" applyFill="1" applyBorder="1"/>
    <xf numFmtId="164" fontId="0" fillId="9" borderId="6" xfId="0" applyNumberFormat="1" applyFill="1" applyBorder="1"/>
    <xf numFmtId="0" fontId="10" fillId="9" borderId="6" xfId="0" applyFont="1" applyFill="1" applyBorder="1"/>
    <xf numFmtId="0" fontId="0" fillId="0" borderId="6" xfId="1" applyNumberFormat="1" applyFont="1" applyFill="1" applyBorder="1"/>
    <xf numFmtId="4" fontId="0" fillId="0" borderId="0" xfId="0" applyNumberFormat="1"/>
    <xf numFmtId="164" fontId="0" fillId="0" borderId="0" xfId="1" applyFont="1"/>
    <xf numFmtId="164" fontId="32" fillId="2" borderId="6" xfId="1" applyFont="1" applyFill="1" applyBorder="1" applyAlignment="1">
      <alignment vertical="center"/>
    </xf>
    <xf numFmtId="164" fontId="3" fillId="2" borderId="6" xfId="1" applyFont="1" applyFill="1" applyBorder="1"/>
    <xf numFmtId="165" fontId="4" fillId="0" borderId="7" xfId="2" applyNumberFormat="1" applyFont="1" applyBorder="1" applyAlignment="1">
      <alignment horizontal="center" vertical="center"/>
    </xf>
    <xf numFmtId="0" fontId="4" fillId="0" borderId="7" xfId="2" applyFont="1" applyBorder="1" applyAlignment="1">
      <alignment horizontal="center" vertical="center"/>
    </xf>
    <xf numFmtId="49" fontId="4" fillId="0" borderId="7" xfId="2" applyNumberFormat="1" applyFont="1" applyBorder="1" applyAlignment="1">
      <alignment horizontal="center" vertical="center"/>
    </xf>
    <xf numFmtId="0" fontId="3" fillId="0" borderId="7" xfId="0" applyFont="1" applyBorder="1"/>
    <xf numFmtId="0" fontId="3" fillId="0" borderId="7" xfId="0" quotePrefix="1" applyFont="1" applyBorder="1"/>
    <xf numFmtId="164" fontId="20" fillId="0" borderId="7" xfId="1" quotePrefix="1" applyFont="1" applyFill="1" applyBorder="1"/>
    <xf numFmtId="164" fontId="4" fillId="0" borderId="7" xfId="1" applyFont="1" applyFill="1" applyBorder="1" applyAlignment="1">
      <alignment vertical="center"/>
    </xf>
    <xf numFmtId="165" fontId="4" fillId="0" borderId="7" xfId="2" quotePrefix="1" applyNumberFormat="1" applyFont="1" applyBorder="1" applyAlignment="1">
      <alignment horizontal="left" vertical="top"/>
    </xf>
    <xf numFmtId="165" fontId="4" fillId="0" borderId="7" xfId="1" applyNumberFormat="1" applyFont="1" applyFill="1" applyBorder="1" applyAlignment="1">
      <alignment vertical="center"/>
    </xf>
    <xf numFmtId="164" fontId="9" fillId="13" borderId="38" xfId="1" applyFont="1" applyFill="1" applyBorder="1" applyAlignment="1">
      <alignment horizontal="center" vertical="center"/>
    </xf>
    <xf numFmtId="0" fontId="16" fillId="16" borderId="0" xfId="0" applyFont="1" applyFill="1" applyAlignment="1">
      <alignment horizontal="center"/>
    </xf>
    <xf numFmtId="4" fontId="0" fillId="15" borderId="23" xfId="0" applyNumberFormat="1" applyFill="1" applyBorder="1" applyAlignment="1">
      <alignment horizontal="center"/>
    </xf>
    <xf numFmtId="0" fontId="0" fillId="12" borderId="0" xfId="0" applyFill="1" applyAlignment="1">
      <alignment horizontal="center"/>
    </xf>
    <xf numFmtId="164" fontId="0" fillId="12" borderId="0" xfId="1" applyFont="1" applyFill="1" applyAlignment="1">
      <alignment horizontal="center"/>
    </xf>
    <xf numFmtId="164" fontId="0" fillId="12" borderId="0" xfId="0" applyNumberFormat="1" applyFill="1" applyAlignment="1">
      <alignment horizontal="center"/>
    </xf>
    <xf numFmtId="0" fontId="0" fillId="15" borderId="23" xfId="0" applyFill="1" applyBorder="1" applyAlignment="1">
      <alignment horizontal="center"/>
    </xf>
    <xf numFmtId="0" fontId="10" fillId="12" borderId="0" xfId="0" applyFont="1" applyFill="1" applyAlignment="1">
      <alignment horizontal="center"/>
    </xf>
    <xf numFmtId="164" fontId="10" fillId="12" borderId="0" xfId="0" applyNumberFormat="1" applyFont="1" applyFill="1" applyAlignment="1">
      <alignment horizontal="center"/>
    </xf>
    <xf numFmtId="0" fontId="3" fillId="17" borderId="6" xfId="0" applyFont="1" applyFill="1" applyBorder="1" applyAlignment="1">
      <alignment horizontal="left"/>
    </xf>
    <xf numFmtId="165" fontId="4" fillId="17" borderId="6" xfId="2" applyNumberFormat="1" applyFont="1" applyFill="1" applyBorder="1" applyAlignment="1">
      <alignment horizontal="center" vertical="center"/>
    </xf>
    <xf numFmtId="0" fontId="4" fillId="17" borderId="6" xfId="2" applyFont="1" applyFill="1" applyBorder="1" applyAlignment="1">
      <alignment horizontal="center" vertical="center"/>
    </xf>
    <xf numFmtId="49" fontId="4" fillId="17" borderId="6" xfId="2" applyNumberFormat="1" applyFont="1" applyFill="1" applyBorder="1" applyAlignment="1">
      <alignment horizontal="center" vertical="center"/>
    </xf>
    <xf numFmtId="0" fontId="3" fillId="17" borderId="6" xfId="0" applyFont="1" applyFill="1" applyBorder="1"/>
    <xf numFmtId="0" fontId="3" fillId="17" borderId="6" xfId="0" quotePrefix="1" applyFont="1" applyFill="1" applyBorder="1"/>
    <xf numFmtId="164" fontId="20" fillId="17" borderId="6" xfId="1" quotePrefix="1" applyFont="1" applyFill="1" applyBorder="1"/>
    <xf numFmtId="164" fontId="4" fillId="17" borderId="6" xfId="1" applyFont="1" applyFill="1" applyBorder="1" applyAlignment="1">
      <alignment vertical="center"/>
    </xf>
    <xf numFmtId="0" fontId="3" fillId="17" borderId="6" xfId="0" applyFont="1" applyFill="1" applyBorder="1" applyAlignment="1">
      <alignment horizontal="left" vertical="top"/>
    </xf>
    <xf numFmtId="165" fontId="4" fillId="17" borderId="6" xfId="1" applyNumberFormat="1" applyFont="1" applyFill="1" applyBorder="1" applyAlignment="1">
      <alignment vertical="center"/>
    </xf>
    <xf numFmtId="165" fontId="4" fillId="17" borderId="6" xfId="2" applyNumberFormat="1" applyFont="1" applyFill="1" applyBorder="1" applyAlignment="1">
      <alignment horizontal="left" vertical="center"/>
    </xf>
    <xf numFmtId="165" fontId="38" fillId="2" borderId="52" xfId="2" applyNumberFormat="1" applyFont="1" applyFill="1" applyBorder="1" applyAlignment="1">
      <alignment horizontal="left" vertical="center"/>
    </xf>
    <xf numFmtId="165" fontId="38" fillId="2" borderId="5" xfId="2" applyNumberFormat="1" applyFont="1" applyFill="1" applyBorder="1" applyAlignment="1">
      <alignment horizontal="left" vertical="center"/>
    </xf>
    <xf numFmtId="0" fontId="0" fillId="5" borderId="6" xfId="0" quotePrefix="1" applyFill="1" applyBorder="1"/>
    <xf numFmtId="0" fontId="0" fillId="18" borderId="28" xfId="0" applyFill="1" applyBorder="1"/>
    <xf numFmtId="0" fontId="0" fillId="18" borderId="33" xfId="0" applyFill="1" applyBorder="1"/>
    <xf numFmtId="0" fontId="0" fillId="18" borderId="29" xfId="0" applyFill="1" applyBorder="1"/>
    <xf numFmtId="0" fontId="0" fillId="18" borderId="35" xfId="0" applyFill="1" applyBorder="1"/>
    <xf numFmtId="0" fontId="10" fillId="18" borderId="23" xfId="0" applyFont="1" applyFill="1" applyBorder="1"/>
    <xf numFmtId="0" fontId="0" fillId="18" borderId="0" xfId="0" applyFill="1"/>
    <xf numFmtId="0" fontId="0" fillId="18" borderId="36" xfId="0" applyFill="1" applyBorder="1"/>
    <xf numFmtId="0" fontId="25" fillId="18" borderId="0" xfId="0" applyFont="1" applyFill="1"/>
    <xf numFmtId="164" fontId="0" fillId="18" borderId="0" xfId="1" applyFont="1" applyFill="1" applyBorder="1"/>
    <xf numFmtId="164" fontId="0" fillId="18" borderId="0" xfId="0" applyNumberFormat="1" applyFill="1"/>
    <xf numFmtId="0" fontId="10" fillId="18" borderId="0" xfId="0" applyFont="1" applyFill="1"/>
    <xf numFmtId="0" fontId="10" fillId="18" borderId="36" xfId="0" applyFont="1" applyFill="1" applyBorder="1"/>
    <xf numFmtId="10" fontId="0" fillId="18" borderId="0" xfId="0" applyNumberFormat="1" applyFill="1"/>
    <xf numFmtId="164" fontId="0" fillId="18" borderId="36" xfId="0" applyNumberFormat="1" applyFill="1" applyBorder="1"/>
    <xf numFmtId="0" fontId="0" fillId="18" borderId="37" xfId="0" applyFill="1" applyBorder="1"/>
    <xf numFmtId="0" fontId="0" fillId="18" borderId="30" xfId="0" applyFill="1" applyBorder="1"/>
    <xf numFmtId="164" fontId="10" fillId="18" borderId="38" xfId="0" applyNumberFormat="1" applyFont="1" applyFill="1" applyBorder="1"/>
    <xf numFmtId="0" fontId="10" fillId="3" borderId="33" xfId="0" applyFont="1" applyFill="1" applyBorder="1"/>
    <xf numFmtId="14" fontId="0" fillId="0" borderId="0" xfId="0" applyNumberFormat="1"/>
    <xf numFmtId="164" fontId="0" fillId="0" borderId="7" xfId="1" applyFont="1" applyFill="1" applyBorder="1"/>
    <xf numFmtId="1" fontId="0" fillId="15" borderId="23" xfId="0" quotePrefix="1" applyNumberFormat="1" applyFill="1" applyBorder="1" applyAlignment="1">
      <alignment horizontal="center"/>
    </xf>
    <xf numFmtId="164" fontId="0" fillId="0" borderId="0" xfId="1" applyFont="1" applyAlignment="1">
      <alignment horizontal="right"/>
    </xf>
    <xf numFmtId="0" fontId="10" fillId="0" borderId="6" xfId="0" applyFont="1" applyBorder="1"/>
    <xf numFmtId="164" fontId="0" fillId="0" borderId="0" xfId="1" quotePrefix="1" applyFont="1" applyBorder="1"/>
    <xf numFmtId="164" fontId="0" fillId="0" borderId="0" xfId="0" quotePrefix="1" applyNumberFormat="1"/>
    <xf numFmtId="164" fontId="0" fillId="0" borderId="6" xfId="1" quotePrefix="1" applyFont="1" applyBorder="1"/>
    <xf numFmtId="4" fontId="0" fillId="0" borderId="6" xfId="0" applyNumberFormat="1" applyBorder="1" applyAlignment="1">
      <alignment horizontal="center"/>
    </xf>
    <xf numFmtId="0" fontId="10" fillId="0" borderId="28" xfId="0" applyFont="1" applyBorder="1" applyAlignment="1">
      <alignment horizontal="center"/>
    </xf>
    <xf numFmtId="0" fontId="10" fillId="0" borderId="33" xfId="0" applyFont="1" applyBorder="1" applyAlignment="1">
      <alignment horizontal="center"/>
    </xf>
    <xf numFmtId="0" fontId="10" fillId="0" borderId="29" xfId="0" applyFont="1" applyBorder="1" applyAlignment="1">
      <alignment horizontal="center"/>
    </xf>
    <xf numFmtId="1" fontId="38" fillId="5" borderId="51" xfId="2" applyNumberFormat="1" applyFont="1" applyFill="1" applyBorder="1" applyAlignment="1">
      <alignment horizontal="left" vertical="center"/>
    </xf>
    <xf numFmtId="170" fontId="0" fillId="0" borderId="6" xfId="1" applyNumberFormat="1" applyFont="1" applyBorder="1"/>
    <xf numFmtId="16" fontId="0" fillId="0" borderId="0" xfId="0" applyNumberFormat="1"/>
    <xf numFmtId="164" fontId="1" fillId="0" borderId="6" xfId="1" applyFont="1" applyBorder="1"/>
    <xf numFmtId="0" fontId="2" fillId="20" borderId="16" xfId="0" applyFont="1" applyFill="1" applyBorder="1"/>
    <xf numFmtId="0" fontId="10" fillId="0" borderId="28" xfId="0" applyFont="1" applyBorder="1" applyAlignment="1">
      <alignment horizontal="left"/>
    </xf>
    <xf numFmtId="14" fontId="0" fillId="0" borderId="6" xfId="1" applyNumberFormat="1" applyFont="1" applyBorder="1"/>
    <xf numFmtId="164" fontId="0" fillId="18" borderId="6" xfId="1" quotePrefix="1" applyFont="1" applyFill="1" applyBorder="1"/>
    <xf numFmtId="164" fontId="0" fillId="18" borderId="6" xfId="1" applyFont="1" applyFill="1" applyBorder="1"/>
    <xf numFmtId="0" fontId="28" fillId="0" borderId="0" xfId="0" applyFont="1"/>
    <xf numFmtId="166" fontId="0" fillId="5" borderId="6" xfId="1" applyNumberFormat="1" applyFont="1" applyFill="1" applyBorder="1"/>
    <xf numFmtId="14" fontId="0" fillId="5" borderId="6" xfId="1" applyNumberFormat="1" applyFont="1" applyFill="1" applyBorder="1"/>
    <xf numFmtId="166" fontId="0" fillId="5" borderId="7" xfId="1" applyNumberFormat="1" applyFont="1" applyFill="1" applyBorder="1"/>
    <xf numFmtId="14" fontId="0" fillId="5" borderId="7" xfId="1" applyNumberFormat="1" applyFont="1" applyFill="1" applyBorder="1"/>
    <xf numFmtId="165" fontId="38" fillId="9" borderId="51" xfId="2" applyNumberFormat="1" applyFont="1" applyFill="1" applyBorder="1" applyAlignment="1">
      <alignment horizontal="left" vertical="center"/>
    </xf>
    <xf numFmtId="16" fontId="1" fillId="0" borderId="6" xfId="1" applyNumberFormat="1" applyFont="1" applyBorder="1"/>
    <xf numFmtId="0" fontId="0" fillId="0" borderId="7" xfId="1" applyNumberFormat="1" applyFont="1" applyBorder="1" applyAlignment="1"/>
    <xf numFmtId="0" fontId="39" fillId="4" borderId="15" xfId="0" applyFont="1" applyFill="1" applyBorder="1" applyAlignment="1">
      <alignment horizontal="center" vertical="center"/>
    </xf>
    <xf numFmtId="16" fontId="0" fillId="0" borderId="6" xfId="1" applyNumberFormat="1" applyFont="1" applyBorder="1"/>
    <xf numFmtId="0" fontId="31" fillId="0" borderId="6" xfId="0" applyFont="1" applyBorder="1" applyAlignment="1">
      <alignment horizontal="left" vertical="center" wrapText="1"/>
    </xf>
    <xf numFmtId="2" fontId="3" fillId="2" borderId="7" xfId="0" applyNumberFormat="1" applyFont="1" applyFill="1" applyBorder="1"/>
    <xf numFmtId="2" fontId="3" fillId="0" borderId="6" xfId="0" applyNumberFormat="1" applyFont="1" applyBorder="1"/>
    <xf numFmtId="2" fontId="3" fillId="17" borderId="6" xfId="0" applyNumberFormat="1" applyFont="1" applyFill="1" applyBorder="1"/>
    <xf numFmtId="2" fontId="3" fillId="2" borderId="6" xfId="1" applyNumberFormat="1" applyFont="1" applyFill="1" applyBorder="1"/>
    <xf numFmtId="2" fontId="3" fillId="2" borderId="7" xfId="1" applyNumberFormat="1" applyFont="1" applyFill="1" applyBorder="1"/>
    <xf numFmtId="2" fontId="3" fillId="0" borderId="7" xfId="0" applyNumberFormat="1" applyFont="1" applyBorder="1"/>
    <xf numFmtId="164" fontId="3" fillId="2" borderId="7" xfId="1" applyFont="1" applyFill="1" applyBorder="1"/>
    <xf numFmtId="164" fontId="10" fillId="0" borderId="6" xfId="0" applyNumberFormat="1" applyFont="1" applyBorder="1"/>
    <xf numFmtId="1" fontId="3" fillId="5" borderId="7" xfId="0" applyNumberFormat="1" applyFont="1" applyFill="1" applyBorder="1" applyAlignment="1">
      <alignment horizontal="left" vertical="top"/>
    </xf>
    <xf numFmtId="15" fontId="3" fillId="5" borderId="6" xfId="0" applyNumberFormat="1" applyFont="1" applyFill="1" applyBorder="1" applyAlignment="1">
      <alignment horizontal="left" vertical="top"/>
    </xf>
    <xf numFmtId="1" fontId="3" fillId="5" borderId="6" xfId="0" applyNumberFormat="1" applyFont="1" applyFill="1" applyBorder="1" applyAlignment="1">
      <alignment horizontal="left" vertical="top"/>
    </xf>
    <xf numFmtId="0" fontId="3" fillId="5" borderId="6" xfId="0" applyFont="1" applyFill="1" applyBorder="1" applyAlignment="1">
      <alignment horizontal="left" vertical="top"/>
    </xf>
    <xf numFmtId="1" fontId="4" fillId="5" borderId="6" xfId="0" applyNumberFormat="1" applyFont="1" applyFill="1" applyBorder="1" applyAlignment="1">
      <alignment horizontal="left" vertical="top"/>
    </xf>
    <xf numFmtId="1" fontId="0" fillId="5" borderId="6" xfId="0" applyNumberFormat="1" applyFill="1" applyBorder="1"/>
    <xf numFmtId="0" fontId="4" fillId="5" borderId="6" xfId="0" applyFont="1" applyFill="1" applyBorder="1" applyAlignment="1">
      <alignment horizontal="left" vertical="top"/>
    </xf>
    <xf numFmtId="1" fontId="4" fillId="5" borderId="7" xfId="0" applyNumberFormat="1" applyFont="1" applyFill="1" applyBorder="1" applyAlignment="1">
      <alignment horizontal="left" vertical="top"/>
    </xf>
    <xf numFmtId="0" fontId="2" fillId="21" borderId="6" xfId="0" applyFont="1" applyFill="1" applyBorder="1"/>
    <xf numFmtId="0" fontId="10" fillId="0" borderId="6" xfId="0" applyFont="1" applyBorder="1" applyAlignment="1">
      <alignment horizontal="center"/>
    </xf>
    <xf numFmtId="0" fontId="44" fillId="0" borderId="0" xfId="7"/>
    <xf numFmtId="165" fontId="4" fillId="2" borderId="7" xfId="2" applyNumberFormat="1" applyFont="1" applyFill="1" applyBorder="1" applyAlignment="1">
      <alignment horizontal="left" vertical="top"/>
    </xf>
    <xf numFmtId="1" fontId="3" fillId="0" borderId="7" xfId="0" applyNumberFormat="1" applyFont="1" applyBorder="1" applyAlignment="1">
      <alignment horizontal="left" vertical="top"/>
    </xf>
    <xf numFmtId="172" fontId="0" fillId="0" borderId="6" xfId="0" applyNumberFormat="1" applyBorder="1"/>
    <xf numFmtId="171" fontId="3" fillId="2" borderId="6" xfId="0" applyNumberFormat="1" applyFont="1" applyFill="1" applyBorder="1" applyAlignment="1">
      <alignment horizontal="center" vertical="center"/>
    </xf>
    <xf numFmtId="171" fontId="3" fillId="2" borderId="2" xfId="0" applyNumberFormat="1" applyFont="1" applyFill="1" applyBorder="1" applyAlignment="1">
      <alignment horizontal="center" vertical="center"/>
    </xf>
    <xf numFmtId="173" fontId="3" fillId="0" borderId="7" xfId="0" applyNumberFormat="1" applyFont="1" applyBorder="1" applyAlignment="1">
      <alignment horizontal="left" vertical="top"/>
    </xf>
    <xf numFmtId="173" fontId="3" fillId="0" borderId="6" xfId="0" applyNumberFormat="1" applyFont="1" applyBorder="1" applyAlignment="1">
      <alignment horizontal="left" vertical="top"/>
    </xf>
    <xf numFmtId="43" fontId="0" fillId="0" borderId="0" xfId="0" applyNumberFormat="1"/>
    <xf numFmtId="173" fontId="3" fillId="0" borderId="7" xfId="1" applyNumberFormat="1" applyFont="1" applyFill="1" applyBorder="1" applyAlignment="1">
      <alignment horizontal="left" vertical="center"/>
    </xf>
    <xf numFmtId="173" fontId="3" fillId="0" borderId="7" xfId="0" applyNumberFormat="1" applyFont="1" applyBorder="1" applyAlignment="1">
      <alignment horizontal="left" vertical="center"/>
    </xf>
    <xf numFmtId="173" fontId="3" fillId="19" borderId="6" xfId="0" applyNumberFormat="1" applyFont="1" applyFill="1" applyBorder="1" applyAlignment="1">
      <alignment horizontal="left" vertical="top"/>
    </xf>
    <xf numFmtId="164" fontId="4" fillId="0" borderId="6" xfId="1" applyFont="1" applyFill="1" applyBorder="1" applyAlignment="1">
      <alignment horizontal="left" vertical="top"/>
    </xf>
    <xf numFmtId="0" fontId="4" fillId="2" borderId="8" xfId="0" applyFont="1" applyFill="1" applyBorder="1" applyAlignment="1">
      <alignment horizontal="left" vertical="top"/>
    </xf>
    <xf numFmtId="0" fontId="3" fillId="2" borderId="7" xfId="0" applyFont="1" applyFill="1" applyBorder="1" applyAlignment="1">
      <alignment horizontal="left" vertical="top" wrapText="1"/>
    </xf>
    <xf numFmtId="0" fontId="3" fillId="0" borderId="6" xfId="0" applyFont="1" applyBorder="1" applyAlignment="1">
      <alignment vertical="center"/>
    </xf>
    <xf numFmtId="0" fontId="3" fillId="0" borderId="7" xfId="0" applyFont="1" applyBorder="1" applyAlignment="1">
      <alignment horizontal="left" vertical="top" wrapText="1"/>
    </xf>
    <xf numFmtId="4" fontId="4" fillId="0" borderId="6" xfId="0" applyNumberFormat="1" applyFont="1" applyBorder="1" applyAlignment="1">
      <alignment horizontal="left" vertical="top"/>
    </xf>
    <xf numFmtId="4" fontId="3" fillId="0" borderId="6" xfId="1" quotePrefix="1" applyNumberFormat="1" applyFont="1" applyFill="1" applyBorder="1" applyAlignment="1">
      <alignment horizontal="left" vertical="top"/>
    </xf>
    <xf numFmtId="173" fontId="3" fillId="0" borderId="13" xfId="0" applyNumberFormat="1" applyFont="1" applyBorder="1" applyAlignment="1">
      <alignment horizontal="left" vertical="top"/>
    </xf>
    <xf numFmtId="173" fontId="3" fillId="0" borderId="2" xfId="0" applyNumberFormat="1" applyFont="1" applyBorder="1" applyAlignment="1">
      <alignment horizontal="left" vertical="top"/>
    </xf>
    <xf numFmtId="173" fontId="3" fillId="0" borderId="14" xfId="0" applyNumberFormat="1" applyFont="1" applyBorder="1" applyAlignment="1">
      <alignment horizontal="left" vertical="top"/>
    </xf>
    <xf numFmtId="173" fontId="3" fillId="0" borderId="2" xfId="0" quotePrefix="1" applyNumberFormat="1" applyFont="1" applyBorder="1" applyAlignment="1">
      <alignment horizontal="left" vertical="top"/>
    </xf>
    <xf numFmtId="15" fontId="4" fillId="0" borderId="14" xfId="0" applyNumberFormat="1" applyFont="1" applyBorder="1" applyAlignment="1">
      <alignment horizontal="left" vertical="top"/>
    </xf>
    <xf numFmtId="15" fontId="3" fillId="5" borderId="7" xfId="0" applyNumberFormat="1" applyFont="1" applyFill="1" applyBorder="1" applyAlignment="1">
      <alignment horizontal="left" vertical="top"/>
    </xf>
    <xf numFmtId="0" fontId="3" fillId="5" borderId="7" xfId="0" applyFont="1" applyFill="1" applyBorder="1" applyAlignment="1">
      <alignment horizontal="left" vertical="top"/>
    </xf>
    <xf numFmtId="173" fontId="3" fillId="0" borderId="6" xfId="1" applyNumberFormat="1" applyFont="1" applyFill="1" applyBorder="1" applyAlignment="1">
      <alignment horizontal="left" vertical="top"/>
    </xf>
    <xf numFmtId="15" fontId="3" fillId="0" borderId="6" xfId="1" applyNumberFormat="1" applyFont="1" applyFill="1" applyBorder="1" applyAlignment="1">
      <alignment horizontal="left" vertical="top"/>
    </xf>
    <xf numFmtId="0" fontId="2" fillId="20" borderId="39" xfId="0" applyFont="1" applyFill="1" applyBorder="1"/>
    <xf numFmtId="0" fontId="2" fillId="21" borderId="39" xfId="0" applyFont="1" applyFill="1" applyBorder="1"/>
    <xf numFmtId="0" fontId="0" fillId="0" borderId="6" xfId="0" quotePrefix="1" applyBorder="1"/>
    <xf numFmtId="0" fontId="2" fillId="6" borderId="0" xfId="0" applyFont="1" applyFill="1"/>
    <xf numFmtId="167" fontId="11" fillId="22" borderId="6" xfId="0" applyNumberFormat="1" applyFont="1" applyFill="1" applyBorder="1"/>
    <xf numFmtId="167" fontId="11" fillId="22" borderId="13" xfId="0" applyNumberFormat="1" applyFont="1" applyFill="1" applyBorder="1"/>
    <xf numFmtId="167" fontId="11" fillId="22" borderId="16" xfId="0" applyNumberFormat="1" applyFont="1" applyFill="1" applyBorder="1"/>
    <xf numFmtId="167" fontId="11" fillId="22" borderId="54" xfId="0" applyNumberFormat="1" applyFont="1" applyFill="1" applyBorder="1"/>
    <xf numFmtId="9" fontId="3" fillId="0" borderId="4" xfId="1" applyNumberFormat="1" applyFont="1" applyFill="1" applyBorder="1" applyAlignment="1">
      <alignment horizontal="left" vertical="center"/>
    </xf>
    <xf numFmtId="173" fontId="3" fillId="0" borderId="6" xfId="1" applyNumberFormat="1" applyFont="1" applyFill="1" applyBorder="1" applyAlignment="1">
      <alignment horizontal="left" vertical="center"/>
    </xf>
    <xf numFmtId="173" fontId="3" fillId="0" borderId="4" xfId="0" applyNumberFormat="1" applyFont="1" applyBorder="1" applyAlignment="1">
      <alignment horizontal="left" vertical="center"/>
    </xf>
    <xf numFmtId="9" fontId="3" fillId="0" borderId="4" xfId="0" applyNumberFormat="1" applyFont="1" applyBorder="1" applyAlignment="1">
      <alignment horizontal="left" vertical="center"/>
    </xf>
    <xf numFmtId="0" fontId="3" fillId="0" borderId="4" xfId="0" applyFont="1" applyBorder="1" applyAlignment="1">
      <alignment horizontal="left" vertical="center"/>
    </xf>
    <xf numFmtId="0" fontId="46" fillId="0" borderId="6" xfId="0" applyFont="1" applyBorder="1" applyAlignment="1">
      <alignment horizontal="left" vertical="center"/>
    </xf>
    <xf numFmtId="0" fontId="45" fillId="0" borderId="2" xfId="0" applyFont="1" applyBorder="1" applyAlignment="1">
      <alignment horizontal="left" vertical="center"/>
    </xf>
    <xf numFmtId="174" fontId="3" fillId="0" borderId="6" xfId="1" applyNumberFormat="1" applyFont="1" applyFill="1" applyBorder="1" applyAlignment="1">
      <alignment horizontal="left" vertical="center"/>
    </xf>
    <xf numFmtId="0" fontId="3" fillId="0" borderId="2" xfId="0" applyFont="1" applyBorder="1" applyAlignment="1">
      <alignment horizontal="left" vertical="center"/>
    </xf>
    <xf numFmtId="0" fontId="4" fillId="0" borderId="4" xfId="0" applyFont="1" applyBorder="1" applyAlignment="1">
      <alignment horizontal="left" vertical="center"/>
    </xf>
    <xf numFmtId="0" fontId="45" fillId="2" borderId="2" xfId="0" applyFont="1" applyFill="1" applyBorder="1" applyAlignment="1">
      <alignment horizontal="left" vertical="center"/>
    </xf>
    <xf numFmtId="15" fontId="3" fillId="0" borderId="4" xfId="1" applyNumberFormat="1" applyFont="1" applyFill="1" applyBorder="1" applyAlignment="1">
      <alignment horizontal="left" vertical="center"/>
    </xf>
    <xf numFmtId="173" fontId="48" fillId="0" borderId="7" xfId="0" applyNumberFormat="1" applyFont="1" applyBorder="1" applyAlignment="1">
      <alignment horizontal="left" vertical="center"/>
    </xf>
    <xf numFmtId="0" fontId="49" fillId="4" borderId="0" xfId="0" applyFont="1" applyFill="1"/>
    <xf numFmtId="164" fontId="32" fillId="3" borderId="38" xfId="1" applyFont="1" applyFill="1" applyBorder="1" applyAlignment="1">
      <alignment horizontal="center" vertical="center"/>
    </xf>
    <xf numFmtId="164" fontId="3" fillId="0" borderId="6" xfId="1" applyFont="1" applyFill="1" applyBorder="1"/>
    <xf numFmtId="4" fontId="0" fillId="5" borderId="19" xfId="0" applyNumberFormat="1" applyFill="1" applyBorder="1"/>
    <xf numFmtId="0" fontId="3" fillId="2" borderId="0" xfId="0" applyFont="1" applyFill="1" applyAlignment="1">
      <alignment horizontal="left" vertical="top"/>
    </xf>
    <xf numFmtId="1" fontId="0" fillId="5" borderId="7" xfId="0" applyNumberFormat="1" applyFill="1" applyBorder="1"/>
    <xf numFmtId="0" fontId="3" fillId="0" borderId="8" xfId="0" applyFont="1" applyBorder="1" applyAlignment="1">
      <alignment horizontal="left" vertical="center"/>
    </xf>
    <xf numFmtId="173" fontId="4" fillId="0" borderId="7" xfId="2" applyNumberFormat="1" applyFont="1" applyBorder="1" applyAlignment="1">
      <alignment horizontal="left" vertical="center"/>
    </xf>
    <xf numFmtId="0" fontId="31" fillId="0" borderId="7" xfId="0" applyFont="1" applyBorder="1" applyAlignment="1">
      <alignment horizontal="left" vertical="center" wrapText="1"/>
    </xf>
    <xf numFmtId="0" fontId="3" fillId="23" borderId="5" xfId="0" applyFont="1" applyFill="1" applyBorder="1" applyAlignment="1">
      <alignment horizontal="left" vertical="top"/>
    </xf>
    <xf numFmtId="173" fontId="3" fillId="23" borderId="7" xfId="0" applyNumberFormat="1" applyFont="1" applyFill="1" applyBorder="1" applyAlignment="1">
      <alignment horizontal="left" vertical="top"/>
    </xf>
    <xf numFmtId="0" fontId="3" fillId="23" borderId="6" xfId="0" applyFont="1" applyFill="1" applyBorder="1" applyAlignment="1">
      <alignment horizontal="left" vertical="top"/>
    </xf>
    <xf numFmtId="0" fontId="3" fillId="23" borderId="7" xfId="0" applyFont="1" applyFill="1" applyBorder="1" applyAlignment="1">
      <alignment horizontal="left" vertical="top"/>
    </xf>
    <xf numFmtId="0" fontId="3" fillId="23" borderId="6" xfId="0" quotePrefix="1" applyFont="1" applyFill="1" applyBorder="1" applyAlignment="1">
      <alignment horizontal="left" vertical="top"/>
    </xf>
    <xf numFmtId="0" fontId="3" fillId="23" borderId="7" xfId="0" quotePrefix="1" applyFont="1" applyFill="1" applyBorder="1" applyAlignment="1">
      <alignment horizontal="left" vertical="top"/>
    </xf>
    <xf numFmtId="4" fontId="3" fillId="23" borderId="6" xfId="0" applyNumberFormat="1" applyFont="1" applyFill="1" applyBorder="1" applyAlignment="1">
      <alignment horizontal="left" vertical="top"/>
    </xf>
    <xf numFmtId="4" fontId="3" fillId="23" borderId="6" xfId="1" applyNumberFormat="1" applyFont="1" applyFill="1" applyBorder="1" applyAlignment="1">
      <alignment horizontal="left" vertical="top"/>
    </xf>
    <xf numFmtId="173" fontId="3" fillId="23" borderId="6" xfId="0" applyNumberFormat="1" applyFont="1" applyFill="1" applyBorder="1" applyAlignment="1">
      <alignment horizontal="left" vertical="top"/>
    </xf>
    <xf numFmtId="4" fontId="3" fillId="23" borderId="7" xfId="1" applyNumberFormat="1" applyFont="1" applyFill="1" applyBorder="1" applyAlignment="1">
      <alignment horizontal="left" vertical="top"/>
    </xf>
    <xf numFmtId="164" fontId="3" fillId="23" borderId="7" xfId="1" applyFont="1" applyFill="1" applyBorder="1" applyAlignment="1">
      <alignment horizontal="left" vertical="top"/>
    </xf>
    <xf numFmtId="173" fontId="3" fillId="23" borderId="13" xfId="0" applyNumberFormat="1" applyFont="1" applyFill="1" applyBorder="1" applyAlignment="1">
      <alignment horizontal="left" vertical="top"/>
    </xf>
    <xf numFmtId="1" fontId="3" fillId="23" borderId="6" xfId="0" applyNumberFormat="1" applyFont="1" applyFill="1" applyBorder="1" applyAlignment="1">
      <alignment horizontal="left" vertical="top"/>
    </xf>
    <xf numFmtId="173" fontId="3" fillId="23" borderId="6" xfId="1" applyNumberFormat="1" applyFont="1" applyFill="1" applyBorder="1" applyAlignment="1">
      <alignment horizontal="left" vertical="top"/>
    </xf>
    <xf numFmtId="0" fontId="3" fillId="25" borderId="5" xfId="0" applyFont="1" applyFill="1" applyBorder="1" applyAlignment="1">
      <alignment horizontal="left" vertical="top"/>
    </xf>
    <xf numFmtId="173" fontId="3" fillId="25" borderId="7" xfId="0" applyNumberFormat="1" applyFont="1" applyFill="1" applyBorder="1" applyAlignment="1">
      <alignment horizontal="left" vertical="top"/>
    </xf>
    <xf numFmtId="0" fontId="3" fillId="25" borderId="6" xfId="0" applyFont="1" applyFill="1" applyBorder="1" applyAlignment="1">
      <alignment horizontal="left" vertical="top"/>
    </xf>
    <xf numFmtId="0" fontId="3" fillId="25" borderId="7" xfId="0" applyFont="1" applyFill="1" applyBorder="1" applyAlignment="1">
      <alignment horizontal="left" vertical="top"/>
    </xf>
    <xf numFmtId="0" fontId="3" fillId="25" borderId="6" xfId="0" quotePrefix="1" applyFont="1" applyFill="1" applyBorder="1" applyAlignment="1">
      <alignment horizontal="left" vertical="top"/>
    </xf>
    <xf numFmtId="0" fontId="3" fillId="25" borderId="7" xfId="0" quotePrefix="1" applyFont="1" applyFill="1" applyBorder="1" applyAlignment="1">
      <alignment horizontal="left" vertical="top"/>
    </xf>
    <xf numFmtId="4" fontId="3" fillId="25" borderId="7" xfId="0" applyNumberFormat="1" applyFont="1" applyFill="1" applyBorder="1" applyAlignment="1">
      <alignment horizontal="left" vertical="top"/>
    </xf>
    <xf numFmtId="4" fontId="3" fillId="25" borderId="7" xfId="1" applyNumberFormat="1" applyFont="1" applyFill="1" applyBorder="1" applyAlignment="1">
      <alignment horizontal="left" vertical="top"/>
    </xf>
    <xf numFmtId="4" fontId="3" fillId="25" borderId="6" xfId="1" applyNumberFormat="1" applyFont="1" applyFill="1" applyBorder="1" applyAlignment="1">
      <alignment horizontal="left" vertical="top"/>
    </xf>
    <xf numFmtId="173" fontId="3" fillId="25" borderId="6" xfId="0" applyNumberFormat="1" applyFont="1" applyFill="1" applyBorder="1" applyAlignment="1">
      <alignment horizontal="left" vertical="top"/>
    </xf>
    <xf numFmtId="164" fontId="3" fillId="25" borderId="7" xfId="1" applyFont="1" applyFill="1" applyBorder="1" applyAlignment="1">
      <alignment horizontal="left" vertical="top"/>
    </xf>
    <xf numFmtId="1" fontId="3" fillId="25" borderId="6" xfId="0" applyNumberFormat="1" applyFont="1" applyFill="1" applyBorder="1" applyAlignment="1">
      <alignment horizontal="left" vertical="top"/>
    </xf>
    <xf numFmtId="173" fontId="3" fillId="25" borderId="7" xfId="1" applyNumberFormat="1" applyFont="1" applyFill="1" applyBorder="1" applyAlignment="1">
      <alignment horizontal="left" vertical="top"/>
    </xf>
    <xf numFmtId="164" fontId="3" fillId="25" borderId="6" xfId="1" applyFont="1" applyFill="1" applyBorder="1" applyAlignment="1">
      <alignment horizontal="left" vertical="top"/>
    </xf>
    <xf numFmtId="0" fontId="0" fillId="25" borderId="0" xfId="0" applyFill="1"/>
    <xf numFmtId="1" fontId="3" fillId="25" borderId="7" xfId="0" applyNumberFormat="1" applyFont="1" applyFill="1" applyBorder="1" applyAlignment="1">
      <alignment horizontal="left" vertical="top"/>
    </xf>
    <xf numFmtId="164" fontId="0" fillId="0" borderId="7" xfId="1" applyFont="1" applyBorder="1" applyAlignment="1"/>
    <xf numFmtId="164" fontId="1" fillId="0" borderId="7" xfId="1" applyFont="1" applyBorder="1" applyAlignment="1"/>
    <xf numFmtId="173" fontId="3" fillId="0" borderId="7" xfId="1" applyNumberFormat="1" applyFont="1" applyFill="1" applyBorder="1" applyAlignment="1">
      <alignment horizontal="left" vertical="top"/>
    </xf>
    <xf numFmtId="0" fontId="35" fillId="0" borderId="5" xfId="0" applyFont="1" applyBorder="1" applyAlignment="1">
      <alignment horizontal="left" vertical="top"/>
    </xf>
    <xf numFmtId="4" fontId="0" fillId="5" borderId="16" xfId="0" applyNumberFormat="1" applyFill="1" applyBorder="1"/>
    <xf numFmtId="14" fontId="0" fillId="15" borderId="23" xfId="0" applyNumberFormat="1" applyFill="1" applyBorder="1" applyAlignment="1">
      <alignment horizontal="center"/>
    </xf>
    <xf numFmtId="0" fontId="9" fillId="26" borderId="43" xfId="0" applyFont="1" applyFill="1" applyBorder="1" applyAlignment="1">
      <alignment horizontal="centerContinuous"/>
    </xf>
    <xf numFmtId="0" fontId="9" fillId="26" borderId="41" xfId="0" applyFont="1" applyFill="1" applyBorder="1" applyAlignment="1">
      <alignment horizontal="centerContinuous"/>
    </xf>
    <xf numFmtId="0" fontId="9" fillId="26" borderId="42" xfId="0" applyFont="1" applyFill="1" applyBorder="1" applyAlignment="1">
      <alignment horizontal="centerContinuous"/>
    </xf>
    <xf numFmtId="0" fontId="9" fillId="20" borderId="43" xfId="0" applyFont="1" applyFill="1" applyBorder="1" applyAlignment="1">
      <alignment horizontal="centerContinuous"/>
    </xf>
    <xf numFmtId="0" fontId="9" fillId="20" borderId="41" xfId="0" applyFont="1" applyFill="1" applyBorder="1" applyAlignment="1">
      <alignment horizontal="centerContinuous"/>
    </xf>
    <xf numFmtId="0" fontId="16" fillId="27" borderId="0" xfId="0" applyFont="1" applyFill="1" applyAlignment="1">
      <alignment horizontal="center"/>
    </xf>
    <xf numFmtId="14" fontId="0" fillId="28" borderId="23" xfId="0" applyNumberFormat="1" applyFill="1" applyBorder="1" applyAlignment="1">
      <alignment horizontal="center"/>
    </xf>
    <xf numFmtId="1" fontId="0" fillId="28" borderId="23" xfId="0" quotePrefix="1" applyNumberFormat="1" applyFill="1" applyBorder="1" applyAlignment="1">
      <alignment horizontal="center"/>
    </xf>
    <xf numFmtId="0" fontId="0" fillId="28" borderId="0" xfId="0" applyFill="1" applyAlignment="1">
      <alignment horizontal="center"/>
    </xf>
    <xf numFmtId="0" fontId="43" fillId="20" borderId="0" xfId="0" applyFont="1" applyFill="1" applyAlignment="1">
      <alignment horizontal="center"/>
    </xf>
    <xf numFmtId="164" fontId="10" fillId="28" borderId="23" xfId="1" applyFont="1" applyFill="1" applyBorder="1" applyAlignment="1">
      <alignment horizontal="center"/>
    </xf>
    <xf numFmtId="1" fontId="10" fillId="28" borderId="23" xfId="1" applyNumberFormat="1" applyFont="1" applyFill="1" applyBorder="1" applyAlignment="1">
      <alignment horizontal="center"/>
    </xf>
    <xf numFmtId="0" fontId="0" fillId="24" borderId="0" xfId="0" applyFill="1" applyAlignment="1">
      <alignment horizontal="center"/>
    </xf>
    <xf numFmtId="164" fontId="0" fillId="24" borderId="0" xfId="0" applyNumberFormat="1" applyFill="1" applyAlignment="1">
      <alignment horizontal="center"/>
    </xf>
    <xf numFmtId="1" fontId="0" fillId="24" borderId="0" xfId="0" applyNumberFormat="1" applyFill="1" applyAlignment="1">
      <alignment horizontal="center"/>
    </xf>
    <xf numFmtId="10" fontId="0" fillId="24" borderId="0" xfId="0" applyNumberFormat="1" applyFill="1" applyAlignment="1">
      <alignment horizontal="center"/>
    </xf>
    <xf numFmtId="168" fontId="0" fillId="24" borderId="0" xfId="0" applyNumberFormat="1" applyFill="1" applyAlignment="1">
      <alignment horizontal="center"/>
    </xf>
    <xf numFmtId="169" fontId="0" fillId="24" borderId="0" xfId="0" applyNumberFormat="1" applyFill="1" applyAlignment="1">
      <alignment horizontal="center"/>
    </xf>
    <xf numFmtId="164" fontId="10" fillId="24" borderId="0" xfId="0" applyNumberFormat="1" applyFont="1" applyFill="1" applyAlignment="1">
      <alignment horizontal="center"/>
    </xf>
    <xf numFmtId="1" fontId="0" fillId="0" borderId="7" xfId="0" applyNumberFormat="1" applyBorder="1"/>
    <xf numFmtId="15" fontId="3" fillId="0" borderId="4" xfId="0" applyNumberFormat="1" applyFont="1" applyBorder="1" applyAlignment="1">
      <alignment horizontal="left" vertical="center"/>
    </xf>
    <xf numFmtId="4" fontId="0" fillId="0" borderId="6" xfId="0" applyNumberFormat="1" applyBorder="1"/>
    <xf numFmtId="173" fontId="4" fillId="0" borderId="7" xfId="1" applyNumberFormat="1" applyFont="1" applyFill="1" applyBorder="1" applyAlignment="1">
      <alignment horizontal="left" vertical="center"/>
    </xf>
    <xf numFmtId="4" fontId="0" fillId="4" borderId="0" xfId="0" applyNumberFormat="1" applyFill="1"/>
    <xf numFmtId="0" fontId="50" fillId="4" borderId="40" xfId="0" applyFont="1" applyFill="1" applyBorder="1"/>
    <xf numFmtId="0" fontId="0" fillId="0" borderId="2" xfId="0" quotePrefix="1" applyBorder="1"/>
    <xf numFmtId="0" fontId="0" fillId="0" borderId="7" xfId="0" quotePrefix="1" applyBorder="1"/>
    <xf numFmtId="0" fontId="3" fillId="0" borderId="7" xfId="0" applyFont="1" applyBorder="1" applyAlignment="1">
      <alignment horizontal="left" vertical="center" wrapText="1"/>
    </xf>
    <xf numFmtId="0" fontId="31" fillId="0" borderId="0" xfId="0" applyFont="1"/>
    <xf numFmtId="164" fontId="10" fillId="0" borderId="7" xfId="1" applyFont="1" applyBorder="1"/>
    <xf numFmtId="0" fontId="0" fillId="5" borderId="19" xfId="0" applyFill="1" applyBorder="1"/>
    <xf numFmtId="1" fontId="3" fillId="2" borderId="7" xfId="0" applyNumberFormat="1" applyFont="1" applyFill="1" applyBorder="1"/>
    <xf numFmtId="0" fontId="38" fillId="29" borderId="6" xfId="0" applyFont="1" applyFill="1" applyBorder="1"/>
    <xf numFmtId="40" fontId="38" fillId="29" borderId="6" xfId="1" applyNumberFormat="1" applyFont="1" applyFill="1" applyBorder="1"/>
    <xf numFmtId="40" fontId="38" fillId="29" borderId="6" xfId="1" quotePrefix="1" applyNumberFormat="1" applyFont="1" applyFill="1" applyBorder="1"/>
    <xf numFmtId="4" fontId="0" fillId="0" borderId="3" xfId="0" applyNumberFormat="1" applyBorder="1" applyAlignment="1">
      <alignment horizontal="center"/>
    </xf>
    <xf numFmtId="0" fontId="0" fillId="0" borderId="2" xfId="0" applyBorder="1" applyAlignment="1">
      <alignment horizontal="center"/>
    </xf>
    <xf numFmtId="0" fontId="3" fillId="2" borderId="7" xfId="0" applyFont="1" applyFill="1" applyBorder="1" applyAlignment="1">
      <alignment horizontal="center" vertical="center"/>
    </xf>
    <xf numFmtId="167" fontId="3" fillId="2" borderId="7" xfId="0" applyNumberFormat="1" applyFont="1" applyFill="1" applyBorder="1" applyAlignment="1">
      <alignment horizontal="center" vertical="center"/>
    </xf>
    <xf numFmtId="164" fontId="10" fillId="5" borderId="6" xfId="1" applyFont="1" applyFill="1" applyBorder="1" applyAlignment="1">
      <alignment horizontal="center" vertical="center"/>
    </xf>
    <xf numFmtId="173" fontId="4" fillId="0" borderId="7" xfId="0" applyNumberFormat="1" applyFont="1" applyBorder="1" applyAlignment="1">
      <alignment horizontal="left" vertical="center"/>
    </xf>
    <xf numFmtId="164" fontId="22" fillId="0" borderId="7" xfId="1" applyFont="1" applyFill="1" applyBorder="1" applyAlignment="1">
      <alignment horizontal="center"/>
    </xf>
    <xf numFmtId="164" fontId="3" fillId="0" borderId="7" xfId="1" applyFont="1" applyFill="1" applyBorder="1" applyAlignment="1">
      <alignment horizontal="center"/>
    </xf>
    <xf numFmtId="0" fontId="3" fillId="28" borderId="8" xfId="0" applyFont="1" applyFill="1" applyBorder="1" applyAlignment="1">
      <alignment horizontal="left" vertical="top"/>
    </xf>
    <xf numFmtId="173" fontId="3" fillId="28" borderId="7" xfId="0" applyNumberFormat="1" applyFont="1" applyFill="1" applyBorder="1" applyAlignment="1">
      <alignment horizontal="left" vertical="top"/>
    </xf>
    <xf numFmtId="0" fontId="3" fillId="28" borderId="7" xfId="0" applyFont="1" applyFill="1" applyBorder="1" applyAlignment="1">
      <alignment horizontal="left" vertical="top"/>
    </xf>
    <xf numFmtId="0" fontId="3" fillId="28" borderId="7" xfId="0" quotePrefix="1" applyFont="1" applyFill="1" applyBorder="1" applyAlignment="1">
      <alignment horizontal="left" vertical="top"/>
    </xf>
    <xf numFmtId="4" fontId="3" fillId="28" borderId="7" xfId="0" applyNumberFormat="1" applyFont="1" applyFill="1" applyBorder="1" applyAlignment="1">
      <alignment horizontal="left" vertical="top"/>
    </xf>
    <xf numFmtId="4" fontId="3" fillId="28" borderId="7" xfId="1" applyNumberFormat="1" applyFont="1" applyFill="1" applyBorder="1" applyAlignment="1">
      <alignment horizontal="left" vertical="top"/>
    </xf>
    <xf numFmtId="164" fontId="3" fillId="28" borderId="7" xfId="1" applyFont="1" applyFill="1" applyBorder="1" applyAlignment="1">
      <alignment horizontal="left" vertical="top"/>
    </xf>
    <xf numFmtId="0" fontId="3" fillId="28" borderId="6" xfId="0" applyFont="1" applyFill="1" applyBorder="1" applyAlignment="1">
      <alignment horizontal="left" vertical="top"/>
    </xf>
    <xf numFmtId="1" fontId="3" fillId="28" borderId="7" xfId="0" applyNumberFormat="1" applyFont="1" applyFill="1" applyBorder="1" applyAlignment="1">
      <alignment horizontal="left" vertical="top"/>
    </xf>
    <xf numFmtId="173" fontId="3" fillId="28" borderId="7" xfId="1" applyNumberFormat="1" applyFont="1" applyFill="1" applyBorder="1" applyAlignment="1">
      <alignment horizontal="left" vertical="top"/>
    </xf>
    <xf numFmtId="14" fontId="3" fillId="2" borderId="7" xfId="0" applyNumberFormat="1" applyFont="1" applyFill="1" applyBorder="1" applyAlignment="1">
      <alignment horizontal="center" vertical="center"/>
    </xf>
    <xf numFmtId="164" fontId="1" fillId="5" borderId="6" xfId="1" applyFont="1" applyFill="1" applyBorder="1" applyAlignment="1">
      <alignment horizontal="center" vertical="center"/>
    </xf>
    <xf numFmtId="171" fontId="3" fillId="2" borderId="7" xfId="0" applyNumberFormat="1" applyFont="1" applyFill="1" applyBorder="1" applyAlignment="1">
      <alignment horizontal="center" vertical="center"/>
    </xf>
    <xf numFmtId="15" fontId="31" fillId="0" borderId="7" xfId="1" applyNumberFormat="1" applyFont="1" applyFill="1" applyBorder="1" applyAlignment="1">
      <alignment horizontal="left" vertical="center"/>
    </xf>
    <xf numFmtId="0" fontId="2" fillId="8" borderId="16" xfId="0" applyFont="1" applyFill="1" applyBorder="1"/>
    <xf numFmtId="0" fontId="2" fillId="8" borderId="18" xfId="0" applyFont="1" applyFill="1" applyBorder="1"/>
    <xf numFmtId="0" fontId="51" fillId="0" borderId="31" xfId="0" applyFont="1" applyBorder="1" applyAlignment="1">
      <alignment vertical="center" wrapText="1"/>
    </xf>
    <xf numFmtId="0" fontId="51" fillId="0" borderId="38" xfId="0" applyFont="1" applyBorder="1" applyAlignment="1">
      <alignment vertical="center" wrapText="1"/>
    </xf>
    <xf numFmtId="0" fontId="51" fillId="0" borderId="38" xfId="0" applyFont="1" applyBorder="1" applyAlignment="1">
      <alignment horizontal="center" vertical="center" wrapText="1"/>
    </xf>
    <xf numFmtId="0" fontId="53" fillId="0" borderId="38" xfId="0" applyFont="1" applyBorder="1" applyAlignment="1">
      <alignment vertical="center" wrapText="1"/>
    </xf>
    <xf numFmtId="0" fontId="54" fillId="0" borderId="38" xfId="0" applyFont="1" applyBorder="1" applyAlignment="1">
      <alignment vertical="center" wrapText="1"/>
    </xf>
    <xf numFmtId="14" fontId="52" fillId="0" borderId="38" xfId="0" applyNumberFormat="1" applyFont="1" applyBorder="1" applyAlignment="1">
      <alignment horizontal="right" vertical="center" wrapText="1"/>
    </xf>
    <xf numFmtId="14" fontId="53" fillId="0" borderId="38" xfId="0" applyNumberFormat="1" applyFont="1" applyBorder="1" applyAlignment="1">
      <alignment horizontal="right" vertical="center" wrapText="1"/>
    </xf>
    <xf numFmtId="14" fontId="51" fillId="0" borderId="38" xfId="0" applyNumberFormat="1" applyFont="1" applyBorder="1" applyAlignment="1">
      <alignment horizontal="right" vertical="center" wrapText="1"/>
    </xf>
    <xf numFmtId="164" fontId="52" fillId="0" borderId="38" xfId="1" applyFont="1" applyBorder="1" applyAlignment="1">
      <alignment horizontal="center" vertical="center" wrapText="1"/>
    </xf>
    <xf numFmtId="0" fontId="55" fillId="0" borderId="23" xfId="0" applyFont="1" applyBorder="1" applyAlignment="1">
      <alignment vertical="center" wrapText="1"/>
    </xf>
    <xf numFmtId="0" fontId="55" fillId="0" borderId="42" xfId="0" applyFont="1" applyBorder="1" applyAlignment="1">
      <alignment vertical="center" wrapText="1"/>
    </xf>
    <xf numFmtId="0" fontId="55" fillId="0" borderId="42" xfId="0" applyFont="1" applyBorder="1" applyAlignment="1">
      <alignment horizontal="center" vertical="center" wrapText="1"/>
    </xf>
    <xf numFmtId="164" fontId="51" fillId="0" borderId="38" xfId="1" applyFont="1" applyBorder="1" applyAlignment="1">
      <alignment vertical="center" wrapText="1"/>
    </xf>
    <xf numFmtId="164" fontId="22" fillId="2" borderId="7" xfId="1" applyFont="1" applyFill="1" applyBorder="1" applyAlignment="1">
      <alignment horizontal="center" vertical="center"/>
    </xf>
    <xf numFmtId="164" fontId="27" fillId="2" borderId="7" xfId="1" applyFont="1" applyFill="1" applyBorder="1" applyAlignment="1">
      <alignment horizontal="center" vertical="center"/>
    </xf>
    <xf numFmtId="0" fontId="22" fillId="2" borderId="7" xfId="0" applyFont="1" applyFill="1" applyBorder="1" applyAlignment="1">
      <alignment horizontal="center" vertical="center"/>
    </xf>
    <xf numFmtId="167" fontId="17" fillId="0" borderId="6" xfId="0" applyNumberFormat="1" applyFont="1" applyBorder="1" applyAlignment="1">
      <alignment horizontal="center" vertical="center"/>
    </xf>
    <xf numFmtId="167" fontId="17" fillId="0" borderId="2" xfId="0" applyNumberFormat="1" applyFont="1" applyBorder="1" applyAlignment="1">
      <alignment horizontal="center" vertical="center"/>
    </xf>
    <xf numFmtId="4" fontId="0" fillId="4" borderId="21" xfId="0" applyNumberFormat="1" applyFill="1" applyBorder="1"/>
    <xf numFmtId="0" fontId="0" fillId="4" borderId="16" xfId="0" applyFill="1" applyBorder="1"/>
    <xf numFmtId="4" fontId="0" fillId="4" borderId="18" xfId="0" applyNumberFormat="1" applyFill="1" applyBorder="1"/>
    <xf numFmtId="0" fontId="3" fillId="30" borderId="8" xfId="0" applyFont="1" applyFill="1" applyBorder="1" applyAlignment="1">
      <alignment horizontal="left" vertical="top"/>
    </xf>
    <xf numFmtId="173" fontId="3" fillId="30" borderId="7" xfId="0" applyNumberFormat="1" applyFont="1" applyFill="1" applyBorder="1" applyAlignment="1">
      <alignment horizontal="left" vertical="top"/>
    </xf>
    <xf numFmtId="0" fontId="3" fillId="30" borderId="7" xfId="0" applyFont="1" applyFill="1" applyBorder="1" applyAlignment="1">
      <alignment horizontal="left" vertical="top"/>
    </xf>
    <xf numFmtId="0" fontId="3" fillId="30" borderId="7" xfId="0" quotePrefix="1" applyFont="1" applyFill="1" applyBorder="1" applyAlignment="1">
      <alignment horizontal="left" vertical="top"/>
    </xf>
    <xf numFmtId="4" fontId="3" fillId="30" borderId="7" xfId="0" applyNumberFormat="1" applyFont="1" applyFill="1" applyBorder="1" applyAlignment="1">
      <alignment horizontal="left" vertical="top"/>
    </xf>
    <xf numFmtId="4" fontId="3" fillId="30" borderId="7" xfId="1" applyNumberFormat="1" applyFont="1" applyFill="1" applyBorder="1" applyAlignment="1">
      <alignment horizontal="left" vertical="top"/>
    </xf>
    <xf numFmtId="164" fontId="3" fillId="30" borderId="7" xfId="1" applyFont="1" applyFill="1" applyBorder="1" applyAlignment="1">
      <alignment horizontal="left" vertical="top"/>
    </xf>
    <xf numFmtId="1" fontId="3" fillId="30" borderId="7" xfId="0" applyNumberFormat="1" applyFont="1" applyFill="1" applyBorder="1" applyAlignment="1">
      <alignment horizontal="left" vertical="top"/>
    </xf>
    <xf numFmtId="173" fontId="3" fillId="30" borderId="7" xfId="1" applyNumberFormat="1" applyFont="1" applyFill="1" applyBorder="1" applyAlignment="1">
      <alignment horizontal="left" vertical="top"/>
    </xf>
    <xf numFmtId="0" fontId="3" fillId="0" borderId="6" xfId="0" applyFont="1" applyBorder="1" applyAlignment="1">
      <alignment horizontal="center"/>
    </xf>
    <xf numFmtId="0" fontId="3" fillId="0" borderId="2" xfId="0" applyFont="1" applyBorder="1" applyAlignment="1">
      <alignment horizontal="center"/>
    </xf>
    <xf numFmtId="0" fontId="3" fillId="0" borderId="7" xfId="0" applyFont="1" applyBorder="1" applyAlignment="1">
      <alignment horizontal="center"/>
    </xf>
    <xf numFmtId="167" fontId="3" fillId="0" borderId="6" xfId="0" applyNumberFormat="1" applyFont="1" applyBorder="1" applyAlignment="1">
      <alignment horizontal="center" vertical="center"/>
    </xf>
    <xf numFmtId="167" fontId="3" fillId="0" borderId="2" xfId="0" applyNumberFormat="1" applyFont="1" applyBorder="1" applyAlignment="1">
      <alignment horizontal="center" vertical="center"/>
    </xf>
    <xf numFmtId="167" fontId="3" fillId="0" borderId="7" xfId="0" applyNumberFormat="1" applyFont="1" applyBorder="1" applyAlignment="1">
      <alignment horizontal="center" vertical="center"/>
    </xf>
    <xf numFmtId="14" fontId="3" fillId="0" borderId="6" xfId="0" applyNumberFormat="1" applyFont="1" applyBorder="1" applyAlignment="1">
      <alignment horizontal="center"/>
    </xf>
    <xf numFmtId="14" fontId="3" fillId="0" borderId="2" xfId="0" applyNumberFormat="1" applyFont="1" applyBorder="1" applyAlignment="1">
      <alignment horizontal="center"/>
    </xf>
    <xf numFmtId="14" fontId="3" fillId="0" borderId="7" xfId="0" applyNumberFormat="1" applyFont="1" applyBorder="1" applyAlignment="1">
      <alignment horizontal="center"/>
    </xf>
    <xf numFmtId="0" fontId="0" fillId="0" borderId="16" xfId="0" applyBorder="1"/>
    <xf numFmtId="0" fontId="0" fillId="0" borderId="17" xfId="0" applyBorder="1"/>
    <xf numFmtId="164" fontId="0" fillId="0" borderId="18" xfId="0" applyNumberFormat="1" applyBorder="1"/>
    <xf numFmtId="0" fontId="0" fillId="0" borderId="39" xfId="0" applyBorder="1"/>
    <xf numFmtId="164" fontId="0" fillId="0" borderId="22" xfId="0" applyNumberFormat="1" applyBorder="1"/>
    <xf numFmtId="0" fontId="0" fillId="0" borderId="19" xfId="0" applyBorder="1"/>
    <xf numFmtId="164" fontId="0" fillId="0" borderId="21" xfId="0" applyNumberFormat="1" applyBorder="1"/>
    <xf numFmtId="164" fontId="0" fillId="0" borderId="53" xfId="0" applyNumberFormat="1" applyBorder="1"/>
    <xf numFmtId="0" fontId="11" fillId="4" borderId="0" xfId="0" applyFont="1" applyFill="1" applyAlignment="1">
      <alignment horizontal="center"/>
    </xf>
    <xf numFmtId="0" fontId="0" fillId="0" borderId="1" xfId="0" applyBorder="1" applyAlignment="1">
      <alignment horizontal="center"/>
    </xf>
    <xf numFmtId="0" fontId="11" fillId="4" borderId="41" xfId="0" applyFont="1" applyFill="1" applyBorder="1"/>
    <xf numFmtId="0" fontId="11" fillId="4" borderId="42" xfId="0" applyFont="1" applyFill="1" applyBorder="1"/>
    <xf numFmtId="4" fontId="0" fillId="0" borderId="18" xfId="0" applyNumberFormat="1" applyBorder="1"/>
    <xf numFmtId="4" fontId="0" fillId="0" borderId="21" xfId="0" applyNumberFormat="1" applyBorder="1"/>
    <xf numFmtId="4" fontId="0" fillId="0" borderId="16" xfId="0" applyNumberFormat="1" applyBorder="1"/>
    <xf numFmtId="4" fontId="0" fillId="0" borderId="19" xfId="0" applyNumberFormat="1" applyBorder="1"/>
    <xf numFmtId="0" fontId="15" fillId="7" borderId="43" xfId="0" applyFont="1" applyFill="1" applyBorder="1" applyAlignment="1">
      <alignment horizontal="center" vertical="center"/>
    </xf>
    <xf numFmtId="0" fontId="15" fillId="7" borderId="42" xfId="0" applyFont="1" applyFill="1" applyBorder="1" applyAlignment="1">
      <alignment horizontal="center" vertical="center"/>
    </xf>
    <xf numFmtId="0" fontId="19" fillId="0" borderId="0" xfId="0" applyFont="1" applyAlignment="1">
      <alignment horizontal="center"/>
    </xf>
    <xf numFmtId="0" fontId="19" fillId="5" borderId="0" xfId="0" applyFont="1" applyFill="1" applyAlignment="1">
      <alignment horizontal="center"/>
    </xf>
    <xf numFmtId="0" fontId="28" fillId="0" borderId="0" xfId="0" applyFont="1" applyAlignment="1">
      <alignment horizontal="center"/>
    </xf>
    <xf numFmtId="0" fontId="28" fillId="0" borderId="30" xfId="0" applyFont="1" applyBorder="1" applyAlignment="1">
      <alignment horizontal="center"/>
    </xf>
    <xf numFmtId="0" fontId="9" fillId="7" borderId="3" xfId="0" applyFont="1" applyFill="1" applyBorder="1" applyAlignment="1">
      <alignment horizontal="center"/>
    </xf>
    <xf numFmtId="0" fontId="9" fillId="7" borderId="45" xfId="0" applyFont="1" applyFill="1" applyBorder="1" applyAlignment="1">
      <alignment horizontal="center"/>
    </xf>
    <xf numFmtId="0" fontId="9" fillId="7" borderId="6" xfId="0" applyFont="1" applyFill="1" applyBorder="1" applyAlignment="1">
      <alignment horizontal="center"/>
    </xf>
    <xf numFmtId="0" fontId="9" fillId="7" borderId="50" xfId="0" applyFont="1" applyFill="1" applyBorder="1" applyAlignment="1">
      <alignment horizontal="center"/>
    </xf>
    <xf numFmtId="0" fontId="9" fillId="7" borderId="30" xfId="0" applyFont="1" applyFill="1" applyBorder="1" applyAlignment="1">
      <alignment horizontal="center"/>
    </xf>
    <xf numFmtId="0" fontId="35" fillId="0" borderId="6" xfId="0" applyFont="1" applyBorder="1" applyAlignment="1">
      <alignment horizontal="center"/>
    </xf>
    <xf numFmtId="0" fontId="35" fillId="0" borderId="47" xfId="0" applyFont="1" applyBorder="1" applyAlignment="1">
      <alignment horizontal="center"/>
    </xf>
    <xf numFmtId="0" fontId="35" fillId="0" borderId="49" xfId="0" applyFont="1" applyBorder="1" applyAlignment="1">
      <alignment horizontal="center"/>
    </xf>
    <xf numFmtId="0" fontId="35" fillId="0" borderId="48" xfId="0" applyFont="1" applyBorder="1" applyAlignment="1">
      <alignment horizontal="center"/>
    </xf>
    <xf numFmtId="0" fontId="35" fillId="0" borderId="43" xfId="0" applyFont="1" applyBorder="1" applyAlignment="1">
      <alignment horizontal="center"/>
    </xf>
    <xf numFmtId="0" fontId="35" fillId="0" borderId="41" xfId="0" applyFont="1" applyBorder="1" applyAlignment="1">
      <alignment horizontal="center"/>
    </xf>
    <xf numFmtId="0" fontId="35" fillId="0" borderId="42" xfId="0" applyFont="1" applyBorder="1" applyAlignment="1">
      <alignment horizontal="center"/>
    </xf>
    <xf numFmtId="0" fontId="10" fillId="0" borderId="28" xfId="0" applyFont="1" applyBorder="1" applyAlignment="1">
      <alignment horizontal="center"/>
    </xf>
    <xf numFmtId="0" fontId="10" fillId="0" borderId="33" xfId="0" applyFont="1" applyBorder="1" applyAlignment="1">
      <alignment horizontal="center"/>
    </xf>
    <xf numFmtId="0" fontId="10" fillId="0" borderId="29" xfId="0" applyFont="1" applyBorder="1" applyAlignment="1">
      <alignment horizontal="center"/>
    </xf>
    <xf numFmtId="0" fontId="43" fillId="4" borderId="0" xfId="0" applyFont="1" applyFill="1" applyAlignment="1">
      <alignment horizontal="center"/>
    </xf>
    <xf numFmtId="0" fontId="2" fillId="6" borderId="13" xfId="0" applyNumberFormat="1" applyFont="1" applyFill="1" applyBorder="1" applyAlignment="1">
      <alignment horizontal="center"/>
    </xf>
    <xf numFmtId="0" fontId="0" fillId="0" borderId="13" xfId="0" applyNumberFormat="1" applyBorder="1" applyAlignment="1">
      <alignment horizontal="center"/>
    </xf>
    <xf numFmtId="0" fontId="34" fillId="0" borderId="6" xfId="0" applyNumberFormat="1" applyFont="1" applyBorder="1" applyAlignment="1">
      <alignment horizontal="center"/>
    </xf>
    <xf numFmtId="0" fontId="36" fillId="0" borderId="6" xfId="0" applyNumberFormat="1" applyFont="1" applyBorder="1" applyAlignment="1">
      <alignment horizontal="center"/>
    </xf>
    <xf numFmtId="0" fontId="36" fillId="12" borderId="6" xfId="0" applyNumberFormat="1" applyFont="1" applyFill="1" applyBorder="1" applyAlignment="1">
      <alignment horizontal="center"/>
    </xf>
    <xf numFmtId="0" fontId="34" fillId="12" borderId="6" xfId="0" applyNumberFormat="1" applyFont="1" applyFill="1" applyBorder="1" applyAlignment="1">
      <alignment horizontal="center"/>
    </xf>
    <xf numFmtId="0" fontId="37" fillId="9" borderId="6" xfId="0" applyNumberFormat="1" applyFont="1" applyFill="1" applyBorder="1" applyAlignment="1">
      <alignment horizontal="center"/>
    </xf>
  </cellXfs>
  <cellStyles count="8">
    <cellStyle name="Comma" xfId="1" builtinId="3"/>
    <cellStyle name="Comma 2" xfId="4" xr:uid="{CA7A1DB4-982C-4A35-A769-D9E20E39A6EA}"/>
    <cellStyle name="Comma 3" xfId="3" xr:uid="{FD466D7A-3379-4A02-A507-27BA4125B795}"/>
    <cellStyle name="Comma 4" xfId="6" xr:uid="{451056DB-2E2D-4928-9633-286B16268071}"/>
    <cellStyle name="Hyperlink" xfId="7" builtinId="8"/>
    <cellStyle name="Normal" xfId="0" builtinId="0"/>
    <cellStyle name="Normal 3" xfId="2" xr:uid="{0B574AE9-4A76-4066-B79B-760DA51BF8EE}"/>
    <cellStyle name="Normal 3 2" xfId="5" xr:uid="{1CB843CE-E1E3-4343-920A-290CD5C20B4B}"/>
  </cellStyles>
  <dxfs count="6092">
    <dxf>
      <numFmt numFmtId="0" formatCode="General"/>
    </dxf>
    <dxf>
      <numFmt numFmtId="0" formatCode="General"/>
    </dxf>
    <dxf>
      <numFmt numFmtId="0" formatCode="General"/>
    </dxf>
    <dxf>
      <numFmt numFmtId="0" formatCode="General"/>
    </dxf>
    <dxf>
      <font>
        <b/>
        <strike val="0"/>
        <outline val="0"/>
        <shadow val="0"/>
        <u val="none"/>
        <vertAlign val="baseline"/>
        <sz val="11"/>
        <color theme="0"/>
        <name val="Calibri"/>
        <family val="2"/>
        <scheme val="minor"/>
      </font>
      <fill>
        <patternFill patternType="solid">
          <fgColor indexed="64"/>
          <bgColor rgb="FF002060"/>
        </patternFill>
      </fill>
    </dxf>
    <dxf>
      <font>
        <b/>
      </font>
    </dxf>
    <dxf>
      <fill>
        <patternFill patternType="solid">
          <bgColor theme="3" tint="0.59999389629810485"/>
        </patternFill>
      </fill>
    </dxf>
    <dxf>
      <fill>
        <patternFill patternType="solid">
          <bgColor theme="3" tint="0.59999389629810485"/>
        </patternFill>
      </fill>
    </dxf>
    <dxf>
      <font>
        <b/>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_(* #,##0.00_);_(* \(#,##0.00\);_(* &quot;-&quot;??_);_(@_)"/>
    </dxf>
    <dxf>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171" formatCode="m/d/yyyy"/>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theme="0"/>
        <name val="Calibri"/>
        <family val="2"/>
        <scheme val="minor"/>
      </font>
      <fill>
        <patternFill patternType="solid">
          <fgColor indexed="64"/>
          <bgColor theme="1"/>
        </patternFill>
      </fill>
    </dxf>
    <dxf>
      <font>
        <color theme="5"/>
      </font>
    </dxf>
    <dxf>
      <font>
        <color theme="5"/>
      </font>
    </dxf>
    <dxf>
      <alignment horizontal="center"/>
    </dxf>
    <dxf>
      <alignment horizontal="center"/>
    </dxf>
    <dxf>
      <fill>
        <patternFill patternType="solid">
          <bgColor theme="3" tint="0.79998168889431442"/>
        </patternFill>
      </fill>
    </dxf>
    <dxf>
      <fill>
        <patternFill patternType="solid">
          <bgColor theme="3" tint="0.79998168889431442"/>
        </patternFill>
      </fill>
    </dxf>
    <dxf>
      <fill>
        <patternFill>
          <bgColor theme="3" tint="0.59999389629810485"/>
        </patternFill>
      </fill>
    </dxf>
    <dxf>
      <fill>
        <patternFill>
          <bgColor theme="3" tint="0.59999389629810485"/>
        </patternFill>
      </fill>
    </dxf>
    <dxf>
      <fill>
        <patternFill patternType="solid">
          <bgColor theme="3" tint="0.79998168889431442"/>
        </patternFill>
      </fill>
    </dxf>
    <dxf>
      <fill>
        <patternFill patternType="solid">
          <bgColor theme="3" tint="0.79998168889431442"/>
        </patternFill>
      </fill>
    </dxf>
    <dxf>
      <fill>
        <patternFill patternType="solid">
          <bgColor theme="4" tint="0.79998168889431442"/>
        </patternFill>
      </fill>
    </dxf>
    <dxf>
      <fill>
        <patternFill patternType="solid">
          <bgColor theme="4" tint="0.79998168889431442"/>
        </patternFill>
      </fill>
    </dxf>
    <dxf>
      <alignment horizontal="right"/>
    </dxf>
    <dxf>
      <alignment horizontal="right"/>
    </dxf>
    <dxf>
      <alignment horizontal="center"/>
    </dxf>
    <dxf>
      <alignment horizontal="right"/>
    </dxf>
    <dxf>
      <alignment horizontal="right"/>
    </dxf>
    <dxf>
      <alignment horizontal="center" indent="0"/>
    </dxf>
    <dxf>
      <alignment horizontal="center" indent="0"/>
    </dxf>
    <dxf>
      <alignment horizontal="center" indent="0"/>
    </dxf>
    <dxf>
      <alignment horizontal="general" indent="0"/>
    </dxf>
    <dxf>
      <alignment indent="2"/>
    </dxf>
    <dxf>
      <alignment indent="2"/>
    </dxf>
    <dxf>
      <alignment indent="2"/>
    </dxf>
    <dxf>
      <alignment indent="2"/>
    </dxf>
    <dxf>
      <alignment horizontal="center" indent="0"/>
    </dxf>
    <dxf>
      <alignment horizontal="center"/>
    </dxf>
    <dxf>
      <alignment horizontal="center" indent="0"/>
    </dxf>
    <dxf>
      <alignment horizontal="right"/>
    </dxf>
    <dxf>
      <alignment horizontal="right"/>
    </dxf>
    <dxf>
      <alignment horizontal="right"/>
    </dxf>
    <dxf>
      <alignment horizontal="right"/>
    </dxf>
    <dxf>
      <alignment horizontal="right"/>
    </dxf>
    <dxf>
      <alignment horizontal="right"/>
    </dxf>
    <dxf>
      <fill>
        <patternFill patternType="solid">
          <bgColor theme="4" tint="0.79998168889431442"/>
        </patternFill>
      </fill>
    </dxf>
    <dxf>
      <fill>
        <patternFill patternType="solid">
          <bgColor theme="4" tint="0.79998168889431442"/>
        </patternFill>
      </fill>
    </dxf>
    <dxf>
      <font>
        <color rgb="FF00B0F0"/>
      </font>
    </dxf>
    <dxf>
      <alignment horizontal="center"/>
    </dxf>
    <dxf>
      <font>
        <color theme="0"/>
      </font>
    </dxf>
    <dxf>
      <fill>
        <patternFill patternType="solid">
          <bgColor theme="3"/>
        </patternFill>
      </fill>
    </dxf>
    <dxf>
      <fill>
        <patternFill patternType="solid">
          <bgColor theme="4" tint="0.79998168889431442"/>
        </patternFill>
      </fill>
    </dxf>
    <dxf>
      <fill>
        <patternFill patternType="solid">
          <bgColor theme="4" tint="0.79998168889431442"/>
        </patternFill>
      </fill>
    </dxf>
    <dxf>
      <numFmt numFmtId="4" formatCode="#,##0.00"/>
    </dxf>
    <dxf>
      <alignment horizontal="right"/>
    </dxf>
    <dxf>
      <alignment horizontal="right"/>
    </dxf>
    <dxf>
      <alignment horizontal="right"/>
    </dxf>
    <dxf>
      <alignment horizontal="right"/>
    </dxf>
    <dxf>
      <alignment horizontal="right"/>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ont>
        <color theme="5" tint="-0.499984740745262"/>
      </font>
    </dxf>
    <dxf>
      <font>
        <color theme="5" tint="-0.499984740745262"/>
      </font>
    </dxf>
    <dxf>
      <font>
        <color rgb="FF00B0F0"/>
      </font>
    </dxf>
    <dxf>
      <alignment horizontal="center"/>
    </dxf>
    <dxf>
      <alignment horizontal="center"/>
    </dxf>
    <dxf>
      <fill>
        <patternFill patternType="solid">
          <bgColor theme="3" tint="0.59999389629810485"/>
        </patternFill>
      </fill>
    </dxf>
    <dxf>
      <fill>
        <patternFill patternType="solid">
          <bgColor theme="3" tint="0.59999389629810485"/>
        </patternFill>
      </fill>
    </dxf>
    <dxf>
      <font>
        <color theme="5" tint="-0.249977111117893"/>
      </font>
    </dxf>
    <dxf>
      <font>
        <color theme="5" tint="-0.249977111117893"/>
      </font>
    </dxf>
    <dxf>
      <alignment horizontal="center"/>
    </dxf>
    <dxf>
      <font>
        <color rgb="FF00B0F0"/>
      </font>
    </dxf>
    <dxf>
      <alignment horizontal="center"/>
    </dxf>
    <dxf>
      <font>
        <color theme="5" tint="-0.249977111117893"/>
      </font>
    </dxf>
    <dxf>
      <font>
        <color theme="5" tint="-0.249977111117893"/>
      </font>
    </dxf>
    <dxf>
      <fill>
        <patternFill patternType="solid">
          <bgColor theme="3" tint="0.59999389629810485"/>
        </patternFill>
      </fill>
    </dxf>
    <dxf>
      <fill>
        <patternFill patternType="solid">
          <bgColor theme="3" tint="0.59999389629810485"/>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ont>
        <color theme="5" tint="-0.499984740745262"/>
      </font>
    </dxf>
    <dxf>
      <font>
        <color theme="5" tint="-0.499984740745262"/>
      </font>
    </dxf>
    <dxf>
      <font>
        <color theme="5" tint="-0.499984740745262"/>
      </font>
    </dxf>
    <dxf>
      <font>
        <color theme="5" tint="-0.499984740745262"/>
      </font>
    </dxf>
    <dxf>
      <fill>
        <patternFill patternType="solid">
          <bgColor theme="3" tint="0.59999389629810485"/>
        </patternFill>
      </fill>
    </dxf>
    <dxf>
      <fill>
        <patternFill patternType="solid">
          <bgColor theme="3" tint="0.59999389629810485"/>
        </patternFill>
      </fill>
    </dxf>
    <dxf>
      <fill>
        <patternFill patternType="solid">
          <bgColor theme="3" tint="0.59999389629810485"/>
        </patternFill>
      </fill>
    </dxf>
    <dxf>
      <fill>
        <patternFill patternType="solid">
          <bgColor theme="3" tint="0.59999389629810485"/>
        </patternFill>
      </fill>
    </dxf>
    <dxf>
      <alignment horizontal="center"/>
    </dxf>
    <dxf>
      <alignment horizontal="center"/>
    </dxf>
    <dxf>
      <font>
        <color theme="5"/>
      </font>
    </dxf>
    <dxf>
      <font>
        <color theme="5"/>
      </font>
    </dxf>
    <dxf>
      <font>
        <color theme="5"/>
      </font>
    </dxf>
    <dxf>
      <font>
        <color theme="5"/>
      </font>
    </dxf>
    <dxf>
      <font>
        <color theme="0"/>
      </font>
    </dxf>
    <dxf>
      <font>
        <color rgb="FF00B0F0"/>
      </font>
    </dxf>
    <dxf>
      <font>
        <color rgb="FF00B0F0"/>
      </font>
    </dxf>
    <dxf>
      <font>
        <color rgb="FF00B0F0"/>
      </font>
    </dxf>
    <dxf>
      <font>
        <color rgb="FF00B0F0"/>
      </font>
    </dxf>
    <dxf>
      <font>
        <color rgb="FF00B0F0"/>
      </font>
    </dxf>
    <dxf>
      <font>
        <color rgb="FF00B0F0"/>
      </font>
    </dxf>
    <dxf>
      <font>
        <color rgb="FF00B0F0"/>
      </font>
    </dxf>
    <dxf>
      <fill>
        <patternFill>
          <bgColor theme="9" tint="-0.249977111117893"/>
        </patternFill>
      </fill>
    </dxf>
    <dxf>
      <fill>
        <patternFill>
          <bgColor rgb="FF002060"/>
        </patternFill>
      </fill>
    </dxf>
    <dxf>
      <fill>
        <patternFill>
          <bgColor rgb="FF002060"/>
        </patternFill>
      </fill>
    </dxf>
    <dxf>
      <font>
        <b/>
        <color theme="0"/>
      </font>
      <fill>
        <patternFill>
          <fgColor rgb="FF002060"/>
        </patternFill>
      </fill>
      <alignment horizontal="center"/>
    </dxf>
    <dxf>
      <alignment horizontal="center"/>
    </dxf>
    <dxf>
      <font>
        <color theme="0"/>
      </font>
    </dxf>
    <dxf>
      <fill>
        <patternFill>
          <bgColor theme="3" tint="-0.249977111117893"/>
        </patternFill>
      </fill>
    </dxf>
    <dxf>
      <fill>
        <patternFill patternType="solid">
          <bgColor theme="3" tint="-0.249977111117893"/>
        </patternFill>
      </fill>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ont>
        <color theme="5" tint="-0.499984740745262"/>
      </font>
    </dxf>
    <dxf>
      <font>
        <color theme="5" tint="-0.499984740745262"/>
      </font>
    </dxf>
    <dxf>
      <font>
        <color theme="5" tint="-0.499984740745262"/>
      </font>
    </dxf>
    <dxf>
      <font>
        <color theme="5" tint="-0.499984740745262"/>
      </font>
    </dxf>
    <dxf>
      <font>
        <color theme="5" tint="-0.499984740745262"/>
      </font>
    </dxf>
    <dxf>
      <font>
        <color theme="5" tint="-0.499984740745262"/>
      </font>
    </dxf>
    <dxf>
      <font>
        <color theme="5" tint="-0.499984740745262"/>
      </font>
    </dxf>
    <dxf>
      <font>
        <color theme="5" tint="-0.499984740745262"/>
      </font>
    </dxf>
    <dxf>
      <font>
        <color theme="5" tint="-0.499984740745262"/>
      </font>
    </dxf>
    <dxf>
      <font>
        <color theme="5" tint="-0.499984740745262"/>
      </font>
    </dxf>
    <dxf>
      <font>
        <color theme="5" tint="-0.499984740745262"/>
      </font>
    </dxf>
    <dxf>
      <font>
        <color theme="5" tint="-0.499984740745262"/>
      </font>
    </dxf>
    <dxf>
      <fill>
        <patternFill patternType="solid">
          <bgColor theme="3" tint="0.79998168889431442"/>
        </patternFill>
      </fill>
    </dxf>
    <dxf>
      <fill>
        <patternFill patternType="solid">
          <bgColor theme="3" tint="0.79998168889431442"/>
        </patternFill>
      </fill>
    </dxf>
    <dxf>
      <font>
        <color theme="5"/>
      </font>
    </dxf>
    <dxf>
      <font>
        <color theme="5"/>
      </font>
    </dxf>
    <dxf>
      <fill>
        <patternFill patternType="solid">
          <bgColor theme="3" tint="0.79998168889431442"/>
        </patternFill>
      </fill>
    </dxf>
    <dxf>
      <fill>
        <patternFill patternType="solid">
          <bgColor theme="3" tint="0.79998168889431442"/>
        </patternFill>
      </fill>
    </dxf>
    <dxf>
      <font>
        <color theme="5"/>
      </font>
    </dxf>
    <dxf>
      <font>
        <color theme="5"/>
      </font>
    </dxf>
    <dxf>
      <fill>
        <patternFill patternType="solid">
          <bgColor theme="3" tint="0.79998168889431442"/>
        </patternFill>
      </fill>
    </dxf>
    <dxf>
      <fill>
        <patternFill patternType="solid">
          <bgColor theme="3" tint="0.79998168889431442"/>
        </patternFill>
      </fill>
    </dxf>
    <dxf>
      <font>
        <color rgb="FF00B0F0"/>
      </font>
    </dxf>
    <dxf>
      <font>
        <color rgb="FF00B0F0"/>
      </font>
    </dxf>
    <dxf>
      <fill>
        <patternFill patternType="solid">
          <bgColor theme="3" tint="0.79998168889431442"/>
        </patternFill>
      </fill>
    </dxf>
    <dxf>
      <fill>
        <patternFill patternType="solid">
          <bgColor theme="3" tint="0.79998168889431442"/>
        </patternFill>
      </fill>
    </dxf>
    <dxf>
      <font>
        <color theme="5"/>
      </font>
    </dxf>
    <dxf>
      <font>
        <color theme="5"/>
      </font>
    </dxf>
    <dxf>
      <fill>
        <patternFill patternType="solid">
          <bgColor theme="3" tint="0.79998168889431442"/>
        </patternFill>
      </fill>
    </dxf>
    <dxf>
      <fill>
        <patternFill patternType="solid">
          <bgColor theme="3" tint="0.79998168889431442"/>
        </patternFill>
      </fill>
    </dxf>
    <dxf>
      <font>
        <color theme="5"/>
      </font>
    </dxf>
    <dxf>
      <font>
        <color theme="5"/>
      </font>
    </dxf>
    <dxf>
      <fill>
        <patternFill patternType="solid">
          <bgColor theme="3" tint="0.79998168889431442"/>
        </patternFill>
      </fill>
    </dxf>
    <dxf>
      <fill>
        <patternFill patternType="solid">
          <bgColor theme="3" tint="0.79998168889431442"/>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alignment horizontal="center"/>
    </dxf>
    <dxf>
      <fill>
        <patternFill>
          <bgColor theme="3"/>
        </patternFill>
      </fill>
    </dxf>
    <dxf>
      <fill>
        <patternFill>
          <bgColor theme="3"/>
        </patternFill>
      </fill>
    </dxf>
    <dxf>
      <font>
        <color rgb="FF00B0F0"/>
      </font>
    </dxf>
    <dxf>
      <font>
        <color rgb="FF00B0F0"/>
      </font>
    </dxf>
    <dxf>
      <font>
        <color rgb="FF00B0F0"/>
      </font>
    </dxf>
    <dxf>
      <font>
        <color rgb="FF00B0F0"/>
      </font>
    </dxf>
    <dxf>
      <font>
        <color rgb="FF00B0F0"/>
      </font>
    </dxf>
    <dxf>
      <font>
        <color rgb="FF00B0F0"/>
      </font>
    </dxf>
    <dxf>
      <font>
        <b/>
      </font>
    </dxf>
    <dxf>
      <font>
        <b/>
      </font>
    </dxf>
    <dxf>
      <font>
        <color rgb="FF00B0F0"/>
      </font>
    </dxf>
    <dxf>
      <font>
        <color rgb="FF00B0F0"/>
      </font>
    </dxf>
    <dxf>
      <font>
        <color rgb="FF00B0F0"/>
      </font>
    </dxf>
    <dxf>
      <font>
        <color rgb="FF00B0F0"/>
      </font>
    </dxf>
    <dxf>
      <font>
        <color rgb="FF00B0F0"/>
      </font>
    </dxf>
    <dxf>
      <font>
        <color rgb="FF00B0F0"/>
      </font>
    </dxf>
    <dxf>
      <font>
        <color rgb="FF00B0F0"/>
      </font>
    </dxf>
    <dxf>
      <font>
        <color rgb="FF00B0F0"/>
      </font>
    </dxf>
    <dxf>
      <font>
        <color rgb="FF00B0F0"/>
      </font>
    </dxf>
    <dxf>
      <font>
        <color rgb="FF00B0F0"/>
      </font>
    </dxf>
    <dxf>
      <font>
        <color rgb="FF00B0F0"/>
      </font>
    </dxf>
    <dxf>
      <font>
        <color rgb="FF00B0F0"/>
      </font>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font>
        <b/>
        <color theme="0"/>
      </font>
      <fill>
        <patternFill patternType="solid">
          <fgColor indexed="64"/>
          <bgColor rgb="FF002060"/>
        </patternFill>
      </fill>
      <alignment horizontal="center"/>
    </dxf>
    <dxf>
      <border>
        <left style="thin">
          <color indexed="64"/>
        </left>
        <top style="thin">
          <color indexed="64"/>
        </top>
        <bottom style="thin">
          <color indexed="64"/>
        </bottom>
        <vertical style="thin">
          <color indexed="64"/>
        </vertical>
        <horizontal style="thin">
          <color indexed="64"/>
        </horizontal>
      </border>
    </dxf>
    <dxf>
      <font>
        <b/>
        <color theme="0"/>
      </font>
      <fill>
        <patternFill patternType="solid">
          <fgColor indexed="64"/>
          <bgColor rgb="FF002060"/>
        </patternFill>
      </fill>
      <alignment horizontal="center"/>
    </dxf>
    <dxf>
      <alignment horizontal="right"/>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border>
        <left style="thin">
          <color indexed="64"/>
        </left>
        <top style="thin">
          <color indexed="64"/>
        </top>
        <bottom style="thin">
          <color indexed="64"/>
        </bottom>
        <vertical style="thin">
          <color indexed="64"/>
        </vertical>
        <horizontal style="thin">
          <color indexed="64"/>
        </horizontal>
      </border>
    </dxf>
    <dxf>
      <font>
        <b/>
        <color theme="0"/>
      </font>
      <fill>
        <patternFill patternType="solid">
          <fgColor indexed="64"/>
          <bgColor rgb="FF002060"/>
        </patternFill>
      </fill>
      <alignment horizontal="center"/>
    </dxf>
    <dxf>
      <alignment horizontal="right"/>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alignment horizontal="center"/>
    </dxf>
    <dxf>
      <numFmt numFmtId="167" formatCode="dd\-mmm\-yyyy"/>
    </dxf>
    <dxf>
      <alignment horizontal="center"/>
    </dxf>
    <dxf>
      <alignment horizontal="center"/>
    </dxf>
    <dxf>
      <font>
        <b/>
        <color theme="0"/>
      </font>
      <numFmt numFmtId="0" formatCode="General"/>
      <fill>
        <patternFill patternType="solid">
          <fgColor indexed="64"/>
          <bgColor theme="3"/>
        </patternFill>
      </fill>
    </dxf>
    <dxf>
      <font>
        <b val="0"/>
        <i val="0"/>
        <strike val="0"/>
        <condense val="0"/>
        <extend val="0"/>
        <outline val="0"/>
        <shadow val="0"/>
        <u val="none"/>
        <vertAlign val="baseline"/>
        <sz val="11"/>
        <color theme="1"/>
        <name val="Calibri"/>
        <family val="2"/>
        <scheme val="minor"/>
      </font>
      <numFmt numFmtId="167" formatCode="dd\-mmm\-yyyy"/>
      <fill>
        <patternFill patternType="none">
          <fgColor indexed="64"/>
          <bgColor indexed="65"/>
        </patternFill>
      </fill>
    </dxf>
    <dxf>
      <numFmt numFmtId="164" formatCode="_(* #,##0.00_);_(* \(#,##0.00\);_(* &quot;-&quot;??_);_(@_)"/>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border>
        <right style="medium">
          <color indexed="64"/>
        </right>
        <top style="medium">
          <color indexed="64"/>
        </top>
        <bottom style="medium">
          <color indexed="64"/>
        </bottom>
      </border>
    </dxf>
    <dxf>
      <border>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right style="medium">
          <color indexed="64"/>
        </right>
        <top style="medium">
          <color indexed="64"/>
        </top>
      </border>
    </dxf>
    <dxf>
      <border>
        <left style="medium">
          <color indexed="64"/>
        </left>
      </border>
    </dxf>
    <dxf>
      <border>
        <bottom style="medium">
          <color indexed="64"/>
        </bottom>
      </border>
    </dxf>
    <dxf>
      <border>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b/>
      </font>
    </dxf>
    <dxf>
      <font>
        <color theme="0"/>
      </font>
    </dxf>
    <dxf>
      <fill>
        <patternFill patternType="solid">
          <bgColor rgb="FF002060"/>
        </patternFill>
      </fill>
    </dxf>
    <dxf>
      <font>
        <b/>
      </font>
    </dxf>
    <dxf>
      <font>
        <b/>
      </font>
    </dxf>
    <dxf>
      <font>
        <b/>
      </font>
    </dxf>
    <dxf>
      <font>
        <b/>
      </font>
    </dxf>
    <dxf>
      <font>
        <b/>
      </font>
    </dxf>
    <dxf>
      <font>
        <color theme="0"/>
      </font>
    </dxf>
    <dxf>
      <font>
        <color theme="0"/>
      </font>
    </dxf>
    <dxf>
      <font>
        <color theme="0"/>
      </font>
    </dxf>
    <dxf>
      <font>
        <color theme="0"/>
      </font>
    </dxf>
    <dxf>
      <font>
        <color theme="0"/>
      </font>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ont>
        <b/>
      </font>
    </dxf>
    <dxf>
      <font>
        <b/>
      </font>
    </dxf>
    <dxf>
      <font>
        <b/>
      </font>
    </dxf>
    <dxf>
      <font>
        <color theme="0"/>
      </font>
      <fill>
        <patternFill patternType="solid">
          <fgColor indexed="64"/>
          <bgColor rgb="FF002060"/>
        </patternFill>
      </fill>
    </dxf>
    <dxf>
      <font>
        <color theme="0"/>
      </font>
      <fill>
        <patternFill patternType="solid">
          <fgColor indexed="64"/>
          <bgColor rgb="FF002060"/>
        </patternFill>
      </fill>
    </dxf>
    <dxf>
      <font>
        <color theme="0"/>
      </font>
      <fill>
        <patternFill patternType="solid">
          <fgColor indexed="64"/>
          <bgColor rgb="FF002060"/>
        </patternFill>
      </fill>
    </dxf>
    <dxf>
      <fill>
        <patternFill>
          <bgColor rgb="FFC00000"/>
        </patternFill>
      </fill>
    </dxf>
    <dxf>
      <font>
        <color theme="0"/>
      </font>
    </dxf>
    <dxf>
      <font>
        <color theme="0"/>
      </font>
    </dxf>
    <dxf>
      <font>
        <color theme="0"/>
      </font>
    </dxf>
    <dxf>
      <font>
        <color theme="0"/>
      </font>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theme="0"/>
      </font>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theme="0"/>
      </font>
    </dxf>
    <dxf>
      <font>
        <color theme="0"/>
      </font>
    </dxf>
    <dxf>
      <font>
        <color theme="0"/>
      </font>
    </dxf>
    <dxf>
      <font>
        <color theme="0"/>
      </font>
    </dxf>
    <dxf>
      <font>
        <color theme="0"/>
      </font>
    </dxf>
    <dxf>
      <font>
        <color theme="0"/>
      </font>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ill>
        <patternFill>
          <bgColor rgb="FFC00000"/>
        </patternFill>
      </fill>
    </dxf>
    <dxf>
      <font>
        <color theme="0"/>
      </font>
    </dxf>
    <dxf>
      <font>
        <color theme="0"/>
      </font>
    </dxf>
    <dxf>
      <font>
        <color theme="0"/>
      </font>
    </dxf>
    <dxf>
      <font>
        <color theme="0"/>
      </font>
    </dxf>
    <dxf>
      <font>
        <color theme="0"/>
      </font>
    </dxf>
    <dxf>
      <font>
        <color theme="0"/>
      </font>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ont>
        <color auto="1"/>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auto="1"/>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auto="1"/>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auto="1"/>
      </font>
    </dxf>
    <dxf>
      <font>
        <color auto="1"/>
      </font>
    </dxf>
    <dxf>
      <fill>
        <patternFill patternType="none">
          <bgColor auto="1"/>
        </patternFill>
      </fill>
    </dxf>
    <dxf>
      <fill>
        <patternFill patternType="none">
          <bgColor auto="1"/>
        </patternFill>
      </fill>
    </dxf>
    <dxf>
      <font>
        <b val="0"/>
      </font>
    </dxf>
    <dxf>
      <font>
        <b val="0"/>
      </font>
    </dxf>
    <dxf>
      <font>
        <b val="0"/>
      </font>
    </dxf>
    <dxf>
      <font>
        <b val="0"/>
      </font>
    </dxf>
    <dxf>
      <font>
        <b val="0"/>
      </font>
    </dxf>
    <dxf>
      <font>
        <b val="0"/>
      </font>
    </dxf>
    <dxf>
      <font>
        <b val="0"/>
      </font>
    </dxf>
    <dxf>
      <font>
        <b val="0"/>
      </font>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ont>
        <color auto="1"/>
      </font>
    </dxf>
    <dxf>
      <font>
        <color auto="1"/>
      </font>
    </dxf>
    <dxf>
      <font>
        <color auto="1"/>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dxf>
    <dxf>
      <font>
        <color theme="0"/>
      </font>
    </dxf>
    <dxf>
      <font>
        <color theme="0"/>
      </font>
    </dxf>
    <dxf>
      <font>
        <color theme="0"/>
      </font>
    </dxf>
    <dxf>
      <font>
        <color theme="0"/>
      </font>
    </dxf>
    <dxf>
      <font>
        <color theme="0"/>
      </font>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ont>
        <color auto="1"/>
      </font>
      <numFmt numFmtId="35" formatCode="_(* #,##0.00_);_(* \(#,##0.00\);_(* &quot;-&quot;??_);_(@_)"/>
    </dxf>
    <dxf>
      <font>
        <color auto="1"/>
      </font>
      <numFmt numFmtId="35" formatCode="_(* #,##0.00_);_(* \(#,##0.00\);_(* &quot;-&quot;??_);_(@_)"/>
    </dxf>
    <dxf>
      <font>
        <color auto="1"/>
      </font>
      <numFmt numFmtId="35" formatCode="_(* #,##0.00_);_(* \(#,##0.00\);_(* &quot;-&quot;??_);_(@_)"/>
    </dxf>
    <dxf>
      <alignment horizontal="left"/>
    </dxf>
    <dxf>
      <fill>
        <patternFill patternType="none">
          <bgColor auto="1"/>
        </patternFill>
      </fill>
    </dxf>
    <dxf>
      <fill>
        <patternFill patternType="none">
          <bgColor auto="1"/>
        </patternFill>
      </fill>
    </dxf>
    <dxf>
      <fill>
        <patternFill patternType="none">
          <bgColor auto="1"/>
        </patternFill>
      </fill>
    </dxf>
    <dxf>
      <numFmt numFmtId="0" formatCode="General"/>
    </dxf>
    <dxf>
      <numFmt numFmtId="0" formatCode="General"/>
    </dxf>
    <dxf>
      <numFmt numFmtId="0" formatCode="General"/>
    </dxf>
    <dxf>
      <font>
        <color auto="1"/>
      </font>
      <numFmt numFmtId="35" formatCode="_(* #,##0.00_);_(* \(#,##0.00\);_(* &quot;-&quot;??_);_(@_)"/>
    </dxf>
    <dxf>
      <font>
        <color auto="1"/>
      </font>
      <numFmt numFmtId="35" formatCode="_(* #,##0.00_);_(* \(#,##0.00\);_(* &quot;-&quot;??_);_(@_)"/>
    </dxf>
    <dxf>
      <font>
        <color auto="1"/>
      </font>
      <numFmt numFmtId="35" formatCode="_(* #,##0.00_);_(* \(#,##0.00\);_(* &quot;-&quot;??_);_(@_)"/>
    </dxf>
    <dxf>
      <alignment horizontal="lef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fill>
        <patternFill patternType="none">
          <bgColor auto="1"/>
        </patternFill>
      </fill>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35" formatCode="_(* #,##0.00_);_(* \(#,##0.00\);_(* &quot;-&quot;??_);_(@_)"/>
    </dxf>
    <dxf>
      <border>
        <top style="thin">
          <color indexed="64"/>
        </top>
        <bottom style="thin">
          <color indexed="64"/>
        </bottom>
        <horizontal style="thin">
          <color indexed="64"/>
        </horizontal>
      </border>
    </dxf>
    <dxf>
      <border>
        <top style="thin">
          <color indexed="64"/>
        </top>
        <bottom style="thin">
          <color indexed="64"/>
        </bottom>
        <horizontal style="thin">
          <color indexed="64"/>
        </horizontal>
      </border>
    </dxf>
    <dxf>
      <border>
        <top style="thin">
          <color indexed="64"/>
        </top>
        <bottom style="thin">
          <color indexed="64"/>
        </bottom>
        <horizontal style="thin">
          <color indexed="64"/>
        </horizontal>
      </border>
    </dxf>
    <dxf>
      <border>
        <top style="thin">
          <color indexed="64"/>
        </top>
        <bottom style="thin">
          <color indexed="64"/>
        </bottom>
        <horizontal style="thin">
          <color indexed="64"/>
        </horizontal>
      </bord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auto="1"/>
      </font>
      <numFmt numFmtId="170" formatCode="_-* #,##0_-;\-* #,##0_-;_-* &quot;-&quot;??_-;_-@_-"/>
    </dxf>
    <dxf>
      <font>
        <color auto="1"/>
      </font>
      <numFmt numFmtId="170" formatCode="_-* #,##0_-;\-* #,##0_-;_-* &quot;-&quot;??_-;_-@_-"/>
    </dxf>
    <dxf>
      <font>
        <b val="0"/>
      </font>
    </dxf>
    <dxf>
      <numFmt numFmtId="170" formatCode="_-* #,##0_-;\-* #,##0_-;_-* &quot;-&quot;??_-;_-@_-"/>
    </dxf>
    <dxf>
      <numFmt numFmtId="35" formatCode="_(* #,##0.00_);_(* \(#,##0.00\);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auto="1"/>
      </font>
    </dxf>
    <dxf>
      <font>
        <color auto="1"/>
      </font>
    </dxf>
    <dxf>
      <fill>
        <patternFill patternType="none">
          <bgColor auto="1"/>
        </patternFill>
      </fill>
    </dxf>
    <dxf>
      <fill>
        <patternFill patternType="none">
          <bgColor auto="1"/>
        </patternFill>
      </fill>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theme="3"/>
        </patternFill>
      </fill>
      <alignment horizontal="center"/>
    </dxf>
    <dxf>
      <numFmt numFmtId="172" formatCode="#,##0.00_);[Red]\(#,##0.00\)"/>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ont>
        <b/>
        <color theme="0"/>
      </font>
      <fill>
        <patternFill patternType="solid">
          <fgColor indexed="64"/>
          <bgColor rgb="FF002060"/>
        </patternFill>
      </fill>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ont>
        <b/>
        <color theme="0"/>
      </font>
      <fill>
        <patternFill patternType="solid">
          <fgColor indexed="64"/>
          <bgColor rgb="FF002060"/>
        </patternFill>
      </fill>
      <alignment horizontal="center"/>
    </dxf>
    <dxf>
      <fill>
        <patternFill>
          <bgColor theme="3"/>
        </patternFill>
      </fill>
    </dxf>
    <dxf>
      <fill>
        <patternFill>
          <bgColor theme="3"/>
        </patternFill>
      </fill>
    </dxf>
    <dxf>
      <fill>
        <patternFill>
          <bgColor theme="3"/>
        </patternFill>
      </fill>
    </dxf>
    <dxf>
      <fill>
        <patternFill>
          <bgColor theme="3"/>
        </patternFill>
      </fill>
    </dxf>
    <dxf>
      <alignment horizontal="center"/>
    </dxf>
    <dxf>
      <font>
        <color theme="5"/>
      </font>
    </dxf>
    <dxf>
      <font>
        <color theme="5"/>
      </font>
    </dxf>
    <dxf>
      <fill>
        <patternFill patternType="solid">
          <bgColor theme="3" tint="0.79998168889431442"/>
        </patternFill>
      </fill>
    </dxf>
    <dxf>
      <fill>
        <patternFill patternType="solid">
          <bgColor theme="3" tint="0.79998168889431442"/>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alignment horizontal="right"/>
    </dxf>
    <dxf>
      <font>
        <color rgb="FF00B0F0"/>
      </font>
    </dxf>
    <dxf>
      <font>
        <color rgb="FF00B0F0"/>
      </font>
    </dxf>
    <dxf>
      <font>
        <color rgb="FF00B0F0"/>
      </font>
    </dxf>
    <dxf>
      <font>
        <color rgb="FF00B0F0"/>
      </font>
    </dxf>
    <dxf>
      <font>
        <color rgb="FF00B0F0"/>
      </font>
    </dxf>
    <dxf>
      <font>
        <color rgb="FF00B0F0"/>
      </font>
    </dxf>
    <dxf>
      <alignment horizontal="right"/>
    </dxf>
    <dxf>
      <alignment horizontal="right"/>
    </dxf>
    <dxf>
      <alignment horizontal="right"/>
    </dxf>
    <dxf>
      <alignment horizontal="right"/>
    </dxf>
    <dxf>
      <alignment horizontal="right"/>
    </dxf>
    <dxf>
      <alignment horizontal="right"/>
    </dxf>
    <dxf>
      <alignment horizontal="center"/>
    </dxf>
    <dxf>
      <fill>
        <patternFill>
          <bgColor rgb="FF002060"/>
        </patternFill>
      </fill>
    </dxf>
    <dxf>
      <fill>
        <patternFill>
          <bgColor rgb="FF002060"/>
        </patternFill>
      </fill>
    </dxf>
    <dxf>
      <numFmt numFmtId="4" formatCode="#,##0.00"/>
    </dxf>
    <dxf>
      <alignment horizontal="center"/>
    </dxf>
    <dxf>
      <fill>
        <patternFill patternType="solid">
          <bgColor theme="3" tint="-0.249977111117893"/>
        </patternFill>
      </fill>
    </dxf>
    <dxf>
      <font>
        <color theme="0"/>
      </font>
    </dxf>
    <dxf>
      <font>
        <color theme="0"/>
      </font>
    </dxf>
    <dxf>
      <fill>
        <patternFill patternType="solid">
          <bgColor theme="3" tint="-0.249977111117893"/>
        </patternFill>
      </fill>
    </dxf>
    <dxf>
      <alignment horizontal="left"/>
    </dxf>
    <dxf>
      <alignment horizontal="left"/>
    </dxf>
    <dxf>
      <alignment horizontal="left"/>
    </dxf>
    <dxf>
      <alignment horizontal="left"/>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indent="0"/>
    </dxf>
    <dxf>
      <alignment horizontal="center"/>
    </dxf>
    <dxf>
      <font>
        <color theme="0"/>
      </font>
    </dxf>
    <dxf>
      <fill>
        <patternFill patternType="solid">
          <bgColor theme="3" tint="-0.249977111117893"/>
        </patternFill>
      </fill>
    </dxf>
    <dxf>
      <font>
        <color theme="0"/>
      </font>
    </dxf>
    <dxf>
      <font>
        <color theme="0"/>
      </font>
    </dxf>
    <dxf>
      <fill>
        <patternFill patternType="solid">
          <bgColor theme="3" tint="-0.249977111117893"/>
        </patternFill>
      </fill>
    </dxf>
    <dxf>
      <fill>
        <patternFill patternType="solid">
          <bgColor theme="3" tint="-0.249977111117893"/>
        </patternFill>
      </fill>
    </dxf>
    <dxf>
      <alignment horizontal="center"/>
    </dxf>
    <dxf>
      <alignment horizontal="center"/>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horizontal="cent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alignment horizontal="center"/>
    </dxf>
    <dxf>
      <alignment horizontal="center"/>
    </dxf>
    <dxf>
      <alignment horizontal="center"/>
    </dxf>
    <dxf>
      <alignment horizontal="cent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horizontal style="thin">
          <color indexed="64"/>
        </horizontal>
      </border>
    </dxf>
    <dxf>
      <border>
        <left style="thin">
          <color indexed="64"/>
        </left>
        <right style="thin">
          <color indexed="64"/>
        </right>
        <bottom style="thin">
          <color indexed="64"/>
        </bottom>
        <horizontal style="thin">
          <color indexed="64"/>
        </horizontal>
      </border>
    </dxf>
    <dxf>
      <alignment horizontal="center"/>
    </dxf>
    <dxf>
      <alignment horizontal="center"/>
    </dxf>
    <dxf>
      <alignment horizontal="center"/>
    </dxf>
    <dxf>
      <alignment horizontal="cent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bottom style="thin">
          <color indexed="64"/>
        </bottom>
        <horizontal style="thin">
          <color indexed="64"/>
        </horizontal>
      </border>
    </dxf>
    <dxf>
      <border>
        <left style="thin">
          <color indexed="64"/>
        </left>
        <right style="thin">
          <color indexed="64"/>
        </right>
        <bottom style="thin">
          <color indexed="64"/>
        </bottom>
        <horizontal style="thin">
          <color indexed="64"/>
        </horizontal>
      </border>
    </dxf>
    <dxf>
      <alignment horizontal="center"/>
    </dxf>
    <dxf>
      <alignment horizontal="cent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alignment horizontal="center"/>
    </dxf>
    <dxf>
      <alignment horizontal="center"/>
    </dxf>
    <dxf>
      <alignment horizontal="center"/>
    </dxf>
    <dxf>
      <numFmt numFmtId="4" formatCode="#,##0.00"/>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theme="0"/>
      </font>
    </dxf>
    <dxf>
      <font>
        <color theme="0"/>
      </font>
    </dxf>
    <dxf>
      <fill>
        <patternFill patternType="solid">
          <bgColor theme="3"/>
        </patternFill>
      </fill>
    </dxf>
    <dxf>
      <fill>
        <patternFill patternType="solid">
          <bgColor theme="3"/>
        </patternFill>
      </fill>
    </dxf>
    <dxf>
      <font>
        <color theme="0"/>
      </font>
    </dxf>
    <dxf>
      <font>
        <color theme="0"/>
      </font>
    </dxf>
    <dxf>
      <fill>
        <patternFill patternType="solid">
          <bgColor theme="3"/>
        </patternFill>
      </fill>
    </dxf>
    <dxf>
      <fill>
        <patternFill patternType="solid">
          <bgColor theme="3"/>
        </patternFill>
      </fill>
    </dxf>
    <dxf>
      <font>
        <color theme="0"/>
      </font>
    </dxf>
    <dxf>
      <fill>
        <patternFill patternType="solid">
          <bgColor theme="3"/>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right style="medium">
          <color indexed="64"/>
        </right>
      </border>
    </dxf>
    <dxf>
      <border>
        <right style="medium">
          <color indexed="64"/>
        </right>
      </border>
    </dxf>
    <dxf>
      <border>
        <right style="medium">
          <color indexed="64"/>
        </right>
      </border>
    </dxf>
    <dxf>
      <border>
        <right style="medium">
          <color indexed="64"/>
        </right>
      </border>
    </dxf>
    <dxf>
      <border>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3"/>
        </patternFill>
      </fill>
    </dxf>
    <dxf>
      <border>
        <bottom style="medium">
          <color indexed="64"/>
        </bottom>
      </border>
    </dxf>
    <dxf>
      <border>
        <left style="medium">
          <color indexed="64"/>
        </left>
      </border>
    </dxf>
    <dxf>
      <border>
        <left style="medium">
          <color indexed="64"/>
        </left>
        <bottom style="medium">
          <color indexed="64"/>
        </bottom>
      </border>
    </dxf>
    <dxf>
      <border>
        <left style="medium">
          <color indexed="64"/>
        </left>
      </border>
    </dxf>
    <dxf>
      <border>
        <left style="medium">
          <color indexed="64"/>
        </left>
        <bottom style="medium">
          <color indexed="64"/>
        </bottom>
      </border>
    </dxf>
    <dxf>
      <border>
        <left style="medium">
          <color indexed="64"/>
        </left>
      </border>
    </dxf>
    <dxf>
      <border>
        <left style="medium">
          <color indexed="64"/>
        </lef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fill>
        <patternFill>
          <bgColor theme="3"/>
        </patternFill>
      </fill>
    </dxf>
    <dxf>
      <alignment horizontal="center"/>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theme="0"/>
      </font>
    </dxf>
    <dxf>
      <font>
        <color theme="0"/>
      </font>
    </dxf>
    <dxf>
      <fill>
        <patternFill patternType="solid">
          <bgColor rgb="FF002060"/>
        </patternFill>
      </fill>
    </dxf>
    <dxf>
      <fill>
        <patternFill patternType="solid">
          <bgColor rgb="FF002060"/>
        </patternFill>
      </fill>
    </dxf>
    <dxf>
      <font>
        <b/>
      </font>
    </dxf>
    <dxf>
      <font>
        <b/>
      </font>
    </dxf>
    <dxf>
      <font>
        <b/>
      </font>
    </dxf>
    <dxf>
      <font>
        <b/>
      </font>
    </dxf>
    <dxf>
      <font>
        <b/>
      </font>
    </dxf>
    <dxf>
      <font>
        <color theme="0"/>
      </font>
    </dxf>
    <dxf>
      <font>
        <color theme="0"/>
      </font>
    </dxf>
    <dxf>
      <font>
        <color theme="0"/>
      </font>
    </dxf>
    <dxf>
      <font>
        <color theme="0"/>
      </font>
    </dxf>
    <dxf>
      <font>
        <color theme="0"/>
      </font>
    </dxf>
    <dxf>
      <fill>
        <patternFill>
          <bgColor rgb="FF002060"/>
        </patternFill>
      </fill>
    </dxf>
    <dxf>
      <fill>
        <patternFill>
          <bgColor rgb="FF002060"/>
        </patternFill>
      </fill>
    </dxf>
    <dxf>
      <fill>
        <patternFill>
          <bgColor rgb="FF002060"/>
        </patternFill>
      </fill>
    </dxf>
    <dxf>
      <fill>
        <patternFill>
          <bgColor rgb="FF002060"/>
        </patternFill>
      </fill>
    </dxf>
    <dxf>
      <fill>
        <patternFill>
          <bgColor rgb="FF002060"/>
        </patternFill>
      </fill>
    </dxf>
    <dxf>
      <font>
        <b/>
      </font>
    </dxf>
    <dxf>
      <font>
        <b/>
      </font>
    </dxf>
    <dxf>
      <font>
        <b/>
      </font>
    </dxf>
    <dxf>
      <fill>
        <patternFill patternType="solid">
          <bgColor rgb="FF002060"/>
        </patternFill>
      </fill>
    </dxf>
    <dxf>
      <fill>
        <patternFill patternType="solid">
          <bgColor rgb="FF002060"/>
        </patternFill>
      </fill>
    </dxf>
    <dxf>
      <fill>
        <patternFill patternType="solid">
          <bgColor rgb="FF002060"/>
        </patternFill>
      </fill>
    </dxf>
    <dxf>
      <font>
        <color theme="0"/>
      </font>
    </dxf>
    <dxf>
      <font>
        <color theme="0"/>
      </font>
    </dxf>
    <dxf>
      <font>
        <color theme="0"/>
      </font>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ill>
        <patternFill patternType="none">
          <fgColor indexed="64"/>
          <bgColor auto="1"/>
        </patternFill>
      </fill>
    </dxf>
    <dxf>
      <fill>
        <patternFill patternType="none">
          <fgColor indexed="64"/>
          <bgColor auto="1"/>
        </patternFill>
      </fill>
    </dxf>
    <dxf>
      <font>
        <sz val="11"/>
        <color auto="1"/>
        <name val="Calibri"/>
        <family val="2"/>
        <scheme val="minor"/>
      </font>
      <numFmt numFmtId="165" formatCode="[$-409]dd\-mmm\-yy;@"/>
      <fill>
        <patternFill patternType="solid">
          <fgColor indexed="64"/>
          <bgColor theme="0"/>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numFmt numFmtId="165" formatCode="[$-409]dd\-mmm\-yy;@"/>
      <fill>
        <patternFill patternType="solid">
          <fgColor indexed="64"/>
          <bgColor theme="3" tint="0.5999938962981048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theme="4"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solid">
          <fgColor indexed="64"/>
          <bgColor theme="0" tint="-0.249977111117893"/>
        </patternFill>
      </fill>
      <alignment horizontal="left" vertical="center" textRotation="0" wrapText="0" indent="0" justifyLastLine="0" shrinkToFit="0" readingOrder="0"/>
      <border diagonalUp="0" diagonalDown="0" outline="0">
        <left style="thin">
          <color indexed="64"/>
        </left>
        <right style="thin">
          <color theme="0" tint="-0.249977111117893"/>
        </right>
        <top style="thin">
          <color indexed="64"/>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171" formatCode="m/d/yyyy"/>
      <fill>
        <patternFill patternType="solid">
          <fgColor indexed="64"/>
          <bgColor theme="0" tint="-0.249977111117893"/>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66" formatCode="#,##0.00_ ;[Red]\-#,##0.00\ "/>
      <fill>
        <patternFill patternType="solid">
          <fgColor indexed="64"/>
          <bgColor theme="0" tint="-0.249977111117893"/>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67" formatCode="dd\-mmm\-yyyy"/>
      <fill>
        <patternFill patternType="solid">
          <fgColor indexed="64"/>
          <bgColor theme="0" tint="-0.249977111117893"/>
        </patternFill>
      </fill>
      <alignment horizontal="lef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66" formatCode="#,##0.00_ ;[Red]\-#,##0.00\ "/>
      <fill>
        <patternFill patternType="solid">
          <fgColor indexed="64"/>
          <bgColor theme="0" tint="-0.249977111117893"/>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solid">
          <fgColor indexed="64"/>
          <bgColor theme="0" tint="-0.249977111117893"/>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64" formatCode="_(* #,##0.00_);_(* \(#,##0.00\);_(* &quot;-&quot;??_);_(@_)"/>
      <fill>
        <patternFill patternType="solid">
          <fgColor indexed="64"/>
          <bgColor theme="0" tint="-0.249977111117893"/>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numFmt numFmtId="165" formatCode="[$-409]dd\-mmm\-yy;@"/>
      <fill>
        <patternFill patternType="solid">
          <fgColor indexed="64"/>
          <bgColor theme="0"/>
        </patternFill>
      </fill>
      <alignment horizontal="left" vertical="center" textRotation="0" wrapText="0" indent="0" justifyLastLine="0" shrinkToFit="0" readingOrder="0"/>
      <border diagonalUp="0" diagonalDown="0">
        <left/>
        <right style="thin">
          <color indexed="64"/>
        </right>
        <top style="thin">
          <color indexed="64"/>
        </top>
        <bottom style="thin">
          <color theme="4" tint="0.39997558519241921"/>
        </bottom>
        <vertical/>
        <horizontal/>
      </border>
    </dxf>
    <dxf>
      <font>
        <b val="0"/>
        <i val="0"/>
        <strike val="0"/>
        <condense val="0"/>
        <extend val="0"/>
        <outline val="0"/>
        <shadow val="0"/>
        <u val="none"/>
        <vertAlign val="baseline"/>
        <sz val="11"/>
        <color auto="1"/>
        <name val="Calibri"/>
        <family val="2"/>
        <scheme val="minor"/>
      </font>
      <numFmt numFmtId="164" formatCode="_(* #,##0.00_);_(* \(#,##0.00\);_(* &quot;-&quot;??_);_(@_)"/>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border>
    </dxf>
    <dxf>
      <font>
        <strike val="0"/>
        <outline val="0"/>
        <shadow val="0"/>
        <u val="none"/>
        <vertAlign val="baseline"/>
        <sz val="11"/>
        <color auto="1"/>
        <name val="Calibri"/>
        <family val="2"/>
        <scheme val="minor"/>
      </font>
      <numFmt numFmtId="165" formatCode="[$-409]dd\-mmm\-yy;@"/>
      <fill>
        <patternFill patternType="solid">
          <fgColor indexed="64"/>
          <bgColor theme="0"/>
        </patternFill>
      </fill>
      <alignment horizontal="left" vertical="center" textRotation="0" wrapText="0" indent="0" justifyLastLine="0" shrinkToFit="0" readingOrder="0"/>
      <border diagonalUp="0" diagonalDown="0" outline="0">
        <left style="thin">
          <color theme="0" tint="-0.249977111117893"/>
        </left>
        <right style="thin">
          <color indexed="64"/>
        </right>
        <top style="thin">
          <color indexed="64"/>
        </top>
        <bottom/>
      </border>
    </dxf>
    <dxf>
      <border outline="0">
        <top style="medium">
          <color indexed="64"/>
        </top>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3"/>
        </patternFill>
      </fill>
      <border diagonalUp="0" diagonalDown="0" outline="0">
        <left style="medium">
          <color indexed="64"/>
        </left>
        <right style="medium">
          <color indexed="64"/>
        </right>
        <top/>
        <bottom/>
      </border>
    </dxf>
    <dxf>
      <fill>
        <patternFill>
          <bgColor theme="3"/>
        </patternFill>
      </fill>
    </dxf>
    <dxf>
      <fill>
        <patternFill>
          <bgColor theme="3"/>
        </patternFill>
      </fill>
    </dxf>
    <dxf>
      <fill>
        <patternFill>
          <bgColor theme="3"/>
        </patternFill>
      </fill>
    </dxf>
    <dxf>
      <font>
        <b/>
        <color theme="0"/>
      </font>
      <fill>
        <patternFill>
          <fgColor theme="3"/>
        </patternFill>
      </fill>
    </dxf>
    <dxf>
      <font>
        <b val="0"/>
        <i val="0"/>
        <strike val="0"/>
        <condense val="0"/>
        <extend val="0"/>
        <outline val="0"/>
        <shadow val="0"/>
        <u val="none"/>
        <vertAlign val="baseline"/>
        <sz val="11"/>
        <color theme="1"/>
        <name val="Calibri"/>
        <family val="2"/>
        <scheme val="minor"/>
      </font>
      <fill>
        <patternFill>
          <fgColor theme="0" tint="-0.249977111117893"/>
        </patternFill>
      </fill>
    </dxf>
    <dxf>
      <font>
        <b/>
        <color theme="0"/>
      </font>
      <fill>
        <patternFill>
          <fgColor theme="3"/>
        </patternFill>
      </fill>
    </dxf>
    <dxf>
      <font>
        <b/>
        <color theme="0"/>
      </font>
      <fill>
        <patternFill>
          <fgColor theme="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bgColor theme="3"/>
        </patternFill>
      </fill>
    </dxf>
    <dxf>
      <fill>
        <patternFill>
          <bgColor theme="3"/>
        </patternFill>
      </fill>
    </dxf>
    <dxf>
      <fill>
        <patternFill>
          <bgColor theme="3"/>
        </patternFill>
      </fill>
    </dxf>
    <dxf>
      <font>
        <b/>
        <color theme="0"/>
      </font>
      <numFmt numFmtId="0" formatCode="General"/>
      <fill>
        <patternFill>
          <fgColor theme="3"/>
        </patternFill>
      </fill>
    </dxf>
    <dxf>
      <font>
        <b/>
        <color theme="0"/>
      </font>
      <numFmt numFmtId="0" formatCode="General"/>
      <fill>
        <patternFill>
          <fgColor theme="3"/>
        </patternFill>
      </fill>
    </dxf>
    <dxf>
      <font>
        <b/>
        <color theme="0"/>
      </font>
      <numFmt numFmtId="0" formatCode="General"/>
      <fill>
        <patternFill>
          <fgColor theme="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numFmt numFmtId="4" formatCode="#,##0.00"/>
      <fill>
        <patternFill patternType="solid">
          <fgColor indexed="64"/>
          <bgColor theme="0" tint="-0.249977111117893"/>
        </patternFill>
      </fill>
    </dxf>
    <dxf>
      <numFmt numFmtId="4" formatCode="#,##0.00"/>
      <fill>
        <patternFill patternType="solid">
          <fgColor indexed="64"/>
          <bgColor theme="0" tint="-0.249977111117893"/>
        </patternFill>
      </fill>
    </dxf>
    <dxf>
      <numFmt numFmtId="4" formatCode="#,##0.00"/>
      <fill>
        <patternFill patternType="solid">
          <fgColor indexed="64"/>
          <bgColor theme="0" tint="-0.249977111117893"/>
        </patternFill>
      </fill>
    </dxf>
    <dxf>
      <numFmt numFmtId="4" formatCode="#,##0.00"/>
      <fill>
        <patternFill patternType="solid">
          <fgColor indexed="64"/>
          <bgColor theme="0" tint="-0.249977111117893"/>
        </patternFill>
      </fill>
    </dxf>
    <dxf>
      <numFmt numFmtId="4" formatCode="#,##0.00"/>
      <fill>
        <patternFill patternType="solid">
          <fgColor indexed="64"/>
          <bgColor theme="0" tint="-0.249977111117893"/>
        </patternFill>
      </fill>
    </dxf>
    <dxf>
      <numFmt numFmtId="4" formatCode="#,##0.00"/>
      <fill>
        <patternFill patternType="solid">
          <fgColor indexed="64"/>
          <bgColor theme="0" tint="-0.249977111117893"/>
        </patternFill>
      </fill>
    </dxf>
    <dxf>
      <numFmt numFmtId="4" formatCode="#,##0.00"/>
      <fill>
        <patternFill patternType="solid">
          <fgColor indexed="64"/>
          <bgColor theme="0" tint="-0.249977111117893"/>
        </patternFill>
      </fill>
    </dxf>
    <dxf>
      <numFmt numFmtId="4" formatCode="#,##0.00"/>
      <fill>
        <patternFill patternType="solid">
          <fgColor indexed="64"/>
          <bgColor theme="0" tint="-0.249977111117893"/>
        </patternFill>
      </fill>
    </dxf>
    <dxf>
      <numFmt numFmtId="4" formatCode="#,##0.00"/>
      <fill>
        <patternFill patternType="solid">
          <fgColor indexed="64"/>
          <bgColor theme="3"/>
        </patternFill>
      </fill>
    </dxf>
    <dxf>
      <numFmt numFmtId="4" formatCode="#,##0.00"/>
      <fill>
        <patternFill patternType="solid">
          <fgColor indexed="64"/>
          <bgColor theme="3"/>
        </patternFill>
      </fill>
    </dxf>
    <dxf>
      <numFmt numFmtId="4" formatCode="#,##0.00"/>
      <fill>
        <patternFill patternType="solid">
          <fgColor indexed="64"/>
          <bgColor theme="3"/>
        </patternFill>
      </fill>
    </dxf>
    <dxf>
      <numFmt numFmtId="4" formatCode="#,##0.00"/>
      <fill>
        <patternFill patternType="solid">
          <fgColor indexed="64"/>
          <bgColor theme="3"/>
        </patternFill>
      </fill>
    </dxf>
    <dxf>
      <numFmt numFmtId="4" formatCode="#,##0.00"/>
      <fill>
        <patternFill patternType="solid">
          <fgColor indexed="64"/>
          <bgColor theme="3"/>
        </patternFill>
      </fill>
    </dxf>
    <dxf>
      <numFmt numFmtId="4" formatCode="#,##0.00"/>
      <fill>
        <patternFill patternType="solid">
          <fgColor indexed="64"/>
          <bgColor theme="3"/>
        </patternFill>
      </fill>
    </dxf>
    <dxf>
      <numFmt numFmtId="4" formatCode="#,##0.00"/>
      <fill>
        <patternFill patternType="solid">
          <fgColor indexed="64"/>
          <bgColor theme="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numFmt numFmtId="167" formatCode="dd\-mmm\-yyyy"/>
    </dxf>
    <dxf>
      <numFmt numFmtId="167" formatCode="dd\-mmm\-yyyy"/>
    </dxf>
    <dxf>
      <numFmt numFmtId="167" formatCode="dd\-mmm\-yyyy"/>
    </dxf>
    <dxf>
      <numFmt numFmtId="167" formatCode="dd\-mmm\-yyyy"/>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font>
        <color theme="0"/>
      </font>
      <numFmt numFmtId="167" formatCode="dd\-mmm\-yyyy"/>
      <fill>
        <patternFill patternType="solid">
          <fgColor indexed="64"/>
          <bgColor theme="1" tint="0.249977111117893"/>
        </patternFill>
      </fill>
    </dxf>
    <dxf>
      <numFmt numFmtId="167" formatCode="dd\-mmm\-yyyy"/>
    </dxf>
    <dxf>
      <font>
        <color theme="0"/>
      </font>
    </dxf>
    <dxf>
      <font>
        <color theme="0"/>
      </font>
    </dxf>
    <dxf>
      <font>
        <color theme="0"/>
      </font>
    </dxf>
    <dxf>
      <font>
        <color theme="0"/>
      </font>
    </dxf>
    <dxf>
      <font>
        <color theme="0"/>
      </font>
    </dxf>
    <dxf>
      <font>
        <color theme="0"/>
      </font>
    </dxf>
    <dxf>
      <fill>
        <patternFill patternType="solid">
          <bgColor theme="1" tint="0.249977111117893"/>
        </patternFill>
      </fill>
    </dxf>
    <dxf>
      <fill>
        <patternFill patternType="solid">
          <bgColor theme="1" tint="0.249977111117893"/>
        </patternFill>
      </fill>
    </dxf>
    <dxf>
      <fill>
        <patternFill patternType="solid">
          <bgColor theme="1" tint="0.249977111117893"/>
        </patternFill>
      </fill>
    </dxf>
    <dxf>
      <fill>
        <patternFill patternType="solid">
          <bgColor theme="1" tint="0.249977111117893"/>
        </patternFill>
      </fill>
    </dxf>
    <dxf>
      <fill>
        <patternFill patternType="solid">
          <bgColor theme="1" tint="0.249977111117893"/>
        </patternFill>
      </fill>
    </dxf>
    <dxf>
      <fill>
        <patternFill patternType="solid">
          <bgColor theme="1" tint="0.249977111117893"/>
        </patternFill>
      </fill>
    </dxf>
    <dxf>
      <font>
        <b/>
      </font>
    </dxf>
    <dxf>
      <font>
        <color theme="0"/>
      </font>
    </dxf>
    <dxf>
      <fill>
        <patternFill patternType="solid">
          <bgColor theme="5" tint="-0.499984740745262"/>
        </patternFill>
      </fill>
    </dxf>
    <dxf>
      <fill>
        <patternFill>
          <bgColor theme="5" tint="-0.499984740745262"/>
        </patternFill>
      </fill>
    </dxf>
    <dxf>
      <fill>
        <patternFill>
          <bgColor theme="5" tint="-0.499984740745262"/>
        </patternFill>
      </fill>
    </dxf>
    <dxf>
      <fill>
        <patternFill>
          <bgColor theme="5" tint="-0.499984740745262"/>
        </patternFill>
      </fill>
    </dxf>
    <dxf>
      <fill>
        <patternFill>
          <bgColor theme="5" tint="-0.499984740745262"/>
        </patternFill>
      </fill>
    </dxf>
    <dxf>
      <fill>
        <patternFill>
          <bgColor theme="5" tint="-0.499984740745262"/>
        </patternFill>
      </fill>
    </dxf>
    <dxf>
      <fill>
        <patternFill>
          <bgColor theme="5" tint="-0.499984740745262"/>
        </patternFill>
      </fill>
    </dxf>
    <dxf>
      <fill>
        <patternFill>
          <bgColor theme="5" tint="-0.499984740745262"/>
        </patternFill>
      </fill>
    </dxf>
    <dxf>
      <font>
        <b/>
      </font>
      <fill>
        <patternFill>
          <fgColor theme="5" tint="-0.499984740745262"/>
        </patternFill>
      </fill>
    </dxf>
    <dxf>
      <font>
        <b/>
      </font>
      <fill>
        <patternFill>
          <fgColor theme="5" tint="-0.499984740745262"/>
        </patternFill>
      </fill>
    </dxf>
    <dxf>
      <font>
        <b/>
      </font>
      <fill>
        <patternFill>
          <fgColor theme="5" tint="-0.499984740745262"/>
        </patternFill>
      </fill>
    </dxf>
    <dxf>
      <font>
        <b/>
      </font>
      <fill>
        <patternFill>
          <fgColor theme="5" tint="-0.499984740745262"/>
        </patternFill>
      </fill>
    </dxf>
    <dxf>
      <font>
        <b/>
      </font>
      <fill>
        <patternFill>
          <fgColor theme="5" tint="-0.499984740745262"/>
        </patternFill>
      </fill>
    </dxf>
    <dxf>
      <font>
        <b/>
      </font>
      <fill>
        <patternFill>
          <fgColor theme="5" tint="-0.499984740745262"/>
        </patternFill>
      </fill>
    </dxf>
    <dxf>
      <font>
        <b/>
      </font>
      <fill>
        <patternFill>
          <fgColor theme="5" tint="-0.499984740745262"/>
        </patternFill>
      </fill>
    </dxf>
    <dxf>
      <font>
        <b/>
      </font>
      <fill>
        <patternFill>
          <fgColor theme="5" tint="-0.499984740745262"/>
        </patternFill>
      </fill>
    </dxf>
    <dxf>
      <font>
        <color theme="0"/>
      </font>
    </dxf>
    <dxf>
      <fill>
        <patternFill patternType="solid">
          <bgColor theme="5" tint="-0.249977111117893"/>
        </patternFill>
      </fill>
    </dxf>
    <dxf>
      <font>
        <color theme="0"/>
      </font>
      <fill>
        <patternFill patternType="solid">
          <fgColor indexed="64"/>
          <bgColor theme="5" tint="-0.249977111117893"/>
        </patternFill>
      </fill>
    </dxf>
    <dxf>
      <font>
        <color theme="0"/>
      </font>
    </dxf>
    <dxf>
      <fill>
        <patternFill patternType="solid">
          <bgColor theme="3"/>
        </patternFill>
      </fill>
    </dxf>
    <dxf>
      <font>
        <color theme="0"/>
      </font>
    </dxf>
    <dxf>
      <font>
        <color theme="0"/>
      </font>
    </dxf>
    <dxf>
      <font>
        <color theme="0"/>
      </font>
    </dxf>
    <dxf>
      <font>
        <color theme="0"/>
      </font>
    </dxf>
    <dxf>
      <font>
        <color theme="0"/>
      </font>
    </dxf>
    <dxf>
      <font>
        <color theme="0"/>
      </font>
    </dxf>
    <dxf>
      <font>
        <color theme="0"/>
      </font>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fill>
        <patternFill patternType="solid">
          <bgColor theme="5" tint="-0.249977111117893"/>
        </patternFill>
      </fill>
    </dxf>
    <dxf>
      <numFmt numFmtId="167" formatCode="dd\-mmm\-yyyy"/>
    </dxf>
    <dxf>
      <numFmt numFmtId="167" formatCode="dd\-mmm\-yyyy"/>
    </dxf>
    <dxf>
      <numFmt numFmtId="167" formatCode="dd\-mmm\-yyyy"/>
    </dxf>
    <dxf>
      <font>
        <b/>
        <color theme="0"/>
      </font>
      <numFmt numFmtId="0" formatCode="General"/>
      <fill>
        <patternFill patternType="solid">
          <fgColor indexed="64"/>
          <bgColor theme="3"/>
        </patternFill>
      </fill>
    </dxf>
    <dxf>
      <font>
        <b val="0"/>
      </font>
    </dxf>
    <dxf>
      <font>
        <b val="0"/>
        <i val="0"/>
        <strike val="0"/>
        <condense val="0"/>
        <extend val="0"/>
        <outline val="0"/>
        <shadow val="0"/>
        <u val="none"/>
        <vertAlign val="baseline"/>
        <sz val="11"/>
        <color theme="1"/>
        <name val="Calibri"/>
        <family val="2"/>
        <scheme val="minor"/>
      </font>
      <numFmt numFmtId="167" formatCode="dd\-mmm\-yyyy"/>
      <fill>
        <patternFill patternType="none">
          <fgColor indexed="64"/>
          <bgColor indexed="65"/>
        </patternFill>
      </fill>
    </dxf>
    <dxf>
      <numFmt numFmtId="164" formatCode="_(* #,##0.00_);_(* \(#,##0.00\);_(* &quot;-&quot;??_);_(@_)"/>
    </dxf>
    <dxf>
      <font>
        <b/>
        <color theme="0"/>
      </font>
      <fill>
        <patternFill patternType="solid">
          <fgColor indexed="64"/>
          <bgColor theme="3"/>
        </patternFill>
      </fill>
    </dxf>
    <dxf>
      <font>
        <b val="0"/>
      </font>
    </dxf>
    <dxf>
      <numFmt numFmtId="164" formatCode="_(* #,##0.00_);_(* \(#,##0.00\);_(* &quot;-&quot;??_);_(@_)"/>
    </dxf>
    <dxf>
      <font>
        <b/>
        <color theme="0"/>
      </font>
      <fill>
        <patternFill patternType="solid">
          <fgColor indexed="64"/>
          <bgColor theme="3"/>
        </patternFill>
      </fill>
    </dxf>
    <dxf>
      <font>
        <b/>
        <color theme="0"/>
      </font>
      <fill>
        <patternFill patternType="solid">
          <fgColor indexed="64"/>
          <bgColor theme="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4" formatCode="#,##0.00"/>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font>
        <color theme="0"/>
      </font>
      <fill>
        <patternFill patternType="solid">
          <fgColor indexed="64"/>
          <bgColor theme="1" tint="0.249977111117893"/>
        </patternFill>
      </fill>
    </dxf>
    <dxf>
      <font>
        <color theme="0"/>
      </font>
      <fill>
        <patternFill patternType="solid">
          <fgColor indexed="64"/>
          <bgColor theme="1" tint="0.249977111117893"/>
        </patternFill>
      </fill>
    </dxf>
    <dxf>
      <font>
        <color theme="0"/>
      </font>
      <fill>
        <patternFill patternType="solid">
          <fgColor indexed="64"/>
          <bgColor theme="1" tint="0.249977111117893"/>
        </patternFill>
      </fill>
    </dxf>
    <dxf>
      <fill>
        <patternFill>
          <bgColor theme="5" tint="-0.499984740745262"/>
        </patternFill>
      </fill>
    </dxf>
    <dxf>
      <fill>
        <patternFill>
          <bgColor theme="5" tint="-0.499984740745262"/>
        </patternFill>
      </fill>
    </dxf>
    <dxf>
      <fill>
        <patternFill>
          <bgColor theme="5" tint="-0.499984740745262"/>
        </patternFill>
      </fill>
    </dxf>
    <dxf>
      <fill>
        <patternFill>
          <bgColor theme="5" tint="-0.499984740745262"/>
        </patternFill>
      </fill>
    </dxf>
    <dxf>
      <fill>
        <patternFill>
          <bgColor theme="5" tint="-0.499984740745262"/>
        </patternFill>
      </fill>
    </dxf>
    <dxf>
      <fill>
        <patternFill>
          <bgColor theme="5" tint="-0.499984740745262"/>
        </patternFill>
      </fill>
    </dxf>
    <dxf>
      <font>
        <color theme="0"/>
      </font>
      <fill>
        <patternFill patternType="solid">
          <fgColor indexed="64"/>
          <bgColor theme="1" tint="0.249977111117893"/>
        </patternFill>
      </fill>
    </dxf>
    <dxf>
      <fill>
        <patternFill patternType="solid">
          <bgColor theme="1" tint="0.249977111117893"/>
        </patternFill>
      </fill>
    </dxf>
    <dxf>
      <fill>
        <patternFill patternType="solid">
          <bgColor theme="1" tint="0.249977111117893"/>
        </patternFill>
      </fill>
    </dxf>
    <dxf>
      <font>
        <color theme="0"/>
      </font>
    </dxf>
    <dxf>
      <font>
        <color theme="0"/>
      </font>
    </dxf>
    <dxf>
      <font>
        <color theme="0"/>
      </font>
      <fill>
        <patternFill patternType="solid">
          <fgColor indexed="64"/>
          <bgColor theme="1" tint="0.249977111117893"/>
        </patternFill>
      </fill>
    </dxf>
    <dxf>
      <font>
        <color theme="0"/>
      </font>
      <fill>
        <patternFill patternType="solid">
          <fgColor indexed="64"/>
          <bgColor theme="1" tint="0.249977111117893"/>
        </patternFill>
      </fill>
    </dxf>
    <dxf>
      <fill>
        <patternFill>
          <bgColor theme="1" tint="0.249977111117893"/>
        </patternFill>
      </fill>
    </dxf>
    <dxf>
      <fill>
        <patternFill>
          <bgColor theme="1" tint="0.249977111117893"/>
        </patternFill>
      </fill>
    </dxf>
    <dxf>
      <fill>
        <patternFill>
          <bgColor theme="1" tint="0.249977111117893"/>
        </patternFill>
      </fill>
    </dxf>
    <dxf>
      <fill>
        <patternFill>
          <bgColor theme="1" tint="0.249977111117893"/>
        </patternFill>
      </fill>
    </dxf>
    <dxf>
      <fill>
        <patternFill>
          <bgColor theme="1" tint="0.249977111117893"/>
        </patternFill>
      </fill>
    </dxf>
    <dxf>
      <font>
        <color theme="0"/>
      </font>
    </dxf>
    <dxf>
      <font>
        <color theme="0"/>
      </font>
    </dxf>
    <dxf>
      <font>
        <color theme="0"/>
      </font>
    </dxf>
    <dxf>
      <font>
        <color theme="0"/>
      </font>
    </dxf>
    <dxf>
      <font>
        <color theme="0"/>
      </font>
    </dxf>
    <dxf>
      <border>
        <right style="thin">
          <color indexed="64"/>
        </right>
        <vertical style="thin">
          <color indexed="64"/>
        </vertical>
        <horizontal style="thin">
          <color indexed="64"/>
        </horizontal>
      </border>
    </dxf>
    <dxf>
      <border>
        <right style="thin">
          <color indexed="64"/>
        </right>
        <vertical style="thin">
          <color indexed="64"/>
        </vertical>
        <horizontal style="thin">
          <color indexed="64"/>
        </horizontal>
      </border>
    </dxf>
    <dxf>
      <border>
        <right style="thin">
          <color indexed="64"/>
        </right>
        <vertical style="thin">
          <color indexed="64"/>
        </vertical>
        <horizontal style="thin">
          <color indexed="64"/>
        </horizontal>
      </border>
    </dxf>
    <dxf>
      <border>
        <right style="thin">
          <color indexed="64"/>
        </right>
        <top style="thin">
          <color indexed="64"/>
        </top>
        <bottom style="thin">
          <color indexed="64"/>
        </bottom>
        <vertical style="thin">
          <color indexed="64"/>
        </vertical>
        <horizontal style="thin">
          <color indexed="64"/>
        </horizontal>
      </border>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ill>
        <patternFill>
          <bgColor theme="0" tint="-0.14999847407452621"/>
        </patternFill>
      </fill>
    </dxf>
    <dxf>
      <font>
        <b/>
      </font>
    </dxf>
    <dxf>
      <font>
        <color theme="0"/>
      </font>
    </dxf>
    <dxf>
      <fill>
        <patternFill patternType="solid">
          <bgColor theme="5" tint="-0.499984740745262"/>
        </patternFill>
      </fill>
    </dxf>
    <dxf>
      <font>
        <b/>
      </font>
    </dxf>
    <dxf>
      <fill>
        <patternFill patternType="solid">
          <bgColor theme="5" tint="-0.499984740745262"/>
        </patternFill>
      </fill>
    </dxf>
    <dxf>
      <font>
        <color theme="0"/>
      </font>
    </dxf>
    <dxf>
      <fill>
        <patternFill>
          <bgColor theme="5" tint="-0.499984740745262"/>
        </patternFill>
      </fill>
    </dxf>
    <dxf>
      <font>
        <b/>
      </font>
      <fill>
        <patternFill>
          <fgColor theme="5" tint="-0.499984740745262"/>
        </patternFill>
      </fill>
    </dxf>
    <dxf>
      <font>
        <color theme="0"/>
      </font>
    </dxf>
    <dxf>
      <fill>
        <patternFill patternType="solid">
          <bgColor theme="5" tint="-0.249977111117893"/>
        </patternFill>
      </fill>
    </dxf>
    <dxf>
      <font>
        <b/>
      </font>
    </dxf>
    <dxf>
      <font>
        <b/>
      </font>
    </dxf>
    <dxf>
      <font>
        <color theme="0"/>
      </font>
    </dxf>
    <dxf>
      <fill>
        <patternFill patternType="solid">
          <bgColor theme="3"/>
        </patternFill>
      </fill>
    </dxf>
    <dxf>
      <font>
        <color theme="0"/>
      </font>
    </dxf>
    <dxf>
      <fill>
        <patternFill patternType="solid">
          <bgColor theme="5" tint="-0.499984740745262"/>
        </patternFill>
      </fill>
    </dxf>
    <dxf>
      <font>
        <b/>
      </font>
    </dxf>
    <dxf>
      <font>
        <color theme="0"/>
      </font>
    </dxf>
    <dxf>
      <fill>
        <patternFill patternType="solid">
          <bgColor theme="5" tint="-0.499984740745262"/>
        </patternFill>
      </fill>
    </dxf>
    <dxf>
      <font>
        <b/>
      </font>
    </dxf>
    <dxf>
      <font>
        <color theme="0"/>
      </font>
    </dxf>
    <dxf>
      <fill>
        <patternFill patternType="solid">
          <bgColor theme="5" tint="-0.499984740745262"/>
        </patternFill>
      </fill>
    </dxf>
    <dxf>
      <font>
        <b/>
      </font>
    </dxf>
    <dxf>
      <font>
        <color theme="0"/>
      </font>
    </dxf>
    <dxf>
      <fill>
        <patternFill patternType="solid">
          <bgColor theme="5" tint="-0.499984740745262"/>
        </patternFill>
      </fill>
    </dxf>
    <dxf>
      <fill>
        <patternFill>
          <bgColor theme="5" tint="-0.499984740745262"/>
        </patternFill>
      </fill>
    </dxf>
    <dxf>
      <fill>
        <patternFill>
          <bgColor theme="5" tint="-0.499984740745262"/>
        </patternFill>
      </fill>
    </dxf>
    <dxf>
      <fill>
        <patternFill>
          <bgColor theme="5" tint="-0.499984740745262"/>
        </patternFill>
      </fill>
    </dxf>
    <dxf>
      <border>
        <left style="thin">
          <color indexed="64"/>
        </left>
        <top style="thin">
          <color indexed="64"/>
        </top>
        <bottom style="thin">
          <color indexed="64"/>
        </bottom>
        <vertical style="thin">
          <color indexed="64"/>
        </vertical>
        <horizontal style="thin">
          <color indexed="64"/>
        </horizontal>
      </border>
    </dxf>
    <dxf>
      <fill>
        <patternFill patternType="solid">
          <bgColor theme="0" tint="-4.9989318521683403E-2"/>
        </patternFill>
      </fill>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font>
        <b/>
      </font>
    </dxf>
    <dxf>
      <font>
        <b/>
      </font>
    </dxf>
    <dxf>
      <font>
        <b/>
      </font>
    </dxf>
    <dxf>
      <font>
        <b/>
      </font>
    </dxf>
    <dxf>
      <font>
        <b/>
      </font>
    </dxf>
    <dxf>
      <font>
        <color theme="0"/>
      </font>
    </dxf>
    <dxf>
      <font>
        <color theme="0"/>
      </font>
    </dxf>
    <dxf>
      <font>
        <color theme="0"/>
      </font>
    </dxf>
    <dxf>
      <font>
        <color theme="0"/>
      </font>
    </dxf>
    <dxf>
      <font>
        <color theme="0"/>
      </font>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numFmt numFmtId="164" formatCode="_(* #,##0.00_);_(* \(#,##0.00\);_(* &quot;-&quot;??_);_(@_)"/>
    </dxf>
    <dxf>
      <numFmt numFmtId="164" formatCode="_(* #,##0.00_);_(* \(#,##0.00\);_(* &quot;-&quot;??_);_(@_)"/>
    </dxf>
    <dxf>
      <numFmt numFmtId="164" formatCode="_(* #,##0.00_);_(* \(#,##0.00\);_(* &quot;-&quot;??_);_(@_)"/>
    </dxf>
    <dxf>
      <numFmt numFmtId="164" formatCode="_(* #,##0.00_);_(* \(#,##0.00\);_(* &quot;-&quot;??_);_(@_)"/>
    </dxf>
    <dxf>
      <font>
        <b/>
        <color theme="0"/>
      </font>
      <fill>
        <patternFill patternType="solid">
          <fgColor indexed="64"/>
          <bgColor theme="3"/>
        </patternFill>
      </fill>
    </dxf>
    <dxf>
      <font>
        <b/>
        <color theme="0"/>
      </font>
      <fill>
        <patternFill patternType="solid">
          <fgColor indexed="64"/>
          <bgColor theme="3"/>
        </patternFill>
      </fill>
    </dxf>
    <dxf>
      <font>
        <b/>
        <color theme="0"/>
      </font>
      <fill>
        <patternFill patternType="solid">
          <fgColor indexed="64"/>
          <bgColor theme="3"/>
        </patternFill>
      </fill>
    </dxf>
    <dxf>
      <numFmt numFmtId="167" formatCode="dd\-mmm\-yyyy"/>
    </dxf>
    <dxf>
      <font>
        <b/>
      </font>
    </dxf>
    <dxf>
      <font>
        <b/>
      </font>
    </dxf>
    <dxf>
      <font>
        <b/>
      </font>
    </dxf>
    <dxf>
      <font>
        <b/>
      </font>
    </dxf>
    <dxf>
      <font>
        <b/>
      </font>
    </dxf>
    <dxf>
      <font>
        <b/>
      </font>
    </dxf>
    <dxf>
      <font>
        <b/>
      </font>
    </dxf>
    <dxf>
      <font>
        <b/>
      </font>
    </dxf>
    <dxf>
      <font>
        <b/>
      </font>
    </dxf>
    <dxf>
      <font>
        <b/>
      </font>
    </dxf>
    <dxf>
      <font>
        <b/>
      </font>
    </dxf>
    <dxf>
      <font>
        <color theme="0"/>
      </font>
    </dxf>
    <dxf>
      <fill>
        <patternFill patternType="solid">
          <bgColor theme="3"/>
        </patternFill>
      </fill>
    </dxf>
    <dxf>
      <font>
        <color theme="0"/>
      </font>
    </dxf>
    <dxf>
      <font>
        <color theme="0"/>
      </font>
    </dxf>
    <dxf>
      <fill>
        <patternFill patternType="solid">
          <bgColor theme="3"/>
        </patternFill>
      </fill>
    </dxf>
    <dxf>
      <fill>
        <patternFill patternType="solid">
          <bgColor theme="3"/>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solid">
          <bgColor theme="3"/>
        </patternFill>
      </fill>
    </dxf>
    <dxf>
      <fill>
        <patternFill patternType="none">
          <bgColor auto="1"/>
        </patternFill>
      </fill>
    </dxf>
    <dxf>
      <fill>
        <patternFill patternType="none">
          <bgColor auto="1"/>
        </patternFill>
      </fill>
    </dxf>
    <dxf>
      <fill>
        <patternFill patternType="none">
          <bgColor auto="1"/>
        </patternFill>
      </fill>
    </dxf>
    <dxf>
      <numFmt numFmtId="164" formatCode="_(* #,##0.00_);_(* \(#,##0.00\);_(* &quot;-&quot;??_);_(@_)"/>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numFmt numFmtId="164" formatCode="_(* #,##0.00_);_(* \(#,##0.00\);_(* &quot;-&quot;??_);_(@_)"/>
    </dxf>
    <dxf>
      <font>
        <b/>
      </font>
    </dxf>
    <dxf>
      <font>
        <b/>
      </font>
    </dxf>
    <dxf>
      <font>
        <b/>
      </font>
    </dxf>
    <dxf>
      <font>
        <color theme="0"/>
      </font>
    </dxf>
    <dxf>
      <font>
        <color theme="0"/>
      </font>
    </dxf>
    <dxf>
      <font>
        <color theme="0"/>
      </font>
    </dxf>
    <dxf>
      <fill>
        <patternFill>
          <bgColor theme="3"/>
        </patternFill>
      </fill>
    </dxf>
    <dxf>
      <fill>
        <patternFill>
          <bgColor theme="3"/>
        </patternFill>
      </fill>
    </dxf>
    <dxf>
      <fill>
        <patternFill>
          <bgColor theme="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color rgb="FFFF0000"/>
      </font>
    </dxf>
    <dxf>
      <font>
        <strike val="0"/>
        <outline val="0"/>
        <shadow val="0"/>
        <u val="none"/>
        <vertAlign val="baseline"/>
        <sz val="12"/>
        <color rgb="FF00B050"/>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167" formatCode="dd\-mmm\-yy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167" formatCode="dd\-mmm\-yy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C00000"/>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rgb="FF00B050"/>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167" formatCode="dd\-mmm\-yy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indexed="64"/>
          <bgColor theme="3"/>
        </patternFill>
      </fill>
    </dxf>
    <dxf>
      <font>
        <color rgb="FFC00000"/>
      </font>
    </dxf>
    <dxf>
      <font>
        <color rgb="FF9C0006"/>
      </font>
      <fill>
        <patternFill>
          <bgColor rgb="FFFFC7CE"/>
        </patternFill>
      </fill>
    </dxf>
    <dxf>
      <font>
        <strike val="0"/>
        <outline val="0"/>
        <shadow val="0"/>
        <u val="none"/>
        <vertAlign val="baseline"/>
        <sz val="12"/>
        <color theme="1"/>
        <name val="Calibri"/>
        <family val="2"/>
        <scheme val="minor"/>
      </font>
      <numFmt numFmtId="19" formatCode="m/d/yyyy"/>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rgb="FF00B050"/>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167" formatCode="dd\-mmm\-yy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none">
          <fgColor indexed="64"/>
          <bgColor auto="1"/>
        </patternFill>
      </fill>
      <alignment horizont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3"/>
        </patternFill>
      </fill>
    </dxf>
    <dxf>
      <fill>
        <patternFill patternType="solid">
          <fgColor indexed="64"/>
          <bgColor theme="0"/>
        </patternFill>
      </fill>
      <border diagonalUp="0" diagonalDown="0">
        <left style="thin">
          <color indexed="64"/>
        </left>
        <right/>
        <top/>
        <bottom/>
        <vertical/>
        <horizontal/>
      </border>
    </dxf>
    <dxf>
      <fill>
        <patternFill patternType="solid">
          <fgColor indexed="64"/>
          <bgColor theme="0"/>
        </patternFill>
      </fill>
      <border diagonalUp="0" diagonalDown="0">
        <left style="thin">
          <color indexed="64"/>
        </left>
        <right style="thin">
          <color indexed="64"/>
        </right>
        <top/>
        <bottom/>
        <vertical/>
        <horizontal/>
      </border>
    </dxf>
    <dxf>
      <numFmt numFmtId="19" formatCode="m/d/yyyy"/>
      <fill>
        <patternFill patternType="solid">
          <fgColor indexed="64"/>
          <bgColor theme="0"/>
        </patternFill>
      </fill>
      <border diagonalUp="0" diagonalDown="0">
        <left style="thin">
          <color indexed="64"/>
        </left>
        <right style="thin">
          <color indexed="64"/>
        </right>
        <top/>
        <bottom/>
        <vertical/>
        <horizontal/>
      </border>
    </dxf>
    <dxf>
      <fill>
        <patternFill patternType="solid">
          <fgColor indexed="64"/>
          <bgColor theme="0"/>
        </patternFill>
      </fill>
      <border diagonalUp="0" diagonalDown="0">
        <left style="thin">
          <color indexed="64"/>
        </left>
        <right style="thin">
          <color indexed="64"/>
        </right>
        <top/>
        <bottom/>
        <vertical/>
        <horizontal/>
      </border>
    </dxf>
    <dxf>
      <fill>
        <patternFill patternType="solid">
          <fgColor indexed="64"/>
          <bgColor theme="0"/>
        </patternFill>
      </fill>
      <border diagonalUp="0" diagonalDown="0">
        <left style="thin">
          <color indexed="64"/>
        </left>
        <right style="thin">
          <color indexed="64"/>
        </right>
        <top/>
        <bottom/>
        <vertical/>
        <horizontal/>
      </border>
    </dxf>
    <dxf>
      <fill>
        <patternFill patternType="solid">
          <fgColor indexed="64"/>
          <bgColor theme="0"/>
        </patternFill>
      </fill>
      <border diagonalUp="0" diagonalDown="0">
        <left style="thin">
          <color indexed="64"/>
        </left>
        <right style="thin">
          <color indexed="64"/>
        </right>
        <top/>
        <bottom/>
        <vertical/>
        <horizontal/>
      </border>
    </dxf>
    <dxf>
      <fill>
        <patternFill patternType="solid">
          <fgColor indexed="64"/>
          <bgColor theme="0"/>
        </patternFill>
      </fill>
      <border diagonalUp="0" diagonalDown="0">
        <left style="thin">
          <color indexed="64"/>
        </left>
        <right style="thin">
          <color indexed="64"/>
        </right>
        <top/>
        <bottom/>
        <vertical/>
        <horizontal/>
      </border>
    </dxf>
    <dxf>
      <fill>
        <patternFill patternType="solid">
          <fgColor indexed="64"/>
          <bgColor theme="0"/>
        </patternFill>
      </fill>
      <border diagonalUp="0" diagonalDown="0">
        <left style="thin">
          <color indexed="64"/>
        </left>
        <right style="thin">
          <color indexed="64"/>
        </right>
        <top/>
        <bottom/>
        <vertical/>
        <horizontal/>
      </border>
    </dxf>
    <dxf>
      <fill>
        <patternFill patternType="solid">
          <fgColor indexed="64"/>
          <bgColor theme="0"/>
        </patternFill>
      </fill>
      <border diagonalUp="0" diagonalDown="0">
        <left style="thin">
          <color indexed="64"/>
        </left>
        <right style="thin">
          <color indexed="64"/>
        </right>
        <top/>
        <bottom/>
        <vertical/>
        <horizontal/>
      </border>
    </dxf>
    <dxf>
      <fill>
        <patternFill patternType="solid">
          <fgColor indexed="64"/>
          <bgColor theme="0"/>
        </patternFill>
      </fill>
      <border diagonalUp="0" diagonalDown="0">
        <left style="thin">
          <color indexed="64"/>
        </left>
        <right style="thin">
          <color indexed="64"/>
        </right>
        <top/>
        <bottom/>
        <vertical/>
        <horizontal/>
      </border>
    </dxf>
    <dxf>
      <fill>
        <patternFill patternType="solid">
          <fgColor indexed="64"/>
          <bgColor theme="0"/>
        </patternFill>
      </fill>
      <border diagonalUp="0" diagonalDown="0">
        <left style="thin">
          <color indexed="64"/>
        </left>
        <right style="thin">
          <color indexed="64"/>
        </right>
        <top/>
        <bottom/>
        <vertical/>
        <horizontal/>
      </border>
    </dxf>
    <dxf>
      <fill>
        <patternFill patternType="solid">
          <fgColor indexed="64"/>
          <bgColor theme="0"/>
        </patternFill>
      </fill>
      <border diagonalUp="0" diagonalDown="0">
        <left style="thin">
          <color indexed="64"/>
        </left>
        <right style="thin">
          <color indexed="64"/>
        </right>
        <top/>
        <bottom/>
        <vertical/>
        <horizontal/>
      </border>
    </dxf>
    <dxf>
      <numFmt numFmtId="19" formatCode="m/d/yyyy"/>
      <fill>
        <patternFill patternType="solid">
          <fgColor indexed="64"/>
          <bgColor theme="0"/>
        </patternFill>
      </fill>
      <border diagonalUp="0" diagonalDown="0">
        <left style="thin">
          <color indexed="64"/>
        </left>
        <right style="thin">
          <color indexed="64"/>
        </right>
        <top/>
        <bottom/>
        <vertical/>
        <horizontal/>
      </border>
    </dxf>
    <dxf>
      <fill>
        <patternFill patternType="solid">
          <fgColor indexed="64"/>
          <bgColor theme="0"/>
        </patternFill>
      </fill>
      <border diagonalUp="0" diagonalDown="0">
        <left/>
        <right style="thin">
          <color indexed="64"/>
        </right>
        <top/>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solid">
          <fgColor indexed="64"/>
          <bgColor theme="0"/>
        </patternFill>
      </fill>
    </dxf>
    <dxf>
      <border>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theme="3"/>
        </patternFill>
      </fill>
      <border diagonalUp="0" diagonalDown="0">
        <left style="thin">
          <color indexed="64"/>
        </left>
        <right style="thin">
          <color indexed="64"/>
        </right>
        <top/>
        <bottom/>
        <vertical style="thin">
          <color indexed="64"/>
        </vertical>
        <horizontal style="thin">
          <color indexed="64"/>
        </horizontal>
      </border>
    </dxf>
    <dxf>
      <font>
        <strike val="0"/>
        <outline val="0"/>
        <shadow val="0"/>
        <u val="none"/>
        <vertAlign val="baseline"/>
        <sz val="12"/>
        <color theme="1"/>
        <name val="Calibri"/>
        <family val="2"/>
        <scheme val="minor"/>
      </font>
      <numFmt numFmtId="171" formatCode="m/d/yy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171" formatCode="m/d/yy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3"/>
        </patternFill>
      </fill>
    </dxf>
    <dxf>
      <font>
        <b val="0"/>
        <strike val="0"/>
        <outline val="0"/>
        <shadow val="0"/>
        <u val="none"/>
        <vertAlign val="baseline"/>
        <sz val="12"/>
        <color theme="1"/>
        <name val="Calibri"/>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167" formatCode="dd\-mmm\-yy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167" formatCode="dd\-mmm\-yy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strike val="0"/>
        <outline val="0"/>
        <shadow val="0"/>
        <u val="none"/>
        <vertAlign val="baseline"/>
        <sz val="12"/>
        <color theme="1"/>
        <name val="Calibri"/>
        <family val="2"/>
        <scheme val="none"/>
      </font>
      <fill>
        <patternFill patternType="none">
          <fgColor indexed="64"/>
          <bgColor auto="1"/>
        </patternFill>
      </fill>
      <alignment horizontal="center" vertical="center" textRotation="0" wrapText="0" indent="0" justifyLastLine="0" shrinkToFit="0" readingOrder="0"/>
    </dxf>
    <dxf>
      <font>
        <b val="0"/>
        <strike val="0"/>
        <outline val="0"/>
        <shadow val="0"/>
        <u val="none"/>
        <vertAlign val="baseline"/>
        <sz val="11"/>
        <color theme="0"/>
        <name val="Calibri"/>
        <family val="2"/>
        <scheme val="none"/>
      </font>
      <fill>
        <patternFill patternType="solid">
          <fgColor indexed="64"/>
          <bgColor theme="3"/>
        </patternFill>
      </fill>
    </dxf>
    <dxf>
      <font>
        <b/>
        <i val="0"/>
        <color theme="0"/>
      </font>
      <fill>
        <patternFill>
          <bgColor rgb="FFC00000"/>
        </patternFill>
      </fill>
    </dxf>
    <dxf>
      <font>
        <color rgb="FFC00000"/>
      </font>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167" formatCode="dd\-mmm\-yy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19" formatCode="m/d/yy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color theme="1"/>
        <name val="Calibri"/>
        <family val="2"/>
        <scheme val="minor"/>
      </font>
      <fill>
        <patternFill patternType="solid">
          <fgColor indexed="64"/>
          <bgColor theme="0"/>
        </patternFill>
      </fill>
      <alignment horizontal="center" vertical="center" textRotation="0" wrapText="0" indent="0" justifyLastLine="0" shrinkToFit="0" readingOrder="0"/>
    </dxf>
    <dxf>
      <fill>
        <patternFill patternType="solid">
          <fgColor indexed="64"/>
          <bgColor theme="3"/>
        </patternFill>
      </fill>
    </dxf>
    <dxf>
      <font>
        <b/>
        <i val="0"/>
        <color theme="0"/>
      </font>
      <fill>
        <patternFill>
          <bgColor rgb="FFC00000"/>
        </patternFill>
      </fill>
    </dxf>
    <dxf>
      <font>
        <color rgb="FFC00000"/>
      </font>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outline="0">
        <left style="thin">
          <color indexed="64"/>
        </left>
        <right style="thin">
          <color indexed="64"/>
        </right>
        <top style="thin">
          <color indexed="64"/>
        </top>
        <bottom/>
      </border>
    </dxf>
    <dxf>
      <font>
        <strike val="0"/>
        <outline val="0"/>
        <shadow val="0"/>
        <u val="none"/>
        <vertAlign val="baseline"/>
        <sz val="12"/>
        <name val="Calibri"/>
        <family val="2"/>
        <scheme val="minor"/>
      </font>
      <numFmt numFmtId="0" formatCode="General"/>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border diagonalUp="0" diagonalDown="0" outline="0">
        <left style="thin">
          <color indexed="64"/>
        </left>
        <right style="thin">
          <color indexed="64"/>
        </right>
        <top style="thin">
          <color indexed="64"/>
        </top>
        <bottom/>
      </border>
    </dxf>
    <dxf>
      <font>
        <strike val="0"/>
        <outline val="0"/>
        <shadow val="0"/>
        <u val="none"/>
        <vertAlign val="baseline"/>
        <sz val="12"/>
        <name val="Calibri"/>
        <family val="2"/>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border diagonalUp="0" diagonalDown="0" outline="0">
        <left style="thin">
          <color indexed="64"/>
        </left>
        <right style="thin">
          <color indexed="64"/>
        </right>
        <top style="thin">
          <color indexed="64"/>
        </top>
        <bottom/>
      </border>
    </dxf>
    <dxf>
      <font>
        <strike val="0"/>
        <outline val="0"/>
        <shadow val="0"/>
        <u val="none"/>
        <vertAlign val="baseline"/>
        <sz val="12"/>
        <name val="Calibri"/>
        <family val="2"/>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border diagonalUp="0" diagonalDown="0" outline="0">
        <left style="thin">
          <color indexed="64"/>
        </left>
        <right style="thin">
          <color indexed="64"/>
        </right>
        <top style="thin">
          <color indexed="64"/>
        </top>
        <bottom/>
      </border>
    </dxf>
    <dxf>
      <font>
        <strike val="0"/>
        <outline val="0"/>
        <shadow val="0"/>
        <u val="none"/>
        <vertAlign val="baseline"/>
        <sz val="12"/>
        <name val="Calibri"/>
        <family val="2"/>
        <scheme val="minor"/>
      </font>
      <numFmt numFmtId="2" formatCode="0.00"/>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numFmt numFmtId="165" formatCode="[$-409]dd\-mmm\-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auto="1"/>
        <name val="Calibri"/>
        <family val="2"/>
        <scheme val="minor"/>
      </font>
      <numFmt numFmtId="165" formatCode="[$-409]dd\-mmm\-yy;@"/>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numFmt numFmtId="165" formatCode="[$-409]dd\-mmm\-yy;@"/>
      <fill>
        <patternFill patternType="solid">
          <fgColor indexed="64"/>
          <bgColor theme="0"/>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2"/>
        <color auto="1"/>
        <name val="Calibri"/>
        <family val="2"/>
        <scheme val="minor"/>
      </font>
      <numFmt numFmtId="165" formatCode="[$-409]dd\-mmm\-yy;@"/>
      <fill>
        <patternFill patternType="solid">
          <fgColor indexed="64"/>
          <bgColor theme="0"/>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numFmt numFmtId="165" formatCode="[$-409]dd\-mmm\-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auto="1"/>
        <name val="Calibri"/>
        <family val="2"/>
        <scheme val="minor"/>
      </font>
      <numFmt numFmtId="165" formatCode="[$-409]dd\-mmm\-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numFmt numFmtId="164" formatCode="_(* #,##0.00_);_(* \(#,##0.0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auto="1"/>
        <name val="Calibri"/>
        <family val="2"/>
        <scheme val="minor"/>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numFmt numFmtId="164" formatCode="_(* #,##0.00_);_(* \(#,##0.0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auto="1"/>
        <name val="Calibri"/>
        <family val="2"/>
        <scheme val="minor"/>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numFmt numFmtId="164" formatCode="_(* #,##0.00_);_(* \(#,##0.0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auto="1"/>
        <name val="Calibri"/>
        <family val="2"/>
        <scheme val="minor"/>
      </font>
      <fill>
        <patternFill patternType="solid">
          <fgColor indexed="64"/>
          <bgColor theme="0"/>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strike val="0"/>
        <condense val="0"/>
        <extend val="0"/>
        <outline val="0"/>
        <shadow val="0"/>
        <u val="none"/>
        <vertAlign val="baseline"/>
        <sz val="12"/>
        <color theme="0" tint="-0.34998626667073579"/>
        <name val="Calibri"/>
        <family val="2"/>
        <scheme val="minor"/>
      </font>
      <numFmt numFmtId="164" formatCode="_(* #,##0.00_);_(* \(#,##0.00\);_(* &quot;-&quot;??_);_(@_)"/>
      <fill>
        <patternFill patternType="solid">
          <fgColor indexed="64"/>
          <bgColor theme="0"/>
        </patternFill>
      </fill>
      <border diagonalUp="0" diagonalDown="0" outline="0">
        <left style="thin">
          <color indexed="64"/>
        </left>
        <right style="thin">
          <color indexed="64"/>
        </right>
        <top style="thin">
          <color indexed="64"/>
        </top>
        <bottom/>
      </border>
    </dxf>
    <dxf>
      <font>
        <b val="0"/>
        <i/>
        <strike val="0"/>
        <condense val="0"/>
        <extend val="0"/>
        <outline val="0"/>
        <shadow val="0"/>
        <u val="none"/>
        <vertAlign val="baseline"/>
        <sz val="12"/>
        <color theme="0" tint="-0.34998626667073579"/>
        <name val="Calibri"/>
        <family val="2"/>
        <scheme val="minor"/>
      </font>
      <numFmt numFmtId="164" formatCode="_(* #,##0.00_);_(* \(#,##0.00\);_(* &quot;-&quot;??_);_(@_)"/>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0" formatCode="General"/>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numFmt numFmtId="30" formatCode="@"/>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auto="1"/>
        <name val="Calibri"/>
        <family val="2"/>
        <scheme val="minor"/>
      </font>
      <numFmt numFmtId="30" formatCode="@"/>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auto="1"/>
        <name val="Calibri"/>
        <family val="2"/>
        <scheme val="minor"/>
      </font>
      <numFmt numFmtId="0" formatCode="General"/>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numFmt numFmtId="165" formatCode="[$-409]dd\-mmm\-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auto="1"/>
        <name val="Calibri"/>
        <family val="2"/>
        <scheme val="minor"/>
      </font>
      <numFmt numFmtId="165" formatCode="[$-409]dd\-mmm\-yy;@"/>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numFmt numFmtId="165" formatCode="[$-409]dd\-mmm\-yy;@"/>
      <fill>
        <patternFill patternType="solid">
          <fgColor indexed="64"/>
          <bgColor theme="0"/>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auto="1"/>
        <name val="Calibri"/>
        <family val="2"/>
        <scheme val="minor"/>
      </font>
      <numFmt numFmtId="165" formatCode="[$-409]dd\-mmm\-yy;@"/>
      <fill>
        <patternFill patternType="solid">
          <fgColor indexed="64"/>
          <bgColor theme="0"/>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theme="0" tint="-0.249977111117893"/>
        </left>
        <right style="thin">
          <color theme="0" tint="-0.249977111117893"/>
        </right>
        <top style="thin">
          <color theme="0" tint="-0.249977111117893"/>
        </top>
      </border>
    </dxf>
    <dxf>
      <font>
        <strike val="0"/>
        <outline val="0"/>
        <shadow val="0"/>
        <u val="none"/>
        <vertAlign val="baseline"/>
        <sz val="12"/>
        <name val="Calibri"/>
        <family val="2"/>
        <scheme val="minor"/>
      </font>
      <fill>
        <patternFill patternType="solid">
          <fgColor indexed="64"/>
          <bgColor theme="0"/>
        </patternFill>
      </fill>
    </dxf>
    <dxf>
      <font>
        <b val="0"/>
        <i val="0"/>
        <strike val="0"/>
        <condense val="0"/>
        <extend val="0"/>
        <outline val="0"/>
        <shadow val="0"/>
        <u val="none"/>
        <vertAlign val="baseline"/>
        <sz val="12"/>
        <color theme="0"/>
        <name val="Calibri"/>
        <family val="2"/>
        <scheme val="minor"/>
      </font>
      <fill>
        <patternFill patternType="solid">
          <fgColor indexed="64"/>
          <bgColor theme="3"/>
        </patternFill>
      </fill>
      <border diagonalUp="0" diagonalDown="0" outline="0">
        <left style="thin">
          <color theme="0" tint="-0.249977111117893"/>
        </left>
        <right style="thin">
          <color theme="0" tint="-0.249977111117893"/>
        </right>
        <top/>
        <bottom/>
      </border>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i val="0"/>
        <color theme="0"/>
      </font>
      <fill>
        <patternFill>
          <bgColor rgb="FFC00000"/>
        </patternFill>
      </fill>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color theme="1" tint="0.24994659260841701"/>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color theme="1" tint="0.24994659260841701"/>
      </font>
    </dxf>
    <dxf>
      <font>
        <b val="0"/>
        <i/>
        <color theme="1" tint="0.24994659260841701"/>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color theme="1" tint="0.24994659260841701"/>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color rgb="FFC00000"/>
      </font>
    </dxf>
    <dxf>
      <font>
        <b val="0"/>
        <i val="0"/>
        <strike val="0"/>
        <condense val="0"/>
        <extend val="0"/>
        <outline val="0"/>
        <shadow val="0"/>
        <u val="none"/>
        <vertAlign val="baseline"/>
        <sz val="12"/>
        <color theme="1"/>
        <name val="Calibri"/>
        <family val="2"/>
        <scheme val="minor"/>
      </font>
      <numFmt numFmtId="164" formatCode="_(* #,##0.00_);_(* \(#,##0.00\);_(* &quot;-&quot;??_);_(@_)"/>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numFmt numFmtId="164" formatCode="_(* #,##0.00_);_(* \(#,##0.00\);_(* &quot;-&quot;??_);_(@_)"/>
      <fill>
        <patternFill patternType="none">
          <fgColor indexed="64"/>
          <bgColor auto="1"/>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color theme="1"/>
        <name val="Calibri"/>
        <family val="2"/>
        <scheme val="minor"/>
      </font>
      <numFmt numFmtId="164" formatCode="_(* #,##0.00_);_(* \(#,##0.00\);_(* &quot;-&quot;??_);_(@_)"/>
      <fill>
        <patternFill patternType="none">
          <fgColor indexed="64"/>
          <bgColor auto="1"/>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173" formatCode="d\-mmm\-yy"/>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173" formatCode="d\-mmm\-yy"/>
      <fill>
        <patternFill patternType="none">
          <fgColor indexed="64"/>
          <bgColor theme="0" tint="-0.249977111117893"/>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173" formatCode="d\-mmm\-yy"/>
      <fill>
        <patternFill patternType="solid">
          <fgColor indexed="64"/>
          <bgColor theme="0" tint="-0.249977111117893"/>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numFmt numFmtId="173" formatCode="d\-mmm\-yy"/>
      <fill>
        <patternFill patternType="solid">
          <fgColor indexed="64"/>
          <bgColor theme="0" tint="-0.249977111117893"/>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solid">
          <fgColor indexed="64"/>
          <bgColor theme="0" tint="-0.249977111117893"/>
        </patternFill>
      </fill>
      <border diagonalUp="0" diagonalDown="0" outline="0">
        <left style="thin">
          <color indexed="64"/>
        </left>
        <right style="thin">
          <color indexed="64"/>
        </right>
        <top style="thin">
          <color indexed="64"/>
        </top>
        <bottom/>
      </border>
    </dxf>
    <dxf>
      <numFmt numFmtId="1" formatCode="0"/>
      <fill>
        <patternFill>
          <fgColor indexed="64"/>
          <bgColor theme="0" tint="-0.249977111117893"/>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173" formatCode="d\-mmm\-yy"/>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numFmt numFmtId="173" formatCode="d\-mmm\-yy"/>
      <fill>
        <patternFill patternType="solid">
          <fgColor indexed="64"/>
          <bgColor theme="0" tint="-4.9989318521683403E-2"/>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164" formatCode="_(* #,##0.00_);_(* \(#,##0.00\);_(* &quot;-&quot;??_);_(@_)"/>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4" formatCode="#,##0.00"/>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4" formatCode="#,##0.00"/>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4" formatCode="#,##0.00"/>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4" formatCode="#,##0.00"/>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4" formatCode="#,##0.00"/>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4" formatCode="#,##0.00"/>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173" formatCode="d\-mmm\-yy"/>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numFmt numFmtId="173" formatCode="d\-mmm\-yy"/>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173" formatCode="d\-mmm\-yy"/>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numFmt numFmtId="173" formatCode="d\-mmm\-yy"/>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173" formatCode="d\-mmm\-yy"/>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numFmt numFmtId="173" formatCode="d\-mmm\-yy"/>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4" formatCode="#,##0.00"/>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4" formatCode="#,##0.00"/>
      <fill>
        <patternFill patternType="solid">
          <fgColor indexed="64"/>
          <bgColor theme="0" tint="-4.9989318521683403E-2"/>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4" formatCode="#,##0.00"/>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4" formatCode="#,##0.00"/>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173" formatCode="d\-mmm\-yy"/>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173" formatCode="d\-mmm\-yy"/>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numFmt numFmtId="173" formatCode="d\-mmm\-yy"/>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color theme="1"/>
        <name val="Calibri"/>
        <family val="2"/>
        <scheme val="minor"/>
      </font>
      <numFmt numFmtId="173" formatCode="d\-mmm\-yy"/>
      <fill>
        <patternFill patternType="solid">
          <fgColor indexed="64"/>
          <bgColor theme="0" tint="-4.9989318521683403E-2"/>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right style="thin">
          <color indexed="64"/>
        </right>
        <top style="thin">
          <color indexed="64"/>
        </top>
        <bottom/>
      </border>
    </dxf>
    <dxf>
      <font>
        <strike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border diagonalUp="0" diagonalDown="0" outline="0">
        <left/>
        <right style="thin">
          <color indexed="64"/>
        </right>
        <top style="thin">
          <color indexed="64"/>
        </top>
        <bottom style="thin">
          <color indexed="64"/>
        </bottom>
      </border>
    </dxf>
    <dxf>
      <border outline="0">
        <left style="thin">
          <color indexed="64"/>
        </left>
        <right style="thin">
          <color indexed="64"/>
        </right>
        <top style="thin">
          <color indexed="64"/>
        </top>
        <bottom style="thin">
          <color indexed="64"/>
        </bottom>
      </border>
    </dxf>
    <dxf>
      <font>
        <strike val="0"/>
        <outline val="0"/>
        <shadow val="0"/>
        <u val="none"/>
        <vertAlign val="baseline"/>
        <sz val="12"/>
        <color theme="1"/>
        <name val="Calibri"/>
        <family val="2"/>
        <scheme val="minor"/>
      </font>
      <fill>
        <patternFill patternType="solid">
          <fgColor indexed="64"/>
          <bgColor theme="0" tint="-4.9989318521683403E-2"/>
        </patternFill>
      </fill>
      <alignment horizontal="left" vertical="top" textRotation="0" wrapText="0" indent="0" justifyLastLine="0" shrinkToFit="0" readingOrder="0"/>
    </dxf>
    <dxf>
      <border outline="0">
        <bottom style="thin">
          <color indexed="64"/>
        </bottom>
      </border>
    </dxf>
    <dxf>
      <font>
        <b/>
        <i val="0"/>
        <strike val="0"/>
        <condense val="0"/>
        <extend val="0"/>
        <outline val="0"/>
        <shadow val="0"/>
        <u val="none"/>
        <vertAlign val="baseline"/>
        <sz val="12"/>
        <color theme="0"/>
        <name val="Calibri"/>
        <family val="2"/>
        <scheme val="minor"/>
      </font>
      <fill>
        <patternFill patternType="solid">
          <fgColor indexed="64"/>
          <bgColor theme="3"/>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b val="0"/>
        <i/>
        <color rgb="FFFF9F9F"/>
      </font>
      <fill>
        <patternFill patternType="none">
          <bgColor auto="1"/>
        </patternFill>
      </fill>
    </dxf>
    <dxf>
      <font>
        <b val="0"/>
        <i val="0"/>
        <color theme="1" tint="0.499984740745262"/>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b val="0"/>
        <i/>
        <color rgb="FFFF9F9F"/>
      </font>
      <fill>
        <patternFill patternType="none">
          <bgColor auto="1"/>
        </patternFill>
      </fill>
    </dxf>
    <dxf>
      <font>
        <b val="0"/>
        <i val="0"/>
        <color theme="1" tint="0.499984740745262"/>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b val="0"/>
        <i/>
        <color rgb="FFFF9F9F"/>
      </font>
      <fill>
        <patternFill patternType="none">
          <bgColor auto="1"/>
        </patternFill>
      </fill>
    </dxf>
    <dxf>
      <font>
        <b val="0"/>
        <i val="0"/>
        <color theme="1" tint="0.499984740745262"/>
      </font>
    </dxf>
    <dxf>
      <font>
        <b val="0"/>
        <i/>
        <color rgb="FFFF9F9F"/>
      </font>
      <fill>
        <patternFill patternType="none">
          <bgColor auto="1"/>
        </patternFill>
      </fill>
    </dxf>
    <dxf>
      <font>
        <b val="0"/>
        <i val="0"/>
        <color theme="1" tint="0.499984740745262"/>
      </font>
    </dxf>
    <dxf>
      <font>
        <b val="0"/>
        <i/>
        <color rgb="FFFF9F9F"/>
      </font>
      <fill>
        <patternFill patternType="none">
          <bgColor auto="1"/>
        </patternFill>
      </fill>
    </dxf>
    <dxf>
      <font>
        <b val="0"/>
        <i val="0"/>
        <color theme="1" tint="0.499984740745262"/>
      </font>
    </dxf>
    <dxf>
      <font>
        <b val="0"/>
        <i/>
        <color rgb="FFFF9F9F"/>
      </font>
      <fill>
        <patternFill patternType="none">
          <bgColor auto="1"/>
        </patternFill>
      </fill>
    </dxf>
    <dxf>
      <font>
        <b val="0"/>
        <i val="0"/>
        <color theme="1" tint="0.499984740745262"/>
      </font>
    </dxf>
    <dxf>
      <font>
        <strike val="0"/>
        <outline val="0"/>
        <shadow val="0"/>
        <u val="none"/>
        <vertAlign val="baseline"/>
        <sz val="12"/>
        <name val="Calibri"/>
        <family val="2"/>
        <scheme val="minor"/>
      </font>
      <numFmt numFmtId="164" formatCode="_(* #,##0.00_);_(* \(#,##0.00\);_(* &quot;-&quot;??_);_(@_)"/>
      <fill>
        <patternFill patternType="none">
          <fgColor indexed="64"/>
          <bgColor auto="1"/>
        </patternFill>
      </fill>
      <alignment horizontal="left"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name val="Calibri"/>
        <family val="2"/>
        <scheme val="minor"/>
      </font>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strike val="0"/>
        <outline val="0"/>
        <shadow val="0"/>
        <u val="none"/>
        <vertAlign val="baseline"/>
        <sz val="12"/>
        <name val="Calibri"/>
        <family val="2"/>
        <scheme val="minor"/>
      </font>
      <fill>
        <patternFill patternType="none">
          <fgColor indexed="64"/>
          <bgColor auto="1"/>
        </patternFill>
      </fill>
      <alignment horizontal="left"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family val="2"/>
        <scheme val="minor"/>
      </font>
      <numFmt numFmtId="13" formatCode="0%"/>
      <alignment horizontal="left"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2"/>
        <color theme="1"/>
        <name val="Calibri"/>
        <family val="2"/>
        <scheme val="minor"/>
      </font>
      <numFmt numFmtId="173" formatCode="d\-mmm\-yy"/>
      <alignment horizontal="left"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strike val="0"/>
        <outline val="0"/>
        <shadow val="0"/>
        <u val="none"/>
        <vertAlign val="baseline"/>
        <sz val="12"/>
        <name val="Calibri"/>
        <family val="2"/>
        <scheme val="minor"/>
      </font>
      <numFmt numFmtId="173" formatCode="d\-mmm\-yy"/>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Calibri"/>
        <family val="2"/>
        <scheme val="minor"/>
      </font>
      <numFmt numFmtId="20" formatCode="d\-mmm\-yy"/>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2"/>
        <name val="Calibri"/>
        <family val="2"/>
        <scheme val="minor"/>
      </font>
      <numFmt numFmtId="173" formatCode="d\-mmm\-yy"/>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13" formatCode="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numFmt numFmtId="13" formatCode="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vertical/>
        <horizontal/>
      </border>
    </dxf>
    <dxf>
      <font>
        <strike val="0"/>
        <outline val="0"/>
        <shadow val="0"/>
        <u val="none"/>
        <vertAlign val="baseline"/>
        <sz val="12"/>
        <name val="Calibri"/>
        <family val="2"/>
        <scheme val="minor"/>
      </font>
      <fill>
        <patternFill patternType="none">
          <fgColor indexed="64"/>
          <bgColor auto="1"/>
        </patternFill>
      </fill>
      <alignment horizontal="left"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name val="Calibri"/>
        <family val="2"/>
        <scheme val="minor"/>
      </font>
      <fill>
        <patternFill patternType="none">
          <fgColor indexed="64"/>
          <bgColor auto="1"/>
        </patternFill>
      </fill>
      <alignment horizontal="left" vertical="center"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name val="Calibri"/>
        <family val="2"/>
        <scheme val="minor"/>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Calibri"/>
        <family val="2"/>
        <scheme val="minor"/>
      </font>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name val="Calibri"/>
        <family val="2"/>
        <scheme val="minor"/>
      </font>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2"/>
        <name val="Calibri"/>
        <family val="2"/>
        <scheme val="minor"/>
      </font>
      <fill>
        <patternFill patternType="none">
          <fgColor indexed="64"/>
          <bgColor auto="1"/>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family val="2"/>
        <scheme val="minor"/>
      </font>
      <numFmt numFmtId="173" formatCode="d\-mmm\-yy"/>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2"/>
        <name val="Calibri"/>
        <family val="2"/>
        <scheme val="minor"/>
      </font>
      <fill>
        <patternFill patternType="none">
          <fgColor indexed="64"/>
          <bgColor auto="1"/>
        </patternFill>
      </fill>
      <alignment horizontal="left" vertical="center" textRotation="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Calibri"/>
        <family val="2"/>
        <scheme val="minor"/>
      </font>
      <fill>
        <patternFill patternType="none">
          <fgColor indexed="64"/>
          <bgColor auto="1"/>
        </patternFill>
      </fill>
      <alignment horizontal="left" vertical="center" textRotation="0" indent="0" justifyLastLine="0" shrinkToFit="0" readingOrder="0"/>
    </dxf>
    <dxf>
      <border>
        <bottom style="thin">
          <color indexed="64"/>
        </bottom>
      </border>
    </dxf>
    <dxf>
      <font>
        <b val="0"/>
        <i val="0"/>
        <strike val="0"/>
        <condense val="0"/>
        <extend val="0"/>
        <outline val="0"/>
        <shadow val="0"/>
        <u val="none"/>
        <vertAlign val="baseline"/>
        <sz val="12"/>
        <color theme="0"/>
        <name val="Calibri"/>
        <family val="2"/>
        <scheme val="minor"/>
      </font>
      <fill>
        <patternFill patternType="solid">
          <fgColor indexed="64"/>
          <bgColor theme="0" tint="-0.249977111117893"/>
        </patternFill>
      </fill>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patternType="none">
          <bgColor auto="1"/>
        </patternFill>
      </fill>
    </dxf>
    <dxf>
      <font>
        <b val="0"/>
        <i val="0"/>
        <color theme="1" tint="0.49998474074526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patternType="none">
          <bgColor auto="1"/>
        </patternFill>
      </fill>
    </dxf>
    <dxf>
      <font>
        <b val="0"/>
        <i val="0"/>
        <color theme="1" tint="0.499984740745262"/>
      </font>
    </dxf>
    <dxf>
      <font>
        <color rgb="FFC00000"/>
      </font>
      <fill>
        <patternFill patternType="none">
          <bgColor auto="1"/>
        </patternFill>
      </fill>
    </dxf>
    <dxf>
      <font>
        <b val="0"/>
        <i val="0"/>
        <color theme="1" tint="0.499984740745262"/>
      </font>
    </dxf>
    <dxf>
      <font>
        <color rgb="FFC00000"/>
      </font>
      <fill>
        <patternFill patternType="none">
          <bgColor auto="1"/>
        </patternFill>
      </fill>
    </dxf>
    <dxf>
      <font>
        <b val="0"/>
        <i val="0"/>
        <color theme="1" tint="0.499984740745262"/>
      </font>
    </dxf>
    <dxf>
      <font>
        <color rgb="FFC00000"/>
      </font>
      <fill>
        <patternFill patternType="none">
          <bgColor auto="1"/>
        </patternFill>
      </fill>
    </dxf>
    <dxf>
      <font>
        <b val="0"/>
        <i val="0"/>
        <color theme="1" tint="0.499984740745262"/>
      </font>
    </dxf>
    <dxf>
      <font>
        <color rgb="FFC00000"/>
      </font>
      <fill>
        <patternFill patternType="none">
          <bgColor auto="1"/>
        </patternFill>
      </fill>
    </dxf>
    <dxf>
      <font>
        <b val="0"/>
        <i val="0"/>
        <color theme="1" tint="0.49998474074526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patternType="none">
          <bgColor auto="1"/>
        </patternFill>
      </fill>
    </dxf>
    <dxf>
      <font>
        <b val="0"/>
        <i val="0"/>
        <color theme="1" tint="0.499984740745262"/>
      </font>
    </dxf>
    <dxf>
      <font>
        <color rgb="FF9C0006"/>
      </font>
      <fill>
        <patternFill>
          <bgColor rgb="FFFFC7CE"/>
        </patternFill>
      </fill>
    </dxf>
    <dxf>
      <font>
        <color rgb="FFC00000"/>
      </font>
      <fill>
        <patternFill patternType="none">
          <bgColor auto="1"/>
        </patternFill>
      </fill>
    </dxf>
    <dxf>
      <font>
        <b val="0"/>
        <i val="0"/>
        <color theme="1" tint="0.49998474074526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patternType="none">
          <bgColor auto="1"/>
        </patternFill>
      </fill>
    </dxf>
    <dxf>
      <font>
        <b val="0"/>
        <i val="0"/>
        <color theme="1" tint="0.499984740745262"/>
      </font>
    </dxf>
    <dxf>
      <font>
        <color rgb="FFC00000"/>
      </font>
      <fill>
        <patternFill patternType="none">
          <bgColor auto="1"/>
        </patternFill>
      </fill>
    </dxf>
    <dxf>
      <font>
        <b val="0"/>
        <i val="0"/>
        <color theme="1" tint="0.499984740745262"/>
      </font>
    </dxf>
    <dxf>
      <font>
        <color rgb="FF9C0006"/>
      </font>
      <fill>
        <patternFill>
          <bgColor rgb="FFFFC7CE"/>
        </patternFill>
      </fill>
    </dxf>
    <dxf>
      <font>
        <color rgb="FF9C0006"/>
      </font>
      <fill>
        <patternFill>
          <bgColor rgb="FFFFC7CE"/>
        </patternFill>
      </fill>
    </dxf>
    <dxf>
      <font>
        <color rgb="FFC00000"/>
      </font>
      <fill>
        <patternFill patternType="none">
          <bgColor auto="1"/>
        </patternFill>
      </fill>
    </dxf>
    <dxf>
      <font>
        <b val="0"/>
        <i val="0"/>
        <color theme="1" tint="0.49998474074526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patternType="none">
          <bgColor auto="1"/>
        </patternFill>
      </fill>
    </dxf>
    <dxf>
      <font>
        <b val="0"/>
        <i val="0"/>
        <color theme="1" tint="0.499984740745262"/>
      </font>
    </dxf>
    <dxf>
      <font>
        <color rgb="FFC00000"/>
      </font>
      <fill>
        <patternFill patternType="none">
          <bgColor auto="1"/>
        </patternFill>
      </fill>
    </dxf>
    <dxf>
      <font>
        <b val="0"/>
        <i val="0"/>
        <color theme="1" tint="0.499984740745262"/>
      </font>
    </dxf>
    <dxf>
      <font>
        <color rgb="FFC00000"/>
      </font>
    </dxf>
    <dxf>
      <font>
        <b/>
        <color theme="1"/>
      </font>
      <border>
        <bottom style="thin">
          <color theme="4"/>
        </bottom>
        <vertical/>
        <horizontal/>
      </border>
    </dxf>
    <dxf>
      <font>
        <color theme="1"/>
      </font>
      <fill>
        <patternFill patternType="none">
          <fgColor auto="1"/>
          <bgColor auto="1"/>
        </patternFill>
      </fill>
      <border diagonalUp="0" diagonalDown="0">
        <left/>
        <right style="thick">
          <color auto="1"/>
        </right>
        <top/>
        <bottom/>
        <vertical/>
        <horizontal/>
      </border>
    </dxf>
  </dxfs>
  <tableStyles count="1" defaultTableStyle="TableStyleMedium2" defaultPivotStyle="PivotStyleLight16">
    <tableStyle name="MBL Style" pivot="0" table="0" count="10" xr9:uid="{7AB2C008-CD06-4ACB-BF6D-B92FED2F5CBD}">
      <tableStyleElement type="wholeTable" dxfId="6091"/>
      <tableStyleElement type="headerRow" dxfId="6090"/>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0"/>
          </font>
          <fill>
            <patternFill patternType="solid">
              <fgColor theme="4"/>
              <bgColor theme="5" tint="-0.24994659260841701"/>
            </patternFill>
          </fill>
          <border>
            <left/>
            <right/>
            <top/>
            <bottom/>
            <vertical/>
            <horizontal/>
          </border>
        </dxf>
        <dxf>
          <font>
            <color rgb="FF828282"/>
          </font>
          <fill>
            <patternFill patternType="solid">
              <fgColor rgb="FFFFFFFF"/>
              <bgColor rgb="FFFFFFFF"/>
            </patternFill>
          </fill>
          <border>
            <left style="mediumDashed">
              <color rgb="FFE0E0E0"/>
            </left>
            <right style="mediumDashed">
              <color rgb="FFE0E0E0"/>
            </right>
            <top style="mediumDashed">
              <color rgb="FFE0E0E0"/>
            </top>
            <bottom style="mediumDashed">
              <color rgb="FFE0E0E0"/>
            </bottom>
            <vertical/>
            <horizontal/>
          </border>
        </dxf>
        <dxf>
          <font>
            <color rgb="FF000000"/>
          </font>
          <fill>
            <patternFill patternType="solid">
              <fgColor rgb="FFFFFFFF"/>
              <bgColor theme="0" tint="-4.9989318521683403E-2"/>
            </patternFill>
          </fill>
          <border>
            <left style="medium">
              <color rgb="FFCCCCCC"/>
            </left>
            <right style="medium">
              <color rgb="FFCCCCCC"/>
            </right>
            <top style="medium">
              <color rgb="FFCCCCCC"/>
            </top>
            <bottom style="medium">
              <color rgb="FFCCCCCC"/>
            </bottom>
            <vertical/>
            <horizontal/>
          </border>
        </dxf>
      </x14:dxfs>
    </ext>
    <ext xmlns:x14="http://schemas.microsoft.com/office/spreadsheetml/2009/9/main" uri="{EB79DEF2-80B8-43e5-95BD-54CBDDF9020C}">
      <x14:slicerStyles defaultSlicerStyle="SlicerStyleLight1">
        <x14:slicerStyle name="MBL Style">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9.xml"/><Relationship Id="rId21" Type="http://schemas.openxmlformats.org/officeDocument/2006/relationships/pivotCacheDefinition" Target="pivotCache/pivotCacheDefinition4.xml"/><Relationship Id="rId42" Type="http://schemas.microsoft.com/office/2007/relationships/slicerCache" Target="slicerCaches/slicerCache9.xml"/><Relationship Id="rId47" Type="http://schemas.microsoft.com/office/2007/relationships/slicerCache" Target="slicerCaches/slicerCache14.xml"/><Relationship Id="rId63" Type="http://schemas.openxmlformats.org/officeDocument/2006/relationships/styles" Target="styles.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12.xml"/><Relationship Id="rId11" Type="http://schemas.openxmlformats.org/officeDocument/2006/relationships/worksheet" Target="worksheets/sheet11.xml"/><Relationship Id="rId24" Type="http://schemas.openxmlformats.org/officeDocument/2006/relationships/pivotCacheDefinition" Target="pivotCache/pivotCacheDefinition7.xml"/><Relationship Id="rId32" Type="http://schemas.openxmlformats.org/officeDocument/2006/relationships/pivotCacheDefinition" Target="pivotCache/pivotCacheDefinition15.xml"/><Relationship Id="rId37" Type="http://schemas.microsoft.com/office/2007/relationships/slicerCache" Target="slicerCaches/slicerCache4.xml"/><Relationship Id="rId40" Type="http://schemas.microsoft.com/office/2007/relationships/slicerCache" Target="slicerCaches/slicerCache7.xml"/><Relationship Id="rId45" Type="http://schemas.microsoft.com/office/2007/relationships/slicerCache" Target="slicerCaches/slicerCache12.xml"/><Relationship Id="rId53" Type="http://schemas.microsoft.com/office/2007/relationships/slicerCache" Target="slicerCaches/slicerCache20.xml"/><Relationship Id="rId58" Type="http://schemas.microsoft.com/office/2007/relationships/slicerCache" Target="slicerCaches/slicerCache25.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pivotCacheDefinition" Target="pivotCache/pivotCacheDefinition2.xml"/><Relationship Id="rId14" Type="http://schemas.openxmlformats.org/officeDocument/2006/relationships/worksheet" Target="worksheets/sheet14.xml"/><Relationship Id="rId22" Type="http://schemas.openxmlformats.org/officeDocument/2006/relationships/pivotCacheDefinition" Target="pivotCache/pivotCacheDefinition5.xml"/><Relationship Id="rId27" Type="http://schemas.openxmlformats.org/officeDocument/2006/relationships/pivotCacheDefinition" Target="pivotCache/pivotCacheDefinition10.xml"/><Relationship Id="rId30" Type="http://schemas.openxmlformats.org/officeDocument/2006/relationships/pivotCacheDefinition" Target="pivotCache/pivotCacheDefinition13.xml"/><Relationship Id="rId35" Type="http://schemas.microsoft.com/office/2007/relationships/slicerCache" Target="slicerCaches/slicerCache2.xml"/><Relationship Id="rId43" Type="http://schemas.microsoft.com/office/2007/relationships/slicerCache" Target="slicerCaches/slicerCache10.xml"/><Relationship Id="rId48" Type="http://schemas.microsoft.com/office/2007/relationships/slicerCache" Target="slicerCaches/slicerCache15.xml"/><Relationship Id="rId56" Type="http://schemas.microsoft.com/office/2007/relationships/slicerCache" Target="slicerCaches/slicerCache23.xml"/><Relationship Id="rId64" Type="http://schemas.openxmlformats.org/officeDocument/2006/relationships/sharedStrings" Target="sharedStrings.xml"/><Relationship Id="rId69" Type="http://schemas.openxmlformats.org/officeDocument/2006/relationships/customXml" Target="../customXml/item3.xml"/><Relationship Id="rId8" Type="http://schemas.openxmlformats.org/officeDocument/2006/relationships/worksheet" Target="worksheets/sheet8.xml"/><Relationship Id="rId51" Type="http://schemas.microsoft.com/office/2007/relationships/slicerCache" Target="slicerCaches/slicerCache1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8.xml"/><Relationship Id="rId33" Type="http://schemas.openxmlformats.org/officeDocument/2006/relationships/pivotCacheDefinition" Target="pivotCache/pivotCacheDefinition16.xml"/><Relationship Id="rId38" Type="http://schemas.microsoft.com/office/2007/relationships/slicerCache" Target="slicerCaches/slicerCache5.xml"/><Relationship Id="rId46" Type="http://schemas.microsoft.com/office/2007/relationships/slicerCache" Target="slicerCaches/slicerCache13.xml"/><Relationship Id="rId59" Type="http://schemas.microsoft.com/office/2007/relationships/slicerCache" Target="slicerCaches/slicerCache26.xml"/><Relationship Id="rId67" Type="http://schemas.openxmlformats.org/officeDocument/2006/relationships/customXml" Target="../customXml/item1.xml"/><Relationship Id="rId20" Type="http://schemas.openxmlformats.org/officeDocument/2006/relationships/pivotCacheDefinition" Target="pivotCache/pivotCacheDefinition3.xml"/><Relationship Id="rId41" Type="http://schemas.microsoft.com/office/2007/relationships/slicerCache" Target="slicerCaches/slicerCache8.xml"/><Relationship Id="rId54" Type="http://schemas.microsoft.com/office/2007/relationships/slicerCache" Target="slicerCaches/slicerCache21.xml"/><Relationship Id="rId62" Type="http://schemas.openxmlformats.org/officeDocument/2006/relationships/connections" Target="connections.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6.xml"/><Relationship Id="rId28" Type="http://schemas.openxmlformats.org/officeDocument/2006/relationships/pivotCacheDefinition" Target="pivotCache/pivotCacheDefinition11.xml"/><Relationship Id="rId36" Type="http://schemas.microsoft.com/office/2007/relationships/slicerCache" Target="slicerCaches/slicerCache3.xml"/><Relationship Id="rId49" Type="http://schemas.microsoft.com/office/2007/relationships/slicerCache" Target="slicerCaches/slicerCache16.xml"/><Relationship Id="rId57" Type="http://schemas.microsoft.com/office/2007/relationships/slicerCache" Target="slicerCaches/slicerCache24.xml"/><Relationship Id="rId10" Type="http://schemas.openxmlformats.org/officeDocument/2006/relationships/worksheet" Target="worksheets/sheet10.xml"/><Relationship Id="rId31" Type="http://schemas.openxmlformats.org/officeDocument/2006/relationships/pivotCacheDefinition" Target="pivotCache/pivotCacheDefinition14.xml"/><Relationship Id="rId44" Type="http://schemas.microsoft.com/office/2007/relationships/slicerCache" Target="slicerCaches/slicerCache11.xml"/><Relationship Id="rId52" Type="http://schemas.microsoft.com/office/2007/relationships/slicerCache" Target="slicerCaches/slicerCache19.xml"/><Relationship Id="rId60" Type="http://schemas.microsoft.com/office/2007/relationships/slicerCache" Target="slicerCaches/slicerCache27.xml"/><Relationship Id="rId65"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9" Type="http://schemas.microsoft.com/office/2007/relationships/slicerCache" Target="slicerCaches/slicerCache6.xml"/><Relationship Id="rId34" Type="http://schemas.microsoft.com/office/2007/relationships/slicerCache" Target="slicerCaches/slicerCache1.xml"/><Relationship Id="rId50" Type="http://schemas.microsoft.com/office/2007/relationships/slicerCache" Target="slicerCaches/slicerCache17.xml"/><Relationship Id="rId55" Type="http://schemas.microsoft.com/office/2007/relationships/slicerCache" Target="slicerCaches/slicerCache2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9.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133350</xdr:rowOff>
        </xdr:from>
        <xdr:to>
          <xdr:col>1</xdr:col>
          <xdr:colOff>171450</xdr:colOff>
          <xdr:row>0</xdr:row>
          <xdr:rowOff>400050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0</xdr:row>
          <xdr:rowOff>533400</xdr:rowOff>
        </xdr:from>
        <xdr:to>
          <xdr:col>1</xdr:col>
          <xdr:colOff>180975</xdr:colOff>
          <xdr:row>0</xdr:row>
          <xdr:rowOff>800100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Amendment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276225</xdr:colOff>
          <xdr:row>0</xdr:row>
          <xdr:rowOff>133350</xdr:rowOff>
        </xdr:from>
        <xdr:to>
          <xdr:col>2</xdr:col>
          <xdr:colOff>590550</xdr:colOff>
          <xdr:row>0</xdr:row>
          <xdr:rowOff>400050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Ready For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285750</xdr:colOff>
          <xdr:row>0</xdr:row>
          <xdr:rowOff>533400</xdr:rowOff>
        </xdr:from>
        <xdr:to>
          <xdr:col>2</xdr:col>
          <xdr:colOff>590550</xdr:colOff>
          <xdr:row>0</xdr:row>
          <xdr:rowOff>800100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Submitted to Bank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714375</xdr:colOff>
          <xdr:row>0</xdr:row>
          <xdr:rowOff>133350</xdr:rowOff>
        </xdr:from>
        <xdr:to>
          <xdr:col>3</xdr:col>
          <xdr:colOff>581025</xdr:colOff>
          <xdr:row>0</xdr:row>
          <xdr:rowOff>400050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704850</xdr:colOff>
          <xdr:row>0</xdr:row>
          <xdr:rowOff>533400</xdr:rowOff>
        </xdr:from>
        <xdr:to>
          <xdr:col>3</xdr:col>
          <xdr:colOff>590550</xdr:colOff>
          <xdr:row>0</xdr:row>
          <xdr:rowOff>800100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Received to Open</a:t>
              </a:r>
            </a:p>
          </xdr:txBody>
        </xdr:sp>
        <xdr:clientData fPrintsWithSheet="0"/>
      </xdr:twoCellAnchor>
    </mc:Choice>
    <mc:Fallback/>
  </mc:AlternateContent>
  <xdr:twoCellAnchor editAs="absolute">
    <xdr:from>
      <xdr:col>3</xdr:col>
      <xdr:colOff>752474</xdr:colOff>
      <xdr:row>0</xdr:row>
      <xdr:rowOff>0</xdr:rowOff>
    </xdr:from>
    <xdr:to>
      <xdr:col>5</xdr:col>
      <xdr:colOff>255905</xdr:colOff>
      <xdr:row>1</xdr:row>
      <xdr:rowOff>228599</xdr:rowOff>
    </xdr:to>
    <mc:AlternateContent xmlns:mc="http://schemas.openxmlformats.org/markup-compatibility/2006" xmlns:sle15="http://schemas.microsoft.com/office/drawing/2012/slicer">
      <mc:Choice Requires="sle15">
        <xdr:graphicFrame macro="">
          <xdr:nvGraphicFramePr>
            <xdr:cNvPr id="2" name="Bank 2">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Bank 2"/>
            </a:graphicData>
          </a:graphic>
        </xdr:graphicFrame>
      </mc:Choice>
      <mc:Fallback xmlns="">
        <xdr:sp macro="" textlink="">
          <xdr:nvSpPr>
            <xdr:cNvPr id="0" name=""/>
            <xdr:cNvSpPr>
              <a:spLocks noTextEdit="1"/>
            </xdr:cNvSpPr>
          </xdr:nvSpPr>
          <xdr:spPr>
            <a:xfrm>
              <a:off x="4695824" y="0"/>
              <a:ext cx="1960881" cy="110489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273050</xdr:colOff>
      <xdr:row>0</xdr:row>
      <xdr:rowOff>0</xdr:rowOff>
    </xdr:from>
    <xdr:to>
      <xdr:col>6</xdr:col>
      <xdr:colOff>24765</xdr:colOff>
      <xdr:row>1</xdr:row>
      <xdr:rowOff>205740</xdr:rowOff>
    </xdr:to>
    <mc:AlternateContent xmlns:mc="http://schemas.openxmlformats.org/markup-compatibility/2006" xmlns:sle15="http://schemas.microsoft.com/office/drawing/2012/slicer">
      <mc:Choice Requires="sle15">
        <xdr:graphicFrame macro="">
          <xdr:nvGraphicFramePr>
            <xdr:cNvPr id="3" name="Active/Cancelled">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Active/Cancelled"/>
            </a:graphicData>
          </a:graphic>
        </xdr:graphicFrame>
      </mc:Choice>
      <mc:Fallback xmlns="">
        <xdr:sp macro="" textlink="">
          <xdr:nvSpPr>
            <xdr:cNvPr id="0" name=""/>
            <xdr:cNvSpPr>
              <a:spLocks noTextEdit="1"/>
            </xdr:cNvSpPr>
          </xdr:nvSpPr>
          <xdr:spPr>
            <a:xfrm>
              <a:off x="6673850" y="0"/>
              <a:ext cx="951865" cy="108204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xdr:col>
      <xdr:colOff>45718</xdr:colOff>
      <xdr:row>0</xdr:row>
      <xdr:rowOff>1</xdr:rowOff>
    </xdr:from>
    <xdr:to>
      <xdr:col>8</xdr:col>
      <xdr:colOff>30479</xdr:colOff>
      <xdr:row>2</xdr:row>
      <xdr:rowOff>190500</xdr:rowOff>
    </xdr:to>
    <mc:AlternateContent xmlns:mc="http://schemas.openxmlformats.org/markup-compatibility/2006" xmlns:sle15="http://schemas.microsoft.com/office/drawing/2012/slicer">
      <mc:Choice Requires="sle15">
        <xdr:graphicFrame macro="">
          <xdr:nvGraphicFramePr>
            <xdr:cNvPr id="4" name="Project 1">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Project 1"/>
            </a:graphicData>
          </a:graphic>
        </xdr:graphicFrame>
      </mc:Choice>
      <mc:Fallback xmlns="">
        <xdr:sp macro="" textlink="">
          <xdr:nvSpPr>
            <xdr:cNvPr id="0" name=""/>
            <xdr:cNvSpPr>
              <a:spLocks noTextEdit="1"/>
            </xdr:cNvSpPr>
          </xdr:nvSpPr>
          <xdr:spPr>
            <a:xfrm>
              <a:off x="7646668" y="1"/>
              <a:ext cx="5633086" cy="131444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xdr:col>
      <xdr:colOff>209550</xdr:colOff>
      <xdr:row>0</xdr:row>
      <xdr:rowOff>838199</xdr:rowOff>
    </xdr:from>
    <xdr:to>
      <xdr:col>1</xdr:col>
      <xdr:colOff>600075</xdr:colOff>
      <xdr:row>2</xdr:row>
      <xdr:rowOff>58419</xdr:rowOff>
    </xdr:to>
    <xdr:grpSp>
      <xdr:nvGrpSpPr>
        <xdr:cNvPr id="11" name="Group 10">
          <a:extLst>
            <a:ext uri="{FF2B5EF4-FFF2-40B4-BE49-F238E27FC236}">
              <a16:creationId xmlns:a16="http://schemas.microsoft.com/office/drawing/2014/main" id="{E33BCD70-D269-CD04-660E-7924FEF461F9}"/>
            </a:ext>
          </a:extLst>
        </xdr:cNvPr>
        <xdr:cNvGrpSpPr/>
      </xdr:nvGrpSpPr>
      <xdr:grpSpPr>
        <a:xfrm>
          <a:off x="1400175" y="838199"/>
          <a:ext cx="390525" cy="344170"/>
          <a:chOff x="1343029" y="838200"/>
          <a:chExt cx="390525" cy="344170"/>
        </a:xfrm>
      </xdr:grpSpPr>
      <mc:AlternateContent xmlns:mc="http://schemas.openxmlformats.org/markup-compatibility/2006">
        <mc:Choice xmlns:a14="http://schemas.microsoft.com/office/drawing/2010/main" Requires="a14">
          <xdr:sp macro="" textlink="">
            <xdr:nvSpPr>
              <xdr:cNvPr id="1246" name="Button 222" hidden="1">
                <a:extLst>
                  <a:ext uri="{63B3BB69-23CF-44E3-9099-C40C66FF867C}">
                    <a14:compatExt spid="_x0000_s1246"/>
                  </a:ext>
                  <a:ext uri="{FF2B5EF4-FFF2-40B4-BE49-F238E27FC236}">
                    <a16:creationId xmlns:a16="http://schemas.microsoft.com/office/drawing/2014/main" id="{00000000-0008-0000-0000-0000DE040000}"/>
                  </a:ext>
                </a:extLst>
              </xdr:cNvPr>
              <xdr:cNvSpPr/>
            </xdr:nvSpPr>
            <xdr:spPr bwMode="auto">
              <a:xfrm>
                <a:off x="1343029" y="838200"/>
                <a:ext cx="390525" cy="34417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mc:Choice>
        <mc:Fallback/>
      </mc:AlternateContent>
      <xdr:pic macro="[0]!Check_LC">
        <xdr:nvPicPr>
          <xdr:cNvPr id="10" name="Picture 15">
            <a:extLst>
              <a:ext uri="{FF2B5EF4-FFF2-40B4-BE49-F238E27FC236}">
                <a16:creationId xmlns:a16="http://schemas.microsoft.com/office/drawing/2014/main" id="{79C1F327-9407-6B21-97CF-A2B43FAC58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00861" y="895578"/>
            <a:ext cx="238710" cy="229482"/>
          </a:xfrm>
          <a:prstGeom prst="rect">
            <a:avLst/>
          </a:prstGeom>
          <a:noFill/>
        </xdr:spPr>
      </xdr:pic>
    </xdr:grpSp>
    <xdr:clientData/>
  </xdr:twoCellAnchor>
  <xdr:twoCellAnchor editAs="absolute">
    <xdr:from>
      <xdr:col>8</xdr:col>
      <xdr:colOff>123825</xdr:colOff>
      <xdr:row>0</xdr:row>
      <xdr:rowOff>28576</xdr:rowOff>
    </xdr:from>
    <xdr:to>
      <xdr:col>11</xdr:col>
      <xdr:colOff>238125</xdr:colOff>
      <xdr:row>2</xdr:row>
      <xdr:rowOff>28576</xdr:rowOff>
    </xdr:to>
    <mc:AlternateContent xmlns:mc="http://schemas.openxmlformats.org/markup-compatibility/2006" xmlns:sle15="http://schemas.microsoft.com/office/drawing/2012/slicer">
      <mc:Choice Requires="sle15">
        <xdr:graphicFrame macro="">
          <xdr:nvGraphicFramePr>
            <xdr:cNvPr id="5" name="Group Company">
              <a:extLst>
                <a:ext uri="{FF2B5EF4-FFF2-40B4-BE49-F238E27FC236}">
                  <a16:creationId xmlns:a16="http://schemas.microsoft.com/office/drawing/2014/main" id="{57070A1D-73C9-9413-17B8-4259B22A4600}"/>
                </a:ext>
              </a:extLst>
            </xdr:cNvPr>
            <xdr:cNvGraphicFramePr/>
          </xdr:nvGraphicFramePr>
          <xdr:xfrm>
            <a:off x="0" y="0"/>
            <a:ext cx="0" cy="0"/>
          </xdr:xfrm>
          <a:graphic>
            <a:graphicData uri="http://schemas.microsoft.com/office/drawing/2010/slicer">
              <sle:slicer xmlns:sle="http://schemas.microsoft.com/office/drawing/2010/slicer" name="Group Company"/>
            </a:graphicData>
          </a:graphic>
        </xdr:graphicFrame>
      </mc:Choice>
      <mc:Fallback xmlns="">
        <xdr:sp macro="" textlink="">
          <xdr:nvSpPr>
            <xdr:cNvPr id="0" name=""/>
            <xdr:cNvSpPr>
              <a:spLocks noTextEdit="1"/>
            </xdr:cNvSpPr>
          </xdr:nvSpPr>
          <xdr:spPr>
            <a:xfrm>
              <a:off x="13373100" y="28576"/>
              <a:ext cx="3181350" cy="11239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114300</xdr:rowOff>
        </xdr:from>
        <xdr:to>
          <xdr:col>1</xdr:col>
          <xdr:colOff>190500</xdr:colOff>
          <xdr:row>0</xdr:row>
          <xdr:rowOff>381000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247650</xdr:colOff>
          <xdr:row>0</xdr:row>
          <xdr:rowOff>114300</xdr:rowOff>
        </xdr:from>
        <xdr:to>
          <xdr:col>2</xdr:col>
          <xdr:colOff>666750</xdr:colOff>
          <xdr:row>0</xdr:row>
          <xdr:rowOff>381000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Show Pending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419100</xdr:colOff>
          <xdr:row>1</xdr:row>
          <xdr:rowOff>123825</xdr:rowOff>
        </xdr:from>
        <xdr:to>
          <xdr:col>10</xdr:col>
          <xdr:colOff>171450</xdr:colOff>
          <xdr:row>2</xdr:row>
          <xdr:rowOff>142875</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100-000008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Due Today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419100</xdr:colOff>
          <xdr:row>0</xdr:row>
          <xdr:rowOff>133350</xdr:rowOff>
        </xdr:from>
        <xdr:to>
          <xdr:col>10</xdr:col>
          <xdr:colOff>161925</xdr:colOff>
          <xdr:row>0</xdr:row>
          <xdr:rowOff>381000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1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Due Tomorrow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171450</xdr:colOff>
          <xdr:row>1</xdr:row>
          <xdr:rowOff>95250</xdr:rowOff>
        </xdr:from>
        <xdr:to>
          <xdr:col>12</xdr:col>
          <xdr:colOff>238125</xdr:colOff>
          <xdr:row>2</xdr:row>
          <xdr:rowOff>123825</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Un-Utilized Funds</a:t>
              </a:r>
            </a:p>
          </xdr:txBody>
        </xdr:sp>
        <xdr:clientData fPrintsWithSheet="0"/>
      </xdr:twoCellAnchor>
    </mc:Choice>
    <mc:Fallback/>
  </mc:AlternateContent>
  <xdr:twoCellAnchor>
    <xdr:from>
      <xdr:col>1</xdr:col>
      <xdr:colOff>192405</xdr:colOff>
      <xdr:row>1</xdr:row>
      <xdr:rowOff>0</xdr:rowOff>
    </xdr:from>
    <xdr:to>
      <xdr:col>1</xdr:col>
      <xdr:colOff>611505</xdr:colOff>
      <xdr:row>2</xdr:row>
      <xdr:rowOff>53340</xdr:rowOff>
    </xdr:to>
    <xdr:grpSp>
      <xdr:nvGrpSpPr>
        <xdr:cNvPr id="7" name="Group 6">
          <a:extLst>
            <a:ext uri="{FF2B5EF4-FFF2-40B4-BE49-F238E27FC236}">
              <a16:creationId xmlns:a16="http://schemas.microsoft.com/office/drawing/2014/main" id="{00000000-0008-0000-0100-000007000000}"/>
            </a:ext>
          </a:extLst>
        </xdr:cNvPr>
        <xdr:cNvGrpSpPr/>
      </xdr:nvGrpSpPr>
      <xdr:grpSpPr>
        <a:xfrm>
          <a:off x="1344930" y="457200"/>
          <a:ext cx="419100" cy="339090"/>
          <a:chOff x="1373505" y="457899"/>
          <a:chExt cx="419100" cy="339091"/>
        </a:xfrm>
      </xdr:grpSpPr>
      <mc:AlternateContent xmlns:mc="http://schemas.openxmlformats.org/markup-compatibility/2006">
        <mc:Choice xmlns:a14="http://schemas.microsoft.com/office/drawing/2010/main" Requires="a14">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100-00000E0C0000}"/>
                  </a:ext>
                </a:extLst>
              </xdr:cNvPr>
              <xdr:cNvSpPr/>
            </xdr:nvSpPr>
            <xdr:spPr bwMode="auto">
              <a:xfrm>
                <a:off x="1373505" y="457899"/>
                <a:ext cx="419100" cy="339091"/>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mc:Choice>
        <mc:Fallback/>
      </mc:AlternateContent>
      <xdr:pic macro="[0]!Check_Presentation">
        <xdr:nvPicPr>
          <xdr:cNvPr id="3087" name="Picture 15">
            <a:extLst>
              <a:ext uri="{FF2B5EF4-FFF2-40B4-BE49-F238E27FC236}">
                <a16:creationId xmlns:a16="http://schemas.microsoft.com/office/drawing/2014/main" id="{00000000-0008-0000-0100-00000F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44292" y="518150"/>
            <a:ext cx="241844" cy="241935"/>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mc:AlternateContent xmlns:mc="http://schemas.openxmlformats.org/markup-compatibility/2006">
    <mc:Choice xmlns:a14="http://schemas.microsoft.com/office/drawing/2010/main" Requires="a14">
      <xdr:twoCellAnchor>
        <xdr:from>
          <xdr:col>2</xdr:col>
          <xdr:colOff>723900</xdr:colOff>
          <xdr:row>0</xdr:row>
          <xdr:rowOff>114300</xdr:rowOff>
        </xdr:from>
        <xdr:to>
          <xdr:col>3</xdr:col>
          <xdr:colOff>1200150</xdr:colOff>
          <xdr:row>0</xdr:row>
          <xdr:rowOff>381000</xdr:rowOff>
        </xdr:to>
        <xdr:sp macro="" textlink="">
          <xdr:nvSpPr>
            <xdr:cNvPr id="3090" name="Button 18" hidden="1">
              <a:extLst>
                <a:ext uri="{63B3BB69-23CF-44E3-9099-C40C66FF867C}">
                  <a14:compatExt spid="_x0000_s3090"/>
                </a:ext>
                <a:ext uri="{FF2B5EF4-FFF2-40B4-BE49-F238E27FC236}">
                  <a16:creationId xmlns:a16="http://schemas.microsoft.com/office/drawing/2014/main" id="{00000000-0008-0000-0100-00001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Applicant's Signature</a:t>
              </a:r>
            </a:p>
          </xdr:txBody>
        </xdr:sp>
        <xdr:clientData fPrintsWithSheet="0"/>
      </xdr:twoCellAnchor>
    </mc:Choice>
    <mc:Fallback/>
  </mc:AlternateContent>
  <xdr:twoCellAnchor editAs="absolute">
    <xdr:from>
      <xdr:col>4</xdr:col>
      <xdr:colOff>285750</xdr:colOff>
      <xdr:row>0</xdr:row>
      <xdr:rowOff>12064</xdr:rowOff>
    </xdr:from>
    <xdr:to>
      <xdr:col>6</xdr:col>
      <xdr:colOff>749300</xdr:colOff>
      <xdr:row>2</xdr:row>
      <xdr:rowOff>190499</xdr:rowOff>
    </xdr:to>
    <mc:AlternateContent xmlns:mc="http://schemas.openxmlformats.org/markup-compatibility/2006" xmlns:sle15="http://schemas.microsoft.com/office/drawing/2012/slicer">
      <mc:Choice Requires="sle15">
        <xdr:graphicFrame macro="">
          <xdr:nvGraphicFramePr>
            <xdr:cNvPr id="2" name="Bank 3">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Bank 3"/>
            </a:graphicData>
          </a:graphic>
        </xdr:graphicFrame>
      </mc:Choice>
      <mc:Fallback xmlns="">
        <xdr:sp macro="" textlink="">
          <xdr:nvSpPr>
            <xdr:cNvPr id="0" name=""/>
            <xdr:cNvSpPr>
              <a:spLocks noTextEdit="1"/>
            </xdr:cNvSpPr>
          </xdr:nvSpPr>
          <xdr:spPr>
            <a:xfrm>
              <a:off x="5286375" y="15240"/>
              <a:ext cx="1943100" cy="74866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1245148</xdr:colOff>
      <xdr:row>0</xdr:row>
      <xdr:rowOff>1907</xdr:rowOff>
    </xdr:from>
    <xdr:to>
      <xdr:col>4</xdr:col>
      <xdr:colOff>154391</xdr:colOff>
      <xdr:row>2</xdr:row>
      <xdr:rowOff>1906</xdr:rowOff>
    </xdr:to>
    <mc:AlternateContent xmlns:mc="http://schemas.openxmlformats.org/markup-compatibility/2006" xmlns:sle15="http://schemas.microsoft.com/office/drawing/2012/slicer">
      <mc:Choice Requires="sle15">
        <xdr:graphicFrame macro="">
          <xdr:nvGraphicFramePr>
            <xdr:cNvPr id="5" name="Lines">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Lines"/>
            </a:graphicData>
          </a:graphic>
        </xdr:graphicFrame>
      </mc:Choice>
      <mc:Fallback xmlns="">
        <xdr:sp macro="" textlink="">
          <xdr:nvSpPr>
            <xdr:cNvPr id="0" name=""/>
            <xdr:cNvSpPr>
              <a:spLocks noTextEdit="1"/>
            </xdr:cNvSpPr>
          </xdr:nvSpPr>
          <xdr:spPr>
            <a:xfrm>
              <a:off x="4470948" y="1907"/>
              <a:ext cx="684068" cy="74294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723900</xdr:colOff>
          <xdr:row>0</xdr:row>
          <xdr:rowOff>447675</xdr:rowOff>
        </xdr:from>
        <xdr:to>
          <xdr:col>3</xdr:col>
          <xdr:colOff>1200150</xdr:colOff>
          <xdr:row>1</xdr:row>
          <xdr:rowOff>257175</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100-00001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 Applicant's Signature</a:t>
              </a:r>
            </a:p>
          </xdr:txBody>
        </xdr:sp>
        <xdr:clientData fPrintsWithSheet="0"/>
      </xdr:twoCellAnchor>
    </mc:Choice>
    <mc:Fallback/>
  </mc:AlternateContent>
  <xdr:twoCellAnchor editAs="absolute">
    <xdr:from>
      <xdr:col>6</xdr:col>
      <xdr:colOff>1000211</xdr:colOff>
      <xdr:row>0</xdr:row>
      <xdr:rowOff>0</xdr:rowOff>
    </xdr:from>
    <xdr:to>
      <xdr:col>8</xdr:col>
      <xdr:colOff>1427393</xdr:colOff>
      <xdr:row>2</xdr:row>
      <xdr:rowOff>50165</xdr:rowOff>
    </xdr:to>
    <mc:AlternateContent xmlns:mc="http://schemas.openxmlformats.org/markup-compatibility/2006" xmlns:sle15="http://schemas.microsoft.com/office/drawing/2012/slicer">
      <mc:Choice Requires="sle15">
        <xdr:graphicFrame macro="">
          <xdr:nvGraphicFramePr>
            <xdr:cNvPr id="4" name="Project">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Project"/>
            </a:graphicData>
          </a:graphic>
        </xdr:graphicFrame>
      </mc:Choice>
      <mc:Fallback xmlns="">
        <xdr:sp macro="" textlink="">
          <xdr:nvSpPr>
            <xdr:cNvPr id="0" name=""/>
            <xdr:cNvSpPr>
              <a:spLocks noTextEdit="1"/>
            </xdr:cNvSpPr>
          </xdr:nvSpPr>
          <xdr:spPr>
            <a:xfrm>
              <a:off x="7474036" y="0"/>
              <a:ext cx="2173432" cy="79629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10</xdr:col>
          <xdr:colOff>304800</xdr:colOff>
          <xdr:row>0</xdr:row>
          <xdr:rowOff>152400</xdr:rowOff>
        </xdr:from>
        <xdr:to>
          <xdr:col>11</xdr:col>
          <xdr:colOff>47625</xdr:colOff>
          <xdr:row>0</xdr:row>
          <xdr:rowOff>381000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100-00001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Due Next Week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171450</xdr:colOff>
          <xdr:row>0</xdr:row>
          <xdr:rowOff>133350</xdr:rowOff>
        </xdr:from>
        <xdr:to>
          <xdr:col>12</xdr:col>
          <xdr:colOff>171450</xdr:colOff>
          <xdr:row>0</xdr:row>
          <xdr:rowOff>371475</xdr:rowOff>
        </xdr:to>
        <xdr:sp macro="" textlink="">
          <xdr:nvSpPr>
            <xdr:cNvPr id="3107" name="Button 35" hidden="1">
              <a:extLst>
                <a:ext uri="{63B3BB69-23CF-44E3-9099-C40C66FF867C}">
                  <a14:compatExt spid="_x0000_s3107"/>
                </a:ext>
                <a:ext uri="{FF2B5EF4-FFF2-40B4-BE49-F238E27FC236}">
                  <a16:creationId xmlns:a16="http://schemas.microsoft.com/office/drawing/2014/main" id="{00000000-0008-0000-0100-00002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EID LC Dues</a:t>
              </a:r>
            </a:p>
          </xdr:txBody>
        </xdr:sp>
        <xdr:clientData fPrintsWithSheet="0"/>
      </xdr:twoCellAnchor>
    </mc:Choice>
    <mc:Fallback/>
  </mc:AlternateContent>
  <xdr:twoCellAnchor editAs="absolute">
    <xdr:from>
      <xdr:col>8</xdr:col>
      <xdr:colOff>1622424</xdr:colOff>
      <xdr:row>0</xdr:row>
      <xdr:rowOff>1</xdr:rowOff>
    </xdr:from>
    <xdr:to>
      <xdr:col>9</xdr:col>
      <xdr:colOff>174624</xdr:colOff>
      <xdr:row>2</xdr:row>
      <xdr:rowOff>234950</xdr:rowOff>
    </xdr:to>
    <mc:AlternateContent xmlns:mc="http://schemas.openxmlformats.org/markup-compatibility/2006" xmlns:sle15="http://schemas.microsoft.com/office/drawing/2012/slicer">
      <mc:Choice Requires="sle15">
        <xdr:graphicFrame macro="">
          <xdr:nvGraphicFramePr>
            <xdr:cNvPr id="6" name="Status">
              <a:extLst>
                <a:ext uri="{FF2B5EF4-FFF2-40B4-BE49-F238E27FC236}">
                  <a16:creationId xmlns:a16="http://schemas.microsoft.com/office/drawing/2014/main" id="{834E1D51-6BB6-4C9C-A429-45290D9010C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9842499" y="1"/>
              <a:ext cx="3038475" cy="97789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10</xdr:col>
          <xdr:colOff>304800</xdr:colOff>
          <xdr:row>1</xdr:row>
          <xdr:rowOff>114300</xdr:rowOff>
        </xdr:from>
        <xdr:to>
          <xdr:col>11</xdr:col>
          <xdr:colOff>47625</xdr:colOff>
          <xdr:row>2</xdr:row>
          <xdr:rowOff>133350</xdr:rowOff>
        </xdr:to>
        <xdr:sp macro="" textlink="">
          <xdr:nvSpPr>
            <xdr:cNvPr id="3116" name="Button 44" hidden="1">
              <a:extLst>
                <a:ext uri="{63B3BB69-23CF-44E3-9099-C40C66FF867C}">
                  <a14:compatExt spid="_x0000_s3116"/>
                </a:ext>
                <a:ext uri="{FF2B5EF4-FFF2-40B4-BE49-F238E27FC236}">
                  <a16:creationId xmlns:a16="http://schemas.microsoft.com/office/drawing/2014/main" id="{00000000-0008-0000-0100-00002C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Due This Week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390525</xdr:colOff>
          <xdr:row>0</xdr:row>
          <xdr:rowOff>171450</xdr:rowOff>
        </xdr:from>
        <xdr:to>
          <xdr:col>3</xdr:col>
          <xdr:colOff>76200</xdr:colOff>
          <xdr:row>0</xdr:row>
          <xdr:rowOff>438150</xdr:rowOff>
        </xdr:to>
        <xdr:sp macro="" textlink="">
          <xdr:nvSpPr>
            <xdr:cNvPr id="22534" name="Button 6" hidden="1">
              <a:extLst>
                <a:ext uri="{63B3BB69-23CF-44E3-9099-C40C66FF867C}">
                  <a14:compatExt spid="_x0000_s22534"/>
                </a:ext>
                <a:ext uri="{FF2B5EF4-FFF2-40B4-BE49-F238E27FC236}">
                  <a16:creationId xmlns:a16="http://schemas.microsoft.com/office/drawing/2014/main" id="{00000000-0008-0000-0200-000006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Show Pending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0</xdr:row>
          <xdr:rowOff>171450</xdr:rowOff>
        </xdr:from>
        <xdr:to>
          <xdr:col>1</xdr:col>
          <xdr:colOff>123825</xdr:colOff>
          <xdr:row>0</xdr:row>
          <xdr:rowOff>438150</xdr:rowOff>
        </xdr:to>
        <xdr:sp macro="" textlink="">
          <xdr:nvSpPr>
            <xdr:cNvPr id="22535" name="Button 7" hidden="1">
              <a:extLst>
                <a:ext uri="{63B3BB69-23CF-44E3-9099-C40C66FF867C}">
                  <a14:compatExt spid="_x0000_s22535"/>
                </a:ext>
                <a:ext uri="{FF2B5EF4-FFF2-40B4-BE49-F238E27FC236}">
                  <a16:creationId xmlns:a16="http://schemas.microsoft.com/office/drawing/2014/main" id="{00000000-0008-0000-0200-000007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Show All</a:t>
              </a:r>
            </a:p>
          </xdr:txBody>
        </xdr:sp>
        <xdr:clientData fPrintsWithSheet="0"/>
      </xdr:twoCellAnchor>
    </mc:Choice>
    <mc:Fallback/>
  </mc:AlternateContent>
  <xdr:twoCellAnchor editAs="absolute">
    <xdr:from>
      <xdr:col>3</xdr:col>
      <xdr:colOff>771524</xdr:colOff>
      <xdr:row>0</xdr:row>
      <xdr:rowOff>0</xdr:rowOff>
    </xdr:from>
    <xdr:to>
      <xdr:col>5</xdr:col>
      <xdr:colOff>723899</xdr:colOff>
      <xdr:row>2</xdr:row>
      <xdr:rowOff>161925</xdr:rowOff>
    </xdr:to>
    <mc:AlternateContent xmlns:mc="http://schemas.openxmlformats.org/markup-compatibility/2006" xmlns:sle15="http://schemas.microsoft.com/office/drawing/2012/slicer">
      <mc:Choice Requires="sle15">
        <xdr:graphicFrame macro="">
          <xdr:nvGraphicFramePr>
            <xdr:cNvPr id="2" name="Bank 8">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Bank 8"/>
            </a:graphicData>
          </a:graphic>
        </xdr:graphicFrame>
      </mc:Choice>
      <mc:Fallback xmlns="">
        <xdr:sp macro="" textlink="">
          <xdr:nvSpPr>
            <xdr:cNvPr id="0" name=""/>
            <xdr:cNvSpPr>
              <a:spLocks noTextEdit="1"/>
            </xdr:cNvSpPr>
          </xdr:nvSpPr>
          <xdr:spPr>
            <a:xfrm>
              <a:off x="3657599" y="0"/>
              <a:ext cx="2371725" cy="10191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xdr:col>
      <xdr:colOff>190500</xdr:colOff>
      <xdr:row>0</xdr:row>
      <xdr:rowOff>561975</xdr:rowOff>
    </xdr:from>
    <xdr:to>
      <xdr:col>1</xdr:col>
      <xdr:colOff>581025</xdr:colOff>
      <xdr:row>2</xdr:row>
      <xdr:rowOff>48895</xdr:rowOff>
    </xdr:to>
    <xdr:grpSp>
      <xdr:nvGrpSpPr>
        <xdr:cNvPr id="5" name="Group 4">
          <a:extLst>
            <a:ext uri="{FF2B5EF4-FFF2-40B4-BE49-F238E27FC236}">
              <a16:creationId xmlns:a16="http://schemas.microsoft.com/office/drawing/2014/main" id="{A616B8D5-2F6E-CACD-FBEF-D8F80BB3FEBA}"/>
            </a:ext>
          </a:extLst>
        </xdr:cNvPr>
        <xdr:cNvGrpSpPr/>
      </xdr:nvGrpSpPr>
      <xdr:grpSpPr>
        <a:xfrm>
          <a:off x="1524000" y="561975"/>
          <a:ext cx="390525" cy="344170"/>
          <a:chOff x="1714504" y="561975"/>
          <a:chExt cx="390525" cy="344170"/>
        </a:xfrm>
      </xdr:grpSpPr>
      <mc:AlternateContent xmlns:mc="http://schemas.openxmlformats.org/markup-compatibility/2006">
        <mc:Choice xmlns:a14="http://schemas.microsoft.com/office/drawing/2010/main" Requires="a14">
          <xdr:sp macro="" textlink="">
            <xdr:nvSpPr>
              <xdr:cNvPr id="22536" name="Button 8" hidden="1">
                <a:extLst>
                  <a:ext uri="{63B3BB69-23CF-44E3-9099-C40C66FF867C}">
                    <a14:compatExt spid="_x0000_s22536"/>
                  </a:ext>
                  <a:ext uri="{FF2B5EF4-FFF2-40B4-BE49-F238E27FC236}">
                    <a16:creationId xmlns:a16="http://schemas.microsoft.com/office/drawing/2014/main" id="{00000000-0008-0000-0200-000008580000}"/>
                  </a:ext>
                </a:extLst>
              </xdr:cNvPr>
              <xdr:cNvSpPr/>
            </xdr:nvSpPr>
            <xdr:spPr bwMode="auto">
              <a:xfrm>
                <a:off x="1714504" y="561975"/>
                <a:ext cx="390525" cy="34417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mc:Choice>
        <mc:Fallback/>
      </mc:AlternateContent>
      <xdr:pic macro="[0]!Check_Guarantee">
        <xdr:nvPicPr>
          <xdr:cNvPr id="4" name="Picture 15">
            <a:extLst>
              <a:ext uri="{FF2B5EF4-FFF2-40B4-BE49-F238E27FC236}">
                <a16:creationId xmlns:a16="http://schemas.microsoft.com/office/drawing/2014/main" id="{B2141ADC-37C7-CD74-9590-CEFC012314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72336" y="619354"/>
            <a:ext cx="238710" cy="229482"/>
          </a:xfrm>
          <a:prstGeom prst="rect">
            <a:avLst/>
          </a:prstGeom>
          <a:noFill/>
        </xdr:spPr>
      </xdr:pic>
    </xdr:grpSp>
    <xdr:clientData/>
  </xdr:twoCellAnchor>
  <xdr:twoCellAnchor editAs="absolute">
    <xdr:from>
      <xdr:col>5</xdr:col>
      <xdr:colOff>857250</xdr:colOff>
      <xdr:row>0</xdr:row>
      <xdr:rowOff>38101</xdr:rowOff>
    </xdr:from>
    <xdr:to>
      <xdr:col>5</xdr:col>
      <xdr:colOff>2686050</xdr:colOff>
      <xdr:row>2</xdr:row>
      <xdr:rowOff>171450</xdr:rowOff>
    </xdr:to>
    <mc:AlternateContent xmlns:mc="http://schemas.openxmlformats.org/markup-compatibility/2006" xmlns:sle15="http://schemas.microsoft.com/office/drawing/2012/slicer">
      <mc:Choice Requires="sle15">
        <xdr:graphicFrame macro="">
          <xdr:nvGraphicFramePr>
            <xdr:cNvPr id="3" name="Type">
              <a:extLst>
                <a:ext uri="{FF2B5EF4-FFF2-40B4-BE49-F238E27FC236}">
                  <a16:creationId xmlns:a16="http://schemas.microsoft.com/office/drawing/2014/main" id="{79191B01-59A1-4107-3BCE-B65CF0F64A00}"/>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6162675" y="38101"/>
              <a:ext cx="1828800" cy="99059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133350</xdr:rowOff>
        </xdr:from>
        <xdr:to>
          <xdr:col>1</xdr:col>
          <xdr:colOff>333375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Show All</a:t>
              </a:r>
            </a:p>
          </xdr:txBody>
        </xdr:sp>
        <xdr:clientData fPrintsWithSheet="0"/>
      </xdr:twoCellAnchor>
    </mc:Choice>
    <mc:Fallback/>
  </mc:AlternateContent>
  <xdr:twoCellAnchor editAs="absolute">
    <xdr:from>
      <xdr:col>1</xdr:col>
      <xdr:colOff>360680</xdr:colOff>
      <xdr:row>0</xdr:row>
      <xdr:rowOff>1906</xdr:rowOff>
    </xdr:from>
    <xdr:to>
      <xdr:col>3</xdr:col>
      <xdr:colOff>1104900</xdr:colOff>
      <xdr:row>2</xdr:row>
      <xdr:rowOff>360045</xdr:rowOff>
    </xdr:to>
    <mc:AlternateContent xmlns:mc="http://schemas.openxmlformats.org/markup-compatibility/2006" xmlns:sle15="http://schemas.microsoft.com/office/drawing/2012/slicer">
      <mc:Choice Requires="sle15">
        <xdr:graphicFrame macro="">
          <xdr:nvGraphicFramePr>
            <xdr:cNvPr id="2" name="Bank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Bank 1"/>
            </a:graphicData>
          </a:graphic>
        </xdr:graphicFrame>
      </mc:Choice>
      <mc:Fallback xmlns="">
        <xdr:sp macro="" textlink="">
          <xdr:nvSpPr>
            <xdr:cNvPr id="0" name=""/>
            <xdr:cNvSpPr>
              <a:spLocks noTextEdit="1"/>
            </xdr:cNvSpPr>
          </xdr:nvSpPr>
          <xdr:spPr>
            <a:xfrm>
              <a:off x="1695450" y="1906"/>
              <a:ext cx="2819400" cy="72008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152400</xdr:rowOff>
        </xdr:from>
        <xdr:to>
          <xdr:col>1</xdr:col>
          <xdr:colOff>180975</xdr:colOff>
          <xdr:row>2</xdr:row>
          <xdr:rowOff>57150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Show All</a:t>
              </a:r>
            </a:p>
          </xdr:txBody>
        </xdr:sp>
        <xdr:clientData fPrintsWithSheet="0"/>
      </xdr:twoCellAnchor>
    </mc:Choice>
    <mc:Fallback/>
  </mc:AlternateContent>
  <xdr:twoCellAnchor editAs="absolute">
    <xdr:from>
      <xdr:col>1</xdr:col>
      <xdr:colOff>505463</xdr:colOff>
      <xdr:row>0</xdr:row>
      <xdr:rowOff>1</xdr:rowOff>
    </xdr:from>
    <xdr:to>
      <xdr:col>3</xdr:col>
      <xdr:colOff>593091</xdr:colOff>
      <xdr:row>2</xdr:row>
      <xdr:rowOff>381000</xdr:rowOff>
    </xdr:to>
    <mc:AlternateContent xmlns:mc="http://schemas.openxmlformats.org/markup-compatibility/2006" xmlns:sle15="http://schemas.microsoft.com/office/drawing/2012/slicer">
      <mc:Choice Requires="sle15">
        <xdr:graphicFrame macro="">
          <xdr:nvGraphicFramePr>
            <xdr:cNvPr id="2" name="Bank">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Bank"/>
            </a:graphicData>
          </a:graphic>
        </xdr:graphicFrame>
      </mc:Choice>
      <mc:Fallback xmlns="">
        <xdr:sp macro="" textlink="">
          <xdr:nvSpPr>
            <xdr:cNvPr id="0" name=""/>
            <xdr:cNvSpPr>
              <a:spLocks noTextEdit="1"/>
            </xdr:cNvSpPr>
          </xdr:nvSpPr>
          <xdr:spPr>
            <a:xfrm>
              <a:off x="1714503" y="1"/>
              <a:ext cx="2200273" cy="74294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821055</xdr:colOff>
      <xdr:row>0</xdr:row>
      <xdr:rowOff>0</xdr:rowOff>
    </xdr:from>
    <xdr:to>
      <xdr:col>7</xdr:col>
      <xdr:colOff>239395</xdr:colOff>
      <xdr:row>2</xdr:row>
      <xdr:rowOff>550545</xdr:rowOff>
    </xdr:to>
    <mc:AlternateContent xmlns:mc="http://schemas.openxmlformats.org/markup-compatibility/2006" xmlns:sle15="http://schemas.microsoft.com/office/drawing/2012/slicer">
      <mc:Choice Requires="sle15">
        <xdr:graphicFrame macro="">
          <xdr:nvGraphicFramePr>
            <xdr:cNvPr id="4" name="Projec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Project 3"/>
            </a:graphicData>
          </a:graphic>
        </xdr:graphicFrame>
      </mc:Choice>
      <mc:Fallback xmlns="">
        <xdr:sp macro="" textlink="">
          <xdr:nvSpPr>
            <xdr:cNvPr id="0" name=""/>
            <xdr:cNvSpPr>
              <a:spLocks noTextEdit="1"/>
            </xdr:cNvSpPr>
          </xdr:nvSpPr>
          <xdr:spPr>
            <a:xfrm>
              <a:off x="4164330" y="0"/>
              <a:ext cx="3653790" cy="91249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133350</xdr:rowOff>
        </xdr:from>
        <xdr:to>
          <xdr:col>1</xdr:col>
          <xdr:colOff>171450</xdr:colOff>
          <xdr:row>2</xdr:row>
          <xdr:rowOff>19050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Show All</a:t>
              </a:r>
            </a:p>
          </xdr:txBody>
        </xdr:sp>
        <xdr:clientData fPrintsWithSheet="0"/>
      </xdr:twoCellAnchor>
    </mc:Choice>
    <mc:Fallback/>
  </mc:AlternateContent>
  <xdr:twoCellAnchor editAs="absolute">
    <xdr:from>
      <xdr:col>1</xdr:col>
      <xdr:colOff>201295</xdr:colOff>
      <xdr:row>0</xdr:row>
      <xdr:rowOff>0</xdr:rowOff>
    </xdr:from>
    <xdr:to>
      <xdr:col>3</xdr:col>
      <xdr:colOff>226060</xdr:colOff>
      <xdr:row>2</xdr:row>
      <xdr:rowOff>400050</xdr:rowOff>
    </xdr:to>
    <mc:AlternateContent xmlns:mc="http://schemas.openxmlformats.org/markup-compatibility/2006" xmlns:sle15="http://schemas.microsoft.com/office/drawing/2012/slicer">
      <mc:Choice Requires="sle15">
        <xdr:graphicFrame macro="">
          <xdr:nvGraphicFramePr>
            <xdr:cNvPr id="2" name="Bank 4">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Bank 4"/>
            </a:graphicData>
          </a:graphic>
        </xdr:graphicFrame>
      </mc:Choice>
      <mc:Fallback xmlns="">
        <xdr:sp macro="" textlink="">
          <xdr:nvSpPr>
            <xdr:cNvPr id="0" name=""/>
            <xdr:cNvSpPr>
              <a:spLocks noTextEdit="1"/>
            </xdr:cNvSpPr>
          </xdr:nvSpPr>
          <xdr:spPr>
            <a:xfrm>
              <a:off x="1396365" y="0"/>
              <a:ext cx="2118360" cy="75819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28575</xdr:colOff>
          <xdr:row>2</xdr:row>
          <xdr:rowOff>95250</xdr:rowOff>
        </xdr:from>
        <xdr:to>
          <xdr:col>1</xdr:col>
          <xdr:colOff>171450</xdr:colOff>
          <xdr:row>2</xdr:row>
          <xdr:rowOff>342900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Foreign Currency</a:t>
              </a:r>
            </a:p>
          </xdr:txBody>
        </xdr:sp>
        <xdr:clientData fPrintsWithSheet="0"/>
      </xdr:twoCellAnchor>
    </mc:Choice>
    <mc:Fallback/>
  </mc:AlternateContent>
  <xdr:twoCellAnchor editAs="absolute">
    <xdr:from>
      <xdr:col>3</xdr:col>
      <xdr:colOff>415925</xdr:colOff>
      <xdr:row>0</xdr:row>
      <xdr:rowOff>0</xdr:rowOff>
    </xdr:from>
    <xdr:to>
      <xdr:col>6</xdr:col>
      <xdr:colOff>688340</xdr:colOff>
      <xdr:row>2</xdr:row>
      <xdr:rowOff>398145</xdr:rowOff>
    </xdr:to>
    <mc:AlternateContent xmlns:mc="http://schemas.openxmlformats.org/markup-compatibility/2006" xmlns:sle15="http://schemas.microsoft.com/office/drawing/2012/slicer">
      <mc:Choice Requires="sle15">
        <xdr:graphicFrame macro="">
          <xdr:nvGraphicFramePr>
            <xdr:cNvPr id="3" name="Curr">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Curr"/>
            </a:graphicData>
          </a:graphic>
        </xdr:graphicFrame>
      </mc:Choice>
      <mc:Fallback xmlns="">
        <xdr:sp macro="" textlink="">
          <xdr:nvSpPr>
            <xdr:cNvPr id="0" name=""/>
            <xdr:cNvSpPr>
              <a:spLocks noTextEdit="1"/>
            </xdr:cNvSpPr>
          </xdr:nvSpPr>
          <xdr:spPr>
            <a:xfrm>
              <a:off x="3701415" y="0"/>
              <a:ext cx="1811655" cy="76390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133350</xdr:rowOff>
        </xdr:from>
        <xdr:to>
          <xdr:col>1</xdr:col>
          <xdr:colOff>247650</xdr:colOff>
          <xdr:row>2</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Show All</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absolute">
    <xdr:from>
      <xdr:col>1</xdr:col>
      <xdr:colOff>800100</xdr:colOff>
      <xdr:row>0</xdr:row>
      <xdr:rowOff>20956</xdr:rowOff>
    </xdr:from>
    <xdr:to>
      <xdr:col>2</xdr:col>
      <xdr:colOff>1917065</xdr:colOff>
      <xdr:row>2</xdr:row>
      <xdr:rowOff>314325</xdr:rowOff>
    </xdr:to>
    <mc:AlternateContent xmlns:mc="http://schemas.openxmlformats.org/markup-compatibility/2006" xmlns:sle15="http://schemas.microsoft.com/office/drawing/2012/slicer">
      <mc:Choice Requires="sle15">
        <xdr:graphicFrame macro="">
          <xdr:nvGraphicFramePr>
            <xdr:cNvPr id="2" name="Bank 6">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Bank 6"/>
            </a:graphicData>
          </a:graphic>
        </xdr:graphicFrame>
      </mc:Choice>
      <mc:Fallback xmlns="">
        <xdr:sp macro="" textlink="">
          <xdr:nvSpPr>
            <xdr:cNvPr id="0" name=""/>
            <xdr:cNvSpPr>
              <a:spLocks noTextEdit="1"/>
            </xdr:cNvSpPr>
          </xdr:nvSpPr>
          <xdr:spPr>
            <a:xfrm>
              <a:off x="2028825" y="20956"/>
              <a:ext cx="2348865" cy="78867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57150</xdr:colOff>
          <xdr:row>0</xdr:row>
          <xdr:rowOff>76200</xdr:rowOff>
        </xdr:from>
        <xdr:to>
          <xdr:col>1</xdr:col>
          <xdr:colOff>247650</xdr:colOff>
          <xdr:row>1</xdr:row>
          <xdr:rowOff>19050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Show All</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0</xdr:row>
          <xdr:rowOff>76200</xdr:rowOff>
        </xdr:from>
        <xdr:to>
          <xdr:col>0</xdr:col>
          <xdr:colOff>781050</xdr:colOff>
          <xdr:row>0</xdr:row>
          <xdr:rowOff>361950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8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Show All</a:t>
              </a:r>
            </a:p>
          </xdr:txBody>
        </xdr:sp>
        <xdr:clientData fPrintsWithSheet="0"/>
      </xdr:twoCellAnchor>
    </mc:Choice>
    <mc:Fallback/>
  </mc:AlternateContent>
  <xdr:twoCellAnchor>
    <xdr:from>
      <xdr:col>1</xdr:col>
      <xdr:colOff>228600</xdr:colOff>
      <xdr:row>0</xdr:row>
      <xdr:rowOff>533400</xdr:rowOff>
    </xdr:from>
    <xdr:to>
      <xdr:col>1</xdr:col>
      <xdr:colOff>647065</xdr:colOff>
      <xdr:row>2</xdr:row>
      <xdr:rowOff>3175</xdr:rowOff>
    </xdr:to>
    <xdr:grpSp>
      <xdr:nvGrpSpPr>
        <xdr:cNvPr id="2" name="Group 1">
          <a:extLst>
            <a:ext uri="{FF2B5EF4-FFF2-40B4-BE49-F238E27FC236}">
              <a16:creationId xmlns:a16="http://schemas.microsoft.com/office/drawing/2014/main" id="{00000000-0008-0000-0900-000002000000}"/>
            </a:ext>
          </a:extLst>
        </xdr:cNvPr>
        <xdr:cNvGrpSpPr/>
      </xdr:nvGrpSpPr>
      <xdr:grpSpPr>
        <a:xfrm>
          <a:off x="1524000" y="533400"/>
          <a:ext cx="418465" cy="327025"/>
          <a:chOff x="1254128" y="855983"/>
          <a:chExt cx="420371" cy="344169"/>
        </a:xfrm>
      </xdr:grpSpPr>
      <mc:AlternateContent xmlns:mc="http://schemas.openxmlformats.org/markup-compatibility/2006">
        <mc:Choice xmlns:a14="http://schemas.microsoft.com/office/drawing/2010/main" Requires="a14">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800-000002480000}"/>
                  </a:ext>
                </a:extLst>
              </xdr:cNvPr>
              <xdr:cNvSpPr/>
            </xdr:nvSpPr>
            <xdr:spPr bwMode="auto">
              <a:xfrm>
                <a:off x="1254128" y="855983"/>
                <a:ext cx="420371" cy="344169"/>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mc:Choice>
        <mc:Fallback/>
      </mc:AlternateContent>
      <xdr:pic macro="[0]!Check_Summary">
        <xdr:nvPicPr>
          <xdr:cNvPr id="3" name="Picture 15">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1386" y="913358"/>
            <a:ext cx="260063" cy="229481"/>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absolute">
    <xdr:from>
      <xdr:col>2</xdr:col>
      <xdr:colOff>229869</xdr:colOff>
      <xdr:row>0</xdr:row>
      <xdr:rowOff>0</xdr:rowOff>
    </xdr:from>
    <xdr:to>
      <xdr:col>3</xdr:col>
      <xdr:colOff>197484</xdr:colOff>
      <xdr:row>1</xdr:row>
      <xdr:rowOff>283845</xdr:rowOff>
    </xdr:to>
    <mc:AlternateContent xmlns:mc="http://schemas.openxmlformats.org/markup-compatibility/2006" xmlns:sle15="http://schemas.microsoft.com/office/drawing/2012/slicer">
      <mc:Choice Requires="sle15">
        <xdr:graphicFrame macro="">
          <xdr:nvGraphicFramePr>
            <xdr:cNvPr id="4" name="Status 1">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2440304" y="0"/>
              <a:ext cx="2943225" cy="83058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2379980</xdr:colOff>
      <xdr:row>0</xdr:row>
      <xdr:rowOff>0</xdr:rowOff>
    </xdr:from>
    <xdr:to>
      <xdr:col>6</xdr:col>
      <xdr:colOff>1249045</xdr:colOff>
      <xdr:row>2</xdr:row>
      <xdr:rowOff>116205</xdr:rowOff>
    </xdr:to>
    <mc:AlternateContent xmlns:mc="http://schemas.openxmlformats.org/markup-compatibility/2006" xmlns:sle15="http://schemas.microsoft.com/office/drawing/2012/slicer">
      <mc:Choice Requires="sle15">
        <xdr:graphicFrame macro="">
          <xdr:nvGraphicFramePr>
            <xdr:cNvPr id="5" name="Project 2">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microsoft.com/office/drawing/2010/slicer">
              <sle:slicer xmlns:sle="http://schemas.microsoft.com/office/drawing/2010/slicer" name="Project 2"/>
            </a:graphicData>
          </a:graphic>
        </xdr:graphicFrame>
      </mc:Choice>
      <mc:Fallback xmlns="">
        <xdr:sp macro="" textlink="">
          <xdr:nvSpPr>
            <xdr:cNvPr id="0" name=""/>
            <xdr:cNvSpPr>
              <a:spLocks noTextEdit="1"/>
            </xdr:cNvSpPr>
          </xdr:nvSpPr>
          <xdr:spPr>
            <a:xfrm>
              <a:off x="8945880" y="0"/>
              <a:ext cx="5400040" cy="9734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311784</xdr:colOff>
      <xdr:row>0</xdr:row>
      <xdr:rowOff>0</xdr:rowOff>
    </xdr:from>
    <xdr:to>
      <xdr:col>4</xdr:col>
      <xdr:colOff>1362709</xdr:colOff>
      <xdr:row>2</xdr:row>
      <xdr:rowOff>85725</xdr:rowOff>
    </xdr:to>
    <mc:AlternateContent xmlns:mc="http://schemas.openxmlformats.org/markup-compatibility/2006" xmlns:sle15="http://schemas.microsoft.com/office/drawing/2012/slicer">
      <mc:Choice Requires="sle15">
        <xdr:graphicFrame macro="">
          <xdr:nvGraphicFramePr>
            <xdr:cNvPr id="6" name="Bank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microsoft.com/office/drawing/2010/slicer">
              <sle:slicer xmlns:sle="http://schemas.microsoft.com/office/drawing/2010/slicer" name="Bank 5"/>
            </a:graphicData>
          </a:graphic>
        </xdr:graphicFrame>
      </mc:Choice>
      <mc:Fallback xmlns="">
        <xdr:sp macro="" textlink="">
          <xdr:nvSpPr>
            <xdr:cNvPr id="0" name=""/>
            <xdr:cNvSpPr>
              <a:spLocks noTextEdit="1"/>
            </xdr:cNvSpPr>
          </xdr:nvSpPr>
          <xdr:spPr>
            <a:xfrm>
              <a:off x="5490209" y="0"/>
              <a:ext cx="2442210" cy="83058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1438275</xdr:colOff>
      <xdr:row>0</xdr:row>
      <xdr:rowOff>0</xdr:rowOff>
    </xdr:from>
    <xdr:to>
      <xdr:col>4</xdr:col>
      <xdr:colOff>2352675</xdr:colOff>
      <xdr:row>2</xdr:row>
      <xdr:rowOff>12065</xdr:rowOff>
    </xdr:to>
    <mc:AlternateContent xmlns:mc="http://schemas.openxmlformats.org/markup-compatibility/2006" xmlns:sle15="http://schemas.microsoft.com/office/drawing/2012/slicer">
      <mc:Choice Requires="sle15">
        <xdr:graphicFrame macro="">
          <xdr:nvGraphicFramePr>
            <xdr:cNvPr id="7" name="Active/Cancelled 1">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microsoft.com/office/drawing/2010/slicer">
              <sle:slicer xmlns:sle="http://schemas.microsoft.com/office/drawing/2010/slicer" name="Active/Cancelled 1"/>
            </a:graphicData>
          </a:graphic>
        </xdr:graphicFrame>
      </mc:Choice>
      <mc:Fallback xmlns="">
        <xdr:sp macro="" textlink="">
          <xdr:nvSpPr>
            <xdr:cNvPr id="0" name=""/>
            <xdr:cNvSpPr>
              <a:spLocks noTextEdit="1"/>
            </xdr:cNvSpPr>
          </xdr:nvSpPr>
          <xdr:spPr>
            <a:xfrm>
              <a:off x="8105775" y="0"/>
              <a:ext cx="916305" cy="10191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866775</xdr:colOff>
          <xdr:row>0</xdr:row>
          <xdr:rowOff>95250</xdr:rowOff>
        </xdr:from>
        <xdr:to>
          <xdr:col>2</xdr:col>
          <xdr:colOff>142875</xdr:colOff>
          <xdr:row>0</xdr:row>
          <xdr:rowOff>371475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8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Cancelled Signed Docs</a:t>
              </a:r>
            </a:p>
          </xdr:txBody>
        </xdr:sp>
        <xdr:clientData fPrintsWithSheet="0"/>
      </xdr:twoCellAnchor>
    </mc:Choice>
    <mc:Fallback/>
  </mc:AlternateContent>
  <xdr:twoCellAnchor editAs="absolute">
    <xdr:from>
      <xdr:col>6</xdr:col>
      <xdr:colOff>1339850</xdr:colOff>
      <xdr:row>0</xdr:row>
      <xdr:rowOff>0</xdr:rowOff>
    </xdr:from>
    <xdr:to>
      <xdr:col>9</xdr:col>
      <xdr:colOff>781050</xdr:colOff>
      <xdr:row>2</xdr:row>
      <xdr:rowOff>120650</xdr:rowOff>
    </xdr:to>
    <mc:AlternateContent xmlns:mc="http://schemas.openxmlformats.org/markup-compatibility/2006" xmlns:sle15="http://schemas.microsoft.com/office/drawing/2012/slicer">
      <mc:Choice Requires="sle15">
        <xdr:graphicFrame macro="">
          <xdr:nvGraphicFramePr>
            <xdr:cNvPr id="9" name="Group Company1">
              <a:extLst>
                <a:ext uri="{FF2B5EF4-FFF2-40B4-BE49-F238E27FC236}">
                  <a16:creationId xmlns:a16="http://schemas.microsoft.com/office/drawing/2014/main" id="{0F99C973-FE85-307E-DBBB-4E0430B58888}"/>
                </a:ext>
              </a:extLst>
            </xdr:cNvPr>
            <xdr:cNvGraphicFramePr/>
          </xdr:nvGraphicFramePr>
          <xdr:xfrm>
            <a:off x="0" y="0"/>
            <a:ext cx="0" cy="0"/>
          </xdr:xfrm>
          <a:graphic>
            <a:graphicData uri="http://schemas.microsoft.com/office/drawing/2010/slicer">
              <sle:slicer xmlns:sle="http://schemas.microsoft.com/office/drawing/2010/slicer" name="Group Company1"/>
            </a:graphicData>
          </a:graphic>
        </xdr:graphicFrame>
      </mc:Choice>
      <mc:Fallback xmlns="">
        <xdr:sp macro="" textlink="">
          <xdr:nvSpPr>
            <xdr:cNvPr id="0" name=""/>
            <xdr:cNvSpPr>
              <a:spLocks noTextEdit="1"/>
            </xdr:cNvSpPr>
          </xdr:nvSpPr>
          <xdr:spPr>
            <a:xfrm>
              <a:off x="14439900" y="0"/>
              <a:ext cx="3390900"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47625</xdr:colOff>
          <xdr:row>1</xdr:row>
          <xdr:rowOff>28575</xdr:rowOff>
        </xdr:from>
        <xdr:to>
          <xdr:col>12</xdr:col>
          <xdr:colOff>1219200</xdr:colOff>
          <xdr:row>3</xdr:row>
          <xdr:rowOff>28575</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ea typeface="Calibri"/>
                  <a:cs typeface="Calibri"/>
                </a:rPr>
                <a:t>New_Window - Update Records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5</xdr:col>
      <xdr:colOff>361951</xdr:colOff>
      <xdr:row>23</xdr:row>
      <xdr:rowOff>76200</xdr:rowOff>
    </xdr:from>
    <xdr:to>
      <xdr:col>6</xdr:col>
      <xdr:colOff>749301</xdr:colOff>
      <xdr:row>34</xdr:row>
      <xdr:rowOff>44451</xdr:rowOff>
    </xdr:to>
    <mc:AlternateContent xmlns:mc="http://schemas.openxmlformats.org/markup-compatibility/2006" xmlns:a14="http://schemas.microsoft.com/office/drawing/2010/main">
      <mc:Choice Requires="a14">
        <xdr:graphicFrame macro="">
          <xdr:nvGraphicFramePr>
            <xdr:cNvPr id="2" name="Bank 10">
              <a:extLst>
                <a:ext uri="{FF2B5EF4-FFF2-40B4-BE49-F238E27FC236}">
                  <a16:creationId xmlns:a16="http://schemas.microsoft.com/office/drawing/2014/main" id="{1192995D-6B00-60FD-AD1E-D30952B13C6F}"/>
                </a:ext>
              </a:extLst>
            </xdr:cNvPr>
            <xdr:cNvGraphicFramePr/>
          </xdr:nvGraphicFramePr>
          <xdr:xfrm>
            <a:off x="0" y="0"/>
            <a:ext cx="0" cy="0"/>
          </xdr:xfrm>
          <a:graphic>
            <a:graphicData uri="http://schemas.microsoft.com/office/drawing/2010/slicer">
              <sle:slicer xmlns:sle="http://schemas.microsoft.com/office/drawing/2010/slicer" name="Bank 10"/>
            </a:graphicData>
          </a:graphic>
        </xdr:graphicFrame>
      </mc:Choice>
      <mc:Fallback xmlns="">
        <xdr:sp macro="" textlink="">
          <xdr:nvSpPr>
            <xdr:cNvPr id="0" name=""/>
            <xdr:cNvSpPr>
              <a:spLocks noTextEdit="1"/>
            </xdr:cNvSpPr>
          </xdr:nvSpPr>
          <xdr:spPr>
            <a:xfrm>
              <a:off x="3790951" y="4610100"/>
              <a:ext cx="990600" cy="18097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400050</xdr:colOff>
      <xdr:row>34</xdr:row>
      <xdr:rowOff>114300</xdr:rowOff>
    </xdr:from>
    <xdr:to>
      <xdr:col>6</xdr:col>
      <xdr:colOff>752475</xdr:colOff>
      <xdr:row>39</xdr:row>
      <xdr:rowOff>95250</xdr:rowOff>
    </xdr:to>
    <mc:AlternateContent xmlns:mc="http://schemas.openxmlformats.org/markup-compatibility/2006" xmlns:a14="http://schemas.microsoft.com/office/drawing/2010/main">
      <mc:Choice Requires="a14">
        <xdr:graphicFrame macro="">
          <xdr:nvGraphicFramePr>
            <xdr:cNvPr id="3" name="Type 1">
              <a:extLst>
                <a:ext uri="{FF2B5EF4-FFF2-40B4-BE49-F238E27FC236}">
                  <a16:creationId xmlns:a16="http://schemas.microsoft.com/office/drawing/2014/main" id="{EC74DD2C-C478-83AB-1120-0057D11F713C}"/>
                </a:ext>
              </a:extLst>
            </xdr:cNvPr>
            <xdr:cNvGraphicFramePr/>
          </xdr:nvGraphicFramePr>
          <xdr:xfrm>
            <a:off x="0" y="0"/>
            <a:ext cx="0" cy="0"/>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3829050" y="6762750"/>
              <a:ext cx="952500" cy="942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685800</xdr:colOff>
          <xdr:row>0</xdr:row>
          <xdr:rowOff>85725</xdr:rowOff>
        </xdr:from>
        <xdr:to>
          <xdr:col>5</xdr:col>
          <xdr:colOff>904875</xdr:colOff>
          <xdr:row>1</xdr:row>
          <xdr:rowOff>209550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C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ea typeface="Calibri"/>
                  <a:cs typeface="Calibri"/>
                </a:rPr>
                <a:t>New_Window - Update Records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0</xdr:row>
          <xdr:rowOff>95250</xdr:rowOff>
        </xdr:from>
        <xdr:to>
          <xdr:col>1</xdr:col>
          <xdr:colOff>809625</xdr:colOff>
          <xdr:row>1</xdr:row>
          <xdr:rowOff>171450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C00-000002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ptos Narrow"/>
                </a:rPr>
                <a:t>Show All</a:t>
              </a:r>
            </a:p>
          </xdr:txBody>
        </xdr:sp>
        <xdr:clientData fPrintsWithSheet="0"/>
      </xdr:twoCellAnchor>
    </mc:Choice>
    <mc:Fallback/>
  </mc:AlternateContent>
  <xdr:twoCellAnchor editAs="absolute">
    <xdr:from>
      <xdr:col>2</xdr:col>
      <xdr:colOff>85725</xdr:colOff>
      <xdr:row>0</xdr:row>
      <xdr:rowOff>38101</xdr:rowOff>
    </xdr:from>
    <xdr:to>
      <xdr:col>3</xdr:col>
      <xdr:colOff>838200</xdr:colOff>
      <xdr:row>2</xdr:row>
      <xdr:rowOff>314325</xdr:rowOff>
    </xdr:to>
    <mc:AlternateContent xmlns:mc="http://schemas.openxmlformats.org/markup-compatibility/2006" xmlns:sle15="http://schemas.microsoft.com/office/drawing/2012/slicer">
      <mc:Choice Requires="sle15">
        <xdr:graphicFrame macro="">
          <xdr:nvGraphicFramePr>
            <xdr:cNvPr id="2" name="Bank 9">
              <a:extLst>
                <a:ext uri="{FF2B5EF4-FFF2-40B4-BE49-F238E27FC236}">
                  <a16:creationId xmlns:a16="http://schemas.microsoft.com/office/drawing/2014/main" id="{D685EE44-F36A-421C-9AD5-F6FA9559B5AA}"/>
                </a:ext>
              </a:extLst>
            </xdr:cNvPr>
            <xdr:cNvGraphicFramePr/>
          </xdr:nvGraphicFramePr>
          <xdr:xfrm>
            <a:off x="0" y="0"/>
            <a:ext cx="0" cy="0"/>
          </xdr:xfrm>
          <a:graphic>
            <a:graphicData uri="http://schemas.microsoft.com/office/drawing/2010/slicer">
              <sle:slicer xmlns:sle="http://schemas.microsoft.com/office/drawing/2010/slicer" name="Bank 9"/>
            </a:graphicData>
          </a:graphic>
        </xdr:graphicFrame>
      </mc:Choice>
      <mc:Fallback xmlns="">
        <xdr:sp macro="" textlink="">
          <xdr:nvSpPr>
            <xdr:cNvPr id="0" name=""/>
            <xdr:cNvSpPr>
              <a:spLocks noTextEdit="1"/>
            </xdr:cNvSpPr>
          </xdr:nvSpPr>
          <xdr:spPr>
            <a:xfrm>
              <a:off x="1771650" y="38101"/>
              <a:ext cx="1828800" cy="685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1038225</xdr:colOff>
      <xdr:row>0</xdr:row>
      <xdr:rowOff>85725</xdr:rowOff>
    </xdr:from>
    <xdr:to>
      <xdr:col>3</xdr:col>
      <xdr:colOff>2867025</xdr:colOff>
      <xdr:row>2</xdr:row>
      <xdr:rowOff>161925</xdr:rowOff>
    </xdr:to>
    <mc:AlternateContent xmlns:mc="http://schemas.openxmlformats.org/markup-compatibility/2006" xmlns:sle15="http://schemas.microsoft.com/office/drawing/2012/slicer">
      <mc:Choice Requires="sle15">
        <xdr:graphicFrame macro="">
          <xdr:nvGraphicFramePr>
            <xdr:cNvPr id="3" name="Status 2">
              <a:extLst>
                <a:ext uri="{FF2B5EF4-FFF2-40B4-BE49-F238E27FC236}">
                  <a16:creationId xmlns:a16="http://schemas.microsoft.com/office/drawing/2014/main" id="{11278FBE-674D-4BF6-B52A-8AAE9E650762}"/>
                </a:ext>
              </a:extLst>
            </xdr:cNvPr>
            <xdr:cNvGraphicFramePr/>
          </xdr:nvGraphicFramePr>
          <xdr:xfrm>
            <a:off x="0" y="0"/>
            <a:ext cx="0" cy="0"/>
          </xdr:xfrm>
          <a:graphic>
            <a:graphicData uri="http://schemas.microsoft.com/office/drawing/2010/slicer">
              <sle:slicer xmlns:sle="http://schemas.microsoft.com/office/drawing/2010/slicer" name="Status 2"/>
            </a:graphicData>
          </a:graphic>
        </xdr:graphicFrame>
      </mc:Choice>
      <mc:Fallback xmlns="">
        <xdr:sp macro="" textlink="">
          <xdr:nvSpPr>
            <xdr:cNvPr id="0" name=""/>
            <xdr:cNvSpPr>
              <a:spLocks noTextEdit="1"/>
            </xdr:cNvSpPr>
          </xdr:nvSpPr>
          <xdr:spPr>
            <a:xfrm>
              <a:off x="3800475" y="85725"/>
              <a:ext cx="1828800" cy="6381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2990850</xdr:colOff>
      <xdr:row>0</xdr:row>
      <xdr:rowOff>28575</xdr:rowOff>
    </xdr:from>
    <xdr:to>
      <xdr:col>3</xdr:col>
      <xdr:colOff>4819650</xdr:colOff>
      <xdr:row>2</xdr:row>
      <xdr:rowOff>247650</xdr:rowOff>
    </xdr:to>
    <mc:AlternateContent xmlns:mc="http://schemas.openxmlformats.org/markup-compatibility/2006" xmlns:sle15="http://schemas.microsoft.com/office/drawing/2012/slicer">
      <mc:Choice Requires="sle15">
        <xdr:graphicFrame macro="">
          <xdr:nvGraphicFramePr>
            <xdr:cNvPr id="4" name="Month">
              <a:extLst>
                <a:ext uri="{FF2B5EF4-FFF2-40B4-BE49-F238E27FC236}">
                  <a16:creationId xmlns:a16="http://schemas.microsoft.com/office/drawing/2014/main" id="{7C6DDE00-E0DA-D137-4028-D5ED730DF272}"/>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5753100" y="28575"/>
              <a:ext cx="1828800" cy="9429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4857750</xdr:colOff>
      <xdr:row>0</xdr:row>
      <xdr:rowOff>114300</xdr:rowOff>
    </xdr:from>
    <xdr:to>
      <xdr:col>3</xdr:col>
      <xdr:colOff>6686550</xdr:colOff>
      <xdr:row>1</xdr:row>
      <xdr:rowOff>219075</xdr:rowOff>
    </xdr:to>
    <mc:AlternateContent xmlns:mc="http://schemas.openxmlformats.org/markup-compatibility/2006" xmlns:sle15="http://schemas.microsoft.com/office/drawing/2012/slicer">
      <mc:Choice Requires="sle15">
        <xdr:graphicFrame macro="">
          <xdr:nvGraphicFramePr>
            <xdr:cNvPr id="5" name="Year">
              <a:extLst>
                <a:ext uri="{FF2B5EF4-FFF2-40B4-BE49-F238E27FC236}">
                  <a16:creationId xmlns:a16="http://schemas.microsoft.com/office/drawing/2014/main" id="{EB4058FB-9A2B-760F-3785-1F2FCA442BF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620000" y="114300"/>
              <a:ext cx="1828800" cy="4667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_rels/pivotCacheDefinition12.xml.rels><?xml version="1.0" encoding="UTF-8" standalone="yes"?>
<Relationships xmlns="http://schemas.openxmlformats.org/package/2006/relationships"><Relationship Id="rId1" Type="http://schemas.openxmlformats.org/officeDocument/2006/relationships/pivotCacheRecords" Target="pivotCacheRecords12.xml"/></Relationships>
</file>

<file path=xl/pivotCache/_rels/pivotCacheDefinition13.xml.rels><?xml version="1.0" encoding="UTF-8" standalone="yes"?>
<Relationships xmlns="http://schemas.openxmlformats.org/package/2006/relationships"><Relationship Id="rId1" Type="http://schemas.openxmlformats.org/officeDocument/2006/relationships/pivotCacheRecords" Target="pivotCacheRecords13.xml"/></Relationships>
</file>

<file path=xl/pivotCache/_rels/pivotCacheDefinition14.xml.rels><?xml version="1.0" encoding="UTF-8" standalone="yes"?>
<Relationships xmlns="http://schemas.openxmlformats.org/package/2006/relationships"><Relationship Id="rId1" Type="http://schemas.openxmlformats.org/officeDocument/2006/relationships/pivotCacheRecords" Target="pivotCacheRecords14.xml"/></Relationships>
</file>

<file path=xl/pivotCache/_rels/pivotCacheDefinition15.xml.rels><?xml version="1.0" encoding="UTF-8" standalone="yes"?>
<Relationships xmlns="http://schemas.openxmlformats.org/package/2006/relationships"><Relationship Id="rId1" Type="http://schemas.openxmlformats.org/officeDocument/2006/relationships/pivotCacheRecords" Target="pivotCacheRecords15.xml"/></Relationships>
</file>

<file path=xl/pivotCache/_rels/pivotCacheDefinition16.xml.rels><?xml version="1.0" encoding="UTF-8" standalone="yes"?>
<Relationships xmlns="http://schemas.openxmlformats.org/package/2006/relationships"><Relationship Id="rId1" Type="http://schemas.openxmlformats.org/officeDocument/2006/relationships/pivotCacheRecords" Target="pivotCacheRecords1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24006365742" createdVersion="8" refreshedVersion="8" minRefreshableVersion="3" recordCount="2925" xr:uid="{A49BDD84-DB63-4583-A103-E2FE53873DF9}">
  <cacheSource type="worksheet">
    <worksheetSource name="Advices"/>
  </cacheSource>
  <cacheFields count="18">
    <cacheField name="Bank" numFmtId="0">
      <sharedItems count="9">
        <s v="Riyad"/>
        <s v="Alinma"/>
        <s v="SNB"/>
        <s v="SAB"/>
        <s v="Bilad"/>
        <s v="Jazira"/>
        <s v="NBK"/>
        <s v="FAB"/>
        <s v="Rajhi"/>
      </sharedItems>
    </cacheField>
    <cacheField name="Transaction Date" numFmtId="14">
      <sharedItems containsSemiMixedTypes="0" containsNonDate="0" containsDate="1" containsString="0" minDate="2025-10-01T00:00:00" maxDate="2026-06-23T00:00:00" count="179">
        <d v="2025-10-07T00:00:00"/>
        <d v="2025-10-08T00:00:00"/>
        <d v="2025-10-09T00:00:00"/>
        <d v="2025-10-13T00:00:00"/>
        <d v="2025-10-01T00:00:00"/>
        <d v="2025-10-02T00:00:00"/>
        <d v="2025-10-05T00:00:00"/>
        <d v="2025-10-06T00:00:00"/>
        <d v="2025-10-12T00:00:00"/>
        <d v="2025-10-14T00:00:00"/>
        <d v="2025-10-15T00:00:00"/>
        <d v="2025-10-16T00:00:00"/>
        <d v="2025-10-19T00:00:00"/>
        <d v="2025-10-20T00:00:00"/>
        <d v="2025-10-21T00:00:00"/>
        <d v="2025-10-22T00:00:00"/>
        <d v="2025-10-23T00:00:00"/>
        <d v="2025-10-26T00:00:00"/>
        <d v="2025-10-27T00:00:00"/>
        <d v="2025-10-28T00:00:00"/>
        <d v="2025-10-29T00:00:00"/>
        <d v="2025-10-30T00:00:00"/>
        <d v="2025-11-02T00:00:00"/>
        <d v="2025-11-03T00:00:00"/>
        <d v="2025-11-04T00:00:00"/>
        <d v="2025-11-05T00:00:00"/>
        <d v="2025-11-06T00:00:00"/>
        <d v="2025-11-09T00:00:00"/>
        <d v="2025-11-10T00:00:00"/>
        <d v="2025-11-11T00:00:00"/>
        <d v="2025-11-12T00:00:00"/>
        <d v="2025-11-13T00:00:00"/>
        <d v="2025-11-16T00:00:00"/>
        <d v="2025-11-20T00:00:00"/>
        <d v="2025-11-18T00:00:00"/>
        <d v="2025-11-19T00:00:00"/>
        <d v="2025-11-17T00:00:00"/>
        <d v="2025-11-14T00:00:00"/>
        <d v="2025-11-23T00:00:00"/>
        <d v="2025-11-24T00:00:00"/>
        <d v="2025-11-25T00:00:00"/>
        <d v="2025-11-26T00:00:00"/>
        <d v="2025-11-27T00:00:00"/>
        <d v="2025-11-30T00:00:00"/>
        <d v="2025-12-01T00:00:00"/>
        <d v="2025-12-02T00:00:00"/>
        <d v="2025-12-03T00:00:00"/>
        <d v="2025-12-04T00:00:00"/>
        <d v="2025-12-07T00:00:00"/>
        <d v="2025-12-08T00:00:00"/>
        <d v="2025-12-09T00:00:00"/>
        <d v="2025-12-10T00:00:00"/>
        <d v="2025-12-11T00:00:00"/>
        <d v="2025-12-14T00:00:00"/>
        <d v="2025-12-15T00:00:00"/>
        <d v="2025-12-16T00:00:00"/>
        <d v="2025-12-17T00:00:00"/>
        <d v="2025-12-18T00:00:00"/>
        <d v="2025-12-21T00:00:00"/>
        <d v="2025-12-22T00:00:00"/>
        <d v="2025-12-23T00:00:00"/>
        <d v="2025-12-24T00:00:00"/>
        <d v="2025-12-25T00:00:00"/>
        <d v="2025-12-28T00:00:00"/>
        <d v="2025-12-29T00:00:00"/>
        <d v="2025-12-30T00:00:00"/>
        <d v="2025-12-31T00:00:00"/>
        <d v="2026-01-01T00:00:00"/>
        <d v="2026-01-04T00:00:00"/>
        <d v="2026-01-05T00:00:00"/>
        <d v="2026-01-06T00:00:00"/>
        <d v="2026-01-07T00:00:00"/>
        <d v="2026-01-08T00:00:00"/>
        <d v="2026-01-11T00:00:00"/>
        <d v="2026-01-12T00:00:00"/>
        <d v="2026-01-13T00:00:00"/>
        <d v="2026-01-14T00:00:00"/>
        <d v="2026-01-15T00:00:00"/>
        <d v="2026-01-18T00:00:00"/>
        <d v="2026-01-19T00:00:00"/>
        <d v="2026-01-20T00:00:00"/>
        <d v="2026-01-21T00:00:00"/>
        <d v="2026-01-22T00:00:00"/>
        <d v="2026-01-25T00:00:00"/>
        <d v="2026-01-26T00:00:00"/>
        <d v="2026-01-27T00:00:00"/>
        <d v="2026-01-28T00:00:00"/>
        <d v="2026-01-30T00:00:00"/>
        <d v="2026-02-02T00:00:00"/>
        <d v="2026-02-01T00:00:00"/>
        <d v="2026-02-04T00:00:00"/>
        <d v="2026-02-05T00:00:00"/>
        <d v="2026-02-08T00:00:00"/>
        <d v="2026-02-09T00:00:00"/>
        <d v="2026-02-10T00:00:00"/>
        <d v="2026-02-11T00:00:00"/>
        <d v="2026-02-12T00:00:00"/>
        <d v="2026-02-15T00:00:00"/>
        <d v="2026-02-16T00:00:00"/>
        <d v="2026-02-17T00:00:00"/>
        <d v="2026-02-18T00:00:00"/>
        <d v="2026-02-19T00:00:00"/>
        <d v="2026-02-23T00:00:00"/>
        <d v="2026-02-24T00:00:00"/>
        <d v="2026-02-25T00:00:00"/>
        <d v="2026-02-26T00:00:00"/>
        <d v="2026-03-01T00:00:00"/>
        <d v="2026-03-02T00:00:00"/>
        <d v="2026-03-03T00:00:00"/>
        <d v="2026-03-04T00:00:00"/>
        <d v="2026-01-29T00:00:00"/>
        <d v="2026-03-05T00:00:00"/>
        <d v="2026-03-08T00:00:00"/>
        <d v="2026-03-09T00:00:00"/>
        <d v="2026-03-10T00:00:00"/>
        <d v="2026-03-11T00:00:00"/>
        <d v="2026-03-12T00:00:00"/>
        <d v="2026-03-15T00:00:00"/>
        <d v="2026-03-16T00:00:00"/>
        <d v="2026-03-24T00:00:00"/>
        <d v="2026-03-25T00:00:00"/>
        <d v="2026-03-26T00:00:00"/>
        <d v="2026-03-29T00:00:00"/>
        <d v="2026-03-31T00:00:00"/>
        <d v="2026-03-30T00:00:00"/>
        <d v="2026-04-02T00:00:00"/>
        <d v="2026-04-05T00:00:00"/>
        <d v="2026-04-01T00:00:00"/>
        <d v="2026-04-06T00:00:00"/>
        <d v="2026-04-07T00:00:00"/>
        <d v="2026-04-08T00:00:00"/>
        <d v="2026-04-09T00:00:00"/>
        <d v="2026-04-13T00:00:00"/>
        <d v="2026-04-12T00:00:00"/>
        <d v="2026-04-14T00:00:00"/>
        <d v="2026-04-15T00:00:00"/>
        <d v="2026-04-16T00:00:00"/>
        <d v="2026-04-19T00:00:00"/>
        <d v="2026-04-20T00:00:00"/>
        <d v="2026-04-21T00:00:00"/>
        <d v="2026-04-22T00:00:00"/>
        <d v="2026-04-23T00:00:00"/>
        <d v="2026-04-26T00:00:00"/>
        <d v="2026-04-27T00:00:00"/>
        <d v="2026-04-28T00:00:00"/>
        <d v="2026-04-29T00:00:00"/>
        <d v="2026-04-30T00:00:00"/>
        <d v="2026-05-04T00:00:00"/>
        <d v="2026-05-05T00:00:00"/>
        <d v="2026-05-03T00:00:00"/>
        <d v="2026-05-06T00:00:00"/>
        <d v="2026-05-07T00:00:00"/>
        <d v="2026-05-10T00:00:00"/>
        <d v="2026-05-11T00:00:00"/>
        <d v="2026-05-12T00:00:00"/>
        <d v="2026-05-13T00:00:00"/>
        <d v="2026-05-14T00:00:00"/>
        <d v="2026-05-18T00:00:00"/>
        <d v="2026-05-17T00:00:00"/>
        <d v="2026-05-19T00:00:00"/>
        <d v="2026-05-20T00:00:00"/>
        <d v="2026-05-21T00:00:00"/>
        <d v="2026-05-25T00:00:00"/>
        <d v="2026-05-31T00:00:00"/>
        <d v="2026-06-01T00:00:00"/>
        <d v="2026-06-03T00:00:00"/>
        <d v="2026-06-07T00:00:00"/>
        <d v="2026-06-08T00:00:00"/>
        <d v="2026-06-04T00:00:00"/>
        <d v="2026-06-02T00:00:00"/>
        <d v="2026-06-09T00:00:00"/>
        <d v="2026-06-10T00:00:00"/>
        <d v="2026-06-11T00:00:00"/>
        <d v="2026-06-14T00:00:00"/>
        <d v="2026-06-16T00:00:00"/>
        <d v="2026-06-15T00:00:00"/>
        <d v="2026-06-17T00:00:00"/>
        <d v="2026-06-18T00:00:00"/>
        <d v="2026-06-22T00:00:00"/>
      </sharedItems>
    </cacheField>
    <cacheField name="Account No" numFmtId="0">
      <sharedItems count="24">
        <s v="1000027429940"/>
        <s v="2000012439940"/>
        <s v="1574596640440"/>
        <s v="68203972500000"/>
        <s v="19100000033209"/>
        <s v="262-307200-006"/>
        <s v="262-307200-001"/>
        <s v="924140048640004"/>
        <s v="924140048640063"/>
        <s v="084095029184001"/>
        <s v="19100000060709"/>
        <s v="19100000155300"/>
        <s v="65800000701003"/>
        <s v="2000012433840"/>
        <s v="1851811079940"/>
        <s v="XXXXXXXXX9001"/>
        <s v="65800000723001"/>
        <s v="262-307200-009"/>
        <s v="3351007012660017"/>
        <s v="68203972500001"/>
        <s v="65800000767008"/>
        <s v="1851811079941"/>
        <s v="577000010006080920117"/>
        <s v="65800000764401"/>
      </sharedItems>
    </cacheField>
    <cacheField name="Transaction Details" numFmtId="0">
      <sharedItems longText="1"/>
    </cacheField>
    <cacheField name="LC Number" numFmtId="0">
      <sharedItems count="569">
        <s v="JLC6801573"/>
        <s v="JLG6605266"/>
        <s v="JLG6903548"/>
        <s v="JLG6903643"/>
        <s v="JLC6901611"/>
        <s v="JLC6901616"/>
        <s v="JLC6901617_Cre"/>
        <s v="JLC6901613"/>
        <s v="JLC6901612"/>
        <s v="JLG6603862"/>
        <s v="JLC6901468"/>
        <s v="JLG6903822"/>
        <s v="JLC6901492"/>
        <s v="TF2513100011"/>
        <s v="TF2517700054"/>
        <s v="TF2521100011"/>
        <s v="TF2510400020"/>
        <s v="TF2514700055"/>
        <s v="TF2502300056"/>
        <s v="TF2508300029"/>
        <s v="TF2508300035"/>
        <s v="TF2517400086"/>
        <s v="TF2513100024"/>
        <s v="TF2513200005"/>
        <s v="TF2514700066"/>
        <s v="TF2517300038"/>
        <s v="TF2513100026"/>
        <s v="TF2514700033"/>
        <s v="TF2519400032"/>
        <s v="TF2510400017"/>
        <s v="TF2513500039"/>
        <s v="TF2517400045"/>
        <s v="TF2513500029"/>
        <s v="TF2513500037"/>
        <s v="TF2517700020"/>
        <s v="TF2521100016"/>
        <s v="TF2523600029"/>
        <s v="J210386"/>
        <s v="J210929"/>
        <s v="J210607"/>
        <s v="J210608"/>
        <s v="J210610"/>
        <s v="J210617"/>
        <s v="DCBWPM563813"/>
        <s v="DCBWPM562731"/>
        <s v="DCBWPM554837"/>
        <s v="DCBWPM563932"/>
        <s v="DCBWPM560813"/>
        <s v="DCBWPM554738"/>
        <s v="DCBWPM566972"/>
        <s v="DC WPM556764"/>
        <s v="DCBWPM563023"/>
        <s v="DCBWPM553893"/>
        <s v="DCBWPM554250"/>
        <s v="DCBWPM553955"/>
        <s v="DCBWPM551279"/>
        <s v="DCBWPM563040"/>
        <s v="DCBWPM558769"/>
        <s v="DCBWPM564593"/>
        <s v="DCBWPM558755"/>
        <s v="DCBWPM558781"/>
        <s v="DCBWPM565536"/>
        <s v="DCBWPM563814"/>
        <s v="DCBWPM553897"/>
        <s v="PEBGCU567257"/>
        <s v="IM2512733014"/>
        <s v="IM2512733008"/>
        <s v="IM2512833005"/>
        <s v="IM2513233001"/>
        <s v="ILC-0840-25-7351"/>
        <s v="ILC-0840-25-7980"/>
        <s v="ILC-0840-25-8011"/>
        <s v="ILC-0840-25-7799"/>
        <s v="ILC-0840-25-7353"/>
        <s v="ILC-0840-25-7982"/>
        <s v="ILC-0840-25-7352"/>
        <s v="ILC-0840-25-7981"/>
        <s v="ILC-0840-25-7992"/>
        <s v="ILC-0840-25-7570"/>
        <s v="ILC-0840-25-7354"/>
        <s v="ILC-0840-25-7984"/>
        <s v="ILC-0840-25-7407"/>
        <s v="ILC-0840-25-7266"/>
        <s v="ILC-0840-25-7566"/>
        <s v="ILC-0840-25-8159"/>
        <s v="ILC-0840-25-7355"/>
        <s v="ILC-0840-25-7736"/>
        <s v="TF2507700061"/>
        <s v="TF2508300031"/>
        <s v="TF2517400066"/>
        <s v="TF2527100025"/>
        <s v="ILC-0840-25-8162"/>
        <s v="TF2512800002"/>
        <s v="TF2517400038"/>
        <s v="TF2517400050"/>
        <s v="JLC6901431_Cre"/>
        <s v="JLC6701731"/>
        <s v="DCBWPM564601"/>
        <s v="ILC-0840-25-7264"/>
        <s v="ILC-0840-25-8161"/>
        <s v="TF2514700052"/>
        <s v="DCBWPM567554"/>
        <s v="DCBWPM567556"/>
        <s v="J210028"/>
        <s v="DCBWPM567940"/>
        <s v="DCBWPM558756"/>
        <s v="DCBWPM558759"/>
        <s v="TF2513500031"/>
        <s v="TF2514700038"/>
        <s v="IM2435433001"/>
        <s v="ILC-0840-25-7481"/>
        <s v="TF2527100024"/>
        <s v="JLG6903586"/>
        <s v="JLG6800101"/>
        <s v="DCBWPM563936"/>
        <s v="ILC-0840-25-8427"/>
        <s v="B323741"/>
        <s v="B323823"/>
        <s v="B314277"/>
        <s v="TF2513100029"/>
        <s v="TF2513500016"/>
        <s v="TF2513500033"/>
        <s v="TF2513500035"/>
        <s v="TF2514700061"/>
        <s v="DCBWPM565836"/>
        <s v="TF2514700056"/>
        <s v="TF2513100025"/>
        <s v="TF2517400053"/>
        <s v="J210096"/>
        <s v="DCBWPM562728"/>
        <s v="IM2512733013"/>
        <s v="TF2513500017"/>
        <s v="TF2513500026"/>
        <s v="TF2513500030"/>
        <s v="J210611"/>
        <s v="J210604"/>
        <s v="J210104"/>
        <s v="DCBWPM565760"/>
        <s v="DCBWPM562620"/>
        <s v="TF2511400003"/>
        <s v="DCBWPM562595"/>
        <s v="TF2523000034"/>
        <s v="DCBWPM560155"/>
        <s v="DCBWPM558751"/>
        <s v="ILC-0840-25-8471"/>
        <s v="ILC-0840-25-8470"/>
        <s v="ILC-0840-25-8473"/>
        <s v="TF2521100088"/>
        <s v="JLG6603079"/>
        <s v="J210605"/>
        <s v="DCBWPM558782"/>
        <s v="DCBWPM565818"/>
        <s v="IM2500633009"/>
        <s v="TF2517400070"/>
        <s v="JLG6902202"/>
        <s v="JLC6801271"/>
        <s v="J210606"/>
        <s v="J210425"/>
        <s v="DCBWPM558786"/>
        <s v="DCBWPM558768"/>
        <s v="DCBWPM563027"/>
        <s v="DCBCPM558780"/>
        <s v="DCBWPM558776"/>
        <s v="DCBWPM563374"/>
        <s v="DCBWPM558787"/>
        <s v="DCBWPM565846"/>
        <s v="ILC-0840-25-7173"/>
        <s v="ILC-0840-25-7269"/>
        <s v="ILC-0840-25-7517"/>
        <s v="ILC-0840-25-7737"/>
        <s v="LGI-0840-25-6611"/>
        <s v="LGI-0840-25-6682"/>
        <s v="LGI-0840-25-6701"/>
        <s v="LGI-0840-25-6932"/>
        <s v="TF2513500018"/>
        <s v="TF2513500032"/>
        <s v="TF2514600067"/>
        <s v="TF2514700064"/>
        <s v="TF2517400062"/>
        <s v="DCBWPM563046"/>
        <s v="DCBWPM564579"/>
        <s v="JLG6904264"/>
        <s v="JLG6904263"/>
        <s v="TF2514700037"/>
        <s v="TF2514700051"/>
        <s v="TF2517400019"/>
        <s v="TF2517400098"/>
        <s v="TF2517700028"/>
        <s v="TF2517700087"/>
        <s v="TF2521100048"/>
        <s v="TF2521100101"/>
        <s v="JLG6800803"/>
        <s v="J211485"/>
        <s v="DCBWPM563824"/>
        <s v="DCBWPM563025"/>
        <s v="DCBWPM563695"/>
        <s v="DCBWPM566643"/>
        <s v="DCBWPM558775"/>
        <s v="DCBWPM563030"/>
        <s v="DCBWPM558763"/>
        <s v="DCBWPM564584"/>
        <s v="TF2502300034"/>
        <s v="TF2508300056"/>
        <s v="TF2509900019"/>
        <s v="TF2513100027"/>
        <s v="TF2513500019"/>
        <s v="TF2513500034"/>
        <s v="TF2514600059"/>
        <s v="TF2514700025"/>
        <s v="TF2530200031"/>
        <s v="TF2531400014"/>
        <s v="TF2514700030"/>
        <s v="TF2531600053"/>
        <s v="TF2531600056"/>
        <s v="TF2531600062"/>
        <s v="TF2508300047"/>
        <s v="TF2514700046"/>
        <s v="TF2517400017"/>
        <s v="TF2517400030"/>
        <s v="TF2517400044"/>
        <s v="TF2517700035"/>
        <s v="TF2517700061"/>
        <s v="TF2530600034"/>
        <s v="JLG6601246"/>
        <s v="JLG6602654"/>
        <s v="JLG6902637"/>
        <s v="J210868"/>
        <s v="DCBWPM562730"/>
        <s v="DCBWPM566639"/>
        <s v="DCBWPM564596"/>
        <s v="DCBWPM564605"/>
        <s v="DCBWPM566842"/>
        <s v="DCBWPM563067"/>
        <s v="DCBWPM563375"/>
        <s v="DCBWPM563039"/>
        <s v="DCBWPM563229"/>
        <s v="IM2433133003"/>
        <s v="ILC-0840-25-7986"/>
        <s v="ILC-0840-25-7572"/>
        <s v="ILC-0840-25-7979"/>
        <s v="LGI-0840-25-7098"/>
        <s v="TF2517400057"/>
        <s v="TF2517700045"/>
        <s v="TF2517700078"/>
        <s v="TF2526500017"/>
        <s v="JLG6902554"/>
        <s v="JLG6903291"/>
        <s v="JLG6900682"/>
        <s v="JLG6900685"/>
        <s v="DCBWPM563043"/>
        <s v="DCBWPM562624"/>
        <s v="DCBWPM562598"/>
        <s v="DCBWPM562592"/>
        <s v="DCBWPM562615"/>
        <s v="DCBWPM563055"/>
        <s v="DCBWPM563021"/>
        <s v="DCBWPM563059"/>
        <s v="DCBWPM566637"/>
        <s v="DCBWPM562604"/>
        <s v="ILC-0840-25-7735"/>
        <s v="JLC6901472"/>
        <s v="JLC6901475"/>
        <s v="JLC6901487"/>
        <s v="JLC6901470"/>
        <s v="JLG6900681"/>
        <s v="B325009"/>
        <s v="J210944"/>
        <s v="DCBWPM562590"/>
        <s v="DCBWPM562622"/>
        <s v="DCBWPM555620"/>
        <s v="TF2521100037"/>
        <s v="TF2521100097"/>
        <s v="TF2517700014"/>
        <s v="TF2523600022"/>
        <s v="TF2533500006"/>
        <s v="TF2533500010"/>
        <s v="TF2521000028"/>
        <s v="TF2533600018"/>
        <s v="TF2510400021"/>
        <s v="TF2517400023"/>
        <s v="TF2521100095"/>
        <s v="JLC6902213"/>
        <s v="JLC6902211"/>
        <s v="JLG6604324"/>
        <s v="JLC6901608"/>
        <s v="JLG6802458"/>
        <s v="JLG6900510"/>
        <s v="JLG6903543"/>
        <s v="JLG6604420"/>
        <s v="JLC6901610"/>
        <s v="J211600"/>
        <s v="J211604"/>
        <s v="J210928"/>
        <s v="DCBWPM570384"/>
        <s v="DCBWPM570361"/>
        <s v="DCBWPM570380"/>
        <s v="DCBWPM570369"/>
        <s v="DCBWPM565841"/>
        <s v="DCBWPM570414"/>
        <s v="DCBWPM564600"/>
        <s v="DCBWPM562612"/>
        <s v="DCBWPM563064"/>
        <s v="DCBWPM563026"/>
        <s v="DCBWPM563822"/>
        <s v="DCBWPM566642"/>
        <s v="DCBWPM562626"/>
        <s v="DCBWPM564575"/>
        <s v="PEBGCU504055"/>
        <s v="DCBWPM562605"/>
        <s v="ILC-0840-25-8166"/>
        <s v="ILC-0840-25-8165"/>
        <s v="ILC-0840-25-8160"/>
        <s v="ILC-0840-25-8164"/>
        <s v="LGI-0840-25-7282 "/>
        <s v="JLG6903583"/>
        <s v="DCBWPM565832"/>
        <s v="JLG6902732"/>
        <s v="JLG6901738"/>
        <s v="DCBWPM562600"/>
        <s v="DCBWPM563228"/>
        <s v="DCBWPM565824"/>
        <s v="DCBWPM563019"/>
        <s v="DCBWPM555615"/>
        <s v="DCBWPM563935"/>
        <s v="DCBWPM564585"/>
        <s v="TF2534800029"/>
        <s v="TF2535200018"/>
        <s v="TF2535200019"/>
        <s v="J211681"/>
        <s v="M001909"/>
        <s v="M001910"/>
        <s v="TF2535200021"/>
        <s v="J210676"/>
        <s v="TF2526500019"/>
        <s v="DCBWPM562628"/>
        <s v="TF2535900014"/>
        <s v="TF2535900016"/>
        <s v="DCBWPM563232"/>
        <s v="DCBWPM564582"/>
        <s v="PEBGCU566430"/>
        <s v="DCBWPM570839"/>
        <s v="ILC-0840-25-8163"/>
        <s v="JLC7000003"/>
        <s v="JLC7000007"/>
        <s v="JLC7000001"/>
        <s v="JLC7000009"/>
        <s v="JLC7002384"/>
        <s v="JLC7000006"/>
        <s v="JLC7000005"/>
        <s v="JLC7000008"/>
        <s v="JLC7000002"/>
        <s v="JLC7000004"/>
        <s v="ILC-0840-26-8758"/>
        <s v="TF2521000022"/>
        <s v="JLG7000064"/>
        <s v="DCBWPM562625"/>
        <s v="DCBWPM558778"/>
        <s v="TF2513100028"/>
        <s v="TF2514600068"/>
        <s v="TF2517400111"/>
        <s v="TF2513500038"/>
        <s v="J211763"/>
        <s v="ILC-0840-26-8820"/>
        <s v="ILC-0840-26-8823"/>
        <s v="ILC-0840-26-8822"/>
        <s v="ILC-0840-26-8819"/>
        <s v="ILC-0840-26-8821"/>
        <s v="JLG6900058"/>
        <s v="PEBGCU160563"/>
        <s v="BPP26012BMQB"/>
        <s v="BPP26013SKYZ"/>
        <s v="IM2600833001"/>
        <s v="DCBWPM565843"/>
        <s v="DCBWPM566848"/>
        <s v="DCBWPM160364"/>
        <s v="DCBWPM160342"/>
        <s v="DCBWPM160363"/>
        <s v="DCBWPM160344"/>
        <s v="DCBWPM160343"/>
        <s v="DCBWPM160355"/>
        <s v="JLG7000184"/>
        <s v="J211811"/>
        <s v="J211808"/>
        <s v="J211809"/>
        <s v="J211806"/>
        <s v="J211810"/>
        <s v="J211807"/>
        <s v="DCBCPM160316"/>
        <s v="DCBWPM563017"/>
        <s v="DCBWPM160340"/>
        <s v="JLG6600939"/>
        <s v="LGI-0857-26-7603"/>
        <s v="J211835"/>
        <s v="J211836"/>
        <s v="J211805"/>
        <s v="JLG7000251"/>
        <s v="JLG6700362"/>
        <s v="DCBWPM563372"/>
        <s v="DCBWPM566634"/>
        <s v="DCBWPM161330"/>
        <s v="DCBWPM161329"/>
        <s v="DCBWPM161328"/>
        <s v="DCBWPM161322"/>
        <s v="DCBWPM161319"/>
        <s v="DCBWPM161326"/>
        <s v="DCBWPM161331"/>
        <s v="JLG7000294"/>
        <s v="JLC7000184"/>
        <s v="JLC7000193"/>
        <s v="JLC7000183"/>
        <s v="JLC7000185"/>
        <s v="JLC7000182"/>
        <s v="JLC7000187"/>
        <s v="JLC7000186"/>
        <s v="JLC7000192"/>
        <s v="JLC7000188"/>
        <s v="DCBWPM553808"/>
        <s v="JLG6902265"/>
        <s v="JLG7000450"/>
        <s v="JLG6800853"/>
        <s v="TF2604200011"/>
        <s v="LGI-0840-26-7783"/>
        <s v="J211945"/>
        <s v="DCBWPM162155"/>
        <s v="TF2604200011_A"/>
        <s v="JLG7000585"/>
        <s v="B003739"/>
        <s v="TF2605600008"/>
        <s v="J211987"/>
        <s v="TF2603600014"/>
        <s v="JLG6901089"/>
        <s v="J211985"/>
        <s v="J211986"/>
        <s v="JLG7000680"/>
        <s v="PEBGCU431928"/>
        <s v="TF2606300014"/>
        <s v="PEBGCU553740"/>
        <s v="DCBWPM162995"/>
        <s v="DCBWPM162993"/>
        <s v="DCBWPM162992"/>
        <s v="J212030"/>
        <s v="J212031"/>
        <s v="LGI-0840-26-7930"/>
        <s v="TF2604200011_C"/>
        <s v="ILC-0840-26-9073"/>
        <s v="M001959"/>
        <s v="JLG6804864"/>
        <s v="JLC7000384"/>
        <s v="JLG7000787"/>
        <s v="DCBWPM163413"/>
        <s v="DCBWPM163417"/>
        <s v="LGI-0840-26-8000"/>
        <s v="TF2604200011_B"/>
        <s v="PEBGCU163715"/>
        <s v="KCLG2600085"/>
        <s v="KCLG2600152"/>
        <s v="KCLG2600153"/>
        <s v="JLC6901617"/>
        <s v="DCBWPM164001"/>
        <s v="DCBWPM164010"/>
        <s v="DCBWPM164009"/>
        <s v="DCBWPM164007"/>
        <s v="DCBWPM164003"/>
        <s v="DCBWPM163999"/>
        <s v="DCBWPM163997"/>
        <s v="DCBWPM163995"/>
        <s v="DCBWPM163988"/>
        <s v="DCBWPM163971"/>
        <s v="DCBWPM163967"/>
        <s v="DCBWPM163964"/>
        <s v="DCBWPM163961"/>
        <s v="DCBWPM163950"/>
        <s v="DCBWPM163945"/>
        <s v="DCBWPM163953"/>
        <s v="DCBWPM163957"/>
        <s v="DCBWPM163990"/>
        <s v="DCBWPM163960"/>
        <s v="LGI-0840-26-8103      "/>
        <s v="J212103"/>
        <s v="TF2609800008"/>
        <s v="JLG7001000"/>
        <s v="ILC-"/>
        <s v="LGI-0840-26-8147"/>
        <s v="LGI-0840-25-7098 "/>
        <s v="TF2609900016"/>
        <s v="JLG7001038"/>
        <s v="J212139"/>
        <s v="J212140"/>
        <s v="DCBWPM164211"/>
        <s v="LGI-0840-26-8103"/>
        <s v="LGI-0840-26-8188  "/>
        <s v="JLG7000276"/>
        <s v="TF2610500021"/>
        <s v="TF2610500016"/>
        <s v="TF2610500019"/>
        <s v="JLG6802904"/>
        <s v="JLG7001733"/>
        <s v="JLG7001853"/>
        <s v="JLG6804535"/>
        <s v="J2M"/>
        <s v="PEBGCU164245"/>
        <s v="JLG7002299"/>
        <s v="JLG7001085"/>
        <s v="LGI-0840-26-8188"/>
        <s v="J209958"/>
        <s v="J212228"/>
        <s v="JLG7001227"/>
        <s v="JLG6804419"/>
        <s v="M001990"/>
        <s v="JLG7001279"/>
        <s v="J212311"/>
        <s v="DCBWPM165531"/>
        <s v="DCBWPM165571"/>
        <s v="ILC-0840-26-9256"/>
        <s v="TF2604200011_A&amp;B"/>
        <s v="TF2613700036"/>
        <s v="JLC6901431"/>
        <s v="DCBWPM165765"/>
        <s v="PEBGCU434591"/>
        <s v="LGI-0840-24-3252"/>
        <s v="JLG7001514"/>
        <s v="JLG7001467"/>
        <s v="J212344"/>
        <s v="J212386"/>
        <s v="DCBWPM564580"/>
        <s v="DCBWPM166259"/>
        <s v="DCBWPM166257"/>
        <s v="DCBWPM166275"/>
        <s v="DCBWPM166277"/>
        <s v="DCBWPM166270"/>
        <s v="DCBWPM166281"/>
        <s v="DCBWPM166278"/>
        <s v="DCBWPM166284"/>
        <s v="DCBWPM166294"/>
        <s v="DCBWPM166298"/>
        <s v="DCBWPM166264"/>
        <s v="DCBWPM166282"/>
        <s v="DCBWPM166289"/>
        <s v="DCBWPM166267"/>
        <s v="DCBWPM166271"/>
        <s v="DCBWPM166261"/>
        <s v="DCBWPM166272"/>
        <s v="DCBWPM166274"/>
        <s v="DCBWPM166276"/>
        <s v="DCBWPM166279"/>
        <s v="DCBWPM166287"/>
        <s v="DCBWPM166286"/>
        <s v="DCBWPM166290"/>
        <s v="DCBWPM166292"/>
        <s v="DCBWPM166296"/>
        <s v="DCBWPM166285"/>
        <s v="DCBWPM166297"/>
        <s v="LGI-0840-24-2103"/>
        <s v="JLG7001577"/>
        <s v="JLG7001576"/>
        <s v="JLG7001572"/>
        <s v="J212290"/>
        <s v="ILC-0840-26-9418"/>
        <s v="26OGTE49101516"/>
        <s v="26OGTE49101492"/>
        <s v="JLG7001686"/>
        <s v="J212502"/>
        <s v="J2" u="1"/>
        <s v="LCI-SA-M001990" u="1"/>
        <s v="LCI-SA-M001959" u="1"/>
        <s v="LCI-SA-M001909" u="1"/>
        <s v="LCI-SA-M001910" u="1"/>
        <s v="LCI-SA-B003739" u="1"/>
        <s v="DCBWPM" u="1"/>
      </sharedItems>
    </cacheField>
    <cacheField name="Full Reference" numFmtId="0">
      <sharedItems containsBlank="1"/>
    </cacheField>
    <cacheField name="Curr" numFmtId="0">
      <sharedItems containsBlank="1" count="4">
        <s v="SAR"/>
        <s v="USD"/>
        <m/>
        <s v="EUR"/>
      </sharedItems>
    </cacheField>
    <cacheField name="Debit" numFmtId="164">
      <sharedItems containsString="0" containsBlank="1" containsNumber="1" minValue="-25000000" maxValue="50000000"/>
    </cacheField>
    <cacheField name="Credit" numFmtId="164">
      <sharedItems containsString="0" containsBlank="1" containsNumber="1" minValue="0" maxValue="3389417.77"/>
    </cacheField>
    <cacheField name="Reln-Charges" numFmtId="0">
      <sharedItems containsBlank="1" count="54">
        <s v=""/>
        <s v="VAT"/>
        <s v="Acceptance"/>
        <s v="Swift Charges"/>
        <s v="Settlement"/>
        <s v="Amendment"/>
        <m/>
        <s v="Issuance/Amendment"/>
        <s v="Issuance"/>
        <s v="Inward Collection Fee"/>
        <s v="Collection"/>
        <s v="Past Due"/>
        <s v="LG Amend"/>
        <s v="Margin Maintenance"/>
        <s v="Project Flash"/>
        <s v="Docx Handling Fees"/>
        <s v="LG Issuance"/>
        <s v="LG"/>
        <s v="Margin Refund"/>
        <s v="LG Amendment"/>
        <s v="LG Issued"/>
        <s v="Transfer"/>
        <s v="LG-Amendent"/>
        <s v="Advising Charges"/>
        <s v="Courier"/>
        <s v="LG - Bid Bond"/>
        <s v="LC Issuance"/>
        <s v="Confirmation Charges"/>
        <s v="Performance"/>
        <s v="Collection_IC2600833001"/>
        <s v="Performance_Amendment"/>
        <s v="LG-Bid"/>
        <s v="LG-Performance"/>
        <s v="LG-Advance"/>
        <s v="LG-Retention"/>
        <s v="LG-Refund"/>
        <s v="Material Gua"/>
        <s v="LG Issuance -Bid"/>
        <s v="LG-Financial"/>
        <s v="Material Gua-Extension"/>
        <s v="LG Performance"/>
        <s v="LG Charges"/>
        <s v="LG-Performace"/>
        <s v="LG - Bid"/>
        <s v="LG - Per - Corresponding Bank Charges"/>
        <s v="QTR Comm"/>
        <s v="LG-Cancellation"/>
        <s v="LG- Reversal"/>
        <s v="D/C Reversal"/>
        <s v="LC Issuance-Cash margin"/>
        <s v="Bank Charges"/>
        <s v="Cash Margin-Refund"/>
        <s v="Cash Margin-10%"/>
        <s v="reimbursing Charges"/>
      </sharedItems>
    </cacheField>
    <cacheField name="Status" numFmtId="0">
      <sharedItems/>
    </cacheField>
    <cacheField name="Beneficiary" numFmtId="0">
      <sharedItems/>
    </cacheField>
    <cacheField name="Group Company" numFmtId="0">
      <sharedItems containsMixedTypes="1" containsNumber="1" containsInteger="1" minValue="0" maxValue="0" count="18">
        <s v="MBL"/>
        <n v="0"/>
        <s v="IFAS"/>
        <s v="FIRST FIX"/>
        <s v="MBL/ICAD"/>
        <s v="MBL/Premium"/>
        <s v="MBL/IFAS"/>
        <e v="#N/A"/>
        <s v="MBL/AICS"/>
        <s v="AMSteel"/>
        <s v="ICAD"/>
        <s v="MBL/United Arab Aluminum Co"/>
        <s v="Signal Control"/>
        <s v="MBL / Green Roots"/>
        <s v="First Fix/MBL"/>
        <s v="MIDU"/>
        <s v="MBL/AICS (L01)"/>
        <s v="MBL/ICAD/Baumat"/>
      </sharedItems>
    </cacheField>
    <cacheField name="Project" numFmtId="0">
      <sharedItems containsMixedTypes="1" containsNumber="1" containsInteger="1" minValue="0" maxValue="0" count="25">
        <s v="L01-YAMMAMA"/>
        <s v="ABHA"/>
        <n v="0"/>
        <s v="Oceanarium"/>
        <s v="IFAS - Various Projects"/>
        <s v="KSP"/>
        <s v="JCD SPMI"/>
        <s v="Rabigh Power Plant"/>
        <s v="CEER"/>
        <s v="MP1"/>
        <s v="RCRC"/>
        <s v="Opera House"/>
        <e v="#N/A"/>
        <s v="JCD"/>
        <s v="ADF"/>
        <s v="Red C"/>
        <s v="Lagoon"/>
        <s v="L01"/>
        <s v="RAC"/>
        <s v="RRPP-2"/>
        <s v="MBL &amp; Rowad Modern Engineering Pioneers Company (JV – 50%)"/>
        <s v="Oxagon"/>
        <s v="CEER-2"/>
        <s v="Neom - Bay Jetty"/>
        <s v="L01-YAMMAMA/ADF"/>
      </sharedItems>
    </cacheField>
    <cacheField name="Project Code" numFmtId="0">
      <sharedItems containsBlank="1" containsMixedTypes="1" containsNumber="1" containsInteger="1" minValue="0" maxValue="1020133" count="37">
        <n v="1020015"/>
        <s v="1020070"/>
        <s v="0"/>
        <n v="1020096"/>
        <s v="1020065"/>
        <n v="0"/>
        <n v="1020055"/>
        <n v="1020100"/>
        <n v="1020107"/>
        <n v="1020091"/>
        <n v="1020088"/>
        <n v="1020070"/>
        <s v="1020098"/>
        <n v="1020106"/>
        <s v="1020104"/>
        <s v="1020133"/>
        <s v="1020097"/>
        <n v="1020097"/>
        <s v="1020053"/>
        <e v="#N/A"/>
        <s v="1020100"/>
        <n v="1020001"/>
        <s v="1020051"/>
        <s v="1020096"/>
        <s v="1020107"/>
        <s v="1020091"/>
        <s v="1020106"/>
        <m/>
        <s v="Technnical Issue With SAB"/>
        <s v="Internal Transfer"/>
        <n v="1020065" u="1"/>
        <n v="1020098" u="1"/>
        <n v="1020104" u="1"/>
        <n v="1020133" u="1"/>
        <n v="1020053" u="1"/>
        <n v="1020051" u="1"/>
        <n v="1020108" u="1"/>
      </sharedItems>
    </cacheField>
    <cacheField name="Month" numFmtId="0">
      <sharedItems containsSemiMixedTypes="0" containsString="0" containsNumber="1" containsInteger="1" minValue="1" maxValue="12"/>
    </cacheField>
    <cacheField name="Year" numFmtId="0">
      <sharedItems containsSemiMixedTypes="0" containsString="0" containsNumber="1" containsInteger="1" minValue="2025" maxValue="2026"/>
    </cacheField>
    <cacheField name="Remarks"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24008796297" createdVersion="8" refreshedVersion="8" minRefreshableVersion="3" recordCount="1" xr:uid="{61EA54B1-C7EE-48A4-A197-D60DB4D3999F}">
  <cacheSource type="worksheet">
    <worksheetSource name="LC_Overdrawn"/>
  </cacheSource>
  <cacheFields count="14">
    <cacheField name="LC Number" numFmtId="0">
      <sharedItems containsNonDate="0" containsBlank="1" count="18">
        <m/>
        <s v="TF2535200021" u="1"/>
        <s v="DCBWPM565843" u="1"/>
        <s v="ILC-0840-25-7354" u="1"/>
        <s v="JLC6801271" u="1"/>
        <s v="IM2500633009_Cre" u="1"/>
        <s v="JLC6901431_Cre" u="1"/>
        <s v="IM2500633009" u="1"/>
        <s v="J210606" u="1"/>
        <s v="TF2513500016" u="1"/>
        <s v="JLC6901479" u="1"/>
        <s v="J210096" u="1"/>
        <s v="TF2517400044" u="1"/>
        <s v="TF2513500038" u="1"/>
        <s v="ILC-0840-25-7266" u="1"/>
        <s v="ILC-0840-25-7566" u="1"/>
        <s v="TF2514600068" u="1"/>
        <s v="DC WPM554941" u="1"/>
      </sharedItems>
    </cacheField>
    <cacheField name="Issue Date." numFmtId="14">
      <sharedItems containsNonDate="0" containsString="0" containsBlank="1"/>
    </cacheField>
    <cacheField name="Beneficiary" numFmtId="0">
      <sharedItems containsNonDate="0" containsString="0" containsBlank="1"/>
    </cacheField>
    <cacheField name="Project" numFmtId="0">
      <sharedItems containsNonDate="0" containsBlank="1" count="11">
        <m/>
        <s v="ADF" u="1"/>
        <s v="MP1" u="1"/>
        <s v="RCRC" u="1"/>
        <s v="L01-YAMMAMA" u="1"/>
        <s v="KSP" u="1"/>
        <s v="Oceanarium" u="1"/>
        <s v="IFAS - Various Projects" u="1"/>
        <s v="CEER" u="1"/>
        <s v="JCD SPMI" u="1"/>
        <s v="ABHA" u="1"/>
      </sharedItems>
    </cacheField>
    <cacheField name="Curr" numFmtId="0">
      <sharedItems containsNonDate="0" containsBlank="1" count="4">
        <m/>
        <s v="EUR" u="1"/>
        <s v="SAR" u="1"/>
        <s v="USD" u="1"/>
      </sharedItems>
    </cacheField>
    <cacheField name="LC Amt(FCY)" numFmtId="0">
      <sharedItems containsNonDate="0" containsString="0" containsBlank="1"/>
    </cacheField>
    <cacheField name="Rate" numFmtId="0">
      <sharedItems containsNonDate="0" containsString="0" containsBlank="1"/>
    </cacheField>
    <cacheField name="LC Amt(SAR)" numFmtId="0">
      <sharedItems containsNonDate="0" containsString="0" containsBlank="1"/>
    </cacheField>
    <cacheField name="LC Settled" numFmtId="0">
      <sharedItems containsNonDate="0" containsString="0" containsBlank="1"/>
    </cacheField>
    <cacheField name="Pending Settlement" numFmtId="0">
      <sharedItems containsNonDate="0" containsString="0" containsBlank="1"/>
    </cacheField>
    <cacheField name="LC Balance" numFmtId="0">
      <sharedItems containsNonDate="0" containsString="0" containsBlank="1"/>
    </cacheField>
    <cacheField name="Expiry Date" numFmtId="14">
      <sharedItems containsNonDate="0" containsString="0" containsBlank="1" count="1">
        <m/>
      </sharedItems>
    </cacheField>
    <cacheField name="Bank" numFmtId="0">
      <sharedItems containsNonDate="0" containsBlank="1" count="7">
        <m/>
        <s v="Alinma" u="1"/>
        <s v="SAB" u="1"/>
        <s v="Jazira" u="1"/>
        <s v="Riyad" u="1"/>
        <s v="BAB" u="1"/>
        <s v="SNB" u="1"/>
      </sharedItems>
    </cacheField>
    <cacheField name="Line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2421041667" backgroundQuery="1" createdVersion="8" refreshedVersion="8" minRefreshableVersion="3" recordCount="60" xr:uid="{F8CD2091-17C0-4D46-8B54-3FF0BAEA5F17}">
  <cacheSource type="external" connectionId="10"/>
  <cacheFields count="23">
    <cacheField name="LC Number" numFmtId="0">
      <sharedItems/>
    </cacheField>
    <cacheField name="Date Recd" numFmtId="0">
      <sharedItems containsSemiMixedTypes="0" containsNonDate="0" containsDate="1" containsString="0" minDate="2026-03-12T00:00:00" maxDate="2026-06-23T00:00:00"/>
    </cacheField>
    <cacheField name="Presentation No" numFmtId="0">
      <sharedItems count="8">
        <s v="2"/>
        <s v="7"/>
        <s v="4"/>
        <s v="3"/>
        <s v="8"/>
        <s v="10"/>
        <s v="11"/>
        <s v="1"/>
      </sharedItems>
    </cacheField>
    <cacheField name="Project Director" numFmtId="0">
      <sharedItems count="13">
        <s v="Mohammed Kotb"/>
        <s v="Chaminda Indrajit"/>
        <s v="Mohammed Atef"/>
        <s v="Hassan Taleb"/>
        <s v="Rabih Makhoul"/>
        <s v="Matthew Mckernan - AICS"/>
        <s v="Luis Puente"/>
        <s v="Nader Ageeb"/>
        <s v="AbdulAziz Eraiba Fawzi"/>
        <s v="Matthew Mckernan"/>
        <s v="Justin Xavier"/>
        <s v="Essam Zahran"/>
        <s v="Tareeq Telmasani"/>
      </sharedItems>
    </cacheField>
    <cacheField name="Clean / Disc" numFmtId="0">
      <sharedItems count="2">
        <s v="Discrepant"/>
        <s v="Clean"/>
      </sharedItems>
    </cacheField>
    <cacheField name="Bank" numFmtId="0">
      <sharedItems count="7">
        <s v="SAB"/>
        <s v="SNB"/>
        <s v="Alinma"/>
        <s v="Jazira"/>
        <s v="Riyad"/>
        <s v="NBK"/>
        <s v="BAB" u="1"/>
      </sharedItems>
    </cacheField>
    <cacheField name="Facility Space" numFmtId="0">
      <sharedItems count="10">
        <s v="MP1"/>
        <s v="Opera House"/>
        <s v="KSP"/>
        <s v="RCRC"/>
        <s v="Oceanarium"/>
        <s v="Lagoon"/>
        <s v="T5"/>
        <s v="CEER" u="1"/>
        <s v="Cash" u="1"/>
        <s v="Multipurpose" u="1"/>
      </sharedItems>
    </cacheField>
    <cacheField name="Lines" numFmtId="0">
      <sharedItems count="1">
        <s v="Credit"/>
      </sharedItems>
    </cacheField>
    <cacheField name="Beneficiary" numFmtId="0">
      <sharedItems/>
    </cacheField>
    <cacheField name="Group Company" numFmtId="0">
      <sharedItems count="5">
        <s v="MBL"/>
        <s v="MBL/ICAD"/>
        <s v="FIRST FIX"/>
        <s v="MBL/AICS"/>
        <s v="ICAD"/>
      </sharedItems>
    </cacheField>
    <cacheField name="Project" numFmtId="0">
      <sharedItems count="17">
        <s v="ABHA"/>
        <s v="OPERA House"/>
        <s v="ADF"/>
        <s v="MP1"/>
        <s v="CEER"/>
        <s v="Rabigh Power Plant"/>
        <s v="Oceanarium"/>
        <s v="RCRC"/>
        <s v="Lagoon"/>
        <s v="KSP"/>
        <s v="JCD SPMI"/>
        <s v="Araqa Palace" u="1"/>
        <s v="L01-YAMMAMA" u="1"/>
        <s v="IFAS - Various Projects" u="1"/>
        <s v="KAP" u="1"/>
        <s v="Neom - The Line" u="1"/>
        <s v="Old Dues" u="1"/>
      </sharedItems>
    </cacheField>
    <cacheField name="Project Code" numFmtId="0">
      <sharedItems count="11">
        <s v="1020070"/>
        <s v="1020097"/>
        <s v="1020001"/>
        <s v="1020088"/>
        <s v="1020091"/>
        <s v="1020107"/>
        <s v="1020096"/>
        <s v="1020106"/>
        <s v="1020108"/>
        <s v="1020055"/>
        <s v="1020100"/>
      </sharedItems>
    </cacheField>
    <cacheField name="Curr" numFmtId="0">
      <sharedItems count="2">
        <s v="SAR"/>
        <s v="EUR"/>
      </sharedItems>
    </cacheField>
    <cacheField name="Status" numFmtId="0">
      <sharedItems count="3">
        <s v="Disc. Submitted to Project"/>
        <s v="Pending Settlement"/>
        <s v="Accep. Submitted to Bank"/>
      </sharedItems>
    </cacheField>
    <cacheField name="Invoice Amt (FCY)" numFmtId="0">
      <sharedItems containsSemiMixedTypes="0" containsString="0" containsNumber="1" minValue="52759.519999999997" maxValue="42000000"/>
    </cacheField>
    <cacheField name="Rate" numFmtId="0">
      <sharedItems containsSemiMixedTypes="0" containsString="0" containsNumber="1" minValue="1" maxValue="4.4394999999999998" count="3">
        <n v="1"/>
        <n v="4.4160000000000004"/>
        <n v="4.4394999999999998"/>
      </sharedItems>
    </cacheField>
    <cacheField name=" Invoice Amt (SAR)" numFmtId="0">
      <sharedItems containsSemiMixedTypes="0" containsString="0" containsNumber="1" minValue="52759.519999999997" maxValue="42000000"/>
    </cacheField>
    <cacheField name="Due Date" numFmtId="0">
      <sharedItems containsSemiMixedTypes="0" containsNonDate="0" containsDate="1" containsString="0" minDate="2026-06-25T00:00:00" maxDate="2026-09-18T00:00:00" count="30">
        <d v="2026-06-25T00:00:00"/>
        <d v="2026-06-26T00:00:00"/>
        <d v="2026-06-28T00:00:00"/>
        <d v="2026-06-29T00:00:00"/>
        <d v="2026-07-01T00:00:00"/>
        <d v="2026-07-02T00:00:00"/>
        <d v="2026-07-05T00:00:00"/>
        <d v="2026-07-07T00:00:00"/>
        <d v="2026-07-08T00:00:00"/>
        <d v="2026-07-09T00:00:00"/>
        <d v="2026-07-12T00:00:00"/>
        <d v="2026-07-13T00:00:00"/>
        <d v="2026-07-14T00:00:00"/>
        <d v="2026-07-16T00:00:00"/>
        <d v="2026-07-18T00:00:00"/>
        <d v="2026-07-19T00:00:00"/>
        <d v="2026-07-20T00:00:00"/>
        <d v="2026-07-27T00:00:00"/>
        <d v="2026-07-30T00:00:00"/>
        <d v="2026-08-01T00:00:00"/>
        <d v="2026-08-02T00:00:00"/>
        <d v="2026-08-03T00:00:00"/>
        <d v="2026-08-07T00:00:00"/>
        <d v="2026-08-10T00:00:00"/>
        <d v="2026-08-11T00:00:00"/>
        <d v="2026-08-19T00:00:00"/>
        <d v="2026-08-24T00:00:00"/>
        <d v="2026-08-30T00:00:00"/>
        <d v="2026-09-02T00:00:00"/>
        <d v="2026-09-17T00:00:00"/>
      </sharedItems>
    </cacheField>
    <cacheField name="Payment Terms" numFmtId="0">
      <sharedItems count="15">
        <s v="120 Days from the Invoice Date"/>
        <s v="30 Days from Shipment Date"/>
        <s v="Sight / 60 Days from Appl. Rep Sign on Invoice"/>
        <s v="120 Days from Invoice Date"/>
        <s v="90 Days from Invoice Date"/>
        <s v="45 Days from Delivery Date"/>
        <s v="60 Days from Invoice Date"/>
        <s v="45 Days from Invoice Date"/>
        <s v="90 Days from Appln Rep Sign on Invoice"/>
        <s v="Mixed Tenor - 60 / 45 / 21 Days from Invoice Date"/>
        <s v="90 Days from Applicant representative sign on Invoice"/>
        <s v="90 Days from App Rep Sign on Invoice"/>
        <s v="90 Days From the Delivery Date"/>
        <s v="90 Days from Delivery Date"/>
        <s v="120 Days from Appl Rep Sign on Invoice"/>
      </sharedItems>
    </cacheField>
    <cacheField name="Funds Utilize" numFmtId="0">
      <sharedItems containsString="0" containsBlank="1" count="1">
        <m/>
      </sharedItems>
    </cacheField>
    <cacheField name="Remarks" numFmtId="0">
      <sharedItems containsBlank="1" count="10">
        <s v="Hold the Payment until Mid June-Faisal /Gehad"/>
        <m/>
        <s v="Please hold as per Hossam Elkeshawy"/>
        <s v="Management Sign"/>
        <s v="to bank on 31-05"/>
        <s v="to bank on 12-05"/>
        <s v="Process on Anil Sir Request. PD approval not received."/>
        <s v="to bank on 06-05"/>
        <s v="to bank on 26-04"/>
        <s v="to bank on 23-06"/>
      </sharedItems>
    </cacheField>
    <cacheField name="Start of Week" numFmtId="0">
      <sharedItems containsSemiMixedTypes="0" containsNonDate="0" containsDate="1" containsString="0" minDate="2026-06-21T00:00:00" maxDate="2026-09-14T00:00:00" count="12">
        <d v="2026-06-21T00:00:00"/>
        <d v="2026-06-28T00:00:00"/>
        <d v="2026-07-05T00:00:00"/>
        <d v="2026-07-12T00:00:00"/>
        <d v="2026-07-19T00:00:00"/>
        <d v="2026-07-26T00:00:00"/>
        <d v="2026-08-02T00:00:00"/>
        <d v="2026-08-09T00:00:00"/>
        <d v="2026-08-16T00:00:00"/>
        <d v="2026-08-23T00:00:00"/>
        <d v="2026-08-30T00:00:00"/>
        <d v="2026-09-13T00:00:00"/>
      </sharedItems>
    </cacheField>
    <cacheField name="End of Week" numFmtId="0">
      <sharedItems containsSemiMixedTypes="0" containsNonDate="0" containsDate="1" containsString="0" minDate="2026-06-27T00:00:00" maxDate="2026-09-20T00:00:00" count="12">
        <d v="2026-06-27T00:00:00"/>
        <d v="2026-07-04T00:00:00"/>
        <d v="2026-07-11T00:00:00"/>
        <d v="2026-07-18T00:00:00"/>
        <d v="2026-07-25T00:00:00"/>
        <d v="2026-08-01T00:00:00"/>
        <d v="2026-08-08T00:00:00"/>
        <d v="2026-08-15T00:00:00"/>
        <d v="2026-08-22T00:00:00"/>
        <d v="2026-08-29T00:00:00"/>
        <d v="2026-09-05T00:00:00"/>
        <d v="2026-09-19T00:00:00"/>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24214699073" backgroundQuery="1" createdVersion="8" refreshedVersion="8" minRefreshableVersion="3" recordCount="42" xr:uid="{7FACD266-A901-43AA-A4FE-C4C49BC23560}">
  <cacheSource type="external" connectionId="32"/>
  <cacheFields count="3">
    <cacheField name="Year" numFmtId="0">
      <sharedItems containsSemiMixedTypes="0" containsString="0" containsNumber="1" containsInteger="1" minValue="2023" maxValue="2026" count="4">
        <n v="2024"/>
        <n v="2025"/>
        <n v="2023"/>
        <n v="2026"/>
      </sharedItems>
    </cacheField>
    <cacheField name="Month Name" numFmtId="0">
      <sharedItems count="12">
        <s v="January"/>
        <s v="June"/>
        <s v="July"/>
        <s v="September"/>
        <s v="February"/>
        <s v="May"/>
        <s v="October"/>
        <s v="August"/>
        <s v="November"/>
        <s v="December"/>
        <s v="April"/>
        <s v="March"/>
      </sharedItems>
    </cacheField>
    <cacheField name="Count" numFmtId="0">
      <sharedItems containsSemiMixedTypes="0" containsString="0" containsNumber="1" containsInteger="1" minValue="2" maxValue="10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24219444445" backgroundQuery="1" createdVersion="8" refreshedVersion="8" minRefreshableVersion="3" recordCount="28" xr:uid="{BC0E9A6B-06B8-4CD0-A2E1-36982790630A}">
  <cacheSource type="external" connectionId="27"/>
  <cacheFields count="11">
    <cacheField name="LC Number" numFmtId="0">
      <sharedItems containsBlank="1" count="4">
        <s v="ILC-0840-25-8427"/>
        <m/>
        <s v="M001959"/>
        <s v="ILC-0840-26-9073"/>
      </sharedItems>
    </cacheField>
    <cacheField name="Status" numFmtId="0">
      <sharedItems count="5">
        <s v="Other Amendment"/>
        <s v="Submitted to Bank"/>
        <s v="Ready for Submission"/>
        <s v="Increase Amendment"/>
        <s v="Received to Open"/>
      </sharedItems>
    </cacheField>
    <cacheField name="Bank" numFmtId="0">
      <sharedItems count="6">
        <s v="Jazira"/>
        <s v="Riyad"/>
        <s v="FAB"/>
        <s v="NBK"/>
        <s v="SAB"/>
        <s v="SNB"/>
      </sharedItems>
    </cacheField>
    <cacheField name="Beneficiary" numFmtId="0">
      <sharedItems count="28">
        <s v="Alrashid Trading and Contracting Company"/>
        <s v="Innovative Contractors for Advanced Dimension (ICAD)"/>
        <s v="Metallurgical Corporation of China Ltd (MCC) Saudi Branch."/>
        <s v="Ready Mix Company Limited."/>
        <s v="SCHUCO MIDDLE EAST"/>
        <s v="The Fundamental Installation For Electric Work Co"/>
        <s v="NMA ALMUTAMIZA INDUSTRIAL AND EQUIPMENT CO."/>
        <s v="Al-Sayed Center A/C for Materials Company"/>
        <s v="ARABIAN PLASTIC MANUF CO"/>
        <s v="Brooq Al-Amaan Trading Company"/>
        <s v="Riyadh Unity for Trading"/>
        <s v="Safid Co. Ltd."/>
        <s v="TECHNICAL TOOLS TRADING CO."/>
        <s v="TEN POINTS EST"/>
        <s v="Imdadat Al-jazera Al-arabia Trading Co."/>
        <s v="Alfa Laval Al Arabia for Maintenance"/>
        <s v="HUSAIN OMAR ALATHAS FACTORY CO."/>
        <s v="Lanaro S.R.L"/>
        <s v="AL RAMSAT CONTRACTING COMPANY"/>
        <s v="KINGSPAN INSULATED PANELS MANUFACTURING LLC"/>
        <s v="Pico International for Event and Expo"/>
        <s v="BFG International W.L.L."/>
        <s v="Metal and Glass Trading Co One Person"/>
        <s v="Al Arabia Construction &amp; Building Co."/>
        <s v="Al Arabia for Construction &amp; Building Co."/>
        <s v="INDUSTRIAL STONES SOURCE"/>
        <s v="Modern Material Leaders"/>
        <s v="NIZAR ABDALGHANY KABLI FOR GENERAL CONTRACTING"/>
      </sharedItems>
    </cacheField>
    <cacheField name="Group Company" numFmtId="0">
      <sharedItems count="3">
        <s v="MBL"/>
        <s v="MBL/United Arab Aluminum Co"/>
        <s v="FIRST FIX"/>
      </sharedItems>
    </cacheField>
    <cacheField name="Project" numFmtId="0">
      <sharedItems count="13">
        <s v="RCRC"/>
        <s v="Oceanarium"/>
        <s v="CEER2"/>
        <s v="Lagoon"/>
        <s v="CEER"/>
        <s v="MP1"/>
        <s v="OPERA House"/>
        <s v="ABHA"/>
        <s v="Rabigh Power Plant"/>
        <s v="ADF" u="1"/>
        <s v="KSP" u="1"/>
        <s v="JCD SPMI" u="1"/>
        <s v="L01-YAMMAMA" u="1"/>
      </sharedItems>
    </cacheField>
    <cacheField name="Curr" numFmtId="0">
      <sharedItems count="1">
        <s v="SAR"/>
      </sharedItems>
    </cacheField>
    <cacheField name="Amount (FCY)" numFmtId="0">
      <sharedItems containsSemiMixedTypes="0" containsString="0" containsNumber="1" minValue="150000" maxValue="209346521" count="22">
        <n v="16731764"/>
        <n v="3000000"/>
        <n v="209346521"/>
        <n v="5000000"/>
        <n v="270865.19"/>
        <n v="67000000"/>
        <n v="500000"/>
        <n v="150000"/>
        <n v="200000"/>
        <n v="400000"/>
        <n v="300000"/>
        <n v="257626.45"/>
        <n v="24490379"/>
        <n v="8200000"/>
        <n v="10000000"/>
        <n v="77325315.5"/>
        <n v="15600000"/>
        <n v="3422137.8"/>
        <n v="1017646"/>
        <n v="1500000"/>
        <n v="2000000"/>
        <n v="7000000"/>
      </sharedItems>
    </cacheField>
    <cacheField name="Amount (SAR)" numFmtId="0">
      <sharedItems containsSemiMixedTypes="0" containsString="0" containsNumber="1" minValue="150000" maxValue="209346521" count="22">
        <n v="16731764"/>
        <n v="3000000"/>
        <n v="209346521"/>
        <n v="5000000"/>
        <n v="270865.19"/>
        <n v="67000000"/>
        <n v="500000"/>
        <n v="150000"/>
        <n v="200000"/>
        <n v="400000"/>
        <n v="300000"/>
        <n v="257626.45"/>
        <n v="24490379"/>
        <n v="8200000"/>
        <n v="10000000"/>
        <n v="77325315.5"/>
        <n v="15600000"/>
        <n v="3422137.8"/>
        <n v="1017646"/>
        <n v="1500000"/>
        <n v="2000000"/>
        <n v="7000000"/>
      </sharedItems>
    </cacheField>
    <cacheField name="Remarks" numFmtId="0">
      <sharedItems count="14">
        <s v="to bank on 18-06 | Exp: 31-12"/>
        <s v="to bank on 15-04 | Facility Issue"/>
        <s v="Shaikh Sign Pending"/>
        <s v="to bank on 23-06| LC Increase 1.5M | Exp Date 31-08"/>
        <s v="Hold as per Obada | Facility Issue | Draft Pending"/>
        <s v="to bank on 23-06| Increase 25M | Extend 30-09 |Tenor 120 Days"/>
        <s v="Facility Issue | Complete Pending"/>
        <s v="LC received from supplier | Hold as per S.S"/>
        <s v="Under review | Draft Pending"/>
        <s v="GA received | Specimen Pending for Tareq Sir Sign"/>
        <s v="GA Pending | SAB Prepared"/>
        <s v="Facility Issue | GA Pending | PD Received | Preparation Pending"/>
        <s v="to bank on 23-06"/>
        <s v="GA Pending | NBK Prepared"/>
      </sharedItems>
    </cacheField>
    <cacheField name="Type" numFmtId="0">
      <sharedItems count="1">
        <s v="Issuance"/>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24248726849" backgroundQuery="1" createdVersion="8" refreshedVersion="8" minRefreshableVersion="3" recordCount="131" xr:uid="{153C6963-FB5E-4549-A6D8-0A88CD8C5EB1}">
  <cacheSource type="external" connectionId="18"/>
  <cacheFields count="35">
    <cacheField name="LC Number" numFmtId="0">
      <sharedItems containsBlank="1"/>
    </cacheField>
    <cacheField name="Beneficiary" numFmtId="0">
      <sharedItems/>
    </cacheField>
    <cacheField name="Facility Space" numFmtId="0">
      <sharedItems count="10">
        <s v="MP1"/>
        <s v="KSP"/>
        <s v="Opera House"/>
        <s v="RCRC"/>
        <s v="Oceanarium"/>
        <s v="T5"/>
        <s v="CEER"/>
        <s v="Cash"/>
        <s v="Lagoon"/>
        <s v="Multipurpose" u="1"/>
      </sharedItems>
    </cacheField>
    <cacheField name="Group Company" numFmtId="0">
      <sharedItems count="9">
        <s v="FIRST FIX"/>
        <s v="MBL"/>
        <s v="MBL/ICAD"/>
        <s v="ICAD"/>
        <s v="MBL / Green Roots"/>
        <s v="MBL/AICS"/>
        <s v="MBL/AICS (L01)"/>
        <s v="MBL/United Arab Aluminum Co"/>
        <s v="MBL/ICAD/Baumat"/>
      </sharedItems>
    </cacheField>
    <cacheField name="Project" numFmtId="0">
      <sharedItems count="13">
        <s v="MP1"/>
        <s v="KSP"/>
        <s v="Rabigh Power Plant"/>
        <s v="OPERA House"/>
        <s v="ADF"/>
        <s v="RCRC"/>
        <s v="Oceanarium"/>
        <s v="CEER"/>
        <s v="L01-YAMMAMA"/>
        <s v="JCD SPMI"/>
        <s v="Lagoon"/>
        <s v="ABHA"/>
        <s v="L01" u="1"/>
      </sharedItems>
    </cacheField>
    <cacheField name="Curr" numFmtId="0">
      <sharedItems count="4">
        <s v="SAR"/>
        <s v="EUR"/>
        <s v="USD"/>
        <s v="GBP"/>
      </sharedItems>
    </cacheField>
    <cacheField name="Project Code" numFmtId="0">
      <sharedItems containsSemiMixedTypes="0" containsString="0" containsNumber="1" containsInteger="1" minValue="1020001" maxValue="1020108" count="12">
        <n v="1020088"/>
        <n v="1020055"/>
        <n v="1020107"/>
        <n v="1020097"/>
        <n v="1020001"/>
        <n v="1020106"/>
        <n v="1020096"/>
        <n v="1020091"/>
        <n v="1020015"/>
        <n v="1020100"/>
        <n v="1020108"/>
        <n v="1020070"/>
      </sharedItems>
    </cacheField>
    <cacheField name="LC Amt(FCY)" numFmtId="0">
      <sharedItems containsSemiMixedTypes="0" containsString="0" containsNumber="1" minValue="72830.59" maxValue="50762045.400000006"/>
    </cacheField>
    <cacheField name="Rate" numFmtId="0">
      <sharedItems containsSemiMixedTypes="0" containsString="0" containsNumber="1" minValue="1" maxValue="4.6399999999999997" count="9">
        <n v="1"/>
        <n v="4.1680000000000001"/>
        <n v="4.056"/>
        <n v="4.5"/>
        <n v="4.32"/>
        <n v="3.75"/>
        <n v="4.6399999999999997"/>
        <n v="4.4400000000000004"/>
        <n v="4.3899999999999997"/>
      </sharedItems>
    </cacheField>
    <cacheField name="LC Settled" numFmtId="0">
      <sharedItems containsSemiMixedTypes="0" containsString="0" containsNumber="1" minValue="0" maxValue="210445911.24020118"/>
    </cacheField>
    <cacheField name="Balance After Settlement" numFmtId="0">
      <sharedItems containsSemiMixedTypes="0" containsString="0" containsNumber="1" minValue="13483.95" maxValue="30252081.460000001"/>
    </cacheField>
    <cacheField name="Pending Settlement" numFmtId="0">
      <sharedItems containsSemiMixedTypes="0" containsString="0" containsNumber="1" minValue="0" maxValue="9527337.3100000005" count="28">
        <n v="511689.33"/>
        <n v="0"/>
        <n v="487718.69"/>
        <n v="427806.8"/>
        <n v="106205.87"/>
        <n v="1309266"/>
        <n v="567743.27"/>
        <n v="365011.38"/>
        <n v="652505.4"/>
        <n v="93855.09"/>
        <n v="1377731.72"/>
        <n v="9527337.3100000005"/>
        <n v="8237108.9800000004"/>
        <n v="112200.9"/>
        <n v="995984.82"/>
        <n v="299758.8"/>
        <n v="752616.68"/>
        <n v="735540"/>
        <n v="312768.11"/>
        <n v="199393.9"/>
        <n v="1198665"/>
        <n v="949900"/>
        <n v="412500"/>
        <n v="710700"/>
        <n v="702587.67"/>
        <n v="99498"/>
        <n v="489669.97"/>
        <n v="386858.95"/>
      </sharedItems>
    </cacheField>
    <cacheField name="LC Balance" numFmtId="0">
      <sharedItems containsSemiMixedTypes="0" containsString="0" containsNumber="1" minValue="241.93" maxValue="26518417.460000001"/>
    </cacheField>
    <cacheField name="Amt Recd. for Sign" numFmtId="0">
      <sharedItems containsSemiMixedTypes="0" containsString="0" containsNumber="1" minValue="0" maxValue="3481208.18" count="20">
        <n v="0"/>
        <n v="450000"/>
        <n v="151776.14000000001"/>
        <n v="48780.61"/>
        <n v="714129.01"/>
        <n v="915007.28"/>
        <n v="3481208.18"/>
        <n v="55822.96"/>
        <n v="675197.28"/>
        <n v="267765.09000000003"/>
        <n v="1000000"/>
        <n v="148788.15"/>
        <n v="184860.5"/>
        <n v="3318117.9"/>
        <n v="175000"/>
        <n v="648646"/>
        <n v="173290.06"/>
        <n v="700000"/>
        <n v="735855"/>
        <n v="1325316"/>
      </sharedItems>
    </cacheField>
    <cacheField name="Due Dates" numFmtId="0">
      <sharedItems containsNonDate="0" containsDate="1" containsString="0" containsBlank="1" minDate="2026-06-26T00:00:00" maxDate="2026-08-31T00:00:00" count="21">
        <d v="2026-07-14T00:00:00"/>
        <m/>
        <d v="2026-08-24T00:00:00"/>
        <d v="2026-07-16T00:00:00"/>
        <d v="2026-06-28T00:00:00"/>
        <d v="2026-07-08T00:00:00"/>
        <d v="2026-08-02T00:00:00"/>
        <d v="2026-07-05T00:00:00"/>
        <d v="2026-07-02T00:00:00"/>
        <d v="2026-08-01T00:00:00"/>
        <d v="2026-06-29T00:00:00"/>
        <d v="2026-08-10T00:00:00"/>
        <d v="2026-07-12T00:00:00"/>
        <d v="2026-08-30T00:00:00"/>
        <d v="2026-07-19T00:00:00"/>
        <d v="2026-07-07T00:00:00"/>
        <d v="2026-06-26T00:00:00"/>
        <d v="2026-07-01T00:00:00"/>
        <d v="2026-07-30T00:00:00"/>
        <d v="2026-07-27T00:00:00"/>
        <d v="2026-08-19T00:00:00"/>
      </sharedItems>
    </cacheField>
    <cacheField name="Expiry Date" numFmtId="0">
      <sharedItems containsSemiMixedTypes="0" containsNonDate="0" containsDate="1" containsString="0" minDate="2026-04-30T00:00:00" maxDate="2027-01-22T00:00:00" count="31">
        <d v="2026-08-31T00:00:00"/>
        <d v="2026-06-30T00:00:00"/>
        <d v="2026-08-18T00:00:00"/>
        <d v="2026-10-30T00:00:00"/>
        <d v="2026-06-20T00:00:00"/>
        <d v="2026-12-31T00:00:00"/>
        <d v="2026-05-31T00:00:00"/>
        <d v="2026-10-01T00:00:00"/>
        <d v="2026-06-01T00:00:00"/>
        <d v="2026-09-30T00:00:00"/>
        <d v="2026-06-26T00:00:00"/>
        <d v="2026-08-01T00:00:00"/>
        <d v="2027-01-21T00:00:00"/>
        <d v="2026-12-25T00:00:00"/>
        <d v="2026-06-28T00:00:00"/>
        <d v="2026-10-31T00:00:00"/>
        <d v="2026-06-21T00:00:00"/>
        <d v="2026-05-27T00:00:00"/>
        <d v="2026-12-15T00:00:00"/>
        <d v="2026-07-31T00:00:00"/>
        <d v="2026-07-01T00:00:00"/>
        <d v="2026-10-15T00:00:00"/>
        <d v="2026-08-30T00:00:00"/>
        <d v="2026-09-21T00:00:00"/>
        <d v="2026-06-09T00:00:00"/>
        <d v="2026-04-30T00:00:00"/>
        <d v="2026-06-23T00:00:00"/>
        <d v="2026-08-02T00:00:00"/>
        <d v="2026-10-08T00:00:00"/>
        <d v="2026-11-20T00:00:00"/>
        <d v="2026-08-10T00:00:00"/>
      </sharedItems>
      <fieldGroup par="34"/>
    </cacheField>
    <cacheField name="Bank" numFmtId="0">
      <sharedItems count="7">
        <s v="SAB"/>
        <s v="Alinma"/>
        <s v="SNB"/>
        <s v="Jazira"/>
        <s v="Riyad"/>
        <s v="NBK"/>
        <s v="BAB" u="1"/>
      </sharedItems>
    </cacheField>
    <cacheField name="Lines" numFmtId="0">
      <sharedItems count="2">
        <s v="Credit"/>
        <s v="Cash"/>
      </sharedItems>
    </cacheField>
    <cacheField name="Active/Cancelled" numFmtId="0">
      <sharedItems count="1">
        <s v="Active"/>
      </sharedItems>
    </cacheField>
    <cacheField name="Expiry Date1" numFmtId="0">
      <sharedItems containsSemiMixedTypes="0" containsNonDate="0" containsDate="1" containsString="0" minDate="2026-05-31T00:00:00" maxDate="2027-02-22T00:00:00"/>
    </cacheField>
    <cacheField name="Final Expiry Date" numFmtId="0">
      <sharedItems containsSemiMixedTypes="0" containsNonDate="0" containsDate="1" containsString="0" minDate="2026-06-27T00:00:00" maxDate="2027-02-22T00:00:00" count="34">
        <d v="2026-10-01T00:00:00"/>
        <d v="2026-07-31T00:00:00"/>
        <d v="2026-08-24T00:00:00"/>
        <d v="2026-09-18T00:00:00"/>
        <d v="2026-11-30T00:00:00"/>
        <d v="2026-07-21T00:00:00"/>
        <d v="2027-01-31T00:00:00"/>
        <d v="2026-07-01T00:00:00"/>
        <d v="2026-11-01T00:00:00"/>
        <d v="2026-07-02T00:00:00"/>
        <d v="2026-10-31T00:00:00"/>
        <d v="2026-07-27T00:00:00"/>
        <d v="2026-08-01T00:00:00"/>
        <d v="2026-09-01T00:00:00"/>
        <d v="2026-08-02T00:00:00"/>
        <d v="2027-02-21T00:00:00"/>
        <d v="2027-01-25T00:00:00"/>
        <d v="2026-07-29T00:00:00"/>
        <d v="2026-12-01T00:00:00"/>
        <d v="2026-08-30T00:00:00"/>
        <d v="2026-07-22T00:00:00"/>
        <d v="2026-06-27T00:00:00"/>
        <d v="2027-01-15T00:00:00"/>
        <d v="2026-08-31T00:00:00"/>
        <d v="2026-11-15T00:00:00"/>
        <d v="2026-09-30T00:00:00"/>
        <d v="2026-10-22T00:00:00"/>
        <d v="2026-07-10T00:00:00"/>
        <d v="2026-07-14T00:00:00"/>
        <d v="2026-07-30T00:00:00"/>
        <d v="2026-09-02T00:00:00"/>
        <d v="2026-11-08T00:00:00"/>
        <d v="2026-12-21T00:00:00"/>
        <d v="2026-09-10T00:00:00"/>
      </sharedItems>
      <fieldGroup par="31"/>
    </cacheField>
    <cacheField name="Start of Week" numFmtId="0">
      <sharedItems containsSemiMixedTypes="0" containsNonDate="0" containsDate="1" containsString="0" minDate="2026-06-21T00:00:00" maxDate="2027-02-22T00:00:00" count="23">
        <d v="2026-09-27T00:00:00"/>
        <d v="2026-07-26T00:00:00"/>
        <d v="2026-08-23T00:00:00"/>
        <d v="2026-09-13T00:00:00"/>
        <d v="2026-11-29T00:00:00"/>
        <d v="2026-07-19T00:00:00"/>
        <d v="2027-01-31T00:00:00"/>
        <d v="2026-06-28T00:00:00"/>
        <d v="2026-11-01T00:00:00"/>
        <d v="2026-10-25T00:00:00"/>
        <d v="2026-08-30T00:00:00"/>
        <d v="2026-08-02T00:00:00"/>
        <d v="2027-02-21T00:00:00"/>
        <d v="2027-01-24T00:00:00"/>
        <d v="2026-06-21T00:00:00"/>
        <d v="2027-01-10T00:00:00"/>
        <d v="2026-11-15T00:00:00"/>
        <d v="2026-10-18T00:00:00"/>
        <d v="2026-07-05T00:00:00"/>
        <d v="2026-07-12T00:00:00"/>
        <d v="2026-11-08T00:00:00"/>
        <d v="2026-12-20T00:00:00"/>
        <d v="2026-09-06T00:00:00"/>
      </sharedItems>
      <fieldGroup par="25"/>
    </cacheField>
    <cacheField name="End of Week" numFmtId="0">
      <sharedItems containsSemiMixedTypes="0" containsNonDate="0" containsDate="1" containsString="0" minDate="2026-06-27T00:00:00" maxDate="2027-02-28T00:00:00" count="23">
        <d v="2026-10-03T00:00:00"/>
        <d v="2026-08-01T00:00:00"/>
        <d v="2026-08-29T00:00:00"/>
        <d v="2026-09-19T00:00:00"/>
        <d v="2026-12-05T00:00:00"/>
        <d v="2026-07-25T00:00:00"/>
        <d v="2027-02-06T00:00:00"/>
        <d v="2026-07-04T00:00:00"/>
        <d v="2026-11-07T00:00:00"/>
        <d v="2026-10-31T00:00:00"/>
        <d v="2026-09-05T00:00:00"/>
        <d v="2026-08-08T00:00:00"/>
        <d v="2027-02-27T00:00:00"/>
        <d v="2027-01-30T00:00:00"/>
        <d v="2026-06-27T00:00:00"/>
        <d v="2027-01-16T00:00:00"/>
        <d v="2026-11-21T00:00:00"/>
        <d v="2026-10-24T00:00:00"/>
        <d v="2026-07-11T00:00:00"/>
        <d v="2026-07-18T00:00:00"/>
        <d v="2026-11-14T00:00:00"/>
        <d v="2026-12-26T00:00:00"/>
        <d v="2026-09-12T00:00:00"/>
      </sharedItems>
      <fieldGroup par="28"/>
    </cacheField>
    <cacheField name="Months (Start of Week)" numFmtId="0" databaseField="0">
      <fieldGroup base="21">
        <rangePr groupBy="months" startDate="2026-06-21T00:00:00" endDate="2027-02-22T00:00:00"/>
        <groupItems count="14">
          <s v="&lt;21/06/2026"/>
          <s v="Jan"/>
          <s v="Feb"/>
          <s v="Mar"/>
          <s v="Apr"/>
          <s v="May"/>
          <s v="Jun"/>
          <s v="Jul"/>
          <s v="Aug"/>
          <s v="Sep"/>
          <s v="Oct"/>
          <s v="Nov"/>
          <s v="Dec"/>
          <s v="&gt;22/02/2027"/>
        </groupItems>
      </fieldGroup>
    </cacheField>
    <cacheField name="Quarters (Start of Week)" numFmtId="0" databaseField="0">
      <fieldGroup base="21">
        <rangePr groupBy="quarters" startDate="2026-06-21T00:00:00" endDate="2027-02-22T00:00:00"/>
        <groupItems count="6">
          <s v="&lt;21/06/2026"/>
          <s v="Qtr1"/>
          <s v="Qtr2"/>
          <s v="Qtr3"/>
          <s v="Qtr4"/>
          <s v="&gt;22/02/2027"/>
        </groupItems>
      </fieldGroup>
    </cacheField>
    <cacheField name="Years (Start of Week)" numFmtId="0" databaseField="0">
      <fieldGroup base="21">
        <rangePr groupBy="years" startDate="2026-06-21T00:00:00" endDate="2027-02-22T00:00:00"/>
        <groupItems count="4">
          <s v="&lt;21/06/2026"/>
          <s v="2026"/>
          <s v="2027"/>
          <s v="&gt;22/02/2027"/>
        </groupItems>
      </fieldGroup>
    </cacheField>
    <cacheField name="Months (End of Week)" numFmtId="0" databaseField="0">
      <fieldGroup base="22">
        <rangePr groupBy="months" startDate="2026-06-27T00:00:00" endDate="2027-02-28T00:00:00"/>
        <groupItems count="14">
          <s v="&lt;27/06/2026"/>
          <s v="Jan"/>
          <s v="Feb"/>
          <s v="Mar"/>
          <s v="Apr"/>
          <s v="May"/>
          <s v="Jun"/>
          <s v="Jul"/>
          <s v="Aug"/>
          <s v="Sep"/>
          <s v="Oct"/>
          <s v="Nov"/>
          <s v="Dec"/>
          <s v="&gt;28/02/2027"/>
        </groupItems>
      </fieldGroup>
    </cacheField>
    <cacheField name="Quarters (End of Week)" numFmtId="0" databaseField="0">
      <fieldGroup base="22">
        <rangePr groupBy="quarters" startDate="2026-06-27T00:00:00" endDate="2027-02-28T00:00:00"/>
        <groupItems count="6">
          <s v="&lt;27/06/2026"/>
          <s v="Qtr1"/>
          <s v="Qtr2"/>
          <s v="Qtr3"/>
          <s v="Qtr4"/>
          <s v="&gt;28/02/2027"/>
        </groupItems>
      </fieldGroup>
    </cacheField>
    <cacheField name="Years (End of Week)" numFmtId="0" databaseField="0">
      <fieldGroup base="22">
        <rangePr groupBy="years" startDate="2026-06-27T00:00:00" endDate="2027-02-28T00:00:00"/>
        <groupItems count="4">
          <s v="&lt;27/06/2026"/>
          <s v="2026"/>
          <s v="2027"/>
          <s v="&gt;28/02/2027"/>
        </groupItems>
      </fieldGroup>
    </cacheField>
    <cacheField name="Months (Final Expiry Date)" numFmtId="0" databaseField="0">
      <fieldGroup base="20">
        <rangePr groupBy="months" startDate="2026-06-27T00:00:00" endDate="2027-02-22T00:00:00"/>
        <groupItems count="14">
          <s v="&lt;27/06/2026"/>
          <s v="Jan"/>
          <s v="Feb"/>
          <s v="Mar"/>
          <s v="Apr"/>
          <s v="May"/>
          <s v="Jun"/>
          <s v="Jul"/>
          <s v="Aug"/>
          <s v="Sep"/>
          <s v="Oct"/>
          <s v="Nov"/>
          <s v="Dec"/>
          <s v="&gt;22/02/2027"/>
        </groupItems>
      </fieldGroup>
    </cacheField>
    <cacheField name="Quarters (Final Expiry Date)" numFmtId="0" databaseField="0">
      <fieldGroup base="20">
        <rangePr groupBy="quarters" startDate="2026-06-27T00:00:00" endDate="2027-02-22T00:00:00"/>
        <groupItems count="6">
          <s v="&lt;27/06/2026"/>
          <s v="Qtr1"/>
          <s v="Qtr2"/>
          <s v="Qtr3"/>
          <s v="Qtr4"/>
          <s v="&gt;22/02/2027"/>
        </groupItems>
      </fieldGroup>
    </cacheField>
    <cacheField name="Years (Final Expiry Date)" numFmtId="0" databaseField="0">
      <fieldGroup base="20">
        <rangePr groupBy="years" startDate="2026-06-27T00:00:00" endDate="2027-02-22T00:00:00"/>
        <groupItems count="4">
          <s v="&lt;27/06/2026"/>
          <s v="2026"/>
          <s v="2027"/>
          <s v="&gt;22/02/2027"/>
        </groupItems>
      </fieldGroup>
    </cacheField>
    <cacheField name="Months (Expiry Date)" numFmtId="0" databaseField="0">
      <fieldGroup base="15">
        <rangePr groupBy="months" startDate="2026-04-30T00:00:00" endDate="2027-01-22T00:00:00"/>
        <groupItems count="14">
          <s v="&lt;30/04/2026"/>
          <s v="Jan"/>
          <s v="Feb"/>
          <s v="Mar"/>
          <s v="Apr"/>
          <s v="May"/>
          <s v="Jun"/>
          <s v="Jul"/>
          <s v="Aug"/>
          <s v="Sep"/>
          <s v="Oct"/>
          <s v="Nov"/>
          <s v="Dec"/>
          <s v="&gt;22/01/2027"/>
        </groupItems>
      </fieldGroup>
    </cacheField>
    <cacheField name="Quarters (Expiry Date)" numFmtId="0" databaseField="0">
      <fieldGroup base="15">
        <rangePr groupBy="quarters" startDate="2026-04-30T00:00:00" endDate="2027-01-22T00:00:00"/>
        <groupItems count="6">
          <s v="&lt;30/04/2026"/>
          <s v="Qtr1"/>
          <s v="Qtr2"/>
          <s v="Qtr3"/>
          <s v="Qtr4"/>
          <s v="&gt;22/01/2027"/>
        </groupItems>
      </fieldGroup>
    </cacheField>
    <cacheField name="Years (Expiry Date)" numFmtId="0" databaseField="0">
      <fieldGroup base="15">
        <rangePr groupBy="years" startDate="2026-04-30T00:00:00" endDate="2027-01-22T00:00:00"/>
        <groupItems count="4">
          <s v="&lt;30/04/2026"/>
          <s v="2026"/>
          <s v="2027"/>
          <s v="&gt;22/01/2027"/>
        </groupItems>
      </fieldGroup>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24253703706" backgroundQuery="1" createdVersion="8" refreshedVersion="8" minRefreshableVersion="3" recordCount="156" xr:uid="{BD770A3E-06B6-4AD5-9C58-9CA825FEE5BE}">
  <cacheSource type="external" connectionId="8"/>
  <cacheFields count="30">
    <cacheField name="LC Number" numFmtId="0">
      <sharedItems/>
    </cacheField>
    <cacheField name="Issue Date." numFmtId="0">
      <sharedItems containsSemiMixedTypes="0" containsNonDate="0" containsDate="1" containsString="0" minDate="2023-08-30T00:00:00" maxDate="2026-06-24T00:00:00"/>
    </cacheField>
    <cacheField name="Project Director" numFmtId="0">
      <sharedItems count="17">
        <s v="Hassan Taleb"/>
        <s v="Rabih Makhoul"/>
        <s v="Justin Xavier"/>
        <s v="Matthew Mckernan"/>
        <s v="AbdulAziz Eraiba Fawzi"/>
        <s v="Luis Puente"/>
        <s v="Haytham Salem"/>
        <s v="Matthew Mckernan - AICS"/>
        <s v="Tareeq Telmasani"/>
        <s v="Dipu Sir"/>
        <s v="Essam Zahran"/>
        <s v="Chaminda Indrajit"/>
        <s v="Hashmat Khan"/>
        <s v="Mohammed Atef"/>
        <s v="Luis Puente - United Arab Aluminum Company"/>
        <s v="Mohammed Kotb"/>
        <s v="Nader Ageeb"/>
      </sharedItems>
    </cacheField>
    <cacheField name="Status" numFmtId="0">
      <sharedItems count="3">
        <s v="Completed"/>
        <s v="Other Amendment"/>
        <s v="Increase Amendment"/>
      </sharedItems>
    </cacheField>
    <cacheField name="Beneficiary" numFmtId="0">
      <sharedItems/>
    </cacheField>
    <cacheField name="Facility Space" numFmtId="0">
      <sharedItems count="10">
        <s v="MP1"/>
        <s v="KSP"/>
        <s v="Opera House"/>
        <s v="RCRC"/>
        <s v="Oceanarium"/>
        <s v="T5"/>
        <s v="CEER"/>
        <s v="Cash"/>
        <s v="Lagoon"/>
        <s v="Multipurpose" u="1"/>
      </sharedItems>
    </cacheField>
    <cacheField name="Group Company" numFmtId="0">
      <sharedItems count="9">
        <s v="FIRST FIX"/>
        <s v="MBL"/>
        <s v="ICAD"/>
        <s v="MBL/ICAD"/>
        <s v="MBL / Green Roots"/>
        <s v="MBL/AICS"/>
        <s v="MBL/AICS (L01)"/>
        <s v="MBL/United Arab Aluminum Co"/>
        <s v="MBL/ICAD/Baumat"/>
      </sharedItems>
    </cacheField>
    <cacheField name="Project" numFmtId="0">
      <sharedItems count="12">
        <s v="MP1"/>
        <s v="KSP"/>
        <s v="Rabigh Power Plant"/>
        <s v="ADF"/>
        <s v="OPERA House"/>
        <s v="RCRC"/>
        <s v="Oceanarium"/>
        <s v="CEER"/>
        <s v="L01-YAMMAMA"/>
        <s v="JCD SPMI"/>
        <s v="ABHA"/>
        <s v="Lagoon"/>
      </sharedItems>
    </cacheField>
    <cacheField name="Curr" numFmtId="0">
      <sharedItems count="4">
        <s v="SAR"/>
        <s v="EUR"/>
        <s v="USD"/>
        <s v="GBP"/>
      </sharedItems>
    </cacheField>
    <cacheField name="Project Code" numFmtId="0">
      <sharedItems containsSemiMixedTypes="0" containsString="0" containsNumber="1" containsInteger="1" minValue="1020001" maxValue="1020108" count="12">
        <n v="1020088"/>
        <n v="1020055"/>
        <n v="1020107"/>
        <n v="1020001"/>
        <n v="1020097"/>
        <n v="1020106"/>
        <n v="1020096"/>
        <n v="1020091"/>
        <n v="1020015"/>
        <n v="1020100"/>
        <n v="1020070"/>
        <n v="1020108"/>
      </sharedItems>
    </cacheField>
    <cacheField name="LC Amt(FCY)" numFmtId="0">
      <sharedItems containsSemiMixedTypes="0" containsString="0" containsNumber="1" minValue="72830.59" maxValue="67000000"/>
    </cacheField>
    <cacheField name="Rate" numFmtId="0">
      <sharedItems containsSemiMixedTypes="0" containsString="0" containsNumber="1" minValue="1" maxValue="4.6399999999999997" count="9">
        <n v="1"/>
        <n v="4.1680000000000001"/>
        <n v="4.056"/>
        <n v="4.5"/>
        <n v="4.32"/>
        <n v="3.75"/>
        <n v="4.6399999999999997"/>
        <n v="4.4400000000000004"/>
        <n v="4.3899999999999997"/>
      </sharedItems>
    </cacheField>
    <cacheField name="LC Amt(SAR)" numFmtId="0">
      <sharedItems containsSemiMixedTypes="0" containsString="0" containsNumber="1" minValue="101623.2" maxValue="211576205.22720003"/>
    </cacheField>
    <cacheField name="LC Settled" numFmtId="0">
      <sharedItems containsSemiMixedTypes="0" containsString="0" containsNumber="1" minValue="0" maxValue="210445911.24020118"/>
    </cacheField>
    <cacheField name="Balance After Settlement" numFmtId="0">
      <sharedItems containsSemiMixedTypes="0" containsString="0" containsNumber="1" minValue="0" maxValue="42000000"/>
    </cacheField>
    <cacheField name="Pending Settlement" numFmtId="0">
      <sharedItems containsSemiMixedTypes="0" containsString="0" containsNumber="1" minValue="0" maxValue="42000000"/>
    </cacheField>
    <cacheField name="LC Balance" numFmtId="0">
      <sharedItems containsSemiMixedTypes="0" containsString="0" containsNumber="1" minValue="0" maxValue="26518417.460000001"/>
    </cacheField>
    <cacheField name="Amt Recd. for Sign" numFmtId="0">
      <sharedItems containsSemiMixedTypes="0" containsString="0" containsNumber="1" minValue="0" maxValue="3481208.18" count="20">
        <n v="0"/>
        <n v="450000"/>
        <n v="151776.14000000001"/>
        <n v="48780.61"/>
        <n v="714129.01"/>
        <n v="3481208.18"/>
        <n v="915007.28"/>
        <n v="55822.96"/>
        <n v="675197.28"/>
        <n v="148788.15"/>
        <n v="267765.09000000003"/>
        <n v="1000000"/>
        <n v="184860.5"/>
        <n v="3318117.9"/>
        <n v="175000"/>
        <n v="648646"/>
        <n v="173290.06"/>
        <n v="700000"/>
        <n v="735855"/>
        <n v="1325316"/>
      </sharedItems>
    </cacheField>
    <cacheField name="Due Dates" numFmtId="0">
      <sharedItems containsBlank="1"/>
    </cacheField>
    <cacheField name="Expiry Date" numFmtId="0">
      <sharedItems containsSemiMixedTypes="0" containsNonDate="0" containsDate="1" containsString="0" minDate="2026-04-30T00:00:00" maxDate="2027-01-22T00:00:00"/>
    </cacheField>
    <cacheField name="Last Ship Date" numFmtId="0">
      <sharedItems containsSemiMixedTypes="0" containsNonDate="0" containsDate="1" containsString="0" minDate="2024-12-31T00:00:00" maxDate="2027-01-01T00:00:00"/>
    </cacheField>
    <cacheField name="Cash Margin" numFmtId="0">
      <sharedItems containsString="0" containsBlank="1" count="1">
        <m/>
      </sharedItems>
    </cacheField>
    <cacheField name="Cash-Fund Utilized" numFmtId="0">
      <sharedItems containsString="0" containsBlank="1" count="1">
        <m/>
      </sharedItems>
    </cacheField>
    <cacheField name="Cash-Recovered" numFmtId="0">
      <sharedItems containsString="0" containsBlank="1" containsNumber="1" minValue="118762.64" maxValue="118762.64" count="2">
        <m/>
        <n v="118762.64"/>
      </sharedItems>
    </cacheField>
    <cacheField name="Increase Amount in SAR" numFmtId="0">
      <sharedItems containsString="0" containsBlank="1" containsNumber="1" minValue="0" maxValue="25000000" count="6">
        <n v="0"/>
        <n v="909438.01"/>
        <n v="3738069.89"/>
        <n v="1500000"/>
        <m/>
        <n v="25000000"/>
      </sharedItems>
    </cacheField>
    <cacheField name="Remarks" numFmtId="0">
      <sharedItems containsBlank="1" count="15">
        <m/>
        <s v="Approvals Pending with Faiz | Increase in LC | Addition of PO's"/>
        <s v="to bank on 18-06 | Exp: 31-12"/>
        <s v="to bank on 08-04"/>
        <s v="to bank on 01-06 | Shipment Date - 31-12-2026"/>
        <s v="to bank on 26-02 | Exp &amp; LDS 28-06"/>
        <s v="to bank on 16-06 | Exp15.12 LDS 15-11"/>
        <s v="to bank on 06-05 | Payment terms 180 Days instead of 90 Days | Cannot proceed as per bank"/>
        <s v="to bank on 27-04 | Exp/ LDS 30-06"/>
        <s v="to bank on 25-12 | Exp: 21-09 &amp; LDS 31-08"/>
        <s v="to bank on 23-06| LC Increase 1.5M | Exp Date 31-08"/>
        <s v="to bank on 16-06 | Exp01-10"/>
        <s v="to bank on 09-03 | Exp &amp; LDS 30-06"/>
        <s v="to bank on 31-03"/>
        <s v="to bank on 23-06| Increase 25M | Extend 30-09 |Tenor 120 Days"/>
      </sharedItems>
    </cacheField>
    <cacheField name="Bank" numFmtId="0">
      <sharedItems count="7">
        <s v="SAB"/>
        <s v="Alinma"/>
        <s v="SNB"/>
        <s v="Jazira"/>
        <s v="Riyad"/>
        <s v="NBK"/>
        <s v="BAB" u="1"/>
      </sharedItems>
    </cacheField>
    <cacheField name="Lines" numFmtId="0">
      <sharedItems count="2">
        <s v="Credit"/>
        <s v="Cash"/>
      </sharedItems>
    </cacheField>
    <cacheField name="Payment Terms" numFmtId="0">
      <sharedItems count="28">
        <s v="90 Days from Applicant representative sign on Invoice"/>
        <s v="120 Days from Invoice Date"/>
        <s v="90 Days from App Rep Sign on Invoice"/>
        <s v="45 Days from the Invoice Date"/>
        <s v="60 Days from Invoice Date"/>
        <s v="90 Days From the Delivery Date"/>
        <s v="90 Days from Appln Rep Sign on Invoice"/>
        <s v="45 Days from Invoice Date"/>
        <s v="30 Days From Invoice Date"/>
        <s v="90 Days from Invoice Date"/>
        <s v="120 Days from Appl. Representative Sign"/>
        <s v="30 days from the date of comm. inv."/>
        <s v="90 Days from Delivery Date"/>
        <s v="30 Days from Shipment Date"/>
        <s v="60 Days From the Delivery Date"/>
        <s v="60 Days from Appl. Representative Sign"/>
        <s v="60 Days from Applicant representative sign on Invoice"/>
        <s v="90 Days from Shipment Date"/>
        <s v="120 Days from Appl Rep Sign on Invoice"/>
        <s v="90 Days from Appl. Representative Sign"/>
        <s v="Mixed Tenor - 60 / 45 / 21 Days from Invoice Date"/>
        <s v="Sight / 60 Days from Appl. Rep Sign on Invoice"/>
        <s v="120 Days from the Invoice Date"/>
        <s v="45 Days from Delivery Date"/>
        <s v="30 Days from Delivery Date"/>
        <s v="90 Days From Appl sign on Invoice"/>
        <s v="120 Days from Applicant representative sign on Invoice"/>
        <s v="30 Days from Appl. Rep Sign on Invoice"/>
      </sharedItems>
    </cacheField>
    <cacheField name="Active/Cancelled" numFmtId="0">
      <sharedItems count="1">
        <s v="Active"/>
      </sharedItems>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24257754632" backgroundQuery="1" createdVersion="8" refreshedVersion="8" minRefreshableVersion="3" recordCount="0" xr:uid="{FD34906F-A12D-4C68-B142-B8E55BF224BF}">
  <cacheSource type="external" connectionId="15"/>
  <cacheFields count="28">
    <cacheField name="LC Number" numFmtId="0">
      <sharedItems containsSemiMixedTypes="0" containsString="0"/>
    </cacheField>
    <cacheField name="Date Recd" numFmtId="0">
      <sharedItems containsSemiMixedTypes="0" containsNonDate="0" containsString="0"/>
    </cacheField>
    <cacheField name="Presentation No" numFmtId="0">
      <sharedItems containsSemiMixedTypes="0" containsString="0"/>
    </cacheField>
    <cacheField name="Project Director" numFmtId="0">
      <sharedItems containsSemiMixedTypes="0" containsString="0"/>
    </cacheField>
    <cacheField name="Clean / Disc" numFmtId="0">
      <sharedItems containsSemiMixedTypes="0" containsString="0"/>
    </cacheField>
    <cacheField name="Bank" numFmtId="0">
      <sharedItems count="3">
        <s v="Alinma" u="1"/>
        <s v="SNB" u="1"/>
        <s v="Jazira" u="1"/>
      </sharedItems>
    </cacheField>
    <cacheField name="Facility Space" numFmtId="0">
      <sharedItems containsSemiMixedTypes="0" containsString="0"/>
    </cacheField>
    <cacheField name="Lines" numFmtId="0">
      <sharedItems containsSemiMixedTypes="0" containsString="0"/>
    </cacheField>
    <cacheField name="Beneficiary" numFmtId="0">
      <sharedItems containsSemiMixedTypes="0" containsString="0"/>
    </cacheField>
    <cacheField name="Group Company" numFmtId="0">
      <sharedItems count="1">
        <s v="FIRST FIX" u="1"/>
      </sharedItems>
    </cacheField>
    <cacheField name="Project" numFmtId="0">
      <sharedItems count="3">
        <s v="JCD SPMI" u="1"/>
        <s v="KSP" u="1"/>
        <s v="RCRC" u="1"/>
      </sharedItems>
    </cacheField>
    <cacheField name="Project Code" numFmtId="0">
      <sharedItems containsSemiMixedTypes="0" containsString="0"/>
    </cacheField>
    <cacheField name="Curr" numFmtId="0">
      <sharedItems containsSemiMixedTypes="0" containsString="0"/>
    </cacheField>
    <cacheField name="LC Amount" numFmtId="0">
      <sharedItems containsSemiMixedTypes="0" containsString="0"/>
    </cacheField>
    <cacheField name="Status" numFmtId="0">
      <sharedItems containsSemiMixedTypes="0" containsString="0"/>
    </cacheField>
    <cacheField name="Docs Received" numFmtId="0">
      <sharedItems containsSemiMixedTypes="0" containsString="0"/>
    </cacheField>
    <cacheField name="Invoice Amt (FCY)" numFmtId="0">
      <sharedItems containsSemiMixedTypes="0" containsString="0"/>
    </cacheField>
    <cacheField name="Rate" numFmtId="0">
      <sharedItems containsSemiMixedTypes="0" containsString="0"/>
    </cacheField>
    <cacheField name=" Invoice Amt (SAR)" numFmtId="0">
      <sharedItems containsSemiMixedTypes="0" containsString="0"/>
    </cacheField>
    <cacheField name="Due Date" numFmtId="0">
      <sharedItems containsSemiMixedTypes="0" containsNonDate="0" containsString="0"/>
    </cacheField>
    <cacheField name="Payment Terms" numFmtId="0">
      <sharedItems containsSemiMixedTypes="0" containsString="0"/>
    </cacheField>
    <cacheField name="Funds Utilize" numFmtId="0">
      <sharedItems containsSemiMixedTypes="0" containsString="0"/>
    </cacheField>
    <cacheField name="Recovered" numFmtId="0">
      <sharedItems containsSemiMixedTypes="0" containsString="0"/>
    </cacheField>
    <cacheField name="Remarks" numFmtId="0">
      <sharedItems containsSemiMixedTypes="0" containsString="0"/>
    </cacheField>
    <cacheField name="Days" numFmtId="0">
      <sharedItems containsSemiMixedTypes="0" containsString="0"/>
    </cacheField>
    <cacheField name="Tariff" numFmtId="0">
      <sharedItems containsSemiMixedTypes="0" containsString="0"/>
    </cacheField>
    <cacheField name="Settlement Charges" numFmtId="0">
      <sharedItems containsSemiMixedTypes="0" containsString="0"/>
    </cacheField>
    <cacheField name="Other Charges" numFmtId="0">
      <sharedItems containsSemiMixedTypes="0" containsString="0"/>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24285416666" backgroundQuery="1" createdVersion="8" refreshedVersion="8" minRefreshableVersion="3" recordCount="0" xr:uid="{62492098-FAAA-4B6A-812A-EB5B5BDF3186}">
  <cacheSource type="external" connectionId="25"/>
  <cacheFields count="17">
    <cacheField name="LC Number" numFmtId="0">
      <sharedItems containsSemiMixedTypes="0" containsString="0"/>
    </cacheField>
    <cacheField name="Bank" numFmtId="0">
      <sharedItems count="6">
        <s v="Alinma" u="1"/>
        <s v="SNB" u="1"/>
        <s v="SAB" u="1"/>
        <s v="Jazira" u="1"/>
        <s v="Riyad" u="1"/>
        <s v="BAB" u="1"/>
      </sharedItems>
    </cacheField>
    <cacheField name="Facility Space" numFmtId="0">
      <sharedItems containsSemiMixedTypes="0" containsString="0"/>
    </cacheField>
    <cacheField name="Lines" numFmtId="0">
      <sharedItems containsSemiMixedTypes="0" containsString="0"/>
    </cacheField>
    <cacheField name="Beneficiary" numFmtId="0">
      <sharedItems containsSemiMixedTypes="0" containsString="0"/>
    </cacheField>
    <cacheField name="Group Company" numFmtId="0">
      <sharedItems count="5">
        <s v="MBL/ICAD" u="1"/>
        <s v="FIRST FIX" u="1"/>
        <s v="ICAD" u="1"/>
        <s v="MBL" u="1"/>
        <s v="MBL/IFAS" u="1"/>
      </sharedItems>
    </cacheField>
    <cacheField name="Project" numFmtId="0">
      <sharedItems count="11">
        <s v="KSP" u="1"/>
        <s v="ADF" u="1"/>
        <s v="ABHA" u="1"/>
        <s v="RCRC" u="1"/>
        <s v="Oceanarium" u="1"/>
        <s v="MP1" u="1"/>
        <s v="CEER" u="1"/>
        <s v="Rabigh Power Plant" u="1"/>
        <s v="JCD SPMI" u="1"/>
        <s v="IFAS - Various Projects" u="1"/>
        <s v="KAP" u="1"/>
      </sharedItems>
    </cacheField>
    <cacheField name="Curr" numFmtId="0">
      <sharedItems containsSemiMixedTypes="0" containsString="0"/>
    </cacheField>
    <cacheField name="LC Amount" numFmtId="0">
      <sharedItems containsSemiMixedTypes="0" containsString="0"/>
    </cacheField>
    <cacheField name="Invoice Amt (FCY)" numFmtId="0">
      <sharedItems containsSemiMixedTypes="0" containsString="0"/>
    </cacheField>
    <cacheField name="Rate" numFmtId="0">
      <sharedItems containsSemiMixedTypes="0" containsString="0"/>
    </cacheField>
    <cacheField name=" Invoice Amt (SAR)" numFmtId="0">
      <sharedItems containsSemiMixedTypes="0" containsString="0"/>
    </cacheField>
    <cacheField name="Payment Terms" numFmtId="0">
      <sharedItems containsSemiMixedTypes="0" containsString="0"/>
    </cacheField>
    <cacheField name="Expiry Date" numFmtId="0">
      <sharedItems containsSemiMixedTypes="0" containsNonDate="0" containsDate="1" containsString="0" minDate="1905-01-01T00:00:00" maxDate="1905-01-01T00:00:00"/>
      <fieldGroup par="16"/>
    </cacheField>
    <cacheField name="Active/Cancelled" numFmtId="0">
      <sharedItems count="2">
        <s v="Cancelled" u="1"/>
        <s v="Active" u="1"/>
      </sharedItems>
    </cacheField>
    <cacheField name="Days (Expiry Date)" numFmtId="0" databaseField="0">
      <fieldGroup base="13">
        <rangePr groupBy="days" startDate="1905-01-01T00:00:00" endDate="1905-01-01T00:00:00"/>
        <groupItems count="368">
          <s v="&lt;01/01/190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1/1905"/>
        </groupItems>
      </fieldGroup>
    </cacheField>
    <cacheField name="Months (Expiry Date)" numFmtId="0" databaseField="0">
      <fieldGroup base="13">
        <rangePr groupBy="months" startDate="1905-01-01T00:00:00" endDate="1905-01-01T00:00:00"/>
        <groupItems count="14">
          <s v="&lt;01/01/1905"/>
          <s v="Jan"/>
          <s v="Feb"/>
          <s v="Mar"/>
          <s v="Apr"/>
          <s v="May"/>
          <s v="Jun"/>
          <s v="Jul"/>
          <s v="Aug"/>
          <s v="Sep"/>
          <s v="Oct"/>
          <s v="Nov"/>
          <s v="Dec"/>
          <s v="&gt;01/01/1905"/>
        </groupItems>
      </fieldGroup>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24289120368" backgroundQuery="1" createdVersion="8" refreshedVersion="8" minRefreshableVersion="3" recordCount="41" xr:uid="{0575992D-9545-4124-AB34-59048E4781A7}">
  <cacheSource type="external" connectionId="16"/>
  <cacheFields count="4">
    <cacheField name="Year" numFmtId="0">
      <sharedItems containsSemiMixedTypes="0" containsString="0" containsNumber="1" containsInteger="1" minValue="2022" maxValue="2026" count="5">
        <n v="2023"/>
        <n v="2025"/>
        <n v="2024"/>
        <n v="2026"/>
        <n v="2022"/>
      </sharedItems>
    </cacheField>
    <cacheField name="Month Name" numFmtId="0">
      <sharedItems count="12">
        <s v="November"/>
        <s v="July"/>
        <s v="August"/>
        <s v="September"/>
        <s v="December"/>
        <s v="January"/>
        <s v="March"/>
        <s v="February"/>
        <s v="May"/>
        <s v="June"/>
        <s v="April"/>
        <s v="October"/>
      </sharedItems>
    </cacheField>
    <cacheField name="Count" numFmtId="0">
      <sharedItems containsSemiMixedTypes="0" containsString="0" containsNumber="1" containsInteger="1" minValue="1" maxValue="74" count="29">
        <n v="10"/>
        <n v="11"/>
        <n v="73"/>
        <n v="23"/>
        <n v="32"/>
        <n v="55"/>
        <n v="52"/>
        <n v="63"/>
        <n v="24"/>
        <n v="74"/>
        <n v="41"/>
        <n v="5"/>
        <n v="22"/>
        <n v="14"/>
        <n v="29"/>
        <n v="36"/>
        <n v="16"/>
        <n v="21"/>
        <n v="9"/>
        <n v="27"/>
        <n v="8"/>
        <n v="28"/>
        <n v="12"/>
        <n v="3"/>
        <n v="7"/>
        <n v="1"/>
        <n v="15"/>
        <n v="2"/>
        <n v="33"/>
      </sharedItems>
    </cacheField>
    <cacheField name="Total Issuance" numFmtId="0">
      <sharedItems containsSemiMixedTypes="0" containsString="0" containsNumber="1" minValue="6358290" maxValue="638362042.14989686"/>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24292708332" backgroundQuery="1" createdVersion="8" refreshedVersion="8" minRefreshableVersion="3" recordCount="5" xr:uid="{E9A58634-D854-465B-B1A8-1509FEC6A1D2}">
  <cacheSource type="external" connectionId="12"/>
  <cacheFields count="24">
    <cacheField name="LC Number" numFmtId="0">
      <sharedItems containsString="0" containsBlank="1" count="1">
        <m/>
      </sharedItems>
    </cacheField>
    <cacheField name="Issue Date." numFmtId="0">
      <sharedItems containsSemiMixedTypes="0" containsDate="1" containsString="0" minDate="2026-04-13T00:00:00" maxDate="2026-06-23T00:00:00" count="4">
        <d v="2026-04-13T00:00:00"/>
        <d v="2026-04-15T00:00:00"/>
        <d v="2026-06-17T00:00:00"/>
        <d v="2026-06-22T00:00:00"/>
      </sharedItems>
    </cacheField>
    <cacheField name="Project Director" numFmtId="0">
      <sharedItems count="4">
        <s v="Luis Puente"/>
        <s v="Tareeq Telmasani"/>
        <s v="Hassan Taleb"/>
        <s v="Rabih Makhoul"/>
      </sharedItems>
    </cacheField>
    <cacheField name="Status" numFmtId="0">
      <sharedItems count="2">
        <s v="Submitted to Bank"/>
        <s v="Ready for Submission"/>
      </sharedItems>
    </cacheField>
    <cacheField name="Bank" numFmtId="0">
      <sharedItems containsBlank="1" count="9">
        <s v="Riyad"/>
        <s v="FAB"/>
        <s v="Jazira"/>
        <s v="SNB"/>
        <s v="SAB" u="1"/>
        <s v="NBK" u="1"/>
        <s v="Alinma" u="1"/>
        <m u="1"/>
        <s v="BAB" u="1"/>
      </sharedItems>
    </cacheField>
    <cacheField name="Facility Space" numFmtId="0">
      <sharedItems containsBlank="1" count="11">
        <s v="Oceanarium"/>
        <s v="CEER2"/>
        <s v="RCRC"/>
        <s v="Opera House"/>
        <s v="MP1" u="1"/>
        <s v="Lagoon" u="1"/>
        <s v="KSP" u="1"/>
        <s v="T5" u="1"/>
        <s v="CEER" u="1"/>
        <m u="1"/>
        <s v="Multipurpose" u="1"/>
      </sharedItems>
    </cacheField>
    <cacheField name="Beneficiary" numFmtId="0">
      <sharedItems count="5">
        <s v="Innovative Contractors for Advanced Dimension (ICAD)"/>
        <s v="Metallurgical Corporation of China Ltd (MCC) Saudi Branch."/>
        <s v="KINGSPAN INSULATED PANELS MANUFACTURING LLC"/>
        <s v="Metal and Glass Trading Co One Person"/>
        <s v="Al Arabia Construction &amp; Building Co."/>
      </sharedItems>
    </cacheField>
    <cacheField name="Group Company" numFmtId="0">
      <sharedItems count="2">
        <s v="MBL"/>
        <s v="FIRST FIX"/>
      </sharedItems>
    </cacheField>
    <cacheField name="Project" numFmtId="0">
      <sharedItems count="4">
        <s v="Oceanarium"/>
        <s v="CEER2"/>
        <s v="RCRC"/>
        <s v="Rabigh Power Plant"/>
      </sharedItems>
    </cacheField>
    <cacheField name="Project Code" numFmtId="0">
      <sharedItems containsSemiMixedTypes="0" containsString="0" containsNumber="1" containsInteger="1" minValue="1020091" maxValue="1020107" count="4">
        <n v="1020096"/>
        <n v="1020091"/>
        <n v="1020106"/>
        <n v="1020107"/>
      </sharedItems>
    </cacheField>
    <cacheField name="Curr" numFmtId="0">
      <sharedItems count="1">
        <s v="SAR"/>
      </sharedItems>
    </cacheField>
    <cacheField name="LC Amt(FCY)" numFmtId="0">
      <sharedItems containsSemiMixedTypes="0" containsString="0" containsNumber="1" minValue="1017646" maxValue="209346521" count="5">
        <n v="3000000"/>
        <n v="209346521"/>
        <n v="77325315.5"/>
        <n v="3422137.8"/>
        <n v="1017646"/>
      </sharedItems>
    </cacheField>
    <cacheField name="Rate" numFmtId="0">
      <sharedItems containsSemiMixedTypes="0" containsString="0" containsNumber="1" containsInteger="1" minValue="1" maxValue="1" count="1">
        <n v="1"/>
      </sharedItems>
    </cacheField>
    <cacheField name="LC Amt(SAR)" numFmtId="0">
      <sharedItems containsSemiMixedTypes="0" containsString="0" containsNumber="1" minValue="1017646" maxValue="209346521" count="5">
        <n v="3000000"/>
        <n v="209346521"/>
        <n v="77325315.5"/>
        <n v="3422137.8"/>
        <n v="1017646"/>
      </sharedItems>
    </cacheField>
    <cacheField name="Expiry Date" numFmtId="0">
      <sharedItems containsSemiMixedTypes="0" containsDate="1" containsString="0" minDate="2026-07-31T00:00:00" maxDate="2027-02-02T00:00:00" count="5">
        <d v="2026-07-31T00:00:00"/>
        <d v="2027-02-01T00:00:00"/>
        <d v="2026-10-30T00:00:00"/>
        <d v="2026-09-30T00:00:00"/>
        <d v="2026-10-31T00:00:00"/>
      </sharedItems>
    </cacheField>
    <cacheField name="Last Ship Date" numFmtId="0">
      <sharedItems containsSemiMixedTypes="0" containsDate="1" containsString="0" minDate="2026-07-31T00:00:00" maxDate="2027-02-02T00:00:00" count="4">
        <d v="2026-07-31T00:00:00"/>
        <d v="2027-02-01T00:00:00"/>
        <d v="2026-09-30T00:00:00"/>
        <d v="2026-10-31T00:00:00"/>
      </sharedItems>
    </cacheField>
    <cacheField name="Lines" numFmtId="0">
      <sharedItems count="1">
        <s v="Credit"/>
      </sharedItems>
    </cacheField>
    <cacheField name="Payment Terms" numFmtId="0">
      <sharedItems count="5">
        <s v="60 Days from Applicant representative sign on Invoice"/>
        <s v="14 Days after Sight"/>
        <s v="120 Days from Invoice Date"/>
        <s v="90 Days from Applicant representative sign on Invoice"/>
        <s v="45 Days from the Invoice Date"/>
      </sharedItems>
    </cacheField>
    <cacheField name="Cash Margin" numFmtId="0">
      <sharedItems containsString="0" containsBlank="1" count="1">
        <m/>
      </sharedItems>
    </cacheField>
    <cacheField name="Cash-Fund Utilized" numFmtId="0">
      <sharedItems containsString="0" containsBlank="1" count="1">
        <m/>
      </sharedItems>
    </cacheField>
    <cacheField name="Cash-Recovered" numFmtId="0">
      <sharedItems containsString="0" containsBlank="1" count="1">
        <m/>
      </sharedItems>
    </cacheField>
    <cacheField name="Increase Amount in SAR" numFmtId="0">
      <sharedItems containsSemiMixedTypes="0" containsString="0" containsNumber="1" containsInteger="1" minValue="0" maxValue="0" count="1">
        <n v="0"/>
      </sharedItems>
    </cacheField>
    <cacheField name="Remarks" numFmtId="0">
      <sharedItems count="4">
        <s v="to bank on 15-04 | Facility Issue"/>
        <s v="Shaikh Sign Pending"/>
        <s v="GA received | Specimen Pending for Tareq Sir Sign"/>
        <s v="to bank on 23-06"/>
      </sharedItems>
    </cacheField>
    <cacheField name="Active/Cancelled" numFmtId="0">
      <sharedItems count="1">
        <s v="Active"/>
      </sharedItems>
    </cacheField>
  </cacheFields>
  <extLst>
    <ext xmlns:x14="http://schemas.microsoft.com/office/spreadsheetml/2009/9/main" uri="{725AE2AE-9491-48be-B2B4-4EB974FC3084}">
      <x14:pivotCacheDefinition/>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24320949074" backgroundQuery="1" createdVersion="8" refreshedVersion="8" minRefreshableVersion="3" recordCount="2" xr:uid="{92B233B5-AE3A-4053-A347-F011EAB831B4}">
  <cacheSource type="external" connectionId="9"/>
  <cacheFields count="24">
    <cacheField name="LC Number" numFmtId="0">
      <sharedItems count="2">
        <s v="M001959"/>
        <s v="ILC-0840-26-9073"/>
      </sharedItems>
    </cacheField>
    <cacheField name="Issue Date." numFmtId="0">
      <sharedItems containsSemiMixedTypes="0" containsDate="1" containsString="0" minDate="2026-03-10T00:00:00" maxDate="2026-03-12T00:00:00" count="2">
        <d v="2026-03-11T00:00:00"/>
        <d v="2026-03-10T00:00:00"/>
      </sharedItems>
    </cacheField>
    <cacheField name="Project Director" numFmtId="0">
      <sharedItems count="2">
        <s v="Nader Ageeb"/>
        <s v="Hassan Taleb"/>
      </sharedItems>
    </cacheField>
    <cacheField name="Status" numFmtId="0">
      <sharedItems count="1">
        <s v="Increase Amendment"/>
      </sharedItems>
    </cacheField>
    <cacheField name="Bank" numFmtId="0">
      <sharedItems count="7">
        <s v="NBK"/>
        <s v="Jazira"/>
        <s v="SNB" u="1"/>
        <s v="Alinma" u="1"/>
        <s v="SAB" u="1"/>
        <s v="Riyad" u="1"/>
        <s v="BAB" u="1"/>
      </sharedItems>
    </cacheField>
    <cacheField name="Facility Space" numFmtId="0">
      <sharedItems count="9">
        <s v="Lagoon"/>
        <s v="RCRC"/>
        <s v="Opera House" u="1"/>
        <s v="KSP" u="1"/>
        <s v="MP1" u="1"/>
        <s v="T5" u="1"/>
        <s v="Oceanarium" u="1"/>
        <s v="CEER" u="1"/>
        <s v="Multipurpose" u="1"/>
      </sharedItems>
    </cacheField>
    <cacheField name="Beneficiary" numFmtId="0">
      <sharedItems count="2">
        <s v="Ready Mix Company Limited."/>
        <s v="The Fundamental Installation For Electric Work Co"/>
      </sharedItems>
    </cacheField>
    <cacheField name="Group Company" numFmtId="0">
      <sharedItems count="2">
        <s v="MBL"/>
        <s v="FIRST FIX"/>
      </sharedItems>
    </cacheField>
    <cacheField name="Project" numFmtId="0">
      <sharedItems count="2">
        <s v="Lagoon"/>
        <s v="CEER"/>
      </sharedItems>
    </cacheField>
    <cacheField name="Project Code" numFmtId="0">
      <sharedItems containsSemiMixedTypes="0" containsString="0" containsNumber="1" containsInteger="1" minValue="1020091" maxValue="1020108" count="2">
        <n v="1020108"/>
        <n v="1020091"/>
      </sharedItems>
    </cacheField>
    <cacheField name="Curr" numFmtId="0">
      <sharedItems count="1">
        <s v="SAR"/>
      </sharedItems>
    </cacheField>
    <cacheField name="LC Amt(FCY)" numFmtId="0">
      <sharedItems containsSemiMixedTypes="0" containsString="0" containsNumber="1" containsInteger="1" minValue="5000000" maxValue="67000000" count="2">
        <n v="5000000"/>
        <n v="67000000"/>
      </sharedItems>
    </cacheField>
    <cacheField name="Rate" numFmtId="0">
      <sharedItems containsSemiMixedTypes="0" containsString="0" containsNumber="1" containsInteger="1" minValue="1" maxValue="1" count="1">
        <n v="1"/>
      </sharedItems>
    </cacheField>
    <cacheField name="LC Amt(SAR)" numFmtId="0">
      <sharedItems containsSemiMixedTypes="0" containsString="0" containsNumber="1" containsInteger="1" minValue="5000000" maxValue="67000000" count="2">
        <n v="5000000"/>
        <n v="67000000"/>
      </sharedItems>
    </cacheField>
    <cacheField name="Expiry Date" numFmtId="0">
      <sharedItems containsSemiMixedTypes="0" containsDate="1" containsString="0" minDate="2026-06-30T00:00:00" maxDate="2026-07-01T00:00:00" count="1">
        <d v="2026-06-30T00:00:00"/>
      </sharedItems>
    </cacheField>
    <cacheField name="Last Ship Date" numFmtId="0">
      <sharedItems containsSemiMixedTypes="0" containsDate="1" containsString="0" minDate="2026-06-30T00:00:00" maxDate="2026-07-01T00:00:00" count="1">
        <d v="2026-06-30T00:00:00"/>
      </sharedItems>
    </cacheField>
    <cacheField name="Lines" numFmtId="0">
      <sharedItems count="1">
        <s v="Credit"/>
      </sharedItems>
    </cacheField>
    <cacheField name="Payment Terms" numFmtId="0">
      <sharedItems count="2">
        <s v="60 Days from Invoice Date"/>
        <s v="90 Days from Invoice Date"/>
      </sharedItems>
    </cacheField>
    <cacheField name="Cash Margin" numFmtId="0">
      <sharedItems containsString="0" containsBlank="1" count="1">
        <m/>
      </sharedItems>
    </cacheField>
    <cacheField name="Cash-Fund Utilized" numFmtId="0">
      <sharedItems containsString="0" containsBlank="1" count="1">
        <m/>
      </sharedItems>
    </cacheField>
    <cacheField name="Cash-Recovered" numFmtId="0">
      <sharedItems containsString="0" containsBlank="1" count="1">
        <m/>
      </sharedItems>
    </cacheField>
    <cacheField name="Increase Amount in SAR" numFmtId="0">
      <sharedItems containsSemiMixedTypes="0" containsString="0" containsNumber="1" containsInteger="1" minValue="1500000" maxValue="25000000" count="2">
        <n v="1500000"/>
        <n v="25000000"/>
      </sharedItems>
    </cacheField>
    <cacheField name="Remarks" numFmtId="0">
      <sharedItems count="2">
        <s v="to bank on 23-06| LC Increase 1.5M | Exp Date 31-08"/>
        <s v="to bank on 23-06| Increase 25M | Extend 30-09 |Tenor 120 Days"/>
      </sharedItems>
    </cacheField>
    <cacheField name="Active/Cancelled" numFmtId="0">
      <sharedItems count="1">
        <s v="Active"/>
      </sharedItems>
    </cacheField>
  </cacheFields>
  <extLst>
    <ext xmlns:x14="http://schemas.microsoft.com/office/spreadsheetml/2009/9/main" uri="{725AE2AE-9491-48be-B2B4-4EB974FC3084}">
      <x14:pivotCacheDefinition/>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24325231485" backgroundQuery="1" createdVersion="8" refreshedVersion="8" minRefreshableVersion="3" recordCount="20" xr:uid="{9AF10D17-1F8D-4560-952C-07BCE19E5B74}">
  <cacheSource type="external" connectionId="11"/>
  <cacheFields count="24">
    <cacheField name="LC Number" numFmtId="0">
      <sharedItems containsString="0" containsBlank="1" count="1">
        <m/>
      </sharedItems>
    </cacheField>
    <cacheField name="Issue Date." numFmtId="0">
      <sharedItems containsSemiMixedTypes="0" containsDate="1" containsString="0" minDate="2026-04-12T00:00:00" maxDate="2026-06-24T00:00:00" count="8">
        <d v="2026-04-12T00:00:00"/>
        <d v="2026-04-26T00:00:00"/>
        <d v="2026-05-13T00:00:00"/>
        <d v="2026-05-16T00:00:00"/>
        <d v="2026-06-07T00:00:00"/>
        <d v="2026-06-18T00:00:00"/>
        <d v="2026-06-21T00:00:00"/>
        <d v="2026-06-23T00:00:00"/>
      </sharedItems>
    </cacheField>
    <cacheField name="Project Director" numFmtId="0">
      <sharedItems count="6">
        <s v="Luis Puente - United Arab Aluminum Company"/>
        <s v="Luis Puente"/>
        <s v="Abdulfattah Zeyad Alassali"/>
        <s v="Matthew Mckernan"/>
        <s v="Mohammed Kotb"/>
        <s v="Nader Ageeb"/>
      </sharedItems>
    </cacheField>
    <cacheField name="Status" numFmtId="0">
      <sharedItems count="1">
        <s v="Received to Open"/>
      </sharedItems>
    </cacheField>
    <cacheField name="Bank" numFmtId="0">
      <sharedItems count="7">
        <s v="Riyad"/>
        <s v="SAB"/>
        <s v="SNB"/>
        <s v="NBK"/>
        <s v="Jazira" u="1"/>
        <s v="FAB" u="1"/>
        <s v="Alinma" u="1"/>
      </sharedItems>
    </cacheField>
    <cacheField name="Facility Space" numFmtId="0">
      <sharedItems count="7">
        <s v="Oceanarium"/>
        <s v="MP1"/>
        <s v="Opera House"/>
        <s v="Lagoon"/>
        <s v="RCRC" u="1"/>
        <s v="CEER2" u="1"/>
        <s v="KSP" u="1"/>
      </sharedItems>
    </cacheField>
    <cacheField name="Beneficiary" numFmtId="0">
      <sharedItems count="20">
        <s v="SCHUCO MIDDLE EAST"/>
        <s v="NMA ALMUTAMIZA INDUSTRIAL AND EQUIPMENT CO."/>
        <s v="Al-Sayed Center A/C for Materials Company"/>
        <s v="ARABIAN PLASTIC MANUF CO"/>
        <s v="Brooq Al-Amaan Trading Company"/>
        <s v="Riyadh Unity for Trading"/>
        <s v="Safid Co. Ltd."/>
        <s v="TECHNICAL TOOLS TRADING CO."/>
        <s v="TEN POINTS EST"/>
        <s v="Imdadat Al-jazera Al-arabia Trading Co."/>
        <s v="Alfa Laval Al Arabia for Maintenance"/>
        <s v="HUSAIN OMAR ALATHAS FACTORY CO."/>
        <s v="Lanaro S.R.L"/>
        <s v="AL RAMSAT CONTRACTING COMPANY"/>
        <s v="Pico International for Event and Expo"/>
        <s v="BFG International W.L.L."/>
        <s v="Al Arabia for Construction &amp; Building Co."/>
        <s v="INDUSTRIAL STONES SOURCE"/>
        <s v="Modern Material Leaders"/>
        <s v="NIZAR ABDALGHANY KABLI FOR GENERAL CONTRACTING"/>
      </sharedItems>
    </cacheField>
    <cacheField name="Group Company" numFmtId="0">
      <sharedItems count="3">
        <s v="MBL/United Arab Aluminum Co"/>
        <s v="FIRST FIX"/>
        <s v="MBL"/>
      </sharedItems>
    </cacheField>
    <cacheField name="Project" numFmtId="0">
      <sharedItems count="5">
        <s v="Oceanarium"/>
        <s v="MP1"/>
        <s v="OPERA House"/>
        <s v="ABHA"/>
        <s v="Lagoon"/>
      </sharedItems>
    </cacheField>
    <cacheField name="Project Code" numFmtId="0">
      <sharedItems containsSemiMixedTypes="0" containsString="0" containsNumber="1" containsInteger="1" minValue="1020070" maxValue="1020108" count="5">
        <n v="1020096"/>
        <n v="1020088"/>
        <n v="1020097"/>
        <n v="1020070"/>
        <n v="1020108"/>
      </sharedItems>
    </cacheField>
    <cacheField name="Curr" numFmtId="0">
      <sharedItems count="1">
        <s v="SAR"/>
      </sharedItems>
    </cacheField>
    <cacheField name="LC Amt(FCY)" numFmtId="0">
      <sharedItems containsSemiMixedTypes="0" containsString="0" containsNumber="1" minValue="150000" maxValue="24490379" count="15">
        <n v="270865.19"/>
        <n v="500000"/>
        <n v="150000"/>
        <n v="200000"/>
        <n v="400000"/>
        <n v="300000"/>
        <n v="257626.45"/>
        <n v="24490379"/>
        <n v="8200000"/>
        <n v="10000000"/>
        <n v="3000000"/>
        <n v="15600000"/>
        <n v="1500000"/>
        <n v="2000000"/>
        <n v="7000000"/>
      </sharedItems>
    </cacheField>
    <cacheField name="Rate" numFmtId="0">
      <sharedItems containsSemiMixedTypes="0" containsString="0" containsNumber="1" containsInteger="1" minValue="1" maxValue="1" count="1">
        <n v="1"/>
      </sharedItems>
    </cacheField>
    <cacheField name="LC Amt(SAR)" numFmtId="0">
      <sharedItems containsSemiMixedTypes="0" containsString="0" containsNumber="1" minValue="150000" maxValue="24490379" count="15">
        <n v="270865.19"/>
        <n v="500000"/>
        <n v="150000"/>
        <n v="200000"/>
        <n v="400000"/>
        <n v="300000"/>
        <n v="257626.45"/>
        <n v="24490379"/>
        <n v="8200000"/>
        <n v="10000000"/>
        <n v="3000000"/>
        <n v="15600000"/>
        <n v="1500000"/>
        <n v="2000000"/>
        <n v="7000000"/>
      </sharedItems>
    </cacheField>
    <cacheField name="Expiry Date" numFmtId="0">
      <sharedItems containsSemiMixedTypes="0" containsDate="1" containsString="0" minDate="2026-07-31T00:00:00" maxDate="2027-01-01T00:00:00" count="6">
        <d v="2026-08-31T00:00:00"/>
        <d v="2026-07-31T00:00:00"/>
        <d v="2026-09-30T00:00:00"/>
        <d v="2026-11-20T00:00:00"/>
        <d v="2026-12-31T00:00:00"/>
        <d v="2026-11-21T00:00:00"/>
      </sharedItems>
    </cacheField>
    <cacheField name="Last Ship Date" numFmtId="0">
      <sharedItems containsSemiMixedTypes="0" containsDate="1" containsString="0" minDate="2026-07-31T00:00:00" maxDate="2026-11-22T00:00:00" count="5">
        <d v="2026-08-31T00:00:00"/>
        <d v="2026-07-31T00:00:00"/>
        <d v="2026-09-30T00:00:00"/>
        <d v="2026-11-20T00:00:00"/>
        <d v="2026-11-21T00:00:00"/>
      </sharedItems>
    </cacheField>
    <cacheField name="Lines" numFmtId="0">
      <sharedItems count="1">
        <s v="Credit"/>
      </sharedItems>
    </cacheField>
    <cacheField name="Payment Terms" numFmtId="0">
      <sharedItems count="4">
        <s v="120 Days from Invoice Date"/>
        <s v="90 Days from Appln Rep Sign on Invoice"/>
        <s v="90 Days from Invoice Date"/>
        <s v="30 Days from the Shipment Date"/>
      </sharedItems>
    </cacheField>
    <cacheField name="Cash Margin" numFmtId="0">
      <sharedItems containsString="0" containsBlank="1" count="1">
        <m/>
      </sharedItems>
    </cacheField>
    <cacheField name="Cash-Fund Utilized" numFmtId="0">
      <sharedItems containsString="0" containsBlank="1" count="1">
        <m/>
      </sharedItems>
    </cacheField>
    <cacheField name="Cash-Recovered" numFmtId="0">
      <sharedItems containsString="0" containsBlank="1" count="1">
        <m/>
      </sharedItems>
    </cacheField>
    <cacheField name="Increase Amount in SAR" numFmtId="0">
      <sharedItems containsString="0" containsBlank="1" containsNumber="1" containsInteger="1" minValue="0" maxValue="0" count="2">
        <n v="0"/>
        <m/>
      </sharedItems>
    </cacheField>
    <cacheField name="Remarks" numFmtId="0">
      <sharedItems count="7">
        <s v="Hold as per Obada | Facility Issue | Draft Pending"/>
        <s v="Facility Issue | Complete Pending"/>
        <s v="LC received from supplier | Hold as per S.S"/>
        <s v="Under review | Draft Pending"/>
        <s v="GA Pending | SAB Prepared"/>
        <s v="Facility Issue | GA Pending | PD Received | Preparation Pending"/>
        <s v="GA Pending | NBK Prepared"/>
      </sharedItems>
    </cacheField>
    <cacheField name="Active/Cancelled" numFmtId="0">
      <sharedItems count="1">
        <s v="Active"/>
      </sharedItems>
    </cacheField>
  </cacheFields>
  <extLst>
    <ext xmlns:x14="http://schemas.microsoft.com/office/spreadsheetml/2009/9/main" uri="{725AE2AE-9491-48be-B2B4-4EB974FC3084}">
      <x14:pivotCacheDefinition/>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arhan Shaikh" refreshedDate="46197.42432928241" backgroundQuery="1" createdVersion="8" refreshedVersion="8" minRefreshableVersion="3" recordCount="34" xr:uid="{B35422BA-59EB-4853-943C-8BE80A68A876}">
  <cacheSource type="external" connectionId="30"/>
  <cacheFields count="10">
    <cacheField name="LC Number" numFmtId="0">
      <sharedItems containsBlank="1" count="271">
        <s v="ILC-0840-25-8427"/>
        <m/>
        <s v="M001959"/>
        <s v="ILC-0840-26-9073"/>
        <s v="DCBWPM564580_2"/>
        <s v="DCBWPM160364_1"/>
        <s v="TF2535200021_4"/>
        <s v="RLG6702386"/>
        <s v="LGI-0840-26-7783" u="1"/>
        <s v="DCBWPM163945_1" u="1"/>
        <s v="JLG6605093" u="1"/>
        <s v="JLG7001686" u="1"/>
        <s v="DCBWPM564580_3" u="1"/>
        <s v="JLG6602654" u="1"/>
        <s v="JLC7000007" u="1"/>
        <s v="ILC-0840-26-8820" u="1"/>
        <s v="ILC-0840-26-8822" u="1"/>
        <s v="ILC-0840-26-8823" u="1"/>
        <s v="ILC-0840-25-8164" u="1"/>
        <s v="ILC-0840-25-8166" u="1"/>
        <s v="JLC7000192" u="1"/>
        <s v="JLC6902211" u="1"/>
        <s v="JLC6902213" u="1"/>
        <s v="JLC7000002" u="1"/>
        <s v="JLC7000003" u="1"/>
        <s v="DCBWPM162993" u="1"/>
        <s v="DCBWPM162992" u="1"/>
        <s v="DCBWPM162995" u="1"/>
        <s v="JLG7001576" u="1"/>
        <s v="JLG7001577" u="1"/>
        <s v="M001959_3" u="1"/>
        <s v="JLG6601246" u="1"/>
        <s v="JLG6800803" u="1"/>
        <s v="J212228" u="1"/>
        <s v="JLC6901492_7" u="1"/>
        <s v="APGGCU165693 " u="1"/>
        <s v="TF2610500021_3" u="1"/>
        <s v="TF2610500021" u="1"/>
        <s v="DCBWPM166272" u="1"/>
        <s v="DCBWPM166271" u="1"/>
        <s v="DCBWPM166261" u="1"/>
        <s v="J212139" u="1"/>
        <s v="TF2610500021_2" u="1"/>
        <s v="M001990" u="1"/>
        <s v="J210104" u="1"/>
        <s v="TF2517400098_2" u="1"/>
        <s v="APGGCU504175" u="1"/>
        <s v="JLC6901492_6" u="1"/>
        <s v="B314277" u="1"/>
        <s v="DCBWPM564580_1" u="1"/>
        <s v="J210617" u="1"/>
        <s v="TF2610500019" u="1"/>
        <s v="TF2610500016" u="1"/>
        <s v="DCBWPM564580" u="1"/>
        <s v="DCBWPM163417_3" u="1"/>
        <s v="MD2216700017" u="1"/>
        <s v="PEBGCU434591" u="1"/>
        <s v="J210104_5" u="1"/>
        <s v="DCBWPM163417" u="1"/>
        <s v="JLG7001227" u="1"/>
        <s v="JLC7000184_1" u="1"/>
        <s v="DCBWPM163995_1" u="1"/>
        <s v="J210617_9" u="1"/>
        <s v="DCBWPM567554_2" u="1"/>
        <s v="J211485" u="1"/>
        <s v="DCBWPM164003_1" u="1"/>
        <s v="TF2523000034" u="1"/>
        <s v="TF2606300014_2" u="1"/>
        <s v="TF2606300014_3" u="1"/>
        <s v="TF2606300014_4" u="1"/>
        <s v="JLG6900058" u="1"/>
        <s v="ILC-0840-25-7736" u="1"/>
        <s v="ILC-0840-25-7981" u="1"/>
        <s v="ILC-0840-25-7353" u="1"/>
        <s v="ILC-0840-25-7517" u="1"/>
        <s v="ILC-0840-25-7407" u="1"/>
        <s v="TF2531600062" u="1"/>
        <s v="TF2514700033" u="1"/>
        <s v="TF2513500019" u="1"/>
        <s v="TF2531600056" u="1"/>
        <s v="TF2517400098" u="1"/>
        <s v="TF2517700087" u="1"/>
        <s v="DCBWPM563232" u="1"/>
        <s v="DCBWPM567556" u="1"/>
        <s v="DCBWPM570384" u="1"/>
        <s v="DCBWPM563374" u="1"/>
        <s v="DCBWPM563027" u="1"/>
        <s v="DCBWPM160355" u="1"/>
        <s v="DCBWPM160363" u="1"/>
        <s v="DCBWPM160343" u="1"/>
        <s v="DCBWPM565843" u="1"/>
        <s v="DCBWPM562604" u="1"/>
        <s v="DCBWPM160342" u="1"/>
        <s v="DCBWPM160364" u="1"/>
        <s v="DCBWPM160344" u="1"/>
        <s v="DCBWPM555620" u="1"/>
        <s v="DCBWPM565850" u="1"/>
        <s v="DCBWPM567554" u="1"/>
        <s v="J211807_1" u="1"/>
        <s v="DCBWPM163960_1" u="1"/>
        <s v="JLC6901431_Cre" u="1"/>
        <s v="JLC6901431_Cash" u="1"/>
        <s v="DCBWPM570839" u="1"/>
        <s v="DCBWPM570369" u="1"/>
        <s v="DCBWPM162993_2" u="1"/>
        <s v="J209958" u="1"/>
        <s v="TF2509900019" u="1"/>
        <s v="JLC7000005" u="1"/>
        <s v="JLG7001038" u="1"/>
        <s v="DCBWPM161328" u="1"/>
        <s v="DCBWPM566634_2" u="1"/>
        <s v="LGI-0840-26-8188" u="1"/>
        <s v="JLC6801573_9" u="1"/>
        <s v="DCBWPM160342_1" u="1"/>
        <s v="LGI-0840-25-7098" u="1"/>
        <s v="M001959_2" u="1"/>
        <s v="DCBWPM163417_2" u="1"/>
        <s v="JLG6802458" u="1"/>
        <s v="M001959_1" u="1"/>
        <s v="DCBWPM161328_1" u="1"/>
        <s v="PEBGCU431928" u="1"/>
        <s v="DCBWPM563039_3" u="1"/>
        <s v="JLG7001853" u="1"/>
        <s v="JLG7001045" u="1"/>
        <s v="DCBWPM567556_3" u="1"/>
        <s v="DCBWPM162993_1" u="1"/>
        <s v="ILC-0840-25-8159" u="1"/>
        <s v="JLG6802904" u="1"/>
        <s v="REBGCU558551" u="1"/>
        <s v="PEBGCU164245" u="1"/>
        <s v="J210944" u="1"/>
        <s v="JLC6902211_1" u="1"/>
        <s v="LGI-0840-26-8103" u="1"/>
        <s v="DCBWPM570361_2" u="1"/>
        <s v="ILC-0840-26-8758" u="1"/>
        <s v="TF2606300014_1" u="1"/>
        <s v="J211681" u="1"/>
        <s v="JLC6902211_2" u="1"/>
        <s v="DCBWPM163413_1" u="1"/>
        <s v="LGI-0840-26-8147" u="1"/>
        <s v="J211806_1" u="1"/>
        <s v="DCBWPM163417_1" u="1"/>
        <s v="DCBCPM160316_1" u="1"/>
        <s v="JLC6801573" u="1"/>
        <s v="JLC6701731" u="1"/>
        <s v="JLC6901492_5" u="1"/>
        <s v="B323741" u="1"/>
        <s v="PEBGCU163715" u="1"/>
        <s v="APGGCU163707" u="1"/>
        <s v="TF2604200011_B" u="1"/>
        <s v="J211805_1" u="1"/>
        <s v="J210104_3" u="1"/>
        <s v="TF2527100024_4" u="1"/>
        <s v="JLC7000384" u="1"/>
        <s v="DCBWPM163413" u="1"/>
        <s v="TF2535200019_9" u="1"/>
        <s v="TF2535200019_7" u="1"/>
        <s v="TF2535200019_6" u="1"/>
        <s v="TF2535200019_5" u="1"/>
        <s v="TF2535200019_8" u="1"/>
        <s v="TF2527100024_3" u="1"/>
        <s v="J211809_1" u="1"/>
        <s v="J211808_1" u="1"/>
        <s v="JLC6701731_127" u="1"/>
        <s v="J211811_1" u="1"/>
        <s v="JLG6900510" u="1"/>
        <s v="J211810_1" u="1"/>
        <s v="RLG6700215" u="1"/>
        <s v="ILC-0840-25-7984" u="1"/>
        <s v="ILC-0840-25-8011" u="1"/>
        <s v="DCBWPM162155_1" u="1"/>
        <s v="TF2604200011_A" u="1"/>
        <s v="TF2517400045" u="1"/>
        <s v="TF2508300056" u="1"/>
        <s v="DCBWPM563025_3" u="1"/>
        <s v="TF2604200011_C" u="1"/>
        <s v="JLG7000680" u="1"/>
        <s v="DCBCPM160316" u="1"/>
        <s v="JLC7000006_2" u="1"/>
        <s v="DCBWPM161322_1" u="1"/>
        <s v="PEBGCU553740" u="1"/>
        <s v="JLG7000450" u="1"/>
        <s v="DCBWPM562620" u="1"/>
        <s v="DCBWPM553808" u="1"/>
        <s v="DCBWPM562628" u="1"/>
        <s v="DCBWPM563039" u="1"/>
        <s v="DCBWPM566634" u="1"/>
        <s v="DCBWPM162155" u="1"/>
        <s v="DCBWPM570361" u="1"/>
        <s v="TF2526500019" u="1"/>
        <s v="TF2527100025" u="1"/>
        <s v="TF2517700068_1" u="1"/>
        <s v="JLG6901089" u="1"/>
        <s v="JLG6605266" u="1"/>
        <s v="TF2605600008" u="1"/>
        <s v="JLG7000251" u="1"/>
        <s v="IM2512833005" u="1"/>
        <s v="DCBWPM570380_3" u="1"/>
        <s v="JLC6902213_1" u="1"/>
        <s v="JLC6902213_2" u="1"/>
        <s v="LGI-0840-25-6611" u="1"/>
        <s v="JLC6701731_126" u="1"/>
        <s v="APGGCU436409" u="1"/>
        <s v="J210617_7" u="1"/>
        <s v="JLG6800853" u="1"/>
        <s v="JLC7000186" u="1"/>
        <s v="TF2527100024" u="1"/>
        <s v="JLC7000185" u="1"/>
        <s v="DCBWPM553808_3" u="1"/>
        <s v="DCBWPM570361_1" u="1"/>
        <s v="DCBWPM563374_3" u="1"/>
        <s v="J210604_1" u="1"/>
        <s v="ILC-0840-25-7736_2" u="1"/>
        <s v="TF2531600062_1" u="1"/>
        <s v="TF2535900014" u="1"/>
        <s v="TF2533600018" u="1"/>
        <s v="DCBWPM566634_1" u="1"/>
        <s v="J210617_5" u="1"/>
        <s v="J210617_6" u="1"/>
        <s v="DCBWPM563372_1" u="1"/>
        <s v="TF2517400019_1" u="1"/>
        <s v="J211763" u="1"/>
        <s v="DCBWPM563027_5" u="1"/>
        <s v="JLG67000251" u="1"/>
        <s v="TF2534800029_1" u="1"/>
        <s v="DCBWPM570414_1" u="1"/>
        <s v="JLC6901492_4" u="1"/>
        <s v="JLC6901492" u="1"/>
        <s v="JLG67000184" u="1"/>
        <s v="DCBWPM570380_2" u="1"/>
        <s v="RLG6501812" u="1"/>
        <s v="PEBGCU160563" u="1"/>
        <s v="TF2535900016" u="1"/>
        <s v="JLC6701731_125" u="1"/>
        <s v="IM2500633009_4" u="1"/>
        <s v="IM2500633009_4-Partial(1)" u="1"/>
        <s v="ILC-0840-25-7799" u="1"/>
        <s v="ILC-0840-25-7982" u="1"/>
        <s v="IM2500633009_Cre_4" u="1"/>
        <s v="IM2500633009_Cre_4-Partial(1)" u="1"/>
        <s v="ILC-0840-25-8473_1" u="1"/>
        <s v="ILC-0840-25-7354_2" u="1"/>
        <s v="DCBWPM563055_2" u="1"/>
        <s v="TF2535200018" u="1"/>
        <s v="TF2535200019" u="1"/>
        <s v="DCBWPM565846" u="1"/>
        <s v="DCBWPM565846_2" u="1"/>
        <s v="TF2502300034" u="1"/>
        <s v="DCBWPM570380_1" u="1"/>
        <s v="TF2517700028_1" u="1"/>
        <s v="TF2533500010_1" u="1"/>
        <s v="TF2514700037" u="1"/>
        <s v="TF2513100027" u="1"/>
        <s v="TF2514700025" u="1"/>
        <s v="TF2517400019" u="1"/>
        <s v="ILC-0840-25-8163_1" u="1"/>
        <s v="SCB12345" u="1"/>
        <s v="J210425" u="1"/>
        <s v="J210104_2" u="1"/>
        <s v="DCBWPM563043" u="1"/>
        <s v="DCBWPM563025" u="1"/>
        <s v="DCBWPM566848" u="1"/>
        <s v="DCB123456Test" u="1"/>
        <s v="J210604" u="1"/>
        <s v="JLC6801271" u="1"/>
        <s v="`" u="1"/>
        <s v="ILC-0840-25-7173" u="1"/>
        <s v="DCBWPM567556_2" u="1"/>
        <s v="TF2531400014_3" u="1"/>
        <s v="TF2535200021" u="1"/>
        <s v="DCBWPM565824_2" u="1"/>
      </sharedItems>
    </cacheField>
    <cacheField name="Status" numFmtId="0">
      <sharedItems count="11">
        <s v="Other Amendment"/>
        <s v="Submitted to Bank"/>
        <s v="Ready for Submission"/>
        <s v="Increase Amendment"/>
        <s v="Received to Open"/>
        <s v="Disc. Submitted to Project"/>
        <s v="Accep. Submitted to Bank"/>
        <s v="Amendment"/>
        <s v="Collect Original" u="1"/>
        <s v="Accep. Received from Project" u="1"/>
        <s v="Cancelled" u="1"/>
      </sharedItems>
    </cacheField>
    <cacheField name="Bank" numFmtId="0">
      <sharedItems containsBlank="1" count="12">
        <s v="Jazira"/>
        <s v="Riyad"/>
        <s v="FAB"/>
        <s v="NBK"/>
        <s v="SAB"/>
        <s v="SNB"/>
        <s v="Alinma"/>
        <s v="Rajhi"/>
        <m u="1"/>
        <s v="Riyad / SAB" u="1"/>
        <s v="Riyad / SNB" u="1"/>
        <s v="BAB" u="1"/>
      </sharedItems>
    </cacheField>
    <cacheField name="Beneficiary" numFmtId="0">
      <sharedItems count="254">
        <s v="Alrashid Trading and Contracting Company"/>
        <s v="Innovative Contractors for Advanced Dimension (ICAD)"/>
        <s v="Metallurgical Corporation of China Ltd (MCC) Saudi Branch."/>
        <s v="Ready Mix Company Limited."/>
        <s v="SCHUCO MIDDLE EAST"/>
        <s v="The Fundamental Installation For Electric Work Co"/>
        <s v="NMA ALMUTAMIZA INDUSTRIAL AND EQUIPMENT CO."/>
        <s v="Al-Sayed Center A/C for Materials Company"/>
        <s v="ARABIAN PLASTIC MANUF CO"/>
        <s v="Brooq Al-Amaan Trading Company"/>
        <s v="Riyadh Unity for Trading"/>
        <s v="Safid Co. Ltd."/>
        <s v="TECHNICAL TOOLS TRADING CO."/>
        <s v="TEN POINTS EST"/>
        <s v="Imdadat Al-jazera Al-arabia Trading Co."/>
        <s v="Alfa Laval Al Arabia for Maintenance"/>
        <s v="HUSAIN OMAR ALATHAS FACTORY CO."/>
        <s v="Lanaro S.R.L"/>
        <s v="AL RAMSAT CONTRACTING COMPANY"/>
        <s v="KINGSPAN INSULATED PANELS MANUFACTURING LLC"/>
        <s v="Pico International for Event and Expo"/>
        <s v="BFG International W.L.L."/>
        <s v="Metal and Glass Trading Co One Person"/>
        <s v="Al Arabia Construction &amp; Building Co."/>
        <s v="Al Arabia for Construction &amp; Building Co."/>
        <s v="INDUSTRIAL STONES SOURCE"/>
        <s v="Modern Material Leaders"/>
        <s v="NIZAR ABDALGHANY KABLI FOR GENERAL CONTRACTING"/>
        <s v="Sika Saudi Arabia Co. Ltd."/>
        <s v="Masdar Technical Supplies Co."/>
        <s v="Osalas GMBH"/>
        <s v="NEOM COMPANY"/>
        <s v="TAV HAVALIMANLARI HOLDING A.S"/>
        <s v="Integrated Transport Centre"/>
        <s v="DIRIYAH COMPANY" u="1"/>
        <s v="SEVEN" u="1"/>
        <s v="INDUSTRAIL STONES SOURCE" u="1"/>
        <s v="Gulf Applications - GAPP" u="1"/>
        <s v="Metal and Glass Trading Co" u="1"/>
        <s v="Royal Commission for Riyadh City" u="1"/>
        <s v="QINGZHOU JULONG ENVIRONMENT" u="1"/>
        <s v="JEDDAH CENTRAL DEVELOPMENT COMPANY" u="1"/>
        <s v="Saraya Al Andalus for Construction company" u="1"/>
        <s v="ALFANAR ELECTRICAL SYSTEMS" u="1"/>
        <s v="Isam Kabanni And Partners For Construction And Maintenance Co Ltd" u="1"/>
        <s v="Mohammed Masoud Al Khaldi Est" u="1"/>
        <s v="Mohammed Ramadan Shat Factory" u="1"/>
        <s v="SAUDI HEPCO CO LTD" u="1"/>
        <s v="Systemair For Electrical Equipment Co." u="1"/>
        <s v="IBA MIDDLE EAST FZE" u="1"/>
        <s v="SCHNEIDER ELECTRIC SAUDI ARABIA CO" u="1"/>
        <s v="Ajzal United for Safety CO.LTD." u="1"/>
        <s v="Al NAKHEEL FOR TRADING COMPANY" u="1"/>
        <s v="Mimar For Construction Tools and Trading Ltd." u="1"/>
        <s v="King Salman International Airport Development Company (KSIADC)" u="1"/>
        <s v="JEDDAH CENTRAL DEVELOPMENT COMPANY (JCD) " u="1"/>
        <s v="APLUS TRADE MIKE" u="1"/>
        <s v="Riyadh Airports Company (RAC)" u="1"/>
        <s v="Al Dhow Gulf Company for Trading and Contracting Ltd" u="1"/>
        <s v="Jiangsu Donchamp New Materials Technology Co.Ltd." u="1"/>
        <s v="Innovative Specialized Security Solution" u="1"/>
        <s v="Martin Professional Information Technology Company" u="1"/>
        <s v="SHARJAH INTERNATIONAL AIRPORT AUTHORITY (SIAA)" u="1"/>
        <s v="BOUTIQUE GROUP" u="1"/>
        <s v="Saudi Pro-Kitchen" u="1"/>
        <s v="GALAXY TECHOLOGY CO." u="1"/>
        <s v="Machinery Land Equipment Rental." u="1"/>
        <s v="RAPID SAUDI ARABIA CO LIMITED." u="1"/>
        <s v="AFAQ AL MALAZ TRADING CO.LTD." u="1"/>
        <s v="National Fire Fighting Manufacturing FZCO BR." u="1"/>
        <s v="TEN POINTS EST." u="1"/>
        <s v="MARIAM TRADING CO AND PARTNER" u="1"/>
        <s v="Arabian International Company For Contracting" u="1"/>
        <s v="DAIKIN AIR CONDITIONING SAUDI ARABIA LLC" u="1"/>
        <s v="ALI MANEA ALYAMI TRADING EST." u="1"/>
        <s v="Establishment Marjane El- Shammal for watertransport and distribution" u="1"/>
        <s v="RAWADF INTERNATIONAL CO." u="1"/>
        <s v="SAUDI ELECTRIC SUPPLY COMPANY." u="1"/>
        <s v="NUKHBA ALETFA CO" u="1"/>
        <s v="SPECTRA INTERNATIONAL TRADING COMPANY" u="1"/>
        <s v="Gulf Grilles Company" u="1"/>
        <s v="ALGHAMDI COMPANY FOR SANITARY WARES" u="1"/>
        <s v="MADA INTERNATIONAL HOLDING " u="1"/>
        <s v="ALNAFIE METAL INDUSTRIES CO LTD" u="1"/>
        <s v="POWER CENTER COMPANY FOR INDUSTRIES LLC" u="1"/>
        <s v="IDEAL CALIBER COMPANY." u="1"/>
        <s v="KHEREIJI SHOWROOMS CO." u="1"/>
        <s v="ELECTRIC HOUSE TRADING COMPANY LLC" u="1"/>
        <s v="ELSEWEDY CABLES CO. LIMITED" u="1"/>
        <s v="JOHNSON CONTROLS ARABIA" u="1"/>
        <s v="Henan Chongpeng Machinery Co Ltd" u="1"/>
        <s v="BBH-CHEMTROL INTERNATIONAL ORGANIZATION S.L" u="1"/>
        <s v="SKM AIR CONDITIONING CO" u="1"/>
        <s v="CEER NATIONAL AUTOMOTIVE COMPANY" u="1"/>
        <s v="JEDDAH CENTRAL DEVELOPMENT COMPANY (JCD)" u="1"/>
        <s v="Anixter Saudi Arabia Ltd" u="1"/>
        <s v="APTEC SAUDI ARABIA" u="1"/>
        <s v="KING SALMAN PARK/GEN" u="1"/>
        <s v="Green Concrete CJSC" u="1"/>
        <s v="TRINDEL ARABIA LTD. CO" u="1"/>
        <s v="MAKARAT OFFICE" u="1"/>
        <s v="Isam Kabbani &amp; Partners for Building and Construction" u="1"/>
        <s v="Khorayef Industries" u="1"/>
        <s v="Madinah Region Development Authority" u="1"/>
        <s v="Hussien Omar Al-Attas Factory Company" u="1"/>
        <s v="Aknan Alkhair Tranding Est" u="1"/>
        <s v="Al-Tawi READY -MIX FACTORY" u="1"/>
        <s v="Manar Alomran Company For Trading And Industrial Ltd" u="1"/>
        <s v="TAWREED INTEGRATED INDUSTRIES" u="1"/>
        <s v="Saudi Pro-Kitchen." u="1"/>
        <s v="Saudi Electric Supply Company" u="1"/>
        <s v="Awtad Jeddah for General Contracting Company" u="1"/>
        <s v="CROWN PRINCE PRIVATE AFFAIRS (CPPA)" u="1"/>
        <s v="Saudi Pro-Kitchen for Food and Service Equipment." u="1"/>
        <s v="Manar Alomran Company For Trading And Industrial _x000a_Limited  " u="1"/>
        <s v="METALLURGICAL CORP OF CHINA (MCC)" u="1"/>
        <s v="Baamer Group for Trading Company" u="1"/>
        <s v="Ealla For General Contracting" u="1"/>
        <s v="Saudi Hepco Co. Ltd" u="1"/>
        <s v="SAUDI VITRIFIED CLAY PIPE CO" u="1"/>
        <s v="SITE TECHNOLOGY SAUDI ARABIA LTD" u="1"/>
        <s v="AI-Hadbania Trading Co." u="1"/>
        <s v="GAS SOLUTIONS" u="1"/>
        <s v="Mohammad Saleh Bahareth co." u="1"/>
        <s v="STAR SQUARES CO LTD" u="1"/>
        <s v="Alshrkt Mzaya Almttwrt Alsnaayt shkhs Wahd" u="1"/>
        <s v="Building System Intelligent Est." u="1"/>
        <s v="Daikin Air Conditioning Saudi Arabia " u="1"/>
        <s v="EVOLVING CONSTELLATION CO. FOR ENERGY" u="1"/>
        <s v="JAD AL RIYADH Trading Co. Ltd" u="1"/>
        <s v="Mimar for Construction Tools &amp; Trading Ltd." u="1"/>
        <s v="BAHRA ADVANCED CABLE MANUFACTURE CO. LTD" u="1"/>
        <s v="BAHRA ADVANCED CABLE MANUFACTURE CO. LTD." u="1"/>
        <s v="BROOQ ALAMAAN TRAD COMPANY" u="1"/>
        <s v="Mase Gulf Company" u="1"/>
        <s v="SITE TECHNOLOGY SAUDI ARABIA CO" u="1"/>
        <s v="Electric House Trading Company L.L.C." u="1"/>
        <s v="Imdadat Al Jazera Alarabia Trading Company" u="1"/>
        <s v="Ideal Caliber Company" u="1"/>
        <s v="Mat Filtrasyon Teknolojeleri A.S" u="1"/>
        <s v="MASQ FOR ELECTRICAL TOOLS CO" u="1"/>
        <s v="Banan Thiba Trading Est (BTT)" u="1"/>
        <s v="Teqniye Al-Majra For Contracting" u="1"/>
        <s v="KING SALMAN INTERNATIONAL AIRPORT DEVELOPMENT COMPANY" u="1"/>
        <s v="INTERPLAST CO. LTD" u="1"/>
        <s v="SAUDI ARABIA RAILWAY SAR" u="1"/>
        <s v="Visio INC" u="1"/>
        <s v="NINETY Real Estate Development Company" u="1"/>
        <s v="BRANCH OF ELSEWEDY ELECTRIC FOR POWER SYSTEMS PROJECTS" u="1"/>
        <s v="BRANCH OF ELSEWEDY ELECTRIC FOR POWER SYSTEMS" u="1"/>
        <s v="AC SOLUTIONS TRADING CO" u="1"/>
        <s v="AL FALWA CO. LTD. FOR READYMIX CONCRETE" u="1"/>
        <s v="SAUDI ENTERTAINMENT VENTURES COMPANY" u="1"/>
        <s v="Private Affairs of the Custodian of the Two Holy Mosques" u="1"/>
        <s v="Mohammed A. Al-Awani Trading" u="1"/>
        <s v="SAL Zones Company" u="1"/>
        <s v="Saudi Arabia Railway (SAR)" u="1"/>
        <s v="Mushal Khalf Hijri For Contracting" u="1"/>
        <s v="APS ARABIAN CONTRACTING COMPANY" u="1"/>
        <s v="Depa Saudi Arabia for Contracting and Interior Decorating Co. Ltd." u="1"/>
        <s v="Saudi Arabian Logistic company (SAL)" u="1"/>
        <s v="Jeddah Municipality – Rabigh Governorate Municipality" u="1"/>
        <s v="Saudi Arabian Logistic company" u="1"/>
        <s v="Alkhorayef Commercial Company" u="1"/>
        <s v="Saudi Electric Supply Company Limited(SESCO)" u="1"/>
        <s v="Al Maymanah For Contracting Co. Ltd." u="1"/>
        <s v="Mohamad Saeed Afifi Trading Est." u="1"/>
        <s v="National Marketing Est. Co. Ltd" u="1"/>
        <s v="Johnson Controls Arabia Ltd." u="1"/>
        <s v="Bahra Advanced Cable Manufacture Co." u="1"/>
        <s v="Atiaf International Trading Company" u="1"/>
        <s v="Elmady Solution Company" u="1"/>
        <s v="Off Premises Solutions" u="1"/>
        <s v="ATELIER HOSPITALITY SRL" u="1"/>
        <s v="Spectra International Trading Co." u="1"/>
        <s v="Royal Protocol Camp" u="1"/>
        <s v="National Fire Fighting Manufacturing Fzco Br ." u="1"/>
        <s v="SAUDI ELECTRIC SUPPLY COMPANY (SESCO)" u="1"/>
        <s v="FIFTY INVESTMENT COMPANY" u="1"/>
        <s v="Saudi Perfect Pumps Trading &amp; Manufacturing Company" u="1"/>
        <s v="SIEMENS Limited Company" u="1"/>
        <s v="Johnson Controls Arabia Limited" u="1"/>
        <s v="Cluster 2 Airports Company" u="1"/>
        <s v="Brooq Al Amaan Trading" u="1"/>
        <s v="Electro Mechanical Supplies Company" u="1"/>
        <s v="Mohammed Ramadan Shat" u="1"/>
        <s v="Metten Al-Arabia Ltd Co (METARA)" u="1"/>
        <s v="SERGAS SAUDI CONTRACTING CO. L.L.C" u="1"/>
        <s v="Almansha Almubasher Trading Company" u="1"/>
        <s v="Afaq Al Malaz Trading Co Ltd" u="1"/>
        <s v="The Joint Venture of the Branch of El Sewedy Electric for Power Systems (PSP) and the Branch of_x000a_Sinohydro Corporation Limited (SHC)." u="1"/>
        <s v="Al-Assas Specialized Co" u="1"/>
        <s v="Safid Co Ltd" u="1"/>
        <s v="Automotive Sector Development Investment Company" u="1"/>
        <s v="AFKAR ALTATHBET TRADING COMPANY" u="1"/>
        <s v="Riyadh Airports Company" u="1"/>
        <s v="Crown Prince Private Affairs" u="1"/>
        <s v="Interplast Co Ltd" u="1"/>
        <s v="Future Pipe Industries LLC" u="1"/>
        <s v="BRC Industrial (Saudia) Company" u="1"/>
        <s v="High Al Shuhra Contracting Company" u="1"/>
        <s v="Awad Batel Bin Awad Al Rashidi Contracting Est." u="1"/>
        <s v="CATRION CATERING HOLDING COMPANY" u="1"/>
        <s v="SAUDI ENTERTAINMENT VENTURES COMPANY (SEVEN)" u="1"/>
        <s v="Koon Trading Company" u="1"/>
        <s v="Ministry of Environment, Water and Agriculture" u="1"/>
        <s v="LSI PROJECTS LIMITED" u="1"/>
        <s v="Building System Intelligent Contractor BSICO" u="1"/>
        <s v="ELSEWEDY ELECTRIC FOR POWER SYSTEMS" u="1"/>
        <s v="ELSEWEDY ELECTRIC FOR POWER SYSTEMS PROJECTS (“PSP”)" u="1"/>
        <s v="ERTH Al-Awtan Real Estate Development " u="1"/>
        <s v="SAUDI ENTERTAINMENT VENTURES CO" u="1"/>
        <s v="BeWunder Turnkey Projects Arabia Contracting Company" u="1"/>
        <s v="SKM Air Conditioning Company" u="1"/>
        <s v="Mahmoud Altaheni And His Partners Trading Company" u="1"/>
        <s v="Electro Mechanical Supplies" u="1"/>
        <s v="Ministry of Culture" u="1"/>
        <s v="Baraka For Real Estate and Investment" u="1"/>
        <s v="Afaq Al Malaz Trading Co. LTD." u="1"/>
        <s v="Mariam Trading CO. &amp; Partner" u="1"/>
        <s v="Awraq Alqyqb Lltjart Company" u="1"/>
        <s v="AFAQ AL MALAZ TRADING CO. LTD" u="1"/>
        <s v="BRC Industrial Saudia Company." u="1"/>
        <s v="Baraka For Real Estate &amp; Investment" u="1"/>
        <s v="Al Talal Modern Est" u="1"/>
        <s v="Delmatic Co Ltd" u="1"/>
        <s v="Thakher Development Company" u="1"/>
        <s v="AlJammaz Hydrotek" u="1"/>
        <s v="Branch of National Fire Fighting (NAFFCO)" u="1"/>
        <s v="Alpha Limit Trading and Contracting Company" u="1"/>
        <s v="AL TALAL MODERN EST." u="1"/>
        <s v="KOON CO." u="1"/>
        <s v="Saudi Pro-Kitchen for food and service equipement" u="1"/>
        <s v="Silent Shades Engineering Contracting L - L.L.C. - S.P.C" u="1"/>
        <s v="Brooq Al Aman" u="1"/>
        <s v="Rawabi Al Mahfar Trading Co." u="1"/>
        <s v="UNITED PARK CO" u="1"/>
        <s v="United Park Co." u="1"/>
        <s v="Al Wasail Industrial Co " u="1"/>
        <s v="Mahmoud Al Tahini and Partners Company" u="1"/>
        <s v="BBH-CHEMTROL INTERNATIONAL" u="1"/>
        <s v="AL BILAD CONCRETE PIPE CO.LTD" u="1"/>
        <s v="ISAM KABBANI &amp; PARTNERS LTD-UNITECH" u="1"/>
        <s v="Mahmoud Altaheni &amp; Partners Trading Co." u="1"/>
        <s v="MAHAWAR AL JAZEERA CONTRACTING CO." u="1"/>
        <s v="Depth Modern Technologies Co." u="1"/>
        <s v="NAJM AL FALAK TRADING CO." u="1"/>
        <s v="ALBYT ALTHAKI TRADING CO" u="1"/>
        <s v="EALAA FOR GENERAL CONTRACTING CO" u="1"/>
        <s v="SAMSARA SRL" u="1"/>
        <s v="AL-Tawi Ready Mix Concrete Factory Co" u="1"/>
        <s v="Hamada Decoration Company" u="1"/>
        <s v="Green Roots" u="1"/>
        <s v="DAIKIN AIR CONDITIONING SAUDI ARABIA LLC " u="1"/>
      </sharedItems>
    </cacheField>
    <cacheField name="GC/Project" numFmtId="0">
      <sharedItems count="60">
        <s v="MBL / RCRC"/>
        <s v="MBL / Oceanarium"/>
        <s v="MBL / CEER2"/>
        <s v="MBL / Lagoon"/>
        <s v="MBL/United Arab Aluminum Co / Oceanarium"/>
        <s v="FIRST FIX / CEER"/>
        <s v="FIRST FIX / Oceanarium"/>
        <s v="MBL / MP1"/>
        <s v="MBL / OPERA House"/>
        <s v="MBL / ABHA"/>
        <s v="FIRST FIX / RCRC"/>
        <s v="MBL / Rabigh Power Plant"/>
        <s v="FIRST FIX / MP1"/>
        <s v="MBL / ADF"/>
        <s v="MBL / Oxagon"/>
        <s v="ICAD / "/>
        <s v="ICAD Abu Dhabi / "/>
        <s v=" / " u="1"/>
        <s v="MBL/ICAD / OPERA House" u="1"/>
        <s v=" / JCD" u="1"/>
        <s v="MBL / " u="1"/>
        <s v="MBL/ICAD/Baumat / OPERA House" u="1"/>
        <s v="ICAD / ADF" u="1"/>
        <s v="MBL/AICS (L01) / OPERA House" u="1"/>
        <s v="FIRST FIX / JCD SPMI" u="1"/>
        <s v=" / Opera House" u="1"/>
        <s v=" / Neom - Bay Jetty" u="1"/>
        <s v="MBL/ICAD / KSP" u="1"/>
        <s v="MBL/ICAD / ABHA" u="1"/>
        <s v="MIDU / " u="1"/>
        <s v="MBL/AICS / OPERA House" u="1"/>
        <s v="IFAS / L01" u="1"/>
        <s v="FIRST FIX / KSP" u="1"/>
        <s v="MBL / L01-YAMMAMA" u="1"/>
        <s v="MBL/ICAD / " u="1"/>
        <s v="MBL / CEER" u="1"/>
        <s v=" / Makkah Entertainment Complex" u="1"/>
        <s v="IFAS / " u="1"/>
        <s v="MBL/AICS / L01-YAMMAMA" u="1"/>
        <s v="MBL / KSP" u="1"/>
        <s v="MBL / Green Roots / CEER" u="1"/>
        <s v="FIRST FIX / ADF" u="1"/>
        <s v="MBL / GA Pending | SNB Pending | Exp: 30-06" u="1"/>
        <s v="Signal Control / KSP" u="1"/>
        <s v="MBL / Bank response shared with MBL Engineering" u="1"/>
        <s v="FIRST FIX / L01-YAMMAMA" u="1"/>
        <s v="MBL / RRPP-2" u="1"/>
        <s v="MBL / CEER-2" u="1"/>
        <s v="MBL/ICAD / RAC" u="1"/>
        <s v="First Fix/MBL / " u="1"/>
        <s v="First Fix / RAC" u="1"/>
        <s v=" / Red C" u="1"/>
        <s v=" / ABHA" u="1"/>
        <s v="ICAD / KSP" u="1"/>
        <s v=" / Third Party" u="1"/>
        <s v="MBL/United Arab Co / Oceanarium" u="1"/>
        <s v="ICAD / OPERA House" u="1"/>
        <s v=" / L01" u="1"/>
        <s v="MBL / MBL &amp; Rowad Modern Engineering Pioneers Company (JV – 50%)" u="1"/>
        <s v="MBL / MBL &amp; Modern Engineering Pioneers Company (JV – 50%)" u="1"/>
      </sharedItems>
    </cacheField>
    <cacheField name="Curr" numFmtId="0">
      <sharedItems count="5">
        <s v="SAR"/>
        <s v="EUR"/>
        <s v="AED"/>
        <s v="USD" u="1"/>
        <s v="GBP" u="1"/>
      </sharedItems>
    </cacheField>
    <cacheField name="Amount (FCY)" numFmtId="0">
      <sharedItems containsString="0" containsBlank="1" containsNumber="1" minValue="150000" maxValue="209346521" count="25">
        <n v="16731764"/>
        <n v="3000000"/>
        <n v="209346521"/>
        <n v="5000000"/>
        <n v="270865.19"/>
        <n v="67000000"/>
        <n v="500000"/>
        <n v="150000"/>
        <n v="200000"/>
        <n v="400000"/>
        <n v="300000"/>
        <n v="257626.45"/>
        <n v="24490379"/>
        <n v="8200000"/>
        <n v="10000000"/>
        <n v="77325315.5"/>
        <n v="15600000"/>
        <n v="3422137.8"/>
        <n v="1017646"/>
        <n v="1500000"/>
        <n v="2000000"/>
        <n v="7000000"/>
        <n v="902623.5"/>
        <n v="270000"/>
        <m/>
      </sharedItems>
    </cacheField>
    <cacheField name="Amount (SAR)" numFmtId="0">
      <sharedItems containsSemiMixedTypes="0" containsString="0" containsNumber="1" minValue="150000" maxValue="209346521" count="27">
        <n v="16731764"/>
        <n v="3000000"/>
        <n v="209346521"/>
        <n v="5000000"/>
        <n v="270865.19"/>
        <n v="67000000"/>
        <n v="500000"/>
        <n v="150000"/>
        <n v="200000"/>
        <n v="400000"/>
        <n v="300000"/>
        <n v="257626.45"/>
        <n v="24490379"/>
        <n v="8200000"/>
        <n v="10000000"/>
        <n v="77325315.5"/>
        <n v="15600000"/>
        <n v="3422137.8"/>
        <n v="1017646"/>
        <n v="1500000"/>
        <n v="2000000"/>
        <n v="7000000"/>
        <n v="902623.5"/>
        <n v="1198665"/>
        <n v="3294414.91"/>
        <n v="5200000"/>
        <n v="225000"/>
      </sharedItems>
    </cacheField>
    <cacheField name="Remarks" numFmtId="0">
      <sharedItems containsBlank="1" count="663">
        <s v="to bank on 18-06 | Exp: 31-12"/>
        <s v="to bank on 15-04 | Facility Issue"/>
        <s v="Shaikh Sign Pending"/>
        <s v="to bank on 23-06| LC Increase 1.5M | Exp Date 31-08"/>
        <s v="Hold as per Obada | Facility Issue | Draft Pending"/>
        <s v="to bank on 23-06| Increase 25M | Extend 30-09 |Tenor 120 Days"/>
        <s v="Facility Issue | Complete Pending"/>
        <s v="LC received from supplier | Hold as per S.S"/>
        <s v="Under review | Draft Pending"/>
        <s v="GA received | Specimen Pending for Tareq Sir Sign"/>
        <s v="GA Pending | SAB Prepared"/>
        <s v="Facility Issue | GA Pending | PD Received | Preparation Pending"/>
        <s v="to bank on 23-06"/>
        <s v="GA Pending | NBK Prepared"/>
        <s v="Hold the Payment until Mid June-Faisal /Gehad"/>
        <s v="Please hold as per Hossam Elkeshawy"/>
        <s v="EXP: 30-05-2027"/>
        <s v="On hold by Beneficiary"/>
        <s v="Special Text vetting with Bank | RTF submitted to bank on 18-06"/>
        <m u="1"/>
        <s v="Facility Issue | Draft Pending" u="1"/>
        <s v="PD Pending | PO confirmation Pending | GA Pending | SAB Prepared" u="1"/>
        <s v="PD Pending | GA Pending | NBK Prepared" u="1"/>
        <s v="to bank on 18-06 | EXP: 31-07-2027" u="1"/>
        <s v="GA Pending | NBK Prepared | LC Increase 1.5M | Exp Date 31-08" u="1"/>
        <s v="GA Pending | Increase 25M | Extend 30-09 |Tenor 120 Days" u="1"/>
        <s v="to bank on 21-06" u="1"/>
        <s v="Specimen with Aldeshir| Jazira Prepared" u="1"/>
        <s v="Specimen with Aldeshir | SNB Prepared" u="1"/>
        <s v="Akbar Pending" u="1"/>
        <s v="With Aldeshir | New Amount 5M Increase" u="1"/>
        <s v="Specimen with Aldeshir | Complete Pending" u="1"/>
        <s v="GA Pending | New Amount 5M" u="1"/>
        <s v="GA Pending | Jazira Prepared" u="1"/>
        <s v="GA Pending | PD Received | Complete Pending" u="1"/>
        <s v="to bank on 22-06" u="1"/>
        <s v="PD Pending | Complete Pending" u="1"/>
        <s v="PD Pending | LC Expiry 30-08" u="1"/>
        <s v="Management signatures Specimen Pending" u="1"/>
        <s v="to bank on 17-05 | Clarification Pending with Khaled for Advice Thru" u="1"/>
        <s v="GA Pending | Specimen Pending |SNB Prepared" u="1"/>
        <s v="Management Sign | Exp: 31-12" u="1"/>
        <s v="Management Pending for Specimen Signatures Pending | SAB Prepared" u="1"/>
        <s v="Pending with RM" u="1"/>
        <s v="Management Sign | EXP: 31-07-2027" u="1"/>
        <s v="GA Pending | NOC Pending | Special Text Pending" u="1"/>
        <s v="GA received | Specimen Preparation Pending" u="1"/>
        <s v="PD Pending | GA Pending | Specimen Pending |SNB Prepared" u="1"/>
        <s v="to bank on 16-06" u="1"/>
        <s v="GA Pending | Specimen Preparation Pending" u="1"/>
        <s v="to bank on 16-06 | Exp01-10" u="1"/>
        <s v="Management Sign | Exp 31-08" u="1"/>
        <s v="GA Pending | Specimen Signatures Pending | SAB Prepared" u="1"/>
        <s v="to bank on 16-06 | Exp15.12 LDS 15-11" u="1"/>
        <s v="Management Sign" u="1"/>
        <s v="Akbar Pending | Exp01-10" u="1"/>
        <s v="PD Received | Exp: 31-12" u="1"/>
        <s v="Akbar Pending | Exp15.12 LDS 15-11" u="1"/>
        <s v="EXP: 31-07-2027" u="1"/>
        <s v="Exp01-10" u="1"/>
        <s v="Exp15.12 LDS 15-11" u="1"/>
        <s v="GA Received | Purchase Order pending | Preparation Pending" u="1"/>
        <s v="to bank on 11-06 | Exp 31-08" u="1"/>
        <s v="GA Pending" u="1"/>
        <s v="PD Received | Specimen Signatures Pending | SAB Prepared" u="1"/>
        <s v="Anil Sir Sign | Exp 31-08" u="1"/>
        <s v="PD Received | Complete Pending" u="1"/>
        <s v="Hold the Payment until May-Faisal /Gehad" u="1"/>
        <s v="Exp 31-08" u="1"/>
        <s v="to bank 04-05 | Pending Clarification for Advice thru Bank" u="1"/>
        <s v="to bank on 10-06" u="1"/>
        <s v="to Shareef Bhai on email for forwarding it to bank" u="1"/>
        <s v="PO Pending | Complete Pending" u="1"/>
        <s v="AS / SS Sign" u="1"/>
        <s v="to bank on 20-05" u="1"/>
        <s v="Akar Pending" u="1"/>
        <s v="Revised Special Text" u="1"/>
        <s v="Process on Anil Sir Request. PD approval not received." u="1"/>
        <s v="to bank on 06-05 | Payment terms 180 Days instead of 90 Days" u="1"/>
        <s v="to bank on 02-06" u="1"/>
        <s v="to bank on 02-06 | Non STD text submitted to bank on 04-06" u="1"/>
        <s v="to bank on 04-06 | Special Text" u="1"/>
        <s v="Description of goods clarification submitted to bank on 04-06" u="1"/>
        <s v="to bank on 03-06" u="1"/>
        <s v="GA Pending, Special Text" u="1"/>
        <s v="to bank on 02-06 | LC Increase for VAT amount" u="1"/>
        <s v="to bank on 17-05" u="1"/>
        <s v="Description of goods clarification Pending with Malik" u="1"/>
        <s v="to bank on 02-06 | Specimen Pending" u="1"/>
        <s v="to bank on 03-06 | Specimen Pending with A.S | S.S" u="1"/>
        <s v="to bank on 12-05" u="1"/>
        <s v="LC Cancellation" u="1"/>
        <s v="to bank on 01-06 | Shipment Date - 31-12-2026" u="1"/>
        <s v="to bank on 02-06 | Exp: 30-09-2026" u="1"/>
        <s v="Akbar Pending | Specimen Pending with A.S | S.S" u="1"/>
        <s v="GA Pending | Purchase Order pending" u="1"/>
        <s v="Akbar Pending | LC Increase for VAT amount" u="1"/>
        <s v="Draft Pending | PD Pending | GA Pending" u="1"/>
        <s v="Akbar Pending | Exp: 30-09-2026" u="1"/>
        <s v="Aldeshir for Sign" u="1"/>
        <s v="GA Pending | MBL PD Approval Received | Complete Pending" u="1"/>
        <s v="GA Received | Preparation Pending" u="1"/>
        <s v="LC Increase for VAT amount" u="1"/>
        <s v="to bank on 31-05" u="1"/>
        <s v="Approvals Pending with Faiz | Increase in LC | Addition of PO's" u="1"/>
        <s v="GA Received |PD Approval Received | Preparation Pending" u="1"/>
        <s v="Complete Pending" u="1"/>
        <s v="Facility Issue | PD Pending | Complete Pending" u="1"/>
        <s v="EXP: 30-06-2027" u="1"/>
        <s v="PD Received | On Behalf of AICS Check letter | Complete Psnding" u="1"/>
        <s v="PD Received | Draft Pending" u="1"/>
        <s v="Shipment Date - 31-12-2026" u="1"/>
        <s v="to Akbar Pending" u="1"/>
        <s v="Immediate Payment | RTF Error - Unable to see transaction" u="1"/>
        <s v="Pending Clarification for Advice thru Bank" u="1"/>
        <s v="Immediate Payment" u="1"/>
        <s v="Wait for SS to go Ahead | GA Received | SAB Prepared | Special Text Prepared" u="1"/>
        <s v="with Aldeshir" u="1"/>
        <s v="Description of goods clarification" u="1"/>
        <s v="Exp: 31-12-2026 | Bank raised a clarification sent to Faiz" u="1"/>
        <s v="to bank on 12-05 | Exp 30-06, LDS 15-06" u="1"/>
        <s v="to bank on 13-05 | Specimen Pending with Nithesh." u="1"/>
        <s v="to Nithesh for Print" u="1"/>
        <s v="to bank on 12-05 | Increase and Extention 31-08" u="1"/>
        <s v="GA Received | Increase VAT Amount: SAR 85189.94" u="1"/>
        <s v="Exp: 31-12-2026" u="1"/>
        <s v="GA Pending |PD Approval Received | Preparation Pending" u="1"/>
        <s v="PD Approval Received | Draft Pending | Faiz to provide LC Application" u="1"/>
        <s v="Akbar Pending | Specimen Pending with Nithesh." u="1"/>
        <s v="Akbar Pending | Exp 30-06, LDS 15-06" u="1"/>
        <s v="GA Pending | Akbar Pending | Specimen Pending for Nithesh." u="1"/>
        <s v="PD Pending | Exp 30-06, LDS 15-06" u="1"/>
        <s v="MBL PD Pending | GA Received | SAB Prepared" u="1"/>
        <s v="GA Pending | PD Received | Alinma Prepared" u="1"/>
        <s v="MBL PD Pending | GA Pending | SAB Prepared" u="1"/>
        <s v="On Hold By Anil Sir | PD Pending | Preparation Pending" u="1"/>
        <s v="to bank on 10-05" u="1"/>
        <s v="to bank 04-05" u="1"/>
        <s v="to bank on 06-05" u="1"/>
        <s v="GA Received | PD Received | NBK Prepared | Specimen Pending" u="1"/>
        <s v="Waiting for pickup person confirmation in Madinah | GA Received | RB Prepared" u="1"/>
        <s v="GA Pending | Akbar Pending mail in Draft | SAB submitted along with specimen" u="1"/>
        <s v="to bank on 06-05 | Specimen Pending with Management" u="1"/>
        <s v="PO Confirmation Pending from Omar | GA Received | SAB Prepared | Specimen Ready" u="1"/>
        <s v="AS / SS Pending" u="1"/>
        <s v="to bank on 05-05" u="1"/>
        <s v="to bank on 04-05" u="1"/>
        <s v="GA Pending | SAB Prepared | Specimen Ready" u="1"/>
        <s v="Akbar Pending | Specimen Pending with Management" u="1"/>
        <s v="to bank on 26-04" u="1"/>
        <s v="AS / SS Pending | Payment terms 180 Days instead of 90 Days" u="1"/>
        <s v="to bank on 05-05 | Exp 31-08" u="1"/>
        <s v="Akbar Pending | Specimen Pending with SS / AS" u="1"/>
        <s v="GA Received | PD Received | SAB Saved | Specimen Pending" u="1"/>
        <s v="GA Pending | PD Received | SNB Prepared | Specimen Pending" u="1"/>
        <s v="GA Pending | PD Received | NBK Prepared | Specimen Pending" u="1"/>
        <s v="GA Pending | PD Received | SAB Saved | Specimen Pending" u="1"/>
        <s v="GA Pending | RB Prepared" u="1"/>
        <s v="to bank on 28-04" u="1"/>
        <s v="PD Pensing | Exp 31-08" u="1"/>
        <s v="to bank on 04-05| Increase in LC &amp; Extn 18-08" u="1"/>
        <s v="GA Pending | PD Received | Preparation Pending" u="1"/>
        <s v="to bank on 04-05 | Manual Request | Extend 12-07" u="1"/>
        <s v="PD Received | Preparation Pending" u="1"/>
        <s v="Revised Draft Pending | PD Pending" u="1"/>
        <s v="PD Approval Received | Faiz to provide LC Application" u="1"/>
        <s v="PD Approval Received | Preparation Pending" u="1"/>
        <s v="PD Pending" u="1"/>
        <s v="Draft Under Review" u="1"/>
        <s v="to bank on 30-04 | Exp 30-06" u="1"/>
        <s v="Management Signature | Manual Request | Extend 12-07" u="1"/>
        <s v="Management Signature | Exp: 27-09" u="1"/>
        <s v="Management Sign| Increase in LC &amp; Extn 18-08" u="1"/>
        <s v="to bank on 30-04 | Exp 27-05" u="1"/>
        <s v="to bank on 30-04 | Exp 15-05" u="1"/>
        <s v="to bank on 30-04 | Exp 23-06" u="1"/>
        <s v="to bank on 30-04 | Exp 26-06" u="1"/>
        <s v="Management Sign | SNB Prepared" u="1"/>
        <s v="Management Signature" u="1"/>
        <s v="to bank on 27-04 | Exp/ LDS 30-06" u="1"/>
        <s v="Management Signature | GA Received | Manual Request | Extend 12-07" u="1"/>
        <s v="Management Signature | GA Received | Exp: 27-09" u="1"/>
        <s v="Draft Pending" u="1"/>
        <s v="GA Pending | Manual Request | Extend 12-07" u="1"/>
        <s v="to bank on 30-04" u="1"/>
        <s v="Change in Payment term to 90 Days from App Rep sign on Invoice" u="1"/>
        <s v="Management Signature | Exp 30-06" u="1"/>
        <s v="Management Signature | Exp 27-05" u="1"/>
        <s v="Management Signature | Exp 15-05" u="1"/>
        <s v="Management Signature | Exp 23-06" u="1"/>
        <s v="Management Signature | Exp 26-06" u="1"/>
        <s v="AS SS Sign| Increase in LC &amp; Extn 18-08" u="1"/>
        <s v="to bank on 30-04 | Extn 15-10 &amp; LDS 24-09" u="1"/>
        <s v="AS SS Sign | SNB Prepared" u="1"/>
        <s v="SS AS Sign" u="1"/>
        <s v="GA Pending | PD Received | Increase in LC &amp; Extn 18-08" u="1"/>
        <s v="Akbar Pending | Extn 15-10 &amp; LDS 24-09" u="1"/>
        <s v="GA Pending | PD Received | SNB Prepared" u="1"/>
        <s v="GA Pending | PD Received | Jazira Prepared" u="1"/>
        <s v="SS &amp; AS Sign Pending" u="1"/>
        <s v="PD Pending | Increase in LC &amp; Extn 18-08" u="1"/>
        <s v="PD Pending | Extn 15-10" u="1"/>
        <s v="to bank on 15-04" u="1"/>
        <s v="to bank on 05-03 | Exp &amp; LDS 30-04" u="1"/>
        <s v="to bank on 26-04 | Signatures Pending with Management" u="1"/>
        <s v="PD Received | GA Pending" u="1"/>
        <s v="to bank on 27-04 | Exp &amp; LDS 30-06" u="1"/>
        <s v="Hold as per Mathew | Confirmation from PD Pending" u="1"/>
        <s v="to bank on 26-04 | Increase amt by 120,000.00" u="1"/>
        <s v="Akbar Pending | Exp/ LDS 30-06" u="1"/>
        <s v="As per Faisal &amp; Gehad Hold the Payment until May-26" u="1"/>
        <s v="increase to 18M | Exp 27-08" u="1"/>
        <s v="to bank on 23-04 | Special Text" u="1"/>
        <s v="RB Pending" u="1"/>
        <s v="SAB Pending" u="1"/>
        <s v="Delete after Issuing the Performance in RB" u="1"/>
        <s v="Increase amt by 120,000.00" u="1"/>
        <s v="Managemet Signatures" u="1"/>
        <s v="Confirmation from PD Pending" u="1"/>
        <s v="GA Pending | SNB Prepared" u="1"/>
        <s v="GA Pending | SAB Prepared | Special Text Prepared" u="1"/>
        <s v="Submitted to Bank | Special Text" u="1"/>
        <s v="PD Pending | Preparation Pending" u="1"/>
        <s v="GA Pending | PD Received | NBK Prepared" u="1"/>
        <s v="to bank on 22-04" u="1"/>
        <s v="Special Text Prepared" u="1"/>
        <s v="to bank on 16-04 | Extn: 30-11-26" u="1"/>
        <s v="GA Pending | Preparation Pending" u="1"/>
        <s v="to bank on 08-04" u="1"/>
        <s v="to bank on 21-04" u="1"/>
        <s v="SS / AS Sign" u="1"/>
        <s v="to bank on 19-04 | GA Received | Delete LGI-0840-25-7098 after this issuance" u="1"/>
        <s v="PD Received" u="1"/>
        <s v="to bank on 19-04 | GA Received Exp 25-07-26" u="1"/>
        <s v="Management Signature | GA Received Exp 25-07-26" u="1"/>
        <s v="to bank on 16-04" u="1"/>
        <s v="Akbar Pending | GA Received | Delete LGI-0840-25-7098 after this issuance" u="1"/>
        <s v="GA Approval received till Exp 25-07-26" u="1"/>
        <s v="Revised to bank on 16-04 | Revised Special Text with Aldeshir" u="1"/>
        <s v="to bank on 13-04 | Exp-31-12-26" u="1"/>
        <s v="to bank on 14-04 | Exp: 30-06-27" u="1"/>
        <s v="GA Pending | RB Prepared | Extn: 30-11-26" u="1"/>
        <s v="to bank on 15-04 | Increase for 60M| Exp 16-05-27 in Jeddah" u="1"/>
        <s v="to bank on 09-04 | Revised Special Text sent to SS" u="1"/>
        <s v="to bank on 12-04 | Special Text to bank on 12-04" u="1"/>
        <s v="Management Signatures" u="1"/>
        <s v="Management sign for Undertaking and specimen | RB Prepared" u="1"/>
        <s v="Akbar Pending | Increase for 60M| Exp 16-05-27 in Jeddah" u="1"/>
        <s v="Akbar Pending | Exp: 30-06-27" u="1"/>
        <s v="GA Pending | Atef Approval received" u="1"/>
        <s v="to bank on 12-04 | Change in PO and Exp 31-07" u="1"/>
        <s v="to bank on 12-04 | Exp &amp; LDS 31-07 | Complete Pending | Facility Issue" u="1"/>
        <s v="GA Pending | RB Prepared | Undertaking and Management sign Pending" u="1"/>
        <s v="Don’t send to Akbar wait for SS Instruction | Increase for 60M| GA Pending" u="1"/>
        <s v="to bank on 14-04 | Special text sent to Aldeshir" u="1"/>
        <s v="to bank on 14-04 | Tenor: 60 Days" u="1"/>
        <s v="GA Pending | RB Prepared | Special text Prepared" u="1"/>
        <s v="Akbar Pending | Tenor: 60 Days" u="1"/>
        <s v="GA Pending | Atef for Approval received" u="1"/>
        <s v="Sent to Atef for Approval" u="1"/>
        <s v="to bank on 13-04" u="1"/>
        <s v="Physical copy to be to be submitted to bank" u="1"/>
        <s v="to bank on 13-04| Exp 16-08" u="1"/>
        <s v="Management Signatures | Exp-31-12-26" u="1"/>
        <s v="Management Signatures | GA Received | Exp 16-08" u="1"/>
        <s v="to bank on 09-04 | Revised Special Text for Management signatures" u="1"/>
        <s v="GA Pending | RB Prepared | Bank response shared with MBL Engineering | Special text" u="1"/>
        <s v="to bank on 08-04 | Exp: 31-12-2026" u="1"/>
        <s v="to bank on 07-04 | Exp 31-05" u="1"/>
        <s v="GA Received | RB Prepared | Bank response shared with MBL Engineering | Special text" u="1"/>
        <s v="to bank on 12-04" u="1"/>
        <s v="AS/SS Pending Exp-31-12-26" u="1"/>
        <s v="AS/SS Sign Pending | GA Received | Exp 16-08" u="1"/>
        <s v="to bank on 09-04 | Special Text" u="1"/>
        <s v="to bank on 30-03" u="1"/>
        <s v="Exp-31-12-26" u="1"/>
        <s v="On Hold By TF Sir" u="1"/>
        <s v="Management Signatures | Physical copy required by Bank as rejected in RTF" u="1"/>
        <s v="GA Pending | Exp 16-08" u="1"/>
        <s v="to bank on 07-04 | Exp 30-09" u="1"/>
        <s v="to bank on 09-04" u="1"/>
        <s v="to bank on 09-04 | RB Saved | Special Text" u="1"/>
        <s v="to bank on 12-04 | Special Text with Aldeshir" u="1"/>
        <s v="Management Signatures | GA Received" u="1"/>
        <s v="Anil Sir Sign | Physical copy required by Bank as rejected in RTF" u="1"/>
        <s v="Akbar Pending | GA Pending | Change in PO and Exp 31-07" u="1"/>
        <s v="Akbar Pending | Exp &amp; LDS 31-07 | Complete Pending | Facility Issue" u="1"/>
        <s v="GA Received | SAB Saved | Special Text" u="1"/>
        <s v="GA Pending | Change in PO and Exp 31-07" u="1"/>
        <s v="LC Increase | Exp &amp; LDS 31-07 | Complete Pending | Facility Issue" u="1"/>
        <s v="Physical copy required by Bank as rejected in RTF" u="1"/>
        <s v="GA Received | RB Saved | Special Text" u="1"/>
        <s v="PD Pending | GA Pending | Change in PO and Exp 31-07" u="1"/>
        <s v="to bank on 08-04 | Exp:13/11/2026" u="1"/>
        <s v="Documents for Management Sign | GA Pending | RB Saved | Special Text" u="1"/>
        <s v="to bank on 08-04 | PD Received | LC Increase" u="1"/>
        <s v="Management Sign | Exp: 31-12-2026" u="1"/>
        <s v="to bank on 01-04" u="1"/>
        <s v="to bank on 08-04 | Specimen pending with Management" u="1"/>
        <s v="Management Sign | Exp:13/11/2026" u="1"/>
        <s v="to bank on 07-04" u="1"/>
        <s v="Akbar Pending | PD Received | LC Increase" u="1"/>
        <s v="Akbar Pending | Specimen pending Anil Sir Sign" u="1"/>
        <s v="Anil Sir Sign | Alinma Prepared" u="1"/>
        <s v="Documents for Anil Sir Sign | GA Pending | RB Saved | Special Text" u="1"/>
        <s v="Anil Sir Sign" u="1"/>
        <s v="GA Pending | PD Received | LC Increase" u="1"/>
        <s v="Akbar Pending | Exp 30-09" u="1"/>
        <s v="GA Received | Draft not received" u="1"/>
        <s v="GA Pending | PD Received" u="1"/>
        <s v="GA Pending | PD Received | Initial Request with Haider" u="1"/>
        <s v="GA Pending | RB Saved | Special Text" u="1"/>
        <s v="Management Signatures | Exp 31-05" u="1"/>
        <s v="Manual request submitted to bank on 06-06" u="1"/>
        <s v="Akbar Pending | NOC Pending for Tareq Sir Sign" u="1"/>
        <s v="to bank on 02-04" u="1"/>
        <s v="GA Received | Jazira Prepared | Exp:13/11/2026" u="1"/>
        <s v="Exp 31-05" u="1"/>
        <s v="Change in PO and Exp 31-07" u="1"/>
        <s v="PD Pending | Exp 30-09" u="1"/>
        <s v="For Haider Approval as per TF | Preparation pending" u="1"/>
        <s v="Manual Request | Management signatures | Unable to see transaction in E-Trade" u="1"/>
        <s v="GA Received | RB Prepared | NOC Pending for Tareq Sir Sign" u="1"/>
        <s v="to bank on 05-04" u="1"/>
        <s v="to bank on 02-04 | Specimen Pending with Aldeshir" u="1"/>
        <s v="to bank 02-04 | Exp 30-06-26" u="1"/>
        <s v="PD Pending | GA Pending | LC Increase" u="1"/>
        <s v="GA Received | SB Saved | Specimen Pending" u="1"/>
        <s v="Akbar Pending | PD Pending | Specimen Pending" u="1"/>
        <s v="Akbar Pending | Exp 30-06-26" u="1"/>
        <s v="Akbar Pending | Specimen Pending" u="1"/>
        <s v="to bank on 30-03 | Exp: 30-06" u="1"/>
        <s v="GA Received | SB Saved | Sign Pending" u="1"/>
        <s v="GA Received | Complete Pending" u="1"/>
        <s v="GA Pending | SB Saved | Sign Pending" u="1"/>
        <s v="GA Pending | Draft not received" u="1"/>
        <s v="GA Pending | Complete Pending" u="1"/>
        <s v="Unable to see transaction in E-Trade." u="1"/>
        <s v="to bank on 01-04-2026" u="1"/>
        <s v="GA Pending | SB Pending | Sign Pending" u="1"/>
        <s v="RB Pending | Exp 30-06-26" u="1"/>
        <s v="to bank on 29-03" u="1"/>
        <s v="to bank on 17-03" u="1"/>
        <s v="GA Pending | Alinma Prepared" u="1"/>
        <s v="Akbar Pending | Exp: 30-06" u="1"/>
        <s v="GA Pending | SNB Pending | Exp: 30-06" u="1"/>
        <s v="Managament Signature" u="1"/>
        <s v="Wait as per Shareef Sir." u="1"/>
        <s v="GA Received | Jazira Prepared" u="1"/>
        <s v="to bank on 29-03 | Change in specimen sign clause, Field 78 and confirmation instruction clause." u="1"/>
        <s v="Facility Issue | Wait as per Shareef Sir." u="1"/>
        <s v="GA Received | Assignment Prepared | SAB &amp; RB Preparation Pending" u="1"/>
        <s v="GA Received | SAB &amp; RB Preparation Pending" u="1"/>
        <s v="GA Pending | Assignment Prepared | SAB &amp; RB Preparation Pending" u="1"/>
        <s v="Preparation Pending" u="1"/>
        <s v="to bank on 16-03" u="1"/>
        <s v="Change in specimen sign clause, Field 78 and confirmation instruction clause." u="1"/>
        <s v="Bank response shared with MBL Engineering | Special text" u="1"/>
        <s v="waiting for SS Confirmation" u="1"/>
        <s v="Special text" u="1"/>
        <s v="to bank on 11-03" u="1"/>
        <s v="to bank on 10-03" u="1"/>
        <s v="to bank on 15-03 | Special Text" u="1"/>
        <s v="to bank on 15-03 | Management signatures on specimen" u="1"/>
        <s v="to bank on 15-03" u="1"/>
        <s v="to bank on 12-03" u="1"/>
        <s v="Management Signature | Exp: 30-06" u="1"/>
        <s v="SNB Pending" u="1"/>
        <s v="to bank on 05-03" u="1"/>
        <s v="to bank on 10-03| Exp 31-12-2026" u="1"/>
        <s v="Management signatures on specimen| SAB Prepared" u="1"/>
        <s v="Management Signatures on specimen | SAB Prepared" u="1"/>
        <s v="to bank on 12-03 | Exp: 30-06" u="1"/>
        <s v="GA Pending | Assignment Prepared | SAB &amp; RB Prepararition Pending" u="1"/>
        <s v="Management signatures | SAB Prepared" u="1"/>
        <s v="PD Pending | GA Pending | SAB Prepared | Specimen with Rijas For Tareq Sir sign" u="1"/>
        <s v="SS &amp; AS signature Pending" u="1"/>
        <s v="GA Pending | SAB &amp; RB Prepararition Pending | Assignment Pending" u="1"/>
        <s v="On Hold as per SS | Management signatures | SAB Prepared" u="1"/>
        <s v="to bank on 10-03 | Exp 30-06" u="1"/>
        <s v="to bank on 03-03 | Exp &amp; LDS 30-06" u="1"/>
        <s v="to bank on 09-03" u="1"/>
        <s v="PD Pending | GA Pending | SAB Prepared" u="1"/>
        <s v="to bank on 05-03 | Exp 30-04, LDS 15-04" u="1"/>
        <s v="to bank on 09-03 | Exp &amp; LDS 30-06" u="1"/>
        <s v="to bank on 09-03 | Increasing LC with Exp Date as 30-06" u="1"/>
        <s v="Management Signatures Pending | RB Prepared" u="1"/>
        <s v="GA Pending | Exp 31-12-2026" u="1"/>
        <s v="Akbar Pending | Exp 30-06" u="1"/>
        <s v="Exp 30-06" u="1"/>
        <s v="GA Pending | Preparation Pending | Undertaking Prepared | PD Received " u="1"/>
        <s v="GA Pending | Increasing LC with Exp Date as 30-06" u="1"/>
        <s v="PD Pending | GA Pending | Preparation Pending" u="1"/>
        <s v="Attach Rabih Makhoul Approval | Management Signatures" u="1"/>
        <s v="to bank on 04-03" u="1"/>
        <s v="For SH Sign" u="1"/>
        <s v="to bank on 19-02" u="1"/>
        <s v="Management Signatures | Exp &amp; LDS 30-04" u="1"/>
        <s v="to bank on 02-03 | Change Payment terms to 60 DAYS AFTER DATE OF COUNTER SIGNA on invoice" u="1"/>
        <s v="to bank on 02-03" u="1"/>
        <s v="to bank on 03-03" u="1"/>
        <s v="Increase Guarantee by 2,450,000.00" u="1"/>
        <s v="to bank on 04-03 | New value 7.5M" u="1"/>
        <s v="Management Sign Pending | SNB Prepared" u="1"/>
        <s v="Increase Guarantee by 2,450,000.00 | SAB Prepared" u="1"/>
        <s v="Akbar Pending | New value 7.5M" u="1"/>
        <s v="GA Pending | RB Prepared | New value 7.5M" u="1"/>
        <s v="Manual Request" u="1"/>
        <s v="GA Pending | RB Pending, RTF Error in amount | New value 7.5M" u="1"/>
        <s v="to bank on 26-02" u="1"/>
        <s v="to bank on 02-03 | Manual Request | Extn: 12-05-26" u="1"/>
        <s v="to bank on 02-03 | Only extend for one month Exp 05-04-2026 | GA Approval received till Exp 25-07-26" u="1"/>
        <s v="to bank on 01-03 | Exp &amp; LDS 30-04" u="1"/>
        <s v="to bank on 26-02| Exp:30-04 LDS:15-04" u="1"/>
        <s v="Management Signatures | Exp &amp; LDS 30-06" u="1"/>
        <s v="Management Signatures | Alinma Prepared" u="1"/>
        <s v="to bank on 26-02 | Exp 21-06 &amp; LDS 31-05" u="1"/>
        <s v="to bank on 26-02 | Exp &amp; LDS 28-06" u="1"/>
        <s v="Akbar Pending | Change Payment terms to 60 DAYS AFTER DATE OF COUNTER SIGNA on invoice" u="1"/>
        <s v="to bank on 18-02 | Followup" u="1"/>
        <s v="Akbar to reject the transaction | Only extend for one month Exp 05-04-2026 | GA Approval received till Exp 25-07-26" u="1"/>
        <s v="Management | Exp &amp; LDS 30-06" u="1"/>
        <s v="PD Pending | Change Payment terms to 60 DAYS AFTER DATE OF COUNTER SIGNA on invoice" u="1"/>
        <s v="Management Signatures | Manual Request | Extn: 12-05-26" u="1"/>
        <s v="Exp 25-07-26 | GA Pending | SAB Saved" u="1"/>
        <s v="AS Sign Pending | Exp &amp; LDS 30-06" u="1"/>
        <s v="to bank on 01-03" u="1"/>
        <s v="to bank on 25-02" u="1"/>
        <s v="Under Collection - TF2603600014" u="1"/>
        <s v="to bank on 26-02 | Exp:28-02-2027" u="1"/>
        <s v="GA Pending | Manual Request | Extn: 12-05-26" u="1"/>
        <s v="to bank on 18-02" u="1"/>
        <s v="GA Pending | SS told to hold" u="1"/>
        <s v="to bank on 26-02 | Typo errors needs to be rectified" u="1"/>
        <s v="Specimen Pending to Prepare SNB Prepared" u="1"/>
        <s v="TF Approval | Exp 21-06 &amp; LDS 31-05" u="1"/>
        <s v="TF Approval | Exp &amp; LDS 28-06" u="1"/>
        <s v="Typo errors needs to be rectified" u="1"/>
        <s v="Anil Sir Sign | SAB Prepared | Exp:30-04 LDS:15-04" u="1"/>
        <s v="TF Pending" u="1"/>
        <s v="Akbar Pending | Exp:28-02-2027" u="1"/>
        <s v="TF Pending | Complete Pending" u="1"/>
        <s v="GA Pending | Exp:28-02-2027" u="1"/>
        <s v="to bank on 25-02 | Exp 30-09" u="1"/>
        <s v="Duplicate" u="1"/>
        <s v="GA Pending | TF Received | SNB Prepared" u="1"/>
        <s v="TF Approval" u="1"/>
        <s v="counter guarantee waiting for Javed confirmation" u="1"/>
        <s v="to bank on 12-02" u="1"/>
        <s v="Complete Pending | Exp:30-04 LDS:15-04" u="1"/>
        <s v="Management signature | Remove Ghalib name from Specimen" u="1"/>
        <s v="Exp 30-09 | Don's send after after GA approval | GA Pending" u="1"/>
        <s v="Management signature | SNB Prepared" u="1"/>
        <s v="On Hold by Rabih Kantar | Under Collection - TF2603600014" u="1"/>
        <s v="First Fix working on it" u="1"/>
        <s v="to bank on 17-02" u="1"/>
        <s v="Preparing Notice of Assignment" u="1"/>
        <s v="Resubmitted to Bank on 27-01 | Anil Sir asking confirmation to certain point to Hussam" u="1"/>
        <s v="Don’t send to Akbar wait for SS Instruction. | GA Pending" u="1"/>
        <s v="to bank on 15-02" u="1"/>
        <s v="SS / AS Sign | TF Pending | GA Pending | SNB Prepared" u="1"/>
        <s v="to bank on 16-02 | Exp: 30-06" u="1"/>
        <s v="AS / SS signature on specimen | SNB Prepared" u="1"/>
        <s v="to bank on 16-02" u="1"/>
        <s v="Management sign | Exp: 30-06" u="1"/>
        <s v="Management Signature Pending | Under Collection - TF2603600014" u="1"/>
        <s v="SS Sign / AS Sign" u="1"/>
        <s v="GA Pending | Exp: 30-06" u="1"/>
        <s v="reversal of Charges for 2Months | Original Collected" u="1"/>
        <s v="to bank on 15-02 | New value - SAR 184,000,000.00" u="1"/>
        <s v="Resubmitted to Bank on 27-01 | Kantar to submit amendment for Name Change" u="1"/>
        <s v="Don’t send to Akbar wait for SS Instruction." u="1"/>
        <s v="to Anil Sir SH Sign | New value - SAR 184,000,000.00" u="1"/>
        <s v="to bank on 10-02" u="1"/>
        <s v="GA Pending | Increase for 2 Months" u="1"/>
        <s v="to bank on 28-12 | LOI submitted on 04-02" u="1"/>
        <s v="PD Approval" u="1"/>
        <s v="On hold until 25M Issued" u="1"/>
        <s v="to bank on 11-02 by Shareef Sir" u="1"/>
        <s v="Trying to openin Jazira along with Alinma" u="1"/>
        <s v="AS Signature Pending | Under Collection - TF2603600014" u="1"/>
        <s v="to bank on 11-02" u="1"/>
        <s v="SS Signature Pending | Under Collection - TF2603600014" u="1"/>
        <s v="Management Specimen &amp; Application Pending" u="1"/>
        <s v="Management Specimen Signature Pending" u="1"/>
        <s v="to bank on 08-02" u="1"/>
        <s v="PD Approval | Under Collection - TF2603600014" u="1"/>
        <s v="Anil Sir Sign Pending | Specimen &amp; Application Pending | TF Approval | GA Received" u="1"/>
        <s v="Anil Sir Sign Pending | SAB Prepared | Specimen Pending TF Received | GA Received" u="1"/>
        <s v="LG Increase 10801429.14" u="1"/>
        <s v="to bank on 08-02 | Manual request | Exp: 30-06" u="1"/>
        <s v="reversal of Charges for 2M" u="1"/>
        <s v="to bank on 08-02 | Manual Request | Extn: 12-03-26" u="1"/>
        <s v="LC Amendment for Increase SAR 117,898.36 " u="1"/>
        <s v="Management signature | Manual request | Exp: 30-06" u="1"/>
        <s v="to bank on 08-02 | Exp: 30-06" u="1"/>
        <s v="Management Signature | Manual Request | Extn: 12-03-26" u="1"/>
        <s v="to bank on 08-02 | Exp 05-06 LDS 15-05" u="1"/>
        <s v="to bank on 08-02 | Exp 31-05 LDS 31-05" u="1"/>
        <s v="TF Approval | Exp 05-06 LDS 15-05" u="1"/>
        <s v="TF Approval | Exp 31-05 LDS 31-05" u="1"/>
        <s v="Exp: 30-06" u="1"/>
        <s v="Akbar Pending | Increase Guarantee by 2,450,000.00 | SAB Prepared" u="1"/>
        <s v="Applicant Name Correction" u="1"/>
        <s v="Wait till contract renewal from Danish Sb | GA Pending | Manual Request | Extn: 12-08-26" u="1"/>
        <s v="Exp 05-06 LDS 15-05 | PD Approval" u="1"/>
        <s v="Exp 31-05 LDS 31-05 | PD Approval" u="1"/>
        <s v="to bank on 27-01 | Exp: 31-03-26" u="1"/>
        <s v="to bank on 04-02" u="1"/>
        <s v="GA Received | Specimen &amp; Application Pending | TF Approval Received" u="1"/>
        <s v="GA Received | SAB Prepared | Specimen Pending TF Received | " u="1"/>
        <s v="GA Pending | Increase Guarantee by 2,450,000.00 | SAB Prepared" u="1"/>
        <s v="GA Pending | Specimen &amp; Application Pending | TF Approval Received" u="1"/>
        <s v="TF Approval | GA Pending | SAB Prepared" u="1"/>
        <s v="Extension period and PD Approval" u="1"/>
        <s v="to bank on 28-12 | LOI Pending with ICAD" u="1"/>
        <s v="GA Pending | Specimen Pending | TF Approval Received" u="1"/>
        <s v="to bank on 02-02" u="1"/>
        <s v="Undertaking &amp; Signatures Pending" u="1"/>
        <s v="Pending TF Approval | GA Pending | Preparation Pending" u="1"/>
        <s v="TF Approval | Undertaking &amp; Signatures Pending | Shareef Sir Sign Pending" u="1"/>
        <s v="to bank on 26-01 | In Arabic" u="1"/>
        <s v="Akbar Pending | GA Received | RB Prepared" u="1"/>
        <s v="to bank on 29-01 | Exp &amp; LDS: 30-04-2026" u="1"/>
        <s v="Akbar Pending | Exp &amp; LDS: 30-04-2026" u="1"/>
        <s v="GA Pending | Manual Request | Extn: 12-08-26" u="1"/>
        <s v="Special Text Pending with RB and SNB | GA Received | RB Prepared" u="1"/>
        <s v="GA Pending | TF Approval | Undertaking &amp; Signatures Pending" u="1"/>
        <s v="PD Approval | Exp &amp; LDS: 30-04-2026" u="1"/>
        <s v="to bank on 27-01" u="1"/>
        <s v="to bank on 26-01" u="1"/>
        <s v="GA Pending | Undertaking &amp; Signatures Pending | Preparation Pending" u="1"/>
        <s v="TF Approval | Exp: 31-03-26" u="1"/>
        <s v="to bank on 25-01 | Certain changes as per email from Pierre" u="1"/>
        <s v="GA Pending | Undertaking Pending | Signatures Pending" u="1"/>
        <s v="Kantar to submit amendment for Name Change" u="1"/>
        <s v="to bank on 25-01" u="1"/>
        <s v="to bank on 21-01" u="1"/>
        <s v="Hung Sir Sign | Exp: 31-03-26" u="1"/>
        <s v="Hung Sir Sign" u="1"/>
        <s v="Hold as per site. Email from Ibrahim on 25-01" u="1"/>
        <s v="Exp: 31-03-26" u="1"/>
        <s v="RB Prepared| Assignment Sign Pending with SS | In Arabic" u="1"/>
        <s v="GA Received | Management Signature on specimen | SAB Prepared" u="1"/>
        <s v="GA Pending | Management Signature on specimen | SAB Prepared" u="1"/>
        <s v="to bank on 20-01 | Reduction in Amount | Change in Goods description" u="1"/>
        <s v="Management Signature | Certain changes as per email from Pierre" u="1"/>
        <s v="to bank on 22-01" u="1"/>
        <s v="| In Arabic" u="1"/>
        <s v="to bank on 21-01 | In Arabic" u="1"/>
        <s v="TF Sir Approval | Certain changes as per email from Pierre" u="1"/>
        <s v="TF Sir Approval" u="1"/>
        <s v="Akbar Pending | Assingment for SH Sign" u="1"/>
        <s v="SS Sign | Certain changes as per email from Pierre" u="1"/>
        <s v="to bank on 20-01" u="1"/>
        <s v="GA Pending | NBK Prepared | Assignment Letter under Process | In Arabic" u="1"/>
        <s v="IBAN Pending | Certain changes as per email from Pierre" u="1"/>
        <s v="to bank on 14-01" u="1"/>
        <s v="Akbar Pending | SNB Prepared | Reduction in Amount | Change in Goods description" u="1"/>
        <s v="to bank on 18-01 | Management Signature on specimen" u="1"/>
        <s v="Problem in due date calculation" u="1"/>
        <s v="PD Approval | SNB Prepared | Reduction in Amount | Change in Goods description" u="1"/>
        <s v="Certain changes as per email from Pierre" u="1"/>
        <s v="to bank on 07-01 | Process it in T5 facility" u="1"/>
        <s v="Reduction in Amount | Change in Goods description" u="1"/>
        <s v="to bank on 18-01" u="1"/>
        <s v="SS Sign" u="1"/>
        <s v="SS Signature" u="1"/>
        <s v="to bank on 15-01" u="1"/>
        <s v="to bank on 08-01" u="1"/>
        <s v="to bank on 14-01 | Bene name change" u="1"/>
        <s v="to bank on 12-01 | Exp 30-04-26; LDS 10-04-2026" u="1"/>
        <s v="to bank on 11-01 | Exp 29-02-26" u="1"/>
        <s v="Management signature | Bene name change" u="1"/>
        <s v="Management Signature for specimen | SNB Prepared" u="1"/>
        <s v="TF Approval | GA Pending" u="1"/>
        <s v="to bank on 13-01 | Extend upto 31-03-27" u="1"/>
        <s v="to bank on 06-01 | Assignment to SS for digital sign |  " u="1"/>
        <s v="TF Approval | Bene name change" u="1"/>
        <s v="Under Collection - IC2600833001" u="1"/>
        <s v="Hung Sir Sign | TF Approval | GA Pending" u="1"/>
        <s v="to bank on 30-12 | Exp &amp; LDS 28-02-26" u="1"/>
        <s v="On Hold with Akbar | Extend upto 31-03-27" u="1"/>
        <s v="to bank on 11-01 | Under Collection - IC2600833001" u="1"/>
        <s v="GA Pending | In Arabic" u="1"/>
        <s v="to bank on 12-01 | Exp 12-02 | RTF Error" u="1"/>
        <s v="to bank on 11-01 | Extend upto 13-05-26" u="1"/>
        <s v="Exp 12-02 | Manual Request sent to Aldeshir | RTF Error" u="1"/>
        <s v="Akbar Pending | Exp 30-04-26; LDS 10-04-2026" u="1"/>
        <s v="Draft Pending with Ihab Mir" u="1"/>
        <s v="Exp " u="1"/>
        <s v="to bank on 11-01" u="1"/>
        <s v="TF Approval | Extend upto 13-05-26" u="1"/>
        <s v="to bank on 09-10 | Exp 30-12-25 LDS 10-12" u="1"/>
        <s v="to bank on 06-01" u="1"/>
        <s v="Management Approval" u="1"/>
        <s v="Management Sign | Under Collection - IC2600833001" u="1"/>
        <s v="Akbar Pending | Exp 29-02-26" u="1"/>
        <s v="Akbar Pending | Extend upto 31-03-27" u="1"/>
        <s v="Extend upto 31-03-27" u="1"/>
        <s v="Extend upto 13-05-26" u="1"/>
        <s v="TF Approval Sign | Under Collection - IC2600833001" u="1"/>
        <s v="Akbar Auth" u="1"/>
        <s v="Hung Sir Sign | Under Collection - IC2600833001" u="1"/>
        <s v="to bank on 07-01 | Change in Place of final Destination" u="1"/>
        <s v="to bank on 31-12 | Change in Place of final Destination" u="1"/>
        <s v="Pending with Luis | GA Received | Increase in LC|Exp 31-08-26" u="1"/>
        <s v="Akbar Pending | Process it in T5 facility" u="1"/>
        <s v="Management Signature on specimen | SAB Prepared" u="1"/>
        <s v="to bank on 07-01 | Assignment to SS for digital sign |  " u="1"/>
        <s v="Akbar Approval | GA Received | Assignment to SS for digital sign |  Don’t send to SAB as per SS" u="1"/>
        <s v="to bank on 25-12 | Exp 28-02-26" u="1"/>
        <s v="to bank on 06-01 | Process it in T5 facility" u="1"/>
        <s v="Management Signatures| Jazira Prepared" u="1"/>
        <s v="SAB Prepared | Management signature on specimen | Process it in T5 facility" u="1"/>
        <s v="to bank on 31-12 | Change in Applicant name" u="1"/>
        <s v="TF Approval | Specimen Prepared | SAB Prepared" u="1"/>
        <s v="Commented by TF to open on Cash| TF Approval | Specimen Prepared | SAB Prepared" u="1"/>
        <s v="GA Pending | Specimen Pending for Signatures | Jazira Prepared" u="1"/>
        <s v="Management sign pending on Specimen | SNB Prepared" u="1"/>
        <s v="GA Pending | Preparation Pending | TF Received" u="1"/>
        <s v="TF Approval | GA Pending | Preparation Pending" u="1"/>
        <s v="to bank on 04-01" u="1"/>
        <s v="GA Received | Assignment to SS for digital sign |  Don’t send to SAB as per SS" u="1"/>
        <s v="GA Pending | Specimen Pending | SNB Prepared" u="1"/>
        <s v="TF Approval | GA Pending | Specimen Pending | SNB Prepared" u="1"/>
        <s v="to bank on 30-12 | Exp 31-12, Tenor 60 Days | All charges on applicant" u="1"/>
        <s v="to bank on 30-12 | Exp &amp; LDS 23-01-26" u="1"/>
        <s v="to bank on 01-01" u="1"/>
        <s v="SAB Prepared | Specimen Pending from Jalal | Process it in T5 facility" u="1"/>
        <s v="GA Pending | SAB Prepared | Specimen Pending from Jalal | Process it in T5 facility" u="1"/>
        <s v="to bank on 31-12" u="1"/>
        <s v="to bank on 28-12" u="1"/>
        <s v="to bank on 30-12" u="1"/>
        <s v="to bank on 31-12 | Undertaking Pending" u="1"/>
        <s v="TF Approval | Preparation Pending" u="1"/>
        <s v="to bank on 30-12 | Exp 31-12, Tenor 60 Days | 2nd Request for Management signatures for all charges on applicant" u="1"/>
        <s v="Management Signature | Change in Applicant name" u="1"/>
        <s v="Management signatures | Exp: 31-03-26" u="1"/>
        <s v="TF Approval | Specimen Prepared | SAB Pending" u="1"/>
        <s v="PD Approval | Exp &amp; LDS 31-03-26" u="1"/>
        <s v="Facility Issue" u="1"/>
        <s v="Management Signatures | Exp &amp; LDS 28-02-26" u="1"/>
        <s v="Management Signatures | Exp 31-12, Tenor 60 Days" u="1"/>
        <s v="Change in Applicant name" u="1"/>
        <s v="Management Specimen Pending | RB Prepared" u="1"/>
        <s v="Resent Talal Faris Sir" u="1"/>
        <s v="to bank on 28-12 | NOC Pending from ICAD" u="1"/>
        <s v="to bank on 29-12 | Exp 31-03-26" u="1"/>
        <s v="GA Received | Hold as per Shareef Sir" u="1"/>
        <s v="Akbar Pending | Exp 31-03-26" u="1"/>
        <s v="Preparation Pending | Exp 31-12, Tenor 60 Days" u="1"/>
        <s v="Hold as per S.S | Exp: 30-06-26" u="1"/>
        <s v="GA Received | RB Prepared | Specimen Pending" u="1"/>
        <s v="to bank on 25-12" u="1"/>
        <s v="GA Pending | RB Prepared | Specimen Pending" u="1"/>
        <s v="Hold as per S.S | Increase for 50M | Exp: 30-06-26" u="1"/>
        <s v="TF Approval | Exp &amp; LDS 28-02-26" u="1"/>
        <s v="to bank on 25-12 | Exp: 21-09 &amp; LDS 31-08" u="1"/>
        <s v="to bank on 07-12" u="1"/>
        <s v="NOC Pending from ICAD" u="1"/>
        <s v="Draft Pending with Jalal | Process it in T5 facility" u="1"/>
        <s v="TF Approval | Preparation Pending | Specimen Pending" u="1"/>
      </sharedItems>
    </cacheField>
    <cacheField name="Type" numFmtId="0">
      <sharedItems count="3">
        <s v="Issuance"/>
        <s v="Documents"/>
        <s v="Guarantee"/>
      </sharedItems>
    </cacheField>
  </cacheFields>
  <extLst>
    <ext xmlns:x14="http://schemas.microsoft.com/office/spreadsheetml/2009/9/main" uri="{725AE2AE-9491-48be-B2B4-4EB974FC3084}">
      <x14:pivotCacheDefinition pivotCacheId="1872264462"/>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Farhan Shaikh" refreshedDate="46197.4330162037" createdVersion="8" refreshedVersion="8" minRefreshableVersion="3" recordCount="931" xr:uid="{2CFD1E14-007F-43AC-BB5A-529653F37693}">
  <cacheSource type="worksheet">
    <worksheetSource name="LC_Summary"/>
  </cacheSource>
  <cacheFields count="30">
    <cacheField name="LC Number" numFmtId="0">
      <sharedItems containsBlank="1"/>
    </cacheField>
    <cacheField name="Issue Date." numFmtId="167">
      <sharedItems containsSemiMixedTypes="0" containsNonDate="0" containsDate="1" containsString="0" minDate="2022-12-04T00:00:00" maxDate="2026-06-24T00:00:00"/>
    </cacheField>
    <cacheField name="Project Director" numFmtId="0">
      <sharedItems containsBlank="1"/>
    </cacheField>
    <cacheField name="Status" numFmtId="0">
      <sharedItems count="4">
        <s v="Completed"/>
        <s v="Submitted to Bank"/>
        <s v="Other Amendment"/>
        <s v="Increase Amendment"/>
      </sharedItems>
    </cacheField>
    <cacheField name="Beneficiary" numFmtId="0">
      <sharedItems/>
    </cacheField>
    <cacheField name="Facility Space" numFmtId="0">
      <sharedItems/>
    </cacheField>
    <cacheField name="Group Company" numFmtId="0">
      <sharedItems count="20">
        <s v="FIRST FIX"/>
        <s v="IFAS"/>
        <s v="MBL"/>
        <s v="MBL/Morganti"/>
        <s v="MBL/ICAD"/>
        <s v="ICAD"/>
        <s v="MBL / Green Roots"/>
        <s v="MBL/AICS"/>
        <s v="MBL/AICS (L01)"/>
        <s v="MBL/Premium"/>
        <s v="MBL/ICAD/Baumat"/>
        <s v="MBL - (JV)"/>
        <s v="MBL/IFAS"/>
        <s v="MBL/United Arab Aluminum Co"/>
        <s v="Signal Control"/>
        <s v="OXAGON"/>
        <s v="Equipment"/>
        <s v="MBL/United Arab Co" u="1"/>
        <s v="MBL / Signal Control" u="1"/>
        <s v="ICAD/MBL" u="1"/>
      </sharedItems>
    </cacheField>
    <cacheField name="Project" numFmtId="0">
      <sharedItems count="35">
        <s v="KSP"/>
        <s v="IFAS - Various Projects"/>
        <s v="Neom - The Line"/>
        <s v="CEER"/>
        <s v="ABHA"/>
        <s v="JCD SPMI"/>
        <s v="MP1"/>
        <s v="Oceanarium"/>
        <s v="Rabigh Power Plant"/>
        <s v="Lagoon"/>
        <s v="OPERA House"/>
        <s v="RCRC"/>
        <s v="ADF"/>
        <s v="B05"/>
        <s v="KAP"/>
        <s v="KSP Finishing"/>
        <s v="OXAGON"/>
        <s v="L01-YAMMAMA"/>
        <s v="Araqa Palace"/>
        <s v="Old Dues"/>
        <s v="Equipment"/>
        <s v="Neom - Bay Jetty"/>
        <s v="JCD"/>
        <s v="0"/>
        <s v="L01" u="1"/>
        <s v="ADF &amp; RECC" u="1"/>
        <s v="L01 &amp; ADF" u="1"/>
        <s v="ADF &amp; AOC" u="1"/>
        <s v="ADF, ABS, RECC" u="1"/>
        <s v="ADF, RECC, AOC, JBP &amp; RECC" u="1"/>
        <s v="HO" u="1"/>
        <s v="ADF , BPJ &amp; HI" u="1"/>
        <s v="HI, AOC, JBP, JBP, L01, AOC, TSC, TSO" u="1"/>
        <s v="ADF , BPJ &amp; L01" u="1"/>
        <s v="ABS" u="1"/>
      </sharedItems>
    </cacheField>
    <cacheField name="Curr" numFmtId="0">
      <sharedItems/>
    </cacheField>
    <cacheField name="Project Code" numFmtId="0">
      <sharedItems containsString="0" containsBlank="1" containsNumber="1" containsInteger="1" minValue="1020001" maxValue="1020108"/>
    </cacheField>
    <cacheField name="LC Amt(FCY)" numFmtId="164">
      <sharedItems containsSemiMixedTypes="0" containsString="0" containsNumber="1" minValue="66939.460000000021" maxValue="583175399"/>
    </cacheField>
    <cacheField name="Rate" numFmtId="164">
      <sharedItems containsSemiMixedTypes="0" containsString="0" containsNumber="1" minValue="1" maxValue="5.19"/>
    </cacheField>
    <cacheField name="LC Amt(SAR)" numFmtId="164">
      <sharedItems containsSemiMixedTypes="0" containsString="0" containsNumber="1" minValue="66939.460000000021" maxValue="583175399"/>
    </cacheField>
    <cacheField name="LC Settled" numFmtId="164">
      <sharedItems containsSemiMixedTypes="0" containsString="0" containsNumber="1" minValue="0" maxValue="576597366.8499999"/>
    </cacheField>
    <cacheField name="Balance After Settlement" numFmtId="164">
      <sharedItems containsSemiMixedTypes="0" containsString="0" containsNumber="1" minValue="-4292347.0199999996" maxValue="42000000"/>
    </cacheField>
    <cacheField name="Pending Settlement" numFmtId="164">
      <sharedItems containsSemiMixedTypes="0" containsString="0" containsNumber="1" minValue="0" maxValue="42000000"/>
    </cacheField>
    <cacheField name="LC Balance" numFmtId="164">
      <sharedItems containsSemiMixedTypes="0" containsString="0" containsNumber="1" minValue="-4292347.0199999996" maxValue="30000000"/>
    </cacheField>
    <cacheField name="Amt Recd. for Sign" numFmtId="164">
      <sharedItems containsSemiMixedTypes="0" containsString="0" containsNumber="1" minValue="0" maxValue="3481208.18"/>
    </cacheField>
    <cacheField name="Due Dates" numFmtId="0">
      <sharedItems containsBlank="1"/>
    </cacheField>
    <cacheField name="Expiry Date" numFmtId="167">
      <sharedItems containsSemiMixedTypes="0" containsNonDate="0" containsDate="1" containsString="0" minDate="2023-04-21T00:00:00" maxDate="2027-01-22T00:00:00"/>
    </cacheField>
    <cacheField name="Last Ship Date" numFmtId="167">
      <sharedItems containsSemiMixedTypes="0" containsNonDate="0" containsDate="1" containsString="0" minDate="2023-04-21T00:00:00" maxDate="2027-01-01T00:00:00"/>
    </cacheField>
    <cacheField name="Cash Margin" numFmtId="0">
      <sharedItems containsString="0" containsBlank="1" containsNumber="1" minValue="2679704.7400000002" maxValue="2679704.7400000002"/>
    </cacheField>
    <cacheField name="Cash-Fund Utilized" numFmtId="0">
      <sharedItems containsBlank="1"/>
    </cacheField>
    <cacheField name="Cash-Recovered" numFmtId="0">
      <sharedItems containsBlank="1" containsMixedTypes="1" containsNumber="1" minValue="21522.68" maxValue="822386.5"/>
    </cacheField>
    <cacheField name="Increase Amount in SAR" numFmtId="0">
      <sharedItems containsString="0" containsBlank="1" containsNumber="1" minValue="0" maxValue="25000000"/>
    </cacheField>
    <cacheField name="Remarks" numFmtId="0">
      <sharedItems containsBlank="1"/>
    </cacheField>
    <cacheField name="Bank" numFmtId="0">
      <sharedItems count="7">
        <s v="Alinma"/>
        <s v="Riyad"/>
        <s v="BAB"/>
        <s v="SNB"/>
        <s v="SAB"/>
        <s v="NBK"/>
        <s v="Jazira"/>
      </sharedItems>
    </cacheField>
    <cacheField name="Lines" numFmtId="0">
      <sharedItems/>
    </cacheField>
    <cacheField name="Payment Terms" numFmtId="0">
      <sharedItems containsBlank="1"/>
    </cacheField>
    <cacheField name="Active/Cancelled" numFmtId="0">
      <sharedItems count="2">
        <s v="Cancelled"/>
        <s v="Active"/>
      </sharedItems>
    </cacheField>
  </cacheFields>
  <extLst>
    <ext xmlns:x14="http://schemas.microsoft.com/office/spreadsheetml/2009/9/main" uri="{725AE2AE-9491-48be-B2B4-4EB974FC3084}">
      <x14:pivotCacheDefinition/>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Farhan Shaikh" refreshedDate="46197.433016435185" createdVersion="8" refreshedVersion="8" minRefreshableVersion="3" recordCount="305" xr:uid="{DFD38750-2226-4C48-A730-98308ACEF000}">
  <cacheSource type="worksheet">
    <worksheetSource name="Document_Collection"/>
  </cacheSource>
  <cacheFields count="15">
    <cacheField name="LC Number" numFmtId="0">
      <sharedItems count="530">
        <s v="IM2433133002"/>
        <s v="IM2435033003"/>
        <s v="IM2422833001"/>
        <s v="IM2431833003"/>
        <s v="DPCWPM551225"/>
        <s v="J209219"/>
        <s v="J209241"/>
        <s v="J209426"/>
        <s v="J209217"/>
        <s v="J209622"/>
        <s v="J209615"/>
        <s v="J209618"/>
        <s v="J209613"/>
        <s v="J209616"/>
        <s v="J209957"/>
        <s v="J209617"/>
        <s v="J209614"/>
        <s v="J209951"/>
        <s v="J209963"/>
        <s v="J209961"/>
        <s v="J209958"/>
        <s v="J209960"/>
        <s v="J209956"/>
        <s v="J209955"/>
        <s v="J209620"/>
        <s v="J209619"/>
        <s v="J209954"/>
        <s v="J209691"/>
        <s v="J209061"/>
        <s v="J209003"/>
        <s v="J209001"/>
        <s v="J209167"/>
        <s v="J209000"/>
        <s v="J209063"/>
        <s v="J209002"/>
        <s v="J209166"/>
        <s v="J208999"/>
        <s v="J209163"/>
        <s v="J209070"/>
        <s v="J209165"/>
        <s v="J209169"/>
        <s v="J209071"/>
        <s v="J209170"/>
        <s v="J209173"/>
        <s v="J209164"/>
        <s v="J209171"/>
        <s v="J209067"/>
        <s v="J209005"/>
        <s v="J209004"/>
        <s v="J209175"/>
        <s v="J208998"/>
        <s v="J209172"/>
        <s v="J209062"/>
        <s v="J209068"/>
        <s v="J209168"/>
        <s v="J209392"/>
        <s v="J209162"/>
        <s v="J209161"/>
        <s v="J209335"/>
        <s v="J209391"/>
        <s v="J209064"/>
        <s v="J209395"/>
        <s v="J209393"/>
        <s v="J209174"/>
        <s v="J209526"/>
        <s v="J209512"/>
        <s v="J209341"/>
        <s v="J209515"/>
        <s v="J209513"/>
        <s v="J209516"/>
        <s v="J210024"/>
        <s v="J210021"/>
        <s v="J210020"/>
        <s v="J209065"/>
        <s v="J210023"/>
        <s v="J210018"/>
        <s v="J209962"/>
        <s v="J210027"/>
        <s v="J209514"/>
        <s v="J209442"/>
        <s v="J209621"/>
        <s v="J210019"/>
        <s v="J209218"/>
        <s v="J209789"/>
        <s v="J209833"/>
        <s v="J209950"/>
        <s v="J209953"/>
        <s v="J209320"/>
        <s v="J209316"/>
        <s v="J209318"/>
        <s v="J209317"/>
        <s v="J209315"/>
        <s v="J209239"/>
        <s v="J209517"/>
        <s v="J210388"/>
        <s v="J210022"/>
        <s v="J210017"/>
        <s v="J210025"/>
        <s v="J210026"/>
        <s v="J209959"/>
        <s v="J210387"/>
        <s v="J210386"/>
        <s v="J210612"/>
        <s v="J210425"/>
        <s v="J210603"/>
        <s v="J210609"/>
        <s v="J210617"/>
        <s v="ILC-0840-25-7566"/>
        <s v="J210611"/>
        <s v="J210548"/>
        <s v="J210028"/>
        <s v="J210690"/>
        <s v="DCBWPM559830"/>
        <s v="J210610"/>
        <s v="J210679"/>
        <s v="TF2518100017"/>
        <s v="J210868"/>
        <s v="ILC-0840-25-7355"/>
        <s v="ILC-0840-25-7736"/>
        <s v="J210608"/>
        <s v="ILC-0840-25-7354"/>
        <s v="J210607"/>
        <s v="J210605"/>
        <s v="ILC-0840-25-7992"/>
        <s v="DCBWPM563019"/>
        <s v="J210606"/>
        <s v="ILC-0840-25-7737"/>
        <s v="J210928"/>
        <s v="ILC-0840-25-7979"/>
        <s v="TF2519600062"/>
        <s v="ILC-0840-25-7980"/>
        <s v="ILC-0840-25-7572"/>
        <s v="ILC-0840-25-8011"/>
        <s v="ILC-0840-25-7352"/>
        <s v="JLC6901468"/>
        <s v="JLC6901470"/>
        <s v="ILC-0840-25-8162"/>
        <s v="J210929"/>
        <s v="ILC-0840-25-7799"/>
        <s v="ILC-0840-25-8161"/>
        <s v="ILC-0840-25-7264"/>
        <s v="ILC-0840-25-8159"/>
        <s v="ILC-0840-25-7735"/>
        <s v="ILC-0840-25-7570"/>
        <s v="ILC-0840-25-7982"/>
        <s v="DCBWPM555615"/>
        <s v="ILC-0840-25-8163"/>
        <s v="J210944"/>
        <s v="ILC-0840-25-7173"/>
        <s v="DCBWPM565824"/>
        <s v="TF2517700091"/>
        <s v="DCBWPM564580"/>
        <s v="J211485"/>
        <s v="DCBWPM563027"/>
        <s v="DCBWPM563040"/>
        <s v="DCBWPM564575"/>
        <s v="DCBWPM567556"/>
        <s v="DCBWPM562612"/>
        <s v="ILC-0840-25-7517"/>
        <s v="DCBWPM566642"/>
        <s v="ILC-0840-25-8470"/>
        <s v="JLC6901608"/>
        <s v="ILC-0840-25-7407"/>
        <s v="ILC-0840-25-8473"/>
        <s v="ILC-0840-25-8160"/>
        <s v="ILC-0840-25-8471"/>
        <s v="DCBWPM565832"/>
        <s v="J210676"/>
        <s v="J211604"/>
        <s v="J211600"/>
        <s v="ILC-0840-25-8427"/>
        <s v="IM2500633009"/>
        <s v="ILC-0840-25-8165"/>
        <s v="J210604"/>
        <s v="ILC-0840-26-8819"/>
        <s v="ILC-0840-26-8823"/>
        <s v="ILC-0840-26-8821"/>
        <s v="ILC-0840-26-8820"/>
        <s v="ILC-0840-25-7984"/>
        <s v="ILC-0840-25-8164"/>
        <s v="M001909"/>
        <s v="J211810"/>
        <s v="J211809"/>
        <s v="J211811"/>
        <s v="J211805"/>
        <s v="J211808"/>
        <s v="ILC-0840-26-8758"/>
        <s v="J211985"/>
        <s v="J211681"/>
        <s v="ILC-0840-26-9073"/>
        <s v="TF2523000034"/>
        <s v="TF2527100024"/>
        <s v="TF2605600008"/>
        <s v="TF2535900014"/>
        <s v="J211807"/>
        <s v="TF2604200011_B"/>
        <s v="TF2609800008"/>
        <s v="J212030"/>
        <s v="TF2606300014"/>
        <s v="J212140"/>
        <s v="TF2609900016"/>
        <s v="TF2526500019"/>
        <s v="TF2610500021"/>
        <s v="DCBWPM163945"/>
        <s v="J212139"/>
        <s v="DCBWPM160364"/>
        <s v="J212311"/>
        <s v="JLC6901431_Cre" u="1"/>
        <s v="DCBWPM163417" u="1"/>
        <s v="DCBWPM160363" u="1"/>
        <s v="DCBWPM163950" u="1"/>
        <s v="J210104" u="1"/>
        <s v="DCBWPM570384" u="1"/>
        <s v="DCBWPM160355" u="1"/>
        <s v="DCBWPM160343" u="1"/>
        <s v="DCBWPM164001" u="1"/>
        <s v="JLC7000384" u="1"/>
        <s v="JLC6901431_Cash" u="1"/>
        <s v="TF2514700025" u="1"/>
        <s v="TF2513100027" u="1"/>
        <s v="TF2514700037" u="1"/>
        <s v="TF2531600053" u="1"/>
        <s v="TF2513500019" u="1"/>
        <s v="TF2533500006" u="1"/>
        <s v="TF2535200019" u="1"/>
        <s v="TF2531600056" u="1"/>
        <s v="TF2535200018" u="1"/>
        <s v="TF2604200011_A" u="1"/>
        <s v="TF2527100025" u="1"/>
        <s v="TF2604200011_C" u="1"/>
        <s v="JLC7000185" u="1"/>
        <s v="JLC7000004" u="1"/>
        <s v="JLC7000184" u="1"/>
        <s v="JLC7000005" u="1"/>
        <s v="JLC7000007" u="1"/>
        <s v="JLC6901492" u="1"/>
        <s v="TF2517400098" u="1"/>
        <s v="DCBWPM161328" u="1"/>
        <s v="DCBWPM162992" u="1"/>
        <s v="DCBWPM163960" u="1"/>
        <s v="DCBWPM566634" u="1"/>
        <s v="DCBWPM160342" u="1"/>
        <s v="DCBWPM162993" u="1"/>
        <s v="DCBWPM163999" u="1"/>
        <s v="DCBWPM567554" u="1"/>
        <s v="DCBWPM163967" u="1"/>
        <s v="DCBWPM163957" u="1"/>
        <s v="DCBWPM163995" u="1"/>
        <s v="DCBWPM164003" u="1"/>
        <s v="DCBWPM163953" u="1"/>
        <s v="DCBWPM570369" u="1"/>
        <s v="JLC6801573" u="1"/>
        <s v="JLC7000193" u="1"/>
        <s v="JLC7000008" u="1"/>
        <s v="M001959" u="1"/>
        <s v="DCBWPM563025" u="1"/>
        <s v="DCBWPM161329" u="1"/>
        <s v="DCBWPM161331" u="1"/>
        <s v="DCBWPM161322" u="1"/>
        <s v="DCBWPM162155" u="1"/>
        <s v="DCBWPM563043" u="1"/>
        <s v="DCBWPM161330" u="1"/>
        <s v="DCBWPM570361" u="1"/>
        <s v="DCBWPM565843" u="1"/>
        <s v="DCBWPM163413" u="1"/>
        <s v="DCBCPM160316" u="1"/>
        <s v="JLC6902211" u="1"/>
        <s v="LCI-SA-M001909" u="1"/>
        <s v="JLC7000001" u="1"/>
        <s v="JLC7000009" u="1"/>
        <s v="JLC7000006" u="1"/>
        <s v="JLC6701731" u="1"/>
        <s v="TF2535900016" u="1"/>
        <s v="JLC7000182" u="1"/>
        <s v="JLC7000188" u="1"/>
        <s v="JLC7000187" u="1"/>
        <s v="JLC7000186" u="1"/>
        <s v="JLC7000183" u="1"/>
        <s v="JLC7000002" u="1"/>
        <s v="TF2517700068" u="1"/>
        <s v="DCBWPM570380" u="1"/>
        <s v="DCBWPM161319" u="1"/>
        <s v="DCBWPM161326" u="1"/>
        <s v="TF2535200021" u="1"/>
        <s v="DCBWPM570839" u="1"/>
        <s v="DCBWPM553955" u="1"/>
        <s v="DCBWPM563055" u="1"/>
        <s v="DCBWPM565846" u="1"/>
        <s v="DCBWPM566848" u="1"/>
        <s v="DCBWPM570414" u="1"/>
        <s v="DCBWPM553808" u="1"/>
        <s v="JLC6902213" u="1"/>
        <s v="TF2531600062" u="1"/>
        <s v="DCBWPM563372" u="1"/>
        <s v="TF2534800029" u="1"/>
        <s v="TF2517400019" u="1"/>
        <s v="JLC7002384" u="1"/>
        <s v="DCBWPM563374" u="1"/>
        <s v="IM2500633009_Cre" u="1"/>
        <s v="TF2517700035" u="1"/>
        <s v="TF2517400070" u="1"/>
        <s v="TF2521100011" u="1"/>
        <s v="TF2517700028" u="1"/>
        <s v="TF2531400014" u="1"/>
        <s v="TF2521100101" u="1"/>
        <s v="TF2514600059" u="1"/>
        <s v="TF2533500010" u="1"/>
        <s v="TF2517700014" u="1"/>
        <s v="TF2523600022" u="1"/>
        <s v="TF2521100048" u="1"/>
        <s v="TF2513500034" u="1"/>
        <s v="TF2514700051" u="1"/>
        <s v="JLC6901611" u="1"/>
        <s v="JLC6901612" u="1"/>
        <s v="JLC6901610" u="1"/>
        <s v="JLC6901616" u="1"/>
        <s v="DCBWPM565841" u="1"/>
        <s v="DCBWPM558775" u="1"/>
        <s v="DCBWPM562604" u="1"/>
        <s v="DCBWPM555620" u="1"/>
        <s v="DCBWPM566637" u="1"/>
        <s v="DCBWPM564600" u="1"/>
        <s v="TF2526500017" u="1"/>
        <s v="TF2510400017" u="1"/>
        <s v="IM2512733008" u="1"/>
        <s v="JLC6901467" u="1"/>
        <s v="JLC6901477" u="1"/>
        <s v="JLC6901480" u="1"/>
        <s v="JLC6901471" u="1"/>
        <s v="IM2513233001" u="1"/>
        <s v="IM2512833005" u="1"/>
        <s v="JLC6901484" u="1"/>
        <s v="JLC6901483" u="1"/>
        <s v="JLC6901481" u="1"/>
        <s v="JLC6901485" u="1"/>
        <s v="JLC6901486" u="1"/>
        <s v="JLC6901473" u="1"/>
        <s v="JLC6901474" u="1"/>
        <s v="JLC6901479" u="1"/>
        <s v="JLC6901489" u="1"/>
        <s v="JLC6901475" u="1"/>
        <s v="JLC6901466" u="1"/>
        <s v="JLC6901469" u="1"/>
        <s v="JLC6901482" u="1"/>
        <s v="JLC6901476" u="1"/>
        <s v="JLC6901472" u="1"/>
        <s v="JLC6901487" u="1"/>
        <s v="JLC6901613" u="1"/>
        <s v="DCBWPM558759" u="1"/>
        <s v="DCBWPM563936" u="1"/>
        <s v="DCBWPM564601" u="1"/>
        <s v="DCBWPM562595" u="1"/>
        <s v="DCBWPM563814" u="1"/>
        <s v="DCBWPM565836" u="1"/>
        <s v="DCBWPM551279" u="1"/>
        <s v="DCBWPM563030" u="1"/>
        <s v="DCBWPM563039" u="1"/>
        <s v="DCBWPM565760" u="1"/>
        <s v="DCBWPM565818" u="1"/>
        <s v="DCBWPM562620" u="1"/>
        <s v="DCBWPM563046" u="1"/>
        <s v="DCBWPM558768" u="1"/>
        <s v="DCBWPM564584" u="1"/>
        <s v="DCBWPM554837" u="1"/>
        <s v="DCBWPM566639" u="1"/>
        <s v="DCBWPM564579" u="1"/>
        <s v="DCBWPM564596" u="1"/>
        <s v="DCBWPM564605" u="1"/>
        <s v="DC WPM556764" u="1"/>
        <s v="DCBWPM560813" u="1"/>
        <s v="DCBWPM567940" u="1"/>
        <s v="DCBWPM566972" u="1"/>
        <s v="DCBWPM566842" u="1"/>
        <s v="DCBWPM562728" u="1"/>
        <s v="DCBWPM565536" u="1"/>
        <s v="DCBWPM563067" u="1"/>
        <s v="DCBWPM554738" u="1"/>
        <s v="DCBWPM563695" u="1"/>
        <s v="DCBWPM566643" u="1"/>
        <s v="JLC6901431" u="1"/>
        <s v="TF2513500031" u="1"/>
        <s v="TF2514700038" u="1"/>
        <s v="TF2521100088" u="1"/>
        <s v="ILC-0840-25-7351" u="1"/>
        <s v="ILC-0840-25-7406" u="1"/>
        <s v="ILC-0840-25-7877" u="1"/>
        <s v="ILC-0840-25-7481" u="1"/>
        <s v="ILC-0840-25-7266" u="1"/>
        <s v="ILC-0840-25-7986" u="1"/>
        <s v="TF2519400032" u="1"/>
        <s v="TF2514700052" u="1"/>
        <s v="TF2513100025" u="1"/>
        <s v="TF2513500016" u="1"/>
        <s v="TF2514700061" u="1"/>
        <s v="TF2513500035" u="1"/>
        <s v="TF2513500026" u="1"/>
        <s v="TF2513500030" u="1"/>
        <s v="TF2513100029" u="1"/>
        <s v="TF2514700055" u="1"/>
        <s v="TF2508300029" u="1"/>
        <s v="TF2513500032" u="1"/>
        <s v="TF2513100011" u="1"/>
        <s v="TF2510400020" u="1"/>
        <s v="TF2514700064" u="1"/>
        <s v="TF2513500018" u="1"/>
        <s v="TF2517400086" u="1"/>
        <s v="TF2517400038" u="1"/>
        <s v="TF2517400045" u="1"/>
        <s v="TF2517400030" u="1"/>
        <s v="TF2517700061" u="1"/>
        <s v="TF2517400044" u="1"/>
        <s v="TF2514700046" u="1"/>
        <s v="TF2508300031" u="1"/>
        <s v="TF2508300047" u="1"/>
        <s v="TF2513500039" u="1"/>
        <s v="TF2517400066" u="1"/>
        <s v="TF2517700078" u="1"/>
        <s v="TF2517400057" u="1"/>
        <s v="TF2517400053" u="1"/>
        <s v="TF2517400062" u="1"/>
        <s v="TF2431898512" u="1"/>
        <s v="TF2517700020" u="1"/>
        <s v="TF2517400023" u="1"/>
        <s v="TF2517700054" u="1"/>
        <s v="TF2513100026" u="1"/>
        <s v="TF2514700033" u="1"/>
        <s v="TF2510400021" u="1"/>
        <s v="TF2513100028" u="1"/>
        <s v="TF2513500038" u="1"/>
        <s v="TF2521100097" u="1"/>
        <s v="TF2521100037" u="1"/>
        <s v="TF2521000028" u="1"/>
        <s v="TF2517400111" u="1"/>
        <s v="TF2521100016" u="1"/>
        <s v="TF2521100095" u="1"/>
        <s v="TF2508300060" u="1"/>
        <s v="TF2521000022" u="1"/>
        <s v="TF2513200005" u="1"/>
        <s v="TF2513500037" u="1"/>
        <s v="TF2514600068" u="1"/>
        <s v="TF2514700066" u="1"/>
        <s v="TF2523600024" u="1"/>
        <s v="TF2523600029" u="1"/>
        <s v="TF2517300038" u="1"/>
        <s v="TF2517400050" u="1"/>
        <s v="DCBWPM553897" u="1"/>
        <s v="DCBWPM558787" u="1"/>
        <s v="DCBWPM562592" u="1"/>
        <s v="DCBWPM562605" u="1"/>
        <s v="DCBWPM562622" u="1"/>
        <s v="DCBWPM563026" u="1"/>
        <s v="DCBWPM563017" u="1"/>
        <s v="DCBWPM563023" u="1"/>
        <s v="DCBWPM563824" u="1"/>
        <s v="DCBWPM563064" u="1"/>
        <s v="DCBWPM562731" u="1"/>
        <s v="DCBWPM558778" u="1"/>
        <s v="DCBWPM562628" u="1"/>
        <s v="DCBWPM562625" u="1"/>
        <s v="DCBWPM562598" u="1"/>
        <s v="DCBWPM564582" u="1"/>
        <s v="DCBWPM563932" u="1"/>
        <s v="DCBWPM562600" u="1"/>
        <s v="DCBWPM563935" u="1"/>
        <s v="DCBWPM564585" u="1"/>
        <s v="DCBWPM564593" u="1"/>
        <s v="DCBWPM558781" u="1"/>
        <s v="DCBWPM563813" u="1"/>
        <s v="DCBWPM553893" u="1"/>
        <s v="IM2512733013" u="1"/>
        <s v="IM2512833004" u="1"/>
        <s v="IM2433133003" u="1"/>
        <s v="J210096" u="1"/>
        <s v="DCBWPM558755" u="1"/>
        <s v="DCBWPM558782" u="1"/>
        <s v="DCBCPM558780" u="1"/>
        <s v="DCBWPM558786" u="1"/>
        <s v="DCBWPM558763" u="1"/>
        <s v="DCBWPM562590" u="1"/>
        <s v="DCBWPM562572" u="1"/>
        <s v="DCBWPM562730" u="1"/>
        <s v="DCBWPM563375" u="1"/>
        <s v="DCBWPM563228" u="1"/>
        <s v="DCBWPM562624" u="1"/>
        <s v="DCBWPM562626" u="1"/>
        <s v="DCBWPM562615" u="1"/>
        <s v="DCBWPM563229" u="1"/>
        <s v="DCBWPM563059" u="1"/>
        <s v="DCBWPM563021" u="1"/>
        <s v="DCBWPM558751" u="1"/>
        <s v="DCBWPM563232" u="1"/>
        <s v="DCBWPM563822" u="1"/>
        <s v="DCBWPM560155" u="1"/>
        <s v="DCBWPM554250" u="1"/>
        <s v="IM2512833006" u="1"/>
        <s v="IM2512733005" u="1"/>
        <s v="IM2513133003" u="1"/>
        <s v="IM2512833002" u="1"/>
        <s v="IM2512733015" u="1"/>
        <s v="IM2505733001" u="1"/>
        <s v="IM2512833009" u="1"/>
        <s v="IM2512733010" u="1"/>
        <s v="IM2512733012" u="1"/>
        <s v="IM2435433001" u="1"/>
        <s v="IM2512733014" u="1"/>
        <s v="TF2507700062" u="1"/>
        <s v="IM2512733011" u="1"/>
        <s v="IM2512733007" u="1"/>
        <s v="IM2505733002" u="1"/>
        <s v="TF2514700056" u="1"/>
        <s v="IM2512733006" u="1"/>
        <s v="TF2514600067" u="1"/>
        <s v="IM2512833003" u="1"/>
        <s v="TF2514700030" u="1"/>
        <s v="TF2517400017" u="1"/>
        <s v="TF2507700061" u="1"/>
        <s v="TF2517700045" u="1"/>
        <s v="DC WPM554941" u="1"/>
        <s v="DCBWPM555723" u="1"/>
        <s v="DCBWPM555720" u="1"/>
        <s v="ILC-0840-25-7571" u="1"/>
        <s v="ILC-0840-25-7568" u="1"/>
        <s v="DCBWPM557847" u="1"/>
        <s v="DCBWPM553752" u="1"/>
        <s v="DCBWPM558756" u="1"/>
        <s v="ILC-0840-25-7518" u="1"/>
        <s v="DCBWPM558785" u="1"/>
        <s v="DCBWPM558776" u="1"/>
        <s v="TF2512800002" u="1"/>
        <s v="JLC6801271" u="1"/>
      </sharedItems>
    </cacheField>
    <cacheField name="Date Recd" numFmtId="171">
      <sharedItems containsSemiMixedTypes="0" containsNonDate="0" containsDate="1" containsString="0" minDate="2024-10-08T00:00:00" maxDate="2026-06-23T00:00:00"/>
    </cacheField>
    <cacheField name="Presentation No" numFmtId="0">
      <sharedItems count="25">
        <s v="3"/>
        <s v="1"/>
        <s v="14"/>
        <s v="2"/>
        <s v="4"/>
        <s v="1-(Partial-1)"/>
        <s v="5"/>
        <s v="1-(Partial-2)"/>
        <s v="2-(Partial-1)"/>
        <s v="2-(Partial-2)"/>
        <s v="6"/>
        <s v="4-Partial(1)"/>
        <s v="7"/>
        <s v="8"/>
        <s v="9"/>
        <s v="10"/>
        <s v="11" u="1"/>
        <s v="1-(Partial-3)" u="1"/>
        <s v="127" u="1"/>
        <s v="126" u="1"/>
        <s v="6-(Partial-1)" u="1"/>
        <s v="Partial(6)" u="1"/>
        <s v="124" u="1"/>
        <s v="123" u="1"/>
        <s v="17" u="1"/>
      </sharedItems>
    </cacheField>
    <cacheField name="Clean / Disc" numFmtId="0">
      <sharedItems/>
    </cacheField>
    <cacheField name="Bank" numFmtId="0">
      <sharedItems containsBlank="1" count="8">
        <s v="BAB"/>
        <s v="SAB"/>
        <s v="SNB"/>
        <s v="Jazira"/>
        <s v="Alinma"/>
        <s v="Riyad"/>
        <s v="NBK"/>
        <m u="1"/>
      </sharedItems>
    </cacheField>
    <cacheField name="Lines" numFmtId="0">
      <sharedItems/>
    </cacheField>
    <cacheField name="Beneficiary" numFmtId="0">
      <sharedItems containsBlank="1" count="363">
        <s v="Ajzal United for Safety Co Ltd"/>
        <s v="Mariam Ahmad Jamal Ibrahim &amp; Partner Trading Co."/>
        <s v="Al Faisal Steel Products Co."/>
        <s v="Future Pipe Industries LLC"/>
        <s v="Roof Metal Ind LLC"/>
        <s v="ELECTRIC HOUSE TRADING COMPANY LLC"/>
        <s v="SMART HOME TRADING COMPANY"/>
        <s v="Emaan International Company"/>
        <s v="Electric House Trading Co LLC"/>
        <s v="Al Tagadom Alaly"/>
        <s v="Power Center Company fo Industries LLC"/>
        <s v="ALFANAR COMPANY"/>
        <s v="Saudi Electric Supply Company"/>
        <s v="KATHOOM JEDDAH TRADING EST."/>
        <s v="Masdar Technical Supplies"/>
        <s v="AL ZAMIL CO. FOR TRADE &amp; TRANSPORT"/>
        <s v="Tabark Al - Momyza For Trading Est."/>
        <s v="Arabian Plastic Manufacturing Co. Ltd"/>
        <s v="Banan Thiba Trading Est (BTT)"/>
        <s v="Al Mousa Trading Co"/>
        <s v="Al Fanar company"/>
        <s v="Branch of National Fire Fighting (NAFFCO)"/>
        <s v="Mariam Ahmed Jamal Ibrahim"/>
        <s v="Tabarak Al-Momyza For Trading Company"/>
        <s v="RAWABI AL MAHFAR TRADING COMPANY LL"/>
        <s v="POWER CENTER COMPANY FOR"/>
        <s v="SAFID CO.LTD"/>
        <s v="EMPOWER AIR TECHNOLOGIES CO."/>
        <s v="AL MABANI AL UMUMIYYAH LTD"/>
        <s v="MARIAM AHMAD JAMAL IBRAHIM PARTNE"/>
        <s v="RIYADH CABLES GROUP COMPANY"/>
        <s v="AL FANAR CO LTD"/>
        <s v="ELECTRIC HOUSE TRADING COMPANY"/>
        <s v="DEPTH MODERN TECHNOLOGIES CO."/>
        <s v="UNIVERSAL BUILDING MATERIALS MERCHANTS CO.LTD"/>
        <s v="GULF GRILLES CO"/>
        <s v="AL OTHMAN INDUSTRIAL MARKETING LTD."/>
        <s v="NATIONAL MARKETING EST. CO. LTD"/>
        <s v="HUDA LIGHTING LLC CO"/>
        <s v="AL MAYMANAH FOR CONTRACTING CO. LTD"/>
        <s v="ALFANAR ELECTRICAL SYSTEMS"/>
        <s v="JOHNSON CONTROLS ARABIA LIMITED"/>
        <s v="BANAN THIBA TRADING EST"/>
        <s v="THKM ALAALMYT LLTAQT COMPANY"/>
        <s v="MARIAM TRADING COMPANY AND PARTNER"/>
        <s v="IDEAL CALIBER COMPANY"/>
        <s v="LIGHT TECHNOLOGIES COMPANY LTD"/>
        <s v="EMAAR POLE COMPANY"/>
        <s v="DEPTH MODERN TECHNOLOGIES."/>
        <s v="AL-HADBANIA TRADING CO"/>
        <s v="AL BILAD CONCRETE PIPE CO.LTD"/>
        <s v="Al Salem Airconditioning Co.Ltd (Johnson)"/>
        <s v="Huda Lighting"/>
        <s v="Al Fanar Co. Ltd."/>
        <s v="AFAQ AL MALAZ TRADING CO LTD"/>
        <s v="Premium For General Contracting Est."/>
        <s v="Electric House Est"/>
        <s v="Banan Thiba Trading Est. (BTT)"/>
        <s v="Rawabi Al Mahfar Trdg.Company Llc"/>
        <s v="Riyadh Cable Group Of Company"/>
        <s v="Al Wefaq Contracting Company"/>
        <s v="ESTABLISHMENT OF AL OROUBA TOWER FOR GENERAL CONTRACTING"/>
        <s v="Br. Mumtaz &amp; Construction Co."/>
        <s v="ALBYT ALTHAKI Trading CO"/>
        <s v="API ENERGY MIDDLE EASTAPI ENERGY GE"/>
        <s v="United Arab Aluminum Company Limited"/>
        <s v="MARINETEK CONTRACTING LLC"/>
        <s v="TAMEER STEEL FACTORY CO LTD"/>
        <s v="Soliman Saleh Al Mohileb And Sons Holding Company (Closed Joint)"/>
        <s v="Abdulah Abdin Albukhari Factory For Industry."/>
        <s v="ROOTS INNOVATIVE INDUSTRIAL CO. "/>
        <s v="DELHAM AL JANOUB FOR CONTRACTING"/>
        <s v="MOHAMMED KHALAF ALANIZI EST FOR CONTRACTING"/>
        <s v="JAY CO LTD"/>
        <s v="INTELLIGENT SYSTEM GENERAL CONTRACTING COMPANY"/>
        <s v="Bahra Advanced Cable Manufacture Co.Ltd"/>
        <s v="Arab Eagle Co."/>
        <s v="Rolaco Arabian Sounds &amp; Lights CO."/>
        <s v="Union Pipes Industry Co"/>
        <s v="Rubiya Contracting Company"/>
        <s v="ROLACO ARABIAN SOUNDS &amp; LIGHTS COMPANY"/>
        <s v="High Al Shuhra Contracting Company"/>
        <s v="Expertise Contracting Company Ltd"/>
        <s v="CAN ALSHARQ GENERAL CONT. EST"/>
        <s v="Al Arabia Construction &amp; Building Co."/>
        <s v="SAUDI HEPCO"/>
        <s v="Alfa Laval Arabia for Maintenance Company"/>
        <s v="Isam Kabbani &amp; Partners"/>
        <s v="I Engineering KSA"/>
        <s v="Anixter Saudi Arabia Ltd"/>
        <s v="Al Yamamah Company for Reinforcing Steel Bars"/>
        <s v="Khorayef Industries"/>
        <s v="Baamer Group for Trading Company"/>
        <s v="ARABIAN INTERNATIONAL COMPANY FOR CONTRACTING"/>
        <s v="UNITED PARK CO"/>
        <s v="AL-SAYED CENTER A/C FOR MATERIALS COMPANY"/>
        <s v="Gulf Grilles Company"/>
        <s v="Alkhorayef Commercial co."/>
        <s v="MARIAM TRADING CO &amp; PARTNERS"/>
        <s v="EALLA FOR GENERAL CONTRACTING CO "/>
        <s v="Mahmoud AI-Taheni &amp; Partners Trading Co."/>
        <s v="Union Pipes Industry Co LLC"/>
        <s v="Depa Saudi Arabia for Contracting and Interior Decorating Co. Ltd."/>
        <s v="Saudi Hepco Co Ltd"/>
        <s v="Metten Al-Arabia Ltd Co (METARA)"/>
        <s v="Nesma Nibras Maintenance &amp; Cleaning International Co."/>
        <s v="Abdul Aziz Mohammed Abu Shaiea Trading Est"/>
        <s v="Saudi Benaa Company for Building Materials"/>
        <s v="Sami Yousee Bin Abdel Rahim Alharbi Foundation"/>
        <s v="Metal and Glass Trading Co"/>
        <s v="MOHAMMED RAMADAN SHAT FACTORY FOR METAL"/>
        <s v="AL FALWA CO. LTD. FOR READYMIX CONCRETE"/>
        <s v="VOLTAGE ELEMENTS INDUSTRIAL Co. "/>
        <s v="MOHAMMED RAMADAN SHAT FACTORY FOR METAL INDUSTRIES"/>
        <s v="Alpha Limit Trading and Contracting Company"/>
        <s v="DAIKIN AIR CONDITIONING SAUDI ARABIA"/>
        <s v="EALAA FOR GENERAL CONTRACTING CO"/>
        <s v="Mohammed A. Al-Awani Trading"/>
        <s v="AL-Tawi Ready Mix Concrete Factory Co"/>
        <s v="DAIKIN AIR CONDITIONING SAUDI ARABIA LLC "/>
        <s v="Establishment SAFIH ABDULLAH BEN BAKRI"/>
        <s v="Sika Saudi Arabia Co. Ltd."/>
        <s v="ALNAFIE METAL INDUSTRIES CO LTD"/>
        <s v="JAD AL RIYADH Trading Co. Ltd"/>
        <s v="Mab United For Trading &amp; Contracting Co"/>
        <s v="AL-TAYYAR AL-HAQIQI COMMERCIAL CO."/>
        <s v="Building System Intelligent Est."/>
        <s v="INTERPLAST CO.LTD"/>
        <s v="SAUDI VITRIFIED CLAY PIPE CO"/>
        <s v="Al-Sayed Center A/C &amp; Refrigeration Materials Company"/>
        <s v="Johnson Controls Arabia"/>
        <s v="SITE TECHNOLOGY SAUDI ARABIA LTD"/>
        <s v="Rawabi Al Mahfar Trading Co."/>
        <s v="United Park Co."/>
        <s v="Power Center Company for Industries LLC"/>
        <s v="APTEC SAUDI ARABIA"/>
        <s v="Alrashid Trading and Contracting Company"/>
        <s v="Electric House Trading Company L.L.C."/>
        <s v="Mohammed Masoud Al Khaldi Est"/>
        <s v="Al Wasail Industrial Co "/>
        <s v="Mohammed Ramadan Shat"/>
        <s v="Mohammed Ramadan Shat Factory"/>
        <s v="Al Arabia for Construction &amp; Building Co."/>
        <s v="Electro Mechanical Supplies Company"/>
        <s v="Brooq Al Amaan Trading"/>
        <s v="Green Concrete CJSC"/>
        <s v="APS ARABIAN CONTRACTING COMPANY"/>
        <s v="The Fundamental Installation For Electric Work Co"/>
        <s v="Saudi Perfect Pumps Trading &amp; Manufacturing Company"/>
        <s v="LSI PROJECTS LIMITED"/>
        <s v="Innovative Contractors for Advanced Dimension (ICAD)"/>
        <s v="Safid Co Ltd"/>
        <s v="Awtad Jeddah for General Contracting Company"/>
        <s v="Innovative Specialized Security Solution"/>
        <s v="Masdar Technical Supplies Co."/>
        <s v="Manar Alomran Company For Trading And Industrial Ltd"/>
        <s v="Mat Filtrasyon Teknolojeleri A.S" u="1"/>
        <s v="Khereiji Showrooms Co." u="1"/>
        <s v="BBH-CHEMTROL INTERNATIONAL ORGANIZATION S.L" u="1"/>
        <s v="Daikin Air Conditioning Saudi Arabia " u="1"/>
        <s v="Mimar for Construction Tools &amp; Trading Ltd." u="1"/>
        <s v="BAHRA ADVANCED CABLE MANUFACTURE CO. LTD" u="1"/>
        <s v="Elsewedy Cables Co. Limited" u="1"/>
        <s v="NAJM AL FALAK TRADING CO." u="1"/>
        <s v="AL MOUSA TRADING CO." u="1"/>
        <s v="SIEMENS Limited Company" u="1"/>
        <s v="Mohammad Saleh Bahareth co." u="1"/>
        <s v="Mahmoud Al Tahini and Partners Company" u="1"/>
        <s v="BRC Industrial (Saudia) Company" u="1"/>
        <s v="SKM Air Conditioning Company" u="1"/>
        <s v="Teqniye Al-Majra For Contracting" u="1"/>
        <s v="Jiangsu Donchamp New Materials Technology Co.Ltd." u="1"/>
        <s v="SKM AIR CONDITIONING CO" u="1"/>
        <s v="INTERPLAST CO. LTD" u="1"/>
        <s v="Al NAKHEEL FOR TRADING COMPANY" u="1"/>
        <s v="BROOQ ALAMAAN TRAD COMPANY" u="1"/>
        <s v="Ajzal United for Safety CO.LTD." u="1"/>
        <s v="Al Maymanah For Contracting Co. Ltd." u="1"/>
        <s v="TAWREED INTEGRATED INDUSTRIES" u="1"/>
        <s v="National Fire Fighting Manufacturing Fzco Br." u="1"/>
        <s v="Mohamad Saeed Afifi Trading Est." u="1"/>
        <s v="Aknan Alkhair Tranding Est" u="1"/>
        <s v="Atiaf International Trading Company" u="1"/>
        <s v="Visio INC" u="1"/>
        <s v="Schneider Electric Saudi Arabia Co" u="1"/>
        <s v="ISAM KABBANI &amp; PARTNERS LTD-UNITECH" u="1"/>
        <s v="Ready Mix Company Limited." u="1"/>
        <s v="Riyadh Unity for Trading" u="1"/>
        <s v="Afaq Al Malaz Trading Co. LTD." u="1"/>
        <s v="SERGAS SAUDI CONTRACTING CO. L.L.C" u="1"/>
        <s v="Systemair for Electrical Equipment Co." u="1"/>
        <s v="Mariam Trading CO. &amp; Partner" u="1"/>
        <s v="BAHRA ADVANCED CABLE MANUFACTURE CO. LTD." u="1"/>
        <s v="Off Premises Solutions" u="1"/>
        <s v="IBA MIDDLE EAST FZE" u="1"/>
        <s v="Mahmoud Altaheni &amp; Partners Trading Co." u="1"/>
        <s v="AFKAR ALTATHBET TRADING COMPANY" u="1"/>
        <s v="ATELIER HOSPITALITY SRL" u="1"/>
        <s v="Mahmoud Altaheni And His Partners Trading Company" u="1"/>
        <s v="Electro Mechanical Supplies" u="1"/>
        <m u="1"/>
        <s v="Awad Batel Bin Awad Al Rashidi Contracting Est." u="1"/>
        <s v="Osalas GMBH" u="1"/>
        <s v="MASQ FOR ELECTRICAL TOOLS CO" u="1"/>
        <s v="Interplast Co Ltd" u="1"/>
        <s v="AI-Hadbania Trading Co." u="1"/>
        <s v="Awraq Alqyqb Lltjart Company" u="1"/>
        <s v="AFAQ AL MALAZ TRADING CO. LTD" u="1"/>
        <s v="EVOLVING CONSTELLATION CO. FOR ENERGY" u="1"/>
        <s v="SAHM AL MADINAH CONTRACTING EST" u="1"/>
        <s v="ATLANTIC SUPPLIES FOR TRADING" u="1"/>
        <s v="MAHAWAR AL JAZEERA CONTRACTING CO." u="1"/>
        <s v="Hamada Decoration Company" u="1"/>
        <s v="DAR-AL MAWARED TRADING CO." u="1"/>
        <s v="BBH-CHEMTROL INTERNATIONAL" u="1"/>
        <s v="ENGINEERING STYLES EST FOR CONTRACTING" u="1"/>
        <s v="STAR SQUARES CO. LTD." u="1"/>
        <s v="AL-HADBANIA TRADING CO." u="1"/>
        <s v="ANSSAM AL RIYADH CONTRACTING EST" u="1"/>
        <s v="MAWARID AISHAMELA TRADING CO." u="1"/>
        <s v="Al Othman Industrial Marketing Co." u="1"/>
        <s v="Safid Co. Ltd." u="1"/>
        <s v="lmdadat Al Jazera Al Arabia Trading Co." u="1"/>
        <s v="Brooq Al-Amaan Trading Company" u="1"/>
        <s v="Rawadf International Co." u="1"/>
        <s v="Branch of National Fire Fighting" u="1"/>
        <s v="Brooq Al Amaan Trading Company" u="1"/>
        <s v="DANAH METAL CO." u="1"/>
        <s v="KENZ SARAB MACHINERY AND EQUIPMENT COMPANY" u="1"/>
        <s v="Naseej Uniforms Co." u="1"/>
        <s v="EASTERN CATERING &amp; OPERATIONS CO" u="1"/>
        <s v="ALMAYMANAH FOR CONTRACTING CO." u="1"/>
        <s v="Norah Abdullah Mubarak Abu Dhabi Fuel Est" u="1"/>
        <s v="Business Existing Trading Company" u="1"/>
        <s v="KONE AREECO LIMITED COMPANY" u="1"/>
        <s v="Sindal Arabia Trading Company" u="1"/>
        <s v="Theqah Al Tawseel Co. for Transport" u="1"/>
        <s v="TRAP Pest Control and Garden Maintenance Co. Ltd" u="1"/>
        <s v="Saudi company for development of construction and trading limited - SACODECO" u="1"/>
        <s v="Al Salem York Services Co Ltd" u="1"/>
        <s v="European World Trading Co." u="1"/>
        <s v="Al Qimam Contracting &amp; Trading Est" u="1"/>
        <s v="Abu Dawood Trading Co." u="1"/>
        <s v="Mohammed hamad Bin Dakhil EST.For Contracting" u="1"/>
        <s v="Diamond Towers Trading &amp; Contracting Company" u="1"/>
        <s v="JARIR MARKETING CO" u="1"/>
        <s v="Seerah Operation &amp; Maintenance Company" u="1"/>
        <s v="Dalal Al Sham Security Company" u="1"/>
        <s v="ASCO Company Ltd" u="1"/>
        <s v="FAISAL AWAD AL HARBI COMPANY" u="1"/>
        <s v="Al Wasail Industrial Co." u="1"/>
        <s v="TEN POINTS EST" u="1"/>
        <s v="Arnon Plastic Industries Co Ltd" u="1"/>
        <s v="AL-RIYADHA AL-OULA FOR INDUSTRIAL MATERIAL SUPPLY CO." u="1"/>
        <s v="AC SOLUTIONS TRADING CO" u="1"/>
        <s v="ELECTRIC HOUSE LIMITED COMPANY." u="1"/>
        <s v="ELSEWEDY CABLES COMPANY LTD." u="1"/>
        <s v="JOHNSON CONTROLS ARABIA LTD." u="1"/>
        <s v="Safid Co. Ltd" u="1"/>
        <s v="SCHUCO MIDDLE EAST WINDOWS AND FACADE SYSTEMS LLC" u="1"/>
        <s v="MARIAM TRADING CO. &amp; PARTNER " u="1"/>
        <s v="Depth Modern Technologies" u="1"/>
        <s v="Advance Future Al Arabiya " u="1"/>
        <s v="Al-Sayed Center A/C &amp; Refrigeration Materials Company." u="1"/>
        <s v="VENTLINE AIR CONDITIONING REQUISITES MANUFACTURING LLC" u="1"/>
        <s v="Aluminium Products company (ALUPCO)" u="1"/>
        <s v="ROLLC FOR TRADING COMPANY" u="1"/>
        <s v="Company Alabwab Aldulaya For Contracting" u="1"/>
        <s v="Fawaz Refrigeration &amp; Air Conditioning Cont. Co. LLC" u="1"/>
        <s v="ISAM MUAMMED KHAIRI KABBANI GLASS (IKK Glass)" u="1"/>
        <s v="GIBCA Furniture Industry Co Ltd" u="1"/>
        <s v="National Marketing Est. Co. Ltd. " u="1"/>
        <s v="MODERN HOUSING CONTRACTING CO." u="1"/>
        <s v="World Systems Co. Ltd." u="1"/>
        <s v="TABARK AL-MOMMYZA FOR TRADING COMPANY" u="1"/>
        <s v="Al Wasail Industrial Company" u="1"/>
        <s v="Future Plastic Factory for Industry" u="1"/>
        <s v="MODERN AL BONYAN CAPITAL COMPANY LIMITED" u="1"/>
        <s v="TABARK AL-MOMMYZA FOR TRADING EST" u="1"/>
        <s v="ATC Saudi Co." u="1"/>
        <s v="Universal Building Materials Merchants Co. ltd" u="1"/>
        <s v="PROJECT SUPPLY FOR TRADING EST." u="1"/>
        <s v="ARAB EAGLE TRANSPORT CO." u="1"/>
        <s v="MOHAMMED MASOUD AL-KHALDI EST" u="1"/>
        <s v="AFAQ AL MALAZ TRADING CO.LTD" u="1"/>
        <s v="BR.MUMTAZ &amp; CONSTRUCTION CO.MIRPUR A.K." u="1"/>
        <s v="Almansha Almubasher Trading Company" u="1"/>
        <s v="SAUD JAMAL ALHADDAD EQUIPMENT RENTAL EST." u="1"/>
        <s v="ENERGY CONCEPT CO LTD" u="1"/>
        <s v="Energy International Controls" u="1"/>
        <s v="Masdar Technical Supplies Co" u="1"/>
        <s v="Al Bayrak Red Contracting Establishment" u="1"/>
        <s v="Elite Arabian Contracting Co Ltd" u="1"/>
        <s v="MASTTE - Moadon Advance Services Technology Company" u="1"/>
        <s v="AL RAWNAQ AL THAHABI ENGINEERING CONSULTING. CO." u="1"/>
        <s v="LAILA M.BIN ABDULLAH AL-FARAJ FOR GENERAL CONT.EST" u="1"/>
        <s v="GAS SOLUTIONS" u="1"/>
        <s v="National Marketing Est Co Ltd" u="1"/>
        <s v="ALI MANEA ALYAMI TRADING EST." u="1"/>
        <s v="ZAHID TRACTOR &amp; HEAVY MACHINERY CO. LTD." u="1"/>
        <s v="HILTI SAUDI ARABIA FOR CONSTRUCTION TOOLS" u="1"/>
        <s v="DELHAM ALJANOUB FOR TRADING CONTRACTING" u="1"/>
        <s v="CONTRACTORS SERVICES CO." u="1"/>
        <s v="Tabark Al-Momyza For Tarding Est." u="1"/>
        <s v="Albarq Alarabi For Logistics Services" u="1"/>
        <s v="AKNAN ALKHAIR TRADING EST" u="1"/>
        <s v="MANATIQ GENERAL CONTRACTING COMPANY" u="1"/>
        <s v="Klimacontra International" u="1"/>
        <s v="DANIA AIR CONTROL SYSTEM FACTORY" u="1"/>
        <s v="COMPANY IMDAD AL-TAQA FOR LOGISTIC" u="1"/>
        <s v="Prime Star Technologies Company Limited" u="1"/>
        <s v="Mimar For Construction Tools And Trading Ltd" u="1"/>
        <s v="Mimar for Construction Tools &amp; Tradina Ltd." u="1"/>
        <s v="ALDREES INDUSTRIAL AND TRADING CO" u="1"/>
        <s v="IDEAL CALIBER COMPANY LTD" u="1"/>
        <s v="Atlas Industrial Equipment Co." u="1"/>
        <s v="Masdar Technical Supplies Co. " u="1"/>
        <s v="MARIAM TRADING CO &amp; PARTNER" u="1"/>
        <s v="Ezdehar Industrial Services Co." u="1"/>
        <s v="ALGHAMDI COMPANY FOR SANITARY WARES" u="1"/>
        <s v="TECHNICAL TOOLS TRADING CO." u="1"/>
        <s v="Soundlines Administrative Co Ltd." u="1"/>
        <s v="TEN POINTS TRADING EST" u="1"/>
        <s v="OPTIMAL ENGINEERING SOLUTIONS" u="1"/>
        <s v="Al Saadeh Trading Establishment" u="1"/>
        <s v="Kingspan Insulated Panels Manufacturing LLC" u="1"/>
        <s v="ULTIMATE SOLUTIONS TRADING CO." u="1"/>
        <s v="AKNAN ALKHAIR TRADING EST." u="1"/>
        <s v="Stratconn Commercial Broker LLC" u="1"/>
        <s v="HOLCIM SOLUTIONS AND PRODUCTS EMEA BV" u="1"/>
        <s v="Cube Metal Industries Co." u="1"/>
        <s v="National Fire Fighting Manufacturing" u="1"/>
        <s v="NMA ALMUTAMIZA INDUSTRIAL AND EQUIPMENT CO." u="1"/>
        <s v="Modern Times Technical System Co" u="1"/>
        <s v="MODON ADVANCE SERVICES TECH CO." u="1"/>
        <s v="ANDHMAH ALMNANI ALTWARH EST" u="1"/>
        <s v="Alshrkt Mzaya Almttwrt Alsnaayt shkhs Wahd" u="1"/>
        <s v="Johnson Controls Arabia Ltd" u="1"/>
        <s v="ASSA ABLOY ENTRANCE SYSTEMS SAUDI CO." u="1"/>
        <s v="MATERIALS SYSTEMS AND INDUSTRIAL SOLUTIONS COMPANY" u="1"/>
        <s v="SAHM AL-MADINAH CONTRACTING EST" u="1"/>
        <s v="ATEEQ AL-LUQMANI EST" u="1"/>
        <s v="DALHAM AL JANOUB CONTRACTING EST." u="1"/>
        <s v="SHEHAB TRADING COMPANY" u="1"/>
        <s v="TAMEA AND TAHENA FOR FAST FOOD" u="1"/>
        <s v="AFAQ AL MALAZ TRADING CO LTD." u="1"/>
        <s v="Saudi Electric Supply Co" u="1"/>
        <s v="SAUDI ELECTRIC SUPPLY CO    " u="1"/>
        <s v="Saudi Electric Supply CO." u="1"/>
        <s v="SAFID CO.LTD." u="1"/>
        <s v="STAR SQUARES COMPANY LTD." u="1"/>
        <s v="ALFANAR ELECTRICAL SYSTEMS." u="1"/>
        <s v="CAN AL SHARQ GENERAL CONT.EST" u="1"/>
        <s v="ShowTex Middle East F.Z.C" u="1"/>
        <s v="AL NAKHEEL FOR TRADING CO" u="1"/>
        <s v="SITE TECHNOLOGY SAUDI ARABIA CO" u="1"/>
        <s v="RABIGH SOLB INDUSTRY FACTORY COMPANY" u="1"/>
        <s v="WATANIA STEEL FACTORY COMPANY" u="1"/>
        <s v="MASE GULF COMPANY" u="1"/>
        <s v="ELSEWEDY CABLES CO.LIMITED" u="1"/>
        <s v="Saudi Pipe Systems Co. Ltd." u="1"/>
        <s v="Extron Electronics Middle East FZE" u="1"/>
        <s v="SAMSARA SRL" u="1"/>
      </sharedItems>
    </cacheField>
    <cacheField name="Group Company" numFmtId="0">
      <sharedItems/>
    </cacheField>
    <cacheField name="Project" numFmtId="0">
      <sharedItems/>
    </cacheField>
    <cacheField name="Project Code" numFmtId="0">
      <sharedItems/>
    </cacheField>
    <cacheField name="Curr" numFmtId="0">
      <sharedItems containsBlank="1" count="6">
        <s v="SAR"/>
        <s v="AED"/>
        <s v="GBP"/>
        <s v="EUR" u="1"/>
        <s v="USD" u="1"/>
        <m u="1"/>
      </sharedItems>
    </cacheField>
    <cacheField name="Invoice Amt (FCY)" numFmtId="164">
      <sharedItems containsSemiMixedTypes="0" containsString="0" containsNumber="1" minValue="34499.910000000003" maxValue="42000000"/>
    </cacheField>
    <cacheField name="Rate" numFmtId="164">
      <sharedItems containsSemiMixedTypes="0" containsString="0" containsNumber="1" minValue="1" maxValue="5.1128999000000004"/>
    </cacheField>
    <cacheField name=" Invoice Amt (SAR)" numFmtId="164">
      <sharedItems containsSemiMixedTypes="0" containsString="0" containsNumber="1" minValue="34499.910000000003" maxValue="42000000"/>
    </cacheField>
    <cacheField name="Due Date" numFmtId="171">
      <sharedItems containsSemiMixedTypes="0" containsNonDate="0" containsDate="1" containsString="0" minDate="2024-11-21T00:00:00" maxDate="2026-09-18T00: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25">
  <r>
    <x v="0"/>
    <x v="0"/>
    <x v="0"/>
    <s v="REF 000000JLC6801573,RB REF JLC6801573,VIA CORE SYSTEM,DATE-TIME 07/10-15:54:12, عن طريق النظام الآ لي ,VALUE DT 07/10/25"/>
    <x v="0"/>
    <s v="JLC6801573"/>
    <x v="0"/>
    <n v="1494"/>
    <n v="0"/>
    <x v="0"/>
    <s v="Received"/>
    <s v="Visio INC"/>
    <x v="0"/>
    <x v="0"/>
    <x v="0"/>
    <n v="10"/>
    <n v="2025"/>
    <m/>
  </r>
  <r>
    <x v="0"/>
    <x v="0"/>
    <x v="1"/>
    <s v="RB REF JLG6605266,VIA CORE SYSTEM,DATE-TIME 07/10-09:08:41, عن طريق النظام الآ لي ,VALUE DT 07/10/25"/>
    <x v="1"/>
    <s v="JLG6605266"/>
    <x v="0"/>
    <n v="57.5"/>
    <n v="0"/>
    <x v="0"/>
    <s v="Received"/>
    <s v="Advance - SAUDI ENTERTAINMENT VENTURES COMPANY (SEVEN)"/>
    <x v="1"/>
    <x v="1"/>
    <x v="1"/>
    <n v="10"/>
    <n v="2025"/>
    <m/>
  </r>
  <r>
    <x v="0"/>
    <x v="1"/>
    <x v="0"/>
    <s v="RB REF JLG6903548,VIA CORE SYSTEM,DATE-TIME 08/10-16:43:33, عن طريق النظام الآ لي ,VALUE DT 08/10/25"/>
    <x v="2"/>
    <s v="JLG6903548"/>
    <x v="0"/>
    <n v="57.5"/>
    <n v="0"/>
    <x v="0"/>
    <s v="Received"/>
    <s v="Bid - Al Diriyah Company"/>
    <x v="2"/>
    <x v="2"/>
    <x v="2"/>
    <n v="10"/>
    <n v="2025"/>
    <m/>
  </r>
  <r>
    <x v="0"/>
    <x v="1"/>
    <x v="0"/>
    <s v="RB REF JLG6903643,VIA CORE SYSTEM,DATE-TIME 08/10-16:40:25, عن طريق النظام الآ لي ,VALUE DT 08/10/25"/>
    <x v="3"/>
    <s v="JLG6903643"/>
    <x v="0"/>
    <n v="57.5"/>
    <n v="0"/>
    <x v="0"/>
    <s v="Received"/>
    <s v="Bid - Diriyah Company"/>
    <x v="2"/>
    <x v="2"/>
    <x v="2"/>
    <n v="10"/>
    <n v="2025"/>
    <m/>
  </r>
  <r>
    <x v="0"/>
    <x v="2"/>
    <x v="0"/>
    <s v="REF 000000JLC6901611,RB REF JLC6901611,VIA CORE SYSTEM,DATE-TIME 09/10-15:24:53, عن طريق النظام الآ لي ,VALUE DT 09/10/25"/>
    <x v="4"/>
    <s v="JLC6901611"/>
    <x v="0"/>
    <n v="600000"/>
    <n v="0"/>
    <x v="0"/>
    <s v="Received"/>
    <s v="Saudi Electric Supply Company"/>
    <x v="3"/>
    <x v="3"/>
    <x v="3"/>
    <n v="10"/>
    <n v="2025"/>
    <m/>
  </r>
  <r>
    <x v="0"/>
    <x v="2"/>
    <x v="0"/>
    <s v="REF 000000JLC6901616,RB REF JLC6901616,VIA CORE SYSTEM,DATE-TIME 09/10-15:26:21, عن طريق النظام الآ لي ,VALUE DT 09/10/25"/>
    <x v="5"/>
    <s v="JLC6901616"/>
    <x v="0"/>
    <n v="450000"/>
    <n v="0"/>
    <x v="0"/>
    <s v="Received"/>
    <s v="lmdadat Al Jazera Al Arabia Trading Co."/>
    <x v="3"/>
    <x v="3"/>
    <x v="3"/>
    <n v="10"/>
    <n v="2025"/>
    <m/>
  </r>
  <r>
    <x v="0"/>
    <x v="2"/>
    <x v="0"/>
    <s v="REF 000000JLC6901617,RB REF JLC6901617,VIA CORE SYSTEM,DATE-TIME 09/10-15:27:40, عن طريق النظام الآ لي ,VALUE DT 09/10/25"/>
    <x v="6"/>
    <s v="JLC6901617"/>
    <x v="0"/>
    <n v="333060.53999999998"/>
    <n v="0"/>
    <x v="0"/>
    <s v="Received"/>
    <s v="Arabian Point Eight Power Co.Ltd."/>
    <x v="3"/>
    <x v="3"/>
    <x v="3"/>
    <n v="10"/>
    <n v="2025"/>
    <m/>
  </r>
  <r>
    <x v="0"/>
    <x v="2"/>
    <x v="0"/>
    <s v="REF 000000JLC6901613,RB REF JLC6901613,VIA CORE SYSTEM,DATE-TIME 09/10-15:25:47, عن طريق النظام الآ لي ,VALUE DT 09/10/25"/>
    <x v="7"/>
    <s v="JLC6901613"/>
    <x v="0"/>
    <n v="300000"/>
    <n v="0"/>
    <x v="0"/>
    <s v="Received"/>
    <s v="Isam Kabbani &amp; Partners Ltd-Unitech"/>
    <x v="3"/>
    <x v="3"/>
    <x v="3"/>
    <n v="10"/>
    <n v="2025"/>
    <m/>
  </r>
  <r>
    <x v="0"/>
    <x v="2"/>
    <x v="0"/>
    <s v="REF 000000JLC6901612,RB REF JLC6901612,VIA CORE SYSTEM,DATE-TIME 09/10-15:25:33, عن طريق النظام الآ لي ,VALUE DT 09/10/25"/>
    <x v="8"/>
    <s v="JLC6901612"/>
    <x v="0"/>
    <n v="250000"/>
    <n v="0"/>
    <x v="0"/>
    <s v="Received"/>
    <s v="Al Othman Industrial Marketing Co."/>
    <x v="3"/>
    <x v="3"/>
    <x v="3"/>
    <n v="10"/>
    <n v="2025"/>
    <m/>
  </r>
  <r>
    <x v="0"/>
    <x v="2"/>
    <x v="1"/>
    <s v="RB REF JLG6603862,VIA CORE SYSTEM,DATE-TIME 09/10-11:24:59, عن طريق النظام الآ لي ,VALUE DT 09/10/25"/>
    <x v="9"/>
    <s v="JLG6603862"/>
    <x v="0"/>
    <n v="57.5"/>
    <n v="0"/>
    <x v="0"/>
    <s v="Received"/>
    <s v="Performance - NEOM Company"/>
    <x v="1"/>
    <x v="2"/>
    <x v="4"/>
    <n v="10"/>
    <n v="2025"/>
    <m/>
  </r>
  <r>
    <x v="0"/>
    <x v="3"/>
    <x v="0"/>
    <s v="REF 000000JLC6901468,RB REF JLC6901468,VIA CORE SYSTEM,DATE-TIME 13/10-12:44:21, عن طريق النظام الآ لي ,VALUE DT 13/10/25"/>
    <x v="10"/>
    <s v="JLC6901468"/>
    <x v="0"/>
    <n v="313581.86"/>
    <n v="0"/>
    <x v="0"/>
    <s v="Received"/>
    <s v="Nesma Nibras Maintenance &amp; Cleaning International Co."/>
    <x v="2"/>
    <x v="4"/>
    <x v="5"/>
    <n v="10"/>
    <n v="2025"/>
    <m/>
  </r>
  <r>
    <x v="0"/>
    <x v="3"/>
    <x v="0"/>
    <s v="RB REF JLG6903822,VIA CORE SYSTEM,DATE-TIME 13/10-16:45:15, عن طريق النظام الآ لي ,VALUE DT 13/10/25"/>
    <x v="11"/>
    <s v="JLG6903822"/>
    <x v="0"/>
    <n v="244375"/>
    <n v="0"/>
    <x v="0"/>
    <s v="Received"/>
    <s v="Bid - Ministry of Defense"/>
    <x v="0"/>
    <x v="2"/>
    <x v="2"/>
    <n v="10"/>
    <n v="2025"/>
    <m/>
  </r>
  <r>
    <x v="0"/>
    <x v="3"/>
    <x v="0"/>
    <s v="REF JLC6901468,REF JLC6901468,VIA CORE SYSTEM,DATE-TIME 13/10-18:00:43, عن طريق النظام الآ لي ,VALUE DT 13/10/25"/>
    <x v="10"/>
    <s v="JLC6901468"/>
    <x v="0"/>
    <n v="0"/>
    <n v="313581.86"/>
    <x v="0"/>
    <s v="Received"/>
    <s v="Nesma Nibras Maintenance &amp; Cleaning International Co."/>
    <x v="2"/>
    <x v="4"/>
    <x v="5"/>
    <n v="10"/>
    <n v="2025"/>
    <m/>
  </r>
  <r>
    <x v="0"/>
    <x v="3"/>
    <x v="2"/>
    <s v="REF 000000JLC6901492,RB REF JLC6901492,VIA CORE SYSTEM,DATE-TIME 13/10-13:29:59, عن طريق النظام الآ لي ,VALUE DT 13/10/25"/>
    <x v="12"/>
    <s v="JLC6901492"/>
    <x v="1"/>
    <n v="351822.69"/>
    <n v="0"/>
    <x v="0"/>
    <s v="Received"/>
    <s v="Jiangsu Donchamp New Materials Technology Co.Ltd."/>
    <x v="0"/>
    <x v="3"/>
    <x v="3"/>
    <n v="10"/>
    <n v="2025"/>
    <m/>
  </r>
  <r>
    <x v="1"/>
    <x v="4"/>
    <x v="3"/>
    <s v="CUSTOMER = 3972500 DEAL AMT = 1250 DEAL CCY = SAR TAX CODE = 1 "/>
    <x v="13"/>
    <s v="TF251310001102"/>
    <x v="0"/>
    <n v="187.5"/>
    <n v="0"/>
    <x v="1"/>
    <s v="Received"/>
    <s v="AFAQ AL MALAZ TRADING CO.LTD"/>
    <x v="3"/>
    <x v="5"/>
    <x v="6"/>
    <n v="10"/>
    <n v="2025"/>
    <m/>
  </r>
  <r>
    <x v="1"/>
    <x v="4"/>
    <x v="3"/>
    <s v="LC ACCEPTANCE COMMISSION FOR LC NO. TF251310001102\BNK"/>
    <x v="13"/>
    <s v="TF251310001102"/>
    <x v="0"/>
    <n v="1250"/>
    <n v="0"/>
    <x v="2"/>
    <s v="Received"/>
    <s v="AFAQ AL MALAZ TRADING CO.LTD"/>
    <x v="3"/>
    <x v="5"/>
    <x v="6"/>
    <n v="10"/>
    <n v="2025"/>
    <m/>
  </r>
  <r>
    <x v="1"/>
    <x v="4"/>
    <x v="3"/>
    <s v="CUSTOMER = 3972500 DEAL AMT = 1250 DEAL CCY = SAR TAX CODE = 1 "/>
    <x v="14"/>
    <s v="TF251770005401"/>
    <x v="0"/>
    <n v="187.5"/>
    <n v="0"/>
    <x v="1"/>
    <s v="Received"/>
    <s v="LAILA M.BIN ABDULLAH AL-FARAJ FOR GENERAL CONT.EST"/>
    <x v="3"/>
    <x v="6"/>
    <x v="7"/>
    <n v="10"/>
    <n v="2025"/>
    <m/>
  </r>
  <r>
    <x v="1"/>
    <x v="4"/>
    <x v="3"/>
    <s v="LC ACCEPTANCE COMMISSION FOR LC NO. TF251770005401\BNK"/>
    <x v="14"/>
    <s v="TF251770005401"/>
    <x v="0"/>
    <n v="1250"/>
    <n v="0"/>
    <x v="2"/>
    <s v="Received"/>
    <s v="LAILA M.BIN ABDULLAH AL-FARAJ FOR GENERAL CONT.EST"/>
    <x v="3"/>
    <x v="6"/>
    <x v="7"/>
    <n v="10"/>
    <n v="2025"/>
    <m/>
  </r>
  <r>
    <x v="1"/>
    <x v="4"/>
    <x v="3"/>
    <s v="CUSTOMER = 3972500 DEAL AMT = 1557.86 DEAL CCY = SAR TAX CODE = 1 "/>
    <x v="15"/>
    <s v="TF252110001101"/>
    <x v="0"/>
    <n v="233.68"/>
    <n v="0"/>
    <x v="1"/>
    <s v="Received"/>
    <s v="ATLANTIC SUPPLIES FOR TRADING"/>
    <x v="3"/>
    <x v="5"/>
    <x v="6"/>
    <n v="10"/>
    <n v="2025"/>
    <m/>
  </r>
  <r>
    <x v="1"/>
    <x v="4"/>
    <x v="3"/>
    <s v="LC ACCEPTANCE COMMISSION FOR LC NO. TF252110001101\BNK"/>
    <x v="15"/>
    <s v="TF252110001101"/>
    <x v="0"/>
    <n v="1557.86"/>
    <n v="0"/>
    <x v="2"/>
    <s v="Received"/>
    <s v="ATLANTIC SUPPLIES FOR TRADING"/>
    <x v="3"/>
    <x v="5"/>
    <x v="6"/>
    <n v="10"/>
    <n v="2025"/>
    <m/>
  </r>
  <r>
    <x v="1"/>
    <x v="5"/>
    <x v="3"/>
    <s v="CUSTOMER = 3972500 DEAL AMT = 75 DEAL CCY = SAR TAX CODE = 1 "/>
    <x v="16"/>
    <s v="TF251040002002"/>
    <x v="0"/>
    <n v="11.25"/>
    <n v="0"/>
    <x v="1"/>
    <s v="Received"/>
    <s v="Systemair For Electrical Equipment Co."/>
    <x v="3"/>
    <x v="6"/>
    <x v="7"/>
    <n v="10"/>
    <n v="2025"/>
    <m/>
  </r>
  <r>
    <x v="1"/>
    <x v="5"/>
    <x v="3"/>
    <s v="LC SWIFT CHARGES FOR LC NO. TF251040002002\BNK"/>
    <x v="16"/>
    <s v="TF251040002002"/>
    <x v="0"/>
    <n v="75"/>
    <n v="0"/>
    <x v="3"/>
    <s v="Received"/>
    <s v="Systemair For Electrical Equipment Co."/>
    <x v="3"/>
    <x v="6"/>
    <x v="7"/>
    <n v="10"/>
    <n v="2025"/>
    <m/>
  </r>
  <r>
    <x v="1"/>
    <x v="5"/>
    <x v="3"/>
    <s v="REIMBURSE UNDER LCS DR FOR LC NO. TF251040002002\BNK"/>
    <x v="16"/>
    <s v="TF251040002002"/>
    <x v="0"/>
    <n v="295697.42"/>
    <n v="0"/>
    <x v="4"/>
    <s v="Received"/>
    <s v="Systemair For Electrical Equipment Co."/>
    <x v="3"/>
    <x v="6"/>
    <x v="7"/>
    <n v="10"/>
    <n v="2025"/>
    <m/>
  </r>
  <r>
    <x v="1"/>
    <x v="5"/>
    <x v="3"/>
    <s v="CUSTOMER = 3972500 DEAL AMT = 75 DEAL CCY = SAR TAX CODE = 1 "/>
    <x v="17"/>
    <s v="TF251470005501"/>
    <x v="0"/>
    <n v="11.25"/>
    <n v="0"/>
    <x v="1"/>
    <s v="Received"/>
    <s v="ARAB EAGLE TRANSPORT CO."/>
    <x v="3"/>
    <x v="5"/>
    <x v="6"/>
    <n v="10"/>
    <n v="2025"/>
    <m/>
  </r>
  <r>
    <x v="1"/>
    <x v="5"/>
    <x v="3"/>
    <s v="LC SWIFT CHARGES FOR LC NO. TF251470005501\BNK"/>
    <x v="17"/>
    <s v="TF251470005501"/>
    <x v="0"/>
    <n v="75"/>
    <n v="0"/>
    <x v="3"/>
    <s v="Received"/>
    <s v="ARAB EAGLE TRANSPORT CO."/>
    <x v="3"/>
    <x v="5"/>
    <x v="6"/>
    <n v="10"/>
    <n v="2025"/>
    <m/>
  </r>
  <r>
    <x v="1"/>
    <x v="5"/>
    <x v="3"/>
    <s v="REIMBURSE UNDER LCS DR FOR LC NO. TF251470005501\BNK"/>
    <x v="17"/>
    <s v="TF251470005501"/>
    <x v="0"/>
    <n v="300000"/>
    <n v="0"/>
    <x v="4"/>
    <s v="Received"/>
    <s v="ARAB EAGLE TRANSPORT CO."/>
    <x v="3"/>
    <x v="5"/>
    <x v="6"/>
    <n v="10"/>
    <n v="2025"/>
    <m/>
  </r>
  <r>
    <x v="1"/>
    <x v="6"/>
    <x v="3"/>
    <s v="CUSTOMER = 3972500 DEAL AMT = 75 DEAL CCY = SAR TAX CODE = 1 "/>
    <x v="18"/>
    <s v="TF250230005601"/>
    <x v="0"/>
    <n v="11.25"/>
    <n v="0"/>
    <x v="1"/>
    <s v="Received"/>
    <s v="Light Technologies Company LTD / Lightech."/>
    <x v="3"/>
    <x v="5"/>
    <x v="6"/>
    <n v="10"/>
    <n v="2025"/>
    <m/>
  </r>
  <r>
    <x v="1"/>
    <x v="6"/>
    <x v="3"/>
    <s v="LC SWIFT CHARGES FOR LC NO. TF250230005601\BNK"/>
    <x v="18"/>
    <s v="TF250230005601"/>
    <x v="0"/>
    <n v="75"/>
    <n v="0"/>
    <x v="3"/>
    <s v="Received"/>
    <s v="Light Technologies Company LTD / Lightech."/>
    <x v="3"/>
    <x v="5"/>
    <x v="6"/>
    <n v="10"/>
    <n v="2025"/>
    <m/>
  </r>
  <r>
    <x v="1"/>
    <x v="6"/>
    <x v="3"/>
    <s v="REIMBURSE UNDER LCS DR FOR LC NO. TF250230005601\BNK"/>
    <x v="18"/>
    <s v="TF250230005601"/>
    <x v="0"/>
    <n v="899345.63"/>
    <n v="0"/>
    <x v="4"/>
    <s v="Received"/>
    <s v="Light Technologies Company LTD / Lightech."/>
    <x v="3"/>
    <x v="5"/>
    <x v="6"/>
    <n v="10"/>
    <n v="2025"/>
    <m/>
  </r>
  <r>
    <x v="1"/>
    <x v="6"/>
    <x v="3"/>
    <s v="CUSTOMER = 3972500 DEAL AMT = 75 DEAL CCY = SAR TAX CODE = 1 "/>
    <x v="19"/>
    <s v="TF250830002901"/>
    <x v="0"/>
    <n v="11.25"/>
    <n v="0"/>
    <x v="1"/>
    <s v="Received"/>
    <s v="MOHAMMED MASOUD AL-KHALDI EST"/>
    <x v="3"/>
    <x v="5"/>
    <x v="6"/>
    <n v="10"/>
    <n v="2025"/>
    <m/>
  </r>
  <r>
    <x v="1"/>
    <x v="6"/>
    <x v="3"/>
    <s v="LC SWIFT CHARGES FOR LC NO. TF250830002901\BNK"/>
    <x v="19"/>
    <s v="TF250830002901"/>
    <x v="0"/>
    <n v="75"/>
    <n v="0"/>
    <x v="3"/>
    <s v="Received"/>
    <s v="MOHAMMED MASOUD AL-KHALDI EST"/>
    <x v="3"/>
    <x v="5"/>
    <x v="6"/>
    <n v="10"/>
    <n v="2025"/>
    <m/>
  </r>
  <r>
    <x v="1"/>
    <x v="6"/>
    <x v="3"/>
    <s v="REIMBURSE UNDER LCS DR FOR LC NO. TF250830002901\BNK"/>
    <x v="19"/>
    <s v="TF250830002901"/>
    <x v="0"/>
    <n v="274309"/>
    <n v="0"/>
    <x v="4"/>
    <s v="Received"/>
    <s v="MOHAMMED MASOUD AL-KHALDI EST"/>
    <x v="3"/>
    <x v="5"/>
    <x v="6"/>
    <n v="10"/>
    <n v="2025"/>
    <m/>
  </r>
  <r>
    <x v="1"/>
    <x v="6"/>
    <x v="3"/>
    <s v="CUSTOMER = 3972500 DEAL AMT = 75 DEAL CCY = SAR TAX CODE = 1 "/>
    <x v="20"/>
    <s v="TF250830003501"/>
    <x v="0"/>
    <n v="11.25"/>
    <n v="0"/>
    <x v="1"/>
    <s v="Received"/>
    <s v="Light Technologies Company Ltd. (Lightech)"/>
    <x v="3"/>
    <x v="5"/>
    <x v="6"/>
    <n v="10"/>
    <n v="2025"/>
    <m/>
  </r>
  <r>
    <x v="1"/>
    <x v="6"/>
    <x v="3"/>
    <s v="LC SWIFT CHARGES FOR LC NO. TF250830003501\BNK"/>
    <x v="20"/>
    <s v="TF250830003501"/>
    <x v="0"/>
    <n v="75"/>
    <n v="0"/>
    <x v="3"/>
    <s v="Received"/>
    <s v="Light Technologies Company Ltd. (Lightech)"/>
    <x v="3"/>
    <x v="5"/>
    <x v="6"/>
    <n v="10"/>
    <n v="2025"/>
    <m/>
  </r>
  <r>
    <x v="1"/>
    <x v="6"/>
    <x v="3"/>
    <s v="REIMBURSE UNDER LCS DR FOR LC NO. TF250830003501\BNK"/>
    <x v="20"/>
    <s v="TF250830003501"/>
    <x v="0"/>
    <n v="800000"/>
    <n v="0"/>
    <x v="4"/>
    <s v="Received"/>
    <s v="Light Technologies Company Ltd. (Lightech)"/>
    <x v="3"/>
    <x v="5"/>
    <x v="6"/>
    <n v="10"/>
    <n v="2025"/>
    <m/>
  </r>
  <r>
    <x v="1"/>
    <x v="6"/>
    <x v="3"/>
    <s v="CUSTOMER = 3972500 DEAL AMT = 75 DEAL CCY = SAR TAX CODE = 1 "/>
    <x v="21"/>
    <s v="TF251740008601"/>
    <x v="0"/>
    <n v="11.25"/>
    <n v="0"/>
    <x v="1"/>
    <s v="Received"/>
    <s v="Saudi Electric Supply Company"/>
    <x v="3"/>
    <x v="6"/>
    <x v="7"/>
    <n v="10"/>
    <n v="2025"/>
    <m/>
  </r>
  <r>
    <x v="1"/>
    <x v="6"/>
    <x v="3"/>
    <s v="LC SWIFT CHARGES FOR LC NO. TF251740008601\BNK"/>
    <x v="21"/>
    <s v="TF251740008601"/>
    <x v="0"/>
    <n v="75"/>
    <n v="0"/>
    <x v="3"/>
    <s v="Received"/>
    <s v="Saudi Electric Supply Company"/>
    <x v="3"/>
    <x v="6"/>
    <x v="7"/>
    <n v="10"/>
    <n v="2025"/>
    <m/>
  </r>
  <r>
    <x v="1"/>
    <x v="6"/>
    <x v="3"/>
    <s v="REIMBURSE UNDER LCS DR FOR LC NO. TF251740008601\BNK"/>
    <x v="21"/>
    <s v="TF251740008601"/>
    <x v="0"/>
    <n v="400000"/>
    <n v="0"/>
    <x v="4"/>
    <s v="Received"/>
    <s v="Saudi Electric Supply Company"/>
    <x v="3"/>
    <x v="6"/>
    <x v="7"/>
    <n v="10"/>
    <n v="2025"/>
    <m/>
  </r>
  <r>
    <x v="1"/>
    <x v="7"/>
    <x v="3"/>
    <s v="CUSTOMER = 3972500 DEAL AMT = 75 DEAL CCY = SAR TAX CODE = 1 "/>
    <x v="22"/>
    <s v="TF251310002401"/>
    <x v="0"/>
    <n v="11.25"/>
    <n v="0"/>
    <x v="1"/>
    <s v="Received"/>
    <s v="SAFID CO.LTD."/>
    <x v="3"/>
    <x v="5"/>
    <x v="6"/>
    <n v="10"/>
    <n v="2025"/>
    <m/>
  </r>
  <r>
    <x v="1"/>
    <x v="7"/>
    <x v="3"/>
    <s v="LC SWIFT CHARGES FOR LC NO. TF251310002401\BNK"/>
    <x v="22"/>
    <s v="TF251310002401"/>
    <x v="0"/>
    <n v="75"/>
    <n v="0"/>
    <x v="3"/>
    <s v="Received"/>
    <s v="SAFID CO.LTD."/>
    <x v="3"/>
    <x v="5"/>
    <x v="6"/>
    <n v="10"/>
    <n v="2025"/>
    <m/>
  </r>
  <r>
    <x v="1"/>
    <x v="7"/>
    <x v="3"/>
    <s v="REIMBURSE UNDER LCS DR FOR LC NO. TF251310002401\BNK"/>
    <x v="22"/>
    <s v="TF251310002401"/>
    <x v="0"/>
    <n v="1161954.08"/>
    <n v="0"/>
    <x v="4"/>
    <s v="Received"/>
    <s v="SAFID CO.LTD."/>
    <x v="3"/>
    <x v="5"/>
    <x v="6"/>
    <n v="10"/>
    <n v="2025"/>
    <m/>
  </r>
  <r>
    <x v="1"/>
    <x v="0"/>
    <x v="3"/>
    <s v="CUSTOMER = 3972500 DEAL AMT = 1267.69 DEAL CCY = SAR TAX CODE = 1 "/>
    <x v="23"/>
    <s v="TF251320000501"/>
    <x v="0"/>
    <n v="190.15"/>
    <n v="0"/>
    <x v="1"/>
    <s v="Received"/>
    <s v="AKNAN ALKHAIR TRADING EST"/>
    <x v="3"/>
    <x v="5"/>
    <x v="6"/>
    <n v="10"/>
    <n v="2025"/>
    <m/>
  </r>
  <r>
    <x v="1"/>
    <x v="0"/>
    <x v="3"/>
    <s v="LC ACCEPTANCE COMMISSION FOR LC NO. TF251320000501\BNK"/>
    <x v="23"/>
    <s v="TF251320000501"/>
    <x v="0"/>
    <n v="1267.69"/>
    <n v="0"/>
    <x v="2"/>
    <s v="Received"/>
    <s v="AKNAN ALKHAIR TRADING EST"/>
    <x v="3"/>
    <x v="5"/>
    <x v="6"/>
    <n v="10"/>
    <n v="2025"/>
    <m/>
  </r>
  <r>
    <x v="1"/>
    <x v="0"/>
    <x v="3"/>
    <s v="CUSTOMER = 3972500 DEAL AMT = 75 DEAL CCY = SAR TAX CODE = 1 "/>
    <x v="24"/>
    <s v="TF251470006601"/>
    <x v="0"/>
    <n v="11.25"/>
    <n v="0"/>
    <x v="1"/>
    <s v="Received"/>
    <s v="DANIA AIR CONTROL SYSTEM FACTORY"/>
    <x v="3"/>
    <x v="5"/>
    <x v="6"/>
    <n v="10"/>
    <n v="2025"/>
    <m/>
  </r>
  <r>
    <x v="1"/>
    <x v="0"/>
    <x v="3"/>
    <s v="LC SWIFT CHARGES FOR LC NO. TF251470006601\BNK"/>
    <x v="24"/>
    <s v="TF251470006601"/>
    <x v="0"/>
    <n v="75"/>
    <n v="0"/>
    <x v="3"/>
    <s v="Received"/>
    <s v="DANIA AIR CONTROL SYSTEM FACTORY"/>
    <x v="3"/>
    <x v="5"/>
    <x v="6"/>
    <n v="10"/>
    <n v="2025"/>
    <m/>
  </r>
  <r>
    <x v="1"/>
    <x v="0"/>
    <x v="3"/>
    <s v="REIMBURSE UNDER LCS DR FOR LC NO. TF251470006601\BNK"/>
    <x v="24"/>
    <s v="TF251470006601"/>
    <x v="0"/>
    <n v="197999"/>
    <n v="0"/>
    <x v="4"/>
    <s v="Received"/>
    <s v="DANIA AIR CONTROL SYSTEM FACTORY"/>
    <x v="3"/>
    <x v="5"/>
    <x v="6"/>
    <n v="10"/>
    <n v="2025"/>
    <m/>
  </r>
  <r>
    <x v="1"/>
    <x v="0"/>
    <x v="3"/>
    <s v="CUSTOMER = 3972500 DEAL AMT = 2894.55 DEAL CCY = SAR TAX CODE = 1 "/>
    <x v="25"/>
    <s v="TF251730003801"/>
    <x v="0"/>
    <n v="434.18"/>
    <n v="0"/>
    <x v="1"/>
    <s v="Received"/>
    <s v="SCHNEIDER ELECTRIC SAUDI ARABIA CO"/>
    <x v="3"/>
    <x v="6"/>
    <x v="7"/>
    <n v="10"/>
    <n v="2025"/>
    <m/>
  </r>
  <r>
    <x v="1"/>
    <x v="0"/>
    <x v="3"/>
    <s v="LC ACCEPTANCE COMMISSION FOR LC NO. TF251730003801\BNK"/>
    <x v="25"/>
    <s v="TF251730003801"/>
    <x v="0"/>
    <n v="2894.55"/>
    <n v="0"/>
    <x v="2"/>
    <s v="Received"/>
    <s v="SCHNEIDER ELECTRIC SAUDI ARABIA CO"/>
    <x v="3"/>
    <x v="6"/>
    <x v="7"/>
    <n v="10"/>
    <n v="2025"/>
    <m/>
  </r>
  <r>
    <x v="1"/>
    <x v="1"/>
    <x v="3"/>
    <s v="CUSTOMER = 3972500 DEAL AMT = 1250 DEAL CCY = SAR TAX CODE = 1 "/>
    <x v="26"/>
    <s v="TF251310002601"/>
    <x v="0"/>
    <n v="187.5"/>
    <n v="0"/>
    <x v="1"/>
    <s v="Received"/>
    <s v="RAWABI AL MAHFAR TRADING CO."/>
    <x v="3"/>
    <x v="5"/>
    <x v="6"/>
    <n v="10"/>
    <n v="2025"/>
    <m/>
  </r>
  <r>
    <x v="1"/>
    <x v="1"/>
    <x v="3"/>
    <s v="LC ACCEPTANCE COMMISSION FOR LC NO. TF251310002601\BNK"/>
    <x v="26"/>
    <s v="TF251310002601"/>
    <x v="0"/>
    <n v="1250"/>
    <n v="0"/>
    <x v="2"/>
    <s v="Received"/>
    <s v="RAWABI AL MAHFAR TRADING CO."/>
    <x v="3"/>
    <x v="5"/>
    <x v="6"/>
    <n v="10"/>
    <n v="2025"/>
    <m/>
  </r>
  <r>
    <x v="1"/>
    <x v="1"/>
    <x v="3"/>
    <s v="CUSTOMER = 3972500 DEAL AMT = 1250 DEAL CCY = SAR TAX CODE = 1 "/>
    <x v="27"/>
    <s v="TF251470003301"/>
    <x v="0"/>
    <n v="187.5"/>
    <n v="0"/>
    <x v="1"/>
    <s v="Received"/>
    <s v="GAS SOLUTIONS"/>
    <x v="3"/>
    <x v="5"/>
    <x v="6"/>
    <n v="10"/>
    <n v="2025"/>
    <m/>
  </r>
  <r>
    <x v="1"/>
    <x v="1"/>
    <x v="3"/>
    <s v="LC ACCEPTANCE COMMISSION FOR LC NO. TF251470003301\BNK"/>
    <x v="27"/>
    <s v="TF251470003301"/>
    <x v="0"/>
    <n v="1250"/>
    <n v="0"/>
    <x v="2"/>
    <s v="Received"/>
    <s v="GAS SOLUTIONS"/>
    <x v="3"/>
    <x v="5"/>
    <x v="6"/>
    <n v="10"/>
    <n v="2025"/>
    <m/>
  </r>
  <r>
    <x v="1"/>
    <x v="1"/>
    <x v="3"/>
    <s v="CUSTOMER = 3972500 DEAL AMT = 500.00 DEAL CCY = EUR TAX CODE = 1 "/>
    <x v="28"/>
    <s v="TF2519400032"/>
    <x v="0"/>
    <n v="37.5"/>
    <n v="0"/>
    <x v="1"/>
    <s v="Received"/>
    <s v="BBH-CHEMTROL INTERNATIONAL ORGANIZATION S.L"/>
    <x v="4"/>
    <x v="5"/>
    <x v="6"/>
    <n v="10"/>
    <n v="2025"/>
    <m/>
  </r>
  <r>
    <x v="1"/>
    <x v="1"/>
    <x v="3"/>
    <s v="CUSTOMER = 3972500 DEAL AMT = 500.00 DEAL CCY = EUR TAX CODE = 1 "/>
    <x v="28"/>
    <s v="TF2519400032"/>
    <x v="0"/>
    <n v="75"/>
    <n v="0"/>
    <x v="1"/>
    <s v="Received"/>
    <s v="BBH-CHEMTROL INTERNATIONAL ORGANIZATION S.L"/>
    <x v="4"/>
    <x v="5"/>
    <x v="6"/>
    <n v="10"/>
    <n v="2025"/>
    <m/>
  </r>
  <r>
    <x v="1"/>
    <x v="1"/>
    <x v="3"/>
    <s v="LC SWIFT CHARGES FOR LC NO. TF2519400032\BNK"/>
    <x v="28"/>
    <s v="TF2519400032"/>
    <x v="0"/>
    <n v="250"/>
    <n v="0"/>
    <x v="3"/>
    <s v="Received"/>
    <s v="BBH-CHEMTROL INTERNATIONAL ORGANIZATION S.L"/>
    <x v="4"/>
    <x v="5"/>
    <x v="6"/>
    <n v="10"/>
    <n v="2025"/>
    <m/>
  </r>
  <r>
    <x v="1"/>
    <x v="1"/>
    <x v="3"/>
    <s v="LC AMENDMENT COMMISSION FOR LC NO. TF2519400032\BNK"/>
    <x v="28"/>
    <s v="TF2519400032"/>
    <x v="0"/>
    <n v="500"/>
    <n v="0"/>
    <x v="5"/>
    <s v="Received"/>
    <s v="BBH-CHEMTROL INTERNATIONAL ORGANIZATION S.L"/>
    <x v="4"/>
    <x v="5"/>
    <x v="6"/>
    <n v="10"/>
    <n v="2025"/>
    <m/>
  </r>
  <r>
    <x v="1"/>
    <x v="8"/>
    <x v="3"/>
    <s v="CUSTOMER = 3972500 DEAL AMT = 1250 DEAL CCY = SAR TAX CODE = 1 "/>
    <x v="29"/>
    <s v="TF251040001703"/>
    <x v="0"/>
    <n v="187.5"/>
    <n v="0"/>
    <x v="1"/>
    <s v="Received"/>
    <s v="Awtad Jeddah for General Contracting Company"/>
    <x v="0"/>
    <x v="7"/>
    <x v="8"/>
    <n v="10"/>
    <n v="2025"/>
    <m/>
  </r>
  <r>
    <x v="1"/>
    <x v="8"/>
    <x v="3"/>
    <s v="LC ACCEPTANCE COMMISSION FOR LC NO. TF251040001703\BNK"/>
    <x v="29"/>
    <s v="TF251040001703"/>
    <x v="0"/>
    <n v="1250"/>
    <n v="0"/>
    <x v="2"/>
    <s v="Received"/>
    <s v="Awtad Jeddah for General Contracting Company"/>
    <x v="0"/>
    <x v="7"/>
    <x v="8"/>
    <n v="10"/>
    <n v="2025"/>
    <m/>
  </r>
  <r>
    <x v="1"/>
    <x v="8"/>
    <x v="3"/>
    <s v="CUSTOMER = 3972500 DEAL AMT = 2535.32 DEAL CCY = SAR TAX CODE = 1 "/>
    <x v="29"/>
    <s v="TF251040001704"/>
    <x v="0"/>
    <n v="380.3"/>
    <n v="0"/>
    <x v="1"/>
    <s v="Received"/>
    <s v="Awtad Jeddah for General Contracting Company"/>
    <x v="0"/>
    <x v="7"/>
    <x v="8"/>
    <n v="10"/>
    <n v="2025"/>
    <m/>
  </r>
  <r>
    <x v="1"/>
    <x v="8"/>
    <x v="3"/>
    <s v="LC ACCEPTANCE COMMISSION FOR LC NO. TF251040001704\BNK"/>
    <x v="29"/>
    <s v="TF251040001704"/>
    <x v="0"/>
    <n v="2535.3200000000002"/>
    <n v="0"/>
    <x v="2"/>
    <s v="Received"/>
    <s v="Awtad Jeddah for General Contracting Company"/>
    <x v="0"/>
    <x v="7"/>
    <x v="8"/>
    <n v="10"/>
    <n v="2025"/>
    <m/>
  </r>
  <r>
    <x v="1"/>
    <x v="8"/>
    <x v="3"/>
    <s v="CUSTOMER = 3972500 DEAL AMT = 1250 DEAL CCY = SAR TAX CODE = 1 "/>
    <x v="30"/>
    <s v="TF251350003902"/>
    <x v="0"/>
    <n v="187.5"/>
    <n v="0"/>
    <x v="1"/>
    <s v="Received"/>
    <s v="IDEAL CALIBER COMPANY"/>
    <x v="3"/>
    <x v="5"/>
    <x v="6"/>
    <n v="10"/>
    <n v="2025"/>
    <m/>
  </r>
  <r>
    <x v="1"/>
    <x v="8"/>
    <x v="3"/>
    <s v="LC ACCEPTANCE COMMISSION FOR LC NO. TF251350003902\BNK"/>
    <x v="30"/>
    <s v="TF251350003902"/>
    <x v="0"/>
    <n v="1250"/>
    <n v="0"/>
    <x v="2"/>
    <s v="Received"/>
    <s v="IDEAL CALIBER COMPANY"/>
    <x v="3"/>
    <x v="5"/>
    <x v="6"/>
    <n v="10"/>
    <n v="2025"/>
    <m/>
  </r>
  <r>
    <x v="1"/>
    <x v="8"/>
    <x v="3"/>
    <s v="CUSTOMER = 3972500 DEAL AMT = 75 DEAL CCY = SAR TAX CODE = 1 "/>
    <x v="31"/>
    <s v="TF251740004501"/>
    <x v="0"/>
    <n v="11.25"/>
    <n v="0"/>
    <x v="1"/>
    <s v="Received"/>
    <s v="Almansha Almubasher Trading Company"/>
    <x v="3"/>
    <x v="6"/>
    <x v="7"/>
    <n v="10"/>
    <n v="2025"/>
    <m/>
  </r>
  <r>
    <x v="1"/>
    <x v="8"/>
    <x v="3"/>
    <s v="LC SWIFT CHARGES FOR LC NO. TF251740004501\BNK"/>
    <x v="31"/>
    <s v="TF251740004501"/>
    <x v="0"/>
    <n v="75"/>
    <n v="0"/>
    <x v="3"/>
    <s v="Received"/>
    <s v="Almansha Almubasher Trading Company"/>
    <x v="3"/>
    <x v="6"/>
    <x v="7"/>
    <n v="10"/>
    <n v="2025"/>
    <m/>
  </r>
  <r>
    <x v="1"/>
    <x v="8"/>
    <x v="3"/>
    <s v="REIMBURSE UNDER LCS DR FOR LC NO. TF251740004501\BNK"/>
    <x v="31"/>
    <s v="TF251740004501"/>
    <x v="0"/>
    <n v="362250"/>
    <n v="0"/>
    <x v="4"/>
    <s v="Received"/>
    <s v="Almansha Almubasher Trading Company"/>
    <x v="3"/>
    <x v="6"/>
    <x v="7"/>
    <n v="10"/>
    <n v="2025"/>
    <m/>
  </r>
  <r>
    <x v="1"/>
    <x v="3"/>
    <x v="3"/>
    <s v="CUSTOMER = 3972500 DEAL AMT = 75 DEAL CCY = SAR TAX CODE = 1 "/>
    <x v="32"/>
    <s v="TF251350002901"/>
    <x v="0"/>
    <n v="11.25"/>
    <n v="0"/>
    <x v="1"/>
    <s v="Received"/>
    <s v="MODON ADVANCE SERVICES TECH CO (MASTTE)"/>
    <x v="3"/>
    <x v="5"/>
    <x v="6"/>
    <n v="10"/>
    <n v="2025"/>
    <m/>
  </r>
  <r>
    <x v="1"/>
    <x v="3"/>
    <x v="3"/>
    <s v="LC SWIFT CHARGES FOR LC NO. TF251350002901\BNK"/>
    <x v="32"/>
    <s v="TF251350002901"/>
    <x v="0"/>
    <n v="75"/>
    <n v="0"/>
    <x v="3"/>
    <s v="Received"/>
    <s v="MODON ADVANCE SERVICES TECH CO (MASTTE)"/>
    <x v="3"/>
    <x v="5"/>
    <x v="6"/>
    <n v="10"/>
    <n v="2025"/>
    <m/>
  </r>
  <r>
    <x v="1"/>
    <x v="3"/>
    <x v="3"/>
    <s v="REIMBURSE UNDER LCS DR FOR LC NO. TF251350002901\BNK"/>
    <x v="32"/>
    <s v="TF251350002901"/>
    <x v="0"/>
    <n v="365762.69"/>
    <n v="0"/>
    <x v="4"/>
    <s v="Received"/>
    <s v="MODON ADVANCE SERVICES TECH CO (MASTTE)"/>
    <x v="3"/>
    <x v="5"/>
    <x v="6"/>
    <n v="10"/>
    <n v="2025"/>
    <m/>
  </r>
  <r>
    <x v="1"/>
    <x v="3"/>
    <x v="3"/>
    <s v="CUSTOMER = 3972500 DEAL AMT = 1250 DEAL CCY = SAR TAX CODE = 1 "/>
    <x v="33"/>
    <s v="TF251350003701"/>
    <x v="0"/>
    <n v="187.5"/>
    <n v="0"/>
    <x v="1"/>
    <s v="Received"/>
    <s v="MANATIQ GENERAL CONTRACTING COMPANY"/>
    <x v="3"/>
    <x v="5"/>
    <x v="6"/>
    <n v="10"/>
    <n v="2025"/>
    <m/>
  </r>
  <r>
    <x v="1"/>
    <x v="3"/>
    <x v="3"/>
    <s v="LC ACCEPTANCE COMMISSION FOR LC NO. TF251350003701\BNK"/>
    <x v="33"/>
    <s v="TF251350003701"/>
    <x v="0"/>
    <n v="1250"/>
    <n v="0"/>
    <x v="2"/>
    <s v="Received"/>
    <s v="MANATIQ GENERAL CONTRACTING COMPANY"/>
    <x v="3"/>
    <x v="5"/>
    <x v="6"/>
    <n v="10"/>
    <n v="2025"/>
    <m/>
  </r>
  <r>
    <x v="1"/>
    <x v="3"/>
    <x v="3"/>
    <s v="CUSTOMER = 3972500 DEAL AMT = 1752.31 DEAL CCY = SAR TAX CODE = 1 "/>
    <x v="34"/>
    <s v="TF251770002001"/>
    <x v="0"/>
    <n v="262.85000000000002"/>
    <n v="0"/>
    <x v="1"/>
    <s v="Received"/>
    <s v="AL RAWNAQ AL THAHABI ENGINEERING CONSULTING. CO."/>
    <x v="3"/>
    <x v="6"/>
    <x v="7"/>
    <n v="10"/>
    <n v="2025"/>
    <m/>
  </r>
  <r>
    <x v="1"/>
    <x v="3"/>
    <x v="3"/>
    <s v="LC ACCEPTANCE COMMISSION FOR LC NO. TF251770002001\BNK"/>
    <x v="34"/>
    <s v="TF251770002001"/>
    <x v="0"/>
    <n v="1752.31"/>
    <n v="0"/>
    <x v="2"/>
    <s v="Received"/>
    <s v="AL RAWNAQ AL THAHABI ENGINEERING CONSULTING. CO."/>
    <x v="3"/>
    <x v="6"/>
    <x v="7"/>
    <n v="10"/>
    <n v="2025"/>
    <m/>
  </r>
  <r>
    <x v="1"/>
    <x v="3"/>
    <x v="3"/>
    <s v="CUSTOMER = 3972500 DEAL AMT = 1250 DEAL CCY = SAR TAX CODE = 1 "/>
    <x v="35"/>
    <s v="TF252110001601"/>
    <x v="0"/>
    <n v="187.5"/>
    <n v="0"/>
    <x v="1"/>
    <s v="Received"/>
    <s v="DELHAM ALJANOUB FOR TRADING CONTRACTING"/>
    <x v="3"/>
    <x v="5"/>
    <x v="6"/>
    <n v="10"/>
    <n v="2025"/>
    <m/>
  </r>
  <r>
    <x v="1"/>
    <x v="3"/>
    <x v="3"/>
    <s v="LC ACCEPTANCE COMMISSION FOR LC NO. TF252110001601\BNK"/>
    <x v="35"/>
    <s v="TF252110001601"/>
    <x v="0"/>
    <n v="1250"/>
    <n v="0"/>
    <x v="2"/>
    <s v="Received"/>
    <s v="DELHAM ALJANOUB FOR TRADING CONTRACTING"/>
    <x v="3"/>
    <x v="5"/>
    <x v="6"/>
    <n v="10"/>
    <n v="2025"/>
    <m/>
  </r>
  <r>
    <x v="1"/>
    <x v="3"/>
    <x v="3"/>
    <s v="CUSTOMER = 3972500 DEAL AMT = 4500 DEAL CCY = SAR TAX CODE = 1 "/>
    <x v="36"/>
    <s v="TF252360002901"/>
    <x v="0"/>
    <n v="675"/>
    <n v="0"/>
    <x v="1"/>
    <s v="Received"/>
    <s v="Prime Star Technologies Company Limited"/>
    <x v="3"/>
    <x v="5"/>
    <x v="6"/>
    <n v="10"/>
    <n v="2025"/>
    <m/>
  </r>
  <r>
    <x v="1"/>
    <x v="3"/>
    <x v="3"/>
    <s v="LC ACCEPTANCE COMMISSION FOR LC NO. TF252360002901\BNK"/>
    <x v="36"/>
    <s v="TF252360002901"/>
    <x v="0"/>
    <n v="4500"/>
    <n v="0"/>
    <x v="2"/>
    <s v="Received"/>
    <s v="Prime Star Technologies Company Limited"/>
    <x v="3"/>
    <x v="5"/>
    <x v="6"/>
    <n v="10"/>
    <n v="2025"/>
    <m/>
  </r>
  <r>
    <x v="2"/>
    <x v="6"/>
    <x v="4"/>
    <s v="CITY:Jeddah 0000006132225J210386004"/>
    <x v="37"/>
    <s v="J210386004"/>
    <x v="0"/>
    <n v="76520.850000000006"/>
    <n v="0"/>
    <x v="4"/>
    <s v="Received"/>
    <s v="ALFANAR ELECTRICAL SYSTEMS"/>
    <x v="3"/>
    <x v="5"/>
    <x v="6"/>
    <n v="10"/>
    <n v="2025"/>
    <m/>
  </r>
  <r>
    <x v="2"/>
    <x v="0"/>
    <x v="4"/>
    <s v="CITY:Jeddah 0000006132225J210929001"/>
    <x v="38"/>
    <s v="J210929001"/>
    <x v="0"/>
    <n v="925.28"/>
    <n v="0"/>
    <x v="2"/>
    <s v="Received"/>
    <s v="Sami Yousee Bin Abdel Rahim Alharbi Foundation"/>
    <x v="3"/>
    <x v="6"/>
    <x v="7"/>
    <n v="10"/>
    <n v="2025"/>
    <m/>
  </r>
  <r>
    <x v="2"/>
    <x v="0"/>
    <x v="4"/>
    <s v="CITY:Jeddah 6132225J210607001"/>
    <x v="39"/>
    <s v="J210607001"/>
    <x v="0"/>
    <n v="3557.9"/>
    <n v="0"/>
    <x v="2"/>
    <s v="Received"/>
    <s v="AL-SAYED CENTER A/C FOR MATERIALS COMPANY"/>
    <x v="3"/>
    <x v="5"/>
    <x v="6"/>
    <n v="10"/>
    <n v="2025"/>
    <m/>
  </r>
  <r>
    <x v="2"/>
    <x v="0"/>
    <x v="4"/>
    <s v="CITY:Jeddah 0000006132225J210608001"/>
    <x v="40"/>
    <s v="J210608001"/>
    <x v="0"/>
    <n v="4831.92"/>
    <n v="0"/>
    <x v="2"/>
    <s v="Received"/>
    <s v="ARABIAN INTERNATIONAL COMPANY FOR CONTRACTING"/>
    <x v="3"/>
    <x v="5"/>
    <x v="6"/>
    <n v="10"/>
    <n v="2025"/>
    <m/>
  </r>
  <r>
    <x v="2"/>
    <x v="3"/>
    <x v="4"/>
    <s v="CITY:Jeddah 6132225J210610001"/>
    <x v="41"/>
    <s v="J210610001"/>
    <x v="0"/>
    <n v="1500000"/>
    <n v="0"/>
    <x v="4"/>
    <s v="Received"/>
    <s v="AL MABANI AL UMUMIYYAH LTD"/>
    <x v="3"/>
    <x v="5"/>
    <x v="6"/>
    <n v="10"/>
    <n v="2025"/>
    <m/>
  </r>
  <r>
    <x v="2"/>
    <x v="3"/>
    <x v="4"/>
    <s v="CITY:Jeddah 6132225J210617001"/>
    <x v="42"/>
    <s v="J210617001"/>
    <x v="0"/>
    <n v="4891.07"/>
    <n v="0"/>
    <x v="2"/>
    <s v="Received"/>
    <s v="Al Arabia Construction &amp; Building Co."/>
    <x v="0"/>
    <x v="7"/>
    <x v="8"/>
    <n v="10"/>
    <n v="2025"/>
    <m/>
  </r>
  <r>
    <x v="3"/>
    <x v="4"/>
    <x v="5"/>
    <s v="IMP BILL COMM DPBEPM622287WPM DCBWPM563813"/>
    <x v="43"/>
    <s v="DPBEPM622287WPM"/>
    <x v="0"/>
    <n v="53906.25"/>
    <n v="0"/>
    <x v="0"/>
    <s v="Received"/>
    <s v="Electric House Trading Company L.L.C."/>
    <x v="3"/>
    <x v="8"/>
    <x v="9"/>
    <n v="10"/>
    <n v="2025"/>
    <m/>
  </r>
  <r>
    <x v="3"/>
    <x v="4"/>
    <x v="5"/>
    <s v="IMP BILL COMM DPBCOR622675WPM DCBWPM562731"/>
    <x v="44"/>
    <s v="DPBCOR622675WPM"/>
    <x v="0"/>
    <n v="10781.25"/>
    <n v="0"/>
    <x v="0"/>
    <s v="Received"/>
    <s v="SAFID CO.LTD"/>
    <x v="3"/>
    <x v="8"/>
    <x v="9"/>
    <n v="10"/>
    <n v="2025"/>
    <m/>
  </r>
  <r>
    <x v="3"/>
    <x v="4"/>
    <x v="6"/>
    <s v="IMP BILL RETIRE. CHARGES DPBCOR622314WPM DCBWPM554837"/>
    <x v="45"/>
    <s v="DPBCOR622314WPM"/>
    <x v="0"/>
    <n v="456.95"/>
    <n v="0"/>
    <x v="0"/>
    <s v="Received"/>
    <s v="SCHUCO MIDDLE EAST WINDOWS AND FACADE SYSTEMS LLC"/>
    <x v="5"/>
    <x v="8"/>
    <x v="9"/>
    <n v="10"/>
    <n v="2025"/>
    <m/>
  </r>
  <r>
    <x v="3"/>
    <x v="4"/>
    <x v="6"/>
    <s v="DPBCOR622314WPM DCBWPM554837"/>
    <x v="45"/>
    <s v="DPBCOR622314WPM"/>
    <x v="0"/>
    <n v="317887.82"/>
    <n v="0"/>
    <x v="0"/>
    <s v="Received"/>
    <s v="SCHUCO MIDDLE EAST WINDOWS AND FACADE SYSTEMS LLC"/>
    <x v="5"/>
    <x v="8"/>
    <x v="9"/>
    <n v="10"/>
    <n v="2025"/>
    <m/>
  </r>
  <r>
    <x v="3"/>
    <x v="4"/>
    <x v="6"/>
    <s v="IMP BILL COMM DPBCOR622610WPM DCBWPM563932"/>
    <x v="46"/>
    <s v="DPBCOR622610WPM"/>
    <x v="0"/>
    <n v="2617.5"/>
    <n v="0"/>
    <x v="0"/>
    <s v="Received"/>
    <s v="TEN POINTS TRADING EST"/>
    <x v="3"/>
    <x v="9"/>
    <x v="10"/>
    <n v="10"/>
    <n v="2025"/>
    <m/>
  </r>
  <r>
    <x v="3"/>
    <x v="5"/>
    <x v="5"/>
    <s v="DCBWPM560813 PROJECT FLASH LC REF BILL COMM"/>
    <x v="47"/>
    <s v="DCBWPM560813"/>
    <x v="0"/>
    <n v="575"/>
    <n v="0"/>
    <x v="0"/>
    <s v="Received"/>
    <s v="Aluminium Products company (ALUPCO)"/>
    <x v="5"/>
    <x v="8"/>
    <x v="9"/>
    <n v="10"/>
    <n v="2025"/>
    <m/>
  </r>
  <r>
    <x v="3"/>
    <x v="5"/>
    <x v="6"/>
    <s v="IMP BILL AMEND. CHARGES DPBCOR622589WPM DCBWPM554738"/>
    <x v="48"/>
    <s v="DPBCOR622589WPM"/>
    <x v="0"/>
    <n v="431.25"/>
    <n v="0"/>
    <x v="0"/>
    <s v="Received"/>
    <s v="ISAM MUAMMED KHAIRI KABBANI GLASS (IKK Glass)"/>
    <x v="5"/>
    <x v="8"/>
    <x v="9"/>
    <n v="10"/>
    <n v="2025"/>
    <m/>
  </r>
  <r>
    <x v="3"/>
    <x v="5"/>
    <x v="6"/>
    <s v="DC ISSUE COMM CHARGES DCBWPM566972"/>
    <x v="49"/>
    <s v="DCBWPM566972"/>
    <x v="0"/>
    <n v="1523.75"/>
    <n v="0"/>
    <x v="0"/>
    <s v="Received"/>
    <s v="Electric House Trading Company L.L.C."/>
    <x v="3"/>
    <x v="9"/>
    <x v="10"/>
    <n v="10"/>
    <n v="2025"/>
    <m/>
  </r>
  <r>
    <x v="3"/>
    <x v="5"/>
    <x v="5"/>
    <s v="DC AMENDMENT COMM CHARGES DCBWPM560813"/>
    <x v="47"/>
    <s v="DCBWPM560813"/>
    <x v="0"/>
    <n v="690"/>
    <n v="0"/>
    <x v="0"/>
    <s v="Received"/>
    <s v="Aluminium Products company (ALUPCO)"/>
    <x v="5"/>
    <x v="8"/>
    <x v="9"/>
    <n v="10"/>
    <n v="2025"/>
    <m/>
  </r>
  <r>
    <x v="3"/>
    <x v="5"/>
    <x v="5"/>
    <s v="BR COR622377WPM DC WPM556764"/>
    <x v="50"/>
    <s v="BR COR622377WPM"/>
    <x v="0"/>
    <n v="779760"/>
    <n v="0"/>
    <x v="0"/>
    <s v="Received"/>
    <s v="VENTLINE AIR CONDITIONING REQUISITES MANUFACTURING LLC"/>
    <x v="5"/>
    <x v="8"/>
    <x v="9"/>
    <n v="10"/>
    <n v="2025"/>
    <m/>
  </r>
  <r>
    <x v="3"/>
    <x v="5"/>
    <x v="5"/>
    <s v="IMP BILL RETIRE. CHARGES BR COR622377WPM DC WPM556764"/>
    <x v="50"/>
    <s v="BR COR622377WPM"/>
    <x v="0"/>
    <n v="661.25"/>
    <n v="0"/>
    <x v="0"/>
    <s v="Received"/>
    <s v="VENTLINE AIR CONDITIONING REQUISITES MANUFACTURING LLC"/>
    <x v="5"/>
    <x v="8"/>
    <x v="9"/>
    <n v="10"/>
    <n v="2025"/>
    <m/>
  </r>
  <r>
    <x v="3"/>
    <x v="5"/>
    <x v="5"/>
    <s v="IMP BILL AMEND. CHARGES DPBCOR622229WPM DCBWPM563023"/>
    <x v="51"/>
    <s v="DPBCOR622229WPM"/>
    <x v="0"/>
    <n v="3881.25"/>
    <n v="0"/>
    <x v="0"/>
    <s v="Received"/>
    <s v="Masdar Technical Supplies Co. "/>
    <x v="3"/>
    <x v="8"/>
    <x v="9"/>
    <n v="10"/>
    <n v="2025"/>
    <m/>
  </r>
  <r>
    <x v="3"/>
    <x v="5"/>
    <x v="6"/>
    <s v="IMP BILL AMEND. CHARGES DPBCOR622248WPM DCBWPM553893"/>
    <x v="52"/>
    <s v="DPBCOR622248WPM"/>
    <x v="0"/>
    <n v="13351.17"/>
    <n v="0"/>
    <x v="0"/>
    <s v="Received"/>
    <s v="Kingspan Insulated Panels Manufacturing LLC"/>
    <x v="0"/>
    <x v="8"/>
    <x v="9"/>
    <n v="10"/>
    <n v="2025"/>
    <m/>
  </r>
  <r>
    <x v="3"/>
    <x v="7"/>
    <x v="5"/>
    <s v="DPBEPM617651WPM DCBWPM554250"/>
    <x v="53"/>
    <s v="DPBEPM617651WPM"/>
    <x v="0"/>
    <n v="496480.71"/>
    <n v="0"/>
    <x v="0"/>
    <s v="Received"/>
    <s v="MATERIALS SYSTEMS AND INDUSTRIAL SOLUTIONS COMPANY"/>
    <x v="0"/>
    <x v="8"/>
    <x v="9"/>
    <n v="10"/>
    <n v="2025"/>
    <m/>
  </r>
  <r>
    <x v="3"/>
    <x v="0"/>
    <x v="5"/>
    <s v="DPBCOR609778WPM DCBWPM553893"/>
    <x v="52"/>
    <s v="DPBCOR609778WPM"/>
    <x v="0"/>
    <n v="1481071.75"/>
    <n v="0"/>
    <x v="0"/>
    <s v="Received"/>
    <s v="Kingspan Insulated Panels Manufacturing LLC"/>
    <x v="0"/>
    <x v="8"/>
    <x v="9"/>
    <n v="10"/>
    <n v="2025"/>
    <m/>
  </r>
  <r>
    <x v="3"/>
    <x v="0"/>
    <x v="6"/>
    <s v="IMP BILL COMM DPBEPM622962WPM DCBWPM553955"/>
    <x v="54"/>
    <s v="DPBEPM622962WPM"/>
    <x v="0"/>
    <n v="1002.12"/>
    <n v="0"/>
    <x v="0"/>
    <s v="Received"/>
    <s v="Alfanar Electrical Systems"/>
    <x v="3"/>
    <x v="9"/>
    <x v="10"/>
    <n v="10"/>
    <n v="2025"/>
    <m/>
  </r>
  <r>
    <x v="3"/>
    <x v="0"/>
    <x v="5"/>
    <s v="IMP BILL COMM DPBCOR622971WPM DCBWPM560813"/>
    <x v="47"/>
    <s v="DPBCOR622971WPM"/>
    <x v="0"/>
    <n v="1229.97"/>
    <n v="0"/>
    <x v="0"/>
    <s v="Received"/>
    <s v="Aluminium Products company (ALUPCO)"/>
    <x v="5"/>
    <x v="8"/>
    <x v="9"/>
    <n v="10"/>
    <n v="2025"/>
    <m/>
  </r>
  <r>
    <x v="3"/>
    <x v="1"/>
    <x v="5"/>
    <s v="IMP BILL AMEND. CHARGES DPBCOR622887WPM DCBWPM551279 DCBMBL551279"/>
    <x v="55"/>
    <s v="DPBCOR622887WPM"/>
    <x v="0"/>
    <n v="1780.49"/>
    <n v="0"/>
    <x v="0"/>
    <s v="Received"/>
    <s v="Arnon Plastic Industries Co Ltd"/>
    <x v="0"/>
    <x v="8"/>
    <x v="9"/>
    <n v="10"/>
    <n v="2025"/>
    <m/>
  </r>
  <r>
    <x v="3"/>
    <x v="1"/>
    <x v="5"/>
    <s v="DPBCOR622589WPM DCBWPM554738"/>
    <x v="48"/>
    <s v="DPBCOR622589WPM"/>
    <x v="0"/>
    <n v="600000"/>
    <n v="0"/>
    <x v="0"/>
    <s v="Received"/>
    <s v="ISAM MUAMMED KHAIRI KABBANI GLASS (IKK Glass)"/>
    <x v="5"/>
    <x v="8"/>
    <x v="9"/>
    <n v="10"/>
    <n v="2025"/>
    <m/>
  </r>
  <r>
    <x v="3"/>
    <x v="1"/>
    <x v="5"/>
    <s v="IMP BILL AMEND. CHARGES DPBCOR622878WPM DCBWPM551279 DCBMBL551279"/>
    <x v="55"/>
    <s v="DPBCOR622878WPM"/>
    <x v="0"/>
    <n v="2941.68"/>
    <n v="0"/>
    <x v="0"/>
    <s v="Received"/>
    <s v="Arnon Plastic Industries Co Ltd"/>
    <x v="0"/>
    <x v="8"/>
    <x v="9"/>
    <n v="10"/>
    <n v="2025"/>
    <m/>
  </r>
  <r>
    <x v="3"/>
    <x v="1"/>
    <x v="5"/>
    <s v="IMP BILL AMEND. CHARGES DPBEPM622848WPM DCBWPM563040"/>
    <x v="56"/>
    <s v="DPBEPM622848WPM"/>
    <x v="0"/>
    <n v="689"/>
    <n v="0"/>
    <x v="0"/>
    <s v="Received"/>
    <s v="Mab United For Trading &amp; Contracting Co"/>
    <x v="3"/>
    <x v="8"/>
    <x v="9"/>
    <n v="10"/>
    <n v="2025"/>
    <m/>
  </r>
  <r>
    <x v="3"/>
    <x v="1"/>
    <x v="5"/>
    <s v="DPBCOR615230WPM DCBWPM558769"/>
    <x v="57"/>
    <s v="DPBCOR615230WPM"/>
    <x v="0"/>
    <n v="800000"/>
    <n v="0"/>
    <x v="0"/>
    <s v="Received"/>
    <s v="Al Maymanah for Contracting Co. Ltd."/>
    <x v="3"/>
    <x v="9"/>
    <x v="10"/>
    <n v="10"/>
    <n v="2025"/>
    <m/>
  </r>
  <r>
    <x v="3"/>
    <x v="1"/>
    <x v="6"/>
    <s v="IMP BILL AMEND. CHARGES DPBCOR622776WPM DCBWPM564593"/>
    <x v="58"/>
    <s v="DPBCOR622776WPM"/>
    <x v="0"/>
    <n v="3016.02"/>
    <n v="0"/>
    <x v="0"/>
    <s v="Received"/>
    <s v="Al Saadeh Trading Establishment"/>
    <x v="4"/>
    <x v="1"/>
    <x v="11"/>
    <n v="10"/>
    <n v="2025"/>
    <m/>
  </r>
  <r>
    <x v="3"/>
    <x v="1"/>
    <x v="6"/>
    <s v="DPBEPM618900WPM DCBWPM558755"/>
    <x v="59"/>
    <s v="DPBEPM618900WPM"/>
    <x v="0"/>
    <n v="150000"/>
    <n v="0"/>
    <x v="0"/>
    <s v="Received"/>
    <s v="Saudi Electric Supply Company"/>
    <x v="3"/>
    <x v="9"/>
    <x v="10"/>
    <n v="10"/>
    <n v="2025"/>
    <m/>
  </r>
  <r>
    <x v="3"/>
    <x v="1"/>
    <x v="6"/>
    <s v="IMP BILL AMEND. CHARGES DPBCOR622786WPM DCBWPM558781"/>
    <x v="60"/>
    <s v="DPBCOR622786WPM"/>
    <x v="0"/>
    <n v="1774.68"/>
    <n v="0"/>
    <x v="0"/>
    <s v="Received"/>
    <s v="Al-Sayed Center A/C for Materials Company"/>
    <x v="3"/>
    <x v="9"/>
    <x v="10"/>
    <n v="10"/>
    <n v="2025"/>
    <m/>
  </r>
  <r>
    <x v="3"/>
    <x v="1"/>
    <x v="5"/>
    <s v="IMP BILL AMEND. CHARGES DPBCOR622872WPM DCBWPM565536"/>
    <x v="61"/>
    <s v="DPBCOR622872WPM"/>
    <x v="0"/>
    <n v="718.75"/>
    <n v="0"/>
    <x v="0"/>
    <s v="Received"/>
    <s v="Company Alabwab Aldulaya For Contracting"/>
    <x v="5"/>
    <x v="8"/>
    <x v="9"/>
    <n v="10"/>
    <n v="2025"/>
    <m/>
  </r>
  <r>
    <x v="3"/>
    <x v="8"/>
    <x v="5"/>
    <s v="IMP BILL COMM DPBEPM623300WPM DCBWPM563814"/>
    <x v="62"/>
    <s v="DPBEPM623300WPM"/>
    <x v="0"/>
    <n v="1738.69"/>
    <n v="0"/>
    <x v="0"/>
    <s v="Received"/>
    <s v="ALFANAR ELECTRICAL SYSTEMS"/>
    <x v="3"/>
    <x v="8"/>
    <x v="9"/>
    <n v="10"/>
    <n v="2025"/>
    <m/>
  </r>
  <r>
    <x v="3"/>
    <x v="8"/>
    <x v="5"/>
    <s v="IMP BILL AMEND. CHARGES DPBCOR622974WPM DCBWPM551279 DCBMBL551279"/>
    <x v="55"/>
    <s v="DPBCOR622974WPM"/>
    <x v="0"/>
    <n v="2948.59"/>
    <n v="0"/>
    <x v="0"/>
    <s v="Received"/>
    <s v="Arnon Plastic Industries Co Ltd"/>
    <x v="0"/>
    <x v="8"/>
    <x v="9"/>
    <n v="10"/>
    <n v="2025"/>
    <m/>
  </r>
  <r>
    <x v="3"/>
    <x v="8"/>
    <x v="6"/>
    <s v="DPBCOR621515WPM DCBWPM553897"/>
    <x v="63"/>
    <s v="DPBCOR621515WPM"/>
    <x v="0"/>
    <n v="500000"/>
    <n v="0"/>
    <x v="0"/>
    <s v="Received"/>
    <s v="Mimar For Construction Tools And Trading Ltd"/>
    <x v="3"/>
    <x v="9"/>
    <x v="10"/>
    <n v="10"/>
    <n v="2025"/>
    <m/>
  </r>
  <r>
    <x v="3"/>
    <x v="8"/>
    <x v="6"/>
    <s v="GTE ISSUE COMM CHARGES PEBGCU567257"/>
    <x v="64"/>
    <s v="PEBGCU567257"/>
    <x v="0"/>
    <n v="565377.02"/>
    <n v="0"/>
    <x v="0"/>
    <s v="Received"/>
    <s v="Performance - NEOM Company"/>
    <x v="0"/>
    <x v="2"/>
    <x v="12"/>
    <n v="10"/>
    <n v="2025"/>
    <m/>
  </r>
  <r>
    <x v="4"/>
    <x v="6"/>
    <x v="7"/>
    <s v="DISCOUNT COMMISSION CR"/>
    <x v="65"/>
    <s v="TF2512733014"/>
    <x v="0"/>
    <n v="300"/>
    <n v="0"/>
    <x v="0"/>
    <s v="Received"/>
    <s v="AFAQ AL MALAZ TRADING CO LTD."/>
    <x v="3"/>
    <x v="6"/>
    <x v="7"/>
    <n v="10"/>
    <n v="2025"/>
    <m/>
  </r>
  <r>
    <x v="4"/>
    <x v="6"/>
    <x v="8"/>
    <s v="VAT"/>
    <x v="66"/>
    <s v="TF251273300803"/>
    <x v="0"/>
    <n v="22.5"/>
    <n v="0"/>
    <x v="0"/>
    <s v="Received"/>
    <s v="KENZ SARAB MACHINERY AND EQUIPMENT COMPANY"/>
    <x v="3"/>
    <x v="6"/>
    <x v="7"/>
    <n v="10"/>
    <n v="2025"/>
    <m/>
  </r>
  <r>
    <x v="4"/>
    <x v="6"/>
    <x v="8"/>
    <s v="VAT"/>
    <x v="66"/>
    <s v="TF251273300803"/>
    <x v="0"/>
    <n v="90"/>
    <n v="0"/>
    <x v="0"/>
    <s v="Received"/>
    <s v="KENZ SARAB MACHINERY AND EQUIPMENT COMPANY"/>
    <x v="3"/>
    <x v="6"/>
    <x v="7"/>
    <n v="10"/>
    <n v="2025"/>
    <m/>
  </r>
  <r>
    <x v="4"/>
    <x v="6"/>
    <x v="8"/>
    <s v="REIMBURSE UNDER LC'S DR"/>
    <x v="66"/>
    <s v="TF251273300803"/>
    <x v="0"/>
    <n v="150"/>
    <n v="0"/>
    <x v="0"/>
    <s v="Received"/>
    <s v="KENZ SARAB MACHINERY AND EQUIPMENT COMPANY"/>
    <x v="3"/>
    <x v="6"/>
    <x v="7"/>
    <n v="10"/>
    <n v="2025"/>
    <m/>
  </r>
  <r>
    <x v="4"/>
    <x v="6"/>
    <x v="8"/>
    <s v="DISCOUNT SPREAD CR"/>
    <x v="66"/>
    <s v="TF251273300803"/>
    <x v="0"/>
    <n v="600"/>
    <n v="0"/>
    <x v="0"/>
    <s v="Received"/>
    <s v="KENZ SARAB MACHINERY AND EQUIPMENT COMPANY"/>
    <x v="3"/>
    <x v="6"/>
    <x v="7"/>
    <n v="10"/>
    <n v="2025"/>
    <m/>
  </r>
  <r>
    <x v="4"/>
    <x v="6"/>
    <x v="8"/>
    <s v="VAT"/>
    <x v="67"/>
    <s v="TF251283300501"/>
    <x v="0"/>
    <n v="3"/>
    <n v="0"/>
    <x v="0"/>
    <s v="Received"/>
    <s v="BRC Industrial (Saudia) Company"/>
    <x v="0"/>
    <x v="7"/>
    <x v="8"/>
    <n v="10"/>
    <n v="2025"/>
    <m/>
  </r>
  <r>
    <x v="4"/>
    <x v="6"/>
    <x v="8"/>
    <s v="IMP LC FULL POSTAGE"/>
    <x v="67"/>
    <s v="TF251283300501"/>
    <x v="0"/>
    <n v="20"/>
    <n v="0"/>
    <x v="0"/>
    <s v="Received"/>
    <s v="BRC Industrial (Saudia) Company"/>
    <x v="0"/>
    <x v="7"/>
    <x v="8"/>
    <n v="10"/>
    <n v="2025"/>
    <m/>
  </r>
  <r>
    <x v="4"/>
    <x v="6"/>
    <x v="8"/>
    <s v="VAT"/>
    <x v="67"/>
    <s v="TF251283300501"/>
    <x v="0"/>
    <n v="22.5"/>
    <n v="0"/>
    <x v="0"/>
    <s v="Received"/>
    <s v="BRC Industrial (Saudia) Company"/>
    <x v="0"/>
    <x v="7"/>
    <x v="8"/>
    <n v="10"/>
    <n v="2025"/>
    <m/>
  </r>
  <r>
    <x v="4"/>
    <x v="6"/>
    <x v="8"/>
    <s v="REIMBURSE UNDER LC'S DR"/>
    <x v="67"/>
    <s v="TF251283300501"/>
    <x v="0"/>
    <n v="150"/>
    <n v="0"/>
    <x v="0"/>
    <s v="Received"/>
    <s v="BRC Industrial (Saudia) Company"/>
    <x v="0"/>
    <x v="7"/>
    <x v="8"/>
    <n v="10"/>
    <n v="2025"/>
    <m/>
  </r>
  <r>
    <x v="4"/>
    <x v="6"/>
    <x v="8"/>
    <s v="VAT"/>
    <x v="67"/>
    <s v="TF251283300501"/>
    <x v="0"/>
    <n v="925.33"/>
    <n v="0"/>
    <x v="0"/>
    <s v="Received"/>
    <s v="BRC Industrial (Saudia) Company"/>
    <x v="0"/>
    <x v="7"/>
    <x v="8"/>
    <n v="10"/>
    <n v="2025"/>
    <m/>
  </r>
  <r>
    <x v="4"/>
    <x v="6"/>
    <x v="8"/>
    <s v="DISCOUNT SPREAD CR"/>
    <x v="67"/>
    <s v="TF251283300501"/>
    <x v="0"/>
    <n v="6168.85"/>
    <n v="0"/>
    <x v="0"/>
    <s v="Received"/>
    <s v="BRC Industrial (Saudia) Company"/>
    <x v="0"/>
    <x v="7"/>
    <x v="8"/>
    <n v="10"/>
    <n v="2025"/>
    <m/>
  </r>
  <r>
    <x v="4"/>
    <x v="6"/>
    <x v="7"/>
    <s v="VAT"/>
    <x v="65"/>
    <s v="TF2512733014"/>
    <x v="0"/>
    <n v="37.5"/>
    <n v="0"/>
    <x v="0"/>
    <s v="Received"/>
    <s v="AFAQ AL MALAZ TRADING CO LTD."/>
    <x v="3"/>
    <x v="6"/>
    <x v="7"/>
    <n v="10"/>
    <n v="2025"/>
    <m/>
  </r>
  <r>
    <x v="4"/>
    <x v="6"/>
    <x v="7"/>
    <s v="VAT"/>
    <x v="65"/>
    <s v="TF2512733014"/>
    <x v="0"/>
    <n v="45"/>
    <n v="0"/>
    <x v="0"/>
    <s v="Received"/>
    <s v="AFAQ AL MALAZ TRADING CO LTD."/>
    <x v="3"/>
    <x v="6"/>
    <x v="7"/>
    <n v="10"/>
    <n v="2025"/>
    <m/>
  </r>
  <r>
    <x v="4"/>
    <x v="6"/>
    <x v="7"/>
    <s v="LC SWIFT CHARGES"/>
    <x v="65"/>
    <s v="TF2512733014"/>
    <x v="0"/>
    <n v="250"/>
    <n v="0"/>
    <x v="0"/>
    <s v="Received"/>
    <s v="AFAQ AL MALAZ TRADING CO LTD."/>
    <x v="3"/>
    <x v="6"/>
    <x v="7"/>
    <n v="10"/>
    <n v="2025"/>
    <m/>
  </r>
  <r>
    <x v="4"/>
    <x v="6"/>
    <x v="8"/>
    <s v="IMP LC FULL POSTAGE"/>
    <x v="66"/>
    <s v="TF251273300803"/>
    <x v="0"/>
    <n v="20"/>
    <n v="0"/>
    <x v="0"/>
    <s v="Received"/>
    <s v="KENZ SARAB MACHINERY AND EQUIPMENT COMPANY"/>
    <x v="3"/>
    <x v="6"/>
    <x v="7"/>
    <n v="10"/>
    <n v="2025"/>
    <m/>
  </r>
  <r>
    <x v="4"/>
    <x v="6"/>
    <x v="8"/>
    <s v="VAT"/>
    <x v="66"/>
    <s v="TF251273300803"/>
    <x v="0"/>
    <n v="3"/>
    <n v="0"/>
    <x v="0"/>
    <s v="Received"/>
    <s v="KENZ SARAB MACHINERY AND EQUIPMENT COMPANY"/>
    <x v="3"/>
    <x v="6"/>
    <x v="7"/>
    <n v="10"/>
    <n v="2025"/>
    <m/>
  </r>
  <r>
    <x v="4"/>
    <x v="7"/>
    <x v="8"/>
    <s v="VAT"/>
    <x v="68"/>
    <s v="TF2513233001"/>
    <x v="0"/>
    <n v="37.5"/>
    <n v="0"/>
    <x v="0"/>
    <s v="Received"/>
    <s v="Electric House Trading Company L.L.C."/>
    <x v="3"/>
    <x v="5"/>
    <x v="6"/>
    <n v="10"/>
    <n v="2025"/>
    <m/>
  </r>
  <r>
    <x v="4"/>
    <x v="7"/>
    <x v="8"/>
    <s v="LC SWIFT CHARGES"/>
    <x v="68"/>
    <s v="TF2513233001"/>
    <x v="0"/>
    <n v="250"/>
    <n v="0"/>
    <x v="0"/>
    <s v="Received"/>
    <s v="Electric House Trading Company L.L.C."/>
    <x v="3"/>
    <x v="5"/>
    <x v="6"/>
    <n v="10"/>
    <n v="2025"/>
    <m/>
  </r>
  <r>
    <x v="4"/>
    <x v="7"/>
    <x v="8"/>
    <s v="VAT"/>
    <x v="68"/>
    <s v="TF2513233001"/>
    <x v="0"/>
    <n v="893.81"/>
    <n v="0"/>
    <x v="0"/>
    <s v="Received"/>
    <s v="Electric House Trading Company L.L.C."/>
    <x v="3"/>
    <x v="5"/>
    <x v="6"/>
    <n v="10"/>
    <n v="2025"/>
    <m/>
  </r>
  <r>
    <x v="4"/>
    <x v="7"/>
    <x v="8"/>
    <s v="DISCOUNT COMMISSION CR"/>
    <x v="68"/>
    <s v="TF2513233001"/>
    <x v="0"/>
    <n v="5958.72"/>
    <n v="0"/>
    <x v="0"/>
    <s v="Received"/>
    <s v="Electric House Trading Company L.L.C."/>
    <x v="3"/>
    <x v="5"/>
    <x v="6"/>
    <n v="10"/>
    <n v="2025"/>
    <m/>
  </r>
  <r>
    <x v="5"/>
    <x v="6"/>
    <x v="9"/>
    <s v="Dr TI ILC Comm/Other Charges                                          _x000a_POC002-273922952                                                      _x000a_At Bank Aljazira                                                      _x000a_ CORPORATE BANKING DEPT-JEDDAH                                        _x000a_Exchange Rate 1.0                                                     _x000a_Date 13-04-1447(H) Time 09.05.58                                      _x000a_Reference ILC-0840-25-7351                                            _x000a_Value Date 13-04-1447(H)                                              _x000a_Fee Collected By Bank AlJazira                                        _x000a_"/>
    <x v="69"/>
    <s v=""/>
    <x v="0"/>
    <n v="100"/>
    <n v="0"/>
    <x v="0"/>
    <s v="Received"/>
    <s v="Al Wasail Industrial Company"/>
    <x v="3"/>
    <x v="10"/>
    <x v="13"/>
    <n v="10"/>
    <n v="2025"/>
    <m/>
  </r>
  <r>
    <x v="5"/>
    <x v="6"/>
    <x v="9"/>
    <s v="Value Added Tax                                                       _x000a_On ILC Acceptance Comm.                                               _x000a_15% of SAR100.00                                                      _x000a_Through CORPORATE BANKING DEPT-JEDDAH                                 _x000a_Date 13-04-1447(H) Time 09.05.59                                      _x000a_Reference ILC-0840-25-7351                                            _x000a_At Bank Aljazira                                                      _x000a_Exchange Rate 1.0                                                     _x000a_"/>
    <x v="69"/>
    <s v=""/>
    <x v="0"/>
    <n v="15"/>
    <n v="0"/>
    <x v="0"/>
    <s v="Received"/>
    <s v="Al Wasail Industrial Company"/>
    <x v="3"/>
    <x v="10"/>
    <x v="13"/>
    <n v="10"/>
    <n v="2025"/>
    <m/>
  </r>
  <r>
    <x v="5"/>
    <x v="6"/>
    <x v="9"/>
    <s v="Dr TI ILC Comm/Other Charges                                          _x000a_POC002-273922994                                                      _x000a_At Bank Aljazira                                                      _x000a_ CORPORATE BANKING DEPT-JEDDAH                                        _x000a_Exchange Rate 1.0                                                     _x000a_Date 13-04-1447(H) Time 09.05.59                                      _x000a_Reference ILC-0840-25-7351                                            _x000a_Value Date 13-04-1447(H)                                              _x000a_Fee Collected By Bank AlJazira                                        _x000a_"/>
    <x v="69"/>
    <s v=""/>
    <x v="0"/>
    <n v="289"/>
    <n v="0"/>
    <x v="0"/>
    <s v="Received"/>
    <s v="Al Wasail Industrial Company"/>
    <x v="3"/>
    <x v="10"/>
    <x v="13"/>
    <n v="10"/>
    <n v="2025"/>
    <m/>
  </r>
  <r>
    <x v="5"/>
    <x v="6"/>
    <x v="9"/>
    <s v="Value Added Tax                                                       _x000a_On ILC Acceptance Comm.                                               _x000a_15% of SAR289.00                                                      _x000a_Through CORPORATE BANKING DEPT-JEDDAH                                 _x000a_Date 13-04-1447(H) Time 09.06.00                                      _x000a_Reference ILC-0840-25-7351                                            _x000a_At Bank Aljazira                                                      _x000a_Exchange Rate 1.0                                                     _x000a_"/>
    <x v="69"/>
    <s v=""/>
    <x v="0"/>
    <n v="43.35"/>
    <n v="0"/>
    <x v="0"/>
    <s v="Received"/>
    <s v="Al Wasail Industrial Company"/>
    <x v="3"/>
    <x v="10"/>
    <x v="13"/>
    <n v="10"/>
    <n v="2025"/>
    <m/>
  </r>
  <r>
    <x v="5"/>
    <x v="6"/>
    <x v="9"/>
    <s v="Dr TI ILC Comm/Other Charges                                          _x000a_POC002-273922996                                                      _x000a_At Bank Aljazira                                                      _x000a_ CORPORATE BANKING DEPT-JEDDAH                                        _x000a_Exchange Rate 1.0                                                     _x000a_Date 13-04-1447(H) Time 09.06.00                                      _x000a_Reference ILC-0840-25-7351                                            _x000a_Value Date 13-04-1447(H)                                              _x000a_Fee Collected By Bank AlJazira                                        _x000a_"/>
    <x v="69"/>
    <s v=""/>
    <x v="0"/>
    <n v="200"/>
    <n v="0"/>
    <x v="0"/>
    <s v="Received"/>
    <s v="Al Wasail Industrial Company"/>
    <x v="3"/>
    <x v="10"/>
    <x v="13"/>
    <n v="10"/>
    <n v="2025"/>
    <m/>
  </r>
  <r>
    <x v="5"/>
    <x v="6"/>
    <x v="9"/>
    <s v="Value Added Tax                                                       _x000a_On SWIFT charges                                                      _x000a_15% of SAR200.00                                                      _x000a_Through CORPORATE BANKING DEPT-JEDDAH                                 _x000a_Date 13-04-1447(H) Time 09.06.01                                      _x000a_Reference ILC-0840-25-7351                                            _x000a_At Bank Aljazira                                                      _x000a_Exchange Rate 1.0                                                     _x000a_"/>
    <x v="69"/>
    <s v=""/>
    <x v="0"/>
    <n v="30"/>
    <n v="0"/>
    <x v="0"/>
    <s v="Received"/>
    <s v="Al Wasail Industrial Company"/>
    <x v="3"/>
    <x v="10"/>
    <x v="13"/>
    <n v="10"/>
    <n v="2025"/>
    <m/>
  </r>
  <r>
    <x v="5"/>
    <x v="6"/>
    <x v="9"/>
    <s v="TI Bill Settled                                                       _x000a_POC003                                                                _x000a_At Bank AlJazira                                                      _x000a_CORPORATE BANKING DEPT-JEDDAH                                         _x000a_Date 13-04-1447(H) Time 09.54.51                                      _x000a_Reference ILC-0840-25-7351                                            _x000a_"/>
    <x v="69"/>
    <s v=""/>
    <x v="0"/>
    <n v="231336.88"/>
    <n v="0"/>
    <x v="0"/>
    <s v="Received"/>
    <s v="Al Wasail Industrial Company"/>
    <x v="3"/>
    <x v="10"/>
    <x v="13"/>
    <n v="10"/>
    <n v="2025"/>
    <m/>
  </r>
  <r>
    <x v="5"/>
    <x v="6"/>
    <x v="9"/>
    <s v="Dr TI ILC Comm/Other Charges                                          _x000a_POC002-273974418                                                      _x000a_At Bank Aljazira                                                      _x000a_ CORPORATE BANKING DEPT-JEDDAH                                        _x000a_Date 13-04-1447(H) Time 11.44.44                                      _x000a_Reference ILC-0840-25-7980                                            _x000a_Value Date 13-04-1447(H)                                              _x000a_Fee Collected By Bank AlJazira                                        _x000a_"/>
    <x v="70"/>
    <s v=""/>
    <x v="0"/>
    <n v="100"/>
    <n v="0"/>
    <x v="0"/>
    <s v="Received"/>
    <s v="Saudi Hepco Co Ltd"/>
    <x v="3"/>
    <x v="10"/>
    <x v="13"/>
    <n v="10"/>
    <n v="2025"/>
    <m/>
  </r>
  <r>
    <x v="5"/>
    <x v="6"/>
    <x v="9"/>
    <s v="Value Added Tax                                                       _x000a_On ILC Acceptance Comm.                                               _x000a_15% of SAR100.00                                                      _x000a_Through CORPORATE BANKING DEPT-JEDDAH                                 _x000a_Date 13-04-1447(H) Time 11.44.44                                      _x000a_Reference ILC-0840-25-7980                                            _x000a_At Bank Aljazira                                                      _x000a_"/>
    <x v="70"/>
    <s v=""/>
    <x v="0"/>
    <n v="15"/>
    <n v="0"/>
    <x v="0"/>
    <s v="Received"/>
    <s v="Saudi Hepco Co Ltd"/>
    <x v="3"/>
    <x v="10"/>
    <x v="13"/>
    <n v="10"/>
    <n v="2025"/>
    <m/>
  </r>
  <r>
    <x v="5"/>
    <x v="6"/>
    <x v="9"/>
    <s v="Dr TI ILC Comm/Other Charges                                          _x000a_POC002-273974523                                                      _x000a_At Bank Aljazira                                                      _x000a_ CORPORATE BANKING DEPT-JEDDAH                                        _x000a_Date 13-04-1447(H) Time 11.44.45                                      _x000a_Reference ILC-0840-25-7980                                            _x000a_Value Date 13-04-1447(H)                                              _x000a_Fee Collected By Bank AlJazira                                        _x000a_"/>
    <x v="70"/>
    <s v=""/>
    <x v="0"/>
    <n v="660"/>
    <n v="0"/>
    <x v="0"/>
    <s v="Received"/>
    <s v="Saudi Hepco Co Ltd"/>
    <x v="3"/>
    <x v="10"/>
    <x v="13"/>
    <n v="10"/>
    <n v="2025"/>
    <m/>
  </r>
  <r>
    <x v="5"/>
    <x v="6"/>
    <x v="9"/>
    <s v="Value Added Tax                                                       _x000a_On ILC Acceptance Comm.                                               _x000a_15% of SAR660.00                                                      _x000a_Through CORPORATE BANKING DEPT-JEDDAH                                 _x000a_Date 13-04-1447(H) Time 11.44.45                                      _x000a_Reference ILC-0840-25-7980                                            _x000a_At Bank Aljazira                                                      _x000a_"/>
    <x v="70"/>
    <s v=""/>
    <x v="0"/>
    <n v="99"/>
    <n v="0"/>
    <x v="0"/>
    <s v="Received"/>
    <s v="Saudi Hepco Co Ltd"/>
    <x v="3"/>
    <x v="10"/>
    <x v="13"/>
    <n v="10"/>
    <n v="2025"/>
    <m/>
  </r>
  <r>
    <x v="5"/>
    <x v="6"/>
    <x v="9"/>
    <s v="Dr TI ILC Comm/Other Charges                                          _x000a_POC002-273974525                                                      _x000a_At Bank Aljazira                                                      _x000a_ CORPORATE BANKING DEPT-JEDDAH                                        _x000a_Date 13-04-1447(H) Time 11.44.45                                      _x000a_Reference ILC-0840-25-7980                                            _x000a_Value Date 13-04-1447(H)                                              _x000a_Fee Collected By Bank AlJazira                                        _x000a_"/>
    <x v="70"/>
    <s v=""/>
    <x v="0"/>
    <n v="200"/>
    <n v="0"/>
    <x v="0"/>
    <s v="Received"/>
    <s v="Saudi Hepco Co Ltd"/>
    <x v="3"/>
    <x v="10"/>
    <x v="13"/>
    <n v="10"/>
    <n v="2025"/>
    <m/>
  </r>
  <r>
    <x v="5"/>
    <x v="6"/>
    <x v="9"/>
    <s v="Value Added Tax                                                       _x000a_On SWIFT charges                                                      _x000a_15% of SAR200.00                                                      _x000a_Through CORPORATE BANKING DEPT-JEDDAH                                 _x000a_Date 13-04-1447(H) Time 11.44.45                                      _x000a_Reference ILC-0840-25-7980                                            _x000a_At Bank Aljazira                                                      _x000a_"/>
    <x v="70"/>
    <s v=""/>
    <x v="0"/>
    <n v="30"/>
    <n v="0"/>
    <x v="0"/>
    <s v="Received"/>
    <s v="Saudi Hepco Co Ltd"/>
    <x v="3"/>
    <x v="10"/>
    <x v="13"/>
    <n v="10"/>
    <n v="2025"/>
    <m/>
  </r>
  <r>
    <x v="5"/>
    <x v="6"/>
    <x v="9"/>
    <s v="Dr TI ILC Comm/Other Charges                                          _x000a_POC001-273970365                                                      _x000a_At Bank Aljazira                                                      _x000a_ CORPORATE BANKING DEPT-JEDDAH                                        _x000a_Date 13-04-1447(H) Time 11.45.40                                      _x000a_Reference ILC-0840-25-8011                                            _x000a_Value Date 13-04-1447(H)                                              _x000a_Fee Collected By Bank AlJazira                                        _x000a_"/>
    <x v="71"/>
    <s v=""/>
    <x v="0"/>
    <n v="100"/>
    <n v="0"/>
    <x v="0"/>
    <s v="Received"/>
    <s v="Metten Al-Arabia Ltd Co (METARA)"/>
    <x v="0"/>
    <x v="10"/>
    <x v="13"/>
    <n v="10"/>
    <n v="2025"/>
    <m/>
  </r>
  <r>
    <x v="5"/>
    <x v="6"/>
    <x v="9"/>
    <s v="Value Added Tax                                                       _x000a_On ILC Acceptance Comm.                                               _x000a_15% of SAR100.00                                                      _x000a_Through CORPORATE BANKING DEPT-JEDDAH                                 _x000a_Date 13-04-1447(H) Time 11.45.40                                      _x000a_Reference ILC-0840-25-8011                                            _x000a_At Bank Aljazira                                                      _x000a_"/>
    <x v="71"/>
    <s v=""/>
    <x v="0"/>
    <n v="15"/>
    <n v="0"/>
    <x v="0"/>
    <s v="Received"/>
    <s v="Metten Al-Arabia Ltd Co (METARA)"/>
    <x v="0"/>
    <x v="10"/>
    <x v="13"/>
    <n v="10"/>
    <n v="2025"/>
    <m/>
  </r>
  <r>
    <x v="5"/>
    <x v="6"/>
    <x v="9"/>
    <s v="Dr TI ILC Comm/Other Charges                                          _x000a_POC001-273970558                                                      _x000a_At Bank Aljazira                                                      _x000a_ CORPORATE BANKING DEPT-JEDDAH                                        _x000a_Date 13-04-1447(H) Time 11.45.40                                      _x000a_Reference ILC-0840-25-8011                                            _x000a_Value Date 13-04-1447(H)                                              _x000a_Fee Collected By Bank AlJazira                                        _x000a_"/>
    <x v="71"/>
    <s v=""/>
    <x v="0"/>
    <n v="376"/>
    <n v="0"/>
    <x v="0"/>
    <s v="Received"/>
    <s v="Metten Al-Arabia Ltd Co (METARA)"/>
    <x v="0"/>
    <x v="10"/>
    <x v="13"/>
    <n v="10"/>
    <n v="2025"/>
    <m/>
  </r>
  <r>
    <x v="5"/>
    <x v="6"/>
    <x v="9"/>
    <s v="Value Added Tax                                                       _x000a_On ILC Acceptance Comm.                                               _x000a_15% of SAR376.00                                                      _x000a_Through CORPORATE BANKING DEPT-JEDDAH                                 _x000a_Date 13-04-1447(H) Time 11.45.41                                      _x000a_Reference ILC-0840-25-8011                                            _x000a_At Bank Aljazira                                                      _x000a_"/>
    <x v="71"/>
    <s v=""/>
    <x v="0"/>
    <n v="56.4"/>
    <n v="0"/>
    <x v="0"/>
    <s v="Received"/>
    <s v="Metten Al-Arabia Ltd Co (METARA)"/>
    <x v="0"/>
    <x v="10"/>
    <x v="13"/>
    <n v="10"/>
    <n v="2025"/>
    <m/>
  </r>
  <r>
    <x v="5"/>
    <x v="6"/>
    <x v="9"/>
    <s v="Dr TI ILC Comm/Other Charges                                          _x000a_POC001-273970560                                                      _x000a_At Bank Aljazira                                                      _x000a_ CORPORATE BANKING DEPT-JEDDAH                                        _x000a_Date 13-04-1447(H) Time 11.45.41                                      _x000a_Reference ILC-0840-25-8011                                            _x000a_Value Date 13-04-1447(H)                                              _x000a_Fee Collected By Bank AlJazira                                        _x000a_"/>
    <x v="71"/>
    <s v=""/>
    <x v="0"/>
    <n v="200"/>
    <n v="0"/>
    <x v="0"/>
    <s v="Received"/>
    <s v="Metten Al-Arabia Ltd Co (METARA)"/>
    <x v="0"/>
    <x v="10"/>
    <x v="13"/>
    <n v="10"/>
    <n v="2025"/>
    <m/>
  </r>
  <r>
    <x v="5"/>
    <x v="6"/>
    <x v="9"/>
    <s v="Value Added Tax                                                       _x000a_On SWIFT charges                                                      _x000a_15% of SAR200.00                                                      _x000a_Through CORPORATE BANKING DEPT-JEDDAH                                 _x000a_Date 13-04-1447(H) Time 11.45.41                                      _x000a_Reference ILC-0840-25-8011                                            _x000a_At Bank Aljazira                                                      _x000a_"/>
    <x v="71"/>
    <s v=""/>
    <x v="0"/>
    <n v="30"/>
    <n v="0"/>
    <x v="0"/>
    <s v="Received"/>
    <s v="Metten Al-Arabia Ltd Co (METARA)"/>
    <x v="0"/>
    <x v="10"/>
    <x v="13"/>
    <n v="10"/>
    <n v="2025"/>
    <m/>
  </r>
  <r>
    <x v="5"/>
    <x v="7"/>
    <x v="9"/>
    <s v="Dr TI ILC Comm/Other Charges                                          _x000a_POC003-274117892                                                      _x000a_At Bank Aljazira                                                      _x000a_ CORPORATE BANKING DEPT-JEDDAH                                        _x000a_Date 14-04-1447(H) Time 10.09.29                                      _x000a_Reference ILC-0840-25-7799                                            _x000a_Value Date 14-04-1447(H)                                              _x000a_Fee Collected By Bank AlJazira                                        _x000a_"/>
    <x v="72"/>
    <s v=""/>
    <x v="0"/>
    <n v="100"/>
    <n v="0"/>
    <x v="0"/>
    <s v="Received"/>
    <s v="Metal and Glass Trading Co"/>
    <x v="3"/>
    <x v="10"/>
    <x v="13"/>
    <n v="10"/>
    <n v="2025"/>
    <m/>
  </r>
  <r>
    <x v="5"/>
    <x v="7"/>
    <x v="9"/>
    <s v="Value Added Tax                                                       _x000a_On ILC Acceptance Comm.                                               _x000a_15% of SAR100.00                                                      _x000a_Through CORPORATE BANKING DEPT-JEDDAH                                 _x000a_Date 14-04-1447(H) Time 10.09.29                                      _x000a_Reference ILC-0840-25-7799                                            _x000a_At Bank Aljazira                                                      _x000a_"/>
    <x v="72"/>
    <s v=""/>
    <x v="0"/>
    <n v="15"/>
    <n v="0"/>
    <x v="0"/>
    <s v="Received"/>
    <s v="Metal and Glass Trading Co"/>
    <x v="3"/>
    <x v="10"/>
    <x v="13"/>
    <n v="10"/>
    <n v="2025"/>
    <m/>
  </r>
  <r>
    <x v="5"/>
    <x v="7"/>
    <x v="9"/>
    <s v="Dr TI ILC Comm/Other Charges                                          _x000a_POC003-274118344                                                      _x000a_At Bank Aljazira                                                      _x000a_ CORPORATE BANKING DEPT-JEDDAH                                        _x000a_Date 14-04-1447(H) Time 10.09.30                                      _x000a_Reference ILC-0840-25-7799                                            _x000a_Value Date 14-04-1447(H)                                              _x000a_Fee Collected By Bank AlJazira                                        _x000a_"/>
    <x v="72"/>
    <s v=""/>
    <x v="0"/>
    <n v="706"/>
    <n v="0"/>
    <x v="0"/>
    <s v="Received"/>
    <s v="Metal and Glass Trading Co"/>
    <x v="3"/>
    <x v="10"/>
    <x v="13"/>
    <n v="10"/>
    <n v="2025"/>
    <m/>
  </r>
  <r>
    <x v="5"/>
    <x v="7"/>
    <x v="9"/>
    <s v="Value Added Tax                                                       _x000a_On ILC Acceptance Comm.                                               _x000a_15% of SAR706.00                                                      _x000a_Through CORPORATE BANKING DEPT-JEDDAH                                 _x000a_Date 14-04-1447(H) Time 10.09.30                                      _x000a_Reference ILC-0840-25-7799                                            _x000a_At Bank Aljazira                                                      _x000a_"/>
    <x v="72"/>
    <s v=""/>
    <x v="0"/>
    <n v="105.9"/>
    <n v="0"/>
    <x v="0"/>
    <s v="Received"/>
    <s v="Metal and Glass Trading Co"/>
    <x v="3"/>
    <x v="10"/>
    <x v="13"/>
    <n v="10"/>
    <n v="2025"/>
    <m/>
  </r>
  <r>
    <x v="5"/>
    <x v="7"/>
    <x v="9"/>
    <s v="Dr TI ILC Comm/Other Charges                                          _x000a_POC003-274118348                                                      _x000a_At Bank Aljazira                                                      _x000a_ CORPORATE BANKING DEPT-JEDDAH                                        _x000a_Date 14-04-1447(H) Time 10.09.30                                      _x000a_Reference ILC-0840-25-7799                                            _x000a_Value Date 14-04-1447(H)                                              _x000a_Fee Collected By Bank AlJazira                                        _x000a_"/>
    <x v="72"/>
    <s v=""/>
    <x v="0"/>
    <n v="200"/>
    <n v="0"/>
    <x v="0"/>
    <s v="Received"/>
    <s v="Metal and Glass Trading Co"/>
    <x v="3"/>
    <x v="10"/>
    <x v="13"/>
    <n v="10"/>
    <n v="2025"/>
    <m/>
  </r>
  <r>
    <x v="5"/>
    <x v="7"/>
    <x v="9"/>
    <s v="Value Added Tax                                                       _x000a_On SWIFT charges                                                      _x000a_15% of SAR200.00                                                      _x000a_Through CORPORATE BANKING DEPT-JEDDAH                                 _x000a_Date 14-04-1447(H) Time 10.09.30                                      _x000a_Reference ILC-0840-25-7799                                            _x000a_At Bank Aljazira                                                      _x000a_"/>
    <x v="72"/>
    <s v=""/>
    <x v="0"/>
    <n v="30"/>
    <n v="0"/>
    <x v="0"/>
    <s v="Received"/>
    <s v="Metal and Glass Trading Co"/>
    <x v="3"/>
    <x v="10"/>
    <x v="13"/>
    <n v="10"/>
    <n v="2025"/>
    <m/>
  </r>
  <r>
    <x v="5"/>
    <x v="7"/>
    <x v="9"/>
    <s v="Dr TI ILC Comm/Other Charges                                          _x000a_AMD003-274208322                                                      _x000a_At Bank Aljazira                                                      _x000a_ CORPORATE BANKING DEPT-JEDDAH                                        _x000a_Exchange Rate 1.0                                                     _x000a_Date 14-04-1447(H) Time 15.27.32                                      _x000a_Reference ILC-0840-25-7353                                            _x000a_Value Date 14-04-1447(H)                                              _x000a_Fee Collected By Bank AlJazira                                        _x000a_"/>
    <x v="73"/>
    <s v=""/>
    <x v="0"/>
    <n v="1619.43"/>
    <n v="0"/>
    <x v="0"/>
    <s v="Received"/>
    <s v="Saudi Hepco Co. Ltd"/>
    <x v="3"/>
    <x v="10"/>
    <x v="13"/>
    <n v="10"/>
    <n v="2025"/>
    <m/>
  </r>
  <r>
    <x v="5"/>
    <x v="7"/>
    <x v="9"/>
    <s v="Value Added Tax                                                       _x000a_On ILC Commission                                                     _x000a_15% of SAR1,619.43                                                    _x000a_Through CORPORATE BANKING DEPT-JEDDAH                                 _x000a_Date 14-04-1447(H) Time 15.27.32                                      _x000a_Reference ILC-0840-25-7353                                            _x000a_At Bank Aljazira                                                      _x000a_Exchange Rate 1.0                                                     _x000a_"/>
    <x v="73"/>
    <s v=""/>
    <x v="0"/>
    <n v="242.91"/>
    <n v="0"/>
    <x v="0"/>
    <s v="Received"/>
    <s v="Saudi Hepco Co. Ltd"/>
    <x v="3"/>
    <x v="10"/>
    <x v="13"/>
    <n v="10"/>
    <n v="2025"/>
    <m/>
  </r>
  <r>
    <x v="5"/>
    <x v="7"/>
    <x v="9"/>
    <s v="Dr TI ILC Comm/Other Charges                                          _x000a_AMD003-274208324                                                      _x000a_At Bank Aljazira                                                      _x000a_ CORPORATE BANKING DEPT-JEDDAH                                        _x000a_Exchange Rate 1.0                                                     _x000a_Date 14-04-1447(H) Time 15.27.33                                      _x000a_Reference ILC-0840-25-7353                                            _x000a_Value Date 14-04-1447(H)                                              _x000a_Fee Collected By Bank AlJazira                                        _x000a_"/>
    <x v="73"/>
    <s v=""/>
    <x v="0"/>
    <n v="400"/>
    <n v="0"/>
    <x v="0"/>
    <s v="Received"/>
    <s v="Saudi Hepco Co. Ltd"/>
    <x v="3"/>
    <x v="10"/>
    <x v="13"/>
    <n v="10"/>
    <n v="2025"/>
    <m/>
  </r>
  <r>
    <x v="5"/>
    <x v="7"/>
    <x v="9"/>
    <s v="Value Added Tax                                                       _x000a_On SWIFT charges                                                      _x000a_15% of SAR400.00                                                      _x000a_Through CORPORATE BANKING DEPT-JEDDAH                                 _x000a_Date 14-04-1447(H) Time 15.27.33                                      _x000a_Reference ILC-0840-25-7353                                            _x000a_At Bank Aljazira                                                      _x000a_Exchange Rate 1.0                                                     _x000a_"/>
    <x v="73"/>
    <s v=""/>
    <x v="0"/>
    <n v="60"/>
    <n v="0"/>
    <x v="0"/>
    <s v="Received"/>
    <s v="Saudi Hepco Co. Ltd"/>
    <x v="3"/>
    <x v="10"/>
    <x v="13"/>
    <n v="10"/>
    <n v="2025"/>
    <m/>
  </r>
  <r>
    <x v="5"/>
    <x v="7"/>
    <x v="9"/>
    <s v="Dr TI ILC Comm/Other Charges                                          _x000a_AMD001-274207551                                                      _x000a_At Bank Aljazira                                                      _x000a_ CORPORATE BANKING DEPT-JEDDAH                                        _x000a_Date 14-04-1447(H) Time 15.27.59                                      _x000a_Reference ILC-0840-25-7982                                            _x000a_Value Date 14-04-1447(H)                                              _x000a_Fee Collected By Bank AlJazira                                        _x000a_"/>
    <x v="74"/>
    <s v=""/>
    <x v="0"/>
    <n v="500"/>
    <n v="0"/>
    <x v="0"/>
    <s v="Received"/>
    <s v="Alpha Limit Trading and Contracting Company"/>
    <x v="3"/>
    <x v="10"/>
    <x v="13"/>
    <n v="10"/>
    <n v="2025"/>
    <m/>
  </r>
  <r>
    <x v="5"/>
    <x v="7"/>
    <x v="9"/>
    <s v="Value Added Tax                                                       _x000a_On ILC Commission                                                     _x000a_15% of SAR500.00                                                      _x000a_Through CORPORATE BANKING DEPT-JEDDAH                                 _x000a_Date 14-04-1447(H) Time 15.27.59                                      _x000a_Reference ILC-0840-25-7982                                            _x000a_At Bank Aljazira                                                      _x000a_"/>
    <x v="74"/>
    <s v=""/>
    <x v="0"/>
    <n v="75"/>
    <n v="0"/>
    <x v="0"/>
    <s v="Received"/>
    <s v="Alpha Limit Trading and Contracting Company"/>
    <x v="3"/>
    <x v="10"/>
    <x v="13"/>
    <n v="10"/>
    <n v="2025"/>
    <m/>
  </r>
  <r>
    <x v="5"/>
    <x v="7"/>
    <x v="9"/>
    <s v="Dr TI ILC Comm/Other Charges                                          _x000a_AMD001-274207553                                                      _x000a_At Bank Aljazira                                                      _x000a_ CORPORATE BANKING DEPT-JEDDAH                                        _x000a_Date 14-04-1447(H) Time 15.27.59                                      _x000a_Reference ILC-0840-25-7982                                            _x000a_Value Date 14-04-1447(H)                                              _x000a_Fee Collected By Bank AlJazira                                        _x000a_"/>
    <x v="74"/>
    <s v=""/>
    <x v="0"/>
    <n v="400"/>
    <n v="0"/>
    <x v="0"/>
    <s v="Received"/>
    <s v="Alpha Limit Trading and Contracting Company"/>
    <x v="3"/>
    <x v="10"/>
    <x v="13"/>
    <n v="10"/>
    <n v="2025"/>
    <m/>
  </r>
  <r>
    <x v="5"/>
    <x v="7"/>
    <x v="9"/>
    <s v="Value Added Tax                                                       _x000a_On SWIFT charges                                                      _x000a_15% of SAR400.00                                                      _x000a_Through CORPORATE BANKING DEPT-JEDDAH                                 _x000a_Date 14-04-1447(H) Time 15.27.59                                      _x000a_Reference ILC-0840-25-7982                                            _x000a_At Bank Aljazira                                                      _x000a_"/>
    <x v="74"/>
    <s v=""/>
    <x v="0"/>
    <n v="60"/>
    <n v="0"/>
    <x v="0"/>
    <s v="Received"/>
    <s v="Alpha Limit Trading and Contracting Company"/>
    <x v="3"/>
    <x v="10"/>
    <x v="13"/>
    <n v="10"/>
    <n v="2025"/>
    <m/>
  </r>
  <r>
    <x v="5"/>
    <x v="7"/>
    <x v="9"/>
    <s v="Dr TI ILC Comm/Other Charges                                          _x000a_AMD004-274206332                                                      _x000a_At Bank Aljazira                                                      _x000a_ CORPORATE BANKING DEPT-JEDDAH                                        _x000a_Exchange Rate 1.0                                                     _x000a_Date 14-04-1447(H) Time 15.28.31                                      _x000a_Reference ILC-0840-25-7352                                            _x000a_Value Date 14-04-1447(H)                                              _x000a_Fee Collected By Bank AlJazira                                        _x000a_"/>
    <x v="75"/>
    <s v=""/>
    <x v="0"/>
    <n v="3368.49"/>
    <n v="0"/>
    <x v="0"/>
    <s v="Received"/>
    <s v="ALFANAR ELECTRICAL SYSTEMS"/>
    <x v="3"/>
    <x v="10"/>
    <x v="13"/>
    <n v="10"/>
    <n v="2025"/>
    <m/>
  </r>
  <r>
    <x v="5"/>
    <x v="7"/>
    <x v="9"/>
    <s v="Value Added Tax                                                       _x000a_On ILC Commission                                                     _x000a_15% of SAR3,368.49                                                    _x000a_Through CORPORATE BANKING DEPT-JEDDAH                                 _x000a_Date 14-04-1447(H) Time 15.28.32                                      _x000a_Reference ILC-0840-25-7352                                            _x000a_At Bank Aljazira                                                      _x000a_Exchange Rate 1.0                                                     _x000a_"/>
    <x v="75"/>
    <s v=""/>
    <x v="0"/>
    <n v="505.27"/>
    <n v="0"/>
    <x v="0"/>
    <s v="Received"/>
    <s v="ALFANAR ELECTRICAL SYSTEMS"/>
    <x v="3"/>
    <x v="10"/>
    <x v="13"/>
    <n v="10"/>
    <n v="2025"/>
    <m/>
  </r>
  <r>
    <x v="5"/>
    <x v="7"/>
    <x v="9"/>
    <s v="Dr TI ILC Comm/Other Charges                                          _x000a_AMD004-274206334                                                      _x000a_At Bank Aljazira                                                      _x000a_ CORPORATE BANKING DEPT-JEDDAH                                        _x000a_Exchange Rate 1.0                                                     _x000a_Date 14-04-1447(H) Time 15.28.32                                      _x000a_Reference ILC-0840-25-7352                                            _x000a_Value Date 14-04-1447(H)                                              _x000a_Fee Collected By Bank AlJazira                                        _x000a_"/>
    <x v="75"/>
    <s v=""/>
    <x v="0"/>
    <n v="400"/>
    <n v="0"/>
    <x v="0"/>
    <s v="Received"/>
    <s v="ALFANAR ELECTRICAL SYSTEMS"/>
    <x v="3"/>
    <x v="10"/>
    <x v="13"/>
    <n v="10"/>
    <n v="2025"/>
    <m/>
  </r>
  <r>
    <x v="5"/>
    <x v="7"/>
    <x v="9"/>
    <s v="Value Added Tax                                                       _x000a_On SWIFT charges                                                      _x000a_15% of SAR400.00                                                      _x000a_Through CORPORATE BANKING DEPT-JEDDAH                                 _x000a_Date 14-04-1447(H) Time 15.28.33                                      _x000a_Reference ILC-0840-25-7352                                            _x000a_At Bank Aljazira                                                      _x000a_Exchange Rate 1.0                                                     _x000a_"/>
    <x v="75"/>
    <s v=""/>
    <x v="0"/>
    <n v="60"/>
    <n v="0"/>
    <x v="0"/>
    <s v="Received"/>
    <s v="ALFANAR ELECTRICAL SYSTEMS"/>
    <x v="3"/>
    <x v="10"/>
    <x v="13"/>
    <n v="10"/>
    <n v="2025"/>
    <m/>
  </r>
  <r>
    <x v="5"/>
    <x v="7"/>
    <x v="9"/>
    <s v="Dr TI ILC Comm/Other Charges                                          _x000a_AMD001-274204768                                                      _x000a_At Bank Aljazira                                                      _x000a_ CORPORATE BANKING DEPT-JEDDAH                                        _x000a_Date 14-04-1447(H) Time 15.28.56                                      _x000a_Reference ILC-0840-25-7981                                            _x000a_Value Date 14-04-1447(H)                                              _x000a_Fee Collected By Bank AlJazira                                        _x000a_"/>
    <x v="76"/>
    <s v=""/>
    <x v="0"/>
    <n v="500"/>
    <n v="0"/>
    <x v="0"/>
    <s v="Received"/>
    <s v="Ealla For General Contracting"/>
    <x v="3"/>
    <x v="10"/>
    <x v="13"/>
    <n v="10"/>
    <n v="2025"/>
    <m/>
  </r>
  <r>
    <x v="5"/>
    <x v="7"/>
    <x v="9"/>
    <s v="Value Added Tax                                                       _x000a_On ILC Commission                                                     _x000a_15% of SAR500.00                                                      _x000a_Through CORPORATE BANKING DEPT-JEDDAH                                 _x000a_Date 14-04-1447(H) Time 15.28.57                                      _x000a_Reference ILC-0840-25-7981                                            _x000a_At Bank Aljazira                                                      _x000a_"/>
    <x v="76"/>
    <s v=""/>
    <x v="0"/>
    <n v="75"/>
    <n v="0"/>
    <x v="0"/>
    <s v="Received"/>
    <s v="Ealla For General Contracting"/>
    <x v="3"/>
    <x v="10"/>
    <x v="13"/>
    <n v="10"/>
    <n v="2025"/>
    <m/>
  </r>
  <r>
    <x v="5"/>
    <x v="7"/>
    <x v="9"/>
    <s v="Dr TI ILC Comm/Other Charges                                          _x000a_AMD001-274203702                                                      _x000a_At Bank Aljazira                                                      _x000a_ CORPORATE BANKING DEPT-JEDDAH                                        _x000a_Date 14-04-1447(H) Time 15.29.25                                      _x000a_Reference ILC-0840-25-7992                                            _x000a_Value Date 14-04-1447(H)                                              _x000a_Fee Collected By Bank AlJazira                                        _x000a_"/>
    <x v="77"/>
    <s v=""/>
    <x v="0"/>
    <n v="2633.28"/>
    <n v="0"/>
    <x v="0"/>
    <s v="Received"/>
    <s v="ALFANAR ELECTRICAL SYSTEMS"/>
    <x v="3"/>
    <x v="10"/>
    <x v="13"/>
    <n v="10"/>
    <n v="2025"/>
    <m/>
  </r>
  <r>
    <x v="5"/>
    <x v="7"/>
    <x v="9"/>
    <s v="Value Added Tax                                                       _x000a_On ILC Commission                                                     _x000a_15% of SAR2,633.28                                                    _x000a_Through CORPORATE BANKING DEPT-JEDDAH                                 _x000a_Date 14-04-1447(H) Time 15.29.25                                      _x000a_Reference ILC-0840-25-7992                                            _x000a_At Bank Aljazira                                                      _x000a_"/>
    <x v="77"/>
    <s v=""/>
    <x v="0"/>
    <n v="394.99"/>
    <n v="0"/>
    <x v="0"/>
    <s v="Received"/>
    <s v="ALFANAR ELECTRICAL SYSTEMS"/>
    <x v="3"/>
    <x v="10"/>
    <x v="13"/>
    <n v="10"/>
    <n v="2025"/>
    <m/>
  </r>
  <r>
    <x v="5"/>
    <x v="7"/>
    <x v="9"/>
    <s v="Dr TI ILC Comm/Other Charges                                          _x000a_AMD001-274203704                                                      _x000a_At Bank Aljazira                                                      _x000a_ CORPORATE BANKING DEPT-JEDDAH                                        _x000a_Date 14-04-1447(H) Time 15.29.25                                      _x000a_Reference ILC-0840-25-7992                                            _x000a_Value Date 14-04-1447(H)                                              _x000a_Fee Collected By Bank AlJazira                                        _x000a_"/>
    <x v="77"/>
    <s v=""/>
    <x v="0"/>
    <n v="400"/>
    <n v="0"/>
    <x v="0"/>
    <s v="Received"/>
    <s v="ALFANAR ELECTRICAL SYSTEMS"/>
    <x v="3"/>
    <x v="10"/>
    <x v="13"/>
    <n v="10"/>
    <n v="2025"/>
    <m/>
  </r>
  <r>
    <x v="5"/>
    <x v="7"/>
    <x v="9"/>
    <s v="Value Added Tax                                                       _x000a_On SWIFT charges                                                      _x000a_15% of SAR400.00                                                      _x000a_Through CORPORATE BANKING DEPT-JEDDAH                                 _x000a_Date 14-04-1447(H) Time 15.29.25                                      _x000a_Reference ILC-0840-25-7992                                            _x000a_At Bank Aljazira                                                      _x000a_"/>
    <x v="77"/>
    <s v=""/>
    <x v="0"/>
    <n v="60"/>
    <n v="0"/>
    <x v="0"/>
    <s v="Received"/>
    <s v="ALFANAR ELECTRICAL SYSTEMS"/>
    <x v="3"/>
    <x v="10"/>
    <x v="13"/>
    <n v="10"/>
    <n v="2025"/>
    <m/>
  </r>
  <r>
    <x v="5"/>
    <x v="7"/>
    <x v="9"/>
    <s v="Dr TI ILC Comm/Other Charges                                          _x000a_AMD002-274202919                                                      _x000a_At Bank Aljazira                                                      _x000a_ CORPORATE BANKING DEPT-JEDDAH                                        _x000a_Date 14-04-1447(H) Time 15.29.49                                      _x000a_Reference ILC-0840-25-7570                                            _x000a_Value Date 14-04-1447(H)                                              _x000a_Fee Collected By Bank AlJazira                                        _x000a_"/>
    <x v="78"/>
    <s v=""/>
    <x v="0"/>
    <n v="500"/>
    <n v="0"/>
    <x v="0"/>
    <s v="Received"/>
    <s v="MOHAMMED RAMADAN SHAT FACTORY FOR METAL INDUSTRIES"/>
    <x v="3"/>
    <x v="10"/>
    <x v="13"/>
    <n v="10"/>
    <n v="2025"/>
    <m/>
  </r>
  <r>
    <x v="5"/>
    <x v="7"/>
    <x v="9"/>
    <s v="Value Added Tax                                                       _x000a_On ILC Commission                                                     _x000a_15% of SAR500.00                                                      _x000a_Through CORPORATE BANKING DEPT-JEDDAH                                 _x000a_Date 14-04-1447(H) Time 15.29.49                                      _x000a_Reference ILC-0840-25-7570                                            _x000a_At Bank Aljazira                                                      _x000a_"/>
    <x v="78"/>
    <s v=""/>
    <x v="0"/>
    <n v="75"/>
    <n v="0"/>
    <x v="0"/>
    <s v="Received"/>
    <s v="MOHAMMED RAMADAN SHAT FACTORY FOR METAL INDUSTRIES"/>
    <x v="3"/>
    <x v="10"/>
    <x v="13"/>
    <n v="10"/>
    <n v="2025"/>
    <m/>
  </r>
  <r>
    <x v="5"/>
    <x v="7"/>
    <x v="9"/>
    <s v="Dr TI ILC Comm/Other Charges                                          _x000a_AMD002-274202921                                                      _x000a_At Bank Aljazira                                                      _x000a_ CORPORATE BANKING DEPT-JEDDAH                                        _x000a_Date 14-04-1447(H) Time 15.29.49                                      _x000a_Reference ILC-0840-25-7570                                            _x000a_Value Date 14-04-1447(H)                                              _x000a_Fee Collected By Bank AlJazira                                        _x000a_"/>
    <x v="78"/>
    <s v=""/>
    <x v="0"/>
    <n v="400"/>
    <n v="0"/>
    <x v="0"/>
    <s v="Received"/>
    <s v="MOHAMMED RAMADAN SHAT FACTORY FOR METAL INDUSTRIES"/>
    <x v="3"/>
    <x v="10"/>
    <x v="13"/>
    <n v="10"/>
    <n v="2025"/>
    <m/>
  </r>
  <r>
    <x v="5"/>
    <x v="7"/>
    <x v="9"/>
    <s v="Value Added Tax                                                       _x000a_On SWIFT charges                                                      _x000a_15% of SAR400.00                                                      _x000a_Through CORPORATE BANKING DEPT-JEDDAH                                 _x000a_Date 14-04-1447(H) Time 15.29.49                                      _x000a_Reference ILC-0840-25-7570                                            _x000a_At Bank Aljazira                                                      _x000a_"/>
    <x v="78"/>
    <s v=""/>
    <x v="0"/>
    <n v="60"/>
    <n v="0"/>
    <x v="0"/>
    <s v="Received"/>
    <s v="MOHAMMED RAMADAN SHAT FACTORY FOR METAL INDUSTRIES"/>
    <x v="3"/>
    <x v="10"/>
    <x v="13"/>
    <n v="10"/>
    <n v="2025"/>
    <m/>
  </r>
  <r>
    <x v="5"/>
    <x v="7"/>
    <x v="9"/>
    <s v="Dr TI ILC Comm/Other Charges                                          _x000a_AMD003-274201345                                                      _x000a_At Bank Aljazira                                                      _x000a_ CORPORATE BANKING DEPT-JEDDAH                                        _x000a_Exchange Rate 1.0                                                     _x000a_Date 14-04-1447(H) Time 15.30.21                                      _x000a_Reference ILC-0840-25-7354                                            _x000a_Value Date 14-04-1447(H)                                              _x000a_Fee Collected By Bank AlJazira                                        _x000a_"/>
    <x v="79"/>
    <s v=""/>
    <x v="0"/>
    <n v="500"/>
    <n v="0"/>
    <x v="0"/>
    <s v="Received"/>
    <s v="UNITED PARK CO"/>
    <x v="3"/>
    <x v="10"/>
    <x v="13"/>
    <n v="10"/>
    <n v="2025"/>
    <m/>
  </r>
  <r>
    <x v="5"/>
    <x v="7"/>
    <x v="9"/>
    <s v="Value Added Tax                                                       _x000a_On ILC Commission                                                     _x000a_15% of SAR500.00                                                      _x000a_Through CORPORATE BANKING DEPT-JEDDAH                                 _x000a_Date 14-04-1447(H) Time 15.30.21                                      _x000a_Reference ILC-0840-25-7354                                            _x000a_At Bank Aljazira                                                      _x000a_Exchange Rate 1.0                                                     _x000a_"/>
    <x v="79"/>
    <s v=""/>
    <x v="0"/>
    <n v="75"/>
    <n v="0"/>
    <x v="0"/>
    <s v="Received"/>
    <s v="UNITED PARK CO"/>
    <x v="3"/>
    <x v="10"/>
    <x v="13"/>
    <n v="10"/>
    <n v="2025"/>
    <m/>
  </r>
  <r>
    <x v="5"/>
    <x v="7"/>
    <x v="9"/>
    <s v="Dr TI ILC Comm/Other Charges                                          _x000a_AMD003-274201347                                                      _x000a_At Bank Aljazira                                                      _x000a_ CORPORATE BANKING DEPT-JEDDAH                                        _x000a_Exchange Rate 1.0                                                     _x000a_Date 14-04-1447(H) Time 15.30.22                                      _x000a_Reference ILC-0840-25-7354                                            _x000a_Value Date 14-04-1447(H)                                              _x000a_Fee Collected By Bank AlJazira                                        _x000a_"/>
    <x v="79"/>
    <s v=""/>
    <x v="0"/>
    <n v="400"/>
    <n v="0"/>
    <x v="0"/>
    <s v="Received"/>
    <s v="UNITED PARK CO"/>
    <x v="3"/>
    <x v="10"/>
    <x v="13"/>
    <n v="10"/>
    <n v="2025"/>
    <m/>
  </r>
  <r>
    <x v="5"/>
    <x v="7"/>
    <x v="9"/>
    <s v="Value Added Tax                                                       _x000a_On SWIFT charges                                                      _x000a_15% of SAR400.00                                                      _x000a_Through CORPORATE BANKING DEPT-JEDDAH                                 _x000a_Date 14-04-1447(H) Time 15.30.23                                      _x000a_Reference ILC-0840-25-7354                                            _x000a_At Bank Aljazira                                                      _x000a_Exchange Rate 1.0                                                     _x000a_"/>
    <x v="79"/>
    <s v=""/>
    <x v="0"/>
    <n v="60"/>
    <n v="0"/>
    <x v="0"/>
    <s v="Received"/>
    <s v="UNITED PARK CO"/>
    <x v="3"/>
    <x v="10"/>
    <x v="13"/>
    <n v="10"/>
    <n v="2025"/>
    <m/>
  </r>
  <r>
    <x v="5"/>
    <x v="7"/>
    <x v="9"/>
    <s v="Dr TI ILC Comm/Other Charges                                          _x000a_AMD001-274200359                                                      _x000a_At Bank Aljazira                                                      _x000a_ CORPORATE BANKING DEPT-JEDDAH                                        _x000a_Date 14-04-1447(H) Time 15.31.06                                      _x000a_Reference ILC-0840-25-7984                                            _x000a_Value Date 14-04-1447(H)                                              _x000a_Fee Collected By Bank AlJazira                                        _x000a_"/>
    <x v="80"/>
    <s v=""/>
    <x v="0"/>
    <n v="500"/>
    <n v="0"/>
    <x v="0"/>
    <s v="Received"/>
    <s v="Mohammed Ramadan Shat"/>
    <x v="3"/>
    <x v="10"/>
    <x v="13"/>
    <n v="10"/>
    <n v="2025"/>
    <m/>
  </r>
  <r>
    <x v="5"/>
    <x v="7"/>
    <x v="9"/>
    <s v="Value Added Tax                                                       _x000a_On ILC Commission                                                     _x000a_15% of SAR500.00                                                      _x000a_Through CORPORATE BANKING DEPT-JEDDAH                                 _x000a_Date 14-04-1447(H) Time 15.31.06                                      _x000a_Reference ILC-0840-25-7984                                            _x000a_At Bank Aljazira                                                      _x000a_"/>
    <x v="80"/>
    <s v=""/>
    <x v="0"/>
    <n v="75"/>
    <n v="0"/>
    <x v="0"/>
    <s v="Received"/>
    <s v="Mohammed Ramadan Shat"/>
    <x v="3"/>
    <x v="10"/>
    <x v="13"/>
    <n v="10"/>
    <n v="2025"/>
    <m/>
  </r>
  <r>
    <x v="5"/>
    <x v="7"/>
    <x v="9"/>
    <s v="Dr TI ILC Comm/Other Charges                                          _x000a_AMD001-274200361                                                      _x000a_At Bank Aljazira                                                      _x000a_ CORPORATE BANKING DEPT-JEDDAH                                        _x000a_Date 14-04-1447(H) Time 15.31.07                                      _x000a_Reference ILC-0840-25-7984                                            _x000a_Value Date 14-04-1447(H)                                              _x000a_Fee Collected By Bank AlJazira                                        _x000a_"/>
    <x v="80"/>
    <s v=""/>
    <x v="0"/>
    <n v="400"/>
    <n v="0"/>
    <x v="0"/>
    <s v="Received"/>
    <s v="Mohammed Ramadan Shat"/>
    <x v="3"/>
    <x v="10"/>
    <x v="13"/>
    <n v="10"/>
    <n v="2025"/>
    <m/>
  </r>
  <r>
    <x v="5"/>
    <x v="7"/>
    <x v="9"/>
    <s v="Value Added Tax                                                       _x000a_On SWIFT charges                                                      _x000a_15% of SAR400.00                                                      _x000a_Through CORPORATE BANKING DEPT-JEDDAH                                 _x000a_Date 14-04-1447(H) Time 15.31.07                                      _x000a_Reference ILC-0840-25-7984                                            _x000a_At Bank Aljazira                                                      _x000a_"/>
    <x v="80"/>
    <s v=""/>
    <x v="0"/>
    <n v="60"/>
    <n v="0"/>
    <x v="0"/>
    <s v="Received"/>
    <s v="Mohammed Ramadan Shat"/>
    <x v="3"/>
    <x v="10"/>
    <x v="13"/>
    <n v="10"/>
    <n v="2025"/>
    <m/>
  </r>
  <r>
    <x v="5"/>
    <x v="7"/>
    <x v="9"/>
    <s v="Dr TI ILC Comm/Other Charges                                          _x000a_AMD003-274199123                                                      _x000a_At Bank Aljazira                                                      _x000a_ CORPORATE BANKING DEPT-JEDDAH                                        _x000a_Date 14-04-1447(H) Time 15.32.05                                      _x000a_Reference ILC-0840-25-7407                                            _x000a_Value Date 14-04-1447(H)                                              _x000a_Fee Collected By Bank AlJazira                                        _x000a_"/>
    <x v="81"/>
    <s v=""/>
    <x v="0"/>
    <n v="989.73"/>
    <n v="0"/>
    <x v="0"/>
    <s v="Received"/>
    <s v="SITE TECHNOLOGY SAUDI ARABIA LTD"/>
    <x v="3"/>
    <x v="10"/>
    <x v="13"/>
    <n v="10"/>
    <n v="2025"/>
    <m/>
  </r>
  <r>
    <x v="5"/>
    <x v="7"/>
    <x v="9"/>
    <s v="Value Added Tax                                                       _x000a_On ILC Commission                                                     _x000a_15% of SAR989.73                                                      _x000a_Through CORPORATE BANKING DEPT-JEDDAH                                 _x000a_Date 14-04-1447(H) Time 15.32.05                                      _x000a_Reference ILC-0840-25-7407                                            _x000a_At Bank Aljazira                                                      _x000a_"/>
    <x v="81"/>
    <s v=""/>
    <x v="0"/>
    <n v="148.46"/>
    <n v="0"/>
    <x v="0"/>
    <s v="Received"/>
    <s v="SITE TECHNOLOGY SAUDI ARABIA LTD"/>
    <x v="3"/>
    <x v="10"/>
    <x v="13"/>
    <n v="10"/>
    <n v="2025"/>
    <m/>
  </r>
  <r>
    <x v="5"/>
    <x v="7"/>
    <x v="9"/>
    <s v="Dr TI ILC Comm/Other Charges                                          _x000a_AMD003-274199125                                                      _x000a_At Bank Aljazira                                                      _x000a_ CORPORATE BANKING DEPT-JEDDAH                                        _x000a_Date 14-04-1447(H) Time 15.32.05                                      _x000a_Reference ILC-0840-25-7407                                            _x000a_Value Date 14-04-1447(H)                                              _x000a_Fee Collected By Bank AlJazira                                        _x000a_"/>
    <x v="81"/>
    <s v=""/>
    <x v="0"/>
    <n v="400"/>
    <n v="0"/>
    <x v="0"/>
    <s v="Received"/>
    <s v="SITE TECHNOLOGY SAUDI ARABIA LTD"/>
    <x v="3"/>
    <x v="10"/>
    <x v="13"/>
    <n v="10"/>
    <n v="2025"/>
    <m/>
  </r>
  <r>
    <x v="5"/>
    <x v="7"/>
    <x v="9"/>
    <s v="Value Added Tax                                                       _x000a_On SWIFT charges                                                      _x000a_15% of SAR400.00                                                      _x000a_Through CORPORATE BANKING DEPT-JEDDAH                                 _x000a_Date 14-04-1447(H) Time 15.32.05                                      _x000a_Reference ILC-0840-25-7407                                            _x000a_At Bank Aljazira                                                      _x000a_"/>
    <x v="81"/>
    <s v=""/>
    <x v="0"/>
    <n v="60"/>
    <n v="0"/>
    <x v="0"/>
    <s v="Received"/>
    <s v="SITE TECHNOLOGY SAUDI ARABIA LTD"/>
    <x v="3"/>
    <x v="10"/>
    <x v="13"/>
    <n v="10"/>
    <n v="2025"/>
    <m/>
  </r>
  <r>
    <x v="5"/>
    <x v="0"/>
    <x v="9"/>
    <s v="TI Bill Settled                                                       _x000a_POC004                                                                _x000a_At Bank AlJazira                                                      _x000a_CORPORATE BANKING DEPT-JEDDAH                                         _x000a_Date 15-04-1447(H) Time 10.51.10                                      _x000a_Reference ILC-0840-25-7352                                            _x000a_"/>
    <x v="75"/>
    <s v=""/>
    <x v="0"/>
    <n v="452640"/>
    <n v="0"/>
    <x v="0"/>
    <s v="Received"/>
    <s v="ALFANAR ELECTRICAL SYSTEMS"/>
    <x v="3"/>
    <x v="10"/>
    <x v="13"/>
    <n v="10"/>
    <n v="2025"/>
    <m/>
  </r>
  <r>
    <x v="5"/>
    <x v="8"/>
    <x v="9"/>
    <s v="TI Bill Settled                                                       _x000a_POC004                                                                _x000a_At Bank AlJazira                                                      _x000a_CORPORATE BANKING DEPT-JEDDAH                                         _x000a_Date 20-04-1447(H) Time 10.30.14                                      _x000a_Reference ILC-0840-25-7266                                            _x000a_"/>
    <x v="82"/>
    <s v="ILC-0840-25-7266"/>
    <x v="0"/>
    <n v="84210.02"/>
    <n v="0"/>
    <x v="0"/>
    <s v="Received"/>
    <s v="Alpha Limit Trading and Contracting Company"/>
    <x v="3"/>
    <x v="10"/>
    <x v="13"/>
    <n v="10"/>
    <n v="2025"/>
    <m/>
  </r>
  <r>
    <x v="5"/>
    <x v="8"/>
    <x v="9"/>
    <s v="TI Bill Settled                                                       _x000a_POC006                                                                _x000a_At Bank AlJazira                                                      _x000a_CORPORATE BANKING DEPT-JEDDAH                                         _x000a_Date 20-04-1447(H) Time 10.32.54                                      _x000a_Reference ILC-0840-25-7566                                            _x000a_"/>
    <x v="83"/>
    <s v="ILC-0840-25-7566"/>
    <x v="0"/>
    <n v="456166"/>
    <n v="0"/>
    <x v="0"/>
    <s v="Received"/>
    <s v="SAUDI HEPCO"/>
    <x v="3"/>
    <x v="10"/>
    <x v="13"/>
    <n v="10"/>
    <n v="2025"/>
    <m/>
  </r>
  <r>
    <x v="5"/>
    <x v="8"/>
    <x v="9"/>
    <s v="TI Bill Settled                                                       _x000a_POC003                                                                _x000a_At Bank AlJazira                                                      _x000a_CORPORATE BANKING DEPT-JEDDAH                                         _x000a_Date 20-04-1447(H) Time 10.33.39                                      _x000a_Reference ILC-0840-25-7982                                            _x000a_"/>
    <x v="74"/>
    <s v="ILC-0840-25-7982"/>
    <x v="0"/>
    <n v="154977.42000000001"/>
    <n v="0"/>
    <x v="0"/>
    <s v="Received"/>
    <s v="Alpha Limit Trading and Contracting Company"/>
    <x v="3"/>
    <x v="10"/>
    <x v="13"/>
    <n v="10"/>
    <n v="2025"/>
    <m/>
  </r>
  <r>
    <x v="5"/>
    <x v="8"/>
    <x v="9"/>
    <s v="Dr TI ILC Comm/Other Charges                                          _x000a_POC002-274724904                                                      _x000a_At Bank Aljazira                                                      _x000a_ CORPORATE BANKING DEPT-JEDDAH                                        _x000a_Date 20-04-1447(H) Time 12.06.14                                      _x000a_Reference ILC-0840-25-8011                                            _x000a_Value Date 20-04-1447(H)                                              _x000a_Fee Collected By Bank AlJazira                                        _x000a_"/>
    <x v="71"/>
    <s v="ILC-0840-25-8011"/>
    <x v="0"/>
    <n v="100"/>
    <n v="0"/>
    <x v="0"/>
    <s v="Received"/>
    <s v="Metten Al-Arabia Ltd Co (METARA)"/>
    <x v="0"/>
    <x v="10"/>
    <x v="13"/>
    <n v="10"/>
    <n v="2025"/>
    <m/>
  </r>
  <r>
    <x v="5"/>
    <x v="8"/>
    <x v="9"/>
    <s v="Value Added Tax                                                       _x000a_On ILC Acceptance Comm.                                               _x000a_15% of SAR100.00                                                      _x000a_Through CORPORATE BANKING DEPT-JEDDAH                                 _x000a_Date 20-04-1447(H) Time 12.06.14                                      _x000a_Reference ILC-0840-25-8011                                            _x000a_At Bank Aljazira                                                      _x000a_"/>
    <x v="71"/>
    <s v="ILC-0840-25-8011"/>
    <x v="0"/>
    <n v="15"/>
    <n v="0"/>
    <x v="0"/>
    <s v="Received"/>
    <s v="Metten Al-Arabia Ltd Co (METARA)"/>
    <x v="0"/>
    <x v="10"/>
    <x v="13"/>
    <n v="10"/>
    <n v="2025"/>
    <m/>
  </r>
  <r>
    <x v="5"/>
    <x v="8"/>
    <x v="9"/>
    <s v="Dr TI ILC Comm/Other Charges                                          _x000a_POC002-274725245                                                      _x000a_At Bank Aljazira                                                      _x000a_ CORPORATE BANKING DEPT-JEDDAH                                        _x000a_Date 20-04-1447(H) Time 12.06.14                                      _x000a_Reference ILC-0840-25-8011                                            _x000a_Value Date 20-04-1447(H)                                              _x000a_Fee Collected By Bank AlJazira                                        _x000a_"/>
    <x v="71"/>
    <s v="ILC-0840-25-8011"/>
    <x v="0"/>
    <n v="299"/>
    <n v="0"/>
    <x v="0"/>
    <s v="Received"/>
    <s v="Metten Al-Arabia Ltd Co (METARA)"/>
    <x v="0"/>
    <x v="10"/>
    <x v="13"/>
    <n v="10"/>
    <n v="2025"/>
    <m/>
  </r>
  <r>
    <x v="5"/>
    <x v="8"/>
    <x v="9"/>
    <s v="Value Added Tax                                                       _x000a_On ILC Acceptance Comm.                                               _x000a_15% of SAR299.00                                                      _x000a_Through CORPORATE BANKING DEPT-JEDDAH                                 _x000a_Date 20-04-1447(H) Time 12.06.15                                      _x000a_Reference ILC-0840-25-8011                                            _x000a_At Bank Aljazira                                                      _x000a_"/>
    <x v="71"/>
    <s v="ILC-0840-25-8011"/>
    <x v="0"/>
    <n v="44.85"/>
    <n v="0"/>
    <x v="0"/>
    <s v="Received"/>
    <s v="Metten Al-Arabia Ltd Co (METARA)"/>
    <x v="0"/>
    <x v="10"/>
    <x v="13"/>
    <n v="10"/>
    <n v="2025"/>
    <m/>
  </r>
  <r>
    <x v="5"/>
    <x v="8"/>
    <x v="9"/>
    <s v="Dr TI ILC Comm/Other Charges                                          _x000a_POC002-274725247                                                      _x000a_At Bank Aljazira                                                      _x000a_ CORPORATE BANKING DEPT-JEDDAH                                        _x000a_Date 20-04-1447(H) Time 12.06.15                                      _x000a_Reference ILC-0840-25-8011                                            _x000a_Value Date 20-04-1447(H)                                              _x000a_Fee Collected By Bank AlJazira                                        _x000a_"/>
    <x v="71"/>
    <s v="ILC-0840-25-8011"/>
    <x v="0"/>
    <n v="200"/>
    <n v="0"/>
    <x v="0"/>
    <s v="Received"/>
    <s v="Metten Al-Arabia Ltd Co (METARA)"/>
    <x v="0"/>
    <x v="10"/>
    <x v="13"/>
    <n v="10"/>
    <n v="2025"/>
    <m/>
  </r>
  <r>
    <x v="5"/>
    <x v="8"/>
    <x v="9"/>
    <s v="Value Added Tax                                                       _x000a_On SWIFT charges                                                      _x000a_15% of SAR200.00                                                      _x000a_Through CORPORATE BANKING DEPT-JEDDAH                                 _x000a_Date 20-04-1447(H) Time 12.06.15                                      _x000a_Reference ILC-0840-25-8011                                            _x000a_At Bank Aljazira                                                      _x000a_"/>
    <x v="71"/>
    <s v="ILC-0840-25-8011"/>
    <x v="0"/>
    <n v="30"/>
    <n v="0"/>
    <x v="0"/>
    <s v="Received"/>
    <s v="Metten Al-Arabia Ltd Co (METARA)"/>
    <x v="0"/>
    <x v="10"/>
    <x v="13"/>
    <n v="10"/>
    <n v="2025"/>
    <m/>
  </r>
  <r>
    <x v="5"/>
    <x v="8"/>
    <x v="9"/>
    <s v="Dr TI ILC Comm/Other Charges                                          _x000a_POC005-274769741                                                      _x000a_At Bank Aljazira                                                      _x000a_ CORPORATE BANKING DEPT-JEDDAH                                        _x000a_Exchange Rate 1.0                                                     _x000a_Date 20-04-1447(H) Time 14.53.47                                      _x000a_Reference ILC-0840-25-7351                                            _x000a_Value Date 20-04-1447(H)                                              _x000a_Fee Collected By Bank AlJazira                                        _x000a_"/>
    <x v="69"/>
    <s v="ILC-0840-25-7351"/>
    <x v="0"/>
    <n v="100"/>
    <n v="0"/>
    <x v="0"/>
    <s v="Received"/>
    <s v="Al Wasail Industrial Company"/>
    <x v="3"/>
    <x v="10"/>
    <x v="13"/>
    <n v="10"/>
    <n v="2025"/>
    <m/>
  </r>
  <r>
    <x v="5"/>
    <x v="8"/>
    <x v="9"/>
    <s v="Value Added Tax                                                       _x000a_On ILC Acceptance Comm.                                               _x000a_15% of SAR100.00                                                      _x000a_Through CORPORATE BANKING DEPT-JEDDAH                                 _x000a_Date 20-04-1447(H) Time 14.53.48                                      _x000a_Reference ILC-0840-25-7351                                            _x000a_At Bank Aljazira                                                      _x000a_Exchange Rate 1.0                                                     _x000a_"/>
    <x v="69"/>
    <s v="ILC-0840-25-7351"/>
    <x v="0"/>
    <n v="15"/>
    <n v="0"/>
    <x v="0"/>
    <s v="Received"/>
    <s v="Al Wasail Industrial Company"/>
    <x v="3"/>
    <x v="10"/>
    <x v="13"/>
    <n v="10"/>
    <n v="2025"/>
    <m/>
  </r>
  <r>
    <x v="5"/>
    <x v="8"/>
    <x v="9"/>
    <s v="Dr TI ILC Comm/Other Charges                                          _x000a_POC005-274769802                                                      _x000a_At Bank Aljazira                                                      _x000a_ CORPORATE BANKING DEPT-JEDDAH                                        _x000a_Exchange Rate 1.0                                                     _x000a_Date 20-04-1447(H) Time 14.53.48                                      _x000a_Reference ILC-0840-25-7351                                            _x000a_Value Date 20-04-1447(H)                                              _x000a_Fee Collected By Bank AlJazira                                        _x000a_"/>
    <x v="69"/>
    <s v="ILC-0840-25-7351"/>
    <x v="0"/>
    <n v="250"/>
    <n v="0"/>
    <x v="0"/>
    <s v="Received"/>
    <s v="Al Wasail Industrial Company"/>
    <x v="3"/>
    <x v="10"/>
    <x v="13"/>
    <n v="10"/>
    <n v="2025"/>
    <m/>
  </r>
  <r>
    <x v="5"/>
    <x v="8"/>
    <x v="9"/>
    <s v="Value Added Tax                                                       _x000a_On ILC Acceptance Comm.                                               _x000a_15% of SAR250.00                                                      _x000a_Through CORPORATE BANKING DEPT-JEDDAH                                 _x000a_Date 20-04-1447(H) Time 14.53.49                                      _x000a_Reference ILC-0840-25-7351                                            _x000a_At Bank Aljazira                                                      _x000a_Exchange Rate 1.0                                                     _x000a_"/>
    <x v="69"/>
    <s v="ILC-0840-25-7351"/>
    <x v="0"/>
    <n v="37.5"/>
    <n v="0"/>
    <x v="0"/>
    <s v="Received"/>
    <s v="Al Wasail Industrial Company"/>
    <x v="3"/>
    <x v="10"/>
    <x v="13"/>
    <n v="10"/>
    <n v="2025"/>
    <m/>
  </r>
  <r>
    <x v="5"/>
    <x v="8"/>
    <x v="9"/>
    <s v="Dr TI ILC Comm/Other Charges                                          _x000a_POC005-274769804                                                      _x000a_At Bank Aljazira                                                      _x000a_ CORPORATE BANKING DEPT-JEDDAH                                        _x000a_Exchange Rate 1.0                                                     _x000a_Date 20-04-1447(H) Time 14.53.49                                      _x000a_Reference ILC-0840-25-7351                                            _x000a_Value Date 20-04-1447(H)                                              _x000a_Fee Collected By Bank AlJazira                                        _x000a_"/>
    <x v="69"/>
    <s v="ILC-0840-25-7351"/>
    <x v="0"/>
    <n v="200"/>
    <n v="0"/>
    <x v="0"/>
    <s v="Received"/>
    <s v="Al Wasail Industrial Company"/>
    <x v="3"/>
    <x v="10"/>
    <x v="13"/>
    <n v="10"/>
    <n v="2025"/>
    <m/>
  </r>
  <r>
    <x v="5"/>
    <x v="8"/>
    <x v="9"/>
    <s v="Value Added Tax                                                       _x000a_On SWIFT charges                                                      _x000a_15% of SAR200.00                                                      _x000a_Through CORPORATE BANKING DEPT-JEDDAH                                 _x000a_Date 20-04-1447(H) Time 14.53.50                                      _x000a_Reference ILC-0840-25-7351                                            _x000a_At Bank Aljazira                                                      _x000a_Exchange Rate 1.0                                                     _x000a_"/>
    <x v="69"/>
    <s v="ILC-0840-25-7351"/>
    <x v="0"/>
    <n v="30"/>
    <n v="0"/>
    <x v="0"/>
    <s v="Received"/>
    <s v="Al Wasail Industrial Company"/>
    <x v="3"/>
    <x v="10"/>
    <x v="13"/>
    <n v="10"/>
    <n v="2025"/>
    <m/>
  </r>
  <r>
    <x v="5"/>
    <x v="3"/>
    <x v="9"/>
    <s v="Dr TI ILC Comm/Other Charges                                          _x000a_POC002-274846909                                                      _x000a_At Bank Aljazira                                                      _x000a_ CORPORATE BANKING DEPT-JEDDAH                                        _x000a_Date 21-04-1447(H) Time 10.03.44                                      _x000a_Reference ILC-0840-25-8159                                            _x000a_Value Date 21-04-1447(H)                                              _x000a_Fee Collected By Bank AlJazira                                        _x000a_"/>
    <x v="84"/>
    <s v="ILC-0840-25-8159"/>
    <x v="0"/>
    <n v="100"/>
    <n v="0"/>
    <x v="0"/>
    <s v="Received"/>
    <s v="AL FALWA CO. LTD. FOR READYMIX CONCRETE"/>
    <x v="0"/>
    <x v="10"/>
    <x v="13"/>
    <n v="10"/>
    <n v="2025"/>
    <m/>
  </r>
  <r>
    <x v="5"/>
    <x v="3"/>
    <x v="9"/>
    <s v="Value Added Tax                                                       _x000a_On ILC Acceptance Comm.                                               _x000a_15% of SAR100.00                                                      _x000a_Through CORPORATE BANKING DEPT-JEDDAH                                 _x000a_Date 21-04-1447(H) Time 10.03.44                                      _x000a_Reference ILC-0840-25-8159                                            _x000a_At Bank Aljazira                                                      _x000a_"/>
    <x v="84"/>
    <s v="ILC-0840-25-8159"/>
    <x v="0"/>
    <n v="15"/>
    <n v="0"/>
    <x v="0"/>
    <s v="Received"/>
    <s v="AL FALWA CO. LTD. FOR READYMIX CONCRETE"/>
    <x v="0"/>
    <x v="10"/>
    <x v="13"/>
    <n v="10"/>
    <n v="2025"/>
    <m/>
  </r>
  <r>
    <x v="5"/>
    <x v="3"/>
    <x v="9"/>
    <s v="Dr TI ILC Comm/Other Charges                                          _x000a_POC002-274847106                                                      _x000a_At Bank Aljazira                                                      _x000a_ CORPORATE BANKING DEPT-JEDDAH                                        _x000a_Date 21-04-1447(H) Time 10.03.45                                      _x000a_Reference ILC-0840-25-8159                                            _x000a_Value Date 21-04-1447(H)                                              _x000a_Fee Collected By Bank AlJazira                                        _x000a_"/>
    <x v="84"/>
    <s v="ILC-0840-25-8159"/>
    <x v="0"/>
    <n v="336"/>
    <n v="0"/>
    <x v="0"/>
    <s v="Received"/>
    <s v="AL FALWA CO. LTD. FOR READYMIX CONCRETE"/>
    <x v="0"/>
    <x v="10"/>
    <x v="13"/>
    <n v="10"/>
    <n v="2025"/>
    <m/>
  </r>
  <r>
    <x v="5"/>
    <x v="3"/>
    <x v="9"/>
    <s v="Value Added Tax                                                       _x000a_On ILC Acceptance Comm.                                               _x000a_15% of SAR336.00                                                      _x000a_Through CORPORATE BANKING DEPT-JEDDAH                                 _x000a_Date 21-04-1447(H) Time 10.03.45                                      _x000a_Reference ILC-0840-25-8159                                            _x000a_At Bank Aljazira                                                      _x000a_"/>
    <x v="84"/>
    <s v="ILC-0840-25-8159"/>
    <x v="0"/>
    <n v="50.4"/>
    <n v="0"/>
    <x v="0"/>
    <s v="Received"/>
    <s v="AL FALWA CO. LTD. FOR READYMIX CONCRETE"/>
    <x v="0"/>
    <x v="10"/>
    <x v="13"/>
    <n v="10"/>
    <n v="2025"/>
    <m/>
  </r>
  <r>
    <x v="5"/>
    <x v="3"/>
    <x v="9"/>
    <s v="Dr TI ILC Comm/Other Charges                                          _x000a_POC002-274847233                                                      _x000a_At Bank Aljazira                                                      _x000a_ CORPORATE BANKING DEPT-JEDDAH                                        _x000a_Date 21-04-1447(H) Time 10.03.45                                      _x000a_Reference ILC-0840-25-8159                                            _x000a_Value Date 21-04-1447(H)                                              _x000a_Fee Collected By Bank AlJazira                                        _x000a_"/>
    <x v="84"/>
    <s v="ILC-0840-25-8159"/>
    <x v="0"/>
    <n v="200"/>
    <n v="0"/>
    <x v="0"/>
    <s v="Received"/>
    <s v="AL FALWA CO. LTD. FOR READYMIX CONCRETE"/>
    <x v="0"/>
    <x v="10"/>
    <x v="13"/>
    <n v="10"/>
    <n v="2025"/>
    <m/>
  </r>
  <r>
    <x v="5"/>
    <x v="3"/>
    <x v="9"/>
    <s v="Value Added Tax                                                       _x000a_On SWIFT charges                                                      _x000a_15% of SAR200.00                                                      _x000a_Through CORPORATE BANKING DEPT-JEDDAH                                 _x000a_Date 21-04-1447(H) Time 10.03.45                                      _x000a_Reference ILC-0840-25-8159                                            _x000a_At Bank Aljazira                                                      _x000a_"/>
    <x v="84"/>
    <s v="ILC-0840-25-8159"/>
    <x v="0"/>
    <n v="30"/>
    <n v="0"/>
    <x v="0"/>
    <s v="Received"/>
    <s v="AL FALWA CO. LTD. FOR READYMIX CONCRETE"/>
    <x v="0"/>
    <x v="10"/>
    <x v="13"/>
    <n v="10"/>
    <n v="2025"/>
    <m/>
  </r>
  <r>
    <x v="5"/>
    <x v="3"/>
    <x v="9"/>
    <s v="TI Bill Settled                                                       _x000a_POC002                                                                _x000a_At Bank AlJazira                                                      _x000a_CORPORATE BANKING DEPT-JEDDAH                                         _x000a_Date 21-04-1447(H) Time 10.59.31                                      _x000a_Reference ILC-0840-25-7355                                            _x000a_"/>
    <x v="85"/>
    <s v="ILC-0840-25-7355"/>
    <x v="0"/>
    <n v="646875"/>
    <n v="0"/>
    <x v="0"/>
    <s v="Received"/>
    <s v="Khorayef Industries"/>
    <x v="3"/>
    <x v="10"/>
    <x v="13"/>
    <n v="10"/>
    <n v="2025"/>
    <m/>
  </r>
  <r>
    <x v="5"/>
    <x v="3"/>
    <x v="9"/>
    <s v="TI Bill Settled                                                       _x000a_POC002                                                                _x000a_At Bank AlJazira                                                      _x000a_CORPORATE BANKING DEPT-JEDDAH                                         _x000a_Date 21-04-1447(H) Time 11.00.38                                      _x000a_Reference ILC-0840-25-7736                                            _x000a_"/>
    <x v="86"/>
    <s v="ILC-0840-25-7736"/>
    <x v="0"/>
    <n v="125131.5"/>
    <n v="0"/>
    <x v="0"/>
    <s v="Received"/>
    <s v="Baamer Group for Trading Company"/>
    <x v="3"/>
    <x v="10"/>
    <x v="13"/>
    <n v="10"/>
    <n v="2025"/>
    <m/>
  </r>
  <r>
    <x v="5"/>
    <x v="3"/>
    <x v="9"/>
    <s v="TI Bill Settled                                                       _x000a_POC003                                                                _x000a_At Bank AlJazira                                                      _x000a_CORPORATE BANKING DEPT-JEDDAH                                         _x000a_Date 21-04-1447(H) Time 11.01.10                                      _x000a_Reference ILC-0840-25-8011                                            _x000a_"/>
    <x v="71"/>
    <s v="ILC-0840-25-8011"/>
    <x v="0"/>
    <n v="359031.77"/>
    <n v="0"/>
    <x v="0"/>
    <s v="Received"/>
    <s v="Metten Al-Arabia Ltd Co (METARA)"/>
    <x v="0"/>
    <x v="10"/>
    <x v="13"/>
    <n v="10"/>
    <n v="2025"/>
    <m/>
  </r>
  <r>
    <x v="1"/>
    <x v="9"/>
    <x v="3"/>
    <s v="CUSTOMER = 3972500 DEAL AMT = 75 DEAL CCY = SAR TAX CODE = 1 "/>
    <x v="87"/>
    <s v="TF250770006101"/>
    <x v="0"/>
    <n v="11.25"/>
    <n v="0"/>
    <x v="1"/>
    <s v="Received"/>
    <s v="ALFANAR ELECTRICAL SYSTEMS."/>
    <x v="3"/>
    <x v="6"/>
    <x v="7"/>
    <n v="10"/>
    <n v="2025"/>
    <m/>
  </r>
  <r>
    <x v="1"/>
    <x v="9"/>
    <x v="3"/>
    <s v="LC SWIFT CHARGES FOR LC NO. TF250770006101\BNK"/>
    <x v="87"/>
    <s v="TF250770006101"/>
    <x v="0"/>
    <n v="75"/>
    <n v="0"/>
    <x v="3"/>
    <s v="Received"/>
    <s v="ALFANAR ELECTRICAL SYSTEMS."/>
    <x v="3"/>
    <x v="6"/>
    <x v="7"/>
    <n v="10"/>
    <n v="2025"/>
    <m/>
  </r>
  <r>
    <x v="1"/>
    <x v="9"/>
    <x v="3"/>
    <s v="REIMBURSE UNDER LCS DR FOR LC NO. TF250770006101\BNK"/>
    <x v="87"/>
    <s v="TF250770006101"/>
    <x v="0"/>
    <n v="400000"/>
    <n v="0"/>
    <x v="4"/>
    <s v="Received"/>
    <s v="ALFANAR ELECTRICAL SYSTEMS."/>
    <x v="3"/>
    <x v="6"/>
    <x v="7"/>
    <n v="10"/>
    <n v="2025"/>
    <m/>
  </r>
  <r>
    <x v="1"/>
    <x v="9"/>
    <x v="3"/>
    <s v="CUSTOMER = 3972500 DEAL AMT = 75 DEAL CCY = SAR TAX CODE = 1 "/>
    <x v="88"/>
    <s v="TF250830003101"/>
    <x v="0"/>
    <n v="11.25"/>
    <n v="0"/>
    <x v="1"/>
    <s v="Received"/>
    <s v="Masdar Technical Supplies Co"/>
    <x v="3"/>
    <x v="5"/>
    <x v="6"/>
    <n v="10"/>
    <n v="2025"/>
    <m/>
  </r>
  <r>
    <x v="1"/>
    <x v="9"/>
    <x v="3"/>
    <s v="LC SWIFT CHARGES FOR LC NO. TF250830003101\BNK"/>
    <x v="88"/>
    <s v="TF250830003101"/>
    <x v="0"/>
    <n v="75"/>
    <n v="0"/>
    <x v="3"/>
    <s v="Received"/>
    <s v="Masdar Technical Supplies Co"/>
    <x v="3"/>
    <x v="5"/>
    <x v="6"/>
    <n v="10"/>
    <n v="2025"/>
    <m/>
  </r>
  <r>
    <x v="1"/>
    <x v="9"/>
    <x v="3"/>
    <s v="REIMBURSE UNDER LCS DR FOR LC NO. TF250830003101\BNK"/>
    <x v="88"/>
    <s v="TF250830003101"/>
    <x v="0"/>
    <n v="413173.15"/>
    <n v="0"/>
    <x v="4"/>
    <s v="Received"/>
    <s v="Masdar Technical Supplies Co"/>
    <x v="3"/>
    <x v="5"/>
    <x v="6"/>
    <n v="10"/>
    <n v="2025"/>
    <m/>
  </r>
  <r>
    <x v="1"/>
    <x v="9"/>
    <x v="3"/>
    <s v="CUSTOMER = 3972500 DEAL AMT = 75 DEAL CCY = SAR TAX CODE = 1 "/>
    <x v="89"/>
    <s v="TF251740006601"/>
    <x v="0"/>
    <n v="11.25"/>
    <n v="0"/>
    <x v="1"/>
    <s v="Received"/>
    <s v="MAHMOUD ALTAHENI &amp; PARTNERS TRADING CO."/>
    <x v="3"/>
    <x v="6"/>
    <x v="7"/>
    <n v="10"/>
    <n v="2025"/>
    <m/>
  </r>
  <r>
    <x v="1"/>
    <x v="9"/>
    <x v="3"/>
    <s v="LC SWIFT CHARGES FOR LC NO. TF251740006601\BNK"/>
    <x v="89"/>
    <s v="TF251740006601"/>
    <x v="0"/>
    <n v="75"/>
    <n v="0"/>
    <x v="3"/>
    <s v="Received"/>
    <s v="MAHMOUD ALTAHENI &amp; PARTNERS TRADING CO."/>
    <x v="3"/>
    <x v="6"/>
    <x v="7"/>
    <n v="10"/>
    <n v="2025"/>
    <m/>
  </r>
  <r>
    <x v="1"/>
    <x v="9"/>
    <x v="3"/>
    <s v="REIMBURSE UNDER LCS DR FOR LC NO. TF251740006601\BNK"/>
    <x v="89"/>
    <s v="TF251740006601"/>
    <x v="0"/>
    <n v="340841.26"/>
    <n v="0"/>
    <x v="4"/>
    <s v="Received"/>
    <s v="MAHMOUD ALTAHENI &amp; PARTNERS TRADING CO."/>
    <x v="3"/>
    <x v="6"/>
    <x v="7"/>
    <n v="10"/>
    <n v="2025"/>
    <m/>
  </r>
  <r>
    <x v="1"/>
    <x v="9"/>
    <x v="3"/>
    <s v="CUSTOMER = 3972500 DEAL AMT = 2885.89 DEAL CCY = SAR TAX CODE = 1 "/>
    <x v="90"/>
    <s v="TF2527100025"/>
    <x v="0"/>
    <n v="37.5"/>
    <n v="0"/>
    <x v="1"/>
    <s v="Received"/>
    <s v="BRC Industrial (Saudia) Company"/>
    <x v="0"/>
    <x v="7"/>
    <x v="8"/>
    <n v="10"/>
    <n v="2025"/>
    <m/>
  </r>
  <r>
    <x v="1"/>
    <x v="9"/>
    <x v="3"/>
    <s v="LC SWIFT CHARGES FOR LC NO. TF2527100025\BNK"/>
    <x v="90"/>
    <s v="TF2527100025"/>
    <x v="0"/>
    <n v="250"/>
    <n v="0"/>
    <x v="3"/>
    <s v="Received"/>
    <s v="BRC Industrial (Saudia) Company"/>
    <x v="0"/>
    <x v="7"/>
    <x v="8"/>
    <n v="10"/>
    <n v="2025"/>
    <m/>
  </r>
  <r>
    <x v="1"/>
    <x v="9"/>
    <x v="3"/>
    <s v="CUSTOMER = 3972500 DEAL AMT = 2885.89 DEAL CCY = SAR TAX CODE = 1 "/>
    <x v="90"/>
    <s v="TF2527100025"/>
    <x v="0"/>
    <n v="432.88"/>
    <n v="0"/>
    <x v="1"/>
    <s v="Received"/>
    <s v="BRC Industrial (Saudia) Company"/>
    <x v="0"/>
    <x v="7"/>
    <x v="8"/>
    <n v="10"/>
    <n v="2025"/>
    <m/>
  </r>
  <r>
    <x v="1"/>
    <x v="9"/>
    <x v="3"/>
    <s v="LC AMENDMENT COMMISSION FOR LC NO. TF2527100025\BNK"/>
    <x v="90"/>
    <s v="TF2527100025"/>
    <x v="0"/>
    <n v="2885.89"/>
    <n v="0"/>
    <x v="5"/>
    <s v="Received"/>
    <s v="BRC Industrial (Saudia) Company"/>
    <x v="0"/>
    <x v="7"/>
    <x v="8"/>
    <n v="10"/>
    <n v="2025"/>
    <m/>
  </r>
  <r>
    <x v="5"/>
    <x v="9"/>
    <x v="9"/>
    <s v="TI Bill Settled                                                       _x000a_POC002                                                                _x000a_At Bank AlJazira                                                      _x000a_CORPORATE BANKING DEPT-JEDDAH                                         _x000a_Date 22-04-1447(H) Time 10.01.38                                      _x000a_Reference ILC-0840-25-7570                                            _x000a_"/>
    <x v="78"/>
    <s v="ILC-0840-25-7570"/>
    <x v="0"/>
    <n v="153844.13"/>
    <n v="0"/>
    <x v="0"/>
    <s v="Received"/>
    <s v="MOHAMMED RAMADAN SHAT FACTORY FOR METAL INDUSTRIES"/>
    <x v="3"/>
    <x v="10"/>
    <x v="13"/>
    <n v="10"/>
    <n v="2025"/>
    <m/>
  </r>
  <r>
    <x v="5"/>
    <x v="9"/>
    <x v="9"/>
    <s v="Dr TI ILC Comm/Other Charges                                          _x000a_POC001-275056172                                                      _x000a_At Bank Aljazira                                                      _x000a_ CORPORATE BANKING DEPT-JEDDAH                                        _x000a_Date 22-04-1447(H) Time 12.02.13                                      _x000a_Reference ILC-0840-25-8162                                            _x000a_Value Date 22-04-1447(H)                                              _x000a_Fee Collected By Bank AlJazira                                        _x000a_"/>
    <x v="91"/>
    <s v="ILC-0840-25-8162"/>
    <x v="0"/>
    <n v="100"/>
    <n v="0"/>
    <x v="0"/>
    <s v="Received"/>
    <s v="Saudi Benaa Company for Building Materials"/>
    <x v="3"/>
    <x v="10"/>
    <x v="13"/>
    <n v="10"/>
    <n v="2025"/>
    <m/>
  </r>
  <r>
    <x v="5"/>
    <x v="9"/>
    <x v="9"/>
    <s v="Value Added Tax                                                       _x000a_On ILC Acceptance Comm.                                               _x000a_15% of SAR100.00                                                      _x000a_Through CORPORATE BANKING DEPT-JEDDAH                                 _x000a_Date 22-04-1447(H) Time 12.02.13                                      _x000a_Reference ILC-0840-25-8162                                            _x000a_At Bank Aljazira                                                      _x000a_"/>
    <x v="91"/>
    <s v="ILC-0840-25-8162"/>
    <x v="0"/>
    <n v="15"/>
    <n v="0"/>
    <x v="0"/>
    <s v="Received"/>
    <s v="Saudi Benaa Company for Building Materials"/>
    <x v="3"/>
    <x v="10"/>
    <x v="13"/>
    <n v="10"/>
    <n v="2025"/>
    <m/>
  </r>
  <r>
    <x v="5"/>
    <x v="9"/>
    <x v="9"/>
    <s v="Dr TI ILC Comm/Other Charges                                          _x000a_POC001-275056212                                                      _x000a_At Bank Aljazira                                                      _x000a_ CORPORATE BANKING DEPT-JEDDAH                                        _x000a_Date 22-04-1447(H) Time 12.02.14                                      _x000a_Reference ILC-0840-25-8162                                            _x000a_Value Date 22-04-1447(H)                                              _x000a_Fee Collected By Bank AlJazira                                        _x000a_"/>
    <x v="91"/>
    <s v="ILC-0840-25-8162"/>
    <x v="0"/>
    <n v="250"/>
    <n v="0"/>
    <x v="0"/>
    <s v="Received"/>
    <s v="Saudi Benaa Company for Building Materials"/>
    <x v="3"/>
    <x v="10"/>
    <x v="13"/>
    <n v="10"/>
    <n v="2025"/>
    <m/>
  </r>
  <r>
    <x v="5"/>
    <x v="9"/>
    <x v="9"/>
    <s v="Value Added Tax                                                       _x000a_On ILC Acceptance Comm.                                               _x000a_15% of SAR250.00                                                      _x000a_Through CORPORATE BANKING DEPT-JEDDAH                                 _x000a_Date 22-04-1447(H) Time 12.02.14                                      _x000a_Reference ILC-0840-25-8162                                            _x000a_At Bank Aljazira                                                      _x000a_"/>
    <x v="91"/>
    <s v="ILC-0840-25-8162"/>
    <x v="0"/>
    <n v="37.5"/>
    <n v="0"/>
    <x v="0"/>
    <s v="Received"/>
    <s v="Saudi Benaa Company for Building Materials"/>
    <x v="3"/>
    <x v="10"/>
    <x v="13"/>
    <n v="10"/>
    <n v="2025"/>
    <m/>
  </r>
  <r>
    <x v="5"/>
    <x v="9"/>
    <x v="9"/>
    <s v="Dr TI ILC Comm/Other Charges                                          _x000a_POC001-275056214                                                      _x000a_At Bank Aljazira                                                      _x000a_ CORPORATE BANKING DEPT-JEDDAH                                        _x000a_Date 22-04-1447(H) Time 12.02.14                                      _x000a_Reference ILC-0840-25-8162                                            _x000a_Value Date 22-04-1447(H)                                              _x000a_Fee Collected By Bank AlJazira                                        _x000a_"/>
    <x v="91"/>
    <s v="ILC-0840-25-8162"/>
    <x v="0"/>
    <n v="200"/>
    <n v="0"/>
    <x v="0"/>
    <s v="Received"/>
    <s v="Saudi Benaa Company for Building Materials"/>
    <x v="3"/>
    <x v="10"/>
    <x v="13"/>
    <n v="10"/>
    <n v="2025"/>
    <m/>
  </r>
  <r>
    <x v="5"/>
    <x v="9"/>
    <x v="9"/>
    <s v="Value Added Tax                                                       _x000a_On SWIFT charges                                                      _x000a_15% of SAR200.00                                                      _x000a_Through CORPORATE BANKING DEPT-JEDDAH                                 _x000a_Date 22-04-1447(H) Time 12.02.14                                      _x000a_Reference ILC-0840-25-8162                                            _x000a_At Bank Aljazira                                                      _x000a_"/>
    <x v="91"/>
    <s v="ILC-0840-25-8162"/>
    <x v="0"/>
    <n v="30"/>
    <n v="0"/>
    <x v="0"/>
    <s v="Received"/>
    <s v="Saudi Benaa Company for Building Materials"/>
    <x v="3"/>
    <x v="10"/>
    <x v="13"/>
    <n v="10"/>
    <n v="2025"/>
    <m/>
  </r>
  <r>
    <x v="1"/>
    <x v="10"/>
    <x v="3"/>
    <s v="CUSTOMER = 3972500 DEAL AMT = 150 DEAL CCY = USD TAX CODE = 1 "/>
    <x v="92"/>
    <s v="TF251280000201"/>
    <x v="0"/>
    <n v="22.5"/>
    <n v="0"/>
    <x v="1"/>
    <s v="Received"/>
    <s v="Extron Electronics Middle East FZE"/>
    <x v="4"/>
    <x v="5"/>
    <x v="6"/>
    <n v="10"/>
    <n v="2025"/>
    <m/>
  </r>
  <r>
    <x v="1"/>
    <x v="10"/>
    <x v="3"/>
    <s v="LC SWIFT CHARGES FOR LC NO. TF251280000201\BNK"/>
    <x v="92"/>
    <s v="TF251280000201"/>
    <x v="0"/>
    <n v="150"/>
    <n v="0"/>
    <x v="3"/>
    <s v="Received"/>
    <s v="Extron Electronics Middle East FZE"/>
    <x v="4"/>
    <x v="5"/>
    <x v="6"/>
    <n v="10"/>
    <n v="2025"/>
    <m/>
  </r>
  <r>
    <x v="1"/>
    <x v="10"/>
    <x v="3"/>
    <s v="REIMBURSE UNDER LCS DR FOR LC NO. TF251280000201\BNK"/>
    <x v="92"/>
    <s v="TF251280000201"/>
    <x v="0"/>
    <n v="1024016.13"/>
    <n v="0"/>
    <x v="4"/>
    <s v="Received"/>
    <s v="Extron Electronics Middle East FZE"/>
    <x v="4"/>
    <x v="5"/>
    <x v="6"/>
    <n v="10"/>
    <n v="2025"/>
    <m/>
  </r>
  <r>
    <x v="1"/>
    <x v="10"/>
    <x v="3"/>
    <s v="CUSTOMER = 3972500 DEAL AMT = 75 DEAL CCY = SAR TAX CODE = 1 "/>
    <x v="93"/>
    <s v="TF251740003801"/>
    <x v="0"/>
    <n v="11.25"/>
    <n v="0"/>
    <x v="1"/>
    <s v="Received"/>
    <s v="ELSEWEDY CABLES CO. LIMITED"/>
    <x v="3"/>
    <x v="6"/>
    <x v="7"/>
    <n v="10"/>
    <n v="2025"/>
    <m/>
  </r>
  <r>
    <x v="1"/>
    <x v="10"/>
    <x v="3"/>
    <s v="LC SWIFT CHARGES FOR LC NO. TF251740003801\BNK"/>
    <x v="93"/>
    <s v="TF251740003801"/>
    <x v="0"/>
    <n v="75"/>
    <n v="0"/>
    <x v="3"/>
    <s v="Received"/>
    <s v="ELSEWEDY CABLES CO. LIMITED"/>
    <x v="3"/>
    <x v="6"/>
    <x v="7"/>
    <n v="10"/>
    <n v="2025"/>
    <m/>
  </r>
  <r>
    <x v="1"/>
    <x v="10"/>
    <x v="3"/>
    <s v="REIMBURSE UNDER LCS DR FOR LC NO. TF251740003801\BNK"/>
    <x v="93"/>
    <s v="TF251740003801"/>
    <x v="0"/>
    <n v="500000"/>
    <n v="0"/>
    <x v="4"/>
    <s v="Received"/>
    <s v="ELSEWEDY CABLES CO. LIMITED"/>
    <x v="3"/>
    <x v="6"/>
    <x v="7"/>
    <n v="10"/>
    <n v="2025"/>
    <m/>
  </r>
  <r>
    <x v="1"/>
    <x v="10"/>
    <x v="3"/>
    <s v="CUSTOMER = 3972500 DEAL AMT = 75 DEAL CCY = SAR TAX CODE = 1 "/>
    <x v="94"/>
    <s v="TF251740005001"/>
    <x v="0"/>
    <n v="11.25"/>
    <n v="0"/>
    <x v="1"/>
    <s v="Received"/>
    <s v="TEN POINTS EST"/>
    <x v="3"/>
    <x v="6"/>
    <x v="7"/>
    <n v="10"/>
    <n v="2025"/>
    <m/>
  </r>
  <r>
    <x v="1"/>
    <x v="10"/>
    <x v="3"/>
    <s v="LC SWIFT CHARGES FOR LC NO. TF251740005001\BNK"/>
    <x v="94"/>
    <s v="TF251740005001"/>
    <x v="0"/>
    <n v="75"/>
    <n v="0"/>
    <x v="3"/>
    <s v="Received"/>
    <s v="TEN POINTS EST"/>
    <x v="3"/>
    <x v="6"/>
    <x v="7"/>
    <n v="10"/>
    <n v="2025"/>
    <m/>
  </r>
  <r>
    <x v="1"/>
    <x v="10"/>
    <x v="3"/>
    <s v="REIMBURSE UNDER LCS DR FOR LC NO. TF251740005001\BNK"/>
    <x v="94"/>
    <s v="TF251740005001"/>
    <x v="0"/>
    <n v="309487"/>
    <n v="0"/>
    <x v="4"/>
    <s v="Received"/>
    <s v="TEN POINTS EST"/>
    <x v="3"/>
    <x v="6"/>
    <x v="7"/>
    <n v="10"/>
    <n v="2025"/>
    <m/>
  </r>
  <r>
    <x v="0"/>
    <x v="10"/>
    <x v="0"/>
    <s v="REF 000000JLC6901431,RB REF JLC6901431,VIA CORE SYSTEM,DATE-TIME 15/10-14:42:21, عن طريق النظام الآ لي ,VALUE DT 15/10/25"/>
    <x v="95"/>
    <s v=""/>
    <x v="0"/>
    <n v="342.59"/>
    <n v="0"/>
    <x v="0"/>
    <s v="Received"/>
    <s v="Mat Filtrasyon Teknolojeleri A.S"/>
    <x v="0"/>
    <x v="3"/>
    <x v="3"/>
    <n v="10"/>
    <n v="2025"/>
    <m/>
  </r>
  <r>
    <x v="0"/>
    <x v="10"/>
    <x v="1"/>
    <s v="REF 000000JLC6701731,RB REF JLC6701731,VIA CORE SYSTEM,DATE-TIME 15/10-15:47:18, عن طريق النظام الآ لي ,VALUE DT 15/10/25"/>
    <x v="96"/>
    <s v=""/>
    <x v="0"/>
    <n v="7989.2"/>
    <n v="0"/>
    <x v="0"/>
    <s v="Received"/>
    <s v="ATELIER HOSPITALITY SRL"/>
    <x v="0"/>
    <x v="0"/>
    <x v="0"/>
    <n v="10"/>
    <n v="2025"/>
    <m/>
  </r>
  <r>
    <x v="3"/>
    <x v="10"/>
    <x v="6"/>
    <s v="IMP BILL AMEND. CHARGES DPBEPM623114WPM DCBWPM564601"/>
    <x v="97"/>
    <s v="DPBEPM623114WPM"/>
    <x v="0"/>
    <n v="3383.4"/>
    <n v="0"/>
    <x v="0"/>
    <s v="Received"/>
    <s v="FAISAL AWAD AL HARBI COMPANY"/>
    <x v="4"/>
    <x v="1"/>
    <x v="11"/>
    <n v="10"/>
    <n v="2025"/>
    <m/>
  </r>
  <r>
    <x v="5"/>
    <x v="10"/>
    <x v="9"/>
    <s v="Dr TI ILC Comm/Other Charges                                          _x000a_POC009-275179806                                                      _x000a_At Bank Aljazira                                                      _x000a_ CORPORATE BANKING DEPT-JEDDAH                                        _x000a_Date 23-04-1447(H) Time 14.39.01                                      _x000a_Reference ILC-0840-25-7264                                            _x000a_Value Date 23-04-1447(H)                                              _x000a_Fee Collected By Bank AlJazira                                        _x000a_"/>
    <x v="98"/>
    <s v="ILC-0840-25-7264"/>
    <x v="0"/>
    <n v="100"/>
    <n v="0"/>
    <x v="0"/>
    <s v="Received"/>
    <s v="MOHAMMED RAMADAN SHAT FACTORY FOR METAL"/>
    <x v="3"/>
    <x v="10"/>
    <x v="13"/>
    <n v="10"/>
    <n v="2025"/>
    <m/>
  </r>
  <r>
    <x v="5"/>
    <x v="10"/>
    <x v="9"/>
    <s v="Value Added Tax                                                       _x000a_On ILC Acceptance Comm.                                               _x000a_15% of SAR100.00                                                      _x000a_Through CORPORATE BANKING DEPT-JEDDAH                                 _x000a_Date 23-04-1447(H) Time 14.39.01                                      _x000a_Reference ILC-0840-25-7264                                            _x000a_At Bank Aljazira                                                      _x000a_"/>
    <x v="98"/>
    <s v="ILC-0840-25-7264"/>
    <x v="0"/>
    <n v="15"/>
    <n v="0"/>
    <x v="0"/>
    <s v="Received"/>
    <s v="MOHAMMED RAMADAN SHAT FACTORY FOR METAL"/>
    <x v="3"/>
    <x v="10"/>
    <x v="13"/>
    <n v="10"/>
    <n v="2025"/>
    <m/>
  </r>
  <r>
    <x v="5"/>
    <x v="10"/>
    <x v="9"/>
    <s v="Dr TI ILC Comm/Other Charges                                          _x000a_POC009-275179943                                                      _x000a_At Bank Aljazira                                                      _x000a_ CORPORATE BANKING DEPT-JEDDAH                                        _x000a_Date 23-04-1447(H) Time 14.39.02                                      _x000a_Reference ILC-0840-25-7264                                            _x000a_Value Date 23-04-1447(H)                                              _x000a_Fee Collected By Bank AlJazira                                        _x000a_"/>
    <x v="98"/>
    <s v="ILC-0840-25-7264"/>
    <x v="0"/>
    <n v="250"/>
    <n v="0"/>
    <x v="0"/>
    <s v="Received"/>
    <s v="MOHAMMED RAMADAN SHAT FACTORY FOR METAL"/>
    <x v="3"/>
    <x v="10"/>
    <x v="13"/>
    <n v="10"/>
    <n v="2025"/>
    <m/>
  </r>
  <r>
    <x v="5"/>
    <x v="10"/>
    <x v="9"/>
    <s v="Value Added Tax                                                       _x000a_On ILC Acceptance Comm.                                               _x000a_15% of SAR250.00                                                      _x000a_Through CORPORATE BANKING DEPT-JEDDAH                                 _x000a_Date 23-04-1447(H) Time 14.39.02                                      _x000a_Reference ILC-0840-25-7264                                            _x000a_At Bank Aljazira                                                      _x000a_"/>
    <x v="98"/>
    <s v="ILC-0840-25-7264"/>
    <x v="0"/>
    <n v="37.5"/>
    <n v="0"/>
    <x v="0"/>
    <s v="Received"/>
    <s v="MOHAMMED RAMADAN SHAT FACTORY FOR METAL"/>
    <x v="3"/>
    <x v="10"/>
    <x v="13"/>
    <n v="10"/>
    <n v="2025"/>
    <m/>
  </r>
  <r>
    <x v="5"/>
    <x v="10"/>
    <x v="9"/>
    <s v="Dr TI ILC Comm/Other Charges                                          _x000a_POC009-275179947                                                      _x000a_At Bank Aljazira                                                      _x000a_ CORPORATE BANKING DEPT-JEDDAH                                        _x000a_Date 23-04-1447(H) Time 14.39.02                                      _x000a_Reference ILC-0840-25-7264                                            _x000a_Value Date 23-04-1447(H)                                              _x000a_Fee Collected By Bank AlJazira                                        _x000a_"/>
    <x v="98"/>
    <s v="ILC-0840-25-7264"/>
    <x v="0"/>
    <n v="200"/>
    <n v="0"/>
    <x v="0"/>
    <s v="Received"/>
    <s v="MOHAMMED RAMADAN SHAT FACTORY FOR METAL"/>
    <x v="3"/>
    <x v="10"/>
    <x v="13"/>
    <n v="10"/>
    <n v="2025"/>
    <m/>
  </r>
  <r>
    <x v="5"/>
    <x v="10"/>
    <x v="9"/>
    <s v="Value Added Tax                                                       _x000a_On SWIFT charges                                                      _x000a_15% of SAR200.00                                                      _x000a_Through CORPORATE BANKING DEPT-JEDDAH                                 _x000a_Date 23-04-1447(H) Time 14.39.02                                      _x000a_Reference ILC-0840-25-7264                                            _x000a_At Bank Aljazira                                                      _x000a_"/>
    <x v="98"/>
    <s v="ILC-0840-25-7264"/>
    <x v="0"/>
    <n v="30"/>
    <n v="0"/>
    <x v="0"/>
    <s v="Received"/>
    <s v="MOHAMMED RAMADAN SHAT FACTORY FOR METAL"/>
    <x v="3"/>
    <x v="10"/>
    <x v="13"/>
    <n v="10"/>
    <n v="2025"/>
    <m/>
  </r>
  <r>
    <x v="5"/>
    <x v="10"/>
    <x v="9"/>
    <s v="Dr TI ILC Comm/Other Charges                                          _x000a_POC005-275181919                                                      _x000a_At Bank Aljazira                                                      _x000a_ CORPORATE BANKING DEPT-JEDDAH                                        _x000a_Date 23-04-1447(H) Time 14.39.26                                      _x000a_Reference ILC-0840-25-7352                                            _x000a_Value Date 23-04-1447(H)                                              _x000a_Fee Collected By Bank AlJazira                                        _x000a_"/>
    <x v="75"/>
    <s v="ILC-0840-25-7352"/>
    <x v="0"/>
    <n v="100"/>
    <n v="0"/>
    <x v="0"/>
    <s v="Received"/>
    <s v="ALFANAR ELECTRICAL SYSTEMS"/>
    <x v="3"/>
    <x v="10"/>
    <x v="13"/>
    <n v="10"/>
    <n v="2025"/>
    <m/>
  </r>
  <r>
    <x v="5"/>
    <x v="10"/>
    <x v="9"/>
    <s v="Value Added Tax                                                       _x000a_On ILC Acceptance Comm.                                               _x000a_15% of SAR100.00                                                      _x000a_Through CORPORATE BANKING DEPT-JEDDAH                                 _x000a_Date 23-04-1447(H) Time 14.39.26                                      _x000a_Reference ILC-0840-25-7352                                            _x000a_At Bank Aljazira                                                      _x000a_"/>
    <x v="75"/>
    <s v="ILC-0840-25-7352"/>
    <x v="0"/>
    <n v="15"/>
    <n v="0"/>
    <x v="0"/>
    <s v="Received"/>
    <s v="ALFANAR ELECTRICAL SYSTEMS"/>
    <x v="3"/>
    <x v="10"/>
    <x v="13"/>
    <n v="10"/>
    <n v="2025"/>
    <m/>
  </r>
  <r>
    <x v="5"/>
    <x v="10"/>
    <x v="9"/>
    <s v="Dr TI ILC Comm/Other Charges                                          _x000a_POC005-275181959                                                      _x000a_At Bank Aljazira                                                      _x000a_ CORPORATE BANKING DEPT-JEDDAH                                        _x000a_Date 23-04-1447(H) Time 14.39.26                                      _x000a_Reference ILC-0840-25-7352                                            _x000a_Value Date 23-04-1447(H)                                              _x000a_Fee Collected By Bank AlJazira                                        _x000a_"/>
    <x v="75"/>
    <s v="ILC-0840-25-7352"/>
    <x v="0"/>
    <n v="917"/>
    <n v="0"/>
    <x v="0"/>
    <s v="Received"/>
    <s v="ALFANAR ELECTRICAL SYSTEMS"/>
    <x v="3"/>
    <x v="10"/>
    <x v="13"/>
    <n v="10"/>
    <n v="2025"/>
    <m/>
  </r>
  <r>
    <x v="5"/>
    <x v="10"/>
    <x v="9"/>
    <s v="Value Added Tax                                                       _x000a_On ILC Acceptance Comm.                                               _x000a_15% of SAR917.00                                                      _x000a_Through CORPORATE BANKING DEPT-JEDDAH                                 _x000a_Date 23-04-1447(H) Time 14.39.27                                      _x000a_Reference ILC-0840-25-7352                                            _x000a_At Bank Aljazira                                                      _x000a_"/>
    <x v="75"/>
    <s v="ILC-0840-25-7352"/>
    <x v="0"/>
    <n v="137.55000000000001"/>
    <n v="0"/>
    <x v="0"/>
    <s v="Received"/>
    <s v="ALFANAR ELECTRICAL SYSTEMS"/>
    <x v="3"/>
    <x v="10"/>
    <x v="13"/>
    <n v="10"/>
    <n v="2025"/>
    <m/>
  </r>
  <r>
    <x v="5"/>
    <x v="10"/>
    <x v="9"/>
    <s v="Dr TI ILC Comm/Other Charges                                          _x000a_POC005-275181963                                                      _x000a_At Bank Aljazira                                                      _x000a_ CORPORATE BANKING DEPT-JEDDAH                                        _x000a_Date 23-04-1447(H) Time 14.39.27                                      _x000a_Reference ILC-0840-25-7352                                            _x000a_Value Date 23-04-1447(H)                                              _x000a_Fee Collected By Bank AlJazira                                        _x000a_"/>
    <x v="75"/>
    <s v="ILC-0840-25-7352"/>
    <x v="0"/>
    <n v="200"/>
    <n v="0"/>
    <x v="0"/>
    <s v="Received"/>
    <s v="ALFANAR ELECTRICAL SYSTEMS"/>
    <x v="3"/>
    <x v="10"/>
    <x v="13"/>
    <n v="10"/>
    <n v="2025"/>
    <m/>
  </r>
  <r>
    <x v="5"/>
    <x v="10"/>
    <x v="9"/>
    <s v="Value Added Tax                                                       _x000a_On SWIFT charges                                                      _x000a_15% of SAR200.00                                                      _x000a_Through CORPORATE BANKING DEPT-JEDDAH                                 _x000a_Date 23-04-1447(H) Time 14.39.27                                      _x000a_Reference ILC-0840-25-7352                                            _x000a_At Bank Aljazira                                                      _x000a_"/>
    <x v="75"/>
    <s v="ILC-0840-25-7352"/>
    <x v="0"/>
    <n v="30"/>
    <n v="0"/>
    <x v="0"/>
    <s v="Received"/>
    <s v="ALFANAR ELECTRICAL SYSTEMS"/>
    <x v="3"/>
    <x v="10"/>
    <x v="13"/>
    <n v="10"/>
    <n v="2025"/>
    <m/>
  </r>
  <r>
    <x v="5"/>
    <x v="10"/>
    <x v="9"/>
    <s v="Dr TI ILC Comm/Other Charges                                          _x000a_POC001-275183402                                                      _x000a_At Bank Aljazira                                                      _x000a_ CORPORATE BANKING DEPT-JEDDAH                                        _x000a_Date 23-04-1447(H) Time 14.40.24                                      _x000a_Reference ILC-0840-25-8161                                            _x000a_Value Date 23-04-1447(H)                                              _x000a_Fee Collected By Bank AlJazira                                        _x000a_"/>
    <x v="99"/>
    <s v="ILC-0840-25-8161"/>
    <x v="0"/>
    <n v="100"/>
    <n v="0"/>
    <x v="0"/>
    <s v="Received"/>
    <s v="ALFANAR ELECTRICAL SYSTEMS"/>
    <x v="3"/>
    <x v="10"/>
    <x v="13"/>
    <n v="10"/>
    <n v="2025"/>
    <m/>
  </r>
  <r>
    <x v="5"/>
    <x v="10"/>
    <x v="9"/>
    <s v="Value Added Tax                                                       _x000a_On ILC Acceptance Comm.                                               _x000a_15% of SAR100.00                                                      _x000a_Through CORPORATE BANKING DEPT-JEDDAH                                 _x000a_Date 23-04-1447(H) Time 14.40.24                                      _x000a_Reference ILC-0840-25-8161                                            _x000a_At Bank Aljazira                                                      _x000a_"/>
    <x v="99"/>
    <s v="ILC-0840-25-8161"/>
    <x v="0"/>
    <n v="15"/>
    <n v="0"/>
    <x v="0"/>
    <s v="Received"/>
    <s v="ALFANAR ELECTRICAL SYSTEMS"/>
    <x v="3"/>
    <x v="10"/>
    <x v="13"/>
    <n v="10"/>
    <n v="2025"/>
    <m/>
  </r>
  <r>
    <x v="5"/>
    <x v="10"/>
    <x v="9"/>
    <s v="Dr TI ILC Comm/Other Charges                                          _x000a_POC001-275183442                                                      _x000a_At Bank Aljazira                                                      _x000a_ CORPORATE BANKING DEPT-JEDDAH                                        _x000a_Date 23-04-1447(H) Time 14.40.25                                      _x000a_Reference ILC-0840-25-8161                                            _x000a_Value Date 23-04-1447(H)                                              _x000a_Fee Collected By Bank AlJazira                                        _x000a_"/>
    <x v="99"/>
    <s v="ILC-0840-25-8161"/>
    <x v="0"/>
    <n v="1250"/>
    <n v="0"/>
    <x v="0"/>
    <s v="Received"/>
    <s v="ALFANAR ELECTRICAL SYSTEMS"/>
    <x v="3"/>
    <x v="10"/>
    <x v="13"/>
    <n v="10"/>
    <n v="2025"/>
    <m/>
  </r>
  <r>
    <x v="5"/>
    <x v="10"/>
    <x v="9"/>
    <s v="Value Added Tax                                                       _x000a_On ILC Acceptance Comm.                                               _x000a_15% of SAR1,250.00                                                    _x000a_Through CORPORATE BANKING DEPT-JEDDAH                                 _x000a_Date 23-04-1447(H) Time 14.40.25                                      _x000a_Reference ILC-0840-25-8161                                            _x000a_At Bank Aljazira                                                      _x000a_"/>
    <x v="99"/>
    <s v="ILC-0840-25-8161"/>
    <x v="0"/>
    <n v="187.5"/>
    <n v="0"/>
    <x v="0"/>
    <s v="Received"/>
    <s v="ALFANAR ELECTRICAL SYSTEMS"/>
    <x v="3"/>
    <x v="10"/>
    <x v="13"/>
    <n v="10"/>
    <n v="2025"/>
    <m/>
  </r>
  <r>
    <x v="5"/>
    <x v="10"/>
    <x v="9"/>
    <s v="Dr TI ILC Comm/Other Charges                                          _x000a_POC001-275183444                                                      _x000a_At Bank Aljazira                                                      _x000a_ CORPORATE BANKING DEPT-JEDDAH                                        _x000a_Date 23-04-1447(H) Time 14.40.25                                      _x000a_Reference ILC-0840-25-8161                                            _x000a_Value Date 23-04-1447(H)                                              _x000a_Fee Collected By Bank AlJazira                                        _x000a_"/>
    <x v="99"/>
    <s v="ILC-0840-25-8161"/>
    <x v="0"/>
    <n v="200"/>
    <n v="0"/>
    <x v="0"/>
    <s v="Received"/>
    <s v="ALFANAR ELECTRICAL SYSTEMS"/>
    <x v="3"/>
    <x v="10"/>
    <x v="13"/>
    <n v="10"/>
    <n v="2025"/>
    <m/>
  </r>
  <r>
    <x v="5"/>
    <x v="10"/>
    <x v="9"/>
    <s v="Value Added Tax                                                       _x000a_On SWIFT charges                                                      _x000a_15% of SAR200.00                                                      _x000a_Through CORPORATE BANKING DEPT-JEDDAH                                 _x000a_Date 23-04-1447(H) Time 14.40.25                                      _x000a_Reference ILC-0840-25-8161                                            _x000a_At Bank Aljazira                                                      _x000a_"/>
    <x v="99"/>
    <s v="ILC-0840-25-8161"/>
    <x v="0"/>
    <n v="30"/>
    <n v="0"/>
    <x v="0"/>
    <s v="Received"/>
    <s v="ALFANAR ELECTRICAL SYSTEMS"/>
    <x v="3"/>
    <x v="10"/>
    <x v="13"/>
    <n v="10"/>
    <n v="2025"/>
    <m/>
  </r>
  <r>
    <x v="1"/>
    <x v="11"/>
    <x v="3"/>
    <s v="CUSTOMER = 3972500 DEAL AMT = 75 DEAL CCY = SAR TAX CODE = 1 "/>
    <x v="100"/>
    <s v="TF251470005201"/>
    <x v="0"/>
    <n v="11.25"/>
    <n v="0"/>
    <x v="1"/>
    <s v="Received"/>
    <s v="MODERN AL BONYAN CAPITAL COMPANY LIMITED"/>
    <x v="3"/>
    <x v="5"/>
    <x v="6"/>
    <n v="10"/>
    <n v="2025"/>
    <m/>
  </r>
  <r>
    <x v="1"/>
    <x v="11"/>
    <x v="3"/>
    <s v="LC SWIFT CHARGES FOR LC NO. TF251470005201\BNK"/>
    <x v="100"/>
    <s v="TF251470005201"/>
    <x v="0"/>
    <n v="75"/>
    <n v="0"/>
    <x v="3"/>
    <s v="Received"/>
    <s v="MODERN AL BONYAN CAPITAL COMPANY LIMITED"/>
    <x v="3"/>
    <x v="5"/>
    <x v="6"/>
    <n v="10"/>
    <n v="2025"/>
    <m/>
  </r>
  <r>
    <x v="1"/>
    <x v="11"/>
    <x v="3"/>
    <s v="REIMBURSE UNDER LCS DR FOR LC NO. TF251470005201\BNK"/>
    <x v="100"/>
    <s v="TF251470005201"/>
    <x v="0"/>
    <n v="300000"/>
    <n v="0"/>
    <x v="4"/>
    <s v="Received"/>
    <s v="MODERN AL BONYAN CAPITAL COMPANY LIMITED"/>
    <x v="3"/>
    <x v="5"/>
    <x v="6"/>
    <n v="10"/>
    <n v="2025"/>
    <m/>
  </r>
  <r>
    <x v="0"/>
    <x v="11"/>
    <x v="0"/>
    <s v="RB REF JLG6903548,VIA CORE SYSTEM,DATE-TIME 16/10-13:59:28, عن طريق النظام الآ لي ,VALUE DT 16/10/25"/>
    <x v="2"/>
    <s v=""/>
    <x v="0"/>
    <n v="57.5"/>
    <n v="0"/>
    <x v="0"/>
    <s v="Received"/>
    <s v="Bid - Al Diriyah Company"/>
    <x v="2"/>
    <x v="2"/>
    <x v="2"/>
    <n v="10"/>
    <n v="2025"/>
    <m/>
  </r>
  <r>
    <x v="0"/>
    <x v="11"/>
    <x v="0"/>
    <s v="RB REF JLG6903643,VIA CORE SYSTEM,DATE-TIME 16/10-14:00:04, عن طريق النظام الآ لي ,VALUE DT 16/10/25"/>
    <x v="3"/>
    <s v=""/>
    <x v="0"/>
    <n v="57.5"/>
    <n v="0"/>
    <x v="0"/>
    <s v="Received"/>
    <s v="Bid - Diriyah Company"/>
    <x v="2"/>
    <x v="2"/>
    <x v="2"/>
    <n v="10"/>
    <n v="2025"/>
    <m/>
  </r>
  <r>
    <x v="3"/>
    <x v="11"/>
    <x v="6"/>
    <s v="DC ISSUE COMM CHARGES DCBWPM567554"/>
    <x v="101"/>
    <s v="DCBWPM567554"/>
    <x v="0"/>
    <n v="3105"/>
    <n v="0"/>
    <x v="0"/>
    <s v="Received"/>
    <s v="TAWREED INTEGRATED INDUSTRIES"/>
    <x v="3"/>
    <x v="9"/>
    <x v="10"/>
    <n v="10"/>
    <n v="2025"/>
    <m/>
  </r>
  <r>
    <x v="3"/>
    <x v="11"/>
    <x v="6"/>
    <s v="DC ISSUE COMM CHARGES DCBWPM567556"/>
    <x v="102"/>
    <s v="DCBWPM567556"/>
    <x v="0"/>
    <n v="3443.96"/>
    <n v="0"/>
    <x v="0"/>
    <s v="Received"/>
    <s v="Building System Intelligent Est."/>
    <x v="3"/>
    <x v="9"/>
    <x v="10"/>
    <n v="10"/>
    <n v="2025"/>
    <m/>
  </r>
  <r>
    <x v="5"/>
    <x v="11"/>
    <x v="9"/>
    <s v="Dr TI ILC Comm/Other Charges                                          _x000a_POC002-275343574                                                      _x000a_At Bank Aljazira                                                      _x000a_ CORPORATE BANKING DEPT-JEDDAH                                        _x000a_Date 24-04-1447(H) Time 09.36.22                                      _x000a_Reference ILC-0840-25-7992                                            _x000a_Value Date 24-04-1447(H)                                              _x000a_Fee Collected By Bank AlJazira                                        _x000a_"/>
    <x v="77"/>
    <s v="ILC-0840-25-7992"/>
    <x v="0"/>
    <n v="100"/>
    <n v="0"/>
    <x v="0"/>
    <s v="Received"/>
    <s v="ALFANAR ELECTRICAL SYSTEMS"/>
    <x v="3"/>
    <x v="10"/>
    <x v="13"/>
    <n v="10"/>
    <n v="2025"/>
    <m/>
  </r>
  <r>
    <x v="5"/>
    <x v="11"/>
    <x v="9"/>
    <s v="Value Added Tax                                                       _x000a_On ILC Acceptance Comm.                                               _x000a_15% of SAR100.00                                                      _x000a_Through CORPORATE BANKING DEPT-JEDDAH                                 _x000a_Date 24-04-1447(H) Time 09.36.22                                      _x000a_Reference ILC-0840-25-7992                                            _x000a_At Bank Aljazira                                                      _x000a_"/>
    <x v="77"/>
    <s v="ILC-0840-25-7992"/>
    <x v="0"/>
    <n v="15"/>
    <n v="0"/>
    <x v="0"/>
    <s v="Received"/>
    <s v="ALFANAR ELECTRICAL SYSTEMS"/>
    <x v="3"/>
    <x v="10"/>
    <x v="13"/>
    <n v="10"/>
    <n v="2025"/>
    <m/>
  </r>
  <r>
    <x v="5"/>
    <x v="11"/>
    <x v="9"/>
    <s v="Dr TI ILC Comm/Other Charges                                          _x000a_POC002-275343618                                                      _x000a_At Bank Aljazira                                                      _x000a_ CORPORATE BANKING DEPT-JEDDAH                                        _x000a_Date 24-04-1447(H) Time 09.36.22                                      _x000a_Reference ILC-0840-25-7992                                            _x000a_Value Date 24-04-1447(H)                                              _x000a_Fee Collected By Bank AlJazira                                        _x000a_"/>
    <x v="77"/>
    <s v="ILC-0840-25-7992"/>
    <x v="0"/>
    <n v="1296"/>
    <n v="0"/>
    <x v="0"/>
    <s v="Received"/>
    <s v="ALFANAR ELECTRICAL SYSTEMS"/>
    <x v="3"/>
    <x v="10"/>
    <x v="13"/>
    <n v="10"/>
    <n v="2025"/>
    <m/>
  </r>
  <r>
    <x v="5"/>
    <x v="11"/>
    <x v="9"/>
    <s v="Value Added Tax                                                       _x000a_On ILC Acceptance Comm.                                               _x000a_15% of SAR1,296.00                                                    _x000a_Through CORPORATE BANKING DEPT-JEDDAH                                 _x000a_Date 24-04-1447(H) Time 09.36.23                                      _x000a_Reference ILC-0840-25-7992                                            _x000a_At Bank Aljazira                                                      _x000a_"/>
    <x v="77"/>
    <s v="ILC-0840-25-7992"/>
    <x v="0"/>
    <n v="194.4"/>
    <n v="0"/>
    <x v="0"/>
    <s v="Received"/>
    <s v="ALFANAR ELECTRICAL SYSTEMS"/>
    <x v="3"/>
    <x v="10"/>
    <x v="13"/>
    <n v="10"/>
    <n v="2025"/>
    <m/>
  </r>
  <r>
    <x v="5"/>
    <x v="11"/>
    <x v="9"/>
    <s v="Dr TI ILC Comm/Other Charges                                          _x000a_POC002-275343622                                                      _x000a_At Bank Aljazira                                                      _x000a_ CORPORATE BANKING DEPT-JEDDAH                                        _x000a_Date 24-04-1447(H) Time 09.36.23                                      _x000a_Reference ILC-0840-25-7992                                            _x000a_Value Date 24-04-1447(H)                                              _x000a_Fee Collected By Bank AlJazira                                        _x000a_"/>
    <x v="77"/>
    <s v="ILC-0840-25-7992"/>
    <x v="0"/>
    <n v="200"/>
    <n v="0"/>
    <x v="0"/>
    <s v="Received"/>
    <s v="ALFANAR ELECTRICAL SYSTEMS"/>
    <x v="3"/>
    <x v="10"/>
    <x v="13"/>
    <n v="10"/>
    <n v="2025"/>
    <m/>
  </r>
  <r>
    <x v="5"/>
    <x v="11"/>
    <x v="9"/>
    <s v="Value Added Tax                                                       _x000a_On SWIFT charges                                                      _x000a_15% of SAR200.00                                                      _x000a_Through CORPORATE BANKING DEPT-JEDDAH                                 _x000a_Date 24-04-1447(H) Time 09.36.23                                      _x000a_Reference ILC-0840-25-7992                                            _x000a_At Bank Aljazira                                                      _x000a_"/>
    <x v="77"/>
    <s v="ILC-0840-25-7992"/>
    <x v="0"/>
    <n v="30"/>
    <n v="0"/>
    <x v="0"/>
    <s v="Received"/>
    <s v="ALFANAR ELECTRICAL SYSTEMS"/>
    <x v="3"/>
    <x v="10"/>
    <x v="13"/>
    <n v="10"/>
    <n v="2025"/>
    <m/>
  </r>
  <r>
    <x v="2"/>
    <x v="12"/>
    <x v="4"/>
    <s v="CITY:Jeddah 6132225J210028001"/>
    <x v="103"/>
    <s v="J210028001"/>
    <x v="0"/>
    <n v="712637.95"/>
    <n v="0"/>
    <x v="4"/>
    <s v="Received"/>
    <s v="Alfa Laval Arabia for Maintenance Company"/>
    <x v="3"/>
    <x v="5"/>
    <x v="6"/>
    <n v="10"/>
    <n v="2025"/>
    <m/>
  </r>
  <r>
    <x v="3"/>
    <x v="12"/>
    <x v="5"/>
    <s v="DC ISSUE COMM CHARGES DCBWPM567940"/>
    <x v="104"/>
    <s v="DCBWPM567940"/>
    <x v="0"/>
    <n v="1236.25"/>
    <n v="0"/>
    <x v="0"/>
    <s v="Received"/>
    <s v="ROLLC FOR TRADING COMPANY"/>
    <x v="5"/>
    <x v="8"/>
    <x v="9"/>
    <n v="10"/>
    <n v="2025"/>
    <m/>
  </r>
  <r>
    <x v="3"/>
    <x v="12"/>
    <x v="5"/>
    <s v="DCBWPM567940 PROJECT FLASH REF DCBWPM567940 COMMISSION"/>
    <x v="104"/>
    <s v="DCBWPM567940"/>
    <x v="0"/>
    <n v="1006.25"/>
    <n v="0"/>
    <x v="0"/>
    <s v="Received"/>
    <s v="ROLLC FOR TRADING COMPANY"/>
    <x v="5"/>
    <x v="8"/>
    <x v="9"/>
    <n v="10"/>
    <n v="2025"/>
    <m/>
  </r>
  <r>
    <x v="3"/>
    <x v="12"/>
    <x v="5"/>
    <s v="DPBCOR616974WPM DCBWPM558756"/>
    <x v="105"/>
    <s v="DPBCOR616974WPM"/>
    <x v="0"/>
    <n v="894240"/>
    <n v="0"/>
    <x v="0"/>
    <s v="Received"/>
    <s v="MASE GULF COMPANY"/>
    <x v="3"/>
    <x v="9"/>
    <x v="10"/>
    <n v="10"/>
    <n v="2025"/>
    <m/>
  </r>
  <r>
    <x v="3"/>
    <x v="12"/>
    <x v="6"/>
    <s v="IMP BILL AMEND. CHARGES DPBCOR623810WPM DCBWPM558759"/>
    <x v="106"/>
    <s v="DPBCOR623810WPM"/>
    <x v="0"/>
    <n v="17250"/>
    <n v="0"/>
    <x v="0"/>
    <s v="Received"/>
    <s v="Daikin Air Conditioning Saudi Arabia "/>
    <x v="3"/>
    <x v="9"/>
    <x v="10"/>
    <n v="10"/>
    <n v="2025"/>
    <m/>
  </r>
  <r>
    <x v="4"/>
    <x v="12"/>
    <x v="8"/>
    <s v="TRADE FINANCE PAYMENT"/>
    <x v="66"/>
    <s v="TF251273300801"/>
    <x v="0"/>
    <n v="84517.88"/>
    <n v="0"/>
    <x v="0"/>
    <s v="Received"/>
    <s v="KENZ SARAB MACHINERY AND EQUIPMENT COMPANY"/>
    <x v="3"/>
    <x v="6"/>
    <x v="7"/>
    <n v="10"/>
    <n v="2025"/>
    <m/>
  </r>
  <r>
    <x v="5"/>
    <x v="12"/>
    <x v="9"/>
    <s v="TI Bill Settled                                                       _x000a_POC003                                                                _x000a_At Bank AlJazira                                                      _x000a_CORPORATE BANKING DEPT-JEDDAH                                         _x000a_Date 27-04-1447(H) Time 10.13.33                                      _x000a_Reference ILC-0840-25-7354                                            _x000a_"/>
    <x v="79"/>
    <s v="ILC-0840-25-7354"/>
    <x v="0"/>
    <n v="502268.01"/>
    <n v="0"/>
    <x v="0"/>
    <s v="Received"/>
    <s v="UNITED PARK CO"/>
    <x v="3"/>
    <x v="10"/>
    <x v="13"/>
    <n v="10"/>
    <n v="2025"/>
    <m/>
  </r>
  <r>
    <x v="1"/>
    <x v="13"/>
    <x v="3"/>
    <s v="CUSTOMER = 3972500 DEAL AMT = 1271.95 DEAL CCY = SAR TAX CODE = 1 "/>
    <x v="107"/>
    <s v="TF251350003101"/>
    <x v="0"/>
    <n v="190.79"/>
    <n v="0"/>
    <x v="1"/>
    <s v="Received"/>
    <s v="MODERN HOUSING CONTRACTING CO."/>
    <x v="3"/>
    <x v="5"/>
    <x v="6"/>
    <n v="10"/>
    <n v="2025"/>
    <m/>
  </r>
  <r>
    <x v="1"/>
    <x v="13"/>
    <x v="3"/>
    <s v="LC ACCEPTANCE COMMISSION FOR LC NO. TF251350003101\BNK"/>
    <x v="107"/>
    <s v="TF251350003101"/>
    <x v="0"/>
    <n v="1271.95"/>
    <n v="0"/>
    <x v="2"/>
    <s v="Received"/>
    <s v="MODERN HOUSING CONTRACTING CO."/>
    <x v="3"/>
    <x v="5"/>
    <x v="6"/>
    <n v="10"/>
    <n v="2025"/>
    <m/>
  </r>
  <r>
    <x v="1"/>
    <x v="13"/>
    <x v="3"/>
    <s v="CUSTOMER = 3972500 DEAL AMT = 1909.36 DEAL CCY = SAR TAX CODE = 1 "/>
    <x v="108"/>
    <s v="TF251470003801"/>
    <x v="0"/>
    <n v="286.39999999999998"/>
    <n v="0"/>
    <x v="1"/>
    <s v="Received"/>
    <s v="World Systems Co. Ltd."/>
    <x v="3"/>
    <x v="5"/>
    <x v="6"/>
    <n v="10"/>
    <n v="2025"/>
    <m/>
  </r>
  <r>
    <x v="1"/>
    <x v="13"/>
    <x v="3"/>
    <s v="LC ACCEPTANCE COMMISSION FOR LC NO. TF251470003801\BNK"/>
    <x v="108"/>
    <s v="TF251470003801"/>
    <x v="0"/>
    <n v="1909.36"/>
    <n v="0"/>
    <x v="2"/>
    <s v="Received"/>
    <s v="World Systems Co. Ltd."/>
    <x v="3"/>
    <x v="5"/>
    <x v="6"/>
    <n v="10"/>
    <n v="2025"/>
    <m/>
  </r>
  <r>
    <x v="4"/>
    <x v="13"/>
    <x v="8"/>
    <s v="PROVISION MARGIN CR"/>
    <x v="67"/>
    <s v="TF251283300501"/>
    <x v="0"/>
    <m/>
    <n v="1233769.43"/>
    <x v="6"/>
    <s v="Received"/>
    <s v="BRC Industrial (Saudia) Company"/>
    <x v="0"/>
    <x v="7"/>
    <x v="8"/>
    <n v="10"/>
    <n v="2025"/>
    <m/>
  </r>
  <r>
    <x v="4"/>
    <x v="13"/>
    <x v="8"/>
    <s v="TRADE FINANCE PAYMENT"/>
    <x v="67"/>
    <s v="TF251283300501"/>
    <x v="0"/>
    <n v="1233769.43"/>
    <n v="0"/>
    <x v="6"/>
    <s v="Received"/>
    <s v="BRC Industrial (Saudia) Company"/>
    <x v="0"/>
    <x v="7"/>
    <x v="8"/>
    <n v="10"/>
    <n v="2025"/>
    <m/>
  </r>
  <r>
    <x v="4"/>
    <x v="13"/>
    <x v="8"/>
    <s v="PROVISION MARGIN CR"/>
    <x v="109"/>
    <s v="TF243543300102"/>
    <x v="0"/>
    <m/>
    <n v="150129.60999999999"/>
    <x v="6"/>
    <s v="Received"/>
    <s v="ALFANAR ELECTRICAL SYSTEMS"/>
    <x v="3"/>
    <x v="5"/>
    <x v="6"/>
    <n v="10"/>
    <n v="2025"/>
    <m/>
  </r>
  <r>
    <x v="4"/>
    <x v="13"/>
    <x v="8"/>
    <s v="TRADE FINANCE PAYMENT"/>
    <x v="109"/>
    <s v="TF243543300102"/>
    <x v="0"/>
    <n v="150129.60999999999"/>
    <n v="0"/>
    <x v="6"/>
    <s v="Received"/>
    <s v="ALFANAR ELECTRICAL SYSTEMS"/>
    <x v="3"/>
    <x v="5"/>
    <x v="6"/>
    <n v="10"/>
    <n v="2025"/>
    <m/>
  </r>
  <r>
    <x v="5"/>
    <x v="13"/>
    <x v="9"/>
    <s v="TI Bill Settled                                                       _x000a_POC004                                                                _x000a_At Bank AlJazira                                                      _x000a_CORPORATE BANKING DEPT-JEDDAH                                         _x000a_Date 28-04-1447(H) Time 12.48.25                                      _x000a_Reference ILC-0840-25-7481                                            _x000a_"/>
    <x v="110"/>
    <s v="ILC-0840-25-7481"/>
    <x v="0"/>
    <n v="55597.26"/>
    <n v="0"/>
    <x v="0"/>
    <s v="Received"/>
    <s v="Branch of National Fire Fighting (NAFFCO)"/>
    <x v="3"/>
    <x v="10"/>
    <x v="13"/>
    <n v="10"/>
    <n v="2025"/>
    <m/>
  </r>
  <r>
    <x v="5"/>
    <x v="13"/>
    <x v="9"/>
    <s v="Dr TI ILC Comm/Other Charges                                          _x000a_POC003-275579206                                                      _x000a_At Bank Aljazira                                                      _x000a_ CORPORATE BANKING DEPT-JEDDAH                                        _x000a_Date 28-04-1447(H) Time 12.49.41                                      _x000a_Reference ILC-0840-25-7570                                            _x000a_Value Date 27-04-1447(H)                                              _x000a_Fee Collected By Bank AlJazira                                        _x000a_Value date 19-OCT-25"/>
    <x v="78"/>
    <s v="ILC-0840-25-7570"/>
    <x v="0"/>
    <n v="100"/>
    <n v="0"/>
    <x v="0"/>
    <s v="Received"/>
    <s v="MOHAMMED RAMADAN SHAT FACTORY FOR METAL INDUSTRIES"/>
    <x v="3"/>
    <x v="10"/>
    <x v="13"/>
    <n v="10"/>
    <n v="2025"/>
    <m/>
  </r>
  <r>
    <x v="5"/>
    <x v="13"/>
    <x v="9"/>
    <s v="Value Added Tax                                                       _x000a_On ILC Acceptance Comm.                                               _x000a_15% of SAR100.00                                                      _x000a_Through CORPORATE BANKING DEPT-JEDDAH                                 _x000a_Date 28-04-1447(H) Time 12.49.41                                      _x000a_Reference ILC-0840-25-7570                                            _x000a_At Bank Aljazira                                                      _x000a_Value date 19-OCT-25"/>
    <x v="78"/>
    <s v="ILC-0840-25-7570"/>
    <x v="0"/>
    <n v="15"/>
    <n v="0"/>
    <x v="0"/>
    <s v="Received"/>
    <s v="MOHAMMED RAMADAN SHAT FACTORY FOR METAL INDUSTRIES"/>
    <x v="3"/>
    <x v="10"/>
    <x v="13"/>
    <n v="10"/>
    <n v="2025"/>
    <m/>
  </r>
  <r>
    <x v="5"/>
    <x v="13"/>
    <x v="9"/>
    <s v="Dr TI ILC Comm/Other Charges                                          _x000a_POC003-275579282                                                      _x000a_At Bank Aljazira                                                      _x000a_ CORPORATE BANKING DEPT-JEDDAH                                        _x000a_Date 28-04-1447(H) Time 12.49.41                                      _x000a_Reference ILC-0840-25-7570                                            _x000a_Value Date 27-04-1447(H)                                              _x000a_Fee Collected By Bank AlJazira                                        _x000a_Value date 19-OCT-25"/>
    <x v="78"/>
    <s v="ILC-0840-25-7570"/>
    <x v="0"/>
    <n v="250"/>
    <n v="0"/>
    <x v="0"/>
    <s v="Received"/>
    <s v="MOHAMMED RAMADAN SHAT FACTORY FOR METAL INDUSTRIES"/>
    <x v="3"/>
    <x v="10"/>
    <x v="13"/>
    <n v="10"/>
    <n v="2025"/>
    <m/>
  </r>
  <r>
    <x v="5"/>
    <x v="13"/>
    <x v="9"/>
    <s v="Value Added Tax                                                       _x000a_On ILC Acceptance Comm.                                               _x000a_15% of SAR250.00                                                      _x000a_Through CORPORATE BANKING DEPT-JEDDAH                                 _x000a_Date 28-04-1447(H) Time 12.49.42                                      _x000a_Reference ILC-0840-25-7570                                            _x000a_At Bank Aljazira                                                      _x000a_Value date 19-OCT-25"/>
    <x v="78"/>
    <s v="ILC-0840-25-7570"/>
    <x v="0"/>
    <n v="37.5"/>
    <n v="0"/>
    <x v="0"/>
    <s v="Received"/>
    <s v="MOHAMMED RAMADAN SHAT FACTORY FOR METAL INDUSTRIES"/>
    <x v="3"/>
    <x v="10"/>
    <x v="13"/>
    <n v="10"/>
    <n v="2025"/>
    <m/>
  </r>
  <r>
    <x v="5"/>
    <x v="13"/>
    <x v="9"/>
    <s v="Dr TI ILC Comm/Other Charges                                          _x000a_POC003-275579284                                                      _x000a_At Bank Aljazira                                                      _x000a_ CORPORATE BANKING DEPT-JEDDAH                                        _x000a_Date 28-04-1447(H) Time 12.49.42                                      _x000a_Reference ILC-0840-25-7570                                            _x000a_Value Date 27-04-1447(H)                                              _x000a_Fee Collected By Bank AlJazira                                        _x000a_Value date 19-OCT-25"/>
    <x v="78"/>
    <s v="ILC-0840-25-7570"/>
    <x v="0"/>
    <n v="200"/>
    <n v="0"/>
    <x v="0"/>
    <s v="Received"/>
    <s v="MOHAMMED RAMADAN SHAT FACTORY FOR METAL INDUSTRIES"/>
    <x v="3"/>
    <x v="10"/>
    <x v="13"/>
    <n v="10"/>
    <n v="2025"/>
    <m/>
  </r>
  <r>
    <x v="5"/>
    <x v="13"/>
    <x v="9"/>
    <s v="Value Added Tax                                                       _x000a_On SWIFT charges                                                      _x000a_15% of SAR200.00                                                      _x000a_Through CORPORATE BANKING DEPT-JEDDAH                                 _x000a_Date 28-04-1447(H) Time 12.49.43                                      _x000a_Reference ILC-0840-25-7570                                            _x000a_At Bank Aljazira                                                      _x000a_Value date 19-OCT-25"/>
    <x v="78"/>
    <s v="ILC-0840-25-7570"/>
    <x v="0"/>
    <n v="30"/>
    <n v="0"/>
    <x v="0"/>
    <s v="Received"/>
    <s v="MOHAMMED RAMADAN SHAT FACTORY FOR METAL INDUSTRIES"/>
    <x v="3"/>
    <x v="10"/>
    <x v="13"/>
    <n v="10"/>
    <n v="2025"/>
    <m/>
  </r>
  <r>
    <x v="5"/>
    <x v="13"/>
    <x v="9"/>
    <s v="Dr TI ILC Comm/Other Charges                                          _x000a_POC003-275816620                                                      _x000a_At Bank Aljazira                                                      _x000a_ CORPORATE BANKING DEPT-JEDDAH                                        _x000a_Exchange Rate 1.0                                                     _x000a_Date 28-04-1447(H) Time 15.25.09                                      _x000a_Reference ILC-0840-25-8159                                            _x000a_Value Date 28-04-1447(H)                                              _x000a_Fee Collected By Bank AlJazira                                        _x000a_"/>
    <x v="84"/>
    <s v="ILC-0840-25-8159"/>
    <x v="0"/>
    <n v="100"/>
    <n v="0"/>
    <x v="0"/>
    <s v="Received"/>
    <s v="AL FALWA CO. LTD. FOR READYMIX CONCRETE"/>
    <x v="0"/>
    <x v="10"/>
    <x v="13"/>
    <n v="10"/>
    <n v="2025"/>
    <m/>
  </r>
  <r>
    <x v="5"/>
    <x v="13"/>
    <x v="9"/>
    <s v="Value Added Tax                                                       _x000a_On ILC Acceptance Comm.                                               _x000a_15% of SAR100.00                                                      _x000a_Through CORPORATE BANKING DEPT-JEDDAH                                 _x000a_Date 28-04-1447(H) Time 15.25.12                                      _x000a_Reference ILC-0840-25-8159                                            _x000a_At Bank Aljazira                                                      _x000a_Exchange Rate 1.0                                                     _x000a_"/>
    <x v="84"/>
    <s v="ILC-0840-25-8159"/>
    <x v="0"/>
    <n v="15"/>
    <n v="0"/>
    <x v="0"/>
    <s v="Received"/>
    <s v="AL FALWA CO. LTD. FOR READYMIX CONCRETE"/>
    <x v="0"/>
    <x v="10"/>
    <x v="13"/>
    <n v="10"/>
    <n v="2025"/>
    <m/>
  </r>
  <r>
    <x v="5"/>
    <x v="13"/>
    <x v="9"/>
    <s v="Dr TI ILC Comm/Other Charges                                          _x000a_POC003-275816660                                                      _x000a_At Bank Aljazira                                                      _x000a_ CORPORATE BANKING DEPT-JEDDAH                                        _x000a_Exchange Rate 1.0                                                     _x000a_Date 28-04-1447(H) Time 15.25.15                                      _x000a_Reference ILC-0840-25-8159                                            _x000a_Value Date 28-04-1447(H)                                              _x000a_Fee Collected By Bank AlJazira                                        _x000a_"/>
    <x v="84"/>
    <s v="ILC-0840-25-8159"/>
    <x v="0"/>
    <n v="1009"/>
    <n v="0"/>
    <x v="0"/>
    <s v="Received"/>
    <s v="AL FALWA CO. LTD. FOR READYMIX CONCRETE"/>
    <x v="0"/>
    <x v="10"/>
    <x v="13"/>
    <n v="10"/>
    <n v="2025"/>
    <m/>
  </r>
  <r>
    <x v="5"/>
    <x v="13"/>
    <x v="9"/>
    <s v="Value Added Tax                                                       _x000a_On ILC Acceptance Comm.                                               _x000a_15% of SAR1,009.00                                                    _x000a_Through CORPORATE BANKING DEPT-JEDDAH                                 _x000a_Date 28-04-1447(H) Time 15.25.15                                      _x000a_Reference ILC-0840-25-8159                                            _x000a_At Bank Aljazira                                                      _x000a_Exchange Rate 1.0                                                     _x000a_"/>
    <x v="84"/>
    <s v="ILC-0840-25-8159"/>
    <x v="0"/>
    <n v="151.35"/>
    <n v="0"/>
    <x v="0"/>
    <s v="Received"/>
    <s v="AL FALWA CO. LTD. FOR READYMIX CONCRETE"/>
    <x v="0"/>
    <x v="10"/>
    <x v="13"/>
    <n v="10"/>
    <n v="2025"/>
    <m/>
  </r>
  <r>
    <x v="5"/>
    <x v="13"/>
    <x v="9"/>
    <s v="Dr TI ILC Comm/Other Charges                                          _x000a_POC003-275816664                                                      _x000a_At Bank Aljazira                                                      _x000a_ CORPORATE BANKING DEPT-JEDDAH                                        _x000a_Exchange Rate 1.0                                                     _x000a_Date 28-04-1447(H) Time 15.25.17                                      _x000a_Reference ILC-0840-25-8159                                            _x000a_Value Date 28-04-1447(H)                                              _x000a_Fee Collected By Bank AlJazira                                        _x000a_"/>
    <x v="84"/>
    <s v="ILC-0840-25-8159"/>
    <x v="0"/>
    <n v="200"/>
    <n v="0"/>
    <x v="0"/>
    <s v="Received"/>
    <s v="AL FALWA CO. LTD. FOR READYMIX CONCRETE"/>
    <x v="0"/>
    <x v="10"/>
    <x v="13"/>
    <n v="10"/>
    <n v="2025"/>
    <m/>
  </r>
  <r>
    <x v="5"/>
    <x v="13"/>
    <x v="9"/>
    <s v="Value Added Tax                                                       _x000a_On SWIFT charges                                                      _x000a_15% of SAR200.00                                                      _x000a_Through CORPORATE BANKING DEPT-JEDDAH                                 _x000a_Date 28-04-1447(H) Time 15.25.19                                      _x000a_Reference ILC-0840-25-8159                                            _x000a_At Bank Aljazira                                                      _x000a_Exchange Rate 1.0                                                     _x000a_"/>
    <x v="84"/>
    <s v="ILC-0840-25-8159"/>
    <x v="0"/>
    <n v="30"/>
    <n v="0"/>
    <x v="0"/>
    <s v="Received"/>
    <s v="AL FALWA CO. LTD. FOR READYMIX CONCRETE"/>
    <x v="0"/>
    <x v="10"/>
    <x v="13"/>
    <n v="10"/>
    <n v="2025"/>
    <m/>
  </r>
  <r>
    <x v="1"/>
    <x v="14"/>
    <x v="3"/>
    <s v="CUSTOMER = 3972500 DEAL AMT = 4697.50 DEAL CCY = SAR TAX CODE = 1 "/>
    <x v="111"/>
    <s v="TF2527100024"/>
    <x v="0"/>
    <n v="37.5"/>
    <n v="0"/>
    <x v="1"/>
    <s v="Received"/>
    <s v="Saudi Perfect Pumps Trading &amp; Manufacturing Company"/>
    <x v="0"/>
    <x v="7"/>
    <x v="8"/>
    <n v="10"/>
    <n v="2025"/>
    <m/>
  </r>
  <r>
    <x v="1"/>
    <x v="14"/>
    <x v="3"/>
    <s v="LC SWIFT CHARGES FOR LC NO. TF2527100024\BNK"/>
    <x v="111"/>
    <s v="TF2527100024"/>
    <x v="0"/>
    <n v="250"/>
    <n v="0"/>
    <x v="3"/>
    <s v="Received"/>
    <s v="Saudi Perfect Pumps Trading &amp; Manufacturing Company"/>
    <x v="0"/>
    <x v="7"/>
    <x v="8"/>
    <n v="10"/>
    <n v="2025"/>
    <m/>
  </r>
  <r>
    <x v="1"/>
    <x v="14"/>
    <x v="3"/>
    <s v="CUSTOMER = 3972500 DEAL AMT = 4697.50 DEAL CCY = SAR TAX CODE = 1 "/>
    <x v="111"/>
    <s v="TF2527100024"/>
    <x v="0"/>
    <n v="704.63"/>
    <n v="0"/>
    <x v="1"/>
    <s v="Received"/>
    <s v="Saudi Perfect Pumps Trading &amp; Manufacturing Company"/>
    <x v="0"/>
    <x v="7"/>
    <x v="8"/>
    <n v="10"/>
    <n v="2025"/>
    <m/>
  </r>
  <r>
    <x v="1"/>
    <x v="14"/>
    <x v="3"/>
    <s v="LC AMENDMENT COMMISSION FOR LC NO. TF2527100024\BNK"/>
    <x v="111"/>
    <s v="TF2527100024"/>
    <x v="0"/>
    <n v="4697.5"/>
    <n v="0"/>
    <x v="5"/>
    <s v="Received"/>
    <s v="Saudi Perfect Pumps Trading &amp; Manufacturing Company"/>
    <x v="0"/>
    <x v="7"/>
    <x v="8"/>
    <n v="10"/>
    <n v="2025"/>
    <m/>
  </r>
  <r>
    <x v="0"/>
    <x v="14"/>
    <x v="0"/>
    <s v="RB REF JLG6903586,VIA CORE SYSTEM,DATE-TIME 21/10-12:23:29, عن طريق النظام الآ لي ,VALUE DT 21/10/25"/>
    <x v="112"/>
    <s v=""/>
    <x v="0"/>
    <n v="13656.25"/>
    <n v="0"/>
    <x v="0"/>
    <s v="Received"/>
    <s v="Bid - King Salman International Airport Development Company"/>
    <x v="0"/>
    <x v="2"/>
    <x v="2"/>
    <n v="10"/>
    <n v="2025"/>
    <m/>
  </r>
  <r>
    <x v="0"/>
    <x v="14"/>
    <x v="1"/>
    <s v="RB REF JLG6800101,VIA CORE SYSTEM,DATE-TIME 21/10-13:23:53, عن طريق النظام الآ لي ,VALUE DT 21/10/25"/>
    <x v="113"/>
    <s v=""/>
    <x v="0"/>
    <n v="7717.65"/>
    <n v="0"/>
    <x v="0"/>
    <s v="Received"/>
    <s v="Performance - DEVELOPMENT OF MEDINAH AUTHORITY"/>
    <x v="1"/>
    <x v="2"/>
    <x v="14"/>
    <n v="10"/>
    <n v="2025"/>
    <m/>
  </r>
  <r>
    <x v="3"/>
    <x v="14"/>
    <x v="6"/>
    <s v="IMP BILL AMEND. CHARGES DPBCOR623965WPM DCBWPM563936"/>
    <x v="114"/>
    <s v="DPBCOR623965WPM"/>
    <x v="0"/>
    <n v="862.5"/>
    <n v="0"/>
    <x v="0"/>
    <s v="Received"/>
    <s v="Masdar Technical Supplies Co."/>
    <x v="3"/>
    <x v="9"/>
    <x v="10"/>
    <n v="10"/>
    <n v="2025"/>
    <m/>
  </r>
  <r>
    <x v="5"/>
    <x v="14"/>
    <x v="9"/>
    <s v="Dr TI LGI Commission (Unearned)                                       _x000a_ISS001-275865389                                                      _x000a_At Bank AlJazira                                                      _x000a_CORPORATE BANKING DEPT-JEDDAH                                         _x000a_Date 29-04-1447(H) Time 10.38.57                                      _x000a_Reference ILC-0840-25-8427                                            _x000a_"/>
    <x v="115"/>
    <s v="ILC-0840-25-8427"/>
    <x v="0"/>
    <n v="21414.71"/>
    <n v="0"/>
    <x v="0"/>
    <s v="Received"/>
    <s v="Alrashid Trading and Contracting Company"/>
    <x v="0"/>
    <x v="10"/>
    <x v="13"/>
    <n v="10"/>
    <n v="2025"/>
    <m/>
  </r>
  <r>
    <x v="5"/>
    <x v="14"/>
    <x v="9"/>
    <s v="Value Added Tax                                                       _x000a_On ILC Commission                                                     _x000a_15% of SAR21,414.71                                                   _x000a_Through CORPORATE BANKING DEPT-JEDDAH                                 _x000a_Date 29-04-1447(H) Time 10.38.57                                      _x000a_Reference ILC-0840-25-8427                                            _x000a_At Bank Aljazira                                                      _x000a_"/>
    <x v="115"/>
    <s v="ILC-0840-25-8427"/>
    <x v="0"/>
    <n v="3212.21"/>
    <n v="0"/>
    <x v="0"/>
    <s v="Received"/>
    <s v="Alrashid Trading and Contracting Company"/>
    <x v="0"/>
    <x v="10"/>
    <x v="13"/>
    <n v="10"/>
    <n v="2025"/>
    <m/>
  </r>
  <r>
    <x v="5"/>
    <x v="14"/>
    <x v="9"/>
    <s v="Dr TI ILC Comm/Other Charges                                          _x000a_ISS001-275865391                                                      _x000a_At Bank Aljazira                                                      _x000a_ CORPORATE BANKING DEPT-JEDDAH                                        _x000a_Date 29-04-1447(H) Time 10.38.57                                      _x000a_Reference ILC-0840-25-8427                                            _x000a_Value Date 29-04-1447(H)                                              _x000a_Fee Collected By Bank AlJazira                                        _x000a_"/>
    <x v="115"/>
    <s v="ILC-0840-25-8427"/>
    <x v="0"/>
    <n v="10457.35"/>
    <n v="0"/>
    <x v="0"/>
    <s v="Received"/>
    <s v="Alrashid Trading and Contracting Company"/>
    <x v="0"/>
    <x v="10"/>
    <x v="13"/>
    <n v="10"/>
    <n v="2025"/>
    <m/>
  </r>
  <r>
    <x v="5"/>
    <x v="14"/>
    <x v="9"/>
    <s v="Value Added Tax                                                       _x000a_On ILC Commission                                                     _x000a_15% of SAR10,457.35                                                   _x000a_Through CORPORATE BANKING DEPT-JEDDAH                                 _x000a_Date 29-04-1447(H) Time 10.38.57                                      _x000a_Reference ILC-0840-25-8427                                            _x000a_At Bank Aljazira                                                      _x000a_"/>
    <x v="115"/>
    <s v="ILC-0840-25-8427"/>
    <x v="0"/>
    <n v="1568.6"/>
    <n v="0"/>
    <x v="0"/>
    <s v="Received"/>
    <s v="Alrashid Trading and Contracting Company"/>
    <x v="0"/>
    <x v="10"/>
    <x v="13"/>
    <n v="10"/>
    <n v="2025"/>
    <m/>
  </r>
  <r>
    <x v="5"/>
    <x v="14"/>
    <x v="9"/>
    <s v="Dr TI ILC Comm/Other Charges                                          _x000a_ISS001-275865393                                                      _x000a_At Bank Aljazira                                                      _x000a_ CORPORATE BANKING DEPT-JEDDAH                                        _x000a_Date 29-04-1447(H) Time 10.38.58                                      _x000a_Reference ILC-0840-25-8427                                            _x000a_Value Date 29-04-1447(H)                                              _x000a_Fee Collected By Bank AlJazira                                        _x000a_"/>
    <x v="115"/>
    <s v="ILC-0840-25-8427"/>
    <x v="0"/>
    <n v="750"/>
    <n v="0"/>
    <x v="0"/>
    <s v="Received"/>
    <s v="Alrashid Trading and Contracting Company"/>
    <x v="0"/>
    <x v="10"/>
    <x v="13"/>
    <n v="10"/>
    <n v="2025"/>
    <m/>
  </r>
  <r>
    <x v="5"/>
    <x v="14"/>
    <x v="9"/>
    <s v="Value Added Tax                                                       _x000a_On ILC SWIFT/Telex Charges                                            _x000a_15% of SAR750.00                                                      _x000a_Through CORPORATE BANKING DEPT-JEDDAH                                 _x000a_Date 29-04-1447(H) Time 10.38.58                                      _x000a_Reference ILC-0840-25-8427                                            _x000a_At Bank Aljazira                                                      _x000a_"/>
    <x v="115"/>
    <s v="ILC-0840-25-8427"/>
    <x v="0"/>
    <n v="112.5"/>
    <n v="0"/>
    <x v="0"/>
    <s v="Received"/>
    <s v="Alrashid Trading and Contracting Company"/>
    <x v="0"/>
    <x v="10"/>
    <x v="13"/>
    <n v="10"/>
    <n v="2025"/>
    <m/>
  </r>
  <r>
    <x v="5"/>
    <x v="14"/>
    <x v="9"/>
    <s v="Dr TI ILC Comm/Other Charges                                          _x000a_ISS001-275865395                                                      _x000a_At Bank Aljazira                                                      _x000a_ CORPORATE BANKING DEPT-JEDDAH                                        _x000a_Date 29-04-1447(H) Time 10.38.58                                      _x000a_Reference ILC-0840-25-8427                                            _x000a_Value Date 29-04-1447(H)                                              _x000a_Fee Collected By Bank AlJazira                                        _x000a_"/>
    <x v="115"/>
    <s v="ILC-0840-25-8427"/>
    <x v="0"/>
    <n v="23703.33"/>
    <n v="0"/>
    <x v="0"/>
    <s v="Received"/>
    <s v="Alrashid Trading and Contracting Company"/>
    <x v="0"/>
    <x v="10"/>
    <x v="13"/>
    <n v="10"/>
    <n v="2025"/>
    <m/>
  </r>
  <r>
    <x v="5"/>
    <x v="14"/>
    <x v="9"/>
    <s v="Value Added Tax                                                       _x000a_On LC PROCESSING FEE                                                  _x000a_15% of SAR23,703.33                                                   _x000a_Through CORPORATE BANKING DEPT-JEDDAH                                 _x000a_Date 29-04-1447(H) Time 10.38.58                                      _x000a_Reference ILC-0840-25-8427                                            _x000a_At Bank Aljazira                                                      _x000a_"/>
    <x v="115"/>
    <s v="ILC-0840-25-8427"/>
    <x v="0"/>
    <n v="3555.5"/>
    <n v="0"/>
    <x v="0"/>
    <s v="Received"/>
    <s v="Alrashid Trading and Contracting Company"/>
    <x v="0"/>
    <x v="10"/>
    <x v="13"/>
    <n v="10"/>
    <n v="2025"/>
    <m/>
  </r>
  <r>
    <x v="2"/>
    <x v="2"/>
    <x v="10"/>
    <s v="CITY:Jeddah 6132225B323741000"/>
    <x v="116"/>
    <m/>
    <x v="2"/>
    <n v="99429"/>
    <n v="0"/>
    <x v="6"/>
    <s v="Received"/>
    <s v="Advance - ROYAL PROTOCOL CAMP"/>
    <x v="0"/>
    <x v="2"/>
    <x v="15"/>
    <n v="10"/>
    <n v="2025"/>
    <m/>
  </r>
  <r>
    <x v="2"/>
    <x v="2"/>
    <x v="10"/>
    <s v="CITY:Jeddah 0000006132225B323823000"/>
    <x v="117"/>
    <m/>
    <x v="2"/>
    <n v="37356.6"/>
    <n v="0"/>
    <x v="6"/>
    <s v="Received"/>
    <s v="Performance - ROYAL PROTOCOL CAMP"/>
    <x v="1"/>
    <x v="2"/>
    <x v="15"/>
    <n v="10"/>
    <n v="2025"/>
    <m/>
  </r>
  <r>
    <x v="2"/>
    <x v="14"/>
    <x v="11"/>
    <s v="CITY:Jeddah 0000006132225B314277011"/>
    <x v="118"/>
    <m/>
    <x v="2"/>
    <n v="23000"/>
    <n v="0"/>
    <x v="6"/>
    <s v="Received"/>
    <s v="Material - JEDDAH CENTRAL DEVELOPMENT COMPANY (JCD)"/>
    <x v="1"/>
    <x v="11"/>
    <x v="16"/>
    <n v="10"/>
    <n v="2025"/>
    <m/>
  </r>
  <r>
    <x v="1"/>
    <x v="15"/>
    <x v="3"/>
    <s v="CUSTOMER = 3972500 DEAL AMT = 75 DEAL CCY = SAR TAX CODE = 1 "/>
    <x v="119"/>
    <s v="TF251310002901"/>
    <x v="0"/>
    <n v="11.25"/>
    <n v="0"/>
    <x v="1"/>
    <s v="Received"/>
    <s v="GULF GRILLES COMPANY"/>
    <x v="3"/>
    <x v="5"/>
    <x v="6"/>
    <n v="10"/>
    <n v="2025"/>
    <m/>
  </r>
  <r>
    <x v="1"/>
    <x v="15"/>
    <x v="3"/>
    <s v="LC SWIFT CHARGES FOR LC NO. TF251310002901\BNK"/>
    <x v="119"/>
    <s v="TF251310002901"/>
    <x v="0"/>
    <n v="75"/>
    <n v="0"/>
    <x v="3"/>
    <s v="Received"/>
    <s v="GULF GRILLES COMPANY"/>
    <x v="3"/>
    <x v="5"/>
    <x v="6"/>
    <n v="10"/>
    <n v="2025"/>
    <m/>
  </r>
  <r>
    <x v="1"/>
    <x v="15"/>
    <x v="3"/>
    <s v="REIMBURSE UNDER LCS DR FOR LC NO. TF251310002901\BNK"/>
    <x v="119"/>
    <s v="TF251310002901"/>
    <x v="0"/>
    <n v="780320.25"/>
    <n v="0"/>
    <x v="4"/>
    <s v="Received"/>
    <s v="GULF GRILLES COMPANY"/>
    <x v="3"/>
    <x v="5"/>
    <x v="6"/>
    <n v="10"/>
    <n v="2025"/>
    <m/>
  </r>
  <r>
    <x v="1"/>
    <x v="15"/>
    <x v="3"/>
    <s v="CUSTOMER = 3972500 DEAL AMT = 75 DEAL CCY = SAR TAX CODE = 1 "/>
    <x v="120"/>
    <s v="TF251350001601"/>
    <x v="0"/>
    <n v="11.25"/>
    <n v="0"/>
    <x v="1"/>
    <s v="Received"/>
    <s v="ATC Saudi Co."/>
    <x v="3"/>
    <x v="5"/>
    <x v="6"/>
    <n v="10"/>
    <n v="2025"/>
    <m/>
  </r>
  <r>
    <x v="1"/>
    <x v="15"/>
    <x v="3"/>
    <s v="LC SWIFT CHARGES FOR LC NO. TF251350001601\BNK"/>
    <x v="120"/>
    <s v="TF251350001601"/>
    <x v="0"/>
    <n v="75"/>
    <n v="0"/>
    <x v="3"/>
    <s v="Received"/>
    <s v="ATC Saudi Co."/>
    <x v="3"/>
    <x v="5"/>
    <x v="6"/>
    <n v="10"/>
    <n v="2025"/>
    <m/>
  </r>
  <r>
    <x v="1"/>
    <x v="15"/>
    <x v="3"/>
    <s v="REIMBURSE UNDER LCS DR FOR LC NO. TF251350001601\BNK"/>
    <x v="120"/>
    <s v="TF251350001601"/>
    <x v="0"/>
    <n v="167957.5"/>
    <n v="0"/>
    <x v="4"/>
    <s v="Received"/>
    <s v="ATC Saudi Co."/>
    <x v="3"/>
    <x v="5"/>
    <x v="6"/>
    <n v="10"/>
    <n v="2025"/>
    <m/>
  </r>
  <r>
    <x v="1"/>
    <x v="15"/>
    <x v="3"/>
    <s v="CUSTOMER = 3972500 DEAL AMT = 75 DEAL CCY = SAR TAX CODE = 1 "/>
    <x v="121"/>
    <s v="TF251350003302"/>
    <x v="0"/>
    <n v="11.25"/>
    <n v="0"/>
    <x v="1"/>
    <s v="Received"/>
    <s v="TECHNICAL TOOLS TRADING CO"/>
    <x v="3"/>
    <x v="5"/>
    <x v="6"/>
    <n v="10"/>
    <n v="2025"/>
    <m/>
  </r>
  <r>
    <x v="1"/>
    <x v="15"/>
    <x v="3"/>
    <s v="LC SWIFT CHARGES FOR LC NO. TF251350003302\BNK"/>
    <x v="121"/>
    <s v="TF251350003302"/>
    <x v="0"/>
    <n v="75"/>
    <n v="0"/>
    <x v="3"/>
    <s v="Received"/>
    <s v="TECHNICAL TOOLS TRADING CO"/>
    <x v="3"/>
    <x v="5"/>
    <x v="6"/>
    <n v="10"/>
    <n v="2025"/>
    <m/>
  </r>
  <r>
    <x v="1"/>
    <x v="15"/>
    <x v="3"/>
    <s v="REIMBURSE UNDER LCS DR FOR LC NO. TF251350003302\BNK"/>
    <x v="121"/>
    <s v="TF251350003302"/>
    <x v="0"/>
    <n v="124712.48"/>
    <n v="0"/>
    <x v="4"/>
    <s v="Received"/>
    <s v="TECHNICAL TOOLS TRADING CO"/>
    <x v="3"/>
    <x v="5"/>
    <x v="6"/>
    <n v="10"/>
    <n v="2025"/>
    <m/>
  </r>
  <r>
    <x v="1"/>
    <x v="15"/>
    <x v="3"/>
    <s v="CUSTOMER = 3972500 DEAL AMT = 75 DEAL CCY = SAR TAX CODE = 1 "/>
    <x v="122"/>
    <s v="TF251350003501"/>
    <x v="0"/>
    <n v="11.25"/>
    <n v="0"/>
    <x v="1"/>
    <s v="Received"/>
    <s v="Saudi Electric Supply Company"/>
    <x v="3"/>
    <x v="5"/>
    <x v="6"/>
    <n v="10"/>
    <n v="2025"/>
    <m/>
  </r>
  <r>
    <x v="1"/>
    <x v="15"/>
    <x v="3"/>
    <s v="LC SWIFT CHARGES FOR LC NO. TF251350003501\BNK"/>
    <x v="122"/>
    <s v="TF251350003501"/>
    <x v="0"/>
    <n v="75"/>
    <n v="0"/>
    <x v="3"/>
    <s v="Received"/>
    <s v="Saudi Electric Supply Company"/>
    <x v="3"/>
    <x v="5"/>
    <x v="6"/>
    <n v="10"/>
    <n v="2025"/>
    <m/>
  </r>
  <r>
    <x v="1"/>
    <x v="15"/>
    <x v="3"/>
    <s v="REIMBURSE UNDER LCS DR FOR LC NO. TF251350003501\BNK"/>
    <x v="122"/>
    <s v="TF251350003501"/>
    <x v="0"/>
    <n v="335475.96000000002"/>
    <n v="0"/>
    <x v="4"/>
    <s v="Received"/>
    <s v="Saudi Electric Supply Company"/>
    <x v="3"/>
    <x v="5"/>
    <x v="6"/>
    <n v="10"/>
    <n v="2025"/>
    <m/>
  </r>
  <r>
    <x v="1"/>
    <x v="15"/>
    <x v="3"/>
    <s v="CUSTOMER = 3972500 DEAL AMT = 75 DEAL CCY = SAR TAX CODE = 1 "/>
    <x v="123"/>
    <s v="TF251470006101"/>
    <x v="0"/>
    <n v="11.25"/>
    <n v="0"/>
    <x v="1"/>
    <s v="Received"/>
    <s v="Universal Building Materials Merchants Co. ltd"/>
    <x v="3"/>
    <x v="5"/>
    <x v="6"/>
    <n v="10"/>
    <n v="2025"/>
    <m/>
  </r>
  <r>
    <x v="1"/>
    <x v="15"/>
    <x v="3"/>
    <s v="LC SWIFT CHARGES FOR LC NO. TF251470006101\BNK"/>
    <x v="123"/>
    <s v="TF251470006101"/>
    <x v="0"/>
    <n v="75"/>
    <n v="0"/>
    <x v="3"/>
    <s v="Received"/>
    <s v="Universal Building Materials Merchants Co. ltd"/>
    <x v="3"/>
    <x v="5"/>
    <x v="6"/>
    <n v="10"/>
    <n v="2025"/>
    <m/>
  </r>
  <r>
    <x v="1"/>
    <x v="15"/>
    <x v="3"/>
    <s v="REIMBURSE UNDER LCS DR FOR LC NO. TF251470006101\BNK"/>
    <x v="123"/>
    <s v="TF251470006101"/>
    <x v="0"/>
    <n v="200000"/>
    <n v="0"/>
    <x v="4"/>
    <s v="Received"/>
    <s v="Universal Building Materials Merchants Co. ltd"/>
    <x v="3"/>
    <x v="5"/>
    <x v="6"/>
    <n v="10"/>
    <n v="2025"/>
    <m/>
  </r>
  <r>
    <x v="3"/>
    <x v="15"/>
    <x v="5"/>
    <s v="IMP BILL RETIRE. CHARGES BR COR624111WPM DC WPM556764"/>
    <x v="50"/>
    <s v="BR COR624111WPM"/>
    <x v="0"/>
    <n v="505.4"/>
    <n v="0"/>
    <x v="0"/>
    <s v="Received"/>
    <s v="VENTLINE AIR CONDITIONING REQUISITES MANUFACTURING LLC"/>
    <x v="5"/>
    <x v="8"/>
    <x v="9"/>
    <n v="10"/>
    <n v="2025"/>
    <m/>
  </r>
  <r>
    <x v="3"/>
    <x v="15"/>
    <x v="5"/>
    <s v="DPBCOR622872WPM DCBWPM565536"/>
    <x v="61"/>
    <s v="DPBCOR622872WPM"/>
    <x v="0"/>
    <n v="1000000"/>
    <n v="0"/>
    <x v="0"/>
    <s v="Received"/>
    <s v="Company Alabwab Aldulaya For Contracting"/>
    <x v="5"/>
    <x v="8"/>
    <x v="9"/>
    <n v="10"/>
    <n v="2025"/>
    <m/>
  </r>
  <r>
    <x v="3"/>
    <x v="15"/>
    <x v="5"/>
    <s v="BR COR624111WPM DC WPM556764"/>
    <x v="50"/>
    <s v="BR COR624111WPM"/>
    <x v="0"/>
    <n v="545778.80000000005"/>
    <n v="0"/>
    <x v="0"/>
    <s v="Received"/>
    <s v="VENTLINE AIR CONDITIONING REQUISITES MANUFACTURING LLC"/>
    <x v="5"/>
    <x v="8"/>
    <x v="9"/>
    <n v="10"/>
    <n v="2025"/>
    <m/>
  </r>
  <r>
    <x v="3"/>
    <x v="15"/>
    <x v="6"/>
    <s v="IMP BILL COMM DPBCOR624200WPM DCBWPM565836"/>
    <x v="124"/>
    <s v="DPBCOR624200WPM"/>
    <x v="0"/>
    <n v="4312.5"/>
    <n v="0"/>
    <x v="0"/>
    <s v="Received"/>
    <s v="TEN POINTS EST"/>
    <x v="3"/>
    <x v="9"/>
    <x v="10"/>
    <n v="10"/>
    <n v="2025"/>
    <m/>
  </r>
  <r>
    <x v="5"/>
    <x v="15"/>
    <x v="9"/>
    <s v="TI Bill Settled                                                       _x000a_POC004                                                                _x000a_At Bank AlJazira                                                      _x000a_CORPORATE BANKING DEPT-JEDDAH                                         _x000a_Date 30-04-1447(H) Time 09.23.43                                      _x000a_Reference ILC-0840-25-8159                                            _x000a_"/>
    <x v="84"/>
    <s v="ILC-0840-25-8159"/>
    <x v="0"/>
    <n v="1210253.1000000001"/>
    <n v="0"/>
    <x v="0"/>
    <s v="Received"/>
    <s v="AL FALWA CO. LTD. FOR READYMIX CONCRETE"/>
    <x v="0"/>
    <x v="10"/>
    <x v="13"/>
    <n v="10"/>
    <n v="2025"/>
    <m/>
  </r>
  <r>
    <x v="1"/>
    <x v="16"/>
    <x v="3"/>
    <s v="CUSTOMER = 3972500 DEAL AMT = 75 DEAL CCY = SAR TAX CODE = 1 "/>
    <x v="125"/>
    <s v="TF251470005601"/>
    <x v="0"/>
    <n v="11.25"/>
    <n v="0"/>
    <x v="1"/>
    <s v="Received"/>
    <s v="SAHM AL MADINAH CONTRACTING EST"/>
    <x v="3"/>
    <x v="5"/>
    <x v="6"/>
    <n v="10"/>
    <n v="2025"/>
    <m/>
  </r>
  <r>
    <x v="1"/>
    <x v="16"/>
    <x v="3"/>
    <s v="LC SWIFT CHARGES FOR LC NO. TF251470005601\BNK"/>
    <x v="125"/>
    <s v="TF251470005601"/>
    <x v="0"/>
    <n v="75"/>
    <n v="0"/>
    <x v="3"/>
    <s v="Received"/>
    <s v="SAHM AL MADINAH CONTRACTING EST"/>
    <x v="3"/>
    <x v="5"/>
    <x v="6"/>
    <n v="10"/>
    <n v="2025"/>
    <m/>
  </r>
  <r>
    <x v="1"/>
    <x v="16"/>
    <x v="3"/>
    <s v="REIMBURSE UNDER LCS DR FOR LC NO. TF251470005601\BNK"/>
    <x v="125"/>
    <s v="TF251470005601"/>
    <x v="0"/>
    <n v="150000"/>
    <n v="0"/>
    <x v="4"/>
    <s v="Received"/>
    <s v="SAHM AL MADINAH CONTRACTING EST"/>
    <x v="3"/>
    <x v="5"/>
    <x v="6"/>
    <n v="10"/>
    <n v="2025"/>
    <m/>
  </r>
  <r>
    <x v="1"/>
    <x v="16"/>
    <x v="3"/>
    <s v="CUSTOMER = 3972500 DEAL AMT = 150 DEAL CCY = EUR TAX CODE = 1 "/>
    <x v="28"/>
    <s v="TF251940003201"/>
    <x v="0"/>
    <n v="22.5"/>
    <n v="0"/>
    <x v="1"/>
    <s v="Received"/>
    <s v="BBH-CHEMTROL INTERNATIONAL ORGANIZATION S.L"/>
    <x v="4"/>
    <x v="5"/>
    <x v="6"/>
    <n v="10"/>
    <n v="2025"/>
    <m/>
  </r>
  <r>
    <x v="1"/>
    <x v="16"/>
    <x v="3"/>
    <s v="LC SWIFT CHARGES FOR LC NO. TF251940003201\BNK"/>
    <x v="28"/>
    <s v="TF251940003201"/>
    <x v="0"/>
    <n v="150"/>
    <n v="0"/>
    <x v="3"/>
    <s v="Received"/>
    <s v="BBH-CHEMTROL INTERNATIONAL ORGANIZATION S.L"/>
    <x v="4"/>
    <x v="5"/>
    <x v="6"/>
    <n v="10"/>
    <n v="2025"/>
    <m/>
  </r>
  <r>
    <x v="1"/>
    <x v="16"/>
    <x v="3"/>
    <s v="REIMBURSE UNDER LCS DR FOR LC NO. TF251940003201\BNK"/>
    <x v="28"/>
    <s v="TF251940003201"/>
    <x v="0"/>
    <n v="381401.93"/>
    <n v="0"/>
    <x v="4"/>
    <s v="Received"/>
    <s v="BBH-CHEMTROL INTERNATIONAL ORGANIZATION S.L"/>
    <x v="4"/>
    <x v="5"/>
    <x v="6"/>
    <n v="10"/>
    <n v="2025"/>
    <m/>
  </r>
  <r>
    <x v="0"/>
    <x v="16"/>
    <x v="0"/>
    <s v="RB REF JLG6903586,VIA CORE SYSTEM,DATE-TIME 23/10-13:19:55, عن طريق النظام الآ لي ,VALUE DT 23/10/25"/>
    <x v="112"/>
    <s v=""/>
    <x v="0"/>
    <n v="5031.25"/>
    <n v="0"/>
    <x v="0"/>
    <s v="Received"/>
    <s v="Bid - King Salman International Airport Development Company"/>
    <x v="0"/>
    <x v="2"/>
    <x v="2"/>
    <n v="10"/>
    <n v="2025"/>
    <m/>
  </r>
  <r>
    <x v="3"/>
    <x v="16"/>
    <x v="5"/>
    <s v="DPBCOR621076WPM DCBWPM551279 DCBMBL551279"/>
    <x v="55"/>
    <s v="DPBCOR621076WPM"/>
    <x v="0"/>
    <n v="2660497.44"/>
    <n v="0"/>
    <x v="0"/>
    <s v="Received"/>
    <s v="Arnon Plastic Industries Co Ltd"/>
    <x v="0"/>
    <x v="8"/>
    <x v="9"/>
    <n v="10"/>
    <n v="2025"/>
    <m/>
  </r>
  <r>
    <x v="5"/>
    <x v="16"/>
    <x v="9"/>
    <s v="Dr TI ILC Comm/Other Charges                                          _x000a_POC006-276125982                                                      _x000a_At Bank Aljazira                                                      _x000a_ CORPORATE BANKING DEPT-JEDDAH                                        _x000a_Exchange Rate 1.0                                                     _x000a_Date 01-05-1447(H) Time 08.55.50                                      _x000a_Reference ILC-0840-25-7352                                            _x000a_Value Date 01-05-1447(H)                                              _x000a_Fee Collected By Bank AlJazira                                        _x000a_"/>
    <x v="75"/>
    <s v="ILC-0840-25-7352"/>
    <x v="0"/>
    <n v="100"/>
    <n v="0"/>
    <x v="0"/>
    <s v="Received"/>
    <s v="ALFANAR ELECTRICAL SYSTEMS"/>
    <x v="3"/>
    <x v="10"/>
    <x v="13"/>
    <n v="10"/>
    <n v="2025"/>
    <m/>
  </r>
  <r>
    <x v="5"/>
    <x v="16"/>
    <x v="9"/>
    <s v="Value Added Tax                                                       _x000a_On ILC Acceptance Comm.                                               _x000a_15% of SAR100.00                                                      _x000a_Through CORPORATE BANKING DEPT-JEDDAH                                 _x000a_Date 01-05-1447(H) Time 08.55.51                                      _x000a_Reference ILC-0840-25-7352                                            _x000a_At Bank Aljazira                                                      _x000a_Exchange Rate 1.0                                                     _x000a_"/>
    <x v="75"/>
    <s v="ILC-0840-25-7352"/>
    <x v="0"/>
    <n v="15"/>
    <n v="0"/>
    <x v="0"/>
    <s v="Received"/>
    <s v="ALFANAR ELECTRICAL SYSTEMS"/>
    <x v="3"/>
    <x v="10"/>
    <x v="13"/>
    <n v="10"/>
    <n v="2025"/>
    <m/>
  </r>
  <r>
    <x v="5"/>
    <x v="16"/>
    <x v="9"/>
    <s v="Dr TI ILC Comm/Other Charges                                          _x000a_POC006-276126024                                                      _x000a_At Bank Aljazira                                                      _x000a_ CORPORATE BANKING DEPT-JEDDAH                                        _x000a_Exchange Rate 1.0                                                     _x000a_Date 01-05-1447(H) Time 08.55.51                                      _x000a_Reference ILC-0840-25-7352                                            _x000a_Value Date 01-05-1447(H)                                              _x000a_Fee Collected By Bank AlJazira                                        _x000a_"/>
    <x v="75"/>
    <s v="ILC-0840-25-7352"/>
    <x v="0"/>
    <n v="707"/>
    <n v="0"/>
    <x v="0"/>
    <s v="Received"/>
    <s v="ALFANAR ELECTRICAL SYSTEMS"/>
    <x v="3"/>
    <x v="10"/>
    <x v="13"/>
    <n v="10"/>
    <n v="2025"/>
    <m/>
  </r>
  <r>
    <x v="5"/>
    <x v="16"/>
    <x v="9"/>
    <s v="Value Added Tax                                                       _x000a_On ILC Acceptance Comm.                                               _x000a_15% of SAR707.00                                                      _x000a_Through CORPORATE BANKING DEPT-JEDDAH                                 _x000a_Date 01-05-1447(H) Time 08.55.52                                      _x000a_Reference ILC-0840-25-7352                                            _x000a_At Bank Aljazira                                                      _x000a_Exchange Rate 1.0                                                     _x000a_"/>
    <x v="75"/>
    <s v="ILC-0840-25-7352"/>
    <x v="0"/>
    <n v="106.05"/>
    <n v="0"/>
    <x v="0"/>
    <s v="Received"/>
    <s v="ALFANAR ELECTRICAL SYSTEMS"/>
    <x v="3"/>
    <x v="10"/>
    <x v="13"/>
    <n v="10"/>
    <n v="2025"/>
    <m/>
  </r>
  <r>
    <x v="5"/>
    <x v="16"/>
    <x v="9"/>
    <s v="Dr TI ILC Comm/Other Charges                                          _x000a_POC006-276126026                                                      _x000a_At Bank Aljazira                                                      _x000a_ CORPORATE BANKING DEPT-JEDDAH                                        _x000a_Exchange Rate 1.0                                                     _x000a_Date 01-05-1447(H) Time 08.55.52                                      _x000a_Reference ILC-0840-25-7352                                            _x000a_Value Date 01-05-1447(H)                                              _x000a_Fee Collected By Bank AlJazira                                        _x000a_"/>
    <x v="75"/>
    <s v="ILC-0840-25-7352"/>
    <x v="0"/>
    <n v="200"/>
    <n v="0"/>
    <x v="0"/>
    <s v="Received"/>
    <s v="ALFANAR ELECTRICAL SYSTEMS"/>
    <x v="3"/>
    <x v="10"/>
    <x v="13"/>
    <n v="10"/>
    <n v="2025"/>
    <m/>
  </r>
  <r>
    <x v="5"/>
    <x v="16"/>
    <x v="9"/>
    <s v="Value Added Tax                                                       _x000a_On SWIFT charges                                                      _x000a_15% of SAR200.00                                                      _x000a_Through CORPORATE BANKING DEPT-JEDDAH                                 _x000a_Date 01-05-1447(H) Time 08.55.53                                      _x000a_Reference ILC-0840-25-7352                                            _x000a_At Bank Aljazira                                                      _x000a_Exchange Rate 1.0                                                     _x000a_"/>
    <x v="75"/>
    <s v="ILC-0840-25-7352"/>
    <x v="0"/>
    <n v="30"/>
    <n v="0"/>
    <x v="0"/>
    <s v="Received"/>
    <s v="ALFANAR ELECTRICAL SYSTEMS"/>
    <x v="3"/>
    <x v="10"/>
    <x v="13"/>
    <n v="10"/>
    <n v="2025"/>
    <m/>
  </r>
  <r>
    <x v="1"/>
    <x v="17"/>
    <x v="3"/>
    <s v="CUSTOMER = 3972500 DEAL AMT = 75 DEAL CCY = SAR TAX CODE = 1 "/>
    <x v="126"/>
    <s v="TF251310002501"/>
    <x v="0"/>
    <n v="11.25"/>
    <n v="0"/>
    <x v="1"/>
    <s v="Received"/>
    <s v="TABARK AL-MOMMYZA FOR TRADING EST"/>
    <x v="3"/>
    <x v="5"/>
    <x v="6"/>
    <n v="10"/>
    <n v="2025"/>
    <m/>
  </r>
  <r>
    <x v="1"/>
    <x v="17"/>
    <x v="3"/>
    <s v="LC SWIFT CHARGES FOR LC NO. TF251310002501\BNK"/>
    <x v="126"/>
    <s v="TF251310002501"/>
    <x v="0"/>
    <n v="75"/>
    <n v="0"/>
    <x v="3"/>
    <s v="Received"/>
    <s v="TABARK AL-MOMMYZA FOR TRADING EST"/>
    <x v="3"/>
    <x v="5"/>
    <x v="6"/>
    <n v="10"/>
    <n v="2025"/>
    <m/>
  </r>
  <r>
    <x v="1"/>
    <x v="17"/>
    <x v="3"/>
    <s v="REIMBURSE UNDER LCS DR FOR LC NO. TF251310002501\BNK"/>
    <x v="126"/>
    <s v="TF251310002501"/>
    <x v="0"/>
    <n v="300000"/>
    <n v="0"/>
    <x v="4"/>
    <s v="Received"/>
    <s v="TABARK AL-MOMMYZA FOR TRADING EST"/>
    <x v="3"/>
    <x v="5"/>
    <x v="6"/>
    <n v="10"/>
    <n v="2025"/>
    <m/>
  </r>
  <r>
    <x v="1"/>
    <x v="17"/>
    <x v="3"/>
    <s v="CUSTOMER = 3972500 DEAL AMT = 75 DEAL CCY = SAR TAX CODE = 1 "/>
    <x v="127"/>
    <s v="TF251740005301"/>
    <x v="0"/>
    <n v="11.25"/>
    <n v="0"/>
    <x v="1"/>
    <s v="Received"/>
    <s v="National Marketing Est. Co. Ltd"/>
    <x v="3"/>
    <x v="6"/>
    <x v="7"/>
    <n v="10"/>
    <n v="2025"/>
    <m/>
  </r>
  <r>
    <x v="1"/>
    <x v="17"/>
    <x v="3"/>
    <s v="LC SWIFT CHARGES FOR LC NO. TF251740005301\BNK"/>
    <x v="127"/>
    <s v="TF251740005301"/>
    <x v="0"/>
    <n v="75"/>
    <n v="0"/>
    <x v="3"/>
    <s v="Received"/>
    <s v="National Marketing Est. Co. Ltd"/>
    <x v="3"/>
    <x v="6"/>
    <x v="7"/>
    <n v="10"/>
    <n v="2025"/>
    <m/>
  </r>
  <r>
    <x v="1"/>
    <x v="17"/>
    <x v="3"/>
    <s v="REIMBURSE UNDER LCS DR FOR LC NO. TF251740005301\BNK"/>
    <x v="127"/>
    <s v="TF251740005301"/>
    <x v="0"/>
    <n v="300000"/>
    <n v="0"/>
    <x v="4"/>
    <s v="Received"/>
    <s v="National Marketing Est. Co. Ltd"/>
    <x v="3"/>
    <x v="6"/>
    <x v="7"/>
    <n v="10"/>
    <n v="2025"/>
    <m/>
  </r>
  <r>
    <x v="2"/>
    <x v="17"/>
    <x v="12"/>
    <s v="CITY:Jeddah 6132225J210096013 955403.55 SAR"/>
    <x v="128"/>
    <s v="J210096013"/>
    <x v="1"/>
    <n v="254774.28"/>
    <n v="0"/>
    <x v="4"/>
    <s v="Received"/>
    <s v="HOLCIM SOLUTIONS AND PRODUCTS EMEA BV"/>
    <x v="6"/>
    <x v="8"/>
    <x v="9"/>
    <n v="10"/>
    <n v="2025"/>
    <m/>
  </r>
  <r>
    <x v="3"/>
    <x v="17"/>
    <x v="5"/>
    <s v="DPBCOR618931WPM DCBWPM560813"/>
    <x v="47"/>
    <s v="DPBCOR618931WPM"/>
    <x v="0"/>
    <n v="627519.39"/>
    <n v="0"/>
    <x v="0"/>
    <s v="Received"/>
    <s v="Aluminium Products company (ALUPCO)"/>
    <x v="5"/>
    <x v="8"/>
    <x v="9"/>
    <n v="10"/>
    <n v="2025"/>
    <m/>
  </r>
  <r>
    <x v="3"/>
    <x v="17"/>
    <x v="5"/>
    <s v="DC AMENDMENT COMM CHARGES DCBWPM562728"/>
    <x v="129"/>
    <s v="DCBWPM562728"/>
    <x v="0"/>
    <n v="6816.98"/>
    <n v="0"/>
    <x v="0"/>
    <s v="Received"/>
    <s v="The Fundamental Installation For Electric Work Co"/>
    <x v="3"/>
    <x v="8"/>
    <x v="9"/>
    <n v="10"/>
    <n v="2025"/>
    <m/>
  </r>
  <r>
    <x v="3"/>
    <x v="17"/>
    <x v="5"/>
    <s v="DCBWPM562728 PROJECT FLASH LC BILL BILL COMMISSION"/>
    <x v="129"/>
    <s v="DCBWPM562728"/>
    <x v="0"/>
    <n v="6701.98"/>
    <n v="0"/>
    <x v="0"/>
    <s v="Received"/>
    <s v="The Fundamental Installation For Electric Work Co"/>
    <x v="3"/>
    <x v="8"/>
    <x v="9"/>
    <n v="10"/>
    <n v="2025"/>
    <m/>
  </r>
  <r>
    <x v="4"/>
    <x v="17"/>
    <x v="8"/>
    <s v="PROVISION MARGIN CR"/>
    <x v="130"/>
    <s v="TF251273301301"/>
    <x v="0"/>
    <m/>
    <n v="200000"/>
    <x v="0"/>
    <s v="Received"/>
    <s v="ULTIMATE SOLUTIONS TRADING CO."/>
    <x v="3"/>
    <x v="6"/>
    <x v="7"/>
    <n v="10"/>
    <n v="2025"/>
    <m/>
  </r>
  <r>
    <x v="4"/>
    <x v="17"/>
    <x v="8"/>
    <s v="TRADE FINANCE PAYMENT"/>
    <x v="130"/>
    <s v="TF251273301301"/>
    <x v="0"/>
    <n v="200000"/>
    <n v="0"/>
    <x v="0"/>
    <s v="Received"/>
    <s v="ULTIMATE SOLUTIONS TRADING CO."/>
    <x v="3"/>
    <x v="6"/>
    <x v="7"/>
    <n v="10"/>
    <n v="2025"/>
    <m/>
  </r>
  <r>
    <x v="1"/>
    <x v="18"/>
    <x v="3"/>
    <s v="CUSTOMER = 3972500 DEAL AMT = 75 DEAL CCY = SAR TAX CODE = 1 "/>
    <x v="131"/>
    <s v="TF251350001701"/>
    <x v="0"/>
    <n v="11.25"/>
    <n v="0"/>
    <x v="1"/>
    <s v="Received"/>
    <s v="SAFID CO.LTD."/>
    <x v="3"/>
    <x v="5"/>
    <x v="6"/>
    <n v="10"/>
    <n v="2025"/>
    <m/>
  </r>
  <r>
    <x v="1"/>
    <x v="18"/>
    <x v="3"/>
    <s v="LC SWIFT CHARGES FOR LC NO. TF251350001701\BNK"/>
    <x v="131"/>
    <s v="TF251350001701"/>
    <x v="0"/>
    <n v="75"/>
    <n v="0"/>
    <x v="3"/>
    <s v="Received"/>
    <s v="SAFID CO.LTD."/>
    <x v="3"/>
    <x v="5"/>
    <x v="6"/>
    <n v="10"/>
    <n v="2025"/>
    <m/>
  </r>
  <r>
    <x v="1"/>
    <x v="18"/>
    <x v="3"/>
    <s v="REIMBURSE UNDER LCS DR FOR LC NO. TF251350001701\BNK"/>
    <x v="131"/>
    <s v="TF251350001701"/>
    <x v="0"/>
    <n v="535185.18000000005"/>
    <n v="0"/>
    <x v="4"/>
    <s v="Received"/>
    <s v="SAFID CO.LTD."/>
    <x v="3"/>
    <x v="5"/>
    <x v="6"/>
    <n v="10"/>
    <n v="2025"/>
    <m/>
  </r>
  <r>
    <x v="1"/>
    <x v="18"/>
    <x v="3"/>
    <s v="CUSTOMER = 3972500 DEAL AMT = 75 DEAL CCY = SAR TAX CODE = 1 "/>
    <x v="132"/>
    <s v="TF251350002601"/>
    <x v="0"/>
    <n v="11.25"/>
    <n v="0"/>
    <x v="1"/>
    <s v="Received"/>
    <s v="PROJECT SUPPLY FOR TRADING EST."/>
    <x v="3"/>
    <x v="5"/>
    <x v="6"/>
    <n v="10"/>
    <n v="2025"/>
    <m/>
  </r>
  <r>
    <x v="1"/>
    <x v="18"/>
    <x v="3"/>
    <s v="LC SWIFT CHARGES FOR LC NO. TF251350002601\BNK"/>
    <x v="132"/>
    <s v="TF251350002601"/>
    <x v="0"/>
    <n v="75"/>
    <n v="0"/>
    <x v="3"/>
    <s v="Received"/>
    <s v="PROJECT SUPPLY FOR TRADING EST."/>
    <x v="3"/>
    <x v="5"/>
    <x v="6"/>
    <n v="10"/>
    <n v="2025"/>
    <m/>
  </r>
  <r>
    <x v="1"/>
    <x v="18"/>
    <x v="3"/>
    <s v="REIMBURSE UNDER LCS DR FOR LC NO. TF251350002601\BNK"/>
    <x v="132"/>
    <s v="TF251350002601"/>
    <x v="0"/>
    <n v="613577"/>
    <n v="0"/>
    <x v="4"/>
    <s v="Received"/>
    <s v="PROJECT SUPPLY FOR TRADING EST."/>
    <x v="3"/>
    <x v="5"/>
    <x v="6"/>
    <n v="10"/>
    <n v="2025"/>
    <m/>
  </r>
  <r>
    <x v="1"/>
    <x v="18"/>
    <x v="3"/>
    <s v="CUSTOMER = 3972500 DEAL AMT = 75 DEAL CCY = SAR TAX CODE = 1 "/>
    <x v="133"/>
    <s v="TF251350003001"/>
    <x v="0"/>
    <n v="11.25"/>
    <n v="0"/>
    <x v="1"/>
    <s v="Received"/>
    <s v="EMAAR POLE COMPANY"/>
    <x v="3"/>
    <x v="5"/>
    <x v="6"/>
    <n v="10"/>
    <n v="2025"/>
    <m/>
  </r>
  <r>
    <x v="1"/>
    <x v="18"/>
    <x v="3"/>
    <s v="LC SWIFT CHARGES FOR LC NO. TF251350003001\BNK"/>
    <x v="133"/>
    <s v="TF251350003001"/>
    <x v="0"/>
    <n v="75"/>
    <n v="0"/>
    <x v="3"/>
    <s v="Received"/>
    <s v="EMAAR POLE COMPANY"/>
    <x v="3"/>
    <x v="5"/>
    <x v="6"/>
    <n v="10"/>
    <n v="2025"/>
    <m/>
  </r>
  <r>
    <x v="1"/>
    <x v="18"/>
    <x v="3"/>
    <s v="REIMBURSE UNDER LCS DR FOR LC NO. TF251350003001\BNK"/>
    <x v="133"/>
    <s v="TF251350003001"/>
    <x v="0"/>
    <n v="391554.28"/>
    <n v="0"/>
    <x v="4"/>
    <s v="Received"/>
    <s v="EMAAR POLE COMPANY"/>
    <x v="3"/>
    <x v="5"/>
    <x v="6"/>
    <n v="10"/>
    <n v="2025"/>
    <m/>
  </r>
  <r>
    <x v="0"/>
    <x v="18"/>
    <x v="1"/>
    <s v="REF 000000JLC6901431,RB REF JLC6901431,VIA CORE SYSTEM,DATE-TIME 27/10-12:10:53, عن طريق النظام الآ لي ,VALUE DT 27/10/25"/>
    <x v="95"/>
    <s v=""/>
    <x v="0"/>
    <n v="4857.17"/>
    <n v="0"/>
    <x v="0"/>
    <s v="Received"/>
    <s v="Mat Filtrasyon Teknolojeleri A.S"/>
    <x v="0"/>
    <x v="3"/>
    <x v="3"/>
    <n v="10"/>
    <n v="2025"/>
    <m/>
  </r>
  <r>
    <x v="2"/>
    <x v="18"/>
    <x v="4"/>
    <s v="CITY:Jeddah 6132225J210611002"/>
    <x v="134"/>
    <s v="J210611002"/>
    <x v="0"/>
    <n v="460"/>
    <n v="0"/>
    <x v="2"/>
    <s v="Received"/>
    <s v="ALFANAR ELECTRICAL SYSTEMS"/>
    <x v="3"/>
    <x v="5"/>
    <x v="6"/>
    <n v="10"/>
    <n v="2025"/>
    <m/>
  </r>
  <r>
    <x v="2"/>
    <x v="18"/>
    <x v="4"/>
    <s v="CITY:Jeddah 6132225J210604003"/>
    <x v="135"/>
    <s v="J210604003"/>
    <x v="0"/>
    <n v="613.33000000000004"/>
    <n v="0"/>
    <x v="2"/>
    <s v="Received"/>
    <s v="Electric House Trading Company L.L.C."/>
    <x v="3"/>
    <x v="5"/>
    <x v="6"/>
    <n v="10"/>
    <n v="2025"/>
    <m/>
  </r>
  <r>
    <x v="2"/>
    <x v="18"/>
    <x v="4"/>
    <s v="CITY:Jeddah 6132225J210611002"/>
    <x v="134"/>
    <s v="J210611002"/>
    <x v="0"/>
    <n v="134784.6"/>
    <n v="0"/>
    <x v="4"/>
    <s v="Received"/>
    <s v="ALFANAR ELECTRICAL SYSTEMS"/>
    <x v="3"/>
    <x v="5"/>
    <x v="6"/>
    <n v="10"/>
    <n v="2025"/>
    <m/>
  </r>
  <r>
    <x v="2"/>
    <x v="18"/>
    <x v="4"/>
    <s v="CITY:Jeddah 6132225J210104000"/>
    <x v="136"/>
    <s v="J210104000"/>
    <x v="0"/>
    <n v="281937.59999999998"/>
    <n v="0"/>
    <x v="7"/>
    <s v="Received"/>
    <s v="BBH-CHEMTROL INTERNATIONAL ORGANIZATION S.L"/>
    <x v="4"/>
    <x v="11"/>
    <x v="17"/>
    <n v="10"/>
    <n v="2025"/>
    <m/>
  </r>
  <r>
    <x v="3"/>
    <x v="18"/>
    <x v="5"/>
    <s v="DPBCOR612328WPM DCBWPM553893"/>
    <x v="52"/>
    <s v="DPBCOR612328WPM"/>
    <x v="0"/>
    <n v="2879293.46"/>
    <n v="0"/>
    <x v="0"/>
    <s v="Received"/>
    <s v="Kingspan Insulated Panels Manufacturing LLC"/>
    <x v="0"/>
    <x v="8"/>
    <x v="9"/>
    <n v="10"/>
    <n v="2025"/>
    <m/>
  </r>
  <r>
    <x v="3"/>
    <x v="18"/>
    <x v="5"/>
    <s v="IMP BILL AMEND. CHARGES DPBCOR624433WPM DCBWPM554837"/>
    <x v="45"/>
    <s v="DPBCOR624433WPM"/>
    <x v="0"/>
    <n v="1179.75"/>
    <n v="0"/>
    <x v="0"/>
    <s v="Received"/>
    <s v="SCHUCO MIDDLE EAST WINDOWS AND FACADE SYSTEMS LLC"/>
    <x v="5"/>
    <x v="8"/>
    <x v="9"/>
    <n v="10"/>
    <n v="2025"/>
    <m/>
  </r>
  <r>
    <x v="3"/>
    <x v="18"/>
    <x v="5"/>
    <s v="IMP BILL COMM DPBEPM624675WPM DCBWPM565760"/>
    <x v="137"/>
    <s v="DPBEPM624675WPM"/>
    <x v="0"/>
    <n v="2875"/>
    <n v="0"/>
    <x v="0"/>
    <s v="Received"/>
    <s v="ELECTRIC HOUSE LIMITED COMPANY."/>
    <x v="3"/>
    <x v="8"/>
    <x v="9"/>
    <n v="10"/>
    <n v="2025"/>
    <m/>
  </r>
  <r>
    <x v="3"/>
    <x v="18"/>
    <x v="5"/>
    <s v="IMP BILL AMEND. CHARGES DPBCOR624477WPM DCBWPM554837"/>
    <x v="45"/>
    <s v="DPBCOR624477WPM"/>
    <x v="0"/>
    <n v="1189.82"/>
    <n v="0"/>
    <x v="0"/>
    <s v="Received"/>
    <s v="SCHUCO MIDDLE EAST WINDOWS AND FACADE SYSTEMS LLC"/>
    <x v="5"/>
    <x v="8"/>
    <x v="9"/>
    <n v="10"/>
    <n v="2025"/>
    <m/>
  </r>
  <r>
    <x v="3"/>
    <x v="18"/>
    <x v="5"/>
    <s v="DCBWPM565760 PROJECT FLASH LC REFERENCE COMMISSION"/>
    <x v="137"/>
    <s v="DCBWPM565760"/>
    <x v="0"/>
    <n v="2683.33"/>
    <n v="0"/>
    <x v="0"/>
    <s v="Received"/>
    <s v="ELECTRIC HOUSE LIMITED COMPANY."/>
    <x v="3"/>
    <x v="8"/>
    <x v="9"/>
    <n v="10"/>
    <n v="2025"/>
    <m/>
  </r>
  <r>
    <x v="3"/>
    <x v="18"/>
    <x v="6"/>
    <s v="IMP BILL COMM DPBEPM624627WPM DCBWPM562620"/>
    <x v="138"/>
    <s v="DPBEPM624627WPM"/>
    <x v="0"/>
    <n v="2443.75"/>
    <n v="0"/>
    <x v="0"/>
    <s v="Received"/>
    <s v="JOHNSON CONTROLS ARABIA LTD."/>
    <x v="3"/>
    <x v="9"/>
    <x v="10"/>
    <n v="10"/>
    <n v="2025"/>
    <m/>
  </r>
  <r>
    <x v="4"/>
    <x v="18"/>
    <x v="8"/>
    <s v="IMP LC FULL POSTAGE"/>
    <x v="68"/>
    <s v="TF251323300103"/>
    <x v="0"/>
    <n v="20"/>
    <n v="0"/>
    <x v="0"/>
    <s v="Received"/>
    <s v="Electric House Trading Company L.L.C."/>
    <x v="3"/>
    <x v="5"/>
    <x v="6"/>
    <n v="10"/>
    <n v="2025"/>
    <m/>
  </r>
  <r>
    <x v="4"/>
    <x v="18"/>
    <x v="8"/>
    <s v="VAT"/>
    <x v="68"/>
    <s v="TF251323300103"/>
    <x v="0"/>
    <n v="22.5"/>
    <n v="0"/>
    <x v="0"/>
    <s v="Received"/>
    <s v="Electric House Trading Company L.L.C."/>
    <x v="3"/>
    <x v="5"/>
    <x v="6"/>
    <n v="10"/>
    <n v="2025"/>
    <m/>
  </r>
  <r>
    <x v="4"/>
    <x v="18"/>
    <x v="8"/>
    <s v="REIMBURSE UNDER LC'S DR"/>
    <x v="68"/>
    <s v="TF251323300103"/>
    <x v="0"/>
    <n v="150"/>
    <n v="0"/>
    <x v="0"/>
    <s v="Received"/>
    <s v="Electric House Trading Company L.L.C."/>
    <x v="3"/>
    <x v="5"/>
    <x v="6"/>
    <n v="10"/>
    <n v="2025"/>
    <m/>
  </r>
  <r>
    <x v="4"/>
    <x v="18"/>
    <x v="8"/>
    <s v="VAT"/>
    <x v="68"/>
    <s v="TF251323300103"/>
    <x v="0"/>
    <n v="619.77"/>
    <n v="0"/>
    <x v="0"/>
    <s v="Received"/>
    <s v="Electric House Trading Company L.L.C."/>
    <x v="3"/>
    <x v="5"/>
    <x v="6"/>
    <n v="10"/>
    <n v="2025"/>
    <m/>
  </r>
  <r>
    <x v="4"/>
    <x v="18"/>
    <x v="8"/>
    <s v="DISCOUNT SPREAD CR"/>
    <x v="68"/>
    <s v="TF251323300103"/>
    <x v="0"/>
    <n v="4131.83"/>
    <n v="0"/>
    <x v="0"/>
    <s v="Received"/>
    <s v="Electric House Trading Company L.L.C."/>
    <x v="3"/>
    <x v="5"/>
    <x v="6"/>
    <n v="10"/>
    <n v="2025"/>
    <m/>
  </r>
  <r>
    <x v="4"/>
    <x v="18"/>
    <x v="8"/>
    <s v="VAT"/>
    <x v="68"/>
    <s v="TF251323300103"/>
    <x v="0"/>
    <n v="3"/>
    <n v="0"/>
    <x v="0"/>
    <s v="Received"/>
    <s v="Electric House Trading Company L.L.C."/>
    <x v="3"/>
    <x v="5"/>
    <x v="6"/>
    <n v="10"/>
    <n v="2025"/>
    <m/>
  </r>
  <r>
    <x v="1"/>
    <x v="19"/>
    <x v="3"/>
    <s v="CUSTOMER = 3972500 DEAL AMT = 11268.44 DEAL CCY = GBP TAX CODE = 1 "/>
    <x v="139"/>
    <s v="TF2511400003"/>
    <x v="0"/>
    <n v="37.5"/>
    <n v="0"/>
    <x v="1"/>
    <s v="Received"/>
    <s v="LSI PROJECTS LIMITED"/>
    <x v="4"/>
    <x v="5"/>
    <x v="6"/>
    <n v="10"/>
    <n v="2025"/>
    <m/>
  </r>
  <r>
    <x v="1"/>
    <x v="19"/>
    <x v="3"/>
    <s v="LC SWIFT CHARGES FOR LC NO. TF2511400003\BNK"/>
    <x v="139"/>
    <s v="TF2511400003"/>
    <x v="0"/>
    <n v="250"/>
    <n v="0"/>
    <x v="3"/>
    <s v="Received"/>
    <s v="LSI PROJECTS LIMITED"/>
    <x v="4"/>
    <x v="5"/>
    <x v="6"/>
    <n v="10"/>
    <n v="2025"/>
    <m/>
  </r>
  <r>
    <x v="1"/>
    <x v="19"/>
    <x v="3"/>
    <s v="CUSTOMER = 3972500 DEAL AMT = 11268.44 DEAL CCY = GBP TAX CODE = 1 "/>
    <x v="139"/>
    <s v="TF2511400003"/>
    <x v="0"/>
    <n v="1690.27"/>
    <n v="0"/>
    <x v="1"/>
    <s v="Received"/>
    <s v="LSI PROJECTS LIMITED"/>
    <x v="4"/>
    <x v="5"/>
    <x v="6"/>
    <n v="10"/>
    <n v="2025"/>
    <m/>
  </r>
  <r>
    <x v="1"/>
    <x v="19"/>
    <x v="3"/>
    <s v="LC AMENDMENT COMMISSION FOR LC NO. TF2511400003\BNK"/>
    <x v="139"/>
    <s v="TF2511400003"/>
    <x v="0"/>
    <n v="11268.44"/>
    <n v="0"/>
    <x v="5"/>
    <s v="Received"/>
    <s v="LSI PROJECTS LIMITED"/>
    <x v="4"/>
    <x v="5"/>
    <x v="6"/>
    <n v="10"/>
    <n v="2025"/>
    <m/>
  </r>
  <r>
    <x v="3"/>
    <x v="19"/>
    <x v="5"/>
    <s v="DPBCOR624477WPM DCBWPM554837"/>
    <x v="45"/>
    <s v="DPBCOR624477WPM"/>
    <x v="0"/>
    <n v="551955.24"/>
    <n v="0"/>
    <x v="0"/>
    <s v="Received"/>
    <s v="SCHUCO MIDDLE EAST WINDOWS AND FACADE SYSTEMS LLC"/>
    <x v="5"/>
    <x v="8"/>
    <x v="9"/>
    <n v="10"/>
    <n v="2025"/>
    <m/>
  </r>
  <r>
    <x v="3"/>
    <x v="19"/>
    <x v="5"/>
    <s v="IMP BILL COMM DPBCOR624825WPM DCBWPM560813"/>
    <x v="47"/>
    <s v="DPBCOR624825WPM"/>
    <x v="0"/>
    <n v="2807.55"/>
    <n v="0"/>
    <x v="0"/>
    <s v="Received"/>
    <s v="Aluminium Products company (ALUPCO)"/>
    <x v="5"/>
    <x v="8"/>
    <x v="9"/>
    <n v="10"/>
    <n v="2025"/>
    <m/>
  </r>
  <r>
    <x v="3"/>
    <x v="19"/>
    <x v="6"/>
    <s v="IMP BILL AMEND. CHARGES DPBCOR624577WPM DCBWPM562595"/>
    <x v="140"/>
    <s v="DPBCOR624577WPM"/>
    <x v="0"/>
    <n v="1725"/>
    <n v="0"/>
    <x v="0"/>
    <s v="Received"/>
    <s v="Al Wasail Industrial Co."/>
    <x v="3"/>
    <x v="9"/>
    <x v="10"/>
    <n v="10"/>
    <n v="2025"/>
    <m/>
  </r>
  <r>
    <x v="1"/>
    <x v="20"/>
    <x v="3"/>
    <s v="CUSTOMER = 3972500 DEAL AMT = 75 DEAL CCY = SAR TAX CODE = 1 "/>
    <x v="141"/>
    <s v="TF252300003401"/>
    <x v="0"/>
    <n v="11.25"/>
    <n v="0"/>
    <x v="1"/>
    <s v="Received"/>
    <s v="Al Arabia Construction &amp; Building Co."/>
    <x v="0"/>
    <x v="7"/>
    <x v="8"/>
    <n v="10"/>
    <n v="2025"/>
    <m/>
  </r>
  <r>
    <x v="1"/>
    <x v="20"/>
    <x v="3"/>
    <s v="LC SWIFT CHARGES FOR LC NO. TF252300003401\BNK"/>
    <x v="141"/>
    <s v="TF252300003401"/>
    <x v="0"/>
    <n v="75"/>
    <n v="0"/>
    <x v="3"/>
    <s v="Received"/>
    <s v="Al Arabia Construction &amp; Building Co."/>
    <x v="0"/>
    <x v="7"/>
    <x v="8"/>
    <n v="10"/>
    <n v="2025"/>
    <m/>
  </r>
  <r>
    <x v="1"/>
    <x v="20"/>
    <x v="3"/>
    <s v="REIMBURSE UNDER LCS DR FOR LC NO. TF252300003401\BNK"/>
    <x v="141"/>
    <s v="TF252300003401"/>
    <x v="0"/>
    <n v="183895.49"/>
    <n v="0"/>
    <x v="4"/>
    <s v="Received"/>
    <s v="Al Arabia Construction &amp; Building Co."/>
    <x v="0"/>
    <x v="7"/>
    <x v="8"/>
    <n v="10"/>
    <n v="2025"/>
    <m/>
  </r>
  <r>
    <x v="2"/>
    <x v="20"/>
    <x v="4"/>
    <s v="CITY:Jeddah 6132225J210608001"/>
    <x v="40"/>
    <s v="J210608001"/>
    <x v="0"/>
    <n v="1000000"/>
    <n v="0"/>
    <x v="4"/>
    <s v="Received"/>
    <s v="ARABIAN INTERNATIONAL COMPANY FOR CONTRACTING"/>
    <x v="3"/>
    <x v="5"/>
    <x v="6"/>
    <n v="10"/>
    <n v="2025"/>
    <m/>
  </r>
  <r>
    <x v="2"/>
    <x v="20"/>
    <x v="4"/>
    <s v="CITY:Jeddah 6132225J210607001"/>
    <x v="39"/>
    <s v="J210607001"/>
    <x v="0"/>
    <n v="734118.99"/>
    <n v="0"/>
    <x v="4"/>
    <s v="Received"/>
    <s v="AL-SAYED CENTER A/C FOR MATERIALS COMPANY"/>
    <x v="3"/>
    <x v="5"/>
    <x v="6"/>
    <n v="10"/>
    <n v="2025"/>
    <m/>
  </r>
  <r>
    <x v="3"/>
    <x v="20"/>
    <x v="5"/>
    <s v="DPBCOR622974WPM DCBWPM551279 DCBMBL551279"/>
    <x v="55"/>
    <s v="DPBCOR622974WPM"/>
    <x v="0"/>
    <n v="1367465.33"/>
    <n v="0"/>
    <x v="0"/>
    <s v="Received"/>
    <s v="Arnon Plastic Industries Co Ltd"/>
    <x v="0"/>
    <x v="8"/>
    <x v="9"/>
    <n v="10"/>
    <n v="2025"/>
    <m/>
  </r>
  <r>
    <x v="3"/>
    <x v="20"/>
    <x v="5"/>
    <s v="DPBEPM619988WPM DCBWPM560155"/>
    <x v="142"/>
    <s v="DPBEPM619988WPM"/>
    <x v="0"/>
    <n v="575000"/>
    <n v="0"/>
    <x v="0"/>
    <s v="Received"/>
    <s v="ASSA ABLOY ENTRANCE SYSTEMS SAUDI CO."/>
    <x v="5"/>
    <x v="8"/>
    <x v="9"/>
    <n v="10"/>
    <n v="2025"/>
    <m/>
  </r>
  <r>
    <x v="3"/>
    <x v="20"/>
    <x v="5"/>
    <s v="IMP BILL RETIRE. CHARGES BR COR624845WPM DC WPM556764"/>
    <x v="50"/>
    <s v="BR COR624845WPM"/>
    <x v="0"/>
    <n v="766.48"/>
    <n v="0"/>
    <x v="0"/>
    <s v="Received"/>
    <s v="VENTLINE AIR CONDITIONING REQUISITES MANUFACTURING LLC"/>
    <x v="5"/>
    <x v="8"/>
    <x v="9"/>
    <n v="10"/>
    <n v="2025"/>
    <m/>
  </r>
  <r>
    <x v="3"/>
    <x v="20"/>
    <x v="5"/>
    <s v="BR COR624845WPM DC WPM556764"/>
    <x v="50"/>
    <s v="BR COR624845WPM"/>
    <x v="0"/>
    <n v="930057.04"/>
    <n v="0"/>
    <x v="0"/>
    <s v="Received"/>
    <s v="VENTLINE AIR CONDITIONING REQUISITES MANUFACTURING LLC"/>
    <x v="5"/>
    <x v="8"/>
    <x v="9"/>
    <n v="10"/>
    <n v="2025"/>
    <m/>
  </r>
  <r>
    <x v="3"/>
    <x v="20"/>
    <x v="6"/>
    <s v="DPBCOR617251WPM DCBWPM558751"/>
    <x v="143"/>
    <s v="DPBCOR617251WPM"/>
    <x v="0"/>
    <n v="305986.77"/>
    <n v="0"/>
    <x v="0"/>
    <s v="Received"/>
    <s v="ANDHMAH ALMNANI ALTWARH EST"/>
    <x v="3"/>
    <x v="9"/>
    <x v="10"/>
    <n v="10"/>
    <n v="2025"/>
    <m/>
  </r>
  <r>
    <x v="5"/>
    <x v="20"/>
    <x v="9"/>
    <s v="Dr TI LGI Commission (Unearned)                                       _x000a_ISS001-276959528                                                      _x000a_At Bank AlJazira                                                      _x000a_CORPORATE BANKING DEPT-JEDDAH                                         _x000a_Date 07-05-1447(H) Time 13.29.07                                      _x000a_Reference ILC-0840-25-8471                                            _x000a_"/>
    <x v="144"/>
    <s v="ILC-0840-25-8471"/>
    <x v="0"/>
    <n v="3000"/>
    <n v="0"/>
    <x v="0"/>
    <s v="Received"/>
    <s v="ALFANAR ELECTRICAL SYSTEMS"/>
    <x v="3"/>
    <x v="10"/>
    <x v="13"/>
    <n v="10"/>
    <n v="2025"/>
    <m/>
  </r>
  <r>
    <x v="5"/>
    <x v="20"/>
    <x v="9"/>
    <s v="Value Added Tax                                                       _x000a_On ILC Commission                                                     _x000a_15% of SAR3,000.00                                                    _x000a_Through CORPORATE BANKING DEPT-JEDDAH                                 _x000a_Date 07-05-1447(H) Time 13.29.08                                      _x000a_Reference ILC-0840-25-8471                                            _x000a_At Bank Aljazira                                                      _x000a_"/>
    <x v="144"/>
    <s v="ILC-0840-25-8471"/>
    <x v="0"/>
    <n v="450"/>
    <n v="0"/>
    <x v="0"/>
    <s v="Received"/>
    <s v="ALFANAR ELECTRICAL SYSTEMS"/>
    <x v="3"/>
    <x v="10"/>
    <x v="13"/>
    <n v="10"/>
    <n v="2025"/>
    <m/>
  </r>
  <r>
    <x v="5"/>
    <x v="20"/>
    <x v="9"/>
    <s v="Dr TI ILC Comm/Other Charges                                          _x000a_ISS001-276959530                                                      _x000a_At Bank Aljazira                                                      _x000a_ CORPORATE BANKING DEPT-JEDDAH                                        _x000a_Date 07-05-1447(H) Time 13.29.08                                      _x000a_Reference ILC-0840-25-8471                                            _x000a_Value Date 07-05-1447(H)                                              _x000a_Fee Collected By Bank AlJazira                                        _x000a_"/>
    <x v="144"/>
    <s v="ILC-0840-25-8471"/>
    <x v="0"/>
    <n v="750"/>
    <n v="0"/>
    <x v="0"/>
    <s v="Received"/>
    <s v="ALFANAR ELECTRICAL SYSTEMS"/>
    <x v="3"/>
    <x v="10"/>
    <x v="13"/>
    <n v="10"/>
    <n v="2025"/>
    <m/>
  </r>
  <r>
    <x v="5"/>
    <x v="20"/>
    <x v="9"/>
    <s v="Value Added Tax                                                       _x000a_On ILC SWIFT/Telex Charges                                            _x000a_15% of SAR750.00                                                      _x000a_Through CORPORATE BANKING DEPT-JEDDAH                                 _x000a_Date 07-05-1447(H) Time 13.29.09                                      _x000a_Reference ILC-0840-25-8471                                            _x000a_At Bank Aljazira                                                      _x000a_"/>
    <x v="144"/>
    <s v="ILC-0840-25-8471"/>
    <x v="0"/>
    <n v="112.5"/>
    <n v="0"/>
    <x v="0"/>
    <s v="Received"/>
    <s v="ALFANAR ELECTRICAL SYSTEMS"/>
    <x v="3"/>
    <x v="10"/>
    <x v="13"/>
    <n v="10"/>
    <n v="2025"/>
    <m/>
  </r>
  <r>
    <x v="5"/>
    <x v="20"/>
    <x v="9"/>
    <s v="Dr TI ILC Comm/Other Charges                                          _x000a_ISS001-276959532                                                      _x000a_At Bank Aljazira                                                      _x000a_ CORPORATE BANKING DEPT-JEDDAH                                        _x000a_Date 07-05-1447(H) Time 13.29.09                                      _x000a_Reference ILC-0840-25-8471                                            _x000a_Value Date 07-05-1447(H)                                              _x000a_Fee Collected By Bank AlJazira                                        _x000a_"/>
    <x v="144"/>
    <s v="ILC-0840-25-8471"/>
    <x v="0"/>
    <n v="1750"/>
    <n v="0"/>
    <x v="0"/>
    <s v="Received"/>
    <s v="ALFANAR ELECTRICAL SYSTEMS"/>
    <x v="3"/>
    <x v="10"/>
    <x v="13"/>
    <n v="10"/>
    <n v="2025"/>
    <m/>
  </r>
  <r>
    <x v="5"/>
    <x v="20"/>
    <x v="9"/>
    <s v="Value Added Tax                                                       _x000a_On LC PROCESSING FEE                                                  _x000a_15% of SAR1,750.00                                                    _x000a_Through CORPORATE BANKING DEPT-JEDDAH                                 _x000a_Date 07-05-1447(H) Time 13.29.09                                      _x000a_Reference ILC-0840-25-8471                                            _x000a_At Bank Aljazira                                                      _x000a_"/>
    <x v="144"/>
    <s v="ILC-0840-25-8471"/>
    <x v="0"/>
    <n v="262.5"/>
    <n v="0"/>
    <x v="0"/>
    <s v="Received"/>
    <s v="ALFANAR ELECTRICAL SYSTEMS"/>
    <x v="3"/>
    <x v="10"/>
    <x v="13"/>
    <n v="10"/>
    <n v="2025"/>
    <m/>
  </r>
  <r>
    <x v="5"/>
    <x v="20"/>
    <x v="9"/>
    <s v="Dr TI ILC Comm/Other Charges                                          _x000a_ISS001-276959534                                                      _x000a_At Bank Aljazira                                                      _x000a_ CORPORATE BANKING DEPT-JEDDAH                                        _x000a_Date 07-05-1447(H) Time 13.29.10                                      _x000a_Reference ILC-0840-25-8471                                            _x000a_Value Date 07-05-1447(H)                                              _x000a_Fee Collected By Bank AlJazira                                        _x000a_"/>
    <x v="144"/>
    <s v="ILC-0840-25-8471"/>
    <x v="0"/>
    <n v="75"/>
    <n v="0"/>
    <x v="0"/>
    <s v="Received"/>
    <s v="ALFANAR ELECTRICAL SYSTEMS"/>
    <x v="3"/>
    <x v="10"/>
    <x v="13"/>
    <n v="10"/>
    <n v="2025"/>
    <m/>
  </r>
  <r>
    <x v="5"/>
    <x v="20"/>
    <x v="9"/>
    <s v="Value Added Tax                                                       _x000a_On ILC Postal/DHL Charges                                             _x000a_15% of SAR75.00                                                       _x000a_Through CORPORATE BANKING DEPT-JEDDAH                                 _x000a_Date 07-05-1447(H) Time 13.29.10                                      _x000a_Reference ILC-0840-25-8471                                            _x000a_At Bank Aljazira                                                      _x000a_"/>
    <x v="144"/>
    <s v="ILC-0840-25-8471"/>
    <x v="0"/>
    <n v="11.25"/>
    <n v="0"/>
    <x v="0"/>
    <s v="Received"/>
    <s v="ALFANAR ELECTRICAL SYSTEMS"/>
    <x v="3"/>
    <x v="10"/>
    <x v="13"/>
    <n v="10"/>
    <n v="2025"/>
    <m/>
  </r>
  <r>
    <x v="5"/>
    <x v="20"/>
    <x v="9"/>
    <s v="Dr TI LGI Commission (Unearned)                                       _x000a_ISS001-276954603                                                      _x000a_At Bank AlJazira                                                      _x000a_CORPORATE BANKING DEPT-JEDDAH                                         _x000a_Date 07-05-1447(H) Time 14.30.06                                      _x000a_Reference ILC-0840-25-8470                                            _x000a_"/>
    <x v="145"/>
    <s v="ILC-0840-25-8470"/>
    <x v="0"/>
    <n v="1157.6600000000001"/>
    <n v="0"/>
    <x v="0"/>
    <s v="Received"/>
    <s v="Saudi Benaa Company For Building Materials"/>
    <x v="3"/>
    <x v="10"/>
    <x v="13"/>
    <n v="10"/>
    <n v="2025"/>
    <m/>
  </r>
  <r>
    <x v="5"/>
    <x v="20"/>
    <x v="9"/>
    <s v="Value Added Tax                                                       _x000a_On ILC Commission                                                     _x000a_15% of SAR1,157.66                                                    _x000a_Through CORPORATE BANKING DEPT-JEDDAH                                 _x000a_Date 07-05-1447(H) Time 14.30.07                                      _x000a_Reference ILC-0840-25-8470                                            _x000a_At Bank Aljazira                                                      _x000a_"/>
    <x v="145"/>
    <s v="ILC-0840-25-8470"/>
    <x v="0"/>
    <n v="173.65"/>
    <n v="0"/>
    <x v="0"/>
    <s v="Received"/>
    <s v="Saudi Benaa Company For Building Materials"/>
    <x v="3"/>
    <x v="10"/>
    <x v="13"/>
    <n v="10"/>
    <n v="2025"/>
    <m/>
  </r>
  <r>
    <x v="5"/>
    <x v="20"/>
    <x v="9"/>
    <s v="Dr TI ILC Comm/Other Charges                                          _x000a_ISS001-276954605                                                      _x000a_At Bank Aljazira                                                      _x000a_ CORPORATE BANKING DEPT-JEDDAH                                        _x000a_Date 07-05-1447(H) Time 14.30.07                                      _x000a_Reference ILC-0840-25-8470                                            _x000a_Value Date 07-05-1447(H)                                              _x000a_Fee Collected By Bank AlJazira                                        _x000a_"/>
    <x v="145"/>
    <s v="ILC-0840-25-8470"/>
    <x v="0"/>
    <n v="750"/>
    <n v="0"/>
    <x v="0"/>
    <s v="Received"/>
    <s v="Saudi Benaa Company For Building Materials"/>
    <x v="3"/>
    <x v="10"/>
    <x v="13"/>
    <n v="10"/>
    <n v="2025"/>
    <m/>
  </r>
  <r>
    <x v="5"/>
    <x v="20"/>
    <x v="9"/>
    <s v="Value Added Tax                                                       _x000a_On ILC SWIFT/Telex Charges                                            _x000a_15% of SAR750.00                                                      _x000a_Through CORPORATE BANKING DEPT-JEDDAH                                 _x000a_Date 07-05-1447(H) Time 14.30.07                                      _x000a_Reference ILC-0840-25-8470                                            _x000a_At Bank Aljazira                                                      _x000a_"/>
    <x v="145"/>
    <s v="ILC-0840-25-8470"/>
    <x v="0"/>
    <n v="112.5"/>
    <n v="0"/>
    <x v="0"/>
    <s v="Received"/>
    <s v="Saudi Benaa Company For Building Materials"/>
    <x v="3"/>
    <x v="10"/>
    <x v="13"/>
    <n v="10"/>
    <n v="2025"/>
    <m/>
  </r>
  <r>
    <x v="5"/>
    <x v="20"/>
    <x v="9"/>
    <s v="Dr TI ILC Comm/Other Charges                                          _x000a_ISS001-276954607                                                      _x000a_At Bank Aljazira                                                      _x000a_ CORPORATE BANKING DEPT-JEDDAH                                        _x000a_Date 07-05-1447(H) Time 14.30.07                                      _x000a_Reference ILC-0840-25-8470                                            _x000a_Value Date 07-05-1447(H)                                              _x000a_Fee Collected By Bank AlJazira                                        _x000a_"/>
    <x v="145"/>
    <s v="ILC-0840-25-8470"/>
    <x v="0"/>
    <n v="460.36"/>
    <n v="0"/>
    <x v="0"/>
    <s v="Received"/>
    <s v="Saudi Benaa Company For Building Materials"/>
    <x v="3"/>
    <x v="10"/>
    <x v="13"/>
    <n v="10"/>
    <n v="2025"/>
    <m/>
  </r>
  <r>
    <x v="5"/>
    <x v="20"/>
    <x v="9"/>
    <s v="Value Added Tax                                                       _x000a_On LC PROCESSING FEE                                                  _x000a_15% of SAR460.36                                                      _x000a_Through CORPORATE BANKING DEPT-JEDDAH                                 _x000a_Date 07-05-1447(H) Time 14.30.08                                      _x000a_Reference ILC-0840-25-8470                                            _x000a_At Bank Aljazira                                                      _x000a_"/>
    <x v="145"/>
    <s v="ILC-0840-25-8470"/>
    <x v="0"/>
    <n v="69.05"/>
    <n v="0"/>
    <x v="0"/>
    <s v="Received"/>
    <s v="Saudi Benaa Company For Building Materials"/>
    <x v="3"/>
    <x v="10"/>
    <x v="13"/>
    <n v="10"/>
    <n v="2025"/>
    <m/>
  </r>
  <r>
    <x v="5"/>
    <x v="20"/>
    <x v="9"/>
    <s v="Dr TI ILC Comm/Other Charges                                          _x000a_ISS001-276957572                                                      _x000a_At Bank Aljazira                                                      _x000a_ CORPORATE BANKING DEPT-JEDDAH                                        _x000a_Date 07-05-1447(H) Time 14.30.08                                      _x000a_Reference ILC-0840-25-8470                                            _x000a_Value Date 07-05-1447(H)                                              _x000a_Fee Collected By Bank AlJazira                                        _x000a_"/>
    <x v="145"/>
    <s v="ILC-0840-25-8470"/>
    <x v="0"/>
    <n v="75"/>
    <n v="0"/>
    <x v="0"/>
    <s v="Received"/>
    <s v="Saudi Benaa Company For Building Materials"/>
    <x v="3"/>
    <x v="10"/>
    <x v="13"/>
    <n v="10"/>
    <n v="2025"/>
    <m/>
  </r>
  <r>
    <x v="5"/>
    <x v="20"/>
    <x v="9"/>
    <s v="Value Added Tax                                                       _x000a_On ILC Postal/DHL Charges                                             _x000a_15% of SAR75.00                                                       _x000a_Through CORPORATE BANKING DEPT-JEDDAH                                 _x000a_Date 07-05-1447(H) Time 14.30.08                                      _x000a_Reference ILC-0840-25-8470                                            _x000a_At Bank Aljazira                                                      _x000a_"/>
    <x v="145"/>
    <s v="ILC-0840-25-8470"/>
    <x v="0"/>
    <n v="11.25"/>
    <n v="0"/>
    <x v="0"/>
    <s v="Received"/>
    <s v="Saudi Benaa Company For Building Materials"/>
    <x v="3"/>
    <x v="10"/>
    <x v="13"/>
    <n v="10"/>
    <n v="2025"/>
    <m/>
  </r>
  <r>
    <x v="5"/>
    <x v="20"/>
    <x v="9"/>
    <s v="Dr TI LGI Commission (Unearned)                                       _x000a_ISS001-276961609                                                      _x000a_At Bank AlJazira                                                      _x000a_CORPORATE BANKING DEPT-JEDDAH                                         _x000a_Date 07-05-1447(H) Time 14.31.46                                      _x000a_Reference ILC-0840-25-8473                                            _x000a_"/>
    <x v="146"/>
    <s v="ILC-0840-25-8473"/>
    <x v="0"/>
    <n v="705.7"/>
    <n v="0"/>
    <x v="0"/>
    <s v="Received"/>
    <s v="RAWABI AL MAHFAR TRADING CO."/>
    <x v="3"/>
    <x v="10"/>
    <x v="13"/>
    <n v="10"/>
    <n v="2025"/>
    <m/>
  </r>
  <r>
    <x v="5"/>
    <x v="20"/>
    <x v="9"/>
    <s v="Value Added Tax                                                       _x000a_On ILC Commission                                                     _x000a_15% of SAR705.70                                                      _x000a_Through CORPORATE BANKING DEPT-JEDDAH                                 _x000a_Date 07-05-1447(H) Time 14.31.46                                      _x000a_Reference ILC-0840-25-8473                                            _x000a_At Bank Aljazira                                                      _x000a_"/>
    <x v="146"/>
    <s v="ILC-0840-25-8473"/>
    <x v="0"/>
    <n v="105.86"/>
    <n v="0"/>
    <x v="0"/>
    <s v="Received"/>
    <s v="RAWABI AL MAHFAR TRADING CO."/>
    <x v="3"/>
    <x v="10"/>
    <x v="13"/>
    <n v="10"/>
    <n v="2025"/>
    <m/>
  </r>
  <r>
    <x v="5"/>
    <x v="20"/>
    <x v="9"/>
    <s v="Dr TI ILC Comm/Other Charges                                          _x000a_ISS001-276961611                                                      _x000a_At Bank Aljazira                                                      _x000a_ CORPORATE BANKING DEPT-JEDDAH                                        _x000a_Date 07-05-1447(H) Time 14.31.46                                      _x000a_Reference ILC-0840-25-8473                                            _x000a_Value Date 07-05-1447(H)                                              _x000a_Fee Collected By Bank AlJazira                                        _x000a_"/>
    <x v="146"/>
    <s v="ILC-0840-25-8473"/>
    <x v="0"/>
    <n v="750"/>
    <n v="0"/>
    <x v="0"/>
    <s v="Received"/>
    <s v="RAWABI AL MAHFAR TRADING CO."/>
    <x v="3"/>
    <x v="10"/>
    <x v="13"/>
    <n v="10"/>
    <n v="2025"/>
    <m/>
  </r>
  <r>
    <x v="5"/>
    <x v="20"/>
    <x v="9"/>
    <s v="Value Added Tax                                                       _x000a_On ILC SWIFT/Telex Charges                                            _x000a_15% of SAR750.00                                                      _x000a_Through CORPORATE BANKING DEPT-JEDDAH                                 _x000a_Date 07-05-1447(H) Time 14.31.46                                      _x000a_Reference ILC-0840-25-8473                                            _x000a_At Bank Aljazira                                                      _x000a_"/>
    <x v="146"/>
    <s v="ILC-0840-25-8473"/>
    <x v="0"/>
    <n v="112.5"/>
    <n v="0"/>
    <x v="0"/>
    <s v="Received"/>
    <s v="RAWABI AL MAHFAR TRADING CO."/>
    <x v="3"/>
    <x v="10"/>
    <x v="13"/>
    <n v="10"/>
    <n v="2025"/>
    <m/>
  </r>
  <r>
    <x v="5"/>
    <x v="20"/>
    <x v="9"/>
    <s v="Dr TI ILC Comm/Other Charges                                          _x000a_ISS001-276961613                                                      _x000a_At Bank Aljazira                                                      _x000a_ CORPORATE BANKING DEPT-JEDDAH                                        _x000a_Date 07-05-1447(H) Time 14.31.47                                      _x000a_Reference ILC-0840-25-8473                                            _x000a_Value Date 07-05-1447(H)                                              _x000a_Fee Collected By Bank AlJazira                                        _x000a_"/>
    <x v="146"/>
    <s v="ILC-0840-25-8473"/>
    <x v="0"/>
    <n v="125.46"/>
    <n v="0"/>
    <x v="0"/>
    <s v="Received"/>
    <s v="RAWABI AL MAHFAR TRADING CO."/>
    <x v="3"/>
    <x v="10"/>
    <x v="13"/>
    <n v="10"/>
    <n v="2025"/>
    <m/>
  </r>
  <r>
    <x v="5"/>
    <x v="20"/>
    <x v="9"/>
    <s v="Value Added Tax                                                       _x000a_On LC PROCESSING FEE                                                  _x000a_15% of SAR125.46                                                      _x000a_Through CORPORATE BANKING DEPT-JEDDAH                                 _x000a_Date 07-05-1447(H) Time 14.31.47                                      _x000a_Reference ILC-0840-25-8473                                            _x000a_At Bank Aljazira                                                      _x000a_"/>
    <x v="146"/>
    <s v="ILC-0840-25-8473"/>
    <x v="0"/>
    <n v="18.82"/>
    <n v="0"/>
    <x v="0"/>
    <s v="Received"/>
    <s v="RAWABI AL MAHFAR TRADING CO."/>
    <x v="3"/>
    <x v="10"/>
    <x v="13"/>
    <n v="10"/>
    <n v="2025"/>
    <m/>
  </r>
  <r>
    <x v="5"/>
    <x v="20"/>
    <x v="9"/>
    <s v="Dr TI ILC Comm/Other Charges                                          _x000a_ISS001-276961615                                                      _x000a_At Bank Aljazira                                                      _x000a_ CORPORATE BANKING DEPT-JEDDAH                                        _x000a_Date 07-05-1447(H) Time 14.31.47                                      _x000a_Reference ILC-0840-25-8473                                            _x000a_Value Date 07-05-1447(H)                                              _x000a_Fee Collected By Bank AlJazira                                        _x000a_"/>
    <x v="146"/>
    <s v="ILC-0840-25-8473"/>
    <x v="0"/>
    <n v="75"/>
    <n v="0"/>
    <x v="0"/>
    <s v="Received"/>
    <s v="RAWABI AL MAHFAR TRADING CO."/>
    <x v="3"/>
    <x v="10"/>
    <x v="13"/>
    <n v="10"/>
    <n v="2025"/>
    <m/>
  </r>
  <r>
    <x v="5"/>
    <x v="20"/>
    <x v="9"/>
    <s v="Value Added Tax                                                       _x000a_On ILC Postal/DHL Charges                                             _x000a_15% of SAR75.00                                                       _x000a_Through CORPORATE BANKING DEPT-JEDDAH                                 _x000a_Date 07-05-1447(H) Time 14.31.47                                      _x000a_Reference ILC-0840-25-8473                                            _x000a_At Bank Aljazira                                                      _x000a_"/>
    <x v="146"/>
    <s v="ILC-0840-25-8473"/>
    <x v="0"/>
    <n v="11.25"/>
    <n v="0"/>
    <x v="0"/>
    <s v="Received"/>
    <s v="RAWABI AL MAHFAR TRADING CO."/>
    <x v="3"/>
    <x v="10"/>
    <x v="13"/>
    <n v="10"/>
    <n v="2025"/>
    <m/>
  </r>
  <r>
    <x v="1"/>
    <x v="21"/>
    <x v="3"/>
    <s v="CUSTOMER = 3972500 DEAL AMT = 2199.05 DEAL CCY = SAR TAX CODE = 1 "/>
    <x v="29"/>
    <s v="TF251040001705"/>
    <x v="0"/>
    <n v="329.86"/>
    <n v="0"/>
    <x v="1"/>
    <s v="Received"/>
    <s v="Awtad Jeddah for General Contracting Company"/>
    <x v="0"/>
    <x v="7"/>
    <x v="8"/>
    <n v="10"/>
    <n v="2025"/>
    <m/>
  </r>
  <r>
    <x v="1"/>
    <x v="21"/>
    <x v="3"/>
    <s v="LC ACCEPTANCE COMMISSION FOR LC NO. TF251040001705\BNK"/>
    <x v="29"/>
    <s v="TF251040001705"/>
    <x v="0"/>
    <n v="2199.0500000000002"/>
    <n v="0"/>
    <x v="2"/>
    <s v="Received"/>
    <s v="Awtad Jeddah for General Contracting Company"/>
    <x v="0"/>
    <x v="7"/>
    <x v="8"/>
    <n v="10"/>
    <n v="2025"/>
    <m/>
  </r>
  <r>
    <x v="1"/>
    <x v="21"/>
    <x v="3"/>
    <s v="CUSTOMER = 3972500 DEAL AMT = 1250 DEAL CCY = SAR TAX CODE = 1 "/>
    <x v="147"/>
    <s v="TF252110008802"/>
    <x v="0"/>
    <n v="187.5"/>
    <n v="0"/>
    <x v="1"/>
    <s v="Received"/>
    <s v="TABARK AL-MOMMYZA FOR TRADING COMPANY"/>
    <x v="3"/>
    <x v="5"/>
    <x v="6"/>
    <n v="10"/>
    <n v="2025"/>
    <m/>
  </r>
  <r>
    <x v="1"/>
    <x v="21"/>
    <x v="3"/>
    <s v="LC ACCEPTANCE COMMISSION FOR LC NO. TF252110008802\BNK"/>
    <x v="147"/>
    <s v="TF252110008802"/>
    <x v="0"/>
    <n v="1250"/>
    <n v="0"/>
    <x v="2"/>
    <s v="Received"/>
    <s v="TABARK AL-MOMMYZA FOR TRADING COMPANY"/>
    <x v="3"/>
    <x v="5"/>
    <x v="6"/>
    <n v="10"/>
    <n v="2025"/>
    <m/>
  </r>
  <r>
    <x v="0"/>
    <x v="21"/>
    <x v="1"/>
    <s v="RB REF JLG6603079,VIA CORE SYSTEM,DATE-TIME 30/10-11:51:00, عن طريق النظام الآ لي ,VALUE DT 30/10/25"/>
    <x v="148"/>
    <s v=""/>
    <x v="0"/>
    <n v="57.5"/>
    <n v="0"/>
    <x v="0"/>
    <s v="Received"/>
    <s v="Advance - JEDDAH ISLAMIC PORT"/>
    <x v="1"/>
    <x v="2"/>
    <x v="18"/>
    <n v="10"/>
    <n v="2025"/>
    <m/>
  </r>
  <r>
    <x v="2"/>
    <x v="21"/>
    <x v="4"/>
    <s v="CITY:Jeddah 6132225J210605001"/>
    <x v="149"/>
    <s v="J210605001"/>
    <x v="0"/>
    <n v="524263.78"/>
    <n v="0"/>
    <x v="4"/>
    <s v="Received"/>
    <s v="Gulf Grilles Company"/>
    <x v="3"/>
    <x v="5"/>
    <x v="6"/>
    <n v="10"/>
    <n v="2025"/>
    <m/>
  </r>
  <r>
    <x v="3"/>
    <x v="21"/>
    <x v="6"/>
    <s v="DPBCOR617256WPM DCBWPM558782"/>
    <x v="150"/>
    <s v="DPBCOR617256WPM"/>
    <x v="0"/>
    <n v="300000"/>
    <n v="0"/>
    <x v="0"/>
    <s v="Received"/>
    <s v="Arabian International Company For Contracting"/>
    <x v="3"/>
    <x v="9"/>
    <x v="10"/>
    <n v="10"/>
    <n v="2025"/>
    <m/>
  </r>
  <r>
    <x v="3"/>
    <x v="21"/>
    <x v="6"/>
    <s v="DPBCOR622776WPM DCBWPM564593"/>
    <x v="58"/>
    <s v="DPBCOR622776WPM"/>
    <x v="0"/>
    <n v="699367"/>
    <n v="0"/>
    <x v="0"/>
    <s v="Received"/>
    <s v="Al Saadeh Trading Establishment"/>
    <x v="4"/>
    <x v="1"/>
    <x v="11"/>
    <n v="10"/>
    <n v="2025"/>
    <m/>
  </r>
  <r>
    <x v="3"/>
    <x v="21"/>
    <x v="6"/>
    <s v="IMP BILL COMM DPBEPM625018WPM DCBWPM565818"/>
    <x v="151"/>
    <s v="DPBEPM625018WPM"/>
    <x v="0"/>
    <n v="36073.86"/>
    <n v="0"/>
    <x v="0"/>
    <s v="Received"/>
    <s v="ELSEWEDY CABLES COMPANY LTD."/>
    <x v="3"/>
    <x v="9"/>
    <x v="10"/>
    <n v="10"/>
    <n v="2025"/>
    <m/>
  </r>
  <r>
    <x v="4"/>
    <x v="21"/>
    <x v="8"/>
    <s v="PROVISION MARGIN CR"/>
    <x v="152"/>
    <s v="TF2500633009"/>
    <x v="0"/>
    <m/>
    <n v="758292.72"/>
    <x v="0"/>
    <s v="Received"/>
    <s v="Branch of National Fire Fighting (NAFFCO)"/>
    <x v="3"/>
    <x v="5"/>
    <x v="6"/>
    <n v="10"/>
    <n v="2025"/>
    <m/>
  </r>
  <r>
    <x v="5"/>
    <x v="21"/>
    <x v="9"/>
    <s v="TI Bill Settled                                                       _x000a_POC004                                                                _x000a_At Bank AlJazira                                                      _x000a_CORPORATE BANKING DEPT-JEDDAH                                         _x000a_Date 08-05-1447(H) Time 09.52.14                                      _x000a_Reference ILC-0840-25-8011                                            _x000a_"/>
    <x v="71"/>
    <s v="ILC-0840-25-8011"/>
    <x v="0"/>
    <n v="450632"/>
    <n v="0"/>
    <x v="0"/>
    <s v="Received"/>
    <s v="Metten Al-Arabia Ltd Co (METARA)"/>
    <x v="0"/>
    <x v="10"/>
    <x v="13"/>
    <n v="10"/>
    <n v="2025"/>
    <m/>
  </r>
  <r>
    <x v="1"/>
    <x v="22"/>
    <x v="3"/>
    <s v="CUSTOMER = 3972500 DEAL AMT = 2500 DEAL CCY = SAR TAX CODE = 1 "/>
    <x v="153"/>
    <s v="TF251740007001"/>
    <x v="0"/>
    <n v="375"/>
    <n v="0"/>
    <x v="1"/>
    <s v="Received"/>
    <s v="ALFANAR ELECTRICAL SYSTEMS"/>
    <x v="3"/>
    <x v="6"/>
    <x v="7"/>
    <n v="11"/>
    <n v="2025"/>
    <m/>
  </r>
  <r>
    <x v="1"/>
    <x v="22"/>
    <x v="3"/>
    <s v="LC ACCEPTANCE COMMISSION FOR LC NO. TF251740007001\BNK"/>
    <x v="153"/>
    <s v="TF251740007001"/>
    <x v="0"/>
    <n v="2500"/>
    <n v="0"/>
    <x v="2"/>
    <s v="Received"/>
    <s v="ALFANAR ELECTRICAL SYSTEMS"/>
    <x v="3"/>
    <x v="6"/>
    <x v="7"/>
    <n v="11"/>
    <n v="2025"/>
    <m/>
  </r>
  <r>
    <x v="1"/>
    <x v="23"/>
    <x v="3"/>
    <s v="CUSTOMER = 3972500 DEAL AMT = 75 DEAL CCY = SAR TAX CODE = 1 "/>
    <x v="13"/>
    <s v="TF251310001101"/>
    <x v="0"/>
    <n v="11.25"/>
    <n v="0"/>
    <x v="1"/>
    <s v="Received"/>
    <s v="AFAQ AL MALAZ TRADING CO.LTD"/>
    <x v="3"/>
    <x v="5"/>
    <x v="6"/>
    <n v="11"/>
    <n v="2025"/>
    <m/>
  </r>
  <r>
    <x v="1"/>
    <x v="23"/>
    <x v="3"/>
    <s v="LC SWIFT CHARGES FOR LC NO. TF251310001101\BNK"/>
    <x v="13"/>
    <s v="TF251310001101"/>
    <x v="0"/>
    <n v="75"/>
    <n v="0"/>
    <x v="3"/>
    <s v="Received"/>
    <s v="AFAQ AL MALAZ TRADING CO.LTD"/>
    <x v="3"/>
    <x v="5"/>
    <x v="6"/>
    <n v="11"/>
    <n v="2025"/>
    <m/>
  </r>
  <r>
    <x v="1"/>
    <x v="23"/>
    <x v="3"/>
    <s v="REIMBURSE UNDER LCS DR FOR LC NO. TF251310001101\BNK"/>
    <x v="13"/>
    <s v="TF251310001101"/>
    <x v="0"/>
    <n v="30420.75"/>
    <n v="0"/>
    <x v="4"/>
    <s v="Received"/>
    <s v="AFAQ AL MALAZ TRADING CO.LTD"/>
    <x v="3"/>
    <x v="5"/>
    <x v="6"/>
    <n v="11"/>
    <n v="2025"/>
    <m/>
  </r>
  <r>
    <x v="0"/>
    <x v="22"/>
    <x v="0"/>
    <s v="RB REF JLG6902202,VIA CORE SYSTEM,DATE-TIME 02/11-15:36:35, عن طريق النظام الآ لي ,VALUE DT 02/11/25"/>
    <x v="154"/>
    <s v=""/>
    <x v="0"/>
    <n v="460"/>
    <n v="0"/>
    <x v="0"/>
    <s v="Received"/>
    <e v="#N/A"/>
    <x v="7"/>
    <x v="12"/>
    <x v="19"/>
    <n v="11"/>
    <n v="2025"/>
    <m/>
  </r>
  <r>
    <x v="0"/>
    <x v="23"/>
    <x v="0"/>
    <s v="REF 000000JLC6801573,RB REF JLC6801573,VIA CORE SYSTEM,DATE-TIME 03/11-15:50:55, عن طريق النظام الآ لي ,VALUE DT 03/11/25"/>
    <x v="0"/>
    <s v=""/>
    <x v="0"/>
    <n v="1491.73"/>
    <n v="0"/>
    <x v="0"/>
    <s v="Received"/>
    <s v="Visio INC"/>
    <x v="0"/>
    <x v="0"/>
    <x v="0"/>
    <n v="11"/>
    <n v="2025"/>
    <m/>
  </r>
  <r>
    <x v="0"/>
    <x v="23"/>
    <x v="0"/>
    <s v="REF 000000JLC6801271,RB REF JLC6801271,VIA CORE SYSTEM,DATE-TIME 03/11-15:49:06, عن طريق النظام الآ لي ,VALUE DT 03/11/25"/>
    <x v="155"/>
    <s v=""/>
    <x v="0"/>
    <n v="687.6"/>
    <n v="0"/>
    <x v="0"/>
    <s v="Received"/>
    <s v="SAMSARA SRL"/>
    <x v="0"/>
    <x v="0"/>
    <x v="0"/>
    <n v="11"/>
    <n v="2025"/>
    <m/>
  </r>
  <r>
    <x v="0"/>
    <x v="23"/>
    <x v="1"/>
    <s v="REF 000000JLC6701731,RB REF JLC6701731,VIA CORE SYSTEM,DATE-TIME 03/11-15:52:27, عن طريق النظام الآ لي ,VALUE DT 03/11/25"/>
    <x v="96"/>
    <s v=""/>
    <x v="0"/>
    <n v="4252.8500000000004"/>
    <n v="0"/>
    <x v="0"/>
    <s v="Received"/>
    <s v="ATELIER HOSPITALITY SRL"/>
    <x v="0"/>
    <x v="0"/>
    <x v="0"/>
    <n v="11"/>
    <n v="2025"/>
    <m/>
  </r>
  <r>
    <x v="2"/>
    <x v="23"/>
    <x v="4"/>
    <s v="CITY:Jeddah 6132225J210606001"/>
    <x v="156"/>
    <s v="J210606001"/>
    <x v="0"/>
    <n v="2662.03"/>
    <n v="0"/>
    <x v="2"/>
    <s v="Received"/>
    <s v="MARIAM TRADING CO &amp; PARTNERS"/>
    <x v="3"/>
    <x v="5"/>
    <x v="6"/>
    <n v="11"/>
    <n v="2025"/>
    <m/>
  </r>
  <r>
    <x v="2"/>
    <x v="23"/>
    <x v="4"/>
    <s v="CITY:Jeddah 6132225J210425003"/>
    <x v="157"/>
    <s v="J210425003"/>
    <x v="0"/>
    <n v="1789101.04"/>
    <n v="0"/>
    <x v="4"/>
    <s v="Received"/>
    <s v="High Al Shuhra Contracting Company"/>
    <x v="0"/>
    <x v="7"/>
    <x v="8"/>
    <n v="11"/>
    <n v="2025"/>
    <m/>
  </r>
  <r>
    <x v="3"/>
    <x v="22"/>
    <x v="6"/>
    <s v="DPBCOR619290WPM DCBWPM558786"/>
    <x v="158"/>
    <s v="DPBCOR619290WPM"/>
    <x v="0"/>
    <n v="400000"/>
    <n v="0"/>
    <x v="0"/>
    <s v="Received"/>
    <s v="MARIAM TRADING CO. &amp; PARTNER "/>
    <x v="3"/>
    <x v="9"/>
    <x v="10"/>
    <n v="11"/>
    <n v="2025"/>
    <m/>
  </r>
  <r>
    <x v="3"/>
    <x v="22"/>
    <x v="6"/>
    <s v="IMP BILL COMM DPBCOR625101WPM DCBWPM558768"/>
    <x v="159"/>
    <s v="DPBCOR625101WPM"/>
    <x v="0"/>
    <n v="940.44"/>
    <n v="0"/>
    <x v="0"/>
    <s v="Received"/>
    <s v="Bahra Advanced Cable Manufacture Co.Ltd"/>
    <x v="3"/>
    <x v="9"/>
    <x v="10"/>
    <n v="11"/>
    <n v="2025"/>
    <m/>
  </r>
  <r>
    <x v="3"/>
    <x v="22"/>
    <x v="5"/>
    <s v="IMP BILL AMEND. CHARGES DPBCOR625046WPM DCBWPM567940"/>
    <x v="104"/>
    <s v="DPBCOR625046WPM"/>
    <x v="0"/>
    <n v="287.5"/>
    <n v="0"/>
    <x v="0"/>
    <s v="Received"/>
    <s v="ROLLC FOR TRADING COMPANY"/>
    <x v="5"/>
    <x v="8"/>
    <x v="9"/>
    <n v="11"/>
    <n v="2025"/>
    <m/>
  </r>
  <r>
    <x v="3"/>
    <x v="22"/>
    <x v="5"/>
    <s v="IMP BILL AMEND. CHARGES DPBEPM624631WPM DCBWPM563027"/>
    <x v="160"/>
    <s v="DPBEPM624631WPM"/>
    <x v="0"/>
    <n v="678.76"/>
    <n v="0"/>
    <x v="0"/>
    <s v="Received"/>
    <s v="JAD AL RIYADH Trading Co. Ltd"/>
    <x v="3"/>
    <x v="8"/>
    <x v="9"/>
    <n v="11"/>
    <n v="2025"/>
    <m/>
  </r>
  <r>
    <x v="3"/>
    <x v="22"/>
    <x v="5"/>
    <s v="DPBEPM618331WPM DCBCPM558780"/>
    <x v="161"/>
    <s v="DPBEPM618331WPM"/>
    <x v="0"/>
    <n v="400000"/>
    <n v="0"/>
    <x v="0"/>
    <s v="Received"/>
    <s v="National Marketing Est. Co. Ltd"/>
    <x v="3"/>
    <x v="9"/>
    <x v="10"/>
    <n v="11"/>
    <n v="2025"/>
    <m/>
  </r>
  <r>
    <x v="3"/>
    <x v="22"/>
    <x v="5"/>
    <s v="DPBCOR617958WPM DCBWPM558776"/>
    <x v="162"/>
    <s v="DPBCOR617958WPM"/>
    <x v="0"/>
    <n v="524686.5"/>
    <n v="0"/>
    <x v="0"/>
    <s v="Received"/>
    <s v="Saudi Pipe Systems Co. Ltd."/>
    <x v="3"/>
    <x v="9"/>
    <x v="10"/>
    <n v="11"/>
    <n v="2025"/>
    <m/>
  </r>
  <r>
    <x v="3"/>
    <x v="22"/>
    <x v="5"/>
    <s v="DCBWPM560155 PROJECT FLASH LC BILL BILL COMMISSION"/>
    <x v="142"/>
    <s v="DCBWPM560155 PR"/>
    <x v="0"/>
    <n v="575"/>
    <n v="0"/>
    <x v="0"/>
    <s v="Received"/>
    <s v="ASSA ABLOY ENTRANCE SYSTEMS SAUDI CO."/>
    <x v="5"/>
    <x v="8"/>
    <x v="9"/>
    <n v="11"/>
    <n v="2025"/>
    <m/>
  </r>
  <r>
    <x v="3"/>
    <x v="22"/>
    <x v="5"/>
    <s v="DC AMENDMENT COMM CHARGES DCBWPM560155"/>
    <x v="142"/>
    <s v="DCBWPM560155"/>
    <x v="0"/>
    <n v="690"/>
    <n v="0"/>
    <x v="0"/>
    <s v="Received"/>
    <s v="ASSA ABLOY ENTRANCE SYSTEMS SAUDI CO."/>
    <x v="5"/>
    <x v="8"/>
    <x v="9"/>
    <n v="11"/>
    <n v="2025"/>
    <m/>
  </r>
  <r>
    <x v="3"/>
    <x v="22"/>
    <x v="5"/>
    <s v="IMP BILL AMEND. CHARGES DPBEPM624827WPM DCBWPM563374"/>
    <x v="163"/>
    <s v="DPBEPM624827WPM"/>
    <x v="0"/>
    <n v="545.20000000000005"/>
    <n v="0"/>
    <x v="0"/>
    <s v="Received"/>
    <s v="EVOLVING CONSTELLATION CO. FOR ENERGY"/>
    <x v="3"/>
    <x v="8"/>
    <x v="9"/>
    <n v="11"/>
    <n v="2025"/>
    <m/>
  </r>
  <r>
    <x v="3"/>
    <x v="22"/>
    <x v="5"/>
    <s v="IMP BILL AMEND. CHARGES DPBEPM624817WPM DCBWPM563374"/>
    <x v="163"/>
    <s v="DPBEPM624817WPM"/>
    <x v="0"/>
    <n v="287.5"/>
    <n v="0"/>
    <x v="0"/>
    <s v="Received"/>
    <s v="EVOLVING CONSTELLATION CO. FOR ENERGY"/>
    <x v="3"/>
    <x v="8"/>
    <x v="9"/>
    <n v="11"/>
    <n v="2025"/>
    <m/>
  </r>
  <r>
    <x v="3"/>
    <x v="23"/>
    <x v="6"/>
    <s v="DPBCOR625046WPM DCBWPM567940"/>
    <x v="104"/>
    <s v="DPBCOR625046WPM"/>
    <x v="0"/>
    <n v="1800000"/>
    <n v="0"/>
    <x v="0"/>
    <s v="Received"/>
    <s v="ROLLC FOR TRADING COMPANY"/>
    <x v="5"/>
    <x v="8"/>
    <x v="9"/>
    <n v="11"/>
    <n v="2025"/>
    <m/>
  </r>
  <r>
    <x v="3"/>
    <x v="23"/>
    <x v="6"/>
    <s v="DPBCOR621529WPM DCBWPM558787"/>
    <x v="164"/>
    <s v="DPBCOR621529WPM"/>
    <x v="0"/>
    <n v="667529.19999999995"/>
    <n v="0"/>
    <x v="0"/>
    <s v="Received"/>
    <s v="Mimar for Construction Tools &amp; Tradina Ltd."/>
    <x v="3"/>
    <x v="9"/>
    <x v="10"/>
    <n v="11"/>
    <n v="2025"/>
    <m/>
  </r>
  <r>
    <x v="3"/>
    <x v="23"/>
    <x v="6"/>
    <s v="IMP BILL COMM DPBCOR625240WPM DCBWPM565846"/>
    <x v="165"/>
    <s v="DPBCOR625240WPM"/>
    <x v="0"/>
    <n v="7817.47"/>
    <n v="0"/>
    <x v="0"/>
    <s v="Received"/>
    <s v="Mimar For Construction Tools &amp; Trading Ltd."/>
    <x v="3"/>
    <x v="9"/>
    <x v="10"/>
    <n v="11"/>
    <n v="2025"/>
    <m/>
  </r>
  <r>
    <x v="3"/>
    <x v="23"/>
    <x v="5"/>
    <s v="DPBCOR624918WPM DCBWPM567940"/>
    <x v="104"/>
    <s v="DPBCOR624918WPM"/>
    <x v="0"/>
    <n v="1200000"/>
    <n v="0"/>
    <x v="0"/>
    <s v="Received"/>
    <s v="ROLLC FOR TRADING COMPANY"/>
    <x v="5"/>
    <x v="8"/>
    <x v="9"/>
    <n v="11"/>
    <n v="2025"/>
    <m/>
  </r>
  <r>
    <x v="3"/>
    <x v="23"/>
    <x v="5"/>
    <s v="IMP BILL RETIRE. CHARGES DPBCOR624918WPM DCBWPM567940"/>
    <x v="104"/>
    <s v="DPBCOR624918WPM"/>
    <x v="0"/>
    <n v="575"/>
    <n v="0"/>
    <x v="0"/>
    <s v="Received"/>
    <s v="ROLLC FOR TRADING COMPANY"/>
    <x v="5"/>
    <x v="8"/>
    <x v="9"/>
    <n v="11"/>
    <n v="2025"/>
    <m/>
  </r>
  <r>
    <x v="5"/>
    <x v="22"/>
    <x v="9"/>
    <s v="TI Bill Settled                                                       _x000a_POC003                                                                _x000a_At Bank AlJazira                                                      _x000a_CORPORATE BANKING DEPT-JEDDAH                                         _x000a_Date 11-05-1447(H) Time 09.48.39                                      _x000a_Reference ILC-0840-25-7980                                            _x000a_"/>
    <x v="70"/>
    <s v="ILC-0840-25-7980"/>
    <x v="0"/>
    <n v="472000"/>
    <n v="0"/>
    <x v="0"/>
    <s v="Received"/>
    <s v="Saudi Hepco Co Ltd"/>
    <x v="3"/>
    <x v="10"/>
    <x v="13"/>
    <n v="11"/>
    <n v="2025"/>
    <m/>
  </r>
  <r>
    <x v="5"/>
    <x v="22"/>
    <x v="9"/>
    <s v="Dr TI ILC Comm/Other Charges                                          _x000a_POC004-277268887                                                      _x000a_At Bank Aljazira                                                      _x000a_ CORPORATE BANKING DEPT-JEDDAH                                        _x000a_Date 11-05-1447(H) Time 13.14.29                                      _x000a_Reference ILC-0840-25-7982                                            _x000a_Value Date 11-05-1447(H)                                              _x000a_Fee Collected By Bank AlJazira                                        _x000a_"/>
    <x v="74"/>
    <s v="ILC-0840-25-7982"/>
    <x v="0"/>
    <n v="100"/>
    <n v="0"/>
    <x v="0"/>
    <s v="Received"/>
    <s v="Alpha Limit Trading and Contracting Company"/>
    <x v="3"/>
    <x v="10"/>
    <x v="13"/>
    <n v="11"/>
    <n v="2025"/>
    <m/>
  </r>
  <r>
    <x v="5"/>
    <x v="22"/>
    <x v="9"/>
    <s v="Value Added Tax                                                       _x000a_On ILC Acceptance Comm.                                               _x000a_15% of SAR100.00                                                      _x000a_Through CORPORATE BANKING DEPT-JEDDAH                                 _x000a_Date 11-05-1447(H) Time 13.14.29                                      _x000a_Reference ILC-0840-25-7982                                            _x000a_At Bank Aljazira                                                      _x000a_"/>
    <x v="74"/>
    <s v="ILC-0840-25-7982"/>
    <x v="0"/>
    <n v="15"/>
    <n v="0"/>
    <x v="0"/>
    <s v="Received"/>
    <s v="Alpha Limit Trading and Contracting Company"/>
    <x v="3"/>
    <x v="10"/>
    <x v="13"/>
    <n v="11"/>
    <n v="2025"/>
    <m/>
  </r>
  <r>
    <x v="5"/>
    <x v="22"/>
    <x v="9"/>
    <s v="Dr TI ILC Comm/Other Charges                                          _x000a_POC004-277268942                                                      _x000a_At Bank Aljazira                                                      _x000a_ CORPORATE BANKING DEPT-JEDDAH                                        _x000a_Date 11-05-1447(H) Time 13.14.29                                      _x000a_Reference ILC-0840-25-7982                                            _x000a_Value Date 11-05-1447(H)                                              _x000a_Fee Collected By Bank AlJazira                                        _x000a_"/>
    <x v="74"/>
    <s v="ILC-0840-25-7982"/>
    <x v="0"/>
    <n v="250"/>
    <n v="0"/>
    <x v="0"/>
    <s v="Received"/>
    <s v="Alpha Limit Trading and Contracting Company"/>
    <x v="3"/>
    <x v="10"/>
    <x v="13"/>
    <n v="11"/>
    <n v="2025"/>
    <m/>
  </r>
  <r>
    <x v="5"/>
    <x v="22"/>
    <x v="9"/>
    <s v="Value Added Tax                                                       _x000a_On ILC Acceptance Comm.                                               _x000a_15% of SAR250.00                                                      _x000a_Through CORPORATE BANKING DEPT-JEDDAH                                 _x000a_Date 11-05-1447(H) Time 13.14.30                                      _x000a_Reference ILC-0840-25-7982                                            _x000a_At Bank Aljazira                                                      _x000a_"/>
    <x v="74"/>
    <s v="ILC-0840-25-7982"/>
    <x v="0"/>
    <n v="37.5"/>
    <n v="0"/>
    <x v="0"/>
    <s v="Received"/>
    <s v="Alpha Limit Trading and Contracting Company"/>
    <x v="3"/>
    <x v="10"/>
    <x v="13"/>
    <n v="11"/>
    <n v="2025"/>
    <m/>
  </r>
  <r>
    <x v="5"/>
    <x v="22"/>
    <x v="9"/>
    <s v="Dr TI ILC Comm/Other Charges                                          _x000a_POC004-277268944                                                      _x000a_At Bank Aljazira                                                      _x000a_ CORPORATE BANKING DEPT-JEDDAH                                        _x000a_Date 11-05-1447(H) Time 13.14.30                                      _x000a_Reference ILC-0840-25-7982                                            _x000a_Value Date 11-05-1447(H)                                              _x000a_Fee Collected By Bank AlJazira                                        _x000a_"/>
    <x v="74"/>
    <s v="ILC-0840-25-7982"/>
    <x v="0"/>
    <n v="200"/>
    <n v="0"/>
    <x v="0"/>
    <s v="Received"/>
    <s v="Alpha Limit Trading and Contracting Company"/>
    <x v="3"/>
    <x v="10"/>
    <x v="13"/>
    <n v="11"/>
    <n v="2025"/>
    <m/>
  </r>
  <r>
    <x v="5"/>
    <x v="22"/>
    <x v="9"/>
    <s v="Value Added Tax                                                       _x000a_On SWIFT charges                                                      _x000a_15% of SAR200.00                                                      _x000a_Through CORPORATE BANKING DEPT-JEDDAH                                 _x000a_Date 11-05-1447(H) Time 13.14.30                                      _x000a_Reference ILC-0840-25-7982                                            _x000a_At Bank Aljazira                                                      _x000a_"/>
    <x v="74"/>
    <s v="ILC-0840-25-7982"/>
    <x v="0"/>
    <n v="30"/>
    <n v="0"/>
    <x v="0"/>
    <s v="Received"/>
    <s v="Alpha Limit Trading and Contracting Company"/>
    <x v="3"/>
    <x v="10"/>
    <x v="13"/>
    <n v="11"/>
    <n v="2025"/>
    <m/>
  </r>
  <r>
    <x v="5"/>
    <x v="22"/>
    <x v="9"/>
    <s v="Dr TI ILC Comm/Other Charges                                          _x000a_AMD005-277343846                                                      _x000a_At Bank Aljazira                                                      _x000a_ CORPORATE BANKING DEPT-JEDDAH                                        _x000a_Date 11-05-1447(H) Time 16.22.18                                      _x000a_Reference ILC-0840-25-7173                                            _x000a_Value Date 11-05-1447(H)                                              _x000a_Fee Collected By Bank AlJazira                                        _x000a_"/>
    <x v="166"/>
    <s v="ILC-0840-25-7173"/>
    <x v="0"/>
    <n v="1623.4"/>
    <n v="0"/>
    <x v="0"/>
    <s v="Received"/>
    <s v="AL-Tawi Ready Mix Concrete Factory Co"/>
    <x v="3"/>
    <x v="10"/>
    <x v="13"/>
    <n v="11"/>
    <n v="2025"/>
    <m/>
  </r>
  <r>
    <x v="5"/>
    <x v="22"/>
    <x v="9"/>
    <s v="Value Added Tax                                                       _x000a_On ILC Commission                                                     _x000a_15% of SAR1,623.40                                                    _x000a_Through CORPORATE BANKING DEPT-JEDDAH                                 _x000a_Date 11-05-1447(H) Time 16.22.18                                      _x000a_Reference ILC-0840-25-7173                                            _x000a_At Bank Aljazira                                                      _x000a_Exchange Rate 1.0                                                     _x000a_"/>
    <x v="166"/>
    <s v="ILC-0840-25-7173"/>
    <x v="0"/>
    <n v="243.51"/>
    <n v="0"/>
    <x v="0"/>
    <s v="Received"/>
    <s v="AL-Tawi Ready Mix Concrete Factory Co"/>
    <x v="3"/>
    <x v="10"/>
    <x v="13"/>
    <n v="11"/>
    <n v="2025"/>
    <m/>
  </r>
  <r>
    <x v="5"/>
    <x v="22"/>
    <x v="9"/>
    <s v="Dr TI ILC Comm/Other Charges                                          _x000a_AMD005-277343848                                                      _x000a_At Bank Aljazira                                                      _x000a_ CORPORATE BANKING DEPT-JEDDAH                                        _x000a_Exchange Rate 1.0                                                     _x000a_Date 11-05-1447(H) Time 16.22.19                                      _x000a_Reference ILC-0840-25-7173                                            _x000a_Value Date 11-05-1447(H)                                              _x000a_Fee Collected By Bank AlJazira                                        _x000a_"/>
    <x v="166"/>
    <s v="ILC-0840-25-7173"/>
    <x v="0"/>
    <n v="400"/>
    <n v="0"/>
    <x v="0"/>
    <s v="Received"/>
    <s v="AL-Tawi Ready Mix Concrete Factory Co"/>
    <x v="3"/>
    <x v="10"/>
    <x v="13"/>
    <n v="11"/>
    <n v="2025"/>
    <m/>
  </r>
  <r>
    <x v="5"/>
    <x v="22"/>
    <x v="9"/>
    <s v="Value Added Tax                                                       _x000a_On SWIFT charges                                                      _x000a_15% of SAR400.00                                                      _x000a_Through CORPORATE BANKING DEPT-JEDDAH                                 _x000a_Date 11-05-1447(H) Time 16.22.19                                      _x000a_Reference ILC-0840-25-7173                                            _x000a_At Bank Aljazira                                                      _x000a_"/>
    <x v="166"/>
    <s v="ILC-0840-25-7173"/>
    <x v="0"/>
    <n v="60"/>
    <n v="0"/>
    <x v="0"/>
    <s v="Received"/>
    <s v="AL-Tawi Ready Mix Concrete Factory Co"/>
    <x v="3"/>
    <x v="10"/>
    <x v="13"/>
    <n v="11"/>
    <n v="2025"/>
    <m/>
  </r>
  <r>
    <x v="5"/>
    <x v="22"/>
    <x v="9"/>
    <s v="Dr TI ILC Comm/Other Charges                                          _x000a_AMD004-277342347                                                      _x000a_At Bank Aljazira                                                      _x000a_ CORPORATE BANKING DEPT-JEDDAH                                        _x000a_Exchange Rate 1.0                                                     _x000a_Date 11-05-1447(H) Time 16.22.52                                      _x000a_Reference ILC-0840-25-7269                                            _x000a_Value Date 11-05-1447(H)                                              _x000a_Fee Collected By Bank AlJazira                                        _x000a_"/>
    <x v="167"/>
    <s v="ILC-0840-25-7269"/>
    <x v="0"/>
    <n v="500"/>
    <n v="0"/>
    <x v="0"/>
    <s v="Received"/>
    <s v="Union Pipes Industry"/>
    <x v="3"/>
    <x v="10"/>
    <x v="13"/>
    <n v="11"/>
    <n v="2025"/>
    <m/>
  </r>
  <r>
    <x v="5"/>
    <x v="22"/>
    <x v="9"/>
    <s v="Value Added Tax                                                       _x000a_On ILC Commission                                                     _x000a_15% of SAR500.00                                                      _x000a_Through CORPORATE BANKING DEPT-JEDDAH                                 _x000a_Date 11-05-1447(H) Time 16.22.52                                      _x000a_Reference ILC-0840-25-7269                                            _x000a_At Bank Aljazira                                                      _x000a_Exchange Rate 1.0                                                     _x000a_"/>
    <x v="167"/>
    <s v="ILC-0840-25-7269"/>
    <x v="0"/>
    <n v="75"/>
    <n v="0"/>
    <x v="0"/>
    <s v="Received"/>
    <s v="Union Pipes Industry"/>
    <x v="3"/>
    <x v="10"/>
    <x v="13"/>
    <n v="11"/>
    <n v="2025"/>
    <m/>
  </r>
  <r>
    <x v="5"/>
    <x v="22"/>
    <x v="9"/>
    <s v="Dr TI ILC Comm/Other Charges                                          _x000a_AMD004-277342349                                                      _x000a_At Bank Aljazira                                                      _x000a_ CORPORATE BANKING DEPT-JEDDAH                                        _x000a_Exchange Rate 1.0                                                     _x000a_Date 11-05-1447(H) Time 16.22.53                                      _x000a_Reference ILC-0840-25-7269                                            _x000a_Value Date 11-05-1447(H)                                              _x000a_Fee Collected By Bank AlJazira                                        _x000a_"/>
    <x v="167"/>
    <s v="ILC-0840-25-7269"/>
    <x v="0"/>
    <n v="400"/>
    <n v="0"/>
    <x v="0"/>
    <s v="Received"/>
    <s v="Union Pipes Industry"/>
    <x v="3"/>
    <x v="10"/>
    <x v="13"/>
    <n v="11"/>
    <n v="2025"/>
    <m/>
  </r>
  <r>
    <x v="5"/>
    <x v="22"/>
    <x v="9"/>
    <s v="Value Added Tax                                                       _x000a_On SWIFT charges                                                      _x000a_15% of SAR400.00                                                      _x000a_Through CORPORATE BANKING DEPT-JEDDAH                                 _x000a_Date 11-05-1447(H) Time 16.22.53                                      _x000a_Reference ILC-0840-25-7269                                            _x000a_At Bank Aljazira                                                      _x000a_Exchange Rate 1.0                                                     _x000a_"/>
    <x v="167"/>
    <s v="ILC-0840-25-7269"/>
    <x v="0"/>
    <n v="60"/>
    <n v="0"/>
    <x v="0"/>
    <s v="Received"/>
    <s v="Union Pipes Industry"/>
    <x v="3"/>
    <x v="10"/>
    <x v="13"/>
    <n v="11"/>
    <n v="2025"/>
    <m/>
  </r>
  <r>
    <x v="5"/>
    <x v="22"/>
    <x v="9"/>
    <s v="Dr TI ILC Comm/Other Charges                                          _x000a_AMD003-277340898                                                      _x000a_At Bank Aljazira                                                      _x000a_ CORPORATE BANKING DEPT-JEDDAH                                        _x000a_Exchange Rate 1.0                                                     _x000a_Date 11-05-1447(H) Time 16.23.10                                      _x000a_Reference ILC-0840-25-7517                                            _x000a_Value Date 11-05-1447(H)                                              _x000a_Fee Collected By Bank AlJazira                                        _x000a_"/>
    <x v="168"/>
    <s v="ILC-0840-25-7517"/>
    <x v="0"/>
    <n v="884.44"/>
    <n v="0"/>
    <x v="0"/>
    <s v="Received"/>
    <s v="SAUDI VITRIFIED CLAY PIPE CO"/>
    <x v="3"/>
    <x v="10"/>
    <x v="13"/>
    <n v="11"/>
    <n v="2025"/>
    <m/>
  </r>
  <r>
    <x v="5"/>
    <x v="22"/>
    <x v="9"/>
    <s v="Value Added Tax                                                       _x000a_On ILC Commission                                                     _x000a_15% of SAR884.44                                                      _x000a_Through CORPORATE BANKING DEPT-JEDDAH                                 _x000a_Date 11-05-1447(H) Time 16.23.11                                      _x000a_Reference ILC-0840-25-7517                                            _x000a_At Bank Aljazira                                                      _x000a_Exchange Rate 1.0                                                     _x000a_"/>
    <x v="168"/>
    <s v="ILC-0840-25-7517"/>
    <x v="0"/>
    <n v="132.66999999999999"/>
    <n v="0"/>
    <x v="0"/>
    <s v="Received"/>
    <s v="SAUDI VITRIFIED CLAY PIPE CO"/>
    <x v="3"/>
    <x v="10"/>
    <x v="13"/>
    <n v="11"/>
    <n v="2025"/>
    <m/>
  </r>
  <r>
    <x v="5"/>
    <x v="22"/>
    <x v="9"/>
    <s v="Dr TI ILC Comm/Other Charges                                          _x000a_AMD003-277340900                                                      _x000a_At Bank Aljazira                                                      _x000a_ CORPORATE BANKING DEPT-JEDDAH                                        _x000a_Exchange Rate 1.0                                                     _x000a_Date 11-05-1447(H) Time 16.23.11                                      _x000a_Reference ILC-0840-25-7517                                            _x000a_Value Date 11-05-1447(H)                                              _x000a_Fee Collected By Bank AlJazira                                        _x000a_"/>
    <x v="168"/>
    <s v="ILC-0840-25-7517"/>
    <x v="0"/>
    <n v="400"/>
    <n v="0"/>
    <x v="0"/>
    <s v="Received"/>
    <s v="SAUDI VITRIFIED CLAY PIPE CO"/>
    <x v="3"/>
    <x v="10"/>
    <x v="13"/>
    <n v="11"/>
    <n v="2025"/>
    <m/>
  </r>
  <r>
    <x v="5"/>
    <x v="22"/>
    <x v="9"/>
    <s v="Value Added Tax                                                       _x000a_On SWIFT charges                                                      _x000a_15% of SAR400.00                                                      _x000a_Through CORPORATE BANKING DEPT-JEDDAH                                 _x000a_Date 11-05-1447(H) Time 16.23.12                                      _x000a_Reference ILC-0840-25-7517                                            _x000a_At Bank Aljazira                                                      _x000a_Exchange Rate 1.0                                                     _x000a_"/>
    <x v="168"/>
    <s v="ILC-0840-25-7517"/>
    <x v="0"/>
    <n v="60"/>
    <n v="0"/>
    <x v="0"/>
    <s v="Received"/>
    <s v="SAUDI VITRIFIED CLAY PIPE CO"/>
    <x v="3"/>
    <x v="10"/>
    <x v="13"/>
    <n v="11"/>
    <n v="2025"/>
    <m/>
  </r>
  <r>
    <x v="5"/>
    <x v="22"/>
    <x v="9"/>
    <s v="Dr TI ILC Comm/Other Charges                                          _x000a_AMD002-277339887                                                      _x000a_At Bank Aljazira                                                      _x000a_ CORPORATE BANKING DEPT-JEDDAH                                        _x000a_Date 11-05-1447(H) Time 16.23.20                                      _x000a_Reference ILC-0840-25-7736                                            _x000a_Value Date 11-05-1447(H)                                              _x000a_Fee Collected By Bank AlJazira                                        _x000a_"/>
    <x v="86"/>
    <s v="ILC-0840-25-7736"/>
    <x v="0"/>
    <n v="500"/>
    <n v="0"/>
    <x v="0"/>
    <s v="Received"/>
    <s v="Baamer Group for Trading Company"/>
    <x v="3"/>
    <x v="10"/>
    <x v="13"/>
    <n v="11"/>
    <n v="2025"/>
    <m/>
  </r>
  <r>
    <x v="5"/>
    <x v="22"/>
    <x v="9"/>
    <s v="Value Added Tax                                                       _x000a_On ILC Commission                                                     _x000a_15% of SAR500.00                                                      _x000a_Through CORPORATE BANKING DEPT-JEDDAH                                 _x000a_Date 11-05-1447(H) Time 16.23.20                                      _x000a_Reference ILC-0840-25-7736                                            _x000a_At Bank Aljazira                                                      _x000a_"/>
    <x v="86"/>
    <s v="ILC-0840-25-7736"/>
    <x v="0"/>
    <n v="75"/>
    <n v="0"/>
    <x v="0"/>
    <s v="Received"/>
    <s v="Baamer Group for Trading Company"/>
    <x v="3"/>
    <x v="10"/>
    <x v="13"/>
    <n v="11"/>
    <n v="2025"/>
    <m/>
  </r>
  <r>
    <x v="5"/>
    <x v="22"/>
    <x v="9"/>
    <s v="Dr TI ILC Comm/Other Charges                                          _x000a_AMD002-277339889                                                      _x000a_At Bank Aljazira                                                      _x000a_ CORPORATE BANKING DEPT-JEDDAH                                        _x000a_Date 11-05-1447(H) Time 16.23.20                                      _x000a_Reference ILC-0840-25-7736                                            _x000a_Value Date 11-05-1447(H)                                              _x000a_Fee Collected By Bank AlJazira                                        _x000a_"/>
    <x v="86"/>
    <s v="ILC-0840-25-7736"/>
    <x v="0"/>
    <n v="400"/>
    <n v="0"/>
    <x v="0"/>
    <s v="Received"/>
    <s v="Baamer Group for Trading Company"/>
    <x v="3"/>
    <x v="10"/>
    <x v="13"/>
    <n v="11"/>
    <n v="2025"/>
    <m/>
  </r>
  <r>
    <x v="5"/>
    <x v="22"/>
    <x v="9"/>
    <s v="Value Added Tax                                                       _x000a_On SWIFT charges                                                      _x000a_15% of SAR400.00                                                      _x000a_Through CORPORATE BANKING DEPT-JEDDAH                                 _x000a_Date 11-05-1447(H) Time 16.23.21                                      _x000a_Reference ILC-0840-25-7736                                            _x000a_At Bank Aljazira                                                      _x000a_"/>
    <x v="86"/>
    <s v="ILC-0840-25-7736"/>
    <x v="0"/>
    <n v="60"/>
    <n v="0"/>
    <x v="0"/>
    <s v="Received"/>
    <s v="Baamer Group for Trading Company"/>
    <x v="3"/>
    <x v="10"/>
    <x v="13"/>
    <n v="11"/>
    <n v="2025"/>
    <m/>
  </r>
  <r>
    <x v="5"/>
    <x v="22"/>
    <x v="9"/>
    <s v="Dr TI ILC Comm/Other Charges                                          _x000a_AMD002-277344485                                                      _x000a_At Bank Aljazira                                                      _x000a_ CORPORATE BANKING DEPT-JEDDAH                                        _x000a_Date 11-05-1447(H) Time 16.23.32                                      _x000a_Reference ILC-0840-25-7799                                            _x000a_Value Date 11-05-1447(H)                                              _x000a_Fee Collected By Bank AlJazira                                        _x000a_"/>
    <x v="72"/>
    <s v="ILC-0840-25-7799"/>
    <x v="0"/>
    <n v="1277.1199999999999"/>
    <n v="0"/>
    <x v="0"/>
    <s v="Received"/>
    <s v="Metal and Glass Trading Co"/>
    <x v="3"/>
    <x v="10"/>
    <x v="13"/>
    <n v="11"/>
    <n v="2025"/>
    <m/>
  </r>
  <r>
    <x v="5"/>
    <x v="22"/>
    <x v="9"/>
    <s v="Value Added Tax                                                       _x000a_On ILC Commission                                                     _x000a_15% of SAR1,277.12                                                    _x000a_Through CORPORATE BANKING DEPT-JEDDAH                                 _x000a_Date 11-05-1447(H) Time 16.23.32                                      _x000a_Reference ILC-0840-25-7799                                            _x000a_At Bank Aljazira                                                      _x000a_"/>
    <x v="72"/>
    <s v="ILC-0840-25-7799"/>
    <x v="0"/>
    <n v="191.57"/>
    <n v="0"/>
    <x v="0"/>
    <s v="Received"/>
    <s v="Metal and Glass Trading Co"/>
    <x v="3"/>
    <x v="10"/>
    <x v="13"/>
    <n v="11"/>
    <n v="2025"/>
    <m/>
  </r>
  <r>
    <x v="5"/>
    <x v="22"/>
    <x v="9"/>
    <s v="Dr TI ILC Comm/Other Charges                                          _x000a_AMD002-277344487                                                      _x000a_At Bank Aljazira                                                      _x000a_ CORPORATE BANKING DEPT-JEDDAH                                        _x000a_Date 11-05-1447(H) Time 16.23.32                                      _x000a_Reference ILC-0840-25-7799                                            _x000a_Value Date 11-05-1447(H)                                              _x000a_Fee Collected By Bank AlJazira                                        _x000a_"/>
    <x v="72"/>
    <s v="ILC-0840-25-7799"/>
    <x v="0"/>
    <n v="400"/>
    <n v="0"/>
    <x v="0"/>
    <s v="Received"/>
    <s v="Metal and Glass Trading Co"/>
    <x v="3"/>
    <x v="10"/>
    <x v="13"/>
    <n v="11"/>
    <n v="2025"/>
    <m/>
  </r>
  <r>
    <x v="5"/>
    <x v="22"/>
    <x v="9"/>
    <s v="Value Added Tax                                                       _x000a_On SWIFT charges                                                      _x000a_15% of SAR400.00                                                      _x000a_Through CORPORATE BANKING DEPT-JEDDAH                                 _x000a_Date 11-05-1447(H) Time 16.23.32                                      _x000a_Reference ILC-0840-25-7799                                            _x000a_At Bank Aljazira                                                      _x000a_"/>
    <x v="72"/>
    <s v="ILC-0840-25-7799"/>
    <x v="0"/>
    <n v="60"/>
    <n v="0"/>
    <x v="0"/>
    <s v="Received"/>
    <s v="Metal and Glass Trading Co"/>
    <x v="3"/>
    <x v="10"/>
    <x v="13"/>
    <n v="11"/>
    <n v="2025"/>
    <m/>
  </r>
  <r>
    <x v="5"/>
    <x v="23"/>
    <x v="9"/>
    <s v="TI Bill Settled                                                       _x000a_POC002                                                                _x000a_At Bank AlJazira                                                      _x000a_CORPORATE BANKING DEPT-JEDDAH                                         _x000a_Date 12-05-1447(H) Time 10.24.37                                      _x000a_Reference ILC-0840-25-7737                                            _x000a_"/>
    <x v="169"/>
    <s v="ILC-0840-25-7737"/>
    <x v="0"/>
    <n v="552155.25"/>
    <n v="0"/>
    <x v="0"/>
    <s v="Received"/>
    <s v="EALLA FOR GENERAL CONTRACTING CO "/>
    <x v="3"/>
    <x v="10"/>
    <x v="13"/>
    <n v="11"/>
    <n v="2025"/>
    <m/>
  </r>
  <r>
    <x v="5"/>
    <x v="5"/>
    <x v="9"/>
    <s v="Dr TI LGI Commission (Earned)                                         _x000a_ISS001-273818000                                                      _x000a_At Bank AlJazira                                                      _x000a_CORPORATE BANKING DEPT-JEDDAH                                         _x000a_Date 10-04-1447(H) Time 11.15.48                                      _x000a_Reference LGI-0840-25-6611                                            _x000a_"/>
    <x v="170"/>
    <s v=""/>
    <x v="0"/>
    <n v="9375"/>
    <n v="0"/>
    <x v="0"/>
    <s v="Received"/>
    <s v="Bid - ERTH Al-AWTAN REAL ESTATE DEVELOPMENT COMPANY"/>
    <x v="1"/>
    <x v="2"/>
    <x v="5"/>
    <n v="10"/>
    <n v="2025"/>
    <m/>
  </r>
  <r>
    <x v="5"/>
    <x v="5"/>
    <x v="9"/>
    <s v="Value Added Tax                                                       _x000a_On LGI ISSUANCE COMMISSION                                            _x000a_15% of SAR9,375.00                                                    _x000a_Through CORPORATE BANKING DEPT-JEDDAH                                 _x000a_Date 10-04-1447(H) Time 11.15.48                                      _x000a_Reference LGI-0840-25-6611                                            _x000a_At Bank Aljazira                                                      _x000a_Exchange Rate 1.0                                                     _x000a_"/>
    <x v="170"/>
    <s v=""/>
    <x v="0"/>
    <n v="1406.25"/>
    <n v="0"/>
    <x v="0"/>
    <s v="Received"/>
    <s v="Bid - ERTH Al-AWTAN REAL ESTATE DEVELOPMENT COMPANY"/>
    <x v="1"/>
    <x v="2"/>
    <x v="5"/>
    <n v="10"/>
    <n v="2025"/>
    <m/>
  </r>
  <r>
    <x v="5"/>
    <x v="5"/>
    <x v="9"/>
    <s v="Dr TI LGI Comm/Other Charges                                          _x000a_ISS001-273818002                                                      _x000a_At Bank AlJazira                                                      _x000a_CORPORATE BANKING DEPT-JEDDAH                                         _x000a_Date 10-04-1447(H) Time 11.15.49                                      _x000a_Reference LGI-0840-25-6611                                            _x000a_"/>
    <x v="170"/>
    <s v=""/>
    <x v="0"/>
    <n v="26027.4"/>
    <n v="0"/>
    <x v="0"/>
    <s v="Received"/>
    <s v="Bid - ERTH Al-AWTAN REAL ESTATE DEVELOPMENT COMPANY"/>
    <x v="1"/>
    <x v="2"/>
    <x v="5"/>
    <n v="10"/>
    <n v="2025"/>
    <m/>
  </r>
  <r>
    <x v="5"/>
    <x v="5"/>
    <x v="9"/>
    <s v="Value Added Tax                                                       _x000a_On LG Processing/Facility Fees                                        _x000a_15% of SAR26,027.40                                                   _x000a_Through CORPORATE BANKING DEPT-JEDDAH                                 _x000a_Date 10-04-1447(H) Time 11.15.49                                      _x000a_Reference LGI-0840-25-6611                                            _x000a_At Bank Aljazira                                                      _x000a_Exchange Rate 1.0                                                     _x000a_"/>
    <x v="170"/>
    <s v=""/>
    <x v="0"/>
    <n v="3904.11"/>
    <n v="0"/>
    <x v="0"/>
    <s v="Received"/>
    <s v="Bid - ERTH Al-AWTAN REAL ESTATE DEVELOPMENT COMPANY"/>
    <x v="1"/>
    <x v="2"/>
    <x v="5"/>
    <n v="10"/>
    <n v="2025"/>
    <m/>
  </r>
  <r>
    <x v="5"/>
    <x v="1"/>
    <x v="9"/>
    <s v="Dr TI LGI Commission (Earned)                                         _x000a_ISS001-274512749                                                      _x000a_At Bank AlJazira                                                      _x000a_CORPORATE BANKING DEPT-JEDDAH                                         _x000a_Date 16-04-1447(H) Time 17.32.59                                      _x000a_Reference LGI-0840-25-6682                                            _x000a_"/>
    <x v="171"/>
    <s v=""/>
    <x v="0"/>
    <n v="6718.75"/>
    <n v="0"/>
    <x v="0"/>
    <s v="Received"/>
    <s v="Bid - Diriyah Company"/>
    <x v="0"/>
    <x v="2"/>
    <x v="2"/>
    <n v="10"/>
    <n v="2025"/>
    <m/>
  </r>
  <r>
    <x v="5"/>
    <x v="1"/>
    <x v="9"/>
    <s v="Value Added Tax                                                       _x000a_On LGI ISSUANCE COMMISSION                                            _x000a_15% of SAR6,718.75                                                    _x000a_Through CORPORATE BANKING DEPT-JEDDAH                                 _x000a_Date 16-04-1447(H) Time 17.33.00                                      _x000a_Reference LGI-0840-25-6682                                            _x000a_At Bank Aljazira                                                      _x000a_Exchange Rate 1.0                                                     _x000a_"/>
    <x v="171"/>
    <s v=""/>
    <x v="0"/>
    <n v="1007.81"/>
    <n v="0"/>
    <x v="0"/>
    <s v="Received"/>
    <s v="Bid - Diriyah Company"/>
    <x v="0"/>
    <x v="2"/>
    <x v="2"/>
    <n v="10"/>
    <n v="2025"/>
    <m/>
  </r>
  <r>
    <x v="5"/>
    <x v="1"/>
    <x v="9"/>
    <s v="Dr TI LGI Comm/Other Charges                                          _x000a_ISS001-274512855                                                      _x000a_At Bank AlJazira                                                      _x000a_CORPORATE BANKING DEPT-JEDDAH                                         _x000a_Date 16-04-1447(H) Time 17.33.00                                      _x000a_Reference LGI-0840-25-6682                                            _x000a_"/>
    <x v="171"/>
    <s v=""/>
    <x v="0"/>
    <n v="14808.22"/>
    <n v="0"/>
    <x v="0"/>
    <s v="Received"/>
    <s v="Bid - Diriyah Company"/>
    <x v="0"/>
    <x v="2"/>
    <x v="2"/>
    <n v="10"/>
    <n v="2025"/>
    <m/>
  </r>
  <r>
    <x v="5"/>
    <x v="1"/>
    <x v="9"/>
    <s v="Value Added Tax                                                       _x000a_On LG Processing/Facility Fees                                        _x000a_15% of SAR14,808.22                                                   _x000a_Through CORPORATE BANKING DEPT-JEDDAH                                 _x000a_Date 16-04-1447(H) Time 17.33.01                                      _x000a_Reference LGI-0840-25-6682                                            _x000a_At Bank Aljazira                                                      _x000a_Exchange Rate 1.0                                                     _x000a_"/>
    <x v="171"/>
    <s v=""/>
    <x v="0"/>
    <n v="2221.23"/>
    <n v="0"/>
    <x v="0"/>
    <s v="Received"/>
    <s v="Bid - Diriyah Company"/>
    <x v="0"/>
    <x v="2"/>
    <x v="2"/>
    <n v="10"/>
    <n v="2025"/>
    <m/>
  </r>
  <r>
    <x v="5"/>
    <x v="8"/>
    <x v="9"/>
    <s v="Dr TI LGI Comm/Other Charges                                          _x000a_ISS001-274746884                                                      _x000a_At Bank AlJazira                                                      _x000a_CORPORATE BANKING DEPT-JEDDAH                                         _x000a_Date 20-04-1447(H) Time 16.00.32                                      _x000a_Reference LGI-0840-25-6701                                            _x000a_"/>
    <x v="172"/>
    <s v=""/>
    <x v="0"/>
    <n v="97602.74"/>
    <n v="0"/>
    <x v="0"/>
    <s v="Received"/>
    <s v="Bid - Ministry of Defense"/>
    <x v="1"/>
    <x v="2"/>
    <x v="2"/>
    <n v="10"/>
    <n v="2025"/>
    <m/>
  </r>
  <r>
    <x v="5"/>
    <x v="8"/>
    <x v="9"/>
    <s v="Value Added Tax                                                       _x000a_On LG Processing/Facility Fees                                        _x000a_15% of SAR97,602.74                                                   _x000a_Through CORPORATE BANKING DEPT-JEDDAH                                 _x000a_Date 20-04-1447(H) Time 16.00.32                                      _x000a_Reference LGI-0840-25-6701                                            _x000a_At Bank Aljazira                                                      _x000a_Exchange Rate 1.0                                                     _x000a_"/>
    <x v="172"/>
    <s v=""/>
    <x v="0"/>
    <n v="14640.41"/>
    <n v="0"/>
    <x v="0"/>
    <s v="Received"/>
    <s v="Bid - Ministry of Defense"/>
    <x v="1"/>
    <x v="2"/>
    <x v="2"/>
    <n v="10"/>
    <n v="2025"/>
    <m/>
  </r>
  <r>
    <x v="5"/>
    <x v="24"/>
    <x v="9"/>
    <s v="Dr TI LGI Commission (Earned)                                         _x000a_ISS001-277535120                                                      _x000a_At Bank AlJazira                                                      _x000a_CORPORATE BANKING DEPT-JEDDAH                                         _x000a_Date 13-05-1447(H) Time 13.28.21                                      _x000a_Reference LGI-0840-25-6932                                            _x000a_"/>
    <x v="173"/>
    <s v=""/>
    <x v="0"/>
    <n v="42500"/>
    <n v="0"/>
    <x v="0"/>
    <s v="Received"/>
    <s v="Bid - Automotive Sector Development Investment Company (ASDIC)"/>
    <x v="1"/>
    <x v="2"/>
    <x v="5"/>
    <n v="11"/>
    <n v="2025"/>
    <m/>
  </r>
  <r>
    <x v="5"/>
    <x v="24"/>
    <x v="9"/>
    <s v="Value Added Tax                                                       _x000a_On LGI ISSUANCE COMMISSION                                            _x000a_15% of SAR42,500.00                                                   _x000a_Through CORPORATE BANKING DEPT-JEDDAH                                 _x000a_Date 13-05-1447(H) Time 13.28.22                                      _x000a_Reference LGI-0840-25-6932                                            _x000a_At Bank Aljazira                                                      _x000a_Exchange Rate 1.0                                                     _x000a_"/>
    <x v="173"/>
    <s v=""/>
    <x v="0"/>
    <n v="6375"/>
    <n v="0"/>
    <x v="0"/>
    <s v="Received"/>
    <s v="Bid - Automotive Sector Development Investment Company (ASDIC)"/>
    <x v="1"/>
    <x v="2"/>
    <x v="5"/>
    <n v="11"/>
    <n v="2025"/>
    <m/>
  </r>
  <r>
    <x v="5"/>
    <x v="24"/>
    <x v="9"/>
    <s v="Dr TI LGI Comm/Other Charges                                          _x000a_ISS001-277535122                                                      _x000a_At Bank AlJazira                                                      _x000a_CORPORATE BANKING DEPT-JEDDAH                                         _x000a_Date 13-05-1447(H) Time 13.28.22                                      _x000a_Reference LGI-0840-25-6932                                            _x000a_"/>
    <x v="173"/>
    <s v=""/>
    <x v="0"/>
    <n v="86164.38"/>
    <n v="0"/>
    <x v="0"/>
    <s v="Received"/>
    <s v="Bid - Automotive Sector Development Investment Company (ASDIC)"/>
    <x v="1"/>
    <x v="2"/>
    <x v="5"/>
    <n v="11"/>
    <n v="2025"/>
    <m/>
  </r>
  <r>
    <x v="5"/>
    <x v="24"/>
    <x v="9"/>
    <s v="Value Added Tax                                                       _x000a_On LG Processing/Facility Fees                                        _x000a_15% of SAR86,164.38                                                   _x000a_Through CORPORATE BANKING DEPT-JEDDAH                                 _x000a_Date 13-05-1447(H) Time 13.28.23                                      _x000a_Reference LGI-0840-25-6932                                            _x000a_At Bank Aljazira                                                      _x000a_Exchange Rate 1.0                                                     _x000a_"/>
    <x v="173"/>
    <s v=""/>
    <x v="0"/>
    <n v="12924.66"/>
    <n v="0"/>
    <x v="0"/>
    <s v="Received"/>
    <s v="Bid - Automotive Sector Development Investment Company (ASDIC)"/>
    <x v="1"/>
    <x v="2"/>
    <x v="5"/>
    <n v="11"/>
    <n v="2025"/>
    <m/>
  </r>
  <r>
    <x v="1"/>
    <x v="24"/>
    <x v="3"/>
    <s v="CUSTOMER = 3972500 DEAL AMT = 75 DEAL CCY = SAR TAX CODE = 1 "/>
    <x v="174"/>
    <s v="TF251350001801"/>
    <x v="0"/>
    <n v="11.25"/>
    <n v="0"/>
    <x v="1"/>
    <s v="Received"/>
    <s v="RAWABI AL MAHFAR TRADING CO."/>
    <x v="3"/>
    <x v="5"/>
    <x v="6"/>
    <n v="11"/>
    <n v="2025"/>
    <m/>
  </r>
  <r>
    <x v="1"/>
    <x v="24"/>
    <x v="3"/>
    <s v="LC SWIFT CHARGES FOR LC NO. TF251350001801\BNK"/>
    <x v="174"/>
    <s v="TF251350001801"/>
    <x v="0"/>
    <n v="75"/>
    <n v="0"/>
    <x v="3"/>
    <s v="Received"/>
    <s v="RAWABI AL MAHFAR TRADING CO."/>
    <x v="3"/>
    <x v="5"/>
    <x v="6"/>
    <n v="11"/>
    <n v="2025"/>
    <m/>
  </r>
  <r>
    <x v="1"/>
    <x v="24"/>
    <x v="3"/>
    <s v="REIMBURSE UNDER LCS DR FOR LC NO. TF251350001801\BNK"/>
    <x v="174"/>
    <s v="TF251350001801"/>
    <x v="0"/>
    <n v="292628.83"/>
    <n v="0"/>
    <x v="4"/>
    <s v="Received"/>
    <s v="RAWABI AL MAHFAR TRADING CO."/>
    <x v="3"/>
    <x v="5"/>
    <x v="6"/>
    <n v="11"/>
    <n v="2025"/>
    <m/>
  </r>
  <r>
    <x v="1"/>
    <x v="24"/>
    <x v="3"/>
    <s v="CUSTOMER = 3972500 DEAL AMT = 75 DEAL CCY = SAR TAX CODE = 1 "/>
    <x v="175"/>
    <s v="TF251350003201"/>
    <x v="0"/>
    <n v="11.25"/>
    <n v="0"/>
    <x v="1"/>
    <s v="Received"/>
    <s v="AFAQ AL MALAZ TRADING CO.LTD"/>
    <x v="3"/>
    <x v="5"/>
    <x v="6"/>
    <n v="11"/>
    <n v="2025"/>
    <m/>
  </r>
  <r>
    <x v="1"/>
    <x v="24"/>
    <x v="3"/>
    <s v="LC SWIFT CHARGES FOR LC NO. TF251350003201\BNK"/>
    <x v="175"/>
    <s v="TF251350003201"/>
    <x v="0"/>
    <n v="75"/>
    <n v="0"/>
    <x v="3"/>
    <s v="Received"/>
    <s v="AFAQ AL MALAZ TRADING CO.LTD"/>
    <x v="3"/>
    <x v="5"/>
    <x v="6"/>
    <n v="11"/>
    <n v="2025"/>
    <m/>
  </r>
  <r>
    <x v="1"/>
    <x v="24"/>
    <x v="3"/>
    <s v="REIMBURSE UNDER LCS DR FOR LC NO. TF251350003201\BNK"/>
    <x v="175"/>
    <s v="TF251350003201"/>
    <x v="0"/>
    <n v="202604.9"/>
    <n v="0"/>
    <x v="4"/>
    <s v="Received"/>
    <s v="AFAQ AL MALAZ TRADING CO.LTD"/>
    <x v="3"/>
    <x v="5"/>
    <x v="6"/>
    <n v="11"/>
    <n v="2025"/>
    <m/>
  </r>
  <r>
    <x v="1"/>
    <x v="24"/>
    <x v="3"/>
    <s v="CUSTOMER = 3972500 DEAL AMT = 75 DEAL CCY = SAR TAX CODE = 1 "/>
    <x v="176"/>
    <s v="TF251460006701"/>
    <x v="0"/>
    <n v="11.25"/>
    <n v="0"/>
    <x v="1"/>
    <s v="Received"/>
    <s v="Al Maymanah for Contracting Co. Ltd."/>
    <x v="3"/>
    <x v="5"/>
    <x v="6"/>
    <n v="11"/>
    <n v="2025"/>
    <m/>
  </r>
  <r>
    <x v="1"/>
    <x v="24"/>
    <x v="3"/>
    <s v="LC SWIFT CHARGES FOR LC NO. TF251460006701\BNK"/>
    <x v="176"/>
    <s v="TF251460006701"/>
    <x v="0"/>
    <n v="75"/>
    <n v="0"/>
    <x v="3"/>
    <s v="Received"/>
    <s v="Al Maymanah for Contracting Co. Ltd."/>
    <x v="3"/>
    <x v="5"/>
    <x v="6"/>
    <n v="11"/>
    <n v="2025"/>
    <m/>
  </r>
  <r>
    <x v="1"/>
    <x v="24"/>
    <x v="3"/>
    <s v="REIMBURSE UNDER LCS DR FOR LC NO. TF251460006701\BNK"/>
    <x v="176"/>
    <s v="TF251460006701"/>
    <x v="0"/>
    <n v="286074"/>
    <n v="0"/>
    <x v="4"/>
    <s v="Received"/>
    <s v="Al Maymanah for Contracting Co. Ltd."/>
    <x v="3"/>
    <x v="5"/>
    <x v="6"/>
    <n v="11"/>
    <n v="2025"/>
    <m/>
  </r>
  <r>
    <x v="1"/>
    <x v="24"/>
    <x v="3"/>
    <s v="CUSTOMER = 3972500 DEAL AMT = 75 DEAL CCY = SAR TAX CODE = 1 "/>
    <x v="177"/>
    <s v="TF251470006401"/>
    <x v="0"/>
    <n v="11.25"/>
    <n v="0"/>
    <x v="1"/>
    <s v="Received"/>
    <s v="BR.MUMTAZ &amp; CONSTRUCTION CO.MIRPUR A.K."/>
    <x v="3"/>
    <x v="5"/>
    <x v="6"/>
    <n v="11"/>
    <n v="2025"/>
    <m/>
  </r>
  <r>
    <x v="1"/>
    <x v="24"/>
    <x v="3"/>
    <s v="LC SWIFT CHARGES FOR LC NO. TF251470006401\BNK"/>
    <x v="177"/>
    <s v="TF251470006401"/>
    <x v="0"/>
    <n v="75"/>
    <n v="0"/>
    <x v="3"/>
    <s v="Received"/>
    <s v="BR.MUMTAZ &amp; CONSTRUCTION CO.MIRPUR A.K."/>
    <x v="3"/>
    <x v="5"/>
    <x v="6"/>
    <n v="11"/>
    <n v="2025"/>
    <m/>
  </r>
  <r>
    <x v="1"/>
    <x v="24"/>
    <x v="3"/>
    <s v="REIMBURSE UNDER LCS DR FOR LC NO. TF251470006401\BNK"/>
    <x v="177"/>
    <s v="TF251470006401"/>
    <x v="0"/>
    <n v="250000"/>
    <n v="0"/>
    <x v="4"/>
    <s v="Received"/>
    <s v="BR.MUMTAZ &amp; CONSTRUCTION CO.MIRPUR A.K."/>
    <x v="3"/>
    <x v="5"/>
    <x v="6"/>
    <n v="11"/>
    <n v="2025"/>
    <m/>
  </r>
  <r>
    <x v="1"/>
    <x v="24"/>
    <x v="3"/>
    <s v="CUSTOMER = 3972500 DEAL AMT = 75 DEAL CCY = SAR TAX CODE = 1 "/>
    <x v="178"/>
    <s v="TF251740006201"/>
    <x v="0"/>
    <n v="11.25"/>
    <n v="0"/>
    <x v="1"/>
    <s v="Received"/>
    <s v="Electric House Trading Company L.L.C."/>
    <x v="3"/>
    <x v="6"/>
    <x v="7"/>
    <n v="11"/>
    <n v="2025"/>
    <m/>
  </r>
  <r>
    <x v="1"/>
    <x v="24"/>
    <x v="3"/>
    <s v="LC SWIFT CHARGES FOR LC NO. TF251740006201\BNK"/>
    <x v="178"/>
    <s v="TF251740006201"/>
    <x v="0"/>
    <n v="75"/>
    <n v="0"/>
    <x v="3"/>
    <s v="Received"/>
    <s v="Electric House Trading Company L.L.C."/>
    <x v="3"/>
    <x v="6"/>
    <x v="7"/>
    <n v="11"/>
    <n v="2025"/>
    <m/>
  </r>
  <r>
    <x v="1"/>
    <x v="24"/>
    <x v="3"/>
    <s v="REIMBURSE UNDER LCS DR FOR LC NO. TF251740006201\BNK"/>
    <x v="178"/>
    <s v="TF251740006201"/>
    <x v="0"/>
    <n v="900000"/>
    <n v="0"/>
    <x v="4"/>
    <s v="Received"/>
    <s v="Electric House Trading Company L.L.C."/>
    <x v="3"/>
    <x v="6"/>
    <x v="7"/>
    <n v="11"/>
    <n v="2025"/>
    <m/>
  </r>
  <r>
    <x v="2"/>
    <x v="24"/>
    <x v="12"/>
    <s v="CITY:Jeddah 6132225J210096015 955403.55 SAR"/>
    <x v="128"/>
    <s v="J210096015"/>
    <x v="2"/>
    <n v="254774.28"/>
    <n v="0"/>
    <x v="4"/>
    <s v="Received"/>
    <s v="HOLCIM SOLUTIONS AND PRODUCTS EMEA BV"/>
    <x v="6"/>
    <x v="8"/>
    <x v="9"/>
    <n v="11"/>
    <n v="2025"/>
    <m/>
  </r>
  <r>
    <x v="2"/>
    <x v="24"/>
    <x v="12"/>
    <s v="CITY:Jeddah 6132225J210096014 330693.49 SAR"/>
    <x v="128"/>
    <s v="J210096014"/>
    <x v="2"/>
    <n v="88184.93"/>
    <n v="0"/>
    <x v="4"/>
    <s v="Received"/>
    <s v="HOLCIM SOLUTIONS AND PRODUCTS EMEA BV"/>
    <x v="6"/>
    <x v="8"/>
    <x v="9"/>
    <n v="11"/>
    <n v="2025"/>
    <m/>
  </r>
  <r>
    <x v="3"/>
    <x v="24"/>
    <x v="5"/>
    <s v="IMP BILL COMM DPBCOR625317WPM DCBWPM563046"/>
    <x v="179"/>
    <s v="DPBCOR625317WPM"/>
    <x v="0"/>
    <n v="1878.34"/>
    <n v="0"/>
    <x v="0"/>
    <s v="Received"/>
    <s v="Al-Sayed Center A/C &amp; Refrigeration Materials Company"/>
    <x v="3"/>
    <x v="8"/>
    <x v="9"/>
    <n v="11"/>
    <n v="2025"/>
    <m/>
  </r>
  <r>
    <x v="3"/>
    <x v="24"/>
    <x v="5"/>
    <s v="IMP BILL AMEND. CHARGES DPBCOR625089WPM DCBWPM565536"/>
    <x v="61"/>
    <s v="DPBCOR625089WPM"/>
    <x v="0"/>
    <n v="704.38"/>
    <n v="0"/>
    <x v="0"/>
    <s v="Received"/>
    <s v="Company Alabwab Aldulaya For Contracting"/>
    <x v="5"/>
    <x v="8"/>
    <x v="9"/>
    <n v="11"/>
    <n v="2025"/>
    <m/>
  </r>
  <r>
    <x v="3"/>
    <x v="24"/>
    <x v="6"/>
    <s v="IMP BILL COMM DPBCOR625351WPM DCBWPM564579"/>
    <x v="180"/>
    <s v="DPBCOR625351WPM"/>
    <x v="0"/>
    <n v="1276.4000000000001"/>
    <n v="0"/>
    <x v="0"/>
    <s v="Received"/>
    <s v="Depth Modern Technologies"/>
    <x v="4"/>
    <x v="1"/>
    <x v="11"/>
    <n v="11"/>
    <n v="2025"/>
    <m/>
  </r>
  <r>
    <x v="3"/>
    <x v="24"/>
    <x v="6"/>
    <s v="IMP BILL COMM DPBEPM625354WPM DCBWPM565818"/>
    <x v="151"/>
    <s v="DPBEPM625354WPM"/>
    <x v="0"/>
    <n v="7042.83"/>
    <n v="0"/>
    <x v="0"/>
    <s v="Received"/>
    <s v="ELSEWEDY CABLES COMPANY LTD."/>
    <x v="3"/>
    <x v="9"/>
    <x v="10"/>
    <n v="11"/>
    <n v="2025"/>
    <m/>
  </r>
  <r>
    <x v="0"/>
    <x v="25"/>
    <x v="0"/>
    <s v="RB REF JLG6904264,VIA CORE SYSTEM,DATE-TIME 05/11-12:15:12, عن طريق النظام الآ لي ,VALUE DT 05/11/25"/>
    <x v="181"/>
    <s v=""/>
    <x v="0"/>
    <n v="2203.4"/>
    <n v="0"/>
    <x v="0"/>
    <s v="Received"/>
    <s v="Bid - Madinah Region Development Authority"/>
    <x v="2"/>
    <x v="2"/>
    <x v="2"/>
    <n v="11"/>
    <n v="2025"/>
    <m/>
  </r>
  <r>
    <x v="0"/>
    <x v="25"/>
    <x v="0"/>
    <s v="RB REF JLG6904263,VIA CORE SYSTEM,DATE-TIME 05/11-12:08:57, عن طريق النظام الآ لي ,VALUE DT 05/11/25"/>
    <x v="182"/>
    <s v=""/>
    <x v="0"/>
    <n v="1829.65"/>
    <n v="0"/>
    <x v="0"/>
    <s v="Received"/>
    <s v="Bid - Madinah Region Development Authority"/>
    <x v="2"/>
    <x v="2"/>
    <x v="2"/>
    <n v="11"/>
    <n v="2025"/>
    <m/>
  </r>
  <r>
    <x v="2"/>
    <x v="25"/>
    <x v="4"/>
    <s v="CITY:Jeddah 6132225J210104001"/>
    <x v="136"/>
    <s v="J210104001"/>
    <x v="0"/>
    <n v="3905.43"/>
    <n v="0"/>
    <x v="2"/>
    <s v="Received"/>
    <s v="BBH-CHEMTROL INTERNATIONAL ORGANIZATION S.L"/>
    <x v="4"/>
    <x v="11"/>
    <x v="17"/>
    <n v="11"/>
    <n v="2025"/>
    <m/>
  </r>
  <r>
    <x v="2"/>
    <x v="25"/>
    <x v="4"/>
    <s v="CITY:Jeddah 6132225J210617002"/>
    <x v="42"/>
    <s v="J210617002"/>
    <x v="0"/>
    <n v="180785.5"/>
    <n v="0"/>
    <x v="4"/>
    <s v="Received"/>
    <s v="Al Arabia Construction &amp; Building Co."/>
    <x v="0"/>
    <x v="7"/>
    <x v="8"/>
    <n v="11"/>
    <n v="2025"/>
    <m/>
  </r>
  <r>
    <x v="5"/>
    <x v="25"/>
    <x v="9"/>
    <s v="TI Bill Settled                                                       _x000a_POC005                                                                _x000a_At Bank AlJazira                                                      _x000a_CORPORATE BANKING DEPT-JEDDAH                                         _x000a_Date 14-05-1447(H) Time 09.26.48                                      _x000a_Reference ILC-0840-25-8159                                            _x000a_"/>
    <x v="84"/>
    <s v="ILC-0840-25-8159"/>
    <x v="0"/>
    <n v="403652.3"/>
    <n v="0"/>
    <x v="0"/>
    <s v="Received"/>
    <s v="AL FALWA CO. LTD. FOR READYMIX CONCRETE"/>
    <x v="0"/>
    <x v="10"/>
    <x v="13"/>
    <n v="11"/>
    <n v="2025"/>
    <m/>
  </r>
  <r>
    <x v="1"/>
    <x v="26"/>
    <x v="3"/>
    <s v="CUSTOMER = 3972500 DEAL AMT = 75 DEAL CCY = SAR TAX CODE = 1 "/>
    <x v="29"/>
    <s v="TF251040001703"/>
    <x v="0"/>
    <n v="11.25"/>
    <n v="0"/>
    <x v="1"/>
    <s v="Received"/>
    <s v="Awtad Jeddah for General Contracting Company"/>
    <x v="0"/>
    <x v="7"/>
    <x v="8"/>
    <n v="11"/>
    <n v="2025"/>
    <m/>
  </r>
  <r>
    <x v="1"/>
    <x v="26"/>
    <x v="3"/>
    <s v="LC SWIFT CHARGES FOR LC NO. TF251040001703\BNK"/>
    <x v="29"/>
    <s v="TF251040001703"/>
    <x v="0"/>
    <n v="75"/>
    <n v="0"/>
    <x v="3"/>
    <s v="Received"/>
    <s v="Awtad Jeddah for General Contracting Company"/>
    <x v="0"/>
    <x v="7"/>
    <x v="8"/>
    <n v="11"/>
    <n v="2025"/>
    <m/>
  </r>
  <r>
    <x v="1"/>
    <x v="26"/>
    <x v="3"/>
    <s v="REIMBURSE UNDER LCS DR FOR LC NO. TF251040001703\BNK"/>
    <x v="29"/>
    <s v="TF251040001703"/>
    <x v="0"/>
    <n v="295500"/>
    <n v="0"/>
    <x v="4"/>
    <s v="Received"/>
    <s v="Awtad Jeddah for General Contracting Company"/>
    <x v="0"/>
    <x v="7"/>
    <x v="8"/>
    <n v="11"/>
    <n v="2025"/>
    <m/>
  </r>
  <r>
    <x v="1"/>
    <x v="26"/>
    <x v="3"/>
    <s v="CUSTOMER = 3972500 DEAL AMT = 75 DEAL CCY = SAR TAX CODE = 1 "/>
    <x v="29"/>
    <s v="TF251040001704"/>
    <x v="0"/>
    <n v="11.25"/>
    <n v="0"/>
    <x v="1"/>
    <s v="Received"/>
    <s v="Awtad Jeddah for General Contracting Company"/>
    <x v="0"/>
    <x v="7"/>
    <x v="8"/>
    <n v="11"/>
    <n v="2025"/>
    <m/>
  </r>
  <r>
    <x v="1"/>
    <x v="26"/>
    <x v="3"/>
    <s v="LC SWIFT CHARGES FOR LC NO. TF251040001704\BNK"/>
    <x v="29"/>
    <s v="TF251040001704"/>
    <x v="0"/>
    <n v="75"/>
    <n v="0"/>
    <x v="3"/>
    <s v="Received"/>
    <s v="Awtad Jeddah for General Contracting Company"/>
    <x v="0"/>
    <x v="7"/>
    <x v="8"/>
    <n v="11"/>
    <n v="2025"/>
    <m/>
  </r>
  <r>
    <x v="1"/>
    <x v="26"/>
    <x v="3"/>
    <s v="REIMBURSE UNDER LCS DR FOR LC NO. TF251040001704\BNK"/>
    <x v="29"/>
    <s v="TF251040001704"/>
    <x v="0"/>
    <n v="507064.21"/>
    <n v="0"/>
    <x v="4"/>
    <s v="Received"/>
    <s v="Awtad Jeddah for General Contracting Company"/>
    <x v="0"/>
    <x v="7"/>
    <x v="8"/>
    <n v="11"/>
    <n v="2025"/>
    <m/>
  </r>
  <r>
    <x v="1"/>
    <x v="26"/>
    <x v="3"/>
    <s v="CUSTOMER = 3972500 DEAL AMT = 500.00 DEAL CCY = SAR TAX CODE = 1 "/>
    <x v="27"/>
    <s v="TF2514700033"/>
    <x v="0"/>
    <n v="37.5"/>
    <n v="0"/>
    <x v="1"/>
    <s v="Received"/>
    <s v="GAS SOLUTIONS"/>
    <x v="3"/>
    <x v="5"/>
    <x v="6"/>
    <n v="11"/>
    <n v="2025"/>
    <m/>
  </r>
  <r>
    <x v="1"/>
    <x v="26"/>
    <x v="3"/>
    <s v="CUSTOMER = 3972500 DEAL AMT = 500.00 DEAL CCY = SAR TAX CODE = 1 "/>
    <x v="27"/>
    <s v="TF2514700033"/>
    <x v="0"/>
    <n v="75"/>
    <n v="0"/>
    <x v="1"/>
    <s v="Received"/>
    <s v="GAS SOLUTIONS"/>
    <x v="3"/>
    <x v="5"/>
    <x v="6"/>
    <n v="11"/>
    <n v="2025"/>
    <m/>
  </r>
  <r>
    <x v="1"/>
    <x v="26"/>
    <x v="3"/>
    <s v="LC SWIFT CHARGES FOR LC NO. TF2514700033\BNK"/>
    <x v="27"/>
    <s v="TF2514700033"/>
    <x v="0"/>
    <n v="250"/>
    <n v="0"/>
    <x v="3"/>
    <s v="Received"/>
    <s v="GAS SOLUTIONS"/>
    <x v="3"/>
    <x v="5"/>
    <x v="6"/>
    <n v="11"/>
    <n v="2025"/>
    <m/>
  </r>
  <r>
    <x v="1"/>
    <x v="26"/>
    <x v="3"/>
    <s v="LC AMENDMENT COMMISSION FOR LC NO. TF2514700033\BNK"/>
    <x v="27"/>
    <s v="TF2514700033"/>
    <x v="0"/>
    <n v="500"/>
    <n v="0"/>
    <x v="5"/>
    <s v="Received"/>
    <s v="GAS SOLUTIONS"/>
    <x v="3"/>
    <x v="5"/>
    <x v="6"/>
    <n v="11"/>
    <n v="2025"/>
    <m/>
  </r>
  <r>
    <x v="1"/>
    <x v="26"/>
    <x v="3"/>
    <s v="CUSTOMER = 3972500 DEAL AMT = 500.00 DEAL CCY = SAR TAX CODE = 1 "/>
    <x v="183"/>
    <s v="TF2514700037"/>
    <x v="0"/>
    <n v="37.5"/>
    <n v="0"/>
    <x v="1"/>
    <s v="Received"/>
    <s v="NAJM AL FALAK TRADING CO."/>
    <x v="3"/>
    <x v="5"/>
    <x v="6"/>
    <n v="11"/>
    <n v="2025"/>
    <m/>
  </r>
  <r>
    <x v="1"/>
    <x v="26"/>
    <x v="3"/>
    <s v="CUSTOMER = 3972500 DEAL AMT = 500.00 DEAL CCY = SAR TAX CODE = 1 "/>
    <x v="183"/>
    <s v="TF2514700037"/>
    <x v="0"/>
    <n v="75"/>
    <n v="0"/>
    <x v="1"/>
    <s v="Received"/>
    <s v="NAJM AL FALAK TRADING CO."/>
    <x v="3"/>
    <x v="5"/>
    <x v="6"/>
    <n v="11"/>
    <n v="2025"/>
    <m/>
  </r>
  <r>
    <x v="1"/>
    <x v="26"/>
    <x v="3"/>
    <s v="LC SWIFT CHARGES FOR LC NO. TF2514700037\BNK"/>
    <x v="183"/>
    <s v="TF2514700037"/>
    <x v="0"/>
    <n v="250"/>
    <n v="0"/>
    <x v="3"/>
    <s v="Received"/>
    <s v="NAJM AL FALAK TRADING CO."/>
    <x v="3"/>
    <x v="5"/>
    <x v="6"/>
    <n v="11"/>
    <n v="2025"/>
    <m/>
  </r>
  <r>
    <x v="1"/>
    <x v="26"/>
    <x v="3"/>
    <s v="LC AMENDMENT COMMISSION FOR LC NO. TF2514700037\BNK"/>
    <x v="183"/>
    <s v="TF2514700037"/>
    <x v="0"/>
    <n v="500"/>
    <n v="0"/>
    <x v="5"/>
    <s v="Received"/>
    <s v="NAJM AL FALAK TRADING CO."/>
    <x v="3"/>
    <x v="5"/>
    <x v="6"/>
    <n v="11"/>
    <n v="2025"/>
    <m/>
  </r>
  <r>
    <x v="1"/>
    <x v="26"/>
    <x v="3"/>
    <s v="CUSTOMER = 3972500 DEAL AMT = 500.00 DEAL CCY = SAR TAX CODE = 1 "/>
    <x v="184"/>
    <s v="TF2514700051"/>
    <x v="0"/>
    <n v="37.5"/>
    <n v="0"/>
    <x v="1"/>
    <s v="Received"/>
    <s v="MAWARID AISHAMELA TRADING CO."/>
    <x v="3"/>
    <x v="5"/>
    <x v="6"/>
    <n v="11"/>
    <n v="2025"/>
    <m/>
  </r>
  <r>
    <x v="1"/>
    <x v="26"/>
    <x v="3"/>
    <s v="CUSTOMER = 3972500 DEAL AMT = 500.00 DEAL CCY = SAR TAX CODE = 1 "/>
    <x v="184"/>
    <s v="TF2514700051"/>
    <x v="0"/>
    <n v="75"/>
    <n v="0"/>
    <x v="1"/>
    <s v="Received"/>
    <s v="MAWARID AISHAMELA TRADING CO."/>
    <x v="3"/>
    <x v="5"/>
    <x v="6"/>
    <n v="11"/>
    <n v="2025"/>
    <m/>
  </r>
  <r>
    <x v="1"/>
    <x v="26"/>
    <x v="3"/>
    <s v="LC SWIFT CHARGES FOR LC NO. TF2514700051\BNK"/>
    <x v="184"/>
    <s v="TF2514700051"/>
    <x v="0"/>
    <n v="250"/>
    <n v="0"/>
    <x v="3"/>
    <s v="Received"/>
    <s v="MAWARID AISHAMELA TRADING CO."/>
    <x v="3"/>
    <x v="5"/>
    <x v="6"/>
    <n v="11"/>
    <n v="2025"/>
    <m/>
  </r>
  <r>
    <x v="1"/>
    <x v="26"/>
    <x v="3"/>
    <s v="LC AMENDMENT COMMISSION FOR LC NO. TF2514700051\BNK"/>
    <x v="184"/>
    <s v="TF2514700051"/>
    <x v="0"/>
    <n v="500"/>
    <n v="0"/>
    <x v="5"/>
    <s v="Received"/>
    <s v="MAWARID AISHAMELA TRADING CO."/>
    <x v="3"/>
    <x v="5"/>
    <x v="6"/>
    <n v="11"/>
    <n v="2025"/>
    <m/>
  </r>
  <r>
    <x v="1"/>
    <x v="26"/>
    <x v="3"/>
    <s v="CUSTOMER = 3972500 DEAL AMT = 500.00 DEAL CCY = SAR TAX CODE = 1 "/>
    <x v="185"/>
    <s v="TF2517400019"/>
    <x v="0"/>
    <n v="37.5"/>
    <n v="0"/>
    <x v="1"/>
    <s v="Received"/>
    <s v="AFAQ AL MALAZ TRADING CO. LTD"/>
    <x v="3"/>
    <x v="6"/>
    <x v="7"/>
    <n v="11"/>
    <n v="2025"/>
    <m/>
  </r>
  <r>
    <x v="1"/>
    <x v="26"/>
    <x v="3"/>
    <s v="CUSTOMER = 3972500 DEAL AMT = 500.00 DEAL CCY = SAR TAX CODE = 1 "/>
    <x v="185"/>
    <s v="TF2517400019"/>
    <x v="0"/>
    <n v="75"/>
    <n v="0"/>
    <x v="1"/>
    <s v="Received"/>
    <s v="AFAQ AL MALAZ TRADING CO. LTD"/>
    <x v="3"/>
    <x v="6"/>
    <x v="7"/>
    <n v="11"/>
    <n v="2025"/>
    <m/>
  </r>
  <r>
    <x v="1"/>
    <x v="26"/>
    <x v="3"/>
    <s v="LC SWIFT CHARGES FOR LC NO. TF2517400019\BNK"/>
    <x v="185"/>
    <s v="TF2517400019"/>
    <x v="0"/>
    <n v="250"/>
    <n v="0"/>
    <x v="3"/>
    <s v="Received"/>
    <s v="AFAQ AL MALAZ TRADING CO. LTD"/>
    <x v="3"/>
    <x v="6"/>
    <x v="7"/>
    <n v="11"/>
    <n v="2025"/>
    <m/>
  </r>
  <r>
    <x v="1"/>
    <x v="26"/>
    <x v="3"/>
    <s v="LC AMENDMENT COMMISSION FOR LC NO. TF2517400019\BNK"/>
    <x v="185"/>
    <s v="TF2517400019"/>
    <x v="0"/>
    <n v="500"/>
    <n v="0"/>
    <x v="5"/>
    <s v="Received"/>
    <s v="AFAQ AL MALAZ TRADING CO. LTD"/>
    <x v="3"/>
    <x v="6"/>
    <x v="7"/>
    <n v="11"/>
    <n v="2025"/>
    <m/>
  </r>
  <r>
    <x v="1"/>
    <x v="26"/>
    <x v="3"/>
    <s v="CUSTOMER = 3972500 DEAL AMT = 500.00 DEAL CCY = SAR TAX CODE = 1 "/>
    <x v="31"/>
    <s v="TF2517400045"/>
    <x v="0"/>
    <n v="37.5"/>
    <n v="0"/>
    <x v="1"/>
    <s v="Received"/>
    <s v="Almansha Almubasher Trading Company"/>
    <x v="3"/>
    <x v="6"/>
    <x v="7"/>
    <n v="11"/>
    <n v="2025"/>
    <m/>
  </r>
  <r>
    <x v="1"/>
    <x v="26"/>
    <x v="3"/>
    <s v="CUSTOMER = 3972500 DEAL AMT = 500.00 DEAL CCY = SAR TAX CODE = 1 "/>
    <x v="31"/>
    <s v="TF2517400045"/>
    <x v="0"/>
    <n v="75"/>
    <n v="0"/>
    <x v="1"/>
    <s v="Received"/>
    <s v="Almansha Almubasher Trading Company"/>
    <x v="3"/>
    <x v="6"/>
    <x v="7"/>
    <n v="11"/>
    <n v="2025"/>
    <m/>
  </r>
  <r>
    <x v="1"/>
    <x v="26"/>
    <x v="3"/>
    <s v="LC SWIFT CHARGES FOR LC NO. TF2517400045\BNK"/>
    <x v="31"/>
    <s v="TF2517400045"/>
    <x v="0"/>
    <n v="250"/>
    <n v="0"/>
    <x v="3"/>
    <s v="Received"/>
    <s v="Almansha Almubasher Trading Company"/>
    <x v="3"/>
    <x v="6"/>
    <x v="7"/>
    <n v="11"/>
    <n v="2025"/>
    <m/>
  </r>
  <r>
    <x v="1"/>
    <x v="26"/>
    <x v="3"/>
    <s v="LC AMENDMENT COMMISSION FOR LC NO. TF2517400045\BNK"/>
    <x v="31"/>
    <s v="TF2517400045"/>
    <x v="0"/>
    <n v="500"/>
    <n v="0"/>
    <x v="5"/>
    <s v="Received"/>
    <s v="Almansha Almubasher Trading Company"/>
    <x v="3"/>
    <x v="6"/>
    <x v="7"/>
    <n v="11"/>
    <n v="2025"/>
    <m/>
  </r>
  <r>
    <x v="1"/>
    <x v="26"/>
    <x v="3"/>
    <s v="CUSTOMER = 3972500 DEAL AMT = 1152.63 DEAL CCY = SAR TAX CODE = 1 "/>
    <x v="186"/>
    <s v="TF2517400098"/>
    <x v="0"/>
    <n v="37.5"/>
    <n v="0"/>
    <x v="1"/>
    <s v="Received"/>
    <s v="SKM AIR CONDITIONING CO"/>
    <x v="3"/>
    <x v="6"/>
    <x v="7"/>
    <n v="11"/>
    <n v="2025"/>
    <m/>
  </r>
  <r>
    <x v="1"/>
    <x v="26"/>
    <x v="3"/>
    <s v="CUSTOMER = 3972500 DEAL AMT = 1152.63 DEAL CCY = SAR TAX CODE = 1 "/>
    <x v="186"/>
    <s v="TF2517400098"/>
    <x v="0"/>
    <n v="172.89"/>
    <n v="0"/>
    <x v="1"/>
    <s v="Received"/>
    <s v="SKM AIR CONDITIONING CO"/>
    <x v="3"/>
    <x v="6"/>
    <x v="7"/>
    <n v="11"/>
    <n v="2025"/>
    <m/>
  </r>
  <r>
    <x v="1"/>
    <x v="26"/>
    <x v="3"/>
    <s v="LC SWIFT CHARGES FOR LC NO. TF2517400098\BNK"/>
    <x v="186"/>
    <s v="TF2517400098"/>
    <x v="0"/>
    <n v="250"/>
    <n v="0"/>
    <x v="3"/>
    <s v="Received"/>
    <s v="SKM AIR CONDITIONING CO"/>
    <x v="3"/>
    <x v="6"/>
    <x v="7"/>
    <n v="11"/>
    <n v="2025"/>
    <m/>
  </r>
  <r>
    <x v="1"/>
    <x v="26"/>
    <x v="3"/>
    <s v="LC AMENDMENT COMMISSION FOR LC NO. TF2517400098\BNK"/>
    <x v="186"/>
    <s v="TF2517400098"/>
    <x v="0"/>
    <n v="1152.6300000000001"/>
    <n v="0"/>
    <x v="5"/>
    <s v="Received"/>
    <s v="SKM AIR CONDITIONING CO"/>
    <x v="3"/>
    <x v="6"/>
    <x v="7"/>
    <n v="11"/>
    <n v="2025"/>
    <m/>
  </r>
  <r>
    <x v="1"/>
    <x v="26"/>
    <x v="3"/>
    <s v="CUSTOMER = 3972500 DEAL AMT = 500.00 DEAL CCY = SAR TAX CODE = 1 "/>
    <x v="187"/>
    <s v="TF2517700028"/>
    <x v="0"/>
    <n v="37.5"/>
    <n v="0"/>
    <x v="1"/>
    <s v="Received"/>
    <s v="MAHAWAR AL JAZEERA CONTRACTING CO."/>
    <x v="3"/>
    <x v="6"/>
    <x v="7"/>
    <n v="11"/>
    <n v="2025"/>
    <m/>
  </r>
  <r>
    <x v="1"/>
    <x v="26"/>
    <x v="3"/>
    <s v="CUSTOMER = 3972500 DEAL AMT = 500.00 DEAL CCY = SAR TAX CODE = 1 "/>
    <x v="187"/>
    <s v="TF2517700028"/>
    <x v="0"/>
    <n v="75"/>
    <n v="0"/>
    <x v="1"/>
    <s v="Received"/>
    <s v="MAHAWAR AL JAZEERA CONTRACTING CO."/>
    <x v="3"/>
    <x v="6"/>
    <x v="7"/>
    <n v="11"/>
    <n v="2025"/>
    <m/>
  </r>
  <r>
    <x v="1"/>
    <x v="26"/>
    <x v="3"/>
    <s v="LC SWIFT CHARGES FOR LC NO. TF2517700028\BNK"/>
    <x v="187"/>
    <s v="TF2517700028"/>
    <x v="0"/>
    <n v="250"/>
    <n v="0"/>
    <x v="3"/>
    <s v="Received"/>
    <s v="MAHAWAR AL JAZEERA CONTRACTING CO."/>
    <x v="3"/>
    <x v="6"/>
    <x v="7"/>
    <n v="11"/>
    <n v="2025"/>
    <m/>
  </r>
  <r>
    <x v="1"/>
    <x v="26"/>
    <x v="3"/>
    <s v="LC AMENDMENT COMMISSION FOR LC NO. TF2517700028\BNK"/>
    <x v="187"/>
    <s v="TF2517700028"/>
    <x v="0"/>
    <n v="500"/>
    <n v="0"/>
    <x v="5"/>
    <s v="Received"/>
    <s v="MAHAWAR AL JAZEERA CONTRACTING CO."/>
    <x v="3"/>
    <x v="6"/>
    <x v="7"/>
    <n v="11"/>
    <n v="2025"/>
    <m/>
  </r>
  <r>
    <x v="1"/>
    <x v="26"/>
    <x v="3"/>
    <s v="CUSTOMER = 3972500 DEAL AMT = 500.00 DEAL CCY = SAR TAX CODE = 1 "/>
    <x v="188"/>
    <s v="TF2517700087"/>
    <x v="0"/>
    <n v="37.5"/>
    <n v="0"/>
    <x v="1"/>
    <s v="Received"/>
    <s v="STAR SQUARES CO LTD"/>
    <x v="3"/>
    <x v="6"/>
    <x v="7"/>
    <n v="11"/>
    <n v="2025"/>
    <m/>
  </r>
  <r>
    <x v="1"/>
    <x v="26"/>
    <x v="3"/>
    <s v="CUSTOMER = 3972500 DEAL AMT = 500.00 DEAL CCY = SAR TAX CODE = 1 "/>
    <x v="188"/>
    <s v="TF2517700087"/>
    <x v="0"/>
    <n v="75"/>
    <n v="0"/>
    <x v="1"/>
    <s v="Received"/>
    <s v="STAR SQUARES CO LTD"/>
    <x v="3"/>
    <x v="6"/>
    <x v="7"/>
    <n v="11"/>
    <n v="2025"/>
    <m/>
  </r>
  <r>
    <x v="1"/>
    <x v="26"/>
    <x v="3"/>
    <s v="LC SWIFT CHARGES FOR LC NO. TF2517700087\BNK"/>
    <x v="188"/>
    <s v="TF2517700087"/>
    <x v="0"/>
    <n v="250"/>
    <n v="0"/>
    <x v="3"/>
    <s v="Received"/>
    <s v="STAR SQUARES CO LTD"/>
    <x v="3"/>
    <x v="6"/>
    <x v="7"/>
    <n v="11"/>
    <n v="2025"/>
    <m/>
  </r>
  <r>
    <x v="1"/>
    <x v="26"/>
    <x v="3"/>
    <s v="LC AMENDMENT COMMISSION FOR LC NO. TF2517700087\BNK"/>
    <x v="188"/>
    <s v="TF2517700087"/>
    <x v="0"/>
    <n v="500"/>
    <n v="0"/>
    <x v="5"/>
    <s v="Received"/>
    <s v="STAR SQUARES CO LTD"/>
    <x v="3"/>
    <x v="6"/>
    <x v="7"/>
    <n v="11"/>
    <n v="2025"/>
    <m/>
  </r>
  <r>
    <x v="1"/>
    <x v="26"/>
    <x v="3"/>
    <s v="CUSTOMER = 3972500 DEAL AMT = 500.00 DEAL CCY = SAR TAX CODE = 1 "/>
    <x v="189"/>
    <s v="TF2521100048"/>
    <x v="0"/>
    <n v="37.5"/>
    <n v="0"/>
    <x v="1"/>
    <s v="Received"/>
    <s v="AL-HADBANIA TRADING CO."/>
    <x v="3"/>
    <x v="5"/>
    <x v="6"/>
    <n v="11"/>
    <n v="2025"/>
    <m/>
  </r>
  <r>
    <x v="1"/>
    <x v="26"/>
    <x v="3"/>
    <s v="CUSTOMER = 3972500 DEAL AMT = 500.00 DEAL CCY = SAR TAX CODE = 1 "/>
    <x v="189"/>
    <s v="TF2521100048"/>
    <x v="0"/>
    <n v="75"/>
    <n v="0"/>
    <x v="1"/>
    <s v="Received"/>
    <s v="AL-HADBANIA TRADING CO."/>
    <x v="3"/>
    <x v="5"/>
    <x v="6"/>
    <n v="11"/>
    <n v="2025"/>
    <m/>
  </r>
  <r>
    <x v="1"/>
    <x v="26"/>
    <x v="3"/>
    <s v="LC SWIFT CHARGES FOR LC NO. TF2521100048\BNK"/>
    <x v="189"/>
    <s v="TF2521100048"/>
    <x v="0"/>
    <n v="250"/>
    <n v="0"/>
    <x v="3"/>
    <s v="Received"/>
    <s v="AL-HADBANIA TRADING CO."/>
    <x v="3"/>
    <x v="5"/>
    <x v="6"/>
    <n v="11"/>
    <n v="2025"/>
    <m/>
  </r>
  <r>
    <x v="1"/>
    <x v="26"/>
    <x v="3"/>
    <s v="LC AMENDMENT COMMISSION FOR LC NO. TF2521100048\BNK"/>
    <x v="189"/>
    <s v="TF2521100048"/>
    <x v="0"/>
    <n v="500"/>
    <n v="0"/>
    <x v="5"/>
    <s v="Received"/>
    <s v="AL-HADBANIA TRADING CO."/>
    <x v="3"/>
    <x v="5"/>
    <x v="6"/>
    <n v="11"/>
    <n v="2025"/>
    <m/>
  </r>
  <r>
    <x v="1"/>
    <x v="26"/>
    <x v="3"/>
    <s v="CUSTOMER = 3972500 DEAL AMT = 625.00 DEAL CCY = SAR TAX CODE = 1 "/>
    <x v="190"/>
    <s v="TF2521100101"/>
    <x v="0"/>
    <n v="37.5"/>
    <n v="0"/>
    <x v="1"/>
    <s v="Received"/>
    <s v="ALFANAR ELECTRICAL SYSTEMS"/>
    <x v="3"/>
    <x v="5"/>
    <x v="6"/>
    <n v="11"/>
    <n v="2025"/>
    <m/>
  </r>
  <r>
    <x v="1"/>
    <x v="26"/>
    <x v="3"/>
    <s v="CUSTOMER = 3972500 DEAL AMT = 625.00 DEAL CCY = SAR TAX CODE = 1 "/>
    <x v="190"/>
    <s v="TF2521100101"/>
    <x v="0"/>
    <n v="93.75"/>
    <n v="0"/>
    <x v="1"/>
    <s v="Received"/>
    <s v="ALFANAR ELECTRICAL SYSTEMS"/>
    <x v="3"/>
    <x v="5"/>
    <x v="6"/>
    <n v="11"/>
    <n v="2025"/>
    <m/>
  </r>
  <r>
    <x v="1"/>
    <x v="26"/>
    <x v="3"/>
    <s v="LC SWIFT CHARGES FOR LC NO. TF2521100101\BNK"/>
    <x v="190"/>
    <s v="TF2521100101"/>
    <x v="0"/>
    <n v="250"/>
    <n v="0"/>
    <x v="3"/>
    <s v="Received"/>
    <s v="ALFANAR ELECTRICAL SYSTEMS"/>
    <x v="3"/>
    <x v="5"/>
    <x v="6"/>
    <n v="11"/>
    <n v="2025"/>
    <m/>
  </r>
  <r>
    <x v="1"/>
    <x v="26"/>
    <x v="3"/>
    <s v="LC AMENDMENT COMMISSION FOR LC NO. TF2521100101\BNK"/>
    <x v="190"/>
    <s v="TF2521100101"/>
    <x v="0"/>
    <n v="625"/>
    <n v="0"/>
    <x v="5"/>
    <s v="Received"/>
    <s v="ALFANAR ELECTRICAL SYSTEMS"/>
    <x v="3"/>
    <x v="5"/>
    <x v="6"/>
    <n v="11"/>
    <n v="2025"/>
    <m/>
  </r>
  <r>
    <x v="0"/>
    <x v="26"/>
    <x v="0"/>
    <s v="RB REF JLG6903586,VIA CORE SYSTEM,DATE-TIME 06/11-16:49:03, عن طريق النظام الآ لي ,VALUE DT 06/11/25"/>
    <x v="112"/>
    <s v=""/>
    <x v="0"/>
    <n v="5031.25"/>
    <n v="0"/>
    <x v="0"/>
    <s v="Received"/>
    <s v="Bid - King Salman International Airport Development Company"/>
    <x v="0"/>
    <x v="2"/>
    <x v="2"/>
    <n v="11"/>
    <n v="2025"/>
    <m/>
  </r>
  <r>
    <x v="0"/>
    <x v="27"/>
    <x v="1"/>
    <s v="RB REF JLG6800803,VIA CORE SYSTEM,DATE-TIME 09/11-17:25:02, عن طريق النظام الآ لي ,VALUE DT 09/11/25"/>
    <x v="191"/>
    <s v=""/>
    <x v="0"/>
    <n v="12541.9"/>
    <n v="0"/>
    <x v="0"/>
    <s v="Received"/>
    <s v="Advance - JEDDAH CENTRAL DEVELOPMENT COMPANY (JCD) "/>
    <x v="1"/>
    <x v="13"/>
    <x v="20"/>
    <n v="11"/>
    <n v="2025"/>
    <m/>
  </r>
  <r>
    <x v="0"/>
    <x v="27"/>
    <x v="1"/>
    <s v="REF 000000JLC6701731,RB REF JLC6701731,VIA CORE SYSTEM,DATE-TIME 09/11-13:32:01, عن طريق النظام الآ لي ,VALUE DT 09/11/25"/>
    <x v="96"/>
    <s v=""/>
    <x v="0"/>
    <n v="268.81"/>
    <n v="0"/>
    <x v="0"/>
    <s v="Received"/>
    <s v="ATELIER HOSPITALITY SRL"/>
    <x v="0"/>
    <x v="0"/>
    <x v="0"/>
    <n v="11"/>
    <n v="2025"/>
    <m/>
  </r>
  <r>
    <x v="2"/>
    <x v="26"/>
    <x v="4"/>
    <s v="CITY:Jeddah 6132225J211485000"/>
    <x v="192"/>
    <s v="J211485000"/>
    <x v="0"/>
    <n v="27346.13"/>
    <n v="0"/>
    <x v="7"/>
    <s v="Received"/>
    <s v="ALNAFIE METAL INDUSTRIES CO LTD"/>
    <x v="8"/>
    <x v="11"/>
    <x v="17"/>
    <n v="11"/>
    <n v="2025"/>
    <m/>
  </r>
  <r>
    <x v="2"/>
    <x v="26"/>
    <x v="4"/>
    <s v="CITY:Jeddah 6132225J210617003"/>
    <x v="42"/>
    <s v="J210617003"/>
    <x v="0"/>
    <n v="386952"/>
    <n v="0"/>
    <x v="4"/>
    <s v="Received"/>
    <s v="Al Arabia Construction &amp; Building Co."/>
    <x v="0"/>
    <x v="7"/>
    <x v="8"/>
    <n v="11"/>
    <n v="2025"/>
    <m/>
  </r>
  <r>
    <x v="3"/>
    <x v="26"/>
    <x v="5"/>
    <s v="DPBCOR622156WPM DCBWPM563824"/>
    <x v="193"/>
    <s v="DPBCOR622156WPM"/>
    <x v="0"/>
    <n v="600000"/>
    <n v="0"/>
    <x v="0"/>
    <s v="Received"/>
    <s v="MARIAM TRADING CO &amp; PARTNER"/>
    <x v="3"/>
    <x v="8"/>
    <x v="9"/>
    <n v="11"/>
    <n v="2025"/>
    <m/>
  </r>
  <r>
    <x v="3"/>
    <x v="26"/>
    <x v="5"/>
    <s v="IMP BILL AMEND. CHARGES DPBCOR625255WPM DCBWPM563025"/>
    <x v="194"/>
    <s v="DPBCOR625255WPM"/>
    <x v="0"/>
    <n v="419.08"/>
    <n v="0"/>
    <x v="0"/>
    <s v="Received"/>
    <s v="Riyadh Unity for Trading"/>
    <x v="3"/>
    <x v="8"/>
    <x v="9"/>
    <n v="11"/>
    <n v="2025"/>
    <m/>
  </r>
  <r>
    <x v="3"/>
    <x v="26"/>
    <x v="6"/>
    <s v="IMP BILL COMM DPBCOR625565WPM DCBWPM563695"/>
    <x v="195"/>
    <s v="DPBCOR625565WPM"/>
    <x v="0"/>
    <n v="6964.15"/>
    <n v="0"/>
    <x v="0"/>
    <s v="Received"/>
    <s v="GIBCA Furniture Industry Co Ltd"/>
    <x v="0"/>
    <x v="1"/>
    <x v="11"/>
    <n v="11"/>
    <n v="2025"/>
    <m/>
  </r>
  <r>
    <x v="3"/>
    <x v="26"/>
    <x v="6"/>
    <s v="IMP BILL COMM DPBEPM625553WPM DCBWPM566643"/>
    <x v="196"/>
    <s v="DPBEPM625553WPM"/>
    <x v="0"/>
    <n v="2587.0700000000002"/>
    <n v="0"/>
    <x v="0"/>
    <s v="Received"/>
    <s v="National Marketing Est. Co. Ltd. "/>
    <x v="3"/>
    <x v="9"/>
    <x v="10"/>
    <n v="11"/>
    <n v="2025"/>
    <m/>
  </r>
  <r>
    <x v="3"/>
    <x v="26"/>
    <x v="6"/>
    <s v="DPBCOR621520WPM DCBWPM558775"/>
    <x v="197"/>
    <s v="DPBCOR621520WPM"/>
    <x v="0"/>
    <n v="779721.04"/>
    <n v="0"/>
    <x v="0"/>
    <s v="Received"/>
    <s v="Brooq Al-Amaan Trading Company"/>
    <x v="3"/>
    <x v="9"/>
    <x v="10"/>
    <n v="11"/>
    <n v="2025"/>
    <m/>
  </r>
  <r>
    <x v="3"/>
    <x v="26"/>
    <x v="5"/>
    <s v="IMP BILL AMEND. CHARGES DPBCOR625341WPM DCBWPM563030"/>
    <x v="198"/>
    <s v="DPBCOR625341WPM"/>
    <x v="0"/>
    <n v="320.02"/>
    <n v="0"/>
    <x v="0"/>
    <s v="Received"/>
    <s v="AL-RIYADHA AL-OULA FOR INDUSTRIAL MATERIAL SUPPLY CO."/>
    <x v="3"/>
    <x v="8"/>
    <x v="9"/>
    <n v="11"/>
    <n v="2025"/>
    <m/>
  </r>
  <r>
    <x v="3"/>
    <x v="27"/>
    <x v="5"/>
    <s v="IMP BILL AMEND. CHARGES DPBEPM625540WPM DCBWPM562728"/>
    <x v="129"/>
    <s v="DPBEPM625540WPM"/>
    <x v="0"/>
    <n v="22339.93"/>
    <n v="0"/>
    <x v="0"/>
    <s v="Received"/>
    <s v="The Fundamental Installation For Electric Work Co"/>
    <x v="3"/>
    <x v="8"/>
    <x v="9"/>
    <n v="11"/>
    <n v="2025"/>
    <m/>
  </r>
  <r>
    <x v="3"/>
    <x v="27"/>
    <x v="6"/>
    <s v="DPBCOR621114WPM DCBWPM558763"/>
    <x v="199"/>
    <s v="DPBCOR621114WPM"/>
    <x v="0"/>
    <n v="500000"/>
    <n v="0"/>
    <x v="0"/>
    <s v="Received"/>
    <s v="Ajzal United for Safety CO.LTD."/>
    <x v="3"/>
    <x v="9"/>
    <x v="10"/>
    <n v="11"/>
    <n v="2025"/>
    <m/>
  </r>
  <r>
    <x v="3"/>
    <x v="27"/>
    <x v="6"/>
    <s v="DPBEPM622962WPM DCBWPM553955"/>
    <x v="54"/>
    <s v="DPBEPM622962WPM"/>
    <x v="0"/>
    <n v="267233.01"/>
    <n v="0"/>
    <x v="0"/>
    <s v="Received"/>
    <s v="Alfanar Electrical Systems"/>
    <x v="3"/>
    <x v="9"/>
    <x v="10"/>
    <n v="11"/>
    <n v="2025"/>
    <m/>
  </r>
  <r>
    <x v="3"/>
    <x v="27"/>
    <x v="6"/>
    <s v="IMP BILL COMM DPBCOR625589WPM DCBWPM564584"/>
    <x v="200"/>
    <s v="DPBCOR625589WPM"/>
    <x v="0"/>
    <n v="5089.59"/>
    <n v="0"/>
    <x v="0"/>
    <s v="Received"/>
    <s v="Safid Co. Ltd"/>
    <x v="4"/>
    <x v="1"/>
    <x v="11"/>
    <n v="11"/>
    <n v="2025"/>
    <m/>
  </r>
  <r>
    <x v="4"/>
    <x v="27"/>
    <x v="8"/>
    <s v="DISCOUNT SPREAD CR"/>
    <x v="68"/>
    <s v="TF251323300104"/>
    <x v="0"/>
    <n v="4806.21"/>
    <n v="0"/>
    <x v="0"/>
    <s v="Received"/>
    <s v="Electric House Trading Company L.L.C."/>
    <x v="3"/>
    <x v="5"/>
    <x v="6"/>
    <n v="11"/>
    <n v="2025"/>
    <m/>
  </r>
  <r>
    <x v="4"/>
    <x v="27"/>
    <x v="8"/>
    <s v="VAT"/>
    <x v="68"/>
    <s v="TF251323300104"/>
    <x v="0"/>
    <n v="720.93"/>
    <n v="0"/>
    <x v="0"/>
    <s v="Received"/>
    <s v="Electric House Trading Company L.L.C."/>
    <x v="3"/>
    <x v="5"/>
    <x v="6"/>
    <n v="11"/>
    <n v="2025"/>
    <m/>
  </r>
  <r>
    <x v="4"/>
    <x v="27"/>
    <x v="8"/>
    <s v="REIMBURSE UNDER LC'S DR"/>
    <x v="68"/>
    <s v="TF251323300104"/>
    <x v="0"/>
    <n v="150"/>
    <n v="0"/>
    <x v="0"/>
    <s v="Received"/>
    <s v="Electric House Trading Company L.L.C."/>
    <x v="3"/>
    <x v="5"/>
    <x v="6"/>
    <n v="11"/>
    <n v="2025"/>
    <m/>
  </r>
  <r>
    <x v="4"/>
    <x v="27"/>
    <x v="8"/>
    <s v="VAT"/>
    <x v="68"/>
    <s v="TF251323300104"/>
    <x v="0"/>
    <n v="22.5"/>
    <n v="0"/>
    <x v="0"/>
    <s v="Received"/>
    <s v="Electric House Trading Company L.L.C."/>
    <x v="3"/>
    <x v="5"/>
    <x v="6"/>
    <n v="11"/>
    <n v="2025"/>
    <m/>
  </r>
  <r>
    <x v="4"/>
    <x v="27"/>
    <x v="8"/>
    <s v="IMP LC FULL POSTAGE"/>
    <x v="68"/>
    <s v="TF251323300104"/>
    <x v="0"/>
    <n v="20"/>
    <n v="0"/>
    <x v="0"/>
    <s v="Received"/>
    <s v="Electric House Trading Company L.L.C."/>
    <x v="3"/>
    <x v="5"/>
    <x v="6"/>
    <n v="11"/>
    <n v="2025"/>
    <m/>
  </r>
  <r>
    <x v="4"/>
    <x v="27"/>
    <x v="8"/>
    <s v="VAT"/>
    <x v="68"/>
    <s v="TF251323300104"/>
    <x v="0"/>
    <n v="3"/>
    <n v="0"/>
    <x v="0"/>
    <s v="Received"/>
    <s v="Electric House Trading Company L.L.C."/>
    <x v="3"/>
    <x v="5"/>
    <x v="6"/>
    <n v="11"/>
    <n v="2025"/>
    <m/>
  </r>
  <r>
    <x v="1"/>
    <x v="28"/>
    <x v="3"/>
    <s v="CUSTOMER = 3972500 DEAL AMT = 500.00 DEAL CCY = SAR TAX CODE = 1 "/>
    <x v="201"/>
    <s v="TF2502300034"/>
    <x v="0"/>
    <n v="-37.5"/>
    <n v="0"/>
    <x v="1"/>
    <s v="Received"/>
    <s v="AL BILAD CONCRETE PIPE CO.LTD"/>
    <x v="3"/>
    <x v="5"/>
    <x v="6"/>
    <n v="11"/>
    <n v="2025"/>
    <m/>
  </r>
  <r>
    <x v="1"/>
    <x v="28"/>
    <x v="3"/>
    <s v="CUSTOMER = 3972500 DEAL AMT = 500.00 DEAL CCY = SAR TAX CODE = 1 "/>
    <x v="201"/>
    <s v="TF2502300034"/>
    <x v="0"/>
    <n v="-75"/>
    <n v="0"/>
    <x v="1"/>
    <s v="Received"/>
    <s v="AL BILAD CONCRETE PIPE CO.LTD"/>
    <x v="3"/>
    <x v="5"/>
    <x v="6"/>
    <n v="11"/>
    <n v="2025"/>
    <m/>
  </r>
  <r>
    <x v="1"/>
    <x v="28"/>
    <x v="3"/>
    <s v="LC SWIFT CHARGES FOR LC NO. TF2502300034\BNK"/>
    <x v="201"/>
    <s v="TF2502300034"/>
    <x v="0"/>
    <n v="-250"/>
    <n v="0"/>
    <x v="3"/>
    <s v="Received"/>
    <s v="AL BILAD CONCRETE PIPE CO.LTD"/>
    <x v="3"/>
    <x v="5"/>
    <x v="6"/>
    <n v="11"/>
    <n v="2025"/>
    <m/>
  </r>
  <r>
    <x v="1"/>
    <x v="28"/>
    <x v="3"/>
    <s v="LC OPENING COMMISSION - DEBIT FOR LC NO. TF2502300034\BNK"/>
    <x v="201"/>
    <s v="TF2502300034"/>
    <x v="0"/>
    <n v="-500"/>
    <n v="0"/>
    <x v="8"/>
    <s v="Received"/>
    <s v="AL BILAD CONCRETE PIPE CO.LTD"/>
    <x v="3"/>
    <x v="5"/>
    <x v="6"/>
    <n v="11"/>
    <n v="2025"/>
    <m/>
  </r>
  <r>
    <x v="1"/>
    <x v="28"/>
    <x v="3"/>
    <s v="CUSTOMER = 3972500 DEAL AMT = 500.00 DEAL CCY = SAR TAX CODE = 1 "/>
    <x v="202"/>
    <s v="TF2508300056"/>
    <x v="0"/>
    <n v="-37.5"/>
    <n v="0"/>
    <x v="1"/>
    <s v="Received"/>
    <s v="Afaq Al Malaz Trading Co Ltd"/>
    <x v="3"/>
    <x v="5"/>
    <x v="6"/>
    <n v="11"/>
    <n v="2025"/>
    <m/>
  </r>
  <r>
    <x v="1"/>
    <x v="28"/>
    <x v="3"/>
    <s v="CUSTOMER = 3972500 DEAL AMT = 500.00 DEAL CCY = SAR TAX CODE = 1 "/>
    <x v="202"/>
    <s v="TF2508300056"/>
    <x v="0"/>
    <n v="-75"/>
    <n v="0"/>
    <x v="1"/>
    <s v="Received"/>
    <s v="Afaq Al Malaz Trading Co Ltd"/>
    <x v="3"/>
    <x v="5"/>
    <x v="6"/>
    <n v="11"/>
    <n v="2025"/>
    <m/>
  </r>
  <r>
    <x v="1"/>
    <x v="28"/>
    <x v="3"/>
    <s v="LC SWIFT CHARGES FOR LC NO. TF2508300056\BNK"/>
    <x v="202"/>
    <s v="TF2508300056"/>
    <x v="0"/>
    <n v="-250"/>
    <n v="0"/>
    <x v="3"/>
    <s v="Received"/>
    <s v="Afaq Al Malaz Trading Co Ltd"/>
    <x v="3"/>
    <x v="5"/>
    <x v="6"/>
    <n v="11"/>
    <n v="2025"/>
    <m/>
  </r>
  <r>
    <x v="1"/>
    <x v="28"/>
    <x v="3"/>
    <s v="LC AMENDMENT COMMISSION FOR LC NO. TF2508300056\BNK"/>
    <x v="202"/>
    <s v="TF2508300056"/>
    <x v="0"/>
    <n v="-500"/>
    <n v="0"/>
    <x v="5"/>
    <s v="Received"/>
    <s v="Afaq Al Malaz Trading Co Ltd"/>
    <x v="3"/>
    <x v="5"/>
    <x v="6"/>
    <n v="11"/>
    <n v="2025"/>
    <m/>
  </r>
  <r>
    <x v="1"/>
    <x v="28"/>
    <x v="3"/>
    <s v="CUSTOMER = 3972500 DEAL AMT = 500.00 DEAL CCY = SAR TAX CODE = 1 "/>
    <x v="203"/>
    <s v="TF2509900019"/>
    <x v="0"/>
    <n v="-37.5"/>
    <n v="0"/>
    <x v="1"/>
    <s v="Received"/>
    <s v="SKM AIR CONDITIONING CO"/>
    <x v="3"/>
    <x v="6"/>
    <x v="7"/>
    <n v="11"/>
    <n v="2025"/>
    <m/>
  </r>
  <r>
    <x v="1"/>
    <x v="28"/>
    <x v="3"/>
    <s v="CUSTOMER = 3972500 DEAL AMT = 500.00 DEAL CCY = SAR TAX CODE = 1 "/>
    <x v="203"/>
    <s v="TF2509900019"/>
    <x v="0"/>
    <n v="-75"/>
    <n v="0"/>
    <x v="1"/>
    <s v="Received"/>
    <s v="SKM AIR CONDITIONING CO"/>
    <x v="3"/>
    <x v="6"/>
    <x v="7"/>
    <n v="11"/>
    <n v="2025"/>
    <m/>
  </r>
  <r>
    <x v="1"/>
    <x v="28"/>
    <x v="3"/>
    <s v="LC SWIFT CHARGES FOR LC NO. TF2509900019\BNK"/>
    <x v="203"/>
    <s v="TF2509900019"/>
    <x v="0"/>
    <n v="-250"/>
    <n v="0"/>
    <x v="3"/>
    <s v="Received"/>
    <s v="SKM AIR CONDITIONING CO"/>
    <x v="3"/>
    <x v="6"/>
    <x v="7"/>
    <n v="11"/>
    <n v="2025"/>
    <m/>
  </r>
  <r>
    <x v="1"/>
    <x v="28"/>
    <x v="3"/>
    <s v="LC AMENDMENT COMMISSION FOR LC NO. TF2509900019\BNK"/>
    <x v="203"/>
    <s v="TF2509900019"/>
    <x v="0"/>
    <n v="-500"/>
    <n v="0"/>
    <x v="5"/>
    <s v="Received"/>
    <s v="SKM AIR CONDITIONING CO"/>
    <x v="3"/>
    <x v="6"/>
    <x v="7"/>
    <n v="11"/>
    <n v="2025"/>
    <m/>
  </r>
  <r>
    <x v="1"/>
    <x v="28"/>
    <x v="3"/>
    <s v="CUSTOMER = 3972500 DEAL AMT = 500.00 DEAL CCY = SAR TAX CODE = 1 "/>
    <x v="204"/>
    <s v="TF2513100027"/>
    <x v="0"/>
    <n v="-37.5"/>
    <n v="0"/>
    <x v="1"/>
    <s v="Received"/>
    <s v="ALBYT ALTHAKI TRADING CO"/>
    <x v="3"/>
    <x v="5"/>
    <x v="6"/>
    <n v="11"/>
    <n v="2025"/>
    <m/>
  </r>
  <r>
    <x v="1"/>
    <x v="28"/>
    <x v="3"/>
    <s v="CUSTOMER = 3972500 DEAL AMT = 500.00 DEAL CCY = SAR TAX CODE = 1 "/>
    <x v="204"/>
    <s v="TF2513100027"/>
    <x v="0"/>
    <n v="-75"/>
    <n v="0"/>
    <x v="1"/>
    <s v="Received"/>
    <s v="ALBYT ALTHAKI TRADING CO"/>
    <x v="3"/>
    <x v="5"/>
    <x v="6"/>
    <n v="11"/>
    <n v="2025"/>
    <m/>
  </r>
  <r>
    <x v="1"/>
    <x v="28"/>
    <x v="3"/>
    <s v="LC SWIFT CHARGES FOR LC NO. TF2513100027\BNK"/>
    <x v="204"/>
    <s v="TF2513100027"/>
    <x v="0"/>
    <n v="-250"/>
    <n v="0"/>
    <x v="3"/>
    <s v="Received"/>
    <s v="ALBYT ALTHAKI TRADING CO"/>
    <x v="3"/>
    <x v="5"/>
    <x v="6"/>
    <n v="11"/>
    <n v="2025"/>
    <m/>
  </r>
  <r>
    <x v="1"/>
    <x v="28"/>
    <x v="3"/>
    <s v="LC AMENDMENT COMMISSION FOR LC NO. TF2513100027\BNK"/>
    <x v="204"/>
    <s v="TF2513100027"/>
    <x v="0"/>
    <n v="-500"/>
    <n v="0"/>
    <x v="5"/>
    <s v="Received"/>
    <s v="ALBYT ALTHAKI TRADING CO"/>
    <x v="3"/>
    <x v="5"/>
    <x v="6"/>
    <n v="11"/>
    <n v="2025"/>
    <m/>
  </r>
  <r>
    <x v="1"/>
    <x v="28"/>
    <x v="3"/>
    <s v="CUSTOMER = 3972500 DEAL AMT = 500.00 DEAL CCY = SAR TAX CODE = 1 "/>
    <x v="205"/>
    <s v="TF2513500019"/>
    <x v="0"/>
    <n v="-37.5"/>
    <n v="0"/>
    <x v="1"/>
    <s v="Received"/>
    <s v="MASDAR TECHNICAL Supplies CO."/>
    <x v="3"/>
    <x v="5"/>
    <x v="6"/>
    <n v="11"/>
    <n v="2025"/>
    <m/>
  </r>
  <r>
    <x v="1"/>
    <x v="28"/>
    <x v="3"/>
    <s v="CUSTOMER = 3972500 DEAL AMT = 500.00 DEAL CCY = SAR TAX CODE = 1 "/>
    <x v="205"/>
    <s v="TF2513500019"/>
    <x v="0"/>
    <n v="-75"/>
    <n v="0"/>
    <x v="1"/>
    <s v="Received"/>
    <s v="MASDAR TECHNICAL Supplies CO."/>
    <x v="3"/>
    <x v="5"/>
    <x v="6"/>
    <n v="11"/>
    <n v="2025"/>
    <m/>
  </r>
  <r>
    <x v="1"/>
    <x v="28"/>
    <x v="3"/>
    <s v="LC SWIFT CHARGES FOR LC NO. TF2513500019\BNK"/>
    <x v="205"/>
    <s v="TF2513500019"/>
    <x v="0"/>
    <n v="-250"/>
    <n v="0"/>
    <x v="3"/>
    <s v="Received"/>
    <s v="MASDAR TECHNICAL Supplies CO."/>
    <x v="3"/>
    <x v="5"/>
    <x v="6"/>
    <n v="11"/>
    <n v="2025"/>
    <m/>
  </r>
  <r>
    <x v="1"/>
    <x v="28"/>
    <x v="3"/>
    <s v="LC AMENDMENT COMMISSION FOR LC NO. TF2513500019\BNK"/>
    <x v="205"/>
    <s v="TF2513500019"/>
    <x v="0"/>
    <n v="-500"/>
    <n v="0"/>
    <x v="5"/>
    <s v="Received"/>
    <s v="MASDAR TECHNICAL Supplies CO."/>
    <x v="3"/>
    <x v="5"/>
    <x v="6"/>
    <n v="11"/>
    <n v="2025"/>
    <m/>
  </r>
  <r>
    <x v="1"/>
    <x v="28"/>
    <x v="3"/>
    <s v="CUSTOMER = 3972500 DEAL AMT = 500.00 DEAL CCY = SAR TAX CODE = 1 "/>
    <x v="206"/>
    <s v="TF2513500034"/>
    <x v="0"/>
    <n v="-37.5"/>
    <n v="0"/>
    <x v="1"/>
    <s v="Received"/>
    <s v="ANSSAM AL RIYADH CONTRACTING EST"/>
    <x v="3"/>
    <x v="5"/>
    <x v="6"/>
    <n v="11"/>
    <n v="2025"/>
    <m/>
  </r>
  <r>
    <x v="1"/>
    <x v="28"/>
    <x v="3"/>
    <s v="CUSTOMER = 3972500 DEAL AMT = 500.00 DEAL CCY = SAR TAX CODE = 1 "/>
    <x v="206"/>
    <s v="TF2513500034"/>
    <x v="0"/>
    <n v="-75"/>
    <n v="0"/>
    <x v="1"/>
    <s v="Received"/>
    <s v="ANSSAM AL RIYADH CONTRACTING EST"/>
    <x v="3"/>
    <x v="5"/>
    <x v="6"/>
    <n v="11"/>
    <n v="2025"/>
    <m/>
  </r>
  <r>
    <x v="1"/>
    <x v="28"/>
    <x v="3"/>
    <s v="LC SWIFT CHARGES FOR LC NO. TF2513500034\BNK"/>
    <x v="206"/>
    <s v="TF2513500034"/>
    <x v="0"/>
    <n v="-250"/>
    <n v="0"/>
    <x v="3"/>
    <s v="Received"/>
    <s v="ANSSAM AL RIYADH CONTRACTING EST"/>
    <x v="3"/>
    <x v="5"/>
    <x v="6"/>
    <n v="11"/>
    <n v="2025"/>
    <m/>
  </r>
  <r>
    <x v="1"/>
    <x v="28"/>
    <x v="3"/>
    <s v="LC AMENDMENT COMMISSION FOR LC NO. TF2513500034\BNK"/>
    <x v="206"/>
    <s v="TF2513500034"/>
    <x v="0"/>
    <n v="-500"/>
    <n v="0"/>
    <x v="5"/>
    <s v="Received"/>
    <s v="ANSSAM AL RIYADH CONTRACTING EST"/>
    <x v="3"/>
    <x v="5"/>
    <x v="6"/>
    <n v="11"/>
    <n v="2025"/>
    <m/>
  </r>
  <r>
    <x v="1"/>
    <x v="28"/>
    <x v="3"/>
    <s v="CUSTOMER = 3972500 DEAL AMT = 500.00 DEAL CCY = SAR TAX CODE = 1 "/>
    <x v="207"/>
    <s v="TF2514600059"/>
    <x v="0"/>
    <n v="-37.5"/>
    <n v="0"/>
    <x v="1"/>
    <s v="Received"/>
    <s v="DAR-AL MAWARED TRADING CO."/>
    <x v="3"/>
    <x v="5"/>
    <x v="6"/>
    <n v="11"/>
    <n v="2025"/>
    <m/>
  </r>
  <r>
    <x v="1"/>
    <x v="28"/>
    <x v="3"/>
    <s v="CUSTOMER = 3972500 DEAL AMT = 500.00 DEAL CCY = SAR TAX CODE = 1 "/>
    <x v="207"/>
    <s v="TF2514600059"/>
    <x v="0"/>
    <n v="-75"/>
    <n v="0"/>
    <x v="1"/>
    <s v="Received"/>
    <s v="DAR-AL MAWARED TRADING CO."/>
    <x v="3"/>
    <x v="5"/>
    <x v="6"/>
    <n v="11"/>
    <n v="2025"/>
    <m/>
  </r>
  <r>
    <x v="1"/>
    <x v="28"/>
    <x v="3"/>
    <s v="LC SWIFT CHARGES FOR LC NO. TF2514600059\BNK"/>
    <x v="207"/>
    <s v="TF2514600059"/>
    <x v="0"/>
    <n v="-250"/>
    <n v="0"/>
    <x v="3"/>
    <s v="Received"/>
    <s v="DAR-AL MAWARED TRADING CO."/>
    <x v="3"/>
    <x v="5"/>
    <x v="6"/>
    <n v="11"/>
    <n v="2025"/>
    <m/>
  </r>
  <r>
    <x v="1"/>
    <x v="28"/>
    <x v="3"/>
    <s v="LC AMENDMENT COMMISSION FOR LC NO. TF2514600059\BNK"/>
    <x v="207"/>
    <s v="TF2514600059"/>
    <x v="0"/>
    <n v="-500"/>
    <n v="0"/>
    <x v="5"/>
    <s v="Received"/>
    <s v="DAR-AL MAWARED TRADING CO."/>
    <x v="3"/>
    <x v="5"/>
    <x v="6"/>
    <n v="11"/>
    <n v="2025"/>
    <m/>
  </r>
  <r>
    <x v="1"/>
    <x v="28"/>
    <x v="3"/>
    <s v="CUSTOMER = 3972500 DEAL AMT = 500.00 DEAL CCY = SAR TAX CODE = 1 "/>
    <x v="208"/>
    <s v="TF2514700025"/>
    <x v="0"/>
    <n v="-37.5"/>
    <n v="0"/>
    <x v="1"/>
    <s v="Received"/>
    <s v="ALBYT ALTHAKI TRADING CO"/>
    <x v="3"/>
    <x v="5"/>
    <x v="6"/>
    <n v="11"/>
    <n v="2025"/>
    <m/>
  </r>
  <r>
    <x v="1"/>
    <x v="28"/>
    <x v="3"/>
    <s v="CUSTOMER = 3972500 DEAL AMT = 500.00 DEAL CCY = SAR TAX CODE = 1 "/>
    <x v="208"/>
    <s v="TF2514700025"/>
    <x v="0"/>
    <n v="-75"/>
    <n v="0"/>
    <x v="1"/>
    <s v="Received"/>
    <s v="ALBYT ALTHAKI TRADING CO"/>
    <x v="3"/>
    <x v="5"/>
    <x v="6"/>
    <n v="11"/>
    <n v="2025"/>
    <m/>
  </r>
  <r>
    <x v="1"/>
    <x v="28"/>
    <x v="3"/>
    <s v="LC SWIFT CHARGES FOR LC NO. TF2514700025\BNK"/>
    <x v="208"/>
    <s v="TF2514700025"/>
    <x v="0"/>
    <n v="-250"/>
    <n v="0"/>
    <x v="3"/>
    <s v="Received"/>
    <s v="ALBYT ALTHAKI TRADING CO"/>
    <x v="3"/>
    <x v="5"/>
    <x v="6"/>
    <n v="11"/>
    <n v="2025"/>
    <m/>
  </r>
  <r>
    <x v="1"/>
    <x v="28"/>
    <x v="3"/>
    <s v="LC AMENDMENT COMMISSION FOR LC NO. TF2514700025\BNK"/>
    <x v="208"/>
    <s v="TF2514700025"/>
    <x v="0"/>
    <n v="-500"/>
    <n v="0"/>
    <x v="5"/>
    <s v="Received"/>
    <s v="ALBYT ALTHAKI TRADING CO"/>
    <x v="3"/>
    <x v="5"/>
    <x v="6"/>
    <n v="11"/>
    <n v="2025"/>
    <m/>
  </r>
  <r>
    <x v="1"/>
    <x v="28"/>
    <x v="3"/>
    <s v="CUSTOMER = 3972500 DEAL AMT = 100.00 DEAL CCY = SAR TAX CODE = 1 "/>
    <x v="209"/>
    <s v="TF253020003101"/>
    <x v="0"/>
    <n v="-15"/>
    <n v="0"/>
    <x v="1"/>
    <s v="Received"/>
    <e v="#N/A"/>
    <x v="7"/>
    <x v="12"/>
    <x v="19"/>
    <n v="11"/>
    <n v="2025"/>
    <m/>
  </r>
  <r>
    <x v="1"/>
    <x v="28"/>
    <x v="3"/>
    <s v="LC SWIFT CHARGES FOR LC NO. TF253020003101\BNK"/>
    <x v="209"/>
    <s v="TF253020003101"/>
    <x v="0"/>
    <n v="-100"/>
    <n v="0"/>
    <x v="3"/>
    <s v="Received"/>
    <e v="#N/A"/>
    <x v="7"/>
    <x v="12"/>
    <x v="19"/>
    <n v="11"/>
    <n v="2025"/>
    <m/>
  </r>
  <r>
    <x v="1"/>
    <x v="28"/>
    <x v="3"/>
    <s v="CUSTOMER = 3972500 DEAL AMT = 750.00 DEAL CCY = SAR TAX CODE = 1 "/>
    <x v="209"/>
    <s v="TF253020003101"/>
    <x v="0"/>
    <n v="-112.5"/>
    <n v="0"/>
    <x v="1"/>
    <s v="Received"/>
    <e v="#N/A"/>
    <x v="7"/>
    <x v="12"/>
    <x v="19"/>
    <n v="11"/>
    <n v="2025"/>
    <m/>
  </r>
  <r>
    <x v="1"/>
    <x v="28"/>
    <x v="3"/>
    <s v="LC INWARD COLLECTION FEE FOR LC NO. TF253020003101\BNK"/>
    <x v="209"/>
    <s v="TF253020003101"/>
    <x v="0"/>
    <n v="-750"/>
    <n v="0"/>
    <x v="9"/>
    <s v="Received"/>
    <e v="#N/A"/>
    <x v="7"/>
    <x v="12"/>
    <x v="19"/>
    <n v="11"/>
    <n v="2025"/>
    <m/>
  </r>
  <r>
    <x v="1"/>
    <x v="28"/>
    <x v="3"/>
    <s v="REIMBURSE UNDER LCS DR FOR LC NO. TF253020003101\BNK"/>
    <x v="209"/>
    <s v="TF253020003101"/>
    <x v="0"/>
    <n v="-123144"/>
    <n v="0"/>
    <x v="4"/>
    <s v="Received"/>
    <e v="#N/A"/>
    <x v="7"/>
    <x v="12"/>
    <x v="19"/>
    <n v="11"/>
    <n v="2025"/>
    <m/>
  </r>
  <r>
    <x v="1"/>
    <x v="29"/>
    <x v="3"/>
    <s v="CUSTOMER = 3972500 DEAL AMT = 118000.00 DEAL CCY = SAR TAX CODE = 1 "/>
    <x v="210"/>
    <s v="TF2531400014"/>
    <x v="0"/>
    <n v="-105"/>
    <n v="0"/>
    <x v="1"/>
    <s v="Received"/>
    <s v="Hamada Decoration Company"/>
    <x v="0"/>
    <x v="14"/>
    <x v="21"/>
    <n v="11"/>
    <n v="2025"/>
    <m/>
  </r>
  <r>
    <x v="1"/>
    <x v="29"/>
    <x v="3"/>
    <s v="LC SWIFT CHARGES FOR LC NO. TF2531400014\BNK"/>
    <x v="210"/>
    <s v="TF2531400014"/>
    <x v="0"/>
    <n v="-700"/>
    <n v="0"/>
    <x v="3"/>
    <s v="Received"/>
    <s v="Hamada Decoration Company"/>
    <x v="0"/>
    <x v="14"/>
    <x v="21"/>
    <n v="11"/>
    <n v="2025"/>
    <m/>
  </r>
  <r>
    <x v="1"/>
    <x v="29"/>
    <x v="3"/>
    <s v="CUSTOMER = 3972500 DEAL AMT = 118000.00 DEAL CCY = SAR TAX CODE = 1 "/>
    <x v="210"/>
    <s v="TF2531400014"/>
    <x v="0"/>
    <n v="-17700"/>
    <n v="0"/>
    <x v="1"/>
    <s v="Received"/>
    <s v="Hamada Decoration Company"/>
    <x v="0"/>
    <x v="14"/>
    <x v="21"/>
    <n v="11"/>
    <n v="2025"/>
    <m/>
  </r>
  <r>
    <x v="1"/>
    <x v="29"/>
    <x v="3"/>
    <s v="LC OPENING COMMISSION - DEBIT FOR LC NO. TF2531400014\BNK"/>
    <x v="210"/>
    <s v="TF2531400014"/>
    <x v="0"/>
    <n v="-118000"/>
    <n v="0"/>
    <x v="8"/>
    <s v="Received"/>
    <s v="Hamada Decoration Company"/>
    <x v="0"/>
    <x v="14"/>
    <x v="21"/>
    <n v="11"/>
    <n v="2025"/>
    <m/>
  </r>
  <r>
    <x v="1"/>
    <x v="30"/>
    <x v="3"/>
    <s v="CUSTOMER = 3972500 DEAL AMT = 75 DEAL CCY = SAR TAX CODE = 1 "/>
    <x v="211"/>
    <s v="TF251470003001"/>
    <x v="0"/>
    <n v="-11.25"/>
    <n v="0"/>
    <x v="1"/>
    <s v="Received"/>
    <s v="ALFANAR ELECTRICAL SYSTEMS"/>
    <x v="3"/>
    <x v="5"/>
    <x v="6"/>
    <n v="11"/>
    <n v="2025"/>
    <m/>
  </r>
  <r>
    <x v="1"/>
    <x v="30"/>
    <x v="3"/>
    <s v="LC SWIFT CHARGES FOR LC NO. TF251470003001\BNK"/>
    <x v="211"/>
    <s v="TF251470003001"/>
    <x v="0"/>
    <n v="-75"/>
    <n v="0"/>
    <x v="3"/>
    <s v="Received"/>
    <s v="ALFANAR ELECTRICAL SYSTEMS"/>
    <x v="3"/>
    <x v="5"/>
    <x v="6"/>
    <n v="11"/>
    <n v="2025"/>
    <m/>
  </r>
  <r>
    <x v="1"/>
    <x v="30"/>
    <x v="3"/>
    <s v="REIMBURSE UNDER LCS DR FOR LC NO. TF251470003001\BNK"/>
    <x v="211"/>
    <s v="TF251470003001"/>
    <x v="0"/>
    <n v="-394800"/>
    <n v="0"/>
    <x v="4"/>
    <s v="Received"/>
    <s v="ALFANAR ELECTRICAL SYSTEMS"/>
    <x v="3"/>
    <x v="5"/>
    <x v="6"/>
    <n v="11"/>
    <n v="2025"/>
    <m/>
  </r>
  <r>
    <x v="1"/>
    <x v="30"/>
    <x v="3"/>
    <s v="CUSTOMER = 3972500 DEAL AMT = 2065.54 DEAL CCY = SAR TAX CODE = 1 "/>
    <x v="212"/>
    <s v="TF2531600053"/>
    <x v="0"/>
    <n v="-105"/>
    <n v="0"/>
    <x v="1"/>
    <s v="Received"/>
    <s v="AL MOUSA TRADING CO."/>
    <x v="3"/>
    <x v="5"/>
    <x v="6"/>
    <n v="11"/>
    <n v="2025"/>
    <m/>
  </r>
  <r>
    <x v="1"/>
    <x v="30"/>
    <x v="3"/>
    <s v="CUSTOMER = 3972500 DEAL AMT = 2065.54 DEAL CCY = SAR TAX CODE = 1 "/>
    <x v="212"/>
    <s v="TF2531600053"/>
    <x v="0"/>
    <n v="-309.83"/>
    <n v="0"/>
    <x v="1"/>
    <s v="Received"/>
    <s v="AL MOUSA TRADING CO."/>
    <x v="3"/>
    <x v="5"/>
    <x v="6"/>
    <n v="11"/>
    <n v="2025"/>
    <m/>
  </r>
  <r>
    <x v="1"/>
    <x v="30"/>
    <x v="3"/>
    <s v="LC SWIFT CHARGES FOR LC NO. TF2531600053\BNK"/>
    <x v="212"/>
    <s v="TF2531600053"/>
    <x v="0"/>
    <n v="-700"/>
    <n v="0"/>
    <x v="3"/>
    <s v="Received"/>
    <s v="AL MOUSA TRADING CO."/>
    <x v="3"/>
    <x v="5"/>
    <x v="6"/>
    <n v="11"/>
    <n v="2025"/>
    <m/>
  </r>
  <r>
    <x v="1"/>
    <x v="30"/>
    <x v="3"/>
    <s v="LC OPENING COMMISSION - DEBIT FOR LC NO. TF2531600053\BNK"/>
    <x v="212"/>
    <s v="TF2531600053"/>
    <x v="0"/>
    <n v="-2065.54"/>
    <n v="0"/>
    <x v="8"/>
    <s v="Received"/>
    <s v="AL MOUSA TRADING CO."/>
    <x v="3"/>
    <x v="5"/>
    <x v="6"/>
    <n v="11"/>
    <n v="2025"/>
    <m/>
  </r>
  <r>
    <x v="1"/>
    <x v="30"/>
    <x v="3"/>
    <s v="CUSTOMER = 3972500 DEAL AMT = 1206.32 DEAL CCY = SAR TAX CODE = 1 "/>
    <x v="213"/>
    <s v="TF2531600056"/>
    <x v="0"/>
    <n v="-105"/>
    <n v="0"/>
    <x v="1"/>
    <s v="Received"/>
    <s v="Mohammad Saleh Bahareth co."/>
    <x v="3"/>
    <x v="5"/>
    <x v="6"/>
    <n v="11"/>
    <n v="2025"/>
    <m/>
  </r>
  <r>
    <x v="1"/>
    <x v="30"/>
    <x v="3"/>
    <s v="CUSTOMER = 3972500 DEAL AMT = 1206.32 DEAL CCY = SAR TAX CODE = 1 "/>
    <x v="213"/>
    <s v="TF2531600056"/>
    <x v="0"/>
    <n v="-180.95"/>
    <n v="0"/>
    <x v="1"/>
    <s v="Received"/>
    <s v="Mohammad Saleh Bahareth co."/>
    <x v="3"/>
    <x v="5"/>
    <x v="6"/>
    <n v="11"/>
    <n v="2025"/>
    <m/>
  </r>
  <r>
    <x v="1"/>
    <x v="30"/>
    <x v="3"/>
    <s v="LC SWIFT CHARGES FOR LC NO. TF2531600056\BNK"/>
    <x v="213"/>
    <s v="TF2531600056"/>
    <x v="0"/>
    <n v="-700"/>
    <n v="0"/>
    <x v="3"/>
    <s v="Received"/>
    <s v="Mohammad Saleh Bahareth co."/>
    <x v="3"/>
    <x v="5"/>
    <x v="6"/>
    <n v="11"/>
    <n v="2025"/>
    <m/>
  </r>
  <r>
    <x v="1"/>
    <x v="30"/>
    <x v="3"/>
    <s v="LC OPENING COMMISSION - DEBIT FOR LC NO. TF2531600056\BNK"/>
    <x v="213"/>
    <s v="TF2531600056"/>
    <x v="0"/>
    <n v="-1206.32"/>
    <n v="0"/>
    <x v="8"/>
    <s v="Received"/>
    <s v="Mohammad Saleh Bahareth co."/>
    <x v="3"/>
    <x v="5"/>
    <x v="6"/>
    <n v="11"/>
    <n v="2025"/>
    <m/>
  </r>
  <r>
    <x v="1"/>
    <x v="30"/>
    <x v="3"/>
    <s v="CUSTOMER = 3972500 DEAL AMT = 4858.79 DEAL CCY = SAR TAX CODE = 1 "/>
    <x v="214"/>
    <s v="TF2531600062"/>
    <x v="0"/>
    <n v="-105"/>
    <n v="0"/>
    <x v="1"/>
    <s v="Received"/>
    <s v="AI-Hadbania Trading Co."/>
    <x v="3"/>
    <x v="5"/>
    <x v="6"/>
    <n v="11"/>
    <n v="2025"/>
    <m/>
  </r>
  <r>
    <x v="1"/>
    <x v="30"/>
    <x v="3"/>
    <s v="LC SWIFT CHARGES FOR LC NO. TF2531600062\BNK"/>
    <x v="214"/>
    <s v="TF2531600062"/>
    <x v="0"/>
    <n v="-700"/>
    <n v="0"/>
    <x v="3"/>
    <s v="Received"/>
    <s v="AI-Hadbania Trading Co."/>
    <x v="3"/>
    <x v="5"/>
    <x v="6"/>
    <n v="11"/>
    <n v="2025"/>
    <m/>
  </r>
  <r>
    <x v="1"/>
    <x v="30"/>
    <x v="3"/>
    <s v="CUSTOMER = 3972500 DEAL AMT = 4858.79 DEAL CCY = SAR TAX CODE = 1 "/>
    <x v="214"/>
    <s v="TF2531600062"/>
    <x v="0"/>
    <n v="-728.82"/>
    <n v="0"/>
    <x v="1"/>
    <s v="Received"/>
    <s v="AI-Hadbania Trading Co."/>
    <x v="3"/>
    <x v="5"/>
    <x v="6"/>
    <n v="11"/>
    <n v="2025"/>
    <m/>
  </r>
  <r>
    <x v="1"/>
    <x v="30"/>
    <x v="3"/>
    <s v="LC OPENING COMMISSION - DEBIT FOR LC NO. TF2531600062\BNK"/>
    <x v="214"/>
    <s v="TF2531600062"/>
    <x v="0"/>
    <n v="-4858.79"/>
    <n v="0"/>
    <x v="8"/>
    <s v="Received"/>
    <s v="AI-Hadbania Trading Co."/>
    <x v="3"/>
    <x v="5"/>
    <x v="6"/>
    <n v="11"/>
    <n v="2025"/>
    <m/>
  </r>
  <r>
    <x v="1"/>
    <x v="31"/>
    <x v="3"/>
    <s v="CUSTOMER = 3972500 DEAL AMT = 75 DEAL CCY = SAR TAX CODE = 1 "/>
    <x v="215"/>
    <s v="TF250830004701"/>
    <x v="0"/>
    <n v="-11.25"/>
    <n v="0"/>
    <x v="1"/>
    <s v="Received"/>
    <s v="ENERGY CONCEPT CO LTD"/>
    <x v="3"/>
    <x v="5"/>
    <x v="6"/>
    <n v="11"/>
    <n v="2025"/>
    <m/>
  </r>
  <r>
    <x v="1"/>
    <x v="31"/>
    <x v="3"/>
    <s v="LC SWIFT CHARGES FOR LC NO. TF250830004701\BNK"/>
    <x v="215"/>
    <s v="TF250830004701"/>
    <x v="0"/>
    <n v="-75"/>
    <n v="0"/>
    <x v="3"/>
    <s v="Received"/>
    <s v="ENERGY CONCEPT CO LTD"/>
    <x v="3"/>
    <x v="5"/>
    <x v="6"/>
    <n v="11"/>
    <n v="2025"/>
    <m/>
  </r>
  <r>
    <x v="1"/>
    <x v="31"/>
    <x v="3"/>
    <s v="REIMBURSE UNDER LCS DR FOR LC NO. TF250830004701\BNK"/>
    <x v="215"/>
    <s v="TF250830004701"/>
    <x v="0"/>
    <n v="-400000"/>
    <n v="0"/>
    <x v="4"/>
    <s v="Received"/>
    <s v="ENERGY CONCEPT CO LTD"/>
    <x v="3"/>
    <x v="5"/>
    <x v="6"/>
    <n v="11"/>
    <n v="2025"/>
    <m/>
  </r>
  <r>
    <x v="1"/>
    <x v="31"/>
    <x v="3"/>
    <s v="CUSTOMER = 3972500 DEAL AMT = 75 DEAL CCY = SAR TAX CODE = 1 "/>
    <x v="30"/>
    <s v="TF251350003901"/>
    <x v="0"/>
    <n v="-11.25"/>
    <n v="0"/>
    <x v="1"/>
    <s v="Received"/>
    <s v="IDEAL CALIBER COMPANY"/>
    <x v="3"/>
    <x v="5"/>
    <x v="6"/>
    <n v="11"/>
    <n v="2025"/>
    <m/>
  </r>
  <r>
    <x v="1"/>
    <x v="31"/>
    <x v="3"/>
    <s v="LC SWIFT CHARGES FOR LC NO. TF251350003901\BNK"/>
    <x v="30"/>
    <s v="TF251350003901"/>
    <x v="0"/>
    <n v="-75"/>
    <n v="0"/>
    <x v="3"/>
    <s v="Received"/>
    <s v="IDEAL CALIBER COMPANY"/>
    <x v="3"/>
    <x v="5"/>
    <x v="6"/>
    <n v="11"/>
    <n v="2025"/>
    <m/>
  </r>
  <r>
    <x v="1"/>
    <x v="31"/>
    <x v="3"/>
    <s v="REIMBURSE UNDER LCS DR FOR LC NO. TF251350003901\BNK"/>
    <x v="30"/>
    <s v="TF251350003901"/>
    <x v="0"/>
    <n v="-171555.34"/>
    <n v="0"/>
    <x v="4"/>
    <s v="Received"/>
    <s v="IDEAL CALIBER COMPANY"/>
    <x v="3"/>
    <x v="5"/>
    <x v="6"/>
    <n v="11"/>
    <n v="2025"/>
    <m/>
  </r>
  <r>
    <x v="1"/>
    <x v="31"/>
    <x v="3"/>
    <s v="CUSTOMER = 3972500 DEAL AMT = 75 DEAL CCY = SAR TAX CODE = 1 "/>
    <x v="211"/>
    <s v="TF251470003002"/>
    <x v="0"/>
    <n v="-11.25"/>
    <n v="0"/>
    <x v="1"/>
    <s v="Received"/>
    <s v="ALFANAR ELECTRICAL SYSTEMS"/>
    <x v="3"/>
    <x v="5"/>
    <x v="6"/>
    <n v="11"/>
    <n v="2025"/>
    <m/>
  </r>
  <r>
    <x v="1"/>
    <x v="31"/>
    <x v="3"/>
    <s v="LC SWIFT CHARGES FOR LC NO. TF251470003002\BNK"/>
    <x v="211"/>
    <s v="TF251470003002"/>
    <x v="0"/>
    <n v="-75"/>
    <n v="0"/>
    <x v="3"/>
    <s v="Received"/>
    <s v="ALFANAR ELECTRICAL SYSTEMS"/>
    <x v="3"/>
    <x v="5"/>
    <x v="6"/>
    <n v="11"/>
    <n v="2025"/>
    <m/>
  </r>
  <r>
    <x v="1"/>
    <x v="31"/>
    <x v="3"/>
    <s v="REIMBURSE UNDER LCS DR FOR LC NO. TF251470003002\BNK"/>
    <x v="211"/>
    <s v="TF251470003002"/>
    <x v="0"/>
    <n v="-55200"/>
    <n v="0"/>
    <x v="4"/>
    <s v="Received"/>
    <s v="ALFANAR ELECTRICAL SYSTEMS"/>
    <x v="3"/>
    <x v="5"/>
    <x v="6"/>
    <n v="11"/>
    <n v="2025"/>
    <m/>
  </r>
  <r>
    <x v="1"/>
    <x v="31"/>
    <x v="3"/>
    <s v="CUSTOMER = 3972500 DEAL AMT = 75 DEAL CCY = SAR TAX CODE = 1 "/>
    <x v="183"/>
    <s v="TF251470003701"/>
    <x v="0"/>
    <n v="-11.25"/>
    <n v="0"/>
    <x v="1"/>
    <s v="Received"/>
    <s v="NAJM AL FALAK TRADING CO."/>
    <x v="3"/>
    <x v="5"/>
    <x v="6"/>
    <n v="11"/>
    <n v="2025"/>
    <m/>
  </r>
  <r>
    <x v="1"/>
    <x v="31"/>
    <x v="3"/>
    <s v="LC SWIFT CHARGES FOR LC NO. TF251470003701\BNK"/>
    <x v="183"/>
    <s v="TF251470003701"/>
    <x v="0"/>
    <n v="-75"/>
    <n v="0"/>
    <x v="3"/>
    <s v="Received"/>
    <s v="NAJM AL FALAK TRADING CO."/>
    <x v="3"/>
    <x v="5"/>
    <x v="6"/>
    <n v="11"/>
    <n v="2025"/>
    <m/>
  </r>
  <r>
    <x v="1"/>
    <x v="31"/>
    <x v="3"/>
    <s v="REIMBURSE UNDER LCS DR FOR LC NO. TF251470003701\BNK"/>
    <x v="183"/>
    <s v="TF251470003701"/>
    <x v="0"/>
    <n v="-162607.04000000001"/>
    <n v="0"/>
    <x v="4"/>
    <s v="Received"/>
    <s v="NAJM AL FALAK TRADING CO."/>
    <x v="3"/>
    <x v="5"/>
    <x v="6"/>
    <n v="11"/>
    <n v="2025"/>
    <m/>
  </r>
  <r>
    <x v="1"/>
    <x v="31"/>
    <x v="3"/>
    <s v="CUSTOMER = 3972500 DEAL AMT = 75 DEAL CCY = SAR TAX CODE = 1 "/>
    <x v="216"/>
    <s v="TF251470004601"/>
    <x v="0"/>
    <n v="-11.25"/>
    <n v="0"/>
    <x v="1"/>
    <s v="Received"/>
    <s v="Energy International Controls"/>
    <x v="3"/>
    <x v="5"/>
    <x v="6"/>
    <n v="11"/>
    <n v="2025"/>
    <m/>
  </r>
  <r>
    <x v="1"/>
    <x v="31"/>
    <x v="3"/>
    <s v="LC SWIFT CHARGES FOR LC NO. TF251470004601\BNK"/>
    <x v="216"/>
    <s v="TF251470004601"/>
    <x v="0"/>
    <n v="-75"/>
    <n v="0"/>
    <x v="3"/>
    <s v="Received"/>
    <s v="Energy International Controls"/>
    <x v="3"/>
    <x v="5"/>
    <x v="6"/>
    <n v="11"/>
    <n v="2025"/>
    <m/>
  </r>
  <r>
    <x v="1"/>
    <x v="31"/>
    <x v="3"/>
    <s v="REIMBURSE UNDER LCS DR FOR LC NO. TF251470004601\BNK"/>
    <x v="216"/>
    <s v="TF251470004601"/>
    <x v="0"/>
    <n v="-249901.5"/>
    <n v="0"/>
    <x v="4"/>
    <s v="Received"/>
    <s v="Energy International Controls"/>
    <x v="3"/>
    <x v="5"/>
    <x v="6"/>
    <n v="11"/>
    <n v="2025"/>
    <m/>
  </r>
  <r>
    <x v="1"/>
    <x v="31"/>
    <x v="3"/>
    <s v="CUSTOMER = 3972500 DEAL AMT = 75 DEAL CCY = SAR TAX CODE = 1 "/>
    <x v="217"/>
    <s v="TF251740001701"/>
    <x v="0"/>
    <n v="-11.25"/>
    <n v="0"/>
    <x v="1"/>
    <s v="Received"/>
    <s v="Gulf Grilles Company"/>
    <x v="3"/>
    <x v="6"/>
    <x v="7"/>
    <n v="11"/>
    <n v="2025"/>
    <m/>
  </r>
  <r>
    <x v="1"/>
    <x v="31"/>
    <x v="3"/>
    <s v="LC SWIFT CHARGES FOR LC NO. TF251740001701\BNK"/>
    <x v="217"/>
    <s v="TF251740001701"/>
    <x v="0"/>
    <n v="-75"/>
    <n v="0"/>
    <x v="3"/>
    <s v="Received"/>
    <s v="Gulf Grilles Company"/>
    <x v="3"/>
    <x v="6"/>
    <x v="7"/>
    <n v="11"/>
    <n v="2025"/>
    <m/>
  </r>
  <r>
    <x v="1"/>
    <x v="31"/>
    <x v="3"/>
    <s v="REIMBURSE UNDER LCS DR FOR LC NO. TF251740001701\BNK"/>
    <x v="217"/>
    <s v="TF251740001701"/>
    <x v="0"/>
    <n v="-300000"/>
    <n v="0"/>
    <x v="4"/>
    <s v="Received"/>
    <s v="Gulf Grilles Company"/>
    <x v="3"/>
    <x v="6"/>
    <x v="7"/>
    <n v="11"/>
    <n v="2025"/>
    <m/>
  </r>
  <r>
    <x v="1"/>
    <x v="31"/>
    <x v="3"/>
    <s v="CUSTOMER = 3972500 DEAL AMT = 75 DEAL CCY = SAR TAX CODE = 1 "/>
    <x v="218"/>
    <s v="TF251740003001"/>
    <x v="0"/>
    <n v="-11.25"/>
    <n v="0"/>
    <x v="1"/>
    <s v="Received"/>
    <s v="DELHAM AL JANOUB FOR CONTRACTING"/>
    <x v="3"/>
    <x v="6"/>
    <x v="7"/>
    <n v="11"/>
    <n v="2025"/>
    <m/>
  </r>
  <r>
    <x v="1"/>
    <x v="31"/>
    <x v="3"/>
    <s v="LC SWIFT CHARGES FOR LC NO. TF251740003001\BNK"/>
    <x v="218"/>
    <s v="TF251740003001"/>
    <x v="0"/>
    <n v="-75"/>
    <n v="0"/>
    <x v="3"/>
    <s v="Received"/>
    <s v="DELHAM AL JANOUB FOR CONTRACTING"/>
    <x v="3"/>
    <x v="6"/>
    <x v="7"/>
    <n v="11"/>
    <n v="2025"/>
    <m/>
  </r>
  <r>
    <x v="1"/>
    <x v="31"/>
    <x v="3"/>
    <s v="REIMBURSE UNDER LCS DR FOR LC NO. TF251740003001\BNK"/>
    <x v="218"/>
    <s v="TF251740003001"/>
    <x v="0"/>
    <n v="-80000"/>
    <n v="0"/>
    <x v="4"/>
    <s v="Received"/>
    <s v="DELHAM AL JANOUB FOR CONTRACTING"/>
    <x v="3"/>
    <x v="6"/>
    <x v="7"/>
    <n v="11"/>
    <n v="2025"/>
    <m/>
  </r>
  <r>
    <x v="1"/>
    <x v="31"/>
    <x v="3"/>
    <s v="CUSTOMER = 3972500 DEAL AMT = 75 DEAL CCY = SAR TAX CODE = 1 "/>
    <x v="219"/>
    <s v="TF251740004401"/>
    <x v="0"/>
    <n v="-11.25"/>
    <n v="0"/>
    <x v="1"/>
    <s v="Received"/>
    <s v="ENERGY CONCEPT CO LTD"/>
    <x v="3"/>
    <x v="6"/>
    <x v="7"/>
    <n v="11"/>
    <n v="2025"/>
    <m/>
  </r>
  <r>
    <x v="1"/>
    <x v="31"/>
    <x v="3"/>
    <s v="LC SWIFT CHARGES FOR LC NO. TF251740004401\BNK"/>
    <x v="219"/>
    <s v="TF251740004401"/>
    <x v="0"/>
    <n v="-75"/>
    <n v="0"/>
    <x v="3"/>
    <s v="Received"/>
    <s v="ENERGY CONCEPT CO LTD"/>
    <x v="3"/>
    <x v="6"/>
    <x v="7"/>
    <n v="11"/>
    <n v="2025"/>
    <m/>
  </r>
  <r>
    <x v="1"/>
    <x v="31"/>
    <x v="3"/>
    <s v="REIMBURSE UNDER LCS DR FOR LC NO. TF251740004401\BNK"/>
    <x v="219"/>
    <s v="TF251740004401"/>
    <x v="0"/>
    <n v="-248951.85"/>
    <n v="0"/>
    <x v="4"/>
    <s v="Received"/>
    <s v="ENERGY CONCEPT CO LTD"/>
    <x v="3"/>
    <x v="6"/>
    <x v="7"/>
    <n v="11"/>
    <n v="2025"/>
    <m/>
  </r>
  <r>
    <x v="1"/>
    <x v="31"/>
    <x v="3"/>
    <s v="CUSTOMER = 3972500 DEAL AMT = 75 DEAL CCY = SAR TAX CODE = 1 "/>
    <x v="220"/>
    <s v="TF251770003501"/>
    <x v="0"/>
    <n v="-11.25"/>
    <n v="0"/>
    <x v="1"/>
    <s v="Received"/>
    <s v="SAHM AL MADINAH CONTRACTING EST"/>
    <x v="3"/>
    <x v="6"/>
    <x v="7"/>
    <n v="11"/>
    <n v="2025"/>
    <m/>
  </r>
  <r>
    <x v="1"/>
    <x v="31"/>
    <x v="3"/>
    <s v="LC SWIFT CHARGES FOR LC NO. TF251770003501\BNK"/>
    <x v="220"/>
    <s v="TF251770003501"/>
    <x v="0"/>
    <n v="-75"/>
    <n v="0"/>
    <x v="3"/>
    <s v="Received"/>
    <s v="SAHM AL MADINAH CONTRACTING EST"/>
    <x v="3"/>
    <x v="6"/>
    <x v="7"/>
    <n v="11"/>
    <n v="2025"/>
    <m/>
  </r>
  <r>
    <x v="1"/>
    <x v="31"/>
    <x v="3"/>
    <s v="REIMBURSE UNDER LCS DR FOR LC NO. TF251770003501\BNK"/>
    <x v="220"/>
    <s v="TF251770003501"/>
    <x v="0"/>
    <n v="-550000"/>
    <n v="0"/>
    <x v="4"/>
    <s v="Received"/>
    <s v="SAHM AL MADINAH CONTRACTING EST"/>
    <x v="3"/>
    <x v="6"/>
    <x v="7"/>
    <n v="11"/>
    <n v="2025"/>
    <m/>
  </r>
  <r>
    <x v="1"/>
    <x v="31"/>
    <x v="3"/>
    <s v="CUSTOMER = 3972500 DEAL AMT = 75 DEAL CCY = SAR TAX CODE = 1 "/>
    <x v="221"/>
    <s v="TF251770006101"/>
    <x v="0"/>
    <n v="-11.25"/>
    <n v="0"/>
    <x v="1"/>
    <s v="Received"/>
    <s v="SAUD JAMAL ALHADDAD EQUIPMENT RENTAL EST."/>
    <x v="3"/>
    <x v="6"/>
    <x v="7"/>
    <n v="11"/>
    <n v="2025"/>
    <m/>
  </r>
  <r>
    <x v="1"/>
    <x v="31"/>
    <x v="3"/>
    <s v="LC SWIFT CHARGES FOR LC NO. TF251770006101\BNK"/>
    <x v="221"/>
    <s v="TF251770006101"/>
    <x v="0"/>
    <n v="-75"/>
    <n v="0"/>
    <x v="3"/>
    <s v="Received"/>
    <s v="SAUD JAMAL ALHADDAD EQUIPMENT RENTAL EST."/>
    <x v="3"/>
    <x v="6"/>
    <x v="7"/>
    <n v="11"/>
    <n v="2025"/>
    <m/>
  </r>
  <r>
    <x v="1"/>
    <x v="31"/>
    <x v="3"/>
    <s v="REIMBURSE UNDER LCS DR FOR LC NO. TF251770006101\BNK"/>
    <x v="221"/>
    <s v="TF251770006101"/>
    <x v="0"/>
    <n v="-200000"/>
    <n v="0"/>
    <x v="4"/>
    <s v="Received"/>
    <s v="SAUD JAMAL ALHADDAD EQUIPMENT RENTAL EST."/>
    <x v="3"/>
    <x v="6"/>
    <x v="7"/>
    <n v="11"/>
    <n v="2025"/>
    <m/>
  </r>
  <r>
    <x v="1"/>
    <x v="32"/>
    <x v="3"/>
    <s v="CUSTOMER = 3972500 DEAL AMT = 75 DEAL CCY = SAR TAX CODE = 1 "/>
    <x v="204"/>
    <s v="TF251310002701"/>
    <x v="0"/>
    <n v="-11.25"/>
    <n v="0"/>
    <x v="1"/>
    <s v="Received"/>
    <s v="ALBYT ALTHAKI TRADING CO"/>
    <x v="3"/>
    <x v="5"/>
    <x v="6"/>
    <n v="11"/>
    <n v="2025"/>
    <m/>
  </r>
  <r>
    <x v="1"/>
    <x v="32"/>
    <x v="3"/>
    <s v="LC SWIFT CHARGES FOR LC NO. TF251310002701\BNK"/>
    <x v="204"/>
    <s v="TF251310002701"/>
    <x v="0"/>
    <n v="-75"/>
    <n v="0"/>
    <x v="3"/>
    <s v="Received"/>
    <s v="ALBYT ALTHAKI TRADING CO"/>
    <x v="3"/>
    <x v="5"/>
    <x v="6"/>
    <n v="11"/>
    <n v="2025"/>
    <m/>
  </r>
  <r>
    <x v="1"/>
    <x v="32"/>
    <x v="3"/>
    <s v="REIMBURSE UNDER LCS DR FOR LC NO. TF251310002701\BNK"/>
    <x v="204"/>
    <s v="TF251310002701"/>
    <x v="0"/>
    <n v="-312132.31"/>
    <n v="0"/>
    <x v="4"/>
    <s v="Received"/>
    <s v="ALBYT ALTHAKI TRADING CO"/>
    <x v="3"/>
    <x v="5"/>
    <x v="6"/>
    <n v="11"/>
    <n v="2025"/>
    <m/>
  </r>
  <r>
    <x v="1"/>
    <x v="32"/>
    <x v="3"/>
    <s v="CUSTOMER = 3972500 DEAL AMT = 100.00 DEAL CCY = SAR TAX CODE = 1 "/>
    <x v="222"/>
    <s v="TF253060003401"/>
    <x v="0"/>
    <n v="-15"/>
    <n v="0"/>
    <x v="1"/>
    <s v="Received"/>
    <e v="#N/A"/>
    <x v="7"/>
    <x v="12"/>
    <x v="19"/>
    <n v="11"/>
    <n v="2025"/>
    <m/>
  </r>
  <r>
    <x v="1"/>
    <x v="32"/>
    <x v="3"/>
    <s v="LC SWIFT CHARGES FOR LC NO. TF253060003401\BNK"/>
    <x v="222"/>
    <s v="TF253060003401"/>
    <x v="0"/>
    <n v="-100"/>
    <n v="0"/>
    <x v="3"/>
    <s v="Received"/>
    <e v="#N/A"/>
    <x v="7"/>
    <x v="12"/>
    <x v="19"/>
    <n v="11"/>
    <n v="2025"/>
    <m/>
  </r>
  <r>
    <x v="1"/>
    <x v="32"/>
    <x v="3"/>
    <s v="CUSTOMER = 3972500 DEAL AMT = 750.00 DEAL CCY = SAR TAX CODE = 1 "/>
    <x v="222"/>
    <s v="TF253060003401"/>
    <x v="0"/>
    <n v="-112.5"/>
    <n v="0"/>
    <x v="1"/>
    <s v="Received"/>
    <e v="#N/A"/>
    <x v="7"/>
    <x v="12"/>
    <x v="19"/>
    <n v="11"/>
    <n v="2025"/>
    <m/>
  </r>
  <r>
    <x v="1"/>
    <x v="32"/>
    <x v="3"/>
    <s v="LC INWARD COLLECTION FEE FOR LC NO. TF253060003401\BNK"/>
    <x v="222"/>
    <s v="TF253060003401"/>
    <x v="0"/>
    <n v="-750"/>
    <n v="0"/>
    <x v="10"/>
    <s v="Received"/>
    <e v="#N/A"/>
    <x v="7"/>
    <x v="12"/>
    <x v="19"/>
    <n v="11"/>
    <n v="2025"/>
    <m/>
  </r>
  <r>
    <x v="1"/>
    <x v="32"/>
    <x v="3"/>
    <s v="REIMBURSE UNDER LCS DR FOR LC NO. TF253060003401\BNK"/>
    <x v="222"/>
    <s v="TF253060003401"/>
    <x v="0"/>
    <n v="-10095188.34"/>
    <n v="0"/>
    <x v="4"/>
    <s v="Received"/>
    <e v="#N/A"/>
    <x v="7"/>
    <x v="12"/>
    <x v="19"/>
    <n v="11"/>
    <n v="2025"/>
    <m/>
  </r>
  <r>
    <x v="1"/>
    <x v="33"/>
    <x v="3"/>
    <s v="CUSTOMER = 3972500 DEAL AMT = 56666.67 DEAL CCY = SAR TAX CODE = 1 "/>
    <x v="210"/>
    <s v="TF253140001401"/>
    <x v="0"/>
    <n v="-8500"/>
    <n v="0"/>
    <x v="1"/>
    <s v="Received"/>
    <s v="Hamada Decoration Company"/>
    <x v="0"/>
    <x v="14"/>
    <x v="21"/>
    <n v="11"/>
    <n v="2025"/>
    <m/>
  </r>
  <r>
    <x v="1"/>
    <x v="33"/>
    <x v="3"/>
    <s v="LC ACCEPTANCE COMMISSION FOR LC NO. TF253140001401\BNK"/>
    <x v="210"/>
    <s v="TF253140001401"/>
    <x v="0"/>
    <n v="-56666.67"/>
    <n v="0"/>
    <x v="2"/>
    <s v="Received"/>
    <s v="Hamada Decoration Company"/>
    <x v="0"/>
    <x v="14"/>
    <x v="21"/>
    <n v="11"/>
    <n v="2025"/>
    <m/>
  </r>
  <r>
    <x v="0"/>
    <x v="29"/>
    <x v="0"/>
    <s v="REF 000000JLC6901431,RB REF JLC6901431,VIA CORE SYSTEM,DATE-TIME 11/11-10:55:43, عن طريق النظام الآ لي ,VALUE DT 11/11/25"/>
    <x v="95"/>
    <s v=""/>
    <x v="0"/>
    <n v="2182840.0699999998"/>
    <n v="0"/>
    <x v="11"/>
    <s v="Received"/>
    <s v="Mat Filtrasyon Teknolojeleri A.S"/>
    <x v="0"/>
    <x v="3"/>
    <x v="3"/>
    <n v="11"/>
    <n v="2025"/>
    <m/>
  </r>
  <r>
    <x v="0"/>
    <x v="30"/>
    <x v="0"/>
    <s v="RB REF JLG6601246,VIA CORE SYSTEM,DATE-TIME 12/11-11:34:24, عن طريق النظام الآ لي ,VALUE DT 12/11/25"/>
    <x v="223"/>
    <s v=""/>
    <x v="0"/>
    <n v="10989.4"/>
    <n v="0"/>
    <x v="12"/>
    <s v="Received"/>
    <s v="Advance - JEDDAH CENTRAL DEVELOPMENT COMPANY (JCD) "/>
    <x v="1"/>
    <x v="13"/>
    <x v="22"/>
    <n v="11"/>
    <n v="2025"/>
    <m/>
  </r>
  <r>
    <x v="0"/>
    <x v="30"/>
    <x v="1"/>
    <s v="RB REF JLG6602654,VIA CORE SYSTEM,DATE-TIME 12/11-11:31:18, عن طريق النظام الآ لي ,VALUE DT 12/11/25"/>
    <x v="224"/>
    <s v=""/>
    <x v="0"/>
    <n v="84100.65"/>
    <n v="0"/>
    <x v="12"/>
    <s v="Received"/>
    <s v="Performance - JEDDAH CENTRAL DEVELOPMENT COMPANY"/>
    <x v="1"/>
    <x v="13"/>
    <x v="22"/>
    <n v="11"/>
    <n v="2025"/>
    <m/>
  </r>
  <r>
    <x v="0"/>
    <x v="30"/>
    <x v="13"/>
    <s v="REF 000000JLC6701731,RB REF JLC6701731,VIA CORE SYSTEM,DATE-TIME 12/11-14:15:51, عن طريق النظام الآ لي ,VALUE DT 12/11/25"/>
    <x v="96"/>
    <s v=""/>
    <x v="3"/>
    <n v="1226540.45"/>
    <n v="0"/>
    <x v="13"/>
    <s v="Received"/>
    <s v="ATELIER HOSPITALITY SRL"/>
    <x v="0"/>
    <x v="0"/>
    <x v="0"/>
    <n v="11"/>
    <n v="2025"/>
    <m/>
  </r>
  <r>
    <x v="0"/>
    <x v="30"/>
    <x v="13"/>
    <s v="REF 000000JLC6701731,RB REF JLC6701731,VIA CORE SYSTEM,DATE-TIME 12/11-10:06:18, عن طريق النظام الآ لي ,VALUE DT 12/11/25"/>
    <x v="96"/>
    <s v=""/>
    <x v="3"/>
    <n v="45021.19"/>
    <n v="0"/>
    <x v="4"/>
    <s v="Received"/>
    <s v="ATELIER HOSPITALITY SRL"/>
    <x v="0"/>
    <x v="0"/>
    <x v="0"/>
    <n v="11"/>
    <n v="2025"/>
    <m/>
  </r>
  <r>
    <x v="0"/>
    <x v="34"/>
    <x v="1"/>
    <s v="REF 000000JLC6901431,RB REF JLC6901431,VIA CORE SYSTEM,DATE-TIME 18/11-10:12:00, عن طريق النظام الآ لي ,VALUE DT 18/11/25"/>
    <x v="95"/>
    <s v=""/>
    <x v="0"/>
    <n v="6003.79"/>
    <n v="0"/>
    <x v="2"/>
    <s v="Received"/>
    <s v="Mat Filtrasyon Teknolojeleri A.S"/>
    <x v="0"/>
    <x v="3"/>
    <x v="3"/>
    <n v="11"/>
    <n v="2025"/>
    <m/>
  </r>
  <r>
    <x v="0"/>
    <x v="35"/>
    <x v="14"/>
    <s v="RB REF JLG6902637,VIA CORE SYSTEM,DATE-TIME 19/11-16:58:08, عن طريق النظام الآ لي ,VALUE DT 19/11/25"/>
    <x v="225"/>
    <s v=""/>
    <x v="0"/>
    <n v="10781.25"/>
    <n v="0"/>
    <x v="12"/>
    <s v="Received"/>
    <s v="Bid - The Desert Resort Development Company"/>
    <x v="1"/>
    <x v="2"/>
    <x v="2"/>
    <n v="11"/>
    <n v="2025"/>
    <m/>
  </r>
  <r>
    <x v="2"/>
    <x v="28"/>
    <x v="4"/>
    <s v="CITY:Jeddah 6132225J210868001"/>
    <x v="226"/>
    <s v="J210868001"/>
    <x v="0"/>
    <n v="-7848.75"/>
    <n v="0"/>
    <x v="5"/>
    <s v="Received"/>
    <s v="Al Yamamah Company for Reinforcing Steel Bars"/>
    <x v="0"/>
    <x v="3"/>
    <x v="3"/>
    <n v="11"/>
    <n v="2025"/>
    <m/>
  </r>
  <r>
    <x v="2"/>
    <x v="29"/>
    <x v="4"/>
    <s v="CITY:Jeddah 6132225J211485001"/>
    <x v="192"/>
    <s v="J211485001"/>
    <x v="0"/>
    <n v="-460"/>
    <n v="0"/>
    <x v="5"/>
    <s v="Received"/>
    <s v="ALNAFIE METAL INDUSTRIES CO LTD"/>
    <x v="8"/>
    <x v="11"/>
    <x v="17"/>
    <n v="11"/>
    <n v="2025"/>
    <m/>
  </r>
  <r>
    <x v="2"/>
    <x v="29"/>
    <x v="4"/>
    <s v="CITY:Jeddah 6132225J210868001"/>
    <x v="226"/>
    <s v="J210868001"/>
    <x v="0"/>
    <n v="-9484337.5"/>
    <n v="0"/>
    <x v="4"/>
    <s v="Received"/>
    <s v="Al Yamamah Company for Reinforcing Steel Bars"/>
    <x v="0"/>
    <x v="3"/>
    <x v="3"/>
    <n v="11"/>
    <n v="2025"/>
    <m/>
  </r>
  <r>
    <x v="2"/>
    <x v="29"/>
    <x v="4"/>
    <s v="CITY:Jeddah 6132225J211485002"/>
    <x v="192"/>
    <s v="J211485002"/>
    <x v="0"/>
    <n v="-460"/>
    <n v="0"/>
    <x v="5"/>
    <s v="Received"/>
    <s v="ALNAFIE METAL INDUSTRIES CO LTD"/>
    <x v="8"/>
    <x v="11"/>
    <x v="17"/>
    <n v="11"/>
    <n v="2025"/>
    <m/>
  </r>
  <r>
    <x v="2"/>
    <x v="30"/>
    <x v="4"/>
    <s v="CITY:Jeddah 6132225J210611001"/>
    <x v="134"/>
    <s v="J210611001"/>
    <x v="0"/>
    <n v="-1353135.09"/>
    <n v="0"/>
    <x v="4"/>
    <s v="Received"/>
    <s v="ALFANAR ELECTRICAL SYSTEMS"/>
    <x v="3"/>
    <x v="5"/>
    <x v="6"/>
    <n v="11"/>
    <n v="2025"/>
    <m/>
  </r>
  <r>
    <x v="2"/>
    <x v="32"/>
    <x v="4"/>
    <s v="CITY:Jeddah 6132225J210868002"/>
    <x v="226"/>
    <s v="J210868002"/>
    <x v="0"/>
    <n v="-460"/>
    <n v="0"/>
    <x v="5"/>
    <s v="Received"/>
    <s v="Al Yamamah Company for Reinforcing Steel Bars"/>
    <x v="0"/>
    <x v="3"/>
    <x v="3"/>
    <n v="11"/>
    <n v="2025"/>
    <m/>
  </r>
  <r>
    <x v="2"/>
    <x v="36"/>
    <x v="4"/>
    <s v="CITY:Jeddah 6132225J210104000"/>
    <x v="136"/>
    <s v="J210104000"/>
    <x v="0"/>
    <m/>
    <n v="3389417.77"/>
    <x v="4"/>
    <s v="Received"/>
    <s v="BBH-CHEMTROL INTERNATIONAL ORGANIZATION S.L"/>
    <x v="4"/>
    <x v="11"/>
    <x v="17"/>
    <n v="11"/>
    <n v="2025"/>
    <m/>
  </r>
  <r>
    <x v="2"/>
    <x v="36"/>
    <x v="4"/>
    <s v="CITY:Jeddah 6132225J210868003"/>
    <x v="226"/>
    <s v="J210868003"/>
    <x v="0"/>
    <n v="-460"/>
    <n v="0"/>
    <x v="5"/>
    <s v="Received"/>
    <s v="Al Yamamah Company for Reinforcing Steel Bars"/>
    <x v="0"/>
    <x v="3"/>
    <x v="3"/>
    <n v="11"/>
    <n v="2025"/>
    <m/>
  </r>
  <r>
    <x v="2"/>
    <x v="36"/>
    <x v="4"/>
    <s v="CITY:Jeddah 6132225J210104001"/>
    <x v="136"/>
    <s v="J210104001"/>
    <x v="0"/>
    <n v="-3389417.77"/>
    <n v="0"/>
    <x v="4"/>
    <s v="Received"/>
    <s v="BBH-CHEMTROL INTERNATIONAL ORGANIZATION S.L"/>
    <x v="4"/>
    <x v="11"/>
    <x v="17"/>
    <n v="11"/>
    <n v="2025"/>
    <m/>
  </r>
  <r>
    <x v="2"/>
    <x v="36"/>
    <x v="12"/>
    <s v="CITY:Jeddah 6132225J210096016 1273871.4 SAR"/>
    <x v="128"/>
    <s v="J210096016"/>
    <x v="2"/>
    <n v="-339699.04"/>
    <n v="0"/>
    <x v="4"/>
    <s v="Received"/>
    <s v="HOLCIM SOLUTIONS AND PRODUCTS EMEA BV"/>
    <x v="6"/>
    <x v="8"/>
    <x v="9"/>
    <n v="11"/>
    <n v="2025"/>
    <m/>
  </r>
  <r>
    <x v="2"/>
    <x v="36"/>
    <x v="11"/>
    <s v="CITY:Jeddah 6132225B314277012"/>
    <x v="118"/>
    <m/>
    <x v="2"/>
    <n v="-52900"/>
    <n v="0"/>
    <x v="12"/>
    <s v="Received"/>
    <s v="Material - JEDDAH CENTRAL DEVELOPMENT COMPANY (JCD)"/>
    <x v="1"/>
    <x v="11"/>
    <x v="16"/>
    <n v="11"/>
    <n v="2025"/>
    <m/>
  </r>
  <r>
    <x v="3"/>
    <x v="28"/>
    <x v="5"/>
    <s v="DPBEPM618769WPM DCBWPM562730"/>
    <x v="227"/>
    <s v="DPBEPM618769WPM"/>
    <x v="0"/>
    <n v="-20000000"/>
    <n v="0"/>
    <x v="4"/>
    <s v="Received"/>
    <s v="Electric House Trading Company L.L.C."/>
    <x v="3"/>
    <x v="8"/>
    <x v="9"/>
    <n v="11"/>
    <n v="2025"/>
    <m/>
  </r>
  <r>
    <x v="3"/>
    <x v="29"/>
    <x v="5"/>
    <s v="IMP BILL RETIRE. CHARGES DPBCOR625416WPM DCBWPM554738"/>
    <x v="48"/>
    <s v="DPBCOR625416WPM"/>
    <x v="0"/>
    <n v="-524.69000000000005"/>
    <n v="0"/>
    <x v="4"/>
    <s v="Received"/>
    <s v="ISAM MUAMMED KHAIRI KABBANI GLASS (IKK Glass)"/>
    <x v="5"/>
    <x v="8"/>
    <x v="9"/>
    <n v="11"/>
    <n v="2025"/>
    <m/>
  </r>
  <r>
    <x v="3"/>
    <x v="29"/>
    <x v="5"/>
    <s v="DPBCOR614822WPM DCBWPM553893"/>
    <x v="52"/>
    <s v="DPBCOR614822WPM"/>
    <x v="0"/>
    <n v="-3613085.85"/>
    <n v="0"/>
    <x v="4"/>
    <s v="Received"/>
    <s v="Kingspan Insulated Panels Manufacturing LLC"/>
    <x v="0"/>
    <x v="8"/>
    <x v="9"/>
    <n v="11"/>
    <n v="2025"/>
    <m/>
  </r>
  <r>
    <x v="3"/>
    <x v="29"/>
    <x v="6"/>
    <s v="IMP BILL COMM DPBCOR625929WPM DCBWPM566639"/>
    <x v="228"/>
    <s v="DPBCOR625929WPM"/>
    <x v="0"/>
    <n v="-4743.75"/>
    <n v="0"/>
    <x v="2"/>
    <s v="Received"/>
    <s v="MARIAM TRADING CO. &amp; PARTNER "/>
    <x v="3"/>
    <x v="9"/>
    <x v="10"/>
    <n v="11"/>
    <n v="2025"/>
    <m/>
  </r>
  <r>
    <x v="3"/>
    <x v="29"/>
    <x v="6"/>
    <s v="DPBCOR625416WPM DCBWPM554738"/>
    <x v="48"/>
    <s v="DPBCOR625416WPM"/>
    <x v="0"/>
    <n v="-730000"/>
    <n v="0"/>
    <x v="4"/>
    <s v="Received"/>
    <s v="ISAM MUAMMED KHAIRI KABBANI GLASS (IKK Glass)"/>
    <x v="5"/>
    <x v="8"/>
    <x v="9"/>
    <n v="11"/>
    <n v="2025"/>
    <m/>
  </r>
  <r>
    <x v="3"/>
    <x v="30"/>
    <x v="5"/>
    <s v="DPBCOR625089WPM DCBWPM565536"/>
    <x v="61"/>
    <s v="DPBCOR625089WPM"/>
    <x v="0"/>
    <n v="-979998.95"/>
    <n v="0"/>
    <x v="4"/>
    <s v="Received"/>
    <s v="Company Alabwab Aldulaya For Contracting"/>
    <x v="5"/>
    <x v="8"/>
    <x v="9"/>
    <n v="11"/>
    <n v="2025"/>
    <m/>
  </r>
  <r>
    <x v="3"/>
    <x v="30"/>
    <x v="6"/>
    <s v="IMP BILL AMEND. CHARGES DPBCOR625701WPM DCBWPM564596"/>
    <x v="229"/>
    <s v="DPBCOR625701WPM"/>
    <x v="0"/>
    <n v="-2156.25"/>
    <n v="0"/>
    <x v="2"/>
    <s v="Received"/>
    <s v="Advance Future Al Arabiya "/>
    <x v="4"/>
    <x v="1"/>
    <x v="11"/>
    <n v="11"/>
    <n v="2025"/>
    <m/>
  </r>
  <r>
    <x v="3"/>
    <x v="30"/>
    <x v="6"/>
    <s v="DPBCOR625703WPM DCBWPM564605"/>
    <x v="230"/>
    <s v="DPBCOR625703WPM"/>
    <x v="0"/>
    <n v="-686883"/>
    <n v="0"/>
    <x v="4"/>
    <s v="Received"/>
    <s v="Al-Sayed Center A/C &amp; Refrigeration Materials Company."/>
    <x v="4"/>
    <x v="1"/>
    <x v="11"/>
    <n v="11"/>
    <n v="2025"/>
    <m/>
  </r>
  <r>
    <x v="3"/>
    <x v="30"/>
    <x v="6"/>
    <s v="IMP BILL RETIRE. CHARGES DPBCOR625703WPM DCBWPM564605"/>
    <x v="230"/>
    <s v="DPBCOR625703WPM"/>
    <x v="0"/>
    <n v="-5924.36"/>
    <n v="0"/>
    <x v="4"/>
    <s v="Received"/>
    <s v="Al-Sayed Center A/C &amp; Refrigeration Materials Company."/>
    <x v="4"/>
    <x v="1"/>
    <x v="11"/>
    <n v="11"/>
    <n v="2025"/>
    <m/>
  </r>
  <r>
    <x v="3"/>
    <x v="30"/>
    <x v="6"/>
    <s v="IMP BILL COMM DPBCOR625985WPM DCBWPM566842"/>
    <x v="231"/>
    <s v="DPBCOR625985WPM"/>
    <x v="0"/>
    <n v="-12937.5"/>
    <n v="0"/>
    <x v="2"/>
    <s v="Received"/>
    <s v="Al Maymanah for Contracting Co. Ltd."/>
    <x v="3"/>
    <x v="9"/>
    <x v="10"/>
    <n v="11"/>
    <n v="2025"/>
    <m/>
  </r>
  <r>
    <x v="3"/>
    <x v="31"/>
    <x v="5"/>
    <s v="IMP BILL AMEND. CHARGES DPBEPM625846WPM DCBWPM563067"/>
    <x v="232"/>
    <s v="DPBEPM625846WPM"/>
    <x v="0"/>
    <n v="-983.8"/>
    <n v="0"/>
    <x v="2"/>
    <s v="Received"/>
    <s v="Fawaz Refrigeration &amp; Air Conditioning Cont. Co. LLC"/>
    <x v="3"/>
    <x v="8"/>
    <x v="9"/>
    <n v="11"/>
    <n v="2025"/>
    <m/>
  </r>
  <r>
    <x v="3"/>
    <x v="31"/>
    <x v="5"/>
    <s v="DPBEPM625846WPM PROJECT FLASH BILL COMM DCBWPM563067"/>
    <x v="232"/>
    <s v="DPBEPM625846WPM"/>
    <x v="0"/>
    <n v="-983.8"/>
    <n v="0"/>
    <x v="14"/>
    <s v="Received"/>
    <s v="Fawaz Refrigeration &amp; Air Conditioning Cont. Co. LLC"/>
    <x v="3"/>
    <x v="8"/>
    <x v="9"/>
    <n v="11"/>
    <n v="2025"/>
    <m/>
  </r>
  <r>
    <x v="3"/>
    <x v="32"/>
    <x v="5"/>
    <s v="DPBCOR619352WPM DCBWPM563375"/>
    <x v="233"/>
    <s v="DPBCOR619352WPM"/>
    <x v="0"/>
    <n v="-500000"/>
    <n v="0"/>
    <x v="4"/>
    <s v="Received"/>
    <s v="Cube Metal Industries Co."/>
    <x v="3"/>
    <x v="8"/>
    <x v="9"/>
    <n v="11"/>
    <n v="2025"/>
    <m/>
  </r>
  <r>
    <x v="3"/>
    <x v="36"/>
    <x v="6"/>
    <s v="DPBEPM619989WPM DCBWPM563067"/>
    <x v="232"/>
    <s v="DPBEPM619989WPM"/>
    <x v="0"/>
    <n v="-243215.8"/>
    <n v="0"/>
    <x v="4"/>
    <s v="Received"/>
    <s v="Fawaz Refrigeration &amp; Air Conditioning Cont. Co. LLC"/>
    <x v="3"/>
    <x v="8"/>
    <x v="9"/>
    <n v="11"/>
    <n v="2025"/>
    <m/>
  </r>
  <r>
    <x v="3"/>
    <x v="35"/>
    <x v="5"/>
    <s v="DPBCOR622878WPM DCBWPM551279 DCBMBL551279"/>
    <x v="55"/>
    <s v="DPBCOR622878WPM"/>
    <x v="0"/>
    <n v="-1364259.37"/>
    <n v="0"/>
    <x v="4"/>
    <s v="Received"/>
    <s v="Arnon Plastic Industries Co Ltd"/>
    <x v="0"/>
    <x v="8"/>
    <x v="9"/>
    <n v="11"/>
    <n v="2025"/>
    <m/>
  </r>
  <r>
    <x v="3"/>
    <x v="35"/>
    <x v="5"/>
    <s v="DPBEPM620630WPM DCBWPM554250"/>
    <x v="53"/>
    <s v="DPBEPM620630WPM"/>
    <x v="0"/>
    <n v="-912973.22"/>
    <n v="0"/>
    <x v="4"/>
    <s v="Received"/>
    <s v="MATERIALS SYSTEMS AND INDUSTRIAL SOLUTIONS COMPANY"/>
    <x v="0"/>
    <x v="8"/>
    <x v="9"/>
    <n v="11"/>
    <n v="2025"/>
    <m/>
  </r>
  <r>
    <x v="3"/>
    <x v="35"/>
    <x v="5"/>
    <s v="IMP BILL AMEND. CHARGES DPBCOR626155WPM DCBWPM563039"/>
    <x v="234"/>
    <s v="DPBCOR626155WPM"/>
    <x v="0"/>
    <n v="-585.66"/>
    <n v="0"/>
    <x v="2"/>
    <s v="Received"/>
    <s v="AC SOLUTIONS TRADING CO"/>
    <x v="3"/>
    <x v="8"/>
    <x v="9"/>
    <n v="11"/>
    <n v="2025"/>
    <m/>
  </r>
  <r>
    <x v="3"/>
    <x v="35"/>
    <x v="5"/>
    <s v="DPBCOR620211WPM DCBWPM563229"/>
    <x v="235"/>
    <s v="DPBCOR620211WPM"/>
    <x v="0"/>
    <n v="-1400000"/>
    <n v="0"/>
    <x v="4"/>
    <s v="Received"/>
    <s v="Modern Times Technical System Co"/>
    <x v="3"/>
    <x v="8"/>
    <x v="9"/>
    <n v="11"/>
    <n v="2025"/>
    <m/>
  </r>
  <r>
    <x v="3"/>
    <x v="35"/>
    <x v="6"/>
    <s v="IMP BILL COMM DPBEPM626537WPM DCBWPM566972"/>
    <x v="49"/>
    <s v="DPBEPM626537WPM"/>
    <x v="0"/>
    <n v="-5175"/>
    <n v="0"/>
    <x v="2"/>
    <s v="Received"/>
    <s v="Electric House Trading Company L.L.C."/>
    <x v="3"/>
    <x v="9"/>
    <x v="10"/>
    <n v="11"/>
    <n v="2025"/>
    <m/>
  </r>
  <r>
    <x v="4"/>
    <x v="28"/>
    <x v="8"/>
    <s v="TRADE FINANCE PAYMENT"/>
    <x v="66"/>
    <s v="TF251273300802"/>
    <x v="0"/>
    <n v="-141838.25"/>
    <n v="0"/>
    <x v="0"/>
    <s v="Received"/>
    <s v="KENZ SARAB MACHINERY AND EQUIPMENT COMPANY"/>
    <x v="3"/>
    <x v="6"/>
    <x v="7"/>
    <n v="11"/>
    <n v="2025"/>
    <m/>
  </r>
  <r>
    <x v="4"/>
    <x v="37"/>
    <x v="8"/>
    <s v="PROVISION MARGIN CR"/>
    <x v="236"/>
    <s v="TF2433133003"/>
    <x v="0"/>
    <m/>
    <n v="0.63"/>
    <x v="0"/>
    <s v="Received"/>
    <s v="Stratconn Commercial Broker LLC"/>
    <x v="0"/>
    <x v="6"/>
    <x v="7"/>
    <n v="11"/>
    <n v="2025"/>
    <m/>
  </r>
  <r>
    <x v="5"/>
    <x v="22"/>
    <x v="9"/>
    <s v="TI Bill Settled                                                       _x000a_POC003                                                                _x000a_At Bank AlJazira                                                      _x000a_CORPORATE BANKING DEPT-JEDDAH                                         _x000a_Date 11-05-1447(H) Time 09.48.39                                      _x000a_Reference ILC-0840-25-7980                                            _x000a_"/>
    <x v="70"/>
    <s v=""/>
    <x v="0"/>
    <n v="472000"/>
    <n v="0"/>
    <x v="4"/>
    <s v="Received"/>
    <s v="Saudi Hepco Co Ltd"/>
    <x v="3"/>
    <x v="10"/>
    <x v="13"/>
    <n v="11"/>
    <n v="2025"/>
    <m/>
  </r>
  <r>
    <x v="5"/>
    <x v="22"/>
    <x v="9"/>
    <s v="Dr TI ILC Comm/Other Charges                                          _x000a_POC004-277268887                                                      _x000a_At Bank Aljazira                                                      _x000a_ CORPORATE BANKING DEPT-JEDDAH                                        _x000a_Date 11-05-1447(H) Time 13.14.29                                      _x000a_Reference ILC-0840-25-7982                                            _x000a_Value Date 11-05-1447(H)                                              _x000a_Fee Collected By Bank AlJazira                                        _x000a_"/>
    <x v="74"/>
    <s v=""/>
    <x v="0"/>
    <n v="100"/>
    <n v="0"/>
    <x v="15"/>
    <s v="Received"/>
    <s v="Alpha Limit Trading and Contracting Company"/>
    <x v="3"/>
    <x v="10"/>
    <x v="13"/>
    <n v="11"/>
    <n v="2025"/>
    <m/>
  </r>
  <r>
    <x v="5"/>
    <x v="22"/>
    <x v="9"/>
    <s v="Value Added Tax                                                       _x000a_On ILC Acceptance Comm.                                               _x000a_15% of SAR100.00                                                      _x000a_Through CORPORATE BANKING DEPT-JEDDAH                                 _x000a_Date 11-05-1447(H) Time 13.14.29                                      _x000a_Reference ILC-0840-25-7982                                            _x000a_At Bank Aljazira                                                      _x000a_"/>
    <x v="74"/>
    <s v=""/>
    <x v="0"/>
    <n v="15"/>
    <n v="0"/>
    <x v="1"/>
    <s v="Received"/>
    <s v="Alpha Limit Trading and Contracting Company"/>
    <x v="3"/>
    <x v="10"/>
    <x v="13"/>
    <n v="11"/>
    <n v="2025"/>
    <m/>
  </r>
  <r>
    <x v="5"/>
    <x v="22"/>
    <x v="9"/>
    <s v="Dr TI ILC Comm/Other Charges                                          _x000a_POC004-277268942                                                      _x000a_At Bank Aljazira                                                      _x000a_ CORPORATE BANKING DEPT-JEDDAH                                        _x000a_Date 11-05-1447(H) Time 13.14.29                                      _x000a_Reference ILC-0840-25-7982                                            _x000a_Value Date 11-05-1447(H)                                              _x000a_Fee Collected By Bank AlJazira                                        _x000a_"/>
    <x v="74"/>
    <s v=""/>
    <x v="0"/>
    <n v="250"/>
    <n v="0"/>
    <x v="2"/>
    <s v="Received"/>
    <s v="Alpha Limit Trading and Contracting Company"/>
    <x v="3"/>
    <x v="10"/>
    <x v="13"/>
    <n v="11"/>
    <n v="2025"/>
    <m/>
  </r>
  <r>
    <x v="5"/>
    <x v="22"/>
    <x v="9"/>
    <s v="Value Added Tax                                                       _x000a_On ILC Acceptance Comm.                                               _x000a_15% of SAR250.00                                                      _x000a_Through CORPORATE BANKING DEPT-JEDDAH                                 _x000a_Date 11-05-1447(H) Time 13.14.30                                      _x000a_Reference ILC-0840-25-7982                                            _x000a_At Bank Aljazira                                                      _x000a_"/>
    <x v="74"/>
    <s v=""/>
    <x v="0"/>
    <n v="37.5"/>
    <n v="0"/>
    <x v="1"/>
    <s v="Received"/>
    <s v="Alpha Limit Trading and Contracting Company"/>
    <x v="3"/>
    <x v="10"/>
    <x v="13"/>
    <n v="11"/>
    <n v="2025"/>
    <m/>
  </r>
  <r>
    <x v="5"/>
    <x v="22"/>
    <x v="9"/>
    <s v="Dr TI ILC Comm/Other Charges                                          _x000a_POC004-277268944                                                      _x000a_At Bank Aljazira                                                      _x000a_ CORPORATE BANKING DEPT-JEDDAH                                        _x000a_Date 11-05-1447(H) Time 13.14.30                                      _x000a_Reference ILC-0840-25-7982                                            _x000a_Value Date 11-05-1447(H)                                              _x000a_Fee Collected By Bank AlJazira                                        _x000a_"/>
    <x v="74"/>
    <s v=""/>
    <x v="0"/>
    <n v="200"/>
    <n v="0"/>
    <x v="3"/>
    <s v="Received"/>
    <s v="Alpha Limit Trading and Contracting Company"/>
    <x v="3"/>
    <x v="10"/>
    <x v="13"/>
    <n v="11"/>
    <n v="2025"/>
    <m/>
  </r>
  <r>
    <x v="5"/>
    <x v="22"/>
    <x v="9"/>
    <s v="Value Added Tax                                                       _x000a_On SWIFT charges                                                      _x000a_15% of SAR200.00                                                      _x000a_Through CORPORATE BANKING DEPT-JEDDAH                                 _x000a_Date 11-05-1447(H) Time 13.14.30                                      _x000a_Reference ILC-0840-25-7982                                            _x000a_At Bank Aljazira                                                      _x000a_"/>
    <x v="74"/>
    <s v=""/>
    <x v="0"/>
    <n v="30"/>
    <n v="0"/>
    <x v="1"/>
    <s v="Received"/>
    <s v="Alpha Limit Trading and Contracting Company"/>
    <x v="3"/>
    <x v="10"/>
    <x v="13"/>
    <n v="11"/>
    <n v="2025"/>
    <m/>
  </r>
  <r>
    <x v="5"/>
    <x v="22"/>
    <x v="9"/>
    <s v="Dr TI ILC Comm/Other Charges                                          _x000a_AMD005-277343846                                                      _x000a_At Bank Aljazira                                                      _x000a_ CORPORATE BANKING DEPT-JEDDAH                                        _x000a_Date 11-05-1447(H) Time 16.22.18                                      _x000a_Reference ILC-0840-25-7173                                            _x000a_Value Date 11-05-1447(H)                                              _x000a_Fee Collected By Bank AlJazira                                        _x000a_"/>
    <x v="166"/>
    <s v=""/>
    <x v="0"/>
    <n v="1623.4"/>
    <n v="0"/>
    <x v="5"/>
    <s v="Received"/>
    <s v="AL-Tawi Ready Mix Concrete Factory Co"/>
    <x v="3"/>
    <x v="10"/>
    <x v="13"/>
    <n v="11"/>
    <n v="2025"/>
    <m/>
  </r>
  <r>
    <x v="5"/>
    <x v="22"/>
    <x v="9"/>
    <s v="Value Added Tax                                                       _x000a_On ILC Commission                                                     _x000a_15% of SAR1,623.40                                                    _x000a_Through CORPORATE BANKING DEPT-JEDDAH                                 _x000a_Date 11-05-1447(H) Time 16.22.18                                      _x000a_Reference ILC-0840-25-7173                                            _x000a_At Bank Aljazira                                                      _x000a_Exchange Rate 1.0                                                     _x000a_"/>
    <x v="166"/>
    <s v=""/>
    <x v="0"/>
    <n v="243.51"/>
    <n v="0"/>
    <x v="1"/>
    <s v="Received"/>
    <s v="AL-Tawi Ready Mix Concrete Factory Co"/>
    <x v="3"/>
    <x v="10"/>
    <x v="13"/>
    <n v="11"/>
    <n v="2025"/>
    <m/>
  </r>
  <r>
    <x v="5"/>
    <x v="22"/>
    <x v="9"/>
    <s v="Dr TI ILC Comm/Other Charges                                          _x000a_AMD005-277343848                                                      _x000a_At Bank Aljazira                                                      _x000a_ CORPORATE BANKING DEPT-JEDDAH                                        _x000a_Exchange Rate 1.0                                                     _x000a_Date 11-05-1447(H) Time 16.22.19                                      _x000a_Reference ILC-0840-25-7173                                            _x000a_Value Date 11-05-1447(H)                                              _x000a_Fee Collected By Bank AlJazira                                        _x000a_"/>
    <x v="166"/>
    <s v=""/>
    <x v="0"/>
    <n v="400"/>
    <n v="0"/>
    <x v="3"/>
    <s v="Received"/>
    <s v="AL-Tawi Ready Mix Concrete Factory Co"/>
    <x v="3"/>
    <x v="10"/>
    <x v="13"/>
    <n v="11"/>
    <n v="2025"/>
    <m/>
  </r>
  <r>
    <x v="5"/>
    <x v="22"/>
    <x v="9"/>
    <s v="Value Added Tax                                                       _x000a_On SWIFT charges                                                      _x000a_15% of SAR400.00                                                      _x000a_Through CORPORATE BANKING DEPT-JEDDAH                                 _x000a_Date 11-05-1447(H) Time 16.22.19                                      _x000a_Reference ILC-0840-25-7173                                            _x000a_At Bank Aljazira                                                      _x000a_"/>
    <x v="166"/>
    <s v=""/>
    <x v="0"/>
    <n v="60"/>
    <n v="0"/>
    <x v="1"/>
    <s v="Received"/>
    <s v="AL-Tawi Ready Mix Concrete Factory Co"/>
    <x v="3"/>
    <x v="10"/>
    <x v="13"/>
    <n v="11"/>
    <n v="2025"/>
    <m/>
  </r>
  <r>
    <x v="5"/>
    <x v="22"/>
    <x v="9"/>
    <s v="Dr TI ILC Comm/Other Charges                                          _x000a_AMD004-277342347                                                      _x000a_At Bank Aljazira                                                      _x000a_ CORPORATE BANKING DEPT-JEDDAH                                        _x000a_Exchange Rate 1.0                                                     _x000a_Date 11-05-1447(H) Time 16.22.52                                      _x000a_Reference ILC-0840-25-7269                                            _x000a_Value Date 11-05-1447(H)                                              _x000a_Fee Collected By Bank AlJazira                                        _x000a_"/>
    <x v="167"/>
    <s v=""/>
    <x v="0"/>
    <n v="500"/>
    <n v="0"/>
    <x v="5"/>
    <s v="Received"/>
    <s v="Union Pipes Industry"/>
    <x v="3"/>
    <x v="10"/>
    <x v="13"/>
    <n v="11"/>
    <n v="2025"/>
    <m/>
  </r>
  <r>
    <x v="5"/>
    <x v="22"/>
    <x v="9"/>
    <s v="Value Added Tax                                                       _x000a_On ILC Commission                                                     _x000a_15% of SAR500.00                                                      _x000a_Through CORPORATE BANKING DEPT-JEDDAH                                 _x000a_Date 11-05-1447(H) Time 16.22.52                                      _x000a_Reference ILC-0840-25-7269                                            _x000a_At Bank Aljazira                                                      _x000a_Exchange Rate 1.0                                                     _x000a_"/>
    <x v="167"/>
    <s v=""/>
    <x v="0"/>
    <n v="75"/>
    <n v="0"/>
    <x v="1"/>
    <s v="Received"/>
    <s v="Union Pipes Industry"/>
    <x v="3"/>
    <x v="10"/>
    <x v="13"/>
    <n v="11"/>
    <n v="2025"/>
    <m/>
  </r>
  <r>
    <x v="5"/>
    <x v="22"/>
    <x v="9"/>
    <s v="Dr TI ILC Comm/Other Charges                                          _x000a_AMD004-277342349                                                      _x000a_At Bank Aljazira                                                      _x000a_ CORPORATE BANKING DEPT-JEDDAH                                        _x000a_Exchange Rate 1.0                                                     _x000a_Date 11-05-1447(H) Time 16.22.53                                      _x000a_Reference ILC-0840-25-7269                                            _x000a_Value Date 11-05-1447(H)                                              _x000a_Fee Collected By Bank AlJazira                                        _x000a_"/>
    <x v="167"/>
    <s v=""/>
    <x v="0"/>
    <n v="400"/>
    <n v="0"/>
    <x v="3"/>
    <s v="Received"/>
    <s v="Union Pipes Industry"/>
    <x v="3"/>
    <x v="10"/>
    <x v="13"/>
    <n v="11"/>
    <n v="2025"/>
    <m/>
  </r>
  <r>
    <x v="5"/>
    <x v="22"/>
    <x v="9"/>
    <s v="Value Added Tax                                                       _x000a_On SWIFT charges                                                      _x000a_15% of SAR400.00                                                      _x000a_Through CORPORATE BANKING DEPT-JEDDAH                                 _x000a_Date 11-05-1447(H) Time 16.22.53                                      _x000a_Reference ILC-0840-25-7269                                            _x000a_At Bank Aljazira                                                      _x000a_Exchange Rate 1.0                                                     _x000a_"/>
    <x v="167"/>
    <s v=""/>
    <x v="0"/>
    <n v="60"/>
    <n v="0"/>
    <x v="1"/>
    <s v="Received"/>
    <s v="Union Pipes Industry"/>
    <x v="3"/>
    <x v="10"/>
    <x v="13"/>
    <n v="11"/>
    <n v="2025"/>
    <m/>
  </r>
  <r>
    <x v="5"/>
    <x v="22"/>
    <x v="9"/>
    <s v="Dr TI ILC Comm/Other Charges                                          _x000a_AMD003-277340898                                                      _x000a_At Bank Aljazira                                                      _x000a_ CORPORATE BANKING DEPT-JEDDAH                                        _x000a_Exchange Rate 1.0                                                     _x000a_Date 11-05-1447(H) Time 16.23.10                                      _x000a_Reference ILC-0840-25-7517                                            _x000a_Value Date 11-05-1447(H)                                              _x000a_Fee Collected By Bank AlJazira                                        _x000a_"/>
    <x v="168"/>
    <s v=""/>
    <x v="0"/>
    <n v="884.44"/>
    <n v="0"/>
    <x v="5"/>
    <s v="Received"/>
    <s v="SAUDI VITRIFIED CLAY PIPE CO"/>
    <x v="3"/>
    <x v="10"/>
    <x v="13"/>
    <n v="11"/>
    <n v="2025"/>
    <m/>
  </r>
  <r>
    <x v="5"/>
    <x v="22"/>
    <x v="9"/>
    <s v="Value Added Tax                                                       _x000a_On ILC Commission                                                     _x000a_15% of SAR884.44                                                      _x000a_Through CORPORATE BANKING DEPT-JEDDAH                                 _x000a_Date 11-05-1447(H) Time 16.23.11                                      _x000a_Reference ILC-0840-25-7517                                            _x000a_At Bank Aljazira                                                      _x000a_Exchange Rate 1.0                                                     _x000a_"/>
    <x v="168"/>
    <s v=""/>
    <x v="0"/>
    <n v="132.66999999999999"/>
    <n v="0"/>
    <x v="1"/>
    <s v="Received"/>
    <s v="SAUDI VITRIFIED CLAY PIPE CO"/>
    <x v="3"/>
    <x v="10"/>
    <x v="13"/>
    <n v="11"/>
    <n v="2025"/>
    <m/>
  </r>
  <r>
    <x v="5"/>
    <x v="22"/>
    <x v="9"/>
    <s v="Dr TI ILC Comm/Other Charges                                          _x000a_AMD003-277340900                                                      _x000a_At Bank Aljazira                                                      _x000a_ CORPORATE BANKING DEPT-JEDDAH                                        _x000a_Exchange Rate 1.0                                                     _x000a_Date 11-05-1447(H) Time 16.23.11                                      _x000a_Reference ILC-0840-25-7517                                            _x000a_Value Date 11-05-1447(H)                                              _x000a_Fee Collected By Bank AlJazira                                        _x000a_"/>
    <x v="168"/>
    <s v=""/>
    <x v="0"/>
    <n v="400"/>
    <n v="0"/>
    <x v="3"/>
    <s v="Received"/>
    <s v="SAUDI VITRIFIED CLAY PIPE CO"/>
    <x v="3"/>
    <x v="10"/>
    <x v="13"/>
    <n v="11"/>
    <n v="2025"/>
    <m/>
  </r>
  <r>
    <x v="5"/>
    <x v="22"/>
    <x v="9"/>
    <s v="Value Added Tax                                                       _x000a_On SWIFT charges                                                      _x000a_15% of SAR400.00                                                      _x000a_Through CORPORATE BANKING DEPT-JEDDAH                                 _x000a_Date 11-05-1447(H) Time 16.23.12                                      _x000a_Reference ILC-0840-25-7517                                            _x000a_At Bank Aljazira                                                      _x000a_Exchange Rate 1.0                                                     _x000a_"/>
    <x v="168"/>
    <s v=""/>
    <x v="0"/>
    <n v="60"/>
    <n v="0"/>
    <x v="1"/>
    <s v="Received"/>
    <s v="SAUDI VITRIFIED CLAY PIPE CO"/>
    <x v="3"/>
    <x v="10"/>
    <x v="13"/>
    <n v="11"/>
    <n v="2025"/>
    <m/>
  </r>
  <r>
    <x v="5"/>
    <x v="22"/>
    <x v="9"/>
    <s v="Dr TI ILC Comm/Other Charges                                          _x000a_AMD002-277339887                                                      _x000a_At Bank Aljazira                                                      _x000a_ CORPORATE BANKING DEPT-JEDDAH                                        _x000a_Date 11-05-1447(H) Time 16.23.20                                      _x000a_Reference ILC-0840-25-7736                                            _x000a_Value Date 11-05-1447(H)                                              _x000a_Fee Collected By Bank AlJazira                                        _x000a_"/>
    <x v="86"/>
    <s v=""/>
    <x v="0"/>
    <n v="500"/>
    <n v="0"/>
    <x v="5"/>
    <s v="Received"/>
    <s v="Baamer Group for Trading Company"/>
    <x v="3"/>
    <x v="10"/>
    <x v="13"/>
    <n v="11"/>
    <n v="2025"/>
    <m/>
  </r>
  <r>
    <x v="5"/>
    <x v="22"/>
    <x v="9"/>
    <s v="Value Added Tax                                                       _x000a_On ILC Commission                                                     _x000a_15% of SAR500.00                                                      _x000a_Through CORPORATE BANKING DEPT-JEDDAH                                 _x000a_Date 11-05-1447(H) Time 16.23.20                                      _x000a_Reference ILC-0840-25-7736                                            _x000a_At Bank Aljazira                                                      _x000a_"/>
    <x v="86"/>
    <s v=""/>
    <x v="0"/>
    <n v="75"/>
    <n v="0"/>
    <x v="1"/>
    <s v="Received"/>
    <s v="Baamer Group for Trading Company"/>
    <x v="3"/>
    <x v="10"/>
    <x v="13"/>
    <n v="11"/>
    <n v="2025"/>
    <m/>
  </r>
  <r>
    <x v="5"/>
    <x v="22"/>
    <x v="9"/>
    <s v="Dr TI ILC Comm/Other Charges                                          _x000a_AMD002-277339889                                                      _x000a_At Bank Aljazira                                                      _x000a_ CORPORATE BANKING DEPT-JEDDAH                                        _x000a_Date 11-05-1447(H) Time 16.23.20                                      _x000a_Reference ILC-0840-25-7736                                            _x000a_Value Date 11-05-1447(H)                                              _x000a_Fee Collected By Bank AlJazira                                        _x000a_"/>
    <x v="86"/>
    <s v=""/>
    <x v="0"/>
    <n v="400"/>
    <n v="0"/>
    <x v="3"/>
    <s v="Received"/>
    <s v="Baamer Group for Trading Company"/>
    <x v="3"/>
    <x v="10"/>
    <x v="13"/>
    <n v="11"/>
    <n v="2025"/>
    <m/>
  </r>
  <r>
    <x v="5"/>
    <x v="22"/>
    <x v="9"/>
    <s v="Value Added Tax                                                       _x000a_On SWIFT charges                                                      _x000a_15% of SAR400.00                                                      _x000a_Through CORPORATE BANKING DEPT-JEDDAH                                 _x000a_Date 11-05-1447(H) Time 16.23.21                                      _x000a_Reference ILC-0840-25-7736                                            _x000a_At Bank Aljazira                                                      _x000a_"/>
    <x v="86"/>
    <s v=""/>
    <x v="0"/>
    <n v="60"/>
    <n v="0"/>
    <x v="1"/>
    <s v="Received"/>
    <s v="Baamer Group for Trading Company"/>
    <x v="3"/>
    <x v="10"/>
    <x v="13"/>
    <n v="11"/>
    <n v="2025"/>
    <m/>
  </r>
  <r>
    <x v="5"/>
    <x v="22"/>
    <x v="9"/>
    <s v="Dr TI ILC Comm/Other Charges                                          _x000a_AMD002-277344485                                                      _x000a_At Bank Aljazira                                                      _x000a_ CORPORATE BANKING DEPT-JEDDAH                                        _x000a_Date 11-05-1447(H) Time 16.23.32                                      _x000a_Reference ILC-0840-25-7799                                            _x000a_Value Date 11-05-1447(H)                                              _x000a_Fee Collected By Bank AlJazira                                        _x000a_"/>
    <x v="72"/>
    <s v=""/>
    <x v="0"/>
    <n v="1277.1199999999999"/>
    <n v="0"/>
    <x v="5"/>
    <s v="Received"/>
    <s v="Metal and Glass Trading Co"/>
    <x v="3"/>
    <x v="10"/>
    <x v="13"/>
    <n v="11"/>
    <n v="2025"/>
    <m/>
  </r>
  <r>
    <x v="5"/>
    <x v="22"/>
    <x v="9"/>
    <s v="Value Added Tax                                                       _x000a_On ILC Commission                                                     _x000a_15% of SAR1,277.12                                                    _x000a_Through CORPORATE BANKING DEPT-JEDDAH                                 _x000a_Date 11-05-1447(H) Time 16.23.32                                      _x000a_Reference ILC-0840-25-7799                                            _x000a_At Bank Aljazira                                                      _x000a_"/>
    <x v="72"/>
    <s v=""/>
    <x v="0"/>
    <n v="191.57"/>
    <n v="0"/>
    <x v="1"/>
    <s v="Received"/>
    <s v="Metal and Glass Trading Co"/>
    <x v="3"/>
    <x v="10"/>
    <x v="13"/>
    <n v="11"/>
    <n v="2025"/>
    <m/>
  </r>
  <r>
    <x v="5"/>
    <x v="22"/>
    <x v="9"/>
    <s v="Dr TI ILC Comm/Other Charges                                          _x000a_AMD002-277344487                                                      _x000a_At Bank Aljazira                                                      _x000a_ CORPORATE BANKING DEPT-JEDDAH                                        _x000a_Date 11-05-1447(H) Time 16.23.32                                      _x000a_Reference ILC-0840-25-7799                                            _x000a_Value Date 11-05-1447(H)                                              _x000a_Fee Collected By Bank AlJazira                                        _x000a_"/>
    <x v="72"/>
    <s v=""/>
    <x v="0"/>
    <n v="400"/>
    <n v="0"/>
    <x v="3"/>
    <s v="Received"/>
    <s v="Metal and Glass Trading Co"/>
    <x v="3"/>
    <x v="10"/>
    <x v="13"/>
    <n v="11"/>
    <n v="2025"/>
    <m/>
  </r>
  <r>
    <x v="5"/>
    <x v="22"/>
    <x v="9"/>
    <s v="Value Added Tax                                                       _x000a_On SWIFT charges                                                      _x000a_15% of SAR400.00                                                      _x000a_Through CORPORATE BANKING DEPT-JEDDAH                                 _x000a_Date 11-05-1447(H) Time 16.23.32                                      _x000a_Reference ILC-0840-25-7799                                            _x000a_At Bank Aljazira                                                      _x000a_"/>
    <x v="72"/>
    <s v=""/>
    <x v="0"/>
    <n v="60"/>
    <n v="0"/>
    <x v="1"/>
    <s v="Received"/>
    <s v="Metal and Glass Trading Co"/>
    <x v="3"/>
    <x v="10"/>
    <x v="13"/>
    <n v="11"/>
    <n v="2025"/>
    <m/>
  </r>
  <r>
    <x v="5"/>
    <x v="23"/>
    <x v="9"/>
    <s v="TI Bill Settled                                                       _x000a_POC002                                                                _x000a_At Bank AlJazira                                                      _x000a_CORPORATE BANKING DEPT-JEDDAH                                         _x000a_Date 12-05-1447(H) Time 10.24.37                                      _x000a_Reference ILC-0840-25-7737                                            _x000a_"/>
    <x v="169"/>
    <s v=""/>
    <x v="0"/>
    <n v="552155.25"/>
    <n v="0"/>
    <x v="4"/>
    <s v="Received"/>
    <s v="EALLA FOR GENERAL CONTRACTING CO "/>
    <x v="3"/>
    <x v="10"/>
    <x v="13"/>
    <n v="11"/>
    <n v="2025"/>
    <m/>
  </r>
  <r>
    <x v="5"/>
    <x v="24"/>
    <x v="9"/>
    <s v="Dr TI LGI Commission (Earned)                                         _x000a_ISS001-277535120                                                      _x000a_At Bank AlJazira                                                      _x000a_CORPORATE BANKING DEPT-JEDDAH                                         _x000a_Date 13-05-1447(H) Time 13.28.21                                      _x000a_Reference LGI-0840-25-6932                                            _x000a_"/>
    <x v="173"/>
    <s v=""/>
    <x v="0"/>
    <n v="42500"/>
    <n v="0"/>
    <x v="16"/>
    <s v="Received"/>
    <s v="Bid - Automotive Sector Development Investment Company (ASDIC)"/>
    <x v="1"/>
    <x v="2"/>
    <x v="5"/>
    <n v="11"/>
    <n v="2025"/>
    <m/>
  </r>
  <r>
    <x v="5"/>
    <x v="24"/>
    <x v="9"/>
    <s v="Value Added Tax                                                       _x000a_On LGI ISSUANCE COMMISSION                                            _x000a_15% of SAR42,500.00                                                   _x000a_Through CORPORATE BANKING DEPT-JEDDAH                                 _x000a_Date 13-05-1447(H) Time 13.28.22                                      _x000a_Reference LGI-0840-25-6932                                            _x000a_At Bank Aljazira                                                      _x000a_Exchange Rate 1.0                                                     _x000a_"/>
    <x v="173"/>
    <s v=""/>
    <x v="0"/>
    <n v="6375"/>
    <n v="0"/>
    <x v="1"/>
    <s v="Received"/>
    <s v="Bid - Automotive Sector Development Investment Company (ASDIC)"/>
    <x v="1"/>
    <x v="2"/>
    <x v="5"/>
    <n v="11"/>
    <n v="2025"/>
    <m/>
  </r>
  <r>
    <x v="5"/>
    <x v="24"/>
    <x v="9"/>
    <s v="Dr TI LGI Comm/Other Charges                                          _x000a_ISS001-277535122                                                      _x000a_At Bank AlJazira                                                      _x000a_CORPORATE BANKING DEPT-JEDDAH                                         _x000a_Date 13-05-1447(H) Time 13.28.22                                      _x000a_Reference LGI-0840-25-6932                                            _x000a_"/>
    <x v="173"/>
    <s v=""/>
    <x v="0"/>
    <n v="86164.38"/>
    <n v="0"/>
    <x v="16"/>
    <s v="Received"/>
    <s v="Bid - Automotive Sector Development Investment Company (ASDIC)"/>
    <x v="1"/>
    <x v="2"/>
    <x v="5"/>
    <n v="11"/>
    <n v="2025"/>
    <m/>
  </r>
  <r>
    <x v="5"/>
    <x v="24"/>
    <x v="9"/>
    <s v="Value Added Tax                                                       _x000a_On LG Processing/Facility Fees                                        _x000a_15% of SAR86,164.38                                                   _x000a_Through CORPORATE BANKING DEPT-JEDDAH                                 _x000a_Date 13-05-1447(H) Time 13.28.23                                      _x000a_Reference LGI-0840-25-6932                                            _x000a_At Bank Aljazira                                                      _x000a_Exchange Rate 1.0                                                     _x000a_"/>
    <x v="173"/>
    <s v=""/>
    <x v="0"/>
    <n v="12924.66"/>
    <n v="0"/>
    <x v="1"/>
    <s v="Received"/>
    <s v="Bid - Automotive Sector Development Investment Company (ASDIC)"/>
    <x v="1"/>
    <x v="2"/>
    <x v="5"/>
    <n v="11"/>
    <n v="2025"/>
    <m/>
  </r>
  <r>
    <x v="5"/>
    <x v="25"/>
    <x v="9"/>
    <s v="TI Bill Settled                                                       _x000a_POC005                                                                _x000a_At Bank AlJazira                                                      _x000a_CORPORATE BANKING DEPT-JEDDAH                                         _x000a_Date 14-05-1447(H) Time 09.26.48                                      _x000a_Reference ILC-0840-25-8159                                            _x000a_"/>
    <x v="84"/>
    <s v="ILC-0840-25-8159"/>
    <x v="0"/>
    <n v="403652.3"/>
    <n v="0"/>
    <x v="4"/>
    <s v="Received"/>
    <s v="AL FALWA CO. LTD. FOR READYMIX CONCRETE"/>
    <x v="0"/>
    <x v="10"/>
    <x v="13"/>
    <n v="11"/>
    <n v="2025"/>
    <m/>
  </r>
  <r>
    <x v="5"/>
    <x v="28"/>
    <x v="9"/>
    <s v="TI Bill Settled                                                       _x000a_POC002                                                                _x000a_At Bank AlJazira                                                      _x000a_CORPORATE BANKING DEPT-JEDDAH                                         _x000a_Date 19-05-1447(H) Time 11.34.17                                      _x000a_Reference ILC-0840-25-7986                                            _x000a_"/>
    <x v="237"/>
    <s v=""/>
    <x v="0"/>
    <n v="300000"/>
    <n v="0"/>
    <x v="4"/>
    <s v="Received"/>
    <s v="Future Plastic Factory for Industry"/>
    <x v="3"/>
    <x v="10"/>
    <x v="13"/>
    <n v="11"/>
    <n v="2025"/>
    <m/>
  </r>
  <r>
    <x v="5"/>
    <x v="28"/>
    <x v="9"/>
    <s v="Dr TI ILC Comm/Other Charges                                          _x000a_POC007-278273773                                                      _x000a_At Bank Aljazira                                                      _x000a_ CORPORATE BANKING DEPT-JEDDAH                                        _x000a_Exchange Rate 1.0                                                     _x000a_Date 19-05-1447(H) Time 16.04.34                                      _x000a_Reference ILC-0840-25-7352                                            _x000a_Value Date 19-05-1447(H)                                              _x000a_Fee Collected By Bank AlJazira                                        _x000a_"/>
    <x v="75"/>
    <s v=""/>
    <x v="0"/>
    <n v="100"/>
    <n v="0"/>
    <x v="2"/>
    <s v="Received"/>
    <s v="ALFANAR ELECTRICAL SYSTEMS"/>
    <x v="3"/>
    <x v="10"/>
    <x v="13"/>
    <n v="11"/>
    <n v="2025"/>
    <m/>
  </r>
  <r>
    <x v="5"/>
    <x v="28"/>
    <x v="9"/>
    <s v="Value Added Tax                                                       _x000a_On ILC Acceptance Comm.                                               _x000a_15% of SAR100.00                                                      _x000a_Through CORPORATE BANKING DEPT-JEDDAH                                 _x000a_Date 19-05-1447(H) Time 16.04.35                                      _x000a_Reference ILC-0840-25-7352                                            _x000a_At Bank Aljazira                                                      _x000a_Exchange Rate 1.0                                                     _x000a_"/>
    <x v="75"/>
    <s v=""/>
    <x v="0"/>
    <n v="15"/>
    <n v="0"/>
    <x v="1"/>
    <s v="Received"/>
    <s v="ALFANAR ELECTRICAL SYSTEMS"/>
    <x v="3"/>
    <x v="10"/>
    <x v="13"/>
    <n v="11"/>
    <n v="2025"/>
    <m/>
  </r>
  <r>
    <x v="5"/>
    <x v="28"/>
    <x v="9"/>
    <s v="Dr TI ILC Comm/Other Charges                                          _x000a_POC007-278273969                                                      _x000a_At Bank Aljazira                                                      _x000a_ CORPORATE BANKING DEPT-JEDDAH                                        _x000a_Exchange Rate 1.0                                                     _x000a_Date 19-05-1447(H) Time 16.04.35                                      _x000a_Reference ILC-0840-25-7352                                            _x000a_Value Date 19-05-1447(H)                                              _x000a_Fee Collected By Bank AlJazira                                        _x000a_"/>
    <x v="75"/>
    <s v=""/>
    <x v="0"/>
    <n v="621"/>
    <n v="0"/>
    <x v="2"/>
    <s v="Received"/>
    <s v="ALFANAR ELECTRICAL SYSTEMS"/>
    <x v="3"/>
    <x v="10"/>
    <x v="13"/>
    <n v="11"/>
    <n v="2025"/>
    <m/>
  </r>
  <r>
    <x v="5"/>
    <x v="28"/>
    <x v="9"/>
    <s v="Value Added Tax                                                       _x000a_On ILC Acceptance Comm.                                               _x000a_15% of SAR621.00                                                      _x000a_Through CORPORATE BANKING DEPT-JEDDAH                                 _x000a_Date 19-05-1447(H) Time 16.04.36                                      _x000a_Reference ILC-0840-25-7352                                            _x000a_At Bank Aljazira                                                      _x000a_Exchange Rate 1.0                                                     _x000a_"/>
    <x v="75"/>
    <s v=""/>
    <x v="0"/>
    <n v="93.15"/>
    <n v="0"/>
    <x v="1"/>
    <s v="Received"/>
    <s v="ALFANAR ELECTRICAL SYSTEMS"/>
    <x v="3"/>
    <x v="10"/>
    <x v="13"/>
    <n v="11"/>
    <n v="2025"/>
    <m/>
  </r>
  <r>
    <x v="5"/>
    <x v="28"/>
    <x v="9"/>
    <s v="Dr TI ILC Comm/Other Charges                                          _x000a_POC007-278273971                                                      _x000a_At Bank Aljazira                                                      _x000a_ CORPORATE BANKING DEPT-JEDDAH                                        _x000a_Exchange Rate 1.0                                                     _x000a_Date 19-05-1447(H) Time 16.04.36                                      _x000a_Reference ILC-0840-25-7352                                            _x000a_Value Date 19-05-1447(H)                                              _x000a_Fee Collected By Bank AlJazira                                        _x000a_"/>
    <x v="75"/>
    <s v=""/>
    <x v="0"/>
    <n v="200"/>
    <n v="0"/>
    <x v="2"/>
    <s v="Received"/>
    <s v="ALFANAR ELECTRICAL SYSTEMS"/>
    <x v="3"/>
    <x v="10"/>
    <x v="13"/>
    <n v="11"/>
    <n v="2025"/>
    <m/>
  </r>
  <r>
    <x v="5"/>
    <x v="28"/>
    <x v="9"/>
    <s v="Value Added Tax                                                       _x000a_On SWIFT charges                                                      _x000a_15% of SAR200.00                                                      _x000a_Through CORPORATE BANKING DEPT-JEDDAH                                 _x000a_Date 19-05-1447(H) Time 16.04.37                                      _x000a_Reference ILC-0840-25-7352                                            _x000a_At Bank Aljazira                                                      _x000a_Exchange Rate 1.0                                                     _x000a_"/>
    <x v="75"/>
    <s v=""/>
    <x v="0"/>
    <n v="30"/>
    <n v="0"/>
    <x v="1"/>
    <s v="Received"/>
    <s v="ALFANAR ELECTRICAL SYSTEMS"/>
    <x v="3"/>
    <x v="10"/>
    <x v="13"/>
    <n v="11"/>
    <n v="2025"/>
    <m/>
  </r>
  <r>
    <x v="5"/>
    <x v="32"/>
    <x v="9"/>
    <s v="Dr TI LGI Comm/Other Charges                                          _x000a_AMD001-278858915                                                      _x000a_At Bank AlJazira                                                      _x000a_CORPORATE BANKING DEPT-JEDDAH                                         _x000a_Date 25-05-1447(H) Time 10.42.02                                      _x000a_Reference LGI-0840-25-6932                                            _x000a_"/>
    <x v="173"/>
    <s v=""/>
    <x v="0"/>
    <n v="4583.3100000000004"/>
    <n v="0"/>
    <x v="16"/>
    <s v="Received"/>
    <s v="Bid - Automotive Sector Development Investment Company (ASDIC)"/>
    <x v="1"/>
    <x v="2"/>
    <x v="5"/>
    <n v="11"/>
    <n v="2025"/>
    <m/>
  </r>
  <r>
    <x v="5"/>
    <x v="32"/>
    <x v="9"/>
    <s v="Value Added Tax                                                       _x000a_On LGI Amend Commission                                               _x000a_15% of SAR4,583.31                                                    _x000a_Through CORPORATE BANKING DEPT-JEDDAH                                 _x000a_Date 25-05-1447(H) Time 10.42.03                                      _x000a_Reference LGI-0840-25-6932                                            _x000a_At Bank Aljazira                                                      _x000a_Exchange Rate 1.0                                                     _x000a_"/>
    <x v="173"/>
    <s v=""/>
    <x v="0"/>
    <n v="687.5"/>
    <n v="0"/>
    <x v="1"/>
    <s v="Received"/>
    <s v="Bid - Automotive Sector Development Investment Company (ASDIC)"/>
    <x v="1"/>
    <x v="2"/>
    <x v="5"/>
    <n v="11"/>
    <n v="2025"/>
    <m/>
  </r>
  <r>
    <x v="5"/>
    <x v="32"/>
    <x v="9"/>
    <s v="Dr TI LGI Comm/Other Charges                                          _x000a_AMD001-278858917                                                      _x000a_At Bank AlJazira                                                      _x000a_CORPORATE BANKING DEPT-JEDDAH                                         _x000a_Date 25-05-1447(H) Time 10.42.03                                      _x000a_Reference LGI-0840-25-6932                                            _x000a_"/>
    <x v="173"/>
    <s v=""/>
    <x v="0"/>
    <n v="10712.33"/>
    <n v="0"/>
    <x v="16"/>
    <s v="Received"/>
    <s v="Bid - Automotive Sector Development Investment Company (ASDIC)"/>
    <x v="1"/>
    <x v="2"/>
    <x v="5"/>
    <n v="11"/>
    <n v="2025"/>
    <m/>
  </r>
  <r>
    <x v="5"/>
    <x v="32"/>
    <x v="9"/>
    <s v="Value Added Tax                                                       _x000a_On LG Processing/Facility Fees                                        _x000a_15% of SAR10,712.33                                                   _x000a_Through CORPORATE BANKING DEPT-JEDDAH                                 _x000a_Date 25-05-1447(H) Time 10.42.04                                      _x000a_Reference LGI-0840-25-6932                                            _x000a_At Bank Aljazira                                                      _x000a_Exchange Rate 1.0                                                     _x000a_"/>
    <x v="173"/>
    <s v=""/>
    <x v="0"/>
    <n v="1606.85"/>
    <n v="0"/>
    <x v="1"/>
    <s v="Received"/>
    <s v="Bid - Automotive Sector Development Investment Company (ASDIC)"/>
    <x v="1"/>
    <x v="2"/>
    <x v="5"/>
    <n v="11"/>
    <n v="2025"/>
    <m/>
  </r>
  <r>
    <x v="5"/>
    <x v="36"/>
    <x v="9"/>
    <s v="Dr TI ILC Comm/Other Charges                                          _x000a_AMD001-278983796                                                      _x000a_At Bank Aljazira                                                      _x000a_ CORPORATE BANKING DEPT-JEDDAH                                        _x000a_Date 26-05-1447(H) Time 12.35.20                                      _x000a_Reference ILC-0840-25-8427                                            _x000a_Value Date 26-05-1447(H)                                              _x000a_Fee Collected By Bank AlJazira                                        _x000a_"/>
    <x v="115"/>
    <s v=""/>
    <x v="0"/>
    <n v="400"/>
    <n v="0"/>
    <x v="5"/>
    <s v="Received"/>
    <s v="Alrashid Trading and Contracting Company"/>
    <x v="0"/>
    <x v="10"/>
    <x v="13"/>
    <n v="11"/>
    <n v="2025"/>
    <m/>
  </r>
  <r>
    <x v="5"/>
    <x v="36"/>
    <x v="9"/>
    <s v="Value Added Tax                                                       _x000a_On SWIFT charges                                                      _x000a_15% of SAR400.00                                                      _x000a_Through CORPORATE BANKING DEPT-JEDDAH                                 _x000a_Date 26-05-1447(H) Time 12.35.20                                      _x000a_Reference ILC-0840-25-8427                                            _x000a_At Bank Aljazira                                                      _x000a_"/>
    <x v="115"/>
    <s v=""/>
    <x v="0"/>
    <n v="60"/>
    <n v="0"/>
    <x v="1"/>
    <s v="Received"/>
    <s v="Alrashid Trading and Contracting Company"/>
    <x v="0"/>
    <x v="10"/>
    <x v="13"/>
    <n v="11"/>
    <n v="2025"/>
    <m/>
  </r>
  <r>
    <x v="5"/>
    <x v="36"/>
    <x v="9"/>
    <s v="Dr TI ILC Comm/Other Charges                                          _x000a_AMD001-278995879                                                      _x000a_At Bank Aljazira                                                      _x000a_ CORPORATE BANKING DEPT-JEDDAH                                        _x000a_Date 26-05-1447(H) Time 12.35.20                                      _x000a_Reference ILC-0840-25-8427                                            _x000a_Value Date 26-05-1447(H)                                              _x000a_Fee Collected By Bank AlJazira                                        _x000a_"/>
    <x v="115"/>
    <s v=""/>
    <x v="0"/>
    <n v="52286.75"/>
    <n v="0"/>
    <x v="5"/>
    <s v="Received"/>
    <s v="Alrashid Trading and Contracting Company"/>
    <x v="0"/>
    <x v="10"/>
    <x v="13"/>
    <n v="11"/>
    <n v="2025"/>
    <m/>
  </r>
  <r>
    <x v="5"/>
    <x v="36"/>
    <x v="9"/>
    <s v="Value Added Tax                                                       _x000a_On ILC Commission                                                     _x000a_15% of SAR52,286.75                                                   _x000a_Through CORPORATE BANKING DEPT-JEDDAH                                 _x000a_Date 26-05-1447(H) Time 12.35.20                                      _x000a_Reference ILC-0840-25-8427                                            _x000a_At Bank Aljazira                                                      _x000a_"/>
    <x v="115"/>
    <s v=""/>
    <x v="0"/>
    <n v="7843.01"/>
    <n v="0"/>
    <x v="1"/>
    <s v="Received"/>
    <s v="Alrashid Trading and Contracting Company"/>
    <x v="0"/>
    <x v="10"/>
    <x v="13"/>
    <n v="11"/>
    <n v="2025"/>
    <m/>
  </r>
  <r>
    <x v="5"/>
    <x v="36"/>
    <x v="9"/>
    <s v="TI Bill Settled                                                       _x000a_POC004                                                                _x000a_At Bank AlJazira                                                      _x000a_CORPORATE BANKING DEPT-JEDDAH                                         _x000a_Date 26-05-1447(H) Time 13.33.40                                      _x000a_Reference ILC-0840-25-7572                                            _x000a_"/>
    <x v="238"/>
    <s v=""/>
    <x v="0"/>
    <n v="329151.09999999998"/>
    <n v="0"/>
    <x v="4"/>
    <s v="Received"/>
    <s v="Branch of National Fire Fighting (NAFFCO)"/>
    <x v="3"/>
    <x v="10"/>
    <x v="13"/>
    <n v="11"/>
    <n v="2025"/>
    <m/>
  </r>
  <r>
    <x v="5"/>
    <x v="34"/>
    <x v="9"/>
    <s v="TI Bill Settled                                                       _x000a_POC006                                                                _x000a_At Bank AlJazira                                                      _x000a_CORPORATE BANKING DEPT-JEDDAH                                         _x000a_Date 27-05-1447(H) Time 10.17.55                                      _x000a_Reference ILC-0840-25-7351                                            _x000a_"/>
    <x v="69"/>
    <s v=""/>
    <x v="0"/>
    <n v="85527.8"/>
    <n v="0"/>
    <x v="4"/>
    <s v="Received"/>
    <s v="Al Wasail Industrial Company"/>
    <x v="3"/>
    <x v="10"/>
    <x v="13"/>
    <n v="11"/>
    <n v="2025"/>
    <m/>
  </r>
  <r>
    <x v="5"/>
    <x v="34"/>
    <x v="9"/>
    <s v="TI Bill Settled                                                       _x000a_POC002                                                                _x000a_At Bank AlJazira                                                      _x000a_CORPORATE BANKING DEPT-JEDDAH                                         _x000a_Date 27-05-1447(H) Time 10.18.24                                      _x000a_Reference ILC-0840-25-7979                                            _x000a_"/>
    <x v="239"/>
    <s v=""/>
    <x v="0"/>
    <n v="225103.44"/>
    <n v="0"/>
    <x v="4"/>
    <s v="Received"/>
    <s v="Union Pipes Industry Co LLC"/>
    <x v="3"/>
    <x v="10"/>
    <x v="13"/>
    <n v="11"/>
    <n v="2025"/>
    <m/>
  </r>
  <r>
    <x v="5"/>
    <x v="35"/>
    <x v="9"/>
    <s v="Dr TI ILC Comm/Other Charges                                          _x000a_POC004-279383456                                                      _x000a_At Bank Aljazira                                                      _x000a_ CORPORATE BANKING DEPT-JEDDAH                                        _x000a_Date 28-05-1447(H) Time 14.28.07                                      _x000a_Reference ILC-0840-25-7799                                            _x000a_Value Date 28-05-1447(H)                                              _x000a_Fee Collected By Bank AlJazira                                        _x000a_"/>
    <x v="72"/>
    <s v=""/>
    <x v="0"/>
    <n v="100"/>
    <n v="0"/>
    <x v="2"/>
    <s v="Received"/>
    <s v="Metal and Glass Trading Co"/>
    <x v="3"/>
    <x v="10"/>
    <x v="13"/>
    <n v="11"/>
    <n v="2025"/>
    <m/>
  </r>
  <r>
    <x v="5"/>
    <x v="35"/>
    <x v="9"/>
    <s v="Value Added Tax                                                       _x000a_On ILC Acceptance Comm.                                               _x000a_15% of SAR100.00                                                      _x000a_Through CORPORATE BANKING DEPT-JEDDAH                                 _x000a_Date 28-05-1447(H) Time 14.28.08                                      _x000a_Reference ILC-0840-25-7799                                            _x000a_At Bank Aljazira                                                      _x000a_"/>
    <x v="72"/>
    <s v=""/>
    <x v="0"/>
    <n v="15"/>
    <n v="0"/>
    <x v="1"/>
    <s v="Received"/>
    <s v="Metal and Glass Trading Co"/>
    <x v="3"/>
    <x v="10"/>
    <x v="13"/>
    <n v="11"/>
    <n v="2025"/>
    <m/>
  </r>
  <r>
    <x v="5"/>
    <x v="35"/>
    <x v="9"/>
    <s v="Dr TI ILC Comm/Other Charges                                          _x000a_POC004-279383496                                                      _x000a_At Bank Aljazira                                                      _x000a_ CORPORATE BANKING DEPT-JEDDAH                                        _x000a_Date 28-05-1447(H) Time 14.28.08                                      _x000a_Reference ILC-0840-25-7799                                            _x000a_Value Date 28-05-1447(H)                                              _x000a_Fee Collected By Bank AlJazira                                        _x000a_"/>
    <x v="72"/>
    <s v=""/>
    <x v="0"/>
    <n v="625"/>
    <n v="0"/>
    <x v="2"/>
    <s v="Received"/>
    <s v="Metal and Glass Trading Co"/>
    <x v="3"/>
    <x v="10"/>
    <x v="13"/>
    <n v="11"/>
    <n v="2025"/>
    <m/>
  </r>
  <r>
    <x v="5"/>
    <x v="35"/>
    <x v="9"/>
    <s v="Value Added Tax                                                       _x000a_On ILC Acceptance Comm.                                               _x000a_15% of SAR625.00                                                      _x000a_Through CORPORATE BANKING DEPT-JEDDAH                                 _x000a_Date 28-05-1447(H) Time 14.28.08                                      _x000a_Reference ILC-0840-25-7799                                            _x000a_At Bank Aljazira                                                      _x000a_"/>
    <x v="72"/>
    <s v=""/>
    <x v="0"/>
    <n v="93.75"/>
    <n v="0"/>
    <x v="1"/>
    <s v="Received"/>
    <s v="Metal and Glass Trading Co"/>
    <x v="3"/>
    <x v="10"/>
    <x v="13"/>
    <n v="11"/>
    <n v="2025"/>
    <m/>
  </r>
  <r>
    <x v="5"/>
    <x v="35"/>
    <x v="9"/>
    <s v="Dr TI ILC Comm/Other Charges                                          _x000a_POC004-279383498                                                      _x000a_At Bank Aljazira                                                      _x000a_ CORPORATE BANKING DEPT-JEDDAH                                        _x000a_Date 28-05-1447(H) Time 14.28.08                                      _x000a_Reference ILC-0840-25-7799                                            _x000a_Value Date 28-05-1447(H)                                              _x000a_Fee Collected By Bank AlJazira                                        _x000a_"/>
    <x v="72"/>
    <s v=""/>
    <x v="0"/>
    <n v="200"/>
    <n v="0"/>
    <x v="2"/>
    <s v="Received"/>
    <s v="Metal and Glass Trading Co"/>
    <x v="3"/>
    <x v="10"/>
    <x v="13"/>
    <n v="11"/>
    <n v="2025"/>
    <m/>
  </r>
  <r>
    <x v="5"/>
    <x v="35"/>
    <x v="9"/>
    <s v="Value Added Tax                                                       _x000a_On SWIFT charges                                                      _x000a_15% of SAR200.00                                                      _x000a_Through CORPORATE BANKING DEPT-JEDDAH                                 _x000a_Date 28-05-1447(H) Time 14.28.09                                      _x000a_Reference ILC-0840-25-7799                                            _x000a_At Bank Aljazira                                                      _x000a_"/>
    <x v="72"/>
    <s v=""/>
    <x v="0"/>
    <n v="30"/>
    <n v="0"/>
    <x v="1"/>
    <s v="Received"/>
    <s v="Metal and Glass Trading Co"/>
    <x v="3"/>
    <x v="10"/>
    <x v="13"/>
    <n v="11"/>
    <n v="2025"/>
    <m/>
  </r>
  <r>
    <x v="5"/>
    <x v="33"/>
    <x v="9"/>
    <s v="Dr TI LGI Commission (Earned)                                         _x000a_ISS001-279442494                                                      _x000a_At Bank AlJazira                                                      _x000a_CORPORATE BANKING DEPT-JEDDAH                                         _x000a_Date 29-05-1447(H) Time 10.08.17                                      _x000a_Reference LGI-0840-25-7098                                            _x000a_"/>
    <x v="240"/>
    <s v=""/>
    <x v="0"/>
    <n v="11199"/>
    <n v="0"/>
    <x v="16"/>
    <s v="Received"/>
    <s v="Bid - King Salman International Airport Development Company (KSIADC)"/>
    <x v="1"/>
    <x v="2"/>
    <x v="2"/>
    <n v="11"/>
    <n v="2025"/>
    <m/>
  </r>
  <r>
    <x v="5"/>
    <x v="33"/>
    <x v="9"/>
    <s v="Value Added Tax                                                       _x000a_On LGI ISSUANCE COMMISSION                                            _x000a_15% of SAR11,199.00                                                   _x000a_Through CORPORATE BANKING DEPT-JEDDAH                                 _x000a_Date 29-05-1447(H) Time 10.08.17                                      _x000a_Reference LGI-0840-25-7098                                            _x000a_At Bank Aljazira                                                      _x000a_Exchange Rate 1.0                                                     _x000a_"/>
    <x v="240"/>
    <s v=""/>
    <x v="0"/>
    <n v="1679.85"/>
    <n v="0"/>
    <x v="1"/>
    <s v="Received"/>
    <s v="Bid - King Salman International Airport Development Company (KSIADC)"/>
    <x v="1"/>
    <x v="2"/>
    <x v="2"/>
    <n v="11"/>
    <n v="2025"/>
    <m/>
  </r>
  <r>
    <x v="5"/>
    <x v="33"/>
    <x v="9"/>
    <s v="Dr TI LGI Comm/Other Charges                                          _x000a_ISS001-279442496                                                      _x000a_At Bank AlJazira                                                      _x000a_CORPORATE BANKING DEPT-JEDDAH                                         _x000a_Date 29-05-1447(H) Time 10.08.18                                      _x000a_Reference LGI-0840-25-7098                                            _x000a_"/>
    <x v="240"/>
    <s v=""/>
    <x v="0"/>
    <n v="20636.990000000002"/>
    <n v="0"/>
    <x v="16"/>
    <s v="Received"/>
    <s v="Bid - King Salman International Airport Development Company (KSIADC)"/>
    <x v="1"/>
    <x v="2"/>
    <x v="2"/>
    <n v="11"/>
    <n v="2025"/>
    <m/>
  </r>
  <r>
    <x v="5"/>
    <x v="33"/>
    <x v="9"/>
    <s v="Value Added Tax                                                       _x000a_On LG Processing/Facility Fees                                        _x000a_15% of SAR20,636.99                                                   _x000a_Through CORPORATE BANKING DEPT-JEDDAH                                 _x000a_Date 29-05-1447(H) Time 10.08.18                                      _x000a_Reference LGI-0840-25-7098                                            _x000a_At Bank Aljazira                                                      _x000a_Exchange Rate 1.0                                                     _x000a_"/>
    <x v="240"/>
    <s v=""/>
    <x v="0"/>
    <n v="3095.55"/>
    <n v="0"/>
    <x v="1"/>
    <s v="Received"/>
    <s v="Bid - King Salman International Airport Development Company (KSIADC)"/>
    <x v="1"/>
    <x v="2"/>
    <x v="2"/>
    <n v="11"/>
    <n v="2025"/>
    <m/>
  </r>
  <r>
    <x v="5"/>
    <x v="33"/>
    <x v="9"/>
    <s v="Dr TI ILC Comm/Other Charges                                          _x000a_AMD001-279542770                                                      _x000a_At Bank Aljazira                                                      _x000a_ CORPORATE BANKING DEPT-JEDDAH                                        _x000a_Date 29-05-1447(H) Time 15.16.20                                      _x000a_Reference ILC-0840-25-8011                                            _x000a_Value Date 29-05-1447(H)                                              _x000a_Fee Collected By Bank AlJazira                                        _x000a_"/>
    <x v="71"/>
    <s v=""/>
    <x v="0"/>
    <n v="30365.84"/>
    <n v="0"/>
    <x v="5"/>
    <s v="Received"/>
    <s v="Metten Al-Arabia Ltd Co (METARA)"/>
    <x v="0"/>
    <x v="10"/>
    <x v="13"/>
    <n v="11"/>
    <n v="2025"/>
    <m/>
  </r>
  <r>
    <x v="5"/>
    <x v="33"/>
    <x v="9"/>
    <s v="Value Added Tax                                                       _x000a_On ILC Commission                                                     _x000a_15% of SAR30,365.84                                                   _x000a_Through CORPORATE BANKING DEPT-JEDDAH                                 _x000a_Date 29-05-1447(H) Time 15.16.21                                      _x000a_Reference ILC-0840-25-8011                                            _x000a_At Bank Aljazira                                                      _x000a_"/>
    <x v="71"/>
    <s v=""/>
    <x v="0"/>
    <n v="4554.88"/>
    <n v="0"/>
    <x v="1"/>
    <s v="Received"/>
    <s v="Metten Al-Arabia Ltd Co (METARA)"/>
    <x v="0"/>
    <x v="10"/>
    <x v="13"/>
    <n v="11"/>
    <n v="2025"/>
    <m/>
  </r>
  <r>
    <x v="5"/>
    <x v="33"/>
    <x v="9"/>
    <s v="Dr TI ILC Comm/Other Charges                                          _x000a_AMD001-279542772                                                      _x000a_At Bank Aljazira                                                      _x000a_ CORPORATE BANKING DEPT-JEDDAH                                        _x000a_Date 29-05-1447(H) Time 15.16.21                                      _x000a_Reference ILC-0840-25-8011                                            _x000a_Value Date 29-05-1447(H)                                              _x000a_Fee Collected By Bank AlJazira                                        _x000a_"/>
    <x v="71"/>
    <s v=""/>
    <x v="0"/>
    <n v="400"/>
    <n v="0"/>
    <x v="5"/>
    <s v="Received"/>
    <s v="Metten Al-Arabia Ltd Co (METARA)"/>
    <x v="0"/>
    <x v="10"/>
    <x v="13"/>
    <n v="11"/>
    <n v="2025"/>
    <m/>
  </r>
  <r>
    <x v="5"/>
    <x v="33"/>
    <x v="9"/>
    <s v="Value Added Tax                                                       _x000a_On SWIFT charges                                                      _x000a_15% of SAR400.00                                                      _x000a_Through CORPORATE BANKING DEPT-JEDDAH                                 _x000a_Date 29-05-1447(H) Time 15.16.21                                      _x000a_Reference ILC-0840-25-8011                                            _x000a_At Bank Aljazira                                                      _x000a_"/>
    <x v="71"/>
    <s v=""/>
    <x v="0"/>
    <n v="60"/>
    <n v="0"/>
    <x v="1"/>
    <s v="Received"/>
    <s v="Metten Al-Arabia Ltd Co (METARA)"/>
    <x v="0"/>
    <x v="10"/>
    <x v="13"/>
    <n v="11"/>
    <n v="2025"/>
    <m/>
  </r>
  <r>
    <x v="1"/>
    <x v="38"/>
    <x v="3"/>
    <s v="CUSTOMER = 3972500 DEAL AMT = 75.00 DEAL CCY = SAR TAX CODE = 1 "/>
    <x v="29"/>
    <s v="TF251040001706"/>
    <x v="0"/>
    <n v="-11.25"/>
    <n v="0"/>
    <x v="1"/>
    <s v="Received"/>
    <s v="Awtad Jeddah for General Contracting Company"/>
    <x v="0"/>
    <x v="7"/>
    <x v="8"/>
    <n v="11"/>
    <n v="2025"/>
    <m/>
  </r>
  <r>
    <x v="1"/>
    <x v="38"/>
    <x v="3"/>
    <s v="LC SWIFT CHARGES FOR LC NO. TF251040001706\BNK"/>
    <x v="29"/>
    <s v="TF251040001706"/>
    <x v="0"/>
    <n v="-75"/>
    <n v="0"/>
    <x v="3"/>
    <s v="Received"/>
    <s v="Awtad Jeddah for General Contracting Company"/>
    <x v="0"/>
    <x v="7"/>
    <x v="8"/>
    <n v="11"/>
    <n v="2025"/>
    <m/>
  </r>
  <r>
    <x v="1"/>
    <x v="38"/>
    <x v="3"/>
    <s v="CUSTOMER = 3972500 DEAL AMT = 2018.21 DEAL CCY = SAR TAX CODE = 1 "/>
    <x v="29"/>
    <s v="TF251040001706"/>
    <x v="0"/>
    <n v="-302.73"/>
    <n v="0"/>
    <x v="1"/>
    <s v="Received"/>
    <s v="Awtad Jeddah for General Contracting Company"/>
    <x v="0"/>
    <x v="7"/>
    <x v="8"/>
    <n v="11"/>
    <n v="2025"/>
    <m/>
  </r>
  <r>
    <x v="1"/>
    <x v="38"/>
    <x v="3"/>
    <s v="LC ACCEPTANCE COMMISSION FOR LC NO. TF251040001706\BNK"/>
    <x v="29"/>
    <s v="TF251040001706"/>
    <x v="0"/>
    <n v="-2018.21"/>
    <n v="0"/>
    <x v="2"/>
    <s v="Received"/>
    <s v="Awtad Jeddah for General Contracting Company"/>
    <x v="0"/>
    <x v="7"/>
    <x v="8"/>
    <n v="11"/>
    <n v="2025"/>
    <m/>
  </r>
  <r>
    <x v="1"/>
    <x v="38"/>
    <x v="3"/>
    <s v="REIMBURSE UNDER LCS DR FOR LC NO. TF251040001706\BNK"/>
    <x v="29"/>
    <s v="TF251040001706"/>
    <x v="0"/>
    <n v="-403641.7"/>
    <n v="0"/>
    <x v="4"/>
    <s v="Received"/>
    <s v="Awtad Jeddah for General Contracting Company"/>
    <x v="0"/>
    <x v="7"/>
    <x v="8"/>
    <n v="11"/>
    <n v="2025"/>
    <m/>
  </r>
  <r>
    <x v="1"/>
    <x v="39"/>
    <x v="3"/>
    <s v="CUSTOMER = 3972500 DEAL AMT = 75 DEAL CCY = SAR TAX CODE = 1 "/>
    <x v="241"/>
    <s v="TF251740005701"/>
    <x v="0"/>
    <n v="-11.25"/>
    <n v="0"/>
    <x v="1"/>
    <s v="Received"/>
    <s v="Elite Arabian Contracting Co Ltd"/>
    <x v="3"/>
    <x v="6"/>
    <x v="7"/>
    <n v="11"/>
    <n v="2025"/>
    <m/>
  </r>
  <r>
    <x v="1"/>
    <x v="39"/>
    <x v="3"/>
    <s v="LC SWIFT CHARGES FOR LC NO. TF251740005701\BNK"/>
    <x v="241"/>
    <s v="TF251740005701"/>
    <x v="0"/>
    <n v="-75"/>
    <n v="0"/>
    <x v="3"/>
    <s v="Received"/>
    <s v="Elite Arabian Contracting Co Ltd"/>
    <x v="3"/>
    <x v="6"/>
    <x v="7"/>
    <n v="11"/>
    <n v="2025"/>
    <m/>
  </r>
  <r>
    <x v="1"/>
    <x v="39"/>
    <x v="3"/>
    <s v="REIMBURSE UNDER LCS DR FOR LC NO. TF251740005701\BNK"/>
    <x v="241"/>
    <s v="TF251740005701"/>
    <x v="0"/>
    <n v="-94929.8"/>
    <n v="0"/>
    <x v="4"/>
    <s v="Received"/>
    <s v="Elite Arabian Contracting Co Ltd"/>
    <x v="3"/>
    <x v="6"/>
    <x v="7"/>
    <n v="11"/>
    <n v="2025"/>
    <m/>
  </r>
  <r>
    <x v="1"/>
    <x v="39"/>
    <x v="3"/>
    <s v="CUSTOMER = 3972500 DEAL AMT = 75 DEAL CCY = SAR TAX CODE = 1 "/>
    <x v="242"/>
    <s v="TF251770004501"/>
    <x v="0"/>
    <n v="-11.25"/>
    <n v="0"/>
    <x v="1"/>
    <s v="Received"/>
    <s v="CAN AL SHARQ GENERAL CONT.EST"/>
    <x v="3"/>
    <x v="6"/>
    <x v="7"/>
    <n v="11"/>
    <n v="2025"/>
    <m/>
  </r>
  <r>
    <x v="1"/>
    <x v="39"/>
    <x v="3"/>
    <s v="LC SWIFT CHARGES FOR LC NO. TF251770004501\BNK"/>
    <x v="242"/>
    <s v="TF251770004501"/>
    <x v="0"/>
    <n v="-75"/>
    <n v="0"/>
    <x v="3"/>
    <s v="Received"/>
    <s v="CAN AL SHARQ GENERAL CONT.EST"/>
    <x v="3"/>
    <x v="6"/>
    <x v="7"/>
    <n v="11"/>
    <n v="2025"/>
    <m/>
  </r>
  <r>
    <x v="1"/>
    <x v="39"/>
    <x v="3"/>
    <s v="REIMBURSE UNDER LCS DR FOR LC NO. TF251770004501\BNK"/>
    <x v="242"/>
    <s v="TF251770004501"/>
    <x v="0"/>
    <n v="-214923"/>
    <n v="0"/>
    <x v="4"/>
    <s v="Received"/>
    <s v="CAN AL SHARQ GENERAL CONT.EST"/>
    <x v="3"/>
    <x v="6"/>
    <x v="7"/>
    <n v="11"/>
    <n v="2025"/>
    <m/>
  </r>
  <r>
    <x v="1"/>
    <x v="39"/>
    <x v="3"/>
    <s v="CUSTOMER = 3972500 DEAL AMT = 75 DEAL CCY = SAR TAX CODE = 1 "/>
    <x v="243"/>
    <s v="TF251770007801"/>
    <x v="0"/>
    <n v="-11.25"/>
    <n v="0"/>
    <x v="1"/>
    <s v="Received"/>
    <s v="Al Bayrak Red Contracting Establishment"/>
    <x v="3"/>
    <x v="6"/>
    <x v="7"/>
    <n v="11"/>
    <n v="2025"/>
    <m/>
  </r>
  <r>
    <x v="1"/>
    <x v="39"/>
    <x v="3"/>
    <s v="LC SWIFT CHARGES FOR LC NO. TF251770007801\BNK"/>
    <x v="243"/>
    <s v="TF251770007801"/>
    <x v="0"/>
    <n v="-75"/>
    <n v="0"/>
    <x v="3"/>
    <s v="Received"/>
    <s v="Al Bayrak Red Contracting Establishment"/>
    <x v="3"/>
    <x v="6"/>
    <x v="7"/>
    <n v="11"/>
    <n v="2025"/>
    <m/>
  </r>
  <r>
    <x v="1"/>
    <x v="39"/>
    <x v="3"/>
    <s v="REIMBURSE UNDER LCS DR FOR LC NO. TF251770007801\BNK"/>
    <x v="243"/>
    <s v="TF251770007801"/>
    <x v="0"/>
    <n v="-870662"/>
    <n v="0"/>
    <x v="4"/>
    <s v="Received"/>
    <s v="Al Bayrak Red Contracting Establishment"/>
    <x v="3"/>
    <x v="6"/>
    <x v="7"/>
    <n v="11"/>
    <n v="2025"/>
    <m/>
  </r>
  <r>
    <x v="1"/>
    <x v="40"/>
    <x v="3"/>
    <s v="CUSTOMER = 3972500 DEAL AMT = 1250 DEAL CCY = SAR TAX CODE = 1 "/>
    <x v="186"/>
    <s v="TF251740009801"/>
    <x v="0"/>
    <n v="187.5"/>
    <n v="0"/>
    <x v="1"/>
    <s v="Received"/>
    <s v="SKM AIR CONDITIONING CO"/>
    <x v="3"/>
    <x v="6"/>
    <x v="7"/>
    <n v="11"/>
    <n v="2025"/>
    <m/>
  </r>
  <r>
    <x v="1"/>
    <x v="40"/>
    <x v="3"/>
    <s v="LC ACCEPTANCE COMMISSION FOR LC NO. TF251740009801\BNK"/>
    <x v="186"/>
    <s v="TF251740009801"/>
    <x v="0"/>
    <n v="1250"/>
    <n v="0"/>
    <x v="2"/>
    <s v="Received"/>
    <s v="SKM AIR CONDITIONING CO"/>
    <x v="3"/>
    <x v="6"/>
    <x v="7"/>
    <n v="11"/>
    <n v="2025"/>
    <m/>
  </r>
  <r>
    <x v="1"/>
    <x v="40"/>
    <x v="3"/>
    <s v="CUSTOMER = 3972500 DEAL AMT = 1250 DEAL CCY = SAR TAX CODE = 1 "/>
    <x v="244"/>
    <s v="TF252650001701"/>
    <x v="0"/>
    <n v="187.5"/>
    <n v="0"/>
    <x v="1"/>
    <s v="Received"/>
    <s v="DANAH METAL CO."/>
    <x v="3"/>
    <x v="5"/>
    <x v="6"/>
    <n v="11"/>
    <n v="2025"/>
    <m/>
  </r>
  <r>
    <x v="1"/>
    <x v="40"/>
    <x v="3"/>
    <s v="LC ACCEPTANCE COMMISSION FOR LC NO. TF252650001701\BNK"/>
    <x v="244"/>
    <s v="TF252650001701"/>
    <x v="0"/>
    <n v="1250"/>
    <n v="0"/>
    <x v="2"/>
    <s v="Received"/>
    <s v="DANAH METAL CO."/>
    <x v="3"/>
    <x v="5"/>
    <x v="6"/>
    <n v="11"/>
    <n v="2025"/>
    <m/>
  </r>
  <r>
    <x v="1"/>
    <x v="40"/>
    <x v="3"/>
    <s v="CUSTOMER = 3972500 DEAL AMT = 1250 DEAL CCY = SAR TAX CODE = 1 "/>
    <x v="111"/>
    <s v="TF252710002401"/>
    <x v="0"/>
    <n v="187.5"/>
    <n v="0"/>
    <x v="1"/>
    <s v="Received"/>
    <s v="Saudi Perfect Pumps Trading &amp; Manufacturing Company"/>
    <x v="0"/>
    <x v="7"/>
    <x v="8"/>
    <n v="11"/>
    <n v="2025"/>
    <m/>
  </r>
  <r>
    <x v="1"/>
    <x v="40"/>
    <x v="3"/>
    <s v="LC ACCEPTANCE COMMISSION FOR LC NO. TF252710002401\BNK"/>
    <x v="111"/>
    <s v="TF252710002401"/>
    <x v="0"/>
    <n v="1250"/>
    <n v="0"/>
    <x v="2"/>
    <s v="Received"/>
    <s v="Saudi Perfect Pumps Trading &amp; Manufacturing Company"/>
    <x v="0"/>
    <x v="7"/>
    <x v="8"/>
    <n v="11"/>
    <n v="2025"/>
    <m/>
  </r>
  <r>
    <x v="0"/>
    <x v="38"/>
    <x v="1"/>
    <s v="RB REF JLC6901431,VIA CORE SYSTEM,DATE-TIME 23/11-16:15:38, عن طريق النظام الآ لي ,VALUE DT 23/11/25"/>
    <x v="95"/>
    <s v=""/>
    <x v="0"/>
    <n v="184328.1"/>
    <n v="0"/>
    <x v="6"/>
    <s v="Received"/>
    <s v="Mat Filtrasyon Teknolojeleri A.S"/>
    <x v="0"/>
    <x v="3"/>
    <x v="3"/>
    <n v="11"/>
    <n v="2025"/>
    <m/>
  </r>
  <r>
    <x v="0"/>
    <x v="38"/>
    <x v="0"/>
    <s v="RB REF JLG6902554,VIA CORE SYSTEM,DATE-TIME 23/11-13:17:57, عن طريق النظام الآ لي ,VALUE DT 23/11/25"/>
    <x v="245"/>
    <s v=""/>
    <x v="0"/>
    <n v="57.5"/>
    <n v="0"/>
    <x v="17"/>
    <s v="Received"/>
    <s v="Advance - JEDDAH CENTRAL DEVELOPMENT COMPANY"/>
    <x v="1"/>
    <x v="3"/>
    <x v="23"/>
    <n v="11"/>
    <n v="2025"/>
    <m/>
  </r>
  <r>
    <x v="0"/>
    <x v="38"/>
    <x v="0"/>
    <s v="RB REF JLG6903291,VIA CORE SYSTEM,DATE-TIME 23/11-15:12:29, عن طريق النظام الآ لي ,VALUE DT 23/11/25"/>
    <x v="246"/>
    <s v=""/>
    <x v="0"/>
    <n v="57500"/>
    <n v="0"/>
    <x v="17"/>
    <s v="Received"/>
    <s v="Bid - Diriyah Company"/>
    <x v="2"/>
    <x v="2"/>
    <x v="2"/>
    <n v="11"/>
    <n v="2025"/>
    <m/>
  </r>
  <r>
    <x v="0"/>
    <x v="39"/>
    <x v="0"/>
    <s v="RB REF JLG6900682,VIA CORE SYSTEM,DATE-TIME 24/11-15:54:28, عن طريق النظام الآ لي ,VALUE DT 24/11/25"/>
    <x v="247"/>
    <s v=""/>
    <x v="0"/>
    <n v="1305.25"/>
    <n v="0"/>
    <x v="17"/>
    <s v="Received"/>
    <s v="Financial - AL TANFEETHI OFFICES COMPANY"/>
    <x v="1"/>
    <x v="2"/>
    <x v="5"/>
    <n v="11"/>
    <n v="2025"/>
    <m/>
  </r>
  <r>
    <x v="0"/>
    <x v="39"/>
    <x v="1"/>
    <s v="RB REF JLC6901431,VIA CORE SYSTEM,DATE-TIME 24/11-10:15:23, عن طريق النظام الآ لي ,VALUE DT 24/11/25"/>
    <x v="95"/>
    <s v=""/>
    <x v="0"/>
    <n v="1290576.8799999999"/>
    <n v="0"/>
    <x v="6"/>
    <s v="Received"/>
    <s v="Mat Filtrasyon Teknolojeleri A.S"/>
    <x v="0"/>
    <x v="3"/>
    <x v="3"/>
    <n v="11"/>
    <n v="2025"/>
    <m/>
  </r>
  <r>
    <x v="0"/>
    <x v="40"/>
    <x v="0"/>
    <s v="RB REF JLG6900685,VIA CORE SYSTEM,DATE-TIME 25/11-18:25:00, عن طريق النظام الآ لي ,VALUE DT 25/11/25"/>
    <x v="248"/>
    <s v=""/>
    <x v="0"/>
    <n v="3571.9"/>
    <n v="0"/>
    <x v="17"/>
    <s v="Received"/>
    <s v="Financial - RIYADH AIRPORT COMPANY (THIRD PARTY RED C)"/>
    <x v="1"/>
    <x v="15"/>
    <x v="5"/>
    <n v="11"/>
    <n v="2025"/>
    <m/>
  </r>
  <r>
    <x v="2"/>
    <x v="40"/>
    <x v="4"/>
    <s v="CITY:Jeddah 6132225J210606001"/>
    <x v="156"/>
    <s v="J210606001"/>
    <x v="0"/>
    <n v="547153.37"/>
    <n v="0"/>
    <x v="4"/>
    <s v="Received"/>
    <s v="MARIAM TRADING CO &amp; PARTNERS"/>
    <x v="3"/>
    <x v="5"/>
    <x v="6"/>
    <n v="11"/>
    <n v="2025"/>
    <m/>
  </r>
  <r>
    <x v="2"/>
    <x v="40"/>
    <x v="4"/>
    <s v="CITY:Jeddah 0000006132225J210868002"/>
    <x v="226"/>
    <s v="J210868002"/>
    <x v="0"/>
    <n v="23140.73"/>
    <n v="0"/>
    <x v="2"/>
    <s v="Received"/>
    <s v="Al Yamamah Company for Reinforcing Steel Bars"/>
    <x v="0"/>
    <x v="3"/>
    <x v="3"/>
    <n v="11"/>
    <n v="2025"/>
    <m/>
  </r>
  <r>
    <x v="3"/>
    <x v="38"/>
    <x v="5"/>
    <s v="IMP BILL COMM DPBCOR626724WPM DCBWPM563043"/>
    <x v="249"/>
    <s v="DPBCOR626724WPM"/>
    <x v="0"/>
    <n v="-287.5"/>
    <n v="0"/>
    <x v="2"/>
    <s v="Received"/>
    <s v="Systemair For Electrical Equipment Co."/>
    <x v="3"/>
    <x v="8"/>
    <x v="9"/>
    <n v="11"/>
    <n v="2025"/>
    <m/>
  </r>
  <r>
    <x v="3"/>
    <x v="38"/>
    <x v="6"/>
    <s v="DPBCOR621089WPM DCBWPM562624"/>
    <x v="250"/>
    <s v="DPBCOR621089WPM"/>
    <x v="0"/>
    <n v="-250000"/>
    <n v="0"/>
    <x v="4"/>
    <s v="Received"/>
    <s v="NMA ALMUTAMIZA INDUSTRIAL AND EQUIPMENT CO."/>
    <x v="3"/>
    <x v="9"/>
    <x v="10"/>
    <n v="11"/>
    <n v="2025"/>
    <m/>
  </r>
  <r>
    <x v="3"/>
    <x v="39"/>
    <x v="6"/>
    <s v="DPBCOR621266WPM DCBWPM562598"/>
    <x v="251"/>
    <s v="DPBCOR621266WPM"/>
    <x v="0"/>
    <n v="-250000"/>
    <n v="0"/>
    <x v="4"/>
    <s v="Received"/>
    <s v="TECHNICAL TOOLS TRADING CO."/>
    <x v="3"/>
    <x v="9"/>
    <x v="10"/>
    <n v="11"/>
    <n v="2025"/>
    <m/>
  </r>
  <r>
    <x v="3"/>
    <x v="39"/>
    <x v="6"/>
    <s v="DPBCOR625565WPM DCBWPM563695"/>
    <x v="195"/>
    <s v="DPBCOR625565WPM"/>
    <x v="0"/>
    <n v="-807280.44"/>
    <n v="0"/>
    <x v="4"/>
    <s v="Received"/>
    <s v="GIBCA Furniture Industry Co Ltd"/>
    <x v="0"/>
    <x v="1"/>
    <x v="11"/>
    <n v="11"/>
    <n v="2025"/>
    <m/>
  </r>
  <r>
    <x v="3"/>
    <x v="39"/>
    <x v="6"/>
    <s v="DPBEPM621478WPM DCBWPM562592"/>
    <x v="252"/>
    <s v="DPBEPM621478WPM"/>
    <x v="0"/>
    <n v="-293143.98"/>
    <n v="0"/>
    <x v="4"/>
    <s v="Received"/>
    <s v="Saudi Electric Supply Company"/>
    <x v="3"/>
    <x v="9"/>
    <x v="10"/>
    <n v="11"/>
    <n v="2025"/>
    <m/>
  </r>
  <r>
    <x v="3"/>
    <x v="40"/>
    <x v="6"/>
    <s v="DPBCOR621014WPM DCBWPM562615"/>
    <x v="253"/>
    <s v="DPBCOR621014WPM"/>
    <x v="0"/>
    <n v="2250000"/>
    <n v="0"/>
    <x v="4"/>
    <s v="Received"/>
    <s v="MASQ FOR ELECTRICAL TOOLS CO"/>
    <x v="3"/>
    <x v="9"/>
    <x v="10"/>
    <n v="11"/>
    <n v="2025"/>
    <m/>
  </r>
  <r>
    <x v="3"/>
    <x v="40"/>
    <x v="6"/>
    <s v="DPBCOR621662WPM DCBWPM564579"/>
    <x v="180"/>
    <s v="DPBCOR621662WPM"/>
    <x v="0"/>
    <n v="2704025"/>
    <n v="0"/>
    <x v="4"/>
    <s v="Received"/>
    <s v="Depth Modern Technologies"/>
    <x v="4"/>
    <x v="1"/>
    <x v="11"/>
    <n v="11"/>
    <n v="2025"/>
    <m/>
  </r>
  <r>
    <x v="3"/>
    <x v="40"/>
    <x v="6"/>
    <s v="DPBEPM619987WPM DCBWPM563055"/>
    <x v="254"/>
    <s v="DPBEPM619987WPM"/>
    <x v="0"/>
    <n v="273958.68"/>
    <n v="0"/>
    <x v="4"/>
    <s v="Received"/>
    <s v="AFKAR ALTATHBET TRADING COMPANY"/>
    <x v="3"/>
    <x v="8"/>
    <x v="9"/>
    <n v="11"/>
    <n v="2025"/>
    <m/>
  </r>
  <r>
    <x v="3"/>
    <x v="40"/>
    <x v="6"/>
    <s v="IMP BILL AMEND. CHARGES DPBCOR626146WPM DCBWPM558775"/>
    <x v="197"/>
    <s v="DPBCOR626146WPM"/>
    <x v="0"/>
    <n v="575"/>
    <n v="0"/>
    <x v="2"/>
    <s v="Received"/>
    <s v="Brooq Al-Amaan Trading Company"/>
    <x v="3"/>
    <x v="9"/>
    <x v="10"/>
    <n v="11"/>
    <n v="2025"/>
    <m/>
  </r>
  <r>
    <x v="3"/>
    <x v="40"/>
    <x v="6"/>
    <s v="DPBEPM620153WPM DCBWPM563027"/>
    <x v="160"/>
    <s v="DPBEPM620153WPM"/>
    <x v="0"/>
    <n v="327131.67"/>
    <n v="0"/>
    <x v="4"/>
    <s v="Received"/>
    <s v="JAD AL RIYADH Trading Co. Ltd"/>
    <x v="3"/>
    <x v="8"/>
    <x v="9"/>
    <n v="11"/>
    <n v="2025"/>
    <m/>
  </r>
  <r>
    <x v="3"/>
    <x v="40"/>
    <x v="5"/>
    <s v="IMP BILL AMEND. CHARGES DPBEPM626288WPM DCBWPM563027"/>
    <x v="160"/>
    <s v="DPBEPM626288WPM"/>
    <x v="0"/>
    <n v="574.20000000000005"/>
    <n v="0"/>
    <x v="2"/>
    <s v="Received"/>
    <s v="JAD AL RIYADH Trading Co. Ltd"/>
    <x v="3"/>
    <x v="8"/>
    <x v="9"/>
    <n v="11"/>
    <n v="2025"/>
    <m/>
  </r>
  <r>
    <x v="3"/>
    <x v="40"/>
    <x v="5"/>
    <s v="DPBCOR620580WPM DCBWPM563021"/>
    <x v="255"/>
    <s v="DPBCOR620580WPM"/>
    <x v="0"/>
    <n v="1994342"/>
    <n v="0"/>
    <x v="4"/>
    <s v="Received"/>
    <s v="AFAQ AL MALAZ TRADING CO. LTD."/>
    <x v="3"/>
    <x v="8"/>
    <x v="9"/>
    <n v="11"/>
    <n v="2025"/>
    <m/>
  </r>
  <r>
    <x v="3"/>
    <x v="40"/>
    <x v="5"/>
    <s v="DPBCOR620972WPM DCBWPM563059"/>
    <x v="256"/>
    <s v="DPBCOR620972WPM"/>
    <x v="0"/>
    <n v="273781"/>
    <n v="0"/>
    <x v="4"/>
    <s v="Received"/>
    <s v="MODON ADVANCE SERVICES TECH CO."/>
    <x v="3"/>
    <x v="8"/>
    <x v="9"/>
    <n v="11"/>
    <n v="2025"/>
    <m/>
  </r>
  <r>
    <x v="3"/>
    <x v="40"/>
    <x v="5"/>
    <s v="DPBCOR621219WPM DCBWPM563039"/>
    <x v="234"/>
    <s v="DPBCOR621219WPM"/>
    <x v="0"/>
    <n v="658511"/>
    <n v="0"/>
    <x v="4"/>
    <s v="Received"/>
    <s v="AC SOLUTIONS TRADING CO"/>
    <x v="3"/>
    <x v="8"/>
    <x v="9"/>
    <n v="11"/>
    <n v="2025"/>
    <m/>
  </r>
  <r>
    <x v="3"/>
    <x v="40"/>
    <x v="5"/>
    <s v="DPBEPM620109WPM DCBWPM563813"/>
    <x v="43"/>
    <s v="DPBEPM620109WPM"/>
    <x v="0"/>
    <n v="10000000"/>
    <n v="0"/>
    <x v="4"/>
    <s v="Received"/>
    <s v="Electric House Trading Company L.L.C."/>
    <x v="3"/>
    <x v="8"/>
    <x v="9"/>
    <n v="11"/>
    <n v="2025"/>
    <m/>
  </r>
  <r>
    <x v="3"/>
    <x v="40"/>
    <x v="6"/>
    <s v="IMP BILL AMEND. CHARGES DPBEPM626525WPM DCBWPM566637"/>
    <x v="257"/>
    <s v="DPBEPM626525WPM"/>
    <x v="0"/>
    <n v="12937.5"/>
    <n v="0"/>
    <x v="2"/>
    <s v="Received"/>
    <s v="Branch of National Fire Fighting"/>
    <x v="3"/>
    <x v="9"/>
    <x v="10"/>
    <n v="11"/>
    <n v="2025"/>
    <m/>
  </r>
  <r>
    <x v="3"/>
    <x v="40"/>
    <x v="6"/>
    <s v="DPBCOR620900WPM DCBWPM563025"/>
    <x v="194"/>
    <s v="DPBCOR620900WPM"/>
    <x v="0"/>
    <n v="1304831.8899999999"/>
    <n v="0"/>
    <x v="4"/>
    <s v="Received"/>
    <s v="Riyadh Unity for Trading"/>
    <x v="3"/>
    <x v="8"/>
    <x v="9"/>
    <n v="11"/>
    <n v="2025"/>
    <m/>
  </r>
  <r>
    <x v="3"/>
    <x v="40"/>
    <x v="6"/>
    <s v="IMP BILL AMEND. CHARGES DPBCOR626203WPM DCBWPM562604"/>
    <x v="258"/>
    <s v="DPBCOR626203WPM"/>
    <x v="0"/>
    <n v="1188.46"/>
    <n v="0"/>
    <x v="2"/>
    <s v="Received"/>
    <s v="BROOQ ALAMAAN TRAD COMPANY"/>
    <x v="3"/>
    <x v="9"/>
    <x v="10"/>
    <n v="11"/>
    <n v="2025"/>
    <m/>
  </r>
  <r>
    <x v="5"/>
    <x v="38"/>
    <x v="9"/>
    <s v="TI Bill Settled                                                       _x000a_POC005                                                                _x000a_At Bank AlJazira                                                      _x000a_CORPORATE BANKING DEPT-JEDDAH                                         _x000a_Date 02-06-1447(H) Time 11.40.45                                      _x000a_Reference ILC-0840-25-7982                                            _x000a_"/>
    <x v="74"/>
    <s v=""/>
    <x v="0"/>
    <n v="98885.28"/>
    <n v="0"/>
    <x v="4"/>
    <s v="Received"/>
    <s v="Alpha Limit Trading and Contracting Company"/>
    <x v="3"/>
    <x v="10"/>
    <x v="13"/>
    <n v="11"/>
    <n v="2025"/>
    <m/>
  </r>
  <r>
    <x v="5"/>
    <x v="40"/>
    <x v="9"/>
    <s v="Dr TI ILC Comm/Other Charges                                          _x000a_POC002-279995124                                                      _x000a_At Bank Aljazira                                                      _x000a_ CORPORATE BANKING DEPT-JEDDAH                                        _x000a_Date 04-06-1447(H) Time 16.41.21                                      _x000a_Reference ILC-0840-25-7735                                            _x000a_Value Date 04-06-1447(H)                                              _x000a_Fee Collected By Bank AlJazira                                        _x000a_"/>
    <x v="259"/>
    <s v=""/>
    <x v="0"/>
    <n v="100"/>
    <n v="0"/>
    <x v="2"/>
    <s v="Received"/>
    <s v="VOLTAGE ELEMENTS INDUSTRIAL Co. "/>
    <x v="3"/>
    <x v="10"/>
    <x v="13"/>
    <n v="11"/>
    <n v="2025"/>
    <m/>
  </r>
  <r>
    <x v="5"/>
    <x v="40"/>
    <x v="9"/>
    <s v="Value Added Tax                                                       _x000a_On ILC Acceptance Comm.                                               _x000a_15% of SAR100.00                                                      _x000a_Through CORPORATE BANKING DEPT-JEDDAH                                 _x000a_Date 04-06-1447(H) Time 16.41.21                                      _x000a_Reference ILC-0840-25-7735                                            _x000a_At Bank Aljazira                                                      _x000a_"/>
    <x v="259"/>
    <s v=""/>
    <x v="0"/>
    <n v="15"/>
    <n v="0"/>
    <x v="1"/>
    <s v="Received"/>
    <s v="VOLTAGE ELEMENTS INDUSTRIAL Co. "/>
    <x v="3"/>
    <x v="10"/>
    <x v="13"/>
    <n v="11"/>
    <n v="2025"/>
    <m/>
  </r>
  <r>
    <x v="5"/>
    <x v="40"/>
    <x v="9"/>
    <s v="Dr TI ILC Comm/Other Charges                                          _x000a_POC002-279995568                                                      _x000a_At Bank Aljazira                                                      _x000a_ CORPORATE BANKING DEPT-JEDDAH                                        _x000a_Date 04-06-1447(H) Time 16.41.22                                      _x000a_Reference ILC-0840-25-7735                                            _x000a_Value Date 04-06-1447(H)                                              _x000a_Fee Collected By Bank AlJazira                                        _x000a_"/>
    <x v="259"/>
    <s v=""/>
    <x v="0"/>
    <n v="773"/>
    <n v="0"/>
    <x v="2"/>
    <s v="Received"/>
    <s v="VOLTAGE ELEMENTS INDUSTRIAL Co. "/>
    <x v="3"/>
    <x v="10"/>
    <x v="13"/>
    <n v="11"/>
    <n v="2025"/>
    <m/>
  </r>
  <r>
    <x v="5"/>
    <x v="40"/>
    <x v="9"/>
    <s v="Value Added Tax                                                       _x000a_On ILC Acceptance Comm.                                               _x000a_15% of SAR773.00                                                      _x000a_Through CORPORATE BANKING DEPT-JEDDAH                                 _x000a_Date 04-06-1447(H) Time 16.41.22                                      _x000a_Reference ILC-0840-25-7735                                            _x000a_At Bank Aljazira                                                      _x000a_"/>
    <x v="259"/>
    <s v=""/>
    <x v="0"/>
    <n v="115.95"/>
    <n v="0"/>
    <x v="1"/>
    <s v="Received"/>
    <s v="VOLTAGE ELEMENTS INDUSTRIAL Co. "/>
    <x v="3"/>
    <x v="10"/>
    <x v="13"/>
    <n v="11"/>
    <n v="2025"/>
    <m/>
  </r>
  <r>
    <x v="5"/>
    <x v="40"/>
    <x v="9"/>
    <s v="Dr TI ILC Comm/Other Charges                                          _x000a_POC002-279995849                                                      _x000a_At Bank Aljazira                                                      _x000a_ CORPORATE BANKING DEPT-JEDDAH                                        _x000a_Date 04-06-1447(H) Time 16.41.22                                      _x000a_Reference ILC-0840-25-7735                                            _x000a_Value Date 04-06-1447(H)                                              _x000a_Fee Collected By Bank AlJazira                                        _x000a_"/>
    <x v="259"/>
    <s v=""/>
    <x v="0"/>
    <n v="200"/>
    <n v="0"/>
    <x v="2"/>
    <s v="Received"/>
    <s v="VOLTAGE ELEMENTS INDUSTRIAL Co. "/>
    <x v="3"/>
    <x v="10"/>
    <x v="13"/>
    <n v="11"/>
    <n v="2025"/>
    <m/>
  </r>
  <r>
    <x v="5"/>
    <x v="40"/>
    <x v="9"/>
    <s v="Value Added Tax                                                       _x000a_On SWIFT charges                                                      _x000a_15% of SAR200.00                                                      _x000a_Through CORPORATE BANKING DEPT-JEDDAH                                 _x000a_Date 04-06-1447(H) Time 16.41.22                                      _x000a_Reference ILC-0840-25-7735                                            _x000a_At Bank Aljazira                                                      _x000a_"/>
    <x v="259"/>
    <s v=""/>
    <x v="0"/>
    <n v="30"/>
    <n v="0"/>
    <x v="1"/>
    <s v="Received"/>
    <s v="VOLTAGE ELEMENTS INDUSTRIAL Co. "/>
    <x v="3"/>
    <x v="10"/>
    <x v="13"/>
    <n v="11"/>
    <n v="2025"/>
    <m/>
  </r>
  <r>
    <x v="1"/>
    <x v="41"/>
    <x v="3"/>
    <s v="LC SWIFT CHARGES FOR LC NO. TF2523000034\BNK"/>
    <x v="141"/>
    <s v="TF2523000034"/>
    <x v="0"/>
    <n v="-250"/>
    <n v="0"/>
    <x v="3"/>
    <s v="Received"/>
    <s v="Al Arabia Construction &amp; Building Co."/>
    <x v="0"/>
    <x v="7"/>
    <x v="8"/>
    <n v="11"/>
    <n v="2025"/>
    <m/>
  </r>
  <r>
    <x v="1"/>
    <x v="41"/>
    <x v="3"/>
    <s v="CUSTOMER = 3972500 DEAL AMT = 2898.20 DEAL CCY = SAR TAX CODE = 1 "/>
    <x v="141"/>
    <s v="TF2523000034"/>
    <x v="0"/>
    <n v="-434.73"/>
    <n v="0"/>
    <x v="1"/>
    <s v="Received"/>
    <s v="Al Arabia Construction &amp; Building Co."/>
    <x v="0"/>
    <x v="7"/>
    <x v="8"/>
    <n v="11"/>
    <n v="2025"/>
    <m/>
  </r>
  <r>
    <x v="1"/>
    <x v="41"/>
    <x v="3"/>
    <s v="LC AMENDMENT COMMISSION FOR LC NO. TF2523000034\BNK"/>
    <x v="141"/>
    <s v="TF2523000034"/>
    <x v="0"/>
    <n v="-2898.2"/>
    <n v="0"/>
    <x v="5"/>
    <s v="Received"/>
    <s v="Al Arabia Construction &amp; Building Co."/>
    <x v="0"/>
    <x v="7"/>
    <x v="8"/>
    <n v="11"/>
    <n v="2025"/>
    <m/>
  </r>
  <r>
    <x v="1"/>
    <x v="42"/>
    <x v="3"/>
    <s v="CUSTOMER = 3972500 DEAL AMT = 75 DEAL CCY = SAR TAX CODE = 1 "/>
    <x v="29"/>
    <s v="TF251040001705"/>
    <x v="0"/>
    <n v="-11.25"/>
    <n v="0"/>
    <x v="1"/>
    <s v="Received"/>
    <s v="Awtad Jeddah for General Contracting Company"/>
    <x v="0"/>
    <x v="7"/>
    <x v="8"/>
    <n v="11"/>
    <n v="2025"/>
    <m/>
  </r>
  <r>
    <x v="1"/>
    <x v="42"/>
    <x v="3"/>
    <s v="LC SWIFT CHARGES FOR LC NO. TF251040001705\BNK"/>
    <x v="29"/>
    <s v="TF251040001705"/>
    <x v="0"/>
    <n v="-75"/>
    <n v="0"/>
    <x v="3"/>
    <s v="Received"/>
    <s v="Awtad Jeddah for General Contracting Company"/>
    <x v="0"/>
    <x v="7"/>
    <x v="8"/>
    <n v="11"/>
    <n v="2025"/>
    <m/>
  </r>
  <r>
    <x v="1"/>
    <x v="42"/>
    <x v="3"/>
    <s v="REIMBURSE UNDER LCS DR FOR LC NO. TF251040001705\BNK"/>
    <x v="29"/>
    <s v="TF251040001705"/>
    <x v="0"/>
    <n v="-439810.72"/>
    <n v="0"/>
    <x v="4"/>
    <s v="Received"/>
    <s v="Awtad Jeddah for General Contracting Company"/>
    <x v="0"/>
    <x v="7"/>
    <x v="8"/>
    <n v="11"/>
    <n v="2025"/>
    <m/>
  </r>
  <r>
    <x v="0"/>
    <x v="41"/>
    <x v="0"/>
    <s v="REF JLC6901472,REF JLC6901472,VIA CORE SYSTEM,DATE-TIME 26/11-15:26:04, عن طريق النظام الآ لي ,VALUE DT 26/11/25"/>
    <x v="260"/>
    <s v=""/>
    <x v="0"/>
    <n v="0"/>
    <n v="50355.18"/>
    <x v="18"/>
    <s v="Received"/>
    <s v="Dalal Al Sham Security Company"/>
    <x v="2"/>
    <x v="4"/>
    <x v="5"/>
    <n v="11"/>
    <n v="2025"/>
    <m/>
  </r>
  <r>
    <x v="0"/>
    <x v="41"/>
    <x v="0"/>
    <s v="REF JLC6901475,REF JLC6901475,VIA CORE SYSTEM,DATE-TIME 26/11-15:26:14, عن طريق النظام الآ لي ,VALUE DT 26/11/25"/>
    <x v="261"/>
    <s v=""/>
    <x v="0"/>
    <n v="0"/>
    <n v="82081.84"/>
    <x v="18"/>
    <s v="Received"/>
    <s v="Abu Dawood Trading Co."/>
    <x v="2"/>
    <x v="4"/>
    <x v="5"/>
    <n v="11"/>
    <n v="2025"/>
    <m/>
  </r>
  <r>
    <x v="0"/>
    <x v="41"/>
    <x v="0"/>
    <s v="REF JLC6901487,REF JLC6901487,VIA CORE SYSTEM,DATE-TIME 26/11-15:26:30, عن طريق النظام الآ لي ,VALUE DT 26/11/25"/>
    <x v="262"/>
    <s v=""/>
    <x v="0"/>
    <n v="0"/>
    <n v="138804.5"/>
    <x v="18"/>
    <s v="Received"/>
    <s v="ASCO Company Ltd"/>
    <x v="2"/>
    <x v="4"/>
    <x v="5"/>
    <n v="11"/>
    <n v="2025"/>
    <m/>
  </r>
  <r>
    <x v="0"/>
    <x v="41"/>
    <x v="0"/>
    <s v="REF JLC6901470,REF JLC6901470,VIA CORE SYSTEM,DATE-TIME 26/11-15:25:50, عن طريق النظام الآ لي ,VALUE DT 26/11/25"/>
    <x v="263"/>
    <s v=""/>
    <x v="0"/>
    <n v="0"/>
    <n v="153759.93"/>
    <x v="18"/>
    <s v="Received"/>
    <s v="Abdul Aziz Mohammed Abu Shaiea Trading Est"/>
    <x v="2"/>
    <x v="4"/>
    <x v="5"/>
    <n v="11"/>
    <n v="2025"/>
    <m/>
  </r>
  <r>
    <x v="0"/>
    <x v="41"/>
    <x v="0"/>
    <s v="RB REF JLG6900681,VIA CORE SYSTEM,DATE-TIME 26/11-09:17:54, عن طريق النظام الآ لي ,VALUE DT 26/11/25"/>
    <x v="264"/>
    <s v=""/>
    <x v="0"/>
    <n v="2613.9499999999998"/>
    <n v="0"/>
    <x v="19"/>
    <s v="Received"/>
    <s v="Financial - RIYADH AIRPORT COMPANY (THIRD PARTY RED C)"/>
    <x v="1"/>
    <x v="15"/>
    <x v="5"/>
    <n v="11"/>
    <n v="2025"/>
    <m/>
  </r>
  <r>
    <x v="2"/>
    <x v="41"/>
    <x v="4"/>
    <s v="CITY:Jeddah 6132225J211485001"/>
    <x v="192"/>
    <s v="J211485001"/>
    <x v="0"/>
    <n v="-40538.71"/>
    <n v="0"/>
    <x v="2"/>
    <s v="Received"/>
    <s v="ALNAFIE METAL INDUSTRIES CO LTD"/>
    <x v="8"/>
    <x v="11"/>
    <x v="17"/>
    <n v="11"/>
    <n v="2025"/>
    <m/>
  </r>
  <r>
    <x v="2"/>
    <x v="42"/>
    <x v="4"/>
    <s v="CITY:Jeddah 6132225B325009000"/>
    <x v="265"/>
    <m/>
    <x v="0"/>
    <n v="-12248.65"/>
    <n v="0"/>
    <x v="20"/>
    <s v="Received"/>
    <s v="Financial - SAUDI MANPOWER SOLUTION COMPANY (Third Party AM Steel)"/>
    <x v="9"/>
    <x v="2"/>
    <x v="5"/>
    <n v="11"/>
    <n v="2025"/>
    <m/>
  </r>
  <r>
    <x v="2"/>
    <x v="42"/>
    <x v="4"/>
    <s v="CITY:Jeddah 6132225J210944001"/>
    <x v="266"/>
    <s v="J210944001"/>
    <x v="0"/>
    <n v="-586630.1"/>
    <n v="0"/>
    <x v="4"/>
    <s v="Received"/>
    <s v="Mohammed A. Al-Awani Trading"/>
    <x v="0"/>
    <x v="7"/>
    <x v="8"/>
    <n v="11"/>
    <n v="2025"/>
    <m/>
  </r>
  <r>
    <x v="2"/>
    <x v="42"/>
    <x v="4"/>
    <s v="CITY:Jeddah 6132225J210617004"/>
    <x v="42"/>
    <s v="J210617004"/>
    <x v="0"/>
    <n v="-637560"/>
    <n v="0"/>
    <x v="4"/>
    <s v="Received"/>
    <s v="Al Arabia Construction &amp; Building Co."/>
    <x v="0"/>
    <x v="7"/>
    <x v="8"/>
    <n v="11"/>
    <n v="2025"/>
    <m/>
  </r>
  <r>
    <x v="3"/>
    <x v="41"/>
    <x v="6"/>
    <s v="DPBCOR620745WPM DCBWPM562590"/>
    <x v="267"/>
    <s v="DPBCOR620745WPM"/>
    <x v="0"/>
    <n v="-500000"/>
    <n v="0"/>
    <x v="4"/>
    <s v="Received"/>
    <s v="Al Maymanah for Contracting Co. Ltd."/>
    <x v="3"/>
    <x v="9"/>
    <x v="10"/>
    <n v="11"/>
    <n v="2025"/>
    <m/>
  </r>
  <r>
    <x v="3"/>
    <x v="41"/>
    <x v="6"/>
    <s v="DPBCOR621589WPM DCBWPM562622"/>
    <x v="268"/>
    <s v="DPBCOR621589WPM"/>
    <x v="0"/>
    <n v="-150000"/>
    <n v="0"/>
    <x v="4"/>
    <s v="Received"/>
    <s v="ALDREES INDUSTRIAL AND TRADING CO"/>
    <x v="3"/>
    <x v="9"/>
    <x v="10"/>
    <n v="11"/>
    <n v="2025"/>
    <m/>
  </r>
  <r>
    <x v="3"/>
    <x v="42"/>
    <x v="6"/>
    <s v="DPBCOR620623WPM DCBWPM558751"/>
    <x v="143"/>
    <s v="DPBCOR620623WPM"/>
    <x v="0"/>
    <n v="-94000.88"/>
    <n v="0"/>
    <x v="4"/>
    <s v="Received"/>
    <s v="ANDHMAH ALMNANI ALTWARH EST"/>
    <x v="3"/>
    <x v="9"/>
    <x v="10"/>
    <n v="11"/>
    <n v="2025"/>
    <m/>
  </r>
  <r>
    <x v="3"/>
    <x v="42"/>
    <x v="6"/>
    <s v="DPBCOR624433WPM DCBWPM554837"/>
    <x v="45"/>
    <s v="DPBCOR624433WPM"/>
    <x v="0"/>
    <n v="-820835.7"/>
    <n v="0"/>
    <x v="4"/>
    <s v="Received"/>
    <s v="SCHUCO MIDDLE EAST WINDOWS AND FACADE SYSTEMS LLC"/>
    <x v="5"/>
    <x v="8"/>
    <x v="9"/>
    <n v="11"/>
    <n v="2025"/>
    <m/>
  </r>
  <r>
    <x v="3"/>
    <x v="42"/>
    <x v="6"/>
    <s v="IMP BILL AMEND. CHARGES DPBCOR626959WPM DCBWPM555620"/>
    <x v="269"/>
    <s v="DPBCOR626959WPM"/>
    <x v="0"/>
    <n v="-812.62"/>
    <n v="0"/>
    <x v="2"/>
    <s v="Received"/>
    <s v="Rawadf International Co."/>
    <x v="3"/>
    <x v="9"/>
    <x v="10"/>
    <n v="11"/>
    <n v="2025"/>
    <m/>
  </r>
  <r>
    <x v="5"/>
    <x v="41"/>
    <x v="9"/>
    <s v="TI Bill Settled                                                       _x000a_POC004                                                                _x000a_At Bank AlJazira                                                      _x000a_CORPORATE BANKING DEPT-JEDDAH                                         _x000a_Date 05-06-1447(H) Time 12.55.21                                      _x000a_Reference ILC-0840-25-7992                                            _x000a_"/>
    <x v="77"/>
    <s v=""/>
    <x v="0"/>
    <n v="1036414.51"/>
    <n v="0"/>
    <x v="4"/>
    <s v="Received"/>
    <s v="ALFANAR ELECTRICAL SYSTEMS"/>
    <x v="3"/>
    <x v="10"/>
    <x v="13"/>
    <n v="11"/>
    <n v="2025"/>
    <m/>
  </r>
  <r>
    <x v="5"/>
    <x v="41"/>
    <x v="9"/>
    <s v="Dr TI ILC Comm/Other Charges                                          _x000a_POC003-280178368                                                      _x000a_At Bank Aljazira                                                      _x000a_ CORPORATE BANKING DEPT-JEDDAH                                        _x000a_Date 05-06-1447(H) Time 14.16.19                                      _x000a_Reference ILC-0840-25-7173                                            _x000a_Value Date 05-06-1447(H)                                              _x000a_Fee Collected By Bank AlJazira                                        _x000a_"/>
    <x v="166"/>
    <s v=""/>
    <x v="0"/>
    <n v="100"/>
    <n v="0"/>
    <x v="2"/>
    <s v="Received"/>
    <s v="AL-Tawi Ready Mix Concrete Factory Co"/>
    <x v="3"/>
    <x v="10"/>
    <x v="13"/>
    <n v="11"/>
    <n v="2025"/>
    <m/>
  </r>
  <r>
    <x v="5"/>
    <x v="41"/>
    <x v="9"/>
    <s v="Value Added Tax                                                       _x000a_On ILC Acceptance Comm.                                               _x000a_15% of SAR100.00                                                      _x000a_Through CORPORATE BANKING DEPT-JEDDAH                                 _x000a_Date 05-06-1447(H) Time 14.16.19                                      _x000a_Reference ILC-0840-25-7173                                            _x000a_At Bank Aljazira                                                      _x000a_"/>
    <x v="166"/>
    <s v=""/>
    <x v="0"/>
    <n v="15"/>
    <n v="0"/>
    <x v="1"/>
    <s v="Received"/>
    <s v="AL-Tawi Ready Mix Concrete Factory Co"/>
    <x v="3"/>
    <x v="10"/>
    <x v="13"/>
    <n v="11"/>
    <n v="2025"/>
    <m/>
  </r>
  <r>
    <x v="5"/>
    <x v="41"/>
    <x v="9"/>
    <s v="Dr TI ILC Comm/Other Charges                                          _x000a_POC003-280178414                                                      _x000a_At Bank Aljazira                                                      _x000a_ CORPORATE BANKING DEPT-JEDDAH                                        _x000a_Date 05-06-1447(H) Time 14.16.19                                      _x000a_Reference ILC-0840-25-7173                                            _x000a_Value Date 05-06-1447(H)                                              _x000a_Fee Collected By Bank AlJazira                                        _x000a_"/>
    <x v="166"/>
    <s v=""/>
    <x v="0"/>
    <n v="833"/>
    <n v="0"/>
    <x v="2"/>
    <s v="Received"/>
    <s v="AL-Tawi Ready Mix Concrete Factory Co"/>
    <x v="3"/>
    <x v="10"/>
    <x v="13"/>
    <n v="11"/>
    <n v="2025"/>
    <m/>
  </r>
  <r>
    <x v="5"/>
    <x v="41"/>
    <x v="9"/>
    <s v="Value Added Tax                                                       _x000a_On ILC Acceptance Comm.                                               _x000a_15% of SAR833.00                                                      _x000a_Through CORPORATE BANKING DEPT-JEDDAH                                 _x000a_Date 05-06-1447(H) Time 14.16.19                                      _x000a_Reference ILC-0840-25-7173                                            _x000a_At Bank Aljazira                                                      _x000a_"/>
    <x v="166"/>
    <s v=""/>
    <x v="0"/>
    <n v="124.95"/>
    <n v="0"/>
    <x v="1"/>
    <s v="Received"/>
    <s v="AL-Tawi Ready Mix Concrete Factory Co"/>
    <x v="3"/>
    <x v="10"/>
    <x v="13"/>
    <n v="11"/>
    <n v="2025"/>
    <m/>
  </r>
  <r>
    <x v="5"/>
    <x v="41"/>
    <x v="9"/>
    <s v="Dr TI ILC Comm/Other Charges                                          _x000a_POC003-280178488                                                      _x000a_At Bank Aljazira                                                      _x000a_ CORPORATE BANKING DEPT-JEDDAH                                        _x000a_Date 05-06-1447(H) Time 14.16.20                                      _x000a_Reference ILC-0840-25-7173                                            _x000a_Value Date 05-06-1447(H)                                              _x000a_Fee Collected By Bank AlJazira                                        _x000a_"/>
    <x v="166"/>
    <s v=""/>
    <x v="0"/>
    <n v="200"/>
    <n v="0"/>
    <x v="2"/>
    <s v="Received"/>
    <s v="AL-Tawi Ready Mix Concrete Factory Co"/>
    <x v="3"/>
    <x v="10"/>
    <x v="13"/>
    <n v="11"/>
    <n v="2025"/>
    <m/>
  </r>
  <r>
    <x v="5"/>
    <x v="41"/>
    <x v="9"/>
    <s v="Value Added Tax                                                       _x000a_On SWIFT charges                                                      _x000a_15% of SAR200.00                                                      _x000a_Through CORPORATE BANKING DEPT-JEDDAH                                 _x000a_Date 05-06-1447(H) Time 14.16.20                                      _x000a_Reference ILC-0840-25-7173                                            _x000a_At Bank Aljazira                                                      _x000a_"/>
    <x v="166"/>
    <s v=""/>
    <x v="0"/>
    <n v="30"/>
    <n v="0"/>
    <x v="1"/>
    <s v="Received"/>
    <s v="AL-Tawi Ready Mix Concrete Factory Co"/>
    <x v="3"/>
    <x v="10"/>
    <x v="13"/>
    <n v="11"/>
    <n v="2025"/>
    <m/>
  </r>
  <r>
    <x v="5"/>
    <x v="42"/>
    <x v="9"/>
    <s v="TI Bill Settled                                                       _x000a_POC008                                                                _x000a_At Bank AlJazira                                                      _x000a_CORPORATE BANKING DEPT-JEDDAH                                         _x000a_Date 06-06-1447(H) Time 11.34.49                                      _x000a_Reference ILC-0840-25-7352                                            _x000a_"/>
    <x v="75"/>
    <s v=""/>
    <x v="0"/>
    <n v="733654"/>
    <n v="0"/>
    <x v="4"/>
    <s v="Received"/>
    <s v="ALFANAR ELECTRICAL SYSTEMS"/>
    <x v="3"/>
    <x v="10"/>
    <x v="13"/>
    <n v="11"/>
    <n v="2025"/>
    <m/>
  </r>
  <r>
    <x v="5"/>
    <x v="42"/>
    <x v="9"/>
    <s v="Dr TI LGI Comm/Other Charges                                          _x000a_AMD001-280273841                                                      _x000a_At Bank AlJazira                                                      _x000a_CORPORATE BANKING DEPT-JEDDAH                                         _x000a_Date 06-06-1447(H) Time 12.44.44                                      _x000a_Reference LGI-0840-25-6611                                            _x000a_"/>
    <x v="170"/>
    <s v=""/>
    <x v="0"/>
    <n v="6250"/>
    <n v="0"/>
    <x v="16"/>
    <s v="Received"/>
    <s v="Bid - ERTH Al-AWTAN REAL ESTATE DEVELOPMENT COMPANY"/>
    <x v="1"/>
    <x v="2"/>
    <x v="5"/>
    <n v="11"/>
    <n v="2025"/>
    <m/>
  </r>
  <r>
    <x v="5"/>
    <x v="42"/>
    <x v="9"/>
    <s v="Value Added Tax                                                       _x000a_On LGI Amend Commission                                               _x000a_15% of SAR6,250.00                                                    _x000a_Through CORPORATE BANKING DEPT-JEDDAH                                 _x000a_Date 06-06-1447(H) Time 12.44.45                                      _x000a_Reference LGI-0840-25-6611                                            _x000a_At Bank Aljazira                                                      _x000a_Exchange Rate 1.0                                                     _x000a_"/>
    <x v="170"/>
    <s v=""/>
    <x v="0"/>
    <n v="937.5"/>
    <n v="0"/>
    <x v="1"/>
    <s v="Received"/>
    <s v="Bid - ERTH Al-AWTAN REAL ESTATE DEVELOPMENT COMPANY"/>
    <x v="1"/>
    <x v="2"/>
    <x v="5"/>
    <n v="11"/>
    <n v="2025"/>
    <m/>
  </r>
  <r>
    <x v="5"/>
    <x v="42"/>
    <x v="9"/>
    <s v="Dr TI LGI Comm/Other Charges                                          _x000a_AMD001-280273843                                                      _x000a_At Bank AlJazira                                                      _x000a_CORPORATE BANKING DEPT-JEDDAH                                         _x000a_Date 06-06-1447(H) Time 12.44.45                                      _x000a_Reference LGI-0840-25-6611                                            _x000a_"/>
    <x v="170"/>
    <s v=""/>
    <x v="0"/>
    <n v="16438.36"/>
    <n v="0"/>
    <x v="16"/>
    <s v="Received"/>
    <s v="Bid - ERTH Al-AWTAN REAL ESTATE DEVELOPMENT COMPANY"/>
    <x v="1"/>
    <x v="2"/>
    <x v="5"/>
    <n v="11"/>
    <n v="2025"/>
    <m/>
  </r>
  <r>
    <x v="5"/>
    <x v="42"/>
    <x v="9"/>
    <s v="Value Added Tax                                                       _x000a_On LG Processing/Facility Fees                                        _x000a_15% of SAR16,438.36                                                   _x000a_Through CORPORATE BANKING DEPT-JEDDAH                                 _x000a_Date 06-06-1447(H) Time 12.44.46                                      _x000a_Reference LGI-0840-25-6611                                            _x000a_At Bank Aljazira                                                      _x000a_Exchange Rate 1.0                                                     _x000a_"/>
    <x v="170"/>
    <s v=""/>
    <x v="0"/>
    <n v="2465.75"/>
    <n v="0"/>
    <x v="1"/>
    <s v="Received"/>
    <s v="Bid - ERTH Al-AWTAN REAL ESTATE DEVELOPMENT COMPANY"/>
    <x v="1"/>
    <x v="2"/>
    <x v="5"/>
    <n v="11"/>
    <n v="2025"/>
    <m/>
  </r>
  <r>
    <x v="3"/>
    <x v="43"/>
    <x v="5"/>
    <s v="DPBCOR622887WPM DCBWPM551279 DCBMBL551279"/>
    <x v="55"/>
    <s v="DPBCOR622887WPM"/>
    <x v="0"/>
    <n v="-825735.95"/>
    <n v="0"/>
    <x v="4"/>
    <s v="Received"/>
    <s v="Arnon Plastic Industries Co Ltd"/>
    <x v="0"/>
    <x v="8"/>
    <x v="9"/>
    <n v="11"/>
    <n v="2025"/>
    <m/>
  </r>
  <r>
    <x v="3"/>
    <x v="43"/>
    <x v="6"/>
    <s v="DPBEPM623114WPM DCBWPM564601"/>
    <x v="97"/>
    <s v="DPBEPM623114WPM"/>
    <x v="0"/>
    <n v="-784558"/>
    <n v="0"/>
    <x v="4"/>
    <s v="Received"/>
    <s v="FAISAL AWAD AL HARBI COMPANY"/>
    <x v="4"/>
    <x v="1"/>
    <x v="11"/>
    <n v="11"/>
    <n v="2025"/>
    <m/>
  </r>
  <r>
    <x v="5"/>
    <x v="43"/>
    <x v="9"/>
    <s v="TI Bill Settled                                                       _x000a_POC003                                                                _x000a_At Bank AlJazira                                                      _x000a_CORPORATE BANKING DEPT-JEDDAH                                         _x000a_Date 09-06-1447(H) Time 13.24.48                                      _x000a_Reference ILC-0840-25-7735                                            _x000a_"/>
    <x v="259"/>
    <s v=""/>
    <x v="0"/>
    <n v="618700"/>
    <n v="0"/>
    <x v="4"/>
    <s v="Received"/>
    <s v="VOLTAGE ELEMENTS INDUSTRIAL Co. "/>
    <x v="3"/>
    <x v="10"/>
    <x v="13"/>
    <n v="11"/>
    <n v="2025"/>
    <m/>
  </r>
  <r>
    <x v="5"/>
    <x v="43"/>
    <x v="9"/>
    <s v="TI Bill Settled                                                       _x000a_POC005                                                                _x000a_At Bank AlJazira                                                      _x000a_CORPORATE BANKING DEPT-JEDDAH                                         _x000a_Date 09-06-1447(H) Time 13.25.48                                      _x000a_Reference ILC-0840-25-7799                                            _x000a_"/>
    <x v="72"/>
    <s v=""/>
    <x v="0"/>
    <n v="564484.85"/>
    <n v="0"/>
    <x v="4"/>
    <s v="Received"/>
    <s v="Metal and Glass Trading Co"/>
    <x v="3"/>
    <x v="10"/>
    <x v="13"/>
    <n v="11"/>
    <n v="2025"/>
    <m/>
  </r>
  <r>
    <x v="5"/>
    <x v="43"/>
    <x v="9"/>
    <s v="TI Bill Settled                                                       _x000a_POC002                                                                _x000a_At Bank AlJazira                                                      _x000a_CORPORATE BANKING DEPT-JEDDAH                                         _x000a_Date 09-06-1447(H) Time 13.28.52                                      _x000a_Reference ILC-0840-25-8162                                            _x000a_"/>
    <x v="91"/>
    <s v=""/>
    <x v="0"/>
    <n v="148350"/>
    <n v="0"/>
    <x v="4"/>
    <s v="Received"/>
    <s v="Saudi Benaa Company for Building Materials"/>
    <x v="3"/>
    <x v="10"/>
    <x v="13"/>
    <n v="11"/>
    <n v="2025"/>
    <m/>
  </r>
  <r>
    <x v="1"/>
    <x v="44"/>
    <x v="3"/>
    <s v="CUSTOMER = 3972500 DEAL AMT = 75 DEAL CCY = SAR TAX CODE = 1 "/>
    <x v="270"/>
    <s v="TF252110003701"/>
    <x v="0"/>
    <n v="-11.25"/>
    <n v="0"/>
    <x v="1"/>
    <s v="Received"/>
    <s v="ZAHID TRACTOR &amp; HEAVY MACHINERY CO. LTD."/>
    <x v="3"/>
    <x v="5"/>
    <x v="6"/>
    <n v="12"/>
    <n v="2025"/>
    <m/>
  </r>
  <r>
    <x v="1"/>
    <x v="44"/>
    <x v="3"/>
    <s v="LC SWIFT CHARGES FOR LC NO. TF252110003701\BNK"/>
    <x v="270"/>
    <s v="TF252110003701"/>
    <x v="0"/>
    <n v="-75"/>
    <n v="0"/>
    <x v="3"/>
    <s v="Received"/>
    <s v="ZAHID TRACTOR &amp; HEAVY MACHINERY CO. LTD."/>
    <x v="3"/>
    <x v="5"/>
    <x v="6"/>
    <n v="12"/>
    <n v="2025"/>
    <m/>
  </r>
  <r>
    <x v="1"/>
    <x v="44"/>
    <x v="3"/>
    <s v="REIMBURSE UNDER LCS DR FOR LC NO. TF252110003701\BNK"/>
    <x v="270"/>
    <s v="TF252110003701"/>
    <x v="0"/>
    <n v="-4106471.65"/>
    <n v="0"/>
    <x v="4"/>
    <s v="Received"/>
    <s v="ZAHID TRACTOR &amp; HEAVY MACHINERY CO. LTD."/>
    <x v="3"/>
    <x v="5"/>
    <x v="6"/>
    <n v="12"/>
    <n v="2025"/>
    <m/>
  </r>
  <r>
    <x v="1"/>
    <x v="44"/>
    <x v="3"/>
    <s v="CUSTOMER = 3972500 DEAL AMT = 1250 DEAL CCY = SAR TAX CODE = 1 "/>
    <x v="189"/>
    <s v="TF252110004801"/>
    <x v="0"/>
    <n v="-187.5"/>
    <n v="0"/>
    <x v="1"/>
    <s v="Received"/>
    <s v="AL-HADBANIA TRADING CO."/>
    <x v="3"/>
    <x v="5"/>
    <x v="6"/>
    <n v="12"/>
    <n v="2025"/>
    <m/>
  </r>
  <r>
    <x v="1"/>
    <x v="44"/>
    <x v="3"/>
    <s v="LC ACCEPTANCE COMMISSION FOR LC NO. TF252110004801\BNK"/>
    <x v="189"/>
    <s v="TF252110004801"/>
    <x v="0"/>
    <n v="-1250"/>
    <n v="0"/>
    <x v="2"/>
    <s v="Received"/>
    <s v="AL-HADBANIA TRADING CO."/>
    <x v="3"/>
    <x v="5"/>
    <x v="6"/>
    <n v="12"/>
    <n v="2025"/>
    <m/>
  </r>
  <r>
    <x v="1"/>
    <x v="44"/>
    <x v="3"/>
    <s v="CUSTOMER = 3972500 DEAL AMT = 75 DEAL CCY = SAR TAX CODE = 1 "/>
    <x v="271"/>
    <s v="TF252110009701"/>
    <x v="0"/>
    <n v="-11.25"/>
    <n v="0"/>
    <x v="1"/>
    <s v="Received"/>
    <s v="Almansha Almubasher Trading Company"/>
    <x v="3"/>
    <x v="5"/>
    <x v="6"/>
    <n v="12"/>
    <n v="2025"/>
    <m/>
  </r>
  <r>
    <x v="1"/>
    <x v="44"/>
    <x v="3"/>
    <s v="LC SWIFT CHARGES FOR LC NO. TF252110009701\BNK"/>
    <x v="271"/>
    <s v="TF252110009701"/>
    <x v="0"/>
    <n v="-75"/>
    <n v="0"/>
    <x v="3"/>
    <s v="Received"/>
    <s v="Almansha Almubasher Trading Company"/>
    <x v="3"/>
    <x v="5"/>
    <x v="6"/>
    <n v="12"/>
    <n v="2025"/>
    <m/>
  </r>
  <r>
    <x v="1"/>
    <x v="44"/>
    <x v="3"/>
    <s v="REIMBURSE UNDER LCS DR FOR LC NO. TF252110009701\BNK"/>
    <x v="271"/>
    <s v="TF252110009701"/>
    <x v="0"/>
    <n v="-305000"/>
    <n v="0"/>
    <x v="4"/>
    <s v="Received"/>
    <s v="Almansha Almubasher Trading Company"/>
    <x v="3"/>
    <x v="5"/>
    <x v="6"/>
    <n v="12"/>
    <n v="2025"/>
    <m/>
  </r>
  <r>
    <x v="1"/>
    <x v="44"/>
    <x v="3"/>
    <s v="CUSTOMER = 3972500 DEAL AMT = 75 DEAL CCY = SAR TAX CODE = 1 "/>
    <x v="111"/>
    <s v="TF252710002401"/>
    <x v="0"/>
    <n v="-11.25"/>
    <n v="0"/>
    <x v="1"/>
    <s v="Received"/>
    <s v="Saudi Perfect Pumps Trading &amp; Manufacturing Company"/>
    <x v="0"/>
    <x v="7"/>
    <x v="8"/>
    <n v="12"/>
    <n v="2025"/>
    <m/>
  </r>
  <r>
    <x v="1"/>
    <x v="44"/>
    <x v="3"/>
    <s v="LC SWIFT CHARGES FOR LC NO. TF252710002401\BNK"/>
    <x v="111"/>
    <s v="TF252710002401"/>
    <x v="0"/>
    <n v="-75"/>
    <n v="0"/>
    <x v="3"/>
    <s v="Received"/>
    <s v="Saudi Perfect Pumps Trading &amp; Manufacturing Company"/>
    <x v="0"/>
    <x v="7"/>
    <x v="8"/>
    <n v="12"/>
    <n v="2025"/>
    <m/>
  </r>
  <r>
    <x v="1"/>
    <x v="44"/>
    <x v="3"/>
    <s v="REIMBURSE UNDER LCS DR FOR LC NO. TF252710002401\BNK"/>
    <x v="111"/>
    <s v="TF252710002401"/>
    <x v="0"/>
    <n v="-1479500"/>
    <n v="0"/>
    <x v="4"/>
    <s v="Received"/>
    <s v="Saudi Perfect Pumps Trading &amp; Manufacturing Company"/>
    <x v="0"/>
    <x v="7"/>
    <x v="8"/>
    <n v="12"/>
    <n v="2025"/>
    <m/>
  </r>
  <r>
    <x v="1"/>
    <x v="44"/>
    <x v="3"/>
    <s v="CUSTOMER = 3972500 DEAL AMT = 3889.34 DEAL CCY = SAR TAX CODE = 1 "/>
    <x v="90"/>
    <s v="TF2527100025"/>
    <x v="0"/>
    <n v="-37.5"/>
    <n v="0"/>
    <x v="1"/>
    <s v="Received"/>
    <s v="BRC Industrial (Saudia) Company"/>
    <x v="0"/>
    <x v="7"/>
    <x v="8"/>
    <n v="12"/>
    <n v="2025"/>
    <m/>
  </r>
  <r>
    <x v="1"/>
    <x v="44"/>
    <x v="3"/>
    <s v="LC SWIFT CHARGES FOR LC NO. TF2527100025\BNK"/>
    <x v="90"/>
    <s v="TF2527100025"/>
    <x v="0"/>
    <n v="-250"/>
    <n v="0"/>
    <x v="3"/>
    <s v="Received"/>
    <s v="BRC Industrial (Saudia) Company"/>
    <x v="0"/>
    <x v="7"/>
    <x v="8"/>
    <n v="12"/>
    <n v="2025"/>
    <m/>
  </r>
  <r>
    <x v="1"/>
    <x v="44"/>
    <x v="3"/>
    <s v="CUSTOMER = 3972500 DEAL AMT = 3889.34 DEAL CCY = SAR TAX CODE = 1 "/>
    <x v="90"/>
    <s v="TF2527100025"/>
    <x v="0"/>
    <n v="-583.4"/>
    <n v="0"/>
    <x v="1"/>
    <s v="Received"/>
    <s v="BRC Industrial (Saudia) Company"/>
    <x v="0"/>
    <x v="7"/>
    <x v="8"/>
    <n v="12"/>
    <n v="2025"/>
    <m/>
  </r>
  <r>
    <x v="1"/>
    <x v="44"/>
    <x v="3"/>
    <s v="LC AMENDMENT COMMISSION FOR LC NO. TF2527100025\BNK"/>
    <x v="90"/>
    <s v="TF2527100025"/>
    <x v="0"/>
    <n v="-3889.34"/>
    <n v="0"/>
    <x v="5"/>
    <s v="Received"/>
    <s v="BRC Industrial (Saudia) Company"/>
    <x v="0"/>
    <x v="7"/>
    <x v="8"/>
    <n v="12"/>
    <n v="2025"/>
    <m/>
  </r>
  <r>
    <x v="1"/>
    <x v="45"/>
    <x v="3"/>
    <s v="CUSTOMER = 3972500 DEAL AMT = 1250 DEAL CCY = SAR TAX CODE = 1 "/>
    <x v="206"/>
    <s v="TF251350003401"/>
    <x v="0"/>
    <n v="-187.5"/>
    <n v="0"/>
    <x v="1"/>
    <s v="Received"/>
    <s v="ANSSAM AL RIYADH CONTRACTING EST"/>
    <x v="3"/>
    <x v="5"/>
    <x v="6"/>
    <n v="12"/>
    <n v="2025"/>
    <m/>
  </r>
  <r>
    <x v="1"/>
    <x v="45"/>
    <x v="3"/>
    <s v="LC ACCEPTANCE COMMISSION FOR LC NO. TF251350003401\BNK"/>
    <x v="206"/>
    <s v="TF251350003401"/>
    <x v="0"/>
    <n v="-1250"/>
    <n v="0"/>
    <x v="2"/>
    <s v="Received"/>
    <s v="ANSSAM AL RIYADH CONTRACTING EST"/>
    <x v="3"/>
    <x v="5"/>
    <x v="6"/>
    <n v="12"/>
    <n v="2025"/>
    <m/>
  </r>
  <r>
    <x v="1"/>
    <x v="45"/>
    <x v="3"/>
    <s v="CUSTOMER = 3972500 DEAL AMT = 1250 DEAL CCY = SAR TAX CODE = 1 "/>
    <x v="184"/>
    <s v="TF251470005101"/>
    <x v="0"/>
    <n v="-187.5"/>
    <n v="0"/>
    <x v="1"/>
    <s v="Received"/>
    <s v="MAWARID AISHAMELA TRADING CO."/>
    <x v="3"/>
    <x v="5"/>
    <x v="6"/>
    <n v="12"/>
    <n v="2025"/>
    <m/>
  </r>
  <r>
    <x v="1"/>
    <x v="45"/>
    <x v="3"/>
    <s v="LC ACCEPTANCE COMMISSION FOR LC NO. TF251470005101\BNK"/>
    <x v="184"/>
    <s v="TF251470005101"/>
    <x v="0"/>
    <n v="-1250"/>
    <n v="0"/>
    <x v="2"/>
    <s v="Received"/>
    <s v="MAWARID AISHAMELA TRADING CO."/>
    <x v="3"/>
    <x v="5"/>
    <x v="6"/>
    <n v="12"/>
    <n v="2025"/>
    <m/>
  </r>
  <r>
    <x v="1"/>
    <x v="45"/>
    <x v="3"/>
    <s v="CUSTOMER = 3972500 DEAL AMT = 1892.87 DEAL CCY = SAR TAX CODE = 1 "/>
    <x v="272"/>
    <s v="TF251770001402"/>
    <x v="0"/>
    <n v="-283.93"/>
    <n v="0"/>
    <x v="1"/>
    <s v="Received"/>
    <s v="ENGINEERING STYLES EST FOR CONTRACTING"/>
    <x v="3"/>
    <x v="6"/>
    <x v="7"/>
    <n v="12"/>
    <n v="2025"/>
    <m/>
  </r>
  <r>
    <x v="1"/>
    <x v="45"/>
    <x v="3"/>
    <s v="LC ACCEPTANCE COMMISSION FOR LC NO. TF251770001402\BNK"/>
    <x v="272"/>
    <s v="TF251770001402"/>
    <x v="0"/>
    <n v="-1892.87"/>
    <n v="0"/>
    <x v="2"/>
    <s v="Received"/>
    <s v="ENGINEERING STYLES EST FOR CONTRACTING"/>
    <x v="3"/>
    <x v="6"/>
    <x v="7"/>
    <n v="12"/>
    <n v="2025"/>
    <m/>
  </r>
  <r>
    <x v="1"/>
    <x v="45"/>
    <x v="3"/>
    <s v="CUSTOMER = 3972500 DEAL AMT = 75 DEAL CCY = SAR TAX CODE = 1 "/>
    <x v="141"/>
    <s v="TF252300003402"/>
    <x v="0"/>
    <n v="-11.25"/>
    <n v="0"/>
    <x v="1"/>
    <s v="Received"/>
    <s v="Al Arabia Construction &amp; Building Co."/>
    <x v="0"/>
    <x v="7"/>
    <x v="8"/>
    <n v="12"/>
    <n v="2025"/>
    <m/>
  </r>
  <r>
    <x v="1"/>
    <x v="45"/>
    <x v="3"/>
    <s v="LC SWIFT CHARGES FOR LC NO. TF252300003402\BNK"/>
    <x v="141"/>
    <s v="TF252300003402"/>
    <x v="0"/>
    <n v="-75"/>
    <n v="0"/>
    <x v="3"/>
    <s v="Received"/>
    <s v="Al Arabia Construction &amp; Building Co."/>
    <x v="0"/>
    <x v="7"/>
    <x v="8"/>
    <n v="12"/>
    <n v="2025"/>
    <m/>
  </r>
  <r>
    <x v="1"/>
    <x v="45"/>
    <x v="3"/>
    <s v="CUSTOMER = 3972500 DEAL AMT = 1361.57 DEAL CCY = SAR TAX CODE = 1 "/>
    <x v="141"/>
    <s v="TF252300003402"/>
    <x v="0"/>
    <n v="-204.24"/>
    <n v="0"/>
    <x v="1"/>
    <s v="Received"/>
    <s v="Al Arabia Construction &amp; Building Co."/>
    <x v="0"/>
    <x v="7"/>
    <x v="8"/>
    <n v="12"/>
    <n v="2025"/>
    <m/>
  </r>
  <r>
    <x v="1"/>
    <x v="45"/>
    <x v="3"/>
    <s v="LC ACCEPTANCE COMMISSION FOR LC NO. TF252300003402\BNK"/>
    <x v="141"/>
    <s v="TF252300003402"/>
    <x v="0"/>
    <n v="-1361.57"/>
    <n v="0"/>
    <x v="2"/>
    <s v="Received"/>
    <s v="Al Arabia Construction &amp; Building Co."/>
    <x v="0"/>
    <x v="7"/>
    <x v="8"/>
    <n v="12"/>
    <n v="2025"/>
    <m/>
  </r>
  <r>
    <x v="1"/>
    <x v="45"/>
    <x v="3"/>
    <s v="REIMBURSE UNDER LCS DR FOR LC NO. TF252300003402\BNK"/>
    <x v="141"/>
    <s v="TF252300003402"/>
    <x v="0"/>
    <n v="-272312.64"/>
    <n v="0"/>
    <x v="4"/>
    <s v="Received"/>
    <s v="Al Arabia Construction &amp; Building Co."/>
    <x v="0"/>
    <x v="7"/>
    <x v="8"/>
    <n v="12"/>
    <n v="2025"/>
    <m/>
  </r>
  <r>
    <x v="1"/>
    <x v="45"/>
    <x v="3"/>
    <s v="CUSTOMER = 3972500 DEAL AMT = 1250 DEAL CCY = SAR TAX CODE = 1 "/>
    <x v="273"/>
    <s v="TF252360002201"/>
    <x v="0"/>
    <n v="-187.5"/>
    <n v="0"/>
    <x v="1"/>
    <s v="Received"/>
    <s v="STAR SQUARES CO. LTD."/>
    <x v="3"/>
    <x v="5"/>
    <x v="6"/>
    <n v="12"/>
    <n v="2025"/>
    <m/>
  </r>
  <r>
    <x v="1"/>
    <x v="45"/>
    <x v="3"/>
    <s v="LC ACCEPTANCE COMMISSION FOR LC NO. TF252360002201\BNK"/>
    <x v="273"/>
    <s v="TF252360002201"/>
    <x v="0"/>
    <n v="-1250"/>
    <n v="0"/>
    <x v="2"/>
    <s v="Received"/>
    <s v="STAR SQUARES CO. LTD."/>
    <x v="3"/>
    <x v="5"/>
    <x v="6"/>
    <n v="12"/>
    <n v="2025"/>
    <m/>
  </r>
  <r>
    <x v="1"/>
    <x v="45"/>
    <x v="3"/>
    <s v="CUSTOMER = 3972500 DEAL AMT = 3055.57 DEAL CCY = SAR TAX CODE = 1 "/>
    <x v="274"/>
    <s v="TF2533500006"/>
    <x v="0"/>
    <n v="-105"/>
    <n v="0"/>
    <x v="1"/>
    <s v="Received"/>
    <s v="Gulf Grilles Company"/>
    <x v="3"/>
    <x v="5"/>
    <x v="6"/>
    <n v="12"/>
    <n v="2025"/>
    <m/>
  </r>
  <r>
    <x v="1"/>
    <x v="45"/>
    <x v="3"/>
    <s v="CUSTOMER = 3972500 DEAL AMT = 3055.57 DEAL CCY = SAR TAX CODE = 1 "/>
    <x v="274"/>
    <s v="TF2533500006"/>
    <x v="0"/>
    <n v="-458.34"/>
    <n v="0"/>
    <x v="1"/>
    <s v="Received"/>
    <s v="Gulf Grilles Company"/>
    <x v="3"/>
    <x v="5"/>
    <x v="6"/>
    <n v="12"/>
    <n v="2025"/>
    <m/>
  </r>
  <r>
    <x v="1"/>
    <x v="45"/>
    <x v="3"/>
    <s v="LC SWIFT CHARGES FOR LC NO. TF2533500006\BNK"/>
    <x v="274"/>
    <s v="TF2533500006"/>
    <x v="0"/>
    <n v="-700"/>
    <n v="0"/>
    <x v="3"/>
    <s v="Received"/>
    <s v="Gulf Grilles Company"/>
    <x v="3"/>
    <x v="5"/>
    <x v="6"/>
    <n v="12"/>
    <n v="2025"/>
    <m/>
  </r>
  <r>
    <x v="1"/>
    <x v="45"/>
    <x v="3"/>
    <s v="LC OPENING COMMISSION - DEBIT FOR LC NO. TF2533500006\BNK"/>
    <x v="274"/>
    <s v="TF2533500006"/>
    <x v="0"/>
    <n v="-3055.57"/>
    <n v="0"/>
    <x v="8"/>
    <s v="Received"/>
    <s v="Gulf Grilles Company"/>
    <x v="3"/>
    <x v="5"/>
    <x v="6"/>
    <n v="12"/>
    <n v="2025"/>
    <m/>
  </r>
  <r>
    <x v="1"/>
    <x v="45"/>
    <x v="3"/>
    <s v="CUSTOMER = 3972500 DEAL AMT = 5500.00 DEAL CCY = SAR TAX CODE = 1 "/>
    <x v="275"/>
    <s v="TF2533500010"/>
    <x v="0"/>
    <n v="-105"/>
    <n v="0"/>
    <x v="1"/>
    <s v="Received"/>
    <s v="Depth Modern Technologies Co."/>
    <x v="3"/>
    <x v="5"/>
    <x v="6"/>
    <n v="12"/>
    <n v="2025"/>
    <m/>
  </r>
  <r>
    <x v="1"/>
    <x v="45"/>
    <x v="3"/>
    <s v="LC SWIFT CHARGES FOR LC NO. TF2533500010\BNK"/>
    <x v="275"/>
    <s v="TF2533500010"/>
    <x v="0"/>
    <n v="-700"/>
    <n v="0"/>
    <x v="3"/>
    <s v="Received"/>
    <s v="Depth Modern Technologies Co."/>
    <x v="3"/>
    <x v="5"/>
    <x v="6"/>
    <n v="12"/>
    <n v="2025"/>
    <m/>
  </r>
  <r>
    <x v="1"/>
    <x v="45"/>
    <x v="3"/>
    <s v="CUSTOMER = 3972500 DEAL AMT = 5500.00 DEAL CCY = SAR TAX CODE = 1 "/>
    <x v="275"/>
    <s v="TF2533500010"/>
    <x v="0"/>
    <n v="-825"/>
    <n v="0"/>
    <x v="1"/>
    <s v="Received"/>
    <s v="Depth Modern Technologies Co."/>
    <x v="3"/>
    <x v="5"/>
    <x v="6"/>
    <n v="12"/>
    <n v="2025"/>
    <m/>
  </r>
  <r>
    <x v="1"/>
    <x v="45"/>
    <x v="3"/>
    <s v="LC OPENING COMMISSION - DEBIT FOR LC NO. TF2533500010\BNK"/>
    <x v="275"/>
    <s v="TF2533500010"/>
    <x v="0"/>
    <n v="-5500"/>
    <n v="0"/>
    <x v="8"/>
    <s v="Received"/>
    <s v="Depth Modern Technologies Co."/>
    <x v="3"/>
    <x v="5"/>
    <x v="6"/>
    <n v="12"/>
    <n v="2025"/>
    <m/>
  </r>
  <r>
    <x v="1"/>
    <x v="46"/>
    <x v="3"/>
    <s v="CUSTOMER = 3972500 DEAL AMT = 75 DEAL CCY = SAR TAX CODE = 1 "/>
    <x v="276"/>
    <s v="TF252100002801"/>
    <x v="0"/>
    <n v="-11.25"/>
    <n v="0"/>
    <x v="1"/>
    <s v="Received"/>
    <s v="AL MOUSA TRADING CO."/>
    <x v="3"/>
    <x v="5"/>
    <x v="6"/>
    <n v="12"/>
    <n v="2025"/>
    <m/>
  </r>
  <r>
    <x v="1"/>
    <x v="46"/>
    <x v="3"/>
    <s v="LC SWIFT CHARGES FOR LC NO. TF252100002801\BNK"/>
    <x v="276"/>
    <s v="TF252100002801"/>
    <x v="0"/>
    <n v="-75"/>
    <n v="0"/>
    <x v="3"/>
    <s v="Received"/>
    <s v="AL MOUSA TRADING CO."/>
    <x v="3"/>
    <x v="5"/>
    <x v="6"/>
    <n v="12"/>
    <n v="2025"/>
    <m/>
  </r>
  <r>
    <x v="1"/>
    <x v="46"/>
    <x v="3"/>
    <s v="REIMBURSE UNDER LCS DR FOR LC NO. TF252100002801\BNK"/>
    <x v="276"/>
    <s v="TF252100002801"/>
    <x v="0"/>
    <n v="-417625.03"/>
    <n v="0"/>
    <x v="4"/>
    <s v="Received"/>
    <s v="AL MOUSA TRADING CO."/>
    <x v="3"/>
    <x v="5"/>
    <x v="6"/>
    <n v="12"/>
    <n v="2025"/>
    <m/>
  </r>
  <r>
    <x v="1"/>
    <x v="46"/>
    <x v="3"/>
    <s v="CUSTOMER = 3972500 DEAL AMT = 7738.75 DEAL CCY = SAR TAX CODE = 1 "/>
    <x v="111"/>
    <s v="TF2527100024"/>
    <x v="0"/>
    <n v="-37.5"/>
    <n v="0"/>
    <x v="1"/>
    <s v="Received"/>
    <s v="Saudi Perfect Pumps Trading &amp; Manufacturing Company"/>
    <x v="0"/>
    <x v="7"/>
    <x v="8"/>
    <n v="12"/>
    <n v="2025"/>
    <m/>
  </r>
  <r>
    <x v="1"/>
    <x v="46"/>
    <x v="3"/>
    <s v="LC SWIFT CHARGES FOR LC NO. TF2527100024\BNK"/>
    <x v="111"/>
    <s v="TF2527100024"/>
    <x v="0"/>
    <n v="-250"/>
    <n v="0"/>
    <x v="3"/>
    <s v="Received"/>
    <s v="Saudi Perfect Pumps Trading &amp; Manufacturing Company"/>
    <x v="0"/>
    <x v="7"/>
    <x v="8"/>
    <n v="12"/>
    <n v="2025"/>
    <m/>
  </r>
  <r>
    <x v="1"/>
    <x v="46"/>
    <x v="3"/>
    <s v="CUSTOMER = 3972500 DEAL AMT = 7738.75 DEAL CCY = SAR TAX CODE = 1 "/>
    <x v="111"/>
    <s v="TF2527100024"/>
    <x v="0"/>
    <n v="-1160.81"/>
    <n v="0"/>
    <x v="1"/>
    <s v="Received"/>
    <s v="Saudi Perfect Pumps Trading &amp; Manufacturing Company"/>
    <x v="0"/>
    <x v="7"/>
    <x v="8"/>
    <n v="12"/>
    <n v="2025"/>
    <m/>
  </r>
  <r>
    <x v="1"/>
    <x v="46"/>
    <x v="3"/>
    <s v="LC AMENDMENT COMMISSION FOR LC NO. TF2527100024\BNK"/>
    <x v="111"/>
    <s v="TF2527100024"/>
    <x v="0"/>
    <n v="-7738.75"/>
    <n v="0"/>
    <x v="5"/>
    <s v="Received"/>
    <s v="Saudi Perfect Pumps Trading &amp; Manufacturing Company"/>
    <x v="0"/>
    <x v="7"/>
    <x v="8"/>
    <n v="12"/>
    <n v="2025"/>
    <m/>
  </r>
  <r>
    <x v="1"/>
    <x v="47"/>
    <x v="3"/>
    <s v="CUSTOMER = 3972500 DEAL AMT = 75 DEAL CCY = SAR TAX CODE = 1 "/>
    <x v="147"/>
    <s v="TF252110008801"/>
    <x v="0"/>
    <n v="-11.25"/>
    <n v="0"/>
    <x v="1"/>
    <s v="Received"/>
    <s v="TABARK AL-MOMMYZA FOR TRADING COMPANY"/>
    <x v="3"/>
    <x v="5"/>
    <x v="6"/>
    <n v="12"/>
    <n v="2025"/>
    <m/>
  </r>
  <r>
    <x v="1"/>
    <x v="47"/>
    <x v="3"/>
    <s v="LC SWIFT CHARGES FOR LC NO. TF252110008801\BNK"/>
    <x v="147"/>
    <s v="TF252110008801"/>
    <x v="0"/>
    <n v="-75"/>
    <n v="0"/>
    <x v="3"/>
    <s v="Received"/>
    <s v="TABARK AL-MOMMYZA FOR TRADING COMPANY"/>
    <x v="3"/>
    <x v="5"/>
    <x v="6"/>
    <n v="12"/>
    <n v="2025"/>
    <m/>
  </r>
  <r>
    <x v="1"/>
    <x v="47"/>
    <x v="3"/>
    <s v="REIMBURSE UNDER LCS DR FOR LC NO. TF252110008801\BNK"/>
    <x v="147"/>
    <s v="TF252110008801"/>
    <x v="0"/>
    <n v="-150000"/>
    <n v="0"/>
    <x v="4"/>
    <s v="Received"/>
    <s v="TABARK AL-MOMMYZA FOR TRADING COMPANY"/>
    <x v="3"/>
    <x v="5"/>
    <x v="6"/>
    <n v="12"/>
    <n v="2025"/>
    <m/>
  </r>
  <r>
    <x v="1"/>
    <x v="47"/>
    <x v="3"/>
    <s v="CUSTOMER = 3972500 DEAL AMT = 2138.32 DEAL CCY = GBP TAX CODE = 1 "/>
    <x v="277"/>
    <s v="TF2533600018"/>
    <x v="0"/>
    <n v="-105"/>
    <n v="0"/>
    <x v="1"/>
    <s v="Received"/>
    <s v="LSI PROJECTS LIMITED"/>
    <x v="10"/>
    <x v="5"/>
    <x v="6"/>
    <n v="12"/>
    <n v="2025"/>
    <m/>
  </r>
  <r>
    <x v="1"/>
    <x v="47"/>
    <x v="3"/>
    <s v="CUSTOMER = 3972500 DEAL AMT = 2138.32 DEAL CCY = GBP TAX CODE = 1 "/>
    <x v="277"/>
    <s v="TF2533600018"/>
    <x v="0"/>
    <n v="-320.75"/>
    <n v="0"/>
    <x v="1"/>
    <s v="Received"/>
    <s v="LSI PROJECTS LIMITED"/>
    <x v="10"/>
    <x v="5"/>
    <x v="6"/>
    <n v="12"/>
    <n v="2025"/>
    <m/>
  </r>
  <r>
    <x v="1"/>
    <x v="47"/>
    <x v="3"/>
    <s v="LC SWIFT CHARGES FOR LC NO. TF2533600018\BNK"/>
    <x v="277"/>
    <s v="TF2533600018"/>
    <x v="0"/>
    <n v="-700"/>
    <n v="0"/>
    <x v="3"/>
    <s v="Received"/>
    <s v="LSI PROJECTS LIMITED"/>
    <x v="10"/>
    <x v="5"/>
    <x v="6"/>
    <n v="12"/>
    <n v="2025"/>
    <m/>
  </r>
  <r>
    <x v="1"/>
    <x v="47"/>
    <x v="3"/>
    <s v="LC OPENING COMMISSION - DEBIT FOR LC NO. TF2533600018\BNK"/>
    <x v="277"/>
    <s v="TF2533600018"/>
    <x v="0"/>
    <n v="-2138.3200000000002"/>
    <n v="0"/>
    <x v="8"/>
    <s v="Received"/>
    <s v="LSI PROJECTS LIMITED"/>
    <x v="10"/>
    <x v="5"/>
    <x v="6"/>
    <n v="12"/>
    <n v="2025"/>
    <m/>
  </r>
  <r>
    <x v="1"/>
    <x v="48"/>
    <x v="3"/>
    <s v="CUSTOMER = 3972500 DEAL AMT = 75 DEAL CCY = SAR TAX CODE = 1 "/>
    <x v="278"/>
    <s v="TF251040002102"/>
    <x v="0"/>
    <n v="-11.25"/>
    <n v="0"/>
    <x v="1"/>
    <s v="Received"/>
    <s v="National Marketing Est Co Ltd"/>
    <x v="3"/>
    <x v="6"/>
    <x v="7"/>
    <n v="12"/>
    <n v="2025"/>
    <m/>
  </r>
  <r>
    <x v="1"/>
    <x v="48"/>
    <x v="3"/>
    <s v="LC SWIFT CHARGES FOR LC NO. TF251040002102\BNK"/>
    <x v="278"/>
    <s v="TF251040002102"/>
    <x v="0"/>
    <n v="-75"/>
    <n v="0"/>
    <x v="3"/>
    <s v="Received"/>
    <s v="National Marketing Est Co Ltd"/>
    <x v="3"/>
    <x v="6"/>
    <x v="7"/>
    <n v="12"/>
    <n v="2025"/>
    <m/>
  </r>
  <r>
    <x v="1"/>
    <x v="48"/>
    <x v="3"/>
    <s v="REIMBURSE UNDER LCS DR FOR LC NO. TF251040002102\BNK"/>
    <x v="278"/>
    <s v="TF251040002102"/>
    <x v="0"/>
    <n v="-135071.07"/>
    <n v="0"/>
    <x v="4"/>
    <s v="Received"/>
    <s v="National Marketing Est Co Ltd"/>
    <x v="3"/>
    <x v="6"/>
    <x v="7"/>
    <n v="12"/>
    <n v="2025"/>
    <m/>
  </r>
  <r>
    <x v="1"/>
    <x v="48"/>
    <x v="3"/>
    <s v="CUSTOMER = 3972500 DEAL AMT = 75 DEAL CCY = SAR TAX CODE = 1 "/>
    <x v="279"/>
    <s v="TF251740002301"/>
    <x v="0"/>
    <n v="-11.25"/>
    <n v="0"/>
    <x v="1"/>
    <s v="Received"/>
    <s v="Khorayef Industries"/>
    <x v="3"/>
    <x v="6"/>
    <x v="7"/>
    <n v="12"/>
    <n v="2025"/>
    <m/>
  </r>
  <r>
    <x v="1"/>
    <x v="48"/>
    <x v="3"/>
    <s v="LC SWIFT CHARGES FOR LC NO. TF251740002301\BNK"/>
    <x v="279"/>
    <s v="TF251740002301"/>
    <x v="0"/>
    <n v="-75"/>
    <n v="0"/>
    <x v="3"/>
    <s v="Received"/>
    <s v="Khorayef Industries"/>
    <x v="3"/>
    <x v="6"/>
    <x v="7"/>
    <n v="12"/>
    <n v="2025"/>
    <m/>
  </r>
  <r>
    <x v="1"/>
    <x v="48"/>
    <x v="3"/>
    <s v="REIMBURSE UNDER LCS DR FOR LC NO. TF251740002301\BNK"/>
    <x v="279"/>
    <s v="TF251740002301"/>
    <x v="0"/>
    <n v="-511750"/>
    <n v="0"/>
    <x v="4"/>
    <s v="Received"/>
    <s v="Khorayef Industries"/>
    <x v="3"/>
    <x v="6"/>
    <x v="7"/>
    <n v="12"/>
    <n v="2025"/>
    <m/>
  </r>
  <r>
    <x v="1"/>
    <x v="48"/>
    <x v="3"/>
    <s v="CUSTOMER = 3972500 DEAL AMT = 75 DEAL CCY = SAR TAX CODE = 1 "/>
    <x v="153"/>
    <s v="TF251740007001"/>
    <x v="0"/>
    <n v="-11.25"/>
    <n v="0"/>
    <x v="1"/>
    <s v="Received"/>
    <s v="ALFANAR ELECTRICAL SYSTEMS"/>
    <x v="3"/>
    <x v="6"/>
    <x v="7"/>
    <n v="12"/>
    <n v="2025"/>
    <m/>
  </r>
  <r>
    <x v="1"/>
    <x v="48"/>
    <x v="3"/>
    <s v="LC SWIFT CHARGES FOR LC NO. TF251740007001\BNK"/>
    <x v="153"/>
    <s v="TF251740007001"/>
    <x v="0"/>
    <n v="-75"/>
    <n v="0"/>
    <x v="3"/>
    <s v="Received"/>
    <s v="ALFANAR ELECTRICAL SYSTEMS"/>
    <x v="3"/>
    <x v="6"/>
    <x v="7"/>
    <n v="12"/>
    <n v="2025"/>
    <m/>
  </r>
  <r>
    <x v="1"/>
    <x v="48"/>
    <x v="3"/>
    <s v="REIMBURSE UNDER LCS DR FOR LC NO. TF251740007001\BNK"/>
    <x v="153"/>
    <s v="TF251740007001"/>
    <x v="0"/>
    <n v="-500000"/>
    <n v="0"/>
    <x v="4"/>
    <s v="Received"/>
    <s v="ALFANAR ELECTRICAL SYSTEMS"/>
    <x v="3"/>
    <x v="6"/>
    <x v="7"/>
    <n v="12"/>
    <n v="2025"/>
    <m/>
  </r>
  <r>
    <x v="1"/>
    <x v="48"/>
    <x v="3"/>
    <s v="CUSTOMER = 3972500 DEAL AMT = 75 DEAL CCY = SAR TAX CODE = 1 "/>
    <x v="280"/>
    <s v="TF252110009501"/>
    <x v="0"/>
    <n v="-11.25"/>
    <n v="0"/>
    <x v="1"/>
    <s v="Received"/>
    <s v="CONTRACTORS SERVICES CO."/>
    <x v="3"/>
    <x v="5"/>
    <x v="6"/>
    <n v="12"/>
    <n v="2025"/>
    <m/>
  </r>
  <r>
    <x v="1"/>
    <x v="48"/>
    <x v="3"/>
    <s v="LC SWIFT CHARGES FOR LC NO. TF252110009501\BNK"/>
    <x v="280"/>
    <s v="TF252110009501"/>
    <x v="0"/>
    <n v="-75"/>
    <n v="0"/>
    <x v="3"/>
    <s v="Received"/>
    <s v="CONTRACTORS SERVICES CO."/>
    <x v="3"/>
    <x v="5"/>
    <x v="6"/>
    <n v="12"/>
    <n v="2025"/>
    <m/>
  </r>
  <r>
    <x v="1"/>
    <x v="48"/>
    <x v="3"/>
    <s v="REIMBURSE UNDER LCS DR FOR LC NO. TF252110009501\BNK"/>
    <x v="280"/>
    <s v="TF252110009501"/>
    <x v="0"/>
    <n v="-304000.75"/>
    <n v="0"/>
    <x v="4"/>
    <s v="Received"/>
    <s v="CONTRACTORS SERVICES CO."/>
    <x v="3"/>
    <x v="5"/>
    <x v="6"/>
    <n v="12"/>
    <n v="2025"/>
    <m/>
  </r>
  <r>
    <x v="1"/>
    <x v="49"/>
    <x v="3"/>
    <s v="CUSTOMER = 3972500 DEAL AMT = 75 DEAL CCY = SAR TAX CODE = 1 "/>
    <x v="16"/>
    <s v="TF251040002003"/>
    <x v="0"/>
    <n v="-11.25"/>
    <n v="0"/>
    <x v="1"/>
    <s v="Received"/>
    <s v="Systemair For Electrical Equipment Co."/>
    <x v="3"/>
    <x v="6"/>
    <x v="7"/>
    <n v="12"/>
    <n v="2025"/>
    <m/>
  </r>
  <r>
    <x v="1"/>
    <x v="49"/>
    <x v="3"/>
    <s v="LC SWIFT CHARGES FOR LC NO. TF251040002003\BNK"/>
    <x v="16"/>
    <s v="TF251040002003"/>
    <x v="0"/>
    <n v="-75"/>
    <n v="0"/>
    <x v="3"/>
    <s v="Received"/>
    <s v="Systemair For Electrical Equipment Co."/>
    <x v="3"/>
    <x v="6"/>
    <x v="7"/>
    <n v="12"/>
    <n v="2025"/>
    <m/>
  </r>
  <r>
    <x v="1"/>
    <x v="49"/>
    <x v="3"/>
    <s v="REIMBURSE UNDER LCS DR FOR LC NO. TF251040002003\BNK"/>
    <x v="16"/>
    <s v="TF251040002003"/>
    <x v="0"/>
    <n v="-48414.03"/>
    <n v="0"/>
    <x v="4"/>
    <s v="Received"/>
    <s v="Systemair For Electrical Equipment Co."/>
    <x v="3"/>
    <x v="6"/>
    <x v="7"/>
    <n v="12"/>
    <n v="2025"/>
    <m/>
  </r>
  <r>
    <x v="1"/>
    <x v="50"/>
    <x v="3"/>
    <s v="CUSTOMER = 3972500 DEAL AMT = 1250 DEAL CCY = SAR TAX CODE = 1 "/>
    <x v="190"/>
    <s v="TF252110010101"/>
    <x v="0"/>
    <n v="-187.5"/>
    <n v="0"/>
    <x v="1"/>
    <s v="Received"/>
    <s v="ALFANAR ELECTRICAL SYSTEMS"/>
    <x v="3"/>
    <x v="5"/>
    <x v="6"/>
    <n v="12"/>
    <n v="2025"/>
    <m/>
  </r>
  <r>
    <x v="1"/>
    <x v="50"/>
    <x v="3"/>
    <s v="LC ACCEPTANCE COMMISSION FOR LC NO. TF252110010101\BNK"/>
    <x v="190"/>
    <s v="TF252110010101"/>
    <x v="0"/>
    <n v="-1250"/>
    <n v="0"/>
    <x v="2"/>
    <s v="Received"/>
    <s v="ALFANAR ELECTRICAL SYSTEMS"/>
    <x v="3"/>
    <x v="5"/>
    <x v="6"/>
    <n v="12"/>
    <n v="2025"/>
    <m/>
  </r>
  <r>
    <x v="1"/>
    <x v="50"/>
    <x v="3"/>
    <s v="CUSTOMER = 3972500 DEAL AMT = 2652.51 DEAL CCY = SAR TAX CODE = 1 "/>
    <x v="111"/>
    <s v="TF252710002402"/>
    <x v="0"/>
    <n v="-397.88"/>
    <n v="0"/>
    <x v="1"/>
    <s v="Received"/>
    <s v="Saudi Perfect Pumps Trading &amp; Manufacturing Company"/>
    <x v="0"/>
    <x v="7"/>
    <x v="8"/>
    <n v="12"/>
    <n v="2025"/>
    <m/>
  </r>
  <r>
    <x v="1"/>
    <x v="50"/>
    <x v="3"/>
    <s v="LC ACCEPTANCE COMMISSION FOR LC NO. TF252710002402\BNK"/>
    <x v="111"/>
    <s v="TF252710002402"/>
    <x v="0"/>
    <n v="-2652.51"/>
    <n v="0"/>
    <x v="2"/>
    <s v="Received"/>
    <s v="Saudi Perfect Pumps Trading &amp; Manufacturing Company"/>
    <x v="0"/>
    <x v="7"/>
    <x v="8"/>
    <n v="12"/>
    <n v="2025"/>
    <m/>
  </r>
  <r>
    <x v="1"/>
    <x v="50"/>
    <x v="3"/>
    <s v="CUSTOMER = 3972500 DEAL AMT = 53333.33 DEAL CCY = SAR TAX CODE = 1 "/>
    <x v="210"/>
    <s v="TF253140001402"/>
    <x v="0"/>
    <n v="-8000"/>
    <n v="0"/>
    <x v="1"/>
    <s v="Received"/>
    <s v="Hamada Decoration Company"/>
    <x v="0"/>
    <x v="14"/>
    <x v="21"/>
    <n v="12"/>
    <n v="2025"/>
    <m/>
  </r>
  <r>
    <x v="1"/>
    <x v="50"/>
    <x v="3"/>
    <s v="LC ACCEPTANCE COMMISSION FOR LC NO. TF253140001402\BNK"/>
    <x v="210"/>
    <s v="TF253140001402"/>
    <x v="0"/>
    <n v="-53333.33"/>
    <n v="0"/>
    <x v="2"/>
    <s v="Received"/>
    <s v="Hamada Decoration Company"/>
    <x v="0"/>
    <x v="14"/>
    <x v="21"/>
    <n v="12"/>
    <n v="2025"/>
    <m/>
  </r>
  <r>
    <x v="0"/>
    <x v="44"/>
    <x v="0"/>
    <s v="REF 000000JLC6902213,RB REF JLC6902213,VIA CORE SYSTEM,DATE-TIME 01/12-16:59:09, عن طريق النظام الآ لي ,VALUE DT 01/12/25"/>
    <x v="281"/>
    <s v=""/>
    <x v="0"/>
    <n v="21450.54"/>
    <n v="0"/>
    <x v="4"/>
    <s v="Received"/>
    <s v="IBA MIDDLE EAST FZE"/>
    <x v="11"/>
    <x v="3"/>
    <x v="3"/>
    <n v="12"/>
    <n v="2025"/>
    <m/>
  </r>
  <r>
    <x v="0"/>
    <x v="44"/>
    <x v="0"/>
    <s v="REF 000000JLC6901616,RB REF JLC6901616,VIA CORE SYSTEM,DATE-TIME 01/12-16:38:56, عن طريق النظام الآ لي ,VALUE DT 01/12/25"/>
    <x v="5"/>
    <s v=""/>
    <x v="0"/>
    <n v="1779.63"/>
    <n v="0"/>
    <x v="2"/>
    <s v="Received"/>
    <s v="lmdadat Al Jazera Al Arabia Trading Co."/>
    <x v="3"/>
    <x v="3"/>
    <x v="3"/>
    <n v="12"/>
    <n v="2025"/>
    <m/>
  </r>
  <r>
    <x v="0"/>
    <x v="45"/>
    <x v="0"/>
    <s v="REF 000000JLC6902211,RB REF JLC6902211,VIA CORE SYSTEM,DATE-TIME 02/12-15:57:15, عن طريق النظام الآ لي ,VALUE DT 02/12/25"/>
    <x v="282"/>
    <s v=""/>
    <x v="0"/>
    <n v="40822.379999999997"/>
    <n v="0"/>
    <x v="2"/>
    <s v="Received"/>
    <s v="IBA MIDDLE EAST FZE"/>
    <x v="11"/>
    <x v="3"/>
    <x v="3"/>
    <n v="12"/>
    <n v="2025"/>
    <m/>
  </r>
  <r>
    <x v="0"/>
    <x v="45"/>
    <x v="1"/>
    <s v="RB REF JLG6604324,VIA CORE SYSTEM,DATE-TIME 02/12-13:29:42, عن طريق النظام الآ لي ,VALUE DT 02/12/25"/>
    <x v="283"/>
    <s v=""/>
    <x v="0"/>
    <n v="1063.75"/>
    <n v="0"/>
    <x v="17"/>
    <s v="Received"/>
    <s v="Material - General Authority of Ports - Jeddah Islamic Port"/>
    <x v="1"/>
    <x v="2"/>
    <x v="18"/>
    <n v="12"/>
    <n v="2025"/>
    <m/>
  </r>
  <r>
    <x v="0"/>
    <x v="46"/>
    <x v="0"/>
    <s v="REF 000000JLC6901608,RB REF JLC6901608,VIA CORE SYSTEM,DATE-TIME 03/12-14:36:38, عن طريق النظام الآ لي ,VALUE DT 03/12/25"/>
    <x v="284"/>
    <s v=""/>
    <x v="0"/>
    <n v="11500"/>
    <n v="0"/>
    <x v="2"/>
    <s v="Received"/>
    <s v="Johnson Controls Arabia"/>
    <x v="3"/>
    <x v="3"/>
    <x v="3"/>
    <n v="12"/>
    <n v="2025"/>
    <m/>
  </r>
  <r>
    <x v="0"/>
    <x v="47"/>
    <x v="1"/>
    <s v="RB REF JLG6802458,VIA CORE SYSTEM,DATE-TIME 04/12-15:40:38, عن طريق النظام الآ لي ,VALUE DT 04/12/25"/>
    <x v="285"/>
    <s v=""/>
    <x v="0"/>
    <n v="91427.3"/>
    <n v="0"/>
    <x v="17"/>
    <s v="Received"/>
    <s v="Advance - BRANCH OF ELSEWEDY ELECTRIC FOR POWER SYSTEMS PROJECTS"/>
    <x v="1"/>
    <x v="2"/>
    <x v="24"/>
    <n v="12"/>
    <n v="2025"/>
    <m/>
  </r>
  <r>
    <x v="0"/>
    <x v="48"/>
    <x v="0"/>
    <s v="RB REF JLG6900510,VIA CORE SYSTEM,DATE-TIME 07/12-15:50:25, عن طريق النظام الآ لي ,VALUE DT 07/12/25"/>
    <x v="286"/>
    <s v=""/>
    <x v="0"/>
    <n v="122187.5"/>
    <n v="0"/>
    <x v="17"/>
    <s v="Received"/>
    <s v="Material - JEDDAH CENTRAL DEVELOPMENT COMPANY"/>
    <x v="1"/>
    <x v="13"/>
    <x v="23"/>
    <n v="12"/>
    <n v="2025"/>
    <m/>
  </r>
  <r>
    <x v="0"/>
    <x v="48"/>
    <x v="0"/>
    <s v="RB REF JLG6903543,VIA CORE SYSTEM,DATE-TIME 07/12-18:00:40, عن طريق النظام الآ لي ,VALUE DT 07/12/25"/>
    <x v="287"/>
    <s v=""/>
    <x v="0"/>
    <n v="12107.2"/>
    <n v="0"/>
    <x v="17"/>
    <s v="Received"/>
    <s v="Advance - PRIVATE AFFAIRS OF THE CUSTODIAN OF THE TWO HOLY MOSQUES(IFAS)"/>
    <x v="2"/>
    <x v="2"/>
    <x v="5"/>
    <n v="12"/>
    <n v="2025"/>
    <m/>
  </r>
  <r>
    <x v="0"/>
    <x v="48"/>
    <x v="0"/>
    <s v="REF 000000JLC6901611,RB REF JLC6901611,VIA CORE SYSTEM,DATE-TIME 07/12-13:36:18, عن طريق النظام الآ لي ,VALUE DT 07/12/25"/>
    <x v="4"/>
    <s v=""/>
    <x v="0"/>
    <n v="3450"/>
    <n v="0"/>
    <x v="2"/>
    <s v="Received"/>
    <s v="Saudi Electric Supply Company"/>
    <x v="3"/>
    <x v="3"/>
    <x v="3"/>
    <n v="12"/>
    <n v="2025"/>
    <m/>
  </r>
  <r>
    <x v="0"/>
    <x v="48"/>
    <x v="0"/>
    <s v="REF 000000JLC6901612,RB REF JLC6901612,VIA CORE SYSTEM,DATE-TIME 07/12-13:35:10, عن طريق النظام الآ لي ,VALUE DT 07/12/25"/>
    <x v="8"/>
    <s v=""/>
    <x v="0"/>
    <n v="1437.5"/>
    <n v="0"/>
    <x v="2"/>
    <s v="Received"/>
    <s v="Al Othman Industrial Marketing Co."/>
    <x v="3"/>
    <x v="3"/>
    <x v="3"/>
    <n v="12"/>
    <n v="2025"/>
    <m/>
  </r>
  <r>
    <x v="0"/>
    <x v="49"/>
    <x v="1"/>
    <s v="RB REF JLG6604420,VIA CORE SYSTEM,DATE-TIME 08/12-10:02:55, عن طريق النظام الآ لي ,VALUE DT 08/12/25"/>
    <x v="288"/>
    <s v=""/>
    <x v="0"/>
    <n v="5186.5"/>
    <n v="0"/>
    <x v="17"/>
    <s v="Received"/>
    <s v="Performance - ROYAL PRIVATE AFFAIRS (IFAS)"/>
    <x v="1"/>
    <x v="2"/>
    <x v="5"/>
    <n v="12"/>
    <n v="2025"/>
    <m/>
  </r>
  <r>
    <x v="0"/>
    <x v="50"/>
    <x v="0"/>
    <s v="RB REF JLG6902202,VIA CORE SYSTEM,DATE-TIME 09/12-11:21:13, عن طريق النظام الآ لي ,VALUE DT 09/12/25"/>
    <x v="154"/>
    <s v=""/>
    <x v="0"/>
    <n v="460"/>
    <n v="0"/>
    <x v="17"/>
    <s v="Received"/>
    <e v="#N/A"/>
    <x v="7"/>
    <x v="12"/>
    <x v="19"/>
    <n v="12"/>
    <n v="2025"/>
    <m/>
  </r>
  <r>
    <x v="0"/>
    <x v="51"/>
    <x v="0"/>
    <s v="REF 000000JLC6901492,RB REF JLC6901492,VIA CORE SYSTEM,DATE-TIME 10/12-12:01:55, عن طريق النظام الآ لي ,VALUE DT 10/12/25"/>
    <x v="12"/>
    <s v=""/>
    <x v="0"/>
    <n v="64985.08"/>
    <n v="0"/>
    <x v="4"/>
    <s v="Received"/>
    <s v="Jiangsu Donchamp New Materials Technology Co.Ltd."/>
    <x v="0"/>
    <x v="3"/>
    <x v="3"/>
    <n v="12"/>
    <n v="2025"/>
    <m/>
  </r>
  <r>
    <x v="0"/>
    <x v="51"/>
    <x v="0"/>
    <s v="REF 000000JLC6901610,RB REF JLC6901610,VIA CORE SYSTEM,DATE-TIME 10/12-16:04:01, عن طريق النظام الآ لي ,VALUE DT 10/12/25"/>
    <x v="289"/>
    <s v=""/>
    <x v="0"/>
    <n v="5750"/>
    <n v="0"/>
    <x v="2"/>
    <s v="Received"/>
    <s v="Safid Co. Ltd."/>
    <x v="3"/>
    <x v="3"/>
    <x v="3"/>
    <n v="12"/>
    <n v="2025"/>
    <m/>
  </r>
  <r>
    <x v="0"/>
    <x v="51"/>
    <x v="0"/>
    <s v="REF 000000JLC6901616,RB REF JLC6901616,VIA CORE SYSTEM,DATE-TIME 10/12-14:12:29, عن طريق النظام الآ لي ,VALUE DT 10/12/25"/>
    <x v="5"/>
    <s v=""/>
    <x v="0"/>
    <n v="2587.5"/>
    <n v="0"/>
    <x v="2"/>
    <s v="Received"/>
    <s v="lmdadat Al Jazera Al Arabia Trading Co."/>
    <x v="3"/>
    <x v="3"/>
    <x v="3"/>
    <n v="12"/>
    <n v="2025"/>
    <m/>
  </r>
  <r>
    <x v="0"/>
    <x v="51"/>
    <x v="1"/>
    <s v="REF 000000JLC6901431,RB REF JLC6901431,VIA CORE SYSTEM,DATE-TIME 10/12-12:00:59, عن طريق النظام الآ لي ,VALUE DT 10/12/25"/>
    <x v="95"/>
    <s v=""/>
    <x v="0"/>
    <n v="94588.42"/>
    <n v="0"/>
    <x v="2"/>
    <s v="Received"/>
    <s v="Mat Filtrasyon Teknolojeleri A.S"/>
    <x v="0"/>
    <x v="3"/>
    <x v="3"/>
    <n v="12"/>
    <n v="2025"/>
    <m/>
  </r>
  <r>
    <x v="2"/>
    <x v="44"/>
    <x v="12"/>
    <s v="CITY:Jeddah 6132225J210096017 318467.85 SAR"/>
    <x v="128"/>
    <s v="J210096017"/>
    <x v="2"/>
    <n v="-84924.76"/>
    <n v="0"/>
    <x v="4"/>
    <s v="Received"/>
    <s v="HOLCIM SOLUTIONS AND PRODUCTS EMEA BV"/>
    <x v="6"/>
    <x v="8"/>
    <x v="9"/>
    <n v="12"/>
    <n v="2025"/>
    <m/>
  </r>
  <r>
    <x v="2"/>
    <x v="45"/>
    <x v="4"/>
    <s v="CITY:Jeddah 6132225J211600000"/>
    <x v="290"/>
    <s v="J211600000"/>
    <x v="0"/>
    <n v="-1896.3"/>
    <n v="0"/>
    <x v="8"/>
    <s v="Received"/>
    <s v="ALNAFIE METAL INDUSTRIES CO LTD"/>
    <x v="8"/>
    <x v="11"/>
    <x v="17"/>
    <n v="12"/>
    <n v="2025"/>
    <m/>
  </r>
  <r>
    <x v="2"/>
    <x v="47"/>
    <x v="4"/>
    <s v="CITY:Jeddah 6132225J211604000"/>
    <x v="291"/>
    <s v="J211604000"/>
    <x v="0"/>
    <n v="-2185.86"/>
    <n v="0"/>
    <x v="8"/>
    <s v="Received"/>
    <s v="Saudi Benaa Company For Building Materials"/>
    <x v="0"/>
    <x v="11"/>
    <x v="17"/>
    <n v="12"/>
    <n v="2025"/>
    <m/>
  </r>
  <r>
    <x v="2"/>
    <x v="47"/>
    <x v="4"/>
    <s v="CITY:Jeddah 6132225J210928001"/>
    <x v="292"/>
    <s v="J210928001"/>
    <x v="0"/>
    <n v="-150000"/>
    <n v="0"/>
    <x v="4"/>
    <s v="Received"/>
    <s v="Mahmoud AI-Taheni &amp; Partners Trading Co."/>
    <x v="3"/>
    <x v="6"/>
    <x v="7"/>
    <n v="12"/>
    <n v="2025"/>
    <m/>
  </r>
  <r>
    <x v="3"/>
    <x v="44"/>
    <x v="6"/>
    <s v="DC ISSUE COMM CHARGES DCBWPM570384"/>
    <x v="293"/>
    <s v="DCBWPM570384"/>
    <x v="0"/>
    <n v="-3842.48"/>
    <n v="0"/>
    <x v="8"/>
    <s v="Received"/>
    <s v="Daikin Air Conditioning Saudi Arabia "/>
    <x v="3"/>
    <x v="9"/>
    <x v="10"/>
    <n v="12"/>
    <n v="2025"/>
    <m/>
  </r>
  <r>
    <x v="3"/>
    <x v="44"/>
    <x v="6"/>
    <s v="DC ISSUE COMM CHARGES DCBWPM570361"/>
    <x v="294"/>
    <s v="DCBWPM570361"/>
    <x v="0"/>
    <n v="-39809.94"/>
    <n v="0"/>
    <x v="2"/>
    <s v="Received"/>
    <s v="ELSEWEDY CABLES CO. LIMITED"/>
    <x v="3"/>
    <x v="9"/>
    <x v="10"/>
    <n v="12"/>
    <n v="2025"/>
    <m/>
  </r>
  <r>
    <x v="3"/>
    <x v="44"/>
    <x v="6"/>
    <s v="DC ISSUE COMM CHARGES DCBWPM570380"/>
    <x v="295"/>
    <s v="DCBWPM570380"/>
    <x v="0"/>
    <n v="-4830"/>
    <n v="0"/>
    <x v="2"/>
    <s v="Received"/>
    <s v="Ajzal United for Safety CO.LTD."/>
    <x v="3"/>
    <x v="9"/>
    <x v="10"/>
    <n v="12"/>
    <n v="2025"/>
    <m/>
  </r>
  <r>
    <x v="3"/>
    <x v="44"/>
    <x v="6"/>
    <s v="DC ISSUE COMM CHARGES DCBWPM570369"/>
    <x v="296"/>
    <s v="DCBWPM570369"/>
    <x v="0"/>
    <n v="-23000"/>
    <n v="0"/>
    <x v="2"/>
    <s v="Received"/>
    <s v="Power Center Company for Industries LLC"/>
    <x v="3"/>
    <x v="9"/>
    <x v="10"/>
    <n v="12"/>
    <n v="2025"/>
    <m/>
  </r>
  <r>
    <x v="3"/>
    <x v="44"/>
    <x v="6"/>
    <s v="IMP BILL AMEND. CHARGES DPBEPM626949WPM DCBWPM565841"/>
    <x v="297"/>
    <s v="DPBEPM626949WPM"/>
    <x v="0"/>
    <n v="-17250"/>
    <n v="0"/>
    <x v="2"/>
    <s v="Received"/>
    <s v="Saudi Electric Supply Company"/>
    <x v="3"/>
    <x v="9"/>
    <x v="10"/>
    <n v="12"/>
    <n v="2025"/>
    <m/>
  </r>
  <r>
    <x v="3"/>
    <x v="45"/>
    <x v="5"/>
    <s v="SA SABB 262-307200-001 262-307200-001 IKK GLASS - DCBWPM554738"/>
    <x v="48"/>
    <s v="DCBWPM554738"/>
    <x v="0"/>
    <n v="-730000"/>
    <n v="0"/>
    <x v="21"/>
    <s v="Transfer"/>
    <s v="ISAM MUAMMED KHAIRI KABBANI GLASS (IKK Glass)"/>
    <x v="5"/>
    <x v="8"/>
    <x v="9"/>
    <n v="12"/>
    <n v="2025"/>
    <m/>
  </r>
  <r>
    <x v="3"/>
    <x v="45"/>
    <x v="6"/>
    <s v="SA SABB 262-307200-006 TFR+ SCHUCO MIDDLE EAST LLC DCBWPM554837"/>
    <x v="45"/>
    <s v="DCBWPM554837"/>
    <x v="0"/>
    <m/>
    <n v="820835.7"/>
    <x v="21"/>
    <s v="Transfer"/>
    <s v="SCHUCO MIDDLE EAST WINDOWS AND FACADE SYSTEMS LLC"/>
    <x v="5"/>
    <x v="8"/>
    <x v="9"/>
    <n v="12"/>
    <n v="2025"/>
    <m/>
  </r>
  <r>
    <x v="3"/>
    <x v="45"/>
    <x v="6"/>
    <s v="SA SABB 262-307200-006 TFR+ IKK GLASS - DCBWPM554738"/>
    <x v="48"/>
    <s v="DCBWPM554738"/>
    <x v="0"/>
    <m/>
    <n v="730000"/>
    <x v="21"/>
    <s v="Transfer"/>
    <s v="ISAM MUAMMED KHAIRI KABBANI GLASS (IKK Glass)"/>
    <x v="5"/>
    <x v="8"/>
    <x v="9"/>
    <n v="12"/>
    <n v="2025"/>
    <m/>
  </r>
  <r>
    <x v="3"/>
    <x v="45"/>
    <x v="6"/>
    <s v="DC ISSUE COMM CHARGES DCBWPM570414"/>
    <x v="298"/>
    <s v="DCBWPM570414"/>
    <x v="0"/>
    <n v="-11155.22"/>
    <n v="0"/>
    <x v="2"/>
    <s v="Received"/>
    <s v="Mohamad Saeed Afifi Trading Est."/>
    <x v="3"/>
    <x v="9"/>
    <x v="10"/>
    <n v="12"/>
    <n v="2025"/>
    <m/>
  </r>
  <r>
    <x v="3"/>
    <x v="45"/>
    <x v="5"/>
    <s v="SA SABB 262-307200-001 262-307200-001 SCHUCO MIDDLE EAST LLC DCBWPM554837"/>
    <x v="45"/>
    <s v="DCBWPM554837"/>
    <x v="0"/>
    <n v="-820835.7"/>
    <n v="0"/>
    <x v="21"/>
    <s v="Transfer"/>
    <s v="SCHUCO MIDDLE EAST WINDOWS AND FACADE SYSTEMS LLC"/>
    <x v="5"/>
    <x v="8"/>
    <x v="9"/>
    <n v="12"/>
    <n v="2025"/>
    <m/>
  </r>
  <r>
    <x v="3"/>
    <x v="47"/>
    <x v="6"/>
    <s v="DPBCOR626181WPM DCBWPM564600"/>
    <x v="299"/>
    <s v="DPBCOR626181WPM"/>
    <x v="0"/>
    <n v="-304417"/>
    <n v="0"/>
    <x v="4"/>
    <s v="Received"/>
    <s v="Brooq Al Amaan Trading Company"/>
    <x v="4"/>
    <x v="1"/>
    <x v="11"/>
    <n v="12"/>
    <n v="2025"/>
    <m/>
  </r>
  <r>
    <x v="3"/>
    <x v="47"/>
    <x v="6"/>
    <s v="IMP BILL AMEND. CHARGES DPBEPM627467WPM DCBWPM562612"/>
    <x v="300"/>
    <s v="DPBEPM627467WPM"/>
    <x v="0"/>
    <n v="-2156.25"/>
    <n v="0"/>
    <x v="2"/>
    <s v="Received"/>
    <s v="INTERPLAST CO.LTD"/>
    <x v="3"/>
    <x v="9"/>
    <x v="10"/>
    <n v="12"/>
    <n v="2025"/>
    <m/>
  </r>
  <r>
    <x v="3"/>
    <x v="47"/>
    <x v="6"/>
    <s v="IMP BILL RETIRE. CHARGES DPBCOR626181WPM DCBWPM564600"/>
    <x v="299"/>
    <s v="DPBCOR626181WPM"/>
    <x v="0"/>
    <n v="-1312.79"/>
    <n v="0"/>
    <x v="4"/>
    <s v="Received"/>
    <s v="Brooq Al Amaan Trading Company"/>
    <x v="4"/>
    <x v="1"/>
    <x v="11"/>
    <n v="12"/>
    <n v="2025"/>
    <m/>
  </r>
  <r>
    <x v="3"/>
    <x v="48"/>
    <x v="6"/>
    <s v="DPBCOR621665WPM DCBWPM563064"/>
    <x v="301"/>
    <s v="DPBCOR621665WPM"/>
    <x v="0"/>
    <n v="-851717.19"/>
    <n v="0"/>
    <x v="4"/>
    <s v="Received"/>
    <s v="Ezdehar Industrial Services Co."/>
    <x v="3"/>
    <x v="8"/>
    <x v="9"/>
    <n v="12"/>
    <n v="2025"/>
    <m/>
  </r>
  <r>
    <x v="3"/>
    <x v="48"/>
    <x v="6"/>
    <s v="SA SABB 262-307200-006 TFR+ DCBWPM563064 EZDEHAR INDUSTRIAL SERVICES CO"/>
    <x v="301"/>
    <s v="DCBWPM563064"/>
    <x v="0"/>
    <m/>
    <n v="851717.19"/>
    <x v="21"/>
    <s v="Transfer"/>
    <s v="Ezdehar Industrial Services Co."/>
    <x v="3"/>
    <x v="8"/>
    <x v="9"/>
    <n v="12"/>
    <n v="2025"/>
    <m/>
  </r>
  <r>
    <x v="3"/>
    <x v="48"/>
    <x v="5"/>
    <s v="DPBCOR621634WPM DCBWPM563026"/>
    <x v="302"/>
    <s v="DPBCOR621634WPM"/>
    <x v="0"/>
    <n v="-1500000"/>
    <n v="0"/>
    <x v="4"/>
    <s v="Received"/>
    <s v="IDEAL CALIBER COMPANY LTD"/>
    <x v="3"/>
    <x v="8"/>
    <x v="9"/>
    <n v="12"/>
    <n v="2025"/>
    <m/>
  </r>
  <r>
    <x v="3"/>
    <x v="48"/>
    <x v="5"/>
    <s v="DPBCOR622229WPM DCBWPM563023"/>
    <x v="51"/>
    <s v="DPBCOR622229WPM"/>
    <x v="0"/>
    <n v="-1800000"/>
    <n v="0"/>
    <x v="4"/>
    <s v="Received"/>
    <s v="Masdar Technical Supplies Co. "/>
    <x v="3"/>
    <x v="8"/>
    <x v="9"/>
    <n v="12"/>
    <n v="2025"/>
    <m/>
  </r>
  <r>
    <x v="3"/>
    <x v="48"/>
    <x v="5"/>
    <s v="DPBCOR622786WPM DCBWPM558781"/>
    <x v="60"/>
    <s v="DPBCOR622786WPM"/>
    <x v="0"/>
    <n v="-205760"/>
    <n v="0"/>
    <x v="4"/>
    <s v="Received"/>
    <s v="Al-Sayed Center A/C for Materials Company"/>
    <x v="3"/>
    <x v="9"/>
    <x v="10"/>
    <n v="12"/>
    <n v="2025"/>
    <m/>
  </r>
  <r>
    <x v="3"/>
    <x v="48"/>
    <x v="5"/>
    <s v="SA SABB 262-307200-001 262-307200-001 DCBWPM563064 EZDEHAR INDUSTRIAL SERVICES CO"/>
    <x v="301"/>
    <s v="DCBWPM563064"/>
    <x v="0"/>
    <n v="-851717.19"/>
    <n v="0"/>
    <x v="21"/>
    <s v="Transfer"/>
    <s v="Ezdehar Industrial Services Co."/>
    <x v="3"/>
    <x v="8"/>
    <x v="9"/>
    <n v="12"/>
    <n v="2025"/>
    <m/>
  </r>
  <r>
    <x v="3"/>
    <x v="48"/>
    <x v="5"/>
    <s v="DPBEPM621546WPM DCBWPM563814"/>
    <x v="62"/>
    <s v="DPBEPM621546WPM"/>
    <x v="0"/>
    <n v="-5443652.0700000003"/>
    <n v="0"/>
    <x v="4"/>
    <s v="Received"/>
    <s v="ALFANAR ELECTRICAL SYSTEMS"/>
    <x v="3"/>
    <x v="8"/>
    <x v="9"/>
    <n v="12"/>
    <n v="2025"/>
    <m/>
  </r>
  <r>
    <x v="3"/>
    <x v="48"/>
    <x v="5"/>
    <s v="DPBEPM621028WPM DCBWPM563813"/>
    <x v="43"/>
    <s v="DPBEPM621028WPM"/>
    <x v="0"/>
    <n v="-5000000"/>
    <n v="0"/>
    <x v="4"/>
    <s v="Received"/>
    <s v="Electric House Trading Company L.L.C."/>
    <x v="3"/>
    <x v="8"/>
    <x v="9"/>
    <n v="12"/>
    <n v="2025"/>
    <m/>
  </r>
  <r>
    <x v="3"/>
    <x v="48"/>
    <x v="5"/>
    <s v="DPBEPM620949WPM DCBWPM563822"/>
    <x v="303"/>
    <s v="DPBEPM620949WPM"/>
    <x v="0"/>
    <n v="-5000000"/>
    <n v="0"/>
    <x v="4"/>
    <s v="Received"/>
    <s v="Johnson Controls Arabia Ltd"/>
    <x v="3"/>
    <x v="8"/>
    <x v="9"/>
    <n v="12"/>
    <n v="2025"/>
    <m/>
  </r>
  <r>
    <x v="3"/>
    <x v="48"/>
    <x v="5"/>
    <s v="DPBCOR622675WPM DCBWPM562731"/>
    <x v="44"/>
    <s v="DPBCOR622675WPM"/>
    <x v="0"/>
    <n v="-5000000"/>
    <n v="0"/>
    <x v="4"/>
    <s v="Received"/>
    <s v="SAFID CO.LTD"/>
    <x v="3"/>
    <x v="8"/>
    <x v="9"/>
    <n v="12"/>
    <n v="2025"/>
    <m/>
  </r>
  <r>
    <x v="3"/>
    <x v="50"/>
    <x v="6"/>
    <s v="IMP BILL COMM DPBCOR628026WPM DCBWPM566642"/>
    <x v="304"/>
    <s v="DPBCOR628026WPM"/>
    <x v="0"/>
    <n v="-2156.25"/>
    <n v="0"/>
    <x v="2"/>
    <s v="Received"/>
    <s v="Al-Sayed Center A/C &amp; Refrigeration Materials Company"/>
    <x v="3"/>
    <x v="9"/>
    <x v="10"/>
    <n v="12"/>
    <n v="2025"/>
    <m/>
  </r>
  <r>
    <x v="3"/>
    <x v="50"/>
    <x v="6"/>
    <s v="DPBEPM620832WPM DCBWPM562626"/>
    <x v="305"/>
    <s v="DPBEPM620832WPM"/>
    <x v="0"/>
    <n v="-546393.94999999995"/>
    <n v="0"/>
    <x v="4"/>
    <s v="Received"/>
    <s v="ALFANAR ELECTRICAL SYSTEMS"/>
    <x v="3"/>
    <x v="9"/>
    <x v="10"/>
    <n v="12"/>
    <n v="2025"/>
    <m/>
  </r>
  <r>
    <x v="3"/>
    <x v="50"/>
    <x v="6"/>
    <s v="IMP BILL AMEND. CHARGES DPBCOR627986WPM DCBWPM564575"/>
    <x v="306"/>
    <s v="DPBCOR627986WPM"/>
    <x v="0"/>
    <n v="-10143.15"/>
    <n v="0"/>
    <x v="2"/>
    <s v="Received"/>
    <s v="AL-TAYYAR AL-HAQIQI COMMERCIAL CO."/>
    <x v="4"/>
    <x v="1"/>
    <x v="11"/>
    <n v="12"/>
    <n v="2025"/>
    <m/>
  </r>
  <r>
    <x v="3"/>
    <x v="51"/>
    <x v="5"/>
    <s v="GTE AMEND COMM CHARGES PEBGCU504055"/>
    <x v="307"/>
    <s v="PEBGCU504055"/>
    <x v="0"/>
    <n v="-537485.88"/>
    <n v="0"/>
    <x v="17"/>
    <s v="Received"/>
    <s v="Performance - CEER NATIONAL AUTOMOTIVE COMPANY"/>
    <x v="1"/>
    <x v="2"/>
    <x v="25"/>
    <n v="12"/>
    <n v="2025"/>
    <m/>
  </r>
  <r>
    <x v="3"/>
    <x v="51"/>
    <x v="5"/>
    <s v="DPBCOR622971WPM DCBWPM560813"/>
    <x v="47"/>
    <s v="DPBCOR622971WPM"/>
    <x v="0"/>
    <n v="-570425.12"/>
    <n v="0"/>
    <x v="4"/>
    <s v="Received"/>
    <s v="Aluminium Products company (ALUPCO)"/>
    <x v="5"/>
    <x v="8"/>
    <x v="9"/>
    <n v="12"/>
    <n v="2025"/>
    <m/>
  </r>
  <r>
    <x v="3"/>
    <x v="51"/>
    <x v="5"/>
    <s v="PEBGCU504055 PROJECT FLASH PEBGCU504055QUARTERLY COMMISSION,VAT INCLUSIVE"/>
    <x v="307"/>
    <s v="PEBGCU504055 PR"/>
    <x v="0"/>
    <n v="-537485.88"/>
    <n v="0"/>
    <x v="17"/>
    <s v="Received"/>
    <s v="Performance - CEER NATIONAL AUTOMOTIVE COMPANY"/>
    <x v="1"/>
    <x v="2"/>
    <x v="25"/>
    <n v="12"/>
    <n v="2025"/>
    <m/>
  </r>
  <r>
    <x v="3"/>
    <x v="51"/>
    <x v="6"/>
    <s v="DPBCOR621417WPM DCBWPM562605"/>
    <x v="308"/>
    <s v="DPBCOR621417WPM"/>
    <x v="0"/>
    <n v="-160462"/>
    <n v="0"/>
    <x v="4"/>
    <s v="Received"/>
    <s v="MASDAR TECHNICAL SUPPLIES CO"/>
    <x v="3"/>
    <x v="9"/>
    <x v="10"/>
    <n v="12"/>
    <n v="2025"/>
    <m/>
  </r>
  <r>
    <x v="4"/>
    <x v="44"/>
    <x v="8"/>
    <s v="DISCOUNT COMMISSION CR"/>
    <x v="67"/>
    <s v="TF2512833005"/>
    <x v="0"/>
    <n v="-1369.56"/>
    <n v="0"/>
    <x v="0"/>
    <s v="Received"/>
    <s v="BRC Industrial (Saudia) Company"/>
    <x v="0"/>
    <x v="7"/>
    <x v="8"/>
    <n v="12"/>
    <n v="2025"/>
    <m/>
  </r>
  <r>
    <x v="4"/>
    <x v="44"/>
    <x v="8"/>
    <s v="LC SWIFT CHARGES"/>
    <x v="67"/>
    <s v="TF2512833005"/>
    <x v="0"/>
    <n v="-250"/>
    <n v="0"/>
    <x v="0"/>
    <s v="Received"/>
    <s v="BRC Industrial (Saudia) Company"/>
    <x v="0"/>
    <x v="7"/>
    <x v="8"/>
    <n v="12"/>
    <n v="2025"/>
    <m/>
  </r>
  <r>
    <x v="4"/>
    <x v="44"/>
    <x v="8"/>
    <s v="VAT"/>
    <x v="67"/>
    <s v="TF2512833005"/>
    <x v="0"/>
    <n v="-205.43"/>
    <n v="0"/>
    <x v="0"/>
    <s v="Received"/>
    <s v="BRC Industrial (Saudia) Company"/>
    <x v="0"/>
    <x v="7"/>
    <x v="8"/>
    <n v="12"/>
    <n v="2025"/>
    <m/>
  </r>
  <r>
    <x v="4"/>
    <x v="44"/>
    <x v="8"/>
    <s v="VAT"/>
    <x v="67"/>
    <s v="TF2512833005"/>
    <x v="0"/>
    <n v="-37.5"/>
    <n v="0"/>
    <x v="0"/>
    <s v="Received"/>
    <s v="BRC Industrial (Saudia) Company"/>
    <x v="0"/>
    <x v="7"/>
    <x v="8"/>
    <n v="12"/>
    <n v="2025"/>
    <m/>
  </r>
  <r>
    <x v="5"/>
    <x v="44"/>
    <x v="9"/>
    <s v="TI Bill Settled                                                       _x000a_POC004                                                                _x000a_At Bank AlJazira                                                      _x000a_CORPORATE BANKING DEPT-JEDDAH                                         _x000a_Date 10-06-1447(H) Time 11.00.30                                      _x000a_Reference ILC-0840-25-7980                                            _x000a_"/>
    <x v="70"/>
    <s v=""/>
    <x v="0"/>
    <n v="528000"/>
    <n v="0"/>
    <x v="4"/>
    <s v="Received"/>
    <s v="Saudi Hepco Co Ltd"/>
    <x v="3"/>
    <x v="10"/>
    <x v="13"/>
    <n v="12"/>
    <n v="2025"/>
    <m/>
  </r>
  <r>
    <x v="5"/>
    <x v="47"/>
    <x v="9"/>
    <s v="Dr TI ILC Comm/Other Charges                                          _x000a_POC005-281089728                                                      _x000a_At Bank Aljazira                                                      _x000a_ CORPORATE BANKING DEPT-JEDDAH                                        _x000a_Date 13-06-1447(H) Time 11.41.26                                      _x000a_Reference ILC-0840-25-7992                                            _x000a_Value Date 13-06-1447(H)                                              _x000a_Fee Collected By Bank AlJazira                                        _x000a_"/>
    <x v="77"/>
    <s v=""/>
    <x v="0"/>
    <n v="100"/>
    <n v="0"/>
    <x v="2"/>
    <s v="Received"/>
    <s v="ALFANAR ELECTRICAL SYSTEMS"/>
    <x v="3"/>
    <x v="10"/>
    <x v="13"/>
    <n v="12"/>
    <n v="2025"/>
    <m/>
  </r>
  <r>
    <x v="5"/>
    <x v="47"/>
    <x v="9"/>
    <s v="Value Added Tax                                                       _x000a_On ILC Acceptance Comm.                                               _x000a_15% of SAR100.00                                                      _x000a_Through CORPORATE BANKING DEPT-JEDDAH                                 _x000a_Date 13-06-1447(H) Time 11.41.26                                      _x000a_Reference ILC-0840-25-7992                                            _x000a_At Bank Aljazira                                                      _x000a_"/>
    <x v="77"/>
    <s v=""/>
    <x v="0"/>
    <n v="15"/>
    <n v="0"/>
    <x v="1"/>
    <s v="Received"/>
    <s v="ALFANAR ELECTRICAL SYSTEMS"/>
    <x v="3"/>
    <x v="10"/>
    <x v="13"/>
    <n v="12"/>
    <n v="2025"/>
    <m/>
  </r>
  <r>
    <x v="5"/>
    <x v="47"/>
    <x v="9"/>
    <s v="Dr TI ILC Comm/Other Charges                                          _x000a_POC005-281089793                                                      _x000a_At Bank Aljazira                                                      _x000a_ CORPORATE BANKING DEPT-JEDDAH                                        _x000a_Date 13-06-1447(H) Time 11.41.26                                      _x000a_Reference ILC-0840-25-7992                                            _x000a_Value Date 13-06-1447(H)                                              _x000a_Fee Collected By Bank AlJazira                                        _x000a_"/>
    <x v="77"/>
    <s v=""/>
    <x v="0"/>
    <n v="460"/>
    <n v="0"/>
    <x v="2"/>
    <s v="Received"/>
    <s v="ALFANAR ELECTRICAL SYSTEMS"/>
    <x v="3"/>
    <x v="10"/>
    <x v="13"/>
    <n v="12"/>
    <n v="2025"/>
    <m/>
  </r>
  <r>
    <x v="5"/>
    <x v="47"/>
    <x v="9"/>
    <s v="Value Added Tax                                                       _x000a_On ILC Acceptance Comm.                                               _x000a_15% of SAR460.00                                                      _x000a_Through CORPORATE BANKING DEPT-JEDDAH                                 _x000a_Date 13-06-1447(H) Time 11.41.26                                      _x000a_Reference ILC-0840-25-7992                                            _x000a_At Bank Aljazira                                                      _x000a_"/>
    <x v="77"/>
    <s v=""/>
    <x v="0"/>
    <n v="69"/>
    <n v="0"/>
    <x v="1"/>
    <s v="Received"/>
    <s v="ALFANAR ELECTRICAL SYSTEMS"/>
    <x v="3"/>
    <x v="10"/>
    <x v="13"/>
    <n v="12"/>
    <n v="2025"/>
    <m/>
  </r>
  <r>
    <x v="5"/>
    <x v="47"/>
    <x v="9"/>
    <s v="Dr TI ILC Comm/Other Charges                                          _x000a_POC005-281089797                                                      _x000a_At Bank Aljazira                                                      _x000a_ CORPORATE BANKING DEPT-JEDDAH                                        _x000a_Date 13-06-1447(H) Time 11.41.27                                      _x000a_Reference ILC-0840-25-7992                                            _x000a_Value Date 13-06-1447(H)                                              _x000a_Fee Collected By Bank AlJazira                                        _x000a_"/>
    <x v="77"/>
    <s v=""/>
    <x v="0"/>
    <n v="200"/>
    <n v="0"/>
    <x v="2"/>
    <s v="Received"/>
    <s v="ALFANAR ELECTRICAL SYSTEMS"/>
    <x v="3"/>
    <x v="10"/>
    <x v="13"/>
    <n v="12"/>
    <n v="2025"/>
    <m/>
  </r>
  <r>
    <x v="5"/>
    <x v="47"/>
    <x v="9"/>
    <s v="Value Added Tax                                                       _x000a_On SWIFT charges                                                      _x000a_15% of SAR200.00                                                      _x000a_Through CORPORATE BANKING DEPT-JEDDAH                                 _x000a_Date 13-06-1447(H) Time 11.41.27                                      _x000a_Reference ILC-0840-25-7992                                            _x000a_At Bank Aljazira                                                      _x000a_"/>
    <x v="77"/>
    <s v=""/>
    <x v="0"/>
    <n v="30"/>
    <n v="0"/>
    <x v="1"/>
    <s v="Received"/>
    <s v="ALFANAR ELECTRICAL SYSTEMS"/>
    <x v="3"/>
    <x v="10"/>
    <x v="13"/>
    <n v="12"/>
    <n v="2025"/>
    <m/>
  </r>
  <r>
    <x v="5"/>
    <x v="48"/>
    <x v="9"/>
    <s v="Dr TI ILC Comm/Other Charges                                          _x000a_AMD001-281306259                                                      _x000a_At Bank Aljazira                                                      _x000a_ CORPORATE BANKING DEPT-JEDDAH                                        _x000a_Exchange Rate 1.0                                                     _x000a_Date 16-06-1447(H) Time 12.37.37                                      _x000a_Reference ILC-0840-25-8166                                            _x000a_Value Date 16-06-1447(H)                                              _x000a_Fee Collected By Bank AlJazira                                        _x000a_"/>
    <x v="309"/>
    <s v=""/>
    <x v="0"/>
    <n v="500"/>
    <n v="0"/>
    <x v="5"/>
    <s v="Received"/>
    <s v="SAUDI HEPCO CO LTD"/>
    <x v="3"/>
    <x v="10"/>
    <x v="13"/>
    <n v="12"/>
    <n v="2025"/>
    <m/>
  </r>
  <r>
    <x v="5"/>
    <x v="48"/>
    <x v="9"/>
    <s v="Value Added Tax                                                       _x000a_On ILC Commission                                                     _x000a_15% of SAR500.00                                                      _x000a_Through CORPORATE BANKING DEPT-JEDDAH                                 _x000a_Date 16-06-1447(H) Time 12.37.38                                      _x000a_Reference ILC-0840-25-8166                                            _x000a_At Bank Aljazira                                                      _x000a_Exchange Rate 1.0                                                     _x000a_"/>
    <x v="309"/>
    <s v=""/>
    <x v="0"/>
    <n v="75"/>
    <n v="0"/>
    <x v="1"/>
    <s v="Received"/>
    <s v="SAUDI HEPCO CO LTD"/>
    <x v="3"/>
    <x v="10"/>
    <x v="13"/>
    <n v="12"/>
    <n v="2025"/>
    <m/>
  </r>
  <r>
    <x v="5"/>
    <x v="48"/>
    <x v="9"/>
    <s v="Dr TI ILC Comm/Other Charges                                          _x000a_AMD001-281306269                                                      _x000a_At Bank Aljazira                                                      _x000a_ CORPORATE BANKING DEPT-JEDDAH                                        _x000a_Exchange Rate 1.0                                                     _x000a_Date 16-06-1447(H) Time 12.37.38                                      _x000a_Reference ILC-0840-25-8166                                            _x000a_Value Date 16-06-1447(H)                                              _x000a_Fee Collected By Bank AlJazira                                        _x000a_"/>
    <x v="309"/>
    <s v=""/>
    <x v="0"/>
    <n v="400"/>
    <n v="0"/>
    <x v="5"/>
    <s v="Received"/>
    <s v="SAUDI HEPCO CO LTD"/>
    <x v="3"/>
    <x v="10"/>
    <x v="13"/>
    <n v="12"/>
    <n v="2025"/>
    <m/>
  </r>
  <r>
    <x v="5"/>
    <x v="48"/>
    <x v="9"/>
    <s v="Value Added Tax                                                       _x000a_On SWIFT charges                                                      _x000a_15% of SAR400.00                                                      _x000a_Through CORPORATE BANKING DEPT-JEDDAH                                 _x000a_Date 16-06-1447(H) Time 12.37.39                                      _x000a_Reference ILC-0840-25-8166                                            _x000a_At Bank Aljazira                                                      _x000a_Exchange Rate 1.0                                                     _x000a_"/>
    <x v="309"/>
    <s v=""/>
    <x v="0"/>
    <n v="60"/>
    <n v="0"/>
    <x v="1"/>
    <s v="Received"/>
    <s v="SAUDI HEPCO CO LTD"/>
    <x v="3"/>
    <x v="10"/>
    <x v="13"/>
    <n v="12"/>
    <n v="2025"/>
    <m/>
  </r>
  <r>
    <x v="5"/>
    <x v="48"/>
    <x v="9"/>
    <s v="Dr TI ILC Comm/Other Charges                                          _x000a_AMD001-281306970                                                      _x000a_At Bank Aljazira                                                      _x000a_ CORPORATE BANKING DEPT-JEDDAH                                        _x000a_Exchange Rate 1.0                                                     _x000a_Date 16-06-1447(H) Time 12.38.24                                      _x000a_Reference ILC-0840-25-8165                                            _x000a_Value Date 16-06-1447(H)                                              _x000a_Fee Collected By Bank AlJazira                                        _x000a_"/>
    <x v="310"/>
    <s v=""/>
    <x v="0"/>
    <n v="937.5"/>
    <n v="0"/>
    <x v="5"/>
    <s v="Received"/>
    <s v="SAUDI HEPCO CO LTD"/>
    <x v="3"/>
    <x v="10"/>
    <x v="13"/>
    <n v="12"/>
    <n v="2025"/>
    <m/>
  </r>
  <r>
    <x v="5"/>
    <x v="48"/>
    <x v="9"/>
    <s v="Value Added Tax                                                       _x000a_On ILC Commission                                                     _x000a_15% of SAR937.50                                                      _x000a_Through CORPORATE BANKING DEPT-JEDDAH                                 _x000a_Date 16-06-1447(H) Time 12.38.24                                      _x000a_Reference ILC-0840-25-8165                                            _x000a_At Bank Aljazira                                                      _x000a_Exchange Rate 1.0                                                     _x000a_"/>
    <x v="310"/>
    <s v=""/>
    <x v="0"/>
    <n v="140.63"/>
    <n v="0"/>
    <x v="1"/>
    <s v="Received"/>
    <s v="SAUDI HEPCO CO LTD"/>
    <x v="3"/>
    <x v="10"/>
    <x v="13"/>
    <n v="12"/>
    <n v="2025"/>
    <m/>
  </r>
  <r>
    <x v="5"/>
    <x v="48"/>
    <x v="9"/>
    <s v="Dr TI ILC Comm/Other Charges                                          _x000a_AMD001-281306972                                                      _x000a_At Bank Aljazira                                                      _x000a_ CORPORATE BANKING DEPT-JEDDAH                                        _x000a_Exchange Rate 1.0                                                     _x000a_Date 16-06-1447(H) Time 12.38.25                                      _x000a_Reference ILC-0840-25-8165                                            _x000a_Value Date 16-06-1447(H)                                              _x000a_Fee Collected By Bank AlJazira                                        _x000a_"/>
    <x v="310"/>
    <s v=""/>
    <x v="0"/>
    <n v="400"/>
    <n v="0"/>
    <x v="5"/>
    <s v="Received"/>
    <s v="SAUDI HEPCO CO LTD"/>
    <x v="3"/>
    <x v="10"/>
    <x v="13"/>
    <n v="12"/>
    <n v="2025"/>
    <m/>
  </r>
  <r>
    <x v="5"/>
    <x v="48"/>
    <x v="9"/>
    <s v="Value Added Tax                                                       _x000a_On SWIFT charges                                                      _x000a_15% of SAR400.00                                                      _x000a_Through CORPORATE BANKING DEPT-JEDDAH                                 _x000a_Date 16-06-1447(H) Time 12.38.25                                      _x000a_Reference ILC-0840-25-8165                                            _x000a_At Bank Aljazira                                                      _x000a_Exchange Rate 1.0                                                     _x000a_"/>
    <x v="310"/>
    <s v=""/>
    <x v="0"/>
    <n v="60"/>
    <n v="0"/>
    <x v="1"/>
    <s v="Received"/>
    <s v="SAUDI HEPCO CO LTD"/>
    <x v="3"/>
    <x v="10"/>
    <x v="13"/>
    <n v="12"/>
    <n v="2025"/>
    <m/>
  </r>
  <r>
    <x v="5"/>
    <x v="48"/>
    <x v="9"/>
    <s v="Dr TI ILC Comm/Other Charges                                          _x000a_AMD001-281308776                                                      _x000a_At Bank Aljazira                                                      _x000a_ CORPORATE BANKING DEPT-JEDDAH                                        _x000a_Exchange Rate 1.0                                                     _x000a_Date 16-06-1447(H) Time 12.39.08                                      _x000a_Reference ILC-0840-25-8160                                            _x000a_Value Date 16-06-1447(H)                                              _x000a_Fee Collected By Bank AlJazira                                        _x000a_"/>
    <x v="311"/>
    <s v=""/>
    <x v="0"/>
    <n v="500"/>
    <n v="0"/>
    <x v="5"/>
    <s v="Received"/>
    <s v="United Park Co."/>
    <x v="3"/>
    <x v="10"/>
    <x v="13"/>
    <n v="12"/>
    <n v="2025"/>
    <m/>
  </r>
  <r>
    <x v="5"/>
    <x v="48"/>
    <x v="9"/>
    <s v="Value Added Tax                                                       _x000a_On ILC Commission                                                     _x000a_15% of SAR500.00                                                      _x000a_Through CORPORATE BANKING DEPT-JEDDAH                                 _x000a_Date 16-06-1447(H) Time 12.39.08                                      _x000a_Reference ILC-0840-25-8160                                            _x000a_At Bank Aljazira                                                      _x000a_Exchange Rate 1.0                                                     _x000a_"/>
    <x v="311"/>
    <s v=""/>
    <x v="0"/>
    <n v="75"/>
    <n v="0"/>
    <x v="1"/>
    <s v="Received"/>
    <s v="United Park Co."/>
    <x v="3"/>
    <x v="10"/>
    <x v="13"/>
    <n v="12"/>
    <n v="2025"/>
    <m/>
  </r>
  <r>
    <x v="5"/>
    <x v="48"/>
    <x v="9"/>
    <s v="Dr TI ILC Comm/Other Charges                                          _x000a_AMD001-281308778                                                      _x000a_At Bank Aljazira                                                      _x000a_ CORPORATE BANKING DEPT-JEDDAH                                        _x000a_Exchange Rate 1.0                                                     _x000a_Date 16-06-1447(H) Time 12.39.09                                      _x000a_Reference ILC-0840-25-8160                                            _x000a_Value Date 16-06-1447(H)                                              _x000a_Fee Collected By Bank AlJazira                                        _x000a_"/>
    <x v="311"/>
    <s v=""/>
    <x v="0"/>
    <n v="400"/>
    <n v="0"/>
    <x v="5"/>
    <s v="Received"/>
    <s v="United Park Co."/>
    <x v="3"/>
    <x v="10"/>
    <x v="13"/>
    <n v="12"/>
    <n v="2025"/>
    <m/>
  </r>
  <r>
    <x v="5"/>
    <x v="48"/>
    <x v="9"/>
    <s v="Value Added Tax                                                       _x000a_On SWIFT charges                                                      _x000a_15% of SAR400.00                                                      _x000a_Through CORPORATE BANKING DEPT-JEDDAH                                 _x000a_Date 16-06-1447(H) Time 12.39.09                                      _x000a_Reference ILC-0840-25-8160                                            _x000a_At Bank Aljazira                                                      _x000a_Exchange Rate 1.0                                                     _x000a_"/>
    <x v="311"/>
    <s v=""/>
    <x v="0"/>
    <n v="60"/>
    <n v="0"/>
    <x v="1"/>
    <s v="Received"/>
    <s v="United Park Co."/>
    <x v="3"/>
    <x v="10"/>
    <x v="13"/>
    <n v="12"/>
    <n v="2025"/>
    <m/>
  </r>
  <r>
    <x v="5"/>
    <x v="48"/>
    <x v="9"/>
    <s v="Dr TI ILC Comm/Other Charges                                          _x000a_AMD001-281309806                                                      _x000a_At Bank Aljazira                                                      _x000a_ CORPORATE BANKING DEPT-JEDDAH                                        _x000a_Exchange Rate 1.0                                                     _x000a_Date 16-06-1447(H) Time 12.39.44                                      _x000a_Reference ILC-0840-25-8164                                            _x000a_Value Date 16-06-1447(H)                                              _x000a_Fee Collected By Bank AlJazira                                        _x000a_"/>
    <x v="312"/>
    <s v=""/>
    <x v="0"/>
    <n v="626.44000000000005"/>
    <n v="0"/>
    <x v="5"/>
    <s v="Received"/>
    <s v="Mohammed Ramadan Shat Factory"/>
    <x v="3"/>
    <x v="10"/>
    <x v="13"/>
    <n v="12"/>
    <n v="2025"/>
    <m/>
  </r>
  <r>
    <x v="5"/>
    <x v="48"/>
    <x v="9"/>
    <s v="Value Added Tax                                                       _x000a_On ILC Commission                                                     _x000a_15% of SAR626.44                                                      _x000a_Through CORPORATE BANKING DEPT-JEDDAH                                 _x000a_Date 16-06-1447(H) Time 12.39.45                                      _x000a_Reference ILC-0840-25-8164                                            _x000a_At Bank Aljazira                                                      _x000a_Exchange Rate 1.0                                                     _x000a_"/>
    <x v="312"/>
    <s v=""/>
    <x v="0"/>
    <n v="93.97"/>
    <n v="0"/>
    <x v="1"/>
    <s v="Received"/>
    <s v="Mohammed Ramadan Shat Factory"/>
    <x v="3"/>
    <x v="10"/>
    <x v="13"/>
    <n v="12"/>
    <n v="2025"/>
    <m/>
  </r>
  <r>
    <x v="5"/>
    <x v="48"/>
    <x v="9"/>
    <s v="Dr TI ILC Comm/Other Charges                                          _x000a_AMD001-281309808                                                      _x000a_At Bank Aljazira                                                      _x000a_ CORPORATE BANKING DEPT-JEDDAH                                        _x000a_Exchange Rate 1.0                                                     _x000a_Date 16-06-1447(H) Time 12.39.45                                      _x000a_Reference ILC-0840-25-8164                                            _x000a_Value Date 16-06-1447(H)                                              _x000a_Fee Collected By Bank AlJazira                                        _x000a_"/>
    <x v="312"/>
    <s v=""/>
    <x v="0"/>
    <n v="400"/>
    <n v="0"/>
    <x v="5"/>
    <s v="Received"/>
    <s v="Mohammed Ramadan Shat Factory"/>
    <x v="3"/>
    <x v="10"/>
    <x v="13"/>
    <n v="12"/>
    <n v="2025"/>
    <m/>
  </r>
  <r>
    <x v="5"/>
    <x v="48"/>
    <x v="9"/>
    <s v="Value Added Tax                                                       _x000a_On SWIFT charges                                                      _x000a_15% of SAR400.00                                                      _x000a_Through CORPORATE BANKING DEPT-JEDDAH                                 _x000a_Date 16-06-1447(H) Time 12.39.46                                      _x000a_Reference ILC-0840-25-8164                                            _x000a_At Bank Aljazira                                                      _x000a_Exchange Rate 1.0                                                     _x000a_"/>
    <x v="312"/>
    <s v=""/>
    <x v="0"/>
    <n v="60"/>
    <n v="0"/>
    <x v="1"/>
    <s v="Received"/>
    <s v="Mohammed Ramadan Shat Factory"/>
    <x v="3"/>
    <x v="10"/>
    <x v="13"/>
    <n v="12"/>
    <n v="2025"/>
    <m/>
  </r>
  <r>
    <x v="5"/>
    <x v="49"/>
    <x v="9"/>
    <s v="Dr TI ILC Comm/Other Charges                                          _x000a_POC001-281427935                                                      _x000a_At Bank Aljazira                                                      _x000a_ CORPORATE BANKING DEPT-JEDDAH                                        _x000a_Date 17-06-1447(H) Time 10.07.51                                      _x000a_Reference ILC-0840-25-7407                                            _x000a_Value Date 17-06-1447(H)                                              _x000a_Fee Collected By Bank AlJazira                                        _x000a_"/>
    <x v="81"/>
    <s v=""/>
    <x v="0"/>
    <n v="100"/>
    <n v="0"/>
    <x v="2"/>
    <s v="Received"/>
    <s v="SITE TECHNOLOGY SAUDI ARABIA LTD"/>
    <x v="3"/>
    <x v="10"/>
    <x v="13"/>
    <n v="12"/>
    <n v="2025"/>
    <m/>
  </r>
  <r>
    <x v="5"/>
    <x v="49"/>
    <x v="9"/>
    <s v="Value Added Tax                                                       _x000a_On ILC Acceptance Comm.                                               _x000a_15% of SAR100.00                                                      _x000a_Through CORPORATE BANKING DEPT-JEDDAH                                 _x000a_Date 17-06-1447(H) Time 10.07.52                                      _x000a_Reference ILC-0840-25-7407                                            _x000a_At Bank Aljazira                                                      _x000a_"/>
    <x v="81"/>
    <s v=""/>
    <x v="0"/>
    <n v="15"/>
    <n v="0"/>
    <x v="1"/>
    <s v="Received"/>
    <s v="SITE TECHNOLOGY SAUDI ARABIA LTD"/>
    <x v="3"/>
    <x v="10"/>
    <x v="13"/>
    <n v="12"/>
    <n v="2025"/>
    <m/>
  </r>
  <r>
    <x v="5"/>
    <x v="49"/>
    <x v="9"/>
    <s v="Dr TI ILC Comm/Other Charges                                          _x000a_POC001-281428457                                                      _x000a_At Bank Aljazira                                                      _x000a_ CORPORATE BANKING DEPT-JEDDAH                                        _x000a_Date 17-06-1447(H) Time 10.07.52                                      _x000a_Reference ILC-0840-25-7407                                            _x000a_Value Date 17-06-1447(H)                                              _x000a_Fee Collected By Bank AlJazira                                        _x000a_"/>
    <x v="81"/>
    <s v=""/>
    <x v="0"/>
    <n v="250"/>
    <n v="0"/>
    <x v="2"/>
    <s v="Received"/>
    <s v="SITE TECHNOLOGY SAUDI ARABIA LTD"/>
    <x v="3"/>
    <x v="10"/>
    <x v="13"/>
    <n v="12"/>
    <n v="2025"/>
    <m/>
  </r>
  <r>
    <x v="5"/>
    <x v="49"/>
    <x v="9"/>
    <s v="Value Added Tax                                                       _x000a_On ILC Acceptance Comm.                                               _x000a_15% of SAR250.00                                                      _x000a_Through CORPORATE BANKING DEPT-JEDDAH                                 _x000a_Date 17-06-1447(H) Time 10.07.52                                      _x000a_Reference ILC-0840-25-7407                                            _x000a_At Bank Aljazira                                                      _x000a_"/>
    <x v="81"/>
    <s v=""/>
    <x v="0"/>
    <n v="37.5"/>
    <n v="0"/>
    <x v="1"/>
    <s v="Received"/>
    <s v="SITE TECHNOLOGY SAUDI ARABIA LTD"/>
    <x v="3"/>
    <x v="10"/>
    <x v="13"/>
    <n v="12"/>
    <n v="2025"/>
    <m/>
  </r>
  <r>
    <x v="5"/>
    <x v="49"/>
    <x v="9"/>
    <s v="Dr TI ILC Comm/Other Charges                                          _x000a_POC001-281428459                                                      _x000a_At Bank Aljazira                                                      _x000a_ CORPORATE BANKING DEPT-JEDDAH                                        _x000a_Date 17-06-1447(H) Time 10.07.52                                      _x000a_Reference ILC-0840-25-7407                                            _x000a_Value Date 17-06-1447(H)                                              _x000a_Fee Collected By Bank AlJazira                                        _x000a_"/>
    <x v="81"/>
    <s v=""/>
    <x v="0"/>
    <n v="200"/>
    <n v="0"/>
    <x v="2"/>
    <s v="Received"/>
    <s v="SITE TECHNOLOGY SAUDI ARABIA LTD"/>
    <x v="3"/>
    <x v="10"/>
    <x v="13"/>
    <n v="12"/>
    <n v="2025"/>
    <m/>
  </r>
  <r>
    <x v="5"/>
    <x v="49"/>
    <x v="9"/>
    <s v="Value Added Tax                                                       _x000a_On SWIFT charges                                                      _x000a_15% of SAR200.00                                                      _x000a_Through CORPORATE BANKING DEPT-JEDDAH                                 _x000a_Date 17-06-1447(H) Time 10.07.53                                      _x000a_Reference ILC-0840-25-7407                                            _x000a_At Bank Aljazira                                                      _x000a_"/>
    <x v="81"/>
    <s v=""/>
    <x v="0"/>
    <n v="30"/>
    <n v="0"/>
    <x v="1"/>
    <s v="Received"/>
    <s v="SITE TECHNOLOGY SAUDI ARABIA LTD"/>
    <x v="3"/>
    <x v="10"/>
    <x v="13"/>
    <n v="12"/>
    <n v="2025"/>
    <m/>
  </r>
  <r>
    <x v="5"/>
    <x v="50"/>
    <x v="9"/>
    <s v="Dr TI LGI Commission (Earned)                                         _x000a_ISS001-281611737                                                      _x000a_At Bank AlJazira                                                      _x000a_CORPORATE BANKING DEPT-JEDDAH                                         _x000a_Date 18-06-1447(H) Time 13.44.46                                      _x000a_Reference LGI-0840-25-7282                                            _x000a_"/>
    <x v="313"/>
    <s v=""/>
    <x v="0"/>
    <n v="12124"/>
    <n v="0"/>
    <x v="16"/>
    <s v="Received"/>
    <e v="#N/A"/>
    <x v="7"/>
    <x v="12"/>
    <x v="19"/>
    <n v="12"/>
    <n v="2025"/>
    <m/>
  </r>
  <r>
    <x v="5"/>
    <x v="50"/>
    <x v="9"/>
    <s v="Value Added Tax                                                       _x000a_On LGI ISSUANCE COMMISSION                                            _x000a_15% of SAR12,124.00                                                   _x000a_Through CORPORATE BANKING DEPT-JEDDAH                                 _x000a_Date 18-06-1447(H) Time 13.44.47                                      _x000a_Reference LGI-0840-25-7282                                            _x000a_At Bank Aljazira                                                      _x000a_Exchange Rate 1.0                                                     _x000a_"/>
    <x v="313"/>
    <s v=""/>
    <x v="0"/>
    <n v="1818.6"/>
    <n v="0"/>
    <x v="1"/>
    <s v="Received"/>
    <e v="#N/A"/>
    <x v="7"/>
    <x v="12"/>
    <x v="19"/>
    <n v="12"/>
    <n v="2025"/>
    <m/>
  </r>
  <r>
    <x v="5"/>
    <x v="50"/>
    <x v="9"/>
    <s v="Dr TI LGI Comm/Other Charges                                          _x000a_ISS001-281611739                                                      _x000a_At Bank AlJazira                                                      _x000a_CORPORATE BANKING DEPT-JEDDAH                                         _x000a_Date 18-06-1447(H) Time 13.44.47                                      _x000a_Reference LGI-0840-25-7282                                            _x000a_"/>
    <x v="313"/>
    <s v=""/>
    <x v="0"/>
    <n v="26973.97"/>
    <n v="0"/>
    <x v="16"/>
    <s v="Received"/>
    <e v="#N/A"/>
    <x v="7"/>
    <x v="12"/>
    <x v="19"/>
    <n v="12"/>
    <n v="2025"/>
    <m/>
  </r>
  <r>
    <x v="5"/>
    <x v="50"/>
    <x v="9"/>
    <s v="Value Added Tax                                                       _x000a_On LG Processing/Facility Fees                                        _x000a_15% of SAR26,973.97                                                   _x000a_Through CORPORATE BANKING DEPT-JEDDAH                                 _x000a_Date 18-06-1447(H) Time 13.44.47                                      _x000a_Reference LGI-0840-25-7282                                            _x000a_At Bank Aljazira                                                      _x000a_Exchange Rate 1.0                                                     _x000a_"/>
    <x v="313"/>
    <s v=""/>
    <x v="0"/>
    <n v="4046.1"/>
    <n v="0"/>
    <x v="1"/>
    <s v="Received"/>
    <e v="#N/A"/>
    <x v="7"/>
    <x v="12"/>
    <x v="19"/>
    <n v="12"/>
    <n v="2025"/>
    <m/>
  </r>
  <r>
    <x v="1"/>
    <x v="52"/>
    <x v="3"/>
    <s v="CUSTOMER = 3972500 DEAL AMT = 75 DEAL CCY = SAR TAX CODE = 1 "/>
    <x v="15"/>
    <s v="TF252110001101"/>
    <x v="0"/>
    <n v="-11.25"/>
    <n v="0"/>
    <x v="1"/>
    <s v="Received"/>
    <s v="ATLANTIC SUPPLIES FOR TRADING"/>
    <x v="3"/>
    <x v="5"/>
    <x v="6"/>
    <n v="12"/>
    <n v="2025"/>
    <m/>
  </r>
  <r>
    <x v="1"/>
    <x v="52"/>
    <x v="3"/>
    <s v="LC SWIFT CHARGES FOR LC NO. TF252110001101\BNK"/>
    <x v="15"/>
    <s v="TF252110001101"/>
    <x v="0"/>
    <n v="-75"/>
    <n v="0"/>
    <x v="3"/>
    <s v="Received"/>
    <s v="ATLANTIC SUPPLIES FOR TRADING"/>
    <x v="3"/>
    <x v="5"/>
    <x v="6"/>
    <n v="12"/>
    <n v="2025"/>
    <m/>
  </r>
  <r>
    <x v="1"/>
    <x v="52"/>
    <x v="3"/>
    <s v="REIMBURSE UNDER LCS DR FOR LC NO. TF252110001101\BNK"/>
    <x v="15"/>
    <s v="TF252110001101"/>
    <x v="0"/>
    <n v="-311571.08"/>
    <n v="0"/>
    <x v="4"/>
    <s v="Received"/>
    <s v="ATLANTIC SUPPLIES FOR TRADING"/>
    <x v="3"/>
    <x v="5"/>
    <x v="6"/>
    <n v="12"/>
    <n v="2025"/>
    <m/>
  </r>
  <r>
    <x v="1"/>
    <x v="52"/>
    <x v="3"/>
    <s v="CUSTOMER = 3972500 DEAL AMT = 75 DEAL CCY = SAR TAX CODE = 1 "/>
    <x v="111"/>
    <s v="TF252710002402"/>
    <x v="0"/>
    <n v="-11.25"/>
    <n v="0"/>
    <x v="1"/>
    <s v="Received"/>
    <s v="Saudi Perfect Pumps Trading &amp; Manufacturing Company"/>
    <x v="0"/>
    <x v="7"/>
    <x v="8"/>
    <n v="12"/>
    <n v="2025"/>
    <m/>
  </r>
  <r>
    <x v="1"/>
    <x v="52"/>
    <x v="3"/>
    <s v="LC SWIFT CHARGES FOR LC NO. TF252710002402\BNK"/>
    <x v="111"/>
    <s v="TF252710002402"/>
    <x v="0"/>
    <n v="-75"/>
    <n v="0"/>
    <x v="3"/>
    <s v="Received"/>
    <s v="Saudi Perfect Pumps Trading &amp; Manufacturing Company"/>
    <x v="0"/>
    <x v="7"/>
    <x v="8"/>
    <n v="12"/>
    <n v="2025"/>
    <m/>
  </r>
  <r>
    <x v="1"/>
    <x v="52"/>
    <x v="3"/>
    <s v="REIMBURSE UNDER LCS DR FOR LC NO. TF252710002402\BNK"/>
    <x v="111"/>
    <s v="TF252710002402"/>
    <x v="0"/>
    <n v="-530502"/>
    <n v="0"/>
    <x v="4"/>
    <s v="Received"/>
    <s v="Saudi Perfect Pumps Trading &amp; Manufacturing Company"/>
    <x v="0"/>
    <x v="7"/>
    <x v="8"/>
    <n v="12"/>
    <n v="2025"/>
    <m/>
  </r>
  <r>
    <x v="0"/>
    <x v="51"/>
    <x v="0"/>
    <s v="REF 000000JLC6901492,RB REF JLC6901492,VIA CORE SYSTEM,DATE-TIME 10/12-12:01:55, عن طريق النظام الآ لي ,VALUE DT 10/12/25"/>
    <x v="12"/>
    <s v=""/>
    <x v="0"/>
    <n v="64985.08"/>
    <n v="0"/>
    <x v="6"/>
    <s v="Received"/>
    <s v="Jiangsu Donchamp New Materials Technology Co.Ltd."/>
    <x v="0"/>
    <x v="3"/>
    <x v="3"/>
    <n v="12"/>
    <n v="2025"/>
    <m/>
  </r>
  <r>
    <x v="0"/>
    <x v="51"/>
    <x v="0"/>
    <s v="REF 000000JLC6901610,RB REF JLC6901610,VIA CORE SYSTEM,DATE-TIME 10/12-16:04:01, عن طريق النظام الآ لي ,VALUE DT 10/12/25"/>
    <x v="289"/>
    <s v=""/>
    <x v="0"/>
    <n v="5750"/>
    <n v="0"/>
    <x v="6"/>
    <s v="Received"/>
    <s v="Safid Co. Ltd."/>
    <x v="3"/>
    <x v="3"/>
    <x v="3"/>
    <n v="12"/>
    <n v="2025"/>
    <m/>
  </r>
  <r>
    <x v="0"/>
    <x v="51"/>
    <x v="0"/>
    <s v="REF 000000JLC6901616,RB REF JLC6901616,VIA CORE SYSTEM,DATE-TIME 10/12-14:12:29, عن طريق النظام الآ لي ,VALUE DT 10/12/25"/>
    <x v="5"/>
    <s v=""/>
    <x v="0"/>
    <n v="2587.5"/>
    <n v="0"/>
    <x v="6"/>
    <s v="Received"/>
    <s v="lmdadat Al Jazera Al Arabia Trading Co."/>
    <x v="3"/>
    <x v="3"/>
    <x v="3"/>
    <n v="12"/>
    <n v="2025"/>
    <m/>
  </r>
  <r>
    <x v="0"/>
    <x v="51"/>
    <x v="1"/>
    <s v="REF 000000JLC6901431,RB REF JLC6901431,VIA CORE SYSTEM,DATE-TIME 10/12-12:00:59, عن طريق النظام الآ لي ,VALUE DT 10/12/25"/>
    <x v="95"/>
    <s v=""/>
    <x v="0"/>
    <n v="94588.42"/>
    <n v="0"/>
    <x v="6"/>
    <s v="Received"/>
    <s v="Mat Filtrasyon Teknolojeleri A.S"/>
    <x v="0"/>
    <x v="3"/>
    <x v="3"/>
    <n v="12"/>
    <n v="2025"/>
    <m/>
  </r>
  <r>
    <x v="3"/>
    <x v="51"/>
    <x v="5"/>
    <s v="GTE AMEND COMM CHARGES PEBGCU504055"/>
    <x v="307"/>
    <s v="PEBGCU504055"/>
    <x v="0"/>
    <n v="-537485.88"/>
    <n v="0"/>
    <x v="22"/>
    <s v="Received"/>
    <s v="Performance - CEER NATIONAL AUTOMOTIVE COMPANY"/>
    <x v="1"/>
    <x v="2"/>
    <x v="25"/>
    <n v="12"/>
    <n v="2025"/>
    <m/>
  </r>
  <r>
    <x v="3"/>
    <x v="51"/>
    <x v="5"/>
    <s v="DPBCOR622971WPM DCBWPM560813"/>
    <x v="47"/>
    <s v="DPBCOR622971WPM"/>
    <x v="0"/>
    <n v="-570425.12"/>
    <n v="0"/>
    <x v="4"/>
    <s v="Received"/>
    <s v="Aluminium Products company (ALUPCO)"/>
    <x v="5"/>
    <x v="8"/>
    <x v="9"/>
    <n v="12"/>
    <n v="2025"/>
    <m/>
  </r>
  <r>
    <x v="3"/>
    <x v="51"/>
    <x v="5"/>
    <s v="PEBGCU504055 PROJECT FLASH PEBGCU504055QUARTERLY COMMISSION,VAT INCLUSIVE"/>
    <x v="307"/>
    <s v="PEBGCU504055 PR"/>
    <x v="0"/>
    <n v="-537485.88"/>
    <n v="0"/>
    <x v="22"/>
    <s v="Received"/>
    <s v="Performance - CEER NATIONAL AUTOMOTIVE COMPANY"/>
    <x v="1"/>
    <x v="2"/>
    <x v="25"/>
    <n v="12"/>
    <n v="2025"/>
    <m/>
  </r>
  <r>
    <x v="3"/>
    <x v="51"/>
    <x v="6"/>
    <s v="DPBCOR621417WPM DCBWPM562605"/>
    <x v="308"/>
    <s v="DPBCOR621417WPM"/>
    <x v="0"/>
    <n v="-160462"/>
    <n v="0"/>
    <x v="4"/>
    <s v="Received"/>
    <s v="MASDAR TECHNICAL SUPPLIES CO"/>
    <x v="3"/>
    <x v="9"/>
    <x v="10"/>
    <n v="12"/>
    <n v="2025"/>
    <m/>
  </r>
  <r>
    <x v="3"/>
    <x v="52"/>
    <x v="5"/>
    <s v="GTE AMEND COMM CHARGES PEBGCU504055"/>
    <x v="307"/>
    <s v="PEBGCU504055"/>
    <x v="0"/>
    <n v="-209144.43"/>
    <n v="0"/>
    <x v="22"/>
    <s v="Received"/>
    <s v="Performance - CEER NATIONAL AUTOMOTIVE COMPANY"/>
    <x v="1"/>
    <x v="2"/>
    <x v="25"/>
    <n v="12"/>
    <n v="2025"/>
    <m/>
  </r>
  <r>
    <x v="5"/>
    <x v="52"/>
    <x v="9"/>
    <s v="TI Bill Settled                                                       _x000a_POC006                                                                _x000a_At Bank AlJazira                                                      _x000a_CORPORATE BANKING DEPT-JEDDAH                                         _x000a_Date 20-06-1447(H) Time 09.33.45                                      _x000a_Reference ILC-0840-25-7992                                            _x000a_"/>
    <x v="77"/>
    <s v=""/>
    <x v="0"/>
    <n v="368005.11"/>
    <n v="0"/>
    <x v="4"/>
    <s v="Received"/>
    <s v="ALFANAR ELECTRICAL SYSTEMS"/>
    <x v="3"/>
    <x v="10"/>
    <x v="13"/>
    <n v="12"/>
    <n v="2025"/>
    <m/>
  </r>
  <r>
    <x v="5"/>
    <x v="52"/>
    <x v="9"/>
    <s v="TI Bill Settled                                                       _x000a_POC002                                                                _x000a_At Bank AlJazira                                                      _x000a_CORPORATE BANKING DEPT-JEDDAH                                         _x000a_Date 20-06-1447(H) Time 09.34.25                                      _x000a_Reference ILC-0840-25-8161                                            _x000a_"/>
    <x v="99"/>
    <s v=""/>
    <x v="0"/>
    <n v="1000000"/>
    <n v="0"/>
    <x v="4"/>
    <s v="Received"/>
    <s v="ALFANAR ELECTRICAL SYSTEMS"/>
    <x v="3"/>
    <x v="10"/>
    <x v="13"/>
    <n v="12"/>
    <n v="2025"/>
    <m/>
  </r>
  <r>
    <x v="5"/>
    <x v="52"/>
    <x v="9"/>
    <s v="Dr TI ILC Comm/Other Charges                                          _x000a_POC006-281855564                                                      _x000a_At Bank Aljazira                                                      _x000a_ CORPORATE BANKING DEPT-JEDDAH                                        _x000a_Date 20-06-1447(H) Time 12.26.55                                      _x000a_Reference ILC-0840-25-8159                                            _x000a_Value Date 20-06-1447(H)                                              _x000a_Fee Collected By Bank AlJazira                                        _x000a_"/>
    <x v="84"/>
    <s v="ILC-0840-25-8159"/>
    <x v="0"/>
    <n v="100"/>
    <n v="0"/>
    <x v="2"/>
    <s v="Received"/>
    <s v="AL FALWA CO. LTD. FOR READYMIX CONCRETE"/>
    <x v="0"/>
    <x v="10"/>
    <x v="13"/>
    <n v="12"/>
    <n v="2025"/>
    <m/>
  </r>
  <r>
    <x v="5"/>
    <x v="52"/>
    <x v="9"/>
    <s v="Value Added Tax                                                       _x000a_On ILC Acceptance Comm.                                               _x000a_15% of SAR100.00                                                      _x000a_Through CORPORATE BANKING DEPT-JEDDAH                                 _x000a_Date 20-06-1447(H) Time 12.26.55                                      _x000a_Reference ILC-0840-25-8159                                            _x000a_At Bank Aljazira                                                      _x000a_"/>
    <x v="84"/>
    <s v="ILC-0840-25-8159"/>
    <x v="0"/>
    <n v="15"/>
    <n v="0"/>
    <x v="1"/>
    <s v="Received"/>
    <s v="AL FALWA CO. LTD. FOR READYMIX CONCRETE"/>
    <x v="0"/>
    <x v="10"/>
    <x v="13"/>
    <n v="12"/>
    <n v="2025"/>
    <m/>
  </r>
  <r>
    <x v="5"/>
    <x v="52"/>
    <x v="9"/>
    <s v="Dr TI ILC Comm/Other Charges                                          _x000a_POC006-281855612                                                      _x000a_At Bank Aljazira                                                      _x000a_ CORPORATE BANKING DEPT-JEDDAH                                        _x000a_Date 20-06-1447(H) Time 12.26.55                                      _x000a_Reference ILC-0840-25-8159                                            _x000a_Value Date 20-06-1447(H)                                              _x000a_Fee Collected By Bank AlJazira                                        _x000a_"/>
    <x v="84"/>
    <s v="ILC-0840-25-8159"/>
    <x v="0"/>
    <n v="250"/>
    <n v="0"/>
    <x v="2"/>
    <s v="Received"/>
    <s v="AL FALWA CO. LTD. FOR READYMIX CONCRETE"/>
    <x v="0"/>
    <x v="10"/>
    <x v="13"/>
    <n v="12"/>
    <n v="2025"/>
    <m/>
  </r>
  <r>
    <x v="5"/>
    <x v="52"/>
    <x v="9"/>
    <s v="Value Added Tax                                                       _x000a_On ILC Acceptance Comm.                                               _x000a_15% of SAR250.00                                                      _x000a_Through CORPORATE BANKING DEPT-JEDDAH                                 _x000a_Date 20-06-1447(H) Time 12.26.55                                      _x000a_Reference ILC-0840-25-8159                                            _x000a_At Bank Aljazira                                                      _x000a_"/>
    <x v="84"/>
    <s v="ILC-0840-25-8159"/>
    <x v="0"/>
    <n v="37.5"/>
    <n v="0"/>
    <x v="1"/>
    <s v="Received"/>
    <s v="AL FALWA CO. LTD. FOR READYMIX CONCRETE"/>
    <x v="0"/>
    <x v="10"/>
    <x v="13"/>
    <n v="12"/>
    <n v="2025"/>
    <m/>
  </r>
  <r>
    <x v="5"/>
    <x v="52"/>
    <x v="9"/>
    <s v="Dr TI ILC Comm/Other Charges                                          _x000a_POC006-281855627                                                      _x000a_At Bank Aljazira                                                      _x000a_ CORPORATE BANKING DEPT-JEDDAH                                        _x000a_Date 20-06-1447(H) Time 12.26.56                                      _x000a_Reference ILC-0840-25-8159                                            _x000a_Value Date 20-06-1447(H)                                              _x000a_Fee Collected By Bank AlJazira                                        _x000a_"/>
    <x v="84"/>
    <s v="ILC-0840-25-8159"/>
    <x v="0"/>
    <n v="200"/>
    <n v="0"/>
    <x v="2"/>
    <s v="Received"/>
    <s v="AL FALWA CO. LTD. FOR READYMIX CONCRETE"/>
    <x v="0"/>
    <x v="10"/>
    <x v="13"/>
    <n v="12"/>
    <n v="2025"/>
    <m/>
  </r>
  <r>
    <x v="5"/>
    <x v="52"/>
    <x v="9"/>
    <s v="Value Added Tax                                                       _x000a_On SWIFT charges                                                      _x000a_15% of SAR200.00                                                      _x000a_Through CORPORATE BANKING DEPT-JEDDAH                                 _x000a_Date 20-06-1447(H) Time 12.26.56                                      _x000a_Reference ILC-0840-25-8159                                            _x000a_At Bank Aljazira                                                      _x000a_"/>
    <x v="84"/>
    <s v="ILC-0840-25-8159"/>
    <x v="0"/>
    <n v="30"/>
    <n v="0"/>
    <x v="1"/>
    <s v="Received"/>
    <s v="AL FALWA CO. LTD. FOR READYMIX CONCRETE"/>
    <x v="0"/>
    <x v="10"/>
    <x v="13"/>
    <n v="12"/>
    <n v="2025"/>
    <m/>
  </r>
  <r>
    <x v="5"/>
    <x v="52"/>
    <x v="9"/>
    <s v="Dr TI ILC Comm/Other Charges                                          _x000a_POC001-281857973                                                      _x000a_At Bank Aljazira                                                      _x000a_ CORPORATE BANKING DEPT-JEDDAH                                        _x000a_Date 20-06-1447(H) Time 12.27.38                                      _x000a_Reference ILC-0840-25-8471                                            _x000a_Value Date 20-06-1447(H)                                              _x000a_Fee Collected By Bank AlJazira                                        _x000a_"/>
    <x v="144"/>
    <s v=""/>
    <x v="0"/>
    <n v="100"/>
    <n v="0"/>
    <x v="2"/>
    <s v="Received"/>
    <s v="ALFANAR ELECTRICAL SYSTEMS"/>
    <x v="3"/>
    <x v="10"/>
    <x v="13"/>
    <n v="12"/>
    <n v="2025"/>
    <m/>
  </r>
  <r>
    <x v="5"/>
    <x v="52"/>
    <x v="9"/>
    <s v="Value Added Tax                                                       _x000a_On ILC Acceptance Comm.                                               _x000a_15% of SAR100.00                                                      _x000a_Through CORPORATE BANKING DEPT-JEDDAH                                 _x000a_Date 20-06-1447(H) Time 12.27.38                                      _x000a_Reference ILC-0840-25-8471                                            _x000a_At Bank Aljazira                                                      _x000a_"/>
    <x v="144"/>
    <s v=""/>
    <x v="0"/>
    <n v="15"/>
    <n v="0"/>
    <x v="1"/>
    <s v="Received"/>
    <s v="ALFANAR ELECTRICAL SYSTEMS"/>
    <x v="3"/>
    <x v="10"/>
    <x v="13"/>
    <n v="12"/>
    <n v="2025"/>
    <m/>
  </r>
  <r>
    <x v="5"/>
    <x v="52"/>
    <x v="9"/>
    <s v="Dr TI ILC Comm/Other Charges                                          _x000a_POC001-281858163                                                      _x000a_At Bank Aljazira                                                      _x000a_ CORPORATE BANKING DEPT-JEDDAH                                        _x000a_Date 20-06-1447(H) Time 12.27.38                                      _x000a_Reference ILC-0840-25-8471                                            _x000a_Value Date 20-06-1447(H)                                              _x000a_Fee Collected By Bank AlJazira                                        _x000a_"/>
    <x v="144"/>
    <s v=""/>
    <x v="0"/>
    <n v="2500"/>
    <n v="0"/>
    <x v="2"/>
    <s v="Received"/>
    <s v="ALFANAR ELECTRICAL SYSTEMS"/>
    <x v="3"/>
    <x v="10"/>
    <x v="13"/>
    <n v="12"/>
    <n v="2025"/>
    <m/>
  </r>
  <r>
    <x v="5"/>
    <x v="52"/>
    <x v="9"/>
    <s v="Value Added Tax                                                       _x000a_On ILC Acceptance Comm.                                               _x000a_15% of SAR2,500.00                                                    _x000a_Through CORPORATE BANKING DEPT-JEDDAH                                 _x000a_Date 20-06-1447(H) Time 12.27.38                                      _x000a_Reference ILC-0840-25-8471                                            _x000a_At Bank Aljazira                                                      _x000a_"/>
    <x v="144"/>
    <s v=""/>
    <x v="0"/>
    <n v="375"/>
    <n v="0"/>
    <x v="1"/>
    <s v="Received"/>
    <s v="ALFANAR ELECTRICAL SYSTEMS"/>
    <x v="3"/>
    <x v="10"/>
    <x v="13"/>
    <n v="12"/>
    <n v="2025"/>
    <m/>
  </r>
  <r>
    <x v="5"/>
    <x v="52"/>
    <x v="9"/>
    <s v="Dr TI ILC Comm/Other Charges                                          _x000a_POC001-281858165                                                      _x000a_At Bank Aljazira                                                      _x000a_ CORPORATE BANKING DEPT-JEDDAH                                        _x000a_Date 20-06-1447(H) Time 12.27.39                                      _x000a_Reference ILC-0840-25-8471                                            _x000a_Value Date 20-06-1447(H)                                              _x000a_Fee Collected By Bank AlJazira                                        _x000a_"/>
    <x v="144"/>
    <s v=""/>
    <x v="0"/>
    <n v="200"/>
    <n v="0"/>
    <x v="2"/>
    <s v="Received"/>
    <s v="ALFANAR ELECTRICAL SYSTEMS"/>
    <x v="3"/>
    <x v="10"/>
    <x v="13"/>
    <n v="12"/>
    <n v="2025"/>
    <m/>
  </r>
  <r>
    <x v="5"/>
    <x v="52"/>
    <x v="9"/>
    <s v="Value Added Tax                                                       _x000a_On SWIFT charges                                                      _x000a_15% of SAR200.00                                                      _x000a_Through CORPORATE BANKING DEPT-JEDDAH                                 _x000a_Date 20-06-1447(H) Time 12.27.39                                      _x000a_Reference ILC-0840-25-8471                                            _x000a_At Bank Aljazira                                                      _x000a_"/>
    <x v="144"/>
    <s v=""/>
    <x v="0"/>
    <n v="30"/>
    <n v="0"/>
    <x v="1"/>
    <s v="Received"/>
    <s v="ALFANAR ELECTRICAL SYSTEMS"/>
    <x v="3"/>
    <x v="10"/>
    <x v="13"/>
    <n v="12"/>
    <n v="2025"/>
    <m/>
  </r>
  <r>
    <x v="0"/>
    <x v="53"/>
    <x v="0"/>
    <s v="REF 000000JLC6901492,RB REF JLC6901492,VIA CORE SYSTEM,DATE-TIME 14/12-16:34:54, عن طريق النظام الآ لي ,VALUE DT 14/12/25"/>
    <x v="12"/>
    <s v=""/>
    <x v="0"/>
    <n v="48079.06"/>
    <n v="0"/>
    <x v="2"/>
    <s v="Received"/>
    <s v="Jiangsu Donchamp New Materials Technology Co.Ltd."/>
    <x v="0"/>
    <x v="3"/>
    <x v="3"/>
    <n v="12"/>
    <n v="2025"/>
    <m/>
  </r>
  <r>
    <x v="0"/>
    <x v="53"/>
    <x v="0"/>
    <s v="RB REF JLG6902202,VIA CORE SYSTEM,DATE-TIME 14/12-11:00:02, عن طريق النظام الآ لي ,VALUE DT 14/12/25"/>
    <x v="154"/>
    <s v=""/>
    <x v="0"/>
    <n v="460"/>
    <n v="0"/>
    <x v="17"/>
    <s v="Received"/>
    <e v="#N/A"/>
    <x v="7"/>
    <x v="12"/>
    <x v="19"/>
    <n v="12"/>
    <n v="2025"/>
    <m/>
  </r>
  <r>
    <x v="0"/>
    <x v="53"/>
    <x v="0"/>
    <s v="RB REF JLG6903583,VIA CORE SYSTEM,DATE-TIME 14/12-13:46:09, عن طريق النظام الآ لي ,VALUE DT 14/12/25"/>
    <x v="314"/>
    <s v=""/>
    <x v="0"/>
    <n v="18340.2"/>
    <n v="0"/>
    <x v="17"/>
    <s v="Received"/>
    <s v="Bid - ROYAL COMMISSION FOR RIYADH CITY (RCRC)"/>
    <x v="1"/>
    <x v="10"/>
    <x v="26"/>
    <n v="12"/>
    <n v="2025"/>
    <m/>
  </r>
  <r>
    <x v="2"/>
    <x v="53"/>
    <x v="4"/>
    <s v="CITY:Jeddah 6132225J210944001"/>
    <x v="266"/>
    <s v="J210944001"/>
    <x v="0"/>
    <n v="-1456.51"/>
    <n v="0"/>
    <x v="5"/>
    <s v="Received"/>
    <s v="Mohammed A. Al-Awani Trading"/>
    <x v="0"/>
    <x v="7"/>
    <x v="8"/>
    <n v="12"/>
    <n v="2025"/>
    <m/>
  </r>
  <r>
    <x v="3"/>
    <x v="53"/>
    <x v="5"/>
    <s v="IMP BILL AMEND. CHARGES DPBEPM627759WPM DCBWPM563040"/>
    <x v="56"/>
    <s v="DPBEPM627759WPM"/>
    <x v="0"/>
    <n v="-1754.74"/>
    <n v="0"/>
    <x v="2"/>
    <s v="Received"/>
    <s v="Mab United For Trading &amp; Contracting Co"/>
    <x v="3"/>
    <x v="8"/>
    <x v="9"/>
    <n v="12"/>
    <n v="2025"/>
    <m/>
  </r>
  <r>
    <x v="3"/>
    <x v="53"/>
    <x v="5"/>
    <s v="IMP BILL AMEND. CHARGES DPBEPM628104WPM DCBWPM563027"/>
    <x v="160"/>
    <s v="DPBEPM628104WPM"/>
    <x v="0"/>
    <n v="-708.07"/>
    <n v="0"/>
    <x v="2"/>
    <s v="Received"/>
    <s v="JAD AL RIYADH Trading Co. Ltd"/>
    <x v="3"/>
    <x v="8"/>
    <x v="9"/>
    <n v="12"/>
    <n v="2025"/>
    <m/>
  </r>
  <r>
    <x v="3"/>
    <x v="53"/>
    <x v="6"/>
    <s v="IMP BILL COMM DPBEPM628463WPM DCBWPM565832"/>
    <x v="315"/>
    <s v="DPBEPM628463WPM"/>
    <x v="0"/>
    <n v="-17250"/>
    <n v="0"/>
    <x v="2"/>
    <s v="Received"/>
    <s v="Power Center Company for Industries LLC"/>
    <x v="3"/>
    <x v="9"/>
    <x v="10"/>
    <n v="12"/>
    <n v="2025"/>
    <m/>
  </r>
  <r>
    <x v="3"/>
    <x v="53"/>
    <x v="6"/>
    <s v="IMP BILL AMEND. CHARGES DPBCOR628144WPM DCBWPM567556"/>
    <x v="102"/>
    <s v="DPBCOR628144WPM"/>
    <x v="0"/>
    <n v="-575"/>
    <n v="0"/>
    <x v="2"/>
    <s v="Received"/>
    <s v="Building System Intelligent Est."/>
    <x v="3"/>
    <x v="9"/>
    <x v="10"/>
    <n v="12"/>
    <n v="2025"/>
    <m/>
  </r>
  <r>
    <x v="1"/>
    <x v="54"/>
    <x v="3"/>
    <s v="CUSTOMER = 3972500 DEAL AMT = 75 DEAL CCY = SAR TAX CODE = 1 "/>
    <x v="30"/>
    <s v="TF251350003902"/>
    <x v="0"/>
    <n v="-11.25"/>
    <n v="0"/>
    <x v="1"/>
    <s v="Received"/>
    <s v="IDEAL CALIBER COMPANY"/>
    <x v="3"/>
    <x v="5"/>
    <x v="6"/>
    <n v="12"/>
    <n v="2025"/>
    <m/>
  </r>
  <r>
    <x v="1"/>
    <x v="54"/>
    <x v="3"/>
    <s v="LC SWIFT CHARGES FOR LC NO. TF251350003902\BNK"/>
    <x v="30"/>
    <s v="TF251350003902"/>
    <x v="0"/>
    <n v="-75"/>
    <n v="0"/>
    <x v="3"/>
    <s v="Received"/>
    <s v="IDEAL CALIBER COMPANY"/>
    <x v="3"/>
    <x v="5"/>
    <x v="6"/>
    <n v="12"/>
    <n v="2025"/>
    <m/>
  </r>
  <r>
    <x v="1"/>
    <x v="54"/>
    <x v="3"/>
    <s v="REIMBURSE UNDER LCS DR FOR LC NO. TF251350003902\BNK"/>
    <x v="30"/>
    <s v="TF251350003902"/>
    <x v="0"/>
    <n v="-124411.18"/>
    <n v="0"/>
    <x v="4"/>
    <s v="Received"/>
    <s v="IDEAL CALIBER COMPANY"/>
    <x v="3"/>
    <x v="5"/>
    <x v="6"/>
    <n v="12"/>
    <n v="2025"/>
    <m/>
  </r>
  <r>
    <x v="0"/>
    <x v="54"/>
    <x v="14"/>
    <s v="RB REF JLG6902732,VIA CORE SYSTEM,DATE-TIME 15/12-13:25:24, عن طريق النظام الآ لي ,VALUE DT 15/12/25"/>
    <x v="316"/>
    <s v=""/>
    <x v="0"/>
    <n v="125792.75"/>
    <n v="0"/>
    <x v="17"/>
    <s v="Received"/>
    <s v="Bid - ROYAL COMMISSION (RCRC)"/>
    <x v="1"/>
    <x v="2"/>
    <x v="2"/>
    <n v="12"/>
    <n v="2025"/>
    <m/>
  </r>
  <r>
    <x v="0"/>
    <x v="54"/>
    <x v="14"/>
    <s v="RB REF JLG6901738,VIA CORE SYSTEM,DATE-TIME 15/12-13:25:34, عن طريق النظام الآ لي ,VALUE DT 15/12/25"/>
    <x v="317"/>
    <s v=""/>
    <x v="0"/>
    <n v="17261.5"/>
    <n v="0"/>
    <x v="17"/>
    <s v="Received"/>
    <s v="Bid - ROYAL COMMISSION OF RIYADH CITY"/>
    <x v="1"/>
    <x v="2"/>
    <x v="2"/>
    <n v="12"/>
    <n v="2025"/>
    <m/>
  </r>
  <r>
    <x v="0"/>
    <x v="54"/>
    <x v="1"/>
    <s v="RB REF JLG6602654,VIA CORE SYSTEM,DATE-TIME 15/12-15:28:14, عن طريق النظام الآ لي ,VALUE DT 15/12/25"/>
    <x v="224"/>
    <s v=""/>
    <x v="0"/>
    <n v="168203.6"/>
    <n v="0"/>
    <x v="17"/>
    <s v="Received"/>
    <s v="Performance - JEDDAH CENTRAL DEVELOPMENT COMPANY"/>
    <x v="1"/>
    <x v="13"/>
    <x v="22"/>
    <n v="12"/>
    <n v="2025"/>
    <m/>
  </r>
  <r>
    <x v="0"/>
    <x v="54"/>
    <x v="1"/>
    <s v="RB REF JLG6800803,VIA CORE SYSTEM,DATE-TIME 15/12-13:28:28, عن طريق النظام الآ لي ,VALUE DT 15/12/25"/>
    <x v="191"/>
    <s v=""/>
    <x v="0"/>
    <n v="25083.8"/>
    <n v="0"/>
    <x v="17"/>
    <s v="Received"/>
    <s v="Advance - JEDDAH CENTRAL DEVELOPMENT COMPANY (JCD) "/>
    <x v="1"/>
    <x v="13"/>
    <x v="20"/>
    <n v="12"/>
    <n v="2025"/>
    <m/>
  </r>
  <r>
    <x v="0"/>
    <x v="54"/>
    <x v="0"/>
    <s v="RB REF JLG6601246,VIA CORE SYSTEM,DATE-TIME 15/12-15:27:59, عن طريق النظام الآ لي ,VALUE DT 15/12/25"/>
    <x v="223"/>
    <s v=""/>
    <x v="0"/>
    <n v="21979.95"/>
    <n v="0"/>
    <x v="17"/>
    <s v="Received"/>
    <s v="Advance - JEDDAH CENTRAL DEVELOPMENT COMPANY (JCD) "/>
    <x v="1"/>
    <x v="13"/>
    <x v="22"/>
    <n v="12"/>
    <n v="2025"/>
    <m/>
  </r>
  <r>
    <x v="3"/>
    <x v="54"/>
    <x v="5"/>
    <s v="DPBCOR622346WPM DCBWPM562600"/>
    <x v="318"/>
    <s v="DPBCOR622346WPM"/>
    <x v="0"/>
    <n v="-300000"/>
    <n v="0"/>
    <x v="4"/>
    <s v="Received"/>
    <s v="OPTIMAL ENGINEERING SOLUTIONS"/>
    <x v="3"/>
    <x v="9"/>
    <x v="10"/>
    <n v="12"/>
    <n v="2025"/>
    <m/>
  </r>
  <r>
    <x v="4"/>
    <x v="54"/>
    <x v="8"/>
    <s v="TRADE FINANCE PAYMENT"/>
    <x v="66"/>
    <s v="TF251273300803"/>
    <x v="0"/>
    <n v="-65902.81"/>
    <n v="0"/>
    <x v="4"/>
    <s v="Received"/>
    <s v="KENZ SARAB MACHINERY AND EQUIPMENT COMPANY"/>
    <x v="3"/>
    <x v="6"/>
    <x v="7"/>
    <n v="12"/>
    <n v="2025"/>
    <m/>
  </r>
  <r>
    <x v="0"/>
    <x v="55"/>
    <x v="0"/>
    <s v="REF 000000JLC6901431,RB REF JLC6901431,VIA CORE SYSTEM,DATE-TIME 16/12-13:04:04, عن طريق النظام الآ لي ,VALUE DT 16/12/25"/>
    <x v="95"/>
    <s v=""/>
    <x v="0"/>
    <n v="3890.78"/>
    <n v="0"/>
    <x v="2"/>
    <s v="Received"/>
    <s v="Mat Filtrasyon Teknolojeleri A.S"/>
    <x v="0"/>
    <x v="3"/>
    <x v="3"/>
    <n v="12"/>
    <n v="2025"/>
    <m/>
  </r>
  <r>
    <x v="0"/>
    <x v="55"/>
    <x v="0"/>
    <s v="REF 000000JLC6901431,RB REF JLC6901431,VIA CORE SYSTEM,DATE-TIME 16/12-13:05:03, عن طريق النظام الآ لي ,VALUE DT 16/12/25"/>
    <x v="95"/>
    <s v=""/>
    <x v="0"/>
    <n v="9900.2800000000007"/>
    <n v="0"/>
    <x v="2"/>
    <s v="Received"/>
    <s v="Mat Filtrasyon Teknolojeleri A.S"/>
    <x v="0"/>
    <x v="3"/>
    <x v="3"/>
    <n v="12"/>
    <n v="2025"/>
    <m/>
  </r>
  <r>
    <x v="2"/>
    <x v="55"/>
    <x v="4"/>
    <s v="CITY:Jeddah 6132225J210611003"/>
    <x v="134"/>
    <s v="J210611003"/>
    <x v="0"/>
    <n v="-615.25"/>
    <n v="0"/>
    <x v="2"/>
    <s v="Received"/>
    <s v="ALFANAR ELECTRICAL SYSTEMS"/>
    <x v="3"/>
    <x v="5"/>
    <x v="6"/>
    <n v="12"/>
    <n v="2025"/>
    <m/>
  </r>
  <r>
    <x v="3"/>
    <x v="55"/>
    <x v="5"/>
    <s v="DPBEPM619433WPM DCBWPM563228"/>
    <x v="319"/>
    <s v="DPBEPM619433WPM"/>
    <x v="0"/>
    <n v="-4782000"/>
    <n v="0"/>
    <x v="4"/>
    <s v="Received"/>
    <s v="National Fire Fighting Manufacturing"/>
    <x v="3"/>
    <x v="8"/>
    <x v="9"/>
    <n v="12"/>
    <n v="2025"/>
    <m/>
  </r>
  <r>
    <x v="3"/>
    <x v="55"/>
    <x v="6"/>
    <s v="IMP BILL AMEND. CHARGES DPBCOR628476WPM DCBWPM565824"/>
    <x v="320"/>
    <s v="DPBCOR628476WPM"/>
    <x v="0"/>
    <n v="-4653.6000000000004"/>
    <n v="0"/>
    <x v="2"/>
    <s v="Received"/>
    <s v="DAIKIN AIR CONDITIONING SAUDI ARABIA LLC "/>
    <x v="3"/>
    <x v="9"/>
    <x v="10"/>
    <n v="12"/>
    <n v="2025"/>
    <m/>
  </r>
  <r>
    <x v="3"/>
    <x v="55"/>
    <x v="6"/>
    <s v="DC AMENDMENT COMM CHARGES DCBWPM563695"/>
    <x v="195"/>
    <s v="DCBWPM563695"/>
    <x v="0"/>
    <n v="-1264.69"/>
    <n v="0"/>
    <x v="2"/>
    <s v="Technical Issue"/>
    <s v="GIBCA Furniture Industry Co Ltd"/>
    <x v="0"/>
    <x v="1"/>
    <x v="11"/>
    <n v="12"/>
    <n v="2025"/>
    <s v="Technnical Issue With SAB"/>
  </r>
  <r>
    <x v="3"/>
    <x v="55"/>
    <x v="6"/>
    <s v="DPBEPM624627WPM DCBWPM562620"/>
    <x v="138"/>
    <s v="DPBEPM624627WPM"/>
    <x v="0"/>
    <n v="-283333.74"/>
    <n v="0"/>
    <x v="4"/>
    <s v="Received"/>
    <s v="JOHNSON CONTROLS ARABIA LTD."/>
    <x v="3"/>
    <x v="9"/>
    <x v="27"/>
    <n v="12"/>
    <n v="2025"/>
    <m/>
  </r>
  <r>
    <x v="3"/>
    <x v="55"/>
    <x v="5"/>
    <s v="DPBCOR620578WPM DCBWPM563019"/>
    <x v="321"/>
    <s v="DPBCOR620578WPM"/>
    <x v="0"/>
    <n v="-621000"/>
    <n v="0"/>
    <x v="4"/>
    <s v="Received"/>
    <s v="Alkhorayef Commercial co."/>
    <x v="3"/>
    <x v="8"/>
    <x v="27"/>
    <n v="12"/>
    <n v="2025"/>
    <m/>
  </r>
  <r>
    <x v="3"/>
    <x v="55"/>
    <x v="6"/>
    <s v="IMP BILL AMEND. CHARGES DPBCOR628519WPM DCBWPM555615"/>
    <x v="322"/>
    <s v="DPBCOR628519WPM"/>
    <x v="0"/>
    <n v="-1114.79"/>
    <n v="0"/>
    <x v="2"/>
    <s v="Received"/>
    <s v="DAIKIN AIR CONDITIONING SAUDI ARABIA"/>
    <x v="3"/>
    <x v="9"/>
    <x v="27"/>
    <n v="12"/>
    <n v="2025"/>
    <m/>
  </r>
  <r>
    <x v="5"/>
    <x v="55"/>
    <x v="9"/>
    <s v="TI Bill Settled                                                       _x000a_POC009                                                                _x000a_At Bank AlJazira                                                      _x000a_CORPORATE BANKING DEPT-JEDDAH                                         _x000a_Date 25-06-1447(H) Time 09.31.57                                      _x000a_Reference ILC-0840-25-7352                                            _x000a_"/>
    <x v="75"/>
    <s v=""/>
    <x v="0"/>
    <n v="565800"/>
    <n v="0"/>
    <x v="4"/>
    <s v="Received"/>
    <s v="ALFANAR ELECTRICAL SYSTEMS"/>
    <x v="3"/>
    <x v="10"/>
    <x v="27"/>
    <n v="12"/>
    <n v="2025"/>
    <m/>
  </r>
  <r>
    <x v="4"/>
    <x v="55"/>
    <x v="8"/>
    <s v="IM2512733008-03      "/>
    <x v="66"/>
    <s v="TF251273300803"/>
    <x v="0"/>
    <m/>
    <n v="65902.81"/>
    <x v="4"/>
    <s v="Received"/>
    <s v="KENZ SARAB MACHINERY AND EQUIPMENT COMPANY"/>
    <x v="3"/>
    <x v="6"/>
    <x v="27"/>
    <n v="12"/>
    <n v="2025"/>
    <m/>
  </r>
  <r>
    <x v="0"/>
    <x v="56"/>
    <x v="0"/>
    <s v="REF 000000JLC6901492,RB REF JLC6901492,VIA CORE SYSTEM,DATE-TIME 17/12-10:56:13, عن طريق النظام الآ لي ,VALUE DT 17/12/25"/>
    <x v="12"/>
    <s v=""/>
    <x v="0"/>
    <n v="1653.77"/>
    <n v="0"/>
    <x v="2"/>
    <s v="Received"/>
    <s v="Jiangsu Donchamp New Materials Technology Co.Ltd."/>
    <x v="0"/>
    <x v="3"/>
    <x v="27"/>
    <n v="12"/>
    <n v="2025"/>
    <m/>
  </r>
  <r>
    <x v="3"/>
    <x v="56"/>
    <x v="5"/>
    <s v="DPBCOR622284WPM DCBWPM563935"/>
    <x v="323"/>
    <s v="DPBCOR622284WPM"/>
    <x v="0"/>
    <n v="-700000"/>
    <n v="0"/>
    <x v="4"/>
    <s v="Received"/>
    <s v="MASQ FOR ELECTRICAL TOOLS CO"/>
    <x v="3"/>
    <x v="9"/>
    <x v="27"/>
    <n v="12"/>
    <n v="2025"/>
    <m/>
  </r>
  <r>
    <x v="3"/>
    <x v="56"/>
    <x v="5"/>
    <s v="DPBCOR623965WPM DCBWPM563936"/>
    <x v="114"/>
    <s v="DPBCOR623965WPM"/>
    <x v="0"/>
    <n v="-200000"/>
    <n v="0"/>
    <x v="4"/>
    <s v="Received"/>
    <s v="Masdar Technical Supplies Co."/>
    <x v="3"/>
    <x v="9"/>
    <x v="27"/>
    <n v="12"/>
    <n v="2025"/>
    <m/>
  </r>
  <r>
    <x v="3"/>
    <x v="56"/>
    <x v="5"/>
    <s v="DPBEPM621951WPM DCBWPM564585"/>
    <x v="324"/>
    <s v="DPBEPM621951WPM"/>
    <x v="0"/>
    <n v="-809915"/>
    <n v="0"/>
    <x v="4"/>
    <s v="Received"/>
    <s v="Electric House Trading Company L.L.C."/>
    <x v="4"/>
    <x v="1"/>
    <x v="27"/>
    <n v="12"/>
    <n v="2025"/>
    <m/>
  </r>
  <r>
    <x v="5"/>
    <x v="56"/>
    <x v="9"/>
    <s v="Dr TI ILC Comm/Other Charges                                          _x000a_POC001-282623341                                                      _x000a_At Bank Aljazira                                                      _x000a_ CORPORATE BANKING DEPT-JEDDAH                                        _x000a_Date 26-06-1447(H) Time 16.06.57                                      _x000a_Reference ILC-0840-25-8160                                            _x000a_Value Date 26-06-1447(H)                                              _x000a_Fee Collected By Bank AlJazira                                        _x000a_"/>
    <x v="311"/>
    <s v=""/>
    <x v="0"/>
    <n v="100"/>
    <n v="0"/>
    <x v="2"/>
    <s v="Received"/>
    <s v="United Park Co."/>
    <x v="3"/>
    <x v="10"/>
    <x v="27"/>
    <n v="12"/>
    <n v="2025"/>
    <m/>
  </r>
  <r>
    <x v="5"/>
    <x v="56"/>
    <x v="9"/>
    <s v="Value Added Tax                                                       _x000a_On ILC Acceptance Comm.                                               _x000a_15% of SAR100.00                                                      _x000a_Through CORPORATE BANKING DEPT-JEDDAH                                 _x000a_Date 26-06-1447(H) Time 16.06.57                                      _x000a_Reference ILC-0840-25-8160                                            _x000a_At Bank Aljazira                                                      _x000a_"/>
    <x v="311"/>
    <s v=""/>
    <x v="0"/>
    <n v="15"/>
    <n v="0"/>
    <x v="1"/>
    <s v="Received"/>
    <s v="United Park Co."/>
    <x v="3"/>
    <x v="10"/>
    <x v="27"/>
    <n v="12"/>
    <n v="2025"/>
    <m/>
  </r>
  <r>
    <x v="5"/>
    <x v="56"/>
    <x v="9"/>
    <s v="Dr TI ILC Comm/Other Charges                                          _x000a_POC001-282623743                                                      _x000a_At Bank Aljazira                                                      _x000a_ CORPORATE BANKING DEPT-JEDDAH                                        _x000a_Date 26-06-1447(H) Time 16.06.57                                      _x000a_Reference ILC-0840-25-8160                                            _x000a_Value Date 26-06-1447(H)                                              _x000a_Fee Collected By Bank AlJazira                                        _x000a_"/>
    <x v="311"/>
    <s v=""/>
    <x v="0"/>
    <n v="314"/>
    <n v="0"/>
    <x v="2"/>
    <s v="Received"/>
    <s v="United Park Co."/>
    <x v="3"/>
    <x v="10"/>
    <x v="27"/>
    <n v="12"/>
    <n v="2025"/>
    <m/>
  </r>
  <r>
    <x v="5"/>
    <x v="56"/>
    <x v="9"/>
    <s v="Value Added Tax                                                       _x000a_On ILC Acceptance Comm.                                               _x000a_15% of SAR314.00                                                      _x000a_Through CORPORATE BANKING DEPT-JEDDAH                                 _x000a_Date 26-06-1447(H) Time 16.06.57                                      _x000a_Reference ILC-0840-25-8160                                            _x000a_At Bank Aljazira                                                      _x000a_"/>
    <x v="311"/>
    <s v=""/>
    <x v="0"/>
    <n v="47.1"/>
    <n v="0"/>
    <x v="1"/>
    <s v="Received"/>
    <s v="United Park Co."/>
    <x v="3"/>
    <x v="10"/>
    <x v="27"/>
    <n v="12"/>
    <n v="2025"/>
    <m/>
  </r>
  <r>
    <x v="5"/>
    <x v="56"/>
    <x v="9"/>
    <s v="Dr TI ILC Comm/Other Charges                                          _x000a_POC001-282623745                                                      _x000a_At Bank Aljazira                                                      _x000a_ CORPORATE BANKING DEPT-JEDDAH                                        _x000a_Date 26-06-1447(H) Time 16.06.58                                      _x000a_Reference ILC-0840-25-8160                                            _x000a_Value Date 26-06-1447(H)                                              _x000a_Fee Collected By Bank AlJazira                                        _x000a_"/>
    <x v="311"/>
    <s v=""/>
    <x v="0"/>
    <n v="200"/>
    <n v="0"/>
    <x v="2"/>
    <s v="Received"/>
    <s v="United Park Co."/>
    <x v="3"/>
    <x v="10"/>
    <x v="27"/>
    <n v="12"/>
    <n v="2025"/>
    <m/>
  </r>
  <r>
    <x v="5"/>
    <x v="56"/>
    <x v="9"/>
    <s v="Value Added Tax                                                       _x000a_On SWIFT charges                                                      _x000a_15% of SAR200.00                                                      _x000a_Through CORPORATE BANKING DEPT-JEDDAH                                 _x000a_Date 26-06-1447(H) Time 16.06.58                                      _x000a_Reference ILC-0840-25-8160                                            _x000a_At Bank Aljazira                                                      _x000a_"/>
    <x v="311"/>
    <s v=""/>
    <x v="0"/>
    <n v="30"/>
    <n v="0"/>
    <x v="1"/>
    <s v="Received"/>
    <s v="United Park Co."/>
    <x v="3"/>
    <x v="10"/>
    <x v="27"/>
    <n v="12"/>
    <n v="2025"/>
    <m/>
  </r>
  <r>
    <x v="1"/>
    <x v="57"/>
    <x v="3"/>
    <s v="CUSTOMER = 3972500 DEAL AMT = 38000.00 DEAL CCY = SAR TAX CODE = 1 "/>
    <x v="325"/>
    <s v="TF2534800029"/>
    <x v="0"/>
    <n v="-105"/>
    <n v="0"/>
    <x v="1"/>
    <s v="Received"/>
    <s v="Depa Saudi Arabia for Contracting and Interior Decorating Co. Ltd."/>
    <x v="0"/>
    <x v="5"/>
    <x v="27"/>
    <n v="12"/>
    <n v="2025"/>
    <m/>
  </r>
  <r>
    <x v="1"/>
    <x v="57"/>
    <x v="3"/>
    <s v="LC SWIFT CHARGES FOR LC NO. TF2534800029\BNK"/>
    <x v="325"/>
    <s v="TF2534800029"/>
    <x v="0"/>
    <n v="-700"/>
    <n v="0"/>
    <x v="3"/>
    <s v="Received"/>
    <s v="Depa Saudi Arabia for Contracting and Interior Decorating Co. Ltd."/>
    <x v="0"/>
    <x v="5"/>
    <x v="27"/>
    <n v="12"/>
    <n v="2025"/>
    <m/>
  </r>
  <r>
    <x v="1"/>
    <x v="57"/>
    <x v="3"/>
    <s v="CUSTOMER = 3972500 DEAL AMT = 38000.00 DEAL CCY = SAR TAX CODE = 1 "/>
    <x v="325"/>
    <s v="TF2534800029"/>
    <x v="0"/>
    <n v="-5700"/>
    <n v="0"/>
    <x v="1"/>
    <s v="Received"/>
    <s v="Depa Saudi Arabia for Contracting and Interior Decorating Co. Ltd."/>
    <x v="0"/>
    <x v="5"/>
    <x v="27"/>
    <n v="12"/>
    <n v="2025"/>
    <m/>
  </r>
  <r>
    <x v="1"/>
    <x v="57"/>
    <x v="3"/>
    <s v="LC OPENING COMMISSION - DEBIT FOR LC NO. TF2534800029\BNK"/>
    <x v="325"/>
    <s v="TF2534800029"/>
    <x v="0"/>
    <n v="-38000"/>
    <n v="0"/>
    <x v="8"/>
    <s v="Received"/>
    <s v="Depa Saudi Arabia for Contracting and Interior Decorating Co. Ltd."/>
    <x v="0"/>
    <x v="5"/>
    <x v="27"/>
    <n v="12"/>
    <n v="2025"/>
    <m/>
  </r>
  <r>
    <x v="1"/>
    <x v="57"/>
    <x v="3"/>
    <s v="CUSTOMER = 3972500 DEAL AMT = 2062.49 DEAL CCY = SAR TAX CODE = 1 "/>
    <x v="326"/>
    <s v="TF2535200018"/>
    <x v="0"/>
    <n v="-105"/>
    <n v="0"/>
    <x v="1"/>
    <s v="Received"/>
    <s v="Mahmoud Al Tahini and Partners Company"/>
    <x v="12"/>
    <x v="5"/>
    <x v="27"/>
    <n v="12"/>
    <n v="2025"/>
    <m/>
  </r>
  <r>
    <x v="1"/>
    <x v="57"/>
    <x v="3"/>
    <s v="CUSTOMER = 3972500 DEAL AMT = 2062.49 DEAL CCY = SAR TAX CODE = 1 "/>
    <x v="326"/>
    <s v="TF2535200018"/>
    <x v="0"/>
    <n v="-309.37"/>
    <n v="0"/>
    <x v="1"/>
    <s v="Received"/>
    <s v="Mahmoud Al Tahini and Partners Company"/>
    <x v="12"/>
    <x v="5"/>
    <x v="27"/>
    <n v="12"/>
    <n v="2025"/>
    <m/>
  </r>
  <r>
    <x v="1"/>
    <x v="57"/>
    <x v="3"/>
    <s v="LC SWIFT CHARGES FOR LC NO. TF2535200018\BNK"/>
    <x v="326"/>
    <s v="TF2535200018"/>
    <x v="0"/>
    <n v="-700"/>
    <n v="0"/>
    <x v="3"/>
    <s v="Received"/>
    <s v="Mahmoud Al Tahini and Partners Company"/>
    <x v="12"/>
    <x v="5"/>
    <x v="27"/>
    <n v="12"/>
    <n v="2025"/>
    <m/>
  </r>
  <r>
    <x v="1"/>
    <x v="57"/>
    <x v="3"/>
    <s v="LC OPENING COMMISSION - DEBIT FOR LC NO. TF2535200018\BNK"/>
    <x v="326"/>
    <s v="TF2535200018"/>
    <x v="0"/>
    <n v="-2062.4899999999998"/>
    <n v="0"/>
    <x v="8"/>
    <s v="Received"/>
    <s v="Mahmoud Al Tahini and Partners Company"/>
    <x v="12"/>
    <x v="5"/>
    <x v="27"/>
    <n v="12"/>
    <n v="2025"/>
    <m/>
  </r>
  <r>
    <x v="1"/>
    <x v="57"/>
    <x v="3"/>
    <s v="CUSTOMER = 3972500 DEAL AMT = 9574.00 DEAL CCY = SAR TAX CODE = 1 "/>
    <x v="327"/>
    <s v="TF2535200019"/>
    <x v="0"/>
    <n v="-105"/>
    <n v="0"/>
    <x v="1"/>
    <s v="Received"/>
    <s v="SIEMENS Limited Company"/>
    <x v="12"/>
    <x v="5"/>
    <x v="27"/>
    <n v="12"/>
    <n v="2025"/>
    <m/>
  </r>
  <r>
    <x v="1"/>
    <x v="57"/>
    <x v="3"/>
    <s v="LC SWIFT CHARGES FOR LC NO. TF2535200019\BNK"/>
    <x v="327"/>
    <s v="TF2535200019"/>
    <x v="0"/>
    <n v="-700"/>
    <n v="0"/>
    <x v="3"/>
    <s v="Received"/>
    <s v="SIEMENS Limited Company"/>
    <x v="12"/>
    <x v="5"/>
    <x v="27"/>
    <n v="12"/>
    <n v="2025"/>
    <m/>
  </r>
  <r>
    <x v="1"/>
    <x v="57"/>
    <x v="3"/>
    <s v="CUSTOMER = 3972500 DEAL AMT = 9574.00 DEAL CCY = SAR TAX CODE = 1 "/>
    <x v="327"/>
    <s v="TF2535200019"/>
    <x v="0"/>
    <n v="-1436.1"/>
    <n v="0"/>
    <x v="1"/>
    <s v="Received"/>
    <s v="SIEMENS Limited Company"/>
    <x v="12"/>
    <x v="5"/>
    <x v="27"/>
    <n v="12"/>
    <n v="2025"/>
    <m/>
  </r>
  <r>
    <x v="1"/>
    <x v="57"/>
    <x v="3"/>
    <s v="LC OPENING COMMISSION - DEBIT FOR LC NO. TF2535200019\BNK"/>
    <x v="327"/>
    <s v="TF2535200019"/>
    <x v="0"/>
    <n v="-9574"/>
    <n v="0"/>
    <x v="8"/>
    <s v="Received"/>
    <s v="SIEMENS Limited Company"/>
    <x v="12"/>
    <x v="5"/>
    <x v="27"/>
    <n v="12"/>
    <n v="2025"/>
    <m/>
  </r>
  <r>
    <x v="0"/>
    <x v="57"/>
    <x v="0"/>
    <s v="REF 000000JLC6901492,RB REF JLC6901492,VIA CORE SYSTEM,DATE-TIME 18/12-10:11:16, عن طريق النظام الآ لي ,VALUE DT 18/12/25"/>
    <x v="12"/>
    <s v=""/>
    <x v="0"/>
    <n v="16834950.23"/>
    <n v="0"/>
    <x v="4"/>
    <s v="Received"/>
    <s v="Jiangsu Donchamp New Materials Technology Co.Ltd."/>
    <x v="0"/>
    <x v="3"/>
    <x v="27"/>
    <n v="12"/>
    <n v="2025"/>
    <m/>
  </r>
  <r>
    <x v="2"/>
    <x v="57"/>
    <x v="4"/>
    <s v="CITY:Jeddah 6132225J211681000"/>
    <x v="328"/>
    <s v="J211681000"/>
    <x v="0"/>
    <n v="-4431.3999999999996"/>
    <n v="0"/>
    <x v="8"/>
    <s v="Received"/>
    <s v="APS ARABIAN CONTRACTING COMPANY"/>
    <x v="8"/>
    <x v="11"/>
    <x v="27"/>
    <n v="12"/>
    <n v="2025"/>
    <m/>
  </r>
  <r>
    <x v="3"/>
    <x v="57"/>
    <x v="5"/>
    <s v="SA SABB 262-307200-001 262-307200-001 EVOLVING CONSTELLATION CO DCBWPM563374"/>
    <x v="163"/>
    <s v="DCBWPM563374"/>
    <x v="0"/>
    <n v="-88221.07"/>
    <n v="0"/>
    <x v="21"/>
    <s v="Transfer"/>
    <s v="EVOLVING CONSTELLATION CO. FOR ENERGY"/>
    <x v="3"/>
    <x v="8"/>
    <x v="27"/>
    <n v="12"/>
    <n v="2025"/>
    <m/>
  </r>
  <r>
    <x v="3"/>
    <x v="57"/>
    <x v="6"/>
    <s v="DPBEPM624817WPM DCBWPM563374"/>
    <x v="163"/>
    <s v="DPBEPM624817WPM"/>
    <x v="0"/>
    <n v="-88221.07"/>
    <n v="0"/>
    <x v="4"/>
    <s v="Received"/>
    <s v="EVOLVING CONSTELLATION CO. FOR ENERGY"/>
    <x v="3"/>
    <x v="8"/>
    <x v="27"/>
    <n v="12"/>
    <n v="2025"/>
    <m/>
  </r>
  <r>
    <x v="3"/>
    <x v="57"/>
    <x v="6"/>
    <s v="SA SABB 262-307200-006 TFR+ EVOLVING CONSTELLATION CO DCBWPM563374"/>
    <x v="163"/>
    <s v="DCBWPM563374"/>
    <x v="0"/>
    <m/>
    <n v="88221.07"/>
    <x v="21"/>
    <s v="Transfer"/>
    <s v="EVOLVING CONSTELLATION CO. FOR ENERGY"/>
    <x v="3"/>
    <x v="8"/>
    <x v="27"/>
    <n v="12"/>
    <n v="2025"/>
    <m/>
  </r>
  <r>
    <x v="5"/>
    <x v="57"/>
    <x v="9"/>
    <s v="TI Bill Settled                                                       _x000a_POC004                                                                _x000a_At Bank AlJazira                                                      _x000a_CORPORATE BANKING DEPT-JEDDAH                                         _x000a_Date 27-06-1447(H) Time 10.11.18                                      _x000a_Reference ILC-0840-25-7570                                            _x000a_"/>
    <x v="78"/>
    <s v=""/>
    <x v="0"/>
    <n v="130844.12"/>
    <n v="0"/>
    <x v="4"/>
    <s v="Received"/>
    <s v="MOHAMMED RAMADAN SHAT FACTORY FOR METAL INDUSTRIES"/>
    <x v="3"/>
    <x v="10"/>
    <x v="27"/>
    <n v="12"/>
    <n v="2025"/>
    <m/>
  </r>
  <r>
    <x v="6"/>
    <x v="57"/>
    <x v="15"/>
    <s v="BT Commission Debit"/>
    <x v="329"/>
    <s v=""/>
    <x v="0"/>
    <n v="22201.15"/>
    <n v="0"/>
    <x v="8"/>
    <s v="Received"/>
    <s v="Al Arabia for Construction &amp; Building Co."/>
    <x v="0"/>
    <x v="16"/>
    <x v="27"/>
    <n v="12"/>
    <n v="2025"/>
    <m/>
  </r>
  <r>
    <x v="6"/>
    <x v="57"/>
    <x v="15"/>
    <s v="BT Commission Debit"/>
    <x v="330"/>
    <s v=""/>
    <x v="0"/>
    <n v="25965.38"/>
    <n v="0"/>
    <x v="8"/>
    <s v="Received"/>
    <s v="NIZAR ABDALGHANY KABLI FOR GENERAL CONTRACTING"/>
    <x v="0"/>
    <x v="16"/>
    <x v="27"/>
    <n v="12"/>
    <n v="2025"/>
    <m/>
  </r>
  <r>
    <x v="6"/>
    <x v="57"/>
    <x v="15"/>
    <s v="BT SWIFT Chg Debit"/>
    <x v="329"/>
    <s v=""/>
    <x v="0"/>
    <n v="1000"/>
    <n v="0"/>
    <x v="8"/>
    <s v="Received"/>
    <s v="Al Arabia for Construction &amp; Building Co."/>
    <x v="0"/>
    <x v="16"/>
    <x v="27"/>
    <n v="12"/>
    <n v="2025"/>
    <m/>
  </r>
  <r>
    <x v="6"/>
    <x v="57"/>
    <x v="15"/>
    <s v="BT SWIFT Chg Debit"/>
    <x v="330"/>
    <s v=""/>
    <x v="0"/>
    <n v="1000"/>
    <n v="0"/>
    <x v="8"/>
    <s v="Received"/>
    <s v="NIZAR ABDALGHANY KABLI FOR GENERAL CONTRACTING"/>
    <x v="0"/>
    <x v="16"/>
    <x v="27"/>
    <n v="12"/>
    <n v="2025"/>
    <m/>
  </r>
  <r>
    <x v="6"/>
    <x v="57"/>
    <x v="15"/>
    <s v="BT Courier Chg Debit"/>
    <x v="329"/>
    <s v=""/>
    <x v="0"/>
    <n v="250"/>
    <n v="0"/>
    <x v="8"/>
    <s v="Received"/>
    <s v="Al Arabia for Construction &amp; Building Co."/>
    <x v="0"/>
    <x v="16"/>
    <x v="27"/>
    <n v="12"/>
    <n v="2025"/>
    <m/>
  </r>
  <r>
    <x v="6"/>
    <x v="57"/>
    <x v="15"/>
    <s v="BT Courier Chg Debit"/>
    <x v="330"/>
    <s v=""/>
    <x v="0"/>
    <n v="250"/>
    <n v="0"/>
    <x v="8"/>
    <s v="Received"/>
    <s v="NIZAR ABDALGHANY KABLI FOR GENERAL CONTRACTING"/>
    <x v="0"/>
    <x v="16"/>
    <x v="27"/>
    <n v="12"/>
    <n v="2025"/>
    <m/>
  </r>
  <r>
    <x v="6"/>
    <x v="57"/>
    <x v="15"/>
    <s v="Value Added Tax (VAT)"/>
    <x v="329"/>
    <s v=""/>
    <x v="0"/>
    <n v="3330.17"/>
    <n v="0"/>
    <x v="8"/>
    <s v="Received"/>
    <s v="Al Arabia for Construction &amp; Building Co."/>
    <x v="0"/>
    <x v="16"/>
    <x v="27"/>
    <n v="12"/>
    <n v="2025"/>
    <m/>
  </r>
  <r>
    <x v="6"/>
    <x v="57"/>
    <x v="15"/>
    <s v="Value Added Tax (VAT)"/>
    <x v="329"/>
    <s v=""/>
    <x v="0"/>
    <n v="150"/>
    <n v="0"/>
    <x v="8"/>
    <s v="Received"/>
    <s v="Al Arabia for Construction &amp; Building Co."/>
    <x v="0"/>
    <x v="16"/>
    <x v="27"/>
    <n v="12"/>
    <n v="2025"/>
    <m/>
  </r>
  <r>
    <x v="6"/>
    <x v="57"/>
    <x v="15"/>
    <s v="Value Added Tax (VAT)"/>
    <x v="329"/>
    <s v=""/>
    <x v="0"/>
    <n v="37.5"/>
    <n v="0"/>
    <x v="8"/>
    <s v="Received"/>
    <s v="Al Arabia for Construction &amp; Building Co."/>
    <x v="0"/>
    <x v="16"/>
    <x v="27"/>
    <n v="12"/>
    <n v="2025"/>
    <m/>
  </r>
  <r>
    <x v="6"/>
    <x v="57"/>
    <x v="15"/>
    <s v="Value Added Tax (VAT)"/>
    <x v="330"/>
    <s v=""/>
    <x v="0"/>
    <n v="3894.8"/>
    <n v="0"/>
    <x v="8"/>
    <s v="Received"/>
    <s v="NIZAR ABDALGHANY KABLI FOR GENERAL CONTRACTING"/>
    <x v="0"/>
    <x v="16"/>
    <x v="27"/>
    <n v="12"/>
    <n v="2025"/>
    <m/>
  </r>
  <r>
    <x v="6"/>
    <x v="57"/>
    <x v="15"/>
    <s v="Value Added Tax (VAT)"/>
    <x v="330"/>
    <s v=""/>
    <x v="0"/>
    <n v="150"/>
    <n v="0"/>
    <x v="8"/>
    <s v="Received"/>
    <s v="NIZAR ABDALGHANY KABLI FOR GENERAL CONTRACTING"/>
    <x v="0"/>
    <x v="16"/>
    <x v="27"/>
    <n v="12"/>
    <n v="2025"/>
    <m/>
  </r>
  <r>
    <x v="6"/>
    <x v="57"/>
    <x v="15"/>
    <s v="Value Added Tax (VAT)"/>
    <x v="330"/>
    <s v=""/>
    <x v="0"/>
    <n v="37.5"/>
    <n v="0"/>
    <x v="8"/>
    <s v="Received"/>
    <s v="NIZAR ABDALGHANY KABLI FOR GENERAL CONTRACTING"/>
    <x v="0"/>
    <x v="16"/>
    <x v="27"/>
    <n v="12"/>
    <n v="2025"/>
    <m/>
  </r>
  <r>
    <x v="1"/>
    <x v="58"/>
    <x v="3"/>
    <s v="CUSTOMER = 3972500 DEAL AMT = 75 DEAL CCY = SAR TAX CODE = 1 "/>
    <x v="25"/>
    <s v="TF251730003801"/>
    <x v="0"/>
    <n v="-11.25"/>
    <n v="0"/>
    <x v="1"/>
    <s v="Received"/>
    <s v="SCHNEIDER ELECTRIC SAUDI ARABIA CO"/>
    <x v="3"/>
    <x v="6"/>
    <x v="27"/>
    <n v="12"/>
    <n v="2025"/>
    <m/>
  </r>
  <r>
    <x v="1"/>
    <x v="58"/>
    <x v="3"/>
    <s v="LC SWIFT CHARGES FOR LC NO. TF251730003801\BNK"/>
    <x v="25"/>
    <s v="TF251730003801"/>
    <x v="0"/>
    <n v="-75"/>
    <n v="0"/>
    <x v="3"/>
    <s v="Received"/>
    <s v="SCHNEIDER ELECTRIC SAUDI ARABIA CO"/>
    <x v="3"/>
    <x v="6"/>
    <x v="27"/>
    <n v="12"/>
    <n v="2025"/>
    <m/>
  </r>
  <r>
    <x v="1"/>
    <x v="58"/>
    <x v="3"/>
    <s v="REIMBURSE UNDER LCS DR FOR LC NO. TF251730003801\BNK"/>
    <x v="25"/>
    <s v="TF251730003801"/>
    <x v="0"/>
    <n v="-578910"/>
    <n v="0"/>
    <x v="4"/>
    <s v="Received"/>
    <s v="SCHNEIDER ELECTRIC SAUDI ARABIA CO"/>
    <x v="3"/>
    <x v="6"/>
    <x v="27"/>
    <n v="12"/>
    <n v="2025"/>
    <m/>
  </r>
  <r>
    <x v="1"/>
    <x v="58"/>
    <x v="3"/>
    <s v="CUSTOMER = 3972500 DEAL AMT = 28000.00 DEAL CCY = EUR TAX CODE = 1 "/>
    <x v="331"/>
    <s v="TF2535200021"/>
    <x v="0"/>
    <n v="-105"/>
    <n v="0"/>
    <x v="1"/>
    <s v="Received"/>
    <s v="Osalas GMBH"/>
    <x v="0"/>
    <x v="14"/>
    <x v="27"/>
    <n v="12"/>
    <n v="2025"/>
    <m/>
  </r>
  <r>
    <x v="1"/>
    <x v="58"/>
    <x v="3"/>
    <s v="LC SWIFT CHARGES FOR LC NO. TF2535200021\BNK"/>
    <x v="331"/>
    <s v="TF2535200021"/>
    <x v="0"/>
    <n v="-700"/>
    <n v="0"/>
    <x v="3"/>
    <s v="Received"/>
    <s v="Osalas GMBH"/>
    <x v="0"/>
    <x v="14"/>
    <x v="27"/>
    <n v="12"/>
    <n v="2025"/>
    <m/>
  </r>
  <r>
    <x v="1"/>
    <x v="58"/>
    <x v="3"/>
    <s v="CUSTOMER = 3972500 DEAL AMT = 28000.00 DEAL CCY = EUR TAX CODE = 1 "/>
    <x v="331"/>
    <s v="TF2535200021"/>
    <x v="0"/>
    <n v="-4200"/>
    <n v="0"/>
    <x v="1"/>
    <s v="Received"/>
    <s v="Osalas GMBH"/>
    <x v="0"/>
    <x v="14"/>
    <x v="27"/>
    <n v="12"/>
    <n v="2025"/>
    <m/>
  </r>
  <r>
    <x v="1"/>
    <x v="58"/>
    <x v="3"/>
    <s v="LC OPENING COMMISSION - DEBIT FOR LC NO. TF2535200021\BNK"/>
    <x v="331"/>
    <s v="TF2535200021"/>
    <x v="0"/>
    <n v="-28000"/>
    <n v="0"/>
    <x v="8"/>
    <s v="Received"/>
    <s v="Osalas GMBH"/>
    <x v="0"/>
    <x v="14"/>
    <x v="27"/>
    <n v="12"/>
    <n v="2025"/>
    <m/>
  </r>
  <r>
    <x v="0"/>
    <x v="58"/>
    <x v="14"/>
    <s v="REF 000000JLC6901431,RB REF JLC6901431,VIA CORE SYSTEM,DATE-TIME 21/12-12:48:54, عن طريق النظام الآ لي ,VALUE DT 21/12/25"/>
    <x v="95"/>
    <s v=""/>
    <x v="0"/>
    <n v="1479912.9"/>
    <n v="0"/>
    <x v="4"/>
    <s v="Received"/>
    <s v="Mat Filtrasyon Teknolojeleri A.S"/>
    <x v="0"/>
    <x v="3"/>
    <x v="3"/>
    <n v="12"/>
    <n v="2025"/>
    <m/>
  </r>
  <r>
    <x v="2"/>
    <x v="58"/>
    <x v="4"/>
    <s v="CITY:Jeddah 6132225J211600001"/>
    <x v="290"/>
    <s v="J211600001"/>
    <x v="0"/>
    <n v="-1237.17"/>
    <n v="0"/>
    <x v="2"/>
    <s v="Received"/>
    <s v="ALNAFIE METAL INDUSTRIES CO LTD"/>
    <x v="8"/>
    <x v="11"/>
    <x v="27"/>
    <n v="12"/>
    <n v="2025"/>
    <m/>
  </r>
  <r>
    <x v="2"/>
    <x v="58"/>
    <x v="4"/>
    <s v="CITY:Jeddah 6132225J210944002"/>
    <x v="266"/>
    <s v="J210944002"/>
    <x v="0"/>
    <n v="-1211.4000000000001"/>
    <n v="0"/>
    <x v="2"/>
    <s v="Received"/>
    <s v="Mohammed A. Al-Awani Trading"/>
    <x v="0"/>
    <x v="7"/>
    <x v="27"/>
    <n v="12"/>
    <n v="2025"/>
    <m/>
  </r>
  <r>
    <x v="2"/>
    <x v="58"/>
    <x v="10"/>
    <s v="19100000155300 DEP ID:4030219311 CHNL:SNB Payment Systems LC Charges - J211681"/>
    <x v="328"/>
    <s v="J211681"/>
    <x v="2"/>
    <m/>
    <n v="4431.3999999999996"/>
    <x v="21"/>
    <s v="Transfer"/>
    <s v="APS ARABIAN CONTRACTING COMPANY"/>
    <x v="8"/>
    <x v="11"/>
    <x v="27"/>
    <n v="12"/>
    <n v="2025"/>
    <m/>
  </r>
  <r>
    <x v="2"/>
    <x v="58"/>
    <x v="11"/>
    <s v="19100000060709 BEN ID:4030219311 LC Charges - J211681"/>
    <x v="328"/>
    <s v="J211681"/>
    <x v="2"/>
    <n v="-4431.3999999999996"/>
    <n v="0"/>
    <x v="8"/>
    <s v="Received"/>
    <s v="APS ARABIAN CONTRACTING COMPANY"/>
    <x v="8"/>
    <x v="11"/>
    <x v="27"/>
    <n v="12"/>
    <n v="2025"/>
    <m/>
  </r>
  <r>
    <x v="2"/>
    <x v="58"/>
    <x v="16"/>
    <s v="CITY:Jeddah 6132225J210104000 8358.35 SAR"/>
    <x v="136"/>
    <s v="J210104000"/>
    <x v="3"/>
    <n v="-1875.92"/>
    <n v="0"/>
    <x v="23"/>
    <s v="Received"/>
    <s v="BBH-CHEMTROL INTERNATIONAL ORGANIZATION S.L"/>
    <x v="4"/>
    <x v="11"/>
    <x v="27"/>
    <n v="12"/>
    <n v="2025"/>
    <m/>
  </r>
  <r>
    <x v="3"/>
    <x v="58"/>
    <x v="5"/>
    <s v="DPBCOR620388WPM DCBWPM563030"/>
    <x v="198"/>
    <s v="DPBCOR620388WPM"/>
    <x v="0"/>
    <n v="-1246756.1200000001"/>
    <n v="0"/>
    <x v="4"/>
    <s v="Received"/>
    <s v="AL-RIYADHA AL-OULA FOR INDUSTRIAL MATERIAL SUPPLY CO."/>
    <x v="3"/>
    <x v="8"/>
    <x v="27"/>
    <n v="12"/>
    <n v="2025"/>
    <m/>
  </r>
  <r>
    <x v="3"/>
    <x v="58"/>
    <x v="5"/>
    <s v="DPBEPM624827WPM DCBWPM563374"/>
    <x v="163"/>
    <s v="DPBEPM624827WPM"/>
    <x v="0"/>
    <n v="-379272.9"/>
    <n v="0"/>
    <x v="4"/>
    <s v="Received"/>
    <s v="EVOLVING CONSTELLATION CO. FOR ENERGY"/>
    <x v="3"/>
    <x v="8"/>
    <x v="27"/>
    <n v="12"/>
    <n v="2025"/>
    <m/>
  </r>
  <r>
    <x v="1"/>
    <x v="59"/>
    <x v="3"/>
    <s v="CUSTOMER = 3972500 DEAL AMT = 1250 DEAL CCY = SAR TAX CODE = 1 "/>
    <x v="207"/>
    <s v="TF251460005901"/>
    <x v="0"/>
    <n v="-187.5"/>
    <n v="0"/>
    <x v="1"/>
    <s v="Received"/>
    <s v="DAR-AL MAWARED TRADING CO."/>
    <x v="3"/>
    <x v="5"/>
    <x v="27"/>
    <n v="12"/>
    <n v="2025"/>
    <m/>
  </r>
  <r>
    <x v="1"/>
    <x v="59"/>
    <x v="3"/>
    <s v="LC ACCEPTANCE COMMISSION FOR LC NO. TF251460005901\BNK"/>
    <x v="207"/>
    <s v="TF251460005901"/>
    <x v="0"/>
    <n v="-1250"/>
    <n v="0"/>
    <x v="2"/>
    <s v="Received"/>
    <s v="DAR-AL MAWARED TRADING CO."/>
    <x v="3"/>
    <x v="5"/>
    <x v="27"/>
    <n v="12"/>
    <n v="2025"/>
    <m/>
  </r>
  <r>
    <x v="2"/>
    <x v="59"/>
    <x v="4"/>
    <s v="CITY:Jeddah 6132225J210676001"/>
    <x v="332"/>
    <s v="J210676001"/>
    <x v="0"/>
    <n v="-14461.15"/>
    <n v="0"/>
    <x v="2"/>
    <s v="Received"/>
    <s v="APTEC SAUDI ARABIA"/>
    <x v="10"/>
    <x v="14"/>
    <x v="27"/>
    <n v="12"/>
    <n v="2025"/>
    <m/>
  </r>
  <r>
    <x v="2"/>
    <x v="59"/>
    <x v="4"/>
    <s v="19100000155300 DEP ID:4030219311 CHNL:SNB Payment Systems J211600 LC Charges"/>
    <x v="290"/>
    <s v="J211600 LC"/>
    <x v="0"/>
    <m/>
    <n v="1237.17"/>
    <x v="21"/>
    <s v="Transfer"/>
    <s v="ALNAFIE METAL INDUSTRIES CO LTD"/>
    <x v="8"/>
    <x v="11"/>
    <x v="27"/>
    <n v="12"/>
    <n v="2025"/>
    <m/>
  </r>
  <r>
    <x v="2"/>
    <x v="59"/>
    <x v="11"/>
    <s v="19100000033209 BEN ID:4030219311 J211600 LC Charges"/>
    <x v="290"/>
    <s v="J211600 LC"/>
    <x v="2"/>
    <n v="-1237.17"/>
    <n v="0"/>
    <x v="21"/>
    <s v="Transfer"/>
    <s v="ALNAFIE METAL INDUSTRIES CO LTD"/>
    <x v="8"/>
    <x v="11"/>
    <x v="27"/>
    <n v="12"/>
    <n v="2025"/>
    <m/>
  </r>
  <r>
    <x v="3"/>
    <x v="59"/>
    <x v="5"/>
    <s v="DPBCOR623810WPM DCBWPM558759"/>
    <x v="106"/>
    <s v="DPBCOR623810WPM"/>
    <x v="0"/>
    <n v="-2000000"/>
    <n v="0"/>
    <x v="4"/>
    <s v="Received"/>
    <s v="Daikin Air Conditioning Saudi Arabia "/>
    <x v="3"/>
    <x v="9"/>
    <x v="27"/>
    <n v="12"/>
    <n v="2025"/>
    <m/>
  </r>
  <r>
    <x v="1"/>
    <x v="60"/>
    <x v="3"/>
    <s v="CUSTOMER = 3972500 DEAL AMT = 75 DEAL CCY = SAR TAX CODE = 1 "/>
    <x v="36"/>
    <s v="TF252360002901"/>
    <x v="0"/>
    <n v="-11.25"/>
    <n v="0"/>
    <x v="1"/>
    <s v="Received"/>
    <s v="Prime Star Technologies Company Limited"/>
    <x v="3"/>
    <x v="5"/>
    <x v="27"/>
    <n v="12"/>
    <n v="2025"/>
    <m/>
  </r>
  <r>
    <x v="1"/>
    <x v="60"/>
    <x v="3"/>
    <s v="LC SWIFT CHARGES FOR LC NO. TF252360002901\BNK"/>
    <x v="36"/>
    <s v="TF252360002901"/>
    <x v="0"/>
    <n v="-75"/>
    <n v="0"/>
    <x v="3"/>
    <s v="Received"/>
    <s v="Prime Star Technologies Company Limited"/>
    <x v="3"/>
    <x v="5"/>
    <x v="27"/>
    <n v="12"/>
    <n v="2025"/>
    <m/>
  </r>
  <r>
    <x v="1"/>
    <x v="60"/>
    <x v="3"/>
    <s v="REIMBURSE UNDER LCS DR FOR LC NO. TF252360002901\BNK"/>
    <x v="36"/>
    <s v="TF252360002901"/>
    <x v="0"/>
    <n v="-900000"/>
    <n v="0"/>
    <x v="4"/>
    <s v="Received"/>
    <s v="Prime Star Technologies Company Limited"/>
    <x v="3"/>
    <x v="5"/>
    <x v="27"/>
    <n v="12"/>
    <n v="2025"/>
    <m/>
  </r>
  <r>
    <x v="1"/>
    <x v="60"/>
    <x v="3"/>
    <s v="CUSTOMER = 3972500 DEAL AMT = 1458.14 DEAL CCY = SAR TAX CODE = 1 "/>
    <x v="333"/>
    <s v="TF252650001901"/>
    <x v="0"/>
    <n v="-218.72"/>
    <n v="0"/>
    <x v="1"/>
    <s v="Received"/>
    <s v="Future Pipe Industries LLC"/>
    <x v="0"/>
    <x v="7"/>
    <x v="27"/>
    <n v="12"/>
    <n v="2025"/>
    <m/>
  </r>
  <r>
    <x v="1"/>
    <x v="60"/>
    <x v="3"/>
    <s v="LC ACCEPTANCE COMMISSION FOR LC NO. TF252650001901\BNK"/>
    <x v="333"/>
    <s v="TF252650001901"/>
    <x v="0"/>
    <n v="-1458.14"/>
    <n v="0"/>
    <x v="2"/>
    <s v="Received"/>
    <s v="Future Pipe Industries LLC"/>
    <x v="0"/>
    <x v="7"/>
    <x v="27"/>
    <n v="12"/>
    <n v="2025"/>
    <m/>
  </r>
  <r>
    <x v="3"/>
    <x v="60"/>
    <x v="6"/>
    <s v="IMP BILL COMM DPBCOR629221WPM DCBWPM567554"/>
    <x v="101"/>
    <s v="DPBCOR629221WPM"/>
    <x v="0"/>
    <n v="-2899.05"/>
    <n v="0"/>
    <x v="2"/>
    <s v="Received"/>
    <s v="TAWREED INTEGRATED INDUSTRIES"/>
    <x v="3"/>
    <x v="9"/>
    <x v="27"/>
    <n v="12"/>
    <n v="2025"/>
    <m/>
  </r>
  <r>
    <x v="5"/>
    <x v="60"/>
    <x v="9"/>
    <s v="Dr TI ILC Comm/Other Charges                                          _x000a_AMD001-283248869                                                      _x000a_At Bank Aljazira                                                      _x000a_ CORPORATE BANKING DEPT-JEDDAH                                        _x000a_Exchange Rate 1.0                                                     _x000a_Date 03-07-1447(H) Time 12.45.59                                      _x000a_Reference ILC-0840-25-8159                                            _x000a_Value Date 03-07-1447(H)                                              _x000a_Fee Collected By Bank AlJazira                                        _x000a_"/>
    <x v="84"/>
    <s v="ILC-0840-25-8159"/>
    <x v="0"/>
    <n v="15248.85"/>
    <n v="0"/>
    <x v="5"/>
    <s v="Received"/>
    <s v="AL FALWA CO. LTD. FOR READYMIX CONCRETE"/>
    <x v="0"/>
    <x v="10"/>
    <x v="27"/>
    <n v="12"/>
    <n v="2025"/>
    <m/>
  </r>
  <r>
    <x v="5"/>
    <x v="60"/>
    <x v="9"/>
    <s v="Value Added Tax                                                       _x000a_On ILC Commission                                                     _x000a_15% of SAR15,248.85                                                   _x000a_Through CORPORATE BANKING DEPT-JEDDAH                                 _x000a_Date 03-07-1447(H) Time 12.46.00                                      _x000a_Reference ILC-0840-25-8159                                            _x000a_At Bank Aljazira                                                      _x000a_Exchange Rate 1.0                                                     _x000a_"/>
    <x v="84"/>
    <s v="ILC-0840-25-8159"/>
    <x v="0"/>
    <n v="2287.33"/>
    <n v="0"/>
    <x v="1"/>
    <s v="Received"/>
    <s v="AL FALWA CO. LTD. FOR READYMIX CONCRETE"/>
    <x v="0"/>
    <x v="10"/>
    <x v="27"/>
    <n v="12"/>
    <n v="2025"/>
    <m/>
  </r>
  <r>
    <x v="5"/>
    <x v="60"/>
    <x v="9"/>
    <s v="Dr TI ILC Comm/Other Charges                                          _x000a_AMD001-283248871                                                      _x000a_At Bank Aljazira                                                      _x000a_ CORPORATE BANKING DEPT-JEDDAH                                        _x000a_Exchange Rate 1.0                                                     _x000a_Date 03-07-1447(H) Time 12.46.00                                      _x000a_Reference ILC-0840-25-8159                                            _x000a_Value Date 03-07-1447(H)                                              _x000a_Fee Collected By Bank AlJazira                                        _x000a_"/>
    <x v="84"/>
    <s v="ILC-0840-25-8159"/>
    <x v="0"/>
    <n v="400"/>
    <n v="0"/>
    <x v="5"/>
    <s v="Received"/>
    <s v="AL FALWA CO. LTD. FOR READYMIX CONCRETE"/>
    <x v="0"/>
    <x v="10"/>
    <x v="27"/>
    <n v="12"/>
    <n v="2025"/>
    <m/>
  </r>
  <r>
    <x v="5"/>
    <x v="60"/>
    <x v="9"/>
    <s v="Value Added Tax                                                       _x000a_On SWIFT charges                                                      _x000a_15% of SAR400.00                                                      _x000a_Through CORPORATE BANKING DEPT-JEDDAH                                 _x000a_Date 03-07-1447(H) Time 12.46.00                                      _x000a_Reference ILC-0840-25-8159                                            _x000a_At Bank Aljazira                                                      _x000a_Exchange Rate 1.0                                                     _x000a_"/>
    <x v="84"/>
    <s v="ILC-0840-25-8159"/>
    <x v="0"/>
    <n v="60"/>
    <n v="0"/>
    <x v="1"/>
    <s v="Received"/>
    <s v="AL FALWA CO. LTD. FOR READYMIX CONCRETE"/>
    <x v="0"/>
    <x v="10"/>
    <x v="27"/>
    <n v="12"/>
    <n v="2025"/>
    <m/>
  </r>
  <r>
    <x v="5"/>
    <x v="60"/>
    <x v="9"/>
    <s v="Dr TI ILC Comm/Other Charges                                          _x000a_POC001-283268261                                                      _x000a_At Bank Aljazira                                                      _x000a_ CORPORATE BANKING DEPT-JEDDAH                                        _x000a_Date 03-07-1447(H) Time 13.10.29                                      _x000a_Reference ILC-0840-25-8470                                            _x000a_Value Date 03-07-1447(H)                                              _x000a_Fee Collected By Bank AlJazira                                        _x000a_"/>
    <x v="145"/>
    <s v=""/>
    <x v="0"/>
    <n v="100"/>
    <n v="0"/>
    <x v="2"/>
    <s v="Received"/>
    <s v="Saudi Benaa Company For Building Materials"/>
    <x v="3"/>
    <x v="10"/>
    <x v="27"/>
    <n v="12"/>
    <n v="2025"/>
    <m/>
  </r>
  <r>
    <x v="5"/>
    <x v="60"/>
    <x v="9"/>
    <s v="Value Added Tax                                                       _x000a_On ILC Acceptance Comm.                                               _x000a_15% of SAR100.00                                                      _x000a_Through CORPORATE BANKING DEPT-JEDDAH                                 _x000a_Date 03-07-1447(H) Time 13.10.30                                      _x000a_Reference ILC-0840-25-8470                                            _x000a_At Bank Aljazira                                                      _x000a_"/>
    <x v="145"/>
    <s v=""/>
    <x v="0"/>
    <n v="15"/>
    <n v="0"/>
    <x v="1"/>
    <s v="Received"/>
    <s v="Saudi Benaa Company For Building Materials"/>
    <x v="3"/>
    <x v="10"/>
    <x v="27"/>
    <n v="12"/>
    <n v="2025"/>
    <m/>
  </r>
  <r>
    <x v="5"/>
    <x v="60"/>
    <x v="9"/>
    <s v="Dr TI ILC Comm/Other Charges                                          _x000a_POC001-283268301                                                      _x000a_At Bank Aljazira                                                      _x000a_ CORPORATE BANKING DEPT-JEDDAH                                        _x000a_Date 03-07-1447(H) Time 13.10.30                                      _x000a_Reference ILC-0840-25-8470                                            _x000a_Value Date 03-07-1447(H)                                              _x000a_Fee Collected By Bank AlJazira                                        _x000a_"/>
    <x v="145"/>
    <s v=""/>
    <x v="0"/>
    <n v="658"/>
    <n v="0"/>
    <x v="2"/>
    <s v="Received"/>
    <s v="Saudi Benaa Company For Building Materials"/>
    <x v="3"/>
    <x v="10"/>
    <x v="27"/>
    <n v="12"/>
    <n v="2025"/>
    <m/>
  </r>
  <r>
    <x v="5"/>
    <x v="60"/>
    <x v="9"/>
    <s v="Value Added Tax                                                       _x000a_On ILC Acceptance Comm.                                               _x000a_15% of SAR658.00                                                      _x000a_Through CORPORATE BANKING DEPT-JEDDAH                                 _x000a_Date 03-07-1447(H) Time 13.10.31                                      _x000a_Reference ILC-0840-25-8470                                            _x000a_At Bank Aljazira                                                      _x000a_"/>
    <x v="145"/>
    <s v=""/>
    <x v="0"/>
    <n v="98.7"/>
    <n v="0"/>
    <x v="1"/>
    <s v="Received"/>
    <s v="Saudi Benaa Company For Building Materials"/>
    <x v="3"/>
    <x v="10"/>
    <x v="27"/>
    <n v="12"/>
    <n v="2025"/>
    <m/>
  </r>
  <r>
    <x v="5"/>
    <x v="60"/>
    <x v="9"/>
    <s v="Dr TI ILC Comm/Other Charges                                          _x000a_POC001-283268303                                                      _x000a_At Bank Aljazira                                                      _x000a_ CORPORATE BANKING DEPT-JEDDAH                                        _x000a_Date 03-07-1447(H) Time 13.10.31                                      _x000a_Reference ILC-0840-25-8470                                            _x000a_Value Date 03-07-1447(H)                                              _x000a_Fee Collected By Bank AlJazira                                        _x000a_"/>
    <x v="145"/>
    <s v=""/>
    <x v="0"/>
    <n v="200"/>
    <n v="0"/>
    <x v="2"/>
    <s v="Received"/>
    <s v="Saudi Benaa Company For Building Materials"/>
    <x v="3"/>
    <x v="10"/>
    <x v="27"/>
    <n v="12"/>
    <n v="2025"/>
    <m/>
  </r>
  <r>
    <x v="5"/>
    <x v="60"/>
    <x v="9"/>
    <s v="Value Added Tax                                                       _x000a_On SWIFT charges                                                      _x000a_15% of SAR200.00                                                      _x000a_Through CORPORATE BANKING DEPT-JEDDAH                                 _x000a_Date 03-07-1447(H) Time 13.10.31                                      _x000a_Reference ILC-0840-25-8470                                            _x000a_At Bank Aljazira                                                      _x000a_"/>
    <x v="145"/>
    <s v=""/>
    <x v="0"/>
    <n v="30"/>
    <n v="0"/>
    <x v="1"/>
    <s v="Received"/>
    <s v="Saudi Benaa Company For Building Materials"/>
    <x v="3"/>
    <x v="10"/>
    <x v="27"/>
    <n v="12"/>
    <n v="2025"/>
    <m/>
  </r>
  <r>
    <x v="3"/>
    <x v="61"/>
    <x v="5"/>
    <s v="DPBEPM622287WPM DCBWPM563813"/>
    <x v="43"/>
    <s v="DPBEPM622287WPM"/>
    <x v="0"/>
    <n v="-25000000"/>
    <n v="0"/>
    <x v="4"/>
    <s v="Received"/>
    <s v="Electric House Trading Company L.L.C."/>
    <x v="3"/>
    <x v="8"/>
    <x v="27"/>
    <n v="12"/>
    <n v="2025"/>
    <m/>
  </r>
  <r>
    <x v="3"/>
    <x v="61"/>
    <x v="5"/>
    <s v="DPBCOR621939WPM DCBWPM562628"/>
    <x v="334"/>
    <s v="DPBCOR621939WPM"/>
    <x v="0"/>
    <n v="-378800.2"/>
    <n v="0"/>
    <x v="4"/>
    <s v="Received"/>
    <s v="ALGHAMDI COMPANY FOR SANITARY WARES"/>
    <x v="3"/>
    <x v="9"/>
    <x v="27"/>
    <n v="12"/>
    <n v="2025"/>
    <m/>
  </r>
  <r>
    <x v="5"/>
    <x v="61"/>
    <x v="9"/>
    <s v="TI Bill Settled                                                       _x000a_POC006                                                                _x000a_At Bank AlJazira                                                      _x000a_CORPORATE BANKING DEPT-JEDDAH                                         _x000a_Date 04-07-1447(H) Time 09.53.11                                      _x000a_Reference ILC-0840-25-7799                                            _x000a_"/>
    <x v="72"/>
    <s v=""/>
    <x v="0"/>
    <n v="500000"/>
    <n v="0"/>
    <x v="4"/>
    <s v="Received"/>
    <s v="Metal and Glass Trading Co"/>
    <x v="3"/>
    <x v="10"/>
    <x v="27"/>
    <n v="12"/>
    <n v="2025"/>
    <m/>
  </r>
  <r>
    <x v="1"/>
    <x v="62"/>
    <x v="3"/>
    <s v="CUSTOMER = 3972500 DEAL AMT = 75 DEAL CCY = SAR TAX CODE = 1 "/>
    <x v="333"/>
    <s v="TF252650001901"/>
    <x v="0"/>
    <n v="-11.25"/>
    <n v="0"/>
    <x v="1"/>
    <s v="Received"/>
    <s v="Future Pipe Industries LLC"/>
    <x v="0"/>
    <x v="7"/>
    <x v="27"/>
    <n v="12"/>
    <n v="2025"/>
    <m/>
  </r>
  <r>
    <x v="1"/>
    <x v="62"/>
    <x v="3"/>
    <s v="LC SWIFT CHARGES FOR LC NO. TF252650001901\BNK"/>
    <x v="333"/>
    <s v="TF252650001901"/>
    <x v="0"/>
    <n v="-75"/>
    <n v="0"/>
    <x v="3"/>
    <s v="Received"/>
    <s v="Future Pipe Industries LLC"/>
    <x v="0"/>
    <x v="7"/>
    <x v="27"/>
    <n v="12"/>
    <n v="2025"/>
    <m/>
  </r>
  <r>
    <x v="1"/>
    <x v="62"/>
    <x v="3"/>
    <s v="REIMBURSE UNDER LCS DR FOR LC NO. TF252650001901\BNK"/>
    <x v="333"/>
    <s v="TF252650001901"/>
    <x v="0"/>
    <n v="-1749763.62"/>
    <n v="0"/>
    <x v="4"/>
    <s v="Received"/>
    <s v="Future Pipe Industries LLC"/>
    <x v="0"/>
    <x v="7"/>
    <x v="27"/>
    <n v="12"/>
    <n v="2025"/>
    <m/>
  </r>
  <r>
    <x v="1"/>
    <x v="62"/>
    <x v="3"/>
    <s v="CUSTOMER = 3972500 DEAL AMT = 46666.67 DEAL CCY = SAR TAX CODE = 1 "/>
    <x v="210"/>
    <s v="TF253140001403"/>
    <x v="0"/>
    <n v="-7000"/>
    <n v="0"/>
    <x v="1"/>
    <s v="Received"/>
    <s v="Hamada Decoration Company"/>
    <x v="0"/>
    <x v="14"/>
    <x v="27"/>
    <n v="12"/>
    <n v="2025"/>
    <m/>
  </r>
  <r>
    <x v="1"/>
    <x v="62"/>
    <x v="3"/>
    <s v="LC ACCEPTANCE COMMISSION FOR LC NO. TF253140001403\BNK"/>
    <x v="210"/>
    <s v="TF253140001403"/>
    <x v="0"/>
    <n v="-46666.67"/>
    <n v="0"/>
    <x v="2"/>
    <s v="Received"/>
    <s v="Hamada Decoration Company"/>
    <x v="0"/>
    <x v="14"/>
    <x v="27"/>
    <n v="12"/>
    <n v="2025"/>
    <m/>
  </r>
  <r>
    <x v="1"/>
    <x v="62"/>
    <x v="3"/>
    <s v="CUSTOMER = 3972500 DEAL AMT = 29162.87 DEAL CCY = GBP TAX CODE = 1 "/>
    <x v="335"/>
    <s v="TF2535900014"/>
    <x v="0"/>
    <n v="-45"/>
    <n v="0"/>
    <x v="1"/>
    <s v="Received"/>
    <s v="LSI PROJECTS LIMITED"/>
    <x v="10"/>
    <x v="5"/>
    <x v="27"/>
    <n v="12"/>
    <n v="2025"/>
    <m/>
  </r>
  <r>
    <x v="1"/>
    <x v="62"/>
    <x v="3"/>
    <s v="CUSTOMER = 3972500 DEAL AMT = 10220.96 DEAL CCY = GBP TAX CODE = 1 "/>
    <x v="335"/>
    <s v="TF2535900014"/>
    <x v="0"/>
    <n v="-105"/>
    <n v="0"/>
    <x v="1"/>
    <s v="Received"/>
    <s v="LSI PROJECTS LIMITED"/>
    <x v="10"/>
    <x v="5"/>
    <x v="27"/>
    <n v="12"/>
    <n v="2025"/>
    <m/>
  </r>
  <r>
    <x v="1"/>
    <x v="62"/>
    <x v="3"/>
    <s v="LC COURIER CHARGES FOR LC NO. TF2535900014\BNK"/>
    <x v="335"/>
    <s v="TF2535900014"/>
    <x v="0"/>
    <n v="-300"/>
    <n v="0"/>
    <x v="24"/>
    <s v="Received"/>
    <s v="LSI PROJECTS LIMITED"/>
    <x v="10"/>
    <x v="5"/>
    <x v="27"/>
    <n v="12"/>
    <n v="2025"/>
    <m/>
  </r>
  <r>
    <x v="1"/>
    <x v="62"/>
    <x v="3"/>
    <s v="LC SWIFT CHARGES FOR LC NO. TF2535900014\BNK"/>
    <x v="335"/>
    <s v="TF2535900014"/>
    <x v="0"/>
    <n v="-700"/>
    <n v="0"/>
    <x v="3"/>
    <s v="Received"/>
    <s v="LSI PROJECTS LIMITED"/>
    <x v="10"/>
    <x v="5"/>
    <x v="27"/>
    <n v="12"/>
    <n v="2025"/>
    <m/>
  </r>
  <r>
    <x v="1"/>
    <x v="62"/>
    <x v="3"/>
    <s v="CUSTOMER = 3972500 DEAL AMT = 10220.96 DEAL CCY = GBP TAX CODE = 1 "/>
    <x v="335"/>
    <s v="TF2535900014"/>
    <x v="0"/>
    <n v="-1533.14"/>
    <n v="0"/>
    <x v="1"/>
    <s v="Received"/>
    <s v="LSI PROJECTS LIMITED"/>
    <x v="10"/>
    <x v="5"/>
    <x v="27"/>
    <n v="12"/>
    <n v="2025"/>
    <m/>
  </r>
  <r>
    <x v="1"/>
    <x v="62"/>
    <x v="3"/>
    <s v="CUSTOMER = 3972500 DEAL AMT = 29162.87 DEAL CCY = GBP TAX CODE = 1 "/>
    <x v="335"/>
    <s v="TF2535900014"/>
    <x v="0"/>
    <n v="-4374.43"/>
    <n v="0"/>
    <x v="1"/>
    <s v="Received"/>
    <s v="LSI PROJECTS LIMITED"/>
    <x v="10"/>
    <x v="5"/>
    <x v="27"/>
    <n v="12"/>
    <n v="2025"/>
    <m/>
  </r>
  <r>
    <x v="1"/>
    <x v="62"/>
    <x v="3"/>
    <s v="LC OPENING COMMISSION - DEBIT FOR LC NO. TF2535900014\BNK"/>
    <x v="335"/>
    <s v="TF2535900014"/>
    <x v="0"/>
    <n v="-10220.959999999999"/>
    <n v="0"/>
    <x v="8"/>
    <s v="Received"/>
    <s v="LSI PROJECTS LIMITED"/>
    <x v="10"/>
    <x v="5"/>
    <x v="27"/>
    <n v="12"/>
    <n v="2025"/>
    <m/>
  </r>
  <r>
    <x v="1"/>
    <x v="62"/>
    <x v="3"/>
    <s v="LC OPENING COMMISSION - DEBIT FOR LC NO. TF2535900014\BNK"/>
    <x v="335"/>
    <s v="TF2535900014"/>
    <x v="0"/>
    <n v="-29162.87"/>
    <n v="0"/>
    <x v="8"/>
    <s v="Received"/>
    <s v="LSI PROJECTS LIMITED"/>
    <x v="10"/>
    <x v="5"/>
    <x v="27"/>
    <n v="12"/>
    <n v="2025"/>
    <m/>
  </r>
  <r>
    <x v="1"/>
    <x v="62"/>
    <x v="3"/>
    <s v="CUSTOMER = 3972500 DEAL AMT = 37765.74 DEAL CCY = EUR TAX CODE = 1 "/>
    <x v="336"/>
    <s v="TF2535900016"/>
    <x v="0"/>
    <n v="-45"/>
    <n v="0"/>
    <x v="1"/>
    <s v="Received"/>
    <s v="BBH-CHEMTROL INTERNATIONAL ORGANIZATION S.L"/>
    <x v="10"/>
    <x v="5"/>
    <x v="27"/>
    <n v="12"/>
    <n v="2025"/>
    <m/>
  </r>
  <r>
    <x v="1"/>
    <x v="62"/>
    <x v="3"/>
    <s v="CUSTOMER = 3972500 DEAL AMT = 37765.74 DEAL CCY = EUR TAX CODE = 1 "/>
    <x v="336"/>
    <s v="TF2535900016"/>
    <x v="0"/>
    <n v="-105"/>
    <n v="0"/>
    <x v="1"/>
    <s v="Received"/>
    <s v="BBH-CHEMTROL INTERNATIONAL ORGANIZATION S.L"/>
    <x v="10"/>
    <x v="5"/>
    <x v="27"/>
    <n v="12"/>
    <n v="2025"/>
    <m/>
  </r>
  <r>
    <x v="1"/>
    <x v="62"/>
    <x v="3"/>
    <s v="LC COURIER CHARGES FOR LC NO. TF2535900016\BNK"/>
    <x v="336"/>
    <s v="TF2535900016"/>
    <x v="0"/>
    <n v="-300"/>
    <n v="0"/>
    <x v="24"/>
    <s v="Received"/>
    <s v="BBH-CHEMTROL INTERNATIONAL ORGANIZATION S.L"/>
    <x v="10"/>
    <x v="5"/>
    <x v="27"/>
    <n v="12"/>
    <n v="2025"/>
    <m/>
  </r>
  <r>
    <x v="1"/>
    <x v="62"/>
    <x v="3"/>
    <s v="LC SWIFT CHARGES FOR LC NO. TF2535900016\BNK"/>
    <x v="336"/>
    <s v="TF2535900016"/>
    <x v="0"/>
    <n v="-700"/>
    <n v="0"/>
    <x v="3"/>
    <s v="Received"/>
    <s v="BBH-CHEMTROL INTERNATIONAL ORGANIZATION S.L"/>
    <x v="10"/>
    <x v="5"/>
    <x v="27"/>
    <n v="12"/>
    <n v="2025"/>
    <m/>
  </r>
  <r>
    <x v="1"/>
    <x v="62"/>
    <x v="3"/>
    <s v="CUSTOMER = 3972500 DEAL AMT = 37765.74 DEAL CCY = EUR TAX CODE = 1 "/>
    <x v="336"/>
    <s v="TF2535900016"/>
    <x v="0"/>
    <n v="-5664.86"/>
    <n v="0"/>
    <x v="1"/>
    <s v="Received"/>
    <s v="BBH-CHEMTROL INTERNATIONAL ORGANIZATION S.L"/>
    <x v="10"/>
    <x v="5"/>
    <x v="27"/>
    <n v="12"/>
    <n v="2025"/>
    <m/>
  </r>
  <r>
    <x v="1"/>
    <x v="62"/>
    <x v="3"/>
    <s v="LC OPENING COMMISSION - DEBIT FOR LC NO. TF2535900016\BNK"/>
    <x v="336"/>
    <s v="TF2535900016"/>
    <x v="0"/>
    <n v="-37765.74"/>
    <n v="0"/>
    <x v="8"/>
    <s v="Received"/>
    <s v="BBH-CHEMTROL INTERNATIONAL ORGANIZATION S.L"/>
    <x v="10"/>
    <x v="5"/>
    <x v="27"/>
    <n v="12"/>
    <n v="2025"/>
    <m/>
  </r>
  <r>
    <x v="3"/>
    <x v="62"/>
    <x v="5"/>
    <s v="DPBCOR620530WPM DCBWPM563232"/>
    <x v="337"/>
    <s v="DPBCOR620530WPM"/>
    <x v="0"/>
    <n v="-98871.6"/>
    <n v="0"/>
    <x v="4"/>
    <s v="Received"/>
    <s v="Alshrkt Mzaya Almttwrt Alsnaayt shkhs Wahd"/>
    <x v="3"/>
    <x v="8"/>
    <x v="27"/>
    <n v="12"/>
    <n v="2025"/>
    <m/>
  </r>
  <r>
    <x v="3"/>
    <x v="62"/>
    <x v="5"/>
    <s v="DPBCOR621749WPM DCBWPM564582"/>
    <x v="338"/>
    <s v="DPBCOR621749WPM"/>
    <x v="0"/>
    <n v="-1500000"/>
    <n v="0"/>
    <x v="4"/>
    <s v="Received"/>
    <s v="Soundlines Administrative Co Ltd."/>
    <x v="4"/>
    <x v="1"/>
    <x v="27"/>
    <n v="12"/>
    <n v="2025"/>
    <m/>
  </r>
  <r>
    <x v="3"/>
    <x v="62"/>
    <x v="5"/>
    <s v="DPBEPM625540WPM DCBWPM562728"/>
    <x v="129"/>
    <s v="DPBEPM625540WPM"/>
    <x v="0"/>
    <n v="-15540825"/>
    <n v="0"/>
    <x v="4"/>
    <s v="Received"/>
    <s v="The Fundamental Installation For Electric Work Co"/>
    <x v="3"/>
    <x v="8"/>
    <x v="27"/>
    <n v="12"/>
    <n v="2025"/>
    <m/>
  </r>
  <r>
    <x v="3"/>
    <x v="62"/>
    <x v="6"/>
    <s v="PEBGCU566430 STDBY/COMM QUARTERLY FROM 25DEC2025 TO 24MAR2026"/>
    <x v="339"/>
    <s v="PEBGCU566430 ST"/>
    <x v="0"/>
    <n v="-197611.33"/>
    <n v="0"/>
    <x v="19"/>
    <s v="Technical Issue"/>
    <s v="Performance - SIXTY INVESTMENT CO"/>
    <x v="1"/>
    <x v="2"/>
    <x v="28"/>
    <n v="12"/>
    <n v="2025"/>
    <s v="Technnical Issue With SAB"/>
  </r>
  <r>
    <x v="5"/>
    <x v="62"/>
    <x v="9"/>
    <s v="Dr TI ILC Comm/Other Charges                                          _x000a_POC003-283519484                                                      _x000a_At Bank Aljazira                                                      _x000a_ CORPORATE BANKING DEPT-JEDDAH                                        _x000a_Exchange Rate 1.0                                                     _x000a_Date 05-07-1447(H) Time 14.02.10                                      _x000a_Reference ILC-0840-25-7517                                            _x000a_Value Date 05-07-1447(H)                                              _x000a_Fee Collected By Bank AlJazira                                        _x000a_"/>
    <x v="168"/>
    <s v=""/>
    <x v="0"/>
    <n v="100"/>
    <n v="0"/>
    <x v="2"/>
    <s v="Received"/>
    <s v="SAUDI VITRIFIED CLAY PIPE CO"/>
    <x v="3"/>
    <x v="10"/>
    <x v="27"/>
    <n v="12"/>
    <n v="2025"/>
    <m/>
  </r>
  <r>
    <x v="5"/>
    <x v="62"/>
    <x v="9"/>
    <s v="Value Added Tax                                                       _x000a_On ILC Acceptance Comm.                                               _x000a_15% of SAR100.00                                                      _x000a_Through CORPORATE BANKING DEPT-JEDDAH                                 _x000a_Date 05-07-1447(H) Time 14.02.11                                      _x000a_Reference ILC-0840-25-7517                                            _x000a_At Bank Aljazira                                                      _x000a_Exchange Rate 1.0                                                     _x000a_"/>
    <x v="168"/>
    <s v=""/>
    <x v="0"/>
    <n v="15"/>
    <n v="0"/>
    <x v="1"/>
    <s v="Received"/>
    <s v="SAUDI VITRIFIED CLAY PIPE CO"/>
    <x v="3"/>
    <x v="10"/>
    <x v="27"/>
    <n v="12"/>
    <n v="2025"/>
    <m/>
  </r>
  <r>
    <x v="5"/>
    <x v="62"/>
    <x v="9"/>
    <s v="Dr TI ILC Comm/Other Charges                                          _x000a_POC003-283519524                                                      _x000a_At Bank Aljazira                                                      _x000a_ CORPORATE BANKING DEPT-JEDDAH                                        _x000a_Exchange Rate 1.0                                                     _x000a_Date 05-07-1447(H) Time 14.02.11                                      _x000a_Reference ILC-0840-25-7517                                            _x000a_Value Date 05-07-1447(H)                                              _x000a_Fee Collected By Bank AlJazira                                        _x000a_"/>
    <x v="168"/>
    <s v=""/>
    <x v="0"/>
    <n v="250"/>
    <n v="0"/>
    <x v="2"/>
    <s v="Received"/>
    <s v="SAUDI VITRIFIED CLAY PIPE CO"/>
    <x v="3"/>
    <x v="10"/>
    <x v="27"/>
    <n v="12"/>
    <n v="2025"/>
    <m/>
  </r>
  <r>
    <x v="5"/>
    <x v="62"/>
    <x v="9"/>
    <s v="Value Added Tax                                                       _x000a_On ILC Acceptance Comm.                                               _x000a_15% of SAR250.00                                                      _x000a_Through CORPORATE BANKING DEPT-JEDDAH                                 _x000a_Date 05-07-1447(H) Time 14.02.12                                      _x000a_Reference ILC-0840-25-7517                                            _x000a_At Bank Aljazira                                                      _x000a_Exchange Rate 1.0                                                     _x000a_"/>
    <x v="168"/>
    <s v=""/>
    <x v="0"/>
    <n v="37.5"/>
    <n v="0"/>
    <x v="1"/>
    <s v="Received"/>
    <s v="SAUDI VITRIFIED CLAY PIPE CO"/>
    <x v="3"/>
    <x v="10"/>
    <x v="27"/>
    <n v="12"/>
    <n v="2025"/>
    <m/>
  </r>
  <r>
    <x v="5"/>
    <x v="62"/>
    <x v="9"/>
    <s v="Dr TI ILC Comm/Other Charges                                          _x000a_POC003-283519526                                                      _x000a_At Bank Aljazira                                                      _x000a_ CORPORATE BANKING DEPT-JEDDAH                                        _x000a_Exchange Rate 1.0                                                     _x000a_Date 05-07-1447(H) Time 14.02.12                                      _x000a_Reference ILC-0840-25-7517                                            _x000a_Value Date 05-07-1447(H)                                              _x000a_Fee Collected By Bank AlJazira                                        _x000a_"/>
    <x v="168"/>
    <s v=""/>
    <x v="0"/>
    <n v="200"/>
    <n v="0"/>
    <x v="2"/>
    <s v="Received"/>
    <s v="SAUDI VITRIFIED CLAY PIPE CO"/>
    <x v="3"/>
    <x v="10"/>
    <x v="27"/>
    <n v="12"/>
    <n v="2025"/>
    <m/>
  </r>
  <r>
    <x v="5"/>
    <x v="62"/>
    <x v="9"/>
    <s v="Value Added Tax                                                       _x000a_On SWIFT charges                                                      _x000a_15% of SAR200.00                                                      _x000a_Through CORPORATE BANKING DEPT-JEDDAH                                 _x000a_Date 05-07-1447(H) Time 14.02.13                                      _x000a_Reference ILC-0840-25-7517                                            _x000a_At Bank Aljazira                                                      _x000a_Exchange Rate 1.0                                                     _x000a_"/>
    <x v="168"/>
    <s v=""/>
    <x v="0"/>
    <n v="30"/>
    <n v="0"/>
    <x v="1"/>
    <s v="Received"/>
    <s v="SAUDI VITRIFIED CLAY PIPE CO"/>
    <x v="3"/>
    <x v="10"/>
    <x v="27"/>
    <n v="12"/>
    <n v="2025"/>
    <m/>
  </r>
  <r>
    <x v="1"/>
    <x v="63"/>
    <x v="3"/>
    <s v="CUSTOMER = 3972500 DEAL AMT = 68988.28 DEAL CCY = EUR TAX CODE = 1 "/>
    <x v="331"/>
    <s v="TF2535200021"/>
    <x v="0"/>
    <n v="-37.5"/>
    <n v="0"/>
    <x v="1"/>
    <s v="Received"/>
    <s v="Osalas GMBH"/>
    <x v="0"/>
    <x v="14"/>
    <x v="27"/>
    <n v="12"/>
    <n v="2025"/>
    <m/>
  </r>
  <r>
    <x v="1"/>
    <x v="63"/>
    <x v="3"/>
    <s v="LC SWIFT CHARGES FOR LC NO. TF2535200021\BNK"/>
    <x v="331"/>
    <s v="TF2535200021"/>
    <x v="0"/>
    <n v="-250"/>
    <n v="0"/>
    <x v="3"/>
    <s v="Received"/>
    <s v="Osalas GMBH"/>
    <x v="0"/>
    <x v="14"/>
    <x v="27"/>
    <n v="12"/>
    <n v="2025"/>
    <m/>
  </r>
  <r>
    <x v="1"/>
    <x v="63"/>
    <x v="3"/>
    <s v="CUSTOMER = 3972500 DEAL AMT = 68988.28 DEAL CCY = EUR TAX CODE = 1 "/>
    <x v="331"/>
    <s v="TF2535200021"/>
    <x v="0"/>
    <n v="-10348.24"/>
    <n v="0"/>
    <x v="1"/>
    <s v="Received"/>
    <s v="Osalas GMBH"/>
    <x v="0"/>
    <x v="14"/>
    <x v="27"/>
    <n v="12"/>
    <n v="2025"/>
    <m/>
  </r>
  <r>
    <x v="1"/>
    <x v="63"/>
    <x v="3"/>
    <s v="LC AMENDMENT COMMISSION FOR LC NO. TF2535200021\BNK"/>
    <x v="331"/>
    <s v="TF2535200021"/>
    <x v="0"/>
    <n v="-68988.28"/>
    <n v="0"/>
    <x v="5"/>
    <s v="Received"/>
    <s v="Osalas GMBH"/>
    <x v="0"/>
    <x v="14"/>
    <x v="27"/>
    <n v="12"/>
    <n v="2025"/>
    <m/>
  </r>
  <r>
    <x v="2"/>
    <x v="63"/>
    <x v="4"/>
    <s v="CITY:Jeddah 6132225J210676001"/>
    <x v="332"/>
    <s v="J210676001"/>
    <x v="0"/>
    <n v="-6019158.46"/>
    <n v="0"/>
    <x v="4"/>
    <s v="Received"/>
    <s v="APTEC SAUDI ARABIA"/>
    <x v="10"/>
    <x v="14"/>
    <x v="27"/>
    <n v="12"/>
    <n v="2025"/>
    <m/>
  </r>
  <r>
    <x v="2"/>
    <x v="63"/>
    <x v="4"/>
    <s v="CITY:Jeddah 6132225J210944002"/>
    <x v="266"/>
    <s v="J210944002"/>
    <x v="0"/>
    <n v="-488824.87"/>
    <n v="0"/>
    <x v="4"/>
    <s v="Received"/>
    <s v="Mohammed A. Al-Awani Trading"/>
    <x v="0"/>
    <x v="7"/>
    <x v="27"/>
    <n v="12"/>
    <n v="2025"/>
    <m/>
  </r>
  <r>
    <x v="3"/>
    <x v="63"/>
    <x v="5"/>
    <s v="DPBEPM623300WPM DCBWPM563814"/>
    <x v="62"/>
    <s v="DPBEPM623300WPM"/>
    <x v="0"/>
    <n v="-806347.93"/>
    <n v="0"/>
    <x v="4"/>
    <s v="Received"/>
    <s v="ALFANAR ELECTRICAL SYSTEMS"/>
    <x v="3"/>
    <x v="8"/>
    <x v="27"/>
    <n v="12"/>
    <n v="2025"/>
    <m/>
  </r>
  <r>
    <x v="3"/>
    <x v="63"/>
    <x v="6"/>
    <s v="DC ISSUE COMM CHARGES DCBWPM570839"/>
    <x v="340"/>
    <s v="DCBWPM570839"/>
    <x v="0"/>
    <n v="-50772.51"/>
    <n v="0"/>
    <x v="2"/>
    <s v="Received"/>
    <s v="MASQ FOR ELECTRICAL TOOLS CO"/>
    <x v="3"/>
    <x v="9"/>
    <x v="27"/>
    <n v="12"/>
    <n v="2025"/>
    <m/>
  </r>
  <r>
    <x v="3"/>
    <x v="63"/>
    <x v="6"/>
    <s v="IMP BILL AMEND. CHARGES DPBCOR629548WPM DCBWPM565824"/>
    <x v="320"/>
    <s v="DPBCOR629548WPM"/>
    <x v="0"/>
    <n v="-8454.44"/>
    <n v="0"/>
    <x v="2"/>
    <s v="Received"/>
    <s v="DAIKIN AIR CONDITIONING SAUDI ARABIA LLC "/>
    <x v="3"/>
    <x v="9"/>
    <x v="27"/>
    <n v="12"/>
    <n v="2025"/>
    <m/>
  </r>
  <r>
    <x v="1"/>
    <x v="64"/>
    <x v="3"/>
    <s v="CUSTOMER = 3972500 DEAL AMT = 75 DEAL CCY = SAR TAX CODE = 1 "/>
    <x v="273"/>
    <s v="TF252360002201"/>
    <x v="0"/>
    <n v="-11.25"/>
    <n v="0"/>
    <x v="1"/>
    <s v="Received"/>
    <s v="STAR SQUARES CO. LTD."/>
    <x v="3"/>
    <x v="5"/>
    <x v="27"/>
    <n v="12"/>
    <n v="2025"/>
    <m/>
  </r>
  <r>
    <x v="1"/>
    <x v="64"/>
    <x v="3"/>
    <s v="LC SWIFT CHARGES FOR LC NO. TF252360002201\BNK"/>
    <x v="273"/>
    <s v="TF252360002201"/>
    <x v="0"/>
    <n v="-75"/>
    <n v="0"/>
    <x v="3"/>
    <s v="Received"/>
    <s v="STAR SQUARES CO. LTD."/>
    <x v="3"/>
    <x v="5"/>
    <x v="27"/>
    <n v="12"/>
    <n v="2025"/>
    <m/>
  </r>
  <r>
    <x v="1"/>
    <x v="64"/>
    <x v="3"/>
    <s v="REIMBURSE UNDER LCS DR FOR LC NO. TF252360002201\BNK"/>
    <x v="273"/>
    <s v="TF252360002201"/>
    <x v="0"/>
    <n v="-200000"/>
    <n v="0"/>
    <x v="4"/>
    <s v="Received"/>
    <s v="STAR SQUARES CO. LTD."/>
    <x v="3"/>
    <x v="5"/>
    <x v="27"/>
    <n v="12"/>
    <n v="2025"/>
    <m/>
  </r>
  <r>
    <x v="0"/>
    <x v="64"/>
    <x v="0"/>
    <s v="REF 000000JLC6801271,RB REF JLC6801271,VIA CORE SYSTEM,DATE-TIME 29/12-17:20:41, عن طريق النظام الآ لي ,VALUE DT 29/12/25"/>
    <x v="155"/>
    <s v=""/>
    <x v="0"/>
    <n v="687.6"/>
    <n v="0"/>
    <x v="5"/>
    <s v="Received"/>
    <s v="SAMSARA SRL"/>
    <x v="0"/>
    <x v="0"/>
    <x v="27"/>
    <n v="12"/>
    <n v="2025"/>
    <m/>
  </r>
  <r>
    <x v="0"/>
    <x v="64"/>
    <x v="1"/>
    <s v="REF 000000JLC6701731,RB REF JLC6701731,VIA CORE SYSTEM,DATE-TIME 29/12-17:18:31, عن طريق النظام الآ لي ,VALUE DT 29/12/25"/>
    <x v="96"/>
    <s v=""/>
    <x v="0"/>
    <n v="5946.29"/>
    <n v="0"/>
    <x v="5"/>
    <s v="Received"/>
    <s v="ATELIER HOSPITALITY SRL"/>
    <x v="0"/>
    <x v="0"/>
    <x v="27"/>
    <n v="12"/>
    <n v="2025"/>
    <m/>
  </r>
  <r>
    <x v="0"/>
    <x v="64"/>
    <x v="0"/>
    <s v="REF 000000JLC6801573,RB REF JLC6801573,VIA CORE SYSTEM,DATE-TIME 29/12-16:58:49, عن طريق النظام الآ لي ,VALUE DT 29/12/25"/>
    <x v="0"/>
    <s v=""/>
    <x v="0"/>
    <n v="2174.36"/>
    <n v="0"/>
    <x v="5"/>
    <s v="Received"/>
    <s v="Visio INC"/>
    <x v="0"/>
    <x v="0"/>
    <x v="27"/>
    <n v="12"/>
    <n v="2025"/>
    <m/>
  </r>
  <r>
    <x v="3"/>
    <x v="64"/>
    <x v="6"/>
    <s v="VAT MANUAL COLLECTION 262-307200-001 PEBGCU566430 197,611.33 SA SABB 095-918835-001 BENF ID : 29DEC25 11:52:51"/>
    <x v="339"/>
    <s v="PEBGCU566430"/>
    <x v="0"/>
    <n v="-29641.7"/>
    <n v="0"/>
    <x v="21"/>
    <s v="Transfer"/>
    <s v="Performance - SIXTY INVESTMENT CO"/>
    <x v="1"/>
    <x v="2"/>
    <x v="27"/>
    <n v="12"/>
    <n v="2025"/>
    <m/>
  </r>
  <r>
    <x v="3"/>
    <x v="64"/>
    <x v="6"/>
    <s v="DPBCOR625351WPM DCBWPM564579"/>
    <x v="180"/>
    <s v="DPBCOR625351WPM"/>
    <x v="0"/>
    <n v="-295975"/>
    <n v="0"/>
    <x v="4"/>
    <s v="Received"/>
    <s v="Depth Modern Technologies"/>
    <x v="4"/>
    <x v="1"/>
    <x v="27"/>
    <n v="12"/>
    <n v="2025"/>
    <m/>
  </r>
  <r>
    <x v="3"/>
    <x v="64"/>
    <x v="6"/>
    <s v="IMP BILL AMEND. CHARGES DPBCOR629572WPM DCBWPM567556"/>
    <x v="102"/>
    <s v="DPBCOR629572WPM"/>
    <x v="0"/>
    <n v="-2185.02"/>
    <n v="0"/>
    <x v="2"/>
    <s v="Received"/>
    <s v="Building System Intelligent Est."/>
    <x v="3"/>
    <x v="9"/>
    <x v="27"/>
    <n v="12"/>
    <n v="2025"/>
    <m/>
  </r>
  <r>
    <x v="0"/>
    <x v="65"/>
    <x v="0"/>
    <s v="REF 000000JLC6901431,RB REF JLC6901431,VIA CORE SYSTEM,DATE-TIME 30/12-10:49:49, عن طريق النظام الآ لي ,VALUE DT 30/12/25"/>
    <x v="95"/>
    <s v=""/>
    <x v="0"/>
    <n v="8733.42"/>
    <n v="0"/>
    <x v="2"/>
    <s v="Received"/>
    <s v="Mat Filtrasyon Teknolojeleri A.S"/>
    <x v="0"/>
    <x v="3"/>
    <x v="3"/>
    <n v="12"/>
    <n v="2025"/>
    <m/>
  </r>
  <r>
    <x v="2"/>
    <x v="65"/>
    <x v="4"/>
    <s v="CITY:Jeddah 6132225J210676002"/>
    <x v="332"/>
    <s v="J210676002"/>
    <x v="0"/>
    <n v="-1325637.25"/>
    <n v="0"/>
    <x v="4"/>
    <s v="Received"/>
    <s v="APTEC SAUDI ARABIA"/>
    <x v="10"/>
    <x v="14"/>
    <x v="27"/>
    <n v="12"/>
    <n v="2025"/>
    <m/>
  </r>
  <r>
    <x v="2"/>
    <x v="65"/>
    <x v="4"/>
    <s v="CITY:Jeddah 6132225J210604004"/>
    <x v="135"/>
    <s v="J210604004"/>
    <x v="0"/>
    <n v="-613.33000000000004"/>
    <n v="0"/>
    <x v="5"/>
    <s v="Received"/>
    <s v="Electric House Trading Company L.L.C."/>
    <x v="3"/>
    <x v="5"/>
    <x v="27"/>
    <n v="12"/>
    <n v="2025"/>
    <m/>
  </r>
  <r>
    <x v="5"/>
    <x v="65"/>
    <x v="9"/>
    <s v="TI Bill Settled                                                       _x000a_POC004                                                                _x000a_At Bank AlJazira                                                      _x000a_CORPORATE BANKING DEPT-JEDDAH                                         _x000a_Date 10-07-1447(H) Time 10.39.18                                      _x000a_Reference ILC-0840-25-7173                                            _x000a_"/>
    <x v="166"/>
    <s v=""/>
    <x v="0"/>
    <n v="1000000"/>
    <n v="0"/>
    <x v="4"/>
    <s v="Received"/>
    <s v="AL-Tawi Ready Mix Concrete Factory Co"/>
    <x v="3"/>
    <x v="10"/>
    <x v="27"/>
    <n v="12"/>
    <n v="2025"/>
    <m/>
  </r>
  <r>
    <x v="1"/>
    <x v="66"/>
    <x v="3"/>
    <s v="CUSTOMER = 3972500 DEAL AMT = 500.00 DEAL CCY = SAR TAX CODE = 1 "/>
    <x v="202"/>
    <s v="TF2508300056"/>
    <x v="0"/>
    <n v="-37.5"/>
    <n v="0"/>
    <x v="1"/>
    <s v="Received"/>
    <s v="Afaq Al Malaz Trading Co Ltd"/>
    <x v="3"/>
    <x v="5"/>
    <x v="27"/>
    <n v="12"/>
    <n v="2025"/>
    <m/>
  </r>
  <r>
    <x v="1"/>
    <x v="66"/>
    <x v="3"/>
    <s v="CUSTOMER = 3972500 DEAL AMT = 500.00 DEAL CCY = SAR TAX CODE = 1 "/>
    <x v="202"/>
    <s v="TF2508300056"/>
    <x v="0"/>
    <n v="-75"/>
    <n v="0"/>
    <x v="1"/>
    <s v="Received"/>
    <s v="Afaq Al Malaz Trading Co Ltd"/>
    <x v="3"/>
    <x v="5"/>
    <x v="27"/>
    <n v="12"/>
    <n v="2025"/>
    <m/>
  </r>
  <r>
    <x v="1"/>
    <x v="66"/>
    <x v="3"/>
    <s v="LC SWIFT CHARGES FOR LC NO. TF2508300056\BNK"/>
    <x v="202"/>
    <s v="TF2508300056"/>
    <x v="0"/>
    <n v="-250"/>
    <n v="0"/>
    <x v="3"/>
    <s v="Received"/>
    <s v="Afaq Al Malaz Trading Co Ltd"/>
    <x v="3"/>
    <x v="5"/>
    <x v="27"/>
    <n v="12"/>
    <n v="2025"/>
    <m/>
  </r>
  <r>
    <x v="1"/>
    <x v="66"/>
    <x v="3"/>
    <s v="LC AMENDMENT COMMISSION FOR LC NO. TF2508300056\BNK"/>
    <x v="202"/>
    <s v="TF2508300056"/>
    <x v="0"/>
    <n v="-500"/>
    <n v="0"/>
    <x v="5"/>
    <s v="Received"/>
    <s v="Afaq Al Malaz Trading Co Ltd"/>
    <x v="3"/>
    <x v="5"/>
    <x v="27"/>
    <n v="12"/>
    <n v="2025"/>
    <m/>
  </r>
  <r>
    <x v="1"/>
    <x v="66"/>
    <x v="3"/>
    <s v="CUSTOMER = 3972500 DEAL AMT = 500.00 DEAL CCY = SAR TAX CODE = 1 "/>
    <x v="203"/>
    <s v="TF2509900019"/>
    <x v="0"/>
    <n v="-37.5"/>
    <n v="0"/>
    <x v="1"/>
    <s v="Received"/>
    <s v="SKM AIR CONDITIONING CO"/>
    <x v="3"/>
    <x v="6"/>
    <x v="27"/>
    <n v="12"/>
    <n v="2025"/>
    <m/>
  </r>
  <r>
    <x v="1"/>
    <x v="66"/>
    <x v="3"/>
    <s v="CUSTOMER = 3972500 DEAL AMT = 500.00 DEAL CCY = SAR TAX CODE = 1 "/>
    <x v="203"/>
    <s v="TF2509900019"/>
    <x v="0"/>
    <n v="-75"/>
    <n v="0"/>
    <x v="1"/>
    <s v="Received"/>
    <s v="SKM AIR CONDITIONING CO"/>
    <x v="3"/>
    <x v="6"/>
    <x v="27"/>
    <n v="12"/>
    <n v="2025"/>
    <m/>
  </r>
  <r>
    <x v="1"/>
    <x v="66"/>
    <x v="3"/>
    <s v="LC SWIFT CHARGES FOR LC NO. TF2509900019\BNK"/>
    <x v="203"/>
    <s v="TF2509900019"/>
    <x v="0"/>
    <n v="-250"/>
    <n v="0"/>
    <x v="3"/>
    <s v="Received"/>
    <s v="SKM AIR CONDITIONING CO"/>
    <x v="3"/>
    <x v="6"/>
    <x v="27"/>
    <n v="12"/>
    <n v="2025"/>
    <m/>
  </r>
  <r>
    <x v="1"/>
    <x v="66"/>
    <x v="3"/>
    <s v="LC AMENDMENT COMMISSION FOR LC NO. TF2509900019\BNK"/>
    <x v="203"/>
    <s v="TF2509900019"/>
    <x v="0"/>
    <n v="-500"/>
    <n v="0"/>
    <x v="5"/>
    <s v="Received"/>
    <s v="SKM AIR CONDITIONING CO"/>
    <x v="3"/>
    <x v="6"/>
    <x v="27"/>
    <n v="12"/>
    <n v="2025"/>
    <m/>
  </r>
  <r>
    <x v="1"/>
    <x v="66"/>
    <x v="3"/>
    <s v="CUSTOMER = 3972500 DEAL AMT = 500.00 DEAL CCY = SAR TAX CODE = 1 "/>
    <x v="204"/>
    <s v="TF2513100027"/>
    <x v="0"/>
    <n v="-37.5"/>
    <n v="0"/>
    <x v="1"/>
    <s v="Received"/>
    <s v="ALBYT ALTHAKI TRADING CO"/>
    <x v="3"/>
    <x v="5"/>
    <x v="27"/>
    <n v="12"/>
    <n v="2025"/>
    <m/>
  </r>
  <r>
    <x v="1"/>
    <x v="66"/>
    <x v="3"/>
    <s v="CUSTOMER = 3972500 DEAL AMT = 500.00 DEAL CCY = SAR TAX CODE = 1 "/>
    <x v="204"/>
    <s v="TF2513100027"/>
    <x v="0"/>
    <n v="-75"/>
    <n v="0"/>
    <x v="1"/>
    <s v="Received"/>
    <s v="ALBYT ALTHAKI TRADING CO"/>
    <x v="3"/>
    <x v="5"/>
    <x v="27"/>
    <n v="12"/>
    <n v="2025"/>
    <m/>
  </r>
  <r>
    <x v="1"/>
    <x v="66"/>
    <x v="3"/>
    <s v="LC SWIFT CHARGES FOR LC NO. TF2513100027\BNK"/>
    <x v="204"/>
    <s v="TF2513100027"/>
    <x v="0"/>
    <n v="-250"/>
    <n v="0"/>
    <x v="3"/>
    <s v="Received"/>
    <s v="ALBYT ALTHAKI TRADING CO"/>
    <x v="3"/>
    <x v="5"/>
    <x v="27"/>
    <n v="12"/>
    <n v="2025"/>
    <m/>
  </r>
  <r>
    <x v="1"/>
    <x v="66"/>
    <x v="3"/>
    <s v="LC AMENDMENT COMMISSION FOR LC NO. TF2513100027\BNK"/>
    <x v="204"/>
    <s v="TF2513100027"/>
    <x v="0"/>
    <n v="-500"/>
    <n v="0"/>
    <x v="5"/>
    <s v="Received"/>
    <s v="ALBYT ALTHAKI TRADING CO"/>
    <x v="3"/>
    <x v="5"/>
    <x v="27"/>
    <n v="12"/>
    <n v="2025"/>
    <m/>
  </r>
  <r>
    <x v="1"/>
    <x v="66"/>
    <x v="3"/>
    <s v="CUSTOMER = 3972500 DEAL AMT = 500.00 DEAL CCY = SAR TAX CODE = 1 "/>
    <x v="205"/>
    <s v="TF2513500019"/>
    <x v="0"/>
    <n v="-37.5"/>
    <n v="0"/>
    <x v="1"/>
    <s v="Received"/>
    <s v="MASDAR TECHNICAL Supplies CO."/>
    <x v="3"/>
    <x v="5"/>
    <x v="27"/>
    <n v="12"/>
    <n v="2025"/>
    <m/>
  </r>
  <r>
    <x v="1"/>
    <x v="66"/>
    <x v="3"/>
    <s v="CUSTOMER = 3972500 DEAL AMT = 500.00 DEAL CCY = SAR TAX CODE = 1 "/>
    <x v="205"/>
    <s v="TF2513500019"/>
    <x v="0"/>
    <n v="-75"/>
    <n v="0"/>
    <x v="1"/>
    <s v="Received"/>
    <s v="MASDAR TECHNICAL Supplies CO."/>
    <x v="3"/>
    <x v="5"/>
    <x v="27"/>
    <n v="12"/>
    <n v="2025"/>
    <m/>
  </r>
  <r>
    <x v="1"/>
    <x v="66"/>
    <x v="3"/>
    <s v="LC SWIFT CHARGES FOR LC NO. TF2513500019\BNK"/>
    <x v="205"/>
    <s v="TF2513500019"/>
    <x v="0"/>
    <n v="-250"/>
    <n v="0"/>
    <x v="3"/>
    <s v="Received"/>
    <s v="MASDAR TECHNICAL Supplies CO."/>
    <x v="3"/>
    <x v="5"/>
    <x v="27"/>
    <n v="12"/>
    <n v="2025"/>
    <m/>
  </r>
  <r>
    <x v="1"/>
    <x v="66"/>
    <x v="3"/>
    <s v="LC AMENDMENT COMMISSION FOR LC NO. TF2513500019\BNK"/>
    <x v="205"/>
    <s v="TF2513500019"/>
    <x v="0"/>
    <n v="-500"/>
    <n v="0"/>
    <x v="5"/>
    <s v="Received"/>
    <s v="MASDAR TECHNICAL Supplies CO."/>
    <x v="3"/>
    <x v="5"/>
    <x v="27"/>
    <n v="12"/>
    <n v="2025"/>
    <m/>
  </r>
  <r>
    <x v="1"/>
    <x v="66"/>
    <x v="3"/>
    <s v="CUSTOMER = 3972500 DEAL AMT = 500.00 DEAL CCY = SAR TAX CODE = 1 "/>
    <x v="208"/>
    <s v="TF2514700025"/>
    <x v="0"/>
    <n v="-37.5"/>
    <n v="0"/>
    <x v="1"/>
    <s v="Received"/>
    <s v="ALBYT ALTHAKI TRADING CO"/>
    <x v="3"/>
    <x v="5"/>
    <x v="27"/>
    <n v="12"/>
    <n v="2025"/>
    <m/>
  </r>
  <r>
    <x v="1"/>
    <x v="66"/>
    <x v="3"/>
    <s v="CUSTOMER = 3972500 DEAL AMT = 500.00 DEAL CCY = SAR TAX CODE = 1 "/>
    <x v="208"/>
    <s v="TF2514700025"/>
    <x v="0"/>
    <n v="-75"/>
    <n v="0"/>
    <x v="1"/>
    <s v="Received"/>
    <s v="ALBYT ALTHAKI TRADING CO"/>
    <x v="3"/>
    <x v="5"/>
    <x v="27"/>
    <n v="12"/>
    <n v="2025"/>
    <m/>
  </r>
  <r>
    <x v="1"/>
    <x v="66"/>
    <x v="3"/>
    <s v="LC SWIFT CHARGES FOR LC NO. TF2514700025\BNK"/>
    <x v="208"/>
    <s v="TF2514700025"/>
    <x v="0"/>
    <n v="-250"/>
    <n v="0"/>
    <x v="3"/>
    <s v="Received"/>
    <s v="ALBYT ALTHAKI TRADING CO"/>
    <x v="3"/>
    <x v="5"/>
    <x v="27"/>
    <n v="12"/>
    <n v="2025"/>
    <m/>
  </r>
  <r>
    <x v="1"/>
    <x v="66"/>
    <x v="3"/>
    <s v="LC AMENDMENT COMMISSION FOR LC NO. TF2514700025\BNK"/>
    <x v="208"/>
    <s v="TF2514700025"/>
    <x v="0"/>
    <n v="-500"/>
    <n v="0"/>
    <x v="5"/>
    <s v="Received"/>
    <s v="ALBYT ALTHAKI TRADING CO"/>
    <x v="3"/>
    <x v="5"/>
    <x v="27"/>
    <n v="12"/>
    <n v="2025"/>
    <m/>
  </r>
  <r>
    <x v="1"/>
    <x v="66"/>
    <x v="3"/>
    <s v="CUSTOMER = 3972500 DEAL AMT = 500.00 DEAL CCY = SAR TAX CODE = 1 "/>
    <x v="27"/>
    <s v="TF2514700033"/>
    <x v="0"/>
    <n v="-37.5"/>
    <n v="0"/>
    <x v="1"/>
    <s v="Received"/>
    <s v="GAS SOLUTIONS"/>
    <x v="3"/>
    <x v="5"/>
    <x v="27"/>
    <n v="12"/>
    <n v="2025"/>
    <m/>
  </r>
  <r>
    <x v="1"/>
    <x v="66"/>
    <x v="3"/>
    <s v="CUSTOMER = 3972500 DEAL AMT = 500.00 DEAL CCY = SAR TAX CODE = 1 "/>
    <x v="27"/>
    <s v="TF2514700033"/>
    <x v="0"/>
    <n v="-75"/>
    <n v="0"/>
    <x v="1"/>
    <s v="Received"/>
    <s v="GAS SOLUTIONS"/>
    <x v="3"/>
    <x v="5"/>
    <x v="27"/>
    <n v="12"/>
    <n v="2025"/>
    <m/>
  </r>
  <r>
    <x v="1"/>
    <x v="66"/>
    <x v="3"/>
    <s v="LC SWIFT CHARGES FOR LC NO. TF2514700033\BNK"/>
    <x v="27"/>
    <s v="TF2514700033"/>
    <x v="0"/>
    <n v="-250"/>
    <n v="0"/>
    <x v="3"/>
    <s v="Received"/>
    <s v="GAS SOLUTIONS"/>
    <x v="3"/>
    <x v="5"/>
    <x v="27"/>
    <n v="12"/>
    <n v="2025"/>
    <m/>
  </r>
  <r>
    <x v="1"/>
    <x v="66"/>
    <x v="3"/>
    <s v="LC AMENDMENT COMMISSION FOR LC NO. TF2514700033\BNK"/>
    <x v="27"/>
    <s v="TF2514700033"/>
    <x v="0"/>
    <n v="-500"/>
    <n v="0"/>
    <x v="5"/>
    <s v="Received"/>
    <s v="GAS SOLUTIONS"/>
    <x v="3"/>
    <x v="5"/>
    <x v="27"/>
    <n v="12"/>
    <n v="2025"/>
    <m/>
  </r>
  <r>
    <x v="1"/>
    <x v="66"/>
    <x v="3"/>
    <s v="CUSTOMER = 3972500 DEAL AMT = 500.00 DEAL CCY = SAR TAX CODE = 1 "/>
    <x v="183"/>
    <s v="TF2514700037"/>
    <x v="0"/>
    <n v="-37.5"/>
    <n v="0"/>
    <x v="1"/>
    <s v="Received"/>
    <s v="NAJM AL FALAK TRADING CO."/>
    <x v="3"/>
    <x v="5"/>
    <x v="27"/>
    <n v="12"/>
    <n v="2025"/>
    <m/>
  </r>
  <r>
    <x v="1"/>
    <x v="66"/>
    <x v="3"/>
    <s v="CUSTOMER = 3972500 DEAL AMT = 500.00 DEAL CCY = SAR TAX CODE = 1 "/>
    <x v="183"/>
    <s v="TF2514700037"/>
    <x v="0"/>
    <n v="-75"/>
    <n v="0"/>
    <x v="1"/>
    <s v="Received"/>
    <s v="NAJM AL FALAK TRADING CO."/>
    <x v="3"/>
    <x v="5"/>
    <x v="27"/>
    <n v="12"/>
    <n v="2025"/>
    <m/>
  </r>
  <r>
    <x v="1"/>
    <x v="66"/>
    <x v="3"/>
    <s v="LC SWIFT CHARGES FOR LC NO. TF2514700037\BNK"/>
    <x v="183"/>
    <s v="TF2514700037"/>
    <x v="0"/>
    <n v="-250"/>
    <n v="0"/>
    <x v="3"/>
    <s v="Received"/>
    <s v="NAJM AL FALAK TRADING CO."/>
    <x v="3"/>
    <x v="5"/>
    <x v="27"/>
    <n v="12"/>
    <n v="2025"/>
    <m/>
  </r>
  <r>
    <x v="1"/>
    <x v="66"/>
    <x v="3"/>
    <s v="LC AMENDMENT COMMISSION FOR LC NO. TF2514700037\BNK"/>
    <x v="183"/>
    <s v="TF2514700037"/>
    <x v="0"/>
    <n v="-500"/>
    <n v="0"/>
    <x v="5"/>
    <s v="Received"/>
    <s v="NAJM AL FALAK TRADING CO."/>
    <x v="3"/>
    <x v="5"/>
    <x v="27"/>
    <n v="12"/>
    <n v="2025"/>
    <m/>
  </r>
  <r>
    <x v="1"/>
    <x v="66"/>
    <x v="3"/>
    <s v="CUSTOMER = 3972500 DEAL AMT = 500.00 DEAL CCY = SAR TAX CODE = 1 "/>
    <x v="185"/>
    <s v="TF2517400019"/>
    <x v="0"/>
    <n v="-37.5"/>
    <n v="0"/>
    <x v="1"/>
    <s v="Received"/>
    <s v="AFAQ AL MALAZ TRADING CO. LTD"/>
    <x v="3"/>
    <x v="6"/>
    <x v="27"/>
    <n v="12"/>
    <n v="2025"/>
    <m/>
  </r>
  <r>
    <x v="1"/>
    <x v="66"/>
    <x v="3"/>
    <s v="CUSTOMER = 3972500 DEAL AMT = 500.00 DEAL CCY = SAR TAX CODE = 1 "/>
    <x v="185"/>
    <s v="TF2517400019"/>
    <x v="0"/>
    <n v="-75"/>
    <n v="0"/>
    <x v="1"/>
    <s v="Received"/>
    <s v="AFAQ AL MALAZ TRADING CO. LTD"/>
    <x v="3"/>
    <x v="6"/>
    <x v="27"/>
    <n v="12"/>
    <n v="2025"/>
    <m/>
  </r>
  <r>
    <x v="1"/>
    <x v="66"/>
    <x v="3"/>
    <s v="LC SWIFT CHARGES FOR LC NO. TF2517400019\BNK"/>
    <x v="185"/>
    <s v="TF2517400019"/>
    <x v="0"/>
    <n v="-250"/>
    <n v="0"/>
    <x v="3"/>
    <s v="Received"/>
    <s v="AFAQ AL MALAZ TRADING CO. LTD"/>
    <x v="3"/>
    <x v="6"/>
    <x v="27"/>
    <n v="12"/>
    <n v="2025"/>
    <m/>
  </r>
  <r>
    <x v="1"/>
    <x v="66"/>
    <x v="3"/>
    <s v="LC AMENDMENT COMMISSION FOR LC NO. TF2517400019\BNK"/>
    <x v="185"/>
    <s v="TF2517400019"/>
    <x v="0"/>
    <n v="-500"/>
    <n v="0"/>
    <x v="5"/>
    <s v="Received"/>
    <s v="AFAQ AL MALAZ TRADING CO. LTD"/>
    <x v="3"/>
    <x v="6"/>
    <x v="27"/>
    <n v="12"/>
    <n v="2025"/>
    <m/>
  </r>
  <r>
    <x v="1"/>
    <x v="66"/>
    <x v="3"/>
    <s v="CUSTOMER = 3972500 DEAL AMT = 500.00 DEAL CCY = SAR TAX CODE = 1 "/>
    <x v="31"/>
    <s v="TF2517400045"/>
    <x v="0"/>
    <n v="-37.5"/>
    <n v="0"/>
    <x v="1"/>
    <s v="Received"/>
    <s v="Almansha Almubasher Trading Company"/>
    <x v="3"/>
    <x v="6"/>
    <x v="27"/>
    <n v="12"/>
    <n v="2025"/>
    <m/>
  </r>
  <r>
    <x v="1"/>
    <x v="66"/>
    <x v="3"/>
    <s v="CUSTOMER = 3972500 DEAL AMT = 500.00 DEAL CCY = SAR TAX CODE = 1 "/>
    <x v="31"/>
    <s v="TF2517400045"/>
    <x v="0"/>
    <n v="-75"/>
    <n v="0"/>
    <x v="1"/>
    <s v="Received"/>
    <s v="Almansha Almubasher Trading Company"/>
    <x v="3"/>
    <x v="6"/>
    <x v="27"/>
    <n v="12"/>
    <n v="2025"/>
    <m/>
  </r>
  <r>
    <x v="1"/>
    <x v="66"/>
    <x v="3"/>
    <s v="LC SWIFT CHARGES FOR LC NO. TF2517400045\BNK"/>
    <x v="31"/>
    <s v="TF2517400045"/>
    <x v="0"/>
    <n v="-250"/>
    <n v="0"/>
    <x v="3"/>
    <s v="Received"/>
    <s v="Almansha Almubasher Trading Company"/>
    <x v="3"/>
    <x v="6"/>
    <x v="27"/>
    <n v="12"/>
    <n v="2025"/>
    <m/>
  </r>
  <r>
    <x v="1"/>
    <x v="66"/>
    <x v="3"/>
    <s v="LC AMENDMENT COMMISSION FOR LC NO. TF2517400045\BNK"/>
    <x v="31"/>
    <s v="TF2517400045"/>
    <x v="0"/>
    <n v="-500"/>
    <n v="0"/>
    <x v="5"/>
    <s v="Received"/>
    <s v="Almansha Almubasher Trading Company"/>
    <x v="3"/>
    <x v="6"/>
    <x v="27"/>
    <n v="12"/>
    <n v="2025"/>
    <m/>
  </r>
  <r>
    <x v="1"/>
    <x v="66"/>
    <x v="3"/>
    <s v="CUSTOMER = 3972500 DEAL AMT = 893.02 DEAL CCY = SAR TAX CODE = 1 "/>
    <x v="186"/>
    <s v="TF2517400098"/>
    <x v="0"/>
    <n v="-37.5"/>
    <n v="0"/>
    <x v="1"/>
    <s v="Received"/>
    <s v="SKM AIR CONDITIONING CO"/>
    <x v="3"/>
    <x v="6"/>
    <x v="27"/>
    <n v="12"/>
    <n v="2025"/>
    <m/>
  </r>
  <r>
    <x v="1"/>
    <x v="66"/>
    <x v="3"/>
    <s v="CUSTOMER = 3972500 DEAL AMT = 893.02 DEAL CCY = SAR TAX CODE = 1 "/>
    <x v="186"/>
    <s v="TF2517400098"/>
    <x v="0"/>
    <n v="-133.94999999999999"/>
    <n v="0"/>
    <x v="1"/>
    <s v="Received"/>
    <s v="SKM AIR CONDITIONING CO"/>
    <x v="3"/>
    <x v="6"/>
    <x v="27"/>
    <n v="12"/>
    <n v="2025"/>
    <m/>
  </r>
  <r>
    <x v="1"/>
    <x v="66"/>
    <x v="3"/>
    <s v="LC SWIFT CHARGES FOR LC NO. TF2517400098\BNK"/>
    <x v="186"/>
    <s v="TF2517400098"/>
    <x v="0"/>
    <n v="-250"/>
    <n v="0"/>
    <x v="3"/>
    <s v="Received"/>
    <s v="SKM AIR CONDITIONING CO"/>
    <x v="3"/>
    <x v="6"/>
    <x v="27"/>
    <n v="12"/>
    <n v="2025"/>
    <m/>
  </r>
  <r>
    <x v="1"/>
    <x v="66"/>
    <x v="3"/>
    <s v="LC AMENDMENT COMMISSION FOR LC NO. TF2517400098\BNK"/>
    <x v="186"/>
    <s v="TF2517400098"/>
    <x v="0"/>
    <n v="-893.02"/>
    <n v="0"/>
    <x v="5"/>
    <s v="Received"/>
    <s v="SKM AIR CONDITIONING CO"/>
    <x v="3"/>
    <x v="6"/>
    <x v="27"/>
    <n v="12"/>
    <n v="2025"/>
    <m/>
  </r>
  <r>
    <x v="1"/>
    <x v="66"/>
    <x v="3"/>
    <s v="CUSTOMER = 3972500 DEAL AMT = 1250 DEAL CCY = SAR TAX CODE = 1 "/>
    <x v="187"/>
    <s v="TF251770002801"/>
    <x v="0"/>
    <n v="-187.5"/>
    <n v="0"/>
    <x v="1"/>
    <s v="Received"/>
    <s v="MAHAWAR AL JAZEERA CONTRACTING CO."/>
    <x v="3"/>
    <x v="6"/>
    <x v="27"/>
    <n v="12"/>
    <n v="2025"/>
    <m/>
  </r>
  <r>
    <x v="1"/>
    <x v="66"/>
    <x v="3"/>
    <s v="LC ACCEPTANCE COMMISSION FOR LC NO. TF251770002801\BNK"/>
    <x v="187"/>
    <s v="TF251770002801"/>
    <x v="0"/>
    <n v="-1250"/>
    <n v="0"/>
    <x v="2"/>
    <s v="Received"/>
    <s v="MAHAWAR AL JAZEERA CONTRACTING CO."/>
    <x v="3"/>
    <x v="6"/>
    <x v="27"/>
    <n v="12"/>
    <n v="2025"/>
    <m/>
  </r>
  <r>
    <x v="1"/>
    <x v="66"/>
    <x v="3"/>
    <s v="CUSTOMER = 3972500 DEAL AMT = 500.00 DEAL CCY = SAR TAX CODE = 1 "/>
    <x v="188"/>
    <s v="TF2517700087"/>
    <x v="0"/>
    <n v="-37.5"/>
    <n v="0"/>
    <x v="1"/>
    <s v="Received"/>
    <s v="STAR SQUARES CO LTD"/>
    <x v="3"/>
    <x v="6"/>
    <x v="27"/>
    <n v="12"/>
    <n v="2025"/>
    <m/>
  </r>
  <r>
    <x v="1"/>
    <x v="66"/>
    <x v="3"/>
    <s v="CUSTOMER = 3972500 DEAL AMT = 500.00 DEAL CCY = SAR TAX CODE = 1 "/>
    <x v="188"/>
    <s v="TF2517700087"/>
    <x v="0"/>
    <n v="-75"/>
    <n v="0"/>
    <x v="1"/>
    <s v="Received"/>
    <s v="STAR SQUARES CO LTD"/>
    <x v="3"/>
    <x v="6"/>
    <x v="27"/>
    <n v="12"/>
    <n v="2025"/>
    <m/>
  </r>
  <r>
    <x v="1"/>
    <x v="66"/>
    <x v="3"/>
    <s v="LC SWIFT CHARGES FOR LC NO. TF2517700087\BNK"/>
    <x v="188"/>
    <s v="TF2517700087"/>
    <x v="0"/>
    <n v="-250"/>
    <n v="0"/>
    <x v="3"/>
    <s v="Received"/>
    <s v="STAR SQUARES CO LTD"/>
    <x v="3"/>
    <x v="6"/>
    <x v="27"/>
    <n v="12"/>
    <n v="2025"/>
    <m/>
  </r>
  <r>
    <x v="1"/>
    <x v="66"/>
    <x v="3"/>
    <s v="LC AMENDMENT COMMISSION FOR LC NO. TF2517700087\BNK"/>
    <x v="188"/>
    <s v="TF2517700087"/>
    <x v="0"/>
    <n v="-500"/>
    <n v="0"/>
    <x v="5"/>
    <s v="Received"/>
    <s v="STAR SQUARES CO LTD"/>
    <x v="3"/>
    <x v="6"/>
    <x v="27"/>
    <n v="12"/>
    <n v="2025"/>
    <m/>
  </r>
  <r>
    <x v="1"/>
    <x v="66"/>
    <x v="3"/>
    <s v="CUSTOMER = 3972500 DEAL AMT = 5000 DEAL CCY = SAR TAX CODE = 1 "/>
    <x v="275"/>
    <s v="TF253350001001"/>
    <x v="0"/>
    <n v="-750"/>
    <n v="0"/>
    <x v="1"/>
    <s v="Received"/>
    <s v="Depth Modern Technologies Co."/>
    <x v="3"/>
    <x v="5"/>
    <x v="27"/>
    <n v="12"/>
    <n v="2025"/>
    <m/>
  </r>
  <r>
    <x v="1"/>
    <x v="66"/>
    <x v="3"/>
    <s v="LC ACCEPTANCE COMMISSION FOR LC NO. TF253350001001\BNK"/>
    <x v="275"/>
    <s v="TF253350001001"/>
    <x v="0"/>
    <n v="-5000"/>
    <n v="0"/>
    <x v="2"/>
    <s v="Received"/>
    <s v="Depth Modern Technologies Co."/>
    <x v="3"/>
    <x v="5"/>
    <x v="27"/>
    <n v="12"/>
    <n v="2025"/>
    <m/>
  </r>
  <r>
    <x v="2"/>
    <x v="66"/>
    <x v="4"/>
    <s v="CITY:Jeddah 6132225J210104002"/>
    <x v="136"/>
    <s v="J210104002"/>
    <x v="0"/>
    <n v="-655.76"/>
    <n v="0"/>
    <x v="2"/>
    <s v="Received"/>
    <s v="BBH-CHEMTROL INTERNATIONAL ORGANIZATION S.L"/>
    <x v="4"/>
    <x v="11"/>
    <x v="27"/>
    <n v="12"/>
    <n v="2025"/>
    <m/>
  </r>
  <r>
    <x v="2"/>
    <x v="66"/>
    <x v="10"/>
    <s v="CITY:Jeddah 6132225B314277013"/>
    <x v="118"/>
    <s v="J2"/>
    <x v="2"/>
    <n v="-385250"/>
    <n v="0"/>
    <x v="19"/>
    <s v="Received"/>
    <s v="Material - JEDDAH CENTRAL DEVELOPMENT COMPANY (JCD)"/>
    <x v="1"/>
    <x v="11"/>
    <x v="27"/>
    <n v="12"/>
    <n v="2025"/>
    <m/>
  </r>
  <r>
    <x v="5"/>
    <x v="66"/>
    <x v="9"/>
    <s v="Dr TI ILC Comm/Other Charges                                          _x000a_POC002-284133547                                                      _x000a_At Bank Aljazira                                                      _x000a_ CORPORATE BANKING DEPT-JEDDAH                                        _x000a_Exchange Rate 1.0                                                     _x000a_Date 11-07-1447(H) Time 14.37.34                                      _x000a_Reference ILC-0840-25-8163                                            _x000a_Value Date 11-07-1447(H)                                              _x000a_Fee Collected By Bank AlJazira                                        _x000a_"/>
    <x v="341"/>
    <s v=""/>
    <x v="0"/>
    <n v="100"/>
    <n v="0"/>
    <x v="2"/>
    <s v="Received"/>
    <s v="EALAA FOR GENERAL CONTRACTING CO"/>
    <x v="3"/>
    <x v="10"/>
    <x v="27"/>
    <n v="12"/>
    <n v="2025"/>
    <m/>
  </r>
  <r>
    <x v="5"/>
    <x v="66"/>
    <x v="9"/>
    <s v="Value Added Tax                                                       _x000a_On ILC Acceptance Comm.                                               _x000a_15% of SAR100.00                                                      _x000a_Through CORPORATE BANKING DEPT-JEDDAH                                 _x000a_Date 11-07-1447(H) Time 14.37.34                                      _x000a_Reference ILC-0840-25-8163                                            _x000a_At Bank Aljazira                                                      _x000a_Exchange Rate 1.0                                                     _x000a_"/>
    <x v="341"/>
    <s v=""/>
    <x v="0"/>
    <n v="15"/>
    <n v="0"/>
    <x v="1"/>
    <s v="Received"/>
    <s v="EALAA FOR GENERAL CONTRACTING CO"/>
    <x v="3"/>
    <x v="10"/>
    <x v="27"/>
    <n v="12"/>
    <n v="2025"/>
    <m/>
  </r>
  <r>
    <x v="5"/>
    <x v="66"/>
    <x v="9"/>
    <s v="Dr TI ILC Comm/Other Charges                                          _x000a_POC002-284133589                                                      _x000a_At Bank Aljazira                                                      _x000a_ CORPORATE BANKING DEPT-JEDDAH                                        _x000a_Exchange Rate 1.0                                                     _x000a_Date 11-07-1447(H) Time 14.37.35                                      _x000a_Reference ILC-0840-25-8163                                            _x000a_Value Date 11-07-1447(H)                                              _x000a_Fee Collected By Bank AlJazira                                        _x000a_"/>
    <x v="341"/>
    <s v=""/>
    <x v="0"/>
    <n v="250"/>
    <n v="0"/>
    <x v="2"/>
    <s v="Received"/>
    <s v="EALAA FOR GENERAL CONTRACTING CO"/>
    <x v="3"/>
    <x v="10"/>
    <x v="27"/>
    <n v="12"/>
    <n v="2025"/>
    <m/>
  </r>
  <r>
    <x v="5"/>
    <x v="66"/>
    <x v="9"/>
    <s v="Value Added Tax                                                       _x000a_On ILC Acceptance Comm.                                               _x000a_15% of SAR250.00                                                      _x000a_Through CORPORATE BANKING DEPT-JEDDAH                                 _x000a_Date 11-07-1447(H) Time 14.37.35                                      _x000a_Reference ILC-0840-25-8163                                            _x000a_At Bank Aljazira                                                      _x000a_Exchange Rate 1.0                                                     _x000a_"/>
    <x v="341"/>
    <s v=""/>
    <x v="0"/>
    <n v="37.5"/>
    <n v="0"/>
    <x v="1"/>
    <s v="Received"/>
    <s v="EALAA FOR GENERAL CONTRACTING CO"/>
    <x v="3"/>
    <x v="10"/>
    <x v="27"/>
    <n v="12"/>
    <n v="2025"/>
    <m/>
  </r>
  <r>
    <x v="5"/>
    <x v="66"/>
    <x v="9"/>
    <s v="Dr TI ILC Comm/Other Charges                                          _x000a_POC002-284133591                                                      _x000a_At Bank Aljazira                                                      _x000a_ CORPORATE BANKING DEPT-JEDDAH                                        _x000a_Exchange Rate 1.0                                                     _x000a_Date 11-07-1447(H) Time 14.37.36                                      _x000a_Reference ILC-0840-25-8163                                            _x000a_Value Date 11-07-1447(H)                                              _x000a_Fee Collected By Bank AlJazira                                        _x000a_"/>
    <x v="341"/>
    <s v=""/>
    <x v="0"/>
    <n v="200"/>
    <n v="0"/>
    <x v="2"/>
    <s v="Received"/>
    <s v="EALAA FOR GENERAL CONTRACTING CO"/>
    <x v="3"/>
    <x v="10"/>
    <x v="27"/>
    <n v="12"/>
    <n v="2025"/>
    <m/>
  </r>
  <r>
    <x v="5"/>
    <x v="66"/>
    <x v="9"/>
    <s v="Value Added Tax                                                       _x000a_On SWIFT charges                                                      _x000a_15% of SAR200.00                                                      _x000a_Through CORPORATE BANKING DEPT-JEDDAH                                 _x000a_Date 11-07-1447(H) Time 14.37.36                                      _x000a_Reference ILC-0840-25-8163                                            _x000a_At Bank Aljazira                                                      _x000a_Exchange Rate 1.0                                                     _x000a_"/>
    <x v="341"/>
    <s v=""/>
    <x v="0"/>
    <n v="30"/>
    <n v="0"/>
    <x v="1"/>
    <s v="Received"/>
    <s v="EALAA FOR GENERAL CONTRACTING CO"/>
    <x v="3"/>
    <x v="10"/>
    <x v="27"/>
    <n v="12"/>
    <n v="2025"/>
    <m/>
  </r>
  <r>
    <x v="1"/>
    <x v="67"/>
    <x v="3"/>
    <s v="CUSTOMER = 3972500 DEAL AMT = 500.00 DEAL CCY = SAR TAX CODE = 1 "/>
    <x v="201"/>
    <s v="TF2502300034"/>
    <x v="0"/>
    <n v="-37.5"/>
    <n v="0"/>
    <x v="1"/>
    <s v="Received"/>
    <s v="AL BILAD CONCRETE PIPE CO.LTD"/>
    <x v="3"/>
    <x v="5"/>
    <x v="27"/>
    <n v="1"/>
    <n v="2026"/>
    <m/>
  </r>
  <r>
    <x v="1"/>
    <x v="67"/>
    <x v="3"/>
    <s v="CUSTOMER = 3972500 DEAL AMT = 500.00 DEAL CCY = SAR TAX CODE = 1 "/>
    <x v="201"/>
    <s v="TF2502300034"/>
    <x v="0"/>
    <n v="-75"/>
    <n v="0"/>
    <x v="1"/>
    <s v="Received"/>
    <s v="AL BILAD CONCRETE PIPE CO.LTD"/>
    <x v="3"/>
    <x v="5"/>
    <x v="27"/>
    <n v="1"/>
    <n v="2026"/>
    <m/>
  </r>
  <r>
    <x v="1"/>
    <x v="67"/>
    <x v="3"/>
    <s v="LC SWIFT CHARGES FOR LC NO. TF2502300034\BNK"/>
    <x v="201"/>
    <s v="TF2502300034"/>
    <x v="0"/>
    <n v="-250"/>
    <n v="0"/>
    <x v="3"/>
    <s v="Received"/>
    <s v="AL BILAD CONCRETE PIPE CO.LTD"/>
    <x v="3"/>
    <x v="5"/>
    <x v="27"/>
    <n v="1"/>
    <n v="2026"/>
    <m/>
  </r>
  <r>
    <x v="1"/>
    <x v="67"/>
    <x v="3"/>
    <s v="LC AMENDMENT COMMISSION FOR LC NO. TF2502300034\BNK"/>
    <x v="201"/>
    <s v="TF2502300034"/>
    <x v="0"/>
    <n v="-500"/>
    <n v="0"/>
    <x v="5"/>
    <s v="Received"/>
    <s v="AL BILAD CONCRETE PIPE CO.LTD"/>
    <x v="3"/>
    <x v="5"/>
    <x v="27"/>
    <n v="1"/>
    <n v="2026"/>
    <m/>
  </r>
  <r>
    <x v="1"/>
    <x v="67"/>
    <x v="3"/>
    <s v="CUSTOMER = 3972500 DEAL AMT = 13937.32 DEAL CCY = EUR TAX CODE = 1 "/>
    <x v="336"/>
    <s v="TF2535900016"/>
    <x v="0"/>
    <n v="-37.5"/>
    <n v="0"/>
    <x v="1"/>
    <s v="Received"/>
    <s v="BBH-CHEMTROL INTERNATIONAL ORGANIZATION S.L"/>
    <x v="10"/>
    <x v="5"/>
    <x v="27"/>
    <n v="1"/>
    <n v="2026"/>
    <m/>
  </r>
  <r>
    <x v="1"/>
    <x v="67"/>
    <x v="3"/>
    <s v="LC SWIFT CHARGES FOR LC NO. TF2535900016\BNK"/>
    <x v="336"/>
    <s v="TF2535900016"/>
    <x v="0"/>
    <n v="-250"/>
    <n v="0"/>
    <x v="3"/>
    <s v="Received"/>
    <s v="BBH-CHEMTROL INTERNATIONAL ORGANIZATION S.L"/>
    <x v="10"/>
    <x v="5"/>
    <x v="27"/>
    <n v="1"/>
    <n v="2026"/>
    <m/>
  </r>
  <r>
    <x v="1"/>
    <x v="67"/>
    <x v="3"/>
    <s v="CUSTOMER = 3972500 DEAL AMT = 13937.32 DEAL CCY = EUR TAX CODE = 1 "/>
    <x v="336"/>
    <s v="TF2535900016"/>
    <x v="0"/>
    <n v="-2090.6"/>
    <n v="0"/>
    <x v="1"/>
    <s v="Received"/>
    <s v="BBH-CHEMTROL INTERNATIONAL ORGANIZATION S.L"/>
    <x v="10"/>
    <x v="5"/>
    <x v="27"/>
    <n v="1"/>
    <n v="2026"/>
    <m/>
  </r>
  <r>
    <x v="1"/>
    <x v="67"/>
    <x v="3"/>
    <s v="LC AMENDMENT COMMISSION FOR LC NO. TF2535900016\BNK"/>
    <x v="336"/>
    <s v="TF2535900016"/>
    <x v="0"/>
    <n v="-13937.32"/>
    <n v="0"/>
    <x v="5"/>
    <s v="Received"/>
    <s v="BBH-CHEMTROL INTERNATIONAL ORGANIZATION S.L"/>
    <x v="10"/>
    <x v="5"/>
    <x v="27"/>
    <n v="1"/>
    <n v="2026"/>
    <m/>
  </r>
  <r>
    <x v="0"/>
    <x v="67"/>
    <x v="0"/>
    <s v="REF 000000JLC7000003,RB REF JLC7000003,VIA CORE SYSTEM,DATE-TIME 01/01-16:18:32, عن طريق النظام الآ لي ,VALUE DT 01/01/26"/>
    <x v="342"/>
    <s v=""/>
    <x v="0"/>
    <n v="9151.52"/>
    <n v="0"/>
    <x v="8"/>
    <s v="Received"/>
    <s v="SCHNEIDER ELECTRIC SAUDI ARABIA CO"/>
    <x v="3"/>
    <x v="3"/>
    <x v="27"/>
    <n v="1"/>
    <n v="2026"/>
    <m/>
  </r>
  <r>
    <x v="0"/>
    <x v="67"/>
    <x v="0"/>
    <s v="REF 000000JLC7000007,RB REF JLC7000007,VIA CORE SYSTEM,DATE-TIME 01/01-16:16:24, عن طريق النظام الآ لي ,VALUE DT 01/01/26"/>
    <x v="343"/>
    <s v=""/>
    <x v="0"/>
    <n v="7328.86"/>
    <n v="0"/>
    <x v="8"/>
    <s v="Received"/>
    <s v="ALFANAR ELECTRICAL SYSTEMS"/>
    <x v="3"/>
    <x v="3"/>
    <x v="27"/>
    <n v="1"/>
    <n v="2026"/>
    <m/>
  </r>
  <r>
    <x v="0"/>
    <x v="67"/>
    <x v="0"/>
    <s v="REF 000000JLC7000001,RB REF JLC7000001,VIA CORE SYSTEM,DATE-TIME 01/01-16:45:05, عن طريق النظام الآ لي ,VALUE DT 01/01/26"/>
    <x v="344"/>
    <s v=""/>
    <x v="0"/>
    <n v="7061.64"/>
    <n v="0"/>
    <x v="8"/>
    <s v="Received"/>
    <s v="Electric House Trading Company L.L.C."/>
    <x v="3"/>
    <x v="3"/>
    <x v="27"/>
    <n v="1"/>
    <n v="2026"/>
    <m/>
  </r>
  <r>
    <x v="0"/>
    <x v="67"/>
    <x v="0"/>
    <s v="REF 000000JLC7000009,RB REF JLC7000009,VIA CORE SYSTEM,DATE-TIME 01/01-16:03:48, عن طريق النظام الآ لي ,VALUE DT 01/01/26"/>
    <x v="345"/>
    <s v=""/>
    <x v="0"/>
    <n v="4380.71"/>
    <n v="0"/>
    <x v="8"/>
    <s v="Received"/>
    <s v="Mahmoud Altaheni &amp; Partners Trading Co."/>
    <x v="3"/>
    <x v="3"/>
    <x v="27"/>
    <n v="1"/>
    <n v="2026"/>
    <m/>
  </r>
  <r>
    <x v="0"/>
    <x v="67"/>
    <x v="0"/>
    <s v="REF 000000JLC7002384,RB REF JLC7002384,VIA CORE SYSTEM,DATE-TIME 01/01-16:14:17, عن طريق النظام الآ لي ,VALUE DT 01/01/26"/>
    <x v="346"/>
    <s v=""/>
    <x v="0"/>
    <n v="4082.82"/>
    <n v="0"/>
    <x v="8"/>
    <s v="Received"/>
    <s v="National Marketing Est. Co. Ltd"/>
    <x v="3"/>
    <x v="3"/>
    <x v="27"/>
    <n v="1"/>
    <n v="2026"/>
    <m/>
  </r>
  <r>
    <x v="0"/>
    <x v="67"/>
    <x v="0"/>
    <s v="REF 000000JLC7000006,RB REF JLC7000006,VIA CORE SYSTEM,DATE-TIME 01/01-16:10:28, عن طريق النظام الآ لي ,VALUE DT 01/01/26"/>
    <x v="347"/>
    <s v=""/>
    <x v="0"/>
    <n v="4082.82"/>
    <n v="0"/>
    <x v="8"/>
    <s v="Received"/>
    <s v="AFKAR ALTATHBET TRADING COMPANY"/>
    <x v="3"/>
    <x v="3"/>
    <x v="27"/>
    <n v="1"/>
    <n v="2026"/>
    <m/>
  </r>
  <r>
    <x v="0"/>
    <x v="67"/>
    <x v="0"/>
    <s v="REF 000000JLC7000005,RB REF JLC7000005,VIA CORE SYSTEM,DATE-TIME 01/01-16:07:44, عن طريق النظام الآ لي ,VALUE DT 01/01/26"/>
    <x v="348"/>
    <s v=""/>
    <x v="0"/>
    <n v="4082.82"/>
    <n v="0"/>
    <x v="8"/>
    <s v="Received"/>
    <s v="Teqniye Al-Majra For Contracting"/>
    <x v="3"/>
    <x v="3"/>
    <x v="27"/>
    <n v="1"/>
    <n v="2026"/>
    <m/>
  </r>
  <r>
    <x v="0"/>
    <x v="67"/>
    <x v="0"/>
    <s v="REF 000000JLC7000008,RB REF JLC7000008,VIA CORE SYSTEM,DATE-TIME 01/01-16:05:37, عن طريق النظام الآ لي ,VALUE DT 01/01/26"/>
    <x v="349"/>
    <s v=""/>
    <x v="0"/>
    <n v="4082.82"/>
    <n v="0"/>
    <x v="8"/>
    <s v="Received"/>
    <s v="Isam Kabbani &amp; Partners Ltd-Unitech"/>
    <x v="3"/>
    <x v="3"/>
    <x v="27"/>
    <n v="1"/>
    <n v="2026"/>
    <m/>
  </r>
  <r>
    <x v="0"/>
    <x v="67"/>
    <x v="0"/>
    <s v="REF 000000JLC7000002,RB REF JLC7000002,VIA CORE SYSTEM,DATE-TIME 01/01-15:51:51, عن طريق النظام الآ لي ,VALUE DT 01/01/26"/>
    <x v="350"/>
    <s v=""/>
    <x v="0"/>
    <n v="4082.82"/>
    <n v="0"/>
    <x v="8"/>
    <s v="Received"/>
    <s v="Riyadh Unity for Trading"/>
    <x v="3"/>
    <x v="3"/>
    <x v="27"/>
    <n v="1"/>
    <n v="2026"/>
    <m/>
  </r>
  <r>
    <x v="0"/>
    <x v="67"/>
    <x v="0"/>
    <s v="REF 000000JLC7000004,RB REF JLC7000004,VIA CORE SYSTEM,DATE-TIME 01/01-15:50:37, عن طريق النظام الآ لي ,VALUE DT 01/01/26"/>
    <x v="351"/>
    <s v=""/>
    <x v="0"/>
    <n v="4082.82"/>
    <n v="0"/>
    <x v="8"/>
    <s v="Received"/>
    <s v="SKM Air Conditioning Company"/>
    <x v="3"/>
    <x v="3"/>
    <x v="27"/>
    <n v="1"/>
    <n v="2026"/>
    <m/>
  </r>
  <r>
    <x v="2"/>
    <x v="68"/>
    <x v="4"/>
    <s v="CITY:Jeddah 6132226J211600001"/>
    <x v="290"/>
    <s v="J211600001"/>
    <x v="0"/>
    <n v="-999166"/>
    <n v="0"/>
    <x v="4"/>
    <s v="Received"/>
    <s v="ALNAFIE METAL INDUSTRIES CO LTD"/>
    <x v="8"/>
    <x v="11"/>
    <x v="27"/>
    <n v="1"/>
    <n v="2026"/>
    <m/>
  </r>
  <r>
    <x v="3"/>
    <x v="67"/>
    <x v="6"/>
    <s v="IMP BILL COMM DPBCOR630004WPM DCBWPM564575"/>
    <x v="306"/>
    <s v="DPBCOR630004WPM"/>
    <x v="0"/>
    <n v="-11956.88"/>
    <n v="0"/>
    <x v="2"/>
    <s v="Received"/>
    <s v="AL-TAYYAR AL-HAQIQI COMMERCIAL CO."/>
    <x v="4"/>
    <x v="1"/>
    <x v="27"/>
    <n v="1"/>
    <n v="2026"/>
    <m/>
  </r>
  <r>
    <x v="3"/>
    <x v="68"/>
    <x v="6"/>
    <s v="DPBCOR627986WPM DCBWPM564575"/>
    <x v="306"/>
    <s v="DPBCOR627986WPM"/>
    <x v="0"/>
    <n v="-2352034.91"/>
    <n v="0"/>
    <x v="4"/>
    <s v="Received"/>
    <s v="AL-TAYYAR AL-HAQIQI COMMERCIAL CO."/>
    <x v="4"/>
    <x v="1"/>
    <x v="27"/>
    <n v="1"/>
    <n v="2026"/>
    <m/>
  </r>
  <r>
    <x v="3"/>
    <x v="68"/>
    <x v="6"/>
    <s v="IMP BILL AMEND. CHARGES DPBCOR629826WPM DCBWPM570380"/>
    <x v="295"/>
    <s v="DPBCOR629826WPM"/>
    <x v="0"/>
    <n v="-3913.85"/>
    <n v="0"/>
    <x v="2"/>
    <s v="Received"/>
    <s v="Ajzal United for Safety CO.LTD."/>
    <x v="3"/>
    <x v="9"/>
    <x v="27"/>
    <n v="1"/>
    <n v="2026"/>
    <m/>
  </r>
  <r>
    <x v="3"/>
    <x v="68"/>
    <x v="5"/>
    <s v="DPBCOR624825WPM DCBWPM560813"/>
    <x v="47"/>
    <s v="DPBCOR624825WPM"/>
    <x v="0"/>
    <n v="-1302055.49"/>
    <n v="0"/>
    <x v="4"/>
    <s v="Received"/>
    <s v="Aluminium Products company (ALUPCO)"/>
    <x v="5"/>
    <x v="8"/>
    <x v="27"/>
    <n v="1"/>
    <n v="2026"/>
    <m/>
  </r>
  <r>
    <x v="5"/>
    <x v="67"/>
    <x v="9"/>
    <s v="Dr TI ILC Comm/Other Charges                                          _x000a_ISS001-283852825                                                      _x000a_At Bank Aljazira                                                      _x000a_ CORPORATE BANKING DEPT-JEDDAH                                        _x000a_Exchange Rate 1.0                                                     _x000a_Date 12-07-1447(H) Time 13.46.31                                      _x000a_Reference ILC-0840-26-8758                                            _x000a_Value Date 12-07-1447(H)                                              _x000a_Fee Collected By Bank AlJazira                                        _x000a_"/>
    <x v="352"/>
    <s v=""/>
    <x v="0"/>
    <n v="750"/>
    <n v="0"/>
    <x v="8"/>
    <s v="Received"/>
    <s v="Green Concrete CJSC"/>
    <x v="0"/>
    <x v="10"/>
    <x v="27"/>
    <n v="1"/>
    <n v="2026"/>
    <m/>
  </r>
  <r>
    <x v="5"/>
    <x v="67"/>
    <x v="9"/>
    <s v="Value Added Tax                                                       _x000a_On ILC SWIFT/Telex Charges                                            _x000a_15% of SAR750.00                                                      _x000a_Through CORPORATE BANKING DEPT-JEDDAH                                 _x000a_Date 12-07-1447(H) Time 13.46.31                                      _x000a_Reference ILC-0840-26-8758                                            _x000a_At Bank Aljazira                                                      _x000a_Exchange Rate 1.0                                                     _x000a_"/>
    <x v="352"/>
    <s v=""/>
    <x v="0"/>
    <n v="112.5"/>
    <n v="0"/>
    <x v="1"/>
    <s v="Received"/>
    <s v="Green Concrete CJSC"/>
    <x v="0"/>
    <x v="10"/>
    <x v="27"/>
    <n v="1"/>
    <n v="2026"/>
    <m/>
  </r>
  <r>
    <x v="5"/>
    <x v="67"/>
    <x v="9"/>
    <s v="Dr TI LGI Commission (Unearned)                                       _x000a_ISS001-283852829                                                      _x000a_At Bank AlJazira                                                      _x000a_CORPORATE BANKING DEPT-JEDDAH                                         _x000a_Date 12-07-1447(H) Time 13.46.32                                      _x000a_Reference ILC-0840-26-8758                                            _x000a_"/>
    <x v="352"/>
    <s v=""/>
    <x v="0"/>
    <n v="7753.63"/>
    <n v="0"/>
    <x v="16"/>
    <s v="Received"/>
    <s v="Green Concrete CJSC"/>
    <x v="0"/>
    <x v="10"/>
    <x v="27"/>
    <n v="1"/>
    <n v="2026"/>
    <m/>
  </r>
  <r>
    <x v="5"/>
    <x v="67"/>
    <x v="9"/>
    <s v="Value Added Tax                                                       _x000a_On ILC Commission                                                     _x000a_15% of SAR7,753.63                                                    _x000a_Through CORPORATE BANKING DEPT-JEDDAH                                 _x000a_Date 12-07-1447(H) Time 13.46.32                                      _x000a_Reference ILC-0840-26-8758                                            _x000a_At Bank Aljazira                                                      _x000a_Exchange Rate 1.0                                                     _x000a_"/>
    <x v="352"/>
    <s v=""/>
    <x v="0"/>
    <n v="1163.04"/>
    <n v="0"/>
    <x v="1"/>
    <s v="Received"/>
    <s v="Green Concrete CJSC"/>
    <x v="0"/>
    <x v="10"/>
    <x v="27"/>
    <n v="1"/>
    <n v="2026"/>
    <m/>
  </r>
  <r>
    <x v="5"/>
    <x v="67"/>
    <x v="9"/>
    <s v="Dr TI ILC Comm/Other Charges                                          _x000a_ISS001-283852831                                                      _x000a_At Bank Aljazira                                                      _x000a_ CORPORATE BANKING DEPT-JEDDAH                                        _x000a_Exchange Rate 1.0                                                     _x000a_Date 12-07-1447(H) Time 13.46.33                                      _x000a_Reference ILC-0840-26-8758                                            _x000a_Value Date 12-07-1447(H)                                              _x000a_Fee Collected By Bank AlJazira                                        _x000a_"/>
    <x v="352"/>
    <s v=""/>
    <x v="0"/>
    <n v="7074.77"/>
    <n v="0"/>
    <x v="8"/>
    <s v="Received"/>
    <s v="Green Concrete CJSC"/>
    <x v="0"/>
    <x v="10"/>
    <x v="27"/>
    <n v="1"/>
    <n v="2026"/>
    <m/>
  </r>
  <r>
    <x v="5"/>
    <x v="67"/>
    <x v="9"/>
    <s v="Value Added Tax                                                       _x000a_On LC PROCESSING FEE                                                  _x000a_15% of SAR7,074.77                                                    _x000a_Through CORPORATE BANKING DEPT-JEDDAH                                 _x000a_Date 12-07-1447(H) Time 13.46.33                                      _x000a_Reference ILC-0840-26-8758                                            _x000a_At Bank Aljazira                                                      _x000a_Exchange Rate 1.0                                                     _x000a_"/>
    <x v="352"/>
    <s v=""/>
    <x v="0"/>
    <n v="1061.22"/>
    <n v="0"/>
    <x v="1"/>
    <s v="Received"/>
    <s v="Green Concrete CJSC"/>
    <x v="0"/>
    <x v="10"/>
    <x v="27"/>
    <n v="1"/>
    <n v="2026"/>
    <m/>
  </r>
  <r>
    <x v="5"/>
    <x v="67"/>
    <x v="9"/>
    <s v="Dr TI ILC Comm/Other Charges                                          _x000a_ISS001-283852833                                                      _x000a_At Bank Aljazira                                                      _x000a_ CORPORATE BANKING DEPT-JEDDAH                                        _x000a_Exchange Rate 1.0                                                     _x000a_Date 12-07-1447(H) Time 13.46.34                                      _x000a_Reference ILC-0840-26-8758                                            _x000a_Value Date 12-07-1447(H)                                              _x000a_Fee Collected By Bank AlJazira                                        _x000a_"/>
    <x v="352"/>
    <s v=""/>
    <x v="0"/>
    <n v="75"/>
    <n v="0"/>
    <x v="8"/>
    <s v="Received"/>
    <s v="Green Concrete CJSC"/>
    <x v="0"/>
    <x v="10"/>
    <x v="27"/>
    <n v="1"/>
    <n v="2026"/>
    <m/>
  </r>
  <r>
    <x v="5"/>
    <x v="67"/>
    <x v="9"/>
    <s v="Value Added Tax                                                       _x000a_On ILC Postal/DHL Charges                                             _x000a_15% of SAR75.00                                                       _x000a_Through CORPORATE BANKING DEPT-JEDDAH                                 _x000a_Date 12-07-1447(H) Time 13.46.34                                      _x000a_Reference ILC-0840-26-8758                                            _x000a_At Bank Aljazira                                                      _x000a_Exchange Rate 1.0                                                     _x000a_"/>
    <x v="352"/>
    <s v=""/>
    <x v="0"/>
    <n v="11.25"/>
    <n v="0"/>
    <x v="1"/>
    <s v="Received"/>
    <s v="Green Concrete CJSC"/>
    <x v="0"/>
    <x v="10"/>
    <x v="27"/>
    <n v="1"/>
    <n v="2026"/>
    <m/>
  </r>
  <r>
    <x v="5"/>
    <x v="68"/>
    <x v="9"/>
    <s v="TI Bill Settled                                                       _x000a_POC010                                                                _x000a_At Bank AlJazira                                                      _x000a_CORPORATE BANKING DEPT-JEDDAH                                         _x000a_Date 15-07-1447(H) Time 13.07.29                                      _x000a_Reference ILC-0840-25-7352                                            _x000a_"/>
    <x v="75"/>
    <s v=""/>
    <x v="0"/>
    <n v="497076"/>
    <n v="0"/>
    <x v="4"/>
    <s v="Received"/>
    <s v="ALFANAR ELECTRICAL SYSTEMS"/>
    <x v="3"/>
    <x v="10"/>
    <x v="27"/>
    <n v="1"/>
    <n v="2026"/>
    <m/>
  </r>
  <r>
    <x v="1"/>
    <x v="69"/>
    <x v="3"/>
    <s v="CUSTOMER = 3972500 DEAL AMT = 75 DEAL CCY = SAR TAX CODE = 1 "/>
    <x v="353"/>
    <s v="TF252100002201"/>
    <x v="0"/>
    <n v="-11.25"/>
    <n v="0"/>
    <x v="1"/>
    <s v="Received"/>
    <s v="Albarq Alarabi For Logistics Services"/>
    <x v="3"/>
    <x v="5"/>
    <x v="27"/>
    <n v="1"/>
    <n v="2026"/>
    <m/>
  </r>
  <r>
    <x v="1"/>
    <x v="69"/>
    <x v="3"/>
    <s v="LC SWIFT CHARGES FOR LC NO. TF252100002201\BNK"/>
    <x v="353"/>
    <s v="TF252100002201"/>
    <x v="0"/>
    <n v="-75"/>
    <n v="0"/>
    <x v="3"/>
    <s v="Received"/>
    <s v="Albarq Alarabi For Logistics Services"/>
    <x v="3"/>
    <x v="5"/>
    <x v="27"/>
    <n v="1"/>
    <n v="2026"/>
    <m/>
  </r>
  <r>
    <x v="1"/>
    <x v="69"/>
    <x v="3"/>
    <s v="REIMBURSE UNDER LCS DR FOR LC NO. TF252100002201\BNK"/>
    <x v="353"/>
    <s v="TF252100002201"/>
    <x v="0"/>
    <n v="-150000"/>
    <n v="0"/>
    <x v="4"/>
    <s v="Received"/>
    <s v="Albarq Alarabi For Logistics Services"/>
    <x v="3"/>
    <x v="5"/>
    <x v="27"/>
    <n v="1"/>
    <n v="2026"/>
    <m/>
  </r>
  <r>
    <x v="0"/>
    <x v="69"/>
    <x v="0"/>
    <s v="RB REF JLG7000064,VIA CORE SYSTEM,DATE-TIME 05/01-15:42:58, عن طريق النظام الآ لي ,VALUE DT 05/01/26"/>
    <x v="354"/>
    <s v=""/>
    <x v="0"/>
    <n v="661.25"/>
    <n v="0"/>
    <x v="25"/>
    <s v="Received"/>
    <s v="Bid - MAKARAT OFFICE"/>
    <x v="0"/>
    <x v="2"/>
    <x v="27"/>
    <n v="1"/>
    <n v="2026"/>
    <m/>
  </r>
  <r>
    <x v="0"/>
    <x v="69"/>
    <x v="2"/>
    <s v="REF 000000JLC6901492,RB REF JLC6901492,VIA CORE SYSTEM,DATE-TIME 05/01-14:35:48, عن طريق النظام الآ لي ,VALUE DT 05/01/26"/>
    <x v="12"/>
    <s v=""/>
    <x v="1"/>
    <n v="152903.39000000001"/>
    <n v="0"/>
    <x v="4"/>
    <s v="Received"/>
    <s v="Jiangsu Donchamp New Materials Technology Co.Ltd."/>
    <x v="0"/>
    <x v="3"/>
    <x v="27"/>
    <n v="1"/>
    <n v="2026"/>
    <m/>
  </r>
  <r>
    <x v="3"/>
    <x v="69"/>
    <x v="6"/>
    <s v="IMP BILL AMEND. CHARGES DPBCOR629754WPM DCBWPM565846"/>
    <x v="165"/>
    <s v="DPBCOR629754WPM"/>
    <x v="0"/>
    <n v="-2532.52"/>
    <n v="0"/>
    <x v="2"/>
    <s v="Received"/>
    <s v="Mimar For Construction Tools &amp; Trading Ltd."/>
    <x v="3"/>
    <x v="9"/>
    <x v="27"/>
    <n v="1"/>
    <n v="2026"/>
    <m/>
  </r>
  <r>
    <x v="3"/>
    <x v="69"/>
    <x v="6"/>
    <s v="DPBEPM622187WPM DCBWPM562625"/>
    <x v="355"/>
    <s v="DPBEPM622187WPM"/>
    <x v="0"/>
    <n v="-250000"/>
    <n v="0"/>
    <x v="4"/>
    <s v="Received"/>
    <s v="Electric House Trading Company L.L.C."/>
    <x v="3"/>
    <x v="9"/>
    <x v="27"/>
    <n v="1"/>
    <n v="2026"/>
    <m/>
  </r>
  <r>
    <x v="3"/>
    <x v="69"/>
    <x v="6"/>
    <s v="DPBEPM622186WPM DCBWPM558778"/>
    <x v="356"/>
    <s v="DPBEPM622186WPM"/>
    <x v="0"/>
    <n v="-400000"/>
    <n v="0"/>
    <x v="4"/>
    <s v="Received"/>
    <s v="Electric House Trading Company L.L.C."/>
    <x v="3"/>
    <x v="9"/>
    <x v="27"/>
    <n v="1"/>
    <n v="2026"/>
    <m/>
  </r>
  <r>
    <x v="3"/>
    <x v="69"/>
    <x v="5"/>
    <s v="DPBCOR622013WPM DCBWPM563019"/>
    <x v="321"/>
    <s v="DPBCOR622013WPM"/>
    <x v="0"/>
    <n v="-1459350"/>
    <n v="0"/>
    <x v="4"/>
    <s v="Received"/>
    <s v="Alkhorayef Commercial co."/>
    <x v="3"/>
    <x v="8"/>
    <x v="27"/>
    <n v="1"/>
    <n v="2026"/>
    <m/>
  </r>
  <r>
    <x v="5"/>
    <x v="69"/>
    <x v="9"/>
    <s v="Dr TI ILC Comm/Other Charges                                          _x000a_POC006-284634913                                                      _x000a_At Bank Aljazira                                                      _x000a_ CORPORATE BANKING DEPT-JEDDAH                                        _x000a_Date 16-07-1447(H) Time 15.12.45                                      _x000a_Reference ILC-0840-25-7982                                            _x000a_Value Date 16-07-1447(H)                                              _x000a_Fee Collected By Bank AlJazira                                        _x000a_"/>
    <x v="74"/>
    <s v=""/>
    <x v="0"/>
    <n v="100"/>
    <n v="0"/>
    <x v="2"/>
    <s v="Received"/>
    <s v="Alpha Limit Trading and Contracting Company"/>
    <x v="3"/>
    <x v="10"/>
    <x v="27"/>
    <n v="1"/>
    <n v="2026"/>
    <m/>
  </r>
  <r>
    <x v="5"/>
    <x v="69"/>
    <x v="9"/>
    <s v="Value Added Tax                                                       _x000a_On ILC Acceptance Comm.                                               _x000a_15% of SAR100.00                                                      _x000a_Through CORPORATE BANKING DEPT-JEDDAH                                 _x000a_Date 16-07-1447(H) Time 15.12.45                                      _x000a_Reference ILC-0840-25-7982                                            _x000a_At Bank Aljazira                                                      _x000a_"/>
    <x v="74"/>
    <s v=""/>
    <x v="0"/>
    <n v="15"/>
    <n v="0"/>
    <x v="1"/>
    <s v="Received"/>
    <s v="Alpha Limit Trading and Contracting Company"/>
    <x v="3"/>
    <x v="10"/>
    <x v="27"/>
    <n v="1"/>
    <n v="2026"/>
    <m/>
  </r>
  <r>
    <x v="5"/>
    <x v="69"/>
    <x v="9"/>
    <s v="Dr TI ILC Comm/Other Charges                                          _x000a_POC006-284635201                                                      _x000a_At Bank Aljazira                                                      _x000a_ CORPORATE BANKING DEPT-JEDDAH                                        _x000a_Date 16-07-1447(H) Time 15.12.45                                      _x000a_Reference ILC-0840-25-7982                                            _x000a_Value Date 16-07-1447(H)                                              _x000a_Fee Collected By Bank AlJazira                                        _x000a_"/>
    <x v="74"/>
    <s v=""/>
    <x v="0"/>
    <n v="250"/>
    <n v="0"/>
    <x v="2"/>
    <s v="Received"/>
    <s v="Alpha Limit Trading and Contracting Company"/>
    <x v="3"/>
    <x v="10"/>
    <x v="27"/>
    <n v="1"/>
    <n v="2026"/>
    <m/>
  </r>
  <r>
    <x v="5"/>
    <x v="69"/>
    <x v="9"/>
    <s v="Value Added Tax                                                       _x000a_On ILC Acceptance Comm.                                               _x000a_15% of SAR250.00                                                      _x000a_Through CORPORATE BANKING DEPT-JEDDAH                                 _x000a_Date 16-07-1447(H) Time 15.12.45                                      _x000a_Reference ILC-0840-25-7982                                            _x000a_At Bank Aljazira                                                      _x000a_"/>
    <x v="74"/>
    <s v=""/>
    <x v="0"/>
    <n v="37.5"/>
    <n v="0"/>
    <x v="1"/>
    <s v="Received"/>
    <s v="Alpha Limit Trading and Contracting Company"/>
    <x v="3"/>
    <x v="10"/>
    <x v="27"/>
    <n v="1"/>
    <n v="2026"/>
    <m/>
  </r>
  <r>
    <x v="5"/>
    <x v="69"/>
    <x v="9"/>
    <s v="Dr TI ILC Comm/Other Charges                                          _x000a_POC006-284635205                                                      _x000a_At Bank Aljazira                                                      _x000a_ CORPORATE BANKING DEPT-JEDDAH                                        _x000a_Date 16-07-1447(H) Time 15.12.46                                      _x000a_Reference ILC-0840-25-7982                                            _x000a_Value Date 16-07-1447(H)                                              _x000a_Fee Collected By Bank AlJazira                                        _x000a_"/>
    <x v="74"/>
    <s v=""/>
    <x v="0"/>
    <n v="200"/>
    <n v="0"/>
    <x v="2"/>
    <s v="Received"/>
    <s v="Alpha Limit Trading and Contracting Company"/>
    <x v="3"/>
    <x v="10"/>
    <x v="27"/>
    <n v="1"/>
    <n v="2026"/>
    <m/>
  </r>
  <r>
    <x v="5"/>
    <x v="69"/>
    <x v="9"/>
    <s v="Value Added Tax                                                       _x000a_On SWIFT charges                                                      _x000a_15% of SAR200.00                                                      _x000a_Through CORPORATE BANKING DEPT-JEDDAH                                 _x000a_Date 16-07-1447(H) Time 15.12.46                                      _x000a_Reference ILC-0840-25-7982                                            _x000a_At Bank Aljazira                                                      _x000a_"/>
    <x v="74"/>
    <s v=""/>
    <x v="0"/>
    <n v="30"/>
    <n v="0"/>
    <x v="1"/>
    <s v="Received"/>
    <s v="Alpha Limit Trading and Contracting Company"/>
    <x v="3"/>
    <x v="10"/>
    <x v="27"/>
    <n v="1"/>
    <n v="2026"/>
    <m/>
  </r>
  <r>
    <x v="1"/>
    <x v="70"/>
    <x v="3"/>
    <s v="CUSTOMER = 3972500 DEAL AMT = 75 DEAL CCY = SAR TAX CODE = 1 "/>
    <x v="13"/>
    <s v="TF251310001102"/>
    <x v="0"/>
    <n v="-11.25"/>
    <n v="0"/>
    <x v="1"/>
    <s v="Received"/>
    <s v="AFAQ AL MALAZ TRADING CO.LTD"/>
    <x v="3"/>
    <x v="5"/>
    <x v="27"/>
    <n v="1"/>
    <n v="2026"/>
    <m/>
  </r>
  <r>
    <x v="1"/>
    <x v="70"/>
    <x v="3"/>
    <s v="LC SWIFT CHARGES FOR LC NO. TF251310001102\BNK"/>
    <x v="13"/>
    <s v="TF251310001102"/>
    <x v="0"/>
    <n v="-75"/>
    <n v="0"/>
    <x v="3"/>
    <s v="Received"/>
    <s v="AFAQ AL MALAZ TRADING CO.LTD"/>
    <x v="3"/>
    <x v="5"/>
    <x v="27"/>
    <n v="1"/>
    <n v="2026"/>
    <m/>
  </r>
  <r>
    <x v="1"/>
    <x v="70"/>
    <x v="3"/>
    <s v="REIMBURSE UNDER LCS DR FOR LC NO. TF251310001102\BNK"/>
    <x v="13"/>
    <s v="TF251310001102"/>
    <x v="0"/>
    <n v="-47696.38"/>
    <n v="0"/>
    <x v="4"/>
    <s v="Received"/>
    <s v="AFAQ AL MALAZ TRADING CO.LTD"/>
    <x v="3"/>
    <x v="5"/>
    <x v="27"/>
    <n v="1"/>
    <n v="2026"/>
    <m/>
  </r>
  <r>
    <x v="1"/>
    <x v="70"/>
    <x v="3"/>
    <s v="CUSTOMER = 3972500 DEAL AMT = 75 DEAL CCY = SAR TAX CODE = 1 "/>
    <x v="26"/>
    <s v="TF251310002601"/>
    <x v="0"/>
    <n v="-11.25"/>
    <n v="0"/>
    <x v="1"/>
    <s v="Received"/>
    <s v="RAWABI AL MAHFAR TRADING CO."/>
    <x v="3"/>
    <x v="5"/>
    <x v="27"/>
    <n v="1"/>
    <n v="2026"/>
    <m/>
  </r>
  <r>
    <x v="1"/>
    <x v="70"/>
    <x v="3"/>
    <s v="LC SWIFT CHARGES FOR LC NO. TF251310002601\BNK"/>
    <x v="26"/>
    <s v="TF251310002601"/>
    <x v="0"/>
    <n v="-75"/>
    <n v="0"/>
    <x v="3"/>
    <s v="Received"/>
    <s v="RAWABI AL MAHFAR TRADING CO."/>
    <x v="3"/>
    <x v="5"/>
    <x v="27"/>
    <n v="1"/>
    <n v="2026"/>
    <m/>
  </r>
  <r>
    <x v="1"/>
    <x v="70"/>
    <x v="3"/>
    <s v="REIMBURSE UNDER LCS DR FOR LC NO. TF251310002601\BNK"/>
    <x v="26"/>
    <s v="TF251310002601"/>
    <x v="0"/>
    <n v="-102859.94"/>
    <n v="0"/>
    <x v="4"/>
    <s v="Received"/>
    <s v="RAWABI AL MAHFAR TRADING CO."/>
    <x v="3"/>
    <x v="5"/>
    <x v="27"/>
    <n v="1"/>
    <n v="2026"/>
    <m/>
  </r>
  <r>
    <x v="1"/>
    <x v="70"/>
    <x v="3"/>
    <s v="CUSTOMER = 3972500 DEAL AMT = 75 DEAL CCY = SAR TAX CODE = 1 "/>
    <x v="357"/>
    <s v="TF251310002801"/>
    <x v="0"/>
    <n v="-11.25"/>
    <n v="0"/>
    <x v="1"/>
    <s v="Received"/>
    <s v="ELECTRIC HOUSE TRADING COMPANY L.L.C."/>
    <x v="3"/>
    <x v="5"/>
    <x v="27"/>
    <n v="1"/>
    <n v="2026"/>
    <m/>
  </r>
  <r>
    <x v="1"/>
    <x v="70"/>
    <x v="3"/>
    <s v="LC SWIFT CHARGES FOR LC NO. TF251310002801\BNK"/>
    <x v="357"/>
    <s v="TF251310002801"/>
    <x v="0"/>
    <n v="-75"/>
    <n v="0"/>
    <x v="3"/>
    <s v="Received"/>
    <s v="ELECTRIC HOUSE TRADING COMPANY L.L.C."/>
    <x v="3"/>
    <x v="5"/>
    <x v="27"/>
    <n v="1"/>
    <n v="2026"/>
    <m/>
  </r>
  <r>
    <x v="1"/>
    <x v="70"/>
    <x v="3"/>
    <s v="REIMBURSE UNDER LCS DR FOR LC NO. TF251310002801\BNK"/>
    <x v="357"/>
    <s v="TF251310002801"/>
    <x v="0"/>
    <n v="-891914.65"/>
    <n v="0"/>
    <x v="4"/>
    <s v="Received"/>
    <s v="ELECTRIC HOUSE TRADING COMPANY L.L.C."/>
    <x v="3"/>
    <x v="5"/>
    <x v="27"/>
    <n v="1"/>
    <n v="2026"/>
    <m/>
  </r>
  <r>
    <x v="1"/>
    <x v="70"/>
    <x v="3"/>
    <s v="CUSTOMER = 3972500 DEAL AMT = 75 DEAL CCY = SAR TAX CODE = 1 "/>
    <x v="107"/>
    <s v="TF251350003101"/>
    <x v="0"/>
    <n v="-11.25"/>
    <n v="0"/>
    <x v="1"/>
    <s v="Received"/>
    <s v="MODERN HOUSING CONTRACTING CO."/>
    <x v="3"/>
    <x v="5"/>
    <x v="27"/>
    <n v="1"/>
    <n v="2026"/>
    <m/>
  </r>
  <r>
    <x v="1"/>
    <x v="70"/>
    <x v="3"/>
    <s v="LC SWIFT CHARGES FOR LC NO. TF251350003101\BNK"/>
    <x v="107"/>
    <s v="TF251350003101"/>
    <x v="0"/>
    <n v="-75"/>
    <n v="0"/>
    <x v="3"/>
    <s v="Received"/>
    <s v="MODERN HOUSING CONTRACTING CO."/>
    <x v="3"/>
    <x v="5"/>
    <x v="27"/>
    <n v="1"/>
    <n v="2026"/>
    <m/>
  </r>
  <r>
    <x v="1"/>
    <x v="70"/>
    <x v="3"/>
    <s v="REIMBURSE UNDER LCS DR FOR LC NO. TF251350003101\BNK"/>
    <x v="107"/>
    <s v="TF251350003101"/>
    <x v="0"/>
    <n v="-254390"/>
    <n v="0"/>
    <x v="4"/>
    <s v="Received"/>
    <s v="MODERN HOUSING CONTRACTING CO."/>
    <x v="3"/>
    <x v="5"/>
    <x v="27"/>
    <n v="1"/>
    <n v="2026"/>
    <m/>
  </r>
  <r>
    <x v="1"/>
    <x v="70"/>
    <x v="3"/>
    <s v="CUSTOMER = 3972500 DEAL AMT = 75 DEAL CCY = SAR TAX CODE = 1 "/>
    <x v="33"/>
    <s v="TF251350003701"/>
    <x v="0"/>
    <n v="-11.25"/>
    <n v="0"/>
    <x v="1"/>
    <s v="Received"/>
    <s v="MANATIQ GENERAL CONTRACTING COMPANY"/>
    <x v="3"/>
    <x v="5"/>
    <x v="27"/>
    <n v="1"/>
    <n v="2026"/>
    <m/>
  </r>
  <r>
    <x v="1"/>
    <x v="70"/>
    <x v="3"/>
    <s v="LC SWIFT CHARGES FOR LC NO. TF251350003701\BNK"/>
    <x v="33"/>
    <s v="TF251350003701"/>
    <x v="0"/>
    <n v="-75"/>
    <n v="0"/>
    <x v="3"/>
    <s v="Received"/>
    <s v="MANATIQ GENERAL CONTRACTING COMPANY"/>
    <x v="3"/>
    <x v="5"/>
    <x v="27"/>
    <n v="1"/>
    <n v="2026"/>
    <m/>
  </r>
  <r>
    <x v="1"/>
    <x v="70"/>
    <x v="3"/>
    <s v="REIMBURSE UNDER LCS DR FOR LC NO. TF251350003701\BNK"/>
    <x v="33"/>
    <s v="TF251350003701"/>
    <x v="0"/>
    <n v="-283912"/>
    <n v="0"/>
    <x v="4"/>
    <s v="Received"/>
    <s v="MANATIQ GENERAL CONTRACTING COMPANY"/>
    <x v="3"/>
    <x v="5"/>
    <x v="27"/>
    <n v="1"/>
    <n v="2026"/>
    <m/>
  </r>
  <r>
    <x v="1"/>
    <x v="70"/>
    <x v="3"/>
    <s v="CUSTOMER = 3972500 DEAL AMT = 75 DEAL CCY = SAR TAX CODE = 1 "/>
    <x v="358"/>
    <s v="TF251460006801"/>
    <x v="0"/>
    <n v="-11.25"/>
    <n v="0"/>
    <x v="1"/>
    <s v="Received"/>
    <s v="Klimacontra International"/>
    <x v="3"/>
    <x v="5"/>
    <x v="27"/>
    <n v="1"/>
    <n v="2026"/>
    <m/>
  </r>
  <r>
    <x v="1"/>
    <x v="70"/>
    <x v="3"/>
    <s v="LC SWIFT CHARGES FOR LC NO. TF251460006801\BNK"/>
    <x v="358"/>
    <s v="TF251460006801"/>
    <x v="0"/>
    <n v="-75"/>
    <n v="0"/>
    <x v="3"/>
    <s v="Received"/>
    <s v="Klimacontra International"/>
    <x v="3"/>
    <x v="5"/>
    <x v="27"/>
    <n v="1"/>
    <n v="2026"/>
    <m/>
  </r>
  <r>
    <x v="1"/>
    <x v="70"/>
    <x v="3"/>
    <s v="REIMBURSE UNDER LCS DR FOR LC NO. TF251460006801\BNK"/>
    <x v="358"/>
    <s v="TF251460006801"/>
    <x v="0"/>
    <n v="-255852.91"/>
    <n v="0"/>
    <x v="4"/>
    <s v="Received"/>
    <s v="Klimacontra International"/>
    <x v="3"/>
    <x v="5"/>
    <x v="27"/>
    <n v="1"/>
    <n v="2026"/>
    <m/>
  </r>
  <r>
    <x v="1"/>
    <x v="70"/>
    <x v="3"/>
    <s v="CUSTOMER = 3972500 DEAL AMT = 75 DEAL CCY = SAR TAX CODE = 1 "/>
    <x v="27"/>
    <s v="TF251470003301"/>
    <x v="0"/>
    <n v="-11.25"/>
    <n v="0"/>
    <x v="1"/>
    <s v="Received"/>
    <s v="GAS SOLUTIONS"/>
    <x v="3"/>
    <x v="5"/>
    <x v="27"/>
    <n v="1"/>
    <n v="2026"/>
    <m/>
  </r>
  <r>
    <x v="1"/>
    <x v="70"/>
    <x v="3"/>
    <s v="LC SWIFT CHARGES FOR LC NO. TF251470003301\BNK"/>
    <x v="27"/>
    <s v="TF251470003301"/>
    <x v="0"/>
    <n v="-75"/>
    <n v="0"/>
    <x v="3"/>
    <s v="Received"/>
    <s v="GAS SOLUTIONS"/>
    <x v="3"/>
    <x v="5"/>
    <x v="27"/>
    <n v="1"/>
    <n v="2026"/>
    <m/>
  </r>
  <r>
    <x v="1"/>
    <x v="70"/>
    <x v="3"/>
    <s v="REIMBURSE UNDER LCS DR FOR LC NO. TF251470003301\BNK"/>
    <x v="27"/>
    <s v="TF251470003301"/>
    <x v="0"/>
    <n v="-140641.01"/>
    <n v="0"/>
    <x v="4"/>
    <s v="Received"/>
    <s v="GAS SOLUTIONS"/>
    <x v="3"/>
    <x v="5"/>
    <x v="27"/>
    <n v="1"/>
    <n v="2026"/>
    <m/>
  </r>
  <r>
    <x v="1"/>
    <x v="70"/>
    <x v="3"/>
    <s v="CUSTOMER = 3972500 DEAL AMT = 75 DEAL CCY = SAR TAX CODE = 1 "/>
    <x v="108"/>
    <s v="TF251470003801"/>
    <x v="0"/>
    <n v="-11.25"/>
    <n v="0"/>
    <x v="1"/>
    <s v="Received"/>
    <s v="World Systems Co. Ltd."/>
    <x v="3"/>
    <x v="5"/>
    <x v="27"/>
    <n v="1"/>
    <n v="2026"/>
    <m/>
  </r>
  <r>
    <x v="1"/>
    <x v="70"/>
    <x v="3"/>
    <s v="LC SWIFT CHARGES FOR LC NO. TF251470003801\BNK"/>
    <x v="108"/>
    <s v="TF251470003801"/>
    <x v="0"/>
    <n v="-75"/>
    <n v="0"/>
    <x v="3"/>
    <s v="Received"/>
    <s v="World Systems Co. Ltd."/>
    <x v="3"/>
    <x v="5"/>
    <x v="27"/>
    <n v="1"/>
    <n v="2026"/>
    <m/>
  </r>
  <r>
    <x v="1"/>
    <x v="70"/>
    <x v="3"/>
    <s v="REIMBURSE UNDER LCS DR FOR LC NO. TF251470003801\BNK"/>
    <x v="108"/>
    <s v="TF251470003801"/>
    <x v="0"/>
    <n v="-381871.86"/>
    <n v="0"/>
    <x v="4"/>
    <s v="Received"/>
    <s v="World Systems Co. Ltd."/>
    <x v="3"/>
    <x v="5"/>
    <x v="27"/>
    <n v="1"/>
    <n v="2026"/>
    <m/>
  </r>
  <r>
    <x v="1"/>
    <x v="70"/>
    <x v="3"/>
    <s v="CUSTOMER = 3972500 DEAL AMT = 75 DEAL CCY = SAR TAX CODE = 1 "/>
    <x v="359"/>
    <s v="TF251740011101"/>
    <x v="0"/>
    <n v="-11.25"/>
    <n v="0"/>
    <x v="1"/>
    <s v="Received"/>
    <s v="HILTI SAUDI ARABIA FOR CONSTRUCTION TOOLS"/>
    <x v="3"/>
    <x v="6"/>
    <x v="27"/>
    <n v="1"/>
    <n v="2026"/>
    <m/>
  </r>
  <r>
    <x v="1"/>
    <x v="70"/>
    <x v="3"/>
    <s v="LC SWIFT CHARGES FOR LC NO. TF251740011101\BNK"/>
    <x v="359"/>
    <s v="TF251740011101"/>
    <x v="0"/>
    <n v="-75"/>
    <n v="0"/>
    <x v="3"/>
    <s v="Received"/>
    <s v="HILTI SAUDI ARABIA FOR CONSTRUCTION TOOLS"/>
    <x v="3"/>
    <x v="6"/>
    <x v="27"/>
    <n v="1"/>
    <n v="2026"/>
    <m/>
  </r>
  <r>
    <x v="1"/>
    <x v="70"/>
    <x v="3"/>
    <s v="REIMBURSE UNDER LCS DR FOR LC NO. TF251740011101\BNK"/>
    <x v="359"/>
    <s v="TF251740011101"/>
    <x v="0"/>
    <n v="-200000"/>
    <n v="0"/>
    <x v="4"/>
    <s v="Received"/>
    <s v="HILTI SAUDI ARABIA FOR CONSTRUCTION TOOLS"/>
    <x v="3"/>
    <x v="6"/>
    <x v="27"/>
    <n v="1"/>
    <n v="2026"/>
    <m/>
  </r>
  <r>
    <x v="1"/>
    <x v="70"/>
    <x v="3"/>
    <s v="CUSTOMER = 3972500 DEAL AMT = 75 DEAL CCY = SAR TAX CODE = 1 "/>
    <x v="187"/>
    <s v="TF251770002801"/>
    <x v="0"/>
    <n v="-11.25"/>
    <n v="0"/>
    <x v="1"/>
    <s v="Received"/>
    <s v="MAHAWAR AL JAZEERA CONTRACTING CO."/>
    <x v="3"/>
    <x v="6"/>
    <x v="27"/>
    <n v="1"/>
    <n v="2026"/>
    <m/>
  </r>
  <r>
    <x v="1"/>
    <x v="70"/>
    <x v="3"/>
    <s v="LC SWIFT CHARGES FOR LC NO. TF251770002801\BNK"/>
    <x v="187"/>
    <s v="TF251770002801"/>
    <x v="0"/>
    <n v="-75"/>
    <n v="0"/>
    <x v="3"/>
    <s v="Received"/>
    <s v="MAHAWAR AL JAZEERA CONTRACTING CO."/>
    <x v="3"/>
    <x v="6"/>
    <x v="27"/>
    <n v="1"/>
    <n v="2026"/>
    <m/>
  </r>
  <r>
    <x v="1"/>
    <x v="70"/>
    <x v="3"/>
    <s v="REIMBURSE UNDER LCS DR FOR LC NO. TF251770002801\BNK"/>
    <x v="187"/>
    <s v="TF251770002801"/>
    <x v="0"/>
    <n v="-93771"/>
    <n v="0"/>
    <x v="4"/>
    <s v="Received"/>
    <s v="MAHAWAR AL JAZEERA CONTRACTING CO."/>
    <x v="3"/>
    <x v="6"/>
    <x v="27"/>
    <n v="1"/>
    <n v="2026"/>
    <m/>
  </r>
  <r>
    <x v="1"/>
    <x v="71"/>
    <x v="3"/>
    <s v="CUSTOMER = 3972500 DEAL AMT = 75 DEAL CCY = SAR TAX CODE = 1 "/>
    <x v="23"/>
    <s v="TF251320000501"/>
    <x v="0"/>
    <n v="-11.25"/>
    <n v="0"/>
    <x v="1"/>
    <s v="Received"/>
    <s v="AKNAN ALKHAIR TRADING EST"/>
    <x v="3"/>
    <x v="5"/>
    <x v="27"/>
    <n v="1"/>
    <n v="2026"/>
    <m/>
  </r>
  <r>
    <x v="1"/>
    <x v="71"/>
    <x v="3"/>
    <s v="LC SWIFT CHARGES FOR LC NO. TF251320000501\BNK"/>
    <x v="23"/>
    <s v="TF251320000501"/>
    <x v="0"/>
    <n v="-75"/>
    <n v="0"/>
    <x v="3"/>
    <s v="Received"/>
    <s v="AKNAN ALKHAIR TRADING EST"/>
    <x v="3"/>
    <x v="5"/>
    <x v="27"/>
    <n v="1"/>
    <n v="2026"/>
    <m/>
  </r>
  <r>
    <x v="1"/>
    <x v="71"/>
    <x v="3"/>
    <s v="REIMBURSE UNDER LCS DR FOR LC NO. TF251320000501\BNK"/>
    <x v="23"/>
    <s v="TF251320000501"/>
    <x v="0"/>
    <n v="-253537.11"/>
    <n v="0"/>
    <x v="4"/>
    <s v="Received"/>
    <s v="AKNAN ALKHAIR TRADING EST"/>
    <x v="3"/>
    <x v="5"/>
    <x v="27"/>
    <n v="1"/>
    <n v="2026"/>
    <m/>
  </r>
  <r>
    <x v="1"/>
    <x v="71"/>
    <x v="3"/>
    <s v="CUSTOMER = 3972500 DEAL AMT = 75 DEAL CCY = SAR TAX CODE = 1 "/>
    <x v="272"/>
    <s v="TF251770001402"/>
    <x v="0"/>
    <n v="-11.25"/>
    <n v="0"/>
    <x v="1"/>
    <s v="Received"/>
    <s v="ENGINEERING STYLES EST FOR CONTRACTING"/>
    <x v="3"/>
    <x v="6"/>
    <x v="27"/>
    <n v="1"/>
    <n v="2026"/>
    <m/>
  </r>
  <r>
    <x v="1"/>
    <x v="71"/>
    <x v="3"/>
    <s v="LC SWIFT CHARGES FOR LC NO. TF251770001402\BNK"/>
    <x v="272"/>
    <s v="TF251770001402"/>
    <x v="0"/>
    <n v="-75"/>
    <n v="0"/>
    <x v="3"/>
    <s v="Received"/>
    <s v="ENGINEERING STYLES EST FOR CONTRACTING"/>
    <x v="3"/>
    <x v="6"/>
    <x v="27"/>
    <n v="1"/>
    <n v="2026"/>
    <m/>
  </r>
  <r>
    <x v="1"/>
    <x v="71"/>
    <x v="3"/>
    <s v="REIMBURSE UNDER LCS DR FOR LC NO. TF251770001402\BNK"/>
    <x v="272"/>
    <s v="TF251770001402"/>
    <x v="0"/>
    <n v="-378574"/>
    <n v="0"/>
    <x v="4"/>
    <s v="Received"/>
    <s v="ENGINEERING STYLES EST FOR CONTRACTING"/>
    <x v="3"/>
    <x v="6"/>
    <x v="27"/>
    <n v="1"/>
    <n v="2026"/>
    <m/>
  </r>
  <r>
    <x v="1"/>
    <x v="71"/>
    <x v="3"/>
    <s v="CUSTOMER = 3972500 DEAL AMT = 75 DEAL CCY = SAR TAX CODE = 1 "/>
    <x v="34"/>
    <s v="TF251770002001"/>
    <x v="0"/>
    <n v="-11.25"/>
    <n v="0"/>
    <x v="1"/>
    <s v="Received"/>
    <s v="AL RAWNAQ AL THAHABI ENGINEERING CONSULTING. CO."/>
    <x v="3"/>
    <x v="6"/>
    <x v="27"/>
    <n v="1"/>
    <n v="2026"/>
    <m/>
  </r>
  <r>
    <x v="1"/>
    <x v="71"/>
    <x v="3"/>
    <s v="LC SWIFT CHARGES FOR LC NO. TF251770002001\BNK"/>
    <x v="34"/>
    <s v="TF251770002001"/>
    <x v="0"/>
    <n v="-75"/>
    <n v="0"/>
    <x v="3"/>
    <s v="Received"/>
    <s v="AL RAWNAQ AL THAHABI ENGINEERING CONSULTING. CO."/>
    <x v="3"/>
    <x v="6"/>
    <x v="27"/>
    <n v="1"/>
    <n v="2026"/>
    <m/>
  </r>
  <r>
    <x v="1"/>
    <x v="71"/>
    <x v="3"/>
    <s v="REIMBURSE UNDER LCS DR FOR LC NO. TF251770002001\BNK"/>
    <x v="34"/>
    <s v="TF251770002001"/>
    <x v="0"/>
    <n v="-350461"/>
    <n v="0"/>
    <x v="4"/>
    <s v="Received"/>
    <s v="AL RAWNAQ AL THAHABI ENGINEERING CONSULTING. CO."/>
    <x v="3"/>
    <x v="6"/>
    <x v="27"/>
    <n v="1"/>
    <n v="2026"/>
    <m/>
  </r>
  <r>
    <x v="1"/>
    <x v="71"/>
    <x v="3"/>
    <s v="CUSTOMER = 3972500 DEAL AMT = 75 DEAL CCY = SAR TAX CODE = 1 "/>
    <x v="14"/>
    <s v="TF251770005401"/>
    <x v="0"/>
    <n v="-11.25"/>
    <n v="0"/>
    <x v="1"/>
    <s v="Received"/>
    <s v="LAILA M.BIN ABDULLAH AL-FARAJ FOR GENERAL CONT.EST"/>
    <x v="3"/>
    <x v="6"/>
    <x v="27"/>
    <n v="1"/>
    <n v="2026"/>
    <m/>
  </r>
  <r>
    <x v="1"/>
    <x v="71"/>
    <x v="3"/>
    <s v="LC SWIFT CHARGES FOR LC NO. TF251770005401\BNK"/>
    <x v="14"/>
    <s v="TF251770005401"/>
    <x v="0"/>
    <n v="-75"/>
    <n v="0"/>
    <x v="3"/>
    <s v="Received"/>
    <s v="LAILA M.BIN ABDULLAH AL-FARAJ FOR GENERAL CONT.EST"/>
    <x v="3"/>
    <x v="6"/>
    <x v="27"/>
    <n v="1"/>
    <n v="2026"/>
    <m/>
  </r>
  <r>
    <x v="1"/>
    <x v="71"/>
    <x v="3"/>
    <s v="REIMBURSE UNDER LCS DR FOR LC NO. TF251770005401\BNK"/>
    <x v="14"/>
    <s v="TF251770005401"/>
    <x v="0"/>
    <n v="-263032"/>
    <n v="0"/>
    <x v="4"/>
    <s v="Received"/>
    <s v="LAILA M.BIN ABDULLAH AL-FARAJ FOR GENERAL CONT.EST"/>
    <x v="3"/>
    <x v="6"/>
    <x v="27"/>
    <n v="1"/>
    <n v="2026"/>
    <m/>
  </r>
  <r>
    <x v="2"/>
    <x v="71"/>
    <x v="4"/>
    <s v="CITY:Jeddah 6132226J210929001"/>
    <x v="38"/>
    <s v="J210929001"/>
    <x v="0"/>
    <n v="-184701.44"/>
    <n v="0"/>
    <x v="4"/>
    <s v="Received"/>
    <s v="Sami Yousee Bin Abdel Rahim Alharbi Foundation"/>
    <x v="3"/>
    <x v="6"/>
    <x v="27"/>
    <n v="1"/>
    <n v="2026"/>
    <m/>
  </r>
  <r>
    <x v="3"/>
    <x v="71"/>
    <x v="6"/>
    <s v="DPBCOR622610WPM DCBWPM563932"/>
    <x v="46"/>
    <s v="DPBCOR622610WPM"/>
    <x v="0"/>
    <n v="-300000"/>
    <n v="0"/>
    <x v="4"/>
    <s v="Received"/>
    <s v="TEN POINTS TRADING EST"/>
    <x v="3"/>
    <x v="9"/>
    <x v="27"/>
    <n v="1"/>
    <n v="2026"/>
    <m/>
  </r>
  <r>
    <x v="5"/>
    <x v="71"/>
    <x v="9"/>
    <s v="TI Bill Settled                                                       _x000a_POC007                                                                _x000a_At Bank AlJazira                                                      _x000a_CORPORATE BANKING DEPT-JEDDAH                                         _x000a_Date 18-07-1447(H) Time 09.38.28                                      _x000a_Reference ILC-0840-25-8159                                            _x000a_"/>
    <x v="84"/>
    <s v="ILC-0840-25-8159"/>
    <x v="0"/>
    <n v="253366.85"/>
    <n v="0"/>
    <x v="4"/>
    <s v="Received"/>
    <s v="AL FALWA CO. LTD. FOR READYMIX CONCRETE"/>
    <x v="0"/>
    <x v="10"/>
    <x v="27"/>
    <n v="1"/>
    <n v="2026"/>
    <m/>
  </r>
  <r>
    <x v="1"/>
    <x v="72"/>
    <x v="3"/>
    <s v="CUSTOMER = 3972500 DEAL AMT = 75 DEAL CCY = SAR TAX CODE = 1 "/>
    <x v="360"/>
    <s v="TF251350003801"/>
    <x v="0"/>
    <n v="-11.25"/>
    <n v="0"/>
    <x v="1"/>
    <s v="Received"/>
    <s v="ALI MANEA ALYAMI TRADING EST."/>
    <x v="3"/>
    <x v="5"/>
    <x v="27"/>
    <n v="1"/>
    <n v="2026"/>
    <m/>
  </r>
  <r>
    <x v="1"/>
    <x v="72"/>
    <x v="3"/>
    <s v="LC SWIFT CHARGES FOR LC NO. TF251350003801\BNK"/>
    <x v="360"/>
    <s v="TF251350003801"/>
    <x v="0"/>
    <n v="-75"/>
    <n v="0"/>
    <x v="3"/>
    <s v="Received"/>
    <s v="ALI MANEA ALYAMI TRADING EST."/>
    <x v="3"/>
    <x v="5"/>
    <x v="27"/>
    <n v="1"/>
    <n v="2026"/>
    <m/>
  </r>
  <r>
    <x v="1"/>
    <x v="72"/>
    <x v="3"/>
    <s v="CUSTOMER = 3972500 DEAL AMT = 1250 DEAL CCY = SAR TAX CODE = 1 "/>
    <x v="360"/>
    <s v="TF251350003801"/>
    <x v="0"/>
    <n v="-187.5"/>
    <n v="0"/>
    <x v="1"/>
    <s v="Received"/>
    <s v="ALI MANEA ALYAMI TRADING EST."/>
    <x v="3"/>
    <x v="5"/>
    <x v="27"/>
    <n v="1"/>
    <n v="2026"/>
    <m/>
  </r>
  <r>
    <x v="1"/>
    <x v="72"/>
    <x v="3"/>
    <s v="LC ACCEPTANCE COMMISSION FOR LC NO. TF251350003801\BNK"/>
    <x v="360"/>
    <s v="TF251350003801"/>
    <x v="0"/>
    <n v="-1250"/>
    <n v="0"/>
    <x v="2"/>
    <s v="Received"/>
    <s v="ALI MANEA ALYAMI TRADING EST."/>
    <x v="3"/>
    <x v="5"/>
    <x v="27"/>
    <n v="1"/>
    <n v="2026"/>
    <m/>
  </r>
  <r>
    <x v="1"/>
    <x v="72"/>
    <x v="3"/>
    <s v="REIMBURSE UNDER LCS DR FOR LC NO. TF251350003801\BNK"/>
    <x v="360"/>
    <s v="TF251350003801"/>
    <x v="0"/>
    <n v="-221169.27"/>
    <n v="0"/>
    <x v="4"/>
    <s v="Received"/>
    <s v="ALI MANEA ALYAMI TRADING EST."/>
    <x v="3"/>
    <x v="5"/>
    <x v="27"/>
    <n v="1"/>
    <n v="2026"/>
    <m/>
  </r>
  <r>
    <x v="1"/>
    <x v="72"/>
    <x v="3"/>
    <s v="CUSTOMER = 3972500 DEAL AMT = 75 DEAL CCY = SAR TAX CODE = 1 "/>
    <x v="35"/>
    <s v="TF252110001601"/>
    <x v="0"/>
    <n v="-11.25"/>
    <n v="0"/>
    <x v="1"/>
    <s v="Received"/>
    <s v="DELHAM ALJANOUB FOR TRADING CONTRACTING"/>
    <x v="3"/>
    <x v="5"/>
    <x v="27"/>
    <n v="1"/>
    <n v="2026"/>
    <m/>
  </r>
  <r>
    <x v="1"/>
    <x v="72"/>
    <x v="3"/>
    <s v="LC SWIFT CHARGES FOR LC NO. TF252110001601\BNK"/>
    <x v="35"/>
    <s v="TF252110001601"/>
    <x v="0"/>
    <n v="-75"/>
    <n v="0"/>
    <x v="3"/>
    <s v="Received"/>
    <s v="DELHAM ALJANOUB FOR TRADING CONTRACTING"/>
    <x v="3"/>
    <x v="5"/>
    <x v="27"/>
    <n v="1"/>
    <n v="2026"/>
    <m/>
  </r>
  <r>
    <x v="1"/>
    <x v="72"/>
    <x v="3"/>
    <s v="REIMBURSE UNDER LCS DR FOR LC NO. TF252110001601\BNK"/>
    <x v="35"/>
    <s v="TF252110001601"/>
    <x v="0"/>
    <n v="-200000"/>
    <n v="0"/>
    <x v="4"/>
    <s v="Received"/>
    <s v="DELHAM ALJANOUB FOR TRADING CONTRACTING"/>
    <x v="3"/>
    <x v="5"/>
    <x v="27"/>
    <n v="1"/>
    <n v="2026"/>
    <m/>
  </r>
  <r>
    <x v="1"/>
    <x v="72"/>
    <x v="3"/>
    <s v="CUSTOMER = 3972500 DEAL AMT = 500.00 DEAL CCY = SAR TAX CODE = 1 "/>
    <x v="326"/>
    <s v="TF2535200018"/>
    <x v="0"/>
    <n v="-37.5"/>
    <n v="0"/>
    <x v="1"/>
    <s v="Received"/>
    <s v="Mahmoud Al Tahini and Partners Company"/>
    <x v="12"/>
    <x v="5"/>
    <x v="27"/>
    <n v="1"/>
    <n v="2026"/>
    <m/>
  </r>
  <r>
    <x v="1"/>
    <x v="72"/>
    <x v="3"/>
    <s v="CUSTOMER = 3972500 DEAL AMT = 500.00 DEAL CCY = SAR TAX CODE = 1 "/>
    <x v="326"/>
    <s v="TF2535200018"/>
    <x v="0"/>
    <n v="-75"/>
    <n v="0"/>
    <x v="1"/>
    <s v="Received"/>
    <s v="Mahmoud Al Tahini and Partners Company"/>
    <x v="12"/>
    <x v="5"/>
    <x v="27"/>
    <n v="1"/>
    <n v="2026"/>
    <m/>
  </r>
  <r>
    <x v="1"/>
    <x v="72"/>
    <x v="3"/>
    <s v="LC SWIFT CHARGES FOR LC NO. TF2535200018\BNK"/>
    <x v="326"/>
    <s v="TF2535200018"/>
    <x v="0"/>
    <n v="-250"/>
    <n v="0"/>
    <x v="3"/>
    <s v="Received"/>
    <s v="Mahmoud Al Tahini and Partners Company"/>
    <x v="12"/>
    <x v="5"/>
    <x v="27"/>
    <n v="1"/>
    <n v="2026"/>
    <m/>
  </r>
  <r>
    <x v="1"/>
    <x v="72"/>
    <x v="3"/>
    <s v="LC AMENDMENT COMMISSION FOR LC NO. TF2535200018\BNK"/>
    <x v="326"/>
    <s v="TF2535200018"/>
    <x v="0"/>
    <n v="-500"/>
    <n v="0"/>
    <x v="5"/>
    <s v="Received"/>
    <s v="Mahmoud Al Tahini and Partners Company"/>
    <x v="12"/>
    <x v="5"/>
    <x v="27"/>
    <n v="1"/>
    <n v="2026"/>
    <m/>
  </r>
  <r>
    <x v="1"/>
    <x v="72"/>
    <x v="3"/>
    <s v="CUSTOMER = 3972500 DEAL AMT = 500.00 DEAL CCY = SAR TAX CODE = 1 "/>
    <x v="327"/>
    <s v="TF2535200019"/>
    <x v="0"/>
    <n v="-37.5"/>
    <n v="0"/>
    <x v="1"/>
    <s v="Received"/>
    <s v="SIEMENS Limited Company"/>
    <x v="12"/>
    <x v="5"/>
    <x v="27"/>
    <n v="1"/>
    <n v="2026"/>
    <m/>
  </r>
  <r>
    <x v="1"/>
    <x v="72"/>
    <x v="3"/>
    <s v="CUSTOMER = 3972500 DEAL AMT = 500.00 DEAL CCY = SAR TAX CODE = 1 "/>
    <x v="327"/>
    <s v="TF2535200019"/>
    <x v="0"/>
    <n v="-75"/>
    <n v="0"/>
    <x v="1"/>
    <s v="Received"/>
    <s v="SIEMENS Limited Company"/>
    <x v="12"/>
    <x v="5"/>
    <x v="27"/>
    <n v="1"/>
    <n v="2026"/>
    <m/>
  </r>
  <r>
    <x v="1"/>
    <x v="72"/>
    <x v="3"/>
    <s v="LC SWIFT CHARGES FOR LC NO. TF2535200019\BNK"/>
    <x v="327"/>
    <s v="TF2535200019"/>
    <x v="0"/>
    <n v="-250"/>
    <n v="0"/>
    <x v="3"/>
    <s v="Received"/>
    <s v="SIEMENS Limited Company"/>
    <x v="12"/>
    <x v="5"/>
    <x v="27"/>
    <n v="1"/>
    <n v="2026"/>
    <m/>
  </r>
  <r>
    <x v="1"/>
    <x v="72"/>
    <x v="3"/>
    <s v="LC AMENDMENT COMMISSION FOR LC NO. TF2535200019\BNK"/>
    <x v="327"/>
    <s v="TF2535200019"/>
    <x v="0"/>
    <n v="-500"/>
    <n v="0"/>
    <x v="5"/>
    <s v="Received"/>
    <s v="SIEMENS Limited Company"/>
    <x v="12"/>
    <x v="5"/>
    <x v="27"/>
    <n v="1"/>
    <n v="2026"/>
    <m/>
  </r>
  <r>
    <x v="3"/>
    <x v="72"/>
    <x v="6"/>
    <s v="DPBCOR624577WPM DCBWPM562595"/>
    <x v="140"/>
    <s v="DPBCOR624577WPM"/>
    <x v="0"/>
    <n v="-200000"/>
    <n v="0"/>
    <x v="4"/>
    <s v="Received"/>
    <s v="Al Wasail Industrial Co."/>
    <x v="3"/>
    <x v="9"/>
    <x v="27"/>
    <n v="1"/>
    <n v="2026"/>
    <m/>
  </r>
  <r>
    <x v="3"/>
    <x v="72"/>
    <x v="6"/>
    <s v="DPBCOR621769WPM DCBWPM558768"/>
    <x v="159"/>
    <s v="DPBCOR621769WPM"/>
    <x v="0"/>
    <n v="-766157.63"/>
    <n v="0"/>
    <x v="4"/>
    <s v="Received"/>
    <s v="Bahra Advanced Cable Manufacture Co.Ltd"/>
    <x v="3"/>
    <x v="9"/>
    <x v="27"/>
    <n v="1"/>
    <n v="2026"/>
    <m/>
  </r>
  <r>
    <x v="2"/>
    <x v="73"/>
    <x v="4"/>
    <s v="CITY:Jeddah 6132226J211763000"/>
    <x v="361"/>
    <s v="J211763000"/>
    <x v="0"/>
    <n v="1716.38"/>
    <n v="0"/>
    <x v="26"/>
    <s v="Received"/>
    <s v="BRC Industrial Saudia Company."/>
    <x v="0"/>
    <x v="11"/>
    <x v="27"/>
    <n v="1"/>
    <n v="2026"/>
    <m/>
  </r>
  <r>
    <x v="3"/>
    <x v="73"/>
    <x v="6"/>
    <s v="DPBCOR628519WPM DCBWPM555615"/>
    <x v="322"/>
    <s v="DPBCOR628519WPM"/>
    <x v="0"/>
    <n v="258500.05"/>
    <n v="0"/>
    <x v="4"/>
    <s v="Received"/>
    <s v="DAIKIN AIR CONDITIONING SAUDI ARABIA"/>
    <x v="3"/>
    <x v="9"/>
    <x v="27"/>
    <n v="1"/>
    <n v="2026"/>
    <m/>
  </r>
  <r>
    <x v="3"/>
    <x v="73"/>
    <x v="5"/>
    <s v="IMP BILL AMEND. CHARGES DPBEPM627819WPM DCBWPM563055"/>
    <x v="254"/>
    <s v="DPBEPM627819WPM"/>
    <x v="0"/>
    <n v="487.39"/>
    <n v="0"/>
    <x v="2"/>
    <s v="Received"/>
    <s v="AFKAR ALTATHBET TRADING COMPANY"/>
    <x v="3"/>
    <x v="8"/>
    <x v="27"/>
    <n v="1"/>
    <n v="2026"/>
    <m/>
  </r>
  <r>
    <x v="5"/>
    <x v="73"/>
    <x v="9"/>
    <s v="TI Bill Settled                                                       _x000a_POC002                                                                _x000a_At Bank AlJazira                                                      _x000a_CORPORATE BANKING DEPT-JEDDAH                                         _x000a_Date 22-07-1447(H) Time 11.25.45                                      _x000a_Reference ILC-0840-25-7407                                            _x000a_"/>
    <x v="81"/>
    <s v=""/>
    <x v="0"/>
    <n v="263925"/>
    <n v="0"/>
    <x v="4"/>
    <s v="Received"/>
    <s v="SITE TECHNOLOGY SAUDI ARABIA LTD"/>
    <x v="3"/>
    <x v="10"/>
    <x v="27"/>
    <n v="1"/>
    <n v="2026"/>
    <m/>
  </r>
  <r>
    <x v="5"/>
    <x v="73"/>
    <x v="9"/>
    <s v="Dr TI LGI Commission (Unearned)                                       _x000a_ISS001-285241407                                                      _x000a_At Bank AlJazira                                                      _x000a_CORPORATE BANKING DEPT-JEDDAH                                         _x000a_Date 22-07-1447(H) Time 13.10.55                                      _x000a_Reference ILC-0840-26-8820                                            _x000a_"/>
    <x v="362"/>
    <s v=""/>
    <x v="0"/>
    <n v="2375"/>
    <n v="0"/>
    <x v="26"/>
    <s v="Received"/>
    <s v="Alfanar Electrical Systems"/>
    <x v="3"/>
    <x v="10"/>
    <x v="27"/>
    <n v="1"/>
    <n v="2026"/>
    <m/>
  </r>
  <r>
    <x v="5"/>
    <x v="73"/>
    <x v="9"/>
    <s v="Value Added Tax                                                       _x000a_On ILC Commission                                                     _x000a_15% of SAR2,375.00                                                    _x000a_Through CORPORATE BANKING DEPT-JEDDAH                                 _x000a_Date 22-07-1447(H) Time 13.10.55                                      _x000a_Reference ILC-0840-26-8820                                            _x000a_At Bank Aljazira                                                      _x000a_"/>
    <x v="362"/>
    <s v=""/>
    <x v="0"/>
    <n v="356.25"/>
    <n v="0"/>
    <x v="1"/>
    <s v="Received"/>
    <s v="Alfanar Electrical Systems"/>
    <x v="3"/>
    <x v="10"/>
    <x v="27"/>
    <n v="1"/>
    <n v="2026"/>
    <m/>
  </r>
  <r>
    <x v="5"/>
    <x v="73"/>
    <x v="9"/>
    <s v="Dr TI ILC Comm/Other Charges                                          _x000a_ISS001-285241409                                                      _x000a_At Bank Aljazira                                                      _x000a_ CORPORATE BANKING DEPT-JEDDAH                                        _x000a_Date 22-07-1447(H) Time 13.10.55                                      _x000a_Reference ILC-0840-26-8820                                            _x000a_Value Date 22-07-1447(H)                                              _x000a_Fee Collected By Bank AlJazira                                        _x000a_"/>
    <x v="362"/>
    <s v=""/>
    <x v="0"/>
    <n v="750"/>
    <n v="0"/>
    <x v="8"/>
    <s v="Received"/>
    <s v="Alfanar Electrical Systems"/>
    <x v="3"/>
    <x v="10"/>
    <x v="27"/>
    <n v="1"/>
    <n v="2026"/>
    <m/>
  </r>
  <r>
    <x v="5"/>
    <x v="73"/>
    <x v="9"/>
    <s v="Value Added Tax                                                       _x000a_On ILC SWIFT/Telex Charges                                            _x000a_15% of SAR750.00                                                      _x000a_Through CORPORATE BANKING DEPT-JEDDAH                                 _x000a_Date 22-07-1447(H) Time 13.10.55                                      _x000a_Reference ILC-0840-26-8820                                            _x000a_At Bank Aljazira                                                      _x000a_"/>
    <x v="362"/>
    <s v=""/>
    <x v="0"/>
    <n v="112.5"/>
    <n v="0"/>
    <x v="1"/>
    <s v="Received"/>
    <s v="Alfanar Electrical Systems"/>
    <x v="3"/>
    <x v="10"/>
    <x v="27"/>
    <n v="1"/>
    <n v="2026"/>
    <m/>
  </r>
  <r>
    <x v="5"/>
    <x v="73"/>
    <x v="9"/>
    <s v="Dr TI ILC Comm/Other Charges                                          _x000a_ISS001-285241419                                                      _x000a_At Bank Aljazira                                                      _x000a_ CORPORATE BANKING DEPT-JEDDAH                                        _x000a_Date 22-07-1447(H) Time 13.10.56                                      _x000a_Reference ILC-0840-26-8820                                            _x000a_Value Date 22-07-1447(H)                                              _x000a_Fee Collected By Bank AlJazira                                        _x000a_"/>
    <x v="362"/>
    <s v=""/>
    <x v="0"/>
    <n v="1645.83"/>
    <n v="0"/>
    <x v="8"/>
    <s v="Received"/>
    <s v="Alfanar Electrical Systems"/>
    <x v="3"/>
    <x v="10"/>
    <x v="27"/>
    <n v="1"/>
    <n v="2026"/>
    <m/>
  </r>
  <r>
    <x v="5"/>
    <x v="73"/>
    <x v="9"/>
    <s v="Value Added Tax                                                       _x000a_On LC PROCESSING FEE                                                  _x000a_15% of SAR1,645.83                                                    _x000a_Through CORPORATE BANKING DEPT-JEDDAH                                 _x000a_Date 22-07-1447(H) Time 13.10.56                                      _x000a_Reference ILC-0840-26-8820                                            _x000a_At Bank Aljazira                                                      _x000a_"/>
    <x v="362"/>
    <s v=""/>
    <x v="0"/>
    <n v="246.87"/>
    <n v="0"/>
    <x v="1"/>
    <s v="Received"/>
    <s v="Alfanar Electrical Systems"/>
    <x v="3"/>
    <x v="10"/>
    <x v="27"/>
    <n v="1"/>
    <n v="2026"/>
    <m/>
  </r>
  <r>
    <x v="5"/>
    <x v="73"/>
    <x v="9"/>
    <s v="Dr TI LGI Commission (Unearned)                                       _x000a_ISS001-285260079                                                      _x000a_At Bank AlJazira                                                      _x000a_CORPORATE BANKING DEPT-JEDDAH                                         _x000a_Date 22-07-1447(H) Time 14.54.36                                      _x000a_Reference ILC-0840-26-8823                                            _x000a_"/>
    <x v="363"/>
    <s v=""/>
    <x v="0"/>
    <n v="1030.8699999999999"/>
    <n v="0"/>
    <x v="26"/>
    <s v="Received"/>
    <s v="Mohammed Masoud Al Khaldi Est"/>
    <x v="3"/>
    <x v="10"/>
    <x v="27"/>
    <n v="1"/>
    <n v="2026"/>
    <m/>
  </r>
  <r>
    <x v="5"/>
    <x v="73"/>
    <x v="9"/>
    <s v="Value Added Tax                                                       _x000a_On ILC Commission                                                     _x000a_15% of SAR1,030.87                                                    _x000a_Through CORPORATE BANKING DEPT-JEDDAH                                 _x000a_Date 22-07-1447(H) Time 14.54.36                                      _x000a_Reference ILC-0840-26-8823                                            _x000a_At Bank Aljazira                                                      _x000a_"/>
    <x v="363"/>
    <s v=""/>
    <x v="0"/>
    <n v="154.63"/>
    <n v="0"/>
    <x v="1"/>
    <s v="Received"/>
    <s v="Mohammed Masoud Al Khaldi Est"/>
    <x v="3"/>
    <x v="10"/>
    <x v="27"/>
    <n v="1"/>
    <n v="2026"/>
    <m/>
  </r>
  <r>
    <x v="5"/>
    <x v="73"/>
    <x v="9"/>
    <s v="Dr TI ILC Comm/Other Charges                                          _x000a_ISS001-285260081                                                      _x000a_At Bank Aljazira                                                      _x000a_ CORPORATE BANKING DEPT-JEDDAH                                        _x000a_Date 22-07-1447(H) Time 14.54.37                                      _x000a_Reference ILC-0840-26-8823                                            _x000a_Value Date 22-07-1447(H)                                              _x000a_Fee Collected By Bank AlJazira                                        _x000a_"/>
    <x v="363"/>
    <s v=""/>
    <x v="0"/>
    <n v="750"/>
    <n v="0"/>
    <x v="8"/>
    <s v="Received"/>
    <s v="Mohammed Masoud Al Khaldi Est"/>
    <x v="3"/>
    <x v="10"/>
    <x v="27"/>
    <n v="1"/>
    <n v="2026"/>
    <m/>
  </r>
  <r>
    <x v="5"/>
    <x v="73"/>
    <x v="9"/>
    <s v="Value Added Tax                                                       _x000a_On ILC SWIFT/Telex Charges                                            _x000a_15% of SAR750.00                                                      _x000a_Through CORPORATE BANKING DEPT-JEDDAH                                 _x000a_Date 22-07-1447(H) Time 14.54.37                                      _x000a_Reference ILC-0840-26-8823                                            _x000a_At Bank Aljazira                                                      _x000a_"/>
    <x v="363"/>
    <s v=""/>
    <x v="0"/>
    <n v="112.5"/>
    <n v="0"/>
    <x v="1"/>
    <s v="Received"/>
    <s v="Mohammed Masoud Al Khaldi Est"/>
    <x v="3"/>
    <x v="10"/>
    <x v="27"/>
    <n v="1"/>
    <n v="2026"/>
    <m/>
  </r>
  <r>
    <x v="5"/>
    <x v="73"/>
    <x v="9"/>
    <s v="Dr TI ILC Comm/Other Charges                                          _x000a_ISS001-285260083                                                      _x000a_At Bank Aljazira                                                      _x000a_ CORPORATE BANKING DEPT-JEDDAH                                        _x000a_Date 22-07-1447(H) Time 14.54.37                                      _x000a_Reference ILC-0840-26-8823                                            _x000a_Value Date 22-07-1447(H)                                              _x000a_Fee Collected By Bank AlJazira                                        _x000a_"/>
    <x v="363"/>
    <s v=""/>
    <x v="0"/>
    <n v="465.99"/>
    <n v="0"/>
    <x v="8"/>
    <s v="Received"/>
    <s v="Mohammed Masoud Al Khaldi Est"/>
    <x v="3"/>
    <x v="10"/>
    <x v="27"/>
    <n v="1"/>
    <n v="2026"/>
    <m/>
  </r>
  <r>
    <x v="5"/>
    <x v="73"/>
    <x v="9"/>
    <s v="Value Added Tax                                                       _x000a_On LC PROCESSING FEE                                                  _x000a_15% of SAR465.99                                                      _x000a_Through CORPORATE BANKING DEPT-JEDDAH                                 _x000a_Date 22-07-1447(H) Time 14.54.38                                      _x000a_Reference ILC-0840-26-8823                                            _x000a_At Bank Aljazira                                                      _x000a_"/>
    <x v="363"/>
    <s v=""/>
    <x v="0"/>
    <n v="69.900000000000006"/>
    <n v="0"/>
    <x v="1"/>
    <s v="Received"/>
    <s v="Mohammed Masoud Al Khaldi Est"/>
    <x v="3"/>
    <x v="10"/>
    <x v="27"/>
    <n v="1"/>
    <n v="2026"/>
    <m/>
  </r>
  <r>
    <x v="5"/>
    <x v="73"/>
    <x v="9"/>
    <s v="Dr TI ILC Comm/Other Charges                                          _x000a_ISS001-285260085                                                      _x000a_At Bank Aljazira                                                      _x000a_ CORPORATE BANKING DEPT-JEDDAH                                        _x000a_Date 22-07-1447(H) Time 14.54.38                                      _x000a_Reference ILC-0840-26-8823                                            _x000a_Value Date 22-07-1447(H)                                              _x000a_Fee Collected By Bank AlJazira                                        _x000a_"/>
    <x v="363"/>
    <s v=""/>
    <x v="0"/>
    <n v="200"/>
    <n v="0"/>
    <x v="8"/>
    <s v="Received"/>
    <s v="Mohammed Masoud Al Khaldi Est"/>
    <x v="3"/>
    <x v="10"/>
    <x v="27"/>
    <n v="1"/>
    <n v="2026"/>
    <m/>
  </r>
  <r>
    <x v="5"/>
    <x v="73"/>
    <x v="9"/>
    <s v="Value Added Tax                                                       _x000a_On ILC Postal/DHL Charges                                             _x000a_15% of SAR200.00                                                      _x000a_Through CORPORATE BANKING DEPT-JEDDAH                                 _x000a_Date 22-07-1447(H) Time 14.54.38                                      _x000a_Reference ILC-0840-26-8823                                            _x000a_At Bank Aljazira                                                      _x000a_"/>
    <x v="363"/>
    <s v=""/>
    <x v="0"/>
    <n v="30"/>
    <n v="0"/>
    <x v="1"/>
    <s v="Received"/>
    <s v="Mohammed Masoud Al Khaldi Est"/>
    <x v="3"/>
    <x v="10"/>
    <x v="27"/>
    <n v="1"/>
    <n v="2026"/>
    <m/>
  </r>
  <r>
    <x v="5"/>
    <x v="73"/>
    <x v="9"/>
    <s v="Dr TI LGI Commission (Unearned)                                       _x000a_ISS001-285255515                                                      _x000a_At Bank AlJazira                                                      _x000a_CORPORATE BANKING DEPT-JEDDAH                                         _x000a_Date 22-07-1447(H) Time 14.57.14                                      _x000a_Reference ILC-0840-26-8822                                            _x000a_"/>
    <x v="364"/>
    <s v=""/>
    <x v="0"/>
    <n v="1424.31"/>
    <n v="0"/>
    <x v="26"/>
    <s v="Received"/>
    <s v="Isam Kabanni And Partners For Construction And Maintenance Co Ltd"/>
    <x v="3"/>
    <x v="10"/>
    <x v="27"/>
    <n v="1"/>
    <n v="2026"/>
    <m/>
  </r>
  <r>
    <x v="5"/>
    <x v="73"/>
    <x v="9"/>
    <s v="Value Added Tax                                                       _x000a_On ILC Commission                                                     _x000a_15% of SAR1,424.31                                                    _x000a_Through CORPORATE BANKING DEPT-JEDDAH                                 _x000a_Date 22-07-1447(H) Time 14.57.14                                      _x000a_Reference ILC-0840-26-8822                                            _x000a_At Bank Aljazira                                                      _x000a_"/>
    <x v="364"/>
    <s v=""/>
    <x v="0"/>
    <n v="213.65"/>
    <n v="0"/>
    <x v="1"/>
    <s v="Received"/>
    <s v="Isam Kabanni And Partners For Construction And Maintenance Co Ltd"/>
    <x v="3"/>
    <x v="10"/>
    <x v="27"/>
    <n v="1"/>
    <n v="2026"/>
    <m/>
  </r>
  <r>
    <x v="5"/>
    <x v="73"/>
    <x v="9"/>
    <s v="Dr TI ILC Comm/Other Charges                                          _x000a_ISS001-285255517                                                      _x000a_At Bank Aljazira                                                      _x000a_ CORPORATE BANKING DEPT-JEDDAH                                        _x000a_Date 22-07-1447(H) Time 14.57.14                                      _x000a_Reference ILC-0840-26-8822                                            _x000a_Value Date 22-07-1447(H)                                              _x000a_Fee Collected By Bank AlJazira                                        _x000a_"/>
    <x v="364"/>
    <s v=""/>
    <x v="0"/>
    <n v="750"/>
    <n v="0"/>
    <x v="8"/>
    <s v="Received"/>
    <s v="Isam Kabanni And Partners For Construction And Maintenance Co Ltd"/>
    <x v="3"/>
    <x v="10"/>
    <x v="27"/>
    <n v="1"/>
    <n v="2026"/>
    <m/>
  </r>
  <r>
    <x v="5"/>
    <x v="73"/>
    <x v="9"/>
    <s v="Value Added Tax                                                       _x000a_On ILC SWIFT/Telex Charges                                            _x000a_15% of SAR750.00                                                      _x000a_Through CORPORATE BANKING DEPT-JEDDAH                                 _x000a_Date 22-07-1447(H) Time 14.57.14                                      _x000a_Reference ILC-0840-26-8822                                            _x000a_At Bank Aljazira                                                      _x000a_"/>
    <x v="364"/>
    <s v=""/>
    <x v="0"/>
    <n v="112.5"/>
    <n v="0"/>
    <x v="1"/>
    <s v="Received"/>
    <s v="Isam Kabanni And Partners For Construction And Maintenance Co Ltd"/>
    <x v="3"/>
    <x v="10"/>
    <x v="27"/>
    <n v="1"/>
    <n v="2026"/>
    <m/>
  </r>
  <r>
    <x v="5"/>
    <x v="73"/>
    <x v="9"/>
    <s v="Dr TI ILC Comm/Other Charges                                          _x000a_ISS001-285255519                                                      _x000a_At Bank Aljazira                                                      _x000a_ CORPORATE BANKING DEPT-JEDDAH                                        _x000a_Date 22-07-1447(H) Time 14.57.15                                      _x000a_Reference ILC-0840-26-8822                                            _x000a_Value Date 22-07-1447(H)                                              _x000a_Fee Collected By Bank AlJazira                                        _x000a_"/>
    <x v="364"/>
    <s v=""/>
    <x v="0"/>
    <n v="811.34"/>
    <n v="0"/>
    <x v="8"/>
    <s v="Received"/>
    <s v="Isam Kabanni And Partners For Construction And Maintenance Co Ltd"/>
    <x v="3"/>
    <x v="10"/>
    <x v="27"/>
    <n v="1"/>
    <n v="2026"/>
    <m/>
  </r>
  <r>
    <x v="5"/>
    <x v="73"/>
    <x v="9"/>
    <s v="Value Added Tax                                                       _x000a_On LC PROCESSING FEE                                                  _x000a_15% of SAR811.34                                                      _x000a_Through CORPORATE BANKING DEPT-JEDDAH                                 _x000a_Date 22-07-1447(H) Time 14.57.15                                      _x000a_Reference ILC-0840-26-8822                                            _x000a_At Bank Aljazira                                                      _x000a_"/>
    <x v="364"/>
    <s v=""/>
    <x v="0"/>
    <n v="121.7"/>
    <n v="0"/>
    <x v="1"/>
    <s v="Received"/>
    <s v="Isam Kabanni And Partners For Construction And Maintenance Co Ltd"/>
    <x v="3"/>
    <x v="10"/>
    <x v="27"/>
    <n v="1"/>
    <n v="2026"/>
    <m/>
  </r>
  <r>
    <x v="5"/>
    <x v="73"/>
    <x v="9"/>
    <s v="Dr TI ILC Comm/Other Charges                                          _x000a_ISS001-285255533                                                      _x000a_At Bank Aljazira                                                      _x000a_ CORPORATE BANKING DEPT-JEDDAH                                        _x000a_Date 22-07-1447(H) Time 14.57.15                                      _x000a_Reference ILC-0840-26-8822                                            _x000a_Value Date 22-07-1447(H)                                              _x000a_Fee Collected By Bank AlJazira                                        _x000a_"/>
    <x v="364"/>
    <s v=""/>
    <x v="0"/>
    <n v="200"/>
    <n v="0"/>
    <x v="8"/>
    <s v="Received"/>
    <s v="Isam Kabanni And Partners For Construction And Maintenance Co Ltd"/>
    <x v="3"/>
    <x v="10"/>
    <x v="27"/>
    <n v="1"/>
    <n v="2026"/>
    <m/>
  </r>
  <r>
    <x v="5"/>
    <x v="73"/>
    <x v="9"/>
    <s v="Value Added Tax                                                       _x000a_On ILC Postal/DHL Charges                                             _x000a_15% of SAR200.00                                                      _x000a_Through CORPORATE BANKING DEPT-JEDDAH                                 _x000a_Date 22-07-1447(H) Time 14.57.15                                      _x000a_Reference ILC-0840-26-8822                                            _x000a_At Bank Aljazira                                                      _x000a_"/>
    <x v="364"/>
    <s v=""/>
    <x v="0"/>
    <n v="30"/>
    <n v="0"/>
    <x v="1"/>
    <s v="Received"/>
    <s v="Isam Kabanni And Partners For Construction And Maintenance Co Ltd"/>
    <x v="3"/>
    <x v="10"/>
    <x v="27"/>
    <n v="1"/>
    <n v="2026"/>
    <m/>
  </r>
  <r>
    <x v="5"/>
    <x v="73"/>
    <x v="9"/>
    <s v="Dr TI LGI Commission (Unearned)                                       _x000a_ISS001-285238751                                                      _x000a_At Bank AlJazira                                                      _x000a_CORPORATE BANKING DEPT-JEDDAH                                         _x000a_Date 22-07-1447(H) Time 14.59.26                                      _x000a_Reference ILC-0840-26-8819                                            _x000a_"/>
    <x v="365"/>
    <s v=""/>
    <x v="0"/>
    <n v="630.27"/>
    <n v="0"/>
    <x v="16"/>
    <s v="Received"/>
    <s v="United Park Co."/>
    <x v="3"/>
    <x v="10"/>
    <x v="27"/>
    <n v="1"/>
    <n v="2026"/>
    <m/>
  </r>
  <r>
    <x v="5"/>
    <x v="73"/>
    <x v="9"/>
    <s v="Value Added Tax                                                       _x000a_On ILC Commission                                                     _x000a_15% of SAR630.27                                                      _x000a_Through CORPORATE BANKING DEPT-JEDDAH                                 _x000a_Date 22-07-1447(H) Time 14.59.26                                      _x000a_Reference ILC-0840-26-8819                                            _x000a_At Bank Aljazira                                                      _x000a_"/>
    <x v="365"/>
    <s v=""/>
    <x v="0"/>
    <n v="94.54"/>
    <n v="0"/>
    <x v="1"/>
    <s v="Received"/>
    <s v="United Park Co."/>
    <x v="3"/>
    <x v="10"/>
    <x v="27"/>
    <n v="1"/>
    <n v="2026"/>
    <m/>
  </r>
  <r>
    <x v="5"/>
    <x v="73"/>
    <x v="9"/>
    <s v="Dr TI ILC Comm/Other Charges                                          _x000a_ISS001-285238753                                                      _x000a_At Bank Aljazira                                                      _x000a_ CORPORATE BANKING DEPT-JEDDAH                                        _x000a_Date 22-07-1447(H) Time 14.59.26                                      _x000a_Reference ILC-0840-26-8819                                            _x000a_Value Date 22-07-1447(H)                                              _x000a_Fee Collected By Bank AlJazira                                        _x000a_"/>
    <x v="365"/>
    <s v=""/>
    <x v="0"/>
    <n v="750"/>
    <n v="0"/>
    <x v="8"/>
    <s v="Received"/>
    <s v="United Park Co."/>
    <x v="3"/>
    <x v="10"/>
    <x v="27"/>
    <n v="1"/>
    <n v="2026"/>
    <m/>
  </r>
  <r>
    <x v="5"/>
    <x v="73"/>
    <x v="9"/>
    <s v="Value Added Tax                                                       _x000a_On ILC SWIFT/Telex Charges                                            _x000a_15% of SAR750.00                                                      _x000a_Through CORPORATE BANKING DEPT-JEDDAH                                 _x000a_Date 22-07-1447(H) Time 14.59.27                                      _x000a_Reference ILC-0840-26-8819                                            _x000a_At Bank Aljazira                                                      _x000a_"/>
    <x v="365"/>
    <s v=""/>
    <x v="0"/>
    <n v="112.5"/>
    <n v="0"/>
    <x v="1"/>
    <s v="Received"/>
    <s v="United Park Co."/>
    <x v="3"/>
    <x v="10"/>
    <x v="27"/>
    <n v="1"/>
    <n v="2026"/>
    <m/>
  </r>
  <r>
    <x v="5"/>
    <x v="73"/>
    <x v="9"/>
    <s v="Dr TI ILC Comm/Other Charges                                          _x000a_ISS001-285238755                                                      _x000a_At Bank Aljazira                                                      _x000a_ CORPORATE BANKING DEPT-JEDDAH                                        _x000a_Date 22-07-1447(H) Time 14.59.28                                      _x000a_Reference ILC-0840-26-8819                                            _x000a_Value Date 22-07-1447(H)                                              _x000a_Fee Collected By Bank AlJazira                                        _x000a_"/>
    <x v="365"/>
    <s v=""/>
    <x v="0"/>
    <n v="276.62"/>
    <n v="0"/>
    <x v="8"/>
    <s v="Received"/>
    <s v="United Park Co."/>
    <x v="3"/>
    <x v="10"/>
    <x v="27"/>
    <n v="1"/>
    <n v="2026"/>
    <m/>
  </r>
  <r>
    <x v="5"/>
    <x v="73"/>
    <x v="9"/>
    <s v="Value Added Tax                                                       _x000a_On LC PROCESSING FEE                                                  _x000a_15% of SAR276.62                                                      _x000a_Through CORPORATE BANKING DEPT-JEDDAH                                 _x000a_Date 22-07-1447(H) Time 14.59.28                                      _x000a_Reference ILC-0840-26-8819                                            _x000a_At Bank Aljazira                                                      _x000a_"/>
    <x v="365"/>
    <s v=""/>
    <x v="0"/>
    <n v="41.49"/>
    <n v="0"/>
    <x v="1"/>
    <s v="Received"/>
    <s v="United Park Co."/>
    <x v="3"/>
    <x v="10"/>
    <x v="27"/>
    <n v="1"/>
    <n v="2026"/>
    <m/>
  </r>
  <r>
    <x v="5"/>
    <x v="73"/>
    <x v="9"/>
    <s v="Dr TI ILC Comm/Other Charges                                          _x000a_ISS001-285285336                                                      _x000a_At Bank Aljazira                                                      _x000a_ CORPORATE BANKING DEPT-JEDDAH                                        _x000a_Date 22-07-1447(H) Time 14.59.29                                      _x000a_Reference ILC-0840-26-8819                                            _x000a_Value Date 22-07-1447(H)                                              _x000a_Fee Collected By Bank AlJazira                                        _x000a_"/>
    <x v="365"/>
    <s v=""/>
    <x v="0"/>
    <n v="200"/>
    <n v="0"/>
    <x v="8"/>
    <s v="Received"/>
    <s v="United Park Co."/>
    <x v="3"/>
    <x v="10"/>
    <x v="27"/>
    <n v="1"/>
    <n v="2026"/>
    <m/>
  </r>
  <r>
    <x v="5"/>
    <x v="73"/>
    <x v="9"/>
    <s v="Value Added Tax                                                       _x000a_On ILC Postal/DHL Charges                                             _x000a_15% of SAR200.00                                                      _x000a_Through CORPORATE BANKING DEPT-JEDDAH                                 _x000a_Date 22-07-1447(H) Time 14.59.29                                      _x000a_Reference ILC-0840-26-8819                                            _x000a_At Bank Aljazira                                                      _x000a_"/>
    <x v="365"/>
    <s v=""/>
    <x v="0"/>
    <n v="30"/>
    <n v="0"/>
    <x v="1"/>
    <s v="Received"/>
    <s v="United Park Co."/>
    <x v="3"/>
    <x v="10"/>
    <x v="27"/>
    <n v="1"/>
    <n v="2026"/>
    <m/>
  </r>
  <r>
    <x v="5"/>
    <x v="73"/>
    <x v="9"/>
    <s v="Dr TI LGI Commission (Unearned)                                       _x000a_ISS001-285249211                                                      _x000a_At Bank AlJazira                                                      _x000a_CORPORATE BANKING DEPT-JEDDAH                                         _x000a_Date 22-07-1447(H) Time 15.00.15                                      _x000a_Reference ILC-0840-26-8821                                            _x000a_"/>
    <x v="366"/>
    <s v=""/>
    <x v="0"/>
    <n v="524.69000000000005"/>
    <n v="0"/>
    <x v="26"/>
    <s v="Received"/>
    <s v="Al Wasail Industrial Co "/>
    <x v="3"/>
    <x v="10"/>
    <x v="27"/>
    <n v="1"/>
    <n v="2026"/>
    <m/>
  </r>
  <r>
    <x v="5"/>
    <x v="73"/>
    <x v="9"/>
    <s v="Value Added Tax                                                       _x000a_On ILC Commission                                                     _x000a_15% of SAR524.69                                                      _x000a_Through CORPORATE BANKING DEPT-JEDDAH                                 _x000a_Date 22-07-1447(H) Time 15.00.15                                      _x000a_Reference ILC-0840-26-8821                                            _x000a_At Bank Aljazira                                                      _x000a_"/>
    <x v="366"/>
    <s v=""/>
    <x v="0"/>
    <n v="78.7"/>
    <n v="0"/>
    <x v="1"/>
    <s v="Received"/>
    <s v="Al Wasail Industrial Co "/>
    <x v="3"/>
    <x v="10"/>
    <x v="27"/>
    <n v="1"/>
    <n v="2026"/>
    <m/>
  </r>
  <r>
    <x v="5"/>
    <x v="73"/>
    <x v="9"/>
    <s v="Dr TI ILC Comm/Other Charges                                          _x000a_ISS001-285249213                                                      _x000a_At Bank Aljazira                                                      _x000a_ CORPORATE BANKING DEPT-JEDDAH                                        _x000a_Date 22-07-1447(H) Time 15.00.16                                      _x000a_Reference ILC-0840-26-8821                                            _x000a_Value Date 22-07-1447(H)                                              _x000a_Fee Collected By Bank AlJazira                                        _x000a_"/>
    <x v="366"/>
    <s v=""/>
    <x v="0"/>
    <n v="750"/>
    <n v="0"/>
    <x v="8"/>
    <s v="Received"/>
    <s v="Al Wasail Industrial Co "/>
    <x v="3"/>
    <x v="10"/>
    <x v="27"/>
    <n v="1"/>
    <n v="2026"/>
    <m/>
  </r>
  <r>
    <x v="5"/>
    <x v="73"/>
    <x v="9"/>
    <s v="Value Added Tax                                                       _x000a_On ILC SWIFT/Telex Charges                                            _x000a_15% of SAR750.00                                                      _x000a_Through CORPORATE BANKING DEPT-JEDDAH                                 _x000a_Date 22-07-1447(H) Time 15.00.16                                      _x000a_Reference ILC-0840-26-8821                                            _x000a_At Bank Aljazira                                                      _x000a_"/>
    <x v="366"/>
    <s v=""/>
    <x v="0"/>
    <n v="112.5"/>
    <n v="0"/>
    <x v="1"/>
    <s v="Received"/>
    <s v="Al Wasail Industrial Co "/>
    <x v="3"/>
    <x v="10"/>
    <x v="27"/>
    <n v="1"/>
    <n v="2026"/>
    <m/>
  </r>
  <r>
    <x v="5"/>
    <x v="73"/>
    <x v="9"/>
    <s v="Dr TI ILC Comm/Other Charges                                          _x000a_ISS001-285249215                                                      _x000a_At Bank Aljazira                                                      _x000a_ CORPORATE BANKING DEPT-JEDDAH                                        _x000a_Date 22-07-1447(H) Time 15.00.16                                      _x000a_Reference ILC-0840-26-8821                                            _x000a_Value Date 22-07-1447(H)                                              _x000a_Fee Collected By Bank AlJazira                                        _x000a_"/>
    <x v="366"/>
    <s v=""/>
    <x v="0"/>
    <n v="230.28"/>
    <n v="0"/>
    <x v="8"/>
    <s v="Received"/>
    <s v="Al Wasail Industrial Co "/>
    <x v="3"/>
    <x v="10"/>
    <x v="27"/>
    <n v="1"/>
    <n v="2026"/>
    <m/>
  </r>
  <r>
    <x v="5"/>
    <x v="73"/>
    <x v="9"/>
    <s v="Value Added Tax                                                       _x000a_On LC PROCESSING FEE                                                  _x000a_15% of SAR230.28                                                      _x000a_Through CORPORATE BANKING DEPT-JEDDAH                                 _x000a_Date 22-07-1447(H) Time 15.00.16                                      _x000a_Reference ILC-0840-26-8821                                            _x000a_At Bank Aljazira                                                      _x000a_"/>
    <x v="366"/>
    <s v=""/>
    <x v="0"/>
    <n v="34.54"/>
    <n v="0"/>
    <x v="1"/>
    <s v="Received"/>
    <s v="Al Wasail Industrial Co "/>
    <x v="3"/>
    <x v="10"/>
    <x v="27"/>
    <n v="1"/>
    <n v="2026"/>
    <m/>
  </r>
  <r>
    <x v="5"/>
    <x v="73"/>
    <x v="9"/>
    <s v="Dr TI ILC Comm/Other Charges                                          _x000a_ISS001-285255562                                                      _x000a_At Bank Aljazira                                                      _x000a_ CORPORATE BANKING DEPT-JEDDAH                                        _x000a_Date 22-07-1447(H) Time 15.00.17                                      _x000a_Reference ILC-0840-26-8821                                            _x000a_Value Date 22-07-1447(H)                                              _x000a_Fee Collected By Bank AlJazira                                        _x000a_"/>
    <x v="366"/>
    <s v=""/>
    <x v="0"/>
    <n v="200"/>
    <n v="0"/>
    <x v="8"/>
    <s v="Received"/>
    <s v="Al Wasail Industrial Co "/>
    <x v="3"/>
    <x v="10"/>
    <x v="27"/>
    <n v="1"/>
    <n v="2026"/>
    <m/>
  </r>
  <r>
    <x v="5"/>
    <x v="73"/>
    <x v="9"/>
    <s v="Value Added Tax                                                       _x000a_On ILC Postal/DHL Charges                                             _x000a_15% of SAR200.00                                                      _x000a_Through CORPORATE BANKING DEPT-JEDDAH                                 _x000a_Date 22-07-1447(H) Time 15.00.17                                      _x000a_Reference ILC-0840-26-8821                                            _x000a_At Bank Aljazira                                                      _x000a_"/>
    <x v="366"/>
    <s v=""/>
    <x v="0"/>
    <n v="30"/>
    <n v="0"/>
    <x v="1"/>
    <s v="Received"/>
    <s v="Al Wasail Industrial Co "/>
    <x v="3"/>
    <x v="10"/>
    <x v="27"/>
    <n v="1"/>
    <n v="2026"/>
    <m/>
  </r>
  <r>
    <x v="1"/>
    <x v="74"/>
    <x v="3"/>
    <s v="CUSTOMER = 3972500 DEAL AMT = 1250 DEAL CCY = SAR TAX CODE = 1 "/>
    <x v="204"/>
    <s v="TF251310002702"/>
    <x v="0"/>
    <n v="187.5"/>
    <n v="0"/>
    <x v="1"/>
    <s v="Received"/>
    <s v="ALBYT ALTHAKI TRADING CO"/>
    <x v="3"/>
    <x v="5"/>
    <x v="27"/>
    <n v="1"/>
    <n v="2026"/>
    <m/>
  </r>
  <r>
    <x v="1"/>
    <x v="74"/>
    <x v="3"/>
    <s v="LC ACCEPTANCE COMMISSION FOR LC NO. TF251310002702\BNK"/>
    <x v="204"/>
    <s v="TF251310002702"/>
    <x v="0"/>
    <n v="1250"/>
    <n v="0"/>
    <x v="2"/>
    <s v="Received"/>
    <s v="ALBYT ALTHAKI TRADING CO"/>
    <x v="3"/>
    <x v="5"/>
    <x v="27"/>
    <n v="1"/>
    <n v="2026"/>
    <m/>
  </r>
  <r>
    <x v="1"/>
    <x v="74"/>
    <x v="3"/>
    <s v="CUSTOMER = 3972500 DEAL AMT = 1250 DEAL CCY = SAR TAX CODE = 1 "/>
    <x v="208"/>
    <s v="TF251470002501"/>
    <x v="0"/>
    <n v="187.5"/>
    <n v="0"/>
    <x v="1"/>
    <s v="Received"/>
    <s v="ALBYT ALTHAKI TRADING CO"/>
    <x v="3"/>
    <x v="5"/>
    <x v="27"/>
    <n v="1"/>
    <n v="2026"/>
    <m/>
  </r>
  <r>
    <x v="1"/>
    <x v="74"/>
    <x v="3"/>
    <s v="LC ACCEPTANCE COMMISSION FOR LC NO. TF251470002501\BNK"/>
    <x v="208"/>
    <s v="TF251470002501"/>
    <x v="0"/>
    <n v="1250"/>
    <n v="0"/>
    <x v="2"/>
    <s v="Received"/>
    <s v="ALBYT ALTHAKI TRADING CO"/>
    <x v="3"/>
    <x v="5"/>
    <x v="27"/>
    <n v="1"/>
    <n v="2026"/>
    <m/>
  </r>
  <r>
    <x v="0"/>
    <x v="74"/>
    <x v="0"/>
    <s v="REF 000000JLC6901431,RB REF JLC6901431,VIA CORE SYSTEM,DATE-TIME 12/01-11:09:51, عن طريق النظام الآ لي ,VALUE DT 12/01/26"/>
    <x v="95"/>
    <s v=""/>
    <x v="0"/>
    <n v="959062.35"/>
    <n v="0"/>
    <x v="4"/>
    <s v="Received"/>
    <s v="Mat Filtrasyon Teknolojeleri A.S"/>
    <x v="0"/>
    <x v="3"/>
    <x v="3"/>
    <n v="1"/>
    <n v="2026"/>
    <m/>
  </r>
  <r>
    <x v="5"/>
    <x v="74"/>
    <x v="9"/>
    <s v="TI Bill Settled                                                       _x000a_POC010                                                                _x000a_At Bank AlJazira                                                      _x000a_CORPORATE BANKING DEPT-JEDDAH                                         _x000a_Date 23-07-1447(H) Time 11.23.43                                      _x000a_Reference ILC-0840-25-7264                                            _x000a_"/>
    <x v="98"/>
    <s v=""/>
    <x v="0"/>
    <n v="119761.29"/>
    <n v="0"/>
    <x v="4"/>
    <s v="Received"/>
    <s v="MOHAMMED RAMADAN SHAT FACTORY FOR METAL"/>
    <x v="3"/>
    <x v="10"/>
    <x v="27"/>
    <n v="1"/>
    <n v="2026"/>
    <m/>
  </r>
  <r>
    <x v="5"/>
    <x v="74"/>
    <x v="9"/>
    <s v="Dr TI ILC Comm/Other Charges                                          _x000a_POC005-285348495                                                      _x000a_At Bank Aljazira                                                      _x000a_ CORPORATE BANKING DEPT-JEDDAH                                        _x000a_Exchange Rate 1.0                                                     _x000a_Date 23-07-1447(H) Time 11.23.55                                      _x000a_Reference ILC-0840-25-7354                                            _x000a_Value Date 23-07-1447(H)                                              _x000a_Fee Collected By Bank AlJazira                                        _x000a_"/>
    <x v="79"/>
    <s v=""/>
    <x v="0"/>
    <n v="100"/>
    <n v="0"/>
    <x v="2"/>
    <s v="Received"/>
    <s v="UNITED PARK CO"/>
    <x v="3"/>
    <x v="10"/>
    <x v="27"/>
    <n v="1"/>
    <n v="2026"/>
    <m/>
  </r>
  <r>
    <x v="5"/>
    <x v="74"/>
    <x v="9"/>
    <s v="Value Added Tax                                                       _x000a_On ILC Acceptance Comm.                                               _x000a_15% of SAR100.00                                                      _x000a_Through CORPORATE BANKING DEPT-JEDDAH                                 _x000a_Date 23-07-1447(H) Time 11.23.55                                      _x000a_Reference ILC-0840-25-7354                                            _x000a_At Bank Aljazira                                                      _x000a_Exchange Rate 1.0                                                     _x000a_"/>
    <x v="79"/>
    <s v=""/>
    <x v="0"/>
    <n v="15"/>
    <n v="0"/>
    <x v="1"/>
    <s v="Received"/>
    <s v="UNITED PARK CO"/>
    <x v="3"/>
    <x v="10"/>
    <x v="27"/>
    <n v="1"/>
    <n v="2026"/>
    <m/>
  </r>
  <r>
    <x v="5"/>
    <x v="74"/>
    <x v="9"/>
    <s v="Dr TI ILC Comm/Other Charges                                          _x000a_POC005-285348535                                                      _x000a_At Bank Aljazira                                                      _x000a_ CORPORATE BANKING DEPT-JEDDAH                                        _x000a_Exchange Rate 1.0                                                     _x000a_Date 23-07-1447(H) Time 11.23.56                                      _x000a_Reference ILC-0840-25-7354                                            _x000a_Value Date 23-07-1447(H)                                              _x000a_Fee Collected By Bank AlJazira                                        _x000a_"/>
    <x v="79"/>
    <s v=""/>
    <x v="0"/>
    <n v="314"/>
    <n v="0"/>
    <x v="2"/>
    <s v="Received"/>
    <s v="UNITED PARK CO"/>
    <x v="3"/>
    <x v="10"/>
    <x v="27"/>
    <n v="1"/>
    <n v="2026"/>
    <m/>
  </r>
  <r>
    <x v="5"/>
    <x v="74"/>
    <x v="9"/>
    <s v="Value Added Tax                                                       _x000a_On ILC Acceptance Comm.                                               _x000a_15% of SAR314.00                                                      _x000a_Through CORPORATE BANKING DEPT-JEDDAH                                 _x000a_Date 23-07-1447(H) Time 11.23.56                                      _x000a_Reference ILC-0840-25-7354                                            _x000a_At Bank Aljazira                                                      _x000a_Exchange Rate 1.0                                                     _x000a_"/>
    <x v="79"/>
    <s v=""/>
    <x v="0"/>
    <n v="47.1"/>
    <n v="0"/>
    <x v="1"/>
    <s v="Received"/>
    <s v="UNITED PARK CO"/>
    <x v="3"/>
    <x v="10"/>
    <x v="27"/>
    <n v="1"/>
    <n v="2026"/>
    <m/>
  </r>
  <r>
    <x v="5"/>
    <x v="74"/>
    <x v="9"/>
    <s v="TI Bill Settled                                                       _x000a_POC004                                                                _x000a_At Bank AlJazira                                                      _x000a_CORPORATE BANKING DEPT-JEDDAH                                         _x000a_Date 23-07-1447(H) Time 11.24.24                                      _x000a_Reference ILC-0840-25-7517                                            _x000a_"/>
    <x v="168"/>
    <s v=""/>
    <x v="0"/>
    <n v="65268.54"/>
    <n v="0"/>
    <x v="4"/>
    <s v="Received"/>
    <s v="SAUDI VITRIFIED CLAY PIPE CO"/>
    <x v="3"/>
    <x v="10"/>
    <x v="27"/>
    <n v="1"/>
    <n v="2026"/>
    <m/>
  </r>
  <r>
    <x v="5"/>
    <x v="74"/>
    <x v="9"/>
    <s v="Dr TI ILC Comm/Other Charges                                          _x000a_POC002-285338025                                                      _x000a_At Bank Aljazira                                                      _x000a_ CORPORATE BANKING DEPT-JEDDAH                                        _x000a_Date 23-07-1447(H) Time 11.26.26                                      _x000a_Reference ILC-0840-25-8473                                            _x000a_Value Date 23-07-1447(H)                                              _x000a_Fee Collected By Bank AlJazira                                        _x000a_"/>
    <x v="146"/>
    <s v=""/>
    <x v="0"/>
    <n v="100"/>
    <n v="0"/>
    <x v="2"/>
    <s v="Received"/>
    <s v="RAWABI AL MAHFAR TRADING CO."/>
    <x v="3"/>
    <x v="10"/>
    <x v="27"/>
    <n v="1"/>
    <n v="2026"/>
    <m/>
  </r>
  <r>
    <x v="5"/>
    <x v="74"/>
    <x v="9"/>
    <s v="Value Added Tax                                                       _x000a_On ILC Acceptance Comm.                                               _x000a_15% of SAR100.00                                                      _x000a_Through CORPORATE BANKING DEPT-JEDDAH                                 _x000a_Date 23-07-1447(H) Time 11.26.26                                      _x000a_Reference ILC-0840-25-8473                                            _x000a_At Bank Aljazira                                                      _x000a_"/>
    <x v="146"/>
    <s v=""/>
    <x v="0"/>
    <n v="15"/>
    <n v="0"/>
    <x v="1"/>
    <s v="Received"/>
    <s v="RAWABI AL MAHFAR TRADING CO."/>
    <x v="3"/>
    <x v="10"/>
    <x v="27"/>
    <n v="1"/>
    <n v="2026"/>
    <m/>
  </r>
  <r>
    <x v="5"/>
    <x v="74"/>
    <x v="9"/>
    <s v="Dr TI ILC Comm/Other Charges                                          _x000a_POC002-285338067                                                      _x000a_At Bank Aljazira                                                      _x000a_ CORPORATE BANKING DEPT-JEDDAH                                        _x000a_Date 23-07-1447(H) Time 11.26.26                                      _x000a_Reference ILC-0840-25-8473                                            _x000a_Value Date 23-07-1447(H)                                              _x000a_Fee Collected By Bank AlJazira                                        _x000a_"/>
    <x v="146"/>
    <s v=""/>
    <x v="0"/>
    <n v="353"/>
    <n v="0"/>
    <x v="2"/>
    <s v="Received"/>
    <s v="RAWABI AL MAHFAR TRADING CO."/>
    <x v="3"/>
    <x v="10"/>
    <x v="27"/>
    <n v="1"/>
    <n v="2026"/>
    <m/>
  </r>
  <r>
    <x v="5"/>
    <x v="74"/>
    <x v="9"/>
    <s v="Value Added Tax                                                       _x000a_On ILC Acceptance Comm.                                               _x000a_15% of SAR353.00                                                      _x000a_Through CORPORATE BANKING DEPT-JEDDAH                                 _x000a_Date 23-07-1447(H) Time 11.26.27                                      _x000a_Reference ILC-0840-25-8473                                            _x000a_At Bank Aljazira                                                      _x000a_"/>
    <x v="146"/>
    <s v=""/>
    <x v="0"/>
    <n v="52.95"/>
    <n v="0"/>
    <x v="1"/>
    <s v="Received"/>
    <s v="RAWABI AL MAHFAR TRADING CO."/>
    <x v="3"/>
    <x v="10"/>
    <x v="27"/>
    <n v="1"/>
    <n v="2026"/>
    <m/>
  </r>
  <r>
    <x v="5"/>
    <x v="74"/>
    <x v="9"/>
    <s v="Dr TI ILC Comm/Other Charges                                          _x000a_POC002-285338069                                                      _x000a_At Bank Aljazira                                                      _x000a_ CORPORATE BANKING DEPT-JEDDAH                                        _x000a_Date 23-07-1447(H) Time 11.26.27                                      _x000a_Reference ILC-0840-25-8473                                            _x000a_Value Date 23-07-1447(H)                                              _x000a_Fee Collected By Bank AlJazira                                        _x000a_"/>
    <x v="146"/>
    <s v=""/>
    <x v="0"/>
    <n v="200"/>
    <n v="0"/>
    <x v="2"/>
    <s v="Received"/>
    <s v="RAWABI AL MAHFAR TRADING CO."/>
    <x v="3"/>
    <x v="10"/>
    <x v="27"/>
    <n v="1"/>
    <n v="2026"/>
    <m/>
  </r>
  <r>
    <x v="5"/>
    <x v="74"/>
    <x v="9"/>
    <s v="Value Added Tax                                                       _x000a_On SWIFT charges                                                      _x000a_15% of SAR200.00                                                      _x000a_Through CORPORATE BANKING DEPT-JEDDAH                                 _x000a_Date 23-07-1447(H) Time 11.26.27                                      _x000a_Reference ILC-0840-25-8473                                            _x000a_At Bank Aljazira                                                      _x000a_"/>
    <x v="146"/>
    <s v=""/>
    <x v="0"/>
    <n v="30"/>
    <n v="0"/>
    <x v="1"/>
    <s v="Received"/>
    <s v="RAWABI AL MAHFAR TRADING CO."/>
    <x v="3"/>
    <x v="10"/>
    <x v="27"/>
    <n v="1"/>
    <n v="2026"/>
    <m/>
  </r>
  <r>
    <x v="5"/>
    <x v="74"/>
    <x v="9"/>
    <s v="Dr TI LGI Comm/Other Charges                                          _x000a_AMD001-285352794                                                      _x000a_At Bank AlJazira                                                      _x000a_CORPORATE BANKING DEPT-JEDDAH                                         _x000a_Date 23-07-1447(H) Time 12.29.02                                      _x000a_Reference LGI-0840-25-7098                                            _x000a_"/>
    <x v="240"/>
    <s v=""/>
    <x v="0"/>
    <n v="4479.16"/>
    <n v="0"/>
    <x v="16"/>
    <s v="Received"/>
    <s v="Bid - King Salman International Airport Development Company (KSIADC)"/>
    <x v="1"/>
    <x v="2"/>
    <x v="27"/>
    <n v="1"/>
    <n v="2026"/>
    <m/>
  </r>
  <r>
    <x v="5"/>
    <x v="74"/>
    <x v="9"/>
    <s v="Value Added Tax                                                       _x000a_On LGI Amend Commission                                               _x000a_15% of SAR4,479.16                                                    _x000a_Through CORPORATE BANKING DEPT-JEDDAH                                 _x000a_Date 23-07-1447(H) Time 12.29.02                                      _x000a_Reference LGI-0840-25-7098                                            _x000a_At Bank Aljazira                                                      _x000a_Exchange Rate 1.0                                                     _x000a_"/>
    <x v="240"/>
    <s v=""/>
    <x v="0"/>
    <n v="671.87"/>
    <n v="0"/>
    <x v="1"/>
    <s v="Received"/>
    <s v="Bid - King Salman International Airport Development Company (KSIADC)"/>
    <x v="1"/>
    <x v="2"/>
    <x v="27"/>
    <n v="1"/>
    <n v="2026"/>
    <m/>
  </r>
  <r>
    <x v="5"/>
    <x v="74"/>
    <x v="9"/>
    <s v="Dr TI LGI Comm/Other Charges                                          _x000a_AMD001-285352796                                                      _x000a_At Bank AlJazira                                                      _x000a_CORPORATE BANKING DEPT-JEDDAH                                         _x000a_Date 23-07-1447(H) Time 12.29.03                                      _x000a_Reference LGI-0840-25-7098                                            _x000a_"/>
    <x v="240"/>
    <s v=""/>
    <x v="0"/>
    <n v="6773.97"/>
    <n v="0"/>
    <x v="16"/>
    <s v="Received"/>
    <s v="Bid - King Salman International Airport Development Company (KSIADC)"/>
    <x v="1"/>
    <x v="2"/>
    <x v="27"/>
    <n v="1"/>
    <n v="2026"/>
    <m/>
  </r>
  <r>
    <x v="5"/>
    <x v="74"/>
    <x v="9"/>
    <s v="Value Added Tax                                                       _x000a_On LG Processing/Facility Fees                                        _x000a_15% of SAR6,773.97                                                    _x000a_Through CORPORATE BANKING DEPT-JEDDAH                                 _x000a_Date 23-07-1447(H) Time 12.29.03                                      _x000a_Reference LGI-0840-25-7098                                            _x000a_At Bank Aljazira                                                      _x000a_Exchange Rate 1.0                                                     _x000a_"/>
    <x v="240"/>
    <s v=""/>
    <x v="0"/>
    <n v="1016.1"/>
    <n v="0"/>
    <x v="1"/>
    <s v="Received"/>
    <s v="Bid - King Salman International Airport Development Company (KSIADC)"/>
    <x v="1"/>
    <x v="2"/>
    <x v="27"/>
    <n v="1"/>
    <n v="2026"/>
    <m/>
  </r>
  <r>
    <x v="0"/>
    <x v="75"/>
    <x v="0"/>
    <s v="RB REF JLG6900058,VIA CORE SYSTEM,DATE-TIME 13/01-10:04:45, عن طريق النظام الآ لي ,VALUE DT 13/01/26"/>
    <x v="367"/>
    <s v=""/>
    <x v="0"/>
    <n v="4312.5"/>
    <n v="0"/>
    <x v="17"/>
    <s v="Received"/>
    <s v="Performance - CROWN PRINCE PRIVATE AFFAIRS (CPPA)"/>
    <x v="2"/>
    <x v="17"/>
    <x v="27"/>
    <n v="1"/>
    <n v="2026"/>
    <m/>
  </r>
  <r>
    <x v="0"/>
    <x v="75"/>
    <x v="0"/>
    <s v="REF 000000JLC6901431,RB REF JLC6901431,VIA CORE SYSTEM,DATE-TIME 13/01-14:19:41, عن طريق النظام الآ لي ,VALUE DT 13/01/26"/>
    <x v="95"/>
    <s v=""/>
    <x v="0"/>
    <n v="2440379.4900000002"/>
    <n v="0"/>
    <x v="4"/>
    <s v="Received"/>
    <s v="Mat Filtrasyon Teknolojeleri A.S"/>
    <x v="0"/>
    <x v="3"/>
    <x v="3"/>
    <n v="1"/>
    <n v="2026"/>
    <m/>
  </r>
  <r>
    <x v="0"/>
    <x v="75"/>
    <x v="0"/>
    <s v="REF 000000JLC6901431,RB REF JLC6901431,VIA CORE SYSTEM,DATE-TIME 13/01-12:47:22, عن طريق النظام الآ لي ,VALUE DT 13/01/26"/>
    <x v="95"/>
    <s v=""/>
    <x v="0"/>
    <n v="9554.9599999999991"/>
    <n v="0"/>
    <x v="2"/>
    <s v="Received"/>
    <s v="Mat Filtrasyon Teknolojeleri A.S"/>
    <x v="0"/>
    <x v="3"/>
    <x v="3"/>
    <n v="1"/>
    <n v="2026"/>
    <m/>
  </r>
  <r>
    <x v="2"/>
    <x v="75"/>
    <x v="4"/>
    <s v="CITY:Jeddah 6132226J210104000"/>
    <x v="136"/>
    <s v="J210104000"/>
    <x v="0"/>
    <n v="257208.69"/>
    <n v="0"/>
    <x v="27"/>
    <s v="Received"/>
    <s v="BBH-CHEMTROL INTERNATIONAL ORGANIZATION S.L"/>
    <x v="4"/>
    <x v="11"/>
    <x v="27"/>
    <n v="1"/>
    <n v="2026"/>
    <m/>
  </r>
  <r>
    <x v="3"/>
    <x v="75"/>
    <x v="6"/>
    <s v="GTE ISSUE COMM CHARGES PEBGCU160563"/>
    <x v="368"/>
    <s v="UE COMM CHARGES"/>
    <x v="0"/>
    <n v="607147.12"/>
    <n v="0"/>
    <x v="28"/>
    <s v="Received"/>
    <s v="Performance - RIYADH AIRPORTS COMPANY (RAC)-First Fix"/>
    <x v="3"/>
    <x v="18"/>
    <x v="27"/>
    <n v="1"/>
    <n v="2026"/>
    <m/>
  </r>
  <r>
    <x v="4"/>
    <x v="74"/>
    <x v="8"/>
    <s v="MBL  MARGIN      "/>
    <x v="369"/>
    <s v="BPP26012BMQBQ"/>
    <x v="0"/>
    <n v="0"/>
    <n v="205932.55"/>
    <x v="18"/>
    <s v="Received"/>
    <e v="#N/A"/>
    <x v="7"/>
    <x v="12"/>
    <x v="27"/>
    <n v="1"/>
    <n v="2026"/>
    <m/>
  </r>
  <r>
    <x v="4"/>
    <x v="75"/>
    <x v="8"/>
    <s v="TF250063300902  DIFF CASH MRG      "/>
    <x v="370"/>
    <s v="BPP26013SKYZ8"/>
    <x v="0"/>
    <n v="0"/>
    <n v="0.2"/>
    <x v="18"/>
    <s v="Received"/>
    <e v="#N/A"/>
    <x v="7"/>
    <x v="12"/>
    <x v="27"/>
    <n v="1"/>
    <n v="2026"/>
    <m/>
  </r>
  <r>
    <x v="4"/>
    <x v="75"/>
    <x v="8"/>
    <s v="TF260083300101      "/>
    <x v="371"/>
    <s v="TF260083300101"/>
    <x v="0"/>
    <n v="-822387.22"/>
    <n v="0"/>
    <x v="29"/>
    <s v="Received"/>
    <e v="#N/A"/>
    <x v="7"/>
    <x v="12"/>
    <x v="27"/>
    <n v="1"/>
    <n v="2026"/>
    <m/>
  </r>
  <r>
    <x v="4"/>
    <x v="75"/>
    <x v="8"/>
    <s v="TF260083300101      "/>
    <x v="371"/>
    <s v="TF260083300101"/>
    <x v="0"/>
    <n v="-900"/>
    <n v="0"/>
    <x v="29"/>
    <s v="Received"/>
    <e v="#N/A"/>
    <x v="7"/>
    <x v="12"/>
    <x v="27"/>
    <n v="1"/>
    <n v="2026"/>
    <m/>
  </r>
  <r>
    <x v="4"/>
    <x v="75"/>
    <x v="8"/>
    <s v="TF260083300101      "/>
    <x v="371"/>
    <s v="TF260083300101"/>
    <x v="0"/>
    <n v="-400"/>
    <n v="0"/>
    <x v="29"/>
    <s v="Received"/>
    <e v="#N/A"/>
    <x v="7"/>
    <x v="12"/>
    <x v="27"/>
    <n v="1"/>
    <n v="2026"/>
    <m/>
  </r>
  <r>
    <x v="4"/>
    <x v="75"/>
    <x v="8"/>
    <s v="TF260083300101      "/>
    <x v="371"/>
    <s v="TF260083300101"/>
    <x v="0"/>
    <n v="-135"/>
    <n v="0"/>
    <x v="29"/>
    <s v="Received"/>
    <e v="#N/A"/>
    <x v="7"/>
    <x v="12"/>
    <x v="27"/>
    <n v="1"/>
    <n v="2026"/>
    <m/>
  </r>
  <r>
    <x v="4"/>
    <x v="75"/>
    <x v="8"/>
    <s v="TF260083300101      "/>
    <x v="371"/>
    <s v="TF260083300101"/>
    <x v="0"/>
    <n v="-60"/>
    <n v="0"/>
    <x v="29"/>
    <s v="Received"/>
    <e v="#N/A"/>
    <x v="7"/>
    <x v="12"/>
    <x v="27"/>
    <n v="1"/>
    <n v="2026"/>
    <m/>
  </r>
  <r>
    <x v="4"/>
    <x v="75"/>
    <x v="8"/>
    <s v="TF260083300101      "/>
    <x v="371"/>
    <s v="TF260083300101"/>
    <x v="0"/>
    <n v="-20"/>
    <n v="0"/>
    <x v="29"/>
    <s v="Received"/>
    <e v="#N/A"/>
    <x v="7"/>
    <x v="12"/>
    <x v="27"/>
    <n v="1"/>
    <n v="2026"/>
    <m/>
  </r>
  <r>
    <x v="4"/>
    <x v="75"/>
    <x v="8"/>
    <s v="TF260083300101      "/>
    <x v="371"/>
    <s v="TF260083300101"/>
    <x v="0"/>
    <n v="-3"/>
    <n v="0"/>
    <x v="29"/>
    <s v="Received"/>
    <e v="#N/A"/>
    <x v="7"/>
    <x v="12"/>
    <x v="27"/>
    <n v="1"/>
    <n v="2026"/>
    <m/>
  </r>
  <r>
    <x v="5"/>
    <x v="75"/>
    <x v="9"/>
    <s v="Dr TI ILC Comm/Other Charges                                          _x000a_AMD002-285514034                                                      _x000a_At Bank Aljazira                                                      _x000a_ CORPORATE BANKING DEPT-JEDDAH                                        _x000a_Date 24-07-1447(H) Time 11.48.32                                      _x000a_Reference ILC-0840-25-7984                                            _x000a_Value Date 24-07-1447(H)                                              _x000a_Fee Collected By Bank AlJazira                                        _x000a_"/>
    <x v="80"/>
    <s v=""/>
    <x v="0"/>
    <n v="500"/>
    <n v="0"/>
    <x v="5"/>
    <s v="Received"/>
    <s v="Mohammed Ramadan Shat"/>
    <x v="3"/>
    <x v="10"/>
    <x v="27"/>
    <n v="1"/>
    <n v="2026"/>
    <m/>
  </r>
  <r>
    <x v="5"/>
    <x v="75"/>
    <x v="9"/>
    <s v="Value Added Tax                                                       _x000a_On ILC Commission                                                     _x000a_15% of SAR500.00                                                      _x000a_Through CORPORATE BANKING DEPT-JEDDAH                                 _x000a_Date 24-07-1447(H) Time 11.48.32                                      _x000a_Reference ILC-0840-25-7984                                            _x000a_At Bank Aljazira                                                      _x000a_"/>
    <x v="80"/>
    <s v=""/>
    <x v="0"/>
    <n v="75"/>
    <n v="0"/>
    <x v="1"/>
    <s v="Received"/>
    <s v="Mohammed Ramadan Shat"/>
    <x v="3"/>
    <x v="10"/>
    <x v="27"/>
    <n v="1"/>
    <n v="2026"/>
    <m/>
  </r>
  <r>
    <x v="5"/>
    <x v="75"/>
    <x v="9"/>
    <s v="Dr TI ILC Comm/Other Charges                                          _x000a_AMD002-285514036                                                      _x000a_At Bank Aljazira                                                      _x000a_ CORPORATE BANKING DEPT-JEDDAH                                        _x000a_Date 24-07-1447(H) Time 11.48.33                                      _x000a_Reference ILC-0840-25-7984                                            _x000a_Value Date 24-07-1447(H)                                              _x000a_Fee Collected By Bank AlJazira                                        _x000a_"/>
    <x v="80"/>
    <s v=""/>
    <x v="0"/>
    <n v="200"/>
    <n v="0"/>
    <x v="5"/>
    <s v="Received"/>
    <s v="Mohammed Ramadan Shat"/>
    <x v="3"/>
    <x v="10"/>
    <x v="27"/>
    <n v="1"/>
    <n v="2026"/>
    <m/>
  </r>
  <r>
    <x v="5"/>
    <x v="75"/>
    <x v="9"/>
    <s v="Value Added Tax                                                       _x000a_On SWIFT charges                                                      _x000a_15% of SAR200.00                                                      _x000a_Through CORPORATE BANKING DEPT-JEDDAH                                 _x000a_Date 24-07-1447(H) Time 11.48.33                                      _x000a_Reference ILC-0840-25-7984                                            _x000a_At Bank Aljazira                                                      _x000a_"/>
    <x v="80"/>
    <s v=""/>
    <x v="0"/>
    <n v="30"/>
    <n v="0"/>
    <x v="1"/>
    <s v="Received"/>
    <s v="Mohammed Ramadan Shat"/>
    <x v="3"/>
    <x v="10"/>
    <x v="27"/>
    <n v="1"/>
    <n v="2026"/>
    <m/>
  </r>
  <r>
    <x v="5"/>
    <x v="75"/>
    <x v="9"/>
    <s v="Dr TI ILC Comm/Other Charges                                          _x000a_AMD003-285515229                                                      _x000a_At Bank Aljazira                                                      _x000a_ CORPORATE BANKING DEPT-JEDDAH                                        _x000a_Date 24-07-1447(H) Time 11.48.57                                      _x000a_Reference ILC-0840-25-7736                                            _x000a_Value Date 24-07-1447(H)                                              _x000a_Fee Collected By Bank AlJazira                                        _x000a_"/>
    <x v="86"/>
    <s v=""/>
    <x v="0"/>
    <n v="500"/>
    <n v="0"/>
    <x v="5"/>
    <s v="Received"/>
    <s v="Baamer Group for Trading Company"/>
    <x v="3"/>
    <x v="10"/>
    <x v="27"/>
    <n v="1"/>
    <n v="2026"/>
    <m/>
  </r>
  <r>
    <x v="5"/>
    <x v="75"/>
    <x v="9"/>
    <s v="Value Added Tax                                                       _x000a_On ILC Commission                                                     _x000a_15% of SAR500.00                                                      _x000a_Through CORPORATE BANKING DEPT-JEDDAH                                 _x000a_Date 24-07-1447(H) Time 11.48.57                                      _x000a_Reference ILC-0840-25-7736                                            _x000a_At Bank Aljazira                                                      _x000a_"/>
    <x v="86"/>
    <s v=""/>
    <x v="0"/>
    <n v="75"/>
    <n v="0"/>
    <x v="1"/>
    <s v="Received"/>
    <s v="Baamer Group for Trading Company"/>
    <x v="3"/>
    <x v="10"/>
    <x v="27"/>
    <n v="1"/>
    <n v="2026"/>
    <m/>
  </r>
  <r>
    <x v="5"/>
    <x v="75"/>
    <x v="9"/>
    <s v="Dr TI ILC Comm/Other Charges                                          _x000a_AMD003-285515262                                                      _x000a_At Bank Aljazira                                                      _x000a_ CORPORATE BANKING DEPT-JEDDAH                                        _x000a_Date 24-07-1447(H) Time 11.48.57                                      _x000a_Reference ILC-0840-25-7736                                            _x000a_Value Date 24-07-1447(H)                                              _x000a_Fee Collected By Bank AlJazira                                        _x000a_"/>
    <x v="86"/>
    <s v=""/>
    <x v="0"/>
    <n v="200"/>
    <n v="0"/>
    <x v="5"/>
    <s v="Received"/>
    <s v="Baamer Group for Trading Company"/>
    <x v="3"/>
    <x v="10"/>
    <x v="27"/>
    <n v="1"/>
    <n v="2026"/>
    <m/>
  </r>
  <r>
    <x v="5"/>
    <x v="75"/>
    <x v="9"/>
    <s v="Value Added Tax                                                       _x000a_On SWIFT charges                                                      _x000a_15% of SAR200.00                                                      _x000a_Through CORPORATE BANKING DEPT-JEDDAH                                 _x000a_Date 24-07-1447(H) Time 11.48.57                                      _x000a_Reference ILC-0840-25-7736                                            _x000a_At Bank Aljazira                                                      _x000a_"/>
    <x v="86"/>
    <s v=""/>
    <x v="0"/>
    <n v="30"/>
    <n v="0"/>
    <x v="1"/>
    <s v="Received"/>
    <s v="Baamer Group for Trading Company"/>
    <x v="3"/>
    <x v="10"/>
    <x v="27"/>
    <n v="1"/>
    <n v="2026"/>
    <m/>
  </r>
  <r>
    <x v="5"/>
    <x v="75"/>
    <x v="9"/>
    <s v="Dr TI ILC Comm/Other Charges                                          _x000a_AMD004-285516582                                                      _x000a_At Bank Aljazira                                                      _x000a_ CORPORATE BANKING DEPT-JEDDAH                                        _x000a_Exchange Rate 1.0                                                     _x000a_Date 24-07-1447(H) Time 11.49.21                                      _x000a_Reference ILC-0840-25-7353                                            _x000a_Value Date 24-07-1447(H)                                              _x000a_Fee Collected By Bank AlJazira                                        _x000a_"/>
    <x v="73"/>
    <s v=""/>
    <x v="0"/>
    <n v="1079.6199999999999"/>
    <n v="0"/>
    <x v="5"/>
    <s v="Received"/>
    <s v="Saudi Hepco Co. Ltd"/>
    <x v="3"/>
    <x v="10"/>
    <x v="27"/>
    <n v="1"/>
    <n v="2026"/>
    <m/>
  </r>
  <r>
    <x v="5"/>
    <x v="75"/>
    <x v="9"/>
    <s v="Value Added Tax                                                       _x000a_On ILC Commission                                                     _x000a_15% of SAR1,079.62                                                    _x000a_Through CORPORATE BANKING DEPT-JEDDAH                                 _x000a_Date 24-07-1447(H) Time 11.49.21                                      _x000a_Reference ILC-0840-25-7353                                            _x000a_At Bank Aljazira                                                      _x000a_Exchange Rate 1.0                                                     _x000a_"/>
    <x v="73"/>
    <s v=""/>
    <x v="0"/>
    <n v="161.94"/>
    <n v="0"/>
    <x v="1"/>
    <s v="Received"/>
    <s v="Saudi Hepco Co. Ltd"/>
    <x v="3"/>
    <x v="10"/>
    <x v="27"/>
    <n v="1"/>
    <n v="2026"/>
    <m/>
  </r>
  <r>
    <x v="5"/>
    <x v="75"/>
    <x v="9"/>
    <s v="Dr TI ILC Comm/Other Charges                                          _x000a_AMD004-285516584                                                      _x000a_At Bank Aljazira                                                      _x000a_ CORPORATE BANKING DEPT-JEDDAH                                        _x000a_Exchange Rate 1.0                                                     _x000a_Date 24-07-1447(H) Time 11.49.22                                      _x000a_Reference ILC-0840-25-7353                                            _x000a_Value Date 24-07-1447(H)                                              _x000a_Fee Collected By Bank AlJazira                                        _x000a_"/>
    <x v="73"/>
    <s v=""/>
    <x v="0"/>
    <n v="200"/>
    <n v="0"/>
    <x v="5"/>
    <s v="Received"/>
    <s v="Saudi Hepco Co. Ltd"/>
    <x v="3"/>
    <x v="10"/>
    <x v="27"/>
    <n v="1"/>
    <n v="2026"/>
    <m/>
  </r>
  <r>
    <x v="5"/>
    <x v="75"/>
    <x v="9"/>
    <s v="Value Added Tax                                                       _x000a_On SWIFT charges                                                      _x000a_15% of SAR200.00                                                      _x000a_Through CORPORATE BANKING DEPT-JEDDAH                                 _x000a_Date 24-07-1447(H) Time 11.49.22                                      _x000a_Reference ILC-0840-25-7353                                            _x000a_At Bank Aljazira                                                      _x000a_Exchange Rate 1.0                                                     _x000a_"/>
    <x v="73"/>
    <s v=""/>
    <x v="0"/>
    <n v="30"/>
    <n v="0"/>
    <x v="1"/>
    <s v="Received"/>
    <s v="Saudi Hepco Co. Ltd"/>
    <x v="3"/>
    <x v="10"/>
    <x v="27"/>
    <n v="1"/>
    <n v="2026"/>
    <m/>
  </r>
  <r>
    <x v="5"/>
    <x v="75"/>
    <x v="9"/>
    <s v="Dr TI ILC Comm/Other Charges                                          _x000a_AMD003-285517905                                                      _x000a_At Bank Aljazira                                                      _x000a_ CORPORATE BANKING DEPT-JEDDAH                                        _x000a_Date 24-07-1447(H) Time 11.49.57                                      _x000a_Reference ILC-0840-25-7799                                            _x000a_Value Date 24-07-1447(H)                                              _x000a_Fee Collected By Bank AlJazira                                        _x000a_"/>
    <x v="72"/>
    <s v=""/>
    <x v="0"/>
    <n v="652.12"/>
    <n v="0"/>
    <x v="5"/>
    <s v="Received"/>
    <s v="Metal and Glass Trading Co"/>
    <x v="3"/>
    <x v="10"/>
    <x v="27"/>
    <n v="1"/>
    <n v="2026"/>
    <m/>
  </r>
  <r>
    <x v="5"/>
    <x v="75"/>
    <x v="9"/>
    <s v="Value Added Tax                                                       _x000a_On ILC Commission                                                     _x000a_15% of SAR652.12                                                      _x000a_Through CORPORATE BANKING DEPT-JEDDAH                                 _x000a_Date 24-07-1447(H) Time 11.49.57                                      _x000a_Reference ILC-0840-25-7799                                            _x000a_At Bank Aljazira                                                      _x000a_"/>
    <x v="72"/>
    <s v=""/>
    <x v="0"/>
    <n v="97.82"/>
    <n v="0"/>
    <x v="1"/>
    <s v="Received"/>
    <s v="Metal and Glass Trading Co"/>
    <x v="3"/>
    <x v="10"/>
    <x v="27"/>
    <n v="1"/>
    <n v="2026"/>
    <m/>
  </r>
  <r>
    <x v="5"/>
    <x v="75"/>
    <x v="9"/>
    <s v="Dr TI ILC Comm/Other Charges                                          _x000a_AMD003-285517907                                                      _x000a_At Bank Aljazira                                                      _x000a_ CORPORATE BANKING DEPT-JEDDAH                                        _x000a_Date 24-07-1447(H) Time 11.49.57                                      _x000a_Reference ILC-0840-25-7799                                            _x000a_Value Date 24-07-1447(H)                                              _x000a_Fee Collected By Bank AlJazira                                        _x000a_"/>
    <x v="72"/>
    <s v=""/>
    <x v="0"/>
    <n v="200"/>
    <n v="0"/>
    <x v="5"/>
    <s v="Received"/>
    <s v="Metal and Glass Trading Co"/>
    <x v="3"/>
    <x v="10"/>
    <x v="27"/>
    <n v="1"/>
    <n v="2026"/>
    <m/>
  </r>
  <r>
    <x v="5"/>
    <x v="75"/>
    <x v="9"/>
    <s v="Value Added Tax                                                       _x000a_On SWIFT charges                                                      _x000a_15% of SAR200.00                                                      _x000a_Through CORPORATE BANKING DEPT-JEDDAH                                 _x000a_Date 24-07-1447(H) Time 11.49.58                                      _x000a_Reference ILC-0840-25-7799                                            _x000a_At Bank Aljazira                                                      _x000a_"/>
    <x v="72"/>
    <s v=""/>
    <x v="0"/>
    <n v="30"/>
    <n v="0"/>
    <x v="1"/>
    <s v="Received"/>
    <s v="Metal and Glass Trading Co"/>
    <x v="3"/>
    <x v="10"/>
    <x v="27"/>
    <n v="1"/>
    <n v="2026"/>
    <m/>
  </r>
  <r>
    <x v="5"/>
    <x v="75"/>
    <x v="9"/>
    <s v="Dr TI ILC Comm/Other Charges                                          _x000a_AMD004-285519767                                                      _x000a_At Bank Aljazira                                                      _x000a_ CORPORATE BANKING DEPT-JEDDAH                                        _x000a_Date 24-07-1447(H) Time 11.50.38                                      _x000a_Reference ILC-0840-25-7407                                            _x000a_Value Date 24-07-1447(H)                                              _x000a_Fee Collected By Bank AlJazira                                        _x000a_"/>
    <x v="81"/>
    <s v=""/>
    <x v="0"/>
    <n v="500"/>
    <n v="0"/>
    <x v="5"/>
    <s v="Received"/>
    <s v="SITE TECHNOLOGY SAUDI ARABIA LTD"/>
    <x v="3"/>
    <x v="10"/>
    <x v="27"/>
    <n v="1"/>
    <n v="2026"/>
    <m/>
  </r>
  <r>
    <x v="5"/>
    <x v="75"/>
    <x v="9"/>
    <s v="Value Added Tax                                                       _x000a_On ILC Commission                                                     _x000a_15% of SAR500.00                                                      _x000a_Through CORPORATE BANKING DEPT-JEDDAH                                 _x000a_Date 24-07-1447(H) Time 11.50.38                                      _x000a_Reference ILC-0840-25-7407                                            _x000a_At Bank Aljazira                                                      _x000a_"/>
    <x v="81"/>
    <s v=""/>
    <x v="0"/>
    <n v="75"/>
    <n v="0"/>
    <x v="1"/>
    <s v="Received"/>
    <s v="SITE TECHNOLOGY SAUDI ARABIA LTD"/>
    <x v="3"/>
    <x v="10"/>
    <x v="27"/>
    <n v="1"/>
    <n v="2026"/>
    <m/>
  </r>
  <r>
    <x v="5"/>
    <x v="75"/>
    <x v="9"/>
    <s v="Dr TI ILC Comm/Other Charges                                          _x000a_AMD004-285519769                                                      _x000a_At Bank Aljazira                                                      _x000a_ CORPORATE BANKING DEPT-JEDDAH                                        _x000a_Date 24-07-1447(H) Time 11.50.39                                      _x000a_Reference ILC-0840-25-7407                                            _x000a_Value Date 24-07-1447(H)                                              _x000a_Fee Collected By Bank AlJazira                                        _x000a_"/>
    <x v="81"/>
    <s v=""/>
    <x v="0"/>
    <n v="200"/>
    <n v="0"/>
    <x v="5"/>
    <s v="Received"/>
    <s v="SITE TECHNOLOGY SAUDI ARABIA LTD"/>
    <x v="3"/>
    <x v="10"/>
    <x v="27"/>
    <n v="1"/>
    <n v="2026"/>
    <m/>
  </r>
  <r>
    <x v="5"/>
    <x v="75"/>
    <x v="9"/>
    <s v="Value Added Tax                                                       _x000a_On SWIFT charges                                                      _x000a_15% of SAR200.00                                                      _x000a_Through CORPORATE BANKING DEPT-JEDDAH                                 _x000a_Date 24-07-1447(H) Time 11.50.39                                      _x000a_Reference ILC-0840-25-7407                                            _x000a_At Bank Aljazira                                                      _x000a_"/>
    <x v="81"/>
    <s v=""/>
    <x v="0"/>
    <n v="30"/>
    <n v="0"/>
    <x v="1"/>
    <s v="Received"/>
    <s v="SITE TECHNOLOGY SAUDI ARABIA LTD"/>
    <x v="3"/>
    <x v="10"/>
    <x v="27"/>
    <n v="1"/>
    <n v="2026"/>
    <m/>
  </r>
  <r>
    <x v="5"/>
    <x v="75"/>
    <x v="9"/>
    <s v="Dr TI ILC Comm/Other Charges                                          _x000a_AMD002-285522136                                                      _x000a_At Bank Aljazira                                                      _x000a_ CORPORATE BANKING DEPT-JEDDAH                                        _x000a_Date 24-07-1447(H) Time 11.51.05                                      _x000a_Reference ILC-0840-25-7981                                            _x000a_Value Date 24-07-1447(H)                                              _x000a_Fee Collected By Bank AlJazira                                        _x000a_"/>
    <x v="76"/>
    <s v=""/>
    <x v="0"/>
    <n v="500"/>
    <n v="0"/>
    <x v="5"/>
    <s v="Received"/>
    <s v="Ealla For General Contracting"/>
    <x v="3"/>
    <x v="10"/>
    <x v="27"/>
    <n v="1"/>
    <n v="2026"/>
    <m/>
  </r>
  <r>
    <x v="5"/>
    <x v="75"/>
    <x v="9"/>
    <s v="Value Added Tax                                                       _x000a_On ILC Commission                                                     _x000a_15% of SAR500.00                                                      _x000a_Through CORPORATE BANKING DEPT-JEDDAH                                 _x000a_Date 24-07-1447(H) Time 11.51.05                                      _x000a_Reference ILC-0840-25-7981                                            _x000a_At Bank Aljazira                                                      _x000a_"/>
    <x v="76"/>
    <s v=""/>
    <x v="0"/>
    <n v="75"/>
    <n v="0"/>
    <x v="1"/>
    <s v="Received"/>
    <s v="Ealla For General Contracting"/>
    <x v="3"/>
    <x v="10"/>
    <x v="27"/>
    <n v="1"/>
    <n v="2026"/>
    <m/>
  </r>
  <r>
    <x v="5"/>
    <x v="75"/>
    <x v="9"/>
    <s v="Dr TI ILC Comm/Other Charges                                          _x000a_AMD002-285522138                                                      _x000a_At Bank Aljazira                                                      _x000a_ CORPORATE BANKING DEPT-JEDDAH                                        _x000a_Date 24-07-1447(H) Time 11.51.06                                      _x000a_Reference ILC-0840-25-7981                                            _x000a_Value Date 24-07-1447(H)                                              _x000a_Fee Collected By Bank AlJazira                                        _x000a_"/>
    <x v="76"/>
    <s v=""/>
    <x v="0"/>
    <n v="200"/>
    <n v="0"/>
    <x v="5"/>
    <s v="Received"/>
    <s v="Ealla For General Contracting"/>
    <x v="3"/>
    <x v="10"/>
    <x v="27"/>
    <n v="1"/>
    <n v="2026"/>
    <m/>
  </r>
  <r>
    <x v="5"/>
    <x v="75"/>
    <x v="9"/>
    <s v="Value Added Tax                                                       _x000a_On SWIFT charges                                                      _x000a_15% of SAR200.00                                                      _x000a_Through CORPORATE BANKING DEPT-JEDDAH                                 _x000a_Date 24-07-1447(H) Time 11.51.06                                      _x000a_Reference ILC-0840-25-7981                                            _x000a_At Bank Aljazira                                                      _x000a_"/>
    <x v="76"/>
    <s v=""/>
    <x v="0"/>
    <n v="30"/>
    <n v="0"/>
    <x v="1"/>
    <s v="Received"/>
    <s v="Ealla For General Contracting"/>
    <x v="3"/>
    <x v="10"/>
    <x v="27"/>
    <n v="1"/>
    <n v="2026"/>
    <m/>
  </r>
  <r>
    <x v="5"/>
    <x v="75"/>
    <x v="9"/>
    <s v="Dr TI ILC Comm/Other Charges                                          _x000a_AMD004-285524507                                                      _x000a_At Bank Aljazira                                                      _x000a_ CORPORATE BANKING DEPT-JEDDAH                                        _x000a_Exchange Rate 1.0                                                     _x000a_Date 24-07-1447(H) Time 11.51.33                                      _x000a_Reference ILC-0840-25-7517                                            _x000a_Value Date 24-07-1447(H)                                              _x000a_Fee Collected By Bank AlJazira                                        _x000a_"/>
    <x v="168"/>
    <s v=""/>
    <x v="0"/>
    <n v="802.84"/>
    <n v="0"/>
    <x v="5"/>
    <s v="Received"/>
    <s v="SAUDI VITRIFIED CLAY PIPE CO"/>
    <x v="3"/>
    <x v="10"/>
    <x v="27"/>
    <n v="1"/>
    <n v="2026"/>
    <m/>
  </r>
  <r>
    <x v="5"/>
    <x v="75"/>
    <x v="9"/>
    <s v="Value Added Tax                                                       _x000a_On ILC Commission                                                     _x000a_15% of SAR802.84                                                      _x000a_Through CORPORATE BANKING DEPT-JEDDAH                                 _x000a_Date 24-07-1447(H) Time 11.51.34                                      _x000a_Reference ILC-0840-25-7517                                            _x000a_At Bank Aljazira                                                      _x000a_Exchange Rate 1.0                                                     _x000a_"/>
    <x v="168"/>
    <s v=""/>
    <x v="0"/>
    <n v="120.43"/>
    <n v="0"/>
    <x v="1"/>
    <s v="Received"/>
    <s v="SAUDI VITRIFIED CLAY PIPE CO"/>
    <x v="3"/>
    <x v="10"/>
    <x v="27"/>
    <n v="1"/>
    <n v="2026"/>
    <m/>
  </r>
  <r>
    <x v="5"/>
    <x v="75"/>
    <x v="9"/>
    <s v="Dr TI ILC Comm/Other Charges                                          _x000a_AMD004-285524509                                                      _x000a_At Bank Aljazira                                                      _x000a_ CORPORATE BANKING DEPT-JEDDAH                                        _x000a_Exchange Rate 1.0                                                     _x000a_Date 24-07-1447(H) Time 11.51.34                                      _x000a_Reference ILC-0840-25-7517                                            _x000a_Value Date 24-07-1447(H)                                              _x000a_Fee Collected By Bank AlJazira                                        _x000a_"/>
    <x v="168"/>
    <s v=""/>
    <x v="0"/>
    <n v="200"/>
    <n v="0"/>
    <x v="5"/>
    <s v="Received"/>
    <s v="SAUDI VITRIFIED CLAY PIPE CO"/>
    <x v="3"/>
    <x v="10"/>
    <x v="27"/>
    <n v="1"/>
    <n v="2026"/>
    <m/>
  </r>
  <r>
    <x v="5"/>
    <x v="75"/>
    <x v="9"/>
    <s v="Value Added Tax                                                       _x000a_On SWIFT charges                                                      _x000a_15% of SAR200.00                                                      _x000a_Through CORPORATE BANKING DEPT-JEDDAH                                 _x000a_Date 24-07-1447(H) Time 11.51.35                                      _x000a_Reference ILC-0840-25-7517                                            _x000a_At Bank Aljazira                                                      _x000a_Exchange Rate 1.0                                                     _x000a_"/>
    <x v="168"/>
    <s v=""/>
    <x v="0"/>
    <n v="30"/>
    <n v="0"/>
    <x v="1"/>
    <s v="Received"/>
    <s v="SAUDI VITRIFIED CLAY PIPE CO"/>
    <x v="3"/>
    <x v="10"/>
    <x v="27"/>
    <n v="1"/>
    <n v="2026"/>
    <m/>
  </r>
  <r>
    <x v="5"/>
    <x v="75"/>
    <x v="9"/>
    <s v="Dr TI ILC Comm/Other Charges                                          _x000a_AMD002-285525985                                                      _x000a_At Bank Aljazira                                                      _x000a_ CORPORATE BANKING DEPT-JEDDAH                                        _x000a_Date 24-07-1447(H) Time 11.52.24                                      _x000a_Reference ILC-0840-25-7982                                            _x000a_Value Date 24-07-1447(H)                                              _x000a_Fee Collected By Bank AlJazira                                        _x000a_"/>
    <x v="74"/>
    <s v=""/>
    <x v="0"/>
    <n v="500"/>
    <n v="0"/>
    <x v="5"/>
    <s v="Received"/>
    <s v="Alpha Limit Trading and Contracting Company"/>
    <x v="3"/>
    <x v="10"/>
    <x v="27"/>
    <n v="1"/>
    <n v="2026"/>
    <m/>
  </r>
  <r>
    <x v="5"/>
    <x v="75"/>
    <x v="9"/>
    <s v="Value Added Tax                                                       _x000a_On ILC Commission                                                     _x000a_15% of SAR500.00                                                      _x000a_Through CORPORATE BANKING DEPT-JEDDAH                                 _x000a_Date 24-07-1447(H) Time 11.52.24                                      _x000a_Reference ILC-0840-25-7982                                            _x000a_At Bank Aljazira                                                      _x000a_"/>
    <x v="74"/>
    <s v=""/>
    <x v="0"/>
    <n v="75"/>
    <n v="0"/>
    <x v="1"/>
    <s v="Received"/>
    <s v="Alpha Limit Trading and Contracting Company"/>
    <x v="3"/>
    <x v="10"/>
    <x v="27"/>
    <n v="1"/>
    <n v="2026"/>
    <m/>
  </r>
  <r>
    <x v="5"/>
    <x v="75"/>
    <x v="9"/>
    <s v="Dr TI ILC Comm/Other Charges                                          _x000a_AMD002-285525989                                                      _x000a_At Bank Aljazira                                                      _x000a_ CORPORATE BANKING DEPT-JEDDAH                                        _x000a_Date 24-07-1447(H) Time 11.52.24                                      _x000a_Reference ILC-0840-25-7982                                            _x000a_Value Date 24-07-1447(H)                                              _x000a_Fee Collected By Bank AlJazira                                        _x000a_"/>
    <x v="74"/>
    <s v=""/>
    <x v="0"/>
    <n v="200"/>
    <n v="0"/>
    <x v="5"/>
    <s v="Received"/>
    <s v="Alpha Limit Trading and Contracting Company"/>
    <x v="3"/>
    <x v="10"/>
    <x v="27"/>
    <n v="1"/>
    <n v="2026"/>
    <m/>
  </r>
  <r>
    <x v="5"/>
    <x v="75"/>
    <x v="9"/>
    <s v="Value Added Tax                                                       _x000a_On SWIFT charges                                                      _x000a_15% of SAR200.00                                                      _x000a_Through CORPORATE BANKING DEPT-JEDDAH                                 _x000a_Date 24-07-1447(H) Time 11.52.24                                      _x000a_Reference ILC-0840-25-7982                                            _x000a_At Bank Aljazira                                                      _x000a_"/>
    <x v="74"/>
    <s v=""/>
    <x v="0"/>
    <n v="30"/>
    <n v="0"/>
    <x v="1"/>
    <s v="Received"/>
    <s v="Alpha Limit Trading and Contracting Company"/>
    <x v="3"/>
    <x v="10"/>
    <x v="27"/>
    <n v="1"/>
    <n v="2026"/>
    <m/>
  </r>
  <r>
    <x v="5"/>
    <x v="75"/>
    <x v="9"/>
    <s v="Dr TI ILC Comm/Other Charges                                          _x000a_MAI001-285287196                                                      _x000a_At Bank Aljazira                                                      _x000a_ CORPORATE BANKING DEPT-JEDDAH                                        _x000a_Date 24-07-1447(H) Time 13.49.10                                      _x000a_Reference ILC-0840-26-8820                                            _x000a_Value Date 22-07-1447(H)                                              _x000a_Fee Collected By Bank AlJazira                                        _x000a_Value date 11-JAN-26"/>
    <x v="362"/>
    <s v=""/>
    <x v="0"/>
    <n v="200"/>
    <n v="0"/>
    <x v="8"/>
    <s v="Received"/>
    <s v="Alfanar Electrical Systems"/>
    <x v="3"/>
    <x v="10"/>
    <x v="27"/>
    <n v="1"/>
    <n v="2026"/>
    <m/>
  </r>
  <r>
    <x v="5"/>
    <x v="75"/>
    <x v="9"/>
    <s v="Value Added Tax                                                       _x000a_On ILC Postal/DHL Charges                                             _x000a_15% of SAR200.00                                                      _x000a_Through CORPORATE BANKING DEPT-JEDDAH                                 _x000a_Date 24-07-1447(H) Time 13.49.10                                      _x000a_Reference ILC-0840-26-8820                                            _x000a_At Bank Aljazira                                                      _x000a_Value date 11-JAN-26"/>
    <x v="362"/>
    <s v=""/>
    <x v="0"/>
    <n v="30"/>
    <n v="0"/>
    <x v="1"/>
    <s v="Received"/>
    <s v="Alfanar Electrical Systems"/>
    <x v="3"/>
    <x v="10"/>
    <x v="27"/>
    <n v="1"/>
    <n v="2026"/>
    <m/>
  </r>
  <r>
    <x v="1"/>
    <x v="76"/>
    <x v="3"/>
    <s v="CUSTOMER = 3972500 DEAL AMT = 500.00 DEAL CCY = EUR TAX CODE = 1 "/>
    <x v="336"/>
    <s v="TF2535900016"/>
    <x v="0"/>
    <n v="37.5"/>
    <n v="0"/>
    <x v="1"/>
    <s v="Received"/>
    <s v="BBH-CHEMTROL INTERNATIONAL ORGANIZATION S.L"/>
    <x v="10"/>
    <x v="5"/>
    <x v="27"/>
    <n v="1"/>
    <n v="2026"/>
    <m/>
  </r>
  <r>
    <x v="1"/>
    <x v="76"/>
    <x v="3"/>
    <s v="CUSTOMER = 3972500 DEAL AMT = 500.00 DEAL CCY = EUR TAX CODE = 1 "/>
    <x v="336"/>
    <s v="TF2535900016"/>
    <x v="0"/>
    <n v="75"/>
    <n v="0"/>
    <x v="1"/>
    <s v="Received"/>
    <s v="BBH-CHEMTROL INTERNATIONAL ORGANIZATION S.L"/>
    <x v="10"/>
    <x v="5"/>
    <x v="27"/>
    <n v="1"/>
    <n v="2026"/>
    <m/>
  </r>
  <r>
    <x v="1"/>
    <x v="76"/>
    <x v="3"/>
    <s v="LC SWIFT CHARGES FOR LC NO. TF2535900016\BNK"/>
    <x v="336"/>
    <s v="TF2535900016"/>
    <x v="0"/>
    <n v="250"/>
    <n v="0"/>
    <x v="3"/>
    <s v="Received"/>
    <s v="BBH-CHEMTROL INTERNATIONAL ORGANIZATION S.L"/>
    <x v="10"/>
    <x v="5"/>
    <x v="27"/>
    <n v="1"/>
    <n v="2026"/>
    <m/>
  </r>
  <r>
    <x v="1"/>
    <x v="76"/>
    <x v="3"/>
    <s v="LC AMENDMENT COMMISSION FOR LC NO. TF2535900016\BNK"/>
    <x v="336"/>
    <s v="TF2535900016"/>
    <x v="0"/>
    <n v="500"/>
    <n v="0"/>
    <x v="5"/>
    <s v="Received"/>
    <s v="BBH-CHEMTROL INTERNATIONAL ORGANIZATION S.L"/>
    <x v="10"/>
    <x v="5"/>
    <x v="27"/>
    <n v="1"/>
    <n v="2026"/>
    <m/>
  </r>
  <r>
    <x v="3"/>
    <x v="76"/>
    <x v="6"/>
    <s v="IMP BILL COMM DPBEPM210962WPM DCBWPM565843"/>
    <x v="372"/>
    <s v="DPBEPM210962WPM"/>
    <x v="0"/>
    <n v="9241.61"/>
    <n v="0"/>
    <x v="2"/>
    <s v="Received"/>
    <s v="BAHRA ADVANCED CABLE MANUFACTURE CO. LTD."/>
    <x v="3"/>
    <x v="9"/>
    <x v="27"/>
    <n v="1"/>
    <n v="2026"/>
    <m/>
  </r>
  <r>
    <x v="3"/>
    <x v="76"/>
    <x v="6"/>
    <s v="IMP BILL COMM DPBCOR210930WPM DCBWPM566848"/>
    <x v="373"/>
    <s v="DPBCOR210930WPM"/>
    <x v="0"/>
    <n v="4312.5"/>
    <n v="0"/>
    <x v="2"/>
    <s v="Received"/>
    <s v="Arabian International Company For Contracting"/>
    <x v="3"/>
    <x v="9"/>
    <x v="27"/>
    <n v="1"/>
    <n v="2026"/>
    <m/>
  </r>
  <r>
    <x v="3"/>
    <x v="76"/>
    <x v="6"/>
    <s v="DC ISSUE COMM CHARGES DCBWPM160364"/>
    <x v="374"/>
    <m/>
    <x v="0"/>
    <n v="3105"/>
    <n v="0"/>
    <x v="8"/>
    <s v="Received"/>
    <s v="Masdar Technical Supplies Co."/>
    <x v="3"/>
    <x v="9"/>
    <x v="27"/>
    <n v="1"/>
    <n v="2026"/>
    <m/>
  </r>
  <r>
    <x v="3"/>
    <x v="76"/>
    <x v="6"/>
    <s v="DC ISSUE COMM CHARGES DCBWPM160342"/>
    <x v="375"/>
    <m/>
    <x v="0"/>
    <n v="3105"/>
    <n v="0"/>
    <x v="8"/>
    <s v="Received"/>
    <s v="BROOQ ALAMAAN TRAD COMPANY"/>
    <x v="3"/>
    <x v="9"/>
    <x v="27"/>
    <n v="1"/>
    <n v="2026"/>
    <m/>
  </r>
  <r>
    <x v="3"/>
    <x v="76"/>
    <x v="6"/>
    <s v="DC ISSUE COMM CHARGES DCBWPM160363"/>
    <x v="376"/>
    <m/>
    <x v="0"/>
    <n v="5405"/>
    <n v="0"/>
    <x v="8"/>
    <s v="Received"/>
    <s v="Arabian International Company For Contracting"/>
    <x v="3"/>
    <x v="9"/>
    <x v="27"/>
    <n v="1"/>
    <n v="2026"/>
    <m/>
  </r>
  <r>
    <x v="5"/>
    <x v="76"/>
    <x v="9"/>
    <s v="TI Bill Settled                                                       _x000a_POC007                                                                _x000a_At Bank AlJazira                                                      _x000a_CORPORATE BANKING DEPT-JEDDAH                                         _x000a_Date 25-07-1447(H) Time 13.37.10                                      _x000a_Reference ILC-0840-25-7982                                            _x000a_"/>
    <x v="74"/>
    <s v=""/>
    <x v="0"/>
    <n v="48936.47"/>
    <n v="0"/>
    <x v="4"/>
    <s v="Received"/>
    <s v="Alpha Limit Trading and Contracting Company"/>
    <x v="3"/>
    <x v="10"/>
    <x v="27"/>
    <n v="1"/>
    <n v="2026"/>
    <m/>
  </r>
  <r>
    <x v="2"/>
    <x v="77"/>
    <x v="4"/>
    <s v="CITY:Jeddah 6132226J210617002"/>
    <x v="42"/>
    <s v="J210617002"/>
    <x v="0"/>
    <n v="4134.84"/>
    <n v="0"/>
    <x v="5"/>
    <s v="Received"/>
    <s v="Al Arabia Construction &amp; Building Co."/>
    <x v="0"/>
    <x v="7"/>
    <x v="27"/>
    <n v="1"/>
    <n v="2026"/>
    <m/>
  </r>
  <r>
    <x v="3"/>
    <x v="77"/>
    <x v="6"/>
    <s v="DPBCOR625240WPM DCBWPM565846"/>
    <x v="165"/>
    <s v="DPBCOR625240WPM"/>
    <x v="0"/>
    <n v="906374.06"/>
    <n v="0"/>
    <x v="4"/>
    <s v="Received"/>
    <s v="Mimar For Construction Tools &amp; Trading Ltd."/>
    <x v="3"/>
    <x v="9"/>
    <x v="27"/>
    <n v="1"/>
    <n v="2026"/>
    <m/>
  </r>
  <r>
    <x v="3"/>
    <x v="77"/>
    <x v="6"/>
    <s v="DC ISSUE COMM CHARGES DCBWPM160344"/>
    <x v="377"/>
    <s v="DCBWPM160344"/>
    <x v="0"/>
    <n v="3105"/>
    <n v="0"/>
    <x v="8"/>
    <s v="Received"/>
    <s v="Mase Gulf Company"/>
    <x v="3"/>
    <x v="9"/>
    <x v="27"/>
    <n v="1"/>
    <n v="2026"/>
    <m/>
  </r>
  <r>
    <x v="3"/>
    <x v="77"/>
    <x v="6"/>
    <s v="DC ISSUE COMM CHARGES DCBWPM160343"/>
    <x v="378"/>
    <s v="DCBWPM160343"/>
    <x v="0"/>
    <n v="8855"/>
    <n v="0"/>
    <x v="8"/>
    <s v="Received"/>
    <s v="BAHRA ADVANCED CABLE MANUFACTURE CO. LTD"/>
    <x v="3"/>
    <x v="9"/>
    <x v="27"/>
    <n v="1"/>
    <n v="2026"/>
    <m/>
  </r>
  <r>
    <x v="3"/>
    <x v="77"/>
    <x v="6"/>
    <s v="DC ISSUE COMM CHARGES DCBWPM160355"/>
    <x v="379"/>
    <s v="DCBWPM160355"/>
    <x v="0"/>
    <n v="5405"/>
    <n v="0"/>
    <x v="8"/>
    <s v="Received"/>
    <s v="Mimar for Construction Tools &amp; Trading Ltd."/>
    <x v="3"/>
    <x v="9"/>
    <x v="27"/>
    <n v="1"/>
    <n v="2026"/>
    <m/>
  </r>
  <r>
    <x v="1"/>
    <x v="78"/>
    <x v="3"/>
    <s v="CUSTOMER = 3972500 DEAL AMT = 75 DEAL CCY = SAR TAX CODE = 1 "/>
    <x v="147"/>
    <s v="TF252110008802"/>
    <x v="0"/>
    <n v="11.25"/>
    <n v="0"/>
    <x v="1"/>
    <s v="Received"/>
    <s v="TABARK AL-MOMMYZA FOR TRADING COMPANY"/>
    <x v="3"/>
    <x v="5"/>
    <x v="27"/>
    <n v="1"/>
    <n v="2026"/>
    <m/>
  </r>
  <r>
    <x v="1"/>
    <x v="78"/>
    <x v="3"/>
    <s v="LC SWIFT CHARGES FOR LC NO. TF252110008802\BNK"/>
    <x v="147"/>
    <s v="TF252110008802"/>
    <x v="0"/>
    <n v="75"/>
    <n v="0"/>
    <x v="3"/>
    <s v="Received"/>
    <s v="TABARK AL-MOMMYZA FOR TRADING COMPANY"/>
    <x v="3"/>
    <x v="5"/>
    <x v="27"/>
    <n v="1"/>
    <n v="2026"/>
    <m/>
  </r>
  <r>
    <x v="1"/>
    <x v="78"/>
    <x v="3"/>
    <s v="REIMBURSE UNDER LCS DR FOR LC NO. TF252110008802\BNK"/>
    <x v="147"/>
    <s v="TF252110008802"/>
    <x v="0"/>
    <n v="245588.5"/>
    <n v="0"/>
    <x v="4"/>
    <s v="Received"/>
    <s v="TABARK AL-MOMMYZA FOR TRADING COMPANY"/>
    <x v="3"/>
    <x v="5"/>
    <x v="27"/>
    <n v="1"/>
    <n v="2026"/>
    <m/>
  </r>
  <r>
    <x v="0"/>
    <x v="78"/>
    <x v="0"/>
    <s v="RB REF JLG7000184,VIA CORE SYSTEM,DATE-TIME 18/01-12:45:44, عن طريق النظام الآ لي ,VALUE DT 18/01/26"/>
    <x v="380"/>
    <s v=""/>
    <x v="0"/>
    <n v="4312.5"/>
    <n v="0"/>
    <x v="17"/>
    <s v="Received"/>
    <s v="Bid - THAKHER DEVELOPMENT COMPANY"/>
    <x v="1"/>
    <x v="2"/>
    <x v="27"/>
    <n v="1"/>
    <n v="2026"/>
    <m/>
  </r>
  <r>
    <x v="2"/>
    <x v="78"/>
    <x v="4"/>
    <s v="CITY:Jeddah 6132226J211604001"/>
    <x v="291"/>
    <s v="J211604001"/>
    <x v="0"/>
    <n v="4354.91"/>
    <n v="0"/>
    <x v="2"/>
    <s v="Received"/>
    <s v="Saudi Benaa Company For Building Materials"/>
    <x v="0"/>
    <x v="11"/>
    <x v="27"/>
    <n v="1"/>
    <n v="2026"/>
    <m/>
  </r>
  <r>
    <x v="2"/>
    <x v="78"/>
    <x v="4"/>
    <s v="CITY:Jeddah 6132226J211811000"/>
    <x v="381"/>
    <s v="J211811000"/>
    <x v="0"/>
    <n v="1334"/>
    <n v="0"/>
    <x v="8"/>
    <s v="Received"/>
    <s v="Brooq Al Amaan Trading"/>
    <x v="4"/>
    <x v="11"/>
    <x v="27"/>
    <n v="1"/>
    <n v="2026"/>
    <m/>
  </r>
  <r>
    <x v="2"/>
    <x v="78"/>
    <x v="4"/>
    <s v="CITY:Jeddah 6132226J211808000"/>
    <x v="382"/>
    <s v="J211808000"/>
    <x v="0"/>
    <n v="699.58"/>
    <n v="0"/>
    <x v="8"/>
    <s v="Received"/>
    <s v="Electric House Trading Company L.L.C."/>
    <x v="4"/>
    <x v="11"/>
    <x v="27"/>
    <n v="1"/>
    <n v="2026"/>
    <m/>
  </r>
  <r>
    <x v="2"/>
    <x v="78"/>
    <x v="4"/>
    <s v="CITY:Jeddah 6132226J211809000"/>
    <x v="383"/>
    <s v="J211809000"/>
    <x v="0"/>
    <n v="1226.67"/>
    <n v="0"/>
    <x v="8"/>
    <s v="Received"/>
    <s v="Johnson Controls Arabia Limited"/>
    <x v="4"/>
    <x v="11"/>
    <x v="27"/>
    <n v="1"/>
    <n v="2026"/>
    <m/>
  </r>
  <r>
    <x v="2"/>
    <x v="78"/>
    <x v="4"/>
    <s v="CITY:Jeddah 6132226J211806000"/>
    <x v="384"/>
    <s v="J211806000"/>
    <x v="0"/>
    <n v="1094.42"/>
    <n v="0"/>
    <x v="8"/>
    <s v="Received"/>
    <s v="Alkhorayef Commercial Company"/>
    <x v="4"/>
    <x v="11"/>
    <x v="27"/>
    <n v="1"/>
    <n v="2026"/>
    <m/>
  </r>
  <r>
    <x v="2"/>
    <x v="78"/>
    <x v="4"/>
    <s v="CITY:Jeddah 6132226J211810000"/>
    <x v="385"/>
    <s v="J211810000"/>
    <x v="0"/>
    <n v="1418.33"/>
    <n v="0"/>
    <x v="8"/>
    <s v="Received"/>
    <s v="Electro Mechanical Supplies Company"/>
    <x v="4"/>
    <x v="11"/>
    <x v="27"/>
    <n v="1"/>
    <n v="2026"/>
    <m/>
  </r>
  <r>
    <x v="2"/>
    <x v="78"/>
    <x v="4"/>
    <s v="CITY:Jeddah 6132226J211807000"/>
    <x v="386"/>
    <s v="J211807000"/>
    <x v="0"/>
    <n v="963.13"/>
    <n v="0"/>
    <x v="8"/>
    <s v="Received"/>
    <s v="Electric House Trading Company L.L.C."/>
    <x v="4"/>
    <x v="11"/>
    <x v="27"/>
    <n v="1"/>
    <n v="2026"/>
    <m/>
  </r>
  <r>
    <x v="3"/>
    <x v="78"/>
    <x v="5"/>
    <s v="DPBCOR625317WPM DCBWPM563046"/>
    <x v="179"/>
    <s v="DPBCOR625317WPM"/>
    <x v="0"/>
    <n v="871119.25"/>
    <n v="0"/>
    <x v="4"/>
    <s v="Received"/>
    <s v="Al-Sayed Center A/C &amp; Refrigeration Materials Company"/>
    <x v="3"/>
    <x v="8"/>
    <x v="27"/>
    <n v="1"/>
    <n v="2026"/>
    <m/>
  </r>
  <r>
    <x v="3"/>
    <x v="78"/>
    <x v="5"/>
    <s v="DPBCOR626155WPM DCBWPM563039"/>
    <x v="234"/>
    <s v="DPBCOR626155WPM"/>
    <x v="0"/>
    <n v="164946.54999999999"/>
    <n v="0"/>
    <x v="4"/>
    <s v="Received"/>
    <s v="AC SOLUTIONS TRADING CO"/>
    <x v="3"/>
    <x v="8"/>
    <x v="27"/>
    <n v="1"/>
    <n v="2026"/>
    <m/>
  </r>
  <r>
    <x v="3"/>
    <x v="78"/>
    <x v="6"/>
    <s v="DPBEPM624631WPM DCBWPM563027"/>
    <x v="160"/>
    <s v="DPBEPM624631WPM"/>
    <x v="0"/>
    <n v="314788.40000000002"/>
    <n v="0"/>
    <x v="4"/>
    <s v="Received"/>
    <s v="JAD AL RIYADH Trading Co. Ltd"/>
    <x v="3"/>
    <x v="8"/>
    <x v="27"/>
    <n v="1"/>
    <n v="2026"/>
    <m/>
  </r>
  <r>
    <x v="3"/>
    <x v="78"/>
    <x v="17"/>
    <s v="DC ISSUE COMM CHARGES DCBCPM160316"/>
    <x v="387"/>
    <s v="DCBCPM160316"/>
    <x v="0"/>
    <n v="57611.75"/>
    <n v="0"/>
    <x v="8"/>
    <s v="Received"/>
    <s v="Off Premises Solutions"/>
    <x v="13"/>
    <x v="8"/>
    <x v="27"/>
    <n v="1"/>
    <n v="2026"/>
    <m/>
  </r>
  <r>
    <x v="3"/>
    <x v="78"/>
    <x v="6"/>
    <s v="IMP BILL AMEND. CHARGES DPBCOR211036WPM DCBWPM570380"/>
    <x v="295"/>
    <s v="DPBCOR211036WPM"/>
    <x v="0"/>
    <n v="940.67"/>
    <n v="0"/>
    <x v="2"/>
    <s v="Received"/>
    <s v="Ajzal United for Safety CO.LTD."/>
    <x v="3"/>
    <x v="9"/>
    <x v="27"/>
    <n v="1"/>
    <n v="2026"/>
    <m/>
  </r>
  <r>
    <x v="3"/>
    <x v="78"/>
    <x v="6"/>
    <s v="DPBCOR625255WPM DCBWPM563025"/>
    <x v="194"/>
    <s v="DPBCOR625255WPM"/>
    <x v="0"/>
    <n v="194357.37"/>
    <n v="0"/>
    <x v="4"/>
    <s v="Received"/>
    <s v="Riyadh Unity for Trading"/>
    <x v="3"/>
    <x v="8"/>
    <x v="27"/>
    <n v="1"/>
    <n v="2026"/>
    <m/>
  </r>
  <r>
    <x v="3"/>
    <x v="78"/>
    <x v="6"/>
    <s v="DPBCOR626959WPM DCBWPM555620"/>
    <x v="269"/>
    <s v="DPBCOR626959WPM"/>
    <x v="0"/>
    <n v="188433.83"/>
    <n v="0"/>
    <x v="4"/>
    <s v="Received"/>
    <s v="Rawadf International Co."/>
    <x v="3"/>
    <x v="9"/>
    <x v="27"/>
    <n v="1"/>
    <n v="2026"/>
    <m/>
  </r>
  <r>
    <x v="3"/>
    <x v="78"/>
    <x v="5"/>
    <s v="DPBEPM619787WPM DCBWPM563017"/>
    <x v="388"/>
    <s v="DPBEPM619787WPM"/>
    <x v="0"/>
    <n v="2874080"/>
    <n v="0"/>
    <x v="4"/>
    <s v="Received"/>
    <s v="Atlas Industrial Equipment Co."/>
    <x v="3"/>
    <x v="8"/>
    <x v="27"/>
    <n v="1"/>
    <n v="2026"/>
    <m/>
  </r>
  <r>
    <x v="3"/>
    <x v="78"/>
    <x v="17"/>
    <s v="DC ISSUE COMM CHARGES DCBWPM160340"/>
    <x v="389"/>
    <s v="DCBWPM160340"/>
    <x v="0"/>
    <n v="7529.38"/>
    <n v="0"/>
    <x v="8"/>
    <s v="Received"/>
    <s v="AlJammaz Hydrotek"/>
    <x v="13"/>
    <x v="8"/>
    <x v="27"/>
    <n v="1"/>
    <n v="2026"/>
    <m/>
  </r>
  <r>
    <x v="0"/>
    <x v="79"/>
    <x v="0"/>
    <s v="REF 000000JLC6901492,RB REF JLC6901492,VIA CORE SYSTEM,DATE-TIME 19/01-14:31:00, عن طريق النظام الآ لي ,VALUE DT 19/01/26"/>
    <x v="12"/>
    <s v=""/>
    <x v="0"/>
    <n v="21172.26"/>
    <n v="0"/>
    <x v="5"/>
    <s v="Received"/>
    <s v="Jiangsu Donchamp New Materials Technology Co.Ltd."/>
    <x v="0"/>
    <x v="3"/>
    <x v="27"/>
    <n v="1"/>
    <n v="2026"/>
    <m/>
  </r>
  <r>
    <x v="0"/>
    <x v="79"/>
    <x v="1"/>
    <s v="RB REF JLG6603079,VIA CORE SYSTEM,DATE-TIME 19/01-17:11:09, عن طريق النظام الآ لي ,VALUE DT 19/01/26"/>
    <x v="148"/>
    <s v=""/>
    <x v="0"/>
    <n v="92992.45"/>
    <n v="0"/>
    <x v="17"/>
    <s v="Received"/>
    <s v="Advance - JEDDAH ISLAMIC PORT"/>
    <x v="1"/>
    <x v="2"/>
    <x v="27"/>
    <n v="1"/>
    <n v="2026"/>
    <m/>
  </r>
  <r>
    <x v="0"/>
    <x v="79"/>
    <x v="1"/>
    <s v="RB REF JLG6600939,VIA CORE SYSTEM,DATE-TIME 19/01-09:46:24, عن طريق النظام الآ لي ,VALUE DT 19/01/26"/>
    <x v="390"/>
    <s v=""/>
    <x v="0"/>
    <n v="79361.5"/>
    <n v="0"/>
    <x v="17"/>
    <s v="Received"/>
    <s v="Performance - GENERAL AUTHORITY OF PORTS - JEDDAH ISLAMIC PORT"/>
    <x v="1"/>
    <x v="2"/>
    <x v="27"/>
    <n v="1"/>
    <n v="2026"/>
    <m/>
  </r>
  <r>
    <x v="0"/>
    <x v="79"/>
    <x v="0"/>
    <s v="REF 000000JLC6901431,RB REF JLC6901431,VIA CORE SYSTEM,DATE-TIME 19/01-15:17:03, عن طريق النظام الآ لي ,VALUE DT 19/01/26"/>
    <x v="95"/>
    <s v=""/>
    <x v="0"/>
    <n v="107076.5"/>
    <n v="0"/>
    <x v="5"/>
    <s v="Received"/>
    <s v="Mat Filtrasyon Teknolojeleri A.S"/>
    <x v="0"/>
    <x v="3"/>
    <x v="3"/>
    <n v="1"/>
    <n v="2026"/>
    <m/>
  </r>
  <r>
    <x v="3"/>
    <x v="79"/>
    <x v="6"/>
    <s v="DPBEPM626949WPM DCBWPM565841"/>
    <x v="297"/>
    <s v="DPBEPM626949WPM"/>
    <x v="0"/>
    <n v="2000000"/>
    <n v="0"/>
    <x v="4"/>
    <s v="Received"/>
    <s v="Saudi Electric Supply Company"/>
    <x v="3"/>
    <x v="9"/>
    <x v="27"/>
    <n v="1"/>
    <n v="2026"/>
    <m/>
  </r>
  <r>
    <x v="5"/>
    <x v="79"/>
    <x v="9"/>
    <s v="Dr TI LGI Commission (Earned)                                         _x000a_ISS001-286176542                                                      _x000a_At Bank AlJazira                                                      _x000a_CBS CENTRAL                                                           _x000a_Date 30-07-1447(H) Time 10.57.01                                      _x000a_Reference LGI-0857-26-7603                                            _x000a_"/>
    <x v="391"/>
    <s v=""/>
    <x v="0"/>
    <n v="9374.98"/>
    <n v="0"/>
    <x v="16"/>
    <s v="Received"/>
    <s v="Bid - Diriyah Company"/>
    <x v="0"/>
    <x v="2"/>
    <x v="27"/>
    <n v="1"/>
    <n v="2026"/>
    <m/>
  </r>
  <r>
    <x v="5"/>
    <x v="79"/>
    <x v="9"/>
    <s v="Value Added Tax                                                       _x000a_On LGI ISSUANCE COMMISSION                                            _x000a_15% of SAR9,374.98                                                    _x000a_Through CBS CENTRAL                                                   _x000a_Date 30-07-1447(H) Time 10.57.02                                      _x000a_Reference LGI-0857-26-7603                                            _x000a_At Bank Aljazira                                                      _x000a_Exchange Rate 1.0                                                     _x000a_"/>
    <x v="391"/>
    <s v=""/>
    <x v="0"/>
    <n v="1406.25"/>
    <n v="0"/>
    <x v="1"/>
    <s v="Received"/>
    <s v="Bid - Diriyah Company"/>
    <x v="0"/>
    <x v="2"/>
    <x v="27"/>
    <n v="1"/>
    <n v="2026"/>
    <m/>
  </r>
  <r>
    <x v="5"/>
    <x v="79"/>
    <x v="9"/>
    <s v="Dr TI LGI Comm/Other Charges                                          _x000a_ISS001-286176544                                                      _x000a_At Bank AlJazira                                                      _x000a_CBS CENTRAL                                                           _x000a_Date 30-07-1447(H) Time 10.57.02                                      _x000a_Reference LGI-0857-26-7603                                            _x000a_"/>
    <x v="391"/>
    <s v=""/>
    <x v="0"/>
    <n v="25479.45"/>
    <n v="0"/>
    <x v="16"/>
    <s v="Received"/>
    <s v="Bid - Diriyah Company"/>
    <x v="0"/>
    <x v="2"/>
    <x v="27"/>
    <n v="1"/>
    <n v="2026"/>
    <m/>
  </r>
  <r>
    <x v="5"/>
    <x v="79"/>
    <x v="9"/>
    <s v="Value Added Tax                                                       _x000a_On LG Processing/Facility Fees                                        _x000a_15% of SAR25,479.45                                                   _x000a_Through CBS CENTRAL                                                   _x000a_Date 30-07-1447(H) Time 10.57.03                                      _x000a_Reference LGI-0857-26-7603                                            _x000a_At Bank Aljazira                                                      _x000a_Exchange Rate 1.0                                                     _x000a_"/>
    <x v="391"/>
    <s v=""/>
    <x v="0"/>
    <n v="3821.92"/>
    <n v="0"/>
    <x v="1"/>
    <s v="Received"/>
    <s v="Bid - Diriyah Company"/>
    <x v="0"/>
    <x v="2"/>
    <x v="27"/>
    <n v="1"/>
    <n v="2026"/>
    <m/>
  </r>
  <r>
    <x v="5"/>
    <x v="79"/>
    <x v="9"/>
    <s v="Dr TI ILC Comm/Other Charges                                          _x000a_POC001-286244757                                                      _x000a_At Bank Aljazira                                                      _x000a_ CORPORATE BANKING DEPT-JEDDAH                                        _x000a_Date 30-07-1447(H) Time 14.14.49                                      _x000a_Reference ILC-0840-25-8427                                            _x000a_Value Date 30-07-1447(H)                                              _x000a_Fee Collected By Bank AlJazira                                        _x000a_"/>
    <x v="115"/>
    <s v=""/>
    <x v="0"/>
    <n v="100"/>
    <n v="0"/>
    <x v="2"/>
    <s v="Received"/>
    <s v="Alrashid Trading and Contracting Company"/>
    <x v="0"/>
    <x v="10"/>
    <x v="27"/>
    <n v="1"/>
    <n v="2026"/>
    <m/>
  </r>
  <r>
    <x v="5"/>
    <x v="79"/>
    <x v="9"/>
    <s v="Value Added Tax                                                       _x000a_On ILC Acceptance Comm.                                               _x000a_15% of SAR100.00                                                      _x000a_Through CORPORATE BANKING DEPT-JEDDAH                                 _x000a_Date 30-07-1447(H) Time 14.14.50                                      _x000a_Reference ILC-0840-25-8427                                            _x000a_At Bank Aljazira                                                      _x000a_"/>
    <x v="115"/>
    <s v=""/>
    <x v="0"/>
    <n v="15"/>
    <n v="0"/>
    <x v="1"/>
    <s v="Received"/>
    <s v="Alrashid Trading and Contracting Company"/>
    <x v="0"/>
    <x v="10"/>
    <x v="27"/>
    <n v="1"/>
    <n v="2026"/>
    <m/>
  </r>
  <r>
    <x v="5"/>
    <x v="79"/>
    <x v="9"/>
    <s v="Dr TI ILC Comm/Other Charges                                          _x000a_POC001-286244797                                                      _x000a_At Bank Aljazira                                                      _x000a_ CORPORATE BANKING DEPT-JEDDAH                                        _x000a_Date 30-07-1447(H) Time 14.14.50                                      _x000a_Reference ILC-0840-25-8427                                            _x000a_Value Date 30-07-1447(H)                                              _x000a_Fee Collected By Bank AlJazira                                        _x000a_"/>
    <x v="115"/>
    <s v=""/>
    <x v="0"/>
    <n v="465"/>
    <n v="0"/>
    <x v="2"/>
    <s v="Received"/>
    <s v="Alrashid Trading and Contracting Company"/>
    <x v="0"/>
    <x v="10"/>
    <x v="27"/>
    <n v="1"/>
    <n v="2026"/>
    <m/>
  </r>
  <r>
    <x v="5"/>
    <x v="79"/>
    <x v="9"/>
    <s v="Value Added Tax                                                       _x000a_On ILC Acceptance Comm.                                               _x000a_15% of SAR465.00                                                      _x000a_Through CORPORATE BANKING DEPT-JEDDAH                                 _x000a_Date 30-07-1447(H) Time 14.14.50                                      _x000a_Reference ILC-0840-25-8427                                            _x000a_At Bank Aljazira                                                      _x000a_"/>
    <x v="115"/>
    <s v=""/>
    <x v="0"/>
    <n v="69.75"/>
    <n v="0"/>
    <x v="1"/>
    <s v="Received"/>
    <s v="Alrashid Trading and Contracting Company"/>
    <x v="0"/>
    <x v="10"/>
    <x v="27"/>
    <n v="1"/>
    <n v="2026"/>
    <m/>
  </r>
  <r>
    <x v="5"/>
    <x v="79"/>
    <x v="9"/>
    <s v="Dr TI ILC Comm/Other Charges                                          _x000a_POC001-286244799                                                      _x000a_At Bank Aljazira                                                      _x000a_ CORPORATE BANKING DEPT-JEDDAH                                        _x000a_Date 30-07-1447(H) Time 14.14.50                                      _x000a_Reference ILC-0840-25-8427                                            _x000a_Value Date 30-07-1447(H)                                              _x000a_Fee Collected By Bank AlJazira                                        _x000a_"/>
    <x v="115"/>
    <s v=""/>
    <x v="0"/>
    <n v="200"/>
    <n v="0"/>
    <x v="2"/>
    <s v="Received"/>
    <s v="Alrashid Trading and Contracting Company"/>
    <x v="0"/>
    <x v="10"/>
    <x v="27"/>
    <n v="1"/>
    <n v="2026"/>
    <m/>
  </r>
  <r>
    <x v="5"/>
    <x v="79"/>
    <x v="9"/>
    <s v="Value Added Tax                                                       _x000a_On SWIFT charges                                                      _x000a_15% of SAR200.00                                                      _x000a_Through CORPORATE BANKING DEPT-JEDDAH                                 _x000a_Date 30-07-1447(H) Time 14.14.51                                      _x000a_Reference ILC-0840-25-8427                                            _x000a_At Bank Aljazira                                                      _x000a_"/>
    <x v="115"/>
    <s v=""/>
    <x v="0"/>
    <n v="30"/>
    <n v="0"/>
    <x v="1"/>
    <s v="Received"/>
    <s v="Alrashid Trading and Contracting Company"/>
    <x v="0"/>
    <x v="10"/>
    <x v="27"/>
    <n v="1"/>
    <n v="2026"/>
    <m/>
  </r>
  <r>
    <x v="2"/>
    <x v="80"/>
    <x v="4"/>
    <s v="CITY:Jeddah 6132226J211485002"/>
    <x v="192"/>
    <s v="J211485002"/>
    <x v="0"/>
    <n v="2894.94"/>
    <n v="0"/>
    <x v="2"/>
    <s v="Received"/>
    <s v="ALNAFIE METAL INDUSTRIES CO LTD"/>
    <x v="8"/>
    <x v="11"/>
    <x v="27"/>
    <n v="1"/>
    <n v="2026"/>
    <m/>
  </r>
  <r>
    <x v="2"/>
    <x v="80"/>
    <x v="4"/>
    <s v="CITY:Jeddah 6132226J211835000"/>
    <x v="392"/>
    <s v="J211835000"/>
    <x v="0"/>
    <n v="1046.5"/>
    <n v="0"/>
    <x v="8"/>
    <s v="Received"/>
    <s v="Delmatic Co Ltd"/>
    <x v="4"/>
    <x v="11"/>
    <x v="27"/>
    <n v="1"/>
    <n v="2026"/>
    <m/>
  </r>
  <r>
    <x v="2"/>
    <x v="80"/>
    <x v="4"/>
    <s v="CITY:Jeddah 6132226J211836000"/>
    <x v="393"/>
    <s v="J211836000"/>
    <x v="0"/>
    <n v="1418.33"/>
    <n v="0"/>
    <x v="8"/>
    <s v="Received"/>
    <s v="Al Talal Modern Est"/>
    <x v="4"/>
    <x v="11"/>
    <x v="27"/>
    <n v="1"/>
    <n v="2026"/>
    <m/>
  </r>
  <r>
    <x v="2"/>
    <x v="80"/>
    <x v="4"/>
    <s v="CITY:Jeddah 6132226J211805000"/>
    <x v="394"/>
    <s v="J211805000"/>
    <x v="0"/>
    <n v="3335"/>
    <n v="0"/>
    <x v="8"/>
    <s v="Received"/>
    <s v="Electric House Trading Company L.L.C."/>
    <x v="4"/>
    <x v="11"/>
    <x v="27"/>
    <n v="1"/>
    <n v="2026"/>
    <m/>
  </r>
  <r>
    <x v="1"/>
    <x v="81"/>
    <x v="3"/>
    <s v="CUSTOMER = 3972500 DEAL AMT = 14710.93 DEAL CCY = SAR TAX CODE = 1 "/>
    <x v="325"/>
    <s v="TF253480002901"/>
    <x v="0"/>
    <n v="2206.64"/>
    <n v="0"/>
    <x v="1"/>
    <s v="Received"/>
    <s v="Depa Saudi Arabia for Contracting and Interior Decorating Co. Ltd."/>
    <x v="0"/>
    <x v="5"/>
    <x v="27"/>
    <n v="1"/>
    <n v="2026"/>
    <m/>
  </r>
  <r>
    <x v="1"/>
    <x v="81"/>
    <x v="3"/>
    <s v="LC ACCEPTANCE COMMISSION FOR LC NO. TF253480002901\BNK"/>
    <x v="325"/>
    <s v="TF253480002901"/>
    <x v="0"/>
    <n v="14710.93"/>
    <n v="0"/>
    <x v="2"/>
    <s v="Received"/>
    <s v="Depa Saudi Arabia for Contracting and Interior Decorating Co. Ltd."/>
    <x v="0"/>
    <x v="5"/>
    <x v="27"/>
    <n v="1"/>
    <n v="2026"/>
    <m/>
  </r>
  <r>
    <x v="0"/>
    <x v="81"/>
    <x v="0"/>
    <s v="REF 000000JLC6901492,RB REF JLC6901492,VIA CORE SYSTEM,DATE-TIME 21/01-14:50:45, عن طريق النظام الآ لي ,VALUE DT 21/01/26"/>
    <x v="12"/>
    <s v=""/>
    <x v="0"/>
    <n v="1555.75"/>
    <n v="0"/>
    <x v="2"/>
    <s v="Received"/>
    <s v="Jiangsu Donchamp New Materials Technology Co.Ltd."/>
    <x v="0"/>
    <x v="3"/>
    <x v="27"/>
    <n v="1"/>
    <n v="2026"/>
    <m/>
  </r>
  <r>
    <x v="0"/>
    <x v="81"/>
    <x v="0"/>
    <s v="RB REF JLG7000251,VIA CORE SYSTEM,DATE-TIME 21/01-16:49:24, عن طريق النظام الآ لي ,VALUE DT 21/01/26"/>
    <x v="395"/>
    <s v=""/>
    <x v="0"/>
    <n v="399001.7"/>
    <n v="0"/>
    <x v="17"/>
    <s v="Received"/>
    <s v="Performance - ELSEWEDY ELECTRIC FOR POWER SYSTEMS"/>
    <x v="0"/>
    <x v="19"/>
    <x v="27"/>
    <n v="1"/>
    <n v="2026"/>
    <m/>
  </r>
  <r>
    <x v="3"/>
    <x v="81"/>
    <x v="6"/>
    <s v="IMP BILL AMEND. CHARGES DPBCOR211390WPM DCBWPM570414"/>
    <x v="298"/>
    <s v="DPBCOR211390WPM"/>
    <x v="0"/>
    <n v="5728.84"/>
    <n v="0"/>
    <x v="2"/>
    <s v="Received"/>
    <s v="Mohamad Saeed Afifi Trading Est."/>
    <x v="3"/>
    <x v="9"/>
    <x v="27"/>
    <n v="1"/>
    <n v="2026"/>
    <m/>
  </r>
  <r>
    <x v="1"/>
    <x v="82"/>
    <x v="3"/>
    <s v="CUSTOMER = 3972500 DEAL AMT = 1565.55 DEAL CCY = SAR TAX CODE = 1 "/>
    <x v="212"/>
    <s v="TF253160005301"/>
    <x v="0"/>
    <n v="234.83"/>
    <n v="0"/>
    <x v="1"/>
    <s v="Received"/>
    <s v="AL MOUSA TRADING CO."/>
    <x v="3"/>
    <x v="5"/>
    <x v="27"/>
    <n v="1"/>
    <n v="2026"/>
    <m/>
  </r>
  <r>
    <x v="1"/>
    <x v="82"/>
    <x v="3"/>
    <s v="LC ACCEPTANCE COMMISSION FOR LC NO. TF253160005301\BNK"/>
    <x v="212"/>
    <s v="TF253160005301"/>
    <x v="0"/>
    <n v="1565.55"/>
    <n v="0"/>
    <x v="2"/>
    <s v="Received"/>
    <s v="AL MOUSA TRADING CO."/>
    <x v="3"/>
    <x v="5"/>
    <x v="27"/>
    <n v="1"/>
    <n v="2026"/>
    <m/>
  </r>
  <r>
    <x v="0"/>
    <x v="82"/>
    <x v="2"/>
    <s v="REF 000000JLC6901492,RB REF JLC6901492,VIA CORE SYSTEM,DATE-TIME 22/01-11:28:08, عن طريق النظام الآ لي ,VALUE DT 22/01/26"/>
    <x v="12"/>
    <s v=""/>
    <x v="1"/>
    <n v="144571.51"/>
    <n v="0"/>
    <x v="2"/>
    <s v="Received"/>
    <s v="Jiangsu Donchamp New Materials Technology Co.Ltd."/>
    <x v="0"/>
    <x v="3"/>
    <x v="27"/>
    <n v="1"/>
    <n v="2026"/>
    <m/>
  </r>
  <r>
    <x v="0"/>
    <x v="82"/>
    <x v="0"/>
    <s v="REF 000000JLC7000001,RB REF JLC7000001,VIA CORE SYSTEM,DATE-TIME 22/01-12:12:25, عن طريق النظام الآ لي ,VALUE DT 22/01/26"/>
    <x v="344"/>
    <s v=""/>
    <x v="0"/>
    <n v="4312.5"/>
    <n v="0"/>
    <x v="2"/>
    <s v="Received"/>
    <s v="Electric House Trading Company L.L.C."/>
    <x v="3"/>
    <x v="3"/>
    <x v="27"/>
    <n v="1"/>
    <n v="2026"/>
    <m/>
  </r>
  <r>
    <x v="3"/>
    <x v="82"/>
    <x v="5"/>
    <s v="IMP BILL AMEND. CHARGES DPBEPM211613WPM DCBWPM563027"/>
    <x v="160"/>
    <s v="DPBEPM211613WPM"/>
    <x v="0"/>
    <n v="320.91000000000003"/>
    <n v="0"/>
    <x v="2"/>
    <s v="Received"/>
    <s v="JAD AL RIYADH Trading Co. Ltd"/>
    <x v="3"/>
    <x v="8"/>
    <x v="27"/>
    <n v="1"/>
    <n v="2026"/>
    <m/>
  </r>
  <r>
    <x v="3"/>
    <x v="82"/>
    <x v="6"/>
    <s v="DPBEPM625018WPM DCBWPM565818"/>
    <x v="151"/>
    <s v="DPBEPM625018WPM"/>
    <x v="0"/>
    <n v="4182477.33"/>
    <n v="0"/>
    <x v="4"/>
    <s v="Received"/>
    <s v="ELSEWEDY CABLES COMPANY LTD."/>
    <x v="3"/>
    <x v="9"/>
    <x v="27"/>
    <n v="1"/>
    <n v="2026"/>
    <m/>
  </r>
  <r>
    <x v="5"/>
    <x v="82"/>
    <x v="9"/>
    <s v="Dr TI ILC Comm/Other Charges                                          _x000a_POC001-286653574                                                      _x000a_At Bank Aljazira                                                      _x000a_ CORPORATE BANKING DEPT-JEDDAH                                        _x000a_Date 03-08-1447(H) Time 11.24.01                                      _x000a_Reference ILC-0840-25-8165                                            _x000a_Value Date 03-08-1447(H)                                              _x000a_Fee Collected By Bank AlJazira                                        _x000a_"/>
    <x v="310"/>
    <s v=""/>
    <x v="0"/>
    <n v="100"/>
    <n v="0"/>
    <x v="2"/>
    <s v="Received"/>
    <s v="SAUDI HEPCO CO LTD"/>
    <x v="3"/>
    <x v="10"/>
    <x v="27"/>
    <n v="1"/>
    <n v="2026"/>
    <m/>
  </r>
  <r>
    <x v="5"/>
    <x v="82"/>
    <x v="9"/>
    <s v="Value Added Tax                                                       _x000a_On ILC Acceptance Comm.                                               _x000a_15% of SAR100.00                                                      _x000a_Through CORPORATE BANKING DEPT-JEDDAH                                 _x000a_Date 03-08-1447(H) Time 11.24.01                                      _x000a_Reference ILC-0840-25-8165                                            _x000a_At Bank Aljazira                                                      _x000a_"/>
    <x v="310"/>
    <s v=""/>
    <x v="0"/>
    <n v="15"/>
    <n v="0"/>
    <x v="1"/>
    <s v="Received"/>
    <s v="SAUDI HEPCO CO LTD"/>
    <x v="3"/>
    <x v="10"/>
    <x v="27"/>
    <n v="1"/>
    <n v="2026"/>
    <m/>
  </r>
  <r>
    <x v="5"/>
    <x v="82"/>
    <x v="9"/>
    <s v="Dr TI ILC Comm/Other Charges                                          _x000a_POC001-286653858                                                      _x000a_At Bank Aljazira                                                      _x000a_ CORPORATE BANKING DEPT-JEDDAH                                        _x000a_Date 03-08-1447(H) Time 11.24.01                                      _x000a_Reference ILC-0840-25-8165                                            _x000a_Value Date 03-08-1447(H)                                              _x000a_Fee Collected By Bank AlJazira                                        _x000a_"/>
    <x v="310"/>
    <s v=""/>
    <x v="0"/>
    <n v="922"/>
    <n v="0"/>
    <x v="2"/>
    <s v="Received"/>
    <s v="SAUDI HEPCO CO LTD"/>
    <x v="3"/>
    <x v="10"/>
    <x v="27"/>
    <n v="1"/>
    <n v="2026"/>
    <m/>
  </r>
  <r>
    <x v="5"/>
    <x v="82"/>
    <x v="9"/>
    <s v="Value Added Tax                                                       _x000a_On ILC Acceptance Comm.                                               _x000a_15% of SAR922.00                                                      _x000a_Through CORPORATE BANKING DEPT-JEDDAH                                 _x000a_Date 03-08-1447(H) Time 11.24.01                                      _x000a_Reference ILC-0840-25-8165                                            _x000a_At Bank Aljazira                                                      _x000a_"/>
    <x v="310"/>
    <s v=""/>
    <x v="0"/>
    <n v="138.30000000000001"/>
    <n v="0"/>
    <x v="1"/>
    <s v="Received"/>
    <s v="SAUDI HEPCO CO LTD"/>
    <x v="3"/>
    <x v="10"/>
    <x v="27"/>
    <n v="1"/>
    <n v="2026"/>
    <m/>
  </r>
  <r>
    <x v="5"/>
    <x v="82"/>
    <x v="9"/>
    <s v="Dr TI ILC Comm/Other Charges                                          _x000a_POC001-286653862                                                      _x000a_At Bank Aljazira                                                      _x000a_ CORPORATE BANKING DEPT-JEDDAH                                        _x000a_Date 03-08-1447(H) Time 11.24.02                                      _x000a_Reference ILC-0840-25-8165                                            _x000a_Value Date 03-08-1447(H)                                              _x000a_Fee Collected By Bank AlJazira                                        _x000a_"/>
    <x v="310"/>
    <s v=""/>
    <x v="0"/>
    <n v="200"/>
    <n v="0"/>
    <x v="2"/>
    <s v="Received"/>
    <s v="SAUDI HEPCO CO LTD"/>
    <x v="3"/>
    <x v="10"/>
    <x v="27"/>
    <n v="1"/>
    <n v="2026"/>
    <m/>
  </r>
  <r>
    <x v="5"/>
    <x v="82"/>
    <x v="9"/>
    <s v="Value Added Tax                                                       _x000a_On SWIFT charges                                                      _x000a_15% of SAR200.00                                                      _x000a_Through CORPORATE BANKING DEPT-JEDDAH                                 _x000a_Date 03-08-1447(H) Time 11.24.02                                      _x000a_Reference ILC-0840-25-8165                                            _x000a_At Bank Aljazira                                                      _x000a_"/>
    <x v="310"/>
    <s v=""/>
    <x v="0"/>
    <n v="30"/>
    <n v="0"/>
    <x v="1"/>
    <s v="Received"/>
    <s v="SAUDI HEPCO CO LTD"/>
    <x v="3"/>
    <x v="10"/>
    <x v="27"/>
    <n v="1"/>
    <n v="2026"/>
    <m/>
  </r>
  <r>
    <x v="1"/>
    <x v="83"/>
    <x v="3"/>
    <s v="CUSTOMER = 3972500 DEAL AMT = 1250 DEAL CCY = SAR TAX CODE = 1 "/>
    <x v="185"/>
    <s v="TF251740001901"/>
    <x v="0"/>
    <n v="187.5"/>
    <n v="0"/>
    <x v="1"/>
    <s v="Received"/>
    <s v="AFAQ AL MALAZ TRADING CO. LTD"/>
    <x v="3"/>
    <x v="6"/>
    <x v="27"/>
    <n v="1"/>
    <n v="2026"/>
    <m/>
  </r>
  <r>
    <x v="1"/>
    <x v="83"/>
    <x v="3"/>
    <s v="LC ACCEPTANCE COMMISSION FOR LC NO. TF251740001901\BNK"/>
    <x v="185"/>
    <s v="TF251740001901"/>
    <x v="0"/>
    <n v="1250"/>
    <n v="0"/>
    <x v="2"/>
    <s v="Received"/>
    <s v="AFAQ AL MALAZ TRADING CO. LTD"/>
    <x v="3"/>
    <x v="6"/>
    <x v="27"/>
    <n v="1"/>
    <n v="2026"/>
    <m/>
  </r>
  <r>
    <x v="1"/>
    <x v="83"/>
    <x v="3"/>
    <s v="CUSTOMER = 3972500 DEAL AMT = 75 DEAL CCY = SAR TAX CODE = 1 "/>
    <x v="141"/>
    <s v="TF252300003403"/>
    <x v="0"/>
    <n v="11.25"/>
    <n v="0"/>
    <x v="1"/>
    <s v="Received"/>
    <s v="Al Arabia Construction &amp; Building Co."/>
    <x v="0"/>
    <x v="7"/>
    <x v="27"/>
    <n v="1"/>
    <n v="2026"/>
    <m/>
  </r>
  <r>
    <x v="1"/>
    <x v="83"/>
    <x v="3"/>
    <s v="LC SWIFT CHARGES FOR LC NO. TF252300003403\BNK"/>
    <x v="141"/>
    <s v="TF252300003403"/>
    <x v="0"/>
    <n v="75"/>
    <n v="0"/>
    <x v="3"/>
    <s v="Received"/>
    <s v="Al Arabia Construction &amp; Building Co."/>
    <x v="0"/>
    <x v="7"/>
    <x v="27"/>
    <n v="1"/>
    <n v="2026"/>
    <m/>
  </r>
  <r>
    <x v="1"/>
    <x v="83"/>
    <x v="3"/>
    <s v="CUSTOMER = 3972500 DEAL AMT = 1250 DEAL CCY = SAR TAX CODE = 1 "/>
    <x v="141"/>
    <s v="TF252300003403"/>
    <x v="0"/>
    <n v="187.5"/>
    <n v="0"/>
    <x v="1"/>
    <s v="Received"/>
    <s v="Al Arabia Construction &amp; Building Co."/>
    <x v="0"/>
    <x v="7"/>
    <x v="27"/>
    <n v="1"/>
    <n v="2026"/>
    <m/>
  </r>
  <r>
    <x v="1"/>
    <x v="83"/>
    <x v="3"/>
    <s v="LC ACCEPTANCE COMMISSION FOR LC NO. TF252300003403\BNK"/>
    <x v="141"/>
    <s v="TF252300003403"/>
    <x v="0"/>
    <n v="1250"/>
    <n v="0"/>
    <x v="2"/>
    <s v="Received"/>
    <s v="Al Arabia Construction &amp; Building Co."/>
    <x v="0"/>
    <x v="7"/>
    <x v="27"/>
    <n v="1"/>
    <n v="2026"/>
    <m/>
  </r>
  <r>
    <x v="1"/>
    <x v="83"/>
    <x v="3"/>
    <s v="REIMBURSE UNDER LCS DR FOR LC NO. TF252300003403\BNK"/>
    <x v="141"/>
    <s v="TF252300003403"/>
    <x v="0"/>
    <n v="231118.72"/>
    <n v="0"/>
    <x v="4"/>
    <s v="Received"/>
    <s v="Al Arabia Construction &amp; Building Co."/>
    <x v="0"/>
    <x v="7"/>
    <x v="27"/>
    <n v="1"/>
    <n v="2026"/>
    <m/>
  </r>
  <r>
    <x v="1"/>
    <x v="83"/>
    <x v="3"/>
    <s v="CUSTOMER = 3972500 DEAL AMT = 75 DEAL CCY = SAR TAX CODE = 1 "/>
    <x v="244"/>
    <s v="TF252650001701"/>
    <x v="0"/>
    <n v="11.25"/>
    <n v="0"/>
    <x v="1"/>
    <s v="Received"/>
    <s v="DANAH METAL CO."/>
    <x v="3"/>
    <x v="5"/>
    <x v="27"/>
    <n v="1"/>
    <n v="2026"/>
    <m/>
  </r>
  <r>
    <x v="1"/>
    <x v="83"/>
    <x v="3"/>
    <s v="LC SWIFT CHARGES FOR LC NO. TF252650001701\BNK"/>
    <x v="244"/>
    <s v="TF252650001701"/>
    <x v="0"/>
    <n v="75"/>
    <n v="0"/>
    <x v="3"/>
    <s v="Received"/>
    <s v="DANAH METAL CO."/>
    <x v="3"/>
    <x v="5"/>
    <x v="27"/>
    <n v="1"/>
    <n v="2026"/>
    <m/>
  </r>
  <r>
    <x v="1"/>
    <x v="83"/>
    <x v="3"/>
    <s v="REIMBURSE UNDER LCS DR FOR LC NO. TF252650001701\BNK"/>
    <x v="244"/>
    <s v="TF252650001701"/>
    <x v="0"/>
    <n v="207933.08"/>
    <n v="0"/>
    <x v="4"/>
    <s v="Received"/>
    <s v="DANAH METAL CO."/>
    <x v="3"/>
    <x v="5"/>
    <x v="27"/>
    <n v="1"/>
    <n v="2026"/>
    <m/>
  </r>
  <r>
    <x v="0"/>
    <x v="83"/>
    <x v="1"/>
    <s v="RB REF JLG6700362,VIA CORE SYSTEM,DATE-TIME 25/01-12:07:40, عن طريق النظام الآ لي ,VALUE DT 25/01/26"/>
    <x v="396"/>
    <s v=""/>
    <x v="0"/>
    <n v="8176.5"/>
    <n v="0"/>
    <x v="30"/>
    <s v="Received"/>
    <s v="Performance - MADINAH REGIONAL DEVELOPMENT CO."/>
    <x v="1"/>
    <x v="2"/>
    <x v="27"/>
    <n v="1"/>
    <n v="2026"/>
    <m/>
  </r>
  <r>
    <x v="0"/>
    <x v="83"/>
    <x v="0"/>
    <s v="REF 000000JLC7000009,RB REF JLC7000009,VIA CORE SYSTEM,DATE-TIME 25/01-13:03:50, عن طريق النظام الآ لي ,VALUE DT 25/01/26"/>
    <x v="345"/>
    <s v=""/>
    <x v="0"/>
    <n v="2371.88"/>
    <n v="0"/>
    <x v="2"/>
    <s v="Received"/>
    <s v="Mahmoud Altaheni &amp; Partners Trading Co."/>
    <x v="3"/>
    <x v="3"/>
    <x v="27"/>
    <n v="1"/>
    <n v="2026"/>
    <m/>
  </r>
  <r>
    <x v="2"/>
    <x v="83"/>
    <x v="4"/>
    <s v="CITY:Jeddah 6132226J211763001"/>
    <x v="361"/>
    <s v="J211763001"/>
    <x v="0"/>
    <n v="460"/>
    <n v="0"/>
    <x v="5"/>
    <s v="Received"/>
    <s v="BRC Industrial Saudia Company."/>
    <x v="0"/>
    <x v="11"/>
    <x v="27"/>
    <n v="1"/>
    <n v="2026"/>
    <m/>
  </r>
  <r>
    <x v="3"/>
    <x v="83"/>
    <x v="6"/>
    <s v="DPBCOR625589WPM DCBWPM564584"/>
    <x v="200"/>
    <s v="DPBCOR625589WPM"/>
    <x v="0"/>
    <n v="1180195"/>
    <n v="0"/>
    <x v="4"/>
    <s v="Received"/>
    <s v="Safid Co. Ltd"/>
    <x v="4"/>
    <x v="1"/>
    <x v="27"/>
    <n v="1"/>
    <n v="2026"/>
    <m/>
  </r>
  <r>
    <x v="3"/>
    <x v="83"/>
    <x v="6"/>
    <s v="DPBEPM622848WPM DCBWPM563040"/>
    <x v="56"/>
    <s v="DPBEPM622848WPM"/>
    <x v="0"/>
    <n v="239654.07"/>
    <n v="0"/>
    <x v="4"/>
    <s v="Received"/>
    <s v="Mab United For Trading &amp; Contracting Co"/>
    <x v="3"/>
    <x v="8"/>
    <x v="27"/>
    <n v="1"/>
    <n v="2026"/>
    <m/>
  </r>
  <r>
    <x v="5"/>
    <x v="83"/>
    <x v="9"/>
    <s v="TI Bill Settled                                                       _x000a_POC008                                                                _x000a_At Bank AlJazira                                                      _x000a_CORPORATE BANKING DEPT-JEDDAH                                         _x000a_Date 06-08-1447(H) Time 12.31.57                                      _x000a_Reference ILC-0840-25-7982                                            _x000a_"/>
    <x v="74"/>
    <s v=""/>
    <x v="0"/>
    <n v="96824.6"/>
    <n v="0"/>
    <x v="4"/>
    <s v="Received"/>
    <s v="Alpha Limit Trading and Contracting Company"/>
    <x v="3"/>
    <x v="10"/>
    <x v="27"/>
    <n v="1"/>
    <n v="2026"/>
    <m/>
  </r>
  <r>
    <x v="5"/>
    <x v="83"/>
    <x v="9"/>
    <s v="Dr TI ILC Comm/Other Charges                                          _x000a_POC002-286811657                                                      _x000a_At Bank Aljazira                                                      _x000a_ CORPORATE BANKING DEPT-JEDDAH                                        _x000a_Date 06-08-1447(H) Time 12.32.29                                      _x000a_Reference ILC-0840-25-8427                                            _x000a_Value Date 06-08-1447(H)                                              _x000a_Fee Collected By Bank AlJazira                                        _x000a_"/>
    <x v="115"/>
    <s v=""/>
    <x v="0"/>
    <n v="100"/>
    <n v="0"/>
    <x v="2"/>
    <s v="Received"/>
    <s v="Alrashid Trading and Contracting Company"/>
    <x v="0"/>
    <x v="10"/>
    <x v="27"/>
    <n v="1"/>
    <n v="2026"/>
    <m/>
  </r>
  <r>
    <x v="5"/>
    <x v="83"/>
    <x v="9"/>
    <s v="Value Added Tax                                                       _x000a_On ILC Acceptance Comm.                                               _x000a_15% of SAR100.00                                                      _x000a_Through CORPORATE BANKING DEPT-JEDDAH                                 _x000a_Date 06-08-1447(H) Time 12.32.29                                      _x000a_Reference ILC-0840-25-8427                                            _x000a_At Bank Aljazira                                                      _x000a_"/>
    <x v="115"/>
    <s v=""/>
    <x v="0"/>
    <n v="15"/>
    <n v="0"/>
    <x v="1"/>
    <s v="Received"/>
    <s v="Alrashid Trading and Contracting Company"/>
    <x v="0"/>
    <x v="10"/>
    <x v="27"/>
    <n v="1"/>
    <n v="2026"/>
    <m/>
  </r>
  <r>
    <x v="5"/>
    <x v="83"/>
    <x v="9"/>
    <s v="Dr TI ILC Comm/Other Charges                                          _x000a_POC002-286811710                                                      _x000a_At Bank Aljazira                                                      _x000a_ CORPORATE BANKING DEPT-JEDDAH                                        _x000a_Date 06-08-1447(H) Time 12.32.29                                      _x000a_Reference ILC-0840-25-8427                                            _x000a_Value Date 06-08-1447(H)                                              _x000a_Fee Collected By Bank AlJazira                                        _x000a_"/>
    <x v="115"/>
    <s v=""/>
    <x v="0"/>
    <n v="656"/>
    <n v="0"/>
    <x v="2"/>
    <s v="Received"/>
    <s v="Alrashid Trading and Contracting Company"/>
    <x v="0"/>
    <x v="10"/>
    <x v="27"/>
    <n v="1"/>
    <n v="2026"/>
    <m/>
  </r>
  <r>
    <x v="5"/>
    <x v="83"/>
    <x v="9"/>
    <s v="Value Added Tax                                                       _x000a_On ILC Acceptance Comm.                                               _x000a_15% of SAR656.00                                                      _x000a_Through CORPORATE BANKING DEPT-JEDDAH                                 _x000a_Date 06-08-1447(H) Time 12.32.29                                      _x000a_Reference ILC-0840-25-8427                                            _x000a_At Bank Aljazira                                                      _x000a_"/>
    <x v="115"/>
    <s v=""/>
    <x v="0"/>
    <n v="98.4"/>
    <n v="0"/>
    <x v="1"/>
    <s v="Received"/>
    <s v="Alrashid Trading and Contracting Company"/>
    <x v="0"/>
    <x v="10"/>
    <x v="27"/>
    <n v="1"/>
    <n v="2026"/>
    <m/>
  </r>
  <r>
    <x v="5"/>
    <x v="83"/>
    <x v="9"/>
    <s v="Dr TI ILC Comm/Other Charges                                          _x000a_POC002-286811726                                                      _x000a_At Bank Aljazira                                                      _x000a_ CORPORATE BANKING DEPT-JEDDAH                                        _x000a_Date 06-08-1447(H) Time 12.32.30                                      _x000a_Reference ILC-0840-25-8427                                            _x000a_Value Date 06-08-1447(H)                                              _x000a_Fee Collected By Bank AlJazira                                        _x000a_"/>
    <x v="115"/>
    <s v=""/>
    <x v="0"/>
    <n v="200"/>
    <n v="0"/>
    <x v="2"/>
    <s v="Received"/>
    <s v="Alrashid Trading and Contracting Company"/>
    <x v="0"/>
    <x v="10"/>
    <x v="27"/>
    <n v="1"/>
    <n v="2026"/>
    <m/>
  </r>
  <r>
    <x v="5"/>
    <x v="83"/>
    <x v="9"/>
    <s v="Value Added Tax                                                       _x000a_On SWIFT charges                                                      _x000a_15% of SAR200.00                                                      _x000a_Through CORPORATE BANKING DEPT-JEDDAH                                 _x000a_Date 06-08-1447(H) Time 12.32.30                                      _x000a_Reference ILC-0840-25-8427                                            _x000a_At Bank Aljazira                                                      _x000a_"/>
    <x v="115"/>
    <s v=""/>
    <x v="0"/>
    <n v="30"/>
    <n v="0"/>
    <x v="1"/>
    <s v="Received"/>
    <s v="Alrashid Trading and Contracting Company"/>
    <x v="0"/>
    <x v="10"/>
    <x v="27"/>
    <n v="1"/>
    <n v="2026"/>
    <m/>
  </r>
  <r>
    <x v="1"/>
    <x v="84"/>
    <x v="3"/>
    <s v="CUSTOMER = 3972500 DEAL AMT = 2555.57 DEAL CCY = SAR TAX CODE = 1 "/>
    <x v="274"/>
    <s v="TF253350000601"/>
    <x v="0"/>
    <n v="383.34"/>
    <n v="0"/>
    <x v="1"/>
    <s v="Received"/>
    <s v="Gulf Grilles Company"/>
    <x v="3"/>
    <x v="5"/>
    <x v="27"/>
    <n v="1"/>
    <n v="2026"/>
    <m/>
  </r>
  <r>
    <x v="1"/>
    <x v="84"/>
    <x v="3"/>
    <s v="LC ACCEPTANCE COMMISSION FOR LC NO. TF253350000601\BNK"/>
    <x v="274"/>
    <s v="TF253350000601"/>
    <x v="0"/>
    <n v="2555.5700000000002"/>
    <n v="0"/>
    <x v="2"/>
    <s v="Received"/>
    <s v="Gulf Grilles Company"/>
    <x v="3"/>
    <x v="5"/>
    <x v="27"/>
    <n v="1"/>
    <n v="2026"/>
    <m/>
  </r>
  <r>
    <x v="0"/>
    <x v="84"/>
    <x v="0"/>
    <s v="REF 000000JLC6901431,RB REF JLC6901431,VIA CORE SYSTEM,DATE-TIME 26/01-09:45:16, عن طريق النظام الآ لي ,VALUE DT 26/01/26"/>
    <x v="95"/>
    <s v=""/>
    <x v="0"/>
    <n v="2152754.59"/>
    <n v="0"/>
    <x v="4"/>
    <s v="Received"/>
    <s v="Mat Filtrasyon Teknolojeleri A.S"/>
    <x v="0"/>
    <x v="3"/>
    <x v="3"/>
    <n v="1"/>
    <n v="2026"/>
    <m/>
  </r>
  <r>
    <x v="2"/>
    <x v="84"/>
    <x v="4"/>
    <s v="CITY:Jeddah 6132226J210617006"/>
    <x v="42"/>
    <s v="J210617006"/>
    <x v="0"/>
    <n v="125838.75"/>
    <n v="0"/>
    <x v="4"/>
    <s v="Received"/>
    <s v="Al Arabia Construction &amp; Building Co."/>
    <x v="0"/>
    <x v="7"/>
    <x v="27"/>
    <n v="1"/>
    <n v="2026"/>
    <m/>
  </r>
  <r>
    <x v="2"/>
    <x v="84"/>
    <x v="4"/>
    <s v="CITY:Jeddah 6132226J210617005"/>
    <x v="42"/>
    <s v="J210617005"/>
    <x v="0"/>
    <n v="123182.25"/>
    <n v="0"/>
    <x v="4"/>
    <s v="Received"/>
    <s v="Al Arabia Construction &amp; Building Co."/>
    <x v="0"/>
    <x v="7"/>
    <x v="27"/>
    <n v="1"/>
    <n v="2026"/>
    <m/>
  </r>
  <r>
    <x v="3"/>
    <x v="84"/>
    <x v="5"/>
    <s v="IMP BILL AMEND. CHARGES DPBCOR211591WPM DCBWPM563372"/>
    <x v="397"/>
    <s v="DPBCOR211591WPM"/>
    <x v="0"/>
    <n v="2443.75"/>
    <n v="0"/>
    <x v="2"/>
    <s v="Received"/>
    <s v="Awraq Alqyqb Lltjart Company"/>
    <x v="3"/>
    <x v="8"/>
    <x v="27"/>
    <n v="1"/>
    <n v="2026"/>
    <m/>
  </r>
  <r>
    <x v="3"/>
    <x v="84"/>
    <x v="6"/>
    <s v="IMP BILL AMEND. CHARGES DPBCOR211578WPM DCBWPM566634"/>
    <x v="398"/>
    <s v="DPBCOR211578WPM"/>
    <x v="0"/>
    <n v="2994.95"/>
    <n v="0"/>
    <x v="2"/>
    <s v="Received"/>
    <s v="BROOQ ALAMAAN TRAD COMPANY"/>
    <x v="3"/>
    <x v="9"/>
    <x v="27"/>
    <n v="1"/>
    <n v="2026"/>
    <m/>
  </r>
  <r>
    <x v="5"/>
    <x v="84"/>
    <x v="9"/>
    <s v="Dr TI ILC Comm/Other Charges                                          _x000a_POC008-286961727                                                      _x000a_At Bank Aljazira                                                      _x000a_ CORPORATE BANKING DEPT-JEDDAH                                        _x000a_Date 07-08-1447(H) Time 10.31.32                                      _x000a_Reference ILC-0840-25-8159                                            _x000a_Value Date 07-08-1447(H)                                              _x000a_Fee Collected By Bank AlJazira                                        _x000a_"/>
    <x v="84"/>
    <s v="ILC-0840-25-8159"/>
    <x v="0"/>
    <n v="100"/>
    <n v="0"/>
    <x v="2"/>
    <s v="Received"/>
    <s v="AL FALWA CO. LTD. FOR READYMIX CONCRETE"/>
    <x v="0"/>
    <x v="10"/>
    <x v="27"/>
    <n v="1"/>
    <n v="2026"/>
    <m/>
  </r>
  <r>
    <x v="5"/>
    <x v="84"/>
    <x v="9"/>
    <s v="Value Added Tax                                                       _x000a_On ILC Acceptance Comm.                                               _x000a_15% of SAR100.00                                                      _x000a_Through CORPORATE BANKING DEPT-JEDDAH                                 _x000a_Date 07-08-1447(H) Time 10.31.32                                      _x000a_Reference ILC-0840-25-8159                                            _x000a_At Bank Aljazira                                                      _x000a_"/>
    <x v="84"/>
    <s v="ILC-0840-25-8159"/>
    <x v="0"/>
    <n v="15"/>
    <n v="0"/>
    <x v="1"/>
    <s v="Received"/>
    <s v="AL FALWA CO. LTD. FOR READYMIX CONCRETE"/>
    <x v="0"/>
    <x v="10"/>
    <x v="27"/>
    <n v="1"/>
    <n v="2026"/>
    <m/>
  </r>
  <r>
    <x v="5"/>
    <x v="84"/>
    <x v="9"/>
    <s v="Dr TI ILC Comm/Other Charges                                          _x000a_POC008-286963116                                                      _x000a_At Bank Aljazira                                                      _x000a_ CORPORATE BANKING DEPT-JEDDAH                                        _x000a_Date 07-08-1447(H) Time 10.31.32                                      _x000a_Reference ILC-0840-25-8159                                            _x000a_Value Date 07-08-1447(H)                                              _x000a_Fee Collected By Bank AlJazira                                        _x000a_"/>
    <x v="84"/>
    <s v="ILC-0840-25-8159"/>
    <x v="0"/>
    <n v="433"/>
    <n v="0"/>
    <x v="2"/>
    <s v="Received"/>
    <s v="AL FALWA CO. LTD. FOR READYMIX CONCRETE"/>
    <x v="0"/>
    <x v="10"/>
    <x v="27"/>
    <n v="1"/>
    <n v="2026"/>
    <m/>
  </r>
  <r>
    <x v="5"/>
    <x v="84"/>
    <x v="9"/>
    <s v="Value Added Tax                                                       _x000a_On ILC Acceptance Comm.                                               _x000a_15% of SAR433.00                                                      _x000a_Through CORPORATE BANKING DEPT-JEDDAH                                 _x000a_Date 07-08-1447(H) Time 10.31.32                                      _x000a_Reference ILC-0840-25-8159                                            _x000a_At Bank Aljazira                                                      _x000a_"/>
    <x v="84"/>
    <s v="ILC-0840-25-8159"/>
    <x v="0"/>
    <n v="64.95"/>
    <n v="0"/>
    <x v="1"/>
    <s v="Received"/>
    <s v="AL FALWA CO. LTD. FOR READYMIX CONCRETE"/>
    <x v="0"/>
    <x v="10"/>
    <x v="27"/>
    <n v="1"/>
    <n v="2026"/>
    <m/>
  </r>
  <r>
    <x v="5"/>
    <x v="84"/>
    <x v="9"/>
    <s v="Dr TI ILC Comm/Other Charges                                          _x000a_POC008-286963118                                                      _x000a_At Bank Aljazira                                                      _x000a_ CORPORATE BANKING DEPT-JEDDAH                                        _x000a_Date 07-08-1447(H) Time 10.31.33                                      _x000a_Reference ILC-0840-25-8159                                            _x000a_Value Date 07-08-1447(H)                                              _x000a_Fee Collected By Bank AlJazira                                        _x000a_"/>
    <x v="84"/>
    <s v="ILC-0840-25-8159"/>
    <x v="0"/>
    <n v="200"/>
    <n v="0"/>
    <x v="2"/>
    <s v="Received"/>
    <s v="AL FALWA CO. LTD. FOR READYMIX CONCRETE"/>
    <x v="0"/>
    <x v="10"/>
    <x v="27"/>
    <n v="1"/>
    <n v="2026"/>
    <m/>
  </r>
  <r>
    <x v="5"/>
    <x v="84"/>
    <x v="9"/>
    <s v="Value Added Tax                                                       _x000a_On SWIFT charges                                                      _x000a_15% of SAR200.00                                                      _x000a_Through CORPORATE BANKING DEPT-JEDDAH                                 _x000a_Date 07-08-1447(H) Time 10.31.33                                      _x000a_Reference ILC-0840-25-8159                                            _x000a_At Bank Aljazira                                                      _x000a_"/>
    <x v="84"/>
    <s v="ILC-0840-25-8159"/>
    <x v="0"/>
    <n v="30"/>
    <n v="0"/>
    <x v="1"/>
    <s v="Received"/>
    <s v="AL FALWA CO. LTD. FOR READYMIX CONCRETE"/>
    <x v="0"/>
    <x v="10"/>
    <x v="27"/>
    <n v="1"/>
    <n v="2026"/>
    <m/>
  </r>
  <r>
    <x v="1"/>
    <x v="85"/>
    <x v="3"/>
    <s v="CUSTOMER = 3972500 DEAL AMT = 75 DEAL CCY = SAR TAX CODE = 1 "/>
    <x v="206"/>
    <s v="TF251350003401"/>
    <x v="0"/>
    <n v="11.25"/>
    <n v="0"/>
    <x v="1"/>
    <s v="Received"/>
    <s v="ANSSAM AL RIYADH CONTRACTING EST"/>
    <x v="3"/>
    <x v="5"/>
    <x v="27"/>
    <n v="1"/>
    <n v="2026"/>
    <m/>
  </r>
  <r>
    <x v="1"/>
    <x v="85"/>
    <x v="3"/>
    <s v="LC SWIFT CHARGES FOR LC NO. TF251350003401\BNK"/>
    <x v="206"/>
    <s v="TF251350003401"/>
    <x v="0"/>
    <n v="75"/>
    <n v="0"/>
    <x v="3"/>
    <s v="Received"/>
    <s v="ANSSAM AL RIYADH CONTRACTING EST"/>
    <x v="3"/>
    <x v="5"/>
    <x v="27"/>
    <n v="1"/>
    <n v="2026"/>
    <m/>
  </r>
  <r>
    <x v="1"/>
    <x v="85"/>
    <x v="3"/>
    <s v="REIMBURSE UNDER LCS DR FOR LC NO. TF251350003401\BNK"/>
    <x v="206"/>
    <s v="TF251350003401"/>
    <x v="0"/>
    <n v="235199.15"/>
    <n v="0"/>
    <x v="4"/>
    <s v="Received"/>
    <s v="ANSSAM AL RIYADH CONTRACTING EST"/>
    <x v="3"/>
    <x v="5"/>
    <x v="27"/>
    <n v="1"/>
    <n v="2026"/>
    <m/>
  </r>
  <r>
    <x v="1"/>
    <x v="85"/>
    <x v="3"/>
    <s v="CUSTOMER = 3972500 DEAL AMT = 2487.33 DEAL CCY = SAR TAX CODE = 1 "/>
    <x v="214"/>
    <s v="TF253160006201"/>
    <x v="0"/>
    <n v="373.1"/>
    <n v="0"/>
    <x v="1"/>
    <s v="Received"/>
    <s v="AI-Hadbania Trading Co."/>
    <x v="3"/>
    <x v="5"/>
    <x v="27"/>
    <n v="1"/>
    <n v="2026"/>
    <m/>
  </r>
  <r>
    <x v="1"/>
    <x v="85"/>
    <x v="3"/>
    <s v="LC ACCEPTANCE COMMISSION FOR LC NO. TF253160006201\BNK"/>
    <x v="214"/>
    <s v="TF253160006201"/>
    <x v="0"/>
    <n v="2487.33"/>
    <n v="0"/>
    <x v="2"/>
    <s v="Received"/>
    <s v="AI-Hadbania Trading Co."/>
    <x v="3"/>
    <x v="5"/>
    <x v="27"/>
    <n v="1"/>
    <n v="2026"/>
    <m/>
  </r>
  <r>
    <x v="1"/>
    <x v="85"/>
    <x v="3"/>
    <s v="CUSTOMER = 3972500 DEAL AMT = 500.00 DEAL CCY = GBP TAX CODE = 1 "/>
    <x v="277"/>
    <s v="TF2533600018"/>
    <x v="0"/>
    <n v="37.5"/>
    <n v="0"/>
    <x v="1"/>
    <s v="Received"/>
    <s v="LSI PROJECTS LIMITED"/>
    <x v="10"/>
    <x v="5"/>
    <x v="27"/>
    <n v="1"/>
    <n v="2026"/>
    <m/>
  </r>
  <r>
    <x v="1"/>
    <x v="85"/>
    <x v="3"/>
    <s v="CUSTOMER = 3972500 DEAL AMT = 500.00 DEAL CCY = GBP TAX CODE = 1 "/>
    <x v="277"/>
    <s v="TF2533600018"/>
    <x v="0"/>
    <n v="75"/>
    <n v="0"/>
    <x v="1"/>
    <s v="Received"/>
    <s v="LSI PROJECTS LIMITED"/>
    <x v="10"/>
    <x v="5"/>
    <x v="27"/>
    <n v="1"/>
    <n v="2026"/>
    <m/>
  </r>
  <r>
    <x v="1"/>
    <x v="85"/>
    <x v="3"/>
    <s v="LC SWIFT CHARGES FOR LC NO. TF2533600018\BNK"/>
    <x v="277"/>
    <s v="TF2533600018"/>
    <x v="0"/>
    <n v="250"/>
    <n v="0"/>
    <x v="3"/>
    <s v="Received"/>
    <s v="LSI PROJECTS LIMITED"/>
    <x v="10"/>
    <x v="5"/>
    <x v="27"/>
    <n v="1"/>
    <n v="2026"/>
    <m/>
  </r>
  <r>
    <x v="1"/>
    <x v="85"/>
    <x v="3"/>
    <s v="LC AMENDMENT COMMISSION FOR LC NO. TF2533600018\BNK"/>
    <x v="277"/>
    <s v="TF2533600018"/>
    <x v="0"/>
    <n v="500"/>
    <n v="0"/>
    <x v="5"/>
    <s v="Received"/>
    <s v="LSI PROJECTS LIMITED"/>
    <x v="10"/>
    <x v="5"/>
    <x v="27"/>
    <n v="1"/>
    <n v="2026"/>
    <m/>
  </r>
  <r>
    <x v="1"/>
    <x v="85"/>
    <x v="3"/>
    <s v="CUSTOMER = 3972500 DEAL AMT = 150 DEAL CCY = EUR TAX CODE = 1 "/>
    <x v="331"/>
    <s v="TF253520002101"/>
    <x v="0"/>
    <n v="22.5"/>
    <n v="0"/>
    <x v="1"/>
    <s v="Received"/>
    <s v="Osalas GMBH"/>
    <x v="0"/>
    <x v="14"/>
    <x v="27"/>
    <n v="1"/>
    <n v="2026"/>
    <m/>
  </r>
  <r>
    <x v="1"/>
    <x v="85"/>
    <x v="3"/>
    <s v="LC SWIFT CHARGES FOR LC NO. TF253520002101\BNK"/>
    <x v="331"/>
    <s v="TF253520002101"/>
    <x v="0"/>
    <n v="150"/>
    <n v="0"/>
    <x v="3"/>
    <s v="Received"/>
    <s v="Osalas GMBH"/>
    <x v="0"/>
    <x v="14"/>
    <x v="27"/>
    <n v="1"/>
    <n v="2026"/>
    <m/>
  </r>
  <r>
    <x v="1"/>
    <x v="85"/>
    <x v="3"/>
    <s v="REIMBURSE UNDER LCS DR FOR LC NO. TF253520002101\BNK"/>
    <x v="331"/>
    <s v="TF253520002101"/>
    <x v="0"/>
    <n v="12782250"/>
    <n v="0"/>
    <x v="4"/>
    <s v="Received"/>
    <s v="Osalas GMBH"/>
    <x v="0"/>
    <x v="14"/>
    <x v="27"/>
    <n v="1"/>
    <n v="2026"/>
    <m/>
  </r>
  <r>
    <x v="1"/>
    <x v="85"/>
    <x v="3"/>
    <s v="CUSTOMER = 3972500 DEAL AMT = 500.00 DEAL CCY = GBP TAX CODE = 1 "/>
    <x v="335"/>
    <s v="TF2535900014"/>
    <x v="0"/>
    <n v="37.5"/>
    <n v="0"/>
    <x v="1"/>
    <s v="Received"/>
    <s v="LSI PROJECTS LIMITED"/>
    <x v="10"/>
    <x v="5"/>
    <x v="27"/>
    <n v="1"/>
    <n v="2026"/>
    <m/>
  </r>
  <r>
    <x v="1"/>
    <x v="85"/>
    <x v="3"/>
    <s v="CUSTOMER = 3972500 DEAL AMT = 500.00 DEAL CCY = GBP TAX CODE = 1 "/>
    <x v="335"/>
    <s v="TF2535900014"/>
    <x v="0"/>
    <n v="75"/>
    <n v="0"/>
    <x v="1"/>
    <s v="Received"/>
    <s v="LSI PROJECTS LIMITED"/>
    <x v="10"/>
    <x v="5"/>
    <x v="27"/>
    <n v="1"/>
    <n v="2026"/>
    <m/>
  </r>
  <r>
    <x v="1"/>
    <x v="85"/>
    <x v="3"/>
    <s v="LC SWIFT CHARGES FOR LC NO. TF2535900014\BNK"/>
    <x v="335"/>
    <s v="TF2535900014"/>
    <x v="0"/>
    <n v="250"/>
    <n v="0"/>
    <x v="3"/>
    <s v="Received"/>
    <s v="LSI PROJECTS LIMITED"/>
    <x v="10"/>
    <x v="5"/>
    <x v="27"/>
    <n v="1"/>
    <n v="2026"/>
    <m/>
  </r>
  <r>
    <x v="1"/>
    <x v="85"/>
    <x v="3"/>
    <s v="LC AMENDMENT COMMISSION FOR LC NO. TF2535900014\BNK"/>
    <x v="335"/>
    <s v="TF2535900014"/>
    <x v="0"/>
    <n v="500"/>
    <n v="0"/>
    <x v="5"/>
    <s v="Received"/>
    <s v="LSI PROJECTS LIMITED"/>
    <x v="10"/>
    <x v="5"/>
    <x v="27"/>
    <n v="1"/>
    <n v="2026"/>
    <m/>
  </r>
  <r>
    <x v="2"/>
    <x v="85"/>
    <x v="4"/>
    <s v="CITY:Jeddah 6132226J211485003"/>
    <x v="192"/>
    <s v="J211485003"/>
    <x v="0"/>
    <n v="3450.82"/>
    <n v="0"/>
    <x v="2"/>
    <s v="Received"/>
    <s v="ALNAFIE METAL INDUSTRIES CO LTD"/>
    <x v="8"/>
    <x v="11"/>
    <x v="27"/>
    <n v="1"/>
    <n v="2026"/>
    <m/>
  </r>
  <r>
    <x v="3"/>
    <x v="85"/>
    <x v="5"/>
    <s v="DPBCOR622248WPM DCBWPM553893"/>
    <x v="52"/>
    <s v="DPBCOR622248WPM"/>
    <x v="0"/>
    <n v="3095923"/>
    <n v="0"/>
    <x v="4"/>
    <s v="Received"/>
    <s v="Kingspan Insulated Panels Manufacturing LLC"/>
    <x v="0"/>
    <x v="8"/>
    <x v="27"/>
    <n v="1"/>
    <n v="2026"/>
    <m/>
  </r>
  <r>
    <x v="3"/>
    <x v="85"/>
    <x v="6"/>
    <s v="DPBCOR625701WPM DCBWPM564596"/>
    <x v="229"/>
    <s v="DPBCOR625701WPM"/>
    <x v="0"/>
    <n v="500000"/>
    <n v="0"/>
    <x v="4"/>
    <s v="Received"/>
    <s v="Advance Future Al Arabiya "/>
    <x v="4"/>
    <x v="1"/>
    <x v="27"/>
    <n v="1"/>
    <n v="2026"/>
    <m/>
  </r>
  <r>
    <x v="3"/>
    <x v="85"/>
    <x v="6"/>
    <s v="DPBEPM625354WPM DCBWPM565818"/>
    <x v="151"/>
    <s v="DPBEPM625354WPM"/>
    <x v="0"/>
    <n v="816561.09"/>
    <n v="0"/>
    <x v="4"/>
    <s v="Received"/>
    <s v="ELSEWEDY CABLES COMPANY LTD."/>
    <x v="3"/>
    <x v="9"/>
    <x v="27"/>
    <n v="1"/>
    <n v="2026"/>
    <m/>
  </r>
  <r>
    <x v="3"/>
    <x v="86"/>
    <x v="6"/>
    <s v="DC ISSUE COMM CHARGES DCBWPM161330"/>
    <x v="399"/>
    <s v="UE COMM CHARGES"/>
    <x v="0"/>
    <n v="3105"/>
    <n v="0"/>
    <x v="8"/>
    <s v="Received"/>
    <s v="Mariam Trading CO. &amp; Partner"/>
    <x v="3"/>
    <x v="9"/>
    <x v="27"/>
    <n v="1"/>
    <n v="2026"/>
    <m/>
  </r>
  <r>
    <x v="3"/>
    <x v="86"/>
    <x v="6"/>
    <s v="DC ISSUE COMM CHARGES DCBWPM161329"/>
    <x v="400"/>
    <s v="UE COMM CHARGES"/>
    <x v="0"/>
    <n v="3105"/>
    <n v="0"/>
    <x v="8"/>
    <s v="Received"/>
    <s v="IDEAL CALIBER COMPANY"/>
    <x v="3"/>
    <x v="9"/>
    <x v="27"/>
    <n v="1"/>
    <n v="2026"/>
    <m/>
  </r>
  <r>
    <x v="3"/>
    <x v="86"/>
    <x v="6"/>
    <s v="DC ISSUE COMM CHARGES DCBWPM161328"/>
    <x v="401"/>
    <s v="UE COMM CHARGES"/>
    <x v="0"/>
    <n v="2369.52"/>
    <n v="0"/>
    <x v="8"/>
    <s v="Received"/>
    <s v="INTERPLAST CO. LTD"/>
    <x v="3"/>
    <x v="9"/>
    <x v="27"/>
    <n v="1"/>
    <n v="2026"/>
    <m/>
  </r>
  <r>
    <x v="3"/>
    <x v="86"/>
    <x v="6"/>
    <s v="DPBCOR624200WPM DCBWPM565836"/>
    <x v="124"/>
    <s v="DPBCOR624200WPM"/>
    <x v="0"/>
    <n v="500000"/>
    <n v="0"/>
    <x v="4"/>
    <s v="Received"/>
    <s v="TEN POINTS EST"/>
    <x v="3"/>
    <x v="9"/>
    <x v="27"/>
    <n v="1"/>
    <n v="2026"/>
    <m/>
  </r>
  <r>
    <x v="3"/>
    <x v="86"/>
    <x v="6"/>
    <s v="DC ISSUE COMM CHARGES DCBWPM161322"/>
    <x v="402"/>
    <s v="UE COMM CHARGES"/>
    <x v="0"/>
    <n v="5836.25"/>
    <n v="0"/>
    <x v="8"/>
    <s v="Received"/>
    <s v="Saudi Electric Supply Company"/>
    <x v="3"/>
    <x v="9"/>
    <x v="27"/>
    <n v="1"/>
    <n v="2026"/>
    <m/>
  </r>
  <r>
    <x v="3"/>
    <x v="86"/>
    <x v="6"/>
    <s v="DC ISSUE COMM CHARGES DCBWPM161319"/>
    <x v="403"/>
    <s v="UE COMM CHARGES"/>
    <x v="0"/>
    <n v="11730"/>
    <n v="0"/>
    <x v="8"/>
    <s v="Received"/>
    <s v="Al Maymanah for Contracting Co. Ltd."/>
    <x v="3"/>
    <x v="9"/>
    <x v="27"/>
    <n v="1"/>
    <n v="2026"/>
    <m/>
  </r>
  <r>
    <x v="3"/>
    <x v="86"/>
    <x v="6"/>
    <s v="DPBEPM626525WPM DCBWPM566637"/>
    <x v="257"/>
    <s v="DPBEPM626525WPM"/>
    <x v="0"/>
    <n v="1500000"/>
    <n v="0"/>
    <x v="4"/>
    <s v="Received"/>
    <s v="Branch of National Fire Fighting"/>
    <x v="3"/>
    <x v="9"/>
    <x v="27"/>
    <n v="1"/>
    <n v="2026"/>
    <m/>
  </r>
  <r>
    <x v="3"/>
    <x v="86"/>
    <x v="6"/>
    <s v="DC ISSUE COMM CHARGES DCBWPM161326"/>
    <x v="404"/>
    <s v="UE COMM CHARGES"/>
    <x v="0"/>
    <n v="5836.25"/>
    <n v="0"/>
    <x v="8"/>
    <s v="Received"/>
    <s v="Electric House Trading Company L.L.C."/>
    <x v="3"/>
    <x v="9"/>
    <x v="27"/>
    <n v="1"/>
    <n v="2026"/>
    <m/>
  </r>
  <r>
    <x v="3"/>
    <x v="86"/>
    <x v="6"/>
    <s v="DC ISSUE COMM CHARGES DCBWPM161331"/>
    <x v="405"/>
    <s v="UE COMM CHARGES"/>
    <x v="0"/>
    <n v="3105"/>
    <n v="0"/>
    <x v="8"/>
    <s v="Received"/>
    <s v="Afaq Al Malaz Trading Co. LTD."/>
    <x v="3"/>
    <x v="9"/>
    <x v="27"/>
    <n v="1"/>
    <n v="2026"/>
    <m/>
  </r>
  <r>
    <x v="5"/>
    <x v="86"/>
    <x v="9"/>
    <s v="TI Bill Settled                                                       _x000a_POC003                                                                _x000a_At Bank AlJazira                                                      _x000a_CORPORATE BANKING DEPT-JEDDAH                                         _x000a_Date 09-08-1447(H) Time 10.39.47                                      _x000a_Reference ILC-0840-25-8427                                            _x000a_"/>
    <x v="115"/>
    <s v=""/>
    <x v="0"/>
    <n v="1117011.5"/>
    <n v="0"/>
    <x v="4"/>
    <s v="Received"/>
    <s v="Alrashid Trading and Contracting Company"/>
    <x v="0"/>
    <x v="10"/>
    <x v="27"/>
    <n v="1"/>
    <n v="2026"/>
    <m/>
  </r>
  <r>
    <x v="5"/>
    <x v="86"/>
    <x v="9"/>
    <s v="Dr TI ILC Comm/Other Charges                                          _x000a_POC004-287367532                                                      _x000a_At Bank Aljazira                                                      _x000a_ CORPORATE BANKING DEPT-JEDDAH                                        _x000a_Date 09-08-1447(H) Time 13.11.49                                      _x000a_Reference ILC-0840-25-7736                                            _x000a_Value Date 09-08-1447(H)                                              _x000a_Fee Collected By Bank AlJazira                                        _x000a_"/>
    <x v="86"/>
    <s v=""/>
    <x v="0"/>
    <n v="100"/>
    <n v="0"/>
    <x v="2"/>
    <s v="Received"/>
    <s v="Baamer Group for Trading Company"/>
    <x v="3"/>
    <x v="10"/>
    <x v="27"/>
    <n v="1"/>
    <n v="2026"/>
    <m/>
  </r>
  <r>
    <x v="5"/>
    <x v="86"/>
    <x v="9"/>
    <s v="Value Added Tax                                                       _x000a_On ILC Acceptance Comm.                                               _x000a_15% of SAR100.00                                                      _x000a_Through CORPORATE BANKING DEPT-JEDDAH                                 _x000a_Date 09-08-1447(H) Time 13.11.49                                      _x000a_Reference ILC-0840-25-7736                                            _x000a_At Bank Aljazira                                                      _x000a_"/>
    <x v="86"/>
    <s v=""/>
    <x v="0"/>
    <n v="15"/>
    <n v="0"/>
    <x v="1"/>
    <s v="Received"/>
    <s v="Baamer Group for Trading Company"/>
    <x v="3"/>
    <x v="10"/>
    <x v="27"/>
    <n v="1"/>
    <n v="2026"/>
    <m/>
  </r>
  <r>
    <x v="5"/>
    <x v="86"/>
    <x v="9"/>
    <s v="Dr TI ILC Comm/Other Charges                                          _x000a_POC004-287367753                                                      _x000a_At Bank Aljazira                                                      _x000a_ CORPORATE BANKING DEPT-JEDDAH                                        _x000a_Date 09-08-1447(H) Time 13.11.50                                      _x000a_Reference ILC-0840-25-7736                                            _x000a_Value Date 09-08-1447(H)                                              _x000a_Fee Collected By Bank AlJazira                                        _x000a_"/>
    <x v="86"/>
    <s v=""/>
    <x v="0"/>
    <n v="250"/>
    <n v="0"/>
    <x v="2"/>
    <s v="Received"/>
    <s v="Baamer Group for Trading Company"/>
    <x v="3"/>
    <x v="10"/>
    <x v="27"/>
    <n v="1"/>
    <n v="2026"/>
    <m/>
  </r>
  <r>
    <x v="5"/>
    <x v="86"/>
    <x v="9"/>
    <s v="Value Added Tax                                                       _x000a_On ILC Acceptance Comm.                                               _x000a_15% of SAR250.00                                                      _x000a_Through CORPORATE BANKING DEPT-JEDDAH                                 _x000a_Date 09-08-1447(H) Time 13.11.50                                      _x000a_Reference ILC-0840-25-7736                                            _x000a_At Bank Aljazira                                                      _x000a_"/>
    <x v="86"/>
    <s v=""/>
    <x v="0"/>
    <n v="37.5"/>
    <n v="0"/>
    <x v="1"/>
    <s v="Received"/>
    <s v="Baamer Group for Trading Company"/>
    <x v="3"/>
    <x v="10"/>
    <x v="27"/>
    <n v="1"/>
    <n v="2026"/>
    <m/>
  </r>
  <r>
    <x v="5"/>
    <x v="86"/>
    <x v="9"/>
    <s v="Dr TI ILC Comm/Other Charges                                          _x000a_POC004-287367755                                                      _x000a_At Bank Aljazira                                                      _x000a_ CORPORATE BANKING DEPT-JEDDAH                                        _x000a_Date 09-08-1447(H) Time 13.11.50                                      _x000a_Reference ILC-0840-25-7736                                            _x000a_Value Date 09-08-1447(H)                                              _x000a_Fee Collected By Bank AlJazira                                        _x000a_"/>
    <x v="86"/>
    <s v=""/>
    <x v="0"/>
    <n v="200"/>
    <n v="0"/>
    <x v="2"/>
    <s v="Received"/>
    <s v="Baamer Group for Trading Company"/>
    <x v="3"/>
    <x v="10"/>
    <x v="27"/>
    <n v="1"/>
    <n v="2026"/>
    <m/>
  </r>
  <r>
    <x v="5"/>
    <x v="86"/>
    <x v="9"/>
    <s v="Value Added Tax                                                       _x000a_On SWIFT charges                                                      _x000a_15% of SAR200.00                                                      _x000a_Through CORPORATE BANKING DEPT-JEDDAH                                 _x000a_Date 09-08-1447(H) Time 13.11.50                                      _x000a_Reference ILC-0840-25-7736                                            _x000a_At Bank Aljazira                                                      _x000a_"/>
    <x v="86"/>
    <s v=""/>
    <x v="0"/>
    <n v="30"/>
    <n v="0"/>
    <x v="1"/>
    <s v="Received"/>
    <s v="Baamer Group for Trading Company"/>
    <x v="3"/>
    <x v="10"/>
    <x v="27"/>
    <n v="1"/>
    <n v="2026"/>
    <m/>
  </r>
  <r>
    <x v="4"/>
    <x v="87"/>
    <x v="8"/>
    <s v="TF2512733014      "/>
    <x v="65"/>
    <s v="TF2512733014"/>
    <x v="0"/>
    <n v="0"/>
    <n v="21522.68"/>
    <x v="18"/>
    <s v="Received"/>
    <s v="AFAQ AL MALAZ TRADING CO LTD."/>
    <x v="3"/>
    <x v="6"/>
    <x v="27"/>
    <n v="1"/>
    <n v="2026"/>
    <m/>
  </r>
  <r>
    <x v="1"/>
    <x v="88"/>
    <x v="3"/>
    <s v="CUSTOMER = 3972500 DEAL AMT = 75 DEAL CCY = SAR TAX CODE = 1 "/>
    <x v="190"/>
    <s v="TF252110010101"/>
    <x v="0"/>
    <n v="11.25"/>
    <n v="0"/>
    <x v="1"/>
    <s v="Received"/>
    <s v="ALFANAR ELECTRICAL SYSTEMS"/>
    <x v="3"/>
    <x v="5"/>
    <x v="27"/>
    <n v="2"/>
    <n v="2026"/>
    <m/>
  </r>
  <r>
    <x v="1"/>
    <x v="88"/>
    <x v="3"/>
    <s v="LC SWIFT CHARGES FOR LC NO. TF252110010101\BNK"/>
    <x v="190"/>
    <s v="TF252110010101"/>
    <x v="0"/>
    <n v="75"/>
    <n v="0"/>
    <x v="3"/>
    <s v="Received"/>
    <s v="ALFANAR ELECTRICAL SYSTEMS"/>
    <x v="3"/>
    <x v="5"/>
    <x v="27"/>
    <n v="2"/>
    <n v="2026"/>
    <m/>
  </r>
  <r>
    <x v="1"/>
    <x v="88"/>
    <x v="3"/>
    <s v="REIMBURSE UNDER LCS DR FOR LC NO. TF252110010101\BNK"/>
    <x v="190"/>
    <s v="TF252110010101"/>
    <x v="0"/>
    <n v="500000"/>
    <n v="0"/>
    <x v="4"/>
    <s v="Received"/>
    <s v="ALFANAR ELECTRICAL SYSTEMS"/>
    <x v="3"/>
    <x v="5"/>
    <x v="27"/>
    <n v="2"/>
    <n v="2026"/>
    <m/>
  </r>
  <r>
    <x v="0"/>
    <x v="89"/>
    <x v="0"/>
    <s v="RB REF JLG7000294,VIA CORE SYSTEM,DATE-TIME 01/02-10:39:30, عن طريق النظام الآ لي ,VALUE DT 01/02/26"/>
    <x v="406"/>
    <s v=""/>
    <x v="0"/>
    <n v="23001.15"/>
    <n v="0"/>
    <x v="31"/>
    <s v="Received"/>
    <s v="Bid - BARAKA FOR REAL ESTATE AND INVESTMENT"/>
    <x v="1"/>
    <x v="2"/>
    <x v="27"/>
    <n v="2"/>
    <n v="2026"/>
    <m/>
  </r>
  <r>
    <x v="2"/>
    <x v="89"/>
    <x v="4"/>
    <s v="CITY:Jeddah 6132226J211485003"/>
    <x v="192"/>
    <s v="J211485003"/>
    <x v="0"/>
    <n v="8410.64"/>
    <n v="0"/>
    <x v="5"/>
    <s v="Received"/>
    <s v="ALNAFIE METAL INDUSTRIES CO LTD"/>
    <x v="8"/>
    <x v="11"/>
    <x v="27"/>
    <n v="2"/>
    <n v="2026"/>
    <m/>
  </r>
  <r>
    <x v="2"/>
    <x v="88"/>
    <x v="4"/>
    <s v="CITY:Jeddah 6132226J210604001"/>
    <x v="135"/>
    <s v="J210604001"/>
    <x v="0"/>
    <n v="1956.92"/>
    <n v="0"/>
    <x v="2"/>
    <s v="Received"/>
    <s v="Electric House Trading Company L.L.C."/>
    <x v="3"/>
    <x v="5"/>
    <x v="27"/>
    <n v="2"/>
    <n v="2026"/>
    <m/>
  </r>
  <r>
    <x v="3"/>
    <x v="89"/>
    <x v="6"/>
    <s v="DPBCOR628026WPM DCBWPM566642"/>
    <x v="304"/>
    <s v="DPBCOR628026WPM"/>
    <x v="0"/>
    <n v="250000"/>
    <n v="0"/>
    <x v="4"/>
    <s v="Received"/>
    <s v="Al-Sayed Center A/C &amp; Refrigeration Materials Company"/>
    <x v="3"/>
    <x v="9"/>
    <x v="27"/>
    <n v="2"/>
    <n v="2026"/>
    <m/>
  </r>
  <r>
    <x v="3"/>
    <x v="89"/>
    <x v="5"/>
    <s v="DPBCOR630004WPM DCBWPM564575"/>
    <x v="306"/>
    <s v="DPBCOR630004WPM"/>
    <x v="0"/>
    <n v="2772611.82"/>
    <n v="0"/>
    <x v="4"/>
    <s v="Received"/>
    <s v="AL-TAYYAR AL-HAQIQI COMMERCIAL CO."/>
    <x v="4"/>
    <x v="1"/>
    <x v="27"/>
    <n v="2"/>
    <n v="2026"/>
    <m/>
  </r>
  <r>
    <x v="3"/>
    <x v="89"/>
    <x v="5"/>
    <s v="DPBCOR625985WPM DCBWPM566842"/>
    <x v="231"/>
    <s v="DPBCOR625985WPM"/>
    <x v="0"/>
    <n v="1500000"/>
    <n v="0"/>
    <x v="4"/>
    <s v="Received"/>
    <s v="Al Maymanah for Contracting Co. Ltd."/>
    <x v="3"/>
    <x v="9"/>
    <x v="27"/>
    <n v="2"/>
    <n v="2026"/>
    <m/>
  </r>
  <r>
    <x v="3"/>
    <x v="88"/>
    <x v="6"/>
    <s v="IMP BILL AMEND. CHARGES DPBEPM211928WPM DCBWPM570361"/>
    <x v="294"/>
    <s v="DPBEPM211928WPM"/>
    <x v="0"/>
    <n v="50913.7"/>
    <n v="0"/>
    <x v="2"/>
    <s v="Received"/>
    <s v="ELSEWEDY CABLES CO. LIMITED"/>
    <x v="3"/>
    <x v="9"/>
    <x v="27"/>
    <n v="2"/>
    <n v="2026"/>
    <m/>
  </r>
  <r>
    <x v="3"/>
    <x v="88"/>
    <x v="6"/>
    <s v="IMP BILL COMM DPBCOR212566WPM DCBWPM570414"/>
    <x v="298"/>
    <s v="DPBCOR212566WPM"/>
    <x v="0"/>
    <n v="10658.98"/>
    <n v="0"/>
    <x v="2"/>
    <s v="Received"/>
    <s v="Mohamad Saeed Afifi Trading Est."/>
    <x v="3"/>
    <x v="9"/>
    <x v="27"/>
    <n v="2"/>
    <n v="2026"/>
    <m/>
  </r>
  <r>
    <x v="3"/>
    <x v="88"/>
    <x v="5"/>
    <s v="IMP BILL AMEND. CHARGES DPBEPM212076WPM DCBWPM563374"/>
    <x v="163"/>
    <s v="DPBEPM212076WPM"/>
    <x v="0"/>
    <n v="287.5"/>
    <n v="0"/>
    <x v="2"/>
    <s v="Received"/>
    <s v="EVOLVING CONSTELLATION CO. FOR ENERGY"/>
    <x v="3"/>
    <x v="8"/>
    <x v="27"/>
    <n v="2"/>
    <n v="2026"/>
    <m/>
  </r>
  <r>
    <x v="1"/>
    <x v="90"/>
    <x v="3"/>
    <s v="CUSTOMER = 3972500 DEAL AMT = 1250 DEAL CCY = SAR TAX CODE = 1 "/>
    <x v="205"/>
    <s v="TF251350001901"/>
    <x v="0"/>
    <n v="187.5"/>
    <n v="0"/>
    <x v="1"/>
    <s v="Received"/>
    <s v="MASDAR TECHNICAL Supplies CO."/>
    <x v="3"/>
    <x v="5"/>
    <x v="27"/>
    <n v="2"/>
    <n v="2026"/>
    <m/>
  </r>
  <r>
    <x v="1"/>
    <x v="90"/>
    <x v="3"/>
    <s v="LC ACCEPTANCE COMMISSION FOR LC NO. TF251350001901\BNK"/>
    <x v="205"/>
    <s v="TF251350001901"/>
    <x v="0"/>
    <n v="1250"/>
    <n v="0"/>
    <x v="2"/>
    <s v="Received"/>
    <s v="MASDAR TECHNICAL Supplies CO."/>
    <x v="3"/>
    <x v="5"/>
    <x v="27"/>
    <n v="2"/>
    <n v="2026"/>
    <m/>
  </r>
  <r>
    <x v="1"/>
    <x v="90"/>
    <x v="3"/>
    <s v="CUSTOMER = 3972500 DEAL AMT = 2282.19 DEAL CCY = SAR TAX CODE = 1 "/>
    <x v="327"/>
    <s v="TF253520001901"/>
    <x v="0"/>
    <n v="342.33"/>
    <n v="0"/>
    <x v="1"/>
    <s v="Received"/>
    <s v="SIEMENS Limited Company"/>
    <x v="12"/>
    <x v="5"/>
    <x v="27"/>
    <n v="2"/>
    <n v="2026"/>
    <m/>
  </r>
  <r>
    <x v="1"/>
    <x v="90"/>
    <x v="3"/>
    <s v="LC ACCEPTANCE COMMISSION FOR LC NO. TF253520001901\BNK"/>
    <x v="327"/>
    <s v="TF253520001901"/>
    <x v="0"/>
    <n v="2282.19"/>
    <n v="0"/>
    <x v="2"/>
    <s v="Received"/>
    <s v="SIEMENS Limited Company"/>
    <x v="12"/>
    <x v="5"/>
    <x v="27"/>
    <n v="2"/>
    <n v="2026"/>
    <m/>
  </r>
  <r>
    <x v="1"/>
    <x v="90"/>
    <x v="3"/>
    <s v="CUSTOMER = 3972500 DEAL AMT = 1250 DEAL CCY = SAR TAX CODE = 1 "/>
    <x v="327"/>
    <s v="TF253520001902"/>
    <x v="0"/>
    <n v="187.5"/>
    <n v="0"/>
    <x v="1"/>
    <s v="Received"/>
    <s v="SIEMENS Limited Company"/>
    <x v="12"/>
    <x v="5"/>
    <x v="27"/>
    <n v="2"/>
    <n v="2026"/>
    <m/>
  </r>
  <r>
    <x v="1"/>
    <x v="90"/>
    <x v="3"/>
    <s v="LC ACCEPTANCE COMMISSION FOR LC NO. TF253520001902\BNK"/>
    <x v="327"/>
    <s v="TF253520001902"/>
    <x v="0"/>
    <n v="1250"/>
    <n v="0"/>
    <x v="2"/>
    <s v="Received"/>
    <s v="SIEMENS Limited Company"/>
    <x v="12"/>
    <x v="5"/>
    <x v="27"/>
    <n v="2"/>
    <n v="2026"/>
    <m/>
  </r>
  <r>
    <x v="0"/>
    <x v="90"/>
    <x v="0"/>
    <s v="REF 000000JLC7000184,RB REF JLC7000184,VIA CORE SYSTEM,DATE-TIME 04/02-16:09:05, عن طريق النظام الآ لي ,VALUE DT 04/02/26"/>
    <x v="407"/>
    <s v=""/>
    <x v="0"/>
    <n v="5256.78"/>
    <n v="0"/>
    <x v="8"/>
    <s v="Received"/>
    <s v="Khorayef Industries"/>
    <x v="3"/>
    <x v="3"/>
    <x v="27"/>
    <n v="2"/>
    <n v="2026"/>
    <m/>
  </r>
  <r>
    <x v="0"/>
    <x v="90"/>
    <x v="0"/>
    <s v="REF 000000JLC7000193,RB REF JLC7000193,VIA CORE SYSTEM,DATE-TIME 04/02-16:03:43, عن طريق النظام الآ لي ,VALUE DT 04/02/26"/>
    <x v="408"/>
    <s v=""/>
    <x v="0"/>
    <n v="4218.58"/>
    <n v="0"/>
    <x v="8"/>
    <s v="Received"/>
    <s v="SCHNEIDER ELECTRIC SAUDI ARABIA CO"/>
    <x v="3"/>
    <x v="3"/>
    <x v="27"/>
    <n v="2"/>
    <n v="2026"/>
    <m/>
  </r>
  <r>
    <x v="0"/>
    <x v="90"/>
    <x v="0"/>
    <s v="REF 000000JLC7000183,RB REF JLC7000183,VIA CORE SYSTEM,DATE-TIME 04/02-16:20:38, عن طريق النظام الآ لي ,VALUE DT 04/02/26"/>
    <x v="409"/>
    <s v=""/>
    <x v="0"/>
    <n v="3180.39"/>
    <n v="0"/>
    <x v="8"/>
    <s v="Received"/>
    <s v="Riyadh Unity for Trading"/>
    <x v="3"/>
    <x v="3"/>
    <x v="27"/>
    <n v="2"/>
    <n v="2026"/>
    <m/>
  </r>
  <r>
    <x v="0"/>
    <x v="90"/>
    <x v="0"/>
    <s v="REF 000000JLC7000185,RB REF JLC7000185,VIA CORE SYSTEM,DATE-TIME 04/02-16:15:11, عن طريق النظام الآ لي ,VALUE DT 04/02/26"/>
    <x v="410"/>
    <s v=""/>
    <x v="0"/>
    <n v="3180.39"/>
    <n v="0"/>
    <x v="8"/>
    <s v="Received"/>
    <s v="SKM Air Conditioning Company"/>
    <x v="3"/>
    <x v="3"/>
    <x v="27"/>
    <n v="2"/>
    <n v="2026"/>
    <m/>
  </r>
  <r>
    <x v="0"/>
    <x v="90"/>
    <x v="0"/>
    <s v="REF 000000JLC7000182,RB REF JLC7000182,VIA CORE SYSTEM,DATE-TIME 04/02-16:12:58, عن طريق النظام الآ لي ,VALUE DT 04/02/26"/>
    <x v="411"/>
    <s v=""/>
    <x v="0"/>
    <n v="3180.39"/>
    <n v="0"/>
    <x v="8"/>
    <s v="Received"/>
    <s v="Mahmoud Altaheni And His Partners Trading Company"/>
    <x v="3"/>
    <x v="3"/>
    <x v="27"/>
    <n v="2"/>
    <n v="2026"/>
    <m/>
  </r>
  <r>
    <x v="0"/>
    <x v="90"/>
    <x v="0"/>
    <s v="REF 000000JLC7000187,RB REF JLC7000187,VIA CORE SYSTEM,DATE-TIME 04/02-16:10:49, عن طريق النظام الآ لي ,VALUE DT 04/02/26"/>
    <x v="412"/>
    <s v=""/>
    <x v="0"/>
    <n v="3180.39"/>
    <n v="0"/>
    <x v="8"/>
    <s v="Received"/>
    <s v="Electro Mechanical Supplies"/>
    <x v="3"/>
    <x v="3"/>
    <x v="27"/>
    <n v="2"/>
    <n v="2026"/>
    <m/>
  </r>
  <r>
    <x v="0"/>
    <x v="90"/>
    <x v="0"/>
    <s v="REF 000000JLC7000186,RB REF JLC7000186,VIA CORE SYSTEM,DATE-TIME 04/02-16:07:10, عن طريق النظام الآ لي ,VALUE DT 04/02/26"/>
    <x v="413"/>
    <s v=""/>
    <x v="0"/>
    <n v="3180.39"/>
    <n v="0"/>
    <x v="8"/>
    <s v="Received"/>
    <s v="IDEAL CALIBER COMPANY"/>
    <x v="3"/>
    <x v="3"/>
    <x v="27"/>
    <n v="2"/>
    <n v="2026"/>
    <m/>
  </r>
  <r>
    <x v="0"/>
    <x v="90"/>
    <x v="0"/>
    <s v="REF 000000JLC7000192,RB REF JLC7000192,VIA CORE SYSTEM,DATE-TIME 04/02-15:36:58, عن طريق النظام الآ لي ,VALUE DT 04/02/26"/>
    <x v="414"/>
    <s v=""/>
    <x v="0"/>
    <n v="3180.39"/>
    <n v="0"/>
    <x v="8"/>
    <s v="Received"/>
    <s v="Systemair For Electrical Equipment Co."/>
    <x v="3"/>
    <x v="3"/>
    <x v="27"/>
    <n v="2"/>
    <n v="2026"/>
    <m/>
  </r>
  <r>
    <x v="0"/>
    <x v="90"/>
    <x v="0"/>
    <s v="REF 000000JLC7000188,RB REF JLC7000188,VIA CORE SYSTEM,DATE-TIME 04/02-14:56:31, عن طريق النظام الآ لي ,VALUE DT 04/02/26"/>
    <x v="415"/>
    <s v=""/>
    <x v="0"/>
    <n v="3180.39"/>
    <n v="0"/>
    <x v="8"/>
    <s v="Received"/>
    <s v="Electric House Trading Company L.L.C."/>
    <x v="3"/>
    <x v="3"/>
    <x v="27"/>
    <n v="2"/>
    <n v="2026"/>
    <m/>
  </r>
  <r>
    <x v="3"/>
    <x v="90"/>
    <x v="6"/>
    <s v="IMP BILL AMEND. CHARGES DPBEPM212633WPM DCBWPM553808"/>
    <x v="416"/>
    <s v="DPBEPM212633WPM"/>
    <x v="0"/>
    <n v="575"/>
    <n v="0"/>
    <x v="2"/>
    <s v="Received"/>
    <s v="Interplast Co Ltd"/>
    <x v="3"/>
    <x v="9"/>
    <x v="27"/>
    <n v="2"/>
    <n v="2026"/>
    <m/>
  </r>
  <r>
    <x v="3"/>
    <x v="90"/>
    <x v="6"/>
    <s v="DPBCOR626724WPM DCBWPM563043"/>
    <x v="249"/>
    <s v="DPBCOR626724WPM"/>
    <x v="0"/>
    <n v="73226.539999999994"/>
    <n v="0"/>
    <x v="4"/>
    <s v="Received"/>
    <s v="Systemair For Electrical Equipment Co."/>
    <x v="3"/>
    <x v="8"/>
    <x v="27"/>
    <n v="2"/>
    <n v="2026"/>
    <m/>
  </r>
  <r>
    <x v="3"/>
    <x v="90"/>
    <x v="6"/>
    <s v="DPBCOR626146WPM DCBWPM558775"/>
    <x v="197"/>
    <s v="DPBCOR626146WPM"/>
    <x v="0"/>
    <n v="20278.96"/>
    <n v="0"/>
    <x v="4"/>
    <s v="Received"/>
    <s v="Brooq Al-Amaan Trading Company"/>
    <x v="3"/>
    <x v="9"/>
    <x v="27"/>
    <n v="2"/>
    <n v="2026"/>
    <m/>
  </r>
  <r>
    <x v="3"/>
    <x v="90"/>
    <x v="5"/>
    <s v="DPBCOR625929WPM DCBWPM566639"/>
    <x v="228"/>
    <s v="DPBCOR625929WPM"/>
    <x v="0"/>
    <n v="550000"/>
    <n v="0"/>
    <x v="4"/>
    <s v="Received"/>
    <s v="MARIAM TRADING CO. &amp; PARTNER "/>
    <x v="3"/>
    <x v="9"/>
    <x v="27"/>
    <n v="2"/>
    <n v="2026"/>
    <m/>
  </r>
  <r>
    <x v="3"/>
    <x v="90"/>
    <x v="5"/>
    <s v="DPBEPM625846WPM DCBWPM563067"/>
    <x v="232"/>
    <s v="DPBEPM625846WPM"/>
    <x v="0"/>
    <n v="456260.2"/>
    <n v="0"/>
    <x v="4"/>
    <s v="Received"/>
    <s v="Fawaz Refrigeration &amp; Air Conditioning Cont. Co. LLC"/>
    <x v="3"/>
    <x v="8"/>
    <x v="27"/>
    <n v="2"/>
    <n v="2026"/>
    <m/>
  </r>
  <r>
    <x v="3"/>
    <x v="90"/>
    <x v="5"/>
    <s v="DPBEPM626288WPM DCBWPM563027"/>
    <x v="160"/>
    <s v="DPBEPM626288WPM"/>
    <x v="0"/>
    <n v="266294.28999999998"/>
    <n v="0"/>
    <x v="4"/>
    <s v="Received"/>
    <s v="JAD AL RIYADH Trading Co. Ltd"/>
    <x v="3"/>
    <x v="8"/>
    <x v="27"/>
    <n v="2"/>
    <n v="2026"/>
    <m/>
  </r>
  <r>
    <x v="3"/>
    <x v="90"/>
    <x v="5"/>
    <s v="DPBEPM621179WPM DCBWPM563017"/>
    <x v="388"/>
    <s v="DPBEPM621179WPM"/>
    <x v="0"/>
    <n v="1156440.1000000001"/>
    <n v="0"/>
    <x v="4"/>
    <s v="Received"/>
    <s v="Atlas Industrial Equipment Co."/>
    <x v="3"/>
    <x v="8"/>
    <x v="27"/>
    <n v="2"/>
    <n v="2026"/>
    <m/>
  </r>
  <r>
    <x v="5"/>
    <x v="90"/>
    <x v="9"/>
    <s v="TI Bill Settled                                                       _x000a_POC002                                                                _x000a_At Bank AlJazira                                                      _x000a_CORPORATE BANKING DEPT-JEDDAH                                         _x000a_Date 16-08-1447(H) Time 11.52.48                                      _x000a_Reference ILC-0840-25-8160                                            _x000a_"/>
    <x v="311"/>
    <s v=""/>
    <x v="0"/>
    <n v="251134"/>
    <n v="0"/>
    <x v="4"/>
    <s v="Received"/>
    <s v="United Park Co."/>
    <x v="3"/>
    <x v="10"/>
    <x v="27"/>
    <n v="2"/>
    <n v="2026"/>
    <m/>
  </r>
  <r>
    <x v="5"/>
    <x v="90"/>
    <x v="9"/>
    <s v="Dr TI ILC Comm/Other Charges                                          _x000a_AMD002-288248384                                                      _x000a_At Bank Aljazira                                                      _x000a_ CORPORATE BANKING DEPT-JEDDAH                                        _x000a_Exchange Rate 1.0                                                     _x000a_Date 16-08-1447(H) Time 14.57.19                                      _x000a_Reference ILC-0840-25-8164                                            _x000a_Value Date 16-08-1447(H)                                              _x000a_Fee Collected By Bank AlJazira                                        _x000a_"/>
    <x v="312"/>
    <s v=""/>
    <x v="0"/>
    <n v="200"/>
    <n v="0"/>
    <x v="5"/>
    <s v="Received"/>
    <s v="Mohammed Ramadan Shat Factory"/>
    <x v="3"/>
    <x v="10"/>
    <x v="27"/>
    <n v="2"/>
    <n v="2026"/>
    <m/>
  </r>
  <r>
    <x v="5"/>
    <x v="90"/>
    <x v="9"/>
    <s v="Value Added Tax                                                       _x000a_On SWIFT charges                                                      _x000a_15% of SAR200.00                                                      _x000a_Through CORPORATE BANKING DEPT-JEDDAH                                 _x000a_Date 16-08-1447(H) Time 14.57.19                                      _x000a_Reference ILC-0840-25-8164                                            _x000a_At Bank Aljazira                                                      _x000a_Exchange Rate 1.0                                                     _x000a_"/>
    <x v="312"/>
    <s v=""/>
    <x v="0"/>
    <n v="30"/>
    <n v="0"/>
    <x v="1"/>
    <s v="Received"/>
    <s v="Mohammed Ramadan Shat Factory"/>
    <x v="3"/>
    <x v="10"/>
    <x v="27"/>
    <n v="2"/>
    <n v="2026"/>
    <m/>
  </r>
  <r>
    <x v="5"/>
    <x v="90"/>
    <x v="9"/>
    <s v="Dr TI ILC Comm/Other Charges                                          _x000a_AMD002-288248386                                                      _x000a_At Bank Aljazira                                                      _x000a_ CORPORATE BANKING DEPT-JEDDAH                                        _x000a_Exchange Rate 1.0                                                     _x000a_Date 16-08-1447(H) Time 14.57.20                                      _x000a_Reference ILC-0840-25-8164                                            _x000a_Value Date 16-08-1447(H)                                              _x000a_Fee Collected By Bank AlJazira                                        _x000a_"/>
    <x v="312"/>
    <s v=""/>
    <x v="0"/>
    <n v="626.44000000000005"/>
    <n v="0"/>
    <x v="5"/>
    <s v="Received"/>
    <s v="Mohammed Ramadan Shat Factory"/>
    <x v="3"/>
    <x v="10"/>
    <x v="27"/>
    <n v="2"/>
    <n v="2026"/>
    <m/>
  </r>
  <r>
    <x v="5"/>
    <x v="90"/>
    <x v="9"/>
    <s v="Value Added Tax                                                       _x000a_On ILC Commission                                                     _x000a_15% of SAR626.44                                                      _x000a_Through CORPORATE BANKING DEPT-JEDDAH                                 _x000a_Date 16-08-1447(H) Time 14.57.20                                      _x000a_Reference ILC-0840-25-8164                                            _x000a_At Bank Aljazira                                                      _x000a_Exchange Rate 1.0                                                     _x000a_"/>
    <x v="312"/>
    <s v=""/>
    <x v="0"/>
    <n v="93.97"/>
    <n v="0"/>
    <x v="1"/>
    <s v="Received"/>
    <s v="Mohammed Ramadan Shat Factory"/>
    <x v="3"/>
    <x v="10"/>
    <x v="27"/>
    <n v="2"/>
    <n v="2026"/>
    <m/>
  </r>
  <r>
    <x v="5"/>
    <x v="90"/>
    <x v="9"/>
    <s v="Dr TI ILC Comm/Other Charges                                          _x000a_AMD002-288247432                                                      _x000a_At Bank Aljazira                                                      _x000a_ CORPORATE BANKING DEPT-JEDDAH                                        _x000a_Exchange Rate 1.0                                                     _x000a_Date 16-08-1447(H) Time 15.07.41                                      _x000a_Reference ILC-0840-25-8166                                            _x000a_Value Date 16-08-1447(H)                                              _x000a_Fee Collected By Bank AlJazira                                        _x000a_"/>
    <x v="309"/>
    <s v=""/>
    <x v="0"/>
    <n v="200"/>
    <n v="0"/>
    <x v="5"/>
    <s v="Received"/>
    <s v="SAUDI HEPCO CO LTD"/>
    <x v="3"/>
    <x v="10"/>
    <x v="27"/>
    <n v="2"/>
    <n v="2026"/>
    <m/>
  </r>
  <r>
    <x v="5"/>
    <x v="90"/>
    <x v="9"/>
    <s v="Value Added Tax                                                       _x000a_On SWIFT charges                                                      _x000a_15% of SAR200.00                                                      _x000a_Through CORPORATE BANKING DEPT-JEDDAH                                 _x000a_Date 16-08-1447(H) Time 15.07.41                                      _x000a_Reference ILC-0840-25-8166                                            _x000a_At Bank Aljazira                                                      _x000a_Exchange Rate 1.0                                                     _x000a_"/>
    <x v="309"/>
    <s v=""/>
    <x v="0"/>
    <n v="30"/>
    <n v="0"/>
    <x v="1"/>
    <s v="Received"/>
    <s v="SAUDI HEPCO CO LTD"/>
    <x v="3"/>
    <x v="10"/>
    <x v="27"/>
    <n v="2"/>
    <n v="2026"/>
    <m/>
  </r>
  <r>
    <x v="5"/>
    <x v="90"/>
    <x v="9"/>
    <s v="Dr TI ILC Comm/Other Charges                                          _x000a_AMD002-288247434                                                      _x000a_At Bank Aljazira                                                      _x000a_ CORPORATE BANKING DEPT-JEDDAH                                        _x000a_Exchange Rate 1.0                                                     _x000a_Date 16-08-1447(H) Time 15.07.41                                      _x000a_Reference ILC-0840-25-8166                                            _x000a_Value Date 16-08-1447(H)                                              _x000a_Fee Collected By Bank AlJazira                                        _x000a_"/>
    <x v="309"/>
    <s v=""/>
    <x v="0"/>
    <n v="500"/>
    <n v="0"/>
    <x v="5"/>
    <s v="Received"/>
    <s v="SAUDI HEPCO CO LTD"/>
    <x v="3"/>
    <x v="10"/>
    <x v="27"/>
    <n v="2"/>
    <n v="2026"/>
    <m/>
  </r>
  <r>
    <x v="5"/>
    <x v="90"/>
    <x v="9"/>
    <s v="Value Added Tax                                                       _x000a_On ILC Commission                                                     _x000a_15% of SAR500.00                                                      _x000a_Through CORPORATE BANKING DEPT-JEDDAH                                 _x000a_Date 16-08-1447(H) Time 15.07.42                                      _x000a_Reference ILC-0840-25-8166                                            _x000a_At Bank Aljazira                                                      _x000a_Exchange Rate 1.0                                                     _x000a_"/>
    <x v="309"/>
    <s v=""/>
    <x v="0"/>
    <n v="75"/>
    <n v="0"/>
    <x v="1"/>
    <s v="Received"/>
    <s v="SAUDI HEPCO CO LTD"/>
    <x v="3"/>
    <x v="10"/>
    <x v="27"/>
    <n v="2"/>
    <n v="2026"/>
    <m/>
  </r>
  <r>
    <x v="3"/>
    <x v="91"/>
    <x v="6"/>
    <s v="DPBCOR626203WPM DCBWPM562604"/>
    <x v="258"/>
    <s v="DPBCOR626203WPM"/>
    <x v="0"/>
    <n v="137792.10999999999"/>
    <n v="0"/>
    <x v="4"/>
    <s v="Received"/>
    <s v="BROOQ ALAMAAN TRAD COMPANY"/>
    <x v="3"/>
    <x v="9"/>
    <x v="27"/>
    <n v="2"/>
    <n v="2026"/>
    <m/>
  </r>
  <r>
    <x v="5"/>
    <x v="91"/>
    <x v="9"/>
    <s v="Dr TI ILC Comm/Other Charges                                          _x000a_POC001-288342971                                                      _x000a_At Bank Aljazira                                                      _x000a_ CORPORATE BANKING DEPT-JEDDAH                                        _x000a_Date 17-08-1447(H) Time 11.22.27                                      _x000a_Reference ILC-0840-26-8819                                            _x000a_Value Date 17-08-1447(H)                                              _x000a_Fee Collected By Bank AlJazira                                        _x000a_"/>
    <x v="365"/>
    <s v=""/>
    <x v="0"/>
    <n v="100"/>
    <n v="0"/>
    <x v="2"/>
    <s v="Received"/>
    <s v="United Park Co."/>
    <x v="3"/>
    <x v="10"/>
    <x v="27"/>
    <n v="2"/>
    <n v="2026"/>
    <m/>
  </r>
  <r>
    <x v="5"/>
    <x v="91"/>
    <x v="9"/>
    <s v="Value Added Tax                                                       _x000a_On ILC Acceptance Comm.                                               _x000a_15% of SAR100.00                                                      _x000a_Through CORPORATE BANKING DEPT-JEDDAH                                 _x000a_Date 17-08-1447(H) Time 11.22.27                                      _x000a_Reference ILC-0840-26-8819                                            _x000a_At Bank Aljazira                                                      _x000a_"/>
    <x v="365"/>
    <s v=""/>
    <x v="0"/>
    <n v="15"/>
    <n v="0"/>
    <x v="1"/>
    <s v="Received"/>
    <s v="United Park Co."/>
    <x v="3"/>
    <x v="10"/>
    <x v="27"/>
    <n v="2"/>
    <n v="2026"/>
    <m/>
  </r>
  <r>
    <x v="5"/>
    <x v="91"/>
    <x v="9"/>
    <s v="Dr TI ILC Comm/Other Charges                                          _x000a_POC001-288343105                                                      _x000a_At Bank Aljazira                                                      _x000a_ CORPORATE BANKING DEPT-JEDDAH                                        _x000a_Date 17-08-1447(H) Time 11.22.27                                      _x000a_Reference ILC-0840-26-8819                                            _x000a_Value Date 17-08-1447(H)                                              _x000a_Fee Collected By Bank AlJazira                                        _x000a_"/>
    <x v="365"/>
    <s v=""/>
    <x v="0"/>
    <n v="315"/>
    <n v="0"/>
    <x v="2"/>
    <s v="Received"/>
    <s v="United Park Co."/>
    <x v="3"/>
    <x v="10"/>
    <x v="27"/>
    <n v="2"/>
    <n v="2026"/>
    <m/>
  </r>
  <r>
    <x v="5"/>
    <x v="91"/>
    <x v="9"/>
    <s v="Value Added Tax                                                       _x000a_On ILC Acceptance Comm.                                               _x000a_15% of SAR315.00                                                      _x000a_Through CORPORATE BANKING DEPT-JEDDAH                                 _x000a_Date 17-08-1447(H) Time 11.22.28                                      _x000a_Reference ILC-0840-26-8819                                            _x000a_At Bank Aljazira                                                      _x000a_"/>
    <x v="365"/>
    <s v=""/>
    <x v="0"/>
    <n v="47.25"/>
    <n v="0"/>
    <x v="1"/>
    <s v="Received"/>
    <s v="United Park Co."/>
    <x v="3"/>
    <x v="10"/>
    <x v="27"/>
    <n v="2"/>
    <n v="2026"/>
    <m/>
  </r>
  <r>
    <x v="5"/>
    <x v="91"/>
    <x v="9"/>
    <s v="Dr TI ILC Comm/Other Charges                                          _x000a_POC001-288343109                                                      _x000a_At Bank Aljazira                                                      _x000a_ CORPORATE BANKING DEPT-JEDDAH                                        _x000a_Date 17-08-1447(H) Time 11.22.28                                      _x000a_Reference ILC-0840-26-8819                                            _x000a_Value Date 17-08-1447(H)                                              _x000a_Fee Collected By Bank AlJazira                                        _x000a_"/>
    <x v="365"/>
    <s v=""/>
    <x v="0"/>
    <n v="200"/>
    <n v="0"/>
    <x v="2"/>
    <s v="Received"/>
    <s v="United Park Co."/>
    <x v="3"/>
    <x v="10"/>
    <x v="27"/>
    <n v="2"/>
    <n v="2026"/>
    <m/>
  </r>
  <r>
    <x v="5"/>
    <x v="91"/>
    <x v="9"/>
    <s v="Value Added Tax                                                       _x000a_On SWIFT charges                                                      _x000a_15% of SAR200.00                                                      _x000a_Through CORPORATE BANKING DEPT-JEDDAH                                 _x000a_Date 17-08-1447(H) Time 11.22.28                                      _x000a_Reference ILC-0840-26-8819                                            _x000a_At Bank Aljazira                                                      _x000a_"/>
    <x v="365"/>
    <s v=""/>
    <x v="0"/>
    <n v="30"/>
    <n v="0"/>
    <x v="1"/>
    <s v="Received"/>
    <s v="United Park Co."/>
    <x v="3"/>
    <x v="10"/>
    <x v="27"/>
    <n v="2"/>
    <n v="2026"/>
    <m/>
  </r>
  <r>
    <x v="1"/>
    <x v="92"/>
    <x v="3"/>
    <s v="CUSTOMER = 3972500 DEAL AMT = 2605.68 DEAL CCY = SAR TAX CODE = 1 "/>
    <x v="141"/>
    <s v="TF2523000034"/>
    <x v="0"/>
    <n v="37.5"/>
    <n v="0"/>
    <x v="1"/>
    <s v="Received"/>
    <s v="Al Arabia Construction &amp; Building Co."/>
    <x v="0"/>
    <x v="7"/>
    <x v="27"/>
    <n v="2"/>
    <n v="2026"/>
    <m/>
  </r>
  <r>
    <x v="1"/>
    <x v="92"/>
    <x v="3"/>
    <s v="LC SWIFT CHARGES FOR LC NO. TF2523000034\BNK"/>
    <x v="141"/>
    <s v="TF2523000034"/>
    <x v="0"/>
    <n v="250"/>
    <n v="0"/>
    <x v="3"/>
    <s v="Received"/>
    <s v="Al Arabia Construction &amp; Building Co."/>
    <x v="0"/>
    <x v="7"/>
    <x v="27"/>
    <n v="2"/>
    <n v="2026"/>
    <m/>
  </r>
  <r>
    <x v="1"/>
    <x v="92"/>
    <x v="3"/>
    <s v="CUSTOMER = 3972500 DEAL AMT = 2605.68 DEAL CCY = SAR TAX CODE = 1 "/>
    <x v="141"/>
    <s v="TF2523000034"/>
    <x v="0"/>
    <n v="390.85"/>
    <n v="0"/>
    <x v="1"/>
    <s v="Received"/>
    <s v="Al Arabia Construction &amp; Building Co."/>
    <x v="0"/>
    <x v="7"/>
    <x v="27"/>
    <n v="2"/>
    <n v="2026"/>
    <m/>
  </r>
  <r>
    <x v="1"/>
    <x v="92"/>
    <x v="3"/>
    <s v="LC AMENDMENT COMMISSION FOR LC NO. TF2523000034\BNK"/>
    <x v="141"/>
    <s v="TF2523000034"/>
    <x v="0"/>
    <n v="2605.6799999999998"/>
    <n v="0"/>
    <x v="5"/>
    <s v="Received"/>
    <s v="Al Arabia Construction &amp; Building Co."/>
    <x v="0"/>
    <x v="7"/>
    <x v="27"/>
    <n v="2"/>
    <n v="2026"/>
    <m/>
  </r>
  <r>
    <x v="1"/>
    <x v="92"/>
    <x v="3"/>
    <s v="CUSTOMER = 3972500 DEAL AMT = 14151.25 DEAL CCY = SAR TAX CODE = 1 "/>
    <x v="111"/>
    <s v="TF2527100024"/>
    <x v="0"/>
    <n v="37.5"/>
    <n v="0"/>
    <x v="1"/>
    <s v="Received"/>
    <s v="Saudi Perfect Pumps Trading &amp; Manufacturing Company"/>
    <x v="0"/>
    <x v="7"/>
    <x v="27"/>
    <n v="2"/>
    <n v="2026"/>
    <m/>
  </r>
  <r>
    <x v="1"/>
    <x v="92"/>
    <x v="3"/>
    <s v="LC SWIFT CHARGES FOR LC NO. TF2527100024\BNK"/>
    <x v="111"/>
    <s v="TF2527100024"/>
    <x v="0"/>
    <n v="250"/>
    <n v="0"/>
    <x v="3"/>
    <s v="Received"/>
    <s v="Saudi Perfect Pumps Trading &amp; Manufacturing Company"/>
    <x v="0"/>
    <x v="7"/>
    <x v="27"/>
    <n v="2"/>
    <n v="2026"/>
    <m/>
  </r>
  <r>
    <x v="1"/>
    <x v="92"/>
    <x v="3"/>
    <s v="CUSTOMER = 3972500 DEAL AMT = 14151.25 DEAL CCY = SAR TAX CODE = 1 "/>
    <x v="111"/>
    <s v="TF2527100024"/>
    <x v="0"/>
    <n v="2122.69"/>
    <n v="0"/>
    <x v="1"/>
    <s v="Received"/>
    <s v="Saudi Perfect Pumps Trading &amp; Manufacturing Company"/>
    <x v="0"/>
    <x v="7"/>
    <x v="27"/>
    <n v="2"/>
    <n v="2026"/>
    <m/>
  </r>
  <r>
    <x v="1"/>
    <x v="92"/>
    <x v="3"/>
    <s v="LC AMENDMENT COMMISSION FOR LC NO. TF2527100024\BNK"/>
    <x v="111"/>
    <s v="TF2527100024"/>
    <x v="0"/>
    <n v="14151.25"/>
    <n v="0"/>
    <x v="5"/>
    <s v="Received"/>
    <s v="Saudi Perfect Pumps Trading &amp; Manufacturing Company"/>
    <x v="0"/>
    <x v="7"/>
    <x v="27"/>
    <n v="2"/>
    <n v="2026"/>
    <m/>
  </r>
  <r>
    <x v="1"/>
    <x v="92"/>
    <x v="3"/>
    <s v="CUSTOMER = 3972500 DEAL AMT = 300.00 DEAL CCY = EUR TAX CODE = 1 "/>
    <x v="336"/>
    <s v="TF2535900016"/>
    <x v="0"/>
    <n v="45"/>
    <n v="0"/>
    <x v="1"/>
    <s v="Received"/>
    <s v="BBH-CHEMTROL INTERNATIONAL ORGANIZATION S.L"/>
    <x v="10"/>
    <x v="5"/>
    <x v="27"/>
    <n v="2"/>
    <n v="2026"/>
    <m/>
  </r>
  <r>
    <x v="1"/>
    <x v="92"/>
    <x v="3"/>
    <s v="LC COURIER CHARGES FOR LC NO. TF2535900016\BNK"/>
    <x v="336"/>
    <s v="TF2535900016"/>
    <x v="0"/>
    <n v="300"/>
    <n v="0"/>
    <x v="24"/>
    <s v="Received"/>
    <s v="BBH-CHEMTROL INTERNATIONAL ORGANIZATION S.L"/>
    <x v="10"/>
    <x v="5"/>
    <x v="27"/>
    <n v="2"/>
    <n v="2026"/>
    <m/>
  </r>
  <r>
    <x v="0"/>
    <x v="92"/>
    <x v="0"/>
    <s v="REF 000000JLC7000186,RB REF JLC7000186,VIA CORE SYSTEM,DATE-TIME 08/02-18:05:31, عن طريق النظام الآ لي ,VALUE DT 08/02/26"/>
    <x v="413"/>
    <s v=""/>
    <x v="0"/>
    <n v="816.5"/>
    <n v="0"/>
    <x v="6"/>
    <s v="Received"/>
    <s v="IDEAL CALIBER COMPANY"/>
    <x v="3"/>
    <x v="3"/>
    <x v="27"/>
    <n v="2"/>
    <n v="2026"/>
    <m/>
  </r>
  <r>
    <x v="0"/>
    <x v="92"/>
    <x v="14"/>
    <s v="RB REF JLG6902265,VIA CORE SYSTEM,DATE-TIME 08/02-10:12:00, عن طريق النظام الآ لي ,VALUE DT 08/02/26"/>
    <x v="417"/>
    <s v=""/>
    <x v="0"/>
    <n v="15315.7"/>
    <n v="0"/>
    <x v="17"/>
    <s v="Received"/>
    <s v="Performance - JEDDAH AIRPORTS COMPANY - JEDCO"/>
    <x v="10"/>
    <x v="2"/>
    <x v="27"/>
    <n v="2"/>
    <n v="2026"/>
    <m/>
  </r>
  <r>
    <x v="0"/>
    <x v="92"/>
    <x v="1"/>
    <s v="RB REF JLG6800803,VIA CORE SYSTEM,DATE-TIME 08/02-17:13:03, عن طريق النظام الآ لي ,VALUE DT 08/02/26"/>
    <x v="191"/>
    <s v=""/>
    <x v="0"/>
    <n v="75252.55"/>
    <n v="0"/>
    <x v="17"/>
    <s v="Received"/>
    <s v="Advance - JEDDAH CENTRAL DEVELOPMENT COMPANY (JCD) "/>
    <x v="1"/>
    <x v="13"/>
    <x v="27"/>
    <n v="2"/>
    <n v="2026"/>
    <m/>
  </r>
  <r>
    <x v="2"/>
    <x v="92"/>
    <x v="4"/>
    <s v="CITY:Jeddah 6132226J210868002"/>
    <x v="226"/>
    <s v="J210868002"/>
    <x v="0"/>
    <n v="6331957.5"/>
    <n v="0"/>
    <x v="4"/>
    <s v="Received"/>
    <s v="Al Yamamah Company for Reinforcing Steel Bars"/>
    <x v="0"/>
    <x v="3"/>
    <x v="27"/>
    <n v="2"/>
    <n v="2026"/>
    <m/>
  </r>
  <r>
    <x v="3"/>
    <x v="92"/>
    <x v="6"/>
    <s v="IMP BILL COMM DPBCOR213004WPM DCBWPM570839"/>
    <x v="340"/>
    <s v="DPBCOR213004WPM"/>
    <x v="0"/>
    <n v="5610.71"/>
    <n v="0"/>
    <x v="2"/>
    <s v="Received"/>
    <s v="MASQ FOR ELECTRICAL TOOLS CO"/>
    <x v="3"/>
    <x v="9"/>
    <x v="27"/>
    <n v="2"/>
    <n v="2026"/>
    <m/>
  </r>
  <r>
    <x v="5"/>
    <x v="92"/>
    <x v="9"/>
    <s v="TI Bill Settled                                                       _x000a_POC002                                                                _x000a_At Bank AlJazira                                                      _x000a_CORPORATE BANKING DEPT-JEDDAH                                         _x000a_Date 20-08-1447(H) Time 14.11.51                                      _x000a_Reference ILC-0840-25-8470                                            _x000a_"/>
    <x v="145"/>
    <s v=""/>
    <x v="0"/>
    <n v="526125"/>
    <n v="0"/>
    <x v="4"/>
    <s v="Received"/>
    <s v="Saudi Benaa Company For Building Materials"/>
    <x v="3"/>
    <x v="10"/>
    <x v="27"/>
    <n v="2"/>
    <n v="2026"/>
    <m/>
  </r>
  <r>
    <x v="0"/>
    <x v="93"/>
    <x v="0"/>
    <s v="REF 000000JLC7002384,RB REF JLC7002384,VIA CORE SYSTEM,DATE-TIME 09/02-13:01:48, عن طريق النظام الآ لي ,VALUE DT 09/02/26"/>
    <x v="346"/>
    <s v=""/>
    <x v="0"/>
    <n v="2156.25"/>
    <n v="0"/>
    <x v="2"/>
    <s v="Received"/>
    <s v="National Marketing Est. Co. Ltd"/>
    <x v="3"/>
    <x v="3"/>
    <x v="27"/>
    <n v="2"/>
    <n v="2026"/>
    <m/>
  </r>
  <r>
    <x v="0"/>
    <x v="93"/>
    <x v="0"/>
    <s v="RB REF JLG7000450,VIA CORE SYSTEM,DATE-TIME 09/02-10:19:50, عن طريق النظام الآ لي ,VALUE DT 09/02/26"/>
    <x v="418"/>
    <s v=""/>
    <x v="0"/>
    <n v="14376.15"/>
    <n v="0"/>
    <x v="31"/>
    <s v="Received"/>
    <s v="Bid - KING SALMAN INTERNATIONAL AIRPORT (Frst Fix)"/>
    <x v="14"/>
    <x v="2"/>
    <x v="27"/>
    <n v="2"/>
    <n v="2026"/>
    <m/>
  </r>
  <r>
    <x v="0"/>
    <x v="93"/>
    <x v="0"/>
    <s v="REF 000000JLC6901431,RB REF JLC6901431,VIA CORE SYSTEM,DATE-TIME 09/02-14:45:53, عن طريق النظام الآ لي ,VALUE DT 09/02/26"/>
    <x v="95"/>
    <s v=""/>
    <x v="0"/>
    <n v="2355259.1800000002"/>
    <n v="0"/>
    <x v="4"/>
    <s v="Received"/>
    <s v="Mat Filtrasyon Teknolojeleri A.S"/>
    <x v="0"/>
    <x v="3"/>
    <x v="3"/>
    <n v="2"/>
    <n v="2026"/>
    <m/>
  </r>
  <r>
    <x v="0"/>
    <x v="93"/>
    <x v="0"/>
    <s v="RB REF JLG6900058,VIA CORE SYSTEM,DATE-TIME 09/02-15:32:26, عن طريق النظام الآ لي ,VALUE DT 09/02/26"/>
    <x v="367"/>
    <s v=""/>
    <x v="0"/>
    <n v="4312.5"/>
    <n v="0"/>
    <x v="32"/>
    <s v="Received"/>
    <s v="Performance - CROWN PRINCE PRIVATE AFFAIRS (CPPA)"/>
    <x v="2"/>
    <x v="17"/>
    <x v="27"/>
    <n v="2"/>
    <n v="2026"/>
    <m/>
  </r>
  <r>
    <x v="0"/>
    <x v="93"/>
    <x v="0"/>
    <s v="RB REF JLG6601246,VIA CORE SYSTEM,DATE-TIME 09/02-16:10:44, عن طريق النظام الآ لي ,VALUE DT 09/02/26"/>
    <x v="223"/>
    <s v=""/>
    <x v="0"/>
    <n v="43959.9"/>
    <n v="0"/>
    <x v="33"/>
    <s v="Received"/>
    <s v="Advance - JEDDAH CENTRAL DEVELOPMENT COMPANY (JCD) "/>
    <x v="1"/>
    <x v="13"/>
    <x v="27"/>
    <n v="2"/>
    <n v="2026"/>
    <m/>
  </r>
  <r>
    <x v="0"/>
    <x v="93"/>
    <x v="0"/>
    <s v="RB REF JLG6800853,VIA CORE SYSTEM,DATE-TIME 09/02-16:56:12, عن طريق النظام الآ لي ,VALUE DT 09/02/26"/>
    <x v="419"/>
    <s v=""/>
    <x v="0"/>
    <n v="46004.6"/>
    <n v="0"/>
    <x v="34"/>
    <s v="Received"/>
    <s v="Retention - SAUDI ENTERTAINMENT VENTURES COMPANY (SEVEN)"/>
    <x v="1"/>
    <x v="1"/>
    <x v="27"/>
    <n v="2"/>
    <n v="2026"/>
    <m/>
  </r>
  <r>
    <x v="0"/>
    <x v="93"/>
    <x v="0"/>
    <s v="RB REF JLG6602654,VIA CORE SYSTEM,DATE-TIME 09/02-16:09:48, عن طريق النظام الآ لي ,VALUE DT 09/02/26"/>
    <x v="224"/>
    <s v=""/>
    <x v="0"/>
    <n v="285131"/>
    <n v="0"/>
    <x v="32"/>
    <s v="Received"/>
    <s v="Performance - JEDDAH CENTRAL DEVELOPMENT COMPANY"/>
    <x v="1"/>
    <x v="13"/>
    <x v="27"/>
    <n v="2"/>
    <n v="2026"/>
    <m/>
  </r>
  <r>
    <x v="5"/>
    <x v="93"/>
    <x v="9"/>
    <s v="TI Bill Settled                                                       _x000a_POC003                                                                _x000a_At Bank AlJazira                                                      _x000a_CORPORATE BANKING DEPT-JEDDAH                                         _x000a_Date 21-08-1447(H) Time 10.19.24                                      _x000a_Reference ILC-0840-25-8163                                            _x000a_"/>
    <x v="341"/>
    <s v=""/>
    <x v="0"/>
    <n v="70863"/>
    <n v="0"/>
    <x v="4"/>
    <s v="Received"/>
    <s v="EALAA FOR GENERAL CONTRACTING CO"/>
    <x v="3"/>
    <x v="10"/>
    <x v="27"/>
    <n v="2"/>
    <n v="2026"/>
    <m/>
  </r>
  <r>
    <x v="1"/>
    <x v="94"/>
    <x v="3"/>
    <s v="CUSTOMER = 3972500 DEAL AMT = 1250 DEAL CCY = SAR TAX CODE = 1 "/>
    <x v="213"/>
    <s v="TF253160005601"/>
    <x v="0"/>
    <n v="187.5"/>
    <n v="0"/>
    <x v="1"/>
    <s v="Received"/>
    <s v="Mohammad Saleh Bahareth co."/>
    <x v="3"/>
    <x v="5"/>
    <x v="27"/>
    <n v="2"/>
    <n v="2026"/>
    <m/>
  </r>
  <r>
    <x v="1"/>
    <x v="94"/>
    <x v="3"/>
    <s v="LC ACCEPTANCE COMMISSION FOR LC NO. TF253160005601\BNK"/>
    <x v="213"/>
    <s v="TF253160005601"/>
    <x v="0"/>
    <n v="1250"/>
    <n v="0"/>
    <x v="2"/>
    <s v="Received"/>
    <s v="Mohammad Saleh Bahareth co."/>
    <x v="3"/>
    <x v="5"/>
    <x v="27"/>
    <n v="2"/>
    <n v="2026"/>
    <m/>
  </r>
  <r>
    <x v="0"/>
    <x v="94"/>
    <x v="0"/>
    <s v="RB REF JLG7000450,VIA CORE SYSTEM,DATE-TIME 10/02-13:20:54, عن طريق النظام الآ لي ,VALUE DT 10/02/26"/>
    <x v="418"/>
    <s v=""/>
    <x v="0"/>
    <n v="7188.65"/>
    <n v="0"/>
    <x v="31"/>
    <s v="Received"/>
    <s v="Bid - KING SALMAN INTERNATIONAL AIRPORT (Frst Fix)"/>
    <x v="14"/>
    <x v="2"/>
    <x v="27"/>
    <n v="2"/>
    <n v="2026"/>
    <m/>
  </r>
  <r>
    <x v="2"/>
    <x v="94"/>
    <x v="4"/>
    <s v="CITY:Jeddah 6132226J210617007"/>
    <x v="42"/>
    <s v="J210617007"/>
    <x v="0"/>
    <n v="2366.69"/>
    <n v="0"/>
    <x v="2"/>
    <s v="Received"/>
    <s v="Al Arabia Construction &amp; Building Co."/>
    <x v="0"/>
    <x v="7"/>
    <x v="27"/>
    <n v="2"/>
    <n v="2026"/>
    <m/>
  </r>
  <r>
    <x v="2"/>
    <x v="94"/>
    <x v="4"/>
    <s v="CITY:Jeddah 6132226J211485001"/>
    <x v="192"/>
    <s v="J211485001"/>
    <x v="0"/>
    <n v="11269136.109999999"/>
    <n v="0"/>
    <x v="4"/>
    <s v="Received"/>
    <s v="ALNAFIE METAL INDUSTRIES CO LTD"/>
    <x v="8"/>
    <x v="11"/>
    <x v="27"/>
    <n v="2"/>
    <n v="2026"/>
    <m/>
  </r>
  <r>
    <x v="3"/>
    <x v="94"/>
    <x v="5"/>
    <s v="DPBCOR628476WPM DCBWPM565824"/>
    <x v="320"/>
    <s v="DPBCOR628476WPM"/>
    <x v="0"/>
    <n v="539548.79"/>
    <n v="0"/>
    <x v="4"/>
    <s v="Received"/>
    <s v="DAIKIN AIR CONDITIONING SAUDI ARABIA LLC "/>
    <x v="3"/>
    <x v="9"/>
    <x v="27"/>
    <n v="2"/>
    <n v="2026"/>
    <m/>
  </r>
  <r>
    <x v="1"/>
    <x v="95"/>
    <x v="3"/>
    <s v="CUSTOMER = 3972500 DEAL AMT = 75 DEAL CCY = SAR TAX CODE = 1 "/>
    <x v="189"/>
    <s v="TF252110004801"/>
    <x v="0"/>
    <n v="11.25"/>
    <n v="0"/>
    <x v="1"/>
    <s v="Received"/>
    <s v="AL-HADBANIA TRADING CO."/>
    <x v="3"/>
    <x v="5"/>
    <x v="27"/>
    <n v="2"/>
    <n v="2026"/>
    <m/>
  </r>
  <r>
    <x v="1"/>
    <x v="95"/>
    <x v="3"/>
    <s v="LC SWIFT CHARGES FOR LC NO. TF252110004801\BNK"/>
    <x v="189"/>
    <s v="TF252110004801"/>
    <x v="0"/>
    <n v="75"/>
    <n v="0"/>
    <x v="3"/>
    <s v="Received"/>
    <s v="AL-HADBANIA TRADING CO."/>
    <x v="3"/>
    <x v="5"/>
    <x v="27"/>
    <n v="2"/>
    <n v="2026"/>
    <m/>
  </r>
  <r>
    <x v="1"/>
    <x v="95"/>
    <x v="3"/>
    <s v="REIMBURSE UNDER LCS DR FOR LC NO. TF252110004801\BNK"/>
    <x v="189"/>
    <s v="TF252110004801"/>
    <x v="0"/>
    <n v="250000"/>
    <n v="0"/>
    <x v="4"/>
    <s v="Received"/>
    <s v="AL-HADBANIA TRADING CO."/>
    <x v="3"/>
    <x v="5"/>
    <x v="27"/>
    <n v="2"/>
    <n v="2026"/>
    <m/>
  </r>
  <r>
    <x v="1"/>
    <x v="95"/>
    <x v="3"/>
    <s v="CUSTOMER = 3972500 DEAL AMT = 31750.00 DEAL CCY = SAR TAX CODE = 1 "/>
    <x v="420"/>
    <s v="TF2604200011"/>
    <x v="0"/>
    <n v="30"/>
    <n v="0"/>
    <x v="1"/>
    <s v="Received"/>
    <e v="#N/A"/>
    <x v="7"/>
    <x v="12"/>
    <x v="27"/>
    <n v="2"/>
    <n v="2026"/>
    <m/>
  </r>
  <r>
    <x v="1"/>
    <x v="95"/>
    <x v="3"/>
    <s v="CUSTOMER = 3972500 DEAL AMT = 31750.00 DEAL CCY = SAR TAX CODE = 1 "/>
    <x v="420"/>
    <s v="TF2604200011"/>
    <x v="0"/>
    <n v="105"/>
    <n v="0"/>
    <x v="1"/>
    <s v="Received"/>
    <e v="#N/A"/>
    <x v="7"/>
    <x v="12"/>
    <x v="27"/>
    <n v="2"/>
    <n v="2026"/>
    <m/>
  </r>
  <r>
    <x v="1"/>
    <x v="95"/>
    <x v="3"/>
    <s v="LC COURIER CHARGES FOR LC NO. TF2604200011\BNK"/>
    <x v="420"/>
    <s v="TF2604200011"/>
    <x v="0"/>
    <n v="200"/>
    <n v="0"/>
    <x v="24"/>
    <s v="Received"/>
    <e v="#N/A"/>
    <x v="7"/>
    <x v="12"/>
    <x v="27"/>
    <n v="2"/>
    <n v="2026"/>
    <m/>
  </r>
  <r>
    <x v="1"/>
    <x v="95"/>
    <x v="3"/>
    <s v="LC SWIFT CHARGES FOR LC NO. TF2604200011\BNK"/>
    <x v="420"/>
    <s v="TF2604200011"/>
    <x v="0"/>
    <n v="700"/>
    <n v="0"/>
    <x v="3"/>
    <s v="Received"/>
    <e v="#N/A"/>
    <x v="7"/>
    <x v="12"/>
    <x v="27"/>
    <n v="2"/>
    <n v="2026"/>
    <m/>
  </r>
  <r>
    <x v="1"/>
    <x v="95"/>
    <x v="3"/>
    <s v="CUSTOMER = 3972500 DEAL AMT = 31750.00 DEAL CCY = SAR TAX CODE = 1 "/>
    <x v="420"/>
    <s v="TF2604200011"/>
    <x v="0"/>
    <n v="4762.5"/>
    <n v="0"/>
    <x v="1"/>
    <s v="Received"/>
    <e v="#N/A"/>
    <x v="7"/>
    <x v="12"/>
    <x v="27"/>
    <n v="2"/>
    <n v="2026"/>
    <m/>
  </r>
  <r>
    <x v="1"/>
    <x v="95"/>
    <x v="3"/>
    <s v="LC OPENING COMMISSION - DEBIT FOR LC NO. TF2604200011\BNK"/>
    <x v="420"/>
    <s v="TF2604200011"/>
    <x v="0"/>
    <n v="31750"/>
    <n v="0"/>
    <x v="8"/>
    <s v="Received"/>
    <e v="#N/A"/>
    <x v="7"/>
    <x v="12"/>
    <x v="27"/>
    <n v="2"/>
    <n v="2026"/>
    <m/>
  </r>
  <r>
    <x v="0"/>
    <x v="95"/>
    <x v="0"/>
    <s v="REF 000000JLC7000006,RB REF JLC7000006,VIA CORE SYSTEM,DATE-TIME 11/02-11:37:15, عن طريق النظام الآ لي ,VALUE DT 11/02/26"/>
    <x v="347"/>
    <s v=""/>
    <x v="0"/>
    <n v="1936.47"/>
    <n v="0"/>
    <x v="2"/>
    <s v="Received"/>
    <s v="AFKAR ALTATHBET TRADING COMPANY"/>
    <x v="3"/>
    <x v="3"/>
    <x v="27"/>
    <n v="2"/>
    <n v="2026"/>
    <m/>
  </r>
  <r>
    <x v="0"/>
    <x v="95"/>
    <x v="0"/>
    <s v="REF 000000JLC6901431,RB REF JLC6901431,VIA CORE SYSTEM,DATE-TIME 11/02-11:32:35, عن طريق النظام الآ لي ,VALUE DT 11/02/26"/>
    <x v="95"/>
    <s v=""/>
    <x v="0"/>
    <n v="9980.4"/>
    <n v="0"/>
    <x v="2"/>
    <s v="Received"/>
    <s v="Mat Filtrasyon Teknolojeleri A.S"/>
    <x v="0"/>
    <x v="3"/>
    <x v="3"/>
    <n v="2"/>
    <n v="2026"/>
    <m/>
  </r>
  <r>
    <x v="3"/>
    <x v="95"/>
    <x v="5"/>
    <s v="DPBEPM625553WPM DCBWPM566643"/>
    <x v="196"/>
    <s v="DPBEPM625553WPM"/>
    <x v="0"/>
    <n v="299950.92"/>
    <n v="0"/>
    <x v="4"/>
    <s v="Received"/>
    <s v="National Marketing Est. Co. Ltd. "/>
    <x v="3"/>
    <x v="9"/>
    <x v="27"/>
    <n v="2"/>
    <n v="2026"/>
    <m/>
  </r>
  <r>
    <x v="5"/>
    <x v="95"/>
    <x v="9"/>
    <s v="Dr TI LGI Commission (Earned)                                         _x000a_ISS001-289065909                                                      _x000a_At Bank AlJazira                                                      _x000a_CORPORATE BANKING DEPT-JEDDAH                                         _x000a_Date 23-08-1447(H) Time 15.36.15                                      _x000a_Reference LGI-0840-26-7783                                            _x000a_"/>
    <x v="421"/>
    <s v=""/>
    <x v="0"/>
    <n v="12500.01"/>
    <n v="0"/>
    <x v="16"/>
    <s v="Received"/>
    <s v="Bid - Diriyah Company"/>
    <x v="1"/>
    <x v="2"/>
    <x v="27"/>
    <n v="2"/>
    <n v="2026"/>
    <m/>
  </r>
  <r>
    <x v="5"/>
    <x v="95"/>
    <x v="9"/>
    <s v="Value Added Tax                                                       _x000a_On LGI ISSUANCE COMMISSION                                            _x000a_15% of SAR12,500.01                                                   _x000a_Through CORPORATE BANKING DEPT-JEDDAH                                 _x000a_Date 23-08-1447(H) Time 15.36.16                                      _x000a_Reference LGI-0840-26-7783                                            _x000a_At Bank Aljazira                                                      _x000a_Exchange Rate 1.0                                                     _x000a_"/>
    <x v="421"/>
    <s v=""/>
    <x v="0"/>
    <n v="1875"/>
    <n v="0"/>
    <x v="1"/>
    <s v="Received"/>
    <s v="Bid - Diriyah Company"/>
    <x v="1"/>
    <x v="2"/>
    <x v="27"/>
    <n v="2"/>
    <n v="2026"/>
    <m/>
  </r>
  <r>
    <x v="5"/>
    <x v="95"/>
    <x v="9"/>
    <s v="Dr TI LGI Comm/Other Charges                                          _x000a_ISS001-289065911                                                      _x000a_At Bank AlJazira                                                      _x000a_CORPORATE BANKING DEPT-JEDDAH                                         _x000a_Date 23-08-1447(H) Time 15.36.17                                      _x000a_Reference LGI-0840-26-7783                                            _x000a_"/>
    <x v="421"/>
    <s v=""/>
    <x v="0"/>
    <n v="35616.44"/>
    <n v="0"/>
    <x v="16"/>
    <s v="Received"/>
    <s v="Bid - Diriyah Company"/>
    <x v="1"/>
    <x v="2"/>
    <x v="27"/>
    <n v="2"/>
    <n v="2026"/>
    <m/>
  </r>
  <r>
    <x v="5"/>
    <x v="95"/>
    <x v="9"/>
    <s v="Value Added Tax                                                       _x000a_On LG Processing/Facility Fees                                        _x000a_15% of SAR35,616.44                                                   _x000a_Through CORPORATE BANKING DEPT-JEDDAH                                 _x000a_Date 23-08-1447(H) Time 15.36.17                                      _x000a_Reference LGI-0840-26-7783                                            _x000a_At Bank Aljazira                                                      _x000a_Exchange Rate 1.0                                                     _x000a_"/>
    <x v="421"/>
    <s v=""/>
    <x v="0"/>
    <n v="5342.47"/>
    <n v="0"/>
    <x v="1"/>
    <s v="Received"/>
    <s v="Bid - Diriyah Company"/>
    <x v="1"/>
    <x v="2"/>
    <x v="27"/>
    <n v="2"/>
    <n v="2026"/>
    <m/>
  </r>
  <r>
    <x v="0"/>
    <x v="96"/>
    <x v="1"/>
    <s v="REF JLG6800803,REF JLG6800803,VIA CORE SYSTEM,DATE-TIME 12/02-10:22:32, عن طريق النظام الآ لي ,VALUE DT 12/02/26"/>
    <x v="191"/>
    <s v=""/>
    <x v="0"/>
    <n v="0"/>
    <n v="25083.8"/>
    <x v="35"/>
    <s v="Received"/>
    <s v="Advance - JEDDAH CENTRAL DEVELOPMENT COMPANY (JCD) "/>
    <x v="1"/>
    <x v="13"/>
    <x v="27"/>
    <n v="2"/>
    <n v="2026"/>
    <m/>
  </r>
  <r>
    <x v="2"/>
    <x v="96"/>
    <x v="4"/>
    <s v="CITY:Jeddah 6132226J211945000"/>
    <x v="422"/>
    <s v="J211945000"/>
    <x v="0"/>
    <n v="7647.5"/>
    <n v="0"/>
    <x v="8"/>
    <s v="Received"/>
    <s v="BeWunder Turnkey Projects Arabia Contracting Company"/>
    <x v="10"/>
    <x v="11"/>
    <x v="27"/>
    <n v="2"/>
    <n v="2026"/>
    <m/>
  </r>
  <r>
    <x v="3"/>
    <x v="96"/>
    <x v="6"/>
    <s v="DC ISSUE COMM CHARGES DCBWPM162155"/>
    <x v="423"/>
    <s v="UE COMM CHARGES"/>
    <x v="0"/>
    <n v="4931.95"/>
    <n v="0"/>
    <x v="2"/>
    <s v="Received"/>
    <s v="SERGAS SAUDI CONTRACTING CO. L.L.C"/>
    <x v="4"/>
    <x v="1"/>
    <x v="27"/>
    <n v="2"/>
    <n v="2026"/>
    <m/>
  </r>
  <r>
    <x v="5"/>
    <x v="96"/>
    <x v="9"/>
    <s v="TI Bill Settled                                                       _x000a_POC004                                                                _x000a_At Bank AlJazira                                                      _x000a_CORPORATE BANKING DEPT-JEDDAH                                         _x000a_Date 24-08-1447(H) Time 10.20.44                                      _x000a_Reference ILC-0840-25-8427                                            _x000a_"/>
    <x v="115"/>
    <s v=""/>
    <x v="0"/>
    <n v="1575293.5"/>
    <n v="0"/>
    <x v="4"/>
    <s v="Received"/>
    <s v="Alrashid Trading and Contracting Company"/>
    <x v="0"/>
    <x v="10"/>
    <x v="27"/>
    <n v="2"/>
    <n v="2026"/>
    <m/>
  </r>
  <r>
    <x v="1"/>
    <x v="97"/>
    <x v="3"/>
    <s v="CUSTOMER = 3972500 DEAL AMT = 1250 DEAL CCY = EUR TAX CODE = 1 "/>
    <x v="336"/>
    <s v="TF253590001601"/>
    <x v="0"/>
    <n v="187.5"/>
    <n v="0"/>
    <x v="1"/>
    <s v="Received"/>
    <s v="BBH-CHEMTROL INTERNATIONAL ORGANIZATION S.L"/>
    <x v="10"/>
    <x v="5"/>
    <x v="27"/>
    <n v="2"/>
    <n v="2026"/>
    <m/>
  </r>
  <r>
    <x v="1"/>
    <x v="97"/>
    <x v="3"/>
    <s v="LC ACCEPTANCE COMMISSION FOR LC NO. TF253590001601\BNK"/>
    <x v="336"/>
    <s v="TF253590001601"/>
    <x v="0"/>
    <n v="1250"/>
    <n v="0"/>
    <x v="2"/>
    <s v="Received"/>
    <s v="BBH-CHEMTROL INTERNATIONAL ORGANIZATION S.L"/>
    <x v="10"/>
    <x v="5"/>
    <x v="27"/>
    <n v="2"/>
    <n v="2026"/>
    <m/>
  </r>
  <r>
    <x v="1"/>
    <x v="97"/>
    <x v="3"/>
    <s v="CUSTOMER = 3972500 DEAL AMT = 1250 DEAL CCY = EUR TAX CODE = 1 "/>
    <x v="336"/>
    <s v="TF253590001602"/>
    <x v="0"/>
    <n v="187.5"/>
    <n v="0"/>
    <x v="1"/>
    <s v="Received"/>
    <s v="BBH-CHEMTROL INTERNATIONAL ORGANIZATION S.L"/>
    <x v="10"/>
    <x v="5"/>
    <x v="27"/>
    <n v="2"/>
    <n v="2026"/>
    <m/>
  </r>
  <r>
    <x v="1"/>
    <x v="97"/>
    <x v="3"/>
    <s v="LC ACCEPTANCE COMMISSION FOR LC NO. TF253590001602\BNK"/>
    <x v="336"/>
    <s v="TF253590001602"/>
    <x v="0"/>
    <n v="1250"/>
    <n v="0"/>
    <x v="2"/>
    <s v="Received"/>
    <s v="BBH-CHEMTROL INTERNATIONAL ORGANIZATION S.L"/>
    <x v="10"/>
    <x v="5"/>
    <x v="27"/>
    <n v="2"/>
    <n v="2026"/>
    <m/>
  </r>
  <r>
    <x v="1"/>
    <x v="97"/>
    <x v="3"/>
    <s v="CUSTOMER = 3972500 DEAL AMT = 500.00 DEAL CCY = SAR TAX CODE = 1 "/>
    <x v="424"/>
    <s v="TF2604200011"/>
    <x v="0"/>
    <n v="37.5"/>
    <n v="0"/>
    <x v="1"/>
    <s v="Received"/>
    <s v="The Fundamental Installation For Electric Work Co"/>
    <x v="3"/>
    <x v="0"/>
    <x v="27"/>
    <n v="2"/>
    <n v="2026"/>
    <m/>
  </r>
  <r>
    <x v="1"/>
    <x v="97"/>
    <x v="3"/>
    <s v="CUSTOMER = 3972500 DEAL AMT = 500.00 DEAL CCY = SAR TAX CODE = 1 "/>
    <x v="424"/>
    <s v="TF2604200011"/>
    <x v="0"/>
    <n v="75"/>
    <n v="0"/>
    <x v="1"/>
    <s v="Received"/>
    <s v="The Fundamental Installation For Electric Work Co"/>
    <x v="3"/>
    <x v="0"/>
    <x v="27"/>
    <n v="2"/>
    <n v="2026"/>
    <m/>
  </r>
  <r>
    <x v="1"/>
    <x v="97"/>
    <x v="3"/>
    <s v="LC SWIFT CHARGES FOR LC NO. TF2604200011\BNK"/>
    <x v="424"/>
    <s v="TF2604200011"/>
    <x v="0"/>
    <n v="250"/>
    <n v="0"/>
    <x v="3"/>
    <s v="Received"/>
    <s v="The Fundamental Installation For Electric Work Co"/>
    <x v="3"/>
    <x v="0"/>
    <x v="27"/>
    <n v="2"/>
    <n v="2026"/>
    <m/>
  </r>
  <r>
    <x v="1"/>
    <x v="97"/>
    <x v="3"/>
    <s v="LC AMENDMENT COMMISSION FOR LC NO. TF2604200011\BNK"/>
    <x v="424"/>
    <s v="TF2604200011"/>
    <x v="0"/>
    <n v="500"/>
    <n v="0"/>
    <x v="5"/>
    <s v="Received"/>
    <s v="The Fundamental Installation For Electric Work Co"/>
    <x v="3"/>
    <x v="0"/>
    <x v="27"/>
    <n v="2"/>
    <n v="2026"/>
    <m/>
  </r>
  <r>
    <x v="2"/>
    <x v="97"/>
    <x v="11"/>
    <s v="CITY:Jeddah 6132226B314277014"/>
    <x v="118"/>
    <s v="B314277-014"/>
    <x v="2"/>
    <n v="71875"/>
    <n v="0"/>
    <x v="36"/>
    <s v="Received"/>
    <s v="Material - JEDDAH CENTRAL DEVELOPMENT COMPANY (JCD)"/>
    <x v="1"/>
    <x v="11"/>
    <x v="27"/>
    <n v="2"/>
    <n v="2026"/>
    <m/>
  </r>
  <r>
    <x v="3"/>
    <x v="97"/>
    <x v="5"/>
    <s v="DPBCOR629572WPM DCBWPM567556"/>
    <x v="102"/>
    <s v="DPBCOR629572WPM"/>
    <x v="0"/>
    <n v="253336.46"/>
    <n v="0"/>
    <x v="4"/>
    <s v="Received"/>
    <s v="Building System Intelligent Est."/>
    <x v="3"/>
    <x v="9"/>
    <x v="27"/>
    <n v="2"/>
    <n v="2026"/>
    <m/>
  </r>
  <r>
    <x v="3"/>
    <x v="97"/>
    <x v="5"/>
    <s v="DPBCOR625101WPM DCBWPM558768"/>
    <x v="159"/>
    <s v="DPBCOR625101WPM"/>
    <x v="0"/>
    <n v="109036.65"/>
    <n v="0"/>
    <x v="4"/>
    <s v="Received"/>
    <s v="Bahra Advanced Cable Manufacture Co.Ltd"/>
    <x v="3"/>
    <x v="9"/>
    <x v="27"/>
    <n v="2"/>
    <n v="2026"/>
    <m/>
  </r>
  <r>
    <x v="3"/>
    <x v="97"/>
    <x v="6"/>
    <s v="DPBCOR628144WPM DCBWPM567556"/>
    <x v="102"/>
    <s v="DPBCOR628144WPM"/>
    <x v="0"/>
    <n v="47630.53"/>
    <n v="0"/>
    <x v="4"/>
    <s v="Received"/>
    <s v="Building System Intelligent Est."/>
    <x v="3"/>
    <x v="9"/>
    <x v="27"/>
    <n v="2"/>
    <n v="2026"/>
    <m/>
  </r>
  <r>
    <x v="0"/>
    <x v="98"/>
    <x v="1"/>
    <s v="REF 000000JLC6701731,RB REF JLC6701731,VIA CORE SYSTEM,DATE-TIME 16/02-15:58:17, عن طريق النظام الآ لي ,VALUE DT 16/02/26"/>
    <x v="96"/>
    <s v=""/>
    <x v="0"/>
    <n v="230"/>
    <n v="0"/>
    <x v="2"/>
    <s v="Received"/>
    <s v="ATELIER HOSPITALITY SRL"/>
    <x v="0"/>
    <x v="0"/>
    <x v="27"/>
    <n v="2"/>
    <n v="2026"/>
    <m/>
  </r>
  <r>
    <x v="3"/>
    <x v="98"/>
    <x v="5"/>
    <s v="DPBEPM624675WPM DCBWPM565760"/>
    <x v="137"/>
    <s v="DPBEPM624675WPM"/>
    <x v="0"/>
    <n v="2000000"/>
    <n v="0"/>
    <x v="4"/>
    <s v="Received"/>
    <s v="ELECTRIC HOUSE LIMITED COMPANY."/>
    <x v="3"/>
    <x v="8"/>
    <x v="27"/>
    <n v="2"/>
    <n v="2026"/>
    <m/>
  </r>
  <r>
    <x v="3"/>
    <x v="98"/>
    <x v="5"/>
    <s v="DPBCOR625341WPM DCBWPM563030"/>
    <x v="198"/>
    <s v="DPBCOR625341WPM"/>
    <x v="0"/>
    <n v="148419.23000000001"/>
    <n v="0"/>
    <x v="4"/>
    <s v="Received"/>
    <s v="AL-RIYADHA AL-OULA FOR INDUSTRIAL MATERIAL SUPPLY CO."/>
    <x v="3"/>
    <x v="8"/>
    <x v="27"/>
    <n v="2"/>
    <n v="2026"/>
    <m/>
  </r>
  <r>
    <x v="5"/>
    <x v="98"/>
    <x v="9"/>
    <s v="TI Bill Settled                                                       _x000a_POC006                                                                _x000a_At Bank AlJazira                                                      _x000a_CORPORATE BANKING DEPT-JEDDAH                                         _x000a_Date 28-08-1447(H) Time 10.40.35                                      _x000a_Reference ILC-0840-25-7354                                            _x000a_"/>
    <x v="79"/>
    <s v=""/>
    <x v="0"/>
    <n v="251134"/>
    <n v="0"/>
    <x v="4"/>
    <s v="Received"/>
    <s v="UNITED PARK CO"/>
    <x v="3"/>
    <x v="10"/>
    <x v="27"/>
    <n v="2"/>
    <n v="2026"/>
    <m/>
  </r>
  <r>
    <x v="5"/>
    <x v="98"/>
    <x v="9"/>
    <s v="Dr TI ILC Comm/Other Charges                                          _x000a_POC001-289512493                                                      _x000a_At Bank Aljazira                                                      _x000a_ CORPORATE BANKING DEPT-JEDDAH                                        _x000a_Date 28-08-1447(H) Time 10.40.55                                      _x000a_Reference ILC-0840-26-8821                                            _x000a_Value Date 28-08-1447(H)                                              _x000a_Fee Collected By Bank AlJazira                                        _x000a_"/>
    <x v="366"/>
    <s v=""/>
    <x v="0"/>
    <n v="100"/>
    <n v="0"/>
    <x v="2"/>
    <s v="Received"/>
    <s v="Al Wasail Industrial Co "/>
    <x v="3"/>
    <x v="10"/>
    <x v="27"/>
    <n v="2"/>
    <n v="2026"/>
    <m/>
  </r>
  <r>
    <x v="5"/>
    <x v="98"/>
    <x v="9"/>
    <s v="Value Added Tax                                                       _x000a_On ILC Acceptance Comm.                                               _x000a_15% of SAR100.00                                                      _x000a_Through CORPORATE BANKING DEPT-JEDDAH                                 _x000a_Date 28-08-1447(H) Time 10.40.55                                      _x000a_Reference ILC-0840-26-8821                                            _x000a_At Bank Aljazira                                                      _x000a_"/>
    <x v="366"/>
    <s v=""/>
    <x v="0"/>
    <n v="15"/>
    <n v="0"/>
    <x v="1"/>
    <s v="Received"/>
    <s v="Al Wasail Industrial Co "/>
    <x v="3"/>
    <x v="10"/>
    <x v="27"/>
    <n v="2"/>
    <n v="2026"/>
    <m/>
  </r>
  <r>
    <x v="5"/>
    <x v="98"/>
    <x v="9"/>
    <s v="Dr TI ILC Comm/Other Charges                                          _x000a_POC001-289512793                                                      _x000a_At Bank Aljazira                                                      _x000a_ CORPORATE BANKING DEPT-JEDDAH                                        _x000a_Date 28-08-1447(H) Time 10.40.56                                      _x000a_Reference ILC-0840-26-8821                                            _x000a_Value Date 28-08-1447(H)                                              _x000a_Fee Collected By Bank AlJazira                                        _x000a_"/>
    <x v="366"/>
    <s v=""/>
    <x v="0"/>
    <n v="262"/>
    <n v="0"/>
    <x v="2"/>
    <s v="Received"/>
    <s v="Al Wasail Industrial Co "/>
    <x v="3"/>
    <x v="10"/>
    <x v="27"/>
    <n v="2"/>
    <n v="2026"/>
    <m/>
  </r>
  <r>
    <x v="5"/>
    <x v="98"/>
    <x v="9"/>
    <s v="Value Added Tax                                                       _x000a_On ILC Acceptance Comm.                                               _x000a_15% of SAR262.00                                                      _x000a_Through CORPORATE BANKING DEPT-JEDDAH                                 _x000a_Date 28-08-1447(H) Time 10.40.56                                      _x000a_Reference ILC-0840-26-8821                                            _x000a_At Bank Aljazira                                                      _x000a_"/>
    <x v="366"/>
    <s v=""/>
    <x v="0"/>
    <n v="39.299999999999997"/>
    <n v="0"/>
    <x v="1"/>
    <s v="Received"/>
    <s v="Al Wasail Industrial Co "/>
    <x v="3"/>
    <x v="10"/>
    <x v="27"/>
    <n v="2"/>
    <n v="2026"/>
    <m/>
  </r>
  <r>
    <x v="5"/>
    <x v="98"/>
    <x v="9"/>
    <s v="Dr TI ILC Comm/Other Charges                                          _x000a_POC001-289512795                                                      _x000a_At Bank Aljazira                                                      _x000a_ CORPORATE BANKING DEPT-JEDDAH                                        _x000a_Date 28-08-1447(H) Time 10.40.56                                      _x000a_Reference ILC-0840-26-8821                                            _x000a_Value Date 28-08-1447(H)                                              _x000a_Fee Collected By Bank AlJazira                                        _x000a_"/>
    <x v="366"/>
    <s v=""/>
    <x v="0"/>
    <n v="200"/>
    <n v="0"/>
    <x v="2"/>
    <s v="Received"/>
    <s v="Al Wasail Industrial Co "/>
    <x v="3"/>
    <x v="10"/>
    <x v="27"/>
    <n v="2"/>
    <n v="2026"/>
    <m/>
  </r>
  <r>
    <x v="5"/>
    <x v="98"/>
    <x v="9"/>
    <s v="Value Added Tax                                                       _x000a_On SWIFT charges                                                      _x000a_15% of SAR200.00                                                      _x000a_Through CORPORATE BANKING DEPT-JEDDAH                                 _x000a_Date 28-08-1447(H) Time 10.40.56                                      _x000a_Reference ILC-0840-26-8821                                            _x000a_At Bank Aljazira                                                      _x000a_"/>
    <x v="366"/>
    <s v=""/>
    <x v="0"/>
    <n v="30"/>
    <n v="0"/>
    <x v="1"/>
    <s v="Received"/>
    <s v="Al Wasail Industrial Co "/>
    <x v="3"/>
    <x v="10"/>
    <x v="27"/>
    <n v="2"/>
    <n v="2026"/>
    <m/>
  </r>
  <r>
    <x v="0"/>
    <x v="99"/>
    <x v="13"/>
    <s v="REF 000000JLC6701731,RB REF JLC6701731,VIA CORE SYSTEM,DATE-TIME 17/02-16:25:53, عن طريق النظام الآ لي ,VALUE DT 17/02/26"/>
    <x v="96"/>
    <s v=""/>
    <x v="3"/>
    <n v="18210.38"/>
    <n v="0"/>
    <x v="4"/>
    <s v="Received"/>
    <s v="ATELIER HOSPITALITY SRL"/>
    <x v="0"/>
    <x v="0"/>
    <x v="27"/>
    <n v="2"/>
    <n v="2026"/>
    <m/>
  </r>
  <r>
    <x v="0"/>
    <x v="99"/>
    <x v="1"/>
    <s v="REF JLC6701731,REF JLC6701731,VIA CORE SYSTEM,DATE-TIME 17/02-16:25:53, عن طريق النظام الآ لي ,VALUE DT 17/02/26"/>
    <x v="96"/>
    <s v=""/>
    <x v="0"/>
    <n v="0"/>
    <n v="83223.08"/>
    <x v="18"/>
    <s v="Received"/>
    <s v="ATELIER HOSPITALITY SRL"/>
    <x v="0"/>
    <x v="0"/>
    <x v="27"/>
    <n v="2"/>
    <n v="2026"/>
    <m/>
  </r>
  <r>
    <x v="0"/>
    <x v="100"/>
    <x v="0"/>
    <s v="REF 000000JLC6902213,RB REF JLC6902213,VIA CORE SYSTEM,DATE-TIME 18/02-13:19:38, عن طريق النظام الآ لي ,VALUE DT 18/02/26"/>
    <x v="281"/>
    <s v=""/>
    <x v="0"/>
    <n v="349.97"/>
    <n v="0"/>
    <x v="2"/>
    <s v="Received"/>
    <s v="IBA MIDDLE EAST FZE"/>
    <x v="11"/>
    <x v="3"/>
    <x v="27"/>
    <n v="2"/>
    <n v="2026"/>
    <m/>
  </r>
  <r>
    <x v="0"/>
    <x v="100"/>
    <x v="0"/>
    <s v="REF 000000JLC6902213,RB REF JLC6902213,VIA CORE SYSTEM,DATE-TIME 18/02-13:18:15, عن طريق النظام الآ لي ,VALUE DT 18/02/26"/>
    <x v="281"/>
    <s v=""/>
    <x v="0"/>
    <n v="1322.4"/>
    <n v="0"/>
    <x v="2"/>
    <s v="Received"/>
    <s v="IBA MIDDLE EAST FZE"/>
    <x v="11"/>
    <x v="3"/>
    <x v="27"/>
    <n v="2"/>
    <n v="2026"/>
    <m/>
  </r>
  <r>
    <x v="2"/>
    <x v="100"/>
    <x v="4"/>
    <s v="CITY:Jeddah 6132226J210617007"/>
    <x v="42"/>
    <s v="J210617007"/>
    <x v="0"/>
    <n v="971037"/>
    <n v="0"/>
    <x v="4"/>
    <s v="Received"/>
    <s v="Al Arabia Construction &amp; Building Co."/>
    <x v="0"/>
    <x v="7"/>
    <x v="27"/>
    <n v="2"/>
    <n v="2026"/>
    <m/>
  </r>
  <r>
    <x v="3"/>
    <x v="100"/>
    <x v="6"/>
    <s v="IMP BILL COMM DPBEPM214073WPM DCBWPM161326"/>
    <x v="404"/>
    <s v="DPBEPM214073WPM"/>
    <x v="0"/>
    <n v="4312.5"/>
    <n v="0"/>
    <x v="2"/>
    <s v="Received"/>
    <s v="Electric House Trading Company L.L.C."/>
    <x v="3"/>
    <x v="9"/>
    <x v="27"/>
    <n v="2"/>
    <n v="2026"/>
    <m/>
  </r>
  <r>
    <x v="5"/>
    <x v="99"/>
    <x v="9"/>
    <s v="Dr TI LGI Comm/Other Charges                                          _x000a_AMD002-289714115                                                      _x000a_At Bank AlJazira                                                      _x000a_CORPORATE BANKING DEPT-JEDDAH                                         _x000a_Date 29-08-1447(H) Time 11.41.30                                      _x000a_Reference LGI-0840-25-6611                                            _x000a_"/>
    <x v="170"/>
    <s v=""/>
    <x v="0"/>
    <n v="12499.96"/>
    <n v="0"/>
    <x v="37"/>
    <s v="Received"/>
    <s v="Bid - ERTH Al-AWTAN REAL ESTATE DEVELOPMENT COMPANY"/>
    <x v="1"/>
    <x v="2"/>
    <x v="27"/>
    <n v="2"/>
    <n v="2026"/>
    <m/>
  </r>
  <r>
    <x v="5"/>
    <x v="99"/>
    <x v="9"/>
    <s v="Value Added Tax                                                       _x000a_On LGI Amend Commission                                               _x000a_15% of SAR12,499.96                                                   _x000a_Through CORPORATE BANKING DEPT-JEDDAH                                 _x000a_Date 29-08-1447(H) Time 11.41.31                                      _x000a_Reference LGI-0840-25-6611                                            _x000a_At Bank Aljazira                                                      _x000a_Exchange Rate 1.0                                                     _x000a_"/>
    <x v="170"/>
    <s v=""/>
    <x v="0"/>
    <n v="1874.99"/>
    <n v="0"/>
    <x v="1"/>
    <s v="Received"/>
    <s v="Bid - ERTH Al-AWTAN REAL ESTATE DEVELOPMENT COMPANY"/>
    <x v="1"/>
    <x v="2"/>
    <x v="27"/>
    <n v="2"/>
    <n v="2026"/>
    <m/>
  </r>
  <r>
    <x v="5"/>
    <x v="99"/>
    <x v="9"/>
    <s v="Dr TI LGI Comm/Other Charges                                          _x000a_AMD002-289714117                                                      _x000a_At Bank AlJazira                                                      _x000a_CORPORATE BANKING DEPT-JEDDAH                                         _x000a_Date 29-08-1447(H) Time 11.41.31                                      _x000a_Reference LGI-0840-25-6611                                            _x000a_"/>
    <x v="170"/>
    <s v=""/>
    <x v="0"/>
    <n v="31780.82"/>
    <n v="0"/>
    <x v="37"/>
    <s v="Received"/>
    <s v="Bid - ERTH Al-AWTAN REAL ESTATE DEVELOPMENT COMPANY"/>
    <x v="1"/>
    <x v="2"/>
    <x v="27"/>
    <n v="2"/>
    <n v="2026"/>
    <m/>
  </r>
  <r>
    <x v="5"/>
    <x v="99"/>
    <x v="9"/>
    <s v="Value Added Tax                                                       _x000a_On LG Processing/Facility Fees                                        _x000a_15% of SAR31,780.82                                                   _x000a_Through CORPORATE BANKING DEPT-JEDDAH                                 _x000a_Date 29-08-1447(H) Time 11.41.32                                      _x000a_Reference LGI-0840-25-6611                                            _x000a_At Bank Aljazira                                                      _x000a_Exchange Rate 1.0                                                     _x000a_"/>
    <x v="170"/>
    <s v=""/>
    <x v="0"/>
    <n v="4767.12"/>
    <n v="0"/>
    <x v="1"/>
    <s v="Received"/>
    <s v="Bid - ERTH Al-AWTAN REAL ESTATE DEVELOPMENT COMPANY"/>
    <x v="1"/>
    <x v="2"/>
    <x v="27"/>
    <n v="2"/>
    <n v="2026"/>
    <m/>
  </r>
  <r>
    <x v="5"/>
    <x v="99"/>
    <x v="9"/>
    <s v="Dr TI ILC Comm/Other Charges                                          _x000a_POC007-289720586                                                      _x000a_At Bank Aljazira                                                      _x000a_ CORPORATE BANKING DEPT-JEDDAH                                        _x000a_Date 29-08-1447(H) Time 12.31.55                                      _x000a_Reference ILC-0840-25-7799                                            _x000a_Value Date 29-08-1447(H)                                              _x000a_Fee Collected By Bank AlJazira                                        _x000a_"/>
    <x v="72"/>
    <s v=""/>
    <x v="0"/>
    <n v="100"/>
    <n v="0"/>
    <x v="2"/>
    <s v="Received"/>
    <s v="Metal and Glass Trading Co"/>
    <x v="3"/>
    <x v="10"/>
    <x v="27"/>
    <n v="2"/>
    <n v="2026"/>
    <m/>
  </r>
  <r>
    <x v="5"/>
    <x v="99"/>
    <x v="9"/>
    <s v="Value Added Tax                                                       _x000a_On ILC Acceptance Comm.                                               _x000a_15% of SAR100.00                                                      _x000a_Through CORPORATE BANKING DEPT-JEDDAH                                 _x000a_Date 29-08-1447(H) Time 12.31.55                                      _x000a_Reference ILC-0840-25-7799                                            _x000a_At Bank Aljazira                                                      _x000a_"/>
    <x v="72"/>
    <s v=""/>
    <x v="0"/>
    <n v="15"/>
    <n v="0"/>
    <x v="1"/>
    <s v="Received"/>
    <s v="Metal and Glass Trading Co"/>
    <x v="3"/>
    <x v="10"/>
    <x v="27"/>
    <n v="2"/>
    <n v="2026"/>
    <m/>
  </r>
  <r>
    <x v="5"/>
    <x v="99"/>
    <x v="9"/>
    <s v="Dr TI ILC Comm/Other Charges                                          _x000a_POC007-289720626                                                      _x000a_At Bank Aljazira                                                      _x000a_ CORPORATE BANKING DEPT-JEDDAH                                        _x000a_Date 29-08-1447(H) Time 12.31.55                                      _x000a_Reference ILC-0840-25-7799                                            _x000a_Value Date 29-08-1447(H)                                              _x000a_Fee Collected By Bank AlJazira                                        _x000a_"/>
    <x v="72"/>
    <s v=""/>
    <x v="0"/>
    <n v="652"/>
    <n v="0"/>
    <x v="2"/>
    <s v="Received"/>
    <s v="Metal and Glass Trading Co"/>
    <x v="3"/>
    <x v="10"/>
    <x v="27"/>
    <n v="2"/>
    <n v="2026"/>
    <m/>
  </r>
  <r>
    <x v="5"/>
    <x v="99"/>
    <x v="9"/>
    <s v="Value Added Tax                                                       _x000a_On ILC Acceptance Comm.                                               _x000a_15% of SAR652.00                                                      _x000a_Through CORPORATE BANKING DEPT-JEDDAH                                 _x000a_Date 29-08-1447(H) Time 12.31.56                                      _x000a_Reference ILC-0840-25-7799                                            _x000a_At Bank Aljazira                                                      _x000a_"/>
    <x v="72"/>
    <s v=""/>
    <x v="0"/>
    <n v="97.8"/>
    <n v="0"/>
    <x v="1"/>
    <s v="Received"/>
    <s v="Metal and Glass Trading Co"/>
    <x v="3"/>
    <x v="10"/>
    <x v="27"/>
    <n v="2"/>
    <n v="2026"/>
    <m/>
  </r>
  <r>
    <x v="5"/>
    <x v="99"/>
    <x v="9"/>
    <s v="Dr TI ILC Comm/Other Charges                                          _x000a_POC007-289720683                                                      _x000a_At Bank Aljazira                                                      _x000a_ CORPORATE BANKING DEPT-JEDDAH                                        _x000a_Date 29-08-1447(H) Time 12.31.56                                      _x000a_Reference ILC-0840-25-7799                                            _x000a_Value Date 29-08-1447(H)                                              _x000a_Fee Collected By Bank AlJazira                                        _x000a_"/>
    <x v="72"/>
    <s v=""/>
    <x v="0"/>
    <n v="200"/>
    <n v="0"/>
    <x v="2"/>
    <s v="Received"/>
    <s v="Metal and Glass Trading Co"/>
    <x v="3"/>
    <x v="10"/>
    <x v="27"/>
    <n v="2"/>
    <n v="2026"/>
    <m/>
  </r>
  <r>
    <x v="5"/>
    <x v="99"/>
    <x v="9"/>
    <s v="Value Added Tax                                                       _x000a_On SWIFT charges                                                      _x000a_15% of SAR200.00                                                      _x000a_Through CORPORATE BANKING DEPT-JEDDAH                                 _x000a_Date 29-08-1447(H) Time 12.31.56                                      _x000a_Reference ILC-0840-25-7799                                            _x000a_At Bank Aljazira                                                      _x000a_"/>
    <x v="72"/>
    <s v=""/>
    <x v="0"/>
    <n v="30"/>
    <n v="0"/>
    <x v="1"/>
    <s v="Received"/>
    <s v="Metal and Glass Trading Co"/>
    <x v="3"/>
    <x v="10"/>
    <x v="27"/>
    <n v="2"/>
    <n v="2026"/>
    <m/>
  </r>
  <r>
    <x v="1"/>
    <x v="101"/>
    <x v="3"/>
    <s v="CUSTOMER = 3972500 DEAL AMT = 1562.49 DEAL CCY = SAR TAX CODE = 1 "/>
    <x v="326"/>
    <s v="TF253520001801"/>
    <x v="0"/>
    <n v="234.37"/>
    <n v="0"/>
    <x v="1"/>
    <s v="Received"/>
    <s v="Mahmoud Al Tahini and Partners Company"/>
    <x v="12"/>
    <x v="5"/>
    <x v="27"/>
    <n v="2"/>
    <n v="2026"/>
    <m/>
  </r>
  <r>
    <x v="1"/>
    <x v="101"/>
    <x v="3"/>
    <s v="LC ACCEPTANCE COMMISSION FOR LC NO. TF253520001801\BNK"/>
    <x v="326"/>
    <s v="TF253520001801"/>
    <x v="0"/>
    <n v="1562.49"/>
    <n v="0"/>
    <x v="2"/>
    <s v="Received"/>
    <s v="Mahmoud Al Tahini and Partners Company"/>
    <x v="12"/>
    <x v="5"/>
    <x v="27"/>
    <n v="2"/>
    <n v="2026"/>
    <m/>
  </r>
  <r>
    <x v="1"/>
    <x v="101"/>
    <x v="3"/>
    <s v="CUSTOMER = 3972500 DEAL AMT = 31250 DEAL CCY = SAR TAX CODE = 1"/>
    <x v="424"/>
    <s v="TF260420001101"/>
    <x v="0"/>
    <n v="4687.5"/>
    <n v="0"/>
    <x v="1"/>
    <s v="Received"/>
    <s v="The Fundamental Installation For Electric Work Co"/>
    <x v="3"/>
    <x v="0"/>
    <x v="27"/>
    <n v="2"/>
    <n v="2026"/>
    <m/>
  </r>
  <r>
    <x v="1"/>
    <x v="101"/>
    <x v="3"/>
    <s v="LC ACCEPTANCE COMMISSION FOR LC NO. TF260420001101\BNK"/>
    <x v="424"/>
    <s v="TF260420001101"/>
    <x v="0"/>
    <n v="31250"/>
    <n v="0"/>
    <x v="2"/>
    <s v="Received"/>
    <s v="The Fundamental Installation For Electric Work Co"/>
    <x v="3"/>
    <x v="0"/>
    <x v="27"/>
    <n v="2"/>
    <n v="2026"/>
    <m/>
  </r>
  <r>
    <x v="1"/>
    <x v="102"/>
    <x v="3"/>
    <s v="CUSTOMER = 3972500 DEAL AMT = 1250 DEAL CCY = SAR TAX CODE = 1 "/>
    <x v="327"/>
    <s v="TF253520001903"/>
    <x v="0"/>
    <n v="187.5"/>
    <n v="0"/>
    <x v="1"/>
    <s v="Received"/>
    <s v="SIEMENS Limited Company"/>
    <x v="12"/>
    <x v="5"/>
    <x v="27"/>
    <n v="2"/>
    <n v="2026"/>
    <m/>
  </r>
  <r>
    <x v="1"/>
    <x v="102"/>
    <x v="3"/>
    <s v="LC ACCEPTANCE COMMISSION FOR LC NO. TF253520001903\BNK"/>
    <x v="327"/>
    <s v="TF253520001903"/>
    <x v="0"/>
    <n v="1250"/>
    <n v="0"/>
    <x v="2"/>
    <s v="Received"/>
    <s v="SIEMENS Limited Company"/>
    <x v="12"/>
    <x v="5"/>
    <x v="27"/>
    <n v="2"/>
    <n v="2026"/>
    <m/>
  </r>
  <r>
    <x v="1"/>
    <x v="102"/>
    <x v="3"/>
    <s v="CUSTOMER = 3972500 DEAL AMT = 1250 DEAL CCY = SAR TAX CODE = 1 "/>
    <x v="327"/>
    <s v="TF253520001904"/>
    <x v="0"/>
    <n v="187.5"/>
    <n v="0"/>
    <x v="1"/>
    <s v="Received"/>
    <s v="SIEMENS Limited Company"/>
    <x v="12"/>
    <x v="5"/>
    <x v="27"/>
    <n v="2"/>
    <n v="2026"/>
    <m/>
  </r>
  <r>
    <x v="1"/>
    <x v="102"/>
    <x v="3"/>
    <s v="LC ACCEPTANCE COMMISSION FOR LC NO. TF253520001904\BNK"/>
    <x v="327"/>
    <s v="TF253520001904"/>
    <x v="0"/>
    <n v="1250"/>
    <n v="0"/>
    <x v="2"/>
    <s v="Received"/>
    <s v="SIEMENS Limited Company"/>
    <x v="12"/>
    <x v="5"/>
    <x v="27"/>
    <n v="2"/>
    <n v="2026"/>
    <m/>
  </r>
  <r>
    <x v="0"/>
    <x v="101"/>
    <x v="0"/>
    <s v="RB REF JLG7000585,VIA CORE SYSTEM,DATE-TIME 19/02-16:33:41, عن طريق النظام الآ لي ,VALUE DT 19/02/26"/>
    <x v="425"/>
    <s v=""/>
    <x v="0"/>
    <n v="399432.95"/>
    <n v="0"/>
    <x v="17"/>
    <s v="Received"/>
    <s v="Performance - THE JOINT VENTURE OF THE BRANCH OF EL SEWEDY ELECTRIC FOR POWER SYSTEMS (PSP) AND THE BRANCH OF SINOHYDRO CORPORATION LIMITED (SHC)"/>
    <x v="0"/>
    <x v="19"/>
    <x v="27"/>
    <n v="2"/>
    <n v="2026"/>
    <m/>
  </r>
  <r>
    <x v="3"/>
    <x v="101"/>
    <x v="5"/>
    <s v="DPBEPM627467WPM DCBWPM562612"/>
    <x v="300"/>
    <s v="DPBEPM627467WPM"/>
    <x v="0"/>
    <n v="250000"/>
    <n v="0"/>
    <x v="4"/>
    <s v="Received"/>
    <s v="INTERPLAST CO.LTD"/>
    <x v="3"/>
    <x v="9"/>
    <x v="27"/>
    <n v="2"/>
    <n v="2026"/>
    <m/>
  </r>
  <r>
    <x v="3"/>
    <x v="102"/>
    <x v="5"/>
    <s v="DPBEPM627819WPM DCBWPM563055"/>
    <x v="254"/>
    <s v="DPBEPM627819WPM"/>
    <x v="0"/>
    <n v="226041.29"/>
    <n v="0"/>
    <x v="4"/>
    <s v="Received"/>
    <s v="AFKAR ALTATHBET TRADING COMPANY"/>
    <x v="3"/>
    <x v="8"/>
    <x v="27"/>
    <n v="2"/>
    <n v="2026"/>
    <m/>
  </r>
  <r>
    <x v="3"/>
    <x v="102"/>
    <x v="5"/>
    <s v="DPBEPM628104WPM DCBWPM563027"/>
    <x v="160"/>
    <s v="DPBEPM628104WPM"/>
    <x v="0"/>
    <n v="328383.40000000002"/>
    <n v="0"/>
    <x v="4"/>
    <s v="Received"/>
    <s v="JAD AL RIYADH Trading Co. Ltd"/>
    <x v="3"/>
    <x v="8"/>
    <x v="27"/>
    <n v="2"/>
    <n v="2026"/>
    <m/>
  </r>
  <r>
    <x v="3"/>
    <x v="102"/>
    <x v="6"/>
    <s v="IMP BILL AMEND. CHARGES DPBCOR214068WPM DCBWPM570380"/>
    <x v="295"/>
    <s v="DPBCOR214068WPM"/>
    <x v="0"/>
    <n v="1099.2"/>
    <n v="0"/>
    <x v="2"/>
    <s v="Received"/>
    <s v="Ajzal United for Safety CO.LTD."/>
    <x v="3"/>
    <x v="9"/>
    <x v="27"/>
    <n v="2"/>
    <n v="2026"/>
    <m/>
  </r>
  <r>
    <x v="3"/>
    <x v="103"/>
    <x v="5"/>
    <s v="DPBCOR629754WPM DCBWPM565846"/>
    <x v="165"/>
    <s v="DPBCOR629754WPM"/>
    <x v="0"/>
    <n v="130.5"/>
    <n v="0"/>
    <x v="4"/>
    <s v="Received"/>
    <s v="Mimar For Construction Tools &amp; Trading Ltd."/>
    <x v="3"/>
    <x v="9"/>
    <x v="27"/>
    <n v="2"/>
    <n v="2026"/>
    <m/>
  </r>
  <r>
    <x v="3"/>
    <x v="103"/>
    <x v="6"/>
    <s v="IMP BILL COMM DPBCOR214425WPM DCBWPM161319"/>
    <x v="403"/>
    <s v="DPBCOR214425WPM"/>
    <x v="0"/>
    <n v="1735.79"/>
    <n v="0"/>
    <x v="2"/>
    <s v="Received"/>
    <s v="Al Maymanah for Contracting Co. Ltd."/>
    <x v="3"/>
    <x v="9"/>
    <x v="27"/>
    <n v="2"/>
    <n v="2026"/>
    <m/>
  </r>
  <r>
    <x v="3"/>
    <x v="103"/>
    <x v="5"/>
    <s v="DPBCOR629754WPM DCBWPM565846"/>
    <x v="165"/>
    <s v="DPBCOR629754WPM"/>
    <x v="0"/>
    <n v="293625.94"/>
    <n v="0"/>
    <x v="4"/>
    <s v="Received"/>
    <s v="Mimar For Construction Tools &amp; Trading Ltd."/>
    <x v="3"/>
    <x v="9"/>
    <x v="27"/>
    <n v="2"/>
    <n v="2026"/>
    <m/>
  </r>
  <r>
    <x v="3"/>
    <x v="103"/>
    <x v="6"/>
    <s v="IMP BILL COMM DPBCOR214449WPM DCBWPM161319"/>
    <x v="403"/>
    <s v="DPBCOR214449WPM"/>
    <x v="0"/>
    <n v="6889.22"/>
    <n v="0"/>
    <x v="2"/>
    <s v="Received"/>
    <s v="Al Maymanah for Contracting Co. Ltd."/>
    <x v="3"/>
    <x v="9"/>
    <x v="27"/>
    <n v="2"/>
    <n v="2026"/>
    <m/>
  </r>
  <r>
    <x v="6"/>
    <x v="88"/>
    <x v="15"/>
    <s v="Value Added Tax (VAT)"/>
    <x v="426"/>
    <s v="B003739"/>
    <x v="0"/>
    <n v="11566.51"/>
    <n v="0"/>
    <x v="0"/>
    <s v="Received"/>
    <s v="Performance - Ministry of Culture"/>
    <x v="0"/>
    <x v="20"/>
    <x v="27"/>
    <n v="2"/>
    <n v="2026"/>
    <m/>
  </r>
  <r>
    <x v="6"/>
    <x v="88"/>
    <x v="15"/>
    <s v="BT Cust Gur Fee"/>
    <x v="426"/>
    <s v="B003739"/>
    <x v="0"/>
    <n v="77110.100000000006"/>
    <n v="0"/>
    <x v="0"/>
    <s v="Received"/>
    <s v="Performance - Ministry of Culture"/>
    <x v="0"/>
    <x v="20"/>
    <x v="27"/>
    <n v="2"/>
    <n v="2026"/>
    <m/>
  </r>
  <r>
    <x v="5"/>
    <x v="101"/>
    <x v="9"/>
    <s v="Dr TI ILC Comm/Other Charges                                          _x000a_POC001-290002638                                                      _x000a_At Bank Aljazira                                                      _x000a_ CORPORATE BANKING DEPT-JEDDAH                                        _x000a_Date 02-09-1447(H) Time 13.07.35                                      _x000a_Reference ILC-0840-26-8823                                            _x000a_Value Date 02-09-1447(H)                                              _x000a_Fee Collected By Bank AlJazira                                        _x000a_"/>
    <x v="363"/>
    <s v=""/>
    <x v="0"/>
    <n v="100"/>
    <n v="0"/>
    <x v="2"/>
    <s v="Received"/>
    <s v="Mohammed Masoud Al Khaldi Est"/>
    <x v="3"/>
    <x v="10"/>
    <x v="27"/>
    <n v="2"/>
    <n v="2026"/>
    <m/>
  </r>
  <r>
    <x v="5"/>
    <x v="101"/>
    <x v="9"/>
    <s v="Value Added Tax                                                       _x000a_On ILC Acceptance Comm.                                               _x000a_15% of SAR100.00                                                      _x000a_Through CORPORATE BANKING DEPT-JEDDAH                                 _x000a_Date 02-09-1447(H) Time 13.07.35                                      _x000a_Reference ILC-0840-26-8823                                            _x000a_At Bank Aljazira                                                      _x000a_"/>
    <x v="363"/>
    <s v=""/>
    <x v="0"/>
    <n v="15"/>
    <n v="0"/>
    <x v="1"/>
    <s v="Received"/>
    <s v="Mohammed Masoud Al Khaldi Est"/>
    <x v="3"/>
    <x v="10"/>
    <x v="27"/>
    <n v="2"/>
    <n v="2026"/>
    <m/>
  </r>
  <r>
    <x v="5"/>
    <x v="101"/>
    <x v="9"/>
    <s v="Dr TI ILC Comm/Other Charges                                          _x000a_POC001-290002821                                                      _x000a_At Bank Aljazira                                                      _x000a_ CORPORATE BANKING DEPT-JEDDAH                                        _x000a_Date 02-09-1447(H) Time 13.07.36                                      _x000a_Reference ILC-0840-26-8823                                            _x000a_Value Date 02-09-1447(H)                                              _x000a_Fee Collected By Bank AlJazira                                        _x000a_"/>
    <x v="363"/>
    <s v=""/>
    <x v="0"/>
    <n v="265"/>
    <n v="0"/>
    <x v="2"/>
    <s v="Received"/>
    <s v="Mohammed Masoud Al Khaldi Est"/>
    <x v="3"/>
    <x v="10"/>
    <x v="27"/>
    <n v="2"/>
    <n v="2026"/>
    <m/>
  </r>
  <r>
    <x v="5"/>
    <x v="101"/>
    <x v="9"/>
    <s v="Value Added Tax                                                       _x000a_On ILC Acceptance Comm.                                               _x000a_15% of SAR265.00                                                      _x000a_Through CORPORATE BANKING DEPT-JEDDAH                                 _x000a_Date 02-09-1447(H) Time 13.07.36                                      _x000a_Reference ILC-0840-26-8823                                            _x000a_At Bank Aljazira                                                      _x000a_"/>
    <x v="363"/>
    <s v=""/>
    <x v="0"/>
    <n v="39.75"/>
    <n v="0"/>
    <x v="1"/>
    <s v="Received"/>
    <s v="Mohammed Masoud Al Khaldi Est"/>
    <x v="3"/>
    <x v="10"/>
    <x v="27"/>
    <n v="2"/>
    <n v="2026"/>
    <m/>
  </r>
  <r>
    <x v="5"/>
    <x v="101"/>
    <x v="9"/>
    <s v="Dr TI ILC Comm/Other Charges                                          _x000a_POC001-290002826                                                      _x000a_At Bank Aljazira                                                      _x000a_ CORPORATE BANKING DEPT-JEDDAH                                        _x000a_Date 02-09-1447(H) Time 13.07.36                                      _x000a_Reference ILC-0840-26-8823                                            _x000a_Value Date 02-09-1447(H)                                              _x000a_Fee Collected By Bank AlJazira                                        _x000a_"/>
    <x v="363"/>
    <s v=""/>
    <x v="0"/>
    <n v="200"/>
    <n v="0"/>
    <x v="2"/>
    <s v="Received"/>
    <s v="Mohammed Masoud Al Khaldi Est"/>
    <x v="3"/>
    <x v="10"/>
    <x v="27"/>
    <n v="2"/>
    <n v="2026"/>
    <m/>
  </r>
  <r>
    <x v="5"/>
    <x v="101"/>
    <x v="9"/>
    <s v="Value Added Tax                                                       _x000a_On SWIFT charges                                                      _x000a_15% of SAR200.00                                                      _x000a_Through CORPORATE BANKING DEPT-JEDDAH                                 _x000a_Date 02-09-1447(H) Time 13.07.36                                      _x000a_Reference ILC-0840-26-8823                                            _x000a_At Bank Aljazira                                                      _x000a_"/>
    <x v="363"/>
    <s v=""/>
    <x v="0"/>
    <n v="30"/>
    <n v="0"/>
    <x v="1"/>
    <s v="Received"/>
    <s v="Mohammed Masoud Al Khaldi Est"/>
    <x v="3"/>
    <x v="10"/>
    <x v="27"/>
    <n v="2"/>
    <n v="2026"/>
    <m/>
  </r>
  <r>
    <x v="5"/>
    <x v="102"/>
    <x v="9"/>
    <s v="TI Bill Settled                                                       _x000a_POC009                                                                _x000a_At Bank AlJazira                                                      _x000a_CORPORATE BANKING DEPT-JEDDAH                                         _x000a_Date 06-09-1447(H) Time 13.09.04                                      _x000a_Reference ILC-0840-25-8159                                            _x000a_"/>
    <x v="84"/>
    <s v="ILC-0840-25-8159"/>
    <x v="0"/>
    <n v="519801.15"/>
    <n v="0"/>
    <x v="4"/>
    <s v="Received"/>
    <s v="AL FALWA CO. LTD. FOR READYMIX CONCRETE"/>
    <x v="0"/>
    <x v="10"/>
    <x v="27"/>
    <n v="2"/>
    <n v="2026"/>
    <m/>
  </r>
  <r>
    <x v="5"/>
    <x v="103"/>
    <x v="9"/>
    <s v="Dr TI ILC Comm/Other Charges                                          _x000a_POC001-290373886                                                      _x000a_At Bank Aljazira                                                      _x000a_ CORPORATE BANKING DEPT-JEDDAH                                        _x000a_Date 07-09-1447(H) Time 15.51.13                                      _x000a_Reference ILC-0840-25-7984                                            _x000a_Value Date 07-09-1447(H)                                              _x000a_Fee Collected By Bank AlJazira                                        _x000a_"/>
    <x v="80"/>
    <s v=""/>
    <x v="0"/>
    <n v="100"/>
    <n v="0"/>
    <x v="2"/>
    <s v="Received"/>
    <s v="Mohammed Ramadan Shat"/>
    <x v="3"/>
    <x v="10"/>
    <x v="27"/>
    <n v="2"/>
    <n v="2026"/>
    <m/>
  </r>
  <r>
    <x v="5"/>
    <x v="103"/>
    <x v="9"/>
    <s v="Value Added Tax                                                       _x000a_On ILC Acceptance Comm.                                               _x000a_15% of SAR100.00                                                      _x000a_Through CORPORATE BANKING DEPT-JEDDAH                                 _x000a_Date 07-09-1447(H) Time 15.51.13                                      _x000a_Reference ILC-0840-25-7984                                            _x000a_At Bank Aljazira                                                      _x000a_"/>
    <x v="80"/>
    <s v=""/>
    <x v="0"/>
    <n v="15"/>
    <n v="0"/>
    <x v="1"/>
    <s v="Received"/>
    <s v="Mohammed Ramadan Shat"/>
    <x v="3"/>
    <x v="10"/>
    <x v="27"/>
    <n v="2"/>
    <n v="2026"/>
    <m/>
  </r>
  <r>
    <x v="5"/>
    <x v="103"/>
    <x v="9"/>
    <s v="Dr TI ILC Comm/Other Charges                                          _x000a_POC001-290373926                                                      _x000a_At Bank Aljazira                                                      _x000a_ CORPORATE BANKING DEPT-JEDDAH                                        _x000a_Date 07-09-1447(H) Time 15.51.13                                      _x000a_Reference ILC-0840-25-7984                                            _x000a_Value Date 07-09-1447(H)                                              _x000a_Fee Collected By Bank AlJazira                                        _x000a_"/>
    <x v="80"/>
    <s v=""/>
    <x v="0"/>
    <n v="250"/>
    <n v="0"/>
    <x v="2"/>
    <s v="Received"/>
    <s v="Mohammed Ramadan Shat"/>
    <x v="3"/>
    <x v="10"/>
    <x v="27"/>
    <n v="2"/>
    <n v="2026"/>
    <m/>
  </r>
  <r>
    <x v="5"/>
    <x v="103"/>
    <x v="9"/>
    <s v="Value Added Tax                                                       _x000a_On ILC Acceptance Comm.                                               _x000a_15% of SAR250.00                                                      _x000a_Through CORPORATE BANKING DEPT-JEDDAH                                 _x000a_Date 07-09-1447(H) Time 15.51.14                                      _x000a_Reference ILC-0840-25-7984                                            _x000a_At Bank Aljazira                                                      _x000a_"/>
    <x v="80"/>
    <s v=""/>
    <x v="0"/>
    <n v="37.5"/>
    <n v="0"/>
    <x v="1"/>
    <s v="Received"/>
    <s v="Mohammed Ramadan Shat"/>
    <x v="3"/>
    <x v="10"/>
    <x v="27"/>
    <n v="2"/>
    <n v="2026"/>
    <m/>
  </r>
  <r>
    <x v="5"/>
    <x v="103"/>
    <x v="9"/>
    <s v="Dr TI ILC Comm/Other Charges                                          _x000a_POC001-290373928                                                      _x000a_At Bank Aljazira                                                      _x000a_ CORPORATE BANKING DEPT-JEDDAH                                        _x000a_Date 07-09-1447(H) Time 15.51.14                                      _x000a_Reference ILC-0840-25-7984                                            _x000a_Value Date 07-09-1447(H)                                              _x000a_Fee Collected By Bank AlJazira                                        _x000a_"/>
    <x v="80"/>
    <s v=""/>
    <x v="0"/>
    <n v="200"/>
    <n v="0"/>
    <x v="2"/>
    <s v="Received"/>
    <s v="Mohammed Ramadan Shat"/>
    <x v="3"/>
    <x v="10"/>
    <x v="27"/>
    <n v="2"/>
    <n v="2026"/>
    <m/>
  </r>
  <r>
    <x v="5"/>
    <x v="103"/>
    <x v="9"/>
    <s v="Value Added Tax                                                       _x000a_On SWIFT charges                                                      _x000a_15% of SAR200.00                                                      _x000a_Through CORPORATE BANKING DEPT-JEDDAH                                 _x000a_Date 07-09-1447(H) Time 15.51.14                                      _x000a_Reference ILC-0840-25-7984                                            _x000a_At Bank Aljazira                                                      _x000a_"/>
    <x v="80"/>
    <s v=""/>
    <x v="0"/>
    <n v="30"/>
    <n v="0"/>
    <x v="1"/>
    <s v="Received"/>
    <s v="Mohammed Ramadan Shat"/>
    <x v="3"/>
    <x v="10"/>
    <x v="27"/>
    <n v="2"/>
    <n v="2026"/>
    <m/>
  </r>
  <r>
    <x v="5"/>
    <x v="103"/>
    <x v="9"/>
    <s v="Dr TI ILC Comm/Other Charges                                          _x000a_POC001-290372557                                                      _x000a_At Bank Aljazira                                                      _x000a_ CORPORATE BANKING DEPT-JEDDAH                                        _x000a_Exchange Rate 1.0                                                     _x000a_Date 07-09-1447(H) Time 15.51.43                                      _x000a_Reference ILC-0840-25-8164                                            _x000a_Value Date 07-09-1447(H)                                              _x000a_Fee Collected By Bank AlJazira                                        _x000a_"/>
    <x v="312"/>
    <s v=""/>
    <x v="0"/>
    <n v="100"/>
    <n v="0"/>
    <x v="2"/>
    <s v="Received"/>
    <s v="Mohammed Ramadan Shat Factory"/>
    <x v="3"/>
    <x v="10"/>
    <x v="27"/>
    <n v="2"/>
    <n v="2026"/>
    <m/>
  </r>
  <r>
    <x v="5"/>
    <x v="103"/>
    <x v="9"/>
    <s v="Value Added Tax                                                       _x000a_On ILC Acceptance Comm.                                               _x000a_15% of SAR100.00                                                      _x000a_Through CORPORATE BANKING DEPT-JEDDAH                                 _x000a_Date 07-09-1447(H) Time 15.51.43                                      _x000a_Reference ILC-0840-25-8164                                            _x000a_At Bank Aljazira                                                      _x000a_Exchange Rate 1.0                                                     _x000a_"/>
    <x v="312"/>
    <s v=""/>
    <x v="0"/>
    <n v="15"/>
    <n v="0"/>
    <x v="1"/>
    <s v="Received"/>
    <s v="Mohammed Ramadan Shat Factory"/>
    <x v="3"/>
    <x v="10"/>
    <x v="27"/>
    <n v="2"/>
    <n v="2026"/>
    <m/>
  </r>
  <r>
    <x v="5"/>
    <x v="103"/>
    <x v="9"/>
    <s v="Dr TI ILC Comm/Other Charges                                          _x000a_POC001-290372597                                                      _x000a_At Bank Aljazira                                                      _x000a_ CORPORATE BANKING DEPT-JEDDAH                                        _x000a_Exchange Rate 1.0                                                     _x000a_Date 07-09-1447(H) Time 15.51.44                                      _x000a_Reference ILC-0840-25-8164                                            _x000a_Value Date 07-09-1447(H)                                              _x000a_Fee Collected By Bank AlJazira                                        _x000a_"/>
    <x v="312"/>
    <s v=""/>
    <x v="0"/>
    <n v="250"/>
    <n v="0"/>
    <x v="2"/>
    <s v="Received"/>
    <s v="Mohammed Ramadan Shat Factory"/>
    <x v="3"/>
    <x v="10"/>
    <x v="27"/>
    <n v="2"/>
    <n v="2026"/>
    <m/>
  </r>
  <r>
    <x v="5"/>
    <x v="103"/>
    <x v="9"/>
    <s v="Value Added Tax                                                       _x000a_On ILC Acceptance Comm.                                               _x000a_15% of SAR250.00                                                      _x000a_Through CORPORATE BANKING DEPT-JEDDAH                                 _x000a_Date 07-09-1447(H) Time 15.51.44                                      _x000a_Reference ILC-0840-25-8164                                            _x000a_At Bank Aljazira                                                      _x000a_Exchange Rate 1.0                                                     _x000a_"/>
    <x v="312"/>
    <s v=""/>
    <x v="0"/>
    <n v="37.5"/>
    <n v="0"/>
    <x v="1"/>
    <s v="Received"/>
    <s v="Mohammed Ramadan Shat Factory"/>
    <x v="3"/>
    <x v="10"/>
    <x v="27"/>
    <n v="2"/>
    <n v="2026"/>
    <m/>
  </r>
  <r>
    <x v="5"/>
    <x v="103"/>
    <x v="9"/>
    <s v="Dr TI ILC Comm/Other Charges                                          _x000a_POC001-290372599                                                      _x000a_At Bank Aljazira                                                      _x000a_ CORPORATE BANKING DEPT-JEDDAH                                        _x000a_Exchange Rate 1.0                                                     _x000a_Date 07-09-1447(H) Time 15.51.45                                      _x000a_Reference ILC-0840-25-8164                                            _x000a_Value Date 07-09-1447(H)                                              _x000a_Fee Collected By Bank AlJazira                                        _x000a_"/>
    <x v="312"/>
    <s v=""/>
    <x v="0"/>
    <n v="200"/>
    <n v="0"/>
    <x v="2"/>
    <s v="Received"/>
    <s v="Mohammed Ramadan Shat Factory"/>
    <x v="3"/>
    <x v="10"/>
    <x v="27"/>
    <n v="2"/>
    <n v="2026"/>
    <m/>
  </r>
  <r>
    <x v="5"/>
    <x v="103"/>
    <x v="9"/>
    <s v="Value Added Tax                                                       _x000a_On SWIFT charges                                                      _x000a_15% of SAR200.00                                                      _x000a_Through CORPORATE BANKING DEPT-JEDDAH                                 _x000a_Date 07-09-1447(H) Time 15.51.45                                      _x000a_Reference ILC-0840-25-8164                                            _x000a_At Bank Aljazira                                                      _x000a_Exchange Rate 1.0                                                     _x000a_"/>
    <x v="312"/>
    <s v=""/>
    <x v="0"/>
    <n v="30"/>
    <n v="0"/>
    <x v="1"/>
    <s v="Received"/>
    <s v="Mohammed Ramadan Shat Factory"/>
    <x v="3"/>
    <x v="10"/>
    <x v="27"/>
    <n v="2"/>
    <n v="2026"/>
    <m/>
  </r>
  <r>
    <x v="5"/>
    <x v="103"/>
    <x v="9"/>
    <s v="Dr TI ILC Comm/Other Charges                                          _x000a_POC001-290370406                                                      _x000a_At Bank Aljazira                                                      _x000a_ CORPORATE BANKING DEPT-JEDDAH                                        _x000a_Date 07-09-1447(H) Time 15.52.45                                      _x000a_Reference ILC-0840-26-8820                                            _x000a_Value Date 07-09-1447(H)                                              _x000a_Fee Collected By Bank AlJazira                                        _x000a_"/>
    <x v="362"/>
    <s v=""/>
    <x v="0"/>
    <n v="100"/>
    <n v="0"/>
    <x v="2"/>
    <s v="Received"/>
    <s v="Alfanar Electrical Systems"/>
    <x v="3"/>
    <x v="10"/>
    <x v="27"/>
    <n v="2"/>
    <n v="2026"/>
    <m/>
  </r>
  <r>
    <x v="5"/>
    <x v="103"/>
    <x v="9"/>
    <s v="Value Added Tax                                                       _x000a_On ILC Acceptance Comm.                                               _x000a_15% of SAR100.00                                                      _x000a_Through CORPORATE BANKING DEPT-JEDDAH                                 _x000a_Date 07-09-1447(H) Time 15.52.46                                      _x000a_Reference ILC-0840-26-8820                                            _x000a_At Bank Aljazira                                                      _x000a_"/>
    <x v="362"/>
    <s v=""/>
    <x v="0"/>
    <n v="15"/>
    <n v="0"/>
    <x v="1"/>
    <s v="Received"/>
    <s v="Alfanar Electrical Systems"/>
    <x v="3"/>
    <x v="10"/>
    <x v="27"/>
    <n v="2"/>
    <n v="2026"/>
    <m/>
  </r>
  <r>
    <x v="5"/>
    <x v="103"/>
    <x v="9"/>
    <s v="Dr TI ILC Comm/Other Charges                                          _x000a_POC001-290370446                                                      _x000a_At Bank Aljazira                                                      _x000a_ CORPORATE BANKING DEPT-JEDDAH                                        _x000a_Date 07-09-1447(H) Time 15.52.46                                      _x000a_Reference ILC-0840-26-8820                                            _x000a_Value Date 07-09-1447(H)                                              _x000a_Fee Collected By Bank AlJazira                                        _x000a_"/>
    <x v="362"/>
    <s v=""/>
    <x v="0"/>
    <n v="1848"/>
    <n v="0"/>
    <x v="2"/>
    <s v="Received"/>
    <s v="Alfanar Electrical Systems"/>
    <x v="3"/>
    <x v="10"/>
    <x v="27"/>
    <n v="2"/>
    <n v="2026"/>
    <m/>
  </r>
  <r>
    <x v="5"/>
    <x v="103"/>
    <x v="9"/>
    <s v="Value Added Tax                                                       _x000a_On ILC Acceptance Comm.                                               _x000a_15% of SAR1,848.00                                                    _x000a_Through CORPORATE BANKING DEPT-JEDDAH                                 _x000a_Date 07-09-1447(H) Time 15.52.46                                      _x000a_Reference ILC-0840-26-8820                                            _x000a_At Bank Aljazira                                                      _x000a_"/>
    <x v="362"/>
    <s v=""/>
    <x v="0"/>
    <n v="277.2"/>
    <n v="0"/>
    <x v="1"/>
    <s v="Received"/>
    <s v="Alfanar Electrical Systems"/>
    <x v="3"/>
    <x v="10"/>
    <x v="27"/>
    <n v="2"/>
    <n v="2026"/>
    <m/>
  </r>
  <r>
    <x v="5"/>
    <x v="103"/>
    <x v="9"/>
    <s v="Dr TI ILC Comm/Other Charges                                          _x000a_POC001-290370448                                                      _x000a_At Bank Aljazira                                                      _x000a_ CORPORATE BANKING DEPT-JEDDAH                                        _x000a_Date 07-09-1447(H) Time 15.52.46                                      _x000a_Reference ILC-0840-26-8820                                            _x000a_Value Date 07-09-1447(H)                                              _x000a_Fee Collected By Bank AlJazira                                        _x000a_"/>
    <x v="362"/>
    <s v=""/>
    <x v="0"/>
    <n v="200"/>
    <n v="0"/>
    <x v="2"/>
    <s v="Received"/>
    <s v="Alfanar Electrical Systems"/>
    <x v="3"/>
    <x v="10"/>
    <x v="27"/>
    <n v="2"/>
    <n v="2026"/>
    <m/>
  </r>
  <r>
    <x v="5"/>
    <x v="103"/>
    <x v="9"/>
    <s v="Value Added Tax                                                       _x000a_On SWIFT charges                                                      _x000a_15% of SAR200.00                                                      _x000a_Through CORPORATE BANKING DEPT-JEDDAH                                 _x000a_Date 07-09-1447(H) Time 15.52.46                                      _x000a_Reference ILC-0840-26-8820                                            _x000a_At Bank Aljazira                                                      _x000a_"/>
    <x v="362"/>
    <s v=""/>
    <x v="0"/>
    <n v="30"/>
    <n v="0"/>
    <x v="1"/>
    <s v="Received"/>
    <s v="Alfanar Electrical Systems"/>
    <x v="3"/>
    <x v="10"/>
    <x v="27"/>
    <n v="2"/>
    <n v="2026"/>
    <m/>
  </r>
  <r>
    <x v="1"/>
    <x v="104"/>
    <x v="3"/>
    <s v="CUSTOMER = 3972500 DEAL AMT = 8096.96 DEAL CCY = GBP TAX CODE = 1 "/>
    <x v="427"/>
    <s v="TF2605600008"/>
    <x v="0"/>
    <n v="105"/>
    <n v="0"/>
    <x v="1"/>
    <s v="Received"/>
    <s v="LSI PROJECTS LIMITED"/>
    <x v="10"/>
    <x v="5"/>
    <x v="27"/>
    <n v="2"/>
    <n v="2026"/>
    <m/>
  </r>
  <r>
    <x v="1"/>
    <x v="104"/>
    <x v="3"/>
    <s v="LC SWIFT CHARGES FOR LC NO. TF2605600008\BNK"/>
    <x v="427"/>
    <s v="TF2605600008"/>
    <x v="0"/>
    <n v="700"/>
    <n v="0"/>
    <x v="3"/>
    <s v="Received"/>
    <s v="LSI PROJECTS LIMITED"/>
    <x v="10"/>
    <x v="5"/>
    <x v="27"/>
    <n v="2"/>
    <n v="2026"/>
    <m/>
  </r>
  <r>
    <x v="1"/>
    <x v="104"/>
    <x v="3"/>
    <s v="CUSTOMER = 3972500 DEAL AMT = 8096.96 DEAL CCY = GBP TAX CODE = 1 "/>
    <x v="427"/>
    <s v="TF2605600008"/>
    <x v="0"/>
    <n v="1214.54"/>
    <n v="0"/>
    <x v="1"/>
    <s v="Received"/>
    <s v="LSI PROJECTS LIMITED"/>
    <x v="10"/>
    <x v="5"/>
    <x v="27"/>
    <n v="2"/>
    <n v="2026"/>
    <m/>
  </r>
  <r>
    <x v="1"/>
    <x v="104"/>
    <x v="3"/>
    <s v="LC OPENING COMMISSION - DEBIT FOR LC NO. TF2605600008\BNK"/>
    <x v="427"/>
    <s v="TF2605600008"/>
    <x v="0"/>
    <n v="8096.96"/>
    <n v="0"/>
    <x v="8"/>
    <s v="Received"/>
    <s v="LSI PROJECTS LIMITED"/>
    <x v="10"/>
    <x v="5"/>
    <x v="27"/>
    <n v="2"/>
    <n v="2026"/>
    <m/>
  </r>
  <r>
    <x v="0"/>
    <x v="104"/>
    <x v="0"/>
    <s v="RB REF JLG6902554,VIA CORE SYSTEM,DATE-TIME 25/02-13:14:35, عن طريق النظام الآ لي ,VALUE DT 25/02/26"/>
    <x v="245"/>
    <s v=""/>
    <x v="0"/>
    <n v="57.5"/>
    <n v="0"/>
    <x v="17"/>
    <s v="Received"/>
    <s v="Advance - JEDDAH CENTRAL DEVELOPMENT COMPANY"/>
    <x v="1"/>
    <x v="3"/>
    <x v="27"/>
    <n v="2"/>
    <n v="2026"/>
    <m/>
  </r>
  <r>
    <x v="5"/>
    <x v="104"/>
    <x v="9"/>
    <s v="TI Bill Settled                                                       _x000a_POC003                                                                _x000a_At Bank AlJazira                                                      _x000a_CORPORATE BANKING DEPT-JEDDAH                                         _x000a_Date 08-09-1447(H) Time 10.11.48                                      _x000a_Reference ILC-0840-25-8473                                            _x000a_"/>
    <x v="146"/>
    <s v=""/>
    <x v="0"/>
    <n v="282279.51"/>
    <n v="0"/>
    <x v="4"/>
    <s v="Received"/>
    <s v="RAWABI AL MAHFAR TRADING CO."/>
    <x v="3"/>
    <x v="10"/>
    <x v="27"/>
    <n v="2"/>
    <n v="2026"/>
    <m/>
  </r>
  <r>
    <x v="1"/>
    <x v="105"/>
    <x v="3"/>
    <s v="CUSTOMER = 3972500 DEAL AMT = 150 DEAL CCY = EUR TAX CODE = 1 "/>
    <x v="331"/>
    <s v="TF253520002102"/>
    <x v="0"/>
    <n v="22.5"/>
    <n v="0"/>
    <x v="1"/>
    <s v="Received"/>
    <s v="Osalas GMBH"/>
    <x v="0"/>
    <x v="14"/>
    <x v="27"/>
    <n v="2"/>
    <n v="2026"/>
    <m/>
  </r>
  <r>
    <x v="1"/>
    <x v="105"/>
    <x v="3"/>
    <s v="LC SWIFT CHARGES FOR LC NO. TF253520002102\BNK"/>
    <x v="331"/>
    <s v="TF253520002102"/>
    <x v="0"/>
    <n v="150"/>
    <n v="0"/>
    <x v="3"/>
    <s v="Received"/>
    <s v="Osalas GMBH"/>
    <x v="0"/>
    <x v="14"/>
    <x v="27"/>
    <n v="2"/>
    <n v="2026"/>
    <m/>
  </r>
  <r>
    <x v="1"/>
    <x v="105"/>
    <x v="3"/>
    <s v="REIMBURSE UNDER LCS DR FOR LC NO. TF253520002102\BNK"/>
    <x v="331"/>
    <s v="TF253520002102"/>
    <x v="0"/>
    <n v="4348012.5"/>
    <n v="0"/>
    <x v="4"/>
    <s v="Received"/>
    <s v="Osalas GMBH"/>
    <x v="0"/>
    <x v="14"/>
    <x v="27"/>
    <n v="2"/>
    <n v="2026"/>
    <m/>
  </r>
  <r>
    <x v="0"/>
    <x v="105"/>
    <x v="14"/>
    <s v="RB REF JLG6605266,VIA CORE SYSTEM,DATE-TIME 26/02-10:00:46, عن طريق النظام الآ لي ,VALUE DT 26/02/26"/>
    <x v="1"/>
    <s v=""/>
    <x v="0"/>
    <n v="1134227.75"/>
    <n v="0"/>
    <x v="17"/>
    <s v="Received"/>
    <s v="Advance - SAUDI ENTERTAINMENT VENTURES COMPANY (SEVEN)"/>
    <x v="1"/>
    <x v="1"/>
    <x v="27"/>
    <n v="2"/>
    <n v="2026"/>
    <m/>
  </r>
  <r>
    <x v="2"/>
    <x v="105"/>
    <x v="4"/>
    <s v="CITY:Jeddah 6132226J211987000"/>
    <x v="428"/>
    <s v="J211987000"/>
    <x v="0"/>
    <n v="1035"/>
    <n v="0"/>
    <x v="8"/>
    <s v="Received"/>
    <s v="Building System Intelligent Contractor BSICO"/>
    <x v="4"/>
    <x v="11"/>
    <x v="27"/>
    <n v="2"/>
    <n v="2026"/>
    <m/>
  </r>
  <r>
    <x v="5"/>
    <x v="105"/>
    <x v="9"/>
    <s v="TI Bill Settled                                                       _x000a_POC002                                                                _x000a_At Bank AlJazira                                                      _x000a_CORPORATE BANKING DEPT-JEDDAH                                         _x000a_Date 09-09-1447(H) Time 10.05.25                                      _x000a_Reference ILC-0840-25-8471                                            _x000a_"/>
    <x v="144"/>
    <s v=""/>
    <x v="0"/>
    <n v="2000000.93"/>
    <n v="0"/>
    <x v="4"/>
    <s v="Received"/>
    <s v="ALFANAR ELECTRICAL SYSTEMS"/>
    <x v="3"/>
    <x v="10"/>
    <x v="27"/>
    <n v="2"/>
    <n v="2026"/>
    <m/>
  </r>
  <r>
    <x v="1"/>
    <x v="106"/>
    <x v="3"/>
    <s v="CUSTOMER = 3972500 DEAL AMT = 100.00 DEAL CCY = SAR TAX CODE = 1 "/>
    <x v="429"/>
    <s v="TF260360001401"/>
    <x v="0"/>
    <n v="15"/>
    <n v="0"/>
    <x v="1"/>
    <s v="Received"/>
    <e v="#N/A"/>
    <x v="7"/>
    <x v="12"/>
    <x v="27"/>
    <n v="3"/>
    <n v="2026"/>
    <m/>
  </r>
  <r>
    <x v="1"/>
    <x v="106"/>
    <x v="3"/>
    <s v="LC SWIFT CHARGES FOR LC NO. TF260360001401\BNK"/>
    <x v="429"/>
    <s v="TF260360001401"/>
    <x v="0"/>
    <n v="100"/>
    <n v="0"/>
    <x v="3"/>
    <s v="Received"/>
    <e v="#N/A"/>
    <x v="7"/>
    <x v="12"/>
    <x v="27"/>
    <n v="3"/>
    <n v="2026"/>
    <m/>
  </r>
  <r>
    <x v="1"/>
    <x v="106"/>
    <x v="3"/>
    <s v="CUSTOMER = 3972500 DEAL AMT = 750.00 DEAL CCY = SAR TAX CODE = 1 "/>
    <x v="429"/>
    <s v="TF260360001401"/>
    <x v="0"/>
    <n v="112.5"/>
    <n v="0"/>
    <x v="1"/>
    <s v="Received"/>
    <e v="#N/A"/>
    <x v="7"/>
    <x v="12"/>
    <x v="27"/>
    <n v="3"/>
    <n v="2026"/>
    <m/>
  </r>
  <r>
    <x v="1"/>
    <x v="106"/>
    <x v="3"/>
    <s v="LC INWARD COLLECTION FEE FOR LC NO. TF260360001401\BNK"/>
    <x v="429"/>
    <s v="TF260360001401"/>
    <x v="0"/>
    <n v="750"/>
    <n v="0"/>
    <x v="6"/>
    <s v="Received"/>
    <e v="#N/A"/>
    <x v="7"/>
    <x v="12"/>
    <x v="27"/>
    <n v="3"/>
    <n v="2026"/>
    <m/>
  </r>
  <r>
    <x v="1"/>
    <x v="106"/>
    <x v="3"/>
    <s v="REIMBURSE UNDER LCS DR FOR LC NO. TF260360001401\BNK"/>
    <x v="429"/>
    <s v="TF260360001401"/>
    <x v="0"/>
    <n v="204357"/>
    <n v="0"/>
    <x v="4"/>
    <s v="Received"/>
    <e v="#N/A"/>
    <x v="7"/>
    <x v="12"/>
    <x v="27"/>
    <n v="3"/>
    <n v="2026"/>
    <m/>
  </r>
  <r>
    <x v="1"/>
    <x v="107"/>
    <x v="3"/>
    <s v="CUSTOMER = 3972500 DEAL AMT = 4447.84 DEAL CCY = SAR TAX CODE = 1 "/>
    <x v="333"/>
    <s v="TF2526500019"/>
    <x v="0"/>
    <n v="37.5"/>
    <n v="0"/>
    <x v="1"/>
    <s v="Received"/>
    <s v="Future Pipe Industries LLC"/>
    <x v="0"/>
    <x v="7"/>
    <x v="27"/>
    <n v="3"/>
    <n v="2026"/>
    <m/>
  </r>
  <r>
    <x v="1"/>
    <x v="107"/>
    <x v="3"/>
    <s v="LC SWIFT CHARGES FOR LC NO. TF2526500019\BNK"/>
    <x v="333"/>
    <s v="TF2526500019"/>
    <x v="0"/>
    <n v="250"/>
    <n v="0"/>
    <x v="3"/>
    <s v="Received"/>
    <s v="Future Pipe Industries LLC"/>
    <x v="0"/>
    <x v="7"/>
    <x v="27"/>
    <n v="3"/>
    <n v="2026"/>
    <m/>
  </r>
  <r>
    <x v="1"/>
    <x v="107"/>
    <x v="3"/>
    <s v="CUSTOMER = 3972500 DEAL AMT = 4447.84 DEAL CCY = SAR TAX CODE = 1 "/>
    <x v="333"/>
    <s v="TF2526500019"/>
    <x v="0"/>
    <n v="667.18"/>
    <n v="0"/>
    <x v="1"/>
    <s v="Received"/>
    <s v="Future Pipe Industries LLC"/>
    <x v="0"/>
    <x v="7"/>
    <x v="27"/>
    <n v="3"/>
    <n v="2026"/>
    <m/>
  </r>
  <r>
    <x v="1"/>
    <x v="107"/>
    <x v="3"/>
    <s v="LC AMENDMENT COMMISSION FOR LC NO. TF2526500019\BNK"/>
    <x v="333"/>
    <s v="TF2526500019"/>
    <x v="0"/>
    <n v="4447.84"/>
    <n v="0"/>
    <x v="5"/>
    <s v="Received"/>
    <s v="Future Pipe Industries LLC"/>
    <x v="0"/>
    <x v="7"/>
    <x v="27"/>
    <n v="3"/>
    <n v="2026"/>
    <m/>
  </r>
  <r>
    <x v="1"/>
    <x v="107"/>
    <x v="3"/>
    <s v="CUSTOMER = 3972500 DEAL AMT = 5185.78 DEAL CCY = SAR TAX CODE = 1 "/>
    <x v="90"/>
    <s v="TF2527100025"/>
    <x v="0"/>
    <n v="37.5"/>
    <n v="0"/>
    <x v="1"/>
    <s v="Received"/>
    <s v="BRC Industrial (Saudia) Company"/>
    <x v="0"/>
    <x v="7"/>
    <x v="27"/>
    <n v="3"/>
    <n v="2026"/>
    <m/>
  </r>
  <r>
    <x v="1"/>
    <x v="107"/>
    <x v="3"/>
    <s v="LC SWIFT CHARGES FOR LC NO. TF2527100025\BNK"/>
    <x v="90"/>
    <s v="TF2527100025"/>
    <x v="0"/>
    <n v="250"/>
    <n v="0"/>
    <x v="3"/>
    <s v="Received"/>
    <s v="BRC Industrial (Saudia) Company"/>
    <x v="0"/>
    <x v="7"/>
    <x v="27"/>
    <n v="3"/>
    <n v="2026"/>
    <m/>
  </r>
  <r>
    <x v="1"/>
    <x v="107"/>
    <x v="3"/>
    <s v="CUSTOMER = 3972500 DEAL AMT = 5185.78 DEAL CCY = SAR TAX CODE = 1 "/>
    <x v="90"/>
    <s v="TF2527100025"/>
    <x v="0"/>
    <n v="777.87"/>
    <n v="0"/>
    <x v="1"/>
    <s v="Received"/>
    <s v="BRC Industrial (Saudia) Company"/>
    <x v="0"/>
    <x v="7"/>
    <x v="27"/>
    <n v="3"/>
    <n v="2026"/>
    <m/>
  </r>
  <r>
    <x v="1"/>
    <x v="107"/>
    <x v="3"/>
    <s v="LC AMENDMENT COMMISSION FOR LC NO. TF2527100025\BNK"/>
    <x v="90"/>
    <s v="TF2527100025"/>
    <x v="0"/>
    <n v="5185.78"/>
    <n v="0"/>
    <x v="5"/>
    <s v="Received"/>
    <s v="BRC Industrial (Saudia) Company"/>
    <x v="0"/>
    <x v="7"/>
    <x v="27"/>
    <n v="3"/>
    <n v="2026"/>
    <m/>
  </r>
  <r>
    <x v="1"/>
    <x v="107"/>
    <x v="3"/>
    <s v="CUSTOMER = 3972500 DEAL AMT = 150 DEAL CCY = EUR TAX CODE = 1 "/>
    <x v="331"/>
    <s v="TF253520002103"/>
    <x v="0"/>
    <n v="22.5"/>
    <n v="0"/>
    <x v="1"/>
    <s v="Received"/>
    <s v="Osalas GMBH"/>
    <x v="0"/>
    <x v="14"/>
    <x v="27"/>
    <n v="3"/>
    <n v="2026"/>
    <m/>
  </r>
  <r>
    <x v="1"/>
    <x v="107"/>
    <x v="3"/>
    <s v="LC SWIFT CHARGES FOR LC NO. TF253520002103\BNK"/>
    <x v="331"/>
    <s v="TF253520002103"/>
    <x v="0"/>
    <n v="150"/>
    <n v="0"/>
    <x v="3"/>
    <s v="Received"/>
    <s v="Osalas GMBH"/>
    <x v="0"/>
    <x v="14"/>
    <x v="27"/>
    <n v="3"/>
    <n v="2026"/>
    <m/>
  </r>
  <r>
    <x v="1"/>
    <x v="107"/>
    <x v="3"/>
    <s v="REIMBURSE UNDER LCS DR FOR LC NO. TF253520002103\BNK"/>
    <x v="331"/>
    <s v="TF253520002103"/>
    <x v="0"/>
    <n v="3778014.5"/>
    <n v="0"/>
    <x v="4"/>
    <s v="Received"/>
    <s v="Osalas GMBH"/>
    <x v="0"/>
    <x v="14"/>
    <x v="27"/>
    <n v="3"/>
    <n v="2026"/>
    <m/>
  </r>
  <r>
    <x v="0"/>
    <x v="106"/>
    <x v="0"/>
    <s v="RB REF JLG6901089,VIA CORE SYSTEM,DATE-TIME 01/03-11:36:01, عن طريق النظام الآ لي ,VALUE DT 01/03/26"/>
    <x v="430"/>
    <s v=""/>
    <x v="0"/>
    <n v="690"/>
    <n v="0"/>
    <x v="17"/>
    <s v="Received"/>
    <s v="Financial - CATRION CATERING HOLDING COMPANY"/>
    <x v="1"/>
    <x v="15"/>
    <x v="27"/>
    <n v="3"/>
    <n v="2026"/>
    <m/>
  </r>
  <r>
    <x v="2"/>
    <x v="106"/>
    <x v="4"/>
    <s v="CITY:Jeddah 6132226J211985000"/>
    <x v="431"/>
    <s v="J211985000"/>
    <x v="0"/>
    <n v="6612.86"/>
    <n v="0"/>
    <x v="8"/>
    <s v="Received"/>
    <s v="High Al Shuhra Contracting Company"/>
    <x v="0"/>
    <x v="7"/>
    <x v="27"/>
    <n v="3"/>
    <n v="2026"/>
    <m/>
  </r>
  <r>
    <x v="2"/>
    <x v="106"/>
    <x v="4"/>
    <s v="CITY:Jeddah 6132226J211986000"/>
    <x v="432"/>
    <s v="J211986000"/>
    <x v="0"/>
    <n v="1418.33"/>
    <n v="0"/>
    <x v="8"/>
    <s v="Received"/>
    <s v="Koon Trading Company"/>
    <x v="4"/>
    <x v="11"/>
    <x v="27"/>
    <n v="3"/>
    <n v="2026"/>
    <m/>
  </r>
  <r>
    <x v="3"/>
    <x v="106"/>
    <x v="6"/>
    <s v="DPBCOR629221WPM DCBWPM567554"/>
    <x v="101"/>
    <s v="DPBCOR629221WPM"/>
    <x v="0"/>
    <n v="336122.53"/>
    <n v="0"/>
    <x v="4"/>
    <s v="Received"/>
    <s v="TAWREED INTEGRATED INDUSTRIES"/>
    <x v="3"/>
    <x v="9"/>
    <x v="27"/>
    <n v="3"/>
    <n v="2026"/>
    <m/>
  </r>
  <r>
    <x v="3"/>
    <x v="107"/>
    <x v="5"/>
    <s v="IMP BILL COMM DPBCOR214728WPM DCBWPM563043"/>
    <x v="249"/>
    <s v="DPBCOR214728WPM"/>
    <x v="0"/>
    <n v="575"/>
    <n v="0"/>
    <x v="2"/>
    <s v="Received"/>
    <s v="Systemair For Electrical Equipment Co."/>
    <x v="3"/>
    <x v="8"/>
    <x v="27"/>
    <n v="3"/>
    <n v="2026"/>
    <m/>
  </r>
  <r>
    <x v="0"/>
    <x v="108"/>
    <x v="0"/>
    <s v="RB REF JLG6900058,VIA CORE SYSTEM,DATE-TIME 03/03-11:05:11, عن طريق النظام الآ لي ,VALUE DT 03/03/26"/>
    <x v="367"/>
    <s v=""/>
    <x v="0"/>
    <n v="4312.5"/>
    <n v="0"/>
    <x v="17"/>
    <s v="Received"/>
    <s v="Performance - CROWN PRINCE PRIVATE AFFAIRS (CPPA)"/>
    <x v="2"/>
    <x v="17"/>
    <x v="27"/>
    <n v="3"/>
    <n v="2026"/>
    <m/>
  </r>
  <r>
    <x v="0"/>
    <x v="108"/>
    <x v="0"/>
    <s v="RB REF JLG7000680,VIA CORE SYSTEM,DATE-TIME 03/03-12:32:42, عن طريق النظام الآ لي ,VALUE DT 03/03/26"/>
    <x v="433"/>
    <s v=""/>
    <x v="0"/>
    <n v="322391"/>
    <n v="0"/>
    <x v="17"/>
    <s v="Received"/>
    <s v="Advance - THE JOINT VENTURE OF THE BRANCH OF EL SEWEDY ELECTRIC FOR POWER SYSTEMS (PSP) AND THE BRANCH OF SINOHYDRO CORPORATION LIMITED (SHC)"/>
    <x v="0"/>
    <x v="19"/>
    <x v="27"/>
    <n v="3"/>
    <n v="2026"/>
    <m/>
  </r>
  <r>
    <x v="0"/>
    <x v="108"/>
    <x v="14"/>
    <s v="RB REF JLG6605266,VIA CORE SYSTEM,DATE-TIME 03/03-15:34:36, عن طريق النظام الآ لي ,VALUE DT 03/03/26"/>
    <x v="1"/>
    <s v=""/>
    <x v="0"/>
    <n v="756151.45"/>
    <n v="0"/>
    <x v="17"/>
    <s v="Received"/>
    <s v="Advance - SAUDI ENTERTAINMENT VENTURES COMPANY (SEVEN)"/>
    <x v="1"/>
    <x v="1"/>
    <x v="27"/>
    <n v="3"/>
    <n v="2026"/>
    <m/>
  </r>
  <r>
    <x v="3"/>
    <x v="108"/>
    <x v="6"/>
    <s v="DC AMENDMENT COMM CHARGES DCBWPM558787"/>
    <x v="164"/>
    <s v="DCBWPM558787"/>
    <x v="0"/>
    <n v="1265"/>
    <n v="0"/>
    <x v="2"/>
    <s v="Received"/>
    <s v="Mimar for Construction Tools &amp; Tradina Ltd."/>
    <x v="3"/>
    <x v="9"/>
    <x v="27"/>
    <n v="3"/>
    <n v="2026"/>
    <m/>
  </r>
  <r>
    <x v="3"/>
    <x v="108"/>
    <x v="6"/>
    <s v="DPBEPM626537WPM DCBWPM566972"/>
    <x v="49"/>
    <s v="DPBEPM626537WPM"/>
    <x v="0"/>
    <n v="600000"/>
    <n v="0"/>
    <x v="4"/>
    <s v="Received"/>
    <s v="Electric House Trading Company L.L.C."/>
    <x v="3"/>
    <x v="9"/>
    <x v="27"/>
    <n v="3"/>
    <n v="2026"/>
    <m/>
  </r>
  <r>
    <x v="3"/>
    <x v="108"/>
    <x v="6"/>
    <s v="GTE AMEND COMM CHARGES PEBGCU431928"/>
    <x v="434"/>
    <s v="PEBGCU431928"/>
    <x v="0"/>
    <n v="9630.4699999999993"/>
    <n v="0"/>
    <x v="2"/>
    <s v="Received"/>
    <s v="Performance - NEOM Company"/>
    <x v="4"/>
    <x v="2"/>
    <x v="27"/>
    <n v="3"/>
    <n v="2026"/>
    <m/>
  </r>
  <r>
    <x v="1"/>
    <x v="109"/>
    <x v="3"/>
    <s v="CUSTOMER = 3972500 DEAL AMT = 75 DEAL CCY = SAR TAX CODE = 1 "/>
    <x v="275"/>
    <s v="TF253350001001"/>
    <x v="0"/>
    <n v="11.25"/>
    <n v="0"/>
    <x v="1"/>
    <s v="Received"/>
    <s v="Depth Modern Technologies Co."/>
    <x v="3"/>
    <x v="5"/>
    <x v="27"/>
    <n v="3"/>
    <n v="2026"/>
    <m/>
  </r>
  <r>
    <x v="1"/>
    <x v="109"/>
    <x v="3"/>
    <s v="LC SWIFT CHARGES FOR LC NO. TF253350001001\BNK"/>
    <x v="275"/>
    <s v="TF253350001001"/>
    <x v="0"/>
    <n v="75"/>
    <n v="0"/>
    <x v="3"/>
    <s v="Received"/>
    <s v="Depth Modern Technologies Co."/>
    <x v="3"/>
    <x v="5"/>
    <x v="27"/>
    <n v="3"/>
    <n v="2026"/>
    <m/>
  </r>
  <r>
    <x v="1"/>
    <x v="109"/>
    <x v="3"/>
    <s v="REIMBURSE UNDER LCS DR FOR LC NO. TF253350001001\BNK"/>
    <x v="275"/>
    <s v="TF253350001001"/>
    <x v="0"/>
    <n v="4000000"/>
    <n v="0"/>
    <x v="4"/>
    <s v="Received"/>
    <s v="Depth Modern Technologies Co."/>
    <x v="3"/>
    <x v="5"/>
    <x v="27"/>
    <n v="3"/>
    <n v="2026"/>
    <m/>
  </r>
  <r>
    <x v="1"/>
    <x v="109"/>
    <x v="3"/>
    <s v="CUSTOMER = 3972500 DEAL AMT = 3619.97 DEAL CCY = SAR TAX CODE = 1 "/>
    <x v="435"/>
    <s v="TF2606300014"/>
    <x v="0"/>
    <n v="105"/>
    <n v="0"/>
    <x v="1"/>
    <s v="Received"/>
    <s v="Awtad Jeddah for General Contracting Company"/>
    <x v="0"/>
    <x v="7"/>
    <x v="27"/>
    <n v="3"/>
    <n v="2026"/>
    <m/>
  </r>
  <r>
    <x v="1"/>
    <x v="109"/>
    <x v="3"/>
    <s v="CUSTOMER = 3972500 DEAL AMT = 3619.97 DEAL CCY = SAR TAX CODE = 1 "/>
    <x v="435"/>
    <s v="TF2606300014"/>
    <x v="0"/>
    <n v="543"/>
    <n v="0"/>
    <x v="1"/>
    <s v="Received"/>
    <s v="Awtad Jeddah for General Contracting Company"/>
    <x v="0"/>
    <x v="7"/>
    <x v="27"/>
    <n v="3"/>
    <n v="2026"/>
    <m/>
  </r>
  <r>
    <x v="1"/>
    <x v="109"/>
    <x v="3"/>
    <s v="LC SWIFT CHARGES FOR LC NO. TF2606300014\BNK"/>
    <x v="435"/>
    <s v="TF2606300014"/>
    <x v="0"/>
    <n v="700"/>
    <n v="0"/>
    <x v="3"/>
    <s v="Received"/>
    <s v="Awtad Jeddah for General Contracting Company"/>
    <x v="0"/>
    <x v="7"/>
    <x v="27"/>
    <n v="3"/>
    <n v="2026"/>
    <m/>
  </r>
  <r>
    <x v="1"/>
    <x v="109"/>
    <x v="3"/>
    <s v="LC OPENING COMMISSION - DEBIT FOR LC NO. TF2606300014\BNK"/>
    <x v="435"/>
    <s v="TF2606300014"/>
    <x v="0"/>
    <n v="3619.97"/>
    <n v="0"/>
    <x v="8"/>
    <s v="Received"/>
    <s v="Awtad Jeddah for General Contracting Company"/>
    <x v="0"/>
    <x v="7"/>
    <x v="27"/>
    <n v="3"/>
    <n v="2026"/>
    <m/>
  </r>
  <r>
    <x v="0"/>
    <x v="109"/>
    <x v="0"/>
    <s v="RB REF JLG7000450,VIA CORE SYSTEM,DATE-TIME 04/03-11:06:40, عن طريق النظام الآ لي ,VALUE DT 04/03/26"/>
    <x v="418"/>
    <s v=""/>
    <x v="0"/>
    <n v="288937.5"/>
    <n v="0"/>
    <x v="17"/>
    <s v="Received"/>
    <s v="Bid - KING SALMAN INTERNATIONAL AIRPORT (Frst Fix)"/>
    <x v="14"/>
    <x v="2"/>
    <x v="27"/>
    <n v="3"/>
    <n v="2026"/>
    <m/>
  </r>
  <r>
    <x v="3"/>
    <x v="109"/>
    <x v="6"/>
    <s v="IMP BILL AMEND. CHARGES DPBEPM214910WPM DCBWPM161322"/>
    <x v="402"/>
    <s v="DPBEPM214910WPM"/>
    <x v="0"/>
    <n v="4312.5"/>
    <n v="0"/>
    <x v="2"/>
    <s v="Received"/>
    <s v="Saudi Electric Supply Company"/>
    <x v="3"/>
    <x v="9"/>
    <x v="27"/>
    <n v="3"/>
    <n v="2026"/>
    <m/>
  </r>
  <r>
    <x v="3"/>
    <x v="109"/>
    <x v="6"/>
    <s v="GTE AMEND COMM CHARGES PEBGCU553740"/>
    <x v="436"/>
    <s v="ND COMM CHARGES"/>
    <x v="0"/>
    <n v="15378.86"/>
    <n v="0"/>
    <x v="2"/>
    <s v="Received"/>
    <s v="Performance - RIYADH AIRPORTS COMPANY (RAC) ICAD"/>
    <x v="4"/>
    <x v="18"/>
    <x v="27"/>
    <n v="3"/>
    <n v="2026"/>
    <m/>
  </r>
  <r>
    <x v="6"/>
    <x v="110"/>
    <x v="15"/>
    <s v="Value Added Tax (VAT)"/>
    <x v="426"/>
    <s v="B003739"/>
    <x v="0"/>
    <n v="23133.15"/>
    <n v="0"/>
    <x v="0"/>
    <s v="Received"/>
    <s v="Performance - Ministry of Culture"/>
    <x v="0"/>
    <x v="20"/>
    <x v="27"/>
    <n v="1"/>
    <n v="2026"/>
    <m/>
  </r>
  <r>
    <x v="6"/>
    <x v="110"/>
    <x v="15"/>
    <s v="BT Cust Gur Fee"/>
    <x v="426"/>
    <s v="B003739"/>
    <x v="0"/>
    <n v="154221"/>
    <n v="0"/>
    <x v="0"/>
    <s v="Received"/>
    <s v="Performance - Ministry of Culture"/>
    <x v="0"/>
    <x v="20"/>
    <x v="27"/>
    <n v="1"/>
    <n v="2026"/>
    <m/>
  </r>
  <r>
    <x v="1"/>
    <x v="111"/>
    <x v="3"/>
    <s v="CUSTOMER = 3972500 DEAL AMT = 75 DEAL CCY = SAR TAX CODE = 1 "/>
    <x v="184"/>
    <s v="TF251470005101"/>
    <x v="0"/>
    <n v="11.25"/>
    <n v="0"/>
    <x v="1"/>
    <s v="Received"/>
    <s v="MAWARID AISHAMELA TRADING CO."/>
    <x v="3"/>
    <x v="5"/>
    <x v="27"/>
    <n v="3"/>
    <n v="2026"/>
    <m/>
  </r>
  <r>
    <x v="1"/>
    <x v="111"/>
    <x v="3"/>
    <s v="LC SWIFT CHARGES FOR LC NO. TF251470005101\BNK"/>
    <x v="184"/>
    <s v="TF251470005101"/>
    <x v="0"/>
    <n v="75"/>
    <n v="0"/>
    <x v="3"/>
    <s v="Received"/>
    <s v="MAWARID AISHAMELA TRADING CO."/>
    <x v="3"/>
    <x v="5"/>
    <x v="27"/>
    <n v="3"/>
    <n v="2026"/>
    <m/>
  </r>
  <r>
    <x v="1"/>
    <x v="111"/>
    <x v="3"/>
    <s v="REIMBURSE UNDER LCS DR FOR LC NO. TF251470005101\BNK"/>
    <x v="184"/>
    <s v="TF251470005101"/>
    <x v="0"/>
    <n v="73962.710000000006"/>
    <n v="0"/>
    <x v="4"/>
    <s v="Received"/>
    <s v="MAWARID AISHAMELA TRADING CO."/>
    <x v="3"/>
    <x v="5"/>
    <x v="27"/>
    <n v="3"/>
    <n v="2026"/>
    <m/>
  </r>
  <r>
    <x v="1"/>
    <x v="111"/>
    <x v="3"/>
    <s v="CUSTOMER = 3972500 DEAL AMT = 75 DEAL CCY = SAR TAX CODE = 1 "/>
    <x v="186"/>
    <s v="TF251740009801"/>
    <x v="0"/>
    <n v="11.25"/>
    <n v="0"/>
    <x v="1"/>
    <s v="Received"/>
    <s v="SKM AIR CONDITIONING CO"/>
    <x v="3"/>
    <x v="6"/>
    <x v="27"/>
    <n v="3"/>
    <n v="2026"/>
    <m/>
  </r>
  <r>
    <x v="1"/>
    <x v="111"/>
    <x v="3"/>
    <s v="LC SWIFT CHARGES FOR LC NO. TF251740009801\BNK"/>
    <x v="186"/>
    <s v="TF251740009801"/>
    <x v="0"/>
    <n v="75"/>
    <n v="0"/>
    <x v="3"/>
    <s v="Received"/>
    <s v="SKM AIR CONDITIONING CO"/>
    <x v="3"/>
    <x v="6"/>
    <x v="27"/>
    <n v="3"/>
    <n v="2026"/>
    <m/>
  </r>
  <r>
    <x v="1"/>
    <x v="111"/>
    <x v="3"/>
    <s v="REIMBURSE UNDER LCS DR FOR LC NO. TF251740009801\BNK"/>
    <x v="186"/>
    <s v="TF251740009801"/>
    <x v="0"/>
    <n v="207691.38"/>
    <n v="0"/>
    <x v="4"/>
    <s v="Received"/>
    <s v="SKM AIR CONDITIONING CO"/>
    <x v="3"/>
    <x v="6"/>
    <x v="27"/>
    <n v="3"/>
    <n v="2026"/>
    <m/>
  </r>
  <r>
    <x v="1"/>
    <x v="111"/>
    <x v="3"/>
    <s v="CUSTOMER = 3972500 DEAL AMT = 300.00 DEAL CCY = GBP TAX CODE = 1 "/>
    <x v="335"/>
    <s v="TF2535900014"/>
    <x v="0"/>
    <n v="45"/>
    <n v="0"/>
    <x v="1"/>
    <s v="Received"/>
    <s v="LSI PROJECTS LIMITED"/>
    <x v="10"/>
    <x v="5"/>
    <x v="27"/>
    <n v="3"/>
    <n v="2026"/>
    <m/>
  </r>
  <r>
    <x v="1"/>
    <x v="111"/>
    <x v="3"/>
    <s v="LC COURIER CHARGES FOR LC NO. TF2535900014\BNK"/>
    <x v="335"/>
    <s v="TF2535900014"/>
    <x v="0"/>
    <n v="300"/>
    <n v="0"/>
    <x v="24"/>
    <s v="Received"/>
    <s v="LSI PROJECTS LIMITED"/>
    <x v="10"/>
    <x v="5"/>
    <x v="27"/>
    <n v="3"/>
    <n v="2026"/>
    <m/>
  </r>
  <r>
    <x v="1"/>
    <x v="111"/>
    <x v="3"/>
    <s v="CUSTOMER = 3972500 DEAL AMT = 3119.97 DEAL CCY = SAR TAX CODE = 1 "/>
    <x v="435"/>
    <s v="TF2606300014"/>
    <x v="0"/>
    <n v="468"/>
    <n v="0"/>
    <x v="1"/>
    <s v="Received"/>
    <s v="Awtad Jeddah for General Contracting Company"/>
    <x v="0"/>
    <x v="7"/>
    <x v="27"/>
    <n v="3"/>
    <n v="2026"/>
    <m/>
  </r>
  <r>
    <x v="1"/>
    <x v="111"/>
    <x v="3"/>
    <s v="LC OPENING COMMISSION - DEBIT FOR LC NO. TF2606300014\BNK"/>
    <x v="435"/>
    <s v="TF2606300014"/>
    <x v="0"/>
    <n v="3119.97"/>
    <n v="0"/>
    <x v="8"/>
    <s v="Received"/>
    <s v="Awtad Jeddah for General Contracting Company"/>
    <x v="0"/>
    <x v="7"/>
    <x v="27"/>
    <n v="3"/>
    <n v="2026"/>
    <m/>
  </r>
  <r>
    <x v="5"/>
    <x v="111"/>
    <x v="9"/>
    <s v="TI Bill Settled                                                       _x000a_POC002                                                                _x000a_At Bank AlJazira                                                      _x000a_CORPORATE BANKING DEPT-JEDDAH                                         _x000a_Date 16-09-1447(H) Time 13.26.49                                      _x000a_Reference ILC-0840-25-8165                                            _x000a_"/>
    <x v="310"/>
    <s v=""/>
    <x v="0"/>
    <n v="737540"/>
    <n v="0"/>
    <x v="4"/>
    <s v="Received"/>
    <s v="SAUDI HEPCO CO LTD"/>
    <x v="3"/>
    <x v="10"/>
    <x v="27"/>
    <n v="3"/>
    <n v="2026"/>
    <m/>
  </r>
  <r>
    <x v="3"/>
    <x v="111"/>
    <x v="6"/>
    <s v="IMP BILL COMM DPBCOR214997WPM DCBWPM161329"/>
    <x v="400"/>
    <s v="DPBCOR214997WPM"/>
    <x v="0"/>
    <n v="2156.25"/>
    <n v="0"/>
    <x v="2"/>
    <s v="Received"/>
    <s v="IDEAL CALIBER COMPANY"/>
    <x v="3"/>
    <x v="9"/>
    <x v="27"/>
    <n v="3"/>
    <n v="2026"/>
    <m/>
  </r>
  <r>
    <x v="3"/>
    <x v="111"/>
    <x v="6"/>
    <s v="DC AMENDMENT COMM CHARGES DCBCPM160316"/>
    <x v="387"/>
    <s v="DCBCPM160316"/>
    <x v="0"/>
    <n v="345"/>
    <n v="0"/>
    <x v="2"/>
    <s v="Received"/>
    <s v="Off Premises Solutions"/>
    <x v="13"/>
    <x v="8"/>
    <x v="27"/>
    <n v="3"/>
    <n v="2026"/>
    <m/>
  </r>
  <r>
    <x v="3"/>
    <x v="111"/>
    <x v="6"/>
    <s v="DC ISSUE COMM CHARGES DCBWPM162995"/>
    <x v="437"/>
    <s v="DCBWPM162995"/>
    <x v="0"/>
    <n v="2522.25"/>
    <n v="0"/>
    <x v="2"/>
    <s v="Received"/>
    <s v="Mimar For Construction Tools and Trading Ltd."/>
    <x v="3"/>
    <x v="9"/>
    <x v="27"/>
    <n v="3"/>
    <n v="2026"/>
    <m/>
  </r>
  <r>
    <x v="3"/>
    <x v="111"/>
    <x v="6"/>
    <s v="DC ISSUE COMM CHARGES DCBWPM162993"/>
    <x v="438"/>
    <s v="DCBWPM162993"/>
    <x v="0"/>
    <n v="3680"/>
    <n v="0"/>
    <x v="2"/>
    <s v="Received"/>
    <s v="Ajzal United for Safety CO.LTD."/>
    <x v="3"/>
    <x v="9"/>
    <x v="27"/>
    <n v="3"/>
    <n v="2026"/>
    <m/>
  </r>
  <r>
    <x v="3"/>
    <x v="111"/>
    <x v="6"/>
    <s v="DC ISSUE COMM CHARGES DCBWPM162992"/>
    <x v="439"/>
    <s v="DCBWPM162992"/>
    <x v="0"/>
    <n v="10984.69"/>
    <n v="0"/>
    <x v="2"/>
    <s v="Received"/>
    <s v="Al NAKHEEL FOR TRADING COMPANY"/>
    <x v="3"/>
    <x v="9"/>
    <x v="27"/>
    <n v="3"/>
    <n v="2026"/>
    <m/>
  </r>
  <r>
    <x v="0"/>
    <x v="111"/>
    <x v="0"/>
    <s v="REF 000000JLC7000006,RB REF JLC7000006,VIA CORE SYSTEM,DATE-TIME 05/03-15:21:25, عن طريق النظام الآ لي ,VALUE DT 05/03/26"/>
    <x v="347"/>
    <s v=""/>
    <x v="0"/>
    <n v="230"/>
    <n v="0"/>
    <x v="2"/>
    <s v="Received"/>
    <s v="AFKAR ALTATHBET TRADING COMPANY"/>
    <x v="3"/>
    <x v="3"/>
    <x v="27"/>
    <n v="3"/>
    <n v="2026"/>
    <m/>
  </r>
  <r>
    <x v="2"/>
    <x v="112"/>
    <x v="4"/>
    <s v="CITY:Jeddah 6132226J212030000"/>
    <x v="440"/>
    <s v="J212030000"/>
    <x v="0"/>
    <n v="1418.33"/>
    <n v="0"/>
    <x v="8"/>
    <s v="Received"/>
    <s v="Safid Co Ltd"/>
    <x v="4"/>
    <x v="11"/>
    <x v="27"/>
    <n v="3"/>
    <n v="2026"/>
    <m/>
  </r>
  <r>
    <x v="2"/>
    <x v="112"/>
    <x v="4"/>
    <s v="CITY:Jeddah 6132226J212031000"/>
    <x v="441"/>
    <s v="J212031000"/>
    <x v="0"/>
    <n v="1035"/>
    <n v="0"/>
    <x v="8"/>
    <s v="Received"/>
    <s v="Al-Assas Specialized Co"/>
    <x v="4"/>
    <x v="11"/>
    <x v="27"/>
    <n v="3"/>
    <n v="2026"/>
    <m/>
  </r>
  <r>
    <x v="3"/>
    <x v="112"/>
    <x v="6"/>
    <s v="IMP BILL COMM DPBCOR215049WPM DCBWPM161331"/>
    <x v="405"/>
    <s v="DPBCOR215049WPM"/>
    <x v="0"/>
    <n v="2156.25"/>
    <n v="0"/>
    <x v="2"/>
    <s v="Received"/>
    <s v="Afaq Al Malaz Trading Co. LTD."/>
    <x v="3"/>
    <x v="9"/>
    <x v="27"/>
    <n v="3"/>
    <n v="2026"/>
    <m/>
  </r>
  <r>
    <x v="3"/>
    <x v="112"/>
    <x v="5"/>
    <s v="IMP BILL AMEND. CHARGES DPBCOR214373WPM DCBWPM563025"/>
    <x v="194"/>
    <s v="DPBCOR214373WPM"/>
    <x v="0"/>
    <n v="287.5"/>
    <n v="0"/>
    <x v="2"/>
    <s v="Received"/>
    <s v="Riyadh Unity for Trading"/>
    <x v="3"/>
    <x v="8"/>
    <x v="27"/>
    <n v="3"/>
    <n v="2026"/>
    <m/>
  </r>
  <r>
    <x v="5"/>
    <x v="112"/>
    <x v="9"/>
    <s v="TI Bill Settled                                                       _x000a_POC005                                                                _x000a_At Bank AlJazira                                                      _x000a_CORPORATE BANKING DEPT-JEDDAH                                         _x000a_Date 19-09-1447(H) Time 11.18.04                                      _x000a_Reference ILC-0840-25-7736                                            _x000a_"/>
    <x v="86"/>
    <s v=""/>
    <x v="0"/>
    <n v="137644.65"/>
    <n v="0"/>
    <x v="4"/>
    <s v="Received"/>
    <s v="Baamer Group for Trading Company"/>
    <x v="3"/>
    <x v="10"/>
    <x v="27"/>
    <n v="3"/>
    <n v="2026"/>
    <m/>
  </r>
  <r>
    <x v="5"/>
    <x v="112"/>
    <x v="9"/>
    <s v="Dr TI LGI Commission (Earned)                                         _x000a_ISS001-291408982                                                      _x000a_At Bank AlJazira                                                      _x000a_CORPORATE BANKING DEPT-JEDDAH                                         _x000a_Date 19-09-1447(H) Time 11.30.03                                      _x000a_Reference LGI-0840-26-7930                                            _x000a_"/>
    <x v="442"/>
    <s v=""/>
    <x v="0"/>
    <n v="14322.91"/>
    <n v="0"/>
    <x v="16"/>
    <s v="Received"/>
    <s v="Bid - ROYAL COMMISSION FOR RIYADH CITY (RCRC)"/>
    <x v="1"/>
    <x v="2"/>
    <x v="27"/>
    <n v="3"/>
    <n v="2026"/>
    <m/>
  </r>
  <r>
    <x v="5"/>
    <x v="112"/>
    <x v="9"/>
    <s v="Value Added Tax                                                       _x000a_On LGI ISSUANCE COMMISSION                                            _x000a_15% of SAR14,322.91                                                   _x000a_Through CORPORATE BANKING DEPT-JEDDAH                                 _x000a_Date 19-09-1447(H) Time 11.30.04                                      _x000a_Reference LGI-0840-26-7930                                            _x000a_At Bank Aljazira                                                      _x000a_Exchange Rate 1.0                                                     _x000a_"/>
    <x v="442"/>
    <s v=""/>
    <x v="0"/>
    <n v="2148.44"/>
    <n v="0"/>
    <x v="1"/>
    <s v="Received"/>
    <s v="Bid - ROYAL COMMISSION FOR RIYADH CITY (RCRC)"/>
    <x v="1"/>
    <x v="2"/>
    <x v="27"/>
    <n v="3"/>
    <n v="2026"/>
    <m/>
  </r>
  <r>
    <x v="5"/>
    <x v="112"/>
    <x v="9"/>
    <s v="Dr TI LGI Comm/Other Charges                                          _x000a_ISS001-291408984                                                      _x000a_At Bank AlJazira                                                      _x000a_CORPORATE BANKING DEPT-JEDDAH                                         _x000a_Date 19-09-1447(H) Time 11.30.04                                      _x000a_Reference LGI-0840-26-7930                                            _x000a_"/>
    <x v="442"/>
    <s v=""/>
    <x v="0"/>
    <n v="34760.269999999997"/>
    <n v="0"/>
    <x v="16"/>
    <s v="Received"/>
    <s v="Bid - ROYAL COMMISSION FOR RIYADH CITY (RCRC)"/>
    <x v="1"/>
    <x v="2"/>
    <x v="27"/>
    <n v="3"/>
    <n v="2026"/>
    <m/>
  </r>
  <r>
    <x v="5"/>
    <x v="112"/>
    <x v="9"/>
    <s v="Value Added Tax                                                       _x000a_On LG Processing/Facility Fees                                        _x000a_15% of SAR34,760.27                                                   _x000a_Through CORPORATE BANKING DEPT-JEDDAH                                 _x000a_Date 19-09-1447(H) Time 11.30.05                                      _x000a_Reference LGI-0840-26-7930                                            _x000a_At Bank Aljazira                                                      _x000a_Exchange Rate 1.0                                                     _x000a_"/>
    <x v="442"/>
    <s v=""/>
    <x v="0"/>
    <n v="5214.04"/>
    <n v="0"/>
    <x v="1"/>
    <s v="Received"/>
    <s v="Bid - ROYAL COMMISSION FOR RIYADH CITY (RCRC)"/>
    <x v="1"/>
    <x v="2"/>
    <x v="27"/>
    <n v="3"/>
    <n v="2026"/>
    <m/>
  </r>
  <r>
    <x v="1"/>
    <x v="113"/>
    <x v="3"/>
    <s v="CUSTOMER = 3972500 DEAL AMT = 500.00 DEAL CCY = SAR TAX CODE = 1 "/>
    <x v="202"/>
    <s v="TF2508300056"/>
    <x v="0"/>
    <n v="37.5"/>
    <n v="0"/>
    <x v="1"/>
    <s v="Received"/>
    <s v="Afaq Al Malaz Trading Co Ltd"/>
    <x v="3"/>
    <x v="5"/>
    <x v="27"/>
    <n v="3"/>
    <n v="2026"/>
    <m/>
  </r>
  <r>
    <x v="1"/>
    <x v="113"/>
    <x v="3"/>
    <s v="CUSTOMER = 3972500 DEAL AMT = 500.00 DEAL CCY = SAR TAX CODE = 1 "/>
    <x v="202"/>
    <s v="TF2508300056"/>
    <x v="0"/>
    <n v="75"/>
    <n v="0"/>
    <x v="1"/>
    <s v="Received"/>
    <s v="Afaq Al Malaz Trading Co Ltd"/>
    <x v="3"/>
    <x v="5"/>
    <x v="27"/>
    <n v="3"/>
    <n v="2026"/>
    <m/>
  </r>
  <r>
    <x v="1"/>
    <x v="113"/>
    <x v="3"/>
    <s v="LC SWIFT CHARGES FOR LC NO. TF2508300056\BNK"/>
    <x v="202"/>
    <s v="TF2508300056"/>
    <x v="0"/>
    <n v="250"/>
    <n v="0"/>
    <x v="3"/>
    <s v="Received"/>
    <s v="Afaq Al Malaz Trading Co Ltd"/>
    <x v="3"/>
    <x v="5"/>
    <x v="27"/>
    <n v="3"/>
    <n v="2026"/>
    <m/>
  </r>
  <r>
    <x v="1"/>
    <x v="113"/>
    <x v="3"/>
    <s v="LC AMENDMENT COMMISSION FOR LC NO. TF2508300056\BNK"/>
    <x v="202"/>
    <s v="TF2508300056"/>
    <x v="0"/>
    <n v="500"/>
    <n v="0"/>
    <x v="5"/>
    <s v="Received"/>
    <s v="Afaq Al Malaz Trading Co Ltd"/>
    <x v="3"/>
    <x v="5"/>
    <x v="27"/>
    <n v="3"/>
    <n v="2026"/>
    <m/>
  </r>
  <r>
    <x v="1"/>
    <x v="113"/>
    <x v="3"/>
    <s v="CUSTOMER = 3972500 DEAL AMT = 500.00 DEAL CCY = SAR TAX CODE = 1 "/>
    <x v="203"/>
    <s v="TF2509900019"/>
    <x v="0"/>
    <n v="37.5"/>
    <n v="0"/>
    <x v="1"/>
    <s v="Received"/>
    <s v="SKM AIR CONDITIONING CO"/>
    <x v="3"/>
    <x v="6"/>
    <x v="27"/>
    <n v="3"/>
    <n v="2026"/>
    <m/>
  </r>
  <r>
    <x v="1"/>
    <x v="113"/>
    <x v="3"/>
    <s v="CUSTOMER = 3972500 DEAL AMT = 500.00 DEAL CCY = SAR TAX CODE = 1 "/>
    <x v="203"/>
    <s v="TF2509900019"/>
    <x v="0"/>
    <n v="75"/>
    <n v="0"/>
    <x v="1"/>
    <s v="Received"/>
    <s v="SKM AIR CONDITIONING CO"/>
    <x v="3"/>
    <x v="6"/>
    <x v="27"/>
    <n v="3"/>
    <n v="2026"/>
    <m/>
  </r>
  <r>
    <x v="1"/>
    <x v="113"/>
    <x v="3"/>
    <s v="LC SWIFT CHARGES FOR LC NO. TF2509900019\BNK"/>
    <x v="203"/>
    <s v="TF2509900019"/>
    <x v="0"/>
    <n v="250"/>
    <n v="0"/>
    <x v="3"/>
    <s v="Received"/>
    <s v="SKM AIR CONDITIONING CO"/>
    <x v="3"/>
    <x v="6"/>
    <x v="27"/>
    <n v="3"/>
    <n v="2026"/>
    <m/>
  </r>
  <r>
    <x v="1"/>
    <x v="113"/>
    <x v="3"/>
    <s v="LC AMENDMENT COMMISSION FOR LC NO. TF2509900019\BNK"/>
    <x v="203"/>
    <s v="TF2509900019"/>
    <x v="0"/>
    <n v="500"/>
    <n v="0"/>
    <x v="5"/>
    <s v="Received"/>
    <s v="SKM AIR CONDITIONING CO"/>
    <x v="3"/>
    <x v="6"/>
    <x v="27"/>
    <n v="3"/>
    <n v="2026"/>
    <m/>
  </r>
  <r>
    <x v="1"/>
    <x v="113"/>
    <x v="3"/>
    <s v="CUSTOMER = 3972500 DEAL AMT = 500.00 DEAL CCY = SAR TAX CODE = 1 "/>
    <x v="205"/>
    <s v="TF2513500019"/>
    <x v="0"/>
    <n v="37.5"/>
    <n v="0"/>
    <x v="1"/>
    <s v="Received"/>
    <s v="MASDAR TECHNICAL Supplies CO."/>
    <x v="3"/>
    <x v="5"/>
    <x v="27"/>
    <n v="3"/>
    <n v="2026"/>
    <m/>
  </r>
  <r>
    <x v="1"/>
    <x v="113"/>
    <x v="3"/>
    <s v="CUSTOMER = 3972500 DEAL AMT = 500.00 DEAL CCY = SAR TAX CODE = 1 "/>
    <x v="205"/>
    <s v="TF2513500019"/>
    <x v="0"/>
    <n v="75"/>
    <n v="0"/>
    <x v="1"/>
    <s v="Received"/>
    <s v="MASDAR TECHNICAL Supplies CO."/>
    <x v="3"/>
    <x v="5"/>
    <x v="27"/>
    <n v="3"/>
    <n v="2026"/>
    <m/>
  </r>
  <r>
    <x v="1"/>
    <x v="113"/>
    <x v="3"/>
    <s v="LC SWIFT CHARGES FOR LC NO. TF2513500019\BNK"/>
    <x v="205"/>
    <s v="TF2513500019"/>
    <x v="0"/>
    <n v="250"/>
    <n v="0"/>
    <x v="3"/>
    <s v="Received"/>
    <s v="MASDAR TECHNICAL Supplies CO."/>
    <x v="3"/>
    <x v="5"/>
    <x v="27"/>
    <n v="3"/>
    <n v="2026"/>
    <m/>
  </r>
  <r>
    <x v="1"/>
    <x v="113"/>
    <x v="3"/>
    <s v="LC AMENDMENT COMMISSION FOR LC NO. TF2513500019\BNK"/>
    <x v="205"/>
    <s v="TF2513500019"/>
    <x v="0"/>
    <n v="500"/>
    <n v="0"/>
    <x v="5"/>
    <s v="Received"/>
    <s v="MASDAR TECHNICAL Supplies CO."/>
    <x v="3"/>
    <x v="5"/>
    <x v="27"/>
    <n v="3"/>
    <n v="2026"/>
    <m/>
  </r>
  <r>
    <x v="1"/>
    <x v="113"/>
    <x v="3"/>
    <s v="CUSTOMER = 3972500 DEAL AMT = 500.00 DEAL CCY = SAR TAX CODE = 1 "/>
    <x v="27"/>
    <s v="TF2514700033"/>
    <x v="0"/>
    <n v="37.5"/>
    <n v="0"/>
    <x v="1"/>
    <s v="Received"/>
    <s v="GAS SOLUTIONS"/>
    <x v="3"/>
    <x v="5"/>
    <x v="27"/>
    <n v="3"/>
    <n v="2026"/>
    <m/>
  </r>
  <r>
    <x v="1"/>
    <x v="113"/>
    <x v="3"/>
    <s v="CUSTOMER = 3972500 DEAL AMT = 500.00 DEAL CCY = SAR TAX CODE = 1 "/>
    <x v="27"/>
    <s v="TF2514700033"/>
    <x v="0"/>
    <n v="75"/>
    <n v="0"/>
    <x v="1"/>
    <s v="Received"/>
    <s v="GAS SOLUTIONS"/>
    <x v="3"/>
    <x v="5"/>
    <x v="27"/>
    <n v="3"/>
    <n v="2026"/>
    <m/>
  </r>
  <r>
    <x v="1"/>
    <x v="113"/>
    <x v="3"/>
    <s v="LC SWIFT CHARGES FOR LC NO. TF2514700033\BNK"/>
    <x v="27"/>
    <s v="TF2514700033"/>
    <x v="0"/>
    <n v="250"/>
    <n v="0"/>
    <x v="3"/>
    <s v="Received"/>
    <s v="GAS SOLUTIONS"/>
    <x v="3"/>
    <x v="5"/>
    <x v="27"/>
    <n v="3"/>
    <n v="2026"/>
    <m/>
  </r>
  <r>
    <x v="1"/>
    <x v="113"/>
    <x v="3"/>
    <s v="LC AMENDMENT COMMISSION FOR LC NO. TF2514700033\BNK"/>
    <x v="27"/>
    <s v="TF2514700033"/>
    <x v="0"/>
    <n v="500"/>
    <n v="0"/>
    <x v="5"/>
    <s v="Received"/>
    <s v="GAS SOLUTIONS"/>
    <x v="3"/>
    <x v="5"/>
    <x v="27"/>
    <n v="3"/>
    <n v="2026"/>
    <m/>
  </r>
  <r>
    <x v="1"/>
    <x v="113"/>
    <x v="3"/>
    <s v="CUSTOMER = 3972500 DEAL AMT = 500.00 DEAL CCY = SAR TAX CODE = 1 "/>
    <x v="31"/>
    <s v="TF2517400045"/>
    <x v="0"/>
    <n v="37.5"/>
    <n v="0"/>
    <x v="1"/>
    <s v="Received"/>
    <s v="Almansha Almubasher Trading Company"/>
    <x v="3"/>
    <x v="6"/>
    <x v="27"/>
    <n v="3"/>
    <n v="2026"/>
    <m/>
  </r>
  <r>
    <x v="1"/>
    <x v="113"/>
    <x v="3"/>
    <s v="CUSTOMER = 3972500 DEAL AMT = 500.00 DEAL CCY = SAR TAX CODE = 1 "/>
    <x v="31"/>
    <s v="TF2517400045"/>
    <x v="0"/>
    <n v="75"/>
    <n v="0"/>
    <x v="1"/>
    <s v="Received"/>
    <s v="Almansha Almubasher Trading Company"/>
    <x v="3"/>
    <x v="6"/>
    <x v="27"/>
    <n v="3"/>
    <n v="2026"/>
    <m/>
  </r>
  <r>
    <x v="1"/>
    <x v="113"/>
    <x v="3"/>
    <s v="LC SWIFT CHARGES FOR LC NO. TF2517400045\BNK"/>
    <x v="31"/>
    <s v="TF2517400045"/>
    <x v="0"/>
    <n v="250"/>
    <n v="0"/>
    <x v="3"/>
    <s v="Received"/>
    <s v="Almansha Almubasher Trading Company"/>
    <x v="3"/>
    <x v="6"/>
    <x v="27"/>
    <n v="3"/>
    <n v="2026"/>
    <m/>
  </r>
  <r>
    <x v="1"/>
    <x v="113"/>
    <x v="3"/>
    <s v="LC AMENDMENT COMMISSION FOR LC NO. TF2517400045\BNK"/>
    <x v="31"/>
    <s v="TF2517400045"/>
    <x v="0"/>
    <n v="500"/>
    <n v="0"/>
    <x v="5"/>
    <s v="Received"/>
    <s v="Almansha Almubasher Trading Company"/>
    <x v="3"/>
    <x v="6"/>
    <x v="27"/>
    <n v="3"/>
    <n v="2026"/>
    <m/>
  </r>
  <r>
    <x v="1"/>
    <x v="113"/>
    <x v="3"/>
    <s v="CUSTOMER = 3972500 DEAL AMT = 893.02 DEAL CCY = SAR TAX CODE = 1 "/>
    <x v="186"/>
    <s v="TF2517400098"/>
    <x v="0"/>
    <n v="37.5"/>
    <n v="0"/>
    <x v="1"/>
    <s v="Received"/>
    <s v="SKM AIR CONDITIONING CO"/>
    <x v="3"/>
    <x v="6"/>
    <x v="27"/>
    <n v="3"/>
    <n v="2026"/>
    <m/>
  </r>
  <r>
    <x v="1"/>
    <x v="113"/>
    <x v="3"/>
    <s v="CUSTOMER = 3972500 DEAL AMT = 893.02 DEAL CCY = SAR TAX CODE = 1 "/>
    <x v="186"/>
    <s v="TF2517400098"/>
    <x v="0"/>
    <n v="133.94999999999999"/>
    <n v="0"/>
    <x v="1"/>
    <s v="Received"/>
    <s v="SKM AIR CONDITIONING CO"/>
    <x v="3"/>
    <x v="6"/>
    <x v="27"/>
    <n v="3"/>
    <n v="2026"/>
    <m/>
  </r>
  <r>
    <x v="1"/>
    <x v="113"/>
    <x v="3"/>
    <s v="LC SWIFT CHARGES FOR LC NO. TF2517400098\BNK"/>
    <x v="186"/>
    <s v="TF2517400098"/>
    <x v="0"/>
    <n v="250"/>
    <n v="0"/>
    <x v="3"/>
    <s v="Received"/>
    <s v="SKM AIR CONDITIONING CO"/>
    <x v="3"/>
    <x v="6"/>
    <x v="27"/>
    <n v="3"/>
    <n v="2026"/>
    <m/>
  </r>
  <r>
    <x v="1"/>
    <x v="113"/>
    <x v="3"/>
    <s v="LC AMENDMENT COMMISSION FOR LC NO. TF2517400098\BNK"/>
    <x v="186"/>
    <s v="TF2517400098"/>
    <x v="0"/>
    <n v="893.02"/>
    <n v="0"/>
    <x v="5"/>
    <s v="Received"/>
    <s v="SKM AIR CONDITIONING CO"/>
    <x v="3"/>
    <x v="6"/>
    <x v="27"/>
    <n v="3"/>
    <n v="2026"/>
    <m/>
  </r>
  <r>
    <x v="1"/>
    <x v="113"/>
    <x v="3"/>
    <s v="CUSTOMER = 3972500 DEAL AMT = 500.00 DEAL CCY = SAR TAX CODE = 1 "/>
    <x v="188"/>
    <s v="TF2517700087"/>
    <x v="0"/>
    <n v="37.5"/>
    <n v="0"/>
    <x v="1"/>
    <s v="Received"/>
    <s v="STAR SQUARES CO LTD"/>
    <x v="3"/>
    <x v="6"/>
    <x v="27"/>
    <n v="3"/>
    <n v="2026"/>
    <m/>
  </r>
  <r>
    <x v="1"/>
    <x v="113"/>
    <x v="3"/>
    <s v="CUSTOMER = 3972500 DEAL AMT = 500.00 DEAL CCY = SAR TAX CODE = 1 "/>
    <x v="188"/>
    <s v="TF2517700087"/>
    <x v="0"/>
    <n v="75"/>
    <n v="0"/>
    <x v="1"/>
    <s v="Received"/>
    <s v="STAR SQUARES CO LTD"/>
    <x v="3"/>
    <x v="6"/>
    <x v="27"/>
    <n v="3"/>
    <n v="2026"/>
    <m/>
  </r>
  <r>
    <x v="1"/>
    <x v="113"/>
    <x v="3"/>
    <s v="LC SWIFT CHARGES FOR LC NO. TF2517700087\BNK"/>
    <x v="188"/>
    <s v="TF2517700087"/>
    <x v="0"/>
    <n v="250"/>
    <n v="0"/>
    <x v="3"/>
    <s v="Received"/>
    <s v="STAR SQUARES CO LTD"/>
    <x v="3"/>
    <x v="6"/>
    <x v="27"/>
    <n v="3"/>
    <n v="2026"/>
    <m/>
  </r>
  <r>
    <x v="1"/>
    <x v="113"/>
    <x v="3"/>
    <s v="LC AMENDMENT COMMISSION FOR LC NO. TF2517700087\BNK"/>
    <x v="188"/>
    <s v="TF2517700087"/>
    <x v="0"/>
    <n v="500"/>
    <n v="0"/>
    <x v="5"/>
    <s v="Received"/>
    <s v="STAR SQUARES CO LTD"/>
    <x v="3"/>
    <x v="6"/>
    <x v="27"/>
    <n v="3"/>
    <n v="2026"/>
    <m/>
  </r>
  <r>
    <x v="1"/>
    <x v="113"/>
    <x v="3"/>
    <s v="CUSTOMER = 3972500 DEAL AMT = 500.00 DEAL CCY = SAR TAX CODE = 1 "/>
    <x v="213"/>
    <s v="TF2531600056"/>
    <x v="0"/>
    <n v="37.5"/>
    <n v="0"/>
    <x v="1"/>
    <s v="Received"/>
    <s v="Mohammad Saleh Bahareth co."/>
    <x v="3"/>
    <x v="5"/>
    <x v="27"/>
    <n v="3"/>
    <n v="2026"/>
    <m/>
  </r>
  <r>
    <x v="1"/>
    <x v="113"/>
    <x v="3"/>
    <s v="CUSTOMER = 3972500 DEAL AMT = 500.00 DEAL CCY = SAR TAX CODE = 1 "/>
    <x v="213"/>
    <s v="TF2531600056"/>
    <x v="0"/>
    <n v="75"/>
    <n v="0"/>
    <x v="1"/>
    <s v="Received"/>
    <s v="Mohammad Saleh Bahareth co."/>
    <x v="3"/>
    <x v="5"/>
    <x v="27"/>
    <n v="3"/>
    <n v="2026"/>
    <m/>
  </r>
  <r>
    <x v="1"/>
    <x v="113"/>
    <x v="3"/>
    <s v="LC SWIFT CHARGES FOR LC NO. TF2531600056\BNK"/>
    <x v="213"/>
    <s v="TF2531600056"/>
    <x v="0"/>
    <n v="250"/>
    <n v="0"/>
    <x v="3"/>
    <s v="Received"/>
    <s v="Mohammad Saleh Bahareth co."/>
    <x v="3"/>
    <x v="5"/>
    <x v="27"/>
    <n v="3"/>
    <n v="2026"/>
    <m/>
  </r>
  <r>
    <x v="1"/>
    <x v="113"/>
    <x v="3"/>
    <s v="LC AMENDMENT COMMISSION FOR LC NO. TF2531600056\BNK"/>
    <x v="213"/>
    <s v="TF2531600056"/>
    <x v="0"/>
    <n v="500"/>
    <n v="0"/>
    <x v="5"/>
    <s v="Received"/>
    <s v="Mohammad Saleh Bahareth co."/>
    <x v="3"/>
    <x v="5"/>
    <x v="27"/>
    <n v="3"/>
    <n v="2026"/>
    <m/>
  </r>
  <r>
    <x v="1"/>
    <x v="113"/>
    <x v="3"/>
    <s v="CUSTOMER = 3972500 DEAL AMT = 1871.46 DEAL CCY = SAR TAX CODE = 1 "/>
    <x v="214"/>
    <s v="TF2531600062"/>
    <x v="0"/>
    <n v="37.5"/>
    <n v="0"/>
    <x v="1"/>
    <s v="Received"/>
    <s v="AI-Hadbania Trading Co."/>
    <x v="3"/>
    <x v="5"/>
    <x v="27"/>
    <n v="3"/>
    <n v="2026"/>
    <m/>
  </r>
  <r>
    <x v="1"/>
    <x v="113"/>
    <x v="3"/>
    <s v="LC SWIFT CHARGES FOR LC NO. TF2531600062\BNK"/>
    <x v="214"/>
    <s v="TF2531600062"/>
    <x v="0"/>
    <n v="250"/>
    <n v="0"/>
    <x v="3"/>
    <s v="Received"/>
    <s v="AI-Hadbania Trading Co."/>
    <x v="3"/>
    <x v="5"/>
    <x v="27"/>
    <n v="3"/>
    <n v="2026"/>
    <m/>
  </r>
  <r>
    <x v="1"/>
    <x v="113"/>
    <x v="3"/>
    <s v="CUSTOMER = 3972500 DEAL AMT = 1871.46 DEAL CCY = SAR TAX CODE = 1 "/>
    <x v="214"/>
    <s v="TF2531600062"/>
    <x v="0"/>
    <n v="280.72000000000003"/>
    <n v="0"/>
    <x v="1"/>
    <s v="Received"/>
    <s v="AI-Hadbania Trading Co."/>
    <x v="3"/>
    <x v="5"/>
    <x v="27"/>
    <n v="3"/>
    <n v="2026"/>
    <m/>
  </r>
  <r>
    <x v="1"/>
    <x v="113"/>
    <x v="3"/>
    <s v="LC AMENDMENT COMMISSION FOR LC NO. TF2531600062\BNK"/>
    <x v="214"/>
    <s v="TF2531600062"/>
    <x v="0"/>
    <n v="1871.46"/>
    <n v="0"/>
    <x v="5"/>
    <s v="Received"/>
    <s v="AI-Hadbania Trading Co."/>
    <x v="3"/>
    <x v="5"/>
    <x v="27"/>
    <n v="3"/>
    <n v="2026"/>
    <m/>
  </r>
  <r>
    <x v="1"/>
    <x v="113"/>
    <x v="3"/>
    <s v="CUSTOMER = 3972500 DEAL AMT = 63000.00 DEAL CCY = SAR TAX CODE = 1 "/>
    <x v="443"/>
    <s v="TF2604200011"/>
    <x v="0"/>
    <n v="37.5"/>
    <n v="0"/>
    <x v="1"/>
    <s v="Received"/>
    <s v="The Fundamental Installation For Electric Work Co"/>
    <x v="3"/>
    <x v="8"/>
    <x v="27"/>
    <n v="3"/>
    <n v="2026"/>
    <m/>
  </r>
  <r>
    <x v="1"/>
    <x v="113"/>
    <x v="3"/>
    <s v="LC SWIFT CHARGES FOR LC NO. TF2604200011\BNK"/>
    <x v="443"/>
    <s v="TF2604200011"/>
    <x v="0"/>
    <n v="250"/>
    <n v="0"/>
    <x v="3"/>
    <s v="Received"/>
    <s v="The Fundamental Installation For Electric Work Co"/>
    <x v="3"/>
    <x v="8"/>
    <x v="27"/>
    <n v="3"/>
    <n v="2026"/>
    <m/>
  </r>
  <r>
    <x v="1"/>
    <x v="113"/>
    <x v="3"/>
    <s v="CUSTOMER = 3972500 DEAL AMT = 63000.00 DEAL CCY = SAR TAX CODE = 1 "/>
    <x v="443"/>
    <s v="TF2604200011"/>
    <x v="0"/>
    <n v="9450"/>
    <n v="0"/>
    <x v="1"/>
    <s v="Received"/>
    <s v="The Fundamental Installation For Electric Work Co"/>
    <x v="3"/>
    <x v="8"/>
    <x v="27"/>
    <n v="3"/>
    <n v="2026"/>
    <m/>
  </r>
  <r>
    <x v="1"/>
    <x v="113"/>
    <x v="3"/>
    <s v="LC AMENDMENT COMMISSION FOR LC NO. TF2604200011\BNK"/>
    <x v="443"/>
    <s v="TF2604200011"/>
    <x v="0"/>
    <n v="63000"/>
    <n v="0"/>
    <x v="5"/>
    <s v="Received"/>
    <s v="The Fundamental Installation For Electric Work Co"/>
    <x v="3"/>
    <x v="8"/>
    <x v="27"/>
    <n v="3"/>
    <n v="2026"/>
    <m/>
  </r>
  <r>
    <x v="0"/>
    <x v="113"/>
    <x v="0"/>
    <s v="REF 000000JLC6901608,RB REF JLC6901608,VIA CORE SYSTEM,DATE-TIME 09/03-13:38:27, عن طريق النظام الآ لي ,VALUE DT 09/03/26"/>
    <x v="284"/>
    <s v=""/>
    <x v="0"/>
    <n v="2000000"/>
    <n v="0"/>
    <x v="4"/>
    <s v="Received"/>
    <s v="Johnson Controls Arabia"/>
    <x v="3"/>
    <x v="3"/>
    <x v="27"/>
    <n v="3"/>
    <n v="2026"/>
    <m/>
  </r>
  <r>
    <x v="6"/>
    <x v="113"/>
    <x v="15"/>
    <s v="Banktrade Debit"/>
    <x v="329"/>
    <s v=""/>
    <x v="0"/>
    <n v="1164996"/>
    <n v="0"/>
    <x v="4"/>
    <s v="Received"/>
    <s v="Al Arabia for Construction &amp; Building Co."/>
    <x v="0"/>
    <x v="16"/>
    <x v="27"/>
    <n v="3"/>
    <n v="2026"/>
    <m/>
  </r>
  <r>
    <x v="6"/>
    <x v="113"/>
    <x v="15"/>
    <s v="BT Commission Debit"/>
    <x v="329"/>
    <s v=""/>
    <x v="0"/>
    <n v="2912.49"/>
    <n v="0"/>
    <x v="2"/>
    <s v="Received"/>
    <s v="Al Arabia for Construction &amp; Building Co."/>
    <x v="0"/>
    <x v="16"/>
    <x v="27"/>
    <n v="3"/>
    <n v="2026"/>
    <m/>
  </r>
  <r>
    <x v="6"/>
    <x v="113"/>
    <x v="15"/>
    <s v="BT SWIFT Chg Debit"/>
    <x v="329"/>
    <s v=""/>
    <x v="0"/>
    <n v="250"/>
    <n v="0"/>
    <x v="3"/>
    <s v="Received"/>
    <s v="Al Arabia for Construction &amp; Building Co."/>
    <x v="0"/>
    <x v="16"/>
    <x v="27"/>
    <n v="3"/>
    <n v="2026"/>
    <m/>
  </r>
  <r>
    <x v="6"/>
    <x v="113"/>
    <x v="15"/>
    <s v="Value Added Tax (VAT)"/>
    <x v="329"/>
    <s v=""/>
    <x v="0"/>
    <n v="436.87"/>
    <n v="0"/>
    <x v="1"/>
    <s v="Received"/>
    <s v="Al Arabia for Construction &amp; Building Co."/>
    <x v="0"/>
    <x v="16"/>
    <x v="27"/>
    <n v="3"/>
    <n v="2026"/>
    <m/>
  </r>
  <r>
    <x v="6"/>
    <x v="113"/>
    <x v="15"/>
    <s v="Value Added Tax (VAT)"/>
    <x v="329"/>
    <s v=""/>
    <x v="0"/>
    <n v="37.5"/>
    <n v="0"/>
    <x v="1"/>
    <s v="Received"/>
    <s v="Al Arabia for Construction &amp; Building Co."/>
    <x v="0"/>
    <x v="16"/>
    <x v="27"/>
    <n v="3"/>
    <n v="2026"/>
    <m/>
  </r>
  <r>
    <x v="1"/>
    <x v="114"/>
    <x v="3"/>
    <s v="CUSTOMER = 3972500 DEAL AMT = 150 DEAL CCY = EUR TAX CODE = 1 "/>
    <x v="336"/>
    <s v="TF253590001601"/>
    <x v="0"/>
    <n v="22.5"/>
    <n v="0"/>
    <x v="1"/>
    <s v="Received"/>
    <s v="BBH-CHEMTROL INTERNATIONAL ORGANIZATION S.L"/>
    <x v="10"/>
    <x v="5"/>
    <x v="27"/>
    <n v="3"/>
    <n v="2026"/>
    <m/>
  </r>
  <r>
    <x v="1"/>
    <x v="114"/>
    <x v="3"/>
    <s v="LC SWIFT CHARGES FOR LC NO. TF253590001601\BNK"/>
    <x v="336"/>
    <s v="TF253590001601"/>
    <x v="0"/>
    <n v="150"/>
    <n v="0"/>
    <x v="3"/>
    <s v="Received"/>
    <s v="BBH-CHEMTROL INTERNATIONAL ORGANIZATION S.L"/>
    <x v="10"/>
    <x v="5"/>
    <x v="27"/>
    <n v="3"/>
    <n v="2026"/>
    <m/>
  </r>
  <r>
    <x v="1"/>
    <x v="114"/>
    <x v="3"/>
    <s v="REIMBURSE UNDER LCS DR FOR LC NO. TF253590001601\BNK"/>
    <x v="336"/>
    <s v="TF253590001601"/>
    <x v="0"/>
    <n v="353382.82"/>
    <n v="0"/>
    <x v="4"/>
    <s v="Received"/>
    <s v="BBH-CHEMTROL INTERNATIONAL ORGANIZATION S.L"/>
    <x v="10"/>
    <x v="5"/>
    <x v="27"/>
    <n v="3"/>
    <n v="2026"/>
    <m/>
  </r>
  <r>
    <x v="3"/>
    <x v="114"/>
    <x v="5"/>
    <s v="PEBGCU504055 PROJECT FLASH PEBGCU504055 QUARTERLY COMMISSION,VATINCLUSIVE"/>
    <x v="307"/>
    <s v="PEBGCU504055"/>
    <x v="0"/>
    <n v="537485.88"/>
    <n v="0"/>
    <x v="2"/>
    <s v="Received"/>
    <s v="Performance - CEER NATIONAL AUTOMOTIVE COMPANY"/>
    <x v="1"/>
    <x v="2"/>
    <x v="27"/>
    <n v="3"/>
    <n v="2026"/>
    <m/>
  </r>
  <r>
    <x v="3"/>
    <x v="114"/>
    <x v="5"/>
    <s v="GTE AMEND COMM CHARGES PEBGCU504055"/>
    <x v="307"/>
    <s v="PEBGCU504055"/>
    <x v="0"/>
    <n v="537485.88"/>
    <n v="0"/>
    <x v="2"/>
    <s v="Received"/>
    <s v="Performance - CEER NATIONAL AUTOMOTIVE COMPANY"/>
    <x v="1"/>
    <x v="2"/>
    <x v="27"/>
    <n v="3"/>
    <n v="2026"/>
    <m/>
  </r>
  <r>
    <x v="5"/>
    <x v="114"/>
    <x v="9"/>
    <s v="Dr TI LGI Commission (Unearned)                                       _x000a_ISS001-291716853                                                      _x000a_At Bank AlJazira                                                      _x000a_CORPORATE BANKING DEPT-JEDDAH                                         _x000a_Date 21-09-1447(H) Time 15.07.12                                      _x000a_Reference ILC-0840-26-9073                                            _x000a_"/>
    <x v="444"/>
    <s v=""/>
    <x v="0"/>
    <n v="31750"/>
    <n v="0"/>
    <x v="16"/>
    <s v="Received"/>
    <s v="The Fundamental Installation For Electric Work Co"/>
    <x v="3"/>
    <x v="8"/>
    <x v="27"/>
    <n v="3"/>
    <n v="2026"/>
    <m/>
  </r>
  <r>
    <x v="5"/>
    <x v="114"/>
    <x v="9"/>
    <s v="Value Added Tax                                                       _x000a_On ILC Commission                                                     _x000a_15% of SAR31,750.00                                                   _x000a_Through CORPORATE BANKING DEPT-JEDDAH                                 _x000a_Date 21-09-1447(H) Time 15.07.12                                      _x000a_Reference ILC-0840-26-9073                                            _x000a_At Bank Aljazira                                                      _x000a_"/>
    <x v="444"/>
    <s v=""/>
    <x v="0"/>
    <n v="4762.5"/>
    <n v="0"/>
    <x v="1"/>
    <s v="Received"/>
    <s v="The Fundamental Installation For Electric Work Co"/>
    <x v="3"/>
    <x v="8"/>
    <x v="27"/>
    <n v="3"/>
    <n v="2026"/>
    <m/>
  </r>
  <r>
    <x v="5"/>
    <x v="114"/>
    <x v="9"/>
    <s v="Dr TI ILC Comm/Other Charges                                          _x000a_ISS001-291716855                                                      _x000a_At Bank Aljazira                                                      _x000a_ CORPORATE BANKING DEPT-JEDDAH                                        _x000a_Date 21-09-1447(H) Time 15.07.13                                      _x000a_Reference ILC-0840-26-9073                                            _x000a_Value Date 21-09-1447(H)                                              _x000a_Fee Collected By Bank AlJazira                                        _x000a_"/>
    <x v="444"/>
    <s v=""/>
    <x v="0"/>
    <n v="15625"/>
    <n v="0"/>
    <x v="8"/>
    <s v="Received"/>
    <s v="The Fundamental Installation For Electric Work Co"/>
    <x v="3"/>
    <x v="8"/>
    <x v="27"/>
    <n v="3"/>
    <n v="2026"/>
    <m/>
  </r>
  <r>
    <x v="5"/>
    <x v="114"/>
    <x v="9"/>
    <s v="Value Added Tax                                                       _x000a_On ILC Commission                                                     _x000a_15% of SAR15,625.00                                                   _x000a_Through CORPORATE BANKING DEPT-JEDDAH                                 _x000a_Date 21-09-1447(H) Time 15.07.13                                      _x000a_Reference ILC-0840-26-9073                                            _x000a_At Bank Aljazira                                                      _x000a_"/>
    <x v="444"/>
    <s v=""/>
    <x v="0"/>
    <n v="2343.75"/>
    <n v="0"/>
    <x v="1"/>
    <s v="Received"/>
    <s v="The Fundamental Installation For Electric Work Co"/>
    <x v="3"/>
    <x v="8"/>
    <x v="27"/>
    <n v="3"/>
    <n v="2026"/>
    <m/>
  </r>
  <r>
    <x v="5"/>
    <x v="114"/>
    <x v="9"/>
    <s v="Dr TI ILC Comm/Other Charges                                          _x000a_ISS001-291716857                                                      _x000a_At Bank Aljazira                                                      _x000a_ CORPORATE BANKING DEPT-JEDDAH                                        _x000a_Date 21-09-1447(H) Time 15.07.13                                      _x000a_Reference ILC-0840-26-9073                                            _x000a_Value Date 21-09-1447(H)                                              _x000a_Fee Collected By Bank AlJazira                                        _x000a_"/>
    <x v="444"/>
    <s v=""/>
    <x v="0"/>
    <n v="750"/>
    <n v="0"/>
    <x v="8"/>
    <s v="Received"/>
    <s v="The Fundamental Installation For Electric Work Co"/>
    <x v="3"/>
    <x v="8"/>
    <x v="27"/>
    <n v="3"/>
    <n v="2026"/>
    <m/>
  </r>
  <r>
    <x v="5"/>
    <x v="114"/>
    <x v="9"/>
    <s v="Value Added Tax                                                       _x000a_On ILC SWIFT/Telex Charges                                            _x000a_15% of SAR750.00                                                      _x000a_Through CORPORATE BANKING DEPT-JEDDAH                                 _x000a_Date 21-09-1447(H) Time 15.07.13                                      _x000a_Reference ILC-0840-26-9073                                            _x000a_At Bank Aljazira                                                      _x000a_"/>
    <x v="444"/>
    <s v=""/>
    <x v="0"/>
    <n v="112.5"/>
    <n v="0"/>
    <x v="1"/>
    <s v="Received"/>
    <s v="The Fundamental Installation For Electric Work Co"/>
    <x v="3"/>
    <x v="8"/>
    <x v="27"/>
    <n v="3"/>
    <n v="2026"/>
    <m/>
  </r>
  <r>
    <x v="5"/>
    <x v="114"/>
    <x v="9"/>
    <s v="Dr TI ILC Comm/Other Charges                                          _x000a_ISS001-291717246                                                      _x000a_At Bank Aljazira                                                      _x000a_ CORPORATE BANKING DEPT-JEDDAH                                        _x000a_Date 21-09-1447(H) Time 15.07.14                                      _x000a_Reference ILC-0840-26-9073                                            _x000a_Value Date 21-09-1447(H)                                              _x000a_Fee Collected By Bank AlJazira                                        _x000a_"/>
    <x v="444"/>
    <s v=""/>
    <x v="0"/>
    <n v="38888.89"/>
    <n v="0"/>
    <x v="8"/>
    <s v="Received"/>
    <s v="The Fundamental Installation For Electric Work Co"/>
    <x v="3"/>
    <x v="8"/>
    <x v="27"/>
    <n v="3"/>
    <n v="2026"/>
    <m/>
  </r>
  <r>
    <x v="5"/>
    <x v="114"/>
    <x v="9"/>
    <s v="Value Added Tax                                                       _x000a_On LC PROCESSING FEE                                                  _x000a_15% of SAR38,888.89                                                   _x000a_Through CORPORATE BANKING DEPT-JEDDAH                                 _x000a_Date 21-09-1447(H) Time 15.07.14                                      _x000a_Reference ILC-0840-26-9073                                            _x000a_At Bank Aljazira                                                      _x000a_"/>
    <x v="444"/>
    <s v=""/>
    <x v="0"/>
    <n v="5833.33"/>
    <n v="0"/>
    <x v="1"/>
    <s v="Received"/>
    <s v="The Fundamental Installation For Electric Work Co"/>
    <x v="3"/>
    <x v="8"/>
    <x v="27"/>
    <n v="3"/>
    <n v="2026"/>
    <m/>
  </r>
  <r>
    <x v="5"/>
    <x v="114"/>
    <x v="9"/>
    <s v="Dr TI ILC Comm/Other Charges                                          _x000a_ISS001-291717248                                                      _x000a_At Bank Aljazira                                                      _x000a_ CORPORATE BANKING DEPT-JEDDAH                                        _x000a_Date 21-09-1447(H) Time 15.07.14                                      _x000a_Reference ILC-0840-26-9073                                            _x000a_Value Date 21-09-1447(H)                                              _x000a_Fee Collected By Bank AlJazira                                        _x000a_"/>
    <x v="444"/>
    <s v=""/>
    <x v="0"/>
    <n v="200"/>
    <n v="0"/>
    <x v="8"/>
    <s v="Received"/>
    <s v="The Fundamental Installation For Electric Work Co"/>
    <x v="3"/>
    <x v="8"/>
    <x v="27"/>
    <n v="3"/>
    <n v="2026"/>
    <m/>
  </r>
  <r>
    <x v="5"/>
    <x v="114"/>
    <x v="9"/>
    <s v="Value Added Tax                                                       _x000a_On ILC Postal/DHL Charges                                             _x000a_15% of SAR200.00                                                      _x000a_Through CORPORATE BANKING DEPT-JEDDAH                                 _x000a_Date 21-09-1447(H) Time 15.07.14                                      _x000a_Reference ILC-0840-26-9073                                            _x000a_At Bank Aljazira                                                      _x000a_"/>
    <x v="444"/>
    <s v=""/>
    <x v="0"/>
    <n v="30"/>
    <n v="0"/>
    <x v="1"/>
    <s v="Received"/>
    <s v="The Fundamental Installation For Electric Work Co"/>
    <x v="3"/>
    <x v="8"/>
    <x v="27"/>
    <n v="3"/>
    <n v="2026"/>
    <m/>
  </r>
  <r>
    <x v="0"/>
    <x v="115"/>
    <x v="0"/>
    <s v="RB REF JLG6900510,VIA CORE SYSTEM,DATE-TIME 11/03-11:01:45, عن طريق النظام الآ لي ,VALUE DT 11/03/26"/>
    <x v="286"/>
    <s v=""/>
    <x v="0"/>
    <n v="345000"/>
    <n v="0"/>
    <x v="38"/>
    <s v="Received"/>
    <s v="Material - JEDDAH CENTRAL DEVELOPMENT COMPANY"/>
    <x v="1"/>
    <x v="13"/>
    <x v="27"/>
    <n v="3"/>
    <n v="2026"/>
    <m/>
  </r>
  <r>
    <x v="0"/>
    <x v="115"/>
    <x v="0"/>
    <s v="REF 000000JLC7000187,RB REF JLC7000187,VIA CORE SYSTEM,DATE-TIME 11/03-13:51:12, عن طريق النظام الآ لي ,VALUE DT 11/03/26"/>
    <x v="412"/>
    <s v=""/>
    <x v="0"/>
    <n v="2156.25"/>
    <n v="0"/>
    <x v="2"/>
    <s v="Received"/>
    <s v="Electro Mechanical Supplies"/>
    <x v="3"/>
    <x v="3"/>
    <x v="27"/>
    <n v="3"/>
    <n v="2026"/>
    <m/>
  </r>
  <r>
    <x v="0"/>
    <x v="115"/>
    <x v="0"/>
    <s v="REF 000000JLC7000182,RB REF JLC7000182,VIA CORE SYSTEM,DATE-TIME 11/03-13:50:28, عن طريق النظام الآ لي ,VALUE DT 11/03/26"/>
    <x v="411"/>
    <s v=""/>
    <x v="0"/>
    <n v="2156.25"/>
    <n v="0"/>
    <x v="2"/>
    <s v="Received"/>
    <s v="Mahmoud Altaheni And His Partners Trading Company"/>
    <x v="3"/>
    <x v="3"/>
    <x v="27"/>
    <n v="3"/>
    <n v="2026"/>
    <m/>
  </r>
  <r>
    <x v="3"/>
    <x v="115"/>
    <x v="6"/>
    <s v="IMP BILL AMEND. CHARGES DPBCOR215052WPM DCBWPM162155"/>
    <x v="423"/>
    <s v="DPBCOR215052WPM"/>
    <x v="0"/>
    <n v="2876.93"/>
    <n v="0"/>
    <x v="2"/>
    <s v="Received"/>
    <s v="SERGAS SAUDI CONTRACTING CO. L.L.C"/>
    <x v="4"/>
    <x v="1"/>
    <x v="27"/>
    <n v="3"/>
    <n v="2026"/>
    <m/>
  </r>
  <r>
    <x v="6"/>
    <x v="115"/>
    <x v="15"/>
    <s v="BT Commission Debit"/>
    <x v="445"/>
    <s v=""/>
    <x v="0"/>
    <n v="9875"/>
    <n v="0"/>
    <x v="8"/>
    <s v="Received"/>
    <s v="Ready Mix Company Limited."/>
    <x v="0"/>
    <x v="16"/>
    <x v="27"/>
    <n v="3"/>
    <n v="2026"/>
    <m/>
  </r>
  <r>
    <x v="6"/>
    <x v="115"/>
    <x v="15"/>
    <s v="BT SWIFT Chg Debit"/>
    <x v="445"/>
    <s v=""/>
    <x v="0"/>
    <n v="1000"/>
    <n v="0"/>
    <x v="8"/>
    <s v="Received"/>
    <s v="Ready Mix Company Limited."/>
    <x v="0"/>
    <x v="16"/>
    <x v="27"/>
    <n v="3"/>
    <n v="2026"/>
    <m/>
  </r>
  <r>
    <x v="6"/>
    <x v="115"/>
    <x v="15"/>
    <s v="BT Courier Chg Debit"/>
    <x v="445"/>
    <s v=""/>
    <x v="0"/>
    <n v="250"/>
    <n v="0"/>
    <x v="8"/>
    <s v="Received"/>
    <s v="Ready Mix Company Limited."/>
    <x v="0"/>
    <x v="16"/>
    <x v="27"/>
    <n v="3"/>
    <n v="2026"/>
    <m/>
  </r>
  <r>
    <x v="6"/>
    <x v="115"/>
    <x v="15"/>
    <s v="Value Added Tax (VAT)"/>
    <x v="445"/>
    <s v=""/>
    <x v="0"/>
    <n v="1481.25"/>
    <n v="0"/>
    <x v="8"/>
    <s v="Received"/>
    <s v="Ready Mix Company Limited."/>
    <x v="0"/>
    <x v="16"/>
    <x v="27"/>
    <n v="3"/>
    <n v="2026"/>
    <m/>
  </r>
  <r>
    <x v="6"/>
    <x v="115"/>
    <x v="15"/>
    <s v="Value Added Tax (VAT)"/>
    <x v="445"/>
    <s v=""/>
    <x v="0"/>
    <n v="150"/>
    <n v="0"/>
    <x v="8"/>
    <s v="Received"/>
    <s v="Ready Mix Company Limited."/>
    <x v="0"/>
    <x v="16"/>
    <x v="27"/>
    <n v="3"/>
    <n v="2026"/>
    <m/>
  </r>
  <r>
    <x v="6"/>
    <x v="115"/>
    <x v="15"/>
    <s v="Value Added Tax (VAT)"/>
    <x v="445"/>
    <s v=""/>
    <x v="0"/>
    <n v="37.5"/>
    <n v="0"/>
    <x v="8"/>
    <s v="Received"/>
    <s v="Ready Mix Company Limited."/>
    <x v="0"/>
    <x v="16"/>
    <x v="27"/>
    <n v="3"/>
    <n v="2026"/>
    <m/>
  </r>
  <r>
    <x v="5"/>
    <x v="115"/>
    <x v="9"/>
    <s v="Dr TI LGI Comm/Other Charges                                          _x000a_AMD001-291773984                                                      _x000a_At Bank AlJazira                                                      _x000a_CBS CENTRAL                                                           _x000a_Date 22-09-1447(H) Time 12.02.57                                      _x000a_Reference LGI-0857-26-7603                                            _x000a_"/>
    <x v="391"/>
    <s v=""/>
    <x v="0"/>
    <n v="6249.98"/>
    <n v="0"/>
    <x v="16"/>
    <s v="Received"/>
    <s v="Bid - Diriyah Company"/>
    <x v="0"/>
    <x v="2"/>
    <x v="27"/>
    <n v="3"/>
    <n v="2026"/>
    <m/>
  </r>
  <r>
    <x v="5"/>
    <x v="115"/>
    <x v="9"/>
    <s v="Value Added Tax                                                       _x000a_On LGI Amend Commission                                               _x000a_15% of SAR6,249.98                                                    _x000a_Through CBS CENTRAL                                                   _x000a_Date 22-09-1447(H) Time 12.02.57                                      _x000a_Reference LGI-0857-26-7603                                            _x000a_At Bank Aljazira                                                      _x000a_Exchange Rate 1.0                                                     _x000a_"/>
    <x v="391"/>
    <s v=""/>
    <x v="0"/>
    <n v="937.5"/>
    <n v="0"/>
    <x v="1"/>
    <s v="Received"/>
    <s v="Bid - Diriyah Company"/>
    <x v="0"/>
    <x v="2"/>
    <x v="27"/>
    <n v="3"/>
    <n v="2026"/>
    <m/>
  </r>
  <r>
    <x v="5"/>
    <x v="115"/>
    <x v="9"/>
    <s v="Dr TI LGI Comm/Other Charges                                          _x000a_AMD001-291773986                                                      _x000a_At Bank AlJazira                                                      _x000a_CBS CENTRAL                                                           _x000a_Date 22-09-1447(H) Time 12.02.58                                      _x000a_Reference LGI-0857-26-7603                                            _x000a_"/>
    <x v="391"/>
    <s v=""/>
    <x v="0"/>
    <n v="10410.959999999999"/>
    <n v="0"/>
    <x v="16"/>
    <s v="Received"/>
    <s v="Bid - Diriyah Company"/>
    <x v="0"/>
    <x v="2"/>
    <x v="27"/>
    <n v="3"/>
    <n v="2026"/>
    <m/>
  </r>
  <r>
    <x v="5"/>
    <x v="115"/>
    <x v="9"/>
    <s v="Value Added Tax                                                       _x000a_On LG Processing/Facility Fees                                        _x000a_15% of SAR10,410.96                                                   _x000a_Through CBS CENTRAL                                                   _x000a_Date 22-09-1447(H) Time 12.02.58                                      _x000a_Reference LGI-0857-26-7603                                            _x000a_At Bank Aljazira                                                      _x000a_Exchange Rate 1.0                                                     _x000a_"/>
    <x v="391"/>
    <s v=""/>
    <x v="0"/>
    <n v="1561.64"/>
    <n v="0"/>
    <x v="1"/>
    <s v="Received"/>
    <s v="Bid - Diriyah Company"/>
    <x v="0"/>
    <x v="2"/>
    <x v="27"/>
    <n v="3"/>
    <n v="2026"/>
    <m/>
  </r>
  <r>
    <x v="5"/>
    <x v="115"/>
    <x v="9"/>
    <s v="Dr TI ILC Comm/Other Charges                                          _x000a_AMD003-291799955                                                      _x000a_At Bank Aljazira                                                      _x000a_ CORPORATE BANKING DEPT-JEDDAH                                        _x000a_Date 22-09-1447(H) Time 14.23.57                                      _x000a_Reference ILC-0840-25-7984                                            _x000a_Value Date 22-09-1447(H)                                              _x000a_Fee Collected By Bank AlJazira                                        _x000a_"/>
    <x v="80"/>
    <s v=""/>
    <x v="0"/>
    <n v="500"/>
    <n v="0"/>
    <x v="5"/>
    <s v="Received"/>
    <s v="Mohammed Ramadan Shat"/>
    <x v="3"/>
    <x v="10"/>
    <x v="27"/>
    <n v="3"/>
    <n v="2026"/>
    <m/>
  </r>
  <r>
    <x v="5"/>
    <x v="115"/>
    <x v="9"/>
    <s v="Value Added Tax                                                       _x000a_On ILC Commission                                                     _x000a_15% of SAR500.00                                                      _x000a_Through CORPORATE BANKING DEPT-JEDDAH                                 _x000a_Date 22-09-1447(H) Time 14.23.57                                      _x000a_Reference ILC-0840-25-7984                                            _x000a_At Bank Aljazira                                                      _x000a_"/>
    <x v="80"/>
    <s v=""/>
    <x v="0"/>
    <n v="75"/>
    <n v="0"/>
    <x v="1"/>
    <s v="Received"/>
    <s v="Mohammed Ramadan Shat"/>
    <x v="3"/>
    <x v="10"/>
    <x v="27"/>
    <n v="3"/>
    <n v="2026"/>
    <m/>
  </r>
  <r>
    <x v="5"/>
    <x v="115"/>
    <x v="9"/>
    <s v="Dr TI ILC Comm/Other Charges                                          _x000a_AMD003-291799957                                                      _x000a_At Bank Aljazira                                                      _x000a_ CORPORATE BANKING DEPT-JEDDAH                                        _x000a_Date 22-09-1447(H) Time 14.23.57                                      _x000a_Reference ILC-0840-25-7984                                            _x000a_Value Date 22-09-1447(H)                                              _x000a_Fee Collected By Bank AlJazira                                        _x000a_"/>
    <x v="80"/>
    <s v=""/>
    <x v="0"/>
    <n v="200"/>
    <n v="0"/>
    <x v="5"/>
    <s v="Received"/>
    <s v="Mohammed Ramadan Shat"/>
    <x v="3"/>
    <x v="10"/>
    <x v="27"/>
    <n v="3"/>
    <n v="2026"/>
    <m/>
  </r>
  <r>
    <x v="5"/>
    <x v="115"/>
    <x v="9"/>
    <s v="Value Added Tax                                                       _x000a_On SWIFT charges                                                      _x000a_15% of SAR200.00                                                      _x000a_Through CORPORATE BANKING DEPT-JEDDAH                                 _x000a_Date 22-09-1447(H) Time 14.23.57                                      _x000a_Reference ILC-0840-25-7984                                            _x000a_At Bank Aljazira                                                      _x000a_"/>
    <x v="80"/>
    <s v=""/>
    <x v="0"/>
    <n v="30"/>
    <n v="0"/>
    <x v="1"/>
    <s v="Received"/>
    <s v="Mohammed Ramadan Shat"/>
    <x v="3"/>
    <x v="10"/>
    <x v="27"/>
    <n v="3"/>
    <n v="2026"/>
    <m/>
  </r>
  <r>
    <x v="5"/>
    <x v="115"/>
    <x v="9"/>
    <s v="Dr TI ILC Comm/Other Charges                                          _x000a_AMD004-291800737                                                      _x000a_At Bank Aljazira                                                      _x000a_ CORPORATE BANKING DEPT-JEDDAH                                        _x000a_Date 22-09-1447(H) Time 14.24.16                                      _x000a_Reference ILC-0840-25-7736                                            _x000a_Value Date 22-09-1447(H)                                              _x000a_Fee Collected By Bank AlJazira                                        _x000a_"/>
    <x v="86"/>
    <s v=""/>
    <x v="0"/>
    <n v="500"/>
    <n v="0"/>
    <x v="5"/>
    <s v="Received"/>
    <s v="Baamer Group for Trading Company"/>
    <x v="3"/>
    <x v="10"/>
    <x v="27"/>
    <n v="3"/>
    <n v="2026"/>
    <m/>
  </r>
  <r>
    <x v="5"/>
    <x v="115"/>
    <x v="9"/>
    <s v="Value Added Tax                                                       _x000a_On ILC Commission                                                     _x000a_15% of SAR500.00                                                      _x000a_Through CORPORATE BANKING DEPT-JEDDAH                                 _x000a_Date 22-09-1447(H) Time 14.24.16                                      _x000a_Reference ILC-0840-25-7736                                            _x000a_At Bank Aljazira                                                      _x000a_"/>
    <x v="86"/>
    <s v=""/>
    <x v="0"/>
    <n v="75"/>
    <n v="0"/>
    <x v="1"/>
    <s v="Received"/>
    <s v="Baamer Group for Trading Company"/>
    <x v="3"/>
    <x v="10"/>
    <x v="27"/>
    <n v="3"/>
    <n v="2026"/>
    <m/>
  </r>
  <r>
    <x v="5"/>
    <x v="115"/>
    <x v="9"/>
    <s v="Dr TI ILC Comm/Other Charges                                          _x000a_AMD004-291800739                                                      _x000a_At Bank Aljazira                                                      _x000a_ CORPORATE BANKING DEPT-JEDDAH                                        _x000a_Date 22-09-1447(H) Time 14.24.16                                      _x000a_Reference ILC-0840-25-7736                                            _x000a_Value Date 22-09-1447(H)                                              _x000a_Fee Collected By Bank AlJazira                                        _x000a_"/>
    <x v="86"/>
    <s v=""/>
    <x v="0"/>
    <n v="200"/>
    <n v="0"/>
    <x v="5"/>
    <s v="Received"/>
    <s v="Baamer Group for Trading Company"/>
    <x v="3"/>
    <x v="10"/>
    <x v="27"/>
    <n v="3"/>
    <n v="2026"/>
    <m/>
  </r>
  <r>
    <x v="5"/>
    <x v="115"/>
    <x v="9"/>
    <s v="Value Added Tax                                                       _x000a_On SWIFT charges                                                      _x000a_15% of SAR200.00                                                      _x000a_Through CORPORATE BANKING DEPT-JEDDAH                                 _x000a_Date 22-09-1447(H) Time 14.24.17                                      _x000a_Reference ILC-0840-25-7736                                            _x000a_At Bank Aljazira                                                      _x000a_"/>
    <x v="86"/>
    <s v=""/>
    <x v="0"/>
    <n v="30"/>
    <n v="0"/>
    <x v="1"/>
    <s v="Received"/>
    <s v="Baamer Group for Trading Company"/>
    <x v="3"/>
    <x v="10"/>
    <x v="27"/>
    <n v="3"/>
    <n v="2026"/>
    <m/>
  </r>
  <r>
    <x v="5"/>
    <x v="115"/>
    <x v="9"/>
    <s v="Dr TI ILC Comm/Other Charges                                          _x000a_AMD005-291801510                                                      _x000a_At Bank Aljazira                                                      _x000a_ CORPORATE BANKING DEPT-JEDDAH                                        _x000a_Exchange Rate 1.0                                                     _x000a_Date 22-09-1447(H) Time 14.24.42                                      _x000a_Reference ILC-0840-25-7353                                            _x000a_Value Date 22-09-1447(H)                                              _x000a_Fee Collected By Bank AlJazira                                        _x000a_"/>
    <x v="73"/>
    <s v=""/>
    <x v="0"/>
    <n v="1079.6199999999999"/>
    <n v="0"/>
    <x v="5"/>
    <s v="Received"/>
    <s v="Saudi Hepco Co. Ltd"/>
    <x v="3"/>
    <x v="10"/>
    <x v="27"/>
    <n v="3"/>
    <n v="2026"/>
    <m/>
  </r>
  <r>
    <x v="5"/>
    <x v="115"/>
    <x v="9"/>
    <s v="Value Added Tax                                                       _x000a_On ILC Commission                                                     _x000a_15% of SAR1,079.62                                                    _x000a_Through CORPORATE BANKING DEPT-JEDDAH                                 _x000a_Date 22-09-1447(H) Time 14.24.43                                      _x000a_Reference ILC-0840-25-7353                                            _x000a_At Bank Aljazira                                                      _x000a_Exchange Rate 1.0                                                     _x000a_"/>
    <x v="73"/>
    <s v=""/>
    <x v="0"/>
    <n v="161.94"/>
    <n v="0"/>
    <x v="1"/>
    <s v="Received"/>
    <s v="Saudi Hepco Co. Ltd"/>
    <x v="3"/>
    <x v="10"/>
    <x v="27"/>
    <n v="3"/>
    <n v="2026"/>
    <m/>
  </r>
  <r>
    <x v="5"/>
    <x v="115"/>
    <x v="9"/>
    <s v="Dr TI ILC Comm/Other Charges                                          _x000a_AMD005-291801512                                                      _x000a_At Bank Aljazira                                                      _x000a_ CORPORATE BANKING DEPT-JEDDAH                                        _x000a_Exchange Rate 1.0                                                     _x000a_Date 22-09-1447(H) Time 14.24.43                                      _x000a_Reference ILC-0840-25-7353                                            _x000a_Value Date 22-09-1447(H)                                              _x000a_Fee Collected By Bank AlJazira                                        _x000a_"/>
    <x v="73"/>
    <s v=""/>
    <x v="0"/>
    <n v="200"/>
    <n v="0"/>
    <x v="5"/>
    <s v="Received"/>
    <s v="Saudi Hepco Co. Ltd"/>
    <x v="3"/>
    <x v="10"/>
    <x v="27"/>
    <n v="3"/>
    <n v="2026"/>
    <m/>
  </r>
  <r>
    <x v="5"/>
    <x v="115"/>
    <x v="9"/>
    <s v="Value Added Tax                                                       _x000a_On SWIFT charges                                                      _x000a_15% of SAR200.00                                                      _x000a_Through CORPORATE BANKING DEPT-JEDDAH                                 _x000a_Date 22-09-1447(H) Time 14.24.44                                      _x000a_Reference ILC-0840-25-7353                                            _x000a_At Bank Aljazira                                                      _x000a_Exchange Rate 1.0                                                     _x000a_"/>
    <x v="73"/>
    <s v=""/>
    <x v="0"/>
    <n v="30"/>
    <n v="0"/>
    <x v="1"/>
    <s v="Received"/>
    <s v="Saudi Hepco Co. Ltd"/>
    <x v="3"/>
    <x v="10"/>
    <x v="27"/>
    <n v="3"/>
    <n v="2026"/>
    <m/>
  </r>
  <r>
    <x v="5"/>
    <x v="115"/>
    <x v="9"/>
    <s v="Dr TI ILC Comm/Other Charges                                          _x000a_AMD003-291802408                                                      _x000a_At Bank Aljazira                                                      _x000a_ CORPORATE BANKING DEPT-JEDDAH                                        _x000a_Date 22-09-1447(H) Time 14.25.12                                      _x000a_Reference ILC-0840-25-7981                                            _x000a_Value Date 22-09-1447(H)                                              _x000a_Fee Collected By Bank AlJazira                                        _x000a_"/>
    <x v="76"/>
    <s v=""/>
    <x v="0"/>
    <n v="500"/>
    <n v="0"/>
    <x v="5"/>
    <s v="Received"/>
    <s v="Ealla For General Contracting"/>
    <x v="3"/>
    <x v="10"/>
    <x v="27"/>
    <n v="3"/>
    <n v="2026"/>
    <m/>
  </r>
  <r>
    <x v="5"/>
    <x v="115"/>
    <x v="9"/>
    <s v="Value Added Tax                                                       _x000a_On ILC Commission                                                     _x000a_15% of SAR500.00                                                      _x000a_Through CORPORATE BANKING DEPT-JEDDAH                                 _x000a_Date 22-09-1447(H) Time 14.25.13                                      _x000a_Reference ILC-0840-25-7981                                            _x000a_At Bank Aljazira                                                      _x000a_"/>
    <x v="76"/>
    <s v=""/>
    <x v="0"/>
    <n v="75"/>
    <n v="0"/>
    <x v="1"/>
    <s v="Received"/>
    <s v="Ealla For General Contracting"/>
    <x v="3"/>
    <x v="10"/>
    <x v="27"/>
    <n v="3"/>
    <n v="2026"/>
    <m/>
  </r>
  <r>
    <x v="5"/>
    <x v="115"/>
    <x v="9"/>
    <s v="Dr TI ILC Comm/Other Charges                                          _x000a_AMD005-291805754                                                      _x000a_At Bank Aljazira                                                      _x000a_ CORPORATE BANKING DEPT-JEDDAH                                        _x000a_Exchange Rate 1.0                                                     _x000a_Date 22-09-1447(H) Time 14.26.35                                      _x000a_Reference ILC-0840-25-7517                                            _x000a_Value Date 22-09-1447(H)                                              _x000a_Fee Collected By Bank AlJazira                                        _x000a_"/>
    <x v="168"/>
    <s v=""/>
    <x v="0"/>
    <n v="802.84"/>
    <n v="0"/>
    <x v="5"/>
    <s v="Received"/>
    <s v="SAUDI VITRIFIED CLAY PIPE CO"/>
    <x v="3"/>
    <x v="10"/>
    <x v="27"/>
    <n v="3"/>
    <n v="2026"/>
    <m/>
  </r>
  <r>
    <x v="5"/>
    <x v="115"/>
    <x v="9"/>
    <s v="Value Added Tax                                                       _x000a_On ILC Commission                                                     _x000a_15% of SAR802.84                                                      _x000a_Through CORPORATE BANKING DEPT-JEDDAH                                 _x000a_Date 22-09-1447(H) Time 14.26.35                                      _x000a_Reference ILC-0840-25-7517                                            _x000a_At Bank Aljazira                                                      _x000a_Exchange Rate 1.0                                                     _x000a_"/>
    <x v="168"/>
    <s v=""/>
    <x v="0"/>
    <n v="120.43"/>
    <n v="0"/>
    <x v="1"/>
    <s v="Received"/>
    <s v="SAUDI VITRIFIED CLAY PIPE CO"/>
    <x v="3"/>
    <x v="10"/>
    <x v="27"/>
    <n v="3"/>
    <n v="2026"/>
    <m/>
  </r>
  <r>
    <x v="5"/>
    <x v="115"/>
    <x v="9"/>
    <s v="Dr TI ILC Comm/Other Charges                                          _x000a_AMD005-291805756                                                      _x000a_At Bank Aljazira                                                      _x000a_ CORPORATE BANKING DEPT-JEDDAH                                        _x000a_Exchange Rate 1.0                                                     _x000a_Date 22-09-1447(H) Time 14.26.36                                      _x000a_Reference ILC-0840-25-7517                                            _x000a_Value Date 22-09-1447(H)                                              _x000a_Fee Collected By Bank AlJazira                                        _x000a_"/>
    <x v="168"/>
    <s v=""/>
    <x v="0"/>
    <n v="200"/>
    <n v="0"/>
    <x v="5"/>
    <s v="Received"/>
    <s v="SAUDI VITRIFIED CLAY PIPE CO"/>
    <x v="3"/>
    <x v="10"/>
    <x v="27"/>
    <n v="3"/>
    <n v="2026"/>
    <m/>
  </r>
  <r>
    <x v="5"/>
    <x v="115"/>
    <x v="9"/>
    <s v="Value Added Tax                                                       _x000a_On SWIFT charges                                                      _x000a_15% of SAR200.00                                                      _x000a_Through CORPORATE BANKING DEPT-JEDDAH                                 _x000a_Date 22-09-1447(H) Time 14.26.36                                      _x000a_Reference ILC-0840-25-7517                                            _x000a_At Bank Aljazira                                                      _x000a_Exchange Rate 1.0                                                     _x000a_"/>
    <x v="168"/>
    <s v=""/>
    <x v="0"/>
    <n v="30"/>
    <n v="0"/>
    <x v="1"/>
    <s v="Received"/>
    <s v="SAUDI VITRIFIED CLAY PIPE CO"/>
    <x v="3"/>
    <x v="10"/>
    <x v="27"/>
    <n v="3"/>
    <n v="2026"/>
    <m/>
  </r>
  <r>
    <x v="5"/>
    <x v="115"/>
    <x v="9"/>
    <s v="Dr TI ILC Comm/Other Charges                                          _x000a_AMD002-291807842                                                      _x000a_At Bank Aljazira                                                      _x000a_ CORPORATE BANKING DEPT-JEDDAH                                        _x000a_Date 22-09-1447(H) Time 14.26.57                                      _x000a_Reference ILC-0840-25-8011                                            _x000a_Value Date 22-09-1447(H)                                              _x000a_Fee Collected By Bank AlJazira                                        _x000a_"/>
    <x v="71"/>
    <s v=""/>
    <x v="0"/>
    <n v="30365.84"/>
    <n v="0"/>
    <x v="5"/>
    <s v="Received"/>
    <s v="Metten Al-Arabia Ltd Co (METARA)"/>
    <x v="0"/>
    <x v="10"/>
    <x v="27"/>
    <n v="3"/>
    <n v="2026"/>
    <m/>
  </r>
  <r>
    <x v="5"/>
    <x v="115"/>
    <x v="9"/>
    <s v="Value Added Tax                                                       _x000a_On ILC Commission                                                     _x000a_15% of SAR30,365.84                                                   _x000a_Through CORPORATE BANKING DEPT-JEDDAH                                 _x000a_Date 22-09-1447(H) Time 14.26.57                                      _x000a_Reference ILC-0840-25-8011                                            _x000a_At Bank Aljazira                                                      _x000a_"/>
    <x v="71"/>
    <s v=""/>
    <x v="0"/>
    <n v="4554.88"/>
    <n v="0"/>
    <x v="1"/>
    <s v="Received"/>
    <s v="Metten Al-Arabia Ltd Co (METARA)"/>
    <x v="0"/>
    <x v="10"/>
    <x v="27"/>
    <n v="3"/>
    <n v="2026"/>
    <m/>
  </r>
  <r>
    <x v="5"/>
    <x v="115"/>
    <x v="9"/>
    <s v="Dr TI ILC Comm/Other Charges                                          _x000a_AMD002-291807844                                                      _x000a_At Bank Aljazira                                                      _x000a_ CORPORATE BANKING DEPT-JEDDAH                                        _x000a_Date 22-09-1447(H) Time 14.26.58                                      _x000a_Reference ILC-0840-25-8011                                            _x000a_Value Date 22-09-1447(H)                                              _x000a_Fee Collected By Bank AlJazira                                        _x000a_"/>
    <x v="71"/>
    <s v=""/>
    <x v="0"/>
    <n v="200"/>
    <n v="0"/>
    <x v="5"/>
    <s v="Received"/>
    <s v="Metten Al-Arabia Ltd Co (METARA)"/>
    <x v="0"/>
    <x v="10"/>
    <x v="27"/>
    <n v="3"/>
    <n v="2026"/>
    <m/>
  </r>
  <r>
    <x v="5"/>
    <x v="115"/>
    <x v="9"/>
    <s v="Value Added Tax                                                       _x000a_On SWIFT charges                                                      _x000a_15% of SAR200.00                                                      _x000a_Through CORPORATE BANKING DEPT-JEDDAH                                 _x000a_Date 22-09-1447(H) Time 14.26.58                                      _x000a_Reference ILC-0840-25-8011                                            _x000a_At Bank Aljazira                                                      _x000a_"/>
    <x v="71"/>
    <s v=""/>
    <x v="0"/>
    <n v="30"/>
    <n v="0"/>
    <x v="1"/>
    <s v="Received"/>
    <s v="Metten Al-Arabia Ltd Co (METARA)"/>
    <x v="0"/>
    <x v="10"/>
    <x v="27"/>
    <n v="3"/>
    <n v="2026"/>
    <m/>
  </r>
  <r>
    <x v="1"/>
    <x v="116"/>
    <x v="3"/>
    <s v="CUSTOMER = 3972500 DEAL AMT = 2275.53 DEAL CCY = SAR TAX CODE = 1 "/>
    <x v="90"/>
    <s v="TF252710002501"/>
    <x v="0"/>
    <n v="341.33"/>
    <n v="0"/>
    <x v="1"/>
    <s v="Received"/>
    <s v="BRC Industrial (Saudia) Company"/>
    <x v="0"/>
    <x v="7"/>
    <x v="27"/>
    <n v="3"/>
    <n v="2026"/>
    <m/>
  </r>
  <r>
    <x v="1"/>
    <x v="116"/>
    <x v="3"/>
    <s v="LC ACCEPTANCE COMMISSION FOR LC NO. TF252710002501\BNK"/>
    <x v="90"/>
    <s v="TF252710002501"/>
    <x v="0"/>
    <n v="2275.5300000000002"/>
    <n v="0"/>
    <x v="2"/>
    <s v="Received"/>
    <s v="BRC Industrial (Saudia) Company"/>
    <x v="0"/>
    <x v="7"/>
    <x v="27"/>
    <n v="3"/>
    <n v="2026"/>
    <m/>
  </r>
  <r>
    <x v="1"/>
    <x v="116"/>
    <x v="3"/>
    <s v="CUSTOMER = 3972500 DEAL AMT = 75 DEAL CCY = SAR TAX CODE = 1 "/>
    <x v="210"/>
    <s v="TF253140001401"/>
    <x v="0"/>
    <n v="11.25"/>
    <n v="0"/>
    <x v="1"/>
    <s v="Received"/>
    <s v="Hamada Decoration Company"/>
    <x v="0"/>
    <x v="14"/>
    <x v="27"/>
    <n v="3"/>
    <n v="2026"/>
    <m/>
  </r>
  <r>
    <x v="1"/>
    <x v="116"/>
    <x v="3"/>
    <s v="LC SWIFT CHARGES FOR LC NO. TF253140001401\BNK"/>
    <x v="210"/>
    <s v="TF253140001401"/>
    <x v="0"/>
    <n v="75"/>
    <n v="0"/>
    <x v="3"/>
    <s v="Received"/>
    <s v="Hamada Decoration Company"/>
    <x v="0"/>
    <x v="14"/>
    <x v="27"/>
    <n v="3"/>
    <n v="2026"/>
    <m/>
  </r>
  <r>
    <x v="1"/>
    <x v="116"/>
    <x v="3"/>
    <s v="REIMBURSE UNDER LCS DR FOR LC NO. TF253140001401\BNK"/>
    <x v="210"/>
    <s v="TF253140001401"/>
    <x v="0"/>
    <n v="34000000"/>
    <n v="0"/>
    <x v="4"/>
    <s v="Received"/>
    <s v="Hamada Decoration Company"/>
    <x v="0"/>
    <x v="14"/>
    <x v="27"/>
    <n v="3"/>
    <n v="2026"/>
    <m/>
  </r>
  <r>
    <x v="0"/>
    <x v="116"/>
    <x v="0"/>
    <s v="REF 000000JLC7000002,RB REF JLC7000002,VIA CORE SYSTEM,DATE-TIME 12/03-14:06:56, عن طريق النظام الآ لي ,VALUE DT 12/03/26"/>
    <x v="350"/>
    <s v=""/>
    <x v="0"/>
    <n v="1408.93"/>
    <n v="0"/>
    <x v="2"/>
    <s v="Received"/>
    <s v="Riyadh Unity for Trading"/>
    <x v="3"/>
    <x v="3"/>
    <x v="27"/>
    <n v="3"/>
    <n v="2026"/>
    <m/>
  </r>
  <r>
    <x v="2"/>
    <x v="116"/>
    <x v="4"/>
    <s v="CITY:Jeddah 6132226J211810001"/>
    <x v="385"/>
    <s v="J211810001"/>
    <x v="0"/>
    <n v="1477.75"/>
    <n v="0"/>
    <x v="2"/>
    <s v="Received"/>
    <s v="Electro Mechanical Supplies Company"/>
    <x v="4"/>
    <x v="11"/>
    <x v="27"/>
    <n v="3"/>
    <n v="2026"/>
    <m/>
  </r>
  <r>
    <x v="2"/>
    <x v="116"/>
    <x v="11"/>
    <s v="CITY:Jeddah 6132226B314277015"/>
    <x v="118"/>
    <s v="B314277-015"/>
    <x v="0"/>
    <n v="534877.78"/>
    <n v="0"/>
    <x v="39"/>
    <s v="Received"/>
    <s v="Material - JEDDAH CENTRAL DEVELOPMENT COMPANY (JCD)"/>
    <x v="1"/>
    <x v="11"/>
    <x v="27"/>
    <n v="3"/>
    <n v="2026"/>
    <m/>
  </r>
  <r>
    <x v="3"/>
    <x v="116"/>
    <x v="5"/>
    <s v="DPBEPM212076WPM DCBWPM563374"/>
    <x v="163"/>
    <s v="DPBEPM212076WPM"/>
    <x v="0"/>
    <n v="15003.16"/>
    <n v="0"/>
    <x v="4"/>
    <s v="Received"/>
    <s v="EVOLVING CONSTELLATION CO. FOR ENERGY"/>
    <x v="3"/>
    <x v="8"/>
    <x v="27"/>
    <n v="3"/>
    <n v="2026"/>
    <m/>
  </r>
  <r>
    <x v="5"/>
    <x v="116"/>
    <x v="9"/>
    <s v="Dr TI ILC Comm/Other Charges                                          _x000a_AMD005-291803630                                                      _x000a_At Bank Aljazira                                                      _x000a_ CORPORATE BANKING DEPT-JEDDAH                                        _x000a_Date 23-09-1447(H) Time 15.16.33                                      _x000a_Reference ILC-0840-25-7407                                            _x000a_Value Date 22-09-1447(H)                                              _x000a_Fee Collected By Bank AlJazira                                        _x000a_Value date 11-MAR-26"/>
    <x v="81"/>
    <s v=""/>
    <x v="0"/>
    <n v="500"/>
    <n v="0"/>
    <x v="5"/>
    <s v="Received"/>
    <s v="SITE TECHNOLOGY SAUDI ARABIA LTD"/>
    <x v="3"/>
    <x v="10"/>
    <x v="27"/>
    <n v="3"/>
    <n v="2026"/>
    <m/>
  </r>
  <r>
    <x v="5"/>
    <x v="116"/>
    <x v="9"/>
    <s v="Value Added Tax                                                       _x000a_On ILC Commission                                                     _x000a_15% of SAR500.00                                                      _x000a_Through CORPORATE BANKING DEPT-JEDDAH                                 _x000a_Date 23-09-1447(H) Time 15.16.34                                      _x000a_Reference ILC-0840-25-7407                                            _x000a_At Bank Aljazira                                                      _x000a_Value date 11-MAR-26"/>
    <x v="81"/>
    <s v=""/>
    <x v="0"/>
    <n v="75"/>
    <n v="0"/>
    <x v="1"/>
    <s v="Received"/>
    <s v="SITE TECHNOLOGY SAUDI ARABIA LTD"/>
    <x v="3"/>
    <x v="10"/>
    <x v="27"/>
    <n v="3"/>
    <n v="2026"/>
    <m/>
  </r>
  <r>
    <x v="5"/>
    <x v="116"/>
    <x v="9"/>
    <s v="Dr TI ILC Comm/Other Charges                                          _x000a_AMD005-291803632                                                      _x000a_At Bank Aljazira                                                      _x000a_ CORPORATE BANKING DEPT-JEDDAH                                        _x000a_Date 23-09-1447(H) Time 15.16.34                                      _x000a_Reference ILC-0840-25-7407                                            _x000a_Value Date 22-09-1447(H)                                              _x000a_Fee Collected By Bank AlJazira                                        _x000a_Value date 11-MAR-26"/>
    <x v="81"/>
    <s v=""/>
    <x v="0"/>
    <n v="200"/>
    <n v="0"/>
    <x v="5"/>
    <s v="Received"/>
    <s v="SITE TECHNOLOGY SAUDI ARABIA LTD"/>
    <x v="3"/>
    <x v="10"/>
    <x v="27"/>
    <n v="3"/>
    <n v="2026"/>
    <m/>
  </r>
  <r>
    <x v="5"/>
    <x v="116"/>
    <x v="9"/>
    <s v="Value Added Tax                                                       _x000a_On SWIFT charges                                                      _x000a_15% of SAR200.00                                                      _x000a_Through CORPORATE BANKING DEPT-JEDDAH                                 _x000a_Date 23-09-1447(H) Time 15.16.34                                      _x000a_Reference ILC-0840-25-7407                                            _x000a_At Bank Aljazira                                                      _x000a_Value date 11-MAR-26"/>
    <x v="81"/>
    <s v=""/>
    <x v="0"/>
    <n v="30"/>
    <n v="0"/>
    <x v="1"/>
    <s v="Received"/>
    <s v="SITE TECHNOLOGY SAUDI ARABIA LTD"/>
    <x v="3"/>
    <x v="10"/>
    <x v="27"/>
    <n v="3"/>
    <n v="2026"/>
    <m/>
  </r>
  <r>
    <x v="1"/>
    <x v="117"/>
    <x v="3"/>
    <s v="CUSTOMER = 3972500 DEAL AMT = 75 DEAL CCY = SAR TAX CODE = 1 "/>
    <x v="210"/>
    <s v="TF253140001402"/>
    <x v="0"/>
    <n v="11.25"/>
    <n v="0"/>
    <x v="1"/>
    <s v="Received"/>
    <s v="Hamada Decoration Company"/>
    <x v="0"/>
    <x v="14"/>
    <x v="27"/>
    <n v="3"/>
    <n v="2026"/>
    <m/>
  </r>
  <r>
    <x v="1"/>
    <x v="117"/>
    <x v="3"/>
    <s v="LC SWIFT CHARGES FOR LC NO. TF253140001402\BNK"/>
    <x v="210"/>
    <s v="TF253140001402"/>
    <x v="0"/>
    <n v="75"/>
    <n v="0"/>
    <x v="3"/>
    <s v="Received"/>
    <s v="Hamada Decoration Company"/>
    <x v="0"/>
    <x v="14"/>
    <x v="27"/>
    <n v="3"/>
    <n v="2026"/>
    <m/>
  </r>
  <r>
    <x v="1"/>
    <x v="117"/>
    <x v="3"/>
    <s v="REIMBURSE UNDER LCS DR FOR LC NO. TF253140001402\BNK"/>
    <x v="210"/>
    <s v="TF253140001402"/>
    <x v="0"/>
    <n v="32000000"/>
    <n v="0"/>
    <x v="4"/>
    <s v="Received"/>
    <s v="Hamada Decoration Company"/>
    <x v="0"/>
    <x v="14"/>
    <x v="27"/>
    <n v="3"/>
    <n v="2026"/>
    <m/>
  </r>
  <r>
    <x v="1"/>
    <x v="117"/>
    <x v="3"/>
    <s v="CUSTOMER = 3972500 DEAL AMT = 300.00 DEAL CCY = GBP TAX CODE = 1 "/>
    <x v="427"/>
    <s v="TF2605600008"/>
    <x v="0"/>
    <n v="45"/>
    <n v="0"/>
    <x v="1"/>
    <s v="Received"/>
    <s v="LSI PROJECTS LIMITED"/>
    <x v="10"/>
    <x v="5"/>
    <x v="27"/>
    <n v="3"/>
    <n v="2026"/>
    <m/>
  </r>
  <r>
    <x v="1"/>
    <x v="117"/>
    <x v="3"/>
    <s v="LC COURIER CHARGES FOR LC NO. TF2605600008\BNK"/>
    <x v="427"/>
    <s v="TF2605600008"/>
    <x v="0"/>
    <n v="300"/>
    <n v="0"/>
    <x v="24"/>
    <s v="Received"/>
    <s v="LSI PROJECTS LIMITED"/>
    <x v="10"/>
    <x v="5"/>
    <x v="27"/>
    <n v="3"/>
    <n v="2026"/>
    <m/>
  </r>
  <r>
    <x v="0"/>
    <x v="117"/>
    <x v="0"/>
    <s v="REF 000000JLC7000183,RB REF JLC7000183,VIA CORE SYSTEM,DATE-TIME 15/03-14:03:47, عن طريق النظام الآ لي ,VALUE DT 15/03/26"/>
    <x v="409"/>
    <s v=""/>
    <x v="0"/>
    <n v="2156.25"/>
    <n v="0"/>
    <x v="2"/>
    <s v="Received"/>
    <s v="Riyadh Unity for Trading"/>
    <x v="3"/>
    <x v="3"/>
    <x v="27"/>
    <n v="3"/>
    <n v="2026"/>
    <m/>
  </r>
  <r>
    <x v="0"/>
    <x v="117"/>
    <x v="0"/>
    <s v="REF JLG7000450,REF JLG7000450,VIA CORE SYSTEM,DATE-TIME 15/03-15:24:12, عن طريق النظام الآ لي ,VALUE DT 15/03/26"/>
    <x v="418"/>
    <s v=""/>
    <x v="0"/>
    <n v="0"/>
    <n v="284625"/>
    <x v="35"/>
    <s v="Received"/>
    <s v="Bid - KING SALMAN INTERNATIONAL AIRPORT (Frst Fix)"/>
    <x v="14"/>
    <x v="2"/>
    <x v="27"/>
    <n v="3"/>
    <n v="2026"/>
    <m/>
  </r>
  <r>
    <x v="2"/>
    <x v="117"/>
    <x v="4"/>
    <s v="CITY:Jeddah 6132226J211811001"/>
    <x v="381"/>
    <s v="J211811001"/>
    <x v="0"/>
    <n v="3394.42"/>
    <n v="0"/>
    <x v="2"/>
    <s v="Received"/>
    <s v="Brooq Al Amaan Trading"/>
    <x v="4"/>
    <x v="11"/>
    <x v="27"/>
    <n v="3"/>
    <n v="2026"/>
    <m/>
  </r>
  <r>
    <x v="2"/>
    <x v="117"/>
    <x v="4"/>
    <s v="CITY:Jeddah 6132226J211985001"/>
    <x v="431"/>
    <s v="J211985001"/>
    <x v="0"/>
    <n v="4104.53"/>
    <n v="0"/>
    <x v="2"/>
    <s v="Received"/>
    <s v="High Al Shuhra Contracting Company"/>
    <x v="0"/>
    <x v="7"/>
    <x v="27"/>
    <n v="3"/>
    <n v="2026"/>
    <m/>
  </r>
  <r>
    <x v="1"/>
    <x v="118"/>
    <x v="3"/>
    <s v="CUSTOMER = 3972500 DEAL AMT = 75 DEAL CCY = SAR TAX CODE = 1 "/>
    <x v="325"/>
    <s v="TF253480002901"/>
    <x v="0"/>
    <n v="11.25"/>
    <n v="0"/>
    <x v="1"/>
    <s v="Received"/>
    <s v="Depa Saudi Arabia for Contracting and Interior Decorating Co. Ltd."/>
    <x v="0"/>
    <x v="5"/>
    <x v="27"/>
    <n v="3"/>
    <n v="2026"/>
    <m/>
  </r>
  <r>
    <x v="1"/>
    <x v="118"/>
    <x v="3"/>
    <s v="LC SWIFT CHARGES FOR LC NO. TF253480002901\BNK"/>
    <x v="325"/>
    <s v="TF253480002901"/>
    <x v="0"/>
    <n v="75"/>
    <n v="0"/>
    <x v="3"/>
    <s v="Received"/>
    <s v="Depa Saudi Arabia for Contracting and Interior Decorating Co. Ltd."/>
    <x v="0"/>
    <x v="5"/>
    <x v="27"/>
    <n v="3"/>
    <n v="2026"/>
    <m/>
  </r>
  <r>
    <x v="1"/>
    <x v="118"/>
    <x v="3"/>
    <s v="REIMBURSE UNDER LCS DR FOR LC NO. TF253480002901\BNK"/>
    <x v="325"/>
    <s v="TF253480002901"/>
    <x v="0"/>
    <n v="11768747.039999999"/>
    <n v="0"/>
    <x v="4"/>
    <s v="Received"/>
    <s v="Depa Saudi Arabia for Contracting and Interior Decorating Co. Ltd."/>
    <x v="0"/>
    <x v="5"/>
    <x v="27"/>
    <n v="3"/>
    <n v="2026"/>
    <m/>
  </r>
  <r>
    <x v="1"/>
    <x v="119"/>
    <x v="3"/>
    <s v="CUSTOMER = 3972500 DEAL AMT = 1250 DEAL CCY = SAR TAX CODE = 1 "/>
    <x v="111"/>
    <s v="TF252710002403"/>
    <x v="0"/>
    <n v="187.5"/>
    <n v="0"/>
    <x v="1"/>
    <s v="Received"/>
    <s v="Saudi Perfect Pumps Trading &amp; Manufacturing Company"/>
    <x v="0"/>
    <x v="7"/>
    <x v="27"/>
    <n v="3"/>
    <n v="2026"/>
    <m/>
  </r>
  <r>
    <x v="1"/>
    <x v="119"/>
    <x v="3"/>
    <s v="LC ACCEPTANCE COMMISSION FOR LC NO. TF252710002403\BNK"/>
    <x v="111"/>
    <s v="TF252710002403"/>
    <x v="0"/>
    <n v="1250"/>
    <n v="0"/>
    <x v="2"/>
    <s v="Received"/>
    <s v="Saudi Perfect Pumps Trading &amp; Manufacturing Company"/>
    <x v="0"/>
    <x v="7"/>
    <x v="27"/>
    <n v="3"/>
    <n v="2026"/>
    <m/>
  </r>
  <r>
    <x v="1"/>
    <x v="119"/>
    <x v="3"/>
    <s v="CUSTOMER = 3972500 DEAL AMT = 75 DEAL CCY = SAR TAX CODE = 1 "/>
    <x v="214"/>
    <s v="TF253160006201"/>
    <x v="0"/>
    <n v="11.25"/>
    <n v="0"/>
    <x v="1"/>
    <s v="Received"/>
    <s v="AI-Hadbania Trading Co."/>
    <x v="3"/>
    <x v="5"/>
    <x v="27"/>
    <n v="3"/>
    <n v="2026"/>
    <m/>
  </r>
  <r>
    <x v="1"/>
    <x v="119"/>
    <x v="3"/>
    <s v="LC SWIFT CHARGES FOR LC NO. TF253160006201\BNK"/>
    <x v="214"/>
    <s v="TF253160006201"/>
    <x v="0"/>
    <n v="75"/>
    <n v="0"/>
    <x v="3"/>
    <s v="Received"/>
    <s v="AI-Hadbania Trading Co."/>
    <x v="3"/>
    <x v="5"/>
    <x v="27"/>
    <n v="3"/>
    <n v="2026"/>
    <m/>
  </r>
  <r>
    <x v="1"/>
    <x v="119"/>
    <x v="3"/>
    <s v="REIMBURSE UNDER LCS DR FOR LC NO. TF253160006201\BNK"/>
    <x v="214"/>
    <s v="TF253160006201"/>
    <x v="0"/>
    <n v="1989866.83"/>
    <n v="0"/>
    <x v="4"/>
    <s v="Received"/>
    <s v="AI-Hadbania Trading Co."/>
    <x v="3"/>
    <x v="5"/>
    <x v="27"/>
    <n v="3"/>
    <n v="2026"/>
    <m/>
  </r>
  <r>
    <x v="1"/>
    <x v="119"/>
    <x v="3"/>
    <s v="CUSTOMER = 3972500 DEAL AMT = 75 DEAL CCY = SAR TAX CODE = 1 "/>
    <x v="327"/>
    <s v="TF253520001903"/>
    <x v="0"/>
    <n v="11.25"/>
    <n v="0"/>
    <x v="1"/>
    <s v="Received"/>
    <s v="SIEMENS Limited Company"/>
    <x v="12"/>
    <x v="5"/>
    <x v="27"/>
    <n v="3"/>
    <n v="2026"/>
    <m/>
  </r>
  <r>
    <x v="1"/>
    <x v="119"/>
    <x v="3"/>
    <s v="LC SWIFT CHARGES FOR LC NO. TF253520001903\BNK"/>
    <x v="327"/>
    <s v="TF253520001903"/>
    <x v="0"/>
    <n v="75"/>
    <n v="0"/>
    <x v="3"/>
    <s v="Received"/>
    <s v="SIEMENS Limited Company"/>
    <x v="12"/>
    <x v="5"/>
    <x v="27"/>
    <n v="3"/>
    <n v="2026"/>
    <m/>
  </r>
  <r>
    <x v="1"/>
    <x v="119"/>
    <x v="3"/>
    <s v="REIMBURSE UNDER LCS DR FOR LC NO. TF253520001903\BNK"/>
    <x v="327"/>
    <s v="TF253520001903"/>
    <x v="0"/>
    <n v="251618.06"/>
    <n v="0"/>
    <x v="4"/>
    <s v="Received"/>
    <s v="SIEMENS Limited Company"/>
    <x v="12"/>
    <x v="5"/>
    <x v="27"/>
    <n v="3"/>
    <n v="2026"/>
    <m/>
  </r>
  <r>
    <x v="1"/>
    <x v="119"/>
    <x v="3"/>
    <s v="CUSTOMER = 3972500 DEAL AMT = 75 DEAL CCY = SAR TAX CODE = 1 "/>
    <x v="327"/>
    <s v="TF253520001904"/>
    <x v="0"/>
    <n v="11.25"/>
    <n v="0"/>
    <x v="1"/>
    <s v="Received"/>
    <s v="SIEMENS Limited Company"/>
    <x v="12"/>
    <x v="5"/>
    <x v="27"/>
    <n v="3"/>
    <n v="2026"/>
    <m/>
  </r>
  <r>
    <x v="1"/>
    <x v="119"/>
    <x v="3"/>
    <s v="LC SWIFT CHARGES FOR LC NO. TF253520001904\BNK"/>
    <x v="327"/>
    <s v="TF253520001904"/>
    <x v="0"/>
    <n v="75"/>
    <n v="0"/>
    <x v="3"/>
    <s v="Received"/>
    <s v="SIEMENS Limited Company"/>
    <x v="12"/>
    <x v="5"/>
    <x v="27"/>
    <n v="3"/>
    <n v="2026"/>
    <m/>
  </r>
  <r>
    <x v="1"/>
    <x v="119"/>
    <x v="3"/>
    <s v="REIMBURSE UNDER LCS DR FOR LC NO. TF253520001904\BNK"/>
    <x v="327"/>
    <s v="TF253520001904"/>
    <x v="0"/>
    <n v="485451.98"/>
    <n v="0"/>
    <x v="4"/>
    <s v="Received"/>
    <s v="SIEMENS Limited Company"/>
    <x v="12"/>
    <x v="5"/>
    <x v="27"/>
    <n v="3"/>
    <n v="2026"/>
    <m/>
  </r>
  <r>
    <x v="1"/>
    <x v="119"/>
    <x v="3"/>
    <s v="CUSTOMER = 3972500 DEAL AMT = 1705.32 DEAL CCY = SAR TAX CODE = 1 "/>
    <x v="327"/>
    <s v="TF253520001905"/>
    <x v="0"/>
    <n v="255.8"/>
    <n v="0"/>
    <x v="1"/>
    <s v="Received"/>
    <s v="SIEMENS Limited Company"/>
    <x v="12"/>
    <x v="5"/>
    <x v="27"/>
    <n v="3"/>
    <n v="2026"/>
    <m/>
  </r>
  <r>
    <x v="1"/>
    <x v="119"/>
    <x v="3"/>
    <s v="LC ACCEPTANCE COMMISSION FOR LC NO. TF253520001905\BNK"/>
    <x v="327"/>
    <s v="TF253520001905"/>
    <x v="0"/>
    <n v="1705.32"/>
    <n v="0"/>
    <x v="2"/>
    <s v="Received"/>
    <s v="SIEMENS Limited Company"/>
    <x v="12"/>
    <x v="5"/>
    <x v="27"/>
    <n v="3"/>
    <n v="2026"/>
    <m/>
  </r>
  <r>
    <x v="1"/>
    <x v="119"/>
    <x v="3"/>
    <s v="CUSTOMER = 3972500 DEAL AMT = 1250 DEAL CCY = SAR TAX CODE = 1 "/>
    <x v="327"/>
    <s v="TF253520001906"/>
    <x v="0"/>
    <n v="187.5"/>
    <n v="0"/>
    <x v="1"/>
    <s v="Received"/>
    <s v="SIEMENS Limited Company"/>
    <x v="12"/>
    <x v="5"/>
    <x v="27"/>
    <n v="3"/>
    <n v="2026"/>
    <m/>
  </r>
  <r>
    <x v="1"/>
    <x v="119"/>
    <x v="3"/>
    <s v="LC ACCEPTANCE COMMISSION FOR LC NO. TF253520001906\BNK"/>
    <x v="327"/>
    <s v="TF253520001906"/>
    <x v="0"/>
    <n v="1250"/>
    <n v="0"/>
    <x v="2"/>
    <s v="Received"/>
    <s v="SIEMENS Limited Company"/>
    <x v="12"/>
    <x v="5"/>
    <x v="27"/>
    <n v="3"/>
    <n v="2026"/>
    <m/>
  </r>
  <r>
    <x v="1"/>
    <x v="119"/>
    <x v="3"/>
    <s v="CUSTOMER = 3972500 DEAL AMT = 1250 DEAL CCY = SAR TAX CODE = 1 "/>
    <x v="327"/>
    <s v="TF253520001907"/>
    <x v="0"/>
    <n v="187.5"/>
    <n v="0"/>
    <x v="1"/>
    <s v="Received"/>
    <s v="SIEMENS Limited Company"/>
    <x v="12"/>
    <x v="5"/>
    <x v="27"/>
    <n v="3"/>
    <n v="2026"/>
    <m/>
  </r>
  <r>
    <x v="1"/>
    <x v="119"/>
    <x v="3"/>
    <s v="LC ACCEPTANCE COMMISSION FOR LC NO. TF253520001907\BNK"/>
    <x v="327"/>
    <s v="TF253520001907"/>
    <x v="0"/>
    <n v="1250"/>
    <n v="0"/>
    <x v="2"/>
    <s v="Received"/>
    <s v="SIEMENS Limited Company"/>
    <x v="12"/>
    <x v="5"/>
    <x v="27"/>
    <n v="3"/>
    <n v="2026"/>
    <m/>
  </r>
  <r>
    <x v="1"/>
    <x v="119"/>
    <x v="3"/>
    <s v="CUSTOMER = 3972500 DEAL AMT = 1250 DEAL CCY = SAR TAX CODE = 1 "/>
    <x v="327"/>
    <s v="TF253520001908"/>
    <x v="0"/>
    <n v="187.5"/>
    <n v="0"/>
    <x v="1"/>
    <s v="Received"/>
    <s v="SIEMENS Limited Company"/>
    <x v="12"/>
    <x v="5"/>
    <x v="27"/>
    <n v="3"/>
    <n v="2026"/>
    <m/>
  </r>
  <r>
    <x v="1"/>
    <x v="119"/>
    <x v="3"/>
    <s v="LC ACCEPTANCE COMMISSION FOR LC NO. TF253520001908\BNK"/>
    <x v="327"/>
    <s v="TF253520001908"/>
    <x v="0"/>
    <n v="1250"/>
    <n v="0"/>
    <x v="2"/>
    <s v="Received"/>
    <s v="SIEMENS Limited Company"/>
    <x v="12"/>
    <x v="5"/>
    <x v="27"/>
    <n v="3"/>
    <n v="2026"/>
    <m/>
  </r>
  <r>
    <x v="1"/>
    <x v="119"/>
    <x v="3"/>
    <s v="CUSTOMER = 3972500 DEAL AMT = 2128.51 DEAL CCY = SAR TAX CODE = 1 "/>
    <x v="327"/>
    <s v="TF253520001910"/>
    <x v="0"/>
    <n v="319.27999999999997"/>
    <n v="0"/>
    <x v="1"/>
    <s v="Received"/>
    <s v="SIEMENS Limited Company"/>
    <x v="12"/>
    <x v="5"/>
    <x v="27"/>
    <n v="3"/>
    <n v="2026"/>
    <m/>
  </r>
  <r>
    <x v="1"/>
    <x v="119"/>
    <x v="3"/>
    <s v="LC ACCEPTANCE COMMISSION FOR LC NO. TF253520001910\BNK"/>
    <x v="327"/>
    <s v="TF253520001910"/>
    <x v="0"/>
    <n v="2128.5100000000002"/>
    <n v="0"/>
    <x v="2"/>
    <s v="Received"/>
    <s v="SIEMENS Limited Company"/>
    <x v="12"/>
    <x v="5"/>
    <x v="27"/>
    <n v="3"/>
    <n v="2026"/>
    <m/>
  </r>
  <r>
    <x v="1"/>
    <x v="119"/>
    <x v="3"/>
    <s v="CUSTOMER = 3972500 DEAL AMT = 150 DEAL CCY = EUR TAX CODE = 1 "/>
    <x v="336"/>
    <s v="TF253590001602"/>
    <x v="0"/>
    <n v="22.5"/>
    <n v="0"/>
    <x v="1"/>
    <s v="Received"/>
    <s v="BBH-CHEMTROL INTERNATIONAL ORGANIZATION S.L"/>
    <x v="10"/>
    <x v="5"/>
    <x v="27"/>
    <n v="3"/>
    <n v="2026"/>
    <m/>
  </r>
  <r>
    <x v="1"/>
    <x v="119"/>
    <x v="3"/>
    <s v="LC SWIFT CHARGES FOR LC NO. TF253590001602\BNK"/>
    <x v="336"/>
    <s v="TF253590001602"/>
    <x v="0"/>
    <n v="150"/>
    <n v="0"/>
    <x v="3"/>
    <s v="Received"/>
    <s v="BBH-CHEMTROL INTERNATIONAL ORGANIZATION S.L"/>
    <x v="10"/>
    <x v="5"/>
    <x v="27"/>
    <n v="3"/>
    <n v="2026"/>
    <m/>
  </r>
  <r>
    <x v="1"/>
    <x v="119"/>
    <x v="3"/>
    <s v="REIMBURSE UNDER LCS DR FOR LC NO. TF253590001602\BNK"/>
    <x v="336"/>
    <s v="TF253590001602"/>
    <x v="0"/>
    <n v="175031.58"/>
    <n v="0"/>
    <x v="4"/>
    <s v="Received"/>
    <s v="BBH-CHEMTROL INTERNATIONAL ORGANIZATION S.L"/>
    <x v="10"/>
    <x v="5"/>
    <x v="27"/>
    <n v="3"/>
    <n v="2026"/>
    <m/>
  </r>
  <r>
    <x v="1"/>
    <x v="119"/>
    <x v="3"/>
    <s v="CUSTOMER = 3972500 DEAL AMT = 1250 DEAL CCY = EUR TAX CODE = 1 "/>
    <x v="336"/>
    <s v="TF253590001603"/>
    <x v="0"/>
    <n v="187.5"/>
    <n v="0"/>
    <x v="1"/>
    <s v="Received"/>
    <s v="BBH-CHEMTROL INTERNATIONAL ORGANIZATION S.L"/>
    <x v="10"/>
    <x v="5"/>
    <x v="27"/>
    <n v="3"/>
    <n v="2026"/>
    <m/>
  </r>
  <r>
    <x v="1"/>
    <x v="119"/>
    <x v="3"/>
    <s v="LC ACCEPTANCE COMMISSION FOR LC NO. TF253590001603\BNK"/>
    <x v="336"/>
    <s v="TF253590001603"/>
    <x v="0"/>
    <n v="1250"/>
    <n v="0"/>
    <x v="2"/>
    <s v="Received"/>
    <s v="BBH-CHEMTROL INTERNATIONAL ORGANIZATION S.L"/>
    <x v="10"/>
    <x v="5"/>
    <x v="27"/>
    <n v="3"/>
    <n v="2026"/>
    <m/>
  </r>
  <r>
    <x v="1"/>
    <x v="119"/>
    <x v="3"/>
    <s v="CUSTOMER = 3972500 DEAL AMT = 1250 DEAL CCY = EUR TAX CODE = 1 "/>
    <x v="336"/>
    <s v="TF253590001604"/>
    <x v="0"/>
    <n v="187.5"/>
    <n v="0"/>
    <x v="1"/>
    <s v="Received"/>
    <s v="BBH-CHEMTROL INTERNATIONAL ORGANIZATION S.L"/>
    <x v="10"/>
    <x v="5"/>
    <x v="27"/>
    <n v="3"/>
    <n v="2026"/>
    <m/>
  </r>
  <r>
    <x v="1"/>
    <x v="119"/>
    <x v="3"/>
    <s v="LC ACCEPTANCE COMMISSION FOR LC NO. TF253590001604\BNK"/>
    <x v="336"/>
    <s v="TF253590001604"/>
    <x v="0"/>
    <n v="1250"/>
    <n v="0"/>
    <x v="2"/>
    <s v="Received"/>
    <s v="BBH-CHEMTROL INTERNATIONAL ORGANIZATION S.L"/>
    <x v="10"/>
    <x v="5"/>
    <x v="27"/>
    <n v="3"/>
    <n v="2026"/>
    <m/>
  </r>
  <r>
    <x v="0"/>
    <x v="118"/>
    <x v="0"/>
    <s v="REF 000000JLC7000188,RB REF JLC7000188,VIA CORE SYSTEM,DATE-TIME 16/03-12:59:49, عن طريق النظام الآ لي ,VALUE DT 16/03/26"/>
    <x v="415"/>
    <s v=""/>
    <x v="0"/>
    <n v="2156.25"/>
    <n v="0"/>
    <x v="2"/>
    <s v="Received"/>
    <s v="Electric House Trading Company L.L.C."/>
    <x v="3"/>
    <x v="3"/>
    <x v="27"/>
    <n v="3"/>
    <n v="2026"/>
    <m/>
  </r>
  <r>
    <x v="0"/>
    <x v="119"/>
    <x v="1"/>
    <s v="RB REF JLG6804864,VIA CORE SYSTEM,DATE-TIME 24/03-09:06:19, عن طريق النظام الآ لي ,VALUE DT 24/03/26"/>
    <x v="446"/>
    <s v=""/>
    <x v="0"/>
    <n v="19577.599999999999"/>
    <n v="0"/>
    <x v="17"/>
    <s v="Received"/>
    <s v="Advance - PRIVATE AFFAIRS OF THE CUSTODIAN OF THE TWO HOLY MOSQUES"/>
    <x v="1"/>
    <x v="2"/>
    <x v="27"/>
    <n v="3"/>
    <n v="2026"/>
    <m/>
  </r>
  <r>
    <x v="0"/>
    <x v="119"/>
    <x v="0"/>
    <s v="REF 000000JLC7000186,RB REF JLC7000186,VIA CORE SYSTEM,DATE-TIME 24/03-14:27:11, عن طريق النظام الآ لي ,VALUE DT 24/03/26"/>
    <x v="413"/>
    <s v=""/>
    <x v="0"/>
    <n v="2156.25"/>
    <n v="0"/>
    <x v="2"/>
    <s v="Received"/>
    <s v="IDEAL CALIBER COMPANY"/>
    <x v="3"/>
    <x v="3"/>
    <x v="27"/>
    <n v="3"/>
    <n v="2026"/>
    <m/>
  </r>
  <r>
    <x v="0"/>
    <x v="119"/>
    <x v="0"/>
    <s v="REF 000000JLC7000384,RB REF JLC7000384,VIA CORE SYSTEM,DATE-TIME 24/03-14:05:43, عن طريق النظام الآ لي ,VALUE DT 24/03/26"/>
    <x v="447"/>
    <s v=""/>
    <x v="0"/>
    <n v="156804.48000000001"/>
    <n v="0"/>
    <x v="26"/>
    <s v="Received"/>
    <s v="Mat Filtrasyon Teknolojeleri A.S"/>
    <x v="0"/>
    <x v="3"/>
    <x v="27"/>
    <n v="3"/>
    <n v="2026"/>
    <m/>
  </r>
  <r>
    <x v="0"/>
    <x v="119"/>
    <x v="0"/>
    <s v="REF 000000JLC6901431,RB REF JLC6901431,VIA CORE SYSTEM,DATE-TIME 24/03-12:44:11, عن طريق النظام الآ لي ,VALUE DT 24/03/26"/>
    <x v="95"/>
    <s v=""/>
    <x v="0"/>
    <n v="3467133.56"/>
    <n v="0"/>
    <x v="4"/>
    <s v="Received"/>
    <s v="Mat Filtrasyon Teknolojeleri A.S"/>
    <x v="0"/>
    <x v="3"/>
    <x v="3"/>
    <n v="3"/>
    <n v="2026"/>
    <m/>
  </r>
  <r>
    <x v="0"/>
    <x v="120"/>
    <x v="0"/>
    <s v="RB REF JLG7000787,VIA CORE SYSTEM,DATE-TIME 25/03-16:11:39, عن طريق النظام الآ لي ,VALUE DT 25/03/26"/>
    <x v="448"/>
    <s v=""/>
    <x v="0"/>
    <n v="2260740.5699999998"/>
    <n v="0"/>
    <x v="40"/>
    <s v="Received"/>
    <s v="Performance - NEOM Company"/>
    <x v="0"/>
    <x v="21"/>
    <x v="27"/>
    <n v="3"/>
    <n v="2026"/>
    <m/>
  </r>
  <r>
    <x v="0"/>
    <x v="121"/>
    <x v="1"/>
    <s v="REF JLC6701731,REF JLC6701731,VIA CORE SYSTEM,DATE-TIME 26/03-16:27:54, عن طريق النظام الآ لي ,VALUE DT 26/03/26"/>
    <x v="96"/>
    <s v=""/>
    <x v="0"/>
    <n v="0"/>
    <n v="1550418.94"/>
    <x v="6"/>
    <s v="Received"/>
    <s v="ATELIER HOSPITALITY SRL"/>
    <x v="0"/>
    <x v="0"/>
    <x v="27"/>
    <n v="3"/>
    <n v="2026"/>
    <m/>
  </r>
  <r>
    <x v="0"/>
    <x v="121"/>
    <x v="13"/>
    <s v="REF 000000JLC6701731,RB REF JLC6701731,VIA CORE SYSTEM,DATE-TIME 26/03-16:27:53, عن طريق النظام الآ لي ,VALUE DT 26/03/26"/>
    <x v="96"/>
    <s v=""/>
    <x v="3"/>
    <n v="339704.68"/>
    <n v="0"/>
    <x v="6"/>
    <s v="Received"/>
    <s v="ATELIER HOSPITALITY SRL"/>
    <x v="0"/>
    <x v="0"/>
    <x v="27"/>
    <n v="3"/>
    <n v="2026"/>
    <m/>
  </r>
  <r>
    <x v="2"/>
    <x v="118"/>
    <x v="4"/>
    <s v="CITY:Jeddah 6132226J211604001"/>
    <x v="291"/>
    <s v="J211604001"/>
    <x v="0"/>
    <n v="1200600"/>
    <n v="0"/>
    <x v="4"/>
    <s v="Received"/>
    <s v="Saudi Benaa Company For Building Materials"/>
    <x v="0"/>
    <x v="11"/>
    <x v="27"/>
    <n v="3"/>
    <n v="2026"/>
    <m/>
  </r>
  <r>
    <x v="2"/>
    <x v="119"/>
    <x v="4"/>
    <s v="CITY:Jeddah 6132226J211485003"/>
    <x v="192"/>
    <s v="J211485003"/>
    <x v="0"/>
    <n v="949026"/>
    <n v="0"/>
    <x v="4"/>
    <s v="Received"/>
    <s v="ALNAFIE METAL INDUSTRIES CO LTD"/>
    <x v="8"/>
    <x v="11"/>
    <x v="27"/>
    <n v="3"/>
    <n v="2026"/>
    <m/>
  </r>
  <r>
    <x v="2"/>
    <x v="119"/>
    <x v="4"/>
    <s v="CITY:Jeddah 6132226J211485002"/>
    <x v="192"/>
    <s v="J211485002"/>
    <x v="0"/>
    <n v="794349.56"/>
    <n v="0"/>
    <x v="4"/>
    <s v="Received"/>
    <s v="ALNAFIE METAL INDUSTRIES CO LTD"/>
    <x v="8"/>
    <x v="11"/>
    <x v="27"/>
    <n v="3"/>
    <n v="2026"/>
    <m/>
  </r>
  <r>
    <x v="2"/>
    <x v="119"/>
    <x v="4"/>
    <s v="CITY:Jeddah 6132226J211809001"/>
    <x v="383"/>
    <s v="J211809001"/>
    <x v="0"/>
    <n v="800040.25"/>
    <n v="0"/>
    <x v="4"/>
    <s v="Received"/>
    <s v="Johnson Controls Arabia Limited"/>
    <x v="4"/>
    <x v="11"/>
    <x v="27"/>
    <n v="3"/>
    <n v="2026"/>
    <m/>
  </r>
  <r>
    <x v="2"/>
    <x v="119"/>
    <x v="4"/>
    <s v="CITY:Jeddah 6132226J211681001"/>
    <x v="328"/>
    <s v="J211681001"/>
    <x v="0"/>
    <n v="615.25"/>
    <n v="0"/>
    <x v="2"/>
    <s v="Received"/>
    <s v="APS ARABIAN CONTRACTING COMPANY"/>
    <x v="8"/>
    <x v="11"/>
    <x v="27"/>
    <n v="3"/>
    <n v="2026"/>
    <m/>
  </r>
  <r>
    <x v="2"/>
    <x v="120"/>
    <x v="4"/>
    <s v="CITY:Jeddah 6132226J211485004"/>
    <x v="192"/>
    <s v="J211485004"/>
    <x v="0"/>
    <n v="5779.61"/>
    <n v="0"/>
    <x v="2"/>
    <s v="Received"/>
    <s v="ALNAFIE METAL INDUSTRIES CO LTD"/>
    <x v="8"/>
    <x v="11"/>
    <x v="27"/>
    <n v="3"/>
    <n v="2026"/>
    <m/>
  </r>
  <r>
    <x v="2"/>
    <x v="120"/>
    <x v="4"/>
    <s v="CITY:Jeddah 6132226J211808001"/>
    <x v="382"/>
    <s v="J211808001"/>
    <x v="0"/>
    <n v="938.69"/>
    <n v="0"/>
    <x v="2"/>
    <s v="Received"/>
    <s v="Electric House Trading Company L.L.C."/>
    <x v="4"/>
    <x v="11"/>
    <x v="27"/>
    <n v="3"/>
    <n v="2026"/>
    <m/>
  </r>
  <r>
    <x v="2"/>
    <x v="120"/>
    <x v="4"/>
    <s v="CITY:Jeddah 6132226J210611003"/>
    <x v="134"/>
    <s v="J210611003"/>
    <x v="0"/>
    <n v="51429.25"/>
    <n v="0"/>
    <x v="2"/>
    <s v="Received"/>
    <s v="ALFANAR ELECTRICAL SYSTEMS"/>
    <x v="3"/>
    <x v="5"/>
    <x v="27"/>
    <n v="3"/>
    <n v="2026"/>
    <m/>
  </r>
  <r>
    <x v="3"/>
    <x v="118"/>
    <x v="17"/>
    <s v="DC ISSUE COMM CHARGES DCBWPM163413"/>
    <x v="449"/>
    <s v="DCBWPM163413"/>
    <x v="0"/>
    <n v="57730"/>
    <n v="0"/>
    <x v="8"/>
    <s v="Received"/>
    <s v="Innovative Contractors for Advanced Dimension (ICAD)"/>
    <x v="0"/>
    <x v="8"/>
    <x v="27"/>
    <n v="3"/>
    <n v="2026"/>
    <m/>
  </r>
  <r>
    <x v="3"/>
    <x v="118"/>
    <x v="6"/>
    <s v="DC ISSUE COMM CHARGES DCBWPM163417"/>
    <x v="450"/>
    <s v="DCBWPM163417"/>
    <x v="0"/>
    <n v="28836.25"/>
    <n v="0"/>
    <x v="8"/>
    <s v="Received"/>
    <s v="The Fundamental Installation For Electric Work Co"/>
    <x v="3"/>
    <x v="9"/>
    <x v="27"/>
    <n v="3"/>
    <n v="2026"/>
    <m/>
  </r>
  <r>
    <x v="3"/>
    <x v="119"/>
    <x v="6"/>
    <s v="DPBCOR629548WPM DCBWPM565824"/>
    <x v="320"/>
    <s v="DPBCOR629548WPM"/>
    <x v="0"/>
    <n v="1960451.21"/>
    <n v="0"/>
    <x v="4"/>
    <s v="Received"/>
    <s v="DAIKIN AIR CONDITIONING SAUDI ARABIA LLC "/>
    <x v="3"/>
    <x v="9"/>
    <x v="27"/>
    <n v="3"/>
    <n v="2026"/>
    <m/>
  </r>
  <r>
    <x v="3"/>
    <x v="119"/>
    <x v="6"/>
    <s v="DPBEPM627759WPM DCBWPM563040"/>
    <x v="56"/>
    <s v="DPBEPM627759WPM"/>
    <x v="0"/>
    <n v="610345.93000000005"/>
    <n v="0"/>
    <x v="4"/>
    <s v="Received"/>
    <s v="Mab United For Trading &amp; Contracting Co"/>
    <x v="3"/>
    <x v="8"/>
    <x v="27"/>
    <n v="3"/>
    <n v="2026"/>
    <m/>
  </r>
  <r>
    <x v="3"/>
    <x v="120"/>
    <x v="6"/>
    <s v="PEBGCU566430 STDBY/COMM QUARTERLY FROM 25MAR2026 TO 24JUN2026"/>
    <x v="339"/>
    <s v="PEBGCU566430"/>
    <x v="0"/>
    <n v="202002.69"/>
    <n v="0"/>
    <x v="6"/>
    <s v="Received"/>
    <s v="Performance - SIXTY INVESTMENT CO"/>
    <x v="1"/>
    <x v="2"/>
    <x v="27"/>
    <n v="3"/>
    <n v="2026"/>
    <m/>
  </r>
  <r>
    <x v="3"/>
    <x v="120"/>
    <x v="5"/>
    <s v="GTE AMEND COMM CHARGES PEBGCU504055"/>
    <x v="307"/>
    <s v="PEBGCU504055"/>
    <x v="0"/>
    <n v="209144.45"/>
    <n v="0"/>
    <x v="6"/>
    <s v="Received"/>
    <s v="Performance - CEER NATIONAL AUTOMOTIVE COMPANY"/>
    <x v="1"/>
    <x v="2"/>
    <x v="27"/>
    <n v="3"/>
    <n v="2026"/>
    <m/>
  </r>
  <r>
    <x v="3"/>
    <x v="121"/>
    <x v="6"/>
    <s v="PEBGCU566430 VAT MANUAL COLLECTION 262-307200-001 GTE REF PEBGCU566430"/>
    <x v="339"/>
    <s v="PEBGCU566430"/>
    <x v="0"/>
    <n v="30300.400000000001"/>
    <n v="0"/>
    <x v="6"/>
    <s v="Received"/>
    <s v="Performance - SIXTY INVESTMENT CO"/>
    <x v="1"/>
    <x v="2"/>
    <x v="27"/>
    <n v="3"/>
    <n v="2026"/>
    <m/>
  </r>
  <r>
    <x v="5"/>
    <x v="118"/>
    <x v="9"/>
    <s v="Dr TI ILC Comm/Other Charges                                          _x000a_POC001-292150871                                                      _x000a_At Bank Aljazira                                                      _x000a_ CORPORATE BANKING DEPT-JEDDAH                                        _x000a_Exchange Rate 1.0                                                     _x000a_Date 26-09-1447(H) Time 21.25.03                                      _x000a_Reference ILC-0840-26-8758                                            _x000a_Value Date 27-09-1447(H)                                              _x000a_Fee Collected By Bank AlJazira                                        _x000a_"/>
    <x v="352"/>
    <s v=""/>
    <x v="0"/>
    <n v="100"/>
    <n v="0"/>
    <x v="2"/>
    <s v="Received"/>
    <s v="Green Concrete CJSC"/>
    <x v="0"/>
    <x v="10"/>
    <x v="27"/>
    <n v="3"/>
    <n v="2026"/>
    <m/>
  </r>
  <r>
    <x v="5"/>
    <x v="118"/>
    <x v="9"/>
    <s v="Value Added Tax                                                       _x000a_On ILC Acceptance Comm.                                               _x000a_15% of SAR100.00                                                      _x000a_Through CORPORATE BANKING DEPT-JEDDAH                                 _x000a_Date 26-09-1447(H) Time 21.25.04                                      _x000a_Reference ILC-0840-26-8758                                            _x000a_At Bank Aljazira                                                      _x000a_Exchange Rate 1.0                                                     _x000a_"/>
    <x v="352"/>
    <s v=""/>
    <x v="0"/>
    <n v="15"/>
    <n v="0"/>
    <x v="1"/>
    <s v="Received"/>
    <s v="Green Concrete CJSC"/>
    <x v="0"/>
    <x v="10"/>
    <x v="27"/>
    <n v="3"/>
    <n v="2026"/>
    <m/>
  </r>
  <r>
    <x v="5"/>
    <x v="118"/>
    <x v="9"/>
    <s v="Dr TI ILC Comm/Other Charges                                          _x000a_POC001-292150911                                                      _x000a_At Bank Aljazira                                                      _x000a_ CORPORATE BANKING DEPT-JEDDAH                                        _x000a_Exchange Rate 1.0                                                     _x000a_Date 26-09-1447(H) Time 21.25.05                                      _x000a_Reference ILC-0840-26-8758                                            _x000a_Value Date 27-09-1447(H)                                              _x000a_Fee Collected By Bank AlJazira                                        _x000a_"/>
    <x v="352"/>
    <s v=""/>
    <x v="0"/>
    <n v="250"/>
    <n v="0"/>
    <x v="2"/>
    <s v="Received"/>
    <s v="Green Concrete CJSC"/>
    <x v="0"/>
    <x v="10"/>
    <x v="27"/>
    <n v="3"/>
    <n v="2026"/>
    <m/>
  </r>
  <r>
    <x v="5"/>
    <x v="118"/>
    <x v="9"/>
    <s v="Value Added Tax                                                       _x000a_On ILC Acceptance Comm.                                               _x000a_15% of SAR250.00                                                      _x000a_Through CORPORATE BANKING DEPT-JEDDAH                                 _x000a_Date 26-09-1447(H) Time 21.25.05                                      _x000a_Reference ILC-0840-26-8758                                            _x000a_At Bank Aljazira                                                      _x000a_Exchange Rate 1.0                                                     _x000a_"/>
    <x v="352"/>
    <s v=""/>
    <x v="0"/>
    <n v="37.5"/>
    <n v="0"/>
    <x v="1"/>
    <s v="Received"/>
    <s v="Green Concrete CJSC"/>
    <x v="0"/>
    <x v="10"/>
    <x v="27"/>
    <n v="3"/>
    <n v="2026"/>
    <m/>
  </r>
  <r>
    <x v="5"/>
    <x v="118"/>
    <x v="9"/>
    <s v="Dr TI ILC Comm/Other Charges                                          _x000a_POC001-292150913                                                      _x000a_At Bank Aljazira                                                      _x000a_ CORPORATE BANKING DEPT-JEDDAH                                        _x000a_Exchange Rate 1.0                                                     _x000a_Date 26-09-1447(H) Time 21.25.06                                      _x000a_Reference ILC-0840-26-8758                                            _x000a_Value Date 27-09-1447(H)                                              _x000a_Fee Collected By Bank AlJazira                                        _x000a_"/>
    <x v="352"/>
    <s v=""/>
    <x v="0"/>
    <n v="200"/>
    <n v="0"/>
    <x v="2"/>
    <s v="Received"/>
    <s v="Green Concrete CJSC"/>
    <x v="0"/>
    <x v="10"/>
    <x v="27"/>
    <n v="3"/>
    <n v="2026"/>
    <m/>
  </r>
  <r>
    <x v="5"/>
    <x v="118"/>
    <x v="9"/>
    <s v="Value Added Tax                                                       _x000a_On SWIFT charges                                                      _x000a_15% of SAR200.00                                                      _x000a_Through CORPORATE BANKING DEPT-JEDDAH                                 _x000a_Date 26-09-1447(H) Time 21.25.06                                      _x000a_Reference ILC-0840-26-8758                                            _x000a_At Bank Aljazira                                                      _x000a_Exchange Rate 1.0                                                     _x000a_"/>
    <x v="352"/>
    <s v=""/>
    <x v="0"/>
    <n v="30"/>
    <n v="0"/>
    <x v="1"/>
    <s v="Received"/>
    <s v="Green Concrete CJSC"/>
    <x v="0"/>
    <x v="10"/>
    <x v="27"/>
    <n v="3"/>
    <n v="2026"/>
    <m/>
  </r>
  <r>
    <x v="5"/>
    <x v="118"/>
    <x v="9"/>
    <s v="Dr TI ILC Comm/Other Charges                                          _x000a_POC005-292146168                                                      _x000a_At Bank Aljazira                                                      _x000a_ CORPORATE BANKING DEPT-JEDDAH                                        _x000a_Date 26-09-1447(H) Time 21.25.54                                      _x000a_Reference ILC-0840-25-8427                                            _x000a_Value Date 27-09-1447(H)                                              _x000a_Fee Collected By Bank AlJazira                                        _x000a_"/>
    <x v="115"/>
    <s v=""/>
    <x v="0"/>
    <n v="100"/>
    <n v="0"/>
    <x v="2"/>
    <s v="Received"/>
    <s v="Alrashid Trading and Contracting Company"/>
    <x v="0"/>
    <x v="10"/>
    <x v="27"/>
    <n v="3"/>
    <n v="2026"/>
    <m/>
  </r>
  <r>
    <x v="5"/>
    <x v="118"/>
    <x v="9"/>
    <s v="Value Added Tax                                                       _x000a_On ILC Acceptance Comm.                                               _x000a_15% of SAR100.00                                                      _x000a_Through CORPORATE BANKING DEPT-JEDDAH                                 _x000a_Date 26-09-1447(H) Time 21.25.54                                      _x000a_Reference ILC-0840-25-8427                                            _x000a_At Bank Aljazira                                                      _x000a_"/>
    <x v="115"/>
    <s v=""/>
    <x v="0"/>
    <n v="15"/>
    <n v="0"/>
    <x v="1"/>
    <s v="Received"/>
    <s v="Alrashid Trading and Contracting Company"/>
    <x v="0"/>
    <x v="10"/>
    <x v="27"/>
    <n v="3"/>
    <n v="2026"/>
    <m/>
  </r>
  <r>
    <x v="5"/>
    <x v="118"/>
    <x v="9"/>
    <s v="Dr TI ILC Comm/Other Charges                                          _x000a_POC005-292146208                                                      _x000a_At Bank Aljazira                                                      _x000a_ CORPORATE BANKING DEPT-JEDDAH                                        _x000a_Date 26-09-1447(H) Time 21.25.54                                      _x000a_Reference ILC-0840-25-8427                                            _x000a_Value Date 27-09-1447(H)                                              _x000a_Fee Collected By Bank AlJazira                                        _x000a_"/>
    <x v="115"/>
    <s v=""/>
    <x v="0"/>
    <n v="765"/>
    <n v="0"/>
    <x v="2"/>
    <s v="Received"/>
    <s v="Alrashid Trading and Contracting Company"/>
    <x v="0"/>
    <x v="10"/>
    <x v="27"/>
    <n v="3"/>
    <n v="2026"/>
    <m/>
  </r>
  <r>
    <x v="5"/>
    <x v="118"/>
    <x v="9"/>
    <s v="Value Added Tax                                                       _x000a_On ILC Acceptance Comm.                                               _x000a_15% of SAR765.00                                                      _x000a_Through CORPORATE BANKING DEPT-JEDDAH                                 _x000a_Date 26-09-1447(H) Time 21.25.54                                      _x000a_Reference ILC-0840-25-8427                                            _x000a_At Bank Aljazira                                                      _x000a_"/>
    <x v="115"/>
    <s v=""/>
    <x v="0"/>
    <n v="114.75"/>
    <n v="0"/>
    <x v="1"/>
    <s v="Received"/>
    <s v="Alrashid Trading and Contracting Company"/>
    <x v="0"/>
    <x v="10"/>
    <x v="27"/>
    <n v="3"/>
    <n v="2026"/>
    <m/>
  </r>
  <r>
    <x v="5"/>
    <x v="118"/>
    <x v="9"/>
    <s v="Dr TI ILC Comm/Other Charges                                          _x000a_POC005-292146210                                                      _x000a_At Bank Aljazira                                                      _x000a_ CORPORATE BANKING DEPT-JEDDAH                                        _x000a_Date 26-09-1447(H) Time 21.25.54                                      _x000a_Reference ILC-0840-25-8427                                            _x000a_Value Date 27-09-1447(H)                                              _x000a_Fee Collected By Bank AlJazira                                        _x000a_"/>
    <x v="115"/>
    <s v=""/>
    <x v="0"/>
    <n v="200"/>
    <n v="0"/>
    <x v="2"/>
    <s v="Received"/>
    <s v="Alrashid Trading and Contracting Company"/>
    <x v="0"/>
    <x v="10"/>
    <x v="27"/>
    <n v="3"/>
    <n v="2026"/>
    <m/>
  </r>
  <r>
    <x v="5"/>
    <x v="118"/>
    <x v="9"/>
    <s v="Value Added Tax                                                       _x000a_On SWIFT charges                                                      _x000a_15% of SAR200.00                                                      _x000a_Through CORPORATE BANKING DEPT-JEDDAH                                 _x000a_Date 26-09-1447(H) Time 21.25.55                                      _x000a_Reference ILC-0840-25-8427                                            _x000a_At Bank Aljazira                                                      _x000a_"/>
    <x v="115"/>
    <s v=""/>
    <x v="0"/>
    <n v="30"/>
    <n v="0"/>
    <x v="1"/>
    <s v="Received"/>
    <s v="Alrashid Trading and Contracting Company"/>
    <x v="0"/>
    <x v="10"/>
    <x v="27"/>
    <n v="3"/>
    <n v="2026"/>
    <m/>
  </r>
  <r>
    <x v="5"/>
    <x v="118"/>
    <x v="9"/>
    <s v="Dr TI ILC Comm/Other Charges                                          _x000a_POC005-292157398                                                      _x000a_At Bank Aljazira                                                      _x000a_ CORPORATE BANKING DEPT-JEDDAH                                        _x000a_Date 26-09-1447(H) Time 21.27.12                                      _x000a_Reference ILC-0840-25-8011                                            _x000a_Value Date 27-09-1447(H)                                              _x000a_Fee Collected By Bank AlJazira                                        _x000a_"/>
    <x v="71"/>
    <s v=""/>
    <x v="0"/>
    <n v="100"/>
    <n v="0"/>
    <x v="2"/>
    <s v="Received"/>
    <s v="Metten Al-Arabia Ltd Co (METARA)"/>
    <x v="0"/>
    <x v="10"/>
    <x v="27"/>
    <n v="3"/>
    <n v="2026"/>
    <m/>
  </r>
  <r>
    <x v="5"/>
    <x v="118"/>
    <x v="9"/>
    <s v="Value Added Tax                                                       _x000a_On ILC Acceptance Comm.                                               _x000a_15% of SAR100.00                                                      _x000a_Through CORPORATE BANKING DEPT-JEDDAH                                 _x000a_Date 26-09-1447(H) Time 21.27.12                                      _x000a_Reference ILC-0840-25-8011                                            _x000a_At Bank Aljazira                                                      _x000a_"/>
    <x v="71"/>
    <s v=""/>
    <x v="0"/>
    <n v="15"/>
    <n v="0"/>
    <x v="1"/>
    <s v="Received"/>
    <s v="Metten Al-Arabia Ltd Co (METARA)"/>
    <x v="0"/>
    <x v="10"/>
    <x v="27"/>
    <n v="3"/>
    <n v="2026"/>
    <m/>
  </r>
  <r>
    <x v="5"/>
    <x v="118"/>
    <x v="9"/>
    <s v="Dr TI ILC Comm/Other Charges                                          _x000a_POC005-292157438                                                      _x000a_At Bank Aljazira                                                      _x000a_ CORPORATE BANKING DEPT-JEDDAH                                        _x000a_Date 26-09-1447(H) Time 21.27.12                                      _x000a_Reference ILC-0840-25-8011                                            _x000a_Value Date 27-09-1447(H)                                              _x000a_Fee Collected By Bank AlJazira                                        _x000a_"/>
    <x v="71"/>
    <s v=""/>
    <x v="0"/>
    <n v="250"/>
    <n v="0"/>
    <x v="2"/>
    <s v="Received"/>
    <s v="Metten Al-Arabia Ltd Co (METARA)"/>
    <x v="0"/>
    <x v="10"/>
    <x v="27"/>
    <n v="3"/>
    <n v="2026"/>
    <m/>
  </r>
  <r>
    <x v="5"/>
    <x v="118"/>
    <x v="9"/>
    <s v="Value Added Tax                                                       _x000a_On ILC Acceptance Comm.                                               _x000a_15% of SAR250.00                                                      _x000a_Through CORPORATE BANKING DEPT-JEDDAH                                 _x000a_Date 26-09-1447(H) Time 21.27.13                                      _x000a_Reference ILC-0840-25-8011                                            _x000a_At Bank Aljazira                                                      _x000a_"/>
    <x v="71"/>
    <s v=""/>
    <x v="0"/>
    <n v="37.5"/>
    <n v="0"/>
    <x v="1"/>
    <s v="Received"/>
    <s v="Metten Al-Arabia Ltd Co (METARA)"/>
    <x v="0"/>
    <x v="10"/>
    <x v="27"/>
    <n v="3"/>
    <n v="2026"/>
    <m/>
  </r>
  <r>
    <x v="5"/>
    <x v="118"/>
    <x v="9"/>
    <s v="Dr TI ILC Comm/Other Charges                                          _x000a_POC005-292157440                                                      _x000a_At Bank Aljazira                                                      _x000a_ CORPORATE BANKING DEPT-JEDDAH                                        _x000a_Date 26-09-1447(H) Time 21.27.13                                      _x000a_Reference ILC-0840-25-8011                                            _x000a_Value Date 27-09-1447(H)                                              _x000a_Fee Collected By Bank AlJazira                                        _x000a_"/>
    <x v="71"/>
    <s v=""/>
    <x v="0"/>
    <n v="200"/>
    <n v="0"/>
    <x v="2"/>
    <s v="Received"/>
    <s v="Metten Al-Arabia Ltd Co (METARA)"/>
    <x v="0"/>
    <x v="10"/>
    <x v="27"/>
    <n v="3"/>
    <n v="2026"/>
    <m/>
  </r>
  <r>
    <x v="5"/>
    <x v="118"/>
    <x v="9"/>
    <s v="Value Added Tax                                                       _x000a_On SWIFT charges                                                      _x000a_15% of SAR200.00                                                      _x000a_Through CORPORATE BANKING DEPT-JEDDAH                                 _x000a_Date 26-09-1447(H) Time 21.27.13                                      _x000a_Reference ILC-0840-25-8011                                            _x000a_At Bank Aljazira                                                      _x000a_"/>
    <x v="71"/>
    <s v=""/>
    <x v="0"/>
    <n v="30"/>
    <n v="0"/>
    <x v="1"/>
    <s v="Received"/>
    <s v="Metten Al-Arabia Ltd Co (METARA)"/>
    <x v="0"/>
    <x v="10"/>
    <x v="27"/>
    <n v="3"/>
    <n v="2026"/>
    <m/>
  </r>
  <r>
    <x v="5"/>
    <x v="118"/>
    <x v="9"/>
    <s v="TI Bill Settled                                                       _x000a_POC006                                                                _x000a_At Bank AlJazira                                                      _x000a_CORPORATE BANKING DEPT-JEDDAH                                         _x000a_Date 27-09-1447(H) Time 10.43.45                                      _x000a_Reference ILC-0840-25-8011                                            _x000a_"/>
    <x v="71"/>
    <s v=""/>
    <x v="0"/>
    <n v="54799.8"/>
    <n v="0"/>
    <x v="4"/>
    <s v="Received"/>
    <s v="Metten Al-Arabia Ltd Co (METARA)"/>
    <x v="0"/>
    <x v="10"/>
    <x v="27"/>
    <n v="3"/>
    <n v="2026"/>
    <m/>
  </r>
  <r>
    <x v="5"/>
    <x v="118"/>
    <x v="9"/>
    <s v="TI Bill Settled                                                       _x000a_POC006                                                                _x000a_At Bank AlJazira                                                      _x000a_CORPORATE BANKING DEPT-JEDDAH                                         _x000a_Date 27-09-1447(H) Time 10.44.22                                      _x000a_Reference ILC-0840-25-8427                                            _x000a_"/>
    <x v="115"/>
    <s v=""/>
    <x v="0"/>
    <n v="1835164.63"/>
    <n v="0"/>
    <x v="4"/>
    <s v="Received"/>
    <s v="Alrashid Trading and Contracting Company"/>
    <x v="0"/>
    <x v="10"/>
    <x v="27"/>
    <n v="3"/>
    <n v="2026"/>
    <m/>
  </r>
  <r>
    <x v="5"/>
    <x v="118"/>
    <x v="9"/>
    <s v="Dr TI LGI Commission (Earned)                                         _x000a_ISS001-292247699                                                      _x000a_At Bank AlJazira                                                      _x000a_CORPORATE BANKING DEPT-JEDDAH                                         _x000a_Date 27-09-1447(H) Time 13.28.29                                      _x000a_Reference LGI-0840-26-8000                                            _x000a_"/>
    <x v="451"/>
    <s v="LGI-0840-26-8000"/>
    <x v="0"/>
    <n v="5000"/>
    <n v="0"/>
    <x v="16"/>
    <s v="Received"/>
    <s v="Bid - CLUSTER 2 AIRPORT COMPANY"/>
    <x v="0"/>
    <x v="2"/>
    <x v="27"/>
    <n v="3"/>
    <n v="2026"/>
    <m/>
  </r>
  <r>
    <x v="5"/>
    <x v="118"/>
    <x v="9"/>
    <s v="Value Added Tax                                                       _x000a_On LGI ISSUANCE COMMISSION                                            _x000a_15% of SAR5,000.00                                                    _x000a_Through CORPORATE BANKING DEPT-JEDDAH                                 _x000a_Date 27-09-1447(H) Time 13.28.29                                      _x000a_Reference LGI-0840-26-8000                                            _x000a_At Bank Aljazira                                                      _x000a_Exchange Rate 1.0                                                     _x000a_"/>
    <x v="451"/>
    <s v="LGI-0840-26-8000"/>
    <x v="0"/>
    <n v="750"/>
    <n v="0"/>
    <x v="1"/>
    <s v="Received"/>
    <s v="Bid - CLUSTER 2 AIRPORT COMPANY"/>
    <x v="0"/>
    <x v="2"/>
    <x v="27"/>
    <n v="3"/>
    <n v="2026"/>
    <m/>
  </r>
  <r>
    <x v="5"/>
    <x v="118"/>
    <x v="9"/>
    <s v="Dr TI LGI Comm/Other Charges                                          _x000a_ISS001-292247701                                                      _x000a_At Bank AlJazira                                                      _x000a_CORPORATE BANKING DEPT-JEDDAH                                         _x000a_Date 27-09-1447(H) Time 13.28.30                                      _x000a_Reference LGI-0840-26-8000                                            _x000a_"/>
    <x v="451"/>
    <s v="LGI-0840-26-8000"/>
    <x v="0"/>
    <n v="17424.66"/>
    <n v="0"/>
    <x v="16"/>
    <s v="Received"/>
    <s v="Bid - CLUSTER 2 AIRPORT COMPANY"/>
    <x v="0"/>
    <x v="2"/>
    <x v="27"/>
    <n v="3"/>
    <n v="2026"/>
    <m/>
  </r>
  <r>
    <x v="5"/>
    <x v="118"/>
    <x v="9"/>
    <s v="Value Added Tax                                                       _x000a_On LG Processing/Facility Fees                                        _x000a_15% of SAR17,424.66                                                   _x000a_Through CORPORATE BANKING DEPT-JEDDAH                                 _x000a_Date 27-09-1447(H) Time 13.28.30                                      _x000a_Reference LGI-0840-26-8000                                            _x000a_At Bank Aljazira                                                      _x000a_Exchange Rate 1.0                                                     _x000a_"/>
    <x v="451"/>
    <s v="LGI-0840-26-8000"/>
    <x v="0"/>
    <n v="2613.6999999999998"/>
    <n v="0"/>
    <x v="1"/>
    <s v="Received"/>
    <s v="Bid - CLUSTER 2 AIRPORT COMPANY"/>
    <x v="0"/>
    <x v="2"/>
    <x v="27"/>
    <n v="3"/>
    <n v="2026"/>
    <m/>
  </r>
  <r>
    <x v="5"/>
    <x v="122"/>
    <x v="9"/>
    <s v="Dr TI ILC Comm/Other Charges                                          _x000a_POC001-292853229                                                      _x000a_At Bank Aljazira                                                      _x000a_ CORPORATE BANKING DEPT-JEDDAH                                        _x000a_Date 10-10-1447(H) Time 15.12.42                                      _x000a_Reference ILC-0840-26-9073                                            _x000a_Value Date 10-10-1447(H)                                              _x000a_Fee Collected By Bank AlJazira                                        _x000a_"/>
    <x v="444"/>
    <s v=""/>
    <x v="0"/>
    <n v="100"/>
    <n v="0"/>
    <x v="2"/>
    <s v="Received"/>
    <s v="The Fundamental Installation For Electric Work Co"/>
    <x v="3"/>
    <x v="8"/>
    <x v="27"/>
    <n v="3"/>
    <n v="2026"/>
    <m/>
  </r>
  <r>
    <x v="5"/>
    <x v="122"/>
    <x v="9"/>
    <s v="Value Added Tax                                                       _x000a_On ILC Acceptance Comm.                                               _x000a_15% of SAR100.00                                                      _x000a_Through CORPORATE BANKING DEPT-JEDDAH                                 _x000a_Date 10-10-1447(H) Time 15.12.42                                      _x000a_Reference ILC-0840-26-9073                                            _x000a_At Bank Aljazira                                                      _x000a_"/>
    <x v="444"/>
    <s v=""/>
    <x v="0"/>
    <n v="15"/>
    <n v="0"/>
    <x v="1"/>
    <s v="Received"/>
    <s v="The Fundamental Installation For Electric Work Co"/>
    <x v="3"/>
    <x v="8"/>
    <x v="27"/>
    <n v="3"/>
    <n v="2026"/>
    <m/>
  </r>
  <r>
    <x v="5"/>
    <x v="122"/>
    <x v="9"/>
    <s v="Dr TI ILC Comm/Other Charges                                          _x000a_POC001-292853269                                                      _x000a_At Bank Aljazira                                                      _x000a_ CORPORATE BANKING DEPT-JEDDAH                                        _x000a_Date 10-10-1447(H) Time 15.12.43                                      _x000a_Reference ILC-0840-26-9073                                            _x000a_Value Date 10-10-1447(H)                                              _x000a_Fee Collected By Bank AlJazira                                        _x000a_"/>
    <x v="444"/>
    <s v=""/>
    <x v="0"/>
    <n v="31250"/>
    <n v="0"/>
    <x v="2"/>
    <s v="Received"/>
    <s v="The Fundamental Installation For Electric Work Co"/>
    <x v="3"/>
    <x v="8"/>
    <x v="27"/>
    <n v="3"/>
    <n v="2026"/>
    <m/>
  </r>
  <r>
    <x v="5"/>
    <x v="122"/>
    <x v="9"/>
    <s v="Value Added Tax                                                       _x000a_On ILC Acceptance Comm.                                               _x000a_15% of SAR31,250.00                                                   _x000a_Through CORPORATE BANKING DEPT-JEDDAH                                 _x000a_Date 10-10-1447(H) Time 15.12.43                                      _x000a_Reference ILC-0840-26-9073                                            _x000a_At Bank Aljazira                                                      _x000a_"/>
    <x v="444"/>
    <s v=""/>
    <x v="0"/>
    <n v="4687.5"/>
    <n v="0"/>
    <x v="1"/>
    <s v="Received"/>
    <s v="The Fundamental Installation For Electric Work Co"/>
    <x v="3"/>
    <x v="8"/>
    <x v="27"/>
    <n v="3"/>
    <n v="2026"/>
    <m/>
  </r>
  <r>
    <x v="5"/>
    <x v="122"/>
    <x v="9"/>
    <s v="Dr TI ILC Comm/Other Charges                                          _x000a_POC001-292853271                                                      _x000a_At Bank Aljazira                                                      _x000a_ CORPORATE BANKING DEPT-JEDDAH                                        _x000a_Date 10-10-1447(H) Time 15.12.43                                      _x000a_Reference ILC-0840-26-9073                                            _x000a_Value Date 10-10-1447(H)                                              _x000a_Fee Collected By Bank AlJazira                                        _x000a_"/>
    <x v="444"/>
    <s v=""/>
    <x v="0"/>
    <n v="200"/>
    <n v="0"/>
    <x v="2"/>
    <s v="Received"/>
    <s v="The Fundamental Installation For Electric Work Co"/>
    <x v="3"/>
    <x v="8"/>
    <x v="27"/>
    <n v="3"/>
    <n v="2026"/>
    <m/>
  </r>
  <r>
    <x v="5"/>
    <x v="122"/>
    <x v="9"/>
    <s v="Value Added Tax                                                       _x000a_On SWIFT charges                                                      _x000a_15% of SAR200.00                                                      _x000a_Through CORPORATE BANKING DEPT-JEDDAH                                 _x000a_Date 10-10-1447(H) Time 15.12.43                                      _x000a_Reference ILC-0840-26-9073                                            _x000a_At Bank Aljazira                                                      _x000a_"/>
    <x v="444"/>
    <s v=""/>
    <x v="0"/>
    <n v="30"/>
    <n v="0"/>
    <x v="1"/>
    <s v="Received"/>
    <s v="The Fundamental Installation For Electric Work Co"/>
    <x v="3"/>
    <x v="8"/>
    <x v="27"/>
    <n v="3"/>
    <n v="2026"/>
    <m/>
  </r>
  <r>
    <x v="3"/>
    <x v="122"/>
    <x v="6"/>
    <s v="DPBEPM628463WPM DCBWPM565832"/>
    <x v="315"/>
    <s v="DPBEPM628463WPM"/>
    <x v="0"/>
    <n v="2000000"/>
    <n v="0"/>
    <x v="4"/>
    <s v="Received"/>
    <s v="Power Center Company for Industries LLC"/>
    <x v="3"/>
    <x v="9"/>
    <x v="27"/>
    <n v="3"/>
    <n v="2026"/>
    <m/>
  </r>
  <r>
    <x v="2"/>
    <x v="122"/>
    <x v="11"/>
    <s v="CITY:Jeddah 6132226J210104000"/>
    <x v="136"/>
    <s v="J210104000"/>
    <x v="2"/>
    <n v="257208.69"/>
    <n v="0"/>
    <x v="27"/>
    <s v="Received"/>
    <s v="BBH-CHEMTROL INTERNATIONAL ORGANIZATION S.L"/>
    <x v="4"/>
    <x v="11"/>
    <x v="27"/>
    <n v="3"/>
    <n v="2026"/>
    <m/>
  </r>
  <r>
    <x v="0"/>
    <x v="122"/>
    <x v="0"/>
    <s v="REF 000000JLC7000384,RB REF JLC7000384,VIA CORE SYSTEM,DATE-TIME 29/03-15:05:23, عن طريق النظام الآ لي ,VALUE DT 29/03/26"/>
    <x v="447"/>
    <s v=""/>
    <x v="0"/>
    <n v="241.5"/>
    <n v="0"/>
    <x v="2"/>
    <s v="Received"/>
    <s v="Mat Filtrasyon Teknolojeleri A.S"/>
    <x v="0"/>
    <x v="3"/>
    <x v="27"/>
    <n v="3"/>
    <n v="2026"/>
    <m/>
  </r>
  <r>
    <x v="0"/>
    <x v="122"/>
    <x v="0"/>
    <s v="REF 000000JLC6901431,RB REF JLC6901431,VIA CORE SYSTEM,DATE-TIME 29/03-11:56:34, عن طريق النظام الآ لي ,VALUE DT 29/03/26"/>
    <x v="95"/>
    <s v=""/>
    <x v="0"/>
    <n v="4436.99"/>
    <n v="0"/>
    <x v="2"/>
    <s v="Received"/>
    <s v="Mat Filtrasyon Teknolojeleri A.S"/>
    <x v="0"/>
    <x v="3"/>
    <x v="3"/>
    <n v="3"/>
    <n v="2026"/>
    <m/>
  </r>
  <r>
    <x v="1"/>
    <x v="122"/>
    <x v="3"/>
    <s v="CUSTOMER = 3972500 DEAL AMT = 1250 DEAL CCY = SAR TAX CODE = 1 "/>
    <x v="111"/>
    <s v="TF252710002404"/>
    <x v="0"/>
    <n v="187.5"/>
    <n v="0"/>
    <x v="1"/>
    <s v="Received"/>
    <s v="Saudi Perfect Pumps Trading &amp; Manufacturing Company"/>
    <x v="0"/>
    <x v="7"/>
    <x v="27"/>
    <n v="3"/>
    <n v="2026"/>
    <m/>
  </r>
  <r>
    <x v="1"/>
    <x v="122"/>
    <x v="3"/>
    <s v="LC ACCEPTANCE COMMISSION FOR LC NO. TF252710002404\BNK"/>
    <x v="111"/>
    <s v="TF252710002404"/>
    <x v="0"/>
    <n v="1250"/>
    <n v="0"/>
    <x v="2"/>
    <s v="Received"/>
    <s v="Saudi Perfect Pumps Trading &amp; Manufacturing Company"/>
    <x v="0"/>
    <x v="7"/>
    <x v="27"/>
    <n v="3"/>
    <n v="2026"/>
    <m/>
  </r>
  <r>
    <x v="1"/>
    <x v="122"/>
    <x v="3"/>
    <s v="CUSTOMER = 3972500 DEAL AMT = 1250 DEAL CCY = SAR TAX CODE = 1 "/>
    <x v="111"/>
    <s v="TF252710002405"/>
    <x v="0"/>
    <n v="187.5"/>
    <n v="0"/>
    <x v="1"/>
    <s v="Received"/>
    <s v="Saudi Perfect Pumps Trading &amp; Manufacturing Company"/>
    <x v="0"/>
    <x v="7"/>
    <x v="27"/>
    <n v="3"/>
    <n v="2026"/>
    <m/>
  </r>
  <r>
    <x v="1"/>
    <x v="122"/>
    <x v="3"/>
    <s v="LC ACCEPTANCE COMMISSION FOR LC NO. TF252710002405\BNK"/>
    <x v="111"/>
    <s v="TF252710002405"/>
    <x v="0"/>
    <n v="1250"/>
    <n v="0"/>
    <x v="2"/>
    <s v="Received"/>
    <s v="Saudi Perfect Pumps Trading &amp; Manufacturing Company"/>
    <x v="0"/>
    <x v="7"/>
    <x v="27"/>
    <n v="3"/>
    <n v="2026"/>
    <m/>
  </r>
  <r>
    <x v="1"/>
    <x v="122"/>
    <x v="3"/>
    <s v="CUSTOMER = 3972500 DEAL AMT = 1250 DEAL CCY = SAR TAX CODE = 1 "/>
    <x v="111"/>
    <s v="TF252710002406"/>
    <x v="0"/>
    <n v="187.5"/>
    <n v="0"/>
    <x v="1"/>
    <s v="Received"/>
    <s v="Saudi Perfect Pumps Trading &amp; Manufacturing Company"/>
    <x v="0"/>
    <x v="7"/>
    <x v="27"/>
    <n v="3"/>
    <n v="2026"/>
    <m/>
  </r>
  <r>
    <x v="1"/>
    <x v="122"/>
    <x v="3"/>
    <s v="LC ACCEPTANCE COMMISSION FOR LC NO. TF252710002406\BNK"/>
    <x v="111"/>
    <s v="TF252710002406"/>
    <x v="0"/>
    <n v="1250"/>
    <n v="0"/>
    <x v="2"/>
    <s v="Received"/>
    <s v="Saudi Perfect Pumps Trading &amp; Manufacturing Company"/>
    <x v="0"/>
    <x v="7"/>
    <x v="27"/>
    <n v="3"/>
    <n v="2026"/>
    <m/>
  </r>
  <r>
    <x v="1"/>
    <x v="123"/>
    <x v="3"/>
    <s v="CUSTOMER = 3972500 DEAL AMT = 75 DEAL CCY = SAR TAX CODE = 1 "/>
    <x v="274"/>
    <s v="TF253350000601"/>
    <x v="0"/>
    <n v="11.25"/>
    <n v="0"/>
    <x v="1"/>
    <s v="Received"/>
    <s v="Gulf Grilles Company"/>
    <x v="3"/>
    <x v="5"/>
    <x v="27"/>
    <n v="3"/>
    <n v="2026"/>
    <m/>
  </r>
  <r>
    <x v="1"/>
    <x v="123"/>
    <x v="3"/>
    <s v="LC SWIFT CHARGES FOR LC NO. TF253350000601\BNK"/>
    <x v="274"/>
    <s v="TF253350000601"/>
    <x v="0"/>
    <n v="75"/>
    <n v="0"/>
    <x v="3"/>
    <s v="Received"/>
    <s v="Gulf Grilles Company"/>
    <x v="3"/>
    <x v="5"/>
    <x v="27"/>
    <n v="3"/>
    <n v="2026"/>
    <m/>
  </r>
  <r>
    <x v="1"/>
    <x v="123"/>
    <x v="3"/>
    <s v="REIMBURSE UNDER LCS DR FOR LC NO. TF253350000601\BNK"/>
    <x v="274"/>
    <s v="TF253350000601"/>
    <x v="0"/>
    <n v="2044458.32"/>
    <n v="0"/>
    <x v="4"/>
    <s v="Received"/>
    <s v="Gulf Grilles Company"/>
    <x v="3"/>
    <x v="5"/>
    <x v="27"/>
    <n v="3"/>
    <n v="2026"/>
    <m/>
  </r>
  <r>
    <x v="1"/>
    <x v="123"/>
    <x v="3"/>
    <s v="CUSTOMER = 3972500 DEAL AMT = 8000.00 DEAL CCY = SAR TAX CODE = 1 "/>
    <x v="452"/>
    <s v="TF2604200011"/>
    <x v="0"/>
    <n v="37.5"/>
    <n v="0"/>
    <x v="1"/>
    <s v="Received"/>
    <s v="The Fundamental Installation For Electric Work Co"/>
    <x v="3"/>
    <x v="14"/>
    <x v="27"/>
    <n v="3"/>
    <n v="2026"/>
    <m/>
  </r>
  <r>
    <x v="1"/>
    <x v="123"/>
    <x v="3"/>
    <s v="LC SWIFT CHARGES FOR LC NO. TF2604200011\BNK"/>
    <x v="452"/>
    <s v="TF2604200011"/>
    <x v="0"/>
    <n v="250"/>
    <n v="0"/>
    <x v="3"/>
    <s v="Received"/>
    <s v="The Fundamental Installation For Electric Work Co"/>
    <x v="3"/>
    <x v="14"/>
    <x v="27"/>
    <n v="3"/>
    <n v="2026"/>
    <m/>
  </r>
  <r>
    <x v="1"/>
    <x v="123"/>
    <x v="3"/>
    <s v="CUSTOMER = 3972500 DEAL AMT = 8000.00 DEAL CCY = SAR TAX CODE = 1 "/>
    <x v="452"/>
    <s v="TF2604200011"/>
    <x v="0"/>
    <n v="1200"/>
    <n v="0"/>
    <x v="1"/>
    <s v="Received"/>
    <s v="The Fundamental Installation For Electric Work Co"/>
    <x v="3"/>
    <x v="14"/>
    <x v="27"/>
    <n v="3"/>
    <n v="2026"/>
    <m/>
  </r>
  <r>
    <x v="1"/>
    <x v="123"/>
    <x v="3"/>
    <s v="LC AMENDMENT COMMISSION FOR LC NO. TF2604200011\BNK"/>
    <x v="452"/>
    <s v="TF2604200011"/>
    <x v="0"/>
    <n v="8000"/>
    <n v="0"/>
    <x v="5"/>
    <s v="Received"/>
    <s v="The Fundamental Installation For Electric Work Co"/>
    <x v="3"/>
    <x v="14"/>
    <x v="27"/>
    <n v="3"/>
    <n v="2026"/>
    <m/>
  </r>
  <r>
    <x v="0"/>
    <x v="124"/>
    <x v="0"/>
    <s v="REF 000000JLC6901610,RB REF JLC6901610,VIA CORE SYSTEM,DATE-TIME 30/03-13:35:44, عن طريق النظام الآ لي ,VALUE DT 30/03/26"/>
    <x v="289"/>
    <m/>
    <x v="0"/>
    <n v="1000000"/>
    <n v="0"/>
    <x v="4"/>
    <s v="Received"/>
    <s v="Safid Co. Ltd."/>
    <x v="3"/>
    <x v="3"/>
    <x v="27"/>
    <n v="3"/>
    <n v="2026"/>
    <m/>
  </r>
  <r>
    <x v="0"/>
    <x v="123"/>
    <x v="1"/>
    <s v="RB REF JLG6802458,VIA CORE SYSTEM,DATE-TIME 31/03-16:36:49, عن طريق النظام الآ لي ,VALUE DT 31/03/26"/>
    <x v="285"/>
    <s v=""/>
    <x v="0"/>
    <n v="57.5"/>
    <n v="0"/>
    <x v="41"/>
    <s v="Received"/>
    <s v="Advance - BRANCH OF ELSEWEDY ELECTRIC FOR POWER SYSTEMS PROJECTS"/>
    <x v="1"/>
    <x v="2"/>
    <x v="27"/>
    <n v="3"/>
    <n v="2026"/>
    <m/>
  </r>
  <r>
    <x v="2"/>
    <x v="124"/>
    <x v="4"/>
    <s v="CITY:Jeddah 6132226J211805001"/>
    <x v="394"/>
    <s v="J211805001"/>
    <x v="0"/>
    <n v="2940.14"/>
    <n v="0"/>
    <x v="2"/>
    <s v="Received"/>
    <s v="Electric House Trading Company L.L.C."/>
    <x v="4"/>
    <x v="11"/>
    <x v="27"/>
    <n v="3"/>
    <n v="2026"/>
    <m/>
  </r>
  <r>
    <x v="2"/>
    <x v="124"/>
    <x v="4"/>
    <s v="CITY:Jeddah 6132226J210104003"/>
    <x v="136"/>
    <s v="J210104003"/>
    <x v="0"/>
    <n v="1270.5"/>
    <n v="0"/>
    <x v="2"/>
    <s v="Received"/>
    <s v="BBH-CHEMTROL INTERNATIONAL ORGANIZATION S.L"/>
    <x v="4"/>
    <x v="11"/>
    <x v="27"/>
    <n v="3"/>
    <n v="2026"/>
    <m/>
  </r>
  <r>
    <x v="3"/>
    <x v="123"/>
    <x v="6"/>
    <s v="GTE ISSUE COMM CHARGES PEBGCU163715"/>
    <x v="453"/>
    <s v="PEBGCU163715"/>
    <x v="0"/>
    <n v="65763.929999999993"/>
    <n v="0"/>
    <x v="42"/>
    <s v="Received"/>
    <s v="Performance - FIFTY INVESTMENT COMPANY"/>
    <x v="0"/>
    <x v="2"/>
    <x v="27"/>
    <n v="3"/>
    <n v="2026"/>
    <m/>
  </r>
  <r>
    <x v="5"/>
    <x v="123"/>
    <x v="9"/>
    <s v="Dr TI ILC Comm/Other Charges                                          _x000a_AMD001-293177648                                                      _x000a_At Bank Aljazira                                                      _x000a_ CORPORATE BANKING DEPT-JEDDAH                                        _x000a_Date 12-10-1447(H) Time 11.11.26                                      _x000a_Reference ILC-0840-26-9073                                            _x000a_Value Date 12-10-1447(H)                                              _x000a_Fee Collected By Bank AlJazira                                        _x000a_"/>
    <x v="444"/>
    <s v=""/>
    <x v="0"/>
    <n v="53000"/>
    <n v="0"/>
    <x v="5"/>
    <s v="Received"/>
    <s v="The Fundamental Installation For Electric Work Co"/>
    <x v="3"/>
    <x v="8"/>
    <x v="27"/>
    <n v="3"/>
    <n v="2026"/>
    <m/>
  </r>
  <r>
    <x v="5"/>
    <x v="123"/>
    <x v="9"/>
    <s v="Value Added Tax                                                       _x000a_On ILC Commission                                                     _x000a_15% of SAR53,000.00                                                   _x000a_Through CORPORATE BANKING DEPT-JEDDAH                                 _x000a_Date 12-10-1447(H) Time 11.11.26                                      _x000a_Reference ILC-0840-26-9073                                            _x000a_At Bank Aljazira                                                      _x000a_"/>
    <x v="444"/>
    <s v=""/>
    <x v="0"/>
    <n v="7950"/>
    <n v="0"/>
    <x v="1"/>
    <s v="Received"/>
    <s v="The Fundamental Installation For Electric Work Co"/>
    <x v="3"/>
    <x v="8"/>
    <x v="27"/>
    <n v="3"/>
    <n v="2026"/>
    <m/>
  </r>
  <r>
    <x v="5"/>
    <x v="123"/>
    <x v="9"/>
    <s v="Dr TI ILC Comm/Other Charges                                          _x000a_AMD001-293177650                                                      _x000a_At Bank Aljazira                                                      _x000a_ CORPORATE BANKING DEPT-JEDDAH                                        _x000a_Date 12-10-1447(H) Time 11.11.27                                      _x000a_Reference ILC-0840-26-9073                                            _x000a_Value Date 12-10-1447(H)                                              _x000a_Fee Collected By Bank AlJazira                                        _x000a_"/>
    <x v="444"/>
    <s v=""/>
    <x v="0"/>
    <n v="200"/>
    <n v="0"/>
    <x v="5"/>
    <s v="Received"/>
    <s v="The Fundamental Installation For Electric Work Co"/>
    <x v="3"/>
    <x v="8"/>
    <x v="27"/>
    <n v="3"/>
    <n v="2026"/>
    <m/>
  </r>
  <r>
    <x v="5"/>
    <x v="123"/>
    <x v="9"/>
    <s v="Value Added Tax                                                       _x000a_On SWIFT charges                                                      _x000a_15% of SAR200.00                                                      _x000a_Through CORPORATE BANKING DEPT-JEDDAH                                 _x000a_Date 12-10-1447(H) Time 11.11.27                                      _x000a_Reference ILC-0840-26-9073                                            _x000a_At Bank Aljazira                                                      _x000a_"/>
    <x v="444"/>
    <s v=""/>
    <x v="0"/>
    <n v="30"/>
    <n v="0"/>
    <x v="1"/>
    <s v="Received"/>
    <s v="The Fundamental Installation For Electric Work Co"/>
    <x v="3"/>
    <x v="8"/>
    <x v="27"/>
    <n v="3"/>
    <n v="2026"/>
    <m/>
  </r>
  <r>
    <x v="5"/>
    <x v="123"/>
    <x v="9"/>
    <s v="Credit                                                                _x000a_901050                                                                _x000a_MIG001-293208278                                                      _x000a_At Bank AlJazira                                                      _x000a_CORPORATE BANKING DEPT-JEDDAH                                         _x000a_Date 12-10-1447(H) Time 12.50.37                                      _x000a_Reference LGI-0840-26-8000                                            _x000a_"/>
    <x v="451"/>
    <s v="LGI-0840-26-8000"/>
    <x v="0"/>
    <n v="0"/>
    <n v="17424.66"/>
    <x v="16"/>
    <s v="Received"/>
    <s v="Bid - CLUSTER 2 AIRPORT COMPANY"/>
    <x v="0"/>
    <x v="2"/>
    <x v="27"/>
    <n v="3"/>
    <n v="2026"/>
    <m/>
  </r>
  <r>
    <x v="5"/>
    <x v="123"/>
    <x v="9"/>
    <s v="Credit                                                                _x000a_803097                                                                _x000a_MIG001-293208278                                                      _x000a_At Bank AlJazira                                                      _x000a_CORPORATE BANKING DEPT-JEDDAH                                         _x000a_Date 12-10-1447(H) Time 12.50.37                                      _x000a_Reference LGI-0840-26-8000                                            _x000a_"/>
    <x v="451"/>
    <s v="LGI-0840-26-8000"/>
    <x v="0"/>
    <n v="0"/>
    <n v="2613.6999999999998"/>
    <x v="16"/>
    <s v="Received"/>
    <s v="Bid - CLUSTER 2 AIRPORT COMPANY"/>
    <x v="0"/>
    <x v="2"/>
    <x v="27"/>
    <n v="3"/>
    <n v="2026"/>
    <m/>
  </r>
  <r>
    <x v="5"/>
    <x v="123"/>
    <x v="9"/>
    <s v="Credit                                                                _x000a_901010                                                                _x000a_MIG001-293208385                                                      _x000a_At Bank AlJazira                                                      _x000a_CORPORATE BANKING DEPT-JEDDAH                                         _x000a_Date 12-10-1447(H) Time 12.50.37                                      _x000a_Reference LGI-0840-26-8000                                            _x000a_"/>
    <x v="451"/>
    <s v="LGI-0840-26-8000"/>
    <x v="0"/>
    <n v="0"/>
    <n v="5000"/>
    <x v="16"/>
    <s v="Received"/>
    <s v="Bid - CLUSTER 2 AIRPORT COMPANY"/>
    <x v="0"/>
    <x v="2"/>
    <x v="27"/>
    <n v="3"/>
    <n v="2026"/>
    <m/>
  </r>
  <r>
    <x v="5"/>
    <x v="123"/>
    <x v="9"/>
    <s v="Credit                                                                _x000a_803097                                                                _x000a_MIG001-293208385                                                      _x000a_At Bank AlJazira                                                      _x000a_CORPORATE BANKING DEPT-JEDDAH                                         _x000a_Date 12-10-1447(H) Time 12.50.37                                      _x000a_Reference LGI-0840-26-8000                                            _x000a_"/>
    <x v="451"/>
    <s v="LGI-0840-26-8000"/>
    <x v="0"/>
    <n v="0"/>
    <n v="750"/>
    <x v="16"/>
    <s v="Received"/>
    <s v="Bid - CLUSTER 2 AIRPORT COMPANY"/>
    <x v="0"/>
    <x v="2"/>
    <x v="27"/>
    <n v="3"/>
    <n v="2026"/>
    <m/>
  </r>
  <r>
    <x v="5"/>
    <x v="123"/>
    <x v="9"/>
    <s v="Dr TI LGI Comm/Other Charges                                          _x000a_MIG002-293214391                                                      _x000a_At Bank AlJazira                                                      _x000a_CORPORATE BANKING DEPT-JEDDAH                                         _x000a_Date 12-10-1447(H) Time 12.52.51                                      _x000a_Reference LGI-0840-26-8000                                            _x000a_"/>
    <x v="451"/>
    <s v="LGI-0840-26-8000"/>
    <x v="0"/>
    <n v="5000"/>
    <n v="0"/>
    <x v="16"/>
    <s v="Received"/>
    <s v="Bid - CLUSTER 2 AIRPORT COMPANY"/>
    <x v="0"/>
    <x v="2"/>
    <x v="27"/>
    <n v="3"/>
    <n v="2026"/>
    <m/>
  </r>
  <r>
    <x v="5"/>
    <x v="123"/>
    <x v="9"/>
    <s v="Value Added Tax                                                       _x000a_On LGI Amend Commission                                               _x000a_15% of SAR5,000.00                                                    _x000a_Through CORPORATE BANKING DEPT-JEDDAH                                 _x000a_Date 12-10-1447(H) Time 12.52.52                                      _x000a_Reference LGI-0840-26-8000                                            _x000a_At Bank Aljazira                                                      _x000a_Exchange Rate 1.0                                                     _x000a_"/>
    <x v="451"/>
    <s v="LGI-0840-26-8000"/>
    <x v="0"/>
    <n v="750"/>
    <n v="0"/>
    <x v="1"/>
    <s v="Received"/>
    <s v="Bid - CLUSTER 2 AIRPORT COMPANY"/>
    <x v="0"/>
    <x v="2"/>
    <x v="27"/>
    <n v="3"/>
    <n v="2026"/>
    <m/>
  </r>
  <r>
    <x v="5"/>
    <x v="123"/>
    <x v="9"/>
    <s v="Dr TI LGI Comm/Other Charges                                          _x000a_MIG002-293214393                                                      _x000a_At Bank AlJazira                                                      _x000a_CORPORATE BANKING DEPT-JEDDAH                                         _x000a_Date 12-10-1447(H) Time 12.52.52                                      _x000a_Reference LGI-0840-26-8000                                            _x000a_"/>
    <x v="451"/>
    <s v="LGI-0840-26-8000"/>
    <x v="0"/>
    <n v="10000"/>
    <n v="0"/>
    <x v="16"/>
    <s v="Received"/>
    <s v="Bid - CLUSTER 2 AIRPORT COMPANY"/>
    <x v="0"/>
    <x v="2"/>
    <x v="27"/>
    <n v="3"/>
    <n v="2026"/>
    <m/>
  </r>
  <r>
    <x v="5"/>
    <x v="123"/>
    <x v="9"/>
    <s v="Value Added Tax                                                       _x000a_On LG Processing/Facility Fees                                        _x000a_15% of SAR10,000.00                                                   _x000a_Through CORPORATE BANKING DEPT-JEDDAH                                 _x000a_Date 12-10-1447(H) Time 12.52.53                                      _x000a_Reference LGI-0840-26-8000                                            _x000a_At Bank Aljazira                                                      _x000a_Exchange Rate 1.0                                                     _x000a_"/>
    <x v="451"/>
    <s v="LGI-0840-26-8000"/>
    <x v="0"/>
    <n v="1500"/>
    <n v="0"/>
    <x v="1"/>
    <s v="Received"/>
    <s v="Bid - CLUSTER 2 AIRPORT COMPANY"/>
    <x v="0"/>
    <x v="2"/>
    <x v="27"/>
    <n v="3"/>
    <n v="2026"/>
    <m/>
  </r>
  <r>
    <x v="7"/>
    <x v="100"/>
    <x v="18"/>
    <s v="Trade Transaction Dr_x000a_SAR -673180.02_x000a_Value date : 18-FEB-26_x000a_Transaction Ref : FTM2604956WTP6G7_x000a_Purpose/Details of Txn : Outward Guarantee KCLG2600085"/>
    <x v="454"/>
    <s v="FTM2604956WTP6G7"/>
    <x v="0"/>
    <n v="673180"/>
    <n v="0"/>
    <x v="32"/>
    <s v="Received"/>
    <s v="Performance - AUTOMOTIVE SECTOR DEVELOPMENT INVESTMENT COMPANY (CEER 2)"/>
    <x v="0"/>
    <x v="22"/>
    <x v="27"/>
    <n v="2"/>
    <n v="2026"/>
    <m/>
  </r>
  <r>
    <x v="7"/>
    <x v="101"/>
    <x v="18"/>
    <s v="Trade Transaction Dr_x000a_SAR -575.00_x000a_Value date : 19-FEB-26_x000a_Transaction Ref : FTM2605056WSS69B_x000a_Purpose/Details of Txn : Outward Guarantee KCLG2600085"/>
    <x v="454"/>
    <s v="FTM2605056WSS69B"/>
    <x v="0"/>
    <n v="575"/>
    <n v="0"/>
    <x v="32"/>
    <s v="Received"/>
    <s v="Performance - AUTOMOTIVE SECTOR DEVELOPMENT INVESTMENT COMPANY (CEER 2)"/>
    <x v="0"/>
    <x v="22"/>
    <x v="27"/>
    <n v="2"/>
    <n v="2026"/>
    <m/>
  </r>
  <r>
    <x v="7"/>
    <x v="111"/>
    <x v="18"/>
    <s v="Trade Transaction Dr_x000a_SAR -695619.35_x000a_Value date : 05-MAR-26_x000a_Transaction Ref : FTM260642MR0BJQ0_x000a_Purpose/Details of Txn : Outward Guarantee KCLG2600152"/>
    <x v="455"/>
    <s v="FTM260642MR0BJQ0"/>
    <x v="0"/>
    <n v="695619"/>
    <n v="0"/>
    <x v="33"/>
    <s v="Received"/>
    <s v="Advance - AUTOMOTIVE SECTOR DEVELOPMENT INVESTMENT COMPANY (CEER 2)"/>
    <x v="0"/>
    <x v="22"/>
    <x v="27"/>
    <n v="3"/>
    <n v="2026"/>
    <m/>
  </r>
  <r>
    <x v="7"/>
    <x v="111"/>
    <x v="18"/>
    <s v="Trade Transaction Dr_x000a_SAR -695619.35_x000a_Value date : 05-MAR-26_x000a_Transaction Ref : FTM260642MR0BMMB_x000a_Purpose/Details of Txn : Outward Guarantee KCLG2600153"/>
    <x v="456"/>
    <s v="FTM260642MR0BMMB"/>
    <x v="0"/>
    <n v="695619"/>
    <n v="0"/>
    <x v="34"/>
    <s v="Received"/>
    <s v="Retention - AUTOMOTIVE SECTOR DEVELOPMENT INVESTMENT COMPANY (CEER 2)"/>
    <x v="0"/>
    <x v="22"/>
    <x v="27"/>
    <n v="3"/>
    <n v="2026"/>
    <m/>
  </r>
  <r>
    <x v="1"/>
    <x v="125"/>
    <x v="3"/>
    <s v="CUSTOMER = 3972500 DEAL AMT = 75 DEAL CCY = SAR TAX CODE = 1 "/>
    <x v="207"/>
    <s v="TF251460005901"/>
    <x v="0"/>
    <n v="11.25"/>
    <n v="0"/>
    <x v="1"/>
    <s v="Received"/>
    <s v="DAR-AL MAWARED TRADING CO."/>
    <x v="3"/>
    <x v="5"/>
    <x v="27"/>
    <n v="4"/>
    <n v="2026"/>
    <m/>
  </r>
  <r>
    <x v="1"/>
    <x v="125"/>
    <x v="3"/>
    <s v=" LC SWIFT CHARGES   "/>
    <x v="207"/>
    <s v="TF251460005901"/>
    <x v="0"/>
    <n v="75"/>
    <n v="0"/>
    <x v="3"/>
    <s v="Received"/>
    <s v="DAR-AL MAWARED TRADING CO."/>
    <x v="3"/>
    <x v="5"/>
    <x v="27"/>
    <n v="4"/>
    <n v="2026"/>
    <m/>
  </r>
  <r>
    <x v="1"/>
    <x v="125"/>
    <x v="3"/>
    <s v=" REIMBURSE UNDER LCS DR   "/>
    <x v="207"/>
    <s v="TF251460005901"/>
    <x v="0"/>
    <n v="120438.35"/>
    <n v="0"/>
    <x v="4"/>
    <s v="Received"/>
    <s v="DAR-AL MAWARED TRADING CO."/>
    <x v="3"/>
    <x v="5"/>
    <x v="27"/>
    <n v="4"/>
    <n v="2026"/>
    <m/>
  </r>
  <r>
    <x v="1"/>
    <x v="125"/>
    <x v="3"/>
    <s v="CUSTOMER = 3972500 DEAL AMT = 1250 DEAL CCY = SAR TAX CODE = 1 "/>
    <x v="141"/>
    <s v="TF252300003404"/>
    <x v="0"/>
    <n v="187.5"/>
    <n v="0"/>
    <x v="1"/>
    <s v="Received"/>
    <s v="Al Arabia Construction &amp; Building Co."/>
    <x v="0"/>
    <x v="7"/>
    <x v="27"/>
    <n v="4"/>
    <n v="2026"/>
    <m/>
  </r>
  <r>
    <x v="1"/>
    <x v="125"/>
    <x v="3"/>
    <s v=" LC ACCEPTANCE COMMISSION   "/>
    <x v="141"/>
    <s v="TF252300003404"/>
    <x v="0"/>
    <n v="1250"/>
    <n v="0"/>
    <x v="2"/>
    <s v="Received"/>
    <s v="Al Arabia Construction &amp; Building Co."/>
    <x v="0"/>
    <x v="7"/>
    <x v="27"/>
    <n v="4"/>
    <n v="2026"/>
    <m/>
  </r>
  <r>
    <x v="1"/>
    <x v="125"/>
    <x v="3"/>
    <s v="CUSTOMER = 3972500 DEAL AMT = 1250 DEAL CCY = SAR TAX CODE = 1 "/>
    <x v="141"/>
    <s v="TF252300003405"/>
    <x v="0"/>
    <n v="187.5"/>
    <n v="0"/>
    <x v="1"/>
    <s v="Received"/>
    <s v="Al Arabia Construction &amp; Building Co."/>
    <x v="0"/>
    <x v="7"/>
    <x v="27"/>
    <n v="4"/>
    <n v="2026"/>
    <m/>
  </r>
  <r>
    <x v="1"/>
    <x v="125"/>
    <x v="3"/>
    <s v=" LC ACCEPTANCE COMMISSION   "/>
    <x v="141"/>
    <s v="TF252300003405"/>
    <x v="0"/>
    <n v="1250"/>
    <n v="0"/>
    <x v="2"/>
    <s v="Received"/>
    <s v="Al Arabia Construction &amp; Building Co."/>
    <x v="0"/>
    <x v="7"/>
    <x v="27"/>
    <n v="4"/>
    <n v="2026"/>
    <m/>
  </r>
  <r>
    <x v="1"/>
    <x v="125"/>
    <x v="3"/>
    <s v="CUSTOMER = 3972500 DEAL AMT = 1919.88 DEAL CCY = SAR TAX CODE = 1 "/>
    <x v="333"/>
    <s v="TF252650001902"/>
    <x v="0"/>
    <n v="287.98"/>
    <n v="0"/>
    <x v="1"/>
    <s v="Received"/>
    <s v="Future Pipe Industries LLC"/>
    <x v="0"/>
    <x v="7"/>
    <x v="27"/>
    <n v="4"/>
    <n v="2026"/>
    <m/>
  </r>
  <r>
    <x v="1"/>
    <x v="125"/>
    <x v="3"/>
    <s v=" LC ACCEPTANCE COMMISSION   "/>
    <x v="333"/>
    <s v="TF252650001902"/>
    <x v="0"/>
    <n v="1919.88"/>
    <n v="0"/>
    <x v="6"/>
    <s v="Received"/>
    <s v="Future Pipe Industries LLC"/>
    <x v="0"/>
    <x v="7"/>
    <x v="27"/>
    <n v="4"/>
    <n v="2026"/>
    <m/>
  </r>
  <r>
    <x v="1"/>
    <x v="125"/>
    <x v="3"/>
    <s v="CUSTOMER = 3972500 DEAL AMT = 62500 DEAL CCY = SAR TAX CODE = 1 "/>
    <x v="443"/>
    <s v="TF260420001102"/>
    <x v="0"/>
    <n v="9375"/>
    <n v="0"/>
    <x v="1"/>
    <s v="Received"/>
    <s v="The Fundamental Installation For Electric Work Co"/>
    <x v="3"/>
    <x v="8"/>
    <x v="27"/>
    <n v="4"/>
    <n v="2026"/>
    <m/>
  </r>
  <r>
    <x v="1"/>
    <x v="125"/>
    <x v="3"/>
    <s v=" LC ACCEPTANCE COMMISSION   "/>
    <x v="443"/>
    <s v="TF260420001102"/>
    <x v="0"/>
    <n v="62500"/>
    <n v="0"/>
    <x v="2"/>
    <s v="Received"/>
    <s v="The Fundamental Installation For Electric Work Co"/>
    <x v="3"/>
    <x v="8"/>
    <x v="27"/>
    <n v="4"/>
    <n v="2026"/>
    <m/>
  </r>
  <r>
    <x v="1"/>
    <x v="126"/>
    <x v="3"/>
    <s v="CUSTOMER = 3972500 DEAL AMT = 75 DEAL CCY = SAR TAX CODE = 1 "/>
    <x v="185"/>
    <s v="TF251740001901"/>
    <x v="0"/>
    <n v="11.25"/>
    <n v="0"/>
    <x v="1"/>
    <s v="Received"/>
    <s v="AFAQ AL MALAZ TRADING CO. LTD"/>
    <x v="3"/>
    <x v="6"/>
    <x v="27"/>
    <n v="4"/>
    <n v="2026"/>
    <m/>
  </r>
  <r>
    <x v="1"/>
    <x v="126"/>
    <x v="3"/>
    <s v=" LC SWIFT CHARGES   "/>
    <x v="185"/>
    <s v="TF251740001901"/>
    <x v="0"/>
    <n v="75"/>
    <n v="0"/>
    <x v="2"/>
    <s v="Received"/>
    <s v="AFAQ AL MALAZ TRADING CO. LTD"/>
    <x v="3"/>
    <x v="6"/>
    <x v="27"/>
    <n v="4"/>
    <n v="2026"/>
    <m/>
  </r>
  <r>
    <x v="1"/>
    <x v="126"/>
    <x v="3"/>
    <s v=" REIMBURSE UNDER LCS DR   "/>
    <x v="185"/>
    <s v="TF251740001901"/>
    <x v="0"/>
    <n v="300000"/>
    <n v="0"/>
    <x v="4"/>
    <s v="Received"/>
    <s v="AFAQ AL MALAZ TRADING CO. LTD"/>
    <x v="3"/>
    <x v="6"/>
    <x v="27"/>
    <n v="4"/>
    <n v="2026"/>
    <m/>
  </r>
  <r>
    <x v="1"/>
    <x v="126"/>
    <x v="3"/>
    <s v="CUSTOMER = 3972500 DEAL AMT = 75 DEAL CCY = SAR TAX CODE = 1 "/>
    <x v="212"/>
    <s v="TF253160005301"/>
    <x v="0"/>
    <n v="11.25"/>
    <n v="0"/>
    <x v="1"/>
    <s v="Received"/>
    <s v="AL MOUSA TRADING CO."/>
    <x v="3"/>
    <x v="5"/>
    <x v="27"/>
    <n v="4"/>
    <n v="2026"/>
    <m/>
  </r>
  <r>
    <x v="1"/>
    <x v="126"/>
    <x v="3"/>
    <s v=" LC SWIFT CHARGES   "/>
    <x v="212"/>
    <s v="TF253160005301"/>
    <x v="0"/>
    <n v="75"/>
    <n v="0"/>
    <x v="6"/>
    <s v="Received"/>
    <s v="AL MOUSA TRADING CO."/>
    <x v="3"/>
    <x v="5"/>
    <x v="27"/>
    <n v="4"/>
    <n v="2026"/>
    <m/>
  </r>
  <r>
    <x v="1"/>
    <x v="126"/>
    <x v="3"/>
    <s v=" REIMBURSE UNDER LCS DR   "/>
    <x v="212"/>
    <s v="TF253160005301"/>
    <x v="0"/>
    <n v="1252435.67"/>
    <n v="0"/>
    <x v="6"/>
    <s v="Received"/>
    <s v="AL MOUSA TRADING CO."/>
    <x v="3"/>
    <x v="5"/>
    <x v="27"/>
    <n v="4"/>
    <n v="2026"/>
    <m/>
  </r>
  <r>
    <x v="0"/>
    <x v="127"/>
    <x v="0"/>
    <s v="REF 000000JLC6901492,RB REF JLC6901492,VIA CORE SYSTEM,DATE-TIME 01/04-12:37:40, عن طريق النظام الآ لي ,VALUE DT 01/04/26"/>
    <x v="12"/>
    <s v=""/>
    <x v="0"/>
    <n v="3412.08"/>
    <n v="0"/>
    <x v="2"/>
    <s v="Received"/>
    <s v="Jiangsu Donchamp New Materials Technology Co.Ltd."/>
    <x v="0"/>
    <x v="3"/>
    <x v="27"/>
    <n v="4"/>
    <n v="2026"/>
    <m/>
  </r>
  <r>
    <x v="0"/>
    <x v="125"/>
    <x v="0"/>
    <s v="REF 000000JLC6801573,RB REF JLC6801573,VIA CORE SYSTEM,DATE-TIME 02/04-17:04:06, عن طريق النظام الآ لي ,VALUE DT 02/04/26"/>
    <x v="0"/>
    <s v=""/>
    <x v="0"/>
    <n v="2174.36"/>
    <n v="0"/>
    <x v="2"/>
    <s v="Received"/>
    <s v="Visio INC"/>
    <x v="0"/>
    <x v="0"/>
    <x v="27"/>
    <n v="4"/>
    <n v="2026"/>
    <m/>
  </r>
  <r>
    <x v="0"/>
    <x v="125"/>
    <x v="1"/>
    <s v="REF 000000JLC6701731,RB REF JLC6701731,VIA CORE SYSTEM,DATE-TIME 02/04-17:02:30, عن طريق النظام الآ لي ,VALUE DT 02/04/26"/>
    <x v="96"/>
    <s v=""/>
    <x v="0"/>
    <n v="1657.67"/>
    <n v="0"/>
    <x v="2"/>
    <s v="Received"/>
    <s v="ATELIER HOSPITALITY SRL"/>
    <x v="0"/>
    <x v="0"/>
    <x v="27"/>
    <n v="4"/>
    <n v="2026"/>
    <m/>
  </r>
  <r>
    <x v="0"/>
    <x v="125"/>
    <x v="2"/>
    <s v="REF 000000JLC6901492,RB REF JLC6901492,VIA CORE SYSTEM,DATE-TIME 02/04-14:51:13, عن طريق النظام الآ لي ,VALUE DT 02/04/26"/>
    <x v="12"/>
    <s v=""/>
    <x v="1"/>
    <n v="317074.96000000002"/>
    <n v="0"/>
    <x v="4"/>
    <s v="Received"/>
    <s v="Jiangsu Donchamp New Materials Technology Co.Ltd."/>
    <x v="0"/>
    <x v="3"/>
    <x v="27"/>
    <n v="4"/>
    <n v="2026"/>
    <m/>
  </r>
  <r>
    <x v="0"/>
    <x v="126"/>
    <x v="0"/>
    <s v="REF JLC6901617,REF JLC6901617,VIA CORE SYSTEM,DATE-TIME 05/04-16:22:01, عن طريق النظام الآ لي ,VALUE DT 05/04/26"/>
    <x v="457"/>
    <s v=""/>
    <x v="0"/>
    <n v="0"/>
    <n v="333060.53999999998"/>
    <x v="4"/>
    <s v="Received"/>
    <e v="#N/A"/>
    <x v="7"/>
    <x v="12"/>
    <x v="27"/>
    <n v="4"/>
    <n v="2026"/>
    <m/>
  </r>
  <r>
    <x v="2"/>
    <x v="127"/>
    <x v="4"/>
    <s v="CITY:Jeddah 6132226J210604001"/>
    <x v="135"/>
    <s v="J210604001"/>
    <x v="0"/>
    <n v="398773.34"/>
    <n v="0"/>
    <x v="2"/>
    <s v="Received"/>
    <s v="Electric House Trading Company L.L.C."/>
    <x v="3"/>
    <x v="5"/>
    <x v="27"/>
    <n v="4"/>
    <n v="2026"/>
    <m/>
  </r>
  <r>
    <x v="2"/>
    <x v="125"/>
    <x v="4"/>
    <s v="CITY:Jeddah 6132226B323741001"/>
    <x v="116"/>
    <s v="B323741"/>
    <x v="0"/>
    <n v="51118.63"/>
    <n v="0"/>
    <x v="33"/>
    <s v="Received"/>
    <s v="Advance - ROYAL PROTOCOL CAMP"/>
    <x v="0"/>
    <x v="2"/>
    <x v="27"/>
    <n v="4"/>
    <n v="2026"/>
    <m/>
  </r>
  <r>
    <x v="3"/>
    <x v="127"/>
    <x v="6"/>
    <s v="IMP BILL COMM DPBEPM216497WPM DCBWPM565843"/>
    <x v="372"/>
    <s v="DPBEPM216497WPM"/>
    <x v="0"/>
    <n v="3689.84"/>
    <n v="0"/>
    <x v="2"/>
    <s v="Received"/>
    <s v="BAHRA ADVANCED CABLE MANUFACTURE CO. LTD."/>
    <x v="3"/>
    <x v="9"/>
    <x v="27"/>
    <n v="4"/>
    <n v="2026"/>
    <m/>
  </r>
  <r>
    <x v="3"/>
    <x v="126"/>
    <x v="6"/>
    <s v="IMP BILL AMEND. CHARGES DPBCOR216581WPM DCBCPM160316"/>
    <x v="387"/>
    <s v="DPBCOR216581WPM"/>
    <x v="0"/>
    <n v="9800.2199999999993"/>
    <n v="0"/>
    <x v="8"/>
    <s v="Received"/>
    <s v="Off Premises Solutions"/>
    <x v="13"/>
    <x v="8"/>
    <x v="27"/>
    <n v="4"/>
    <n v="2026"/>
    <m/>
  </r>
  <r>
    <x v="3"/>
    <x v="126"/>
    <x v="6"/>
    <s v="IMP BILL AMEND. CHARGES DPBCOR216504WPM DCBWPM163417"/>
    <x v="450"/>
    <s v="DPBCOR216504WPM"/>
    <x v="0"/>
    <n v="21562.5"/>
    <n v="0"/>
    <x v="8"/>
    <s v="Received"/>
    <s v="The Fundamental Installation For Electric Work Co"/>
    <x v="3"/>
    <x v="9"/>
    <x v="27"/>
    <n v="4"/>
    <n v="2026"/>
    <m/>
  </r>
  <r>
    <x v="3"/>
    <x v="128"/>
    <x v="6"/>
    <s v="DPBCOR629826WPM DCBWPM570380"/>
    <x v="295"/>
    <s v="DPBCOR629826WPM"/>
    <x v="0"/>
    <n v="453779.49"/>
    <n v="0"/>
    <x v="4"/>
    <s v="Received"/>
    <s v="Ajzal United for Safety CO.LTD."/>
    <x v="3"/>
    <x v="9"/>
    <x v="27"/>
    <n v="4"/>
    <n v="2026"/>
    <m/>
  </r>
  <r>
    <x v="3"/>
    <x v="128"/>
    <x v="6"/>
    <s v="DC ISSUE COMM CHARGES DCBWPM164001"/>
    <x v="458"/>
    <s v="UE COMM CHARGES"/>
    <x v="0"/>
    <n v="5836.25"/>
    <n v="0"/>
    <x v="8"/>
    <s v="Received"/>
    <s v="Elsewedy Cables Co. Limited"/>
    <x v="3"/>
    <x v="9"/>
    <x v="27"/>
    <n v="4"/>
    <n v="2026"/>
    <m/>
  </r>
  <r>
    <x v="3"/>
    <x v="128"/>
    <x v="6"/>
    <s v="DC ISSUE COMM CHARGES DCBWPM164010"/>
    <x v="459"/>
    <s v="UE COMM CHARGES"/>
    <x v="0"/>
    <n v="5836.25"/>
    <n v="0"/>
    <x v="8"/>
    <s v="Received"/>
    <s v="Johnson Controls Arabia Ltd."/>
    <x v="3"/>
    <x v="9"/>
    <x v="27"/>
    <n v="4"/>
    <n v="2026"/>
    <m/>
  </r>
  <r>
    <x v="3"/>
    <x v="128"/>
    <x v="6"/>
    <s v="DC ISSUE COMM CHARGES DCBWPM164009"/>
    <x v="460"/>
    <s v="UE COMM CHARGES"/>
    <x v="0"/>
    <n v="5836.25"/>
    <n v="0"/>
    <x v="8"/>
    <s v="Received"/>
    <s v="Electric House Trading Company L.L.C."/>
    <x v="3"/>
    <x v="9"/>
    <x v="27"/>
    <n v="4"/>
    <n v="2026"/>
    <m/>
  </r>
  <r>
    <x v="3"/>
    <x v="128"/>
    <x v="6"/>
    <s v="DC ISSUE COMM CHARGES DCBWPM164007"/>
    <x v="461"/>
    <s v="UE COMM CHARGES"/>
    <x v="0"/>
    <n v="5980"/>
    <n v="0"/>
    <x v="8"/>
    <s v="Received"/>
    <s v="Bahra Advanced Cable Manufacture Co."/>
    <x v="3"/>
    <x v="9"/>
    <x v="27"/>
    <n v="4"/>
    <n v="2026"/>
    <m/>
  </r>
  <r>
    <x v="3"/>
    <x v="128"/>
    <x v="6"/>
    <s v="DC ISSUE COMM CHARGES DCBWPM164003"/>
    <x v="462"/>
    <s v="UE COMM CHARGES"/>
    <x v="0"/>
    <n v="5836.25"/>
    <n v="0"/>
    <x v="8"/>
    <s v="Received"/>
    <s v="Saudi Electric Supply Company"/>
    <x v="3"/>
    <x v="9"/>
    <x v="27"/>
    <n v="4"/>
    <n v="2026"/>
    <m/>
  </r>
  <r>
    <x v="3"/>
    <x v="128"/>
    <x v="6"/>
    <s v="DC ISSUE COMM CHARGES DCBWPM163999"/>
    <x v="463"/>
    <s v="UE COMM CHARGES"/>
    <x v="0"/>
    <n v="3105"/>
    <n v="0"/>
    <x v="8"/>
    <s v="Received"/>
    <s v="Al Maymanah For Contracting Co. Ltd."/>
    <x v="3"/>
    <x v="9"/>
    <x v="27"/>
    <n v="4"/>
    <n v="2026"/>
    <m/>
  </r>
  <r>
    <x v="3"/>
    <x v="128"/>
    <x v="6"/>
    <s v="DC ISSUE COMM CHARGES DCBWPM163997"/>
    <x v="464"/>
    <s v="UE COMM CHARGES"/>
    <x v="0"/>
    <n v="3105"/>
    <n v="0"/>
    <x v="8"/>
    <s v="Received"/>
    <s v="Gulf Grilles Company"/>
    <x v="3"/>
    <x v="9"/>
    <x v="27"/>
    <n v="4"/>
    <n v="2026"/>
    <m/>
  </r>
  <r>
    <x v="3"/>
    <x v="128"/>
    <x v="6"/>
    <s v="DC ISSUE COMM CHARGES DCBWPM163995"/>
    <x v="465"/>
    <s v="UE COMM CHARGES"/>
    <x v="0"/>
    <n v="948.75"/>
    <n v="0"/>
    <x v="8"/>
    <s v="Received"/>
    <s v="Aknan Alkhair Tranding Est"/>
    <x v="3"/>
    <x v="9"/>
    <x v="27"/>
    <n v="4"/>
    <n v="2026"/>
    <m/>
  </r>
  <r>
    <x v="3"/>
    <x v="128"/>
    <x v="6"/>
    <s v="DC ISSUE COMM CHARGES DCBWPM163988"/>
    <x v="466"/>
    <s v="UE COMM CHARGES"/>
    <x v="0"/>
    <n v="5261.25"/>
    <n v="0"/>
    <x v="8"/>
    <s v="Received"/>
    <s v="Power Center Company For Industries Llc"/>
    <x v="3"/>
    <x v="9"/>
    <x v="27"/>
    <n v="4"/>
    <n v="2026"/>
    <m/>
  </r>
  <r>
    <x v="3"/>
    <x v="128"/>
    <x v="6"/>
    <s v="DC ISSUE COMM CHARGES DCBWPM163971"/>
    <x v="467"/>
    <s v="UE COMM CHARGES"/>
    <x v="0"/>
    <n v="1092.5"/>
    <n v="0"/>
    <x v="8"/>
    <s v="Received"/>
    <s v="Elmady Solution Company"/>
    <x v="3"/>
    <x v="9"/>
    <x v="27"/>
    <n v="4"/>
    <n v="2026"/>
    <m/>
  </r>
  <r>
    <x v="3"/>
    <x v="128"/>
    <x v="6"/>
    <s v="DC ISSUE COMM CHARGES DCBWPM163967"/>
    <x v="468"/>
    <s v="UE COMM CHARGES"/>
    <x v="0"/>
    <n v="2961.25"/>
    <n v="0"/>
    <x v="8"/>
    <s v="Received"/>
    <s v="National Fire Fighting Manufacturing Fzco Br."/>
    <x v="3"/>
    <x v="9"/>
    <x v="27"/>
    <n v="4"/>
    <n v="2026"/>
    <m/>
  </r>
  <r>
    <x v="3"/>
    <x v="128"/>
    <x v="6"/>
    <s v="DC ISSUE COMM CHARGES DCBWPM163964"/>
    <x v="469"/>
    <s v="UE COMM CHARGES"/>
    <x v="0"/>
    <n v="1667.5"/>
    <n v="0"/>
    <x v="8"/>
    <s v="Received"/>
    <s v="National Marketing Est. Co. Ltd"/>
    <x v="3"/>
    <x v="9"/>
    <x v="27"/>
    <n v="4"/>
    <n v="2026"/>
    <m/>
  </r>
  <r>
    <x v="3"/>
    <x v="128"/>
    <x v="6"/>
    <s v="DC ISSUE COMM CHARGES DCBWPM163961"/>
    <x v="470"/>
    <s v="UE COMM CHARGES"/>
    <x v="0"/>
    <n v="2817.5"/>
    <n v="0"/>
    <x v="8"/>
    <s v="Received"/>
    <s v="Ali Manea Alyami Trading Est."/>
    <x v="3"/>
    <x v="9"/>
    <x v="27"/>
    <n v="4"/>
    <n v="2026"/>
    <m/>
  </r>
  <r>
    <x v="3"/>
    <x v="128"/>
    <x v="6"/>
    <s v="DC ISSUE COMM CHARGES DCBWPM163950"/>
    <x v="471"/>
    <s v="UE COMM CHARGES"/>
    <x v="0"/>
    <n v="1955"/>
    <n v="0"/>
    <x v="8"/>
    <s v="Received"/>
    <s v="Khereiji Showrooms Co."/>
    <x v="3"/>
    <x v="9"/>
    <x v="27"/>
    <n v="4"/>
    <n v="2026"/>
    <m/>
  </r>
  <r>
    <x v="3"/>
    <x v="128"/>
    <x v="6"/>
    <s v="DC ISSUE COMM CHARGES DCBWPM163945"/>
    <x v="472"/>
    <s v="UE COMM CHARGES"/>
    <x v="0"/>
    <n v="1380"/>
    <n v="0"/>
    <x v="8"/>
    <s v="Received"/>
    <s v="Masdar Technical Supplies Co."/>
    <x v="3"/>
    <x v="9"/>
    <x v="27"/>
    <n v="4"/>
    <n v="2026"/>
    <m/>
  </r>
  <r>
    <x v="3"/>
    <x v="128"/>
    <x v="6"/>
    <s v="DC ISSUE COMM CHARGES DCBWPM163953"/>
    <x v="473"/>
    <s v="UE COMM CHARGES"/>
    <x v="0"/>
    <n v="948.75"/>
    <n v="0"/>
    <x v="8"/>
    <s v="Received"/>
    <s v="Atiaf International Trading Company"/>
    <x v="3"/>
    <x v="9"/>
    <x v="27"/>
    <n v="4"/>
    <n v="2026"/>
    <m/>
  </r>
  <r>
    <x v="3"/>
    <x v="128"/>
    <x v="6"/>
    <s v="DC ISSUE COMM CHARGES DCBWPM163957"/>
    <x v="474"/>
    <s v="UE COMM CHARGES"/>
    <x v="0"/>
    <n v="2817.5"/>
    <n v="0"/>
    <x v="8"/>
    <s v="Received"/>
    <s v="Mohamad Saeed Afifi Trading Est."/>
    <x v="3"/>
    <x v="9"/>
    <x v="27"/>
    <n v="4"/>
    <n v="2026"/>
    <m/>
  </r>
  <r>
    <x v="3"/>
    <x v="128"/>
    <x v="6"/>
    <s v="DC ISSUE COMM CHARGES DCBWPM163990"/>
    <x v="475"/>
    <s v="UE COMM CHARGES"/>
    <x v="0"/>
    <n v="1236.25"/>
    <n v="0"/>
    <x v="8"/>
    <s v="Received"/>
    <s v="Ajzal United For Safety Co.Ltd."/>
    <x v="3"/>
    <x v="9"/>
    <x v="27"/>
    <n v="4"/>
    <n v="2026"/>
    <m/>
  </r>
  <r>
    <x v="3"/>
    <x v="128"/>
    <x v="6"/>
    <s v="DC ISSUE COMM CHARGES DCBWPM163960"/>
    <x v="476"/>
    <s v="UE COMM CHARGES"/>
    <x v="0"/>
    <n v="1092.5"/>
    <n v="0"/>
    <x v="8"/>
    <s v="Received"/>
    <s v="IDEAL CALIBER COMPANY"/>
    <x v="3"/>
    <x v="9"/>
    <x v="27"/>
    <n v="4"/>
    <n v="2026"/>
    <m/>
  </r>
  <r>
    <x v="5"/>
    <x v="127"/>
    <x v="9"/>
    <s v="TI Bill Settled                                                       _x000a_POC008                                                                _x000a_At Bank AlJazira                                                      _x000a_CORPORATE BANKING DEPT-JEDDAH                                         _x000a_Date 13-10-1447(H) Time 10.32.51                                      _x000a_Reference ILC-0840-25-7799                                            _x000a_"/>
    <x v="72"/>
    <s v=""/>
    <x v="0"/>
    <n v="521698.4"/>
    <n v="0"/>
    <x v="4"/>
    <s v="Received"/>
    <s v="Metal and Glass Trading Co"/>
    <x v="3"/>
    <x v="10"/>
    <x v="27"/>
    <n v="4"/>
    <n v="2026"/>
    <m/>
  </r>
  <r>
    <x v="5"/>
    <x v="127"/>
    <x v="9"/>
    <s v="Dr TI ILC Comm/Other Charges                                          _x000a_POC010-293326156                                                      _x000a_At Bank Aljazira                                                      _x000a_ CORPORATE BANKING DEPT-JEDDAH                                        _x000a_Date 13-10-1447(H) Time 11.59.57                                      _x000a_Reference ILC-0840-25-8159                                            _x000a_Value Date 13-10-1447(H)                                              _x000a_Fee Collected By Bank AlJazira                                        _x000a_"/>
    <x v="84"/>
    <s v="ILC-0840-25-8159"/>
    <x v="0"/>
    <n v="448"/>
    <n v="0"/>
    <x v="2"/>
    <s v="Received"/>
    <s v="AL FALWA CO. LTD. FOR READYMIX CONCRETE"/>
    <x v="0"/>
    <x v="10"/>
    <x v="27"/>
    <n v="4"/>
    <n v="2026"/>
    <m/>
  </r>
  <r>
    <x v="5"/>
    <x v="127"/>
    <x v="9"/>
    <s v="Value Added Tax                                                       _x000a_On ILC Acceptance Comm.                                               _x000a_15% of SAR448.00                                                      _x000a_Through CORPORATE BANKING DEPT-JEDDAH                                 _x000a_Date 13-10-1447(H) Time 11.59.57                                      _x000a_Reference ILC-0840-25-8159                                            _x000a_At Bank Aljazira                                                      _x000a_"/>
    <x v="84"/>
    <s v="ILC-0840-25-8159"/>
    <x v="0"/>
    <n v="67.2"/>
    <n v="0"/>
    <x v="1"/>
    <s v="Received"/>
    <s v="AL FALWA CO. LTD. FOR READYMIX CONCRETE"/>
    <x v="0"/>
    <x v="10"/>
    <x v="27"/>
    <n v="4"/>
    <n v="2026"/>
    <m/>
  </r>
  <r>
    <x v="5"/>
    <x v="127"/>
    <x v="9"/>
    <s v="Dr TI ILC Comm/Other Charges                                          _x000a_POC010-293326160                                                      _x000a_At Bank Aljazira                                                      _x000a_ CORPORATE BANKING DEPT-JEDDAH                                        _x000a_Date 13-10-1447(H) Time 11.59.58                                      _x000a_Reference ILC-0840-25-8159                                            _x000a_Value Date 13-10-1447(H)                                              _x000a_Fee Collected By Bank AlJazira                                        _x000a_"/>
    <x v="84"/>
    <s v="ILC-0840-25-8159"/>
    <x v="0"/>
    <n v="200"/>
    <n v="0"/>
    <x v="2"/>
    <s v="Received"/>
    <s v="AL FALWA CO. LTD. FOR READYMIX CONCRETE"/>
    <x v="0"/>
    <x v="10"/>
    <x v="27"/>
    <n v="4"/>
    <n v="2026"/>
    <m/>
  </r>
  <r>
    <x v="5"/>
    <x v="127"/>
    <x v="9"/>
    <s v="Value Added Tax                                                       _x000a_On SWIFT charges                                                      _x000a_15% of SAR200.00                                                      _x000a_Through CORPORATE BANKING DEPT-JEDDAH                                 _x000a_Date 13-10-1447(H) Time 11.59.58                                      _x000a_Reference ILC-0840-25-8159                                            _x000a_At Bank Aljazira                                                      _x000a_"/>
    <x v="84"/>
    <s v="ILC-0840-25-8159"/>
    <x v="0"/>
    <n v="30"/>
    <n v="0"/>
    <x v="1"/>
    <s v="Received"/>
    <s v="AL FALWA CO. LTD. FOR READYMIX CONCRETE"/>
    <x v="0"/>
    <x v="10"/>
    <x v="27"/>
    <n v="4"/>
    <n v="2026"/>
    <m/>
  </r>
  <r>
    <x v="5"/>
    <x v="128"/>
    <x v="9"/>
    <s v="Dr TI LGI Comm/Other Charges                                          _x000a_ISS001-293776751                                                      _x000a_At Bank AlJazira                                                      _x000a_CORPORATE BANKING DEPT-JEDDAH                                         _x000a_Date 18-10-1447(H) Time 10.18.39                                      _x000a_Reference LGI-0840-26-8103                                            _x000a_"/>
    <x v="477"/>
    <s v=""/>
    <x v="0"/>
    <n v="37397.26"/>
    <n v="0"/>
    <x v="16"/>
    <s v="Received"/>
    <e v="#N/A"/>
    <x v="7"/>
    <x v="12"/>
    <x v="27"/>
    <n v="4"/>
    <n v="2026"/>
    <m/>
  </r>
  <r>
    <x v="5"/>
    <x v="128"/>
    <x v="9"/>
    <s v="Value Added Tax                                                       _x000a_On LG Processing/Facility Fees                                        _x000a_15% of SAR37,397.26                                                   _x000a_Through CORPORATE BANKING DEPT-JEDDAH                                 _x000a_Date 18-10-1447(H) Time 10.18.40                                      _x000a_Reference LGI-0840-26-8103                                            _x000a_At Bank Aljazira                                                      _x000a_Exchange Rate 1.0                                                     _x000a_"/>
    <x v="477"/>
    <s v=""/>
    <x v="0"/>
    <n v="5609.59"/>
    <n v="0"/>
    <x v="1"/>
    <s v="Received"/>
    <e v="#N/A"/>
    <x v="7"/>
    <x v="12"/>
    <x v="27"/>
    <n v="4"/>
    <n v="2026"/>
    <m/>
  </r>
  <r>
    <x v="5"/>
    <x v="128"/>
    <x v="9"/>
    <s v="Dr TI LGI Commission (Earned)                                         _x000a_ISS001-293776780                                                      _x000a_At Bank AlJazira                                                      _x000a_CORPORATE BANKING DEPT-JEDDAH                                         _x000a_Date 18-10-1447(H) Time 10.18.40                                      _x000a_Reference LGI-0840-26-8103                                            _x000a_"/>
    <x v="477"/>
    <s v=""/>
    <x v="0"/>
    <n v="12500"/>
    <n v="0"/>
    <x v="16"/>
    <s v="Received"/>
    <e v="#N/A"/>
    <x v="7"/>
    <x v="12"/>
    <x v="27"/>
    <n v="4"/>
    <n v="2026"/>
    <m/>
  </r>
  <r>
    <x v="5"/>
    <x v="128"/>
    <x v="9"/>
    <s v="Value Added Tax                                                       _x000a_On LGI ISSUANCE COMMISSION                                            _x000a_15% of SAR12,500.00                                                   _x000a_Through CORPORATE BANKING DEPT-JEDDAH                                 _x000a_Date 18-10-1447(H) Time 10.18.41                                      _x000a_Reference LGI-0840-26-8103                                            _x000a_At Bank Aljazira                                                      _x000a_Exchange Rate 1.0                                                     _x000a_"/>
    <x v="477"/>
    <s v=""/>
    <x v="0"/>
    <n v="1875"/>
    <n v="0"/>
    <x v="1"/>
    <s v="Received"/>
    <e v="#N/A"/>
    <x v="7"/>
    <x v="12"/>
    <x v="27"/>
    <n v="4"/>
    <n v="2026"/>
    <m/>
  </r>
  <r>
    <x v="1"/>
    <x v="129"/>
    <x v="3"/>
    <s v="CUSTOMER = 3972500 DEAL AMT = 150 DEAL CCY = EUR TAX CODE = 1 "/>
    <x v="336"/>
    <s v="TF253590001604"/>
    <x v="0"/>
    <n v="22.5"/>
    <n v="0"/>
    <x v="1"/>
    <s v="Received"/>
    <s v="BBH-CHEMTROL INTERNATIONAL ORGANIZATION S.L"/>
    <x v="10"/>
    <x v="5"/>
    <x v="27"/>
    <n v="4"/>
    <n v="2026"/>
    <m/>
  </r>
  <r>
    <x v="1"/>
    <x v="129"/>
    <x v="3"/>
    <s v=" LC SWIFT CHARGES   "/>
    <x v="336"/>
    <s v="TF253590001604"/>
    <x v="0"/>
    <n v="150"/>
    <n v="0"/>
    <x v="3"/>
    <s v="Received"/>
    <s v="BBH-CHEMTROL INTERNATIONAL ORGANIZATION S.L"/>
    <x v="10"/>
    <x v="5"/>
    <x v="27"/>
    <n v="4"/>
    <n v="2026"/>
    <m/>
  </r>
  <r>
    <x v="1"/>
    <x v="129"/>
    <x v="3"/>
    <s v=" REIMBURSE UNDER LCS DR   "/>
    <x v="336"/>
    <s v="TF253590001604"/>
    <x v="0"/>
    <n v="96604.2"/>
    <n v="0"/>
    <x v="4"/>
    <s v="Received"/>
    <s v="BBH-CHEMTROL INTERNATIONAL ORGANIZATION S.L"/>
    <x v="10"/>
    <x v="5"/>
    <x v="27"/>
    <n v="4"/>
    <n v="2026"/>
    <m/>
  </r>
  <r>
    <x v="2"/>
    <x v="129"/>
    <x v="4"/>
    <s v="CITY:Jeddah 6132226J211806001"/>
    <x v="384"/>
    <s v="J211806001"/>
    <x v="0"/>
    <n v="2915.25"/>
    <n v="0"/>
    <x v="2"/>
    <s v="Received"/>
    <s v="Alkhorayef Commercial Company"/>
    <x v="4"/>
    <x v="11"/>
    <x v="27"/>
    <n v="4"/>
    <n v="2026"/>
    <m/>
  </r>
  <r>
    <x v="2"/>
    <x v="129"/>
    <x v="4"/>
    <s v="CITY:Jeddah 6132226J212103000"/>
    <x v="478"/>
    <s v="J212103000"/>
    <x v="0"/>
    <n v="1394.38"/>
    <n v="0"/>
    <x v="8"/>
    <s v="Received"/>
    <s v="Saudi Electric Supply Company Limited(SESCO)"/>
    <x v="4"/>
    <x v="11"/>
    <x v="27"/>
    <n v="4"/>
    <n v="2026"/>
    <m/>
  </r>
  <r>
    <x v="1"/>
    <x v="130"/>
    <x v="3"/>
    <s v="CUSTOMER = 3972500 DEAL AMT = 7500 DEAL CCY = SAR TAX CODE = 1 "/>
    <x v="452"/>
    <s v="TF260420001103"/>
    <x v="0"/>
    <n v="1125"/>
    <n v="0"/>
    <x v="1"/>
    <s v="Received"/>
    <s v="The Fundamental Installation For Electric Work Co"/>
    <x v="3"/>
    <x v="14"/>
    <x v="27"/>
    <n v="4"/>
    <n v="2026"/>
    <m/>
  </r>
  <r>
    <x v="1"/>
    <x v="130"/>
    <x v="3"/>
    <s v=" LC ACCEPTANCE COMMISSION   "/>
    <x v="452"/>
    <s v="TF260420001103"/>
    <x v="0"/>
    <n v="7500"/>
    <n v="0"/>
    <x v="2"/>
    <s v="Received"/>
    <s v="The Fundamental Installation For Electric Work Co"/>
    <x v="3"/>
    <x v="14"/>
    <x v="27"/>
    <n v="4"/>
    <n v="2026"/>
    <m/>
  </r>
  <r>
    <x v="1"/>
    <x v="130"/>
    <x v="3"/>
    <s v="CUSTOMER = 3972500 DEAL AMT = 27351.29 DEAL CCY = SAR TAX CODE = 1 "/>
    <x v="479"/>
    <s v="TF2609800008"/>
    <x v="0"/>
    <n v="105"/>
    <n v="0"/>
    <x v="1"/>
    <s v="Received"/>
    <s v="Innovative Contractors for Advanced Dimension (ICAD)"/>
    <x v="0"/>
    <x v="8"/>
    <x v="27"/>
    <n v="4"/>
    <n v="2026"/>
    <m/>
  </r>
  <r>
    <x v="1"/>
    <x v="130"/>
    <x v="3"/>
    <s v=" LC SWIFT CHARGES   "/>
    <x v="479"/>
    <s v="TF2609800008"/>
    <x v="0"/>
    <n v="700"/>
    <n v="0"/>
    <x v="3"/>
    <s v="Received"/>
    <s v="Innovative Contractors for Advanced Dimension (ICAD)"/>
    <x v="0"/>
    <x v="8"/>
    <x v="27"/>
    <n v="4"/>
    <n v="2026"/>
    <m/>
  </r>
  <r>
    <x v="1"/>
    <x v="130"/>
    <x v="3"/>
    <s v="CUSTOMER = 3972500 DEAL AMT = 27351.29 DEAL CCY = SAR TAX CODE = 1 "/>
    <x v="479"/>
    <s v="TF2609800008"/>
    <x v="0"/>
    <n v="4102.6899999999996"/>
    <n v="0"/>
    <x v="1"/>
    <s v="Received"/>
    <s v="Innovative Contractors for Advanced Dimension (ICAD)"/>
    <x v="0"/>
    <x v="8"/>
    <x v="27"/>
    <n v="4"/>
    <n v="2026"/>
    <m/>
  </r>
  <r>
    <x v="1"/>
    <x v="130"/>
    <x v="3"/>
    <s v=" LC OPENING COMMISSION- DEBIT   "/>
    <x v="479"/>
    <s v="TF2609800008"/>
    <x v="0"/>
    <n v="27351.29"/>
    <n v="0"/>
    <x v="8"/>
    <s v="Received"/>
    <s v="Innovative Contractors for Advanced Dimension (ICAD)"/>
    <x v="0"/>
    <x v="8"/>
    <x v="27"/>
    <n v="4"/>
    <n v="2026"/>
    <m/>
  </r>
  <r>
    <x v="0"/>
    <x v="130"/>
    <x v="0"/>
    <s v="RB REF JLG7001000,VIA CORE SYSTEM,DATE-TIME 08/04-10:47:22, عن طريق النظام الآ لي ,VALUE DT 08/04/26"/>
    <x v="480"/>
    <s v=""/>
    <x v="0"/>
    <n v="1840"/>
    <n v="0"/>
    <x v="43"/>
    <s v="Received"/>
    <s v="Bid - JEDDAH MUNICIPALITY – RABIGH GOVERNORATE MUNICIPALITY"/>
    <x v="1"/>
    <x v="2"/>
    <x v="27"/>
    <n v="4"/>
    <n v="2026"/>
    <m/>
  </r>
  <r>
    <x v="2"/>
    <x v="130"/>
    <x v="4"/>
    <s v="CITY:Jeddah 6132226J210617003"/>
    <x v="42"/>
    <s v="J210617003"/>
    <x v="0"/>
    <n v="843.42"/>
    <n v="0"/>
    <x v="5"/>
    <s v="Received"/>
    <s v="Al Arabia Construction &amp; Building Co."/>
    <x v="0"/>
    <x v="7"/>
    <x v="27"/>
    <n v="4"/>
    <n v="2026"/>
    <m/>
  </r>
  <r>
    <x v="2"/>
    <x v="130"/>
    <x v="16"/>
    <s v="CITY:Jeddah 6132226J210104003 1143966.92 SAR"/>
    <x v="136"/>
    <s v="J210104003"/>
    <x v="3"/>
    <n v="256748.12"/>
    <n v="0"/>
    <x v="4"/>
    <s v="Received"/>
    <s v="BBH-CHEMTROL INTERNATIONAL ORGANIZATION S.L"/>
    <x v="4"/>
    <x v="11"/>
    <x v="27"/>
    <n v="4"/>
    <n v="2026"/>
    <m/>
  </r>
  <r>
    <x v="5"/>
    <x v="130"/>
    <x v="9"/>
    <s v="Dr TI ILC Comm/Other Charges                                          _x000a_AMD001-294021499                                                      _x000a_At Bank Aljazira                                                      _x000a_ CORPORATE BANKING DEPT-JEDDAH                                        _x000a_Date 20-10-1447(H) Time 10.15.04                                      _x000a_Reference ILC-0840-26-8823                                            _x000a_Value Date 20-10-1447(H)                                              _x000a_Fee Collected By Bank AlJazira                                        _x000a_"/>
    <x v="363"/>
    <s v=""/>
    <x v="0"/>
    <n v="500"/>
    <n v="0"/>
    <x v="5"/>
    <s v="Received"/>
    <s v="Mohammed Masoud Al Khaldi Est"/>
    <x v="3"/>
    <x v="10"/>
    <x v="27"/>
    <n v="4"/>
    <n v="2026"/>
    <m/>
  </r>
  <r>
    <x v="5"/>
    <x v="130"/>
    <x v="9"/>
    <s v="Value Added Tax                                                       _x000a_On ILC Commission                                                     _x000a_15% of SAR500.00                                                      _x000a_Through CORPORATE BANKING DEPT-JEDDAH                                 _x000a_Date 20-10-1447(H) Time 10.15.04                                      _x000a_Reference ILC-0840-26-8823                                            _x000a_At Bank Aljazira                                                      _x000a_"/>
    <x v="363"/>
    <s v=""/>
    <x v="0"/>
    <n v="75"/>
    <n v="0"/>
    <x v="1"/>
    <s v="Received"/>
    <s v="Mohammed Masoud Al Khaldi Est"/>
    <x v="3"/>
    <x v="10"/>
    <x v="27"/>
    <n v="4"/>
    <n v="2026"/>
    <m/>
  </r>
  <r>
    <x v="5"/>
    <x v="130"/>
    <x v="9"/>
    <s v="Dr TI ILC Comm/Other Charges                                          _x000a_AMD001-294021501                                                      _x000a_At Bank Aljazira                                                      _x000a_ CORPORATE BANKING DEPT-JEDDAH                                        _x000a_Date 20-10-1447(H) Time 10.15.04                                      _x000a_Reference ILC-0840-26-8823                                            _x000a_Value Date 20-10-1447(H)                                              _x000a_Fee Collected By Bank AlJazira                                        _x000a_"/>
    <x v="363"/>
    <s v=""/>
    <x v="0"/>
    <n v="200"/>
    <n v="0"/>
    <x v="5"/>
    <s v="Received"/>
    <s v="Mohammed Masoud Al Khaldi Est"/>
    <x v="3"/>
    <x v="10"/>
    <x v="27"/>
    <n v="4"/>
    <n v="2026"/>
    <m/>
  </r>
  <r>
    <x v="5"/>
    <x v="130"/>
    <x v="9"/>
    <s v="Value Added Tax                                                       _x000a_On SWIFT charges                                                      _x000a_15% of SAR200.00                                                      _x000a_Through CORPORATE BANKING DEPT-JEDDAH                                 _x000a_Date 20-10-1447(H) Time 10.15.05                                      _x000a_Reference ILC-0840-26-8823                                            _x000a_At Bank Aljazira                                                      _x000a_"/>
    <x v="363"/>
    <s v=""/>
    <x v="0"/>
    <n v="30"/>
    <n v="0"/>
    <x v="1"/>
    <s v="Received"/>
    <s v="Mohammed Masoud Al Khaldi Est"/>
    <x v="3"/>
    <x v="10"/>
    <x v="27"/>
    <n v="4"/>
    <n v="2026"/>
    <m/>
  </r>
  <r>
    <x v="5"/>
    <x v="130"/>
    <x v="9"/>
    <s v="Dr TI ILC Comm/Other Charges                                          _x000a_AMD001-294022684                                                      _x000a_At Bank Aljazira                                                      _x000a_ CORPORATE BANKING DEPT-JEDDAH                                        _x000a_Date 20-10-1447(H) Time 10.15.28                                      _x000a_Reference ILC-0840-26-8820                                            _x000a_Value Date 20-10-1447(H)                                              _x000a_Fee Collected By Bank AlJazira                                        _x000a_"/>
    <x v="362"/>
    <s v=""/>
    <x v="0"/>
    <n v="500"/>
    <n v="0"/>
    <x v="5"/>
    <s v="Received"/>
    <s v="Alfanar Electrical Systems"/>
    <x v="3"/>
    <x v="10"/>
    <x v="27"/>
    <n v="4"/>
    <n v="2026"/>
    <m/>
  </r>
  <r>
    <x v="5"/>
    <x v="130"/>
    <x v="9"/>
    <s v="Value Added Tax                                                       _x000a_On ILC Commission                                                     _x000a_15% of SAR500.00                                                      _x000a_Through CORPORATE BANKING DEPT-JEDDAH                                 _x000a_Date 20-10-1447(H) Time 10.15.29                                      _x000a_Reference ILC-0840-26-8820                                            _x000a_At Bank Aljazira                                                      _x000a_"/>
    <x v="362"/>
    <s v=""/>
    <x v="0"/>
    <n v="75"/>
    <n v="0"/>
    <x v="1"/>
    <s v="Received"/>
    <s v="Alfanar Electrical Systems"/>
    <x v="3"/>
    <x v="10"/>
    <x v="27"/>
    <n v="4"/>
    <n v="2026"/>
    <m/>
  </r>
  <r>
    <x v="5"/>
    <x v="130"/>
    <x v="9"/>
    <s v="Dr TI ILC Comm/Other Charges                                          _x000a_AMD001-294022686                                                      _x000a_At Bank Aljazira                                                      _x000a_ CORPORATE BANKING DEPT-JEDDAH                                        _x000a_Date 20-10-1447(H) Time 10.15.29                                      _x000a_Reference ILC-0840-26-8820                                            _x000a_Value Date 20-10-1447(H)                                              _x000a_Fee Collected By Bank AlJazira                                        _x000a_"/>
    <x v="362"/>
    <s v=""/>
    <x v="0"/>
    <n v="200"/>
    <n v="0"/>
    <x v="5"/>
    <s v="Received"/>
    <s v="Alfanar Electrical Systems"/>
    <x v="3"/>
    <x v="10"/>
    <x v="27"/>
    <n v="4"/>
    <n v="2026"/>
    <m/>
  </r>
  <r>
    <x v="5"/>
    <x v="130"/>
    <x v="9"/>
    <s v="Value Added Tax                                                       _x000a_On SWIFT charges                                                      _x000a_15% of SAR200.00                                                      _x000a_Through CORPORATE BANKING DEPT-JEDDAH                                 _x000a_Date 20-10-1447(H) Time 10.15.29                                      _x000a_Reference ILC-0840-26-8820                                            _x000a_At Bank Aljazira                                                      _x000a_"/>
    <x v="362"/>
    <s v=""/>
    <x v="0"/>
    <n v="30"/>
    <n v="0"/>
    <x v="1"/>
    <s v="Received"/>
    <s v="Alfanar Electrical Systems"/>
    <x v="3"/>
    <x v="10"/>
    <x v="27"/>
    <n v="4"/>
    <n v="2026"/>
    <m/>
  </r>
  <r>
    <x v="5"/>
    <x v="130"/>
    <x v="9"/>
    <s v="Dr TI ILC Comm/Other Charges                                          _x000a_AMD001-294024565                                                      _x000a_At Bank Aljazira                                                      _x000a_ CORPORATE BANKING DEPT-JEDDAH                                        _x000a_Date 20-10-1447(H) Time 10.15.49                                      _x000a_Reference ILC-0840-26-8822                                            _x000a_Value Date 20-10-1447(H)                                              _x000a_Fee Collected By Bank AlJazira                                        _x000a_"/>
    <x v="364"/>
    <s v=""/>
    <x v="0"/>
    <n v="924.32"/>
    <n v="0"/>
    <x v="5"/>
    <s v="Received"/>
    <s v="Isam Kabanni And Partners For Construction And Maintenance Co Ltd"/>
    <x v="3"/>
    <x v="10"/>
    <x v="27"/>
    <n v="4"/>
    <n v="2026"/>
    <m/>
  </r>
  <r>
    <x v="5"/>
    <x v="130"/>
    <x v="9"/>
    <s v="Value Added Tax                                                       _x000a_On ILC Commission                                                     _x000a_15% of SAR924.32                                                      _x000a_Through CORPORATE BANKING DEPT-JEDDAH                                 _x000a_Date 20-10-1447(H) Time 10.15.49                                      _x000a_Reference ILC-0840-26-8822                                            _x000a_At Bank Aljazira                                                      _x000a_"/>
    <x v="364"/>
    <s v=""/>
    <x v="0"/>
    <n v="138.65"/>
    <n v="0"/>
    <x v="1"/>
    <s v="Received"/>
    <s v="Isam Kabanni And Partners For Construction And Maintenance Co Ltd"/>
    <x v="3"/>
    <x v="10"/>
    <x v="27"/>
    <n v="4"/>
    <n v="2026"/>
    <m/>
  </r>
  <r>
    <x v="5"/>
    <x v="130"/>
    <x v="9"/>
    <s v="Dr TI ILC Comm/Other Charges                                          _x000a_AMD001-294024567                                                      _x000a_At Bank Aljazira                                                      _x000a_ CORPORATE BANKING DEPT-JEDDAH                                        _x000a_Date 20-10-1447(H) Time 10.15.50                                      _x000a_Reference ILC-0840-26-8822                                            _x000a_Value Date 20-10-1447(H)                                              _x000a_Fee Collected By Bank AlJazira                                        _x000a_"/>
    <x v="364"/>
    <s v=""/>
    <x v="0"/>
    <n v="200"/>
    <n v="0"/>
    <x v="5"/>
    <s v="Received"/>
    <s v="Isam Kabanni And Partners For Construction And Maintenance Co Ltd"/>
    <x v="3"/>
    <x v="10"/>
    <x v="27"/>
    <n v="4"/>
    <n v="2026"/>
    <m/>
  </r>
  <r>
    <x v="5"/>
    <x v="130"/>
    <x v="9"/>
    <s v="Value Added Tax                                                       _x000a_On SWIFT charges                                                      _x000a_15% of SAR200.00                                                      _x000a_Through CORPORATE BANKING DEPT-JEDDAH                                 _x000a_Date 20-10-1447(H) Time 10.15.50                                      _x000a_Reference ILC-0840-26-8822                                            _x000a_At Bank Aljazira                                                      _x000a_"/>
    <x v="364"/>
    <s v=""/>
    <x v="0"/>
    <n v="30"/>
    <n v="0"/>
    <x v="1"/>
    <s v="Received"/>
    <s v="Isam Kabanni And Partners For Construction And Maintenance Co Ltd"/>
    <x v="3"/>
    <x v="10"/>
    <x v="27"/>
    <n v="4"/>
    <n v="2026"/>
    <m/>
  </r>
  <r>
    <x v="5"/>
    <x v="130"/>
    <x v="9"/>
    <s v="Incoming Local Transfer                                               _x000a_Sender MODERN BUILDING LEADERS COMPANY                                _x000a_From Saudi Awwal Bank                                                 _x000a_Purpose LC CHARGES                                                    _x000a_Exchange Rate 1.0                                                     _x000a_Transfer Amount SAR 197,758.47                                        _x000a_Through Bank Aljazira                                                 _x000a_ CENTRAL OPERATIONS-JEDDAH                                            _x000a_Date 20-10-1447(H) Time 11.52.57                                      _x000a_Reference SABBREM2609800NI                                            _x000a_"/>
    <x v="481"/>
    <s v=""/>
    <x v="0"/>
    <n v="0"/>
    <n v="197758.47"/>
    <x v="6"/>
    <s v="Transfer"/>
    <e v="#N/A"/>
    <x v="7"/>
    <x v="12"/>
    <x v="29"/>
    <n v="4"/>
    <n v="2026"/>
    <s v="Internal Transfer"/>
  </r>
  <r>
    <x v="5"/>
    <x v="130"/>
    <x v="9"/>
    <s v="Dr TI LGI Comm/Other Charges                                          _x000a_ISS001-294104894                                                      _x000a_At Bank AlJazira                                                      _x000a_CORPORATE BANKING DEPT-JEDDAH                                         _x000a_Date 20-10-1447(H) Time 13.39.25                                      _x000a_Reference LGI-0840-26-8147                                            _x000a_"/>
    <x v="482"/>
    <s v=""/>
    <x v="0"/>
    <n v="20164.38"/>
    <n v="0"/>
    <x v="16"/>
    <s v="Received"/>
    <s v="Bid - SAUDI ARABIA LOGISTIC COMPANY - SAL"/>
    <x v="15"/>
    <x v="2"/>
    <x v="27"/>
    <n v="4"/>
    <n v="2026"/>
    <m/>
  </r>
  <r>
    <x v="5"/>
    <x v="130"/>
    <x v="9"/>
    <s v="Value Added Tax                                                       _x000a_On LG Processing/Facility Fees                                        _x000a_15% of SAR20,164.38                                                   _x000a_Through CORPORATE BANKING DEPT-JEDDAH                                 _x000a_Date 20-10-1447(H) Time 13.39.25                                      _x000a_Reference LGI-0840-26-8147                                            _x000a_At Bank Aljazira                                                      _x000a_Exchange Rate 1.0                                                     _x000a_"/>
    <x v="482"/>
    <s v=""/>
    <x v="0"/>
    <n v="3024.66"/>
    <n v="0"/>
    <x v="1"/>
    <s v="Received"/>
    <s v="Bid - SAUDI ARABIA LOGISTIC COMPANY - SAL"/>
    <x v="15"/>
    <x v="2"/>
    <x v="27"/>
    <n v="4"/>
    <n v="2026"/>
    <m/>
  </r>
  <r>
    <x v="5"/>
    <x v="130"/>
    <x v="9"/>
    <s v="Dr TI LGI Commission (Earned)                                         _x000a_ISS001-294104925                                                      _x000a_At Bank AlJazira                                                      _x000a_CORPORATE BANKING DEPT-JEDDAH                                         _x000a_Date 20-10-1447(H) Time 13.39.26                                      _x000a_Reference LGI-0840-26-8147                                            _x000a_"/>
    <x v="482"/>
    <s v=""/>
    <x v="0"/>
    <n v="9999.99"/>
    <n v="0"/>
    <x v="16"/>
    <s v="Received"/>
    <s v="Bid - SAUDI ARABIA LOGISTIC COMPANY - SAL"/>
    <x v="15"/>
    <x v="2"/>
    <x v="27"/>
    <n v="4"/>
    <n v="2026"/>
    <m/>
  </r>
  <r>
    <x v="5"/>
    <x v="130"/>
    <x v="9"/>
    <s v="Value Added Tax                                                       _x000a_On LGI ISSUANCE COMMISSION                                            _x000a_15% of SAR9,999.99                                                    _x000a_Through CORPORATE BANKING DEPT-JEDDAH                                 _x000a_Date 20-10-1447(H) Time 13.39.26                                      _x000a_Reference LGI-0840-26-8147                                            _x000a_At Bank Aljazira                                                      _x000a_Exchange Rate 1.0                                                     _x000a_"/>
    <x v="482"/>
    <s v=""/>
    <x v="0"/>
    <n v="1500"/>
    <n v="0"/>
    <x v="1"/>
    <s v="Received"/>
    <s v="Bid - SAUDI ARABIA LOGISTIC COMPANY - SAL"/>
    <x v="15"/>
    <x v="2"/>
    <x v="27"/>
    <n v="4"/>
    <n v="2026"/>
    <m/>
  </r>
  <r>
    <x v="5"/>
    <x v="130"/>
    <x v="9"/>
    <s v="Dr TI LGI Comm/Other Charges                                          _x000a_AMD002-294097655                                                      _x000a_At Bank AlJazira                                                      _x000a_CORPORATE BANKING DEPT-JEDDAH                                         _x000a_Date 20-10-1447(H) Time 13.45.30                                      _x000a_Reference LGI-0840-25-7098                                            _x000a_"/>
    <x v="483"/>
    <s v=""/>
    <x v="0"/>
    <n v="28986.3"/>
    <n v="0"/>
    <x v="16"/>
    <s v="Received"/>
    <e v="#N/A"/>
    <x v="7"/>
    <x v="12"/>
    <x v="27"/>
    <n v="4"/>
    <n v="2026"/>
    <m/>
  </r>
  <r>
    <x v="5"/>
    <x v="130"/>
    <x v="9"/>
    <s v="Value Added Tax                                                       _x000a_On LG Processing/Facility Fees                                        _x000a_15% of SAR28,986.30                                                   _x000a_Through CORPORATE BANKING DEPT-JEDDAH                                 _x000a_Date 20-10-1447(H) Time 13.45.31                                      _x000a_Reference LGI-0840-25-7098                                            _x000a_At Bank Aljazira                                                      _x000a_Exchange Rate 1.0                                                     _x000a_"/>
    <x v="483"/>
    <s v=""/>
    <x v="0"/>
    <n v="4347.95"/>
    <n v="0"/>
    <x v="1"/>
    <s v="Received"/>
    <e v="#N/A"/>
    <x v="7"/>
    <x v="12"/>
    <x v="27"/>
    <n v="4"/>
    <n v="2026"/>
    <m/>
  </r>
  <r>
    <x v="5"/>
    <x v="130"/>
    <x v="9"/>
    <s v="Dr TI LGI Comm/Other Charges                                          _x000a_AMD002-294097851                                                      _x000a_At Bank AlJazira                                                      _x000a_CORPORATE BANKING DEPT-JEDDAH                                         _x000a_Date 20-10-1447(H) Time 13.45.31                                      _x000a_Reference LGI-0840-25-7098                                            _x000a_"/>
    <x v="483"/>
    <s v=""/>
    <x v="0"/>
    <n v="13437.5"/>
    <n v="0"/>
    <x v="16"/>
    <s v="Received"/>
    <e v="#N/A"/>
    <x v="7"/>
    <x v="12"/>
    <x v="27"/>
    <n v="4"/>
    <n v="2026"/>
    <m/>
  </r>
  <r>
    <x v="5"/>
    <x v="130"/>
    <x v="9"/>
    <s v="Value Added Tax                                                       _x000a_On LGI Amend Commission                                               _x000a_15% of SAR13,437.50                                                   _x000a_Through CORPORATE BANKING DEPT-JEDDAH                                 _x000a_Date 20-10-1447(H) Time 13.45.32                                      _x000a_Reference LGI-0840-25-7098                                            _x000a_At Bank Aljazira                                                      _x000a_Exchange Rate 1.0                                                     _x000a_"/>
    <x v="483"/>
    <s v=""/>
    <x v="0"/>
    <n v="2015.63"/>
    <n v="0"/>
    <x v="1"/>
    <s v="Received"/>
    <e v="#N/A"/>
    <x v="7"/>
    <x v="12"/>
    <x v="27"/>
    <n v="4"/>
    <n v="2026"/>
    <m/>
  </r>
  <r>
    <x v="1"/>
    <x v="131"/>
    <x v="3"/>
    <s v="CUSTOMER = 3972500 DEAL AMT = 1250 DEAL CCY = SAR TAX CODE = 1 "/>
    <x v="435"/>
    <s v="TF260630001401"/>
    <x v="0"/>
    <n v="187.5"/>
    <n v="0"/>
    <x v="1"/>
    <s v="Received"/>
    <s v="Awtad Jeddah for General Contracting Company"/>
    <x v="0"/>
    <x v="7"/>
    <x v="27"/>
    <n v="4"/>
    <n v="2026"/>
    <m/>
  </r>
  <r>
    <x v="1"/>
    <x v="131"/>
    <x v="3"/>
    <s v=" LC ACCEPTANCE COMMISSION   "/>
    <x v="435"/>
    <s v="TF260630001401"/>
    <x v="0"/>
    <n v="1250"/>
    <n v="0"/>
    <x v="6"/>
    <s v="Received"/>
    <s v="Awtad Jeddah for General Contracting Company"/>
    <x v="0"/>
    <x v="7"/>
    <x v="27"/>
    <n v="4"/>
    <n v="2026"/>
    <m/>
  </r>
  <r>
    <x v="1"/>
    <x v="131"/>
    <x v="3"/>
    <s v="CUSTOMER = 3972500 DEAL AMT = 75500.00 DEAL CCY = SAR TAX CODE = 1 "/>
    <x v="484"/>
    <s v="TF2609900016"/>
    <x v="0"/>
    <n v="105"/>
    <n v="0"/>
    <x v="1"/>
    <s v="Received"/>
    <s v="Depa Saudi Arabia for Contracting and Interior Decorating Co. Ltd."/>
    <x v="0"/>
    <x v="5"/>
    <x v="27"/>
    <n v="4"/>
    <n v="2026"/>
    <m/>
  </r>
  <r>
    <x v="1"/>
    <x v="131"/>
    <x v="3"/>
    <s v=" LC SWIFT CHARGES   "/>
    <x v="484"/>
    <s v="TF2609900016"/>
    <x v="0"/>
    <n v="700"/>
    <n v="0"/>
    <x v="6"/>
    <s v="Received"/>
    <s v="Depa Saudi Arabia for Contracting and Interior Decorating Co. Ltd."/>
    <x v="0"/>
    <x v="5"/>
    <x v="27"/>
    <n v="4"/>
    <n v="2026"/>
    <m/>
  </r>
  <r>
    <x v="1"/>
    <x v="131"/>
    <x v="3"/>
    <s v="CUSTOMER = 3972500 DEAL AMT = 75500.00 DEAL CCY = SAR TAX CODE = 1 "/>
    <x v="484"/>
    <s v="TF2609900016"/>
    <x v="0"/>
    <n v="11325"/>
    <n v="0"/>
    <x v="1"/>
    <s v="Received"/>
    <s v="Depa Saudi Arabia for Contracting and Interior Decorating Co. Ltd."/>
    <x v="0"/>
    <x v="5"/>
    <x v="27"/>
    <n v="4"/>
    <n v="2026"/>
    <m/>
  </r>
  <r>
    <x v="1"/>
    <x v="131"/>
    <x v="3"/>
    <s v=" LC OPENING COMMISSION- DEBIT   "/>
    <x v="484"/>
    <s v="TF2609900016"/>
    <x v="0"/>
    <n v="75500"/>
    <n v="0"/>
    <x v="6"/>
    <s v="Received"/>
    <s v="Depa Saudi Arabia for Contracting and Interior Decorating Co. Ltd."/>
    <x v="0"/>
    <x v="5"/>
    <x v="27"/>
    <n v="4"/>
    <n v="2026"/>
    <m/>
  </r>
  <r>
    <x v="0"/>
    <x v="131"/>
    <x v="0"/>
    <s v="RB REF JLG7000585,VIA CORE SYSTEM,DATE-TIME 09/04-17:37:16, عن طريق النظام الآ لي ,VALUE DT 09/04/26"/>
    <x v="425"/>
    <s v=""/>
    <x v="0"/>
    <n v="182854.83"/>
    <n v="0"/>
    <x v="44"/>
    <s v="Received"/>
    <s v="Performance - THE JOINT VENTURE OF THE BRANCH OF EL SEWEDY ELECTRIC FOR POWER SYSTEMS (PSP) AND THE BRANCH OF SINOHYDRO CORPORATION LIMITED (SHC)"/>
    <x v="0"/>
    <x v="19"/>
    <x v="27"/>
    <n v="4"/>
    <n v="2026"/>
    <m/>
  </r>
  <r>
    <x v="0"/>
    <x v="131"/>
    <x v="0"/>
    <s v="RB REF JLG7000680,VIA CORE SYSTEM,DATE-TIME 09/04-17:38:12, عن طريق النظام الآ لي ,VALUE DT 09/04/26"/>
    <x v="433"/>
    <s v=""/>
    <x v="0"/>
    <n v="59508.79"/>
    <n v="0"/>
    <x v="44"/>
    <s v="Received"/>
    <s v="Advance - THE JOINT VENTURE OF THE BRANCH OF EL SEWEDY ELECTRIC FOR POWER SYSTEMS (PSP) AND THE BRANCH OF SINOHYDRO CORPORATION LIMITED (SHC)"/>
    <x v="0"/>
    <x v="19"/>
    <x v="27"/>
    <n v="4"/>
    <n v="2026"/>
    <m/>
  </r>
  <r>
    <x v="3"/>
    <x v="131"/>
    <x v="6"/>
    <s v="DPBCOR211390WPM DCBWPM570414"/>
    <x v="298"/>
    <s v="DPBCOR211390WPM"/>
    <x v="0"/>
    <n v="664214"/>
    <n v="0"/>
    <x v="4"/>
    <s v="Received"/>
    <s v="Mohamad Saeed Afifi Trading Est."/>
    <x v="3"/>
    <x v="9"/>
    <x v="27"/>
    <n v="4"/>
    <n v="2026"/>
    <m/>
  </r>
  <r>
    <x v="3"/>
    <x v="131"/>
    <x v="6"/>
    <s v="IMP BILL COMM DPBCOR216857WPM DCBWPM161330"/>
    <x v="399"/>
    <s v="DPBCOR216857WPM"/>
    <x v="0"/>
    <n v="2156.25"/>
    <n v="0"/>
    <x v="2"/>
    <s v="Received"/>
    <s v="Mariam Trading CO. &amp; Partner"/>
    <x v="3"/>
    <x v="9"/>
    <x v="27"/>
    <n v="4"/>
    <n v="2026"/>
    <m/>
  </r>
  <r>
    <x v="5"/>
    <x v="131"/>
    <x v="9"/>
    <s v="Dr TI ILC Comm/Other Charges                                          _x000a_POC002-294217066                                                      _x000a_At Bank Aljazira                                                      _x000a_ CORPORATE BANKING DEPT-JEDDAH                                        _x000a_Date 21-10-1447(H) Time 13.26.48                                      _x000a_Reference ILC-0840-26-9073                                            _x000a_Value Date 21-10-1447(H)                                              _x000a_Fee Collected By Bank AlJazira                                        _x000a_"/>
    <x v="444"/>
    <s v=""/>
    <x v="0"/>
    <n v="100"/>
    <n v="0"/>
    <x v="2"/>
    <s v="Received"/>
    <s v="The Fundamental Installation For Electric Work Co"/>
    <x v="3"/>
    <x v="8"/>
    <x v="27"/>
    <n v="4"/>
    <n v="2026"/>
    <m/>
  </r>
  <r>
    <x v="5"/>
    <x v="131"/>
    <x v="9"/>
    <s v="Value Added Tax                                                       _x000a_On ILC Acceptance Comm.                                               _x000a_15% of SAR100.00                                                      _x000a_Through CORPORATE BANKING DEPT-JEDDAH                                 _x000a_Date 21-10-1447(H) Time 13.26.48                                      _x000a_Reference ILC-0840-26-9073                                            _x000a_At Bank Aljazira                                                      _x000a_"/>
    <x v="444"/>
    <s v=""/>
    <x v="0"/>
    <n v="15"/>
    <n v="0"/>
    <x v="1"/>
    <s v="Received"/>
    <s v="The Fundamental Installation For Electric Work Co"/>
    <x v="3"/>
    <x v="8"/>
    <x v="27"/>
    <n v="4"/>
    <n v="2026"/>
    <m/>
  </r>
  <r>
    <x v="5"/>
    <x v="131"/>
    <x v="9"/>
    <s v="Dr TI ILC Comm/Other Charges                                          _x000a_POC002-294217196                                                      _x000a_At Bank Aljazira                                                      _x000a_ CORPORATE BANKING DEPT-JEDDAH                                        _x000a_Date 21-10-1447(H) Time 13.26.48                                      _x000a_Reference ILC-0840-26-9073                                            _x000a_Value Date 21-10-1447(H)                                              _x000a_Fee Collected By Bank AlJazira                                        _x000a_"/>
    <x v="444"/>
    <s v=""/>
    <x v="0"/>
    <n v="52500"/>
    <n v="0"/>
    <x v="2"/>
    <s v="Received"/>
    <s v="The Fundamental Installation For Electric Work Co"/>
    <x v="3"/>
    <x v="8"/>
    <x v="27"/>
    <n v="4"/>
    <n v="2026"/>
    <m/>
  </r>
  <r>
    <x v="5"/>
    <x v="131"/>
    <x v="9"/>
    <s v="Value Added Tax                                                       _x000a_On ILC Acceptance Comm.                                               _x000a_15% of SAR52,500.00                                                   _x000a_Through CORPORATE BANKING DEPT-JEDDAH                                 _x000a_Date 21-10-1447(H) Time 13.26.49                                      _x000a_Reference ILC-0840-26-9073                                            _x000a_At Bank Aljazira                                                      _x000a_"/>
    <x v="444"/>
    <s v=""/>
    <x v="0"/>
    <n v="7875"/>
    <n v="0"/>
    <x v="1"/>
    <s v="Received"/>
    <s v="The Fundamental Installation For Electric Work Co"/>
    <x v="3"/>
    <x v="8"/>
    <x v="27"/>
    <n v="4"/>
    <n v="2026"/>
    <m/>
  </r>
  <r>
    <x v="5"/>
    <x v="131"/>
    <x v="9"/>
    <s v="Dr TI ILC Comm/Other Charges                                          _x000a_POC002-294217198                                                      _x000a_At Bank Aljazira                                                      _x000a_ CORPORATE BANKING DEPT-JEDDAH                                        _x000a_Date 21-10-1447(H) Time 13.26.49                                      _x000a_Reference ILC-0840-26-9073                                            _x000a_Value Date 21-10-1447(H)                                              _x000a_Fee Collected By Bank AlJazira                                        _x000a_"/>
    <x v="444"/>
    <s v=""/>
    <x v="0"/>
    <n v="200"/>
    <n v="0"/>
    <x v="2"/>
    <s v="Received"/>
    <s v="The Fundamental Installation For Electric Work Co"/>
    <x v="3"/>
    <x v="8"/>
    <x v="27"/>
    <n v="4"/>
    <n v="2026"/>
    <m/>
  </r>
  <r>
    <x v="5"/>
    <x v="131"/>
    <x v="9"/>
    <s v="Value Added Tax                                                       _x000a_On SWIFT charges                                                      _x000a_15% of SAR200.00                                                      _x000a_Through CORPORATE BANKING DEPT-JEDDAH                                 _x000a_Date 21-10-1447(H) Time 13.26.49                                      _x000a_Reference ILC-0840-26-9073                                            _x000a_At Bank Aljazira                                                      _x000a_"/>
    <x v="444"/>
    <s v=""/>
    <x v="0"/>
    <n v="30"/>
    <n v="0"/>
    <x v="1"/>
    <s v="Received"/>
    <s v="The Fundamental Installation For Electric Work Co"/>
    <x v="3"/>
    <x v="8"/>
    <x v="27"/>
    <n v="4"/>
    <n v="2026"/>
    <m/>
  </r>
  <r>
    <x v="1"/>
    <x v="132"/>
    <x v="19"/>
    <s v=" LC SWIFT CHARGES   "/>
    <x v="327"/>
    <s v="TF253520001910"/>
    <x v="0"/>
    <n v="75"/>
    <n v="0"/>
    <x v="3"/>
    <s v="Received"/>
    <s v="SIEMENS Limited Company"/>
    <x v="12"/>
    <x v="5"/>
    <x v="27"/>
    <n v="4"/>
    <n v="2026"/>
    <m/>
  </r>
  <r>
    <x v="1"/>
    <x v="132"/>
    <x v="19"/>
    <s v="CUSTOMER = 3972500 DEAL AMT = 75 DEAL CCY = SAR TAX CODE = 1 "/>
    <x v="327"/>
    <s v="TF253520001910"/>
    <x v="0"/>
    <n v="11.25"/>
    <n v="0"/>
    <x v="1"/>
    <s v="Received"/>
    <s v="SIEMENS Limited Company"/>
    <x v="12"/>
    <x v="5"/>
    <x v="27"/>
    <n v="4"/>
    <n v="2026"/>
    <m/>
  </r>
  <r>
    <x v="1"/>
    <x v="132"/>
    <x v="19"/>
    <s v=" REIMBURSE UNDER LCS DR   "/>
    <x v="327"/>
    <s v="TF253520001907"/>
    <x v="0"/>
    <n v="295503.43"/>
    <n v="0"/>
    <x v="4"/>
    <s v="Received"/>
    <s v="SIEMENS Limited Company"/>
    <x v="12"/>
    <x v="5"/>
    <x v="27"/>
    <n v="4"/>
    <n v="2026"/>
    <m/>
  </r>
  <r>
    <x v="1"/>
    <x v="132"/>
    <x v="19"/>
    <s v=" LC SWIFT CHARGES   "/>
    <x v="327"/>
    <s v="TF253520001907"/>
    <x v="0"/>
    <n v="75"/>
    <n v="0"/>
    <x v="3"/>
    <s v="Received"/>
    <s v="SIEMENS Limited Company"/>
    <x v="12"/>
    <x v="5"/>
    <x v="27"/>
    <n v="4"/>
    <n v="2026"/>
    <m/>
  </r>
  <r>
    <x v="1"/>
    <x v="132"/>
    <x v="19"/>
    <s v="CUSTOMER = 3972500 DEAL AMT = 75 DEAL CCY = SAR TAX CODE = 1 "/>
    <x v="327"/>
    <s v="TF253520001907"/>
    <x v="0"/>
    <n v="11.25"/>
    <n v="0"/>
    <x v="1"/>
    <s v="Received"/>
    <s v="SIEMENS Limited Company"/>
    <x v="12"/>
    <x v="5"/>
    <x v="27"/>
    <n v="4"/>
    <n v="2026"/>
    <m/>
  </r>
  <r>
    <x v="1"/>
    <x v="132"/>
    <x v="19"/>
    <s v=" REIMBURSE UNDER LCS DR   "/>
    <x v="327"/>
    <s v="TF253520001905"/>
    <x v="0"/>
    <n v="1364256.27"/>
    <n v="0"/>
    <x v="4"/>
    <s v="Received"/>
    <s v="SIEMENS Limited Company"/>
    <x v="12"/>
    <x v="5"/>
    <x v="27"/>
    <n v="4"/>
    <n v="2026"/>
    <m/>
  </r>
  <r>
    <x v="1"/>
    <x v="132"/>
    <x v="19"/>
    <s v=" LC SWIFT CHARGES   "/>
    <x v="327"/>
    <s v="TF253520001905"/>
    <x v="0"/>
    <n v="75"/>
    <n v="0"/>
    <x v="3"/>
    <s v="Received"/>
    <s v="SIEMENS Limited Company"/>
    <x v="12"/>
    <x v="5"/>
    <x v="27"/>
    <n v="4"/>
    <n v="2026"/>
    <m/>
  </r>
  <r>
    <x v="1"/>
    <x v="132"/>
    <x v="19"/>
    <s v="CUSTOMER = 3972500 DEAL AMT = 75 DEAL CCY = SAR TAX CODE = 1 "/>
    <x v="327"/>
    <s v="TF253520001905"/>
    <x v="0"/>
    <n v="11.25"/>
    <n v="0"/>
    <x v="1"/>
    <s v="Received"/>
    <s v="SIEMENS Limited Company"/>
    <x v="12"/>
    <x v="5"/>
    <x v="27"/>
    <n v="4"/>
    <n v="2026"/>
    <m/>
  </r>
  <r>
    <x v="1"/>
    <x v="132"/>
    <x v="19"/>
    <s v=" REIMBURSE UNDER LCS DR   "/>
    <x v="327"/>
    <s v="TF253520001902"/>
    <x v="0"/>
    <n v="738299.32"/>
    <n v="0"/>
    <x v="4"/>
    <s v="Received"/>
    <s v="SIEMENS Limited Company"/>
    <x v="12"/>
    <x v="5"/>
    <x v="27"/>
    <n v="4"/>
    <n v="2026"/>
    <m/>
  </r>
  <r>
    <x v="1"/>
    <x v="132"/>
    <x v="19"/>
    <s v=" LC SWIFT CHARGES   "/>
    <x v="327"/>
    <s v="TF253520001902"/>
    <x v="0"/>
    <n v="75"/>
    <n v="0"/>
    <x v="3"/>
    <s v="Received"/>
    <s v="SIEMENS Limited Company"/>
    <x v="12"/>
    <x v="5"/>
    <x v="27"/>
    <n v="4"/>
    <n v="2026"/>
    <m/>
  </r>
  <r>
    <x v="1"/>
    <x v="132"/>
    <x v="19"/>
    <s v="CUSTOMER = 3972500 DEAL AMT = 75 DEAL CCY = SAR TAX CODE = 1 "/>
    <x v="327"/>
    <s v="TF253520001902"/>
    <x v="0"/>
    <n v="11.25"/>
    <n v="0"/>
    <x v="1"/>
    <s v="Received"/>
    <s v="SIEMENS Limited Company"/>
    <x v="12"/>
    <x v="5"/>
    <x v="27"/>
    <n v="4"/>
    <n v="2026"/>
    <m/>
  </r>
  <r>
    <x v="1"/>
    <x v="132"/>
    <x v="19"/>
    <s v="CUSTOMER = 3972500 DEAL AMT = 75 DEAL CCY = SAR TAX CODE = 1 "/>
    <x v="327"/>
    <s v="TF253520001901"/>
    <x v="0"/>
    <n v="11.25"/>
    <n v="0"/>
    <x v="1"/>
    <s v="Received"/>
    <s v="SIEMENS Limited Company"/>
    <x v="12"/>
    <x v="5"/>
    <x v="27"/>
    <n v="4"/>
    <n v="2026"/>
    <m/>
  </r>
  <r>
    <x v="1"/>
    <x v="132"/>
    <x v="19"/>
    <s v=" LC SWIFT CHARGES   "/>
    <x v="327"/>
    <s v="TF253520001901"/>
    <x v="0"/>
    <n v="75"/>
    <n v="0"/>
    <x v="3"/>
    <s v="Received"/>
    <s v="SIEMENS Limited Company"/>
    <x v="12"/>
    <x v="5"/>
    <x v="27"/>
    <n v="4"/>
    <n v="2026"/>
    <m/>
  </r>
  <r>
    <x v="1"/>
    <x v="132"/>
    <x v="19"/>
    <s v=" REIMBURSE UNDER LCS DR   "/>
    <x v="111"/>
    <s v="TF252710002403"/>
    <x v="0"/>
    <n v="277163.32"/>
    <n v="0"/>
    <x v="4"/>
    <s v="Received"/>
    <s v="Saudi Perfect Pumps Trading &amp; Manufacturing Company"/>
    <x v="0"/>
    <x v="7"/>
    <x v="27"/>
    <n v="4"/>
    <n v="2026"/>
    <m/>
  </r>
  <r>
    <x v="1"/>
    <x v="132"/>
    <x v="19"/>
    <s v=" LC SWIFT CHARGES   "/>
    <x v="111"/>
    <s v="TF252710002403"/>
    <x v="0"/>
    <n v="75"/>
    <n v="0"/>
    <x v="3"/>
    <s v="Received"/>
    <s v="Saudi Perfect Pumps Trading &amp; Manufacturing Company"/>
    <x v="0"/>
    <x v="7"/>
    <x v="27"/>
    <n v="4"/>
    <n v="2026"/>
    <m/>
  </r>
  <r>
    <x v="1"/>
    <x v="132"/>
    <x v="19"/>
    <s v="CUSTOMER = 3972500 DEAL AMT = 75 DEAL CCY = SAR TAX CODE = 1 "/>
    <x v="111"/>
    <s v="TF252710002403"/>
    <x v="0"/>
    <n v="11.25"/>
    <n v="0"/>
    <x v="1"/>
    <s v="Received"/>
    <s v="Saudi Perfect Pumps Trading &amp; Manufacturing Company"/>
    <x v="0"/>
    <x v="7"/>
    <x v="27"/>
    <n v="4"/>
    <n v="2026"/>
    <m/>
  </r>
  <r>
    <x v="1"/>
    <x v="132"/>
    <x v="3"/>
    <s v=" REIMBURSE UNDER LCS DR   "/>
    <x v="336"/>
    <s v="TF253590001603"/>
    <x v="0"/>
    <n v="76172.509999999995"/>
    <n v="0"/>
    <x v="4"/>
    <s v="Received"/>
    <s v="BBH-CHEMTROL INTERNATIONAL ORGANIZATION S.L"/>
    <x v="10"/>
    <x v="5"/>
    <x v="27"/>
    <n v="4"/>
    <n v="2026"/>
    <m/>
  </r>
  <r>
    <x v="1"/>
    <x v="132"/>
    <x v="3"/>
    <s v=" LC SWIFT CHARGES   "/>
    <x v="336"/>
    <s v="TF253590001603"/>
    <x v="0"/>
    <n v="150"/>
    <n v="0"/>
    <x v="3"/>
    <s v="Received"/>
    <s v="BBH-CHEMTROL INTERNATIONAL ORGANIZATION S.L"/>
    <x v="10"/>
    <x v="5"/>
    <x v="27"/>
    <n v="4"/>
    <n v="2026"/>
    <m/>
  </r>
  <r>
    <x v="1"/>
    <x v="132"/>
    <x v="3"/>
    <s v="CUSTOMER = 3972500 DEAL AMT = 150 DEAL CCY = EUR TAX CODE = 1 "/>
    <x v="336"/>
    <s v="TF253590001603"/>
    <x v="0"/>
    <n v="22.5"/>
    <n v="0"/>
    <x v="1"/>
    <s v="Received"/>
    <s v="BBH-CHEMTROL INTERNATIONAL ORGANIZATION S.L"/>
    <x v="10"/>
    <x v="5"/>
    <x v="27"/>
    <n v="4"/>
    <n v="2026"/>
    <m/>
  </r>
  <r>
    <x v="1"/>
    <x v="132"/>
    <x v="3"/>
    <s v=" REIMBURSE UNDER LCS DR   "/>
    <x v="327"/>
    <s v="TF253520001906"/>
    <x v="0"/>
    <n v="529272.69999999995"/>
    <n v="0"/>
    <x v="4"/>
    <s v="Received"/>
    <s v="SIEMENS Limited Company"/>
    <x v="12"/>
    <x v="5"/>
    <x v="27"/>
    <n v="4"/>
    <n v="2026"/>
    <m/>
  </r>
  <r>
    <x v="1"/>
    <x v="132"/>
    <x v="3"/>
    <s v=" LC SWIFT CHARGES   "/>
    <x v="327"/>
    <s v="TF253520001906"/>
    <x v="0"/>
    <n v="75"/>
    <n v="0"/>
    <x v="2"/>
    <s v="Received"/>
    <s v="SIEMENS Limited Company"/>
    <x v="12"/>
    <x v="5"/>
    <x v="27"/>
    <n v="4"/>
    <n v="2026"/>
    <m/>
  </r>
  <r>
    <x v="1"/>
    <x v="132"/>
    <x v="3"/>
    <s v="CUSTOMER = 3972500 DEAL AMT = 75 DEAL CCY = SAR TAX CODE = 1 "/>
    <x v="327"/>
    <s v="TF253520001906"/>
    <x v="0"/>
    <n v="11.25"/>
    <n v="0"/>
    <x v="1"/>
    <s v="Received"/>
    <s v="SIEMENS Limited Company"/>
    <x v="12"/>
    <x v="5"/>
    <x v="27"/>
    <n v="4"/>
    <n v="2026"/>
    <m/>
  </r>
  <r>
    <x v="1"/>
    <x v="132"/>
    <x v="19"/>
    <s v=" REIMBURSE UNDER LCS DR   "/>
    <x v="327"/>
    <s v="TF253520001901"/>
    <x v="0"/>
    <n v="1825754.98"/>
    <n v="0"/>
    <x v="4"/>
    <s v="Received"/>
    <s v="SIEMENS Limited Company"/>
    <x v="12"/>
    <x v="5"/>
    <x v="27"/>
    <n v="4"/>
    <n v="2026"/>
    <m/>
  </r>
  <r>
    <x v="1"/>
    <x v="132"/>
    <x v="19"/>
    <s v=" REIMBURSE UNDER LCS DR   "/>
    <x v="327"/>
    <s v="TF253520001910"/>
    <x v="0"/>
    <n v="1702804.09"/>
    <n v="0"/>
    <x v="4"/>
    <s v="Received"/>
    <s v="SIEMENS Limited Company"/>
    <x v="12"/>
    <x v="5"/>
    <x v="27"/>
    <n v="4"/>
    <n v="2026"/>
    <m/>
  </r>
  <r>
    <x v="0"/>
    <x v="133"/>
    <x v="0"/>
    <s v="REF 000000JLC6902211,RB REF JLC6902211,VIA CORE SYSTEM,DATE-TIME 12/04-12:16:59, عن طريق النظام الآ لي ,VALUE DT 12/04/26"/>
    <x v="282"/>
    <s v=""/>
    <x v="0"/>
    <n v="1195.07"/>
    <n v="0"/>
    <x v="2"/>
    <s v="Received"/>
    <s v="IBA MIDDLE EAST FZE"/>
    <x v="11"/>
    <x v="3"/>
    <x v="27"/>
    <n v="4"/>
    <n v="2026"/>
    <m/>
  </r>
  <r>
    <x v="0"/>
    <x v="133"/>
    <x v="0"/>
    <s v="RB REF JLG7001038,VIA CORE SYSTEM,DATE-TIME 12/04-11:36:58, عن طريق النظام الآ لي ,VALUE DT 12/04/26"/>
    <x v="485"/>
    <s v=""/>
    <x v="0"/>
    <n v="892.4"/>
    <n v="0"/>
    <x v="31"/>
    <s v="Received"/>
    <s v="Bid - KING SALMAN INTERNATIONAL AIRPORT DEVELOPMENT COMPANY"/>
    <x v="1"/>
    <x v="2"/>
    <x v="27"/>
    <n v="4"/>
    <n v="2026"/>
    <m/>
  </r>
  <r>
    <x v="0"/>
    <x v="132"/>
    <x v="0"/>
    <s v="REF 000000JLC6902211,RB REF JLC6902211,VIA CORE SYSTEM,DATE-TIME 13/04-16:35:57, عن طريق النظام الآ لي ,VALUE DT 13/04/26"/>
    <x v="282"/>
    <s v=""/>
    <x v="0"/>
    <n v="3325.95"/>
    <n v="0"/>
    <x v="2"/>
    <s v="Received"/>
    <s v="IBA MIDDLE EAST FZE"/>
    <x v="11"/>
    <x v="3"/>
    <x v="27"/>
    <n v="4"/>
    <n v="2026"/>
    <m/>
  </r>
  <r>
    <x v="2"/>
    <x v="127"/>
    <x v="4"/>
    <s v="CITY:Jeddah 6132226J210604001"/>
    <x v="135"/>
    <s v="J210604001"/>
    <x v="0"/>
    <n v="398773.34"/>
    <n v="0"/>
    <x v="4"/>
    <s v="Received"/>
    <s v="Electric House Trading Company L.L.C."/>
    <x v="3"/>
    <x v="5"/>
    <x v="27"/>
    <n v="4"/>
    <n v="2026"/>
    <m/>
  </r>
  <r>
    <x v="2"/>
    <x v="125"/>
    <x v="4"/>
    <s v="CITY:Jeddah 6132226B323741001"/>
    <x v="116"/>
    <s v="B323741"/>
    <x v="0"/>
    <n v="51118.63"/>
    <n v="0"/>
    <x v="19"/>
    <s v="Received"/>
    <s v="Advance - ROYAL PROTOCOL CAMP"/>
    <x v="0"/>
    <x v="2"/>
    <x v="27"/>
    <n v="4"/>
    <n v="2026"/>
    <m/>
  </r>
  <r>
    <x v="2"/>
    <x v="129"/>
    <x v="4"/>
    <s v="CITY:Jeddah 6132226J211806001"/>
    <x v="384"/>
    <s v="J211806001"/>
    <x v="0"/>
    <n v="2915.25"/>
    <n v="0"/>
    <x v="2"/>
    <s v="Received"/>
    <s v="Alkhorayef Commercial Company"/>
    <x v="4"/>
    <x v="11"/>
    <x v="27"/>
    <n v="4"/>
    <n v="2026"/>
    <m/>
  </r>
  <r>
    <x v="2"/>
    <x v="129"/>
    <x v="4"/>
    <s v="CITY:Jeddah 6132226J212103000"/>
    <x v="478"/>
    <s v="J212103000"/>
    <x v="0"/>
    <n v="1394.38"/>
    <n v="0"/>
    <x v="8"/>
    <s v="Received"/>
    <s v="Saudi Electric Supply Company Limited(SESCO)"/>
    <x v="4"/>
    <x v="11"/>
    <x v="27"/>
    <n v="4"/>
    <n v="2026"/>
    <m/>
  </r>
  <r>
    <x v="2"/>
    <x v="130"/>
    <x v="4"/>
    <s v="CITY:Jeddah 6132226J210617003"/>
    <x v="42"/>
    <s v="J210617003"/>
    <x v="0"/>
    <n v="843.42"/>
    <n v="0"/>
    <x v="5"/>
    <s v="Received"/>
    <s v="Al Arabia Construction &amp; Building Co."/>
    <x v="0"/>
    <x v="7"/>
    <x v="27"/>
    <n v="4"/>
    <n v="2026"/>
    <m/>
  </r>
  <r>
    <x v="2"/>
    <x v="130"/>
    <x v="16"/>
    <s v="CITY:Jeddah 6132226J210104003 1143966.92 SAR"/>
    <x v="136"/>
    <s v="J210104003"/>
    <x v="3"/>
    <n v="256748.12"/>
    <n v="0"/>
    <x v="4"/>
    <s v="Received"/>
    <s v="BBH-CHEMTROL INTERNATIONAL ORGANIZATION S.L"/>
    <x v="4"/>
    <x v="11"/>
    <x v="27"/>
    <n v="4"/>
    <n v="2026"/>
    <m/>
  </r>
  <r>
    <x v="2"/>
    <x v="133"/>
    <x v="4"/>
    <s v="CITY:Jeddah 6132226J211681001"/>
    <x v="328"/>
    <s v="J211681001"/>
    <x v="0"/>
    <n v="5544.81"/>
    <n v="0"/>
    <x v="5"/>
    <s v="Received"/>
    <s v="APS ARABIAN CONTRACTING COMPANY"/>
    <x v="8"/>
    <x v="11"/>
    <x v="27"/>
    <n v="4"/>
    <n v="2026"/>
    <m/>
  </r>
  <r>
    <x v="2"/>
    <x v="133"/>
    <x v="4"/>
    <s v="CITY:Jeddah 6132226J212139000"/>
    <x v="486"/>
    <s v="J212139000"/>
    <x v="0"/>
    <n v="6449.58"/>
    <n v="0"/>
    <x v="8"/>
    <s v="Received"/>
    <s v="ALNAFIE METAL INDUSTRIES CO LTD"/>
    <x v="16"/>
    <x v="11"/>
    <x v="27"/>
    <n v="4"/>
    <n v="2026"/>
    <m/>
  </r>
  <r>
    <x v="2"/>
    <x v="133"/>
    <x v="4"/>
    <s v="CITY:Jeddah 6132226J212140000"/>
    <x v="487"/>
    <s v="J212140000"/>
    <x v="0"/>
    <n v="2561.69"/>
    <n v="0"/>
    <x v="8"/>
    <s v="Received"/>
    <s v="Electric House Trading Company L.L.C."/>
    <x v="4"/>
    <x v="11"/>
    <x v="27"/>
    <n v="4"/>
    <n v="2026"/>
    <m/>
  </r>
  <r>
    <x v="2"/>
    <x v="132"/>
    <x v="4"/>
    <s v="CITY:Jeddah 6132226J211485005"/>
    <x v="192"/>
    <s v="J211485005"/>
    <x v="0"/>
    <n v="5022.96"/>
    <n v="0"/>
    <x v="2"/>
    <s v="Received"/>
    <s v="ALNAFIE METAL INDUSTRIES CO LTD"/>
    <x v="8"/>
    <x v="11"/>
    <x v="27"/>
    <n v="4"/>
    <n v="2026"/>
    <m/>
  </r>
  <r>
    <x v="3"/>
    <x v="133"/>
    <x v="17"/>
    <s v="IMP BILL AMEND. CHARGES DPBCOR216863WPM DCBWPM163413"/>
    <x v="449"/>
    <s v="DPBCOR216863WPM"/>
    <x v="0"/>
    <n v="86250"/>
    <n v="0"/>
    <x v="2"/>
    <s v="Received"/>
    <s v="Innovative Contractors for Advanced Dimension (ICAD)"/>
    <x v="0"/>
    <x v="8"/>
    <x v="27"/>
    <n v="4"/>
    <n v="2026"/>
    <m/>
  </r>
  <r>
    <x v="3"/>
    <x v="133"/>
    <x v="6"/>
    <s v="DPBEPM212633WPM DCBWPM553808"/>
    <x v="416"/>
    <s v="DPBEPM212633WPM"/>
    <x v="0"/>
    <n v="126323.81"/>
    <n v="0"/>
    <x v="4"/>
    <s v="Received"/>
    <s v="Interplast Co Ltd"/>
    <x v="3"/>
    <x v="9"/>
    <x v="27"/>
    <n v="4"/>
    <n v="2026"/>
    <m/>
  </r>
  <r>
    <x v="3"/>
    <x v="133"/>
    <x v="6"/>
    <s v="DC ISSUE COMM CHARGES DCBWPM164211"/>
    <x v="488"/>
    <s v="UE COMM CHARGES"/>
    <x v="0"/>
    <n v="805"/>
    <n v="0"/>
    <x v="8"/>
    <s v="Received"/>
    <s v="Mushal Khalf Hijri For Contracting"/>
    <x v="3"/>
    <x v="9"/>
    <x v="27"/>
    <n v="4"/>
    <n v="2026"/>
    <m/>
  </r>
  <r>
    <x v="3"/>
    <x v="133"/>
    <x v="5"/>
    <s v="DPBEPM211613WPM DCBWPM563027"/>
    <x v="160"/>
    <s v="DPBEPM211613WPM"/>
    <x v="0"/>
    <n v="148828.26"/>
    <n v="0"/>
    <x v="4"/>
    <s v="Received"/>
    <s v="JAD AL RIYADH Trading Co. Ltd"/>
    <x v="3"/>
    <x v="8"/>
    <x v="27"/>
    <n v="4"/>
    <n v="2026"/>
    <m/>
  </r>
  <r>
    <x v="3"/>
    <x v="132"/>
    <x v="6"/>
    <s v="IMP BILL AMEND. CHARGES DPBEPM217007WPM DCBWPM570361"/>
    <x v="294"/>
    <s v="DPBEPM217007WPM"/>
    <x v="0"/>
    <n v="8742.86"/>
    <n v="0"/>
    <x v="2"/>
    <s v="Received"/>
    <s v="ELSEWEDY CABLES CO. LIMITED"/>
    <x v="3"/>
    <x v="9"/>
    <x v="27"/>
    <n v="4"/>
    <n v="2026"/>
    <m/>
  </r>
  <r>
    <x v="5"/>
    <x v="133"/>
    <x v="9"/>
    <s v="TI Bill Settled                                                       _x000a_POC002                                                                _x000a_At Bank AlJazira                                                      _x000a_CORPORATE BANKING DEPT-JEDDAH                                         _x000a_Date 24-10-1447(H) Time 11.01.52                                      _x000a_Reference ILC-0840-26-8758                                            _x000a_"/>
    <x v="352"/>
    <s v=""/>
    <x v="0"/>
    <n v="109064.85"/>
    <n v="0"/>
    <x v="4"/>
    <s v="Received"/>
    <s v="Green Concrete CJSC"/>
    <x v="0"/>
    <x v="10"/>
    <x v="27"/>
    <n v="4"/>
    <n v="2026"/>
    <m/>
  </r>
  <r>
    <x v="5"/>
    <x v="132"/>
    <x v="9"/>
    <s v="Dr TI LGI Comm/Other Charges                                          _x000a_AMD001-294519030                                                      _x000a_At Bank AlJazira                                                      _x000a_CORPORATE BANKING DEPT-JEDDAH                                         _x000a_Date 25-10-1447(H) Time 14.45.36                                      _x000a_Reference LGI-0840-26-8103                                            _x000a_"/>
    <x v="489"/>
    <s v=""/>
    <x v="0"/>
    <n v="8333.2999999999993"/>
    <n v="0"/>
    <x v="16"/>
    <s v="Received"/>
    <s v="Bid - Diriyah Company"/>
    <x v="0"/>
    <x v="2"/>
    <x v="27"/>
    <n v="4"/>
    <n v="2026"/>
    <m/>
  </r>
  <r>
    <x v="5"/>
    <x v="132"/>
    <x v="9"/>
    <s v="Value Added Tax                                                       _x000a_On LGI Amend Commission                                               _x000a_15% of SAR8,333.30                                                    _x000a_Through CORPORATE BANKING DEPT-JEDDAH                                 _x000a_Date 25-10-1447(H) Time 14.45.37                                      _x000a_Reference LGI-0840-26-8103                                            _x000a_At Bank Aljazira                                                      _x000a_Exchange Rate 1.0                                                     _x000a_"/>
    <x v="489"/>
    <s v=""/>
    <x v="0"/>
    <n v="1250"/>
    <n v="0"/>
    <x v="1"/>
    <s v="Received"/>
    <s v="Bid - Diriyah Company"/>
    <x v="0"/>
    <x v="2"/>
    <x v="27"/>
    <n v="4"/>
    <n v="2026"/>
    <m/>
  </r>
  <r>
    <x v="5"/>
    <x v="132"/>
    <x v="9"/>
    <s v="Value Added Tax                                                       _x000a_On SWIFT charges                                                      _x000a_15% of SAR200.00                                                      _x000a_Through CORPORATE BANKING DEPT-JEDDAH                                 _x000a_Date 25-10-1447(H) Time 10.39.48                                      _x000a_Reference ILC-0840-25-8166                                            _x000a_At Bank Aljazira                                                      _x000a_Exchange Rate 1.0                                                     _x000a_"/>
    <x v="309"/>
    <s v=""/>
    <x v="0"/>
    <n v="30"/>
    <n v="0"/>
    <x v="1"/>
    <s v="Received"/>
    <s v="SAUDI HEPCO CO LTD"/>
    <x v="3"/>
    <x v="10"/>
    <x v="27"/>
    <n v="4"/>
    <n v="2026"/>
    <m/>
  </r>
  <r>
    <x v="5"/>
    <x v="132"/>
    <x v="9"/>
    <s v="Dr TI ILC Comm/Other Charges                                          _x000a_AMD003-294463398                                                      _x000a_At Bank Aljazira                                                      _x000a_ CORPORATE BANKING DEPT-JEDDAH                                        _x000a_Exchange Rate 1.0                                                     _x000a_Date 25-10-1447(H) Time 10.39.48                                      _x000a_Reference ILC-0840-25-8166                                            _x000a_Value Date 25-10-1447(H)                                              _x000a_Fee Collected By Bank AlJazira                                        _x000a_"/>
    <x v="309"/>
    <s v=""/>
    <x v="0"/>
    <n v="200"/>
    <n v="0"/>
    <x v="5"/>
    <s v="Received"/>
    <s v="SAUDI HEPCO CO LTD"/>
    <x v="3"/>
    <x v="10"/>
    <x v="27"/>
    <n v="4"/>
    <n v="2026"/>
    <m/>
  </r>
  <r>
    <x v="5"/>
    <x v="132"/>
    <x v="9"/>
    <s v="Value Added Tax                                                       _x000a_On ILC Commission                                                     _x000a_15% of SAR500.00                                                      _x000a_Through CORPORATE BANKING DEPT-JEDDAH                                 _x000a_Date 25-10-1447(H) Time 10.39.48                                      _x000a_Reference ILC-0840-25-8166                                            _x000a_At Bank Aljazira                                                      _x000a_Exchange Rate 1.0                                                     _x000a_"/>
    <x v="309"/>
    <s v=""/>
    <x v="0"/>
    <n v="75"/>
    <n v="0"/>
    <x v="1"/>
    <s v="Received"/>
    <s v="SAUDI HEPCO CO LTD"/>
    <x v="3"/>
    <x v="10"/>
    <x v="27"/>
    <n v="4"/>
    <n v="2026"/>
    <m/>
  </r>
  <r>
    <x v="5"/>
    <x v="132"/>
    <x v="9"/>
    <s v="Dr TI ILC Comm/Other Charges                                          _x000a_AMD003-294463396                                                      _x000a_At Bank Aljazira                                                      _x000a_ CORPORATE BANKING DEPT-JEDDAH                                        _x000a_Exchange Rate 1.0                                                     _x000a_Date 25-10-1447(H) Time 10.39.47                                      _x000a_Reference ILC-0840-25-8166                                            _x000a_Value Date 25-10-1447(H)                                              _x000a_Fee Collected By Bank AlJazira                                        _x000a_"/>
    <x v="309"/>
    <s v=""/>
    <x v="0"/>
    <n v="500"/>
    <n v="0"/>
    <x v="5"/>
    <s v="Received"/>
    <s v="SAUDI HEPCO CO LTD"/>
    <x v="3"/>
    <x v="10"/>
    <x v="27"/>
    <n v="4"/>
    <n v="2026"/>
    <m/>
  </r>
  <r>
    <x v="5"/>
    <x v="132"/>
    <x v="9"/>
    <s v="Value Added Tax                                                       _x000a_On SWIFT charges                                                      _x000a_15% of SAR200.00                                                      _x000a_Through CORPORATE BANKING DEPT-JEDDAH                                 _x000a_Date 25-10-1447(H) Time 10.39.05                                      _x000a_Reference ILC-0840-25-8164                                            _x000a_At Bank Aljazira                                                      _x000a_Exchange Rate 1.0                                                     _x000a_"/>
    <x v="312"/>
    <s v=""/>
    <x v="0"/>
    <n v="30"/>
    <n v="0"/>
    <x v="1"/>
    <s v="Received"/>
    <s v="Mohammed Ramadan Shat Factory"/>
    <x v="3"/>
    <x v="10"/>
    <x v="27"/>
    <n v="4"/>
    <n v="2026"/>
    <m/>
  </r>
  <r>
    <x v="5"/>
    <x v="132"/>
    <x v="9"/>
    <s v="Dr TI ILC Comm/Other Charges                                          _x000a_AMD003-294464842                                                      _x000a_At Bank Aljazira                                                      _x000a_ CORPORATE BANKING DEPT-JEDDAH                                        _x000a_Exchange Rate 1.0                                                     _x000a_Date 25-10-1447(H) Time 10.39.04                                      _x000a_Reference ILC-0840-25-8164                                            _x000a_Value Date 25-10-1447(H)                                              _x000a_Fee Collected By Bank AlJazira                                        _x000a_"/>
    <x v="312"/>
    <s v=""/>
    <x v="0"/>
    <n v="200"/>
    <n v="0"/>
    <x v="5"/>
    <s v="Received"/>
    <s v="Mohammed Ramadan Shat Factory"/>
    <x v="3"/>
    <x v="10"/>
    <x v="27"/>
    <n v="4"/>
    <n v="2026"/>
    <m/>
  </r>
  <r>
    <x v="5"/>
    <x v="132"/>
    <x v="9"/>
    <s v="Value Added Tax                                                       _x000a_On ILC Commission                                                     _x000a_15% of SAR573.20                                                      _x000a_Through CORPORATE BANKING DEPT-JEDDAH                                 _x000a_Date 25-10-1447(H) Time 10.39.04                                      _x000a_Reference ILC-0840-25-8164                                            _x000a_At Bank Aljazira                                                      _x000a_Exchange Rate 1.0                                                     _x000a_"/>
    <x v="312"/>
    <s v=""/>
    <x v="0"/>
    <n v="85.98"/>
    <n v="0"/>
    <x v="1"/>
    <s v="Received"/>
    <s v="Mohammed Ramadan Shat Factory"/>
    <x v="3"/>
    <x v="10"/>
    <x v="27"/>
    <n v="4"/>
    <n v="2026"/>
    <m/>
  </r>
  <r>
    <x v="5"/>
    <x v="132"/>
    <x v="9"/>
    <s v="Value Added Tax                                                       _x000a_On LGI ISSUANCE COMMISSION                                            _x000a_15% of SAR7,187.49                                                    _x000a_Through CORPORATE BANKING DEPT-JEDDAH                                 _x000a_Date 25-10-1447(H) Time 10.33.42                                      _x000a_Reference LGI-0840-26-8188                                            _x000a_At Bank Aljazira                                                      _x000a_Exchange Rate 1.0                                                     _x000a_Value date 12-APR-26"/>
    <x v="490"/>
    <s v=""/>
    <x v="0"/>
    <n v="1078.1199999999999"/>
    <n v="0"/>
    <x v="1"/>
    <s v="Received"/>
    <e v="#N/A"/>
    <x v="7"/>
    <x v="12"/>
    <x v="27"/>
    <n v="4"/>
    <n v="2026"/>
    <m/>
  </r>
  <r>
    <x v="5"/>
    <x v="132"/>
    <x v="9"/>
    <s v="Value Added Tax                                                       _x000a_On SWIFT charges                                                      _x000a_15% of SAR200.00                                                      _x000a_Through CORPORATE BANKING DEPT-JEDDAH                                 _x000a_Date 25-10-1447(H) Time 10.38.09                                      _x000a_Reference ILC-0840-26-8758                                            _x000a_At Bank Aljazira                                                      _x000a_Exchange Rate 1.0                                                     _x000a_"/>
    <x v="352"/>
    <s v=""/>
    <x v="0"/>
    <n v="30"/>
    <n v="0"/>
    <x v="1"/>
    <s v="Received"/>
    <s v="Green Concrete CJSC"/>
    <x v="0"/>
    <x v="10"/>
    <x v="27"/>
    <n v="4"/>
    <n v="2026"/>
    <m/>
  </r>
  <r>
    <x v="5"/>
    <x v="132"/>
    <x v="9"/>
    <s v="Dr TI ILC Comm/Other Charges                                          _x000a_AMD001-294465551                                                      _x000a_At Bank Aljazira                                                      _x000a_ CORPORATE BANKING DEPT-JEDDAH                                        _x000a_Exchange Rate 1.0                                                     _x000a_Date 25-10-1447(H) Time 10.38.08                                      _x000a_Reference ILC-0840-26-8758                                            _x000a_Value Date 25-10-1447(H)                                              _x000a_Fee Collected By Bank AlJazira                                        _x000a_"/>
    <x v="352"/>
    <s v=""/>
    <x v="0"/>
    <n v="200"/>
    <n v="0"/>
    <x v="5"/>
    <s v="Received"/>
    <s v="Green Concrete CJSC"/>
    <x v="0"/>
    <x v="10"/>
    <x v="27"/>
    <n v="4"/>
    <n v="2026"/>
    <m/>
  </r>
  <r>
    <x v="5"/>
    <x v="132"/>
    <x v="9"/>
    <s v="Value Added Tax                                                       _x000a_On ILC Commission                                                     _x000a_15% of SAR500.00                                                      _x000a_Through CORPORATE BANKING DEPT-JEDDAH                                 _x000a_Date 25-10-1447(H) Time 10.38.08                                      _x000a_Reference ILC-0840-26-8758                                            _x000a_At Bank Aljazira                                                      _x000a_Exchange Rate 1.0                                                     _x000a_"/>
    <x v="352"/>
    <s v=""/>
    <x v="0"/>
    <n v="75"/>
    <n v="0"/>
    <x v="1"/>
    <s v="Received"/>
    <s v="Green Concrete CJSC"/>
    <x v="0"/>
    <x v="10"/>
    <x v="27"/>
    <n v="4"/>
    <n v="2026"/>
    <m/>
  </r>
  <r>
    <x v="5"/>
    <x v="132"/>
    <x v="9"/>
    <s v="Dr TI ILC Comm/Other Charges                                          _x000a_AMD001-294465549                                                      _x000a_At Bank Aljazira                                                      _x000a_ CORPORATE BANKING DEPT-JEDDAH                                        _x000a_Exchange Rate 1.0                                                     _x000a_Date 25-10-1447(H) Time 10.38.08                                      _x000a_Reference ILC-0840-26-8758                                            _x000a_Value Date 25-10-1447(H)                                              _x000a_Fee Collected By Bank AlJazira                                        _x000a_"/>
    <x v="352"/>
    <s v=""/>
    <x v="0"/>
    <n v="500"/>
    <n v="0"/>
    <x v="5"/>
    <s v="Received"/>
    <s v="Green Concrete CJSC"/>
    <x v="0"/>
    <x v="10"/>
    <x v="27"/>
    <n v="4"/>
    <n v="2026"/>
    <m/>
  </r>
  <r>
    <x v="5"/>
    <x v="132"/>
    <x v="9"/>
    <s v="Value Added Tax                                                       _x000a_On LG Processing/Facility Fees                                        _x000a_15% of SAR16,739.73                                                   _x000a_Through CORPORATE BANKING DEPT-JEDDAH                                 _x000a_Date 25-10-1447(H) Time 10.33.43                                      _x000a_Reference LGI-0840-26-8188                                            _x000a_At Bank Aljazira                                                      _x000a_Exchange Rate 1.0                                                     _x000a_Value date 12-APR-26"/>
    <x v="490"/>
    <s v=""/>
    <x v="0"/>
    <n v="2510.96"/>
    <n v="0"/>
    <x v="1"/>
    <s v="Received"/>
    <e v="#N/A"/>
    <x v="7"/>
    <x v="12"/>
    <x v="27"/>
    <n v="4"/>
    <n v="2026"/>
    <m/>
  </r>
  <r>
    <x v="5"/>
    <x v="132"/>
    <x v="9"/>
    <s v="Dr TI LGI Comm/Other Charges                                          _x000a_ISS001-294399856                                                      _x000a_At Bank AlJazira                                                      _x000a_CORPORATE BANKING DEPT-JEDDAH                                         _x000a_Date 25-10-1447(H) Time 10.33.42                                      _x000a_Reference LGI-0840-26-8188                                            _x000a_Value date 24-10-1447(H)                                              _x000a_Value date 12-APR-26"/>
    <x v="490"/>
    <s v=""/>
    <x v="0"/>
    <n v="16739.73"/>
    <n v="0"/>
    <x v="16"/>
    <s v="Received"/>
    <e v="#N/A"/>
    <x v="7"/>
    <x v="12"/>
    <x v="27"/>
    <n v="4"/>
    <n v="2026"/>
    <m/>
  </r>
  <r>
    <x v="5"/>
    <x v="132"/>
    <x v="9"/>
    <s v="Dr TI LGI Commission (Earned)                                         _x000a_ISS001-294399854                                                      _x000a_At Bank AlJazira                                                      _x000a_CORPORATE BANKING DEPT-JEDDAH                                         _x000a_Date 25-10-1447(H) Time 10.33.41                                      _x000a_Reference LGI-0840-26-8188                                            _x000a_Value date 24-10-1447(H)                                              _x000a_Value date 12-APR-26"/>
    <x v="490"/>
    <s v=""/>
    <x v="0"/>
    <n v="7187.49"/>
    <n v="0"/>
    <x v="16"/>
    <s v="Received"/>
    <e v="#N/A"/>
    <x v="7"/>
    <x v="12"/>
    <x v="27"/>
    <n v="4"/>
    <n v="2026"/>
    <m/>
  </r>
  <r>
    <x v="5"/>
    <x v="132"/>
    <x v="9"/>
    <s v="Dr TI LGI Comm/Other Charges                                          _x000a_AMD001-294519032                                                      _x000a_At Bank AlJazira                                                      _x000a_CORPORATE BANKING DEPT-JEDDAH                                         _x000a_Date 25-10-1447(H) Time 14.45.37                                      _x000a_Reference LGI-0840-26-8103                                            _x000a_"/>
    <x v="489"/>
    <s v=""/>
    <x v="0"/>
    <n v="16849.32"/>
    <n v="0"/>
    <x v="16"/>
    <s v="Received"/>
    <s v="Bid - Diriyah Company"/>
    <x v="0"/>
    <x v="2"/>
    <x v="27"/>
    <n v="4"/>
    <n v="2026"/>
    <m/>
  </r>
  <r>
    <x v="5"/>
    <x v="132"/>
    <x v="9"/>
    <s v="Dr TI ILC Comm/Other Charges                                          _x000a_AMD003-294464840                                                      _x000a_At Bank Aljazira                                                      _x000a_ CORPORATE BANKING DEPT-JEDDAH                                        _x000a_Exchange Rate 1.0                                                     _x000a_Date 25-10-1447(H) Time 10.39.03                                      _x000a_Reference ILC-0840-25-8164                                            _x000a_Value Date 25-10-1447(H)                                              _x000a_Fee Collected By Bank AlJazira                                        _x000a_"/>
    <x v="312"/>
    <s v=""/>
    <x v="0"/>
    <n v="573.20000000000005"/>
    <n v="0"/>
    <x v="5"/>
    <s v="Received"/>
    <s v="Mohammed Ramadan Shat Factory"/>
    <x v="3"/>
    <x v="10"/>
    <x v="27"/>
    <n v="4"/>
    <n v="2026"/>
    <m/>
  </r>
  <r>
    <x v="5"/>
    <x v="132"/>
    <x v="9"/>
    <s v="Value Added Tax                                                       _x000a_On LG Processing/Facility Fees                                        _x000a_15% of SAR16,849.32                                                   _x000a_Through CORPORATE BANKING DEPT-JEDDAH                                 _x000a_Date 25-10-1447(H) Time 14.45.38                                      _x000a_Reference LGI-0840-26-8103                                            _x000a_At Bank Aljazira                                                      _x000a_Exchange Rate 1.0                                                     _x000a_"/>
    <x v="489"/>
    <s v=""/>
    <x v="0"/>
    <n v="2527.4"/>
    <n v="0"/>
    <x v="1"/>
    <s v="Received"/>
    <s v="Bid - Diriyah Company"/>
    <x v="0"/>
    <x v="2"/>
    <x v="27"/>
    <n v="4"/>
    <n v="2026"/>
    <m/>
  </r>
  <r>
    <x v="0"/>
    <x v="134"/>
    <x v="0"/>
    <s v="REF 000000JLC7000001,RB REF JLC7000001,VIA CORE SYSTEM,DATE-TIME 14/04-15:16:30, عن طريق النظام الآ لي ,VALUE DT 14/04/26"/>
    <x v="344"/>
    <s v=""/>
    <x v="0"/>
    <n v="1000000"/>
    <n v="0"/>
    <x v="4"/>
    <s v="Received"/>
    <s v="Electric House Trading Company L.L.C."/>
    <x v="3"/>
    <x v="3"/>
    <x v="27"/>
    <n v="4"/>
    <n v="2026"/>
    <m/>
  </r>
  <r>
    <x v="0"/>
    <x v="134"/>
    <x v="0"/>
    <s v="REF 000000JLC7000009,RB REF JLC7000009,VIA CORE SYSTEM,DATE-TIME 14/04-15:16:50, عن طريق النظام الآ لي ,VALUE DT 14/04/26"/>
    <x v="345"/>
    <s v=""/>
    <x v="0"/>
    <n v="550000"/>
    <n v="0"/>
    <x v="4"/>
    <s v="Received"/>
    <s v="Mahmoud Altaheni &amp; Partners Trading Co."/>
    <x v="3"/>
    <x v="3"/>
    <x v="27"/>
    <n v="4"/>
    <n v="2026"/>
    <m/>
  </r>
  <r>
    <x v="0"/>
    <x v="134"/>
    <x v="0"/>
    <s v="RB REF JLG7000276,VIA CORE SYSTEM,DATE-TIME 14/04-12:41:00, عن طريق النظام الآ لي ,VALUE DT 14/04/26"/>
    <x v="491"/>
    <s v=""/>
    <x v="0"/>
    <n v="5175"/>
    <n v="0"/>
    <x v="31"/>
    <s v="Received"/>
    <s v="Bid - SAL ZONES COMPANY"/>
    <x v="1"/>
    <x v="2"/>
    <x v="27"/>
    <n v="4"/>
    <n v="2026"/>
    <m/>
  </r>
  <r>
    <x v="2"/>
    <x v="134"/>
    <x v="4"/>
    <s v="CITY:Jeddah 6132226J210944002"/>
    <x v="266"/>
    <s v="J210944002"/>
    <x v="0"/>
    <n v="3658.27"/>
    <n v="0"/>
    <x v="5"/>
    <s v="Received"/>
    <s v="Mohammed A. Al-Awani Trading"/>
    <x v="0"/>
    <x v="7"/>
    <x v="27"/>
    <n v="4"/>
    <n v="2026"/>
    <m/>
  </r>
  <r>
    <x v="2"/>
    <x v="134"/>
    <x v="4"/>
    <s v="CITY:Jeddah 6132226J212139001"/>
    <x v="486"/>
    <s v="J212139001"/>
    <x v="0"/>
    <n v="460"/>
    <n v="0"/>
    <x v="5"/>
    <s v="Received"/>
    <s v="ALNAFIE METAL INDUSTRIES CO LTD"/>
    <x v="16"/>
    <x v="11"/>
    <x v="27"/>
    <n v="4"/>
    <n v="2026"/>
    <m/>
  </r>
  <r>
    <x v="3"/>
    <x v="134"/>
    <x v="6"/>
    <s v="DPBEPM211928WPM DCBWPM570361"/>
    <x v="294"/>
    <s v="DPBEPM211928WPM"/>
    <x v="0"/>
    <n v="5903039.0800000001"/>
    <n v="0"/>
    <x v="4"/>
    <s v="Received"/>
    <s v="ELSEWEDY CABLES CO. LIMITED"/>
    <x v="3"/>
    <x v="9"/>
    <x v="27"/>
    <n v="4"/>
    <n v="2026"/>
    <m/>
  </r>
  <r>
    <x v="5"/>
    <x v="134"/>
    <x v="9"/>
    <s v="Incoming Local Transfer                                               _x000a_Sender MODERN BUILDING LEADERS COMPANY                                _x000a_From Saudi Awwal Bank                                                 _x000a_Purpose ILC0840269073                                                 _x000a_Exchange Rate 1.0                                                     _x000a_Transfer Amount SAR 60,720.00                                         _x000a_Through Bank Aljazira                                                 _x000a_ CENTRAL OPERATIONS-JEDDAH                                            _x000a_Date 26-10-1447(H) Time 13.21.58                                      _x000a_Reference SABBREM2610400Z9                                            _x000a_"/>
    <x v="481"/>
    <s v=""/>
    <x v="0"/>
    <n v="0"/>
    <n v="60720"/>
    <x v="6"/>
    <s v="Transfer"/>
    <e v="#N/A"/>
    <x v="7"/>
    <x v="12"/>
    <x v="27"/>
    <n v="4"/>
    <n v="2026"/>
    <m/>
  </r>
  <r>
    <x v="1"/>
    <x v="135"/>
    <x v="3"/>
    <s v=" LC SWIFT CHARGES   "/>
    <x v="492"/>
    <s v="TF2610500021"/>
    <x v="0"/>
    <n v="700"/>
    <n v="0"/>
    <x v="3"/>
    <s v="Received"/>
    <s v="Innovative Specialized Security Solution"/>
    <x v="10"/>
    <x v="14"/>
    <x v="27"/>
    <n v="4"/>
    <n v="2026"/>
    <m/>
  </r>
  <r>
    <x v="1"/>
    <x v="135"/>
    <x v="3"/>
    <s v="CUSTOMER = 3972500 DEAL AMT = 13300.33 DEAL CCY = SAR TAX CODE = 1 "/>
    <x v="493"/>
    <s v="TF2610500016"/>
    <x v="0"/>
    <n v="105"/>
    <n v="0"/>
    <x v="1"/>
    <s v="Received"/>
    <s v="APTEC SAUDI ARABIA"/>
    <x v="10"/>
    <x v="14"/>
    <x v="27"/>
    <n v="4"/>
    <n v="2026"/>
    <m/>
  </r>
  <r>
    <x v="1"/>
    <x v="135"/>
    <x v="3"/>
    <s v=" LC SWIFT CHARGES   "/>
    <x v="493"/>
    <s v="TF2610500016"/>
    <x v="0"/>
    <n v="700"/>
    <n v="0"/>
    <x v="6"/>
    <s v="Received"/>
    <s v="APTEC SAUDI ARABIA"/>
    <x v="10"/>
    <x v="14"/>
    <x v="27"/>
    <n v="4"/>
    <n v="2026"/>
    <m/>
  </r>
  <r>
    <x v="1"/>
    <x v="135"/>
    <x v="3"/>
    <s v="CUSTOMER = 3972500 DEAL AMT = 13300.33 DEAL CCY = SAR TAX CODE = 1 "/>
    <x v="493"/>
    <s v="TF2610500016"/>
    <x v="0"/>
    <n v="1995.05"/>
    <n v="0"/>
    <x v="1"/>
    <s v="Received"/>
    <s v="APTEC SAUDI ARABIA"/>
    <x v="10"/>
    <x v="14"/>
    <x v="27"/>
    <n v="4"/>
    <n v="2026"/>
    <m/>
  </r>
  <r>
    <x v="1"/>
    <x v="135"/>
    <x v="3"/>
    <s v=" LC OPENING COMMISSION- DEBIT   "/>
    <x v="493"/>
    <s v="TF2610500016"/>
    <x v="0"/>
    <n v="13300.33"/>
    <n v="0"/>
    <x v="6"/>
    <s v="Received"/>
    <s v="APTEC SAUDI ARABIA"/>
    <x v="10"/>
    <x v="14"/>
    <x v="27"/>
    <n v="4"/>
    <n v="2026"/>
    <m/>
  </r>
  <r>
    <x v="1"/>
    <x v="135"/>
    <x v="3"/>
    <s v="CUSTOMER = 3972500 DEAL AMT = 7617.06 DEAL CCY = SAR TAX CODE = 1 "/>
    <x v="494"/>
    <s v="TF2610500019"/>
    <x v="0"/>
    <n v="105"/>
    <n v="0"/>
    <x v="1"/>
    <s v="Received"/>
    <s v="Anixter Saudi Arabia Ltd"/>
    <x v="10"/>
    <x v="14"/>
    <x v="27"/>
    <n v="4"/>
    <n v="2026"/>
    <m/>
  </r>
  <r>
    <x v="1"/>
    <x v="135"/>
    <x v="3"/>
    <s v="CUSTOMER = 3972500 DEAL AMT = 7617.06 DEAL CCY = SAR TAX CODE = 1 "/>
    <x v="494"/>
    <s v="TF2610500019"/>
    <x v="0"/>
    <n v="1142.56"/>
    <n v="0"/>
    <x v="1"/>
    <s v="Received"/>
    <s v="Anixter Saudi Arabia Ltd"/>
    <x v="10"/>
    <x v="14"/>
    <x v="27"/>
    <n v="4"/>
    <n v="2026"/>
    <m/>
  </r>
  <r>
    <x v="1"/>
    <x v="135"/>
    <x v="3"/>
    <s v=" LC OPENING COMMISSION- DEBIT   "/>
    <x v="494"/>
    <s v="TF2610500019"/>
    <x v="0"/>
    <n v="7617.06"/>
    <n v="0"/>
    <x v="8"/>
    <s v="Received"/>
    <s v="Anixter Saudi Arabia Ltd"/>
    <x v="10"/>
    <x v="14"/>
    <x v="27"/>
    <n v="4"/>
    <n v="2026"/>
    <m/>
  </r>
  <r>
    <x v="1"/>
    <x v="135"/>
    <x v="3"/>
    <s v="CUSTOMER = 3972500 DEAL AMT = 20155.42 DEAL CCY = SAR TAX CODE = 1 "/>
    <x v="492"/>
    <s v="TF2610500021"/>
    <x v="0"/>
    <n v="105"/>
    <n v="0"/>
    <x v="1"/>
    <s v="Received"/>
    <s v="Innovative Specialized Security Solution"/>
    <x v="10"/>
    <x v="14"/>
    <x v="27"/>
    <n v="4"/>
    <n v="2026"/>
    <m/>
  </r>
  <r>
    <x v="1"/>
    <x v="135"/>
    <x v="3"/>
    <s v=" LC SWIFT CHARGES   "/>
    <x v="494"/>
    <s v="TF2610500019"/>
    <x v="0"/>
    <n v="700"/>
    <n v="0"/>
    <x v="3"/>
    <s v="Received"/>
    <s v="Anixter Saudi Arabia Ltd"/>
    <x v="10"/>
    <x v="14"/>
    <x v="27"/>
    <n v="4"/>
    <n v="2026"/>
    <m/>
  </r>
  <r>
    <x v="1"/>
    <x v="135"/>
    <x v="3"/>
    <s v=" LC OPENING COMMISSION- DEBIT   "/>
    <x v="492"/>
    <s v="TF2610500021"/>
    <x v="0"/>
    <n v="20155.419999999998"/>
    <n v="0"/>
    <x v="8"/>
    <s v="Received"/>
    <s v="Innovative Specialized Security Solution"/>
    <x v="10"/>
    <x v="14"/>
    <x v="27"/>
    <n v="4"/>
    <n v="2026"/>
    <m/>
  </r>
  <r>
    <x v="1"/>
    <x v="135"/>
    <x v="3"/>
    <s v="CUSTOMER = 3972500 DEAL AMT = 20155.42 DEAL CCY = SAR TAX CODE = 1 "/>
    <x v="492"/>
    <s v="TF2610500021"/>
    <x v="0"/>
    <n v="3023.31"/>
    <n v="0"/>
    <x v="1"/>
    <s v="Received"/>
    <s v="Innovative Specialized Security Solution"/>
    <x v="10"/>
    <x v="14"/>
    <x v="27"/>
    <n v="4"/>
    <n v="2026"/>
    <m/>
  </r>
  <r>
    <x v="1"/>
    <x v="136"/>
    <x v="3"/>
    <s v=" LC SWIFT CHARGES   "/>
    <x v="204"/>
    <s v="TF251310002702"/>
    <x v="0"/>
    <n v="75"/>
    <n v="0"/>
    <x v="3"/>
    <s v="Received"/>
    <s v="ALBYT ALTHAKI TRADING CO"/>
    <x v="3"/>
    <x v="5"/>
    <x v="27"/>
    <n v="4"/>
    <n v="2026"/>
    <m/>
  </r>
  <r>
    <x v="1"/>
    <x v="136"/>
    <x v="3"/>
    <s v="CUSTOMER = 3972500 DEAL AMT = 75 DEAL CCY = SAR TAX CODE = 1 "/>
    <x v="208"/>
    <s v="TF251470002501"/>
    <x v="0"/>
    <n v="11.25"/>
    <n v="0"/>
    <x v="1"/>
    <s v="Received"/>
    <s v="ALBYT ALTHAKI TRADING CO"/>
    <x v="3"/>
    <x v="5"/>
    <x v="27"/>
    <n v="4"/>
    <n v="2026"/>
    <m/>
  </r>
  <r>
    <x v="1"/>
    <x v="136"/>
    <x v="3"/>
    <s v=" LC SWIFT CHARGES   "/>
    <x v="208"/>
    <s v="TF251470002501"/>
    <x v="0"/>
    <n v="75"/>
    <n v="0"/>
    <x v="3"/>
    <s v="Received"/>
    <s v="ALBYT ALTHAKI TRADING CO"/>
    <x v="3"/>
    <x v="5"/>
    <x v="27"/>
    <n v="4"/>
    <n v="2026"/>
    <m/>
  </r>
  <r>
    <x v="1"/>
    <x v="136"/>
    <x v="3"/>
    <s v=" REIMBURSE UNDER LCS DR   "/>
    <x v="208"/>
    <s v="TF251470002501"/>
    <x v="0"/>
    <n v="350000"/>
    <n v="0"/>
    <x v="2"/>
    <s v="Received"/>
    <s v="ALBYT ALTHAKI TRADING CO"/>
    <x v="3"/>
    <x v="5"/>
    <x v="27"/>
    <n v="4"/>
    <n v="2026"/>
    <m/>
  </r>
  <r>
    <x v="1"/>
    <x v="136"/>
    <x v="3"/>
    <s v="CUSTOMER = 3972500 DEAL AMT = 75 DEAL CCY = SAR TAX CODE = 1 "/>
    <x v="141"/>
    <s v="TF252300003404"/>
    <x v="0"/>
    <n v="11.25"/>
    <n v="0"/>
    <x v="1"/>
    <s v="Received"/>
    <s v="Al Arabia Construction &amp; Building Co."/>
    <x v="0"/>
    <x v="7"/>
    <x v="27"/>
    <n v="4"/>
    <n v="2026"/>
    <m/>
  </r>
  <r>
    <x v="1"/>
    <x v="136"/>
    <x v="3"/>
    <s v=" LC SWIFT CHARGES   "/>
    <x v="141"/>
    <s v="TF252300003404"/>
    <x v="0"/>
    <n v="75"/>
    <n v="0"/>
    <x v="3"/>
    <s v="Received"/>
    <s v="Al Arabia Construction &amp; Building Co."/>
    <x v="0"/>
    <x v="7"/>
    <x v="27"/>
    <n v="4"/>
    <n v="2026"/>
    <m/>
  </r>
  <r>
    <x v="1"/>
    <x v="136"/>
    <x v="3"/>
    <s v=" REIMBURSE UNDER LCS DR   "/>
    <x v="141"/>
    <s v="TF252300003404"/>
    <x v="0"/>
    <n v="291391.23"/>
    <n v="0"/>
    <x v="4"/>
    <s v="Received"/>
    <s v="Al Arabia Construction &amp; Building Co."/>
    <x v="0"/>
    <x v="7"/>
    <x v="27"/>
    <n v="4"/>
    <n v="2026"/>
    <m/>
  </r>
  <r>
    <x v="1"/>
    <x v="136"/>
    <x v="3"/>
    <s v=" LC SWIFT CHARGES   "/>
    <x v="141"/>
    <s v="TF252300003405"/>
    <x v="0"/>
    <n v="75"/>
    <n v="0"/>
    <x v="3"/>
    <s v="Received"/>
    <s v="Al Arabia Construction &amp; Building Co."/>
    <x v="0"/>
    <x v="7"/>
    <x v="27"/>
    <n v="4"/>
    <n v="2026"/>
    <m/>
  </r>
  <r>
    <x v="1"/>
    <x v="136"/>
    <x v="3"/>
    <s v=" REIMBURSE UNDER LCS DR   "/>
    <x v="141"/>
    <s v="TF252300003405"/>
    <x v="0"/>
    <n v="53670.59"/>
    <n v="0"/>
    <x v="4"/>
    <s v="Received"/>
    <s v="Al Arabia Construction &amp; Building Co."/>
    <x v="0"/>
    <x v="7"/>
    <x v="27"/>
    <n v="4"/>
    <n v="2026"/>
    <m/>
  </r>
  <r>
    <x v="1"/>
    <x v="136"/>
    <x v="3"/>
    <s v="CUSTOMER = 3972500 DEAL AMT = 1250 DEAL CCY = SAR TAX CODE = 1 "/>
    <x v="111"/>
    <s v="TF252710002407"/>
    <x v="0"/>
    <n v="187.5"/>
    <n v="0"/>
    <x v="1"/>
    <s v="Received"/>
    <s v="Saudi Perfect Pumps Trading &amp; Manufacturing Company"/>
    <x v="0"/>
    <x v="7"/>
    <x v="27"/>
    <n v="4"/>
    <n v="2026"/>
    <m/>
  </r>
  <r>
    <x v="1"/>
    <x v="136"/>
    <x v="3"/>
    <s v=" LC ACCEPTANCE COMMISSION   "/>
    <x v="111"/>
    <s v="TF252710002407"/>
    <x v="0"/>
    <n v="1250"/>
    <n v="0"/>
    <x v="2"/>
    <s v="Received"/>
    <s v="Saudi Perfect Pumps Trading &amp; Manufacturing Company"/>
    <x v="0"/>
    <x v="7"/>
    <x v="27"/>
    <n v="4"/>
    <n v="2026"/>
    <m/>
  </r>
  <r>
    <x v="1"/>
    <x v="136"/>
    <x v="3"/>
    <s v="CUSTOMER = 3972500 DEAL AMT = 1250 DEAL CCY = SAR TAX CODE = 1 "/>
    <x v="111"/>
    <s v="TF252710002408"/>
    <x v="0"/>
    <n v="187.5"/>
    <n v="0"/>
    <x v="1"/>
    <s v="Received"/>
    <s v="Saudi Perfect Pumps Trading &amp; Manufacturing Company"/>
    <x v="0"/>
    <x v="7"/>
    <x v="27"/>
    <n v="4"/>
    <n v="2026"/>
    <m/>
  </r>
  <r>
    <x v="1"/>
    <x v="136"/>
    <x v="3"/>
    <s v=" LC ACCEPTANCE COMMISSION   "/>
    <x v="111"/>
    <s v="TF252710002408"/>
    <x v="0"/>
    <n v="1250"/>
    <n v="0"/>
    <x v="2"/>
    <s v="Received"/>
    <s v="Saudi Perfect Pumps Trading &amp; Manufacturing Company"/>
    <x v="0"/>
    <x v="7"/>
    <x v="27"/>
    <n v="4"/>
    <n v="2026"/>
    <m/>
  </r>
  <r>
    <x v="1"/>
    <x v="136"/>
    <x v="3"/>
    <s v="CUSTOMER = 3972500 DEAL AMT = 75 DEAL CCY = SAR TAX CODE = 1 "/>
    <x v="204"/>
    <s v="TF251310002702"/>
    <x v="0"/>
    <n v="11.25"/>
    <n v="0"/>
    <x v="1"/>
    <s v="Received"/>
    <s v="ALBYT ALTHAKI TRADING CO"/>
    <x v="3"/>
    <x v="5"/>
    <x v="27"/>
    <n v="4"/>
    <n v="2026"/>
    <m/>
  </r>
  <r>
    <x v="1"/>
    <x v="136"/>
    <x v="3"/>
    <s v="CUSTOMER = 3972500 DEAL AMT = 75 DEAL CCY = SAR TAX CODE = 1 "/>
    <x v="141"/>
    <s v="TF252300003405"/>
    <x v="0"/>
    <n v="11.25"/>
    <n v="0"/>
    <x v="1"/>
    <s v="Received"/>
    <s v="Al Arabia Construction &amp; Building Co."/>
    <x v="0"/>
    <x v="7"/>
    <x v="27"/>
    <n v="4"/>
    <n v="2026"/>
    <m/>
  </r>
  <r>
    <x v="1"/>
    <x v="136"/>
    <x v="3"/>
    <s v=" REIMBURSE UNDER LCS DR   "/>
    <x v="204"/>
    <s v="TF251310002702"/>
    <x v="0"/>
    <n v="312132.31"/>
    <n v="0"/>
    <x v="4"/>
    <s v="Received"/>
    <s v="ALBYT ALTHAKI TRADING CO"/>
    <x v="3"/>
    <x v="5"/>
    <x v="27"/>
    <n v="4"/>
    <n v="2026"/>
    <m/>
  </r>
  <r>
    <x v="0"/>
    <x v="135"/>
    <x v="1"/>
    <s v="RB REF JLG6802904,VIA CORE SYSTEM,DATE-TIME 15/04-12:19:53, عن طريق النظام الآ لي ,VALUE DT 15/04/26"/>
    <x v="495"/>
    <s v=""/>
    <x v="0"/>
    <n v="4897.8500000000004"/>
    <n v="0"/>
    <x v="17"/>
    <s v="Received"/>
    <s v="Performance - NEOM Company"/>
    <x v="1"/>
    <x v="23"/>
    <x v="27"/>
    <n v="4"/>
    <n v="2026"/>
    <m/>
  </r>
  <r>
    <x v="0"/>
    <x v="136"/>
    <x v="0"/>
    <s v="RB REF JLG7001733,VIA CORE SYSTEM,DATE-TIME 16/04-13:45:56, عن طريق النظام الآ لي ,VALUE DT 16/04/26"/>
    <x v="496"/>
    <s v=""/>
    <x v="0"/>
    <n v="955.65"/>
    <n v="0"/>
    <x v="31"/>
    <s v="Received"/>
    <s v="Bid - PRIVATE AFFAIRS OF THE CUSTODIAN OF THE TWO HOLY MOSQUES"/>
    <x v="1"/>
    <x v="2"/>
    <x v="27"/>
    <n v="4"/>
    <n v="2026"/>
    <m/>
  </r>
  <r>
    <x v="0"/>
    <x v="136"/>
    <x v="0"/>
    <s v="RB REF JLG7001853,VIA CORE SYSTEM,DATE-TIME 16/04-19:04:57, عن طريق النظام الآ لي ,VALUE DT 16/04/26"/>
    <x v="497"/>
    <s v=""/>
    <x v="0"/>
    <n v="26867.45"/>
    <n v="0"/>
    <x v="31"/>
    <s v="Received"/>
    <s v="Bid - SHARJAH INTERNATIONAL AIRPORT AUTHORITY (SIAA)"/>
    <x v="1"/>
    <x v="2"/>
    <x v="27"/>
    <n v="4"/>
    <n v="2026"/>
    <m/>
  </r>
  <r>
    <x v="0"/>
    <x v="136"/>
    <x v="1"/>
    <s v="RB REF JLG6802458,VIA CORE SYSTEM,DATE-TIME 16/04-13:19:16, عن طريق النظام الآ لي ,VALUE DT 16/04/26"/>
    <x v="285"/>
    <s v=""/>
    <x v="0"/>
    <n v="213314.65"/>
    <n v="0"/>
    <x v="33"/>
    <s v="Received"/>
    <s v="Advance - BRANCH OF ELSEWEDY ELECTRIC FOR POWER SYSTEMS PROJECTS"/>
    <x v="1"/>
    <x v="2"/>
    <x v="27"/>
    <n v="4"/>
    <n v="2026"/>
    <m/>
  </r>
  <r>
    <x v="0"/>
    <x v="136"/>
    <x v="0"/>
    <s v="RB REF JLG6804535,VIA CORE SYSTEM,DATE-TIME 16/04-16:25:48, عن طريق النظام الآ لي ,VALUE DT 16/04/26"/>
    <x v="498"/>
    <s v=""/>
    <x v="0"/>
    <n v="93459.35"/>
    <n v="0"/>
    <x v="33"/>
    <s v="Received"/>
    <s v="Advance - PRIVATE AFFAIRS OF THE CUSTODIAN OF THE TWO HOLY MOSQUES"/>
    <x v="1"/>
    <x v="2"/>
    <x v="27"/>
    <n v="4"/>
    <n v="2026"/>
    <m/>
  </r>
  <r>
    <x v="2"/>
    <x v="136"/>
    <x v="4"/>
    <s v="CITY:Jeddah 6132226J211985001"/>
    <x v="431"/>
    <s v="J211985001"/>
    <x v="0"/>
    <n v="1696396.06"/>
    <n v="0"/>
    <x v="4"/>
    <s v="Received"/>
    <s v="High Al Shuhra Contracting Company"/>
    <x v="0"/>
    <x v="7"/>
    <x v="27"/>
    <n v="4"/>
    <n v="2026"/>
    <m/>
  </r>
  <r>
    <x v="2"/>
    <x v="136"/>
    <x v="20"/>
    <s v="SA CHNL: ALNAEEM,JEDDAH 6521 PRINCE SULTAN (46) 0202 056904 005 Goods / Supplier Payments 65800000767008 SIBCSARI ADVANCED FGEN ENGINEERING DEVE EXTN98026106VJ2M"/>
    <x v="499"/>
    <s v="J2M"/>
    <x v="2"/>
    <n v="0"/>
    <n v="1168630.3500000001"/>
    <x v="6"/>
    <s v="Transfer"/>
    <e v="#N/A"/>
    <x v="7"/>
    <x v="12"/>
    <x v="27"/>
    <n v="4"/>
    <n v="2026"/>
    <m/>
  </r>
  <r>
    <x v="3"/>
    <x v="135"/>
    <x v="6"/>
    <s v="GTE ISSUE COMM CHARGES PEBGCU164245"/>
    <x v="500"/>
    <s v="PEBGCU164245"/>
    <x v="0"/>
    <n v="1150"/>
    <n v="0"/>
    <x v="45"/>
    <s v="Received"/>
    <s v="Performance - DIRIYAH COMPANY"/>
    <x v="1"/>
    <x v="2"/>
    <x v="27"/>
    <n v="4"/>
    <n v="2026"/>
    <m/>
  </r>
  <r>
    <x v="3"/>
    <x v="135"/>
    <x v="6"/>
    <s v="PEBGCU164245 STDBY/COMM QUARTERLY FROM 15APR2026 TO 14JUL2026"/>
    <x v="500"/>
    <s v="PEBGCU164245"/>
    <x v="0"/>
    <n v="350032.18"/>
    <n v="0"/>
    <x v="45"/>
    <s v="Received"/>
    <s v="Performance - DIRIYAH COMPANY"/>
    <x v="1"/>
    <x v="2"/>
    <x v="27"/>
    <n v="4"/>
    <n v="2026"/>
    <m/>
  </r>
  <r>
    <x v="3"/>
    <x v="136"/>
    <x v="6"/>
    <s v="VAT MANUAL COLLECTION 262-307200-001 PEBGCU164245 350,032.18 SA SABB 095-918835-001 BENF ID : 16APR26 13:09:37"/>
    <x v="500"/>
    <s v="PEBGCU164245"/>
    <x v="0"/>
    <n v="52504.83"/>
    <n v="0"/>
    <x v="45"/>
    <s v="Received"/>
    <s v="Performance - DIRIYAH COMPANY"/>
    <x v="1"/>
    <x v="2"/>
    <x v="27"/>
    <n v="4"/>
    <n v="2026"/>
    <m/>
  </r>
  <r>
    <x v="3"/>
    <x v="136"/>
    <x v="6"/>
    <s v="IMP BILL AMEND. CHARGES DPBCOR217083WPM DCBWPM162993"/>
    <x v="438"/>
    <s v="DPBCOR217083WPM"/>
    <x v="0"/>
    <n v="839.42"/>
    <n v="0"/>
    <x v="2"/>
    <s v="Received"/>
    <s v="Ajzal United for Safety CO.LTD."/>
    <x v="3"/>
    <x v="9"/>
    <x v="27"/>
    <n v="4"/>
    <n v="2026"/>
    <m/>
  </r>
  <r>
    <x v="3"/>
    <x v="136"/>
    <x v="6"/>
    <s v="IMP BILL AMEND. CHARGES DPBCOR217124WPM DCBWPM567556"/>
    <x v="102"/>
    <s v="DPBCOR217124WPM"/>
    <x v="0"/>
    <n v="916.02"/>
    <n v="0"/>
    <x v="2"/>
    <s v="Received"/>
    <s v="Building System Intelligent Est."/>
    <x v="3"/>
    <x v="9"/>
    <x v="27"/>
    <n v="4"/>
    <n v="2026"/>
    <m/>
  </r>
  <r>
    <x v="5"/>
    <x v="136"/>
    <x v="9"/>
    <s v="Dr TI ILC Comm/Other Charges                                          _x000a_AMD002-294951856                                                      _x000a_At Bank Aljazira                                                      _x000a_ CORPORATE BANKING DEPT-JEDDAH                                        _x000a_Exchange Rate 1.0                                                     _x000a_Date 28-10-1447(H) Time 15.47.53                                      _x000a_Reference ILC-0840-25-8159                                            _x000a_Value Date 28-10-1447(H)                                              _x000a_Fee Collected By Bank AlJazira                                        _x000a_"/>
    <x v="84"/>
    <s v="ILC-0840-25-8159"/>
    <x v="0"/>
    <n v="200"/>
    <n v="0"/>
    <x v="5"/>
    <s v="Received"/>
    <s v="AL FALWA CO. LTD. FOR READYMIX CONCRETE"/>
    <x v="0"/>
    <x v="10"/>
    <x v="27"/>
    <n v="4"/>
    <n v="2026"/>
    <m/>
  </r>
  <r>
    <x v="5"/>
    <x v="136"/>
    <x v="9"/>
    <s v="Dr TI ILC Comm/Other Charges                                          _x000a_AMD002-294951854                                                      _x000a_At Bank Aljazira                                                      _x000a_ CORPORATE BANKING DEPT-JEDDAH                                        _x000a_Exchange Rate 1.0                                                     _x000a_Date 28-10-1447(H) Time 15.47.52                                      _x000a_Reference ILC-0840-25-8159                                            _x000a_Value Date 28-10-1447(H)                                              _x000a_Fee Collected By Bank AlJazira                                        _x000a_"/>
    <x v="84"/>
    <s v="ILC-0840-25-8159"/>
    <x v="0"/>
    <n v="39801.599999999999"/>
    <n v="0"/>
    <x v="5"/>
    <s v="Received"/>
    <s v="AL FALWA CO. LTD. FOR READYMIX CONCRETE"/>
    <x v="0"/>
    <x v="10"/>
    <x v="27"/>
    <n v="4"/>
    <n v="2026"/>
    <m/>
  </r>
  <r>
    <x v="5"/>
    <x v="136"/>
    <x v="9"/>
    <s v="Value Added Tax                                                       _x000a_On ILC Commission                                                     _x000a_15% of SAR39,801.60                                                   _x000a_Through CORPORATE BANKING DEPT-JEDDAH                                 _x000a_Date 28-10-1447(H) Time 15.47.52                                      _x000a_Reference ILC-0840-25-8159                                            _x000a_At Bank Aljazira                                                      _x000a_Exchange Rate 1.0                                                     _x000a_"/>
    <x v="84"/>
    <s v="ILC-0840-25-8159"/>
    <x v="0"/>
    <n v="5970.24"/>
    <n v="0"/>
    <x v="1"/>
    <s v="Received"/>
    <s v="AL FALWA CO. LTD. FOR READYMIX CONCRETE"/>
    <x v="0"/>
    <x v="10"/>
    <x v="27"/>
    <n v="4"/>
    <n v="2026"/>
    <m/>
  </r>
  <r>
    <x v="5"/>
    <x v="136"/>
    <x v="9"/>
    <s v="Value Added Tax                                                       _x000a_On SWIFT charges                                                      _x000a_15% of SAR200.00                                                      _x000a_Through CORPORATE BANKING DEPT-JEDDAH                                 _x000a_Date 28-10-1447(H) Time 15.47.53                                      _x000a_Reference ILC-0840-25-8159                                            _x000a_At Bank Aljazira                                                      _x000a_Exchange Rate 1.0                                                     _x000a_"/>
    <x v="84"/>
    <s v="ILC-0840-25-8159"/>
    <x v="0"/>
    <n v="30"/>
    <n v="0"/>
    <x v="1"/>
    <s v="Received"/>
    <s v="AL FALWA CO. LTD. FOR READYMIX CONCRETE"/>
    <x v="0"/>
    <x v="10"/>
    <x v="27"/>
    <n v="4"/>
    <n v="2026"/>
    <m/>
  </r>
  <r>
    <x v="0"/>
    <x v="137"/>
    <x v="0"/>
    <s v="REF JLG7000251,REF JLG7000251,VIA CORE SYSTEM,DATE-TIME 19/04-12:40:30, عن طريق النظام الآ لي ,VALUE DT 19/04/26"/>
    <x v="395"/>
    <s v=""/>
    <x v="0"/>
    <n v="0"/>
    <n v="399001.7"/>
    <x v="46"/>
    <s v="Received"/>
    <s v="Performance - ELSEWEDY ELECTRIC FOR POWER SYSTEMS"/>
    <x v="0"/>
    <x v="19"/>
    <x v="27"/>
    <n v="4"/>
    <n v="2026"/>
    <m/>
  </r>
  <r>
    <x v="2"/>
    <x v="137"/>
    <x v="4"/>
    <s v="CITY:Jeddah 6132226J210617008"/>
    <x v="42"/>
    <s v="J210617008"/>
    <x v="0"/>
    <n v="809278"/>
    <n v="0"/>
    <x v="4"/>
    <s v="Received"/>
    <s v="Al Arabia Construction &amp; Building Co."/>
    <x v="0"/>
    <x v="7"/>
    <x v="27"/>
    <n v="4"/>
    <n v="2026"/>
    <m/>
  </r>
  <r>
    <x v="3"/>
    <x v="137"/>
    <x v="6"/>
    <s v="DPBCOR214728WPM DCBWPM563043"/>
    <x v="249"/>
    <s v="DPBCOR214728WPM"/>
    <x v="0"/>
    <n v="45901.760000000002"/>
    <n v="0"/>
    <x v="4"/>
    <s v="Received"/>
    <s v="Systemair For Electrical Equipment Co."/>
    <x v="3"/>
    <x v="8"/>
    <x v="27"/>
    <n v="4"/>
    <n v="2026"/>
    <m/>
  </r>
  <r>
    <x v="3"/>
    <x v="137"/>
    <x v="5"/>
    <s v="IMP BILL AMEND. CHARGES DPBCOR217156WPM DCBWPM563039"/>
    <x v="234"/>
    <s v="DPBCOR217156WPM"/>
    <x v="0"/>
    <n v="380.66"/>
    <n v="0"/>
    <x v="2"/>
    <s v="Received"/>
    <s v="AC SOLUTIONS TRADING CO"/>
    <x v="3"/>
    <x v="8"/>
    <x v="27"/>
    <n v="4"/>
    <n v="2026"/>
    <m/>
  </r>
  <r>
    <x v="3"/>
    <x v="137"/>
    <x v="6"/>
    <s v="IMP BILL COMM DPBCOR217400WPM DCBWPM162992"/>
    <x v="439"/>
    <s v="DPBCOR217400WPM"/>
    <x v="0"/>
    <n v="5646.21"/>
    <n v="0"/>
    <x v="2"/>
    <s v="Received"/>
    <s v="Al NAKHEEL FOR TRADING COMPANY"/>
    <x v="3"/>
    <x v="9"/>
    <x v="27"/>
    <n v="4"/>
    <n v="2026"/>
    <m/>
  </r>
  <r>
    <x v="0"/>
    <x v="138"/>
    <x v="0"/>
    <s v="REF 000000JLC7000384,RB REF JLC7000384,VIA CORE SYSTEM,DATE-TIME 20/04-10:28:39, عن طريق النظام الآ لي ,VALUE DT 20/04/26"/>
    <x v="447"/>
    <s v=""/>
    <x v="0"/>
    <n v="6578.72"/>
    <n v="0"/>
    <x v="2"/>
    <s v="Received"/>
    <s v="Mat Filtrasyon Teknolojeleri A.S"/>
    <x v="0"/>
    <x v="3"/>
    <x v="27"/>
    <n v="4"/>
    <n v="2026"/>
    <m/>
  </r>
  <r>
    <x v="0"/>
    <x v="139"/>
    <x v="0"/>
    <s v="REF 000000JLC7000384,RB REF JLC7000384,VIA CORE SYSTEM,DATE-TIME 21/04-11:23:57, عن طريق النظام الآ لي ,VALUE DT 21/04/26"/>
    <x v="447"/>
    <s v=""/>
    <x v="0"/>
    <n v="4576500"/>
    <n v="0"/>
    <x v="4"/>
    <s v="Received"/>
    <s v="Mat Filtrasyon Teknolojeleri A.S"/>
    <x v="0"/>
    <x v="3"/>
    <x v="27"/>
    <n v="4"/>
    <n v="2026"/>
    <m/>
  </r>
  <r>
    <x v="3"/>
    <x v="139"/>
    <x v="6"/>
    <s v="DPBCOR211036WPM DCBWPM570380"/>
    <x v="295"/>
    <s v="DPBCOR211036WPM"/>
    <x v="0"/>
    <n v="218125.67"/>
    <n v="0"/>
    <x v="4"/>
    <s v="Received"/>
    <s v="Ajzal United for Safety CO.LTD."/>
    <x v="3"/>
    <x v="9"/>
    <x v="27"/>
    <n v="4"/>
    <n v="2026"/>
    <m/>
  </r>
  <r>
    <x v="3"/>
    <x v="139"/>
    <x v="6"/>
    <s v="GTE AMEND COMM CHARGES PEBGCU431928"/>
    <x v="434"/>
    <s v="PEBGCU431928"/>
    <x v="0"/>
    <n v="34483.29"/>
    <n v="0"/>
    <x v="5"/>
    <s v="Received"/>
    <s v="Performance - NEOM Company"/>
    <x v="4"/>
    <x v="2"/>
    <x v="27"/>
    <n v="4"/>
    <n v="2026"/>
    <m/>
  </r>
  <r>
    <x v="1"/>
    <x v="140"/>
    <x v="3"/>
    <s v=" LC SWIFT CHARGES   "/>
    <x v="183"/>
    <s v="TF251470003702"/>
    <x v="0"/>
    <n v="75"/>
    <n v="0"/>
    <x v="6"/>
    <s v="Received"/>
    <s v="NAJM AL FALAK TRADING CO."/>
    <x v="3"/>
    <x v="5"/>
    <x v="27"/>
    <n v="4"/>
    <n v="2026"/>
    <m/>
  </r>
  <r>
    <x v="1"/>
    <x v="140"/>
    <x v="3"/>
    <s v="CUSTOMER = 3972500 DEAL AMT = 75 DEAL CCY = SAR TAX CODE = 1 "/>
    <x v="183"/>
    <s v="TF251470003702"/>
    <x v="0"/>
    <n v="11.25"/>
    <n v="0"/>
    <x v="1"/>
    <s v="Received"/>
    <s v="NAJM AL FALAK TRADING CO."/>
    <x v="3"/>
    <x v="5"/>
    <x v="27"/>
    <n v="4"/>
    <n v="2026"/>
    <m/>
  </r>
  <r>
    <x v="1"/>
    <x v="140"/>
    <x v="3"/>
    <s v=" REIMBURSE UNDER LCS DR   "/>
    <x v="183"/>
    <s v="TF251470003702"/>
    <x v="0"/>
    <n v="87392.960000000006"/>
    <n v="0"/>
    <x v="6"/>
    <s v="Received"/>
    <s v="NAJM AL FALAK TRADING CO."/>
    <x v="3"/>
    <x v="5"/>
    <x v="27"/>
    <n v="4"/>
    <n v="2026"/>
    <m/>
  </r>
  <r>
    <x v="0"/>
    <x v="140"/>
    <x v="0"/>
    <s v="RB REF JLG7002299,VIA CORE SYSTEM,DATE-TIME 22/04-11:30:44, عن طريق النظام الآ لي ,VALUE DT 22/04/26"/>
    <x v="501"/>
    <s v=""/>
    <x v="0"/>
    <n v="500000"/>
    <n v="0"/>
    <x v="17"/>
    <s v="Received"/>
    <s v="Performance - King Salman International Airport Development Company (KSIADC)"/>
    <x v="0"/>
    <x v="2"/>
    <x v="27"/>
    <n v="4"/>
    <n v="2026"/>
    <m/>
  </r>
  <r>
    <x v="3"/>
    <x v="140"/>
    <x v="6"/>
    <s v="DPBCOR211578WPM DCBWPM566634"/>
    <x v="398"/>
    <s v="DPBCOR211578WPM"/>
    <x v="0"/>
    <n v="347240.48"/>
    <n v="0"/>
    <x v="4"/>
    <s v="Received"/>
    <s v="BROOQ ALAMAAN TRAD COMPANY"/>
    <x v="3"/>
    <x v="9"/>
    <x v="27"/>
    <n v="4"/>
    <n v="2026"/>
    <m/>
  </r>
  <r>
    <x v="3"/>
    <x v="140"/>
    <x v="6"/>
    <s v="IMP BILL AMEND. CHARGES DPBCOR217647WPM DCBWPM161328"/>
    <x v="401"/>
    <s v="DPBCOR217647WPM"/>
    <x v="0"/>
    <n v="1712.44"/>
    <n v="0"/>
    <x v="2"/>
    <s v="Received"/>
    <s v="INTERPLAST CO. LTD"/>
    <x v="3"/>
    <x v="9"/>
    <x v="27"/>
    <n v="4"/>
    <n v="2026"/>
    <m/>
  </r>
  <r>
    <x v="6"/>
    <x v="140"/>
    <x v="15"/>
    <s v="BT Commission Debit"/>
    <x v="445"/>
    <s v=""/>
    <x v="0"/>
    <n v="4188.17"/>
    <n v="0"/>
    <x v="2"/>
    <s v="Received"/>
    <s v="Ready Mix Company Limited."/>
    <x v="0"/>
    <x v="16"/>
    <x v="27"/>
    <n v="4"/>
    <n v="2026"/>
    <m/>
  </r>
  <r>
    <x v="6"/>
    <x v="140"/>
    <x v="15"/>
    <s v="BT SWIFT Chg Debit"/>
    <x v="445"/>
    <s v=""/>
    <x v="0"/>
    <n v="250"/>
    <n v="0"/>
    <x v="3"/>
    <s v="Received"/>
    <s v="Ready Mix Company Limited."/>
    <x v="0"/>
    <x v="16"/>
    <x v="27"/>
    <n v="4"/>
    <n v="2026"/>
    <m/>
  </r>
  <r>
    <x v="6"/>
    <x v="140"/>
    <x v="15"/>
    <s v="Value Added Tax (VAT)"/>
    <x v="445"/>
    <s v=""/>
    <x v="0"/>
    <n v="628.22"/>
    <n v="0"/>
    <x v="1"/>
    <s v="Received"/>
    <s v="Ready Mix Company Limited."/>
    <x v="0"/>
    <x v="16"/>
    <x v="27"/>
    <n v="4"/>
    <n v="2026"/>
    <m/>
  </r>
  <r>
    <x v="6"/>
    <x v="140"/>
    <x v="15"/>
    <s v="Value Added Tax (VAT)"/>
    <x v="445"/>
    <s v=""/>
    <x v="0"/>
    <n v="37.5"/>
    <n v="0"/>
    <x v="1"/>
    <s v="Received"/>
    <s v="Ready Mix Company Limited."/>
    <x v="0"/>
    <x v="16"/>
    <x v="27"/>
    <n v="4"/>
    <n v="2026"/>
    <m/>
  </r>
  <r>
    <x v="1"/>
    <x v="141"/>
    <x v="3"/>
    <s v=" LC SWIFT CHARGES   "/>
    <x v="111"/>
    <s v="TF252710002405"/>
    <x v="0"/>
    <n v="75"/>
    <n v="0"/>
    <x v="6"/>
    <s v="Received"/>
    <s v="Saudi Perfect Pumps Trading &amp; Manufacturing Company"/>
    <x v="0"/>
    <x v="7"/>
    <x v="27"/>
    <n v="4"/>
    <n v="2026"/>
    <m/>
  </r>
  <r>
    <x v="1"/>
    <x v="141"/>
    <x v="3"/>
    <s v="CUSTOMER = 3972500 DEAL AMT = 75 DEAL CCY = SAR TAX CODE = 1 "/>
    <x v="111"/>
    <s v="TF252710002404"/>
    <x v="0"/>
    <n v="11.25"/>
    <n v="0"/>
    <x v="1"/>
    <s v="Received"/>
    <s v="Saudi Perfect Pumps Trading &amp; Manufacturing Company"/>
    <x v="0"/>
    <x v="7"/>
    <x v="27"/>
    <n v="4"/>
    <n v="2026"/>
    <m/>
  </r>
  <r>
    <x v="1"/>
    <x v="141"/>
    <x v="3"/>
    <s v=" LC SWIFT CHARGES   "/>
    <x v="111"/>
    <s v="TF252710002404"/>
    <x v="0"/>
    <n v="75"/>
    <n v="0"/>
    <x v="6"/>
    <s v="Received"/>
    <s v="Saudi Perfect Pumps Trading &amp; Manufacturing Company"/>
    <x v="0"/>
    <x v="7"/>
    <x v="27"/>
    <n v="4"/>
    <n v="2026"/>
    <m/>
  </r>
  <r>
    <x v="1"/>
    <x v="141"/>
    <x v="3"/>
    <s v=" REIMBURSE UNDER LCS DR   "/>
    <x v="111"/>
    <s v="TF252710002404"/>
    <x v="0"/>
    <n v="279950"/>
    <n v="0"/>
    <x v="6"/>
    <s v="Received"/>
    <s v="Saudi Perfect Pumps Trading &amp; Manufacturing Company"/>
    <x v="0"/>
    <x v="7"/>
    <x v="27"/>
    <n v="4"/>
    <n v="2026"/>
    <m/>
  </r>
  <r>
    <x v="1"/>
    <x v="141"/>
    <x v="3"/>
    <s v="CUSTOMER = 3972500 DEAL AMT = 75 DEAL CCY = SAR TAX CODE = 1 "/>
    <x v="111"/>
    <s v="TF252710002405"/>
    <x v="0"/>
    <n v="11.25"/>
    <n v="0"/>
    <x v="1"/>
    <s v="Received"/>
    <s v="Saudi Perfect Pumps Trading &amp; Manufacturing Company"/>
    <x v="0"/>
    <x v="7"/>
    <x v="27"/>
    <n v="4"/>
    <n v="2026"/>
    <m/>
  </r>
  <r>
    <x v="1"/>
    <x v="141"/>
    <x v="3"/>
    <s v=" REIMBURSE UNDER LCS DR   "/>
    <x v="111"/>
    <s v="TF252710002405"/>
    <x v="0"/>
    <n v="412500"/>
    <n v="0"/>
    <x v="6"/>
    <s v="Received"/>
    <s v="Saudi Perfect Pumps Trading &amp; Manufacturing Company"/>
    <x v="0"/>
    <x v="7"/>
    <x v="27"/>
    <n v="4"/>
    <n v="2026"/>
    <m/>
  </r>
  <r>
    <x v="0"/>
    <x v="141"/>
    <x v="0"/>
    <s v="REF 000000JLC6901431,RB REF JLC6901431,VIA CORE SYSTEM,DATE-TIME 23/04-15:42:50, عن طريق النظام الآ لي ,VALUE DT 23/04/26"/>
    <x v="95"/>
    <s v=""/>
    <x v="0"/>
    <n v="1541382.96"/>
    <n v="0"/>
    <x v="4"/>
    <s v="Received"/>
    <s v="Mat Filtrasyon Teknolojeleri A.S"/>
    <x v="0"/>
    <x v="3"/>
    <x v="3"/>
    <n v="4"/>
    <n v="2026"/>
    <m/>
  </r>
  <r>
    <x v="2"/>
    <x v="141"/>
    <x v="4"/>
    <s v="19100000155300 DEP ID:4030219311 CHNL:SNB Payment Systems LC - J211485"/>
    <x v="192"/>
    <s v="J211485"/>
    <x v="0"/>
    <n v="0"/>
    <n v="5136.51"/>
    <x v="6"/>
    <s v="D/C Reversal"/>
    <s v="ALNAFIE METAL INDUSTRIES CO LTD"/>
    <x v="8"/>
    <x v="11"/>
    <x v="27"/>
    <n v="4"/>
    <n v="2026"/>
    <m/>
  </r>
  <r>
    <x v="2"/>
    <x v="141"/>
    <x v="4"/>
    <s v="CITY:Jeddah 6132226J211806001"/>
    <x v="384"/>
    <s v="J211806001"/>
    <x v="0"/>
    <n v="800000"/>
    <n v="0"/>
    <x v="4"/>
    <s v="Received"/>
    <s v="Alkhorayef Commercial Company"/>
    <x v="4"/>
    <x v="11"/>
    <x v="27"/>
    <n v="4"/>
    <n v="2026"/>
    <m/>
  </r>
  <r>
    <x v="2"/>
    <x v="141"/>
    <x v="4"/>
    <s v="CITY:Jeddah 6132226J211485006"/>
    <x v="192"/>
    <s v="J211485006"/>
    <x v="0"/>
    <n v="5136.51"/>
    <n v="0"/>
    <x v="2"/>
    <s v="Received"/>
    <s v="ALNAFIE METAL INDUSTRIES CO LTD"/>
    <x v="8"/>
    <x v="11"/>
    <x v="27"/>
    <n v="4"/>
    <n v="2026"/>
    <m/>
  </r>
  <r>
    <x v="2"/>
    <x v="141"/>
    <x v="11"/>
    <s v="19100000033209 BEN ID:4030219311 LC - J211485"/>
    <x v="192"/>
    <s v="J211485"/>
    <x v="0"/>
    <n v="5136.51"/>
    <n v="0"/>
    <x v="0"/>
    <s v="D/C Reversal"/>
    <s v="ALNAFIE METAL INDUSTRIES CO LTD"/>
    <x v="8"/>
    <x v="11"/>
    <x v="27"/>
    <n v="4"/>
    <n v="2026"/>
    <m/>
  </r>
  <r>
    <x v="3"/>
    <x v="141"/>
    <x v="6"/>
    <s v="DPBCOR211591WPM DCBWPM563372"/>
    <x v="397"/>
    <s v="DPBCOR211591WPM"/>
    <x v="0"/>
    <n v="850000"/>
    <n v="0"/>
    <x v="2"/>
    <s v="Received"/>
    <s v="Awraq Alqyqb Lltjart Company"/>
    <x v="3"/>
    <x v="8"/>
    <x v="27"/>
    <n v="4"/>
    <n v="2026"/>
    <m/>
  </r>
  <r>
    <x v="3"/>
    <x v="141"/>
    <x v="6"/>
    <s v="IMP BILL AMEND. CHARGES DPBCOR217770WPM DCBWPM163417"/>
    <x v="450"/>
    <s v="DPBCOR217770WPM"/>
    <x v="0"/>
    <n v="21562.5"/>
    <n v="0"/>
    <x v="2"/>
    <s v="Received"/>
    <s v="The Fundamental Installation For Electric Work Co"/>
    <x v="3"/>
    <x v="9"/>
    <x v="27"/>
    <n v="4"/>
    <n v="2026"/>
    <m/>
  </r>
  <r>
    <x v="6"/>
    <x v="141"/>
    <x v="15"/>
    <s v="BT Commission Debit"/>
    <x v="445"/>
    <s v=""/>
    <x v="0"/>
    <n v="2580"/>
    <n v="0"/>
    <x v="2"/>
    <s v="Received"/>
    <s v="Ready Mix Company Limited."/>
    <x v="0"/>
    <x v="16"/>
    <x v="27"/>
    <n v="4"/>
    <n v="2026"/>
    <m/>
  </r>
  <r>
    <x v="6"/>
    <x v="141"/>
    <x v="15"/>
    <s v="BT SWIFT Chg Debit"/>
    <x v="445"/>
    <s v=""/>
    <x v="0"/>
    <n v="250"/>
    <n v="0"/>
    <x v="3"/>
    <s v="Received"/>
    <s v="Ready Mix Company Limited."/>
    <x v="0"/>
    <x v="16"/>
    <x v="27"/>
    <n v="4"/>
    <n v="2026"/>
    <m/>
  </r>
  <r>
    <x v="6"/>
    <x v="141"/>
    <x v="15"/>
    <s v="Value Added Tax (VAT)"/>
    <x v="445"/>
    <s v=""/>
    <x v="0"/>
    <n v="387"/>
    <n v="0"/>
    <x v="1"/>
    <s v="Received"/>
    <s v="Ready Mix Company Limited."/>
    <x v="0"/>
    <x v="16"/>
    <x v="27"/>
    <n v="4"/>
    <n v="2026"/>
    <m/>
  </r>
  <r>
    <x v="6"/>
    <x v="141"/>
    <x v="15"/>
    <s v="Value Added Tax (VAT)"/>
    <x v="445"/>
    <s v=""/>
    <x v="0"/>
    <n v="37.5"/>
    <n v="0"/>
    <x v="1"/>
    <s v="Received"/>
    <s v="Ready Mix Company Limited."/>
    <x v="0"/>
    <x v="16"/>
    <x v="27"/>
    <n v="4"/>
    <n v="2026"/>
    <m/>
  </r>
  <r>
    <x v="5"/>
    <x v="141"/>
    <x v="9"/>
    <s v="Dr TI ILC Comm/Other Charges                                          _x000a_CLM005-293222466                                                      _x000a_At Bank Aljazira                                                      _x000a_ CORPORATE BANKING DEPT-JEDDAH                                        _x000a_Exchange Rate 1.0                                                     _x000a_Date 06-11-1447(H) Time 19.24.20                                      _x000a_Reference ILC-0840-25-8159                                            _x000a_Value Date 09-11-1447(H)                                              _x000a_Fee Collected By Bank AlJazira                                        _x000a_Value date 26-APR-26"/>
    <x v="84"/>
    <s v="ILC-0840-25-8159"/>
    <x v="0"/>
    <n v="50"/>
    <n v="0"/>
    <x v="6"/>
    <s v="Technical Issue"/>
    <s v="AL FALWA CO. LTD. FOR READYMIX CONCRETE"/>
    <x v="0"/>
    <x v="10"/>
    <x v="27"/>
    <n v="4"/>
    <n v="2026"/>
    <s v="Technical Issue with Jazira"/>
  </r>
  <r>
    <x v="5"/>
    <x v="141"/>
    <x v="9"/>
    <s v="Value Added Tax                                                       _x000a_On ILC Acceptance Comm.                                               _x000a_15% of SAR50.00                                                       _x000a_Through CORPORATE BANKING DEPT-JEDDAH                                 _x000a_Date 06-11-1447(H) Time 19.24.20                                      _x000a_Reference ILC-0840-25-8159                                            _x000a_At Bank Aljazira                                                      _x000a_Exchange Rate 1.0                                                     _x000a_Value date 26-APR-26"/>
    <x v="84"/>
    <s v="ILC-0840-25-8159"/>
    <x v="0"/>
    <n v="7.5"/>
    <n v="0"/>
    <x v="1"/>
    <s v="Technical Issue"/>
    <s v="AL FALWA CO. LTD. FOR READYMIX CONCRETE"/>
    <x v="0"/>
    <x v="10"/>
    <x v="27"/>
    <n v="4"/>
    <n v="2026"/>
    <s v="Technical Issue with Jazira"/>
  </r>
  <r>
    <x v="1"/>
    <x v="142"/>
    <x v="3"/>
    <s v=" LC SWIFT CHARGES   "/>
    <x v="326"/>
    <s v="TF253520001801"/>
    <x v="0"/>
    <n v="75"/>
    <n v="0"/>
    <x v="6"/>
    <s v="Received"/>
    <s v="Mahmoud Al Tahini and Partners Company"/>
    <x v="12"/>
    <x v="5"/>
    <x v="27"/>
    <n v="4"/>
    <n v="2026"/>
    <m/>
  </r>
  <r>
    <x v="1"/>
    <x v="142"/>
    <x v="3"/>
    <s v="CUSTOMER = 3972500 DEAL AMT = 75 DEAL CCY = SAR TAX CODE = 1 "/>
    <x v="111"/>
    <s v="TF252710002407"/>
    <x v="0"/>
    <n v="11.25"/>
    <n v="0"/>
    <x v="1"/>
    <s v="Received"/>
    <s v="Saudi Perfect Pumps Trading &amp; Manufacturing Company"/>
    <x v="0"/>
    <x v="7"/>
    <x v="27"/>
    <n v="4"/>
    <n v="2026"/>
    <m/>
  </r>
  <r>
    <x v="1"/>
    <x v="142"/>
    <x v="3"/>
    <s v=" LC SWIFT CHARGES   "/>
    <x v="111"/>
    <s v="TF252710002407"/>
    <x v="0"/>
    <n v="75"/>
    <n v="0"/>
    <x v="6"/>
    <s v="Received"/>
    <s v="Saudi Perfect Pumps Trading &amp; Manufacturing Company"/>
    <x v="0"/>
    <x v="7"/>
    <x v="27"/>
    <n v="4"/>
    <n v="2026"/>
    <m/>
  </r>
  <r>
    <x v="1"/>
    <x v="142"/>
    <x v="3"/>
    <s v=" REIMBURSE UNDER LCS DR   "/>
    <x v="111"/>
    <s v="TF252710002407"/>
    <x v="0"/>
    <n v="412500"/>
    <n v="0"/>
    <x v="6"/>
    <s v="Received"/>
    <s v="Saudi Perfect Pumps Trading &amp; Manufacturing Company"/>
    <x v="0"/>
    <x v="7"/>
    <x v="27"/>
    <n v="4"/>
    <n v="2026"/>
    <m/>
  </r>
  <r>
    <x v="1"/>
    <x v="142"/>
    <x v="3"/>
    <s v="CUSTOMER = 3972500 DEAL AMT = 75 DEAL CCY = SAR TAX CODE = 1 "/>
    <x v="111"/>
    <s v="TF252710002408"/>
    <x v="0"/>
    <n v="11.25"/>
    <n v="0"/>
    <x v="1"/>
    <s v="Received"/>
    <s v="Saudi Perfect Pumps Trading &amp; Manufacturing Company"/>
    <x v="0"/>
    <x v="7"/>
    <x v="27"/>
    <n v="4"/>
    <n v="2026"/>
    <m/>
  </r>
  <r>
    <x v="1"/>
    <x v="142"/>
    <x v="3"/>
    <s v=" LC SWIFT CHARGES   "/>
    <x v="111"/>
    <s v="TF252710002408"/>
    <x v="0"/>
    <n v="75"/>
    <n v="0"/>
    <x v="6"/>
    <s v="Received"/>
    <s v="Saudi Perfect Pumps Trading &amp; Manufacturing Company"/>
    <x v="0"/>
    <x v="7"/>
    <x v="27"/>
    <n v="4"/>
    <n v="2026"/>
    <m/>
  </r>
  <r>
    <x v="1"/>
    <x v="142"/>
    <x v="3"/>
    <s v=" REIMBURSE UNDER LCS DR   "/>
    <x v="111"/>
    <s v="TF252710002408"/>
    <x v="0"/>
    <n v="279950"/>
    <n v="0"/>
    <x v="6"/>
    <s v="Received"/>
    <s v="Saudi Perfect Pumps Trading &amp; Manufacturing Company"/>
    <x v="0"/>
    <x v="7"/>
    <x v="27"/>
    <n v="4"/>
    <n v="2026"/>
    <m/>
  </r>
  <r>
    <x v="1"/>
    <x v="142"/>
    <x v="3"/>
    <s v="CUSTOMER = 3972500 DEAL AMT = 75 DEAL CCY = SAR TAX CODE = 1 "/>
    <x v="326"/>
    <s v="TF253520001801"/>
    <x v="0"/>
    <n v="11.25"/>
    <n v="0"/>
    <x v="1"/>
    <s v="Received"/>
    <s v="Mahmoud Al Tahini and Partners Company"/>
    <x v="12"/>
    <x v="5"/>
    <x v="27"/>
    <n v="4"/>
    <n v="2026"/>
    <m/>
  </r>
  <r>
    <x v="1"/>
    <x v="142"/>
    <x v="3"/>
    <s v=" REIMBURSE UNDER LCS DR   "/>
    <x v="326"/>
    <s v="TF253520001801"/>
    <x v="0"/>
    <n v="1249991.3500000001"/>
    <n v="0"/>
    <x v="6"/>
    <s v="Received"/>
    <s v="Mahmoud Al Tahini and Partners Company"/>
    <x v="12"/>
    <x v="5"/>
    <x v="27"/>
    <n v="4"/>
    <n v="2026"/>
    <m/>
  </r>
  <r>
    <x v="0"/>
    <x v="142"/>
    <x v="2"/>
    <s v="REF 000000JLC6902213,RB REF JLC6902213,VIA CORE SYSTEM,DATE-TIME 26/04-17:04:20, عن طريق النظام الآ لي ,VALUE DT 26/04/26"/>
    <x v="281"/>
    <s v=""/>
    <x v="1"/>
    <n v="81510.42"/>
    <n v="0"/>
    <x v="4"/>
    <s v="Received"/>
    <s v="IBA MIDDLE EAST FZE"/>
    <x v="11"/>
    <x v="3"/>
    <x v="27"/>
    <n v="4"/>
    <n v="2026"/>
    <m/>
  </r>
  <r>
    <x v="0"/>
    <x v="142"/>
    <x v="0"/>
    <s v="RB REF JLG7001085,VIA CORE SYSTEM,DATE-TIME 26/04-13:59:31, عن طريق النظام الآ لي ,VALUE DT 26/04/26"/>
    <x v="502"/>
    <s v=""/>
    <x v="0"/>
    <n v="28751.15"/>
    <n v="0"/>
    <x v="17"/>
    <s v="Received"/>
    <s v="Bid - NINETY Real Estate Development Company"/>
    <x v="1"/>
    <x v="2"/>
    <x v="27"/>
    <n v="4"/>
    <n v="2026"/>
    <m/>
  </r>
  <r>
    <x v="0"/>
    <x v="142"/>
    <x v="0"/>
    <s v="REF 000000JLC6801573,RB REF JLC6801573,VIA CORE SYSTEM,DATE-TIME 26/04-14:18:10, عن طريق النظام الآ لي ,VALUE DT 26/04/26"/>
    <x v="0"/>
    <s v=""/>
    <x v="0"/>
    <n v="230"/>
    <n v="0"/>
    <x v="2"/>
    <s v="Received"/>
    <s v="Visio INC"/>
    <x v="0"/>
    <x v="0"/>
    <x v="27"/>
    <n v="4"/>
    <n v="2026"/>
    <m/>
  </r>
  <r>
    <x v="0"/>
    <x v="143"/>
    <x v="0"/>
    <s v="REF 000000JLC7000192,RB REF JLC7000192,VIA CORE SYSTEM,DATE-TIME 27/04-16:13:54, عن طريق النظام الآ لي ,VALUE DT 27/04/26"/>
    <x v="414"/>
    <s v=""/>
    <x v="0"/>
    <n v="845.25"/>
    <n v="0"/>
    <x v="5"/>
    <s v="Received"/>
    <s v="Systemair For Electrical Equipment Co."/>
    <x v="3"/>
    <x v="3"/>
    <x v="27"/>
    <n v="4"/>
    <n v="2026"/>
    <m/>
  </r>
  <r>
    <x v="0"/>
    <x v="143"/>
    <x v="0"/>
    <s v="REF 000000JLC7000002,RB REF JLC7000002,VIA CORE SYSTEM,DATE-TIME 27/04-16:17:28, عن طريق النظام الآ لي ,VALUE DT 27/04/26"/>
    <x v="350"/>
    <s v=""/>
    <x v="0"/>
    <n v="924.17"/>
    <n v="0"/>
    <x v="5"/>
    <s v="Received"/>
    <s v="Riyadh Unity for Trading"/>
    <x v="3"/>
    <x v="3"/>
    <x v="27"/>
    <n v="4"/>
    <n v="2026"/>
    <m/>
  </r>
  <r>
    <x v="0"/>
    <x v="143"/>
    <x v="0"/>
    <s v="REF 000000JLC7000007,RB REF JLC7000007,VIA CORE SYSTEM,DATE-TIME 27/04-16:16:39, عن طريق النظام الآ لي ,VALUE DT 27/04/26"/>
    <x v="343"/>
    <s v=""/>
    <x v="0"/>
    <n v="1628.48"/>
    <n v="0"/>
    <x v="5"/>
    <s v="Received"/>
    <s v="ALFANAR ELECTRICAL SYSTEMS"/>
    <x v="3"/>
    <x v="3"/>
    <x v="27"/>
    <n v="4"/>
    <n v="2026"/>
    <m/>
  </r>
  <r>
    <x v="0"/>
    <x v="143"/>
    <x v="0"/>
    <s v="REF 000000JLC7000005,RB REF JLC7000005,VIA CORE SYSTEM,DATE-TIME 27/04-16:13:07, عن طريق النظام الآ لي ,VALUE DT 27/04/26"/>
    <x v="348"/>
    <s v=""/>
    <x v="0"/>
    <n v="1819.55"/>
    <n v="0"/>
    <x v="5"/>
    <s v="Received"/>
    <s v="Teqniye Al-Majra For Contracting"/>
    <x v="3"/>
    <x v="3"/>
    <x v="27"/>
    <n v="4"/>
    <n v="2026"/>
    <m/>
  </r>
  <r>
    <x v="0"/>
    <x v="143"/>
    <x v="0"/>
    <s v="REF 000000JLC7000003,RB REF JLC7000003,VIA CORE SYSTEM,DATE-TIME 27/04-16:18:26, عن طريق النظام الآ لي ,VALUE DT 27/04/26"/>
    <x v="342"/>
    <s v=""/>
    <x v="0"/>
    <n v="2068.2600000000002"/>
    <n v="0"/>
    <x v="5"/>
    <s v="Received"/>
    <s v="SCHNEIDER ELECTRIC SAUDI ARABIA CO"/>
    <x v="3"/>
    <x v="3"/>
    <x v="27"/>
    <n v="4"/>
    <n v="2026"/>
    <m/>
  </r>
  <r>
    <x v="0"/>
    <x v="143"/>
    <x v="0"/>
    <s v="REF 000000JLC7000008,RB REF JLC7000008,VIA CORE SYSTEM,DATE-TIME 27/04-12:10:45, عن طريق النظام الآ لي ,VALUE DT 27/04/26"/>
    <x v="349"/>
    <s v=""/>
    <x v="0"/>
    <n v="2156.25"/>
    <n v="0"/>
    <x v="5"/>
    <s v="Received"/>
    <s v="Isam Kabbani &amp; Partners Ltd-Unitech"/>
    <x v="3"/>
    <x v="3"/>
    <x v="27"/>
    <n v="4"/>
    <n v="2026"/>
    <m/>
  </r>
  <r>
    <x v="0"/>
    <x v="143"/>
    <x v="0"/>
    <s v="RB REF JLG7001038,VIA CORE SYSTEM,DATE-TIME 27/04-17:03:37, عن طريق النظام الآ لي ,VALUE DT 27/04/26"/>
    <x v="485"/>
    <s v=""/>
    <x v="0"/>
    <n v="718.75"/>
    <n v="0"/>
    <x v="17"/>
    <s v="Received"/>
    <s v="Bid - KING SALMAN INTERNATIONAL AIRPORT DEVELOPMENT COMPANY"/>
    <x v="1"/>
    <x v="2"/>
    <x v="27"/>
    <n v="4"/>
    <n v="2026"/>
    <m/>
  </r>
  <r>
    <x v="2"/>
    <x v="142"/>
    <x v="4"/>
    <s v="19100000155300 DEP ID:4030219311 CHNL:SNB Payment Systems J212030"/>
    <x v="440"/>
    <s v="J212030"/>
    <x v="0"/>
    <n v="0"/>
    <n v="1837.13"/>
    <x v="0"/>
    <s v="D/C Reversal"/>
    <s v="Safid Co Ltd"/>
    <x v="4"/>
    <x v="11"/>
    <x v="27"/>
    <n v="4"/>
    <n v="2026"/>
    <m/>
  </r>
  <r>
    <x v="2"/>
    <x v="142"/>
    <x v="4"/>
    <s v="CITY:Jeddah 6132226J212030001"/>
    <x v="440"/>
    <s v="J212030001"/>
    <x v="0"/>
    <n v="1837.13"/>
    <n v="0"/>
    <x v="2"/>
    <s v="Received"/>
    <s v="Safid Co Ltd"/>
    <x v="4"/>
    <x v="11"/>
    <x v="27"/>
    <n v="4"/>
    <n v="2026"/>
    <m/>
  </r>
  <r>
    <x v="2"/>
    <x v="142"/>
    <x v="11"/>
    <s v="19100000033209 BEN ID:4030219311 J212030"/>
    <x v="440"/>
    <s v="J212030"/>
    <x v="2"/>
    <n v="1837.13"/>
    <n v="0"/>
    <x v="0"/>
    <s v="D/C Reversal"/>
    <s v="Safid Co Ltd"/>
    <x v="4"/>
    <x v="11"/>
    <x v="27"/>
    <n v="4"/>
    <n v="2026"/>
    <m/>
  </r>
  <r>
    <x v="3"/>
    <x v="142"/>
    <x v="6"/>
    <s v="IMP BILL COMM DPBCOR217930WPM DCBWPM163967"/>
    <x v="468"/>
    <s v="DPBCOR217930WPM"/>
    <x v="0"/>
    <n v="2156.25"/>
    <n v="0"/>
    <x v="8"/>
    <s v="Received"/>
    <s v="National Fire Fighting Manufacturing Fzco Br."/>
    <x v="3"/>
    <x v="9"/>
    <x v="27"/>
    <n v="4"/>
    <n v="2026"/>
    <m/>
  </r>
  <r>
    <x v="3"/>
    <x v="142"/>
    <x v="6"/>
    <s v="DPBCOR210930WPM DCBWPM566848"/>
    <x v="373"/>
    <s v="DPBCOR210930WPM"/>
    <x v="0"/>
    <n v="500000"/>
    <n v="0"/>
    <x v="4"/>
    <s v="Received"/>
    <s v="Arabian International Company For Contracting"/>
    <x v="3"/>
    <x v="9"/>
    <x v="27"/>
    <n v="4"/>
    <n v="2026"/>
    <m/>
  </r>
  <r>
    <x v="3"/>
    <x v="142"/>
    <x v="6"/>
    <s v="IMP BILL AMEND. CHARGES DPBCOR217703WPM DCBWPM160342"/>
    <x v="375"/>
    <s v="DPBCOR217703WPM"/>
    <x v="0"/>
    <n v="1574.11"/>
    <n v="0"/>
    <x v="2"/>
    <s v="Received"/>
    <s v="BROOQ ALAMAAN TRAD COMPANY"/>
    <x v="3"/>
    <x v="9"/>
    <x v="27"/>
    <n v="4"/>
    <n v="2026"/>
    <m/>
  </r>
  <r>
    <x v="3"/>
    <x v="142"/>
    <x v="6"/>
    <s v="IMP BILL AMEND. CHARGES DPBCOR217882WPM DCBWPM566634"/>
    <x v="398"/>
    <s v="DPBCOR217882WPM"/>
    <x v="0"/>
    <n v="575"/>
    <n v="0"/>
    <x v="2"/>
    <s v="Received"/>
    <s v="BROOQ ALAMAAN TRAD COMPANY"/>
    <x v="3"/>
    <x v="9"/>
    <x v="27"/>
    <n v="4"/>
    <n v="2026"/>
    <m/>
  </r>
  <r>
    <x v="3"/>
    <x v="143"/>
    <x v="6"/>
    <s v="IMP BILL COMM DPBCOR218035WPM DCBWPM163957"/>
    <x v="474"/>
    <s v="DPBCOR218035WPM"/>
    <x v="0"/>
    <n v="1348.81"/>
    <n v="0"/>
    <x v="8"/>
    <s v="Received"/>
    <s v="Mohamad Saeed Afifi Trading Est."/>
    <x v="3"/>
    <x v="9"/>
    <x v="27"/>
    <n v="4"/>
    <n v="2026"/>
    <m/>
  </r>
  <r>
    <x v="5"/>
    <x v="142"/>
    <x v="9"/>
    <s v="Value Added Tax                                                       _x000a_On LGI Amend Commission                                               _x000a_15% of SAR4,791.66                                                    _x000a_Through CORPORATE BANKING DEPT-JEDDAH                                 _x000a_Date 09-11-1447(H) Time 15.06.44                                      _x000a_Reference LGI-0840-26-8188                                            _x000a_At Bank Aljazira                                                      _x000a_Exchange Rate 1.0                                                     _x000a_"/>
    <x v="503"/>
    <s v=""/>
    <x v="0"/>
    <n v="718.75"/>
    <n v="0"/>
    <x v="1"/>
    <s v="Received"/>
    <s v="Bid - SAUDI ARABIA RAILWAY SAR"/>
    <x v="1"/>
    <x v="2"/>
    <x v="27"/>
    <n v="4"/>
    <n v="2026"/>
    <m/>
  </r>
  <r>
    <x v="5"/>
    <x v="142"/>
    <x v="9"/>
    <s v="Dr TI LGI Comm/Other Charges                                          _x000a_AMD001-295771206                                                      _x000a_At Bank AlJazira                                                      _x000a_CORPORATE BANKING DEPT-JEDDAH                                         _x000a_Date 09-11-1447(H) Time 15.06.44                                      _x000a_Reference LGI-0840-26-8188                                            _x000a_"/>
    <x v="503"/>
    <s v=""/>
    <x v="0"/>
    <n v="4791.66"/>
    <n v="0"/>
    <x v="16"/>
    <s v="Received"/>
    <s v="Bid - SAUDI ARABIA RAILWAY SAR"/>
    <x v="1"/>
    <x v="2"/>
    <x v="27"/>
    <n v="4"/>
    <n v="2026"/>
    <m/>
  </r>
  <r>
    <x v="5"/>
    <x v="142"/>
    <x v="9"/>
    <s v="Value Added Tax                                                       _x000a_On                                                                    _x000a_15% of SAR4,212.33                                                    _x000a_Through CORPORATE BANKING DEPT-JEDDAH                                 _x000a_Date 09-11-1447(H) Time 15.06.43                                      _x000a_Reference LGI-0840-26-8188                                            _x000a_At Bank Aljazira                                                      _x000a_Exchange Rate 1.0                                                     _x000a_"/>
    <x v="503"/>
    <s v=""/>
    <x v="0"/>
    <n v="631.85"/>
    <n v="0"/>
    <x v="1"/>
    <s v="Received"/>
    <s v="Bid - SAUDI ARABIA RAILWAY SAR"/>
    <x v="1"/>
    <x v="2"/>
    <x v="27"/>
    <n v="4"/>
    <n v="2026"/>
    <m/>
  </r>
  <r>
    <x v="5"/>
    <x v="142"/>
    <x v="9"/>
    <s v="Dr TI LGI Comm/Other Charges                                          _x000a_AMD001-295770765                                                      _x000a_At Bank AlJazira                                                      _x000a_CORPORATE BANKING DEPT-JEDDAH                                         _x000a_Date 09-11-1447(H) Time 15.06.43                                      _x000a_Reference LGI-0840-26-8188                                            _x000a_"/>
    <x v="503"/>
    <s v=""/>
    <x v="0"/>
    <n v="4212.33"/>
    <n v="0"/>
    <x v="16"/>
    <s v="Received"/>
    <s v="Bid - SAUDI ARABIA RAILWAY SAR"/>
    <x v="1"/>
    <x v="2"/>
    <x v="27"/>
    <n v="4"/>
    <n v="2026"/>
    <m/>
  </r>
  <r>
    <x v="5"/>
    <x v="142"/>
    <x v="9"/>
    <s v="Value Added Tax                                                       _x000a_On SWIFT charges                                                      _x000a_15% of SAR200.00                                                      _x000a_Through CORPORATE BANKING DEPT-JEDDAH                                 _x000a_Date 09-11-1447(H) Time 10.54.19                                      _x000a_Reference ILC-0840-26-8758                                            _x000a_At Bank Aljazira                                                      _x000a_"/>
    <x v="352"/>
    <s v=""/>
    <x v="0"/>
    <n v="30"/>
    <n v="0"/>
    <x v="1"/>
    <s v="Received"/>
    <s v="Green Concrete CJSC"/>
    <x v="0"/>
    <x v="10"/>
    <x v="27"/>
    <n v="4"/>
    <n v="2026"/>
    <m/>
  </r>
  <r>
    <x v="5"/>
    <x v="142"/>
    <x v="9"/>
    <s v="Dr TI ILC Comm/Other Charges                                          _x000a_POC003-295695671                                                      _x000a_At Bank Aljazira                                                      _x000a_ CORPORATE BANKING DEPT-JEDDAH                                        _x000a_Date 09-11-1447(H) Time 10.54.19                                      _x000a_Reference ILC-0840-26-8758                                            _x000a_Value Date 09-11-1447(H)                                              _x000a_Fee Collected By Bank AlJazira                                        _x000a_"/>
    <x v="352"/>
    <s v=""/>
    <x v="0"/>
    <n v="200"/>
    <n v="0"/>
    <x v="2"/>
    <s v="Received"/>
    <s v="Green Concrete CJSC"/>
    <x v="0"/>
    <x v="10"/>
    <x v="27"/>
    <n v="4"/>
    <n v="2026"/>
    <m/>
  </r>
  <r>
    <x v="5"/>
    <x v="142"/>
    <x v="9"/>
    <s v="Value Added Tax                                                       _x000a_On ILC Acceptance Comm.                                               _x000a_15% of SAR100.00                                                      _x000a_Through CORPORATE BANKING DEPT-JEDDAH                                 _x000a_Date 09-11-1447(H) Time 10.54.18                                      _x000a_Reference ILC-0840-26-8758                                            _x000a_At Bank Aljazira                                                      _x000a_"/>
    <x v="352"/>
    <s v=""/>
    <x v="0"/>
    <n v="15"/>
    <n v="0"/>
    <x v="1"/>
    <s v="Received"/>
    <s v="Green Concrete CJSC"/>
    <x v="0"/>
    <x v="10"/>
    <x v="27"/>
    <n v="4"/>
    <n v="2026"/>
    <m/>
  </r>
  <r>
    <x v="5"/>
    <x v="142"/>
    <x v="9"/>
    <s v="Dr TI ILC Comm/Other Charges                                          _x000a_POC003-295695667                                                      _x000a_At Bank Aljazira                                                      _x000a_ CORPORATE BANKING DEPT-JEDDAH                                        _x000a_Date 09-11-1447(H) Time 10.54.18                                      _x000a_Reference ILC-0840-26-8758                                            _x000a_Value Date 09-11-1447(H)                                              _x000a_Fee Collected By Bank AlJazira                                        _x000a_"/>
    <x v="352"/>
    <s v=""/>
    <x v="0"/>
    <n v="250"/>
    <n v="0"/>
    <x v="2"/>
    <s v="Received"/>
    <s v="Green Concrete CJSC"/>
    <x v="0"/>
    <x v="10"/>
    <x v="27"/>
    <n v="4"/>
    <n v="2026"/>
    <m/>
  </r>
  <r>
    <x v="5"/>
    <x v="142"/>
    <x v="9"/>
    <s v="Dr TI ILC Comm/Other Charges                                          _x000a_POC003-295695627                                                      _x000a_At Bank Aljazira                                                      _x000a_ CORPORATE BANKING DEPT-JEDDAH                                        _x000a_Date 09-11-1447(H) Time 10.54.18                                      _x000a_Reference ILC-0840-26-8758                                            _x000a_Value Date 09-11-1447(H)                                              _x000a_Fee Collected By Bank AlJazira                                        _x000a_"/>
    <x v="352"/>
    <s v=""/>
    <x v="0"/>
    <n v="100"/>
    <n v="0"/>
    <x v="2"/>
    <s v="Received"/>
    <s v="Green Concrete CJSC"/>
    <x v="0"/>
    <x v="10"/>
    <x v="27"/>
    <n v="4"/>
    <n v="2026"/>
    <m/>
  </r>
  <r>
    <x v="5"/>
    <x v="142"/>
    <x v="9"/>
    <s v="TI Bill Settled                                                       _x000a_POC002                                                                _x000a_At Bank AlJazira                                                      _x000a_CORPORATE BANKING DEPT-JEDDAH                                         _x000a_Date 09-11-1447(H) Time 10.53.06                                      _x000a_Reference ILC-0840-25-8164                                            _x000a_"/>
    <x v="312"/>
    <s v=""/>
    <x v="0"/>
    <n v="42591.07"/>
    <n v="0"/>
    <x v="4"/>
    <s v="Received"/>
    <s v="Mohammed Ramadan Shat Factory"/>
    <x v="3"/>
    <x v="10"/>
    <x v="27"/>
    <n v="4"/>
    <n v="2026"/>
    <m/>
  </r>
  <r>
    <x v="5"/>
    <x v="142"/>
    <x v="9"/>
    <s v="TI Bill Settled                                                       _x000a_POC011                                                                _x000a_At Bank AlJazira                                                      _x000a_CORPORATE BANKING DEPT-JEDDAH                                         _x000a_Date 09-11-1447(H) Time 10.52.56                                      _x000a_Reference ILC-0840-25-8159                                            _x000a_"/>
    <x v="84"/>
    <s v="ILC-0840-25-8159"/>
    <x v="0"/>
    <n v="537079.9"/>
    <n v="0"/>
    <x v="4"/>
    <s v="Received"/>
    <s v="AL FALWA CO. LTD. FOR READYMIX CONCRETE"/>
    <x v="0"/>
    <x v="10"/>
    <x v="27"/>
    <n v="4"/>
    <n v="2026"/>
    <m/>
  </r>
  <r>
    <x v="5"/>
    <x v="142"/>
    <x v="9"/>
    <s v="TI Bill Settled                                                       _x000a_POC002                                                                _x000a_At Bank AlJazira                                                      _x000a_CORPORATE BANKING DEPT-JEDDAH                                         _x000a_Date 09-11-1447(H) Time 10.52.06                                      _x000a_Reference ILC-0840-25-7984                                            _x000a_"/>
    <x v="80"/>
    <s v=""/>
    <x v="0"/>
    <n v="89826.5"/>
    <n v="0"/>
    <x v="4"/>
    <s v="Received"/>
    <s v="Mohammed Ramadan Shat"/>
    <x v="3"/>
    <x v="10"/>
    <x v="27"/>
    <n v="4"/>
    <n v="2026"/>
    <m/>
  </r>
  <r>
    <x v="5"/>
    <x v="142"/>
    <x v="9"/>
    <s v="Value Added Tax                                                       _x000a_On ILC Acceptance Comm.                                               _x000a_15% of SAR250.00                                                      _x000a_Through CORPORATE BANKING DEPT-JEDDAH                                 _x000a_Date 09-11-1447(H) Time 10.54.19                                      _x000a_Reference ILC-0840-26-8758                                            _x000a_At Bank Aljazira                                                      _x000a_"/>
    <x v="352"/>
    <s v=""/>
    <x v="0"/>
    <n v="37.5"/>
    <n v="0"/>
    <x v="1"/>
    <s v="Received"/>
    <s v="Green Concrete CJSC"/>
    <x v="0"/>
    <x v="10"/>
    <x v="27"/>
    <n v="4"/>
    <n v="2026"/>
    <m/>
  </r>
  <r>
    <x v="5"/>
    <x v="143"/>
    <x v="9"/>
    <s v="Value Added Tax                                                       _x000a_On ILC Acceptance Comm.                                               _x000a_15% of SAR250.00                                                      _x000a_Through CORPORATE BANKING DEPT-JEDDAH                                 _x000a_Date 10-11-1447(H) Time 11.45.04                                      _x000a_Reference ILC-0840-25-8164                                            _x000a_At Bank Aljazira                                                      _x000a_"/>
    <x v="312"/>
    <s v=""/>
    <x v="0"/>
    <n v="37.5"/>
    <n v="0"/>
    <x v="1"/>
    <s v="Received"/>
    <s v="Mohammed Ramadan Shat Factory"/>
    <x v="3"/>
    <x v="10"/>
    <x v="27"/>
    <n v="4"/>
    <n v="2026"/>
    <m/>
  </r>
  <r>
    <x v="5"/>
    <x v="143"/>
    <x v="9"/>
    <s v="Dr TI ILC Comm/Other Charges                                          _x000a_POC003-295864159                                                      _x000a_At Bank Aljazira                                                      _x000a_ CORPORATE BANKING DEPT-JEDDAH                                        _x000a_Date 10-11-1447(H) Time 11.45.03                                      _x000a_Reference ILC-0840-25-8164                                            _x000a_Value Date 10-11-1447(H)                                              _x000a_Fee Collected By Bank AlJazira                                        _x000a_"/>
    <x v="312"/>
    <s v=""/>
    <x v="0"/>
    <n v="250"/>
    <n v="0"/>
    <x v="2"/>
    <s v="Received"/>
    <s v="Mohammed Ramadan Shat Factory"/>
    <x v="3"/>
    <x v="10"/>
    <x v="27"/>
    <n v="4"/>
    <n v="2026"/>
    <m/>
  </r>
  <r>
    <x v="5"/>
    <x v="143"/>
    <x v="9"/>
    <s v="Value Added Tax                                                       _x000a_On ILC Acceptance Comm.                                               _x000a_15% of SAR100.00                                                      _x000a_Through CORPORATE BANKING DEPT-JEDDAH                                 _x000a_Date 10-11-1447(H) Time 11.45.03                                      _x000a_Reference ILC-0840-25-8164                                            _x000a_At Bank Aljazira                                                      _x000a_"/>
    <x v="312"/>
    <s v=""/>
    <x v="0"/>
    <n v="15"/>
    <n v="0"/>
    <x v="1"/>
    <s v="Received"/>
    <s v="Mohammed Ramadan Shat Factory"/>
    <x v="3"/>
    <x v="10"/>
    <x v="27"/>
    <n v="4"/>
    <n v="2026"/>
    <m/>
  </r>
  <r>
    <x v="5"/>
    <x v="143"/>
    <x v="9"/>
    <s v="Dr TI ILC Comm/Other Charges                                          _x000a_POC003-295864107                                                      _x000a_At Bank Aljazira                                                      _x000a_ CORPORATE BANKING DEPT-JEDDAH                                        _x000a_Date 10-11-1447(H) Time 11.45.03                                      _x000a_Reference ILC-0840-25-8164                                            _x000a_Value Date 10-11-1447(H)                                              _x000a_Fee Collected By Bank AlJazira                                        _x000a_"/>
    <x v="312"/>
    <s v=""/>
    <x v="0"/>
    <n v="100"/>
    <n v="0"/>
    <x v="2"/>
    <s v="Received"/>
    <s v="Mohammed Ramadan Shat Factory"/>
    <x v="3"/>
    <x v="10"/>
    <x v="27"/>
    <n v="4"/>
    <n v="2026"/>
    <m/>
  </r>
  <r>
    <x v="5"/>
    <x v="143"/>
    <x v="9"/>
    <s v="Value Added Tax                                                       _x000a_On SWIFT charges                                                      _x000a_15% of SAR200.00                                                      _x000a_Through CORPORATE BANKING DEPT-JEDDAH                                 _x000a_Date 10-11-1447(H) Time 11.44.49                                      _x000a_Reference ILC-0840-25-8011                                            _x000a_At Bank Aljazira                                                      _x000a_"/>
    <x v="71"/>
    <s v=""/>
    <x v="0"/>
    <n v="30"/>
    <n v="0"/>
    <x v="1"/>
    <s v="Received"/>
    <s v="Metten Al-Arabia Ltd Co (METARA)"/>
    <x v="0"/>
    <x v="10"/>
    <x v="27"/>
    <n v="4"/>
    <n v="2026"/>
    <m/>
  </r>
  <r>
    <x v="5"/>
    <x v="143"/>
    <x v="9"/>
    <s v="Dr TI ILC Comm/Other Charges                                          _x000a_POC007-295866095                                                      _x000a_At Bank Aljazira                                                      _x000a_ CORPORATE BANKING DEPT-JEDDAH                                        _x000a_Date 10-11-1447(H) Time 11.44.48                                      _x000a_Reference ILC-0840-25-8011                                            _x000a_Value Date 10-11-1447(H)                                              _x000a_Fee Collected By Bank AlJazira                                        _x000a_"/>
    <x v="71"/>
    <s v=""/>
    <x v="0"/>
    <n v="537"/>
    <n v="0"/>
    <x v="2"/>
    <s v="Received"/>
    <s v="Metten Al-Arabia Ltd Co (METARA)"/>
    <x v="0"/>
    <x v="10"/>
    <x v="27"/>
    <n v="4"/>
    <n v="2026"/>
    <m/>
  </r>
  <r>
    <x v="5"/>
    <x v="143"/>
    <x v="9"/>
    <s v="Value Added Tax                                                       _x000a_On ILC Acceptance Comm.                                               _x000a_15% of SAR537.00                                                      _x000a_Through CORPORATE BANKING DEPT-JEDDAH                                 _x000a_Date 10-11-1447(H) Time 11.44.48                                      _x000a_Reference ILC-0840-25-8011                                            _x000a_At Bank Aljazira                                                      _x000a_"/>
    <x v="71"/>
    <s v=""/>
    <x v="0"/>
    <n v="80.55"/>
    <n v="0"/>
    <x v="1"/>
    <s v="Received"/>
    <s v="Metten Al-Arabia Ltd Co (METARA)"/>
    <x v="0"/>
    <x v="10"/>
    <x v="27"/>
    <n v="4"/>
    <n v="2026"/>
    <m/>
  </r>
  <r>
    <x v="5"/>
    <x v="143"/>
    <x v="9"/>
    <s v="Value Added Tax                                                       _x000a_On ILC Acceptance Comm.                                               _x000a_15% of SAR100.00                                                      _x000a_Through CORPORATE BANKING DEPT-JEDDAH                                 _x000a_Date 10-11-1447(H) Time 11.44.48                                      _x000a_Reference ILC-0840-25-8011                                            _x000a_At Bank Aljazira                                                      _x000a_"/>
    <x v="71"/>
    <s v=""/>
    <x v="0"/>
    <n v="15"/>
    <n v="0"/>
    <x v="1"/>
    <s v="Received"/>
    <s v="Metten Al-Arabia Ltd Co (METARA)"/>
    <x v="0"/>
    <x v="10"/>
    <x v="27"/>
    <n v="4"/>
    <n v="2026"/>
    <m/>
  </r>
  <r>
    <x v="5"/>
    <x v="143"/>
    <x v="9"/>
    <s v="Dr TI ILC Comm/Other Charges                                          _x000a_POC007-295865893                                                      _x000a_At Bank Aljazira                                                      _x000a_ CORPORATE BANKING DEPT-JEDDAH                                        _x000a_Date 10-11-1447(H) Time 11.44.47                                      _x000a_Reference ILC-0840-25-8011                                            _x000a_Value Date 10-11-1447(H)                                              _x000a_Fee Collected By Bank AlJazira                                        _x000a_"/>
    <x v="71"/>
    <s v=""/>
    <x v="0"/>
    <n v="100"/>
    <n v="0"/>
    <x v="2"/>
    <s v="Received"/>
    <s v="Metten Al-Arabia Ltd Co (METARA)"/>
    <x v="0"/>
    <x v="10"/>
    <x v="27"/>
    <n v="4"/>
    <n v="2026"/>
    <m/>
  </r>
  <r>
    <x v="5"/>
    <x v="143"/>
    <x v="9"/>
    <s v="Dr TI ILC Comm/Other Charges                                          _x000a_POC003-295864163                                                      _x000a_At Bank Aljazira                                                      _x000a_ CORPORATE BANKING DEPT-JEDDAH                                        _x000a_Date 10-11-1447(H) Time 11.45.04                                      _x000a_Reference ILC-0840-25-8164                                            _x000a_Value Date 10-11-1447(H)                                              _x000a_Fee Collected By Bank AlJazira                                        _x000a_"/>
    <x v="312"/>
    <s v=""/>
    <x v="0"/>
    <n v="200"/>
    <n v="0"/>
    <x v="2"/>
    <s v="Received"/>
    <s v="Mohammed Ramadan Shat Factory"/>
    <x v="3"/>
    <x v="10"/>
    <x v="27"/>
    <n v="4"/>
    <n v="2026"/>
    <m/>
  </r>
  <r>
    <x v="5"/>
    <x v="143"/>
    <x v="9"/>
    <s v="Dr TI ILC Comm/Other Charges                                          _x000a_POC007-295866099                                                      _x000a_At Bank Aljazira                                                      _x000a_ CORPORATE BANKING DEPT-JEDDAH                                        _x000a_Date 10-11-1447(H) Time 11.44.48                                      _x000a_Reference ILC-0840-25-8011                                            _x000a_Value Date 10-11-1447(H)                                              _x000a_Fee Collected By Bank AlJazira                                        _x000a_"/>
    <x v="71"/>
    <s v=""/>
    <x v="0"/>
    <n v="200"/>
    <n v="0"/>
    <x v="2"/>
    <s v="Received"/>
    <s v="Metten Al-Arabia Ltd Co (METARA)"/>
    <x v="0"/>
    <x v="10"/>
    <x v="27"/>
    <n v="4"/>
    <n v="2026"/>
    <m/>
  </r>
  <r>
    <x v="5"/>
    <x v="143"/>
    <x v="9"/>
    <s v="Value Added Tax                                                       _x000a_On SWIFT charges                                                      _x000a_15% of SAR200.00                                                      _x000a_Through CORPORATE BANKING DEPT-JEDDAH                                 _x000a_Date 10-11-1447(H) Time 11.45.05                                      _x000a_Reference ILC-0840-25-8164                                            _x000a_At Bank Aljazira                                                      _x000a_"/>
    <x v="312"/>
    <s v=""/>
    <x v="0"/>
    <n v="30"/>
    <n v="0"/>
    <x v="1"/>
    <s v="Received"/>
    <s v="Mohammed Ramadan Shat Factory"/>
    <x v="3"/>
    <x v="10"/>
    <x v="27"/>
    <n v="4"/>
    <n v="2026"/>
    <m/>
  </r>
  <r>
    <x v="1"/>
    <x v="143"/>
    <x v="3"/>
    <s v="CUSTOMER = 3972500 DEAL AMT = 7606.74 DEAL CCY = GBP TAX CODE = 1 "/>
    <x v="427"/>
    <s v="TF260560000801"/>
    <x v="0"/>
    <n v="1141.01"/>
    <n v="0"/>
    <x v="1"/>
    <s v="Received"/>
    <s v="LSI PROJECTS LIMITED"/>
    <x v="10"/>
    <x v="5"/>
    <x v="27"/>
    <n v="4"/>
    <n v="2026"/>
    <m/>
  </r>
  <r>
    <x v="1"/>
    <x v="143"/>
    <x v="3"/>
    <s v="CUSTOMER = 3972500 DEAL AMT = 1250 DEAL CCY = GBP TAX CODE = 1 "/>
    <x v="335"/>
    <s v="TF253590001401"/>
    <x v="0"/>
    <n v="187.5"/>
    <n v="0"/>
    <x v="1"/>
    <s v="Received"/>
    <s v="LSI PROJECTS LIMITED"/>
    <x v="10"/>
    <x v="5"/>
    <x v="27"/>
    <n v="4"/>
    <n v="2026"/>
    <m/>
  </r>
  <r>
    <x v="1"/>
    <x v="143"/>
    <x v="3"/>
    <s v=" LC ACCEPTANCE COMMISSION   "/>
    <x v="335"/>
    <s v="TF253590001401"/>
    <x v="0"/>
    <n v="1250"/>
    <n v="0"/>
    <x v="2"/>
    <s v="Received"/>
    <s v="LSI PROJECTS LIMITED"/>
    <x v="10"/>
    <x v="5"/>
    <x v="27"/>
    <n v="4"/>
    <n v="2026"/>
    <m/>
  </r>
  <r>
    <x v="1"/>
    <x v="143"/>
    <x v="3"/>
    <s v=" LC ACCEPTANCE COMMISSION   "/>
    <x v="427"/>
    <s v="TF260560000801"/>
    <x v="0"/>
    <n v="7606.74"/>
    <n v="0"/>
    <x v="2"/>
    <s v="Received"/>
    <s v="LSI PROJECTS LIMITED"/>
    <x v="10"/>
    <x v="5"/>
    <x v="27"/>
    <n v="4"/>
    <n v="2026"/>
    <m/>
  </r>
  <r>
    <x v="1"/>
    <x v="144"/>
    <x v="3"/>
    <s v=" LC SWIFT CHARGES   "/>
    <x v="213"/>
    <s v="TF253160005601"/>
    <x v="0"/>
    <n v="75"/>
    <n v="0"/>
    <x v="3"/>
    <s v="Received"/>
    <s v="Mohammad Saleh Bahareth co."/>
    <x v="3"/>
    <x v="5"/>
    <x v="27"/>
    <n v="4"/>
    <n v="2026"/>
    <m/>
  </r>
  <r>
    <x v="1"/>
    <x v="144"/>
    <x v="3"/>
    <s v="CUSTOMER = 3972500 DEAL AMT = 75 DEAL CCY = SAR TAX CODE = 1 "/>
    <x v="213"/>
    <s v="TF253160005601"/>
    <x v="0"/>
    <n v="11.25"/>
    <n v="0"/>
    <x v="1"/>
    <s v="Received"/>
    <s v="Mohammad Saleh Bahareth co."/>
    <x v="3"/>
    <x v="5"/>
    <x v="27"/>
    <n v="4"/>
    <n v="2026"/>
    <m/>
  </r>
  <r>
    <x v="1"/>
    <x v="144"/>
    <x v="3"/>
    <s v=" REIMBURSE UNDER LCS DR   "/>
    <x v="213"/>
    <s v="TF253160005601"/>
    <x v="0"/>
    <n v="332244.19"/>
    <n v="0"/>
    <x v="4"/>
    <s v="Received"/>
    <s v="Mohammad Saleh Bahareth co."/>
    <x v="3"/>
    <x v="5"/>
    <x v="27"/>
    <n v="4"/>
    <n v="2026"/>
    <m/>
  </r>
  <r>
    <x v="0"/>
    <x v="144"/>
    <x v="1"/>
    <s v="REF JLG6802458,REF JLG6802458,VIA CORE SYSTEM,DATE-TIME 28/04-11:54:01, عن طريق النظام الآ لي ,VALUE DT 28/04/26"/>
    <x v="285"/>
    <s v=""/>
    <x v="0"/>
    <n v="0"/>
    <n v="63918.15"/>
    <x v="47"/>
    <s v="Received"/>
    <s v="Advance - BRANCH OF ELSEWEDY ELECTRIC FOR POWER SYSTEMS PROJECTS"/>
    <x v="1"/>
    <x v="2"/>
    <x v="27"/>
    <n v="4"/>
    <n v="2026"/>
    <m/>
  </r>
  <r>
    <x v="0"/>
    <x v="144"/>
    <x v="0"/>
    <s v="REF 000000JLC7000006,RB REF JLC7000006,VIA CORE SYSTEM,DATE-TIME 28/04-10:37:51, عن طريق النظام الآ لي ,VALUE DT 28/04/26"/>
    <x v="347"/>
    <s v=""/>
    <x v="0"/>
    <n v="449036.45"/>
    <n v="0"/>
    <x v="6"/>
    <s v="Received"/>
    <s v="AFKAR ALTATHBET TRADING COMPANY"/>
    <x v="3"/>
    <x v="3"/>
    <x v="27"/>
    <n v="4"/>
    <n v="2026"/>
    <m/>
  </r>
  <r>
    <x v="0"/>
    <x v="144"/>
    <x v="0"/>
    <s v="REF 000000JLC7002384,RB REF JLC7002384,VIA CORE SYSTEM,DATE-TIME 28/04-10:38:45, عن طريق النظام الآ لي ,VALUE DT 28/04/26"/>
    <x v="346"/>
    <s v=""/>
    <x v="0"/>
    <n v="500000"/>
    <n v="0"/>
    <x v="6"/>
    <s v="Received"/>
    <s v="National Marketing Est. Co. Ltd"/>
    <x v="3"/>
    <x v="3"/>
    <x v="27"/>
    <n v="4"/>
    <n v="2026"/>
    <m/>
  </r>
  <r>
    <x v="2"/>
    <x v="144"/>
    <x v="4"/>
    <s v="19100000100305 DEP ID:4030219311 CHNL:SNB Payment Systems J209958"/>
    <x v="504"/>
    <s v="J209958"/>
    <x v="0"/>
    <n v="0"/>
    <n v="460"/>
    <x v="5"/>
    <s v="D/C Reversal"/>
    <s v="Banan Thiba Trading Est (BTT)"/>
    <x v="3"/>
    <x v="6"/>
    <x v="27"/>
    <n v="4"/>
    <n v="2026"/>
    <m/>
  </r>
  <r>
    <x v="2"/>
    <x v="144"/>
    <x v="4"/>
    <s v="CITY:Jeddah 6132226J212228000"/>
    <x v="505"/>
    <s v="J212228000"/>
    <x v="0"/>
    <n v="3814.17"/>
    <n v="0"/>
    <x v="8"/>
    <s v="Received"/>
    <s v="Al Dhow Gulf Company for Trading and Contracting Ltd"/>
    <x v="4"/>
    <x v="11"/>
    <x v="27"/>
    <n v="4"/>
    <n v="2026"/>
    <m/>
  </r>
  <r>
    <x v="2"/>
    <x v="144"/>
    <x v="4"/>
    <s v="CITY:Jeddah 6132226J209958007"/>
    <x v="504"/>
    <s v="J209958007"/>
    <x v="0"/>
    <n v="460"/>
    <n v="0"/>
    <x v="5"/>
    <s v="D/C Reversal"/>
    <s v="Banan Thiba Trading Est (BTT)"/>
    <x v="3"/>
    <x v="6"/>
    <x v="27"/>
    <n v="4"/>
    <n v="2026"/>
    <m/>
  </r>
  <r>
    <x v="2"/>
    <x v="144"/>
    <x v="4"/>
    <s v="19100000155300 DEP ID:4030219311 CHNL:SNB Payment Systems J212228"/>
    <x v="505"/>
    <s v="J212228"/>
    <x v="0"/>
    <n v="0"/>
    <n v="3814.17"/>
    <x v="8"/>
    <s v="D/C Reversal"/>
    <s v="Al Dhow Gulf Company for Trading and Contracting Ltd"/>
    <x v="4"/>
    <x v="11"/>
    <x v="27"/>
    <n v="4"/>
    <n v="2026"/>
    <m/>
  </r>
  <r>
    <x v="2"/>
    <x v="144"/>
    <x v="11"/>
    <s v="19100000033209 BEN ID:4030219311 J212228"/>
    <x v="505"/>
    <s v="J212228"/>
    <x v="2"/>
    <n v="3814.17"/>
    <n v="0"/>
    <x v="8"/>
    <s v="D/C Reversal"/>
    <s v="Al Dhow Gulf Company for Trading and Contracting Ltd"/>
    <x v="4"/>
    <x v="11"/>
    <x v="27"/>
    <n v="4"/>
    <n v="2026"/>
    <m/>
  </r>
  <r>
    <x v="5"/>
    <x v="144"/>
    <x v="9"/>
    <s v="TI Bill Settled                                                       _x000a_POC002                                                                _x000a_At Bank AlJazira                                                      _x000a_CORPORATE BANKING DEPT-JEDDAH                                         _x000a_Date 11-11-1447(H) Time 11.10.43                                      _x000a_Reference ILC-0840-26-8819                                            _x000a_"/>
    <x v="365"/>
    <s v=""/>
    <x v="0"/>
    <n v="252107.36"/>
    <n v="0"/>
    <x v="4"/>
    <s v="Received"/>
    <s v="United Park Co."/>
    <x v="3"/>
    <x v="10"/>
    <x v="27"/>
    <n v="4"/>
    <n v="2026"/>
    <m/>
  </r>
  <r>
    <x v="5"/>
    <x v="144"/>
    <x v="9"/>
    <s v="TI Bill Settled                                                       _x000a_POC008                                                                _x000a_At Bank AlJazira                                                      _x000a_CORPORATE BANKING DEPT-JEDDAH                                         _x000a_Date 11-11-1447(H) Time 11.11.37                                      _x000a_Reference ILC-0840-25-8011                                            _x000a_"/>
    <x v="71"/>
    <s v=""/>
    <x v="0"/>
    <n v="644946.44999999995"/>
    <n v="0"/>
    <x v="4"/>
    <s v="Received"/>
    <s v="Metten Al-Arabia Ltd Co (METARA)"/>
    <x v="0"/>
    <x v="10"/>
    <x v="27"/>
    <n v="4"/>
    <n v="2026"/>
    <m/>
  </r>
  <r>
    <x v="1"/>
    <x v="145"/>
    <x v="3"/>
    <s v="CUSTOMER = 3972500 DEAL AMT = 75 DEAL CCY = SAR TAX CODE = 1 "/>
    <x v="111"/>
    <s v="TF252710002406"/>
    <x v="0"/>
    <n v="11.25"/>
    <n v="0"/>
    <x v="1"/>
    <s v="Received"/>
    <s v="Saudi Perfect Pumps Trading &amp; Manufacturing Company"/>
    <x v="0"/>
    <x v="7"/>
    <x v="27"/>
    <n v="4"/>
    <n v="2026"/>
    <m/>
  </r>
  <r>
    <x v="1"/>
    <x v="145"/>
    <x v="3"/>
    <s v=" LC SWIFT CHARGES   "/>
    <x v="111"/>
    <s v="TF252710002406"/>
    <x v="0"/>
    <n v="75"/>
    <n v="0"/>
    <x v="3"/>
    <s v="Received"/>
    <s v="Saudi Perfect Pumps Trading &amp; Manufacturing Company"/>
    <x v="0"/>
    <x v="7"/>
    <x v="27"/>
    <n v="4"/>
    <n v="2026"/>
    <m/>
  </r>
  <r>
    <x v="1"/>
    <x v="145"/>
    <x v="3"/>
    <s v=" REIMBURSE UNDER LCS DR   "/>
    <x v="111"/>
    <s v="TF252710002406"/>
    <x v="0"/>
    <n v="412500"/>
    <n v="0"/>
    <x v="4"/>
    <s v="Received"/>
    <s v="Saudi Perfect Pumps Trading &amp; Manufacturing Company"/>
    <x v="0"/>
    <x v="7"/>
    <x v="27"/>
    <n v="4"/>
    <n v="2026"/>
    <m/>
  </r>
  <r>
    <x v="1"/>
    <x v="146"/>
    <x v="3"/>
    <s v=" LC SWIFT CHARGES   "/>
    <x v="333"/>
    <s v="TF252650001902"/>
    <x v="0"/>
    <n v="75"/>
    <n v="0"/>
    <x v="3"/>
    <s v="Received"/>
    <s v="Future Pipe Industries LLC"/>
    <x v="0"/>
    <x v="7"/>
    <x v="27"/>
    <n v="4"/>
    <n v="2026"/>
    <m/>
  </r>
  <r>
    <x v="1"/>
    <x v="146"/>
    <x v="3"/>
    <s v="CUSTOMER = 3972500 DEAL AMT = 75 DEAL CCY = SAR TAX CODE = 1 "/>
    <x v="333"/>
    <s v="TF252650001902"/>
    <x v="0"/>
    <n v="11.25"/>
    <n v="0"/>
    <x v="1"/>
    <s v="Received"/>
    <s v="Future Pipe Industries LLC"/>
    <x v="0"/>
    <x v="7"/>
    <x v="27"/>
    <n v="4"/>
    <n v="2026"/>
    <m/>
  </r>
  <r>
    <x v="1"/>
    <x v="146"/>
    <x v="3"/>
    <s v=" REIMBURSE UNDER LCS DR   "/>
    <x v="333"/>
    <s v="TF252650001902"/>
    <x v="0"/>
    <n v="2303974.85"/>
    <n v="0"/>
    <x v="4"/>
    <s v="Received"/>
    <s v="Future Pipe Industries LLC"/>
    <x v="0"/>
    <x v="7"/>
    <x v="27"/>
    <n v="4"/>
    <n v="2026"/>
    <m/>
  </r>
  <r>
    <x v="0"/>
    <x v="146"/>
    <x v="0"/>
    <s v="REF JLC6801271,REF JLC6801271,VIA CORE SYSTEM,DATE-TIME 30/04-17:00:39, عن طريق النظام الآ لي ,VALUE DT 30/04/26"/>
    <x v="155"/>
    <s v=""/>
    <x v="0"/>
    <n v="0"/>
    <n v="71595.03"/>
    <x v="18"/>
    <s v="Received"/>
    <s v="SAMSARA SRL"/>
    <x v="0"/>
    <x v="0"/>
    <x v="27"/>
    <n v="4"/>
    <n v="2026"/>
    <m/>
  </r>
  <r>
    <x v="0"/>
    <x v="146"/>
    <x v="0"/>
    <s v="REF 000000JLC6901431,RB REF JLC6901431,VIA CORE SYSTEM,DATE-TIME 30/04-13:20:06, عن طريق النظام الآ لي ,VALUE DT 30/04/26"/>
    <x v="95"/>
    <s v=""/>
    <x v="0"/>
    <n v="80323.240000000005"/>
    <n v="0"/>
    <x v="5"/>
    <s v="Received"/>
    <s v="Mat Filtrasyon Teknolojeleri A.S"/>
    <x v="0"/>
    <x v="3"/>
    <x v="3"/>
    <n v="4"/>
    <n v="2026"/>
    <m/>
  </r>
  <r>
    <x v="2"/>
    <x v="146"/>
    <x v="4"/>
    <s v="CITY:Jeddah 6132226J211681001"/>
    <x v="328"/>
    <s v="J211681001"/>
    <x v="0"/>
    <n v="223403.6"/>
    <n v="0"/>
    <x v="4"/>
    <s v="Received"/>
    <s v="APS ARABIAN CONTRACTING COMPANY"/>
    <x v="8"/>
    <x v="11"/>
    <x v="27"/>
    <n v="4"/>
    <n v="2026"/>
    <m/>
  </r>
  <r>
    <x v="2"/>
    <x v="146"/>
    <x v="4"/>
    <s v="CITY:Jeddah 6132226J211485005"/>
    <x v="192"/>
    <s v="J211485005"/>
    <x v="0"/>
    <n v="1386492.9"/>
    <n v="0"/>
    <x v="4"/>
    <s v="Received"/>
    <s v="ALNAFIE METAL INDUSTRIES CO LTD"/>
    <x v="8"/>
    <x v="11"/>
    <x v="27"/>
    <n v="4"/>
    <n v="2026"/>
    <m/>
  </r>
  <r>
    <x v="2"/>
    <x v="146"/>
    <x v="4"/>
    <s v="CITY:Jeddah 6132226J211485004"/>
    <x v="192"/>
    <s v="J211485004"/>
    <x v="0"/>
    <n v="1597041.23"/>
    <n v="0"/>
    <x v="4"/>
    <s v="Received"/>
    <s v="ALNAFIE METAL INDUSTRIES CO LTD"/>
    <x v="8"/>
    <x v="11"/>
    <x v="27"/>
    <n v="4"/>
    <n v="2026"/>
    <m/>
  </r>
  <r>
    <x v="3"/>
    <x v="145"/>
    <x v="6"/>
    <s v="IMP BILL AMEND. CHARGES DPBEPM218156WPM DCBWPM164003"/>
    <x v="462"/>
    <s v="DPBEPM218156WPM"/>
    <x v="0"/>
    <n v="4312.5"/>
    <n v="0"/>
    <x v="2"/>
    <s v="Received"/>
    <s v="Saudi Electric Supply Company"/>
    <x v="3"/>
    <x v="9"/>
    <x v="27"/>
    <n v="4"/>
    <n v="2026"/>
    <m/>
  </r>
  <r>
    <x v="3"/>
    <x v="145"/>
    <x v="6"/>
    <s v="IMP BILL AMEND. CHARGES DPBCOR218217WPM DCBWPM162993"/>
    <x v="438"/>
    <s v="DPBCOR218217WPM"/>
    <x v="0"/>
    <n v="1367.25"/>
    <n v="0"/>
    <x v="2"/>
    <s v="Received"/>
    <s v="Ajzal United for Safety CO.LTD."/>
    <x v="3"/>
    <x v="9"/>
    <x v="27"/>
    <n v="4"/>
    <n v="2026"/>
    <m/>
  </r>
  <r>
    <x v="3"/>
    <x v="146"/>
    <x v="6"/>
    <s v="IMP BILL COMM DPBCOR218358WPM DCBWPM163999"/>
    <x v="463"/>
    <s v="DPBCOR218358WPM"/>
    <x v="0"/>
    <n v="2156.25"/>
    <n v="0"/>
    <x v="2"/>
    <s v="Received"/>
    <s v="Al Maymanah For Contracting Co. Ltd."/>
    <x v="3"/>
    <x v="9"/>
    <x v="27"/>
    <n v="4"/>
    <n v="2026"/>
    <m/>
  </r>
  <r>
    <x v="3"/>
    <x v="146"/>
    <x v="6"/>
    <s v="IMP BILL AMEND. CHARGES DPBCOR218195WPM DCBWPM163960"/>
    <x v="476"/>
    <s v="DPBCOR218195WPM"/>
    <x v="0"/>
    <n v="646.88"/>
    <n v="0"/>
    <x v="2"/>
    <s v="Received"/>
    <s v="IDEAL CALIBER COMPANY"/>
    <x v="3"/>
    <x v="9"/>
    <x v="27"/>
    <n v="4"/>
    <n v="2026"/>
    <m/>
  </r>
  <r>
    <x v="1"/>
    <x v="147"/>
    <x v="3"/>
    <s v="CUSTOMER = 3972500 DEAL AMT = 500.00 DEAL CCY = SAR TAX CODE = 1 "/>
    <x v="205"/>
    <s v="TF2513500019"/>
    <x v="0"/>
    <n v="37.5"/>
    <n v="0"/>
    <x v="1"/>
    <s v="Received"/>
    <s v="MASDAR TECHNICAL Supplies CO."/>
    <x v="3"/>
    <x v="5"/>
    <x v="27"/>
    <n v="5"/>
    <n v="2026"/>
    <m/>
  </r>
  <r>
    <x v="1"/>
    <x v="147"/>
    <x v="3"/>
    <s v=" LC ACCEPTANCE COMMISSION   "/>
    <x v="435"/>
    <s v="TF260630001404"/>
    <x v="0"/>
    <n v="1250"/>
    <n v="0"/>
    <x v="2"/>
    <s v="Received"/>
    <s v="Awtad Jeddah for General Contracting Company"/>
    <x v="0"/>
    <x v="7"/>
    <x v="27"/>
    <n v="5"/>
    <n v="2026"/>
    <m/>
  </r>
  <r>
    <x v="1"/>
    <x v="147"/>
    <x v="3"/>
    <s v="CUSTOMER = 3972500 DEAL AMT = 1250 DEAL CCY = SAR TAX CODE = 1 "/>
    <x v="435"/>
    <s v="TF260630001404"/>
    <x v="0"/>
    <n v="187.5"/>
    <n v="0"/>
    <x v="1"/>
    <s v="Received"/>
    <s v="Awtad Jeddah for General Contracting Company"/>
    <x v="0"/>
    <x v="7"/>
    <x v="27"/>
    <n v="5"/>
    <n v="2026"/>
    <m/>
  </r>
  <r>
    <x v="1"/>
    <x v="147"/>
    <x v="3"/>
    <s v=" LC ACCEPTANCE COMMISSION   "/>
    <x v="435"/>
    <s v="TF260630001403"/>
    <x v="0"/>
    <n v="1250"/>
    <n v="0"/>
    <x v="2"/>
    <s v="Received"/>
    <s v="Awtad Jeddah for General Contracting Company"/>
    <x v="0"/>
    <x v="7"/>
    <x v="27"/>
    <n v="5"/>
    <n v="2026"/>
    <m/>
  </r>
  <r>
    <x v="1"/>
    <x v="147"/>
    <x v="3"/>
    <s v="CUSTOMER = 3972500 DEAL AMT = 1250 DEAL CCY = SAR TAX CODE = 1 "/>
    <x v="435"/>
    <s v="TF260630001403"/>
    <x v="0"/>
    <n v="187.5"/>
    <n v="0"/>
    <x v="1"/>
    <s v="Received"/>
    <s v="Awtad Jeddah for General Contracting Company"/>
    <x v="0"/>
    <x v="7"/>
    <x v="27"/>
    <n v="5"/>
    <n v="2026"/>
    <m/>
  </r>
  <r>
    <x v="1"/>
    <x v="147"/>
    <x v="3"/>
    <s v=" LC ACCEPTANCE COMMISSION   "/>
    <x v="435"/>
    <s v="TF260630001402"/>
    <x v="0"/>
    <n v="1250"/>
    <n v="0"/>
    <x v="2"/>
    <s v="Received"/>
    <s v="Awtad Jeddah for General Contracting Company"/>
    <x v="0"/>
    <x v="7"/>
    <x v="27"/>
    <n v="5"/>
    <n v="2026"/>
    <m/>
  </r>
  <r>
    <x v="1"/>
    <x v="147"/>
    <x v="3"/>
    <s v="CUSTOMER = 3972500 DEAL AMT = 1250 DEAL CCY = SAR TAX CODE = 1 "/>
    <x v="435"/>
    <s v="TF260630001402"/>
    <x v="0"/>
    <n v="187.5"/>
    <n v="0"/>
    <x v="1"/>
    <s v="Received"/>
    <s v="Awtad Jeddah for General Contracting Company"/>
    <x v="0"/>
    <x v="7"/>
    <x v="27"/>
    <n v="5"/>
    <n v="2026"/>
    <m/>
  </r>
  <r>
    <x v="1"/>
    <x v="147"/>
    <x v="3"/>
    <s v=" LC AMENDMENT COMMISSION   "/>
    <x v="214"/>
    <s v="TF2531600062"/>
    <x v="0"/>
    <n v="1871.46"/>
    <n v="0"/>
    <x v="5"/>
    <s v="Received"/>
    <s v="AI-Hadbania Trading Co."/>
    <x v="3"/>
    <x v="5"/>
    <x v="27"/>
    <n v="5"/>
    <n v="2026"/>
    <m/>
  </r>
  <r>
    <x v="1"/>
    <x v="147"/>
    <x v="3"/>
    <s v=" LC SWIFT CHARGES   "/>
    <x v="214"/>
    <s v="TF2531600062"/>
    <x v="0"/>
    <n v="250"/>
    <n v="0"/>
    <x v="3"/>
    <s v="Received"/>
    <s v="AI-Hadbania Trading Co."/>
    <x v="3"/>
    <x v="5"/>
    <x v="27"/>
    <n v="5"/>
    <n v="2026"/>
    <m/>
  </r>
  <r>
    <x v="1"/>
    <x v="147"/>
    <x v="3"/>
    <s v="CUSTOMER = 3972500 DEAL AMT = 1871.46 DEAL CCY = SAR TAX CODE = 1 "/>
    <x v="214"/>
    <s v="TF2531600062"/>
    <x v="0"/>
    <n v="37.5"/>
    <n v="0"/>
    <x v="1"/>
    <s v="Received"/>
    <s v="AI-Hadbania Trading Co."/>
    <x v="3"/>
    <x v="5"/>
    <x v="27"/>
    <n v="5"/>
    <n v="2026"/>
    <m/>
  </r>
  <r>
    <x v="1"/>
    <x v="147"/>
    <x v="3"/>
    <s v=" LC AMENDMENT COMMISSION   "/>
    <x v="213"/>
    <s v="TF2531600056"/>
    <x v="0"/>
    <n v="500"/>
    <n v="0"/>
    <x v="5"/>
    <s v="Received"/>
    <s v="Mohammad Saleh Bahareth co."/>
    <x v="3"/>
    <x v="5"/>
    <x v="27"/>
    <n v="5"/>
    <n v="2026"/>
    <m/>
  </r>
  <r>
    <x v="1"/>
    <x v="147"/>
    <x v="3"/>
    <s v=" LC SWIFT CHARGES   "/>
    <x v="213"/>
    <s v="TF2531600056"/>
    <x v="0"/>
    <n v="250"/>
    <n v="0"/>
    <x v="3"/>
    <s v="Received"/>
    <s v="Mohammad Saleh Bahareth co."/>
    <x v="3"/>
    <x v="5"/>
    <x v="27"/>
    <n v="5"/>
    <n v="2026"/>
    <m/>
  </r>
  <r>
    <x v="1"/>
    <x v="147"/>
    <x v="3"/>
    <s v="CUSTOMER = 3972500 DEAL AMT = 500.00 DEAL CCY = SAR TAX CODE = 1 "/>
    <x v="213"/>
    <s v="TF2531600056"/>
    <x v="0"/>
    <n v="75"/>
    <n v="0"/>
    <x v="1"/>
    <s v="Received"/>
    <s v="Mohammad Saleh Bahareth co."/>
    <x v="3"/>
    <x v="5"/>
    <x v="27"/>
    <n v="5"/>
    <n v="2026"/>
    <m/>
  </r>
  <r>
    <x v="1"/>
    <x v="147"/>
    <x v="3"/>
    <s v="CUSTOMER = 3972500 DEAL AMT = 500.00 DEAL CCY = SAR TAX CODE = 1 "/>
    <x v="213"/>
    <s v="TF2531600056"/>
    <x v="0"/>
    <n v="37.5"/>
    <n v="0"/>
    <x v="1"/>
    <s v="Received"/>
    <s v="Mohammad Saleh Bahareth co."/>
    <x v="3"/>
    <x v="5"/>
    <x v="27"/>
    <n v="5"/>
    <n v="2026"/>
    <m/>
  </r>
  <r>
    <x v="1"/>
    <x v="147"/>
    <x v="3"/>
    <s v=" LC AMENDMENT COMMISSION   "/>
    <x v="188"/>
    <s v="TF2517700087"/>
    <x v="0"/>
    <n v="500"/>
    <n v="0"/>
    <x v="5"/>
    <s v="Received"/>
    <s v="STAR SQUARES CO LTD"/>
    <x v="3"/>
    <x v="6"/>
    <x v="27"/>
    <n v="5"/>
    <n v="2026"/>
    <m/>
  </r>
  <r>
    <x v="1"/>
    <x v="147"/>
    <x v="3"/>
    <s v="CUSTOMER = 3972500 DEAL AMT = 1871.46 DEAL CCY = SAR TAX CODE = 1 "/>
    <x v="214"/>
    <s v="TF2531600062"/>
    <x v="0"/>
    <n v="280.72000000000003"/>
    <n v="0"/>
    <x v="1"/>
    <s v="Received"/>
    <s v="AI-Hadbania Trading Co."/>
    <x v="3"/>
    <x v="5"/>
    <x v="27"/>
    <n v="5"/>
    <n v="2026"/>
    <m/>
  </r>
  <r>
    <x v="1"/>
    <x v="147"/>
    <x v="3"/>
    <s v="CUSTOMER = 3972500 DEAL AMT = 500.00 DEAL CCY = SAR TAX CODE = 1 "/>
    <x v="188"/>
    <s v="TF2517700087"/>
    <x v="0"/>
    <n v="75"/>
    <n v="0"/>
    <x v="1"/>
    <s v="Received"/>
    <s v="STAR SQUARES CO LTD"/>
    <x v="3"/>
    <x v="6"/>
    <x v="27"/>
    <n v="5"/>
    <n v="2026"/>
    <m/>
  </r>
  <r>
    <x v="1"/>
    <x v="147"/>
    <x v="3"/>
    <s v=" LC SWIFT CHARGES   "/>
    <x v="188"/>
    <s v="TF2517700087"/>
    <x v="0"/>
    <n v="250"/>
    <n v="0"/>
    <x v="3"/>
    <s v="Received"/>
    <s v="STAR SQUARES CO LTD"/>
    <x v="3"/>
    <x v="6"/>
    <x v="27"/>
    <n v="5"/>
    <n v="2026"/>
    <m/>
  </r>
  <r>
    <x v="1"/>
    <x v="147"/>
    <x v="3"/>
    <s v="CUSTOMER = 3972500 DEAL AMT = 500.00 DEAL CCY = SAR TAX CODE = 1 "/>
    <x v="205"/>
    <s v="TF2513500019"/>
    <x v="0"/>
    <n v="75"/>
    <n v="0"/>
    <x v="1"/>
    <s v="Received"/>
    <s v="MASDAR TECHNICAL Supplies CO."/>
    <x v="3"/>
    <x v="5"/>
    <x v="27"/>
    <n v="5"/>
    <n v="2026"/>
    <m/>
  </r>
  <r>
    <x v="1"/>
    <x v="147"/>
    <x v="3"/>
    <s v=" LC SWIFT CHARGES   "/>
    <x v="205"/>
    <s v="TF2513500019"/>
    <x v="0"/>
    <n v="250"/>
    <n v="0"/>
    <x v="3"/>
    <s v="Received"/>
    <s v="MASDAR TECHNICAL Supplies CO."/>
    <x v="3"/>
    <x v="5"/>
    <x v="27"/>
    <n v="5"/>
    <n v="2026"/>
    <m/>
  </r>
  <r>
    <x v="1"/>
    <x v="147"/>
    <x v="3"/>
    <s v=" LC AMENDMENT COMMISSION   "/>
    <x v="205"/>
    <s v="TF2513500019"/>
    <x v="0"/>
    <n v="500"/>
    <n v="0"/>
    <x v="5"/>
    <s v="Received"/>
    <s v="MASDAR TECHNICAL Supplies CO."/>
    <x v="3"/>
    <x v="5"/>
    <x v="27"/>
    <n v="5"/>
    <n v="2026"/>
    <m/>
  </r>
  <r>
    <x v="1"/>
    <x v="147"/>
    <x v="3"/>
    <s v="CUSTOMER = 3972500 DEAL AMT = 500.00 DEAL CCY = SAR TAX CODE = 1 "/>
    <x v="27"/>
    <s v="TF2514700033"/>
    <x v="0"/>
    <n v="75"/>
    <n v="0"/>
    <x v="1"/>
    <s v="Received"/>
    <s v="GAS SOLUTIONS"/>
    <x v="3"/>
    <x v="5"/>
    <x v="27"/>
    <n v="5"/>
    <n v="2026"/>
    <m/>
  </r>
  <r>
    <x v="1"/>
    <x v="147"/>
    <x v="3"/>
    <s v=" LC SWIFT CHARGES   "/>
    <x v="27"/>
    <s v="TF2514700033"/>
    <x v="0"/>
    <n v="250"/>
    <n v="0"/>
    <x v="3"/>
    <s v="Received"/>
    <s v="GAS SOLUTIONS"/>
    <x v="3"/>
    <x v="5"/>
    <x v="27"/>
    <n v="5"/>
    <n v="2026"/>
    <m/>
  </r>
  <r>
    <x v="1"/>
    <x v="147"/>
    <x v="3"/>
    <s v="CUSTOMER = 3972500 DEAL AMT = 500.00 DEAL CCY = SAR TAX CODE = 1 "/>
    <x v="27"/>
    <s v="TF2514700033"/>
    <x v="0"/>
    <n v="37.5"/>
    <n v="0"/>
    <x v="1"/>
    <s v="Received"/>
    <s v="GAS SOLUTIONS"/>
    <x v="3"/>
    <x v="5"/>
    <x v="27"/>
    <n v="5"/>
    <n v="2026"/>
    <m/>
  </r>
  <r>
    <x v="1"/>
    <x v="147"/>
    <x v="3"/>
    <s v="CUSTOMER = 3972500 DEAL AMT = 893.02 DEAL CCY = SAR TAX CODE = 1 "/>
    <x v="186"/>
    <s v="TF2517400098"/>
    <x v="0"/>
    <n v="37.5"/>
    <n v="0"/>
    <x v="1"/>
    <s v="Received"/>
    <s v="SKM AIR CONDITIONING CO"/>
    <x v="3"/>
    <x v="6"/>
    <x v="27"/>
    <n v="5"/>
    <n v="2026"/>
    <m/>
  </r>
  <r>
    <x v="1"/>
    <x v="147"/>
    <x v="3"/>
    <s v="CUSTOMER = 3972500 DEAL AMT = 893.02 DEAL CCY = SAR TAX CODE = 1 "/>
    <x v="186"/>
    <s v="TF2517400098"/>
    <x v="0"/>
    <n v="133.94999999999999"/>
    <n v="0"/>
    <x v="1"/>
    <s v="Received"/>
    <s v="SKM AIR CONDITIONING CO"/>
    <x v="3"/>
    <x v="6"/>
    <x v="27"/>
    <n v="5"/>
    <n v="2026"/>
    <m/>
  </r>
  <r>
    <x v="1"/>
    <x v="147"/>
    <x v="3"/>
    <s v=" LC SWIFT CHARGES   "/>
    <x v="186"/>
    <s v="TF2517400098"/>
    <x v="0"/>
    <n v="250"/>
    <n v="0"/>
    <x v="3"/>
    <s v="Received"/>
    <s v="SKM AIR CONDITIONING CO"/>
    <x v="3"/>
    <x v="6"/>
    <x v="27"/>
    <n v="5"/>
    <n v="2026"/>
    <m/>
  </r>
  <r>
    <x v="1"/>
    <x v="147"/>
    <x v="3"/>
    <s v=" LC AMENDMENT COMMISSION   "/>
    <x v="186"/>
    <s v="TF2517400098"/>
    <x v="0"/>
    <n v="893.02"/>
    <n v="0"/>
    <x v="5"/>
    <s v="Received"/>
    <s v="SKM AIR CONDITIONING CO"/>
    <x v="3"/>
    <x v="6"/>
    <x v="27"/>
    <n v="5"/>
    <n v="2026"/>
    <m/>
  </r>
  <r>
    <x v="1"/>
    <x v="147"/>
    <x v="3"/>
    <s v="CUSTOMER = 3972500 DEAL AMT = 500.00 DEAL CCY = SAR TAX CODE = 1 "/>
    <x v="188"/>
    <s v="TF2517700087"/>
    <x v="0"/>
    <n v="37.5"/>
    <n v="0"/>
    <x v="1"/>
    <s v="Received"/>
    <s v="STAR SQUARES CO LTD"/>
    <x v="3"/>
    <x v="6"/>
    <x v="27"/>
    <n v="5"/>
    <n v="2026"/>
    <m/>
  </r>
  <r>
    <x v="1"/>
    <x v="147"/>
    <x v="3"/>
    <s v=" LC AMENDMENT COMMISSION   "/>
    <x v="27"/>
    <s v="TF2514700033"/>
    <x v="0"/>
    <n v="500"/>
    <n v="0"/>
    <x v="5"/>
    <s v="Received"/>
    <s v="GAS SOLUTIONS"/>
    <x v="3"/>
    <x v="5"/>
    <x v="27"/>
    <n v="5"/>
    <n v="2026"/>
    <m/>
  </r>
  <r>
    <x v="1"/>
    <x v="148"/>
    <x v="3"/>
    <s v=" LC SWIFT CHARGES   "/>
    <x v="435"/>
    <s v="TF260630001404"/>
    <x v="0"/>
    <n v="75"/>
    <n v="0"/>
    <x v="3"/>
    <s v="Received"/>
    <s v="Awtad Jeddah for General Contracting Company"/>
    <x v="0"/>
    <x v="7"/>
    <x v="27"/>
    <n v="5"/>
    <n v="2026"/>
    <m/>
  </r>
  <r>
    <x v="1"/>
    <x v="148"/>
    <x v="3"/>
    <s v=" REIMBURSE UNDER LCS DR   "/>
    <x v="435"/>
    <s v="TF260630001402"/>
    <x v="0"/>
    <n v="430163.81"/>
    <n v="0"/>
    <x v="4"/>
    <s v="Received"/>
    <s v="Awtad Jeddah for General Contracting Company"/>
    <x v="0"/>
    <x v="7"/>
    <x v="27"/>
    <n v="5"/>
    <n v="2026"/>
    <m/>
  </r>
  <r>
    <x v="1"/>
    <x v="148"/>
    <x v="3"/>
    <s v="CUSTOMER = 3972500 DEAL AMT = 75 DEAL CCY = SAR TAX CODE = 1 "/>
    <x v="435"/>
    <s v="TF260630001404"/>
    <x v="0"/>
    <n v="11.25"/>
    <n v="0"/>
    <x v="1"/>
    <s v="Received"/>
    <s v="Awtad Jeddah for General Contracting Company"/>
    <x v="0"/>
    <x v="7"/>
    <x v="27"/>
    <n v="5"/>
    <n v="2026"/>
    <m/>
  </r>
  <r>
    <x v="1"/>
    <x v="148"/>
    <x v="3"/>
    <s v=" REIMBURSE UNDER LCS DR   "/>
    <x v="435"/>
    <s v="TF260630001403"/>
    <x v="0"/>
    <n v="411465.73"/>
    <n v="0"/>
    <x v="4"/>
    <s v="Received"/>
    <s v="Awtad Jeddah for General Contracting Company"/>
    <x v="0"/>
    <x v="7"/>
    <x v="27"/>
    <n v="5"/>
    <n v="2026"/>
    <m/>
  </r>
  <r>
    <x v="1"/>
    <x v="148"/>
    <x v="3"/>
    <s v=" LC SWIFT CHARGES   "/>
    <x v="435"/>
    <s v="TF260630001403"/>
    <x v="0"/>
    <n v="75"/>
    <n v="0"/>
    <x v="3"/>
    <s v="Received"/>
    <s v="Awtad Jeddah for General Contracting Company"/>
    <x v="0"/>
    <x v="7"/>
    <x v="27"/>
    <n v="5"/>
    <n v="2026"/>
    <m/>
  </r>
  <r>
    <x v="1"/>
    <x v="148"/>
    <x v="3"/>
    <s v="CUSTOMER = 3972500 DEAL AMT = 75 DEAL CCY = SAR TAX CODE = 1 "/>
    <x v="435"/>
    <s v="TF260630001403"/>
    <x v="0"/>
    <n v="11.25"/>
    <n v="0"/>
    <x v="1"/>
    <s v="Received"/>
    <s v="Awtad Jeddah for General Contracting Company"/>
    <x v="0"/>
    <x v="7"/>
    <x v="27"/>
    <n v="5"/>
    <n v="2026"/>
    <m/>
  </r>
  <r>
    <x v="1"/>
    <x v="148"/>
    <x v="3"/>
    <s v=" LC SWIFT CHARGES   "/>
    <x v="435"/>
    <s v="TF260630001402"/>
    <x v="0"/>
    <n v="75"/>
    <n v="0"/>
    <x v="3"/>
    <s v="Received"/>
    <s v="Awtad Jeddah for General Contracting Company"/>
    <x v="0"/>
    <x v="7"/>
    <x v="27"/>
    <n v="5"/>
    <n v="2026"/>
    <m/>
  </r>
  <r>
    <x v="1"/>
    <x v="148"/>
    <x v="3"/>
    <s v="CUSTOMER = 3972500 DEAL AMT = 75 DEAL CCY = SAR TAX CODE = 1 "/>
    <x v="205"/>
    <s v="TF251350001901"/>
    <x v="0"/>
    <n v="11.25"/>
    <n v="0"/>
    <x v="1"/>
    <s v="Received"/>
    <s v="MASDAR TECHNICAL Supplies CO."/>
    <x v="3"/>
    <x v="5"/>
    <x v="27"/>
    <n v="5"/>
    <n v="2026"/>
    <m/>
  </r>
  <r>
    <x v="1"/>
    <x v="148"/>
    <x v="3"/>
    <s v=" LC AMENDMENT COMMISSION   "/>
    <x v="141"/>
    <s v="TF2523000034"/>
    <x v="0"/>
    <n v="2971.51"/>
    <n v="0"/>
    <x v="5"/>
    <s v="Received"/>
    <s v="Al Arabia Construction &amp; Building Co."/>
    <x v="0"/>
    <x v="7"/>
    <x v="27"/>
    <n v="5"/>
    <n v="2026"/>
    <m/>
  </r>
  <r>
    <x v="1"/>
    <x v="148"/>
    <x v="3"/>
    <s v="CUSTOMER = 3972500 DEAL AMT = 2971.51 DEAL CCY = SAR TAX CODE = 1 "/>
    <x v="141"/>
    <s v="TF2523000034"/>
    <x v="0"/>
    <n v="445.73"/>
    <n v="0"/>
    <x v="1"/>
    <s v="Received"/>
    <s v="Al Arabia Construction &amp; Building Co."/>
    <x v="0"/>
    <x v="7"/>
    <x v="27"/>
    <n v="5"/>
    <n v="2026"/>
    <m/>
  </r>
  <r>
    <x v="1"/>
    <x v="148"/>
    <x v="3"/>
    <s v=" LC SWIFT CHARGES   "/>
    <x v="141"/>
    <s v="TF2523000034"/>
    <x v="0"/>
    <n v="250"/>
    <n v="0"/>
    <x v="3"/>
    <s v="Received"/>
    <s v="Al Arabia Construction &amp; Building Co."/>
    <x v="0"/>
    <x v="7"/>
    <x v="27"/>
    <n v="5"/>
    <n v="2026"/>
    <m/>
  </r>
  <r>
    <x v="1"/>
    <x v="148"/>
    <x v="3"/>
    <s v="CUSTOMER = 3972500 DEAL AMT = 2971.51 DEAL CCY = SAR TAX CODE = 1 "/>
    <x v="141"/>
    <s v="TF2523000034"/>
    <x v="0"/>
    <n v="37.5"/>
    <n v="0"/>
    <x v="1"/>
    <s v="Received"/>
    <s v="Al Arabia Construction &amp; Building Co."/>
    <x v="0"/>
    <x v="7"/>
    <x v="27"/>
    <n v="5"/>
    <n v="2026"/>
    <m/>
  </r>
  <r>
    <x v="1"/>
    <x v="148"/>
    <x v="3"/>
    <s v=" LC SWIFT CHARGES   "/>
    <x v="205"/>
    <s v="TF251350001901"/>
    <x v="0"/>
    <n v="75"/>
    <n v="0"/>
    <x v="3"/>
    <s v="Received"/>
    <s v="MASDAR TECHNICAL Supplies CO."/>
    <x v="3"/>
    <x v="5"/>
    <x v="27"/>
    <n v="5"/>
    <n v="2026"/>
    <m/>
  </r>
  <r>
    <x v="1"/>
    <x v="148"/>
    <x v="3"/>
    <s v=" REIMBURSE UNDER LCS DR   "/>
    <x v="435"/>
    <s v="TF260630001404"/>
    <x v="0"/>
    <n v="292116.28000000003"/>
    <n v="0"/>
    <x v="4"/>
    <s v="Received"/>
    <s v="Awtad Jeddah for General Contracting Company"/>
    <x v="0"/>
    <x v="7"/>
    <x v="27"/>
    <n v="5"/>
    <n v="2026"/>
    <m/>
  </r>
  <r>
    <x v="1"/>
    <x v="148"/>
    <x v="3"/>
    <s v="CUSTOMER = 3972500 DEAL AMT = 75 DEAL CCY = SAR TAX CODE = 1 "/>
    <x v="435"/>
    <s v="TF260630001402"/>
    <x v="0"/>
    <n v="11.25"/>
    <n v="0"/>
    <x v="1"/>
    <s v="Received"/>
    <s v="Awtad Jeddah for General Contracting Company"/>
    <x v="0"/>
    <x v="7"/>
    <x v="27"/>
    <n v="5"/>
    <n v="2026"/>
    <m/>
  </r>
  <r>
    <x v="1"/>
    <x v="148"/>
    <x v="19"/>
    <s v=" REIMBURSE UNDER LCS DR   "/>
    <x v="205"/>
    <s v="TF251350001901"/>
    <x v="0"/>
    <n v="249589.36"/>
    <n v="0"/>
    <x v="4"/>
    <s v="Received"/>
    <s v="MASDAR TECHNICAL Supplies CO."/>
    <x v="3"/>
    <x v="5"/>
    <x v="27"/>
    <n v="5"/>
    <n v="2026"/>
    <m/>
  </r>
  <r>
    <x v="0"/>
    <x v="149"/>
    <x v="2"/>
    <s v="REF 000000JLC6902213,RB REF JLC6902213,VIA CORE SYSTEM,DATE-TIME 03/05-12:27:51, عن طريق النظام الآ لي ,VALUE DT 03/05/26"/>
    <x v="281"/>
    <s v=""/>
    <x v="1"/>
    <n v="21571.200000000001"/>
    <n v="0"/>
    <x v="4"/>
    <s v="Received"/>
    <s v="IBA MIDDLE EAST FZE"/>
    <x v="11"/>
    <x v="3"/>
    <x v="27"/>
    <n v="5"/>
    <n v="2026"/>
    <m/>
  </r>
  <r>
    <x v="0"/>
    <x v="147"/>
    <x v="0"/>
    <s v="REF 000000JLC7000006,RB REF JLC7000006,VIA CORE SYSTEM,DATE-TIME 04/05-11:09:15, عن طريق النظام الآ لي ,VALUE DT 04/05/26"/>
    <x v="347"/>
    <s v=""/>
    <x v="0"/>
    <n v="50916.25"/>
    <n v="0"/>
    <x v="4"/>
    <s v="Received"/>
    <s v="AFKAR ALTATHBET TRADING COMPANY"/>
    <x v="3"/>
    <x v="3"/>
    <x v="27"/>
    <n v="5"/>
    <n v="2026"/>
    <m/>
  </r>
  <r>
    <x v="0"/>
    <x v="147"/>
    <x v="0"/>
    <s v="REF 000000JLC7000193,RB REF JLC7000193,VIA CORE SYSTEM,DATE-TIME 04/05-11:30:43, عن طريق النظام الآ لي ,VALUE DT 04/05/26"/>
    <x v="408"/>
    <s v=""/>
    <x v="0"/>
    <n v="3064.9"/>
    <n v="0"/>
    <x v="2"/>
    <s v="Received"/>
    <s v="SCHNEIDER ELECTRIC SAUDI ARABIA CO"/>
    <x v="3"/>
    <x v="3"/>
    <x v="27"/>
    <n v="5"/>
    <n v="2026"/>
    <m/>
  </r>
  <r>
    <x v="0"/>
    <x v="148"/>
    <x v="0"/>
    <s v="RB REF JLG6900058,VIA CORE SYSTEM,DATE-TIME 05/05-09:45:54, عن طريق النظام الآ لي ,VALUE DT 05/05/26"/>
    <x v="367"/>
    <s v=""/>
    <x v="0"/>
    <n v="8636.5"/>
    <n v="0"/>
    <x v="17"/>
    <s v="Received"/>
    <s v="Performance - CROWN PRINCE PRIVATE AFFAIRS (CPPA)"/>
    <x v="2"/>
    <x v="17"/>
    <x v="27"/>
    <n v="5"/>
    <n v="2026"/>
    <m/>
  </r>
  <r>
    <x v="0"/>
    <x v="150"/>
    <x v="0"/>
    <s v="RB REF JLG7001227,VIA CORE SYSTEM,DATE-TIME 06/05-12:40:44, عن طريق النظام الآ لي ,VALUE DT 06/05/26"/>
    <x v="506"/>
    <s v=""/>
    <x v="0"/>
    <n v="6719.45"/>
    <n v="0"/>
    <x v="17"/>
    <s v="Received"/>
    <s v="Advance - MAKARAT OFFICE"/>
    <x v="0"/>
    <x v="2"/>
    <x v="27"/>
    <n v="5"/>
    <n v="2026"/>
    <m/>
  </r>
  <r>
    <x v="0"/>
    <x v="150"/>
    <x v="14"/>
    <s v="RB REF JLG6804419,VIA CORE SYSTEM,DATE-TIME 06/05-09:50:05, عن طريق النظام الآ لي ,VALUE DT 06/05/26"/>
    <x v="507"/>
    <s v=""/>
    <x v="0"/>
    <n v="4143.45"/>
    <n v="0"/>
    <x v="17"/>
    <s v="Received"/>
    <s v="Performance - PRIVATE AFFAIRS OF THE CUSTODIAN OF THE TWO HOLY MOSQUES"/>
    <x v="1"/>
    <x v="2"/>
    <x v="27"/>
    <n v="5"/>
    <n v="2026"/>
    <m/>
  </r>
  <r>
    <x v="2"/>
    <x v="149"/>
    <x v="4"/>
    <s v="CITY:Jeddah 6132226J211807001"/>
    <x v="386"/>
    <s v="J211807001"/>
    <x v="0"/>
    <n v="1298.06"/>
    <n v="0"/>
    <x v="2"/>
    <s v="Received"/>
    <s v="Electric House Trading Company L.L.C."/>
    <x v="4"/>
    <x v="11"/>
    <x v="27"/>
    <n v="5"/>
    <n v="2026"/>
    <m/>
  </r>
  <r>
    <x v="2"/>
    <x v="147"/>
    <x v="4"/>
    <s v="CITY:Jeddah 6132226J211810001"/>
    <x v="385"/>
    <s v="J211810001"/>
    <x v="0"/>
    <n v="400000"/>
    <n v="0"/>
    <x v="4"/>
    <s v="Received"/>
    <s v="Electro Mechanical Supplies Company"/>
    <x v="4"/>
    <x v="11"/>
    <x v="27"/>
    <n v="5"/>
    <n v="2026"/>
    <m/>
  </r>
  <r>
    <x v="2"/>
    <x v="148"/>
    <x v="4"/>
    <s v="CITY:Jeddah 6132226J210104004"/>
    <x v="136"/>
    <s v="J210104004"/>
    <x v="0"/>
    <n v="3759.56"/>
    <n v="0"/>
    <x v="2"/>
    <s v="Received"/>
    <s v="BBH-CHEMTROL INTERNATIONAL ORGANIZATION S.L"/>
    <x v="4"/>
    <x v="11"/>
    <x v="27"/>
    <n v="5"/>
    <n v="2026"/>
    <m/>
  </r>
  <r>
    <x v="2"/>
    <x v="150"/>
    <x v="4"/>
    <s v="19100000155300 DEP ID:4030219311 CHNL:SNB Payment Systems J211485"/>
    <x v="192"/>
    <s v="J211485"/>
    <x v="0"/>
    <n v="0"/>
    <n v="2701.07"/>
    <x v="48"/>
    <s v="D/C Reversal"/>
    <s v="ALNAFIE METAL INDUSTRIES CO LTD"/>
    <x v="8"/>
    <x v="11"/>
    <x v="27"/>
    <n v="5"/>
    <n v="2026"/>
    <m/>
  </r>
  <r>
    <x v="2"/>
    <x v="150"/>
    <x v="4"/>
    <s v="19100000155300 DEP ID:4030219311 CHNL:SNB Payment Systems J211681"/>
    <x v="328"/>
    <s v="J211681"/>
    <x v="0"/>
    <n v="0"/>
    <n v="616.03"/>
    <x v="48"/>
    <s v="D/C Reversal"/>
    <s v="APS ARABIAN CONTRACTING COMPANY"/>
    <x v="8"/>
    <x v="11"/>
    <x v="27"/>
    <n v="5"/>
    <n v="2026"/>
    <m/>
  </r>
  <r>
    <x v="2"/>
    <x v="150"/>
    <x v="4"/>
    <s v="CITY:Jeddah 6132226J211485004"/>
    <x v="192"/>
    <s v="J211485004"/>
    <x v="0"/>
    <n v="2701.07"/>
    <n v="0"/>
    <x v="5"/>
    <s v="Received"/>
    <s v="ALNAFIE METAL INDUSTRIES CO LTD"/>
    <x v="8"/>
    <x v="11"/>
    <x v="27"/>
    <n v="5"/>
    <n v="2026"/>
    <m/>
  </r>
  <r>
    <x v="2"/>
    <x v="150"/>
    <x v="4"/>
    <s v="CITY:Jeddah 6132226J211681002"/>
    <x v="328"/>
    <s v="J211681002"/>
    <x v="0"/>
    <n v="616.03"/>
    <n v="0"/>
    <x v="2"/>
    <s v="Received"/>
    <s v="APS ARABIAN CONTRACTING COMPANY"/>
    <x v="8"/>
    <x v="11"/>
    <x v="27"/>
    <n v="5"/>
    <n v="2026"/>
    <m/>
  </r>
  <r>
    <x v="2"/>
    <x v="150"/>
    <x v="11"/>
    <s v="19100000033209 BEN ID:4030219311 J211485"/>
    <x v="192"/>
    <s v="J211485"/>
    <x v="2"/>
    <n v="2701.07"/>
    <n v="0"/>
    <x v="48"/>
    <s v="D/C Reversal"/>
    <s v="ALNAFIE METAL INDUSTRIES CO LTD"/>
    <x v="8"/>
    <x v="11"/>
    <x v="27"/>
    <n v="5"/>
    <n v="2026"/>
    <m/>
  </r>
  <r>
    <x v="2"/>
    <x v="150"/>
    <x v="11"/>
    <s v="19100000033209 BEN ID:4030219311 J211681"/>
    <x v="328"/>
    <s v="J211681"/>
    <x v="2"/>
    <n v="616.03"/>
    <n v="0"/>
    <x v="48"/>
    <s v="D/C Reversal"/>
    <s v="APS ARABIAN CONTRACTING COMPANY"/>
    <x v="8"/>
    <x v="11"/>
    <x v="27"/>
    <n v="5"/>
    <n v="2026"/>
    <m/>
  </r>
  <r>
    <x v="3"/>
    <x v="147"/>
    <x v="6"/>
    <s v="DC AMENDMENT COMM CHARGES DCBWPM565846"/>
    <x v="165"/>
    <s v="NT COMM CHARGES"/>
    <x v="0"/>
    <n v="1265"/>
    <n v="0"/>
    <x v="2"/>
    <s v="Received"/>
    <s v="Mimar For Construction Tools &amp; Trading Ltd."/>
    <x v="3"/>
    <x v="9"/>
    <x v="27"/>
    <n v="5"/>
    <n v="2026"/>
    <m/>
  </r>
  <r>
    <x v="3"/>
    <x v="147"/>
    <x v="5"/>
    <s v="DPBCOR214373WPM DCBWPM563025"/>
    <x v="194"/>
    <s v="DPBCOR214373WPM"/>
    <x v="0"/>
    <n v="100810.74"/>
    <n v="0"/>
    <x v="4"/>
    <s v="Received"/>
    <s v="Riyadh Unity for Trading"/>
    <x v="3"/>
    <x v="8"/>
    <x v="27"/>
    <n v="5"/>
    <n v="2026"/>
    <m/>
  </r>
  <r>
    <x v="3"/>
    <x v="148"/>
    <x v="6"/>
    <s v="DPBEPM210962WPM DCBWPM565843"/>
    <x v="372"/>
    <s v="DPBEPM210962WPM"/>
    <x v="0"/>
    <n v="1071489.43"/>
    <n v="0"/>
    <x v="4"/>
    <s v="Received"/>
    <s v="BAHRA ADVANCED CABLE MANUFACTURE CO. LTD."/>
    <x v="3"/>
    <x v="9"/>
    <x v="27"/>
    <n v="5"/>
    <n v="2026"/>
    <m/>
  </r>
  <r>
    <x v="3"/>
    <x v="148"/>
    <x v="6"/>
    <s v="DPBCOR216857WPM DCBWPM161330"/>
    <x v="399"/>
    <s v="DPBCOR216857WPM"/>
    <x v="0"/>
    <n v="500000"/>
    <n v="0"/>
    <x v="4"/>
    <s v="Received"/>
    <s v="Mariam Trading CO. &amp; Partner"/>
    <x v="3"/>
    <x v="9"/>
    <x v="27"/>
    <n v="5"/>
    <n v="2026"/>
    <m/>
  </r>
  <r>
    <x v="3"/>
    <x v="148"/>
    <x v="6"/>
    <s v="DPBCOR213004WPM DCBWPM570839"/>
    <x v="340"/>
    <s v="DPBCOR213004WPM"/>
    <x v="0"/>
    <n v="650518.46"/>
    <n v="0"/>
    <x v="4"/>
    <s v="Received"/>
    <s v="MASQ FOR ELECTRICAL TOOLS CO"/>
    <x v="3"/>
    <x v="9"/>
    <x v="27"/>
    <n v="5"/>
    <n v="2026"/>
    <m/>
  </r>
  <r>
    <x v="6"/>
    <x v="150"/>
    <x v="15"/>
    <s v="Banktrade Debit"/>
    <x v="508"/>
    <s v=""/>
    <x v="0"/>
    <n v="321752.44"/>
    <n v="0"/>
    <x v="49"/>
    <s v="Received"/>
    <s v="Henan Chongpeng Machinery Co Ltd"/>
    <x v="0"/>
    <x v="16"/>
    <x v="27"/>
    <n v="5"/>
    <n v="2026"/>
    <m/>
  </r>
  <r>
    <x v="6"/>
    <x v="150"/>
    <x v="15"/>
    <s v="BT Commission Debit"/>
    <x v="508"/>
    <s v=""/>
    <x v="0"/>
    <n v="1005.48"/>
    <n v="0"/>
    <x v="8"/>
    <s v="Received"/>
    <s v="Henan Chongpeng Machinery Co Ltd"/>
    <x v="0"/>
    <x v="16"/>
    <x v="27"/>
    <n v="5"/>
    <n v="2026"/>
    <m/>
  </r>
  <r>
    <x v="6"/>
    <x v="150"/>
    <x v="15"/>
    <s v="BT SWIFT Chg Debit"/>
    <x v="508"/>
    <s v=""/>
    <x v="0"/>
    <n v="1000"/>
    <n v="0"/>
    <x v="8"/>
    <s v="Received"/>
    <s v="Henan Chongpeng Machinery Co Ltd"/>
    <x v="0"/>
    <x v="16"/>
    <x v="27"/>
    <n v="5"/>
    <n v="2026"/>
    <m/>
  </r>
  <r>
    <x v="6"/>
    <x v="150"/>
    <x v="15"/>
    <s v="BT Courier Chg Debit"/>
    <x v="508"/>
    <s v=""/>
    <x v="0"/>
    <n v="500"/>
    <n v="0"/>
    <x v="8"/>
    <s v="Received"/>
    <s v="Henan Chongpeng Machinery Co Ltd"/>
    <x v="0"/>
    <x v="16"/>
    <x v="27"/>
    <n v="5"/>
    <n v="2026"/>
    <m/>
  </r>
  <r>
    <x v="6"/>
    <x v="150"/>
    <x v="15"/>
    <s v="Value Added Tax (VAT)"/>
    <x v="508"/>
    <s v=""/>
    <x v="0"/>
    <n v="150.82"/>
    <n v="0"/>
    <x v="8"/>
    <s v="Received"/>
    <s v="Henan Chongpeng Machinery Co Ltd"/>
    <x v="0"/>
    <x v="16"/>
    <x v="27"/>
    <n v="5"/>
    <n v="2026"/>
    <m/>
  </r>
  <r>
    <x v="6"/>
    <x v="150"/>
    <x v="15"/>
    <s v="Value Added Tax (VAT)"/>
    <x v="508"/>
    <s v=""/>
    <x v="0"/>
    <n v="150"/>
    <n v="0"/>
    <x v="8"/>
    <s v="Received"/>
    <s v="Henan Chongpeng Machinery Co Ltd"/>
    <x v="0"/>
    <x v="16"/>
    <x v="27"/>
    <n v="5"/>
    <n v="2026"/>
    <m/>
  </r>
  <r>
    <x v="6"/>
    <x v="150"/>
    <x v="15"/>
    <s v="Value Added Tax (VAT)"/>
    <x v="508"/>
    <s v=""/>
    <x v="0"/>
    <n v="75"/>
    <n v="0"/>
    <x v="8"/>
    <s v="Received"/>
    <s v="Henan Chongpeng Machinery Co Ltd"/>
    <x v="0"/>
    <x v="16"/>
    <x v="27"/>
    <n v="5"/>
    <n v="2026"/>
    <m/>
  </r>
  <r>
    <x v="5"/>
    <x v="149"/>
    <x v="9"/>
    <s v="TI Bill Settled                                                       _x000a_POC002                                                                _x000a_At Bank AlJazira                                                      _x000a_CORPORATE BANKING DEPT-JEDDAH                                         _x000a_Date 16-11-1447(H) Time 10.05.30                                      _x000a_Reference ILC-0840-26-8821                                            _x000a_"/>
    <x v="366"/>
    <s v=""/>
    <x v="0"/>
    <n v="209875"/>
    <n v="0"/>
    <x v="4"/>
    <s v="Received"/>
    <s v="Al Wasail Industrial Co "/>
    <x v="3"/>
    <x v="10"/>
    <x v="27"/>
    <n v="5"/>
    <n v="2026"/>
    <m/>
  </r>
  <r>
    <x v="5"/>
    <x v="149"/>
    <x v="9"/>
    <s v="TI Bill Settled                                                       _x000a_POC002                                                                _x000a_At Bank AlJazira                                                      _x000a_CORPORATE BANKING DEPT-JEDDAH                                         _x000a_Date 16-11-1447(H) Time 10.07.09                                      _x000a_Reference ILC-0840-26-8823                                            _x000a_"/>
    <x v="363"/>
    <s v=""/>
    <x v="0"/>
    <n v="212349.8"/>
    <n v="0"/>
    <x v="4"/>
    <s v="Received"/>
    <s v="Mohammed Masoud Al Khaldi Est"/>
    <x v="3"/>
    <x v="10"/>
    <x v="27"/>
    <n v="5"/>
    <n v="2026"/>
    <m/>
  </r>
  <r>
    <x v="5"/>
    <x v="147"/>
    <x v="9"/>
    <s v="Value Added Tax                                                       _x000a_On LGI Amend Commission                                               _x000a_15% of SAR9,375.00                                                    _x000a_Through CORPORATE BANKING DEPT-JEDDAH                                 _x000a_Date 17-11-1447(H) Time 15.35.12                                      _x000a_Reference LGI-0840-26-7783                                            _x000a_At Bank Aljazira                                                      _x000a_Exchange Rate 1.0                                                     _x000a_"/>
    <x v="421"/>
    <s v=""/>
    <x v="0"/>
    <n v="1406.25"/>
    <n v="0"/>
    <x v="1"/>
    <s v="Received"/>
    <s v="Bid - Diriyah Company"/>
    <x v="1"/>
    <x v="2"/>
    <x v="27"/>
    <n v="5"/>
    <n v="2026"/>
    <m/>
  </r>
  <r>
    <x v="5"/>
    <x v="147"/>
    <x v="9"/>
    <s v="Dr TI LGI Comm/Other Charges                                          _x000a_AMD001-296647716                                                      _x000a_At Bank AlJazira                                                      _x000a_CORPORATE BANKING DEPT-JEDDAH                                         _x000a_Date 17-11-1447(H) Time 15.35.12                                      _x000a_Reference LGI-0840-26-7783                                            _x000a_"/>
    <x v="421"/>
    <s v=""/>
    <x v="0"/>
    <n v="9375"/>
    <n v="0"/>
    <x v="16"/>
    <s v="Received"/>
    <s v="Bid - Diriyah Company"/>
    <x v="1"/>
    <x v="2"/>
    <x v="27"/>
    <n v="5"/>
    <n v="2026"/>
    <m/>
  </r>
  <r>
    <x v="5"/>
    <x v="147"/>
    <x v="9"/>
    <s v="Value Added Tax                                                       _x000a_On ILC Commission                                                     _x000a_15% of SAR500.00                                                      _x000a_Through CORPORATE BANKING DEPT-JEDDAH                                 _x000a_Date 17-11-1447(H) Time 14.38.16                                      _x000a_Reference ILC-0840-25-7981                                            _x000a_At Bank Aljazira                                                      _x000a_"/>
    <x v="76"/>
    <s v=""/>
    <x v="0"/>
    <n v="75"/>
    <n v="0"/>
    <x v="1"/>
    <s v="Received"/>
    <s v="Ealla For General Contracting"/>
    <x v="3"/>
    <x v="10"/>
    <x v="27"/>
    <n v="5"/>
    <n v="2026"/>
    <m/>
  </r>
  <r>
    <x v="5"/>
    <x v="147"/>
    <x v="9"/>
    <s v="Dr TI ILC Comm/Other Charges                                          _x000a_AMD004-296646710                                                      _x000a_At Bank Aljazira                                                      _x000a_ CORPORATE BANKING DEPT-JEDDAH                                        _x000a_Date 17-11-1447(H) Time 14.38.16                                      _x000a_Reference ILC-0840-25-7981                                            _x000a_Value Date 17-11-1447(H)                                              _x000a_Fee Collected By Bank AlJazira                                        _x000a_"/>
    <x v="76"/>
    <s v=""/>
    <x v="0"/>
    <n v="500"/>
    <n v="0"/>
    <x v="5"/>
    <s v="Received"/>
    <s v="Ealla For General Contracting"/>
    <x v="3"/>
    <x v="10"/>
    <x v="27"/>
    <n v="5"/>
    <n v="2026"/>
    <m/>
  </r>
  <r>
    <x v="5"/>
    <x v="147"/>
    <x v="9"/>
    <s v="Value Added Tax                                                       _x000a_On SWIFT charges                                                      _x000a_15% of SAR200.00                                                      _x000a_Through CORPORATE BANKING DEPT-JEDDAH                                 _x000a_Date 17-11-1447(H) Time 14.37.48                                      _x000a_Reference ILC-0840-25-7736                                            _x000a_At Bank Aljazira                                                      _x000a_"/>
    <x v="86"/>
    <s v=""/>
    <x v="0"/>
    <n v="30"/>
    <n v="0"/>
    <x v="1"/>
    <s v="Received"/>
    <s v="Baamer Group for Trading Company"/>
    <x v="3"/>
    <x v="10"/>
    <x v="27"/>
    <n v="5"/>
    <n v="2026"/>
    <m/>
  </r>
  <r>
    <x v="5"/>
    <x v="147"/>
    <x v="9"/>
    <s v="Dr TI ILC Comm/Other Charges                                          _x000a_AMD005-296645530                                                      _x000a_At Bank Aljazira                                                      _x000a_ CORPORATE BANKING DEPT-JEDDAH                                        _x000a_Date 17-11-1447(H) Time 14.37.48                                      _x000a_Reference ILC-0840-25-7736                                            _x000a_Value Date 17-11-1447(H)                                              _x000a_Fee Collected By Bank AlJazira                                        _x000a_"/>
    <x v="86"/>
    <s v=""/>
    <x v="0"/>
    <n v="200"/>
    <n v="0"/>
    <x v="5"/>
    <s v="Received"/>
    <s v="Baamer Group for Trading Company"/>
    <x v="3"/>
    <x v="10"/>
    <x v="27"/>
    <n v="5"/>
    <n v="2026"/>
    <m/>
  </r>
  <r>
    <x v="5"/>
    <x v="147"/>
    <x v="9"/>
    <s v="Value Added Tax                                                       _x000a_On ILC Commission                                                     _x000a_15% of SAR500.00                                                      _x000a_Through CORPORATE BANKING DEPT-JEDDAH                                 _x000a_Date 17-11-1447(H) Time 14.37.48                                      _x000a_Reference ILC-0840-25-7736                                            _x000a_At Bank Aljazira                                                      _x000a_"/>
    <x v="86"/>
    <s v=""/>
    <x v="0"/>
    <n v="75"/>
    <n v="0"/>
    <x v="1"/>
    <s v="Received"/>
    <s v="Baamer Group for Trading Company"/>
    <x v="3"/>
    <x v="10"/>
    <x v="27"/>
    <n v="5"/>
    <n v="2026"/>
    <m/>
  </r>
  <r>
    <x v="5"/>
    <x v="147"/>
    <x v="9"/>
    <s v="Dr TI ILC Comm/Other Charges                                          _x000a_AMD005-296645528                                                      _x000a_At Bank Aljazira                                                      _x000a_ CORPORATE BANKING DEPT-JEDDAH                                        _x000a_Date 17-11-1447(H) Time 14.37.48                                      _x000a_Reference ILC-0840-25-7736                                            _x000a_Value Date 17-11-1447(H)                                              _x000a_Fee Collected By Bank AlJazira                                        _x000a_"/>
    <x v="86"/>
    <s v=""/>
    <x v="0"/>
    <n v="500"/>
    <n v="0"/>
    <x v="5"/>
    <s v="Received"/>
    <s v="Baamer Group for Trading Company"/>
    <x v="3"/>
    <x v="10"/>
    <x v="27"/>
    <n v="5"/>
    <n v="2026"/>
    <m/>
  </r>
  <r>
    <x v="5"/>
    <x v="147"/>
    <x v="9"/>
    <s v="Value Added Tax                                                       _x000a_On SWIFT charges                                                      _x000a_15% of SAR200.00                                                      _x000a_Through CORPORATE BANKING DEPT-JEDDAH                                 _x000a_Date 17-11-1447(H) Time 14.37.24                                      _x000a_Reference ILC-0840-25-7517                                            _x000a_At Bank Aljazira                                                      _x000a_Exchange Rate 1.0                                                     _x000a_"/>
    <x v="168"/>
    <s v=""/>
    <x v="0"/>
    <n v="30"/>
    <n v="0"/>
    <x v="1"/>
    <s v="Received"/>
    <s v="SAUDI VITRIFIED CLAY PIPE CO"/>
    <x v="3"/>
    <x v="10"/>
    <x v="27"/>
    <n v="5"/>
    <n v="2026"/>
    <m/>
  </r>
  <r>
    <x v="5"/>
    <x v="147"/>
    <x v="9"/>
    <s v="Dr TI ILC Comm/Other Charges                                          _x000a_AMD006-296644798                                                      _x000a_At Bank Aljazira                                                      _x000a_ CORPORATE BANKING DEPT-JEDDAH                                        _x000a_Exchange Rate 1.0                                                     _x000a_Date 17-11-1447(H) Time 14.37.23                                      _x000a_Reference ILC-0840-25-7517                                            _x000a_Value Date 17-11-1447(H)                                              _x000a_Fee Collected By Bank AlJazira                                        _x000a_"/>
    <x v="168"/>
    <s v=""/>
    <x v="0"/>
    <n v="200"/>
    <n v="0"/>
    <x v="5"/>
    <s v="Received"/>
    <s v="SAUDI VITRIFIED CLAY PIPE CO"/>
    <x v="3"/>
    <x v="10"/>
    <x v="27"/>
    <n v="5"/>
    <n v="2026"/>
    <m/>
  </r>
  <r>
    <x v="5"/>
    <x v="147"/>
    <x v="9"/>
    <s v="Value Added Tax                                                       _x000a_On ILC Commission                                                     _x000a_15% of SAR802.84                                                      _x000a_Through CORPORATE BANKING DEPT-JEDDAH                                 _x000a_Date 17-11-1447(H) Time 14.37.23                                      _x000a_Reference ILC-0840-25-7517                                            _x000a_At Bank Aljazira                                                      _x000a_Exchange Rate 1.0                                                     _x000a_"/>
    <x v="168"/>
    <s v=""/>
    <x v="0"/>
    <n v="120.43"/>
    <n v="0"/>
    <x v="1"/>
    <s v="Received"/>
    <s v="SAUDI VITRIFIED CLAY PIPE CO"/>
    <x v="3"/>
    <x v="10"/>
    <x v="27"/>
    <n v="5"/>
    <n v="2026"/>
    <m/>
  </r>
  <r>
    <x v="5"/>
    <x v="147"/>
    <x v="9"/>
    <s v="Dr TI ILC Comm/Other Charges                                          _x000a_AMD006-296644796                                                      _x000a_At Bank Aljazira                                                      _x000a_ CORPORATE BANKING DEPT-JEDDAH                                        _x000a_Exchange Rate 1.0                                                     _x000a_Date 17-11-1447(H) Time 14.37.23                                      _x000a_Reference ILC-0840-25-7517                                            _x000a_Value Date 17-11-1447(H)                                              _x000a_Fee Collected By Bank AlJazira                                        _x000a_"/>
    <x v="168"/>
    <s v=""/>
    <x v="0"/>
    <n v="802.84"/>
    <n v="0"/>
    <x v="5"/>
    <s v="Received"/>
    <s v="SAUDI VITRIFIED CLAY PIPE CO"/>
    <x v="3"/>
    <x v="10"/>
    <x v="27"/>
    <n v="5"/>
    <n v="2026"/>
    <m/>
  </r>
  <r>
    <x v="5"/>
    <x v="147"/>
    <x v="9"/>
    <s v="Value Added Tax                                                       _x000a_On SWIFT charges                                                      _x000a_15% of SAR200.00                                                      _x000a_Through CORPORATE BANKING DEPT-JEDDAH                                 _x000a_Date 17-11-1447(H) Time 14.36.55                                      _x000a_Reference ILC-0840-25-7407                                            _x000a_At Bank Aljazira                                                      _x000a_"/>
    <x v="81"/>
    <s v=""/>
    <x v="0"/>
    <n v="30"/>
    <n v="0"/>
    <x v="1"/>
    <s v="Received"/>
    <s v="SITE TECHNOLOGY SAUDI ARABIA LTD"/>
    <x v="3"/>
    <x v="10"/>
    <x v="27"/>
    <n v="5"/>
    <n v="2026"/>
    <m/>
  </r>
  <r>
    <x v="5"/>
    <x v="147"/>
    <x v="9"/>
    <s v="Dr TI ILC Comm/Other Charges                                          _x000a_AMD006-296643258                                                      _x000a_At Bank Aljazira                                                      _x000a_ CORPORATE BANKING DEPT-JEDDAH                                        _x000a_Date 17-11-1447(H) Time 14.36.54                                      _x000a_Reference ILC-0840-25-7407                                            _x000a_Value Date 17-11-1447(H)                                              _x000a_Fee Collected By Bank AlJazira                                        _x000a_"/>
    <x v="81"/>
    <s v=""/>
    <x v="0"/>
    <n v="200"/>
    <n v="0"/>
    <x v="5"/>
    <s v="Received"/>
    <s v="SITE TECHNOLOGY SAUDI ARABIA LTD"/>
    <x v="3"/>
    <x v="10"/>
    <x v="27"/>
    <n v="5"/>
    <n v="2026"/>
    <m/>
  </r>
  <r>
    <x v="5"/>
    <x v="147"/>
    <x v="9"/>
    <s v="Value Added Tax                                                       _x000a_On ILC Commission                                                     _x000a_15% of SAR500.00                                                      _x000a_Through CORPORATE BANKING DEPT-JEDDAH                                 _x000a_Date 17-11-1447(H) Time 14.36.54                                      _x000a_Reference ILC-0840-25-7407                                            _x000a_At Bank Aljazira                                                      _x000a_"/>
    <x v="81"/>
    <s v=""/>
    <x v="0"/>
    <n v="75"/>
    <n v="0"/>
    <x v="1"/>
    <s v="Received"/>
    <s v="SITE TECHNOLOGY SAUDI ARABIA LTD"/>
    <x v="3"/>
    <x v="10"/>
    <x v="27"/>
    <n v="5"/>
    <n v="2026"/>
    <m/>
  </r>
  <r>
    <x v="5"/>
    <x v="147"/>
    <x v="9"/>
    <s v="Dr TI ILC Comm/Other Charges                                          _x000a_AMD006-296643256                                                      _x000a_At Bank Aljazira                                                      _x000a_ CORPORATE BANKING DEPT-JEDDAH                                        _x000a_Date 17-11-1447(H) Time 14.36.54                                      _x000a_Reference ILC-0840-25-7407                                            _x000a_Value Date 17-11-1447(H)                                              _x000a_Fee Collected By Bank AlJazira                                        _x000a_"/>
    <x v="81"/>
    <s v=""/>
    <x v="0"/>
    <n v="500"/>
    <n v="0"/>
    <x v="5"/>
    <s v="Received"/>
    <s v="SITE TECHNOLOGY SAUDI ARABIA LTD"/>
    <x v="3"/>
    <x v="10"/>
    <x v="27"/>
    <n v="5"/>
    <n v="2026"/>
    <m/>
  </r>
  <r>
    <x v="5"/>
    <x v="147"/>
    <x v="9"/>
    <s v="Value Added Tax                                                       _x000a_On SWIFT charges                                                      _x000a_15% of SAR200.00                                                      _x000a_Through CORPORATE BANKING DEPT-JEDDAH                                 _x000a_Date 17-11-1447(H) Time 14.36.30                                      _x000a_Reference ILC-0840-25-7353                                            _x000a_At Bank Aljazira                                                      _x000a_Exchange Rate 1.0                                                     _x000a_"/>
    <x v="73"/>
    <s v=""/>
    <x v="0"/>
    <n v="30"/>
    <n v="0"/>
    <x v="1"/>
    <s v="Received"/>
    <s v="Saudi Hepco Co. Ltd"/>
    <x v="3"/>
    <x v="10"/>
    <x v="27"/>
    <n v="5"/>
    <n v="2026"/>
    <m/>
  </r>
  <r>
    <x v="5"/>
    <x v="147"/>
    <x v="9"/>
    <s v="Dr TI ILC Comm/Other Charges                                          _x000a_AMD006-296642608                                                      _x000a_At Bank Aljazira                                                      _x000a_ CORPORATE BANKING DEPT-JEDDAH                                        _x000a_Exchange Rate 1.0                                                     _x000a_Date 17-11-1447(H) Time 14.36.30                                      _x000a_Reference ILC-0840-25-7353                                            _x000a_Value Date 17-11-1447(H)                                              _x000a_Fee Collected By Bank AlJazira                                        _x000a_"/>
    <x v="73"/>
    <s v=""/>
    <x v="0"/>
    <n v="200"/>
    <n v="0"/>
    <x v="5"/>
    <s v="Received"/>
    <s v="Saudi Hepco Co. Ltd"/>
    <x v="3"/>
    <x v="10"/>
    <x v="27"/>
    <n v="5"/>
    <n v="2026"/>
    <m/>
  </r>
  <r>
    <x v="5"/>
    <x v="147"/>
    <x v="9"/>
    <s v="Value Added Tax                                                       _x000a_On ILC Commission                                                     _x000a_15% of SAR500.00                                                      _x000a_Through CORPORATE BANKING DEPT-JEDDAH                                 _x000a_Date 17-11-1447(H) Time 14.36.29                                      _x000a_Reference ILC-0840-25-7353                                            _x000a_At Bank Aljazira                                                      _x000a_Exchange Rate 1.0                                                     _x000a_"/>
    <x v="73"/>
    <s v=""/>
    <x v="0"/>
    <n v="75"/>
    <n v="0"/>
    <x v="1"/>
    <s v="Received"/>
    <s v="Saudi Hepco Co. Ltd"/>
    <x v="3"/>
    <x v="10"/>
    <x v="27"/>
    <n v="5"/>
    <n v="2026"/>
    <m/>
  </r>
  <r>
    <x v="5"/>
    <x v="147"/>
    <x v="9"/>
    <s v="Dr TI ILC Comm/Other Charges                                          _x000a_AMD006-296642606                                                      _x000a_At Bank Aljazira                                                      _x000a_ CORPORATE BANKING DEPT-JEDDAH                                        _x000a_Exchange Rate 1.0                                                     _x000a_Date 17-11-1447(H) Time 14.36.29                                      _x000a_Reference ILC-0840-25-7353                                            _x000a_Value Date 17-11-1447(H)                                              _x000a_Fee Collected By Bank AlJazira                                        _x000a_"/>
    <x v="73"/>
    <s v=""/>
    <x v="0"/>
    <n v="500"/>
    <n v="0"/>
    <x v="5"/>
    <s v="Received"/>
    <s v="Saudi Hepco Co. Ltd"/>
    <x v="3"/>
    <x v="10"/>
    <x v="27"/>
    <n v="5"/>
    <n v="2026"/>
    <m/>
  </r>
  <r>
    <x v="5"/>
    <x v="147"/>
    <x v="9"/>
    <s v="Value Added Tax                                                       _x000a_On SWIFT charges                                                      _x000a_15% of SAR200.00                                                      _x000a_Through CORPORATE BANKING DEPT-JEDDAH                                 _x000a_Date 17-11-1447(H) Time 12.11.51                                      _x000a_Reference ILC-0840-26-8758                                            _x000a_At Bank Aljazira                                                      _x000a_Exchange Rate 1.0                                                     _x000a_"/>
    <x v="352"/>
    <s v=""/>
    <x v="0"/>
    <n v="30"/>
    <n v="0"/>
    <x v="1"/>
    <s v="Received"/>
    <s v="Green Concrete CJSC"/>
    <x v="0"/>
    <x v="10"/>
    <x v="27"/>
    <n v="5"/>
    <n v="2026"/>
    <m/>
  </r>
  <r>
    <x v="5"/>
    <x v="147"/>
    <x v="9"/>
    <s v="Dr TI ILC Comm/Other Charges                                          _x000a_POC004-296583355                                                      _x000a_At Bank Aljazira                                                      _x000a_ CORPORATE BANKING DEPT-JEDDAH                                        _x000a_Exchange Rate 1.0                                                     _x000a_Date 17-11-1447(H) Time 12.11.51                                      _x000a_Reference ILC-0840-26-8758                                            _x000a_Value Date 17-11-1447(H)                                              _x000a_Fee Collected By Bank AlJazira                                        _x000a_"/>
    <x v="352"/>
    <s v=""/>
    <x v="0"/>
    <n v="200"/>
    <n v="0"/>
    <x v="2"/>
    <s v="Received"/>
    <s v="Green Concrete CJSC"/>
    <x v="0"/>
    <x v="10"/>
    <x v="27"/>
    <n v="5"/>
    <n v="2026"/>
    <m/>
  </r>
  <r>
    <x v="5"/>
    <x v="147"/>
    <x v="9"/>
    <s v="Value Added Tax                                                       _x000a_On ILC Acceptance Comm.                                               _x000a_15% of SAR250.00                                                      _x000a_Through CORPORATE BANKING DEPT-JEDDAH                                 _x000a_Date 17-11-1447(H) Time 12.11.50                                      _x000a_Reference ILC-0840-26-8758                                            _x000a_At Bank Aljazira                                                      _x000a_Exchange Rate 1.0                                                     _x000a_"/>
    <x v="352"/>
    <s v=""/>
    <x v="0"/>
    <n v="37.5"/>
    <n v="0"/>
    <x v="1"/>
    <s v="Received"/>
    <s v="Green Concrete CJSC"/>
    <x v="0"/>
    <x v="10"/>
    <x v="27"/>
    <n v="5"/>
    <n v="2026"/>
    <m/>
  </r>
  <r>
    <x v="5"/>
    <x v="147"/>
    <x v="9"/>
    <s v="Dr TI ILC Comm/Other Charges                                          _x000a_POC004-296583353                                                      _x000a_At Bank Aljazira                                                      _x000a_ CORPORATE BANKING DEPT-JEDDAH                                        _x000a_Exchange Rate 1.0                                                     _x000a_Date 17-11-1447(H) Time 12.11.50                                      _x000a_Reference ILC-0840-26-8758                                            _x000a_Value Date 17-11-1447(H)                                              _x000a_Fee Collected By Bank AlJazira                                        _x000a_"/>
    <x v="352"/>
    <s v=""/>
    <x v="0"/>
    <n v="250"/>
    <n v="0"/>
    <x v="2"/>
    <s v="Received"/>
    <s v="Green Concrete CJSC"/>
    <x v="0"/>
    <x v="10"/>
    <x v="27"/>
    <n v="5"/>
    <n v="2026"/>
    <m/>
  </r>
  <r>
    <x v="5"/>
    <x v="147"/>
    <x v="9"/>
    <s v="Value Added Tax                                                       _x000a_On ILC Acceptance Comm.                                               _x000a_15% of SAR100.00                                                      _x000a_Through CORPORATE BANKING DEPT-JEDDAH                                 _x000a_Date 17-11-1447(H) Time 12.11.49                                      _x000a_Reference ILC-0840-26-8758                                            _x000a_At Bank Aljazira                                                      _x000a_Exchange Rate 1.0                                                     _x000a_"/>
    <x v="352"/>
    <s v=""/>
    <x v="0"/>
    <n v="15"/>
    <n v="0"/>
    <x v="1"/>
    <s v="Received"/>
    <s v="Green Concrete CJSC"/>
    <x v="0"/>
    <x v="10"/>
    <x v="27"/>
    <n v="5"/>
    <n v="2026"/>
    <m/>
  </r>
  <r>
    <x v="5"/>
    <x v="147"/>
    <x v="9"/>
    <s v="Dr TI ILC Comm/Other Charges                                          _x000a_POC004-296582987                                                      _x000a_At Bank Aljazira                                                      _x000a_ CORPORATE BANKING DEPT-JEDDAH                                        _x000a_Exchange Rate 1.0                                                     _x000a_Date 17-11-1447(H) Time 12.11.49                                      _x000a_Reference ILC-0840-26-8758                                            _x000a_Value Date 17-11-1447(H)                                              _x000a_Fee Collected By Bank AlJazira                                        _x000a_"/>
    <x v="352"/>
    <s v=""/>
    <x v="0"/>
    <n v="100"/>
    <n v="0"/>
    <x v="2"/>
    <s v="Received"/>
    <s v="Green Concrete CJSC"/>
    <x v="0"/>
    <x v="10"/>
    <x v="27"/>
    <n v="5"/>
    <n v="2026"/>
    <m/>
  </r>
  <r>
    <x v="5"/>
    <x v="147"/>
    <x v="9"/>
    <s v="Dr TI LGI Comm/Other Charges                                          _x000a_AMD001-296647718                                                      _x000a_At Bank AlJazira                                                      _x000a_CORPORATE BANKING DEPT-JEDDAH                                         _x000a_Date 17-11-1447(H) Time 15.35.12                                      _x000a_Reference LGI-0840-26-7783                                            _x000a_"/>
    <x v="421"/>
    <s v=""/>
    <x v="0"/>
    <n v="25000"/>
    <n v="0"/>
    <x v="16"/>
    <s v="Received"/>
    <s v="Bid - Diriyah Company"/>
    <x v="1"/>
    <x v="2"/>
    <x v="27"/>
    <n v="5"/>
    <n v="2026"/>
    <m/>
  </r>
  <r>
    <x v="5"/>
    <x v="147"/>
    <x v="9"/>
    <s v="Value Added Tax                                                       _x000a_On LG Processing/Facility Fees                                        _x000a_15% of SAR25,000.00                                                   _x000a_Through CORPORATE BANKING DEPT-JEDDAH                                 _x000a_Date 17-11-1447(H) Time 15.35.13                                      _x000a_Reference LGI-0840-26-7783                                            _x000a_At Bank Aljazira                                                      _x000a_Exchange Rate 1.0                                                     _x000a_"/>
    <x v="421"/>
    <s v=""/>
    <x v="0"/>
    <n v="3750"/>
    <n v="0"/>
    <x v="1"/>
    <s v="Received"/>
    <s v="Bid - Diriyah Company"/>
    <x v="1"/>
    <x v="2"/>
    <x v="27"/>
    <n v="5"/>
    <n v="2026"/>
    <m/>
  </r>
  <r>
    <x v="1"/>
    <x v="151"/>
    <x v="3"/>
    <s v=" LC ACCEPTANCE COMMISSION   "/>
    <x v="479"/>
    <s v="TF260980000801"/>
    <x v="0"/>
    <n v="35801.72"/>
    <n v="0"/>
    <x v="2"/>
    <s v="Received"/>
    <s v="Innovative Contractors for Advanced Dimension (ICAD)"/>
    <x v="0"/>
    <x v="8"/>
    <x v="27"/>
    <n v="5"/>
    <n v="2026"/>
    <m/>
  </r>
  <r>
    <x v="1"/>
    <x v="151"/>
    <x v="3"/>
    <s v="CUSTOMER = 3972500 DEAL AMT = 35801.72 DEAL CCY = SAR TAX CODE = 1 "/>
    <x v="479"/>
    <s v="TF260980000801"/>
    <x v="0"/>
    <n v="5370.26"/>
    <n v="0"/>
    <x v="1"/>
    <s v="Received"/>
    <s v="Innovative Contractors for Advanced Dimension (ICAD)"/>
    <x v="0"/>
    <x v="8"/>
    <x v="27"/>
    <n v="5"/>
    <n v="2026"/>
    <m/>
  </r>
  <r>
    <x v="0"/>
    <x v="152"/>
    <x v="0"/>
    <s v="REF 000000JLC7000184,RB REF JLC7000184,VIA CORE SYSTEM,DATE-TIME 10/05-14:14:58, عن طريق النظام الآ لي ,VALUE DT 10/05/26"/>
    <x v="407"/>
    <s v=""/>
    <x v="0"/>
    <n v="4312.5"/>
    <n v="0"/>
    <x v="2"/>
    <s v="Received"/>
    <s v="Khorayef Industries"/>
    <x v="3"/>
    <x v="3"/>
    <x v="27"/>
    <n v="5"/>
    <n v="2026"/>
    <m/>
  </r>
  <r>
    <x v="0"/>
    <x v="152"/>
    <x v="0"/>
    <s v="REF 000000JLC7000004,RB REF JLC7000004,VIA CORE SYSTEM,DATE-TIME 10/05-10:23:58, عن طريق النظام الآ لي ,VALUE DT 10/05/26"/>
    <x v="351"/>
    <s v=""/>
    <x v="0"/>
    <n v="2156.25"/>
    <n v="0"/>
    <x v="2"/>
    <s v="Received"/>
    <s v="SKM Air Conditioning Company"/>
    <x v="3"/>
    <x v="3"/>
    <x v="27"/>
    <n v="5"/>
    <n v="2026"/>
    <m/>
  </r>
  <r>
    <x v="0"/>
    <x v="152"/>
    <x v="0"/>
    <s v="REF 000000JLC7000185,RB REF JLC7000185,VIA CORE SYSTEM,DATE-TIME 10/05-10:22:48, عن طريق النظام الآ لي ,VALUE DT 10/05/26"/>
    <x v="410"/>
    <s v=""/>
    <x v="0"/>
    <n v="2156.25"/>
    <n v="0"/>
    <x v="2"/>
    <s v="Received"/>
    <s v="SKM Air Conditioning Company"/>
    <x v="3"/>
    <x v="3"/>
    <x v="27"/>
    <n v="5"/>
    <n v="2026"/>
    <m/>
  </r>
  <r>
    <x v="0"/>
    <x v="152"/>
    <x v="0"/>
    <s v="RB REF JLG7001279,VIA CORE SYSTEM,DATE-TIME 10/05-15:28:07, عن طريق النظام الآ لي ,VALUE DT 10/05/26"/>
    <x v="509"/>
    <s v=""/>
    <x v="0"/>
    <n v="961.4"/>
    <n v="0"/>
    <x v="17"/>
    <s v="Received"/>
    <s v="Bid - Madinah Region Development Authority"/>
    <x v="15"/>
    <x v="2"/>
    <x v="27"/>
    <n v="5"/>
    <n v="2026"/>
    <m/>
  </r>
  <r>
    <x v="0"/>
    <x v="152"/>
    <x v="1"/>
    <s v="RB REF JLG6604420,VIA CORE SYSTEM,DATE-TIME 10/05-14:29:41, عن طريق النظام الآ لي ,VALUE DT 10/05/26"/>
    <x v="288"/>
    <s v=""/>
    <x v="0"/>
    <n v="6050.15"/>
    <n v="0"/>
    <x v="17"/>
    <s v="Received"/>
    <s v="Performance - ROYAL PRIVATE AFFAIRS (IFAS)"/>
    <x v="1"/>
    <x v="2"/>
    <x v="27"/>
    <n v="5"/>
    <n v="2026"/>
    <m/>
  </r>
  <r>
    <x v="2"/>
    <x v="151"/>
    <x v="4"/>
    <s v="19100000155300 DEP ID:4030219311 CHNL:SNB Payment Systems J212311"/>
    <x v="510"/>
    <s v="J212311"/>
    <x v="0"/>
    <n v="0"/>
    <n v="6012.14"/>
    <x v="0"/>
    <s v="D/C Reversal"/>
    <s v="Manar Alomran Company For Trading And Industrial Ltd"/>
    <x v="0"/>
    <x v="11"/>
    <x v="27"/>
    <n v="5"/>
    <n v="2026"/>
    <m/>
  </r>
  <r>
    <x v="2"/>
    <x v="151"/>
    <x v="4"/>
    <s v="CITY:Jeddah 6132226J210617009"/>
    <x v="42"/>
    <s v="J210617009"/>
    <x v="0"/>
    <n v="270664"/>
    <n v="0"/>
    <x v="4"/>
    <s v="Received"/>
    <s v="Al Arabia Construction &amp; Building Co."/>
    <x v="0"/>
    <x v="7"/>
    <x v="27"/>
    <n v="5"/>
    <n v="2026"/>
    <m/>
  </r>
  <r>
    <x v="2"/>
    <x v="151"/>
    <x v="4"/>
    <s v="CITY:Jeddah 6132226J212311000"/>
    <x v="510"/>
    <s v="J212311000"/>
    <x v="0"/>
    <n v="6012.14"/>
    <n v="0"/>
    <x v="0"/>
    <s v="Received"/>
    <s v="Manar Alomran Company For Trading And Industrial Ltd"/>
    <x v="0"/>
    <x v="11"/>
    <x v="27"/>
    <n v="5"/>
    <n v="2026"/>
    <m/>
  </r>
  <r>
    <x v="2"/>
    <x v="151"/>
    <x v="11"/>
    <s v="19100000033209 BEN ID:4030219311 J212311"/>
    <x v="510"/>
    <s v="J212311"/>
    <x v="2"/>
    <n v="6012.14"/>
    <n v="0"/>
    <x v="0"/>
    <s v="D/C Reversal"/>
    <s v="Manar Alomran Company For Trading And Industrial Ltd"/>
    <x v="0"/>
    <x v="11"/>
    <x v="27"/>
    <n v="5"/>
    <n v="2026"/>
    <m/>
  </r>
  <r>
    <x v="2"/>
    <x v="152"/>
    <x v="4"/>
    <s v="19100000155300 DEP ID:4030219311 CHNL:SNB Payment Systems J212140"/>
    <x v="487"/>
    <s v="J212140"/>
    <x v="0"/>
    <n v="0"/>
    <n v="7921.61"/>
    <x v="0"/>
    <s v="D/C Reversal"/>
    <s v="Electric House Trading Company L.L.C."/>
    <x v="4"/>
    <x v="11"/>
    <x v="27"/>
    <n v="5"/>
    <n v="2026"/>
    <m/>
  </r>
  <r>
    <x v="2"/>
    <x v="152"/>
    <x v="4"/>
    <s v="CITY:Jeddah 6132226J212140001"/>
    <x v="487"/>
    <s v="J212140001"/>
    <x v="0"/>
    <n v="7921.61"/>
    <n v="0"/>
    <x v="2"/>
    <s v="Received"/>
    <s v="Electric House Trading Company L.L.C."/>
    <x v="4"/>
    <x v="11"/>
    <x v="27"/>
    <n v="5"/>
    <n v="2026"/>
    <m/>
  </r>
  <r>
    <x v="2"/>
    <x v="152"/>
    <x v="11"/>
    <s v="19100000033209 BEN ID:4030219311 J212140"/>
    <x v="487"/>
    <s v="J212140"/>
    <x v="2"/>
    <n v="7921.61"/>
    <n v="0"/>
    <x v="0"/>
    <s v="D/C Reversal"/>
    <s v="Electric House Trading Company L.L.C."/>
    <x v="4"/>
    <x v="11"/>
    <x v="27"/>
    <n v="5"/>
    <n v="2026"/>
    <m/>
  </r>
  <r>
    <x v="3"/>
    <x v="151"/>
    <x v="6"/>
    <s v="IMP BILL AMEND. CHARGES DPBCOR218791WPM DCBWPM163995"/>
    <x v="465"/>
    <s v="DPBCOR218791WPM"/>
    <x v="0"/>
    <n v="575"/>
    <n v="0"/>
    <x v="2"/>
    <s v="Received"/>
    <s v="Aknan Alkhair Tranding Est"/>
    <x v="3"/>
    <x v="9"/>
    <x v="27"/>
    <n v="5"/>
    <n v="2026"/>
    <m/>
  </r>
  <r>
    <x v="3"/>
    <x v="151"/>
    <x v="6"/>
    <s v="IMP BILL AMEND. CHARGES DPBCOR218434WPM DCBWPM567554"/>
    <x v="101"/>
    <s v="DPBCOR218434WPM"/>
    <x v="0"/>
    <n v="858.16"/>
    <n v="0"/>
    <x v="2"/>
    <s v="Received"/>
    <s v="TAWREED INTEGRATED INDUSTRIES"/>
    <x v="3"/>
    <x v="9"/>
    <x v="27"/>
    <n v="5"/>
    <n v="2026"/>
    <m/>
  </r>
  <r>
    <x v="3"/>
    <x v="152"/>
    <x v="6"/>
    <s v="DC ISSUE COMM CHARGES DCBWPM165531"/>
    <x v="511"/>
    <s v="UE COMM CHARGES"/>
    <x v="0"/>
    <n v="4231.16"/>
    <n v="0"/>
    <x v="2"/>
    <s v="Received"/>
    <s v="DAIKIN AIR CONDITIONING SAUDI ARABIA LLC"/>
    <x v="4"/>
    <x v="1"/>
    <x v="27"/>
    <n v="5"/>
    <n v="2026"/>
    <m/>
  </r>
  <r>
    <x v="3"/>
    <x v="153"/>
    <x v="6"/>
    <s v="DC ISSUE COMM CHARGES DCBWPM165571"/>
    <x v="512"/>
    <s v="UE COMM CHARGES"/>
    <x v="0"/>
    <n v="7706.82"/>
    <n v="0"/>
    <x v="8"/>
    <s v="Received"/>
    <s v="Isam Kabbani &amp; Partners for Building and Construction"/>
    <x v="0"/>
    <x v="1"/>
    <x v="27"/>
    <n v="5"/>
    <n v="2026"/>
    <m/>
  </r>
  <r>
    <x v="3"/>
    <x v="153"/>
    <x v="6"/>
    <s v="DPBCOR214449WPM DCBWPM161319"/>
    <x v="403"/>
    <s v="DPBCOR214449WPM"/>
    <x v="0"/>
    <n v="1597500"/>
    <n v="0"/>
    <x v="4"/>
    <s v="Received"/>
    <s v="Al Maymanah for Contracting Co. Ltd."/>
    <x v="3"/>
    <x v="9"/>
    <x v="27"/>
    <n v="5"/>
    <n v="2026"/>
    <m/>
  </r>
  <r>
    <x v="3"/>
    <x v="153"/>
    <x v="6"/>
    <s v="DPBEPM214073WPM DCBWPM161326"/>
    <x v="404"/>
    <s v="DPBEPM214073WPM"/>
    <x v="0"/>
    <n v="1000000"/>
    <n v="0"/>
    <x v="4"/>
    <s v="Received"/>
    <s v="Electric House Trading Company L.L.C."/>
    <x v="3"/>
    <x v="9"/>
    <x v="27"/>
    <n v="5"/>
    <n v="2026"/>
    <m/>
  </r>
  <r>
    <x v="3"/>
    <x v="153"/>
    <x v="6"/>
    <s v="DPBCOR215049WPM DCBWPM161331"/>
    <x v="405"/>
    <s v="DPBCOR215049WPM"/>
    <x v="0"/>
    <n v="500000"/>
    <n v="0"/>
    <x v="4"/>
    <s v="Received"/>
    <s v="Afaq Al Malaz Trading Co. LTD."/>
    <x v="3"/>
    <x v="9"/>
    <x v="27"/>
    <n v="5"/>
    <n v="2026"/>
    <m/>
  </r>
  <r>
    <x v="3"/>
    <x v="153"/>
    <x v="6"/>
    <s v="DPBCOR214425WPM DCBWPM161319"/>
    <x v="403"/>
    <s v="DPBCOR214425WPM"/>
    <x v="0"/>
    <n v="402500"/>
    <n v="0"/>
    <x v="4"/>
    <s v="Received"/>
    <s v="Al Maymanah for Contracting Co. Ltd."/>
    <x v="3"/>
    <x v="9"/>
    <x v="27"/>
    <n v="5"/>
    <n v="2026"/>
    <m/>
  </r>
  <r>
    <x v="3"/>
    <x v="153"/>
    <x v="5"/>
    <s v="DPBCOR214997WPM DCBWPM161329"/>
    <x v="400"/>
    <s v="DPBCOR214997WPM"/>
    <x v="0"/>
    <n v="500000"/>
    <n v="0"/>
    <x v="4"/>
    <s v="Received"/>
    <s v="IDEAL CALIBER COMPANY"/>
    <x v="3"/>
    <x v="9"/>
    <x v="27"/>
    <n v="5"/>
    <n v="2026"/>
    <m/>
  </r>
  <r>
    <x v="5"/>
    <x v="151"/>
    <x v="9"/>
    <s v="Value Added Tax                                                       _x000a_On ILC Postal/DHL Charges                                             _x000a_15% of SAR200.00                                                      _x000a_Through CORPORATE BANKING DEPT-JEDDAH                                 _x000a_Date 20-11-1447(H) Time 11.28.51                                      _x000a_Reference ILC-0840-26-9256                                            _x000a_At Bank Aljazira                                                      _x000a_"/>
    <x v="513"/>
    <s v=""/>
    <x v="0"/>
    <n v="30"/>
    <n v="0"/>
    <x v="1"/>
    <s v="Received"/>
    <s v="Al-Tawi READY -MIX FACTORY"/>
    <x v="0"/>
    <x v="10"/>
    <x v="27"/>
    <n v="5"/>
    <n v="2026"/>
    <m/>
  </r>
  <r>
    <x v="5"/>
    <x v="151"/>
    <x v="9"/>
    <s v="Dr TI LGI Commission (Unearned)                                       _x000a_ISS001-296945148                                                      _x000a_At Bank AlJazira                                                      _x000a_CORPORATE BANKING DEPT-JEDDAH                                         _x000a_Date 20-11-1447(H) Time 11.28.49                                      _x000a_Reference ILC-0840-26-9256                                            _x000a_"/>
    <x v="513"/>
    <s v=""/>
    <x v="0"/>
    <n v="1250"/>
    <n v="0"/>
    <x v="26"/>
    <s v="Received"/>
    <s v="Al-Tawi READY -MIX FACTORY"/>
    <x v="0"/>
    <x v="10"/>
    <x v="27"/>
    <n v="5"/>
    <n v="2026"/>
    <m/>
  </r>
  <r>
    <x v="5"/>
    <x v="151"/>
    <x v="9"/>
    <s v="Value Added Tax                                                       _x000a_On ILC Commission                                                     _x000a_15% of SAR1,250.00                                                    _x000a_Through CORPORATE BANKING DEPT-JEDDAH                                 _x000a_Date 20-11-1447(H) Time 11.28.49                                      _x000a_Reference ILC-0840-26-9256                                            _x000a_At Bank Aljazira                                                      _x000a_"/>
    <x v="513"/>
    <s v=""/>
    <x v="0"/>
    <n v="187.5"/>
    <n v="0"/>
    <x v="1"/>
    <s v="Received"/>
    <s v="Al-Tawi READY -MIX FACTORY"/>
    <x v="0"/>
    <x v="10"/>
    <x v="27"/>
    <n v="5"/>
    <n v="2026"/>
    <m/>
  </r>
  <r>
    <x v="5"/>
    <x v="151"/>
    <x v="9"/>
    <s v="Dr TI ILC Comm/Other Charges                                          _x000a_ISS001-296945152                                                      _x000a_At Bank Aljazira                                                      _x000a_ CORPORATE BANKING DEPT-JEDDAH                                        _x000a_Date 20-11-1447(H) Time 11.28.50                                      _x000a_Reference ILC-0840-26-9256                                            _x000a_Value Date 20-11-1447(H)                                              _x000a_Fee Collected By Bank AlJazira                                        _x000a_"/>
    <x v="513"/>
    <s v=""/>
    <x v="0"/>
    <n v="750"/>
    <n v="0"/>
    <x v="8"/>
    <s v="Received"/>
    <s v="Al-Tawi READY -MIX FACTORY"/>
    <x v="0"/>
    <x v="10"/>
    <x v="27"/>
    <n v="5"/>
    <n v="2026"/>
    <m/>
  </r>
  <r>
    <x v="5"/>
    <x v="151"/>
    <x v="9"/>
    <s v="Value Added Tax                                                       _x000a_On ILC SWIFT/Telex Charges                                            _x000a_15% of SAR750.00                                                      _x000a_Through CORPORATE BANKING DEPT-JEDDAH                                 _x000a_Date 20-11-1447(H) Time 11.28.50                                      _x000a_Reference ILC-0840-26-9256                                            _x000a_At Bank Aljazira                                                      _x000a_"/>
    <x v="513"/>
    <s v=""/>
    <x v="0"/>
    <n v="112.5"/>
    <n v="0"/>
    <x v="1"/>
    <s v="Received"/>
    <s v="Al-Tawi READY -MIX FACTORY"/>
    <x v="0"/>
    <x v="10"/>
    <x v="27"/>
    <n v="5"/>
    <n v="2026"/>
    <m/>
  </r>
  <r>
    <x v="5"/>
    <x v="151"/>
    <x v="9"/>
    <s v="Dr TI ILC Comm/Other Charges                                          _x000a_ISS001-296945154                                                      _x000a_At Bank Aljazira                                                      _x000a_ CORPORATE BANKING DEPT-JEDDAH                                        _x000a_Date 20-11-1447(H) Time 11.28.50                                      _x000a_Reference ILC-0840-26-9256                                            _x000a_Value Date 20-11-1447(H)                                              _x000a_Fee Collected By Bank AlJazira                                        _x000a_"/>
    <x v="513"/>
    <s v=""/>
    <x v="0"/>
    <n v="708.33"/>
    <n v="0"/>
    <x v="8"/>
    <s v="Received"/>
    <s v="Al-Tawi READY -MIX FACTORY"/>
    <x v="0"/>
    <x v="10"/>
    <x v="27"/>
    <n v="5"/>
    <n v="2026"/>
    <m/>
  </r>
  <r>
    <x v="5"/>
    <x v="151"/>
    <x v="9"/>
    <s v="Value Added Tax                                                       _x000a_On LC PROCESSING FEE                                                  _x000a_15% of SAR708.33                                                      _x000a_Through CORPORATE BANKING DEPT-JEDDAH                                 _x000a_Date 20-11-1447(H) Time 11.28.51                                      _x000a_Reference ILC-0840-26-9256                                            _x000a_At Bank Aljazira                                                      _x000a_"/>
    <x v="513"/>
    <s v=""/>
    <x v="0"/>
    <n v="106.25"/>
    <n v="0"/>
    <x v="1"/>
    <s v="Received"/>
    <s v="Al-Tawi READY -MIX FACTORY"/>
    <x v="0"/>
    <x v="10"/>
    <x v="27"/>
    <n v="5"/>
    <n v="2026"/>
    <m/>
  </r>
  <r>
    <x v="5"/>
    <x v="151"/>
    <x v="9"/>
    <s v="Dr TI ILC Comm/Other Charges                                          _x000a_ISS001-296945156                                                      _x000a_At Bank Aljazira                                                      _x000a_ CORPORATE BANKING DEPT-JEDDAH                                        _x000a_Date 20-11-1447(H) Time 11.28.51                                      _x000a_Reference ILC-0840-26-9256                                            _x000a_Value Date 20-11-1447(H)                                              _x000a_Fee Collected By Bank AlJazira                                        _x000a_"/>
    <x v="513"/>
    <s v=""/>
    <x v="0"/>
    <n v="200"/>
    <n v="0"/>
    <x v="8"/>
    <s v="Received"/>
    <s v="Al-Tawi READY -MIX FACTORY"/>
    <x v="0"/>
    <x v="10"/>
    <x v="27"/>
    <n v="5"/>
    <n v="2026"/>
    <m/>
  </r>
  <r>
    <x v="5"/>
    <x v="152"/>
    <x v="9"/>
    <s v="TI Bill Settled                                                       _x000a_POC002                                                                _x000a_At Bank AlJazira                                                      _x000a_CORPORATE BANKING DEPT-JEDDAH                                         _x000a_Date 23-11-1447(H) Time 10.04.09                                      _x000a_Reference ILC-0840-26-8820                                            _x000a_"/>
    <x v="362"/>
    <s v=""/>
    <x v="0"/>
    <n v="1478254.88"/>
    <n v="0"/>
    <x v="4"/>
    <s v="Received"/>
    <s v="Alfanar Electrical Systems"/>
    <x v="3"/>
    <x v="10"/>
    <x v="27"/>
    <n v="5"/>
    <n v="2026"/>
    <m/>
  </r>
  <r>
    <x v="1"/>
    <x v="154"/>
    <x v="3"/>
    <s v=" LC ACCEPTANCE COMMISSION   "/>
    <x v="492"/>
    <s v="TF261050002101"/>
    <x v="0"/>
    <n v="8750"/>
    <n v="0"/>
    <x v="2"/>
    <s v="Received"/>
    <s v="Innovative Specialized Security Solution"/>
    <x v="10"/>
    <x v="14"/>
    <x v="27"/>
    <n v="5"/>
    <n v="2026"/>
    <m/>
  </r>
  <r>
    <x v="1"/>
    <x v="154"/>
    <x v="3"/>
    <s v=" LC AMENDMENT COMMISSION   "/>
    <x v="492"/>
    <s v="TF2610500021"/>
    <x v="0"/>
    <n v="500"/>
    <n v="0"/>
    <x v="5"/>
    <s v="Received"/>
    <s v="Innovative Specialized Security Solution"/>
    <x v="10"/>
    <x v="14"/>
    <x v="27"/>
    <n v="5"/>
    <n v="2026"/>
    <m/>
  </r>
  <r>
    <x v="1"/>
    <x v="154"/>
    <x v="3"/>
    <s v=" LC SWIFT CHARGES   "/>
    <x v="492"/>
    <s v="TF2610500021"/>
    <x v="0"/>
    <n v="250"/>
    <n v="0"/>
    <x v="3"/>
    <s v="Received"/>
    <s v="Innovative Specialized Security Solution"/>
    <x v="10"/>
    <x v="14"/>
    <x v="27"/>
    <n v="5"/>
    <n v="2026"/>
    <m/>
  </r>
  <r>
    <x v="1"/>
    <x v="154"/>
    <x v="3"/>
    <s v="CUSTOMER = 3972500 DEAL AMT = 500.00 DEAL CCY = SAR TAX CODE = 1 "/>
    <x v="492"/>
    <s v="TF2610500021"/>
    <x v="0"/>
    <n v="37.5"/>
    <n v="0"/>
    <x v="1"/>
    <s v="Received"/>
    <s v="Innovative Specialized Security Solution"/>
    <x v="10"/>
    <x v="14"/>
    <x v="27"/>
    <n v="5"/>
    <n v="2026"/>
    <m/>
  </r>
  <r>
    <x v="1"/>
    <x v="154"/>
    <x v="3"/>
    <s v=" REIMBURSE UNDER LCS DR   "/>
    <x v="335"/>
    <s v="TF253590001401"/>
    <x v="0"/>
    <n v="363328.55"/>
    <n v="0"/>
    <x v="4"/>
    <s v="Received"/>
    <s v="LSI PROJECTS LIMITED"/>
    <x v="10"/>
    <x v="5"/>
    <x v="27"/>
    <n v="5"/>
    <n v="2026"/>
    <m/>
  </r>
  <r>
    <x v="1"/>
    <x v="154"/>
    <x v="3"/>
    <s v="CUSTOMER = 3972500 DEAL AMT = 8750 DEAL CCY = SAR TAX CODE = 1 "/>
    <x v="492"/>
    <s v="TF261050002101"/>
    <x v="0"/>
    <n v="1312.5"/>
    <n v="0"/>
    <x v="1"/>
    <s v="Received"/>
    <s v="Innovative Specialized Security Solution"/>
    <x v="10"/>
    <x v="14"/>
    <x v="27"/>
    <n v="5"/>
    <n v="2026"/>
    <m/>
  </r>
  <r>
    <x v="1"/>
    <x v="154"/>
    <x v="3"/>
    <s v="CUSTOMER = 3972500 DEAL AMT = 150 DEAL CCY = GBP TAX CODE = 1 "/>
    <x v="335"/>
    <s v="TF253590001401"/>
    <x v="0"/>
    <n v="22.5"/>
    <n v="0"/>
    <x v="1"/>
    <s v="Received"/>
    <s v="LSI PROJECTS LIMITED"/>
    <x v="10"/>
    <x v="5"/>
    <x v="27"/>
    <n v="5"/>
    <n v="2026"/>
    <m/>
  </r>
  <r>
    <x v="1"/>
    <x v="154"/>
    <x v="3"/>
    <s v=" LC SWIFT CHARGES   "/>
    <x v="335"/>
    <s v="TF253590001401"/>
    <x v="0"/>
    <n v="150"/>
    <n v="0"/>
    <x v="3"/>
    <s v="Received"/>
    <s v="LSI PROJECTS LIMITED"/>
    <x v="10"/>
    <x v="5"/>
    <x v="27"/>
    <n v="5"/>
    <n v="2026"/>
    <m/>
  </r>
  <r>
    <x v="1"/>
    <x v="154"/>
    <x v="3"/>
    <s v="CUSTOMER = 3972500 DEAL AMT = 1250 DEAL CCY = SAR TAX CODE = 1 "/>
    <x v="186"/>
    <s v="TF251740009802"/>
    <x v="0"/>
    <n v="187.5"/>
    <n v="0"/>
    <x v="1"/>
    <s v="Received"/>
    <s v="SKM AIR CONDITIONING CO"/>
    <x v="3"/>
    <x v="6"/>
    <x v="27"/>
    <n v="5"/>
    <n v="2026"/>
    <m/>
  </r>
  <r>
    <x v="1"/>
    <x v="154"/>
    <x v="3"/>
    <s v=" LC ACCEPTANCE COMMISSION   "/>
    <x v="186"/>
    <s v="TF251740009802"/>
    <x v="0"/>
    <n v="1250"/>
    <n v="0"/>
    <x v="2"/>
    <s v="Received"/>
    <s v="SKM AIR CONDITIONING CO"/>
    <x v="3"/>
    <x v="6"/>
    <x v="27"/>
    <n v="5"/>
    <n v="2026"/>
    <m/>
  </r>
  <r>
    <x v="1"/>
    <x v="154"/>
    <x v="3"/>
    <s v="CUSTOMER = 3972500 DEAL AMT = 500.00 DEAL CCY = SAR TAX CODE = 1 "/>
    <x v="492"/>
    <s v="TF2610500021"/>
    <x v="0"/>
    <n v="75"/>
    <n v="0"/>
    <x v="1"/>
    <s v="Received"/>
    <s v="Innovative Specialized Security Solution"/>
    <x v="10"/>
    <x v="14"/>
    <x v="27"/>
    <n v="5"/>
    <n v="2026"/>
    <m/>
  </r>
  <r>
    <x v="1"/>
    <x v="154"/>
    <x v="3"/>
    <s v=" LC SWIFT CHARGES   "/>
    <x v="90"/>
    <s v="TF252710002501"/>
    <x v="0"/>
    <n v="75"/>
    <n v="0"/>
    <x v="3"/>
    <s v="Received"/>
    <s v="BRC Industrial (Saudia) Company"/>
    <x v="0"/>
    <x v="7"/>
    <x v="27"/>
    <n v="5"/>
    <n v="2026"/>
    <m/>
  </r>
  <r>
    <x v="1"/>
    <x v="154"/>
    <x v="3"/>
    <s v="CUSTOMER = 3972500 DEAL AMT = 75 DEAL CCY = SAR TAX CODE = 1 "/>
    <x v="90"/>
    <s v="TF252710002501"/>
    <x v="0"/>
    <n v="11.25"/>
    <n v="0"/>
    <x v="1"/>
    <s v="Received"/>
    <s v="BRC Industrial (Saudia) Company"/>
    <x v="0"/>
    <x v="7"/>
    <x v="27"/>
    <n v="5"/>
    <n v="2026"/>
    <m/>
  </r>
  <r>
    <x v="1"/>
    <x v="154"/>
    <x v="3"/>
    <s v=" REIMBURSE UNDER LCS DR   "/>
    <x v="90"/>
    <s v="TF252710002501"/>
    <x v="0"/>
    <n v="1365320.51"/>
    <n v="0"/>
    <x v="4"/>
    <s v="Received"/>
    <s v="BRC Industrial (Saudia) Company"/>
    <x v="0"/>
    <x v="7"/>
    <x v="27"/>
    <n v="5"/>
    <n v="2026"/>
    <m/>
  </r>
  <r>
    <x v="1"/>
    <x v="155"/>
    <x v="3"/>
    <s v="CUSTOMER = 3972500 DEAL AMT = 75 DEAL CCY = SAR TAX CODE = 1 "/>
    <x v="514"/>
    <s v="TF260420001101"/>
    <x v="0"/>
    <n v="11.25"/>
    <n v="0"/>
    <x v="1"/>
    <s v="Received"/>
    <s v="The Fundamental Installation For Electric Work Co"/>
    <x v="3"/>
    <x v="24"/>
    <x v="27"/>
    <n v="5"/>
    <n v="2026"/>
    <m/>
  </r>
  <r>
    <x v="1"/>
    <x v="155"/>
    <x v="3"/>
    <s v=" LC SWIFT CHARGES   "/>
    <x v="514"/>
    <s v="TF260420001101"/>
    <x v="0"/>
    <n v="75"/>
    <n v="0"/>
    <x v="3"/>
    <s v="Received"/>
    <s v="The Fundamental Installation For Electric Work Co"/>
    <x v="3"/>
    <x v="24"/>
    <x v="27"/>
    <n v="5"/>
    <n v="2026"/>
    <m/>
  </r>
  <r>
    <x v="1"/>
    <x v="155"/>
    <x v="3"/>
    <s v=" REIMBURSE UNDER LCS DR   "/>
    <x v="514"/>
    <s v="TF260420001101"/>
    <x v="0"/>
    <n v="25000000"/>
    <n v="0"/>
    <x v="4"/>
    <s v="Received"/>
    <s v="The Fundamental Installation For Electric Work Co"/>
    <x v="3"/>
    <x v="24"/>
    <x v="27"/>
    <n v="5"/>
    <n v="2026"/>
    <m/>
  </r>
  <r>
    <x v="1"/>
    <x v="156"/>
    <x v="3"/>
    <s v="CUSTOMER = 3972500 DEAL AMT = 1250 DEAL CCY = SAR TAX CODE = 1 "/>
    <x v="111"/>
    <s v="TF252710002409"/>
    <x v="0"/>
    <n v="187.5"/>
    <n v="0"/>
    <x v="1"/>
    <s v="Received"/>
    <s v="Saudi Perfect Pumps Trading &amp; Manufacturing Company"/>
    <x v="0"/>
    <x v="7"/>
    <x v="27"/>
    <n v="5"/>
    <n v="2026"/>
    <m/>
  </r>
  <r>
    <x v="1"/>
    <x v="156"/>
    <x v="3"/>
    <s v=" LC ACCEPTANCE COMMISSION   "/>
    <x v="111"/>
    <s v="TF252710002409"/>
    <x v="0"/>
    <n v="1250"/>
    <n v="0"/>
    <x v="2"/>
    <s v="Received"/>
    <s v="Saudi Perfect Pumps Trading &amp; Manufacturing Company"/>
    <x v="0"/>
    <x v="7"/>
    <x v="27"/>
    <n v="5"/>
    <n v="2026"/>
    <m/>
  </r>
  <r>
    <x v="1"/>
    <x v="157"/>
    <x v="3"/>
    <s v="CUSTOMER = 3972500 DEAL AMT = 1250 DEAL CCY = SAR TAX CODE = 1 "/>
    <x v="333"/>
    <s v="TF252650001903"/>
    <x v="0"/>
    <n v="187.5"/>
    <n v="0"/>
    <x v="1"/>
    <s v="Received"/>
    <s v="Future Pipe Industries LLC"/>
    <x v="0"/>
    <x v="7"/>
    <x v="27"/>
    <n v="5"/>
    <n v="2026"/>
    <m/>
  </r>
  <r>
    <x v="1"/>
    <x v="157"/>
    <x v="3"/>
    <s v=" LC OPENING COMMISSION- DEBIT   "/>
    <x v="515"/>
    <s v="TF2613700036"/>
    <x v="0"/>
    <n v="3000"/>
    <n v="0"/>
    <x v="6"/>
    <s v="Received"/>
    <s v="Green Concrete CJSC"/>
    <x v="0"/>
    <x v="14"/>
    <x v="27"/>
    <n v="5"/>
    <n v="2026"/>
    <m/>
  </r>
  <r>
    <x v="1"/>
    <x v="157"/>
    <x v="3"/>
    <s v="CUSTOMER = 3972500 DEAL AMT = 75 DEAL CCY = SAR TAX CODE = 1 "/>
    <x v="327"/>
    <s v="TF253520001908"/>
    <x v="0"/>
    <n v="11.25"/>
    <n v="0"/>
    <x v="1"/>
    <s v="Received"/>
    <s v="SIEMENS Limited Company"/>
    <x v="12"/>
    <x v="5"/>
    <x v="27"/>
    <n v="5"/>
    <n v="2026"/>
    <m/>
  </r>
  <r>
    <x v="1"/>
    <x v="157"/>
    <x v="3"/>
    <s v=" LC SWIFT CHARGES   "/>
    <x v="327"/>
    <s v="TF253520001908"/>
    <x v="0"/>
    <n v="75"/>
    <n v="0"/>
    <x v="3"/>
    <s v="Received"/>
    <s v="SIEMENS Limited Company"/>
    <x v="12"/>
    <x v="5"/>
    <x v="27"/>
    <n v="5"/>
    <n v="2026"/>
    <m/>
  </r>
  <r>
    <x v="1"/>
    <x v="157"/>
    <x v="3"/>
    <s v=" REIMBURSE UNDER LCS DR   "/>
    <x v="327"/>
    <s v="TF253520001908"/>
    <x v="0"/>
    <n v="66237.67"/>
    <n v="0"/>
    <x v="4"/>
    <s v="Received"/>
    <s v="SIEMENS Limited Company"/>
    <x v="12"/>
    <x v="5"/>
    <x v="27"/>
    <n v="5"/>
    <n v="2026"/>
    <m/>
  </r>
  <r>
    <x v="1"/>
    <x v="157"/>
    <x v="3"/>
    <s v="CUSTOMER = 3972500 DEAL AMT = 3000.00 DEAL CCY = SAR TAX CODE = 1 "/>
    <x v="515"/>
    <s v="TF2613700036"/>
    <x v="0"/>
    <n v="105"/>
    <n v="0"/>
    <x v="1"/>
    <s v="Received"/>
    <s v="Green Concrete CJSC"/>
    <x v="0"/>
    <x v="14"/>
    <x v="27"/>
    <n v="5"/>
    <n v="2026"/>
    <m/>
  </r>
  <r>
    <x v="1"/>
    <x v="157"/>
    <x v="3"/>
    <s v="CUSTOMER = 3972500 DEAL AMT = 3000.00 DEAL CCY = SAR TAX CODE = 1 "/>
    <x v="515"/>
    <s v="TF2613700036"/>
    <x v="0"/>
    <n v="450"/>
    <n v="0"/>
    <x v="1"/>
    <s v="Received"/>
    <s v="Green Concrete CJSC"/>
    <x v="0"/>
    <x v="14"/>
    <x v="27"/>
    <n v="5"/>
    <n v="2026"/>
    <m/>
  </r>
  <r>
    <x v="1"/>
    <x v="157"/>
    <x v="3"/>
    <s v=" LC SWIFT CHARGES   "/>
    <x v="515"/>
    <s v="TF2613700036"/>
    <x v="0"/>
    <n v="700"/>
    <n v="0"/>
    <x v="6"/>
    <s v="Received"/>
    <s v="Green Concrete CJSC"/>
    <x v="0"/>
    <x v="14"/>
    <x v="27"/>
    <n v="5"/>
    <n v="2026"/>
    <m/>
  </r>
  <r>
    <x v="1"/>
    <x v="157"/>
    <x v="3"/>
    <s v=" LC ACCEPTANCE COMMISSION   "/>
    <x v="333"/>
    <s v="TF252650001903"/>
    <x v="0"/>
    <n v="1250"/>
    <n v="0"/>
    <x v="2"/>
    <s v="Received"/>
    <s v="Future Pipe Industries LLC"/>
    <x v="0"/>
    <x v="7"/>
    <x v="27"/>
    <n v="5"/>
    <n v="2026"/>
    <m/>
  </r>
  <r>
    <x v="0"/>
    <x v="155"/>
    <x v="0"/>
    <s v="REF 000000JLC6901431,RB REF JLC6901431,VIA CORE SYSTEM,DATE-TIME 13/05-11:06:40, عن طريق النظام الآ لي ,VALUE DT 13/05/26"/>
    <x v="516"/>
    <s v=""/>
    <x v="0"/>
    <n v="2109.56"/>
    <n v="0"/>
    <x v="2"/>
    <s v="Received"/>
    <e v="#N/A"/>
    <x v="7"/>
    <x v="12"/>
    <x v="27"/>
    <n v="5"/>
    <n v="2026"/>
    <m/>
  </r>
  <r>
    <x v="0"/>
    <x v="156"/>
    <x v="0"/>
    <s v="RB REF JLG7001227,VIA CORE SYSTEM,DATE-TIME 14/05-09:36:38, عن طريق النظام الآ لي ,VALUE DT 14/05/26"/>
    <x v="506"/>
    <s v=""/>
    <x v="0"/>
    <n v="1431.75"/>
    <n v="0"/>
    <x v="17"/>
    <s v="Received"/>
    <s v="Advance - MAKARAT OFFICE"/>
    <x v="0"/>
    <x v="2"/>
    <x v="27"/>
    <n v="5"/>
    <n v="2026"/>
    <m/>
  </r>
  <r>
    <x v="0"/>
    <x v="156"/>
    <x v="0"/>
    <s v="REF 000000JLC7000007,RB REF JLC7000007,VIA CORE SYSTEM,DATE-TIME 14/05-12:40:05, عن طريق النظام الآ لي ,VALUE DT 14/05/26"/>
    <x v="343"/>
    <s v=""/>
    <x v="0"/>
    <n v="2448.4"/>
    <n v="0"/>
    <x v="2"/>
    <s v="Received"/>
    <s v="ALFANAR ELECTRICAL SYSTEMS"/>
    <x v="3"/>
    <x v="3"/>
    <x v="27"/>
    <n v="5"/>
    <n v="2026"/>
    <m/>
  </r>
  <r>
    <x v="0"/>
    <x v="156"/>
    <x v="0"/>
    <s v="REF 000000JLC7000005,RB REF JLC7000005,VIA CORE SYSTEM,DATE-TIME 14/05-12:41:26, عن طريق النظام الآ لي ,VALUE DT 14/05/26"/>
    <x v="348"/>
    <s v=""/>
    <x v="0"/>
    <n v="2111.6999999999998"/>
    <n v="0"/>
    <x v="2"/>
    <s v="Received"/>
    <s v="Teqniye Al-Majra For Contracting"/>
    <x v="3"/>
    <x v="3"/>
    <x v="27"/>
    <n v="5"/>
    <n v="2026"/>
    <m/>
  </r>
  <r>
    <x v="0"/>
    <x v="157"/>
    <x v="13"/>
    <s v="REF 000000JLC6902211,RB REF JLC6902211,VIA CORE SYSTEM,DATE-TIME 18/05-13:39:15, عن طريق النظام الآ لي ,VALUE DT 18/05/26"/>
    <x v="282"/>
    <s v=""/>
    <x v="3"/>
    <n v="169226.99"/>
    <n v="0"/>
    <x v="4"/>
    <s v="Received"/>
    <s v="IBA MIDDLE EAST FZE"/>
    <x v="11"/>
    <x v="3"/>
    <x v="27"/>
    <n v="5"/>
    <n v="2026"/>
    <m/>
  </r>
  <r>
    <x v="2"/>
    <x v="155"/>
    <x v="4"/>
    <s v="CITY:Jeddah 6132226J211805001"/>
    <x v="394"/>
    <s v="J211805001"/>
    <x v="0"/>
    <n v="806924.71"/>
    <n v="0"/>
    <x v="4"/>
    <s v="Received"/>
    <s v="Electric House Trading Company L.L.C."/>
    <x v="4"/>
    <x v="11"/>
    <x v="27"/>
    <n v="5"/>
    <n v="2026"/>
    <m/>
  </r>
  <r>
    <x v="2"/>
    <x v="155"/>
    <x v="4"/>
    <s v="CITY:Jeddah 6132226J211808001"/>
    <x v="382"/>
    <s v="J211808001"/>
    <x v="0"/>
    <n v="250000"/>
    <n v="0"/>
    <x v="4"/>
    <s v="Received"/>
    <s v="Electric House Trading Company L.L.C."/>
    <x v="4"/>
    <x v="11"/>
    <x v="27"/>
    <n v="5"/>
    <n v="2026"/>
    <m/>
  </r>
  <r>
    <x v="2"/>
    <x v="155"/>
    <x v="4"/>
    <s v="19100000155300 DEP ID:4030219311 CHNL:SNB Payment Systems J211805"/>
    <x v="394"/>
    <s v="J211805"/>
    <x v="0"/>
    <n v="0"/>
    <n v="806924.71"/>
    <x v="0"/>
    <s v="D/C Reversal"/>
    <s v="Electric House Trading Company L.L.C."/>
    <x v="4"/>
    <x v="11"/>
    <x v="27"/>
    <n v="5"/>
    <n v="2026"/>
    <m/>
  </r>
  <r>
    <x v="2"/>
    <x v="155"/>
    <x v="4"/>
    <s v="19100000155300 DEP ID:4030219311 CHNL:SNB Payment Systems J211808"/>
    <x v="382"/>
    <s v="J211808"/>
    <x v="0"/>
    <n v="0"/>
    <n v="250000"/>
    <x v="0"/>
    <s v="D/C Reversal"/>
    <s v="Electric House Trading Company L.L.C."/>
    <x v="4"/>
    <x v="11"/>
    <x v="27"/>
    <n v="5"/>
    <n v="2026"/>
    <m/>
  </r>
  <r>
    <x v="2"/>
    <x v="155"/>
    <x v="11"/>
    <s v="19100000033209 BEN ID:4030219311 J211808"/>
    <x v="382"/>
    <s v="J211808"/>
    <x v="2"/>
    <n v="250000"/>
    <n v="0"/>
    <x v="0"/>
    <s v="D/C Reversal"/>
    <s v="Electric House Trading Company L.L.C."/>
    <x v="4"/>
    <x v="11"/>
    <x v="27"/>
    <n v="5"/>
    <n v="2026"/>
    <m/>
  </r>
  <r>
    <x v="2"/>
    <x v="155"/>
    <x v="11"/>
    <s v="19100000033209 BEN ID:4030219311 J211805"/>
    <x v="394"/>
    <s v="J211805"/>
    <x v="2"/>
    <n v="806924.71"/>
    <n v="0"/>
    <x v="0"/>
    <s v="D/C Reversal"/>
    <s v="Electric House Trading Company L.L.C."/>
    <x v="4"/>
    <x v="11"/>
    <x v="27"/>
    <n v="5"/>
    <n v="2026"/>
    <m/>
  </r>
  <r>
    <x v="2"/>
    <x v="158"/>
    <x v="4"/>
    <s v="CITY:Jeddah 6132226J210104006"/>
    <x v="136"/>
    <s v="J210104006"/>
    <x v="0"/>
    <n v="5127.8599999999997"/>
    <n v="0"/>
    <x v="2"/>
    <s v="Received"/>
    <s v="BBH-CHEMTROL INTERNATIONAL ORGANIZATION S.L"/>
    <x v="4"/>
    <x v="11"/>
    <x v="27"/>
    <n v="5"/>
    <n v="2026"/>
    <m/>
  </r>
  <r>
    <x v="2"/>
    <x v="158"/>
    <x v="4"/>
    <s v="CITY:Jeddah 6132226J210104005"/>
    <x v="136"/>
    <s v="J210104005"/>
    <x v="0"/>
    <n v="1301.96"/>
    <n v="0"/>
    <x v="2"/>
    <s v="Received"/>
    <s v="BBH-CHEMTROL INTERNATIONAL ORGANIZATION S.L"/>
    <x v="4"/>
    <x v="11"/>
    <x v="27"/>
    <n v="5"/>
    <n v="2026"/>
    <m/>
  </r>
  <r>
    <x v="2"/>
    <x v="157"/>
    <x v="4"/>
    <s v="CITY:Jeddah 6132226J211485007"/>
    <x v="192"/>
    <s v="J211485007"/>
    <x v="0"/>
    <n v="1382.6"/>
    <n v="0"/>
    <x v="2"/>
    <s v="Received"/>
    <s v="ALNAFIE METAL INDUSTRIES CO LTD"/>
    <x v="8"/>
    <x v="11"/>
    <x v="27"/>
    <n v="5"/>
    <n v="2026"/>
    <m/>
  </r>
  <r>
    <x v="2"/>
    <x v="157"/>
    <x v="4"/>
    <s v="19100000155300 DEP ID:4030219311 CHNL:SNB Payment Systems J210104"/>
    <x v="136"/>
    <s v="J210104"/>
    <x v="0"/>
    <n v="0"/>
    <n v="150000"/>
    <x v="0"/>
    <s v="D/C Reversal"/>
    <s v="BBH-CHEMTROL INTERNATIONAL ORGANIZATION S.L"/>
    <x v="4"/>
    <x v="11"/>
    <x v="27"/>
    <n v="5"/>
    <n v="2026"/>
    <m/>
  </r>
  <r>
    <x v="2"/>
    <x v="157"/>
    <x v="11"/>
    <s v="19100000033209 BEN ID:4030219311 J210104"/>
    <x v="136"/>
    <s v="J210104"/>
    <x v="2"/>
    <n v="150000"/>
    <n v="0"/>
    <x v="0"/>
    <s v="D/C Reversal"/>
    <s v="BBH-CHEMTROL INTERNATIONAL ORGANIZATION S.L"/>
    <x v="4"/>
    <x v="11"/>
    <x v="27"/>
    <n v="5"/>
    <n v="2026"/>
    <m/>
  </r>
  <r>
    <x v="2"/>
    <x v="159"/>
    <x v="4"/>
    <s v="CITY:Jeddah 6132226J210104003"/>
    <x v="136"/>
    <s v="J210104003"/>
    <x v="0"/>
    <n v="119180.65"/>
    <n v="0"/>
    <x v="4"/>
    <s v="Received"/>
    <s v="BBH-CHEMTROL INTERNATIONAL ORGANIZATION S.L"/>
    <x v="4"/>
    <x v="11"/>
    <x v="27"/>
    <n v="5"/>
    <n v="2026"/>
    <m/>
  </r>
  <r>
    <x v="2"/>
    <x v="160"/>
    <x v="4"/>
    <s v="CITY:Jeddah 6132226J212139002"/>
    <x v="486"/>
    <s v="J212139002"/>
    <x v="0"/>
    <n v="11732.37"/>
    <n v="0"/>
    <x v="2"/>
    <s v="Received"/>
    <s v="ALNAFIE METAL INDUSTRIES CO LTD"/>
    <x v="16"/>
    <x v="11"/>
    <x v="27"/>
    <n v="5"/>
    <n v="2026"/>
    <m/>
  </r>
  <r>
    <x v="2"/>
    <x v="160"/>
    <x v="16"/>
    <s v="CITY:Jeddah 6132226J210104004 2721364.74 SAR"/>
    <x v="136"/>
    <s v="J210104004"/>
    <x v="3"/>
    <n v="612506.13"/>
    <n v="0"/>
    <x v="4"/>
    <s v="Received"/>
    <s v="BBH-CHEMTROL INTERNATIONAL ORGANIZATION S.L"/>
    <x v="4"/>
    <x v="11"/>
    <x v="27"/>
    <n v="5"/>
    <n v="2026"/>
    <m/>
  </r>
  <r>
    <x v="2"/>
    <x v="161"/>
    <x v="4"/>
    <s v="CITY:Jeddah 6132226J211811001"/>
    <x v="381"/>
    <s v="J211811001"/>
    <x v="0"/>
    <n v="700000"/>
    <n v="0"/>
    <x v="4"/>
    <s v="Received"/>
    <s v="Brooq Al Amaan Trading"/>
    <x v="4"/>
    <x v="11"/>
    <x v="27"/>
    <n v="5"/>
    <n v="2026"/>
    <m/>
  </r>
  <r>
    <x v="2"/>
    <x v="161"/>
    <x v="4"/>
    <s v="19100000155300 DEP ID:4030219311 CHNL:SNB Payment Systems J211811"/>
    <x v="381"/>
    <s v="J211811"/>
    <x v="0"/>
    <n v="0"/>
    <n v="700000"/>
    <x v="0"/>
    <s v="D/C Reversal"/>
    <s v="Brooq Al Amaan Trading"/>
    <x v="4"/>
    <x v="11"/>
    <x v="27"/>
    <n v="5"/>
    <n v="2026"/>
    <m/>
  </r>
  <r>
    <x v="2"/>
    <x v="161"/>
    <x v="11"/>
    <s v="19100000033209 BEN ID:4030219311 J211811"/>
    <x v="381"/>
    <s v="J211811"/>
    <x v="2"/>
    <n v="700000"/>
    <n v="0"/>
    <x v="0"/>
    <s v="D/C Reversal"/>
    <s v="Brooq Al Amaan Trading"/>
    <x v="4"/>
    <x v="11"/>
    <x v="27"/>
    <n v="5"/>
    <n v="2026"/>
    <m/>
  </r>
  <r>
    <x v="2"/>
    <x v="161"/>
    <x v="4"/>
    <s v="CITY:Jeddah 6132226J212139001"/>
    <x v="486"/>
    <s v="J212139001"/>
    <x v="0"/>
    <n v="6029.83"/>
    <n v="0"/>
    <x v="5"/>
    <s v="Received"/>
    <s v="ALNAFIE METAL INDUSTRIES CO LTD"/>
    <x v="16"/>
    <x v="11"/>
    <x v="27"/>
    <n v="5"/>
    <n v="2026"/>
    <m/>
  </r>
  <r>
    <x v="2"/>
    <x v="161"/>
    <x v="16"/>
    <s v="CITY:Jeddah 6132226J210104005 669250.69 SAR"/>
    <x v="136"/>
    <s v="J210104005"/>
    <x v="3"/>
    <n v="150630.35999999999"/>
    <n v="0"/>
    <x v="4"/>
    <s v="Received"/>
    <s v="BBH-CHEMTROL INTERNATIONAL ORGANIZATION S.L"/>
    <x v="4"/>
    <x v="11"/>
    <x v="27"/>
    <n v="5"/>
    <n v="2026"/>
    <m/>
  </r>
  <r>
    <x v="3"/>
    <x v="155"/>
    <x v="6"/>
    <s v="IMP BILL COMM DPBCOR219372WPM DCBWPM160355"/>
    <x v="379"/>
    <s v="DPBCOR219372WPM"/>
    <x v="0"/>
    <n v="3881.25"/>
    <n v="0"/>
    <x v="2"/>
    <s v="Received"/>
    <s v="Mimar for Construction Tools &amp; Trading Ltd."/>
    <x v="3"/>
    <x v="9"/>
    <x v="27"/>
    <n v="5"/>
    <n v="2026"/>
    <m/>
  </r>
  <r>
    <x v="3"/>
    <x v="155"/>
    <x v="6"/>
    <s v="IMP BILL COMM DPBCOR219152WPM DCBWPM570384"/>
    <x v="293"/>
    <s v="DPBCOR219152WPM"/>
    <x v="0"/>
    <n v="1801"/>
    <n v="0"/>
    <x v="2"/>
    <s v="Received"/>
    <s v="Daikin Air Conditioning Saudi Arabia "/>
    <x v="3"/>
    <x v="9"/>
    <x v="27"/>
    <n v="5"/>
    <n v="2026"/>
    <m/>
  </r>
  <r>
    <x v="3"/>
    <x v="156"/>
    <x v="6"/>
    <s v="IMP BILL COMM DPBCOR219384WPM DCBWPM163953"/>
    <x v="473"/>
    <s v="DPBCOR219384WPM"/>
    <x v="0"/>
    <n v="575"/>
    <n v="0"/>
    <x v="2"/>
    <s v="Received"/>
    <s v="Atiaf International Trading Company"/>
    <x v="3"/>
    <x v="9"/>
    <x v="27"/>
    <n v="5"/>
    <n v="2026"/>
    <m/>
  </r>
  <r>
    <x v="3"/>
    <x v="156"/>
    <x v="6"/>
    <s v="IMP BILL COMM DPBCOR219409WPM DCBWPM160343"/>
    <x v="378"/>
    <s v="DPBCOR219409WPM"/>
    <x v="0"/>
    <n v="5941.46"/>
    <n v="0"/>
    <x v="2"/>
    <s v="Received"/>
    <s v="BAHRA ADVANCED CABLE MANUFACTURE CO. LTD"/>
    <x v="3"/>
    <x v="9"/>
    <x v="27"/>
    <n v="5"/>
    <n v="2026"/>
    <m/>
  </r>
  <r>
    <x v="3"/>
    <x v="158"/>
    <x v="5"/>
    <s v="DPBCOR216504WPM DCBWPM163417"/>
    <x v="450"/>
    <s v="DPBCOR216504WPM"/>
    <x v="0"/>
    <n v="5000000"/>
    <n v="0"/>
    <x v="4"/>
    <s v="Received"/>
    <s v="The Fundamental Installation For Electric Work Co"/>
    <x v="3"/>
    <x v="9"/>
    <x v="27"/>
    <n v="5"/>
    <n v="2026"/>
    <m/>
  </r>
  <r>
    <x v="3"/>
    <x v="158"/>
    <x v="5"/>
    <s v="DPBEPM214910WPM DCBWPM161322"/>
    <x v="402"/>
    <s v="DPBEPM214910WPM"/>
    <x v="0"/>
    <n v="1000000"/>
    <n v="0"/>
    <x v="4"/>
    <s v="Received"/>
    <s v="Saudi Electric Supply Company"/>
    <x v="3"/>
    <x v="9"/>
    <x v="27"/>
    <n v="5"/>
    <n v="2026"/>
    <m/>
  </r>
  <r>
    <x v="3"/>
    <x v="158"/>
    <x v="5"/>
    <s v="DPBCOR216581WPM DCBCPM160316"/>
    <x v="387"/>
    <s v="DPBCOR216581WPM"/>
    <x v="0"/>
    <n v="2272515"/>
    <n v="0"/>
    <x v="4"/>
    <s v="Received"/>
    <s v="Off Premises Solutions"/>
    <x v="13"/>
    <x v="8"/>
    <x v="27"/>
    <n v="5"/>
    <n v="2026"/>
    <m/>
  </r>
  <r>
    <x v="3"/>
    <x v="158"/>
    <x v="6"/>
    <s v="IMP BILL COMM DPBEPM219404WPM DCBWPM570369"/>
    <x v="296"/>
    <s v="DPBEPM219404WPM"/>
    <x v="0"/>
    <n v="34500"/>
    <n v="0"/>
    <x v="2"/>
    <s v="Received"/>
    <s v="Power Center Company for Industries LLC"/>
    <x v="3"/>
    <x v="9"/>
    <x v="27"/>
    <n v="5"/>
    <n v="2026"/>
    <m/>
  </r>
  <r>
    <x v="3"/>
    <x v="157"/>
    <x v="6"/>
    <s v="IMP BILL COMM DPBCOR219700WPM DCBWPM570384"/>
    <x v="293"/>
    <s v="DPBCOR219700WPM"/>
    <x v="0"/>
    <n v="2405.5700000000002"/>
    <n v="0"/>
    <x v="2"/>
    <s v="Received"/>
    <s v="Daikin Air Conditioning Saudi Arabia "/>
    <x v="3"/>
    <x v="9"/>
    <x v="27"/>
    <n v="5"/>
    <n v="2026"/>
    <m/>
  </r>
  <r>
    <x v="3"/>
    <x v="157"/>
    <x v="5"/>
    <s v="DPBCOR215052WPM DCBWPM162155"/>
    <x v="423"/>
    <s v="DPBCOR215052WPM"/>
    <x v="0"/>
    <n v="667115"/>
    <n v="0"/>
    <x v="4"/>
    <s v="Received"/>
    <s v="SERGAS SAUDI CONTRACTING CO. L.L.C"/>
    <x v="4"/>
    <x v="1"/>
    <x v="27"/>
    <n v="5"/>
    <n v="2026"/>
    <m/>
  </r>
  <r>
    <x v="3"/>
    <x v="159"/>
    <x v="6"/>
    <s v="DC ISSUE COMM CHARGES DCBWPM165765"/>
    <x v="517"/>
    <s v="UE COMM CHARGES"/>
    <x v="0"/>
    <n v="5244.26"/>
    <n v="0"/>
    <x v="8"/>
    <s v="Received"/>
    <s v="TRINDEL ARABIA LTD. CO"/>
    <x v="4"/>
    <x v="1"/>
    <x v="27"/>
    <n v="5"/>
    <n v="2026"/>
    <m/>
  </r>
  <r>
    <x v="3"/>
    <x v="159"/>
    <x v="6"/>
    <s v="GTE AMEND COMM CHARGES PEBGCU434591"/>
    <x v="518"/>
    <s v="ND COMM CHARGES"/>
    <x v="0"/>
    <n v="21650.75"/>
    <n v="0"/>
    <x v="17"/>
    <s v="Received"/>
    <s v="Performance - NEOM Company"/>
    <x v="1"/>
    <x v="23"/>
    <x v="27"/>
    <n v="5"/>
    <n v="2026"/>
    <m/>
  </r>
  <r>
    <x v="3"/>
    <x v="161"/>
    <x v="5"/>
    <s v="DPBCOR212566WPM DCBWPM570414"/>
    <x v="298"/>
    <s v="DPBCOR212566WPM"/>
    <x v="0"/>
    <n v="1235823.67"/>
    <n v="0"/>
    <x v="4"/>
    <s v="Received"/>
    <s v="Mohamad Saeed Afifi Trading Est."/>
    <x v="3"/>
    <x v="9"/>
    <x v="27"/>
    <n v="5"/>
    <n v="2026"/>
    <m/>
  </r>
  <r>
    <x v="6"/>
    <x v="158"/>
    <x v="15"/>
    <s v="Banktrade Debit"/>
    <x v="445"/>
    <s v=""/>
    <x v="0"/>
    <n v="1675271"/>
    <n v="0"/>
    <x v="4"/>
    <s v="Received"/>
    <s v="Ready Mix Company Limited."/>
    <x v="0"/>
    <x v="16"/>
    <x v="27"/>
    <n v="5"/>
    <n v="2026"/>
    <m/>
  </r>
  <r>
    <x v="6"/>
    <x v="158"/>
    <x v="15"/>
    <s v="BT SWIFT Chg Debit"/>
    <x v="445"/>
    <s v=""/>
    <x v="0"/>
    <n v="250"/>
    <n v="0"/>
    <x v="2"/>
    <s v="Received"/>
    <s v="Ready Mix Company Limited."/>
    <x v="0"/>
    <x v="16"/>
    <x v="27"/>
    <n v="5"/>
    <n v="2026"/>
    <m/>
  </r>
  <r>
    <x v="6"/>
    <x v="158"/>
    <x v="15"/>
    <s v="Value Added Tax (VAT)"/>
    <x v="445"/>
    <s v=""/>
    <x v="0"/>
    <n v="37.5"/>
    <n v="0"/>
    <x v="1"/>
    <s v="Received"/>
    <s v="Ready Mix Company Limited."/>
    <x v="0"/>
    <x v="16"/>
    <x v="27"/>
    <n v="5"/>
    <n v="2026"/>
    <m/>
  </r>
  <r>
    <x v="5"/>
    <x v="154"/>
    <x v="9"/>
    <s v="TI Bill Settled                                                       _x000a_POC005                                                                _x000a_At Bank AlJazira                                                      _x000a_CORPORATE BANKING DEPT-JEDDAH                                         _x000a_Date 25-11-1447(H) Time 09.45.40                                      _x000a_Reference ILC-0840-26-8758                                            _x000a_"/>
    <x v="352"/>
    <s v=""/>
    <x v="0"/>
    <n v="182356.65"/>
    <n v="0"/>
    <x v="4"/>
    <s v="Received"/>
    <s v="Green Concrete CJSC"/>
    <x v="0"/>
    <x v="10"/>
    <x v="27"/>
    <n v="5"/>
    <n v="2026"/>
    <m/>
  </r>
  <r>
    <x v="5"/>
    <x v="160"/>
    <x v="9"/>
    <s v="Dr TI LGI Comm/Other Charges                                          _x000a_AMD001-298209435                                                      _x000a_At Bank AlJazira                                                      _x000a_CORPORATE BANKING DEPT-JEDDAH                                         _x000a_Date 03-12-1447(H) Time 13.24.02                                      _x000a_Reference LGI-0840-24-3252                                            _x000a_"/>
    <x v="519"/>
    <s v=""/>
    <x v="0"/>
    <n v="200"/>
    <n v="0"/>
    <x v="16"/>
    <s v="Received"/>
    <s v="Advance - ROYAL COMMISSION FOR RIYADH CITY (RCRC)"/>
    <x v="1"/>
    <x v="2"/>
    <x v="27"/>
    <n v="5"/>
    <n v="2026"/>
    <m/>
  </r>
  <r>
    <x v="5"/>
    <x v="160"/>
    <x v="9"/>
    <s v="Value Added Tax                                                       _x000a_On LGI Amend Commission                                               _x000a_15% of SAR200.00                                                      _x000a_Through CORPORATE BANKING DEPT-JEDDAH                                 _x000a_Date 03-12-1447(H) Time 13.24.03                                      _x000a_Reference LGI-0840-24-3252                                            _x000a_At Bank Aljazira                                                      _x000a_Exchange Rate 1.0                                                     _x000a_"/>
    <x v="519"/>
    <s v=""/>
    <x v="0"/>
    <n v="30"/>
    <n v="0"/>
    <x v="1"/>
    <s v="Received"/>
    <s v="Advance - ROYAL COMMISSION FOR RIYADH CITY (RCRC)"/>
    <x v="1"/>
    <x v="2"/>
    <x v="27"/>
    <n v="5"/>
    <n v="2026"/>
    <m/>
  </r>
  <r>
    <x v="2"/>
    <x v="162"/>
    <x v="16"/>
    <s v="CITY:Jeddah 6132226J210104000 533.16 SAR"/>
    <x v="136"/>
    <s v="J210104000"/>
    <x v="3"/>
    <n v="120"/>
    <n v="0"/>
    <x v="50"/>
    <s v="Received"/>
    <s v="BBH-CHEMTROL INTERNATIONAL ORGANIZATION S.L"/>
    <x v="4"/>
    <x v="11"/>
    <x v="27"/>
    <n v="5"/>
    <n v="2026"/>
    <m/>
  </r>
  <r>
    <x v="2"/>
    <x v="163"/>
    <x v="4"/>
    <s v="CITY:Jeddah 6132226J211807001"/>
    <x v="386"/>
    <s v="J211807001"/>
    <x v="0"/>
    <n v="350000"/>
    <n v="0"/>
    <x v="4"/>
    <s v="Received"/>
    <s v="Electric House Trading Company L.L.C."/>
    <x v="4"/>
    <x v="11"/>
    <x v="27"/>
    <n v="5"/>
    <n v="2026"/>
    <m/>
  </r>
  <r>
    <x v="2"/>
    <x v="163"/>
    <x v="11"/>
    <s v="19100000033209 BEN ID:4030219311 J211807 Electric Hous LC"/>
    <x v="386"/>
    <s v="J211807 El"/>
    <x v="2"/>
    <n v="350000"/>
    <n v="0"/>
    <x v="0"/>
    <s v="D/C Reversal"/>
    <s v="Electric House Trading Company L.L.C."/>
    <x v="4"/>
    <x v="11"/>
    <x v="27"/>
    <n v="5"/>
    <n v="2026"/>
    <m/>
  </r>
  <r>
    <x v="2"/>
    <x v="163"/>
    <x v="4"/>
    <s v="19100000155300 DEP ID:4030219311 CHNL:SNB Payment Systems J211807 Electric Hous LC"/>
    <x v="386"/>
    <s v="J211807 El"/>
    <x v="0"/>
    <n v="0"/>
    <n v="350000"/>
    <x v="0"/>
    <s v="D/C Reversal"/>
    <s v="Electric House Trading Company L.L.C."/>
    <x v="4"/>
    <x v="11"/>
    <x v="27"/>
    <n v="5"/>
    <n v="2026"/>
    <m/>
  </r>
  <r>
    <x v="3"/>
    <x v="163"/>
    <x v="6"/>
    <s v="DPBCOR214068WPM DCBWPM570380"/>
    <x v="295"/>
    <s v="DPBCOR214068WPM"/>
    <x v="0"/>
    <n v="127445.13"/>
    <n v="0"/>
    <x v="4"/>
    <s v="Received"/>
    <s v="Ajzal United for Safety CO.LTD."/>
    <x v="3"/>
    <x v="9"/>
    <x v="27"/>
    <n v="5"/>
    <n v="2026"/>
    <m/>
  </r>
  <r>
    <x v="6"/>
    <x v="150"/>
    <x v="15"/>
    <s v="Debit"/>
    <x v="508"/>
    <s v=""/>
    <x v="0"/>
    <n v="32175.24"/>
    <n v="0"/>
    <x v="8"/>
    <s v="Received"/>
    <s v="Henan Chongpeng Machinery Co Ltd"/>
    <x v="0"/>
    <x v="16"/>
    <x v="27"/>
    <n v="5"/>
    <n v="2026"/>
    <m/>
  </r>
  <r>
    <x v="1"/>
    <x v="164"/>
    <x v="3"/>
    <s v="CUSTOMER = 3972500 DEAL AMT = 150 DEAL CCY = GBP TAX CODE = 1 "/>
    <x v="427"/>
    <s v="TF260560000801"/>
    <x v="0"/>
    <n v="22.5"/>
    <n v="0"/>
    <x v="1"/>
    <s v="Received"/>
    <s v="LSI PROJECTS LIMITED"/>
    <x v="10"/>
    <x v="5"/>
    <x v="27"/>
    <n v="6"/>
    <n v="2026"/>
    <m/>
  </r>
  <r>
    <x v="1"/>
    <x v="164"/>
    <x v="3"/>
    <s v=" LC SWIFT CHARGES   "/>
    <x v="427"/>
    <s v="TF260560000801"/>
    <x v="0"/>
    <n v="150"/>
    <n v="0"/>
    <x v="3"/>
    <s v="Received"/>
    <s v="LSI PROJECTS LIMITED"/>
    <x v="10"/>
    <x v="5"/>
    <x v="27"/>
    <n v="6"/>
    <n v="2026"/>
    <m/>
  </r>
  <r>
    <x v="1"/>
    <x v="164"/>
    <x v="3"/>
    <s v=" REIMBURSE UNDER LCS DR   "/>
    <x v="427"/>
    <s v="TF260560000801"/>
    <x v="0"/>
    <n v="6101179.6900000004"/>
    <n v="0"/>
    <x v="4"/>
    <s v="Received"/>
    <s v="LSI PROJECTS LIMITED"/>
    <x v="10"/>
    <x v="5"/>
    <x v="27"/>
    <n v="6"/>
    <n v="2026"/>
    <m/>
  </r>
  <r>
    <x v="1"/>
    <x v="165"/>
    <x v="3"/>
    <s v="CUSTOMER = 3972500 DEAL AMT = 75 DEAL CCY = SAR TAX CODE = 1 "/>
    <x v="443"/>
    <s v="TF260420001102"/>
    <x v="0"/>
    <n v="11.25"/>
    <n v="0"/>
    <x v="1"/>
    <s v="Received"/>
    <s v="The Fundamental Installation For Electric Work Co"/>
    <x v="3"/>
    <x v="8"/>
    <x v="27"/>
    <n v="6"/>
    <n v="2026"/>
    <m/>
  </r>
  <r>
    <x v="1"/>
    <x v="165"/>
    <x v="3"/>
    <s v=" LC SWIFT CHARGES   "/>
    <x v="443"/>
    <s v="TF260420001102"/>
    <x v="0"/>
    <n v="75"/>
    <n v="0"/>
    <x v="3"/>
    <s v="Received"/>
    <s v="The Fundamental Installation For Electric Work Co"/>
    <x v="3"/>
    <x v="8"/>
    <x v="27"/>
    <n v="6"/>
    <n v="2026"/>
    <m/>
  </r>
  <r>
    <x v="1"/>
    <x v="165"/>
    <x v="3"/>
    <s v=" REIMBURSE UNDER LCS DR   "/>
    <x v="443"/>
    <s v="TF260420001102"/>
    <x v="0"/>
    <n v="50000000"/>
    <n v="0"/>
    <x v="4"/>
    <s v="Received"/>
    <s v="The Fundamental Installation For Electric Work Co"/>
    <x v="3"/>
    <x v="8"/>
    <x v="27"/>
    <n v="6"/>
    <n v="2026"/>
    <m/>
  </r>
  <r>
    <x v="1"/>
    <x v="166"/>
    <x v="3"/>
    <s v=" REIMBURSE UNDER LCS DR   "/>
    <x v="435"/>
    <s v="TF260630001401"/>
    <x v="0"/>
    <n v="415046.21"/>
    <n v="0"/>
    <x v="4"/>
    <s v="Received"/>
    <s v="Awtad Jeddah for General Contracting Company"/>
    <x v="0"/>
    <x v="7"/>
    <x v="27"/>
    <n v="6"/>
    <n v="2026"/>
    <m/>
  </r>
  <r>
    <x v="1"/>
    <x v="166"/>
    <x v="3"/>
    <s v=" LC SWIFT CHARGES   "/>
    <x v="435"/>
    <s v="TF260630001401"/>
    <x v="0"/>
    <n v="75"/>
    <n v="0"/>
    <x v="3"/>
    <s v="Received"/>
    <s v="Awtad Jeddah for General Contracting Company"/>
    <x v="0"/>
    <x v="7"/>
    <x v="27"/>
    <n v="6"/>
    <n v="2026"/>
    <m/>
  </r>
  <r>
    <x v="1"/>
    <x v="166"/>
    <x v="3"/>
    <s v="CUSTOMER = 3972500 DEAL AMT = 75 DEAL CCY = SAR TAX CODE = 1 "/>
    <x v="435"/>
    <s v="TF260630001401"/>
    <x v="0"/>
    <n v="11.25"/>
    <n v="0"/>
    <x v="1"/>
    <s v="Received"/>
    <s v="Awtad Jeddah for General Contracting Company"/>
    <x v="0"/>
    <x v="7"/>
    <x v="27"/>
    <n v="6"/>
    <n v="2026"/>
    <m/>
  </r>
  <r>
    <x v="1"/>
    <x v="166"/>
    <x v="3"/>
    <s v=" LC SWIFT CHARGES   "/>
    <x v="333"/>
    <s v="TF252650001903"/>
    <x v="0"/>
    <n v="75"/>
    <n v="0"/>
    <x v="3"/>
    <s v="Received"/>
    <s v="Future Pipe Industries LLC"/>
    <x v="0"/>
    <x v="7"/>
    <x v="27"/>
    <n v="6"/>
    <n v="2026"/>
    <m/>
  </r>
  <r>
    <x v="1"/>
    <x v="166"/>
    <x v="3"/>
    <s v="CUSTOMER = 3972500 DEAL AMT = 75 DEAL CCY = SAR TAX CODE = 1 "/>
    <x v="333"/>
    <s v="TF252650001903"/>
    <x v="0"/>
    <n v="11.25"/>
    <n v="0"/>
    <x v="1"/>
    <s v="Received"/>
    <s v="Future Pipe Industries LLC"/>
    <x v="0"/>
    <x v="7"/>
    <x v="27"/>
    <n v="6"/>
    <n v="2026"/>
    <m/>
  </r>
  <r>
    <x v="1"/>
    <x v="166"/>
    <x v="3"/>
    <s v=" REIMBURSE UNDER LCS DR   "/>
    <x v="333"/>
    <s v="TF252650001903"/>
    <x v="0"/>
    <n v="1018975.83"/>
    <n v="0"/>
    <x v="4"/>
    <s v="Received"/>
    <s v="Future Pipe Industries LLC"/>
    <x v="0"/>
    <x v="7"/>
    <x v="27"/>
    <n v="6"/>
    <n v="2026"/>
    <m/>
  </r>
  <r>
    <x v="1"/>
    <x v="167"/>
    <x v="3"/>
    <s v=" REIMBURSE UNDER LCS DR   "/>
    <x v="141"/>
    <s v="TF252300003407"/>
    <x v="0"/>
    <n v="440649.09"/>
    <n v="0"/>
    <x v="4"/>
    <s v="Received"/>
    <s v="Al Arabia Construction &amp; Building Co."/>
    <x v="0"/>
    <x v="7"/>
    <x v="27"/>
    <n v="6"/>
    <n v="2026"/>
    <m/>
  </r>
  <r>
    <x v="1"/>
    <x v="167"/>
    <x v="3"/>
    <s v=" REIMBURSE UNDER LCS DR   "/>
    <x v="141"/>
    <s v="TF252300003408"/>
    <x v="0"/>
    <n v="292378.94"/>
    <n v="0"/>
    <x v="4"/>
    <s v="Received"/>
    <s v="Al Arabia Construction &amp; Building Co."/>
    <x v="0"/>
    <x v="7"/>
    <x v="27"/>
    <n v="6"/>
    <n v="2026"/>
    <m/>
  </r>
  <r>
    <x v="1"/>
    <x v="167"/>
    <x v="3"/>
    <s v=" LC ACCEPTANCE COMMISSION   "/>
    <x v="141"/>
    <s v="TF252300003408"/>
    <x v="0"/>
    <n v="1250"/>
    <n v="0"/>
    <x v="2"/>
    <s v="Received"/>
    <s v="Al Arabia Construction &amp; Building Co."/>
    <x v="0"/>
    <x v="7"/>
    <x v="27"/>
    <n v="6"/>
    <n v="2026"/>
    <m/>
  </r>
  <r>
    <x v="1"/>
    <x v="167"/>
    <x v="3"/>
    <s v="CUSTOMER = 3972500 DEAL AMT = 1250 DEAL CCY = SAR TAX CODE = 1 "/>
    <x v="141"/>
    <s v="TF252300003408"/>
    <x v="0"/>
    <n v="187.5"/>
    <n v="0"/>
    <x v="1"/>
    <s v="Received"/>
    <s v="Al Arabia Construction &amp; Building Co."/>
    <x v="0"/>
    <x v="7"/>
    <x v="27"/>
    <n v="6"/>
    <n v="2026"/>
    <m/>
  </r>
  <r>
    <x v="1"/>
    <x v="167"/>
    <x v="3"/>
    <s v=" LC SWIFT CHARGES   "/>
    <x v="141"/>
    <s v="TF252300003408"/>
    <x v="0"/>
    <n v="75"/>
    <n v="0"/>
    <x v="3"/>
    <s v="Received"/>
    <s v="Al Arabia Construction &amp; Building Co."/>
    <x v="0"/>
    <x v="7"/>
    <x v="27"/>
    <n v="6"/>
    <n v="2026"/>
    <m/>
  </r>
  <r>
    <x v="1"/>
    <x v="167"/>
    <x v="3"/>
    <s v="CUSTOMER = 3972500 DEAL AMT = 75 DEAL CCY = SAR TAX CODE = 1 "/>
    <x v="141"/>
    <s v="TF252300003408"/>
    <x v="0"/>
    <n v="11.25"/>
    <n v="0"/>
    <x v="1"/>
    <s v="Received"/>
    <s v="Al Arabia Construction &amp; Building Co."/>
    <x v="0"/>
    <x v="7"/>
    <x v="27"/>
    <n v="6"/>
    <n v="2026"/>
    <m/>
  </r>
  <r>
    <x v="1"/>
    <x v="167"/>
    <x v="3"/>
    <s v=" LC ACCEPTANCE COMMISSION   "/>
    <x v="141"/>
    <s v="TF252300003407"/>
    <x v="0"/>
    <n v="1250"/>
    <n v="0"/>
    <x v="2"/>
    <s v="Received"/>
    <s v="Al Arabia Construction &amp; Building Co."/>
    <x v="0"/>
    <x v="7"/>
    <x v="27"/>
    <n v="6"/>
    <n v="2026"/>
    <m/>
  </r>
  <r>
    <x v="1"/>
    <x v="167"/>
    <x v="3"/>
    <s v="CUSTOMER = 3972500 DEAL AMT = 1250 DEAL CCY = SAR TAX CODE = 1 "/>
    <x v="141"/>
    <s v="TF252300003406"/>
    <x v="0"/>
    <n v="187.5"/>
    <n v="0"/>
    <x v="1"/>
    <s v="Received"/>
    <s v="Al Arabia Construction &amp; Building Co."/>
    <x v="0"/>
    <x v="7"/>
    <x v="27"/>
    <n v="6"/>
    <n v="2026"/>
    <m/>
  </r>
  <r>
    <x v="1"/>
    <x v="167"/>
    <x v="3"/>
    <s v=" LC SWIFT CHARGES   "/>
    <x v="141"/>
    <s v="TF252300003407"/>
    <x v="0"/>
    <n v="75"/>
    <n v="0"/>
    <x v="3"/>
    <s v="Received"/>
    <s v="Al Arabia Construction &amp; Building Co."/>
    <x v="0"/>
    <x v="7"/>
    <x v="27"/>
    <n v="6"/>
    <n v="2026"/>
    <m/>
  </r>
  <r>
    <x v="1"/>
    <x v="167"/>
    <x v="3"/>
    <s v="CUSTOMER = 3972500 DEAL AMT = 75 DEAL CCY = SAR TAX CODE = 1 "/>
    <x v="141"/>
    <s v="TF252300003407"/>
    <x v="0"/>
    <n v="11.25"/>
    <n v="0"/>
    <x v="1"/>
    <s v="Received"/>
    <s v="Al Arabia Construction &amp; Building Co."/>
    <x v="0"/>
    <x v="7"/>
    <x v="27"/>
    <n v="6"/>
    <n v="2026"/>
    <m/>
  </r>
  <r>
    <x v="1"/>
    <x v="167"/>
    <x v="3"/>
    <s v=" REIMBURSE UNDER LCS DR   "/>
    <x v="141"/>
    <s v="TF252300003406"/>
    <x v="0"/>
    <n v="85138.27"/>
    <n v="0"/>
    <x v="4"/>
    <s v="Received"/>
    <s v="Al Arabia Construction &amp; Building Co."/>
    <x v="0"/>
    <x v="7"/>
    <x v="27"/>
    <n v="6"/>
    <n v="2026"/>
    <m/>
  </r>
  <r>
    <x v="1"/>
    <x v="167"/>
    <x v="3"/>
    <s v=" LC ACCEPTANCE COMMISSION   "/>
    <x v="141"/>
    <s v="TF252300003406"/>
    <x v="0"/>
    <n v="1250"/>
    <n v="0"/>
    <x v="2"/>
    <s v="Received"/>
    <s v="Al Arabia Construction &amp; Building Co."/>
    <x v="0"/>
    <x v="7"/>
    <x v="27"/>
    <n v="6"/>
    <n v="2026"/>
    <m/>
  </r>
  <r>
    <x v="1"/>
    <x v="167"/>
    <x v="3"/>
    <s v="CUSTOMER = 3972500 DEAL AMT = 5000 DEAL CCY = SAR TAX CODE = 1 "/>
    <x v="492"/>
    <s v="TF261050002102"/>
    <x v="0"/>
    <n v="750"/>
    <n v="0"/>
    <x v="1"/>
    <s v="Received"/>
    <s v="Innovative Specialized Security Solution"/>
    <x v="10"/>
    <x v="14"/>
    <x v="27"/>
    <n v="6"/>
    <n v="2026"/>
    <m/>
  </r>
  <r>
    <x v="1"/>
    <x v="167"/>
    <x v="3"/>
    <s v=" LC SWIFT CHARGES   "/>
    <x v="141"/>
    <s v="TF252300003406"/>
    <x v="0"/>
    <n v="75"/>
    <n v="0"/>
    <x v="3"/>
    <s v="Received"/>
    <s v="Al Arabia Construction &amp; Building Co."/>
    <x v="0"/>
    <x v="7"/>
    <x v="27"/>
    <n v="6"/>
    <n v="2026"/>
    <m/>
  </r>
  <r>
    <x v="1"/>
    <x v="167"/>
    <x v="3"/>
    <s v="CUSTOMER = 3972500 DEAL AMT = 75 DEAL CCY = SAR TAX CODE = 1 "/>
    <x v="141"/>
    <s v="TF252300003406"/>
    <x v="0"/>
    <n v="11.25"/>
    <n v="0"/>
    <x v="1"/>
    <s v="Received"/>
    <s v="Al Arabia Construction &amp; Building Co."/>
    <x v="0"/>
    <x v="7"/>
    <x v="27"/>
    <n v="6"/>
    <n v="2026"/>
    <m/>
  </r>
  <r>
    <x v="1"/>
    <x v="167"/>
    <x v="3"/>
    <s v="CUSTOMER = 3972500 DEAL AMT = 1250 DEAL CCY = SAR TAX CODE = 1 "/>
    <x v="141"/>
    <s v="TF252300003407"/>
    <x v="0"/>
    <n v="187.5"/>
    <n v="0"/>
    <x v="1"/>
    <s v="Received"/>
    <s v="Al Arabia Construction &amp; Building Co."/>
    <x v="0"/>
    <x v="7"/>
    <x v="27"/>
    <n v="6"/>
    <n v="2026"/>
    <m/>
  </r>
  <r>
    <x v="1"/>
    <x v="167"/>
    <x v="3"/>
    <s v=" LC ACCEPTANCE COMMISSION   "/>
    <x v="492"/>
    <s v="TF261050002102"/>
    <x v="0"/>
    <n v="5000"/>
    <n v="0"/>
    <x v="2"/>
    <s v="Received"/>
    <s v="Innovative Specialized Security Solution"/>
    <x v="10"/>
    <x v="14"/>
    <x v="27"/>
    <n v="6"/>
    <n v="2026"/>
    <m/>
  </r>
  <r>
    <x v="0"/>
    <x v="165"/>
    <x v="0"/>
    <s v="REF 000000JLC7000186,RB REF JLC7000186,VIA CORE SYSTEM,DATE-TIME 03/06-14:28:44, عن طريق النظام الآ لي ,VALUE DT 03/06/26"/>
    <x v="413"/>
    <s v=""/>
    <x v="0"/>
    <n v="500000"/>
    <n v="0"/>
    <x v="4"/>
    <s v="Received"/>
    <s v="IDEAL CALIBER COMPANY"/>
    <x v="3"/>
    <x v="3"/>
    <x v="27"/>
    <n v="6"/>
    <n v="2026"/>
    <m/>
  </r>
  <r>
    <x v="0"/>
    <x v="165"/>
    <x v="0"/>
    <s v="REF 000000JLC7000183,RB REF JLC7000183,VIA CORE SYSTEM,DATE-TIME 03/06-14:28:12, عن طريق النظام الآ لي ,VALUE DT 03/06/26"/>
    <x v="409"/>
    <s v=""/>
    <x v="0"/>
    <n v="500000"/>
    <n v="0"/>
    <x v="4"/>
    <s v="Received"/>
    <s v="Riyadh Unity for Trading"/>
    <x v="3"/>
    <x v="3"/>
    <x v="27"/>
    <n v="6"/>
    <n v="2026"/>
    <m/>
  </r>
  <r>
    <x v="0"/>
    <x v="165"/>
    <x v="0"/>
    <s v="REF 000000JLC7000188,RB REF JLC7000188,VIA CORE SYSTEM,DATE-TIME 03/06-14:27:06, عن طريق النظام الآ لي ,VALUE DT 03/06/26"/>
    <x v="415"/>
    <s v=""/>
    <x v="0"/>
    <n v="500000"/>
    <n v="0"/>
    <x v="4"/>
    <s v="Received"/>
    <s v="Electric House Trading Company L.L.C."/>
    <x v="3"/>
    <x v="3"/>
    <x v="27"/>
    <n v="6"/>
    <n v="2026"/>
    <m/>
  </r>
  <r>
    <x v="0"/>
    <x v="165"/>
    <x v="0"/>
    <s v="REF 000000JLC7000187,RB REF JLC7000187,VIA CORE SYSTEM,DATE-TIME 03/06-14:26:32, عن طريق النظام الآ لي ,VALUE DT 03/06/26"/>
    <x v="412"/>
    <s v=""/>
    <x v="0"/>
    <n v="500000"/>
    <n v="0"/>
    <x v="4"/>
    <s v="Received"/>
    <s v="Electro Mechanical Supplies"/>
    <x v="3"/>
    <x v="3"/>
    <x v="27"/>
    <n v="6"/>
    <n v="2026"/>
    <m/>
  </r>
  <r>
    <x v="0"/>
    <x v="165"/>
    <x v="0"/>
    <s v="REF 000000JLC7000182,RB REF JLC7000182,VIA CORE SYSTEM,DATE-TIME 03/06-14:26:11, عن طريق النظام الآ لي ,VALUE DT 03/06/26"/>
    <x v="411"/>
    <s v=""/>
    <x v="0"/>
    <n v="500000"/>
    <n v="0"/>
    <x v="4"/>
    <s v="Received"/>
    <s v="Mahmoud Altaheni And His Partners Trading Company"/>
    <x v="3"/>
    <x v="3"/>
    <x v="27"/>
    <n v="6"/>
    <n v="2026"/>
    <m/>
  </r>
  <r>
    <x v="0"/>
    <x v="165"/>
    <x v="0"/>
    <s v="REF 000000JLC7000002,RB REF JLC7000002,VIA CORE SYSTEM,DATE-TIME 03/06-14:27:50, عن طريق النظام الآ لي ,VALUE DT 03/06/26"/>
    <x v="350"/>
    <s v=""/>
    <x v="0"/>
    <n v="326709.94"/>
    <n v="0"/>
    <x v="4"/>
    <s v="Received"/>
    <s v="Riyadh Unity for Trading"/>
    <x v="3"/>
    <x v="3"/>
    <x v="27"/>
    <n v="6"/>
    <n v="2026"/>
    <m/>
  </r>
  <r>
    <x v="0"/>
    <x v="165"/>
    <x v="2"/>
    <s v="REF 000000JLC6901492,RB REF JLC6901492,VIA CORE SYSTEM,DATE-TIME 03/06-14:54:08, عن طريق النظام الآ لي ,VALUE DT 03/06/26"/>
    <x v="12"/>
    <s v=""/>
    <x v="1"/>
    <n v="227656"/>
    <n v="0"/>
    <x v="2"/>
    <s v="Received"/>
    <s v="Jiangsu Donchamp New Materials Technology Co.Ltd."/>
    <x v="0"/>
    <x v="3"/>
    <x v="27"/>
    <n v="6"/>
    <n v="2026"/>
    <m/>
  </r>
  <r>
    <x v="0"/>
    <x v="166"/>
    <x v="0"/>
    <s v="RB REF JLG7001514,VIA CORE SYSTEM,DATE-TIME 07/06-13:52:32, عن طريق النظام الآ لي ,VALUE DT 07/06/26"/>
    <x v="520"/>
    <s v=""/>
    <x v="0"/>
    <n v="40729.550000000003"/>
    <n v="0"/>
    <x v="17"/>
    <s v="Received"/>
    <s v="Bid - BOUTIQUE GROUP"/>
    <x v="1"/>
    <x v="2"/>
    <x v="27"/>
    <n v="6"/>
    <n v="2026"/>
    <m/>
  </r>
  <r>
    <x v="0"/>
    <x v="166"/>
    <x v="0"/>
    <s v="RB REF JLG7001467,VIA CORE SYSTEM,DATE-TIME 07/06-14:08:10, عن طريق النظام الآ لي ,VALUE DT 07/06/26"/>
    <x v="521"/>
    <s v=""/>
    <x v="0"/>
    <n v="7775.15"/>
    <n v="0"/>
    <x v="17"/>
    <s v="Received"/>
    <s v="Bid - SHARJAH INTERNATIONAL AIRPORT AUTHORITY (SIAA)"/>
    <x v="1"/>
    <x v="2"/>
    <x v="27"/>
    <n v="6"/>
    <n v="2026"/>
    <m/>
  </r>
  <r>
    <x v="0"/>
    <x v="167"/>
    <x v="0"/>
    <s v="REF 000000JLC6901431,RB REF JLC6901431,VIA CORE SYSTEM,DATE-TIME 08/06-12:04:44, عن طريق النظام الآ لي ,VALUE DT 08/06/26"/>
    <x v="95"/>
    <s v=""/>
    <x v="0"/>
    <n v="732848.2"/>
    <n v="0"/>
    <x v="4"/>
    <s v="Received"/>
    <s v="Mat Filtrasyon Teknolojeleri A.S"/>
    <x v="0"/>
    <x v="3"/>
    <x v="27"/>
    <n v="6"/>
    <n v="2026"/>
    <m/>
  </r>
  <r>
    <x v="2"/>
    <x v="164"/>
    <x v="4"/>
    <s v="CITY:Jeddah 6132226J210104004"/>
    <x v="136"/>
    <s v="J210104004"/>
    <x v="0"/>
    <n v="460"/>
    <n v="0"/>
    <x v="2"/>
    <s v="Received"/>
    <s v="BBH-CHEMTROL INTERNATIONAL ORGANIZATION S.L"/>
    <x v="4"/>
    <x v="11"/>
    <x v="27"/>
    <n v="6"/>
    <n v="2026"/>
    <m/>
  </r>
  <r>
    <x v="2"/>
    <x v="164"/>
    <x v="16"/>
    <s v="CITY:Jeddah 6132226J210104006 3863052.77 SAR"/>
    <x v="136"/>
    <s v="J210104006"/>
    <x v="3"/>
    <n v="869469.45"/>
    <n v="0"/>
    <x v="4"/>
    <s v="Received"/>
    <s v="BBH-CHEMTROL INTERNATIONAL ORGANIZATION S.L"/>
    <x v="4"/>
    <x v="11"/>
    <x v="27"/>
    <n v="6"/>
    <n v="2026"/>
    <m/>
  </r>
  <r>
    <x v="2"/>
    <x v="165"/>
    <x v="11"/>
    <s v="CITY:Jeddah 6132226B314277016"/>
    <x v="118"/>
    <s v="B314277016"/>
    <x v="2"/>
    <n v="540755.55000000005"/>
    <n v="0"/>
    <x v="0"/>
    <s v="Received"/>
    <s v="Material - JEDDAH CENTRAL DEVELOPMENT COMPANY (JCD)"/>
    <x v="1"/>
    <x v="11"/>
    <x v="27"/>
    <n v="6"/>
    <n v="2026"/>
    <m/>
  </r>
  <r>
    <x v="2"/>
    <x v="168"/>
    <x v="4"/>
    <s v="CITY:Jeddah 6132226J212344000"/>
    <x v="522"/>
    <s v="J212344000"/>
    <x v="0"/>
    <n v="1130.83"/>
    <n v="0"/>
    <x v="8"/>
    <s v="Received"/>
    <s v="Saudi Pro-Kitchen"/>
    <x v="4"/>
    <x v="11"/>
    <x v="27"/>
    <n v="6"/>
    <n v="2026"/>
    <m/>
  </r>
  <r>
    <x v="2"/>
    <x v="168"/>
    <x v="4"/>
    <s v="19100000155300 DEP ID:4030219311 CHNL:SNB Payment Systems J211681"/>
    <x v="328"/>
    <s v="J211681"/>
    <x v="0"/>
    <n v="0"/>
    <n v="240327"/>
    <x v="0"/>
    <s v="D/C Reversal"/>
    <s v="APS ARABIAN CONTRACTING COMPANY"/>
    <x v="8"/>
    <x v="11"/>
    <x v="27"/>
    <n v="6"/>
    <n v="2026"/>
    <m/>
  </r>
  <r>
    <x v="2"/>
    <x v="168"/>
    <x v="4"/>
    <s v="CITY:Jeddah 6132226J211681003"/>
    <x v="328"/>
    <s v="J211681003"/>
    <x v="0"/>
    <n v="1603.55"/>
    <n v="0"/>
    <x v="2"/>
    <s v="Received"/>
    <s v="APS ARABIAN CONTRACTING COMPANY"/>
    <x v="8"/>
    <x v="11"/>
    <x v="27"/>
    <n v="6"/>
    <n v="2026"/>
    <m/>
  </r>
  <r>
    <x v="2"/>
    <x v="168"/>
    <x v="4"/>
    <s v="CITY:Jeddah 6132226J212139003"/>
    <x v="486"/>
    <s v="J212139003"/>
    <x v="0"/>
    <n v="1466.54"/>
    <n v="0"/>
    <x v="5"/>
    <s v="Received"/>
    <s v="ALNAFIE METAL INDUSTRIES CO LTD"/>
    <x v="16"/>
    <x v="11"/>
    <x v="27"/>
    <n v="6"/>
    <n v="2026"/>
    <m/>
  </r>
  <r>
    <x v="2"/>
    <x v="168"/>
    <x v="4"/>
    <s v="CITY:Jeddah 6132226J211681002"/>
    <x v="328"/>
    <s v="J211681002"/>
    <x v="0"/>
    <n v="240327"/>
    <n v="0"/>
    <x v="4"/>
    <s v="Received"/>
    <s v="APS ARABIAN CONTRACTING COMPANY"/>
    <x v="8"/>
    <x v="11"/>
    <x v="27"/>
    <n v="6"/>
    <n v="2026"/>
    <m/>
  </r>
  <r>
    <x v="2"/>
    <x v="168"/>
    <x v="11"/>
    <s v="19100000033209 BEN ID:4030219311 J211681"/>
    <x v="328"/>
    <s v="J211681"/>
    <x v="2"/>
    <n v="240327"/>
    <n v="0"/>
    <x v="0"/>
    <s v="D/C Reversal"/>
    <s v="APS ARABIAN CONTRACTING COMPANY"/>
    <x v="8"/>
    <x v="11"/>
    <x v="27"/>
    <n v="6"/>
    <n v="2026"/>
    <m/>
  </r>
  <r>
    <x v="2"/>
    <x v="166"/>
    <x v="4"/>
    <s v="CITY:Jeddah 6132226J212386000"/>
    <x v="523"/>
    <s v="J212386000"/>
    <x v="0"/>
    <n v="12439.17"/>
    <n v="0"/>
    <x v="8"/>
    <s v="Received"/>
    <s v="Martin Professional Information Technology Company"/>
    <x v="4"/>
    <x v="11"/>
    <x v="27"/>
    <n v="6"/>
    <n v="2026"/>
    <m/>
  </r>
  <r>
    <x v="2"/>
    <x v="167"/>
    <x v="4"/>
    <s v="19100000155300 DEP ID:4030219311 CHNL:SNB Payment Systems J211485"/>
    <x v="192"/>
    <s v="J211485"/>
    <x v="0"/>
    <n v="0"/>
    <n v="1418090.3"/>
    <x v="0"/>
    <s v="D/C Reversal"/>
    <s v="ALNAFIE METAL INDUSTRIES CO LTD"/>
    <x v="8"/>
    <x v="11"/>
    <x v="27"/>
    <n v="6"/>
    <n v="2026"/>
    <m/>
  </r>
  <r>
    <x v="2"/>
    <x v="167"/>
    <x v="4"/>
    <s v="19100000155300 DEP ID:4030219311 CHNL:SNB Payment Systems J211485"/>
    <x v="192"/>
    <s v="J211485"/>
    <x v="0"/>
    <n v="0"/>
    <n v="373524.25"/>
    <x v="0"/>
    <s v="D/C Reversal"/>
    <s v="ALNAFIE METAL INDUSTRIES CO LTD"/>
    <x v="8"/>
    <x v="11"/>
    <x v="27"/>
    <n v="6"/>
    <n v="2026"/>
    <m/>
  </r>
  <r>
    <x v="2"/>
    <x v="167"/>
    <x v="4"/>
    <s v="CITY:Jeddah 6132226J211485006"/>
    <x v="192"/>
    <s v="J211485006"/>
    <x v="0"/>
    <n v="1418090.3"/>
    <n v="0"/>
    <x v="4"/>
    <s v="Received"/>
    <s v="ALNAFIE METAL INDUSTRIES CO LTD"/>
    <x v="8"/>
    <x v="11"/>
    <x v="27"/>
    <n v="6"/>
    <n v="2026"/>
    <m/>
  </r>
  <r>
    <x v="2"/>
    <x v="167"/>
    <x v="4"/>
    <s v="CITY:Jeddah 6132226J211485007"/>
    <x v="192"/>
    <s v="J211485007"/>
    <x v="0"/>
    <n v="373524.25"/>
    <n v="0"/>
    <x v="4"/>
    <s v="Received"/>
    <s v="ALNAFIE METAL INDUSTRIES CO LTD"/>
    <x v="8"/>
    <x v="11"/>
    <x v="27"/>
    <n v="6"/>
    <n v="2026"/>
    <m/>
  </r>
  <r>
    <x v="2"/>
    <x v="167"/>
    <x v="11"/>
    <s v="19100000033209 BEN ID:4030219311 J211485"/>
    <x v="192"/>
    <s v="J211485"/>
    <x v="2"/>
    <n v="1418090.3"/>
    <n v="0"/>
    <x v="0"/>
    <s v="D/C Reversal"/>
    <s v="ALNAFIE METAL INDUSTRIES CO LTD"/>
    <x v="8"/>
    <x v="11"/>
    <x v="27"/>
    <n v="6"/>
    <n v="2026"/>
    <m/>
  </r>
  <r>
    <x v="2"/>
    <x v="167"/>
    <x v="11"/>
    <s v="19100000033209 BEN ID:4030219311 J211485"/>
    <x v="192"/>
    <s v="J211485"/>
    <x v="2"/>
    <n v="373524.25"/>
    <n v="0"/>
    <x v="0"/>
    <s v="D/C Reversal"/>
    <s v="ALNAFIE METAL INDUSTRIES CO LTD"/>
    <x v="8"/>
    <x v="11"/>
    <x v="27"/>
    <n v="6"/>
    <n v="2026"/>
    <m/>
  </r>
  <r>
    <x v="3"/>
    <x v="164"/>
    <x v="6"/>
    <s v="IMP BILL AMEND. CHARGES DPBCOR220026WPM DCBWPM163417"/>
    <x v="450"/>
    <s v="DPBCOR220026WPM"/>
    <x v="0"/>
    <n v="17250"/>
    <n v="0"/>
    <x v="2"/>
    <s v="Received"/>
    <s v="The Fundamental Installation For Electric Work Co"/>
    <x v="3"/>
    <x v="9"/>
    <x v="27"/>
    <n v="6"/>
    <n v="2026"/>
    <m/>
  </r>
  <r>
    <x v="3"/>
    <x v="169"/>
    <x v="6"/>
    <s v="DPBEPM625568WPM DCBWPM564580"/>
    <x v="524"/>
    <s v="DPBEPM625568WPM"/>
    <x v="0"/>
    <n v="1641337.5"/>
    <n v="0"/>
    <x v="4"/>
    <s v="Received"/>
    <s v="Sika Saudi Arabia Co. Ltd."/>
    <x v="0"/>
    <x v="1"/>
    <x v="27"/>
    <n v="6"/>
    <n v="2026"/>
    <m/>
  </r>
  <r>
    <x v="3"/>
    <x v="169"/>
    <x v="6"/>
    <s v="IMP BILL RETIRE. CHARGES DPBEPM625568WPM DCBWPM564580"/>
    <x v="524"/>
    <s v="DPBEPM625568WPM"/>
    <x v="0"/>
    <n v="14156.53"/>
    <n v="0"/>
    <x v="4"/>
    <s v="Received"/>
    <s v="Sika Saudi Arabia Co. Ltd."/>
    <x v="0"/>
    <x v="1"/>
    <x v="27"/>
    <n v="6"/>
    <n v="2026"/>
    <m/>
  </r>
  <r>
    <x v="3"/>
    <x v="165"/>
    <x v="6"/>
    <s v="DPBCOR217156WPM DCBWPM563039"/>
    <x v="234"/>
    <s v="DPBCOR217156WPM"/>
    <x v="0"/>
    <n v="176542"/>
    <n v="0"/>
    <x v="2"/>
    <s v="Received"/>
    <s v="AC SOLUTIONS TRADING CO"/>
    <x v="3"/>
    <x v="8"/>
    <x v="27"/>
    <n v="6"/>
    <n v="2026"/>
    <m/>
  </r>
  <r>
    <x v="3"/>
    <x v="168"/>
    <x v="6"/>
    <s v="DC ISSUE COMM CHARGES DCBWPM166259"/>
    <x v="525"/>
    <s v="DCBWPM166259"/>
    <x v="0"/>
    <n v="6411.25"/>
    <n v="0"/>
    <x v="8"/>
    <s v="Received"/>
    <s v="ELECTRIC HOUSE TRADING COMPANY LLC"/>
    <x v="3"/>
    <x v="9"/>
    <x v="27"/>
    <n v="6"/>
    <n v="2026"/>
    <m/>
  </r>
  <r>
    <x v="3"/>
    <x v="168"/>
    <x v="6"/>
    <s v="DC ISSUE COMM CHARGES DCBWPM166257"/>
    <x v="526"/>
    <s v="DCBWPM166257"/>
    <x v="0"/>
    <n v="3105"/>
    <n v="0"/>
    <x v="8"/>
    <s v="Received"/>
    <s v="ELSEWEDY CABLES CO. LIMITED"/>
    <x v="3"/>
    <x v="9"/>
    <x v="27"/>
    <n v="6"/>
    <n v="2026"/>
    <m/>
  </r>
  <r>
    <x v="3"/>
    <x v="168"/>
    <x v="6"/>
    <s v="DC ISSUE COMM CHARGES DCBWPM166275"/>
    <x v="527"/>
    <s v="DCBWPM166275"/>
    <x v="0"/>
    <n v="2242.5"/>
    <n v="0"/>
    <x v="8"/>
    <s v="Received"/>
    <s v="KHEREIJI SHOWROOMS CO."/>
    <x v="3"/>
    <x v="9"/>
    <x v="27"/>
    <n v="6"/>
    <n v="2026"/>
    <m/>
  </r>
  <r>
    <x v="3"/>
    <x v="168"/>
    <x v="6"/>
    <s v="DC ISSUE COMM CHARGES DCBWPM166277"/>
    <x v="528"/>
    <s v="DCBWPM166277"/>
    <x v="0"/>
    <n v="2530"/>
    <n v="0"/>
    <x v="8"/>
    <s v="Received"/>
    <s v="Masdar Technical Supplies Co."/>
    <x v="3"/>
    <x v="9"/>
    <x v="27"/>
    <n v="6"/>
    <n v="2026"/>
    <m/>
  </r>
  <r>
    <x v="3"/>
    <x v="168"/>
    <x v="6"/>
    <s v="DC ISSUE COMM CHARGES DCBWPM166270"/>
    <x v="529"/>
    <s v="DCBWPM166270"/>
    <x v="0"/>
    <n v="3536.25"/>
    <n v="0"/>
    <x v="8"/>
    <s v="Received"/>
    <s v="JOHNSON CONTROLS ARABIA"/>
    <x v="3"/>
    <x v="9"/>
    <x v="27"/>
    <n v="6"/>
    <n v="2026"/>
    <m/>
  </r>
  <r>
    <x v="3"/>
    <x v="168"/>
    <x v="6"/>
    <s v="DC ISSUE COMM CHARGES DCBWPM166281"/>
    <x v="530"/>
    <s v="DCBWPM166281"/>
    <x v="0"/>
    <n v="2530"/>
    <n v="0"/>
    <x v="8"/>
    <s v="Received"/>
    <s v="IDEAL CALIBER COMPANY."/>
    <x v="3"/>
    <x v="9"/>
    <x v="27"/>
    <n v="6"/>
    <n v="2026"/>
    <m/>
  </r>
  <r>
    <x v="3"/>
    <x v="168"/>
    <x v="6"/>
    <s v="DC ISSUE COMM CHARGES DCBWPM166278"/>
    <x v="531"/>
    <s v="DCBWPM166278"/>
    <x v="0"/>
    <n v="3536.25"/>
    <n v="0"/>
    <x v="8"/>
    <s v="Received"/>
    <s v="POWER CENTER COMPANY FOR INDUSTRIES LLC"/>
    <x v="3"/>
    <x v="9"/>
    <x v="27"/>
    <n v="6"/>
    <n v="2026"/>
    <m/>
  </r>
  <r>
    <x v="3"/>
    <x v="168"/>
    <x v="6"/>
    <s v="DC ISSUE COMM CHARGES DCBWPM166284"/>
    <x v="532"/>
    <s v="DCBWPM166284"/>
    <x v="0"/>
    <n v="3536.25"/>
    <n v="0"/>
    <x v="8"/>
    <s v="Received"/>
    <s v="SAUDI ELECTRIC SUPPLY COMPANY."/>
    <x v="3"/>
    <x v="9"/>
    <x v="27"/>
    <n v="6"/>
    <n v="2026"/>
    <m/>
  </r>
  <r>
    <x v="3"/>
    <x v="168"/>
    <x v="6"/>
    <s v="DC ISSUE COMM CHARGES DCBWPM166294"/>
    <x v="533"/>
    <s v="DCBWPM166294"/>
    <x v="0"/>
    <n v="1955"/>
    <n v="0"/>
    <x v="8"/>
    <s v="Received"/>
    <s v="ALI MANEA ALYAMI TRADING EST."/>
    <x v="3"/>
    <x v="9"/>
    <x v="27"/>
    <n v="6"/>
    <n v="2026"/>
    <m/>
  </r>
  <r>
    <x v="3"/>
    <x v="168"/>
    <x v="6"/>
    <s v="DC ISSUE COMM CHARGES DCBWPM166298"/>
    <x v="534"/>
    <s v="DCBWPM166298"/>
    <x v="0"/>
    <n v="3105"/>
    <n v="0"/>
    <x v="8"/>
    <s v="Received"/>
    <s v="Gulf Grilles Company"/>
    <x v="3"/>
    <x v="9"/>
    <x v="27"/>
    <n v="6"/>
    <n v="2026"/>
    <m/>
  </r>
  <r>
    <x v="3"/>
    <x v="168"/>
    <x v="6"/>
    <s v="DC ISSUE COMM CHARGES DCBWPM166264"/>
    <x v="535"/>
    <s v="DCBWPM166264"/>
    <x v="0"/>
    <n v="3680"/>
    <n v="0"/>
    <x v="8"/>
    <s v="Received"/>
    <s v="NUKHBA ALETFA CO"/>
    <x v="3"/>
    <x v="9"/>
    <x v="27"/>
    <n v="6"/>
    <n v="2026"/>
    <m/>
  </r>
  <r>
    <x v="3"/>
    <x v="168"/>
    <x v="6"/>
    <s v="DC ISSUE COMM CHARGES DCBWPM166282"/>
    <x v="536"/>
    <s v="DCBWPM166282"/>
    <x v="0"/>
    <n v="2242.5"/>
    <n v="0"/>
    <x v="8"/>
    <s v="Received"/>
    <s v="SPECTRA INTERNATIONAL TRADING COMPANY"/>
    <x v="3"/>
    <x v="9"/>
    <x v="27"/>
    <n v="6"/>
    <n v="2026"/>
    <m/>
  </r>
  <r>
    <x v="3"/>
    <x v="168"/>
    <x v="6"/>
    <s v="DC ISSUE COMM CHARGES DCBWPM166289"/>
    <x v="537"/>
    <s v="DCBWPM166289"/>
    <x v="0"/>
    <n v="1955"/>
    <n v="0"/>
    <x v="8"/>
    <s v="Received"/>
    <s v="RAWADF INTERNATIONAL CO."/>
    <x v="3"/>
    <x v="9"/>
    <x v="27"/>
    <n v="6"/>
    <n v="2026"/>
    <m/>
  </r>
  <r>
    <x v="3"/>
    <x v="168"/>
    <x v="6"/>
    <s v="DC ISSUE COMM CHARGES DCBWPM166267"/>
    <x v="538"/>
    <s v="DCBWPM166267"/>
    <x v="0"/>
    <n v="2817.5"/>
    <n v="0"/>
    <x v="8"/>
    <s v="Received"/>
    <s v="ALGHAMDI COMPANY FOR SANITARY WARES"/>
    <x v="3"/>
    <x v="9"/>
    <x v="27"/>
    <n v="6"/>
    <n v="2026"/>
    <m/>
  </r>
  <r>
    <x v="3"/>
    <x v="168"/>
    <x v="6"/>
    <s v="DC ISSUE COMM CHARGES DCBWPM166271"/>
    <x v="539"/>
    <s v="DCBWPM166271"/>
    <x v="0"/>
    <n v="3680"/>
    <n v="0"/>
    <x v="8"/>
    <s v="Received"/>
    <s v="Arabian International Company For Contracting"/>
    <x v="3"/>
    <x v="9"/>
    <x v="27"/>
    <n v="6"/>
    <n v="2026"/>
    <m/>
  </r>
  <r>
    <x v="3"/>
    <x v="168"/>
    <x v="6"/>
    <s v="DC ISSUE COMM CHARGES DCBWPM166261"/>
    <x v="540"/>
    <s v="DCBWPM166261"/>
    <x v="0"/>
    <n v="6555"/>
    <n v="0"/>
    <x v="8"/>
    <s v="Received"/>
    <s v="DAIKIN AIR CONDITIONING SAUDI ARABIA LLC"/>
    <x v="3"/>
    <x v="9"/>
    <x v="27"/>
    <n v="6"/>
    <n v="2026"/>
    <m/>
  </r>
  <r>
    <x v="3"/>
    <x v="168"/>
    <x v="6"/>
    <s v="DC ISSUE COMM CHARGES DCBWPM166272"/>
    <x v="541"/>
    <s v="DCBWPM166272"/>
    <x v="0"/>
    <n v="1955"/>
    <n v="0"/>
    <x v="8"/>
    <s v="Received"/>
    <s v="MARIAM TRADING CO AND PARTNER"/>
    <x v="3"/>
    <x v="9"/>
    <x v="27"/>
    <n v="6"/>
    <n v="2026"/>
    <m/>
  </r>
  <r>
    <x v="3"/>
    <x v="168"/>
    <x v="6"/>
    <s v="DC ISSUE COMM CHARGES DCBWPM166274"/>
    <x v="542"/>
    <s v="DCBWPM166274"/>
    <x v="0"/>
    <n v="3392.5"/>
    <n v="0"/>
    <x v="8"/>
    <s v="Received"/>
    <s v="TEN POINTS EST."/>
    <x v="3"/>
    <x v="9"/>
    <x v="27"/>
    <n v="6"/>
    <n v="2026"/>
    <m/>
  </r>
  <r>
    <x v="3"/>
    <x v="168"/>
    <x v="6"/>
    <s v="DC ISSUE COMM CHARGES DCBWPM166276"/>
    <x v="543"/>
    <s v="DCBWPM166276"/>
    <x v="0"/>
    <n v="1955"/>
    <n v="0"/>
    <x v="8"/>
    <s v="Received"/>
    <s v="AFAQ AL MALAZ TRADING CO.LTD."/>
    <x v="3"/>
    <x v="9"/>
    <x v="27"/>
    <n v="6"/>
    <n v="2026"/>
    <m/>
  </r>
  <r>
    <x v="3"/>
    <x v="168"/>
    <x v="6"/>
    <s v="DC ISSUE COMM CHARGES DCBWPM166279"/>
    <x v="544"/>
    <s v="DCBWPM166279"/>
    <x v="0"/>
    <n v="2530"/>
    <n v="0"/>
    <x v="8"/>
    <s v="Received"/>
    <s v="Systemair For Electrical Equipment Co."/>
    <x v="3"/>
    <x v="9"/>
    <x v="27"/>
    <n v="6"/>
    <n v="2026"/>
    <m/>
  </r>
  <r>
    <x v="3"/>
    <x v="168"/>
    <x v="6"/>
    <s v="DC ISSUE COMM CHARGES DCBWPM166287"/>
    <x v="545"/>
    <s v="DCBWPM166287"/>
    <x v="0"/>
    <n v="1955"/>
    <n v="0"/>
    <x v="8"/>
    <s v="Received"/>
    <s v="TECHNICAL TOOLS TRADING CO."/>
    <x v="3"/>
    <x v="9"/>
    <x v="27"/>
    <n v="6"/>
    <n v="2026"/>
    <m/>
  </r>
  <r>
    <x v="3"/>
    <x v="168"/>
    <x v="6"/>
    <s v="DC ISSUE COMM CHARGES DCBWPM166286"/>
    <x v="546"/>
    <s v="DCBWPM166286"/>
    <x v="0"/>
    <n v="1754.21"/>
    <n v="0"/>
    <x v="8"/>
    <s v="Received"/>
    <s v="RAPID SAUDI ARABIA CO LIMITED."/>
    <x v="3"/>
    <x v="9"/>
    <x v="27"/>
    <n v="6"/>
    <n v="2026"/>
    <m/>
  </r>
  <r>
    <x v="3"/>
    <x v="168"/>
    <x v="6"/>
    <s v="DC ISSUE COMM CHARGES DCBWPM166290"/>
    <x v="547"/>
    <s v="DCBWPM166290"/>
    <x v="0"/>
    <n v="2530"/>
    <n v="0"/>
    <x v="8"/>
    <s v="Received"/>
    <s v="Machinery Land Equipment Rental."/>
    <x v="3"/>
    <x v="9"/>
    <x v="27"/>
    <n v="6"/>
    <n v="2026"/>
    <m/>
  </r>
  <r>
    <x v="3"/>
    <x v="168"/>
    <x v="6"/>
    <s v="DC ISSUE COMM CHARGES DCBWPM166292"/>
    <x v="548"/>
    <s v="DCBWPM166292"/>
    <x v="0"/>
    <n v="2530"/>
    <n v="0"/>
    <x v="8"/>
    <s v="Received"/>
    <s v="GALAXY TECHOLOGY CO."/>
    <x v="3"/>
    <x v="9"/>
    <x v="27"/>
    <n v="6"/>
    <n v="2026"/>
    <m/>
  </r>
  <r>
    <x v="3"/>
    <x v="168"/>
    <x v="6"/>
    <s v="DC ISSUE COMM CHARGES DCBWPM166296"/>
    <x v="549"/>
    <s v="DCBWPM166296"/>
    <x v="0"/>
    <n v="1955"/>
    <n v="0"/>
    <x v="8"/>
    <s v="Received"/>
    <s v="Al-Sayed Center A/C for Materials Company"/>
    <x v="3"/>
    <x v="9"/>
    <x v="27"/>
    <n v="6"/>
    <n v="2026"/>
    <m/>
  </r>
  <r>
    <x v="3"/>
    <x v="168"/>
    <x v="6"/>
    <s v="DC ISSUE COMM CHARGES DCBWPM166285"/>
    <x v="550"/>
    <s v="DCBWPM166285"/>
    <x v="0"/>
    <n v="1955"/>
    <n v="0"/>
    <x v="8"/>
    <s v="Received"/>
    <s v="Establishment Marjane El- Shammal for watertransport and distribution"/>
    <x v="3"/>
    <x v="9"/>
    <x v="27"/>
    <n v="6"/>
    <n v="2026"/>
    <m/>
  </r>
  <r>
    <x v="3"/>
    <x v="168"/>
    <x v="6"/>
    <s v="DC ISSUE COMM CHARGES DCBWPM166297"/>
    <x v="551"/>
    <s v="DCBWPM166297"/>
    <x v="0"/>
    <n v="1811.25"/>
    <n v="0"/>
    <x v="8"/>
    <s v="Received"/>
    <s v="National Fire Fighting Manufacturing FZCO BR."/>
    <x v="3"/>
    <x v="9"/>
    <x v="27"/>
    <n v="6"/>
    <n v="2026"/>
    <m/>
  </r>
  <r>
    <x v="6"/>
    <x v="168"/>
    <x v="15"/>
    <s v="Banktrade Credit"/>
    <x v="508"/>
    <s v="M001990"/>
    <x v="0"/>
    <n v="0"/>
    <n v="321752.44"/>
    <x v="51"/>
    <s v="Received"/>
    <s v="Henan Chongpeng Machinery Co Ltd"/>
    <x v="0"/>
    <x v="16"/>
    <x v="27"/>
    <n v="6"/>
    <n v="2026"/>
    <m/>
  </r>
  <r>
    <x v="6"/>
    <x v="166"/>
    <x v="15"/>
    <s v="Banktrade Debit"/>
    <x v="445"/>
    <s v=""/>
    <x v="0"/>
    <n v="1031998.5"/>
    <n v="0"/>
    <x v="0"/>
    <s v="Received"/>
    <s v="Ready Mix Company Limited."/>
    <x v="0"/>
    <x v="16"/>
    <x v="27"/>
    <n v="6"/>
    <n v="2026"/>
    <m/>
  </r>
  <r>
    <x v="6"/>
    <x v="166"/>
    <x v="15"/>
    <s v="BT SWIFT Chg Debit"/>
    <x v="445"/>
    <s v=""/>
    <x v="0"/>
    <n v="250"/>
    <n v="0"/>
    <x v="0"/>
    <s v="Received"/>
    <s v="Ready Mix Company Limited."/>
    <x v="0"/>
    <x v="16"/>
    <x v="27"/>
    <n v="6"/>
    <n v="2026"/>
    <m/>
  </r>
  <r>
    <x v="6"/>
    <x v="166"/>
    <x v="15"/>
    <s v="Value Added Tax (VAT)"/>
    <x v="445"/>
    <s v=""/>
    <x v="0"/>
    <n v="37.5"/>
    <n v="0"/>
    <x v="0"/>
    <s v="Received"/>
    <s v="Ready Mix Company Limited."/>
    <x v="0"/>
    <x v="16"/>
    <x v="27"/>
    <n v="6"/>
    <n v="2026"/>
    <m/>
  </r>
  <r>
    <x v="5"/>
    <x v="169"/>
    <x v="9"/>
    <s v="Dr TI LGI Comm/Other Charges                                          _x000a_MIG002-298796527                                                      _x000a_At Bank AlJazira                                                      _x000a_CORPORATE BANKING DEPT-JEDDAH                                         _x000a_Date 16-12-1447(H) Time 11.15.27                                      _x000a_Reference LGI-0840-24-2103                                            _x000a_"/>
    <x v="552"/>
    <s v=""/>
    <x v="0"/>
    <n v="266683.64"/>
    <n v="0"/>
    <x v="16"/>
    <s v="Received"/>
    <s v="Performance - ROYAL COMMISSION FOR RIYADH CITY (RCRC)"/>
    <x v="1"/>
    <x v="2"/>
    <x v="27"/>
    <n v="6"/>
    <n v="2026"/>
    <m/>
  </r>
  <r>
    <x v="5"/>
    <x v="169"/>
    <x v="9"/>
    <s v="Value Added Tax                                                       _x000a_On LGI ISSUANCE COMMISSION                                            _x000a_15% of SAR266,683.64                                                  _x000a_Through CORPORATE BANKING DEPT-JEDDAH                                 _x000a_Date 16-12-1447(H) Time 11.15.27                                      _x000a_Reference LGI-0840-24-2103                                            _x000a_At Bank Aljazira                                                      _x000a_Exchange Rate 1.0                                                     _x000a_"/>
    <x v="552"/>
    <s v=""/>
    <x v="0"/>
    <n v="40002.550000000003"/>
    <n v="0"/>
    <x v="1"/>
    <s v="Received"/>
    <s v="Performance - ROYAL COMMISSION FOR RIYADH CITY (RCRC)"/>
    <x v="1"/>
    <x v="2"/>
    <x v="27"/>
    <n v="6"/>
    <n v="2026"/>
    <m/>
  </r>
  <r>
    <x v="5"/>
    <x v="169"/>
    <x v="9"/>
    <s v="Dr TI LGI Comm/Other Charges                                          _x000a_MIG002-298796529                                                      _x000a_At Bank AlJazira                                                      _x000a_CORPORATE BANKING DEPT-JEDDAH                                         _x000a_Date 16-12-1447(H) Time 11.15.28                                      _x000a_Reference LGI-0840-24-2103                                            _x000a_"/>
    <x v="552"/>
    <s v=""/>
    <x v="0"/>
    <n v="1015901.21"/>
    <n v="0"/>
    <x v="16"/>
    <s v="Received"/>
    <s v="Performance - ROYAL COMMISSION FOR RIYADH CITY (RCRC)"/>
    <x v="1"/>
    <x v="2"/>
    <x v="27"/>
    <n v="6"/>
    <n v="2026"/>
    <m/>
  </r>
  <r>
    <x v="5"/>
    <x v="169"/>
    <x v="9"/>
    <s v="Value Added Tax                                                       _x000a_On LG Processing/Facility Fees                                        _x000a_15% of SAR1,015,901.21                                                _x000a_Through CORPORATE BANKING DEPT-JEDDAH                                 _x000a_Date 16-12-1447(H) Time 11.15.29                                      _x000a_Reference LGI-0840-24-2103                                            _x000a_At Bank Aljazira                                                      _x000a_Exchange Rate 1.0                                                     _x000a_"/>
    <x v="552"/>
    <s v=""/>
    <x v="0"/>
    <n v="152385.18"/>
    <n v="0"/>
    <x v="1"/>
    <s v="Received"/>
    <s v="Performance - ROYAL COMMISSION FOR RIYADH CITY (RCRC)"/>
    <x v="1"/>
    <x v="2"/>
    <x v="27"/>
    <n v="6"/>
    <n v="2026"/>
    <m/>
  </r>
  <r>
    <x v="5"/>
    <x v="165"/>
    <x v="9"/>
    <s v="Dr TI ILC Comm/Other Charges                                          _x000a_POC007-298950268                                                      _x000a_At Bank Aljazira                                                      _x000a_ CORPORATE BANKING DEPT-JEDDAH                                        _x000a_Date 17-12-1447(H) Time 12.53.02                                      _x000a_Reference ILC-0840-25-8427                                            _x000a_Value Date 17-12-1447(H)                                              _x000a_Fee Collected By Bank AlJazira                                        _x000a_"/>
    <x v="115"/>
    <s v=""/>
    <x v="0"/>
    <n v="100"/>
    <n v="0"/>
    <x v="2"/>
    <s v="Received"/>
    <s v="Alrashid Trading and Contracting Company"/>
    <x v="0"/>
    <x v="10"/>
    <x v="27"/>
    <n v="6"/>
    <n v="2026"/>
    <m/>
  </r>
  <r>
    <x v="5"/>
    <x v="165"/>
    <x v="9"/>
    <s v="Value Added Tax                                                       _x000a_On ILC Acceptance Comm.                                               _x000a_15% of SAR100.00                                                      _x000a_Through CORPORATE BANKING DEPT-JEDDAH                                 _x000a_Date 17-12-1447(H) Time 12.53.03                                      _x000a_Reference ILC-0840-25-8427                                            _x000a_At Bank Aljazira                                                      _x000a_"/>
    <x v="115"/>
    <s v=""/>
    <x v="0"/>
    <n v="15"/>
    <n v="0"/>
    <x v="1"/>
    <s v="Received"/>
    <s v="Alrashid Trading and Contracting Company"/>
    <x v="0"/>
    <x v="10"/>
    <x v="27"/>
    <n v="6"/>
    <n v="2026"/>
    <m/>
  </r>
  <r>
    <x v="5"/>
    <x v="165"/>
    <x v="9"/>
    <s v="Dr TI ILC Comm/Other Charges                                          _x000a_POC007-298950308                                                      _x000a_At Bank Aljazira                                                      _x000a_ CORPORATE BANKING DEPT-JEDDAH                                        _x000a_Date 17-12-1447(H) Time 12.53.03                                      _x000a_Reference ILC-0840-25-8427                                            _x000a_Value Date 17-12-1447(H)                                              _x000a_Fee Collected By Bank AlJazira                                        _x000a_"/>
    <x v="115"/>
    <s v=""/>
    <x v="0"/>
    <n v="502"/>
    <n v="0"/>
    <x v="2"/>
    <s v="Received"/>
    <s v="Alrashid Trading and Contracting Company"/>
    <x v="0"/>
    <x v="10"/>
    <x v="27"/>
    <n v="6"/>
    <n v="2026"/>
    <m/>
  </r>
  <r>
    <x v="5"/>
    <x v="165"/>
    <x v="9"/>
    <s v="Value Added Tax                                                       _x000a_On ILC Acceptance Comm.                                               _x000a_15% of SAR502.00                                                      _x000a_Through CORPORATE BANKING DEPT-JEDDAH                                 _x000a_Date 17-12-1447(H) Time 12.53.03                                      _x000a_Reference ILC-0840-25-8427                                            _x000a_At Bank Aljazira                                                      _x000a_"/>
    <x v="115"/>
    <s v=""/>
    <x v="0"/>
    <n v="75.3"/>
    <n v="0"/>
    <x v="1"/>
    <s v="Received"/>
    <s v="Alrashid Trading and Contracting Company"/>
    <x v="0"/>
    <x v="10"/>
    <x v="27"/>
    <n v="6"/>
    <n v="2026"/>
    <m/>
  </r>
  <r>
    <x v="5"/>
    <x v="165"/>
    <x v="9"/>
    <s v="Dr TI ILC Comm/Other Charges                                          _x000a_POC007-298950312                                                      _x000a_At Bank Aljazira                                                      _x000a_ CORPORATE BANKING DEPT-JEDDAH                                        _x000a_Date 17-12-1447(H) Time 12.53.03                                      _x000a_Reference ILC-0840-25-8427                                            _x000a_Value Date 17-12-1447(H)                                              _x000a_Fee Collected By Bank AlJazira                                        _x000a_"/>
    <x v="115"/>
    <s v=""/>
    <x v="0"/>
    <n v="200"/>
    <n v="0"/>
    <x v="2"/>
    <s v="Received"/>
    <s v="Alrashid Trading and Contracting Company"/>
    <x v="0"/>
    <x v="10"/>
    <x v="27"/>
    <n v="6"/>
    <n v="2026"/>
    <m/>
  </r>
  <r>
    <x v="5"/>
    <x v="165"/>
    <x v="9"/>
    <s v="Value Added Tax                                                       _x000a_On SWIFT charges                                                      _x000a_15% of SAR200.00                                                      _x000a_Through CORPORATE BANKING DEPT-JEDDAH                                 _x000a_Date 17-12-1447(H) Time 12.53.04                                      _x000a_Reference ILC-0840-25-8427                                            _x000a_At Bank Aljazira                                                      _x000a_"/>
    <x v="115"/>
    <s v=""/>
    <x v="0"/>
    <n v="30"/>
    <n v="0"/>
    <x v="1"/>
    <s v="Received"/>
    <s v="Alrashid Trading and Contracting Company"/>
    <x v="0"/>
    <x v="10"/>
    <x v="27"/>
    <n v="6"/>
    <n v="2026"/>
    <m/>
  </r>
  <r>
    <x v="5"/>
    <x v="167"/>
    <x v="9"/>
    <s v="TI Bill Settled                                                       _x000a_POC008                                                                _x000a_At Bank AlJazira                                                      _x000a_CORPORATE BANKING DEPT-JEDDAH                                         _x000a_Date 22-12-1447(H) Time 09.34.02                                      _x000a_Reference ILC-0840-25-8427                                            _x000a_"/>
    <x v="115"/>
    <s v=""/>
    <x v="0"/>
    <n v="1205043.97"/>
    <n v="0"/>
    <x v="4"/>
    <s v="Received"/>
    <s v="Alrashid Trading and Contracting Company"/>
    <x v="0"/>
    <x v="10"/>
    <x v="27"/>
    <n v="6"/>
    <n v="2026"/>
    <m/>
  </r>
  <r>
    <x v="5"/>
    <x v="167"/>
    <x v="9"/>
    <s v="TI Bill Settled                                                       _x000a_POC003                                                                _x000a_At Bank AlJazira                                                      _x000a_CORPORATE BANKING DEPT-JEDDAH                                         _x000a_Date 22-12-1447(H) Time 11.20.13                                      _x000a_Reference ILC-0840-26-9073                                            _x000a_"/>
    <x v="444"/>
    <s v=""/>
    <x v="0"/>
    <n v="25000000"/>
    <n v="0"/>
    <x v="4"/>
    <s v="Received"/>
    <s v="The Fundamental Installation For Electric Work Co"/>
    <x v="3"/>
    <x v="8"/>
    <x v="27"/>
    <n v="6"/>
    <n v="2026"/>
    <m/>
  </r>
  <r>
    <x v="7"/>
    <x v="168"/>
    <x v="18"/>
    <s v="Trade Transaction Dr_x000a_SAR -695619.35_x000a_Value date : 07-JUN-26_x000a_Transaction Ref : FTM261553QWBY2J2_x000a_Purpose/Details of Txn : Outward Guarantee KCLG2600152"/>
    <x v="455"/>
    <s v="FTM261553QWBY2J2"/>
    <x v="0"/>
    <n v="695619"/>
    <n v="0"/>
    <x v="0"/>
    <s v="Received"/>
    <s v="Advance - AUTOMOTIVE SECTOR DEVELOPMENT INVESTMENT COMPANY (CEER 2)"/>
    <x v="0"/>
    <x v="22"/>
    <x v="27"/>
    <n v="6"/>
    <n v="2026"/>
    <m/>
  </r>
  <r>
    <x v="7"/>
    <x v="168"/>
    <x v="18"/>
    <s v="Trade Transaction Dr_x000a_SAR -695619.35_x000a_Value date : 07-JUN-26_x000a_Transaction Ref : FTM261553QWBY2TR_x000a_Purpose/Details of Txn : Outward Guarantee KCLG2600153"/>
    <x v="456"/>
    <s v="FTM261553QWBY2TR"/>
    <x v="0"/>
    <n v="695619"/>
    <n v="0"/>
    <x v="0"/>
    <s v="Received"/>
    <s v="Retention - AUTOMOTIVE SECTOR DEVELOPMENT INVESTMENT COMPANY (CEER 2)"/>
    <x v="0"/>
    <x v="22"/>
    <x v="27"/>
    <n v="6"/>
    <n v="2026"/>
    <m/>
  </r>
  <r>
    <x v="0"/>
    <x v="170"/>
    <x v="0"/>
    <s v="REF 000000JLC6901492,RB REF JLC6901492,VIA CORE SYSTEM,DATE-TIME 09/06-11:30:11, عن طريق النظام الآ لي ,VALUE DT 09/06/26"/>
    <x v="12"/>
    <s v=""/>
    <x v="0"/>
    <n v="12781.66"/>
    <n v="0"/>
    <x v="4"/>
    <s v="Received"/>
    <s v="Jiangsu Donchamp New Materials Technology Co.Ltd."/>
    <x v="0"/>
    <x v="3"/>
    <x v="27"/>
    <n v="6"/>
    <n v="2026"/>
    <m/>
  </r>
  <r>
    <x v="0"/>
    <x v="170"/>
    <x v="0"/>
    <s v="REF 000000JLC7000384,RB REF JLC7000384,VIA CORE SYSTEM,DATE-TIME 09/06-10:15:10, عن طريق النظام الآ لي ,VALUE DT 09/06/26"/>
    <x v="447"/>
    <s v=""/>
    <x v="0"/>
    <n v="2114.6799999999998"/>
    <n v="0"/>
    <x v="4"/>
    <s v="Received"/>
    <s v="Mat Filtrasyon Teknolojeleri A.S"/>
    <x v="0"/>
    <x v="3"/>
    <x v="27"/>
    <n v="6"/>
    <n v="2026"/>
    <m/>
  </r>
  <r>
    <x v="0"/>
    <x v="170"/>
    <x v="21"/>
    <s v="RB REF JLG6800803,VIA CORE SYSTEM,DATE-TIME 09/06-13:46:45, عن طريق النظام الآ لي ,VALUE DT 09/06/26"/>
    <x v="191"/>
    <s v=""/>
    <x v="0"/>
    <n v="37626.85"/>
    <n v="0"/>
    <x v="17"/>
    <s v="Received"/>
    <s v="Advance - JEDDAH CENTRAL DEVELOPMENT COMPANY (JCD) "/>
    <x v="1"/>
    <x v="13"/>
    <x v="27"/>
    <n v="6"/>
    <n v="2026"/>
    <m/>
  </r>
  <r>
    <x v="0"/>
    <x v="170"/>
    <x v="21"/>
    <s v="RB REF JLG6601246,VIA CORE SYSTEM,DATE-TIME 09/06-13:47:36, عن طريق النظام الآ لي ,VALUE DT 09/06/26"/>
    <x v="223"/>
    <s v=""/>
    <x v="0"/>
    <n v="32969.35"/>
    <n v="0"/>
    <x v="17"/>
    <s v="Received"/>
    <s v="Advance - JEDDAH CENTRAL DEVELOPMENT COMPANY (JCD) "/>
    <x v="1"/>
    <x v="13"/>
    <x v="27"/>
    <n v="6"/>
    <n v="2026"/>
    <m/>
  </r>
  <r>
    <x v="2"/>
    <x v="170"/>
    <x v="4"/>
    <s v="19100000155300 DEP ID:4030219311 CHNL:SNB Payment Systems J212228"/>
    <x v="505"/>
    <s v="J212228"/>
    <x v="0"/>
    <n v="0"/>
    <n v="12209.17"/>
    <x v="0"/>
    <s v="D/C Reversal"/>
    <s v="Al Dhow Gulf Company for Trading and Contracting Ltd"/>
    <x v="4"/>
    <x v="11"/>
    <x v="27"/>
    <n v="6"/>
    <n v="2026"/>
    <m/>
  </r>
  <r>
    <x v="2"/>
    <x v="170"/>
    <x v="11"/>
    <s v="19100000033209 BEN ID:4030219311 J212228"/>
    <x v="505"/>
    <s v="J212228"/>
    <x v="2"/>
    <n v="12209.17"/>
    <n v="0"/>
    <x v="6"/>
    <s v="D/C Reversal"/>
    <s v="Al Dhow Gulf Company for Trading and Contracting Ltd"/>
    <x v="4"/>
    <x v="11"/>
    <x v="27"/>
    <n v="6"/>
    <n v="2026"/>
    <m/>
  </r>
  <r>
    <x v="2"/>
    <x v="170"/>
    <x v="4"/>
    <s v="CITY:Jeddah 6132226J212228001"/>
    <x v="505"/>
    <s v="J212228001"/>
    <x v="0"/>
    <n v="12209.17"/>
    <n v="0"/>
    <x v="5"/>
    <s v="Received"/>
    <s v="Al Dhow Gulf Company for Trading and Contracting Ltd"/>
    <x v="4"/>
    <x v="11"/>
    <x v="27"/>
    <n v="6"/>
    <n v="2026"/>
    <m/>
  </r>
  <r>
    <x v="1"/>
    <x v="171"/>
    <x v="3"/>
    <s v="CUSTOMER = 3972500 DEAL AMT = 7054.65 DEAL CCY = SAR TAX CODE = 1 "/>
    <x v="484"/>
    <s v="TF260990001601"/>
    <x v="0"/>
    <n v="1058.2"/>
    <n v="0"/>
    <x v="1"/>
    <s v="Received"/>
    <s v="Depa Saudi Arabia for Contracting and Interior Decorating Co. Ltd."/>
    <x v="0"/>
    <x v="5"/>
    <x v="27"/>
    <n v="6"/>
    <n v="2026"/>
    <m/>
  </r>
  <r>
    <x v="1"/>
    <x v="171"/>
    <x v="3"/>
    <s v=" LC ACCEPTANCE COMMISSION   "/>
    <x v="484"/>
    <s v="TF260990001601"/>
    <x v="0"/>
    <n v="7054.65"/>
    <n v="0"/>
    <x v="6"/>
    <s v="Received"/>
    <s v="Depa Saudi Arabia for Contracting and Interior Decorating Co. Ltd."/>
    <x v="0"/>
    <x v="5"/>
    <x v="27"/>
    <n v="6"/>
    <n v="2026"/>
    <m/>
  </r>
  <r>
    <x v="3"/>
    <x v="171"/>
    <x v="6"/>
    <s v="IMP BILL COMM DPBEPM221355WPM DCBWPM164001"/>
    <x v="458"/>
    <s v="DPBEPM221355WPM"/>
    <x v="0"/>
    <n v="4295.18"/>
    <n v="0"/>
    <x v="2"/>
    <s v="Received"/>
    <s v="Elsewedy Cables Co. Limited"/>
    <x v="3"/>
    <x v="9"/>
    <x v="27"/>
    <n v="6"/>
    <n v="2026"/>
    <m/>
  </r>
  <r>
    <x v="3"/>
    <x v="171"/>
    <x v="5"/>
    <s v="PEBGCU504055 PROJECT FLASH PEBGCU504055 QUARTERLY COMMISSION,VATINCLUSIVE"/>
    <x v="307"/>
    <s v="PEBGCU504055"/>
    <x v="0"/>
    <n v="537485.88"/>
    <n v="0"/>
    <x v="2"/>
    <s v="Received"/>
    <s v="Performance - CEER NATIONAL AUTOMOTIVE COMPANY"/>
    <x v="1"/>
    <x v="2"/>
    <x v="27"/>
    <n v="6"/>
    <n v="2026"/>
    <m/>
  </r>
  <r>
    <x v="3"/>
    <x v="171"/>
    <x v="5"/>
    <s v="GTE AMEND COMM CHARGES PEBGCU504055"/>
    <x v="307"/>
    <s v="PEBGCU504055"/>
    <x v="0"/>
    <n v="537485.88"/>
    <n v="0"/>
    <x v="2"/>
    <s v="Received"/>
    <s v="Performance - CEER NATIONAL AUTOMOTIVE COMPANY"/>
    <x v="1"/>
    <x v="2"/>
    <x v="27"/>
    <n v="6"/>
    <n v="2026"/>
    <m/>
  </r>
  <r>
    <x v="1"/>
    <x v="172"/>
    <x v="3"/>
    <s v="CUSTOMER = 3972500 DEAL AMT = 1250 DEAL CCY = SAR TAX CODE = 1 "/>
    <x v="111"/>
    <s v="TF252710002410"/>
    <x v="0"/>
    <n v="187.5"/>
    <n v="0"/>
    <x v="1"/>
    <s v="Received"/>
    <s v="Saudi Perfect Pumps Trading &amp; Manufacturing Company"/>
    <x v="0"/>
    <x v="7"/>
    <x v="27"/>
    <n v="6"/>
    <n v="2026"/>
    <m/>
  </r>
  <r>
    <x v="1"/>
    <x v="172"/>
    <x v="3"/>
    <s v=" LC ACCEPTANCE COMMISSION   "/>
    <x v="111"/>
    <s v="TF252710002410"/>
    <x v="0"/>
    <n v="1250"/>
    <n v="0"/>
    <x v="6"/>
    <s v="Received"/>
    <s v="Saudi Perfect Pumps Trading &amp; Manufacturing Company"/>
    <x v="0"/>
    <x v="7"/>
    <x v="27"/>
    <n v="6"/>
    <n v="2026"/>
    <m/>
  </r>
  <r>
    <x v="0"/>
    <x v="172"/>
    <x v="0"/>
    <s v="RB REF JLG7001577,VIA CORE SYSTEM,DATE-TIME 11/06-15:15:25, عن طريق النظام الآ لي ,VALUE DT 11/06/26"/>
    <x v="553"/>
    <s v=""/>
    <x v="0"/>
    <n v="10064.799999999999"/>
    <n v="0"/>
    <x v="17"/>
    <s v="Received"/>
    <s v="Bid - King Salman International Airport Development Company (KSIADC)"/>
    <x v="10"/>
    <x v="2"/>
    <x v="27"/>
    <n v="6"/>
    <n v="2026"/>
    <m/>
  </r>
  <r>
    <x v="0"/>
    <x v="172"/>
    <x v="0"/>
    <s v="RB REF JLG7001576,VIA CORE SYSTEM,DATE-TIME 11/06-15:20:18, عن طريق النظام الآ لي ,VALUE DT 11/06/26"/>
    <x v="554"/>
    <s v=""/>
    <x v="0"/>
    <n v="12938.65"/>
    <n v="0"/>
    <x v="17"/>
    <s v="Received"/>
    <s v="Bid - King Salman International Airport Development Company (KSIADC)"/>
    <x v="10"/>
    <x v="2"/>
    <x v="27"/>
    <n v="6"/>
    <n v="2026"/>
    <m/>
  </r>
  <r>
    <x v="0"/>
    <x v="172"/>
    <x v="0"/>
    <s v="RB REF JLG7001572,VIA CORE SYSTEM,DATE-TIME 11/06-12:47:26, عن طريق النظام الآ لي ,VALUE DT 11/06/26"/>
    <x v="555"/>
    <s v=""/>
    <x v="0"/>
    <n v="20126.150000000001"/>
    <n v="0"/>
    <x v="17"/>
    <s v="Received"/>
    <s v="Bid - Riyadh Airports Company (RAC)"/>
    <x v="0"/>
    <x v="2"/>
    <x v="27"/>
    <n v="6"/>
    <n v="2026"/>
    <m/>
  </r>
  <r>
    <x v="2"/>
    <x v="172"/>
    <x v="4"/>
    <s v="CITY:Jeddah 6132226J212290000"/>
    <x v="556"/>
    <s v="J212290000"/>
    <x v="0"/>
    <n v="94945.09"/>
    <n v="0"/>
    <x v="8"/>
    <s v="Received"/>
    <s v="APLUS TRADE MIKE"/>
    <x v="17"/>
    <x v="11"/>
    <x v="27"/>
    <n v="6"/>
    <n v="2026"/>
    <m/>
  </r>
  <r>
    <x v="2"/>
    <x v="172"/>
    <x v="4"/>
    <s v="19100000155300 DEP ID:4030219311 CHNL:SNB Payment Systems J212139"/>
    <x v="486"/>
    <s v="J212139"/>
    <x v="0"/>
    <n v="0"/>
    <n v="2500000"/>
    <x v="0"/>
    <s v="D/C Reversal"/>
    <s v="ALNAFIE METAL INDUSTRIES CO LTD"/>
    <x v="16"/>
    <x v="11"/>
    <x v="27"/>
    <n v="6"/>
    <n v="2026"/>
    <m/>
  </r>
  <r>
    <x v="2"/>
    <x v="172"/>
    <x v="4"/>
    <s v="CITY:Jeddah 6132226J212139001"/>
    <x v="486"/>
    <s v="J212139001"/>
    <x v="0"/>
    <n v="2500000"/>
    <n v="0"/>
    <x v="4"/>
    <s v="Received"/>
    <s v="ALNAFIE METAL INDUSTRIES CO LTD"/>
    <x v="16"/>
    <x v="11"/>
    <x v="27"/>
    <n v="6"/>
    <n v="2026"/>
    <m/>
  </r>
  <r>
    <x v="2"/>
    <x v="172"/>
    <x v="11"/>
    <s v="19100000033209 BEN ID:4030219311 J212139"/>
    <x v="486"/>
    <s v="J212139"/>
    <x v="2"/>
    <n v="2500000"/>
    <n v="0"/>
    <x v="0"/>
    <s v="D/C Reversal"/>
    <s v="ALNAFIE METAL INDUSTRIES CO LTD"/>
    <x v="16"/>
    <x v="11"/>
    <x v="27"/>
    <n v="6"/>
    <n v="2026"/>
    <m/>
  </r>
  <r>
    <x v="2"/>
    <x v="172"/>
    <x v="10"/>
    <s v="CITY:Jeddah 6132226B323741002"/>
    <x v="116"/>
    <s v="B323741002"/>
    <x v="2"/>
    <n v="270.25"/>
    <n v="0"/>
    <x v="0"/>
    <s v="Received"/>
    <s v="Advance - ROYAL PROTOCOL CAMP"/>
    <x v="0"/>
    <x v="2"/>
    <x v="27"/>
    <n v="6"/>
    <n v="2026"/>
    <m/>
  </r>
  <r>
    <x v="6"/>
    <x v="168"/>
    <x v="15"/>
    <s v="Credit"/>
    <x v="508"/>
    <s v="M001990"/>
    <x v="0"/>
    <n v="0"/>
    <n v="32175.24"/>
    <x v="52"/>
    <s v="Received"/>
    <s v="Henan Chongpeng Machinery Co Ltd"/>
    <x v="0"/>
    <x v="16"/>
    <x v="27"/>
    <n v="6"/>
    <n v="2026"/>
    <m/>
  </r>
  <r>
    <x v="1"/>
    <x v="173"/>
    <x v="3"/>
    <s v="CUSTOMER = 3972500 DEAL AMT = 75 DEAL CCY = SAR TAX CODE = 1 "/>
    <x v="111"/>
    <s v="TF252710002409"/>
    <x v="0"/>
    <n v="11.25"/>
    <n v="0"/>
    <x v="1"/>
    <s v="Received"/>
    <s v="Saudi Perfect Pumps Trading &amp; Manufacturing Company"/>
    <x v="0"/>
    <x v="7"/>
    <x v="27"/>
    <n v="6"/>
    <n v="2026"/>
    <m/>
  </r>
  <r>
    <x v="1"/>
    <x v="173"/>
    <x v="3"/>
    <s v=" LC SWIFT CHARGES   "/>
    <x v="111"/>
    <s v="TF252710002409"/>
    <x v="0"/>
    <n v="75"/>
    <n v="0"/>
    <x v="3"/>
    <s v="Received"/>
    <s v="Saudi Perfect Pumps Trading &amp; Manufacturing Company"/>
    <x v="0"/>
    <x v="7"/>
    <x v="27"/>
    <n v="6"/>
    <n v="2026"/>
    <m/>
  </r>
  <r>
    <x v="1"/>
    <x v="173"/>
    <x v="3"/>
    <s v=" REIMBURSE UNDER LCS DR   "/>
    <x v="111"/>
    <s v="TF252710002409"/>
    <x v="0"/>
    <n v="263230"/>
    <n v="0"/>
    <x v="4"/>
    <s v="Received"/>
    <s v="Saudi Perfect Pumps Trading &amp; Manufacturing Company"/>
    <x v="0"/>
    <x v="7"/>
    <x v="27"/>
    <n v="6"/>
    <n v="2026"/>
    <m/>
  </r>
  <r>
    <x v="1"/>
    <x v="173"/>
    <x v="3"/>
    <s v="CUSTOMER = 3972500 DEAL AMT = 5905.42 DEAL CCY = SAR TAX CODE = 1 "/>
    <x v="492"/>
    <s v="TF261050002103"/>
    <x v="0"/>
    <n v="885.81"/>
    <n v="0"/>
    <x v="1"/>
    <s v="Received"/>
    <s v="Innovative Specialized Security Solution"/>
    <x v="10"/>
    <x v="14"/>
    <x v="27"/>
    <n v="6"/>
    <n v="2026"/>
    <m/>
  </r>
  <r>
    <x v="1"/>
    <x v="173"/>
    <x v="3"/>
    <s v=" LC ACCEPTANCE COMMISSION   "/>
    <x v="492"/>
    <s v="TF261050002103"/>
    <x v="0"/>
    <n v="5905.42"/>
    <n v="0"/>
    <x v="2"/>
    <s v="Received"/>
    <s v="Innovative Specialized Security Solution"/>
    <x v="10"/>
    <x v="14"/>
    <x v="27"/>
    <n v="6"/>
    <n v="2026"/>
    <m/>
  </r>
  <r>
    <x v="3"/>
    <x v="173"/>
    <x v="6"/>
    <s v="DPBCOR217770WPM DCBWPM163417"/>
    <x v="450"/>
    <s v="DPBCOR217770WPM"/>
    <x v="0"/>
    <n v="5000000"/>
    <n v="0"/>
    <x v="4"/>
    <s v="Received"/>
    <s v="The Fundamental Installation For Electric Work Co"/>
    <x v="3"/>
    <x v="9"/>
    <x v="27"/>
    <n v="6"/>
    <n v="2026"/>
    <m/>
  </r>
  <r>
    <x v="6"/>
    <x v="173"/>
    <x v="15"/>
    <s v="BT Commission Debit"/>
    <x v="445"/>
    <s v=""/>
    <x v="0"/>
    <n v="2374.75"/>
    <n v="0"/>
    <x v="2"/>
    <s v="Received"/>
    <s v="Ready Mix Company Limited."/>
    <x v="0"/>
    <x v="16"/>
    <x v="27"/>
    <n v="6"/>
    <n v="2026"/>
    <m/>
  </r>
  <r>
    <x v="6"/>
    <x v="173"/>
    <x v="15"/>
    <s v="BT SWIFT Chg Debit"/>
    <x v="445"/>
    <s v=""/>
    <x v="0"/>
    <n v="250"/>
    <n v="0"/>
    <x v="2"/>
    <s v="Received"/>
    <s v="Ready Mix Company Limited."/>
    <x v="0"/>
    <x v="16"/>
    <x v="27"/>
    <n v="6"/>
    <n v="2026"/>
    <m/>
  </r>
  <r>
    <x v="6"/>
    <x v="173"/>
    <x v="15"/>
    <s v="Value Added Tax (VAT)"/>
    <x v="445"/>
    <s v=""/>
    <x v="0"/>
    <n v="356.21"/>
    <n v="0"/>
    <x v="1"/>
    <s v="Received"/>
    <s v="Ready Mix Company Limited."/>
    <x v="0"/>
    <x v="16"/>
    <x v="27"/>
    <n v="6"/>
    <n v="2026"/>
    <m/>
  </r>
  <r>
    <x v="6"/>
    <x v="173"/>
    <x v="15"/>
    <s v="Value Added Tax (VAT)"/>
    <x v="445"/>
    <s v=""/>
    <x v="0"/>
    <n v="37.5"/>
    <n v="0"/>
    <x v="1"/>
    <s v="Received"/>
    <s v="Ready Mix Company Limited."/>
    <x v="0"/>
    <x v="16"/>
    <x v="27"/>
    <n v="6"/>
    <n v="2026"/>
    <m/>
  </r>
  <r>
    <x v="5"/>
    <x v="173"/>
    <x v="9"/>
    <s v="TI Bill Settled                                                       _x000a_POC006                                                                _x000a_At Bank AlJazira                                                      _x000a_CORPORATE BANKING DEPT-JEDDAH                                         _x000a_Date 28-12-1447(H) Time 08.46.46                                      _x000a_Reference ILC-0840-26-8758                                            _x000a_"/>
    <x v="352"/>
    <s v=""/>
    <x v="0"/>
    <n v="204411.35"/>
    <n v="0"/>
    <x v="4"/>
    <s v="Received"/>
    <s v="Green Concrete CJSC"/>
    <x v="0"/>
    <x v="10"/>
    <x v="27"/>
    <n v="6"/>
    <n v="2026"/>
    <m/>
  </r>
  <r>
    <x v="1"/>
    <x v="174"/>
    <x v="3"/>
    <s v="CUSTOMER = 3972500 DEAL AMT = 3241.74 DEAL CCY = SAR TAX CODE = 1 "/>
    <x v="484"/>
    <s v="TF260990001602"/>
    <x v="0"/>
    <n v="486.26"/>
    <n v="0"/>
    <x v="1"/>
    <s v="Received"/>
    <s v="Depa Saudi Arabia for Contracting and Interior Decorating Co. Ltd."/>
    <x v="0"/>
    <x v="5"/>
    <x v="27"/>
    <n v="6"/>
    <n v="2026"/>
    <m/>
  </r>
  <r>
    <x v="1"/>
    <x v="174"/>
    <x v="3"/>
    <s v=" LC ACCEPTANCE COMMISSION   "/>
    <x v="484"/>
    <s v="TF260990001602"/>
    <x v="0"/>
    <n v="3241.74"/>
    <n v="0"/>
    <x v="2"/>
    <s v="Received"/>
    <s v="Depa Saudi Arabia for Contracting and Interior Decorating Co. Ltd."/>
    <x v="0"/>
    <x v="5"/>
    <x v="27"/>
    <n v="6"/>
    <n v="2026"/>
    <m/>
  </r>
  <r>
    <x v="0"/>
    <x v="175"/>
    <x v="13"/>
    <s v="REF 000000JLC6902211,RB REF JLC6902211,VIA CORE SYSTEM,DATE-TIME 15/06-11:19:39, عن طريق النظام الآ لي ,VALUE DT 15/06/26"/>
    <x v="282"/>
    <s v=""/>
    <x v="3"/>
    <n v="59942.38"/>
    <n v="0"/>
    <x v="4"/>
    <s v="Received"/>
    <s v="IBA MIDDLE EAST FZE"/>
    <x v="11"/>
    <x v="3"/>
    <x v="27"/>
    <n v="6"/>
    <n v="2026"/>
    <m/>
  </r>
  <r>
    <x v="0"/>
    <x v="174"/>
    <x v="0"/>
    <s v="REF 000000JLC7000003,RB REF JLC7000003,VIA CORE SYSTEM,DATE-TIME 16/06-16:13:47, عن طريق النظام الآ لي ,VALUE DT 16/06/26"/>
    <x v="342"/>
    <s v=""/>
    <x v="0"/>
    <n v="3039.14"/>
    <n v="0"/>
    <x v="5"/>
    <s v="Received"/>
    <s v="SCHNEIDER ELECTRIC SAUDI ARABIA CO"/>
    <x v="3"/>
    <x v="3"/>
    <x v="27"/>
    <n v="6"/>
    <n v="2026"/>
    <m/>
  </r>
  <r>
    <x v="0"/>
    <x v="174"/>
    <x v="0"/>
    <s v="REF 000000JLC6902213,RB REF JLC6902213,VIA CORE SYSTEM,DATE-TIME 16/06-17:34:23, عن طريق النظام الآ لي ,VALUE DT 16/06/26"/>
    <x v="281"/>
    <s v=""/>
    <x v="0"/>
    <n v="4660.41"/>
    <n v="0"/>
    <x v="5"/>
    <s v="Received"/>
    <s v="IBA MIDDLE EAST FZE"/>
    <x v="11"/>
    <x v="3"/>
    <x v="27"/>
    <n v="6"/>
    <n v="2026"/>
    <m/>
  </r>
  <r>
    <x v="0"/>
    <x v="174"/>
    <x v="0"/>
    <s v="REF 000000JLC7000002,RB REF JLC7000002,VIA CORE SYSTEM,DATE-TIME 16/06-17:43:54, عن طريق النظام الآ لي ,VALUE DT 16/06/26"/>
    <x v="350"/>
    <s v=""/>
    <x v="0"/>
    <n v="1014.98"/>
    <n v="0"/>
    <x v="5"/>
    <s v="Received"/>
    <s v="Riyadh Unity for Trading"/>
    <x v="3"/>
    <x v="3"/>
    <x v="27"/>
    <n v="6"/>
    <n v="2026"/>
    <m/>
  </r>
  <r>
    <x v="0"/>
    <x v="174"/>
    <x v="0"/>
    <s v="REF 000000JLC6902211,RB REF JLC6902211,VIA CORE SYSTEM,DATE-TIME 16/06-17:44:43, عن طريق النظام الآ لي ,VALUE DT 16/06/26"/>
    <x v="282"/>
    <s v=""/>
    <x v="0"/>
    <n v="7802.18"/>
    <n v="0"/>
    <x v="5"/>
    <s v="Received"/>
    <s v="IBA MIDDLE EAST FZE"/>
    <x v="11"/>
    <x v="3"/>
    <x v="27"/>
    <n v="6"/>
    <n v="2026"/>
    <m/>
  </r>
  <r>
    <x v="2"/>
    <x v="175"/>
    <x v="4"/>
    <s v="CITY:Jeddah 6132226J210104008"/>
    <x v="136"/>
    <s v="J210104008"/>
    <x v="0"/>
    <n v="6004.45"/>
    <n v="0"/>
    <x v="2"/>
    <s v="Received"/>
    <s v="BBH-CHEMTROL INTERNATIONAL ORGANIZATION S.L"/>
    <x v="4"/>
    <x v="11"/>
    <x v="27"/>
    <n v="6"/>
    <n v="2026"/>
    <m/>
  </r>
  <r>
    <x v="2"/>
    <x v="175"/>
    <x v="4"/>
    <s v="CITY:Jeddah 6132226J210104007"/>
    <x v="136"/>
    <s v="J210104007"/>
    <x v="0"/>
    <n v="6478.78"/>
    <n v="0"/>
    <x v="2"/>
    <s v="Received"/>
    <s v="BBH-CHEMTROL INTERNATIONAL ORGANIZATION S.L"/>
    <x v="4"/>
    <x v="11"/>
    <x v="27"/>
    <n v="6"/>
    <n v="2026"/>
    <m/>
  </r>
  <r>
    <x v="2"/>
    <x v="175"/>
    <x v="4"/>
    <s v="19100000155300 DEP ID:4030219311 CHNL:SNB Payment Systems J210104"/>
    <x v="136"/>
    <s v="J210104"/>
    <x v="0"/>
    <n v="0"/>
    <n v="12483.23"/>
    <x v="0"/>
    <s v="D/C Reversal"/>
    <s v="BBH-CHEMTROL INTERNATIONAL ORGANIZATION S.L"/>
    <x v="4"/>
    <x v="11"/>
    <x v="27"/>
    <n v="6"/>
    <n v="2026"/>
    <m/>
  </r>
  <r>
    <x v="2"/>
    <x v="175"/>
    <x v="11"/>
    <s v="19100000033209 BEN ID:4030219311 J210104"/>
    <x v="136"/>
    <s v="J210104"/>
    <x v="2"/>
    <n v="12483.23"/>
    <n v="0"/>
    <x v="0"/>
    <s v="D/C Reversal"/>
    <s v="BBH-CHEMTROL INTERNATIONAL ORGANIZATION S.L"/>
    <x v="4"/>
    <x v="11"/>
    <x v="27"/>
    <n v="6"/>
    <n v="2026"/>
    <m/>
  </r>
  <r>
    <x v="3"/>
    <x v="175"/>
    <x v="6"/>
    <s v="DPBEPM217007WPM DCBWPM570361"/>
    <x v="294"/>
    <s v="DPBEPM217007WPM"/>
    <x v="0"/>
    <n v="1000332.98"/>
    <n v="0"/>
    <x v="4"/>
    <s v="Received"/>
    <s v="ELSEWEDY CABLES CO. LIMITED"/>
    <x v="3"/>
    <x v="9"/>
    <x v="27"/>
    <n v="6"/>
    <n v="2026"/>
    <m/>
  </r>
  <r>
    <x v="3"/>
    <x v="175"/>
    <x v="6"/>
    <s v="IMP BILL COMM DPBCOR221641WPM DCBWPM160363"/>
    <x v="376"/>
    <s v="DPBCOR221641WPM"/>
    <x v="0"/>
    <n v="3881.25"/>
    <n v="0"/>
    <x v="2"/>
    <s v="Received"/>
    <s v="Arabian International Company For Contracting"/>
    <x v="3"/>
    <x v="9"/>
    <x v="27"/>
    <n v="6"/>
    <n v="2026"/>
    <m/>
  </r>
  <r>
    <x v="3"/>
    <x v="174"/>
    <x v="6"/>
    <s v="IMP BILL COMM DPBCOR221779WPM DCBWPM163950"/>
    <x v="471"/>
    <s v="DPBCOR221779WPM"/>
    <x v="0"/>
    <n v="1292.72"/>
    <n v="0"/>
    <x v="2"/>
    <s v="Received"/>
    <s v="Khereiji Showrooms Co."/>
    <x v="3"/>
    <x v="9"/>
    <x v="27"/>
    <n v="6"/>
    <n v="2026"/>
    <m/>
  </r>
  <r>
    <x v="0"/>
    <x v="176"/>
    <x v="0"/>
    <s v="REF 000000JLC7000007,RB REF JLC7000007,VIA CORE SYSTEM,DATE-TIME 17/06-10:06:19, عن طريق النظام الآ لي ,VALUE DT 17/06/26"/>
    <x v="343"/>
    <s v=""/>
    <x v="0"/>
    <n v="2572.6799999999998"/>
    <n v="0"/>
    <x v="2"/>
    <s v="Received"/>
    <s v="ALFANAR ELECTRICAL SYSTEMS"/>
    <x v="3"/>
    <x v="3"/>
    <x v="27"/>
    <n v="6"/>
    <n v="2026"/>
    <m/>
  </r>
  <r>
    <x v="0"/>
    <x v="176"/>
    <x v="1"/>
    <s v="RB REF JLG6602654,VIA CORE SYSTEM,DATE-TIME 17/06-16:44:08, عن طريق النظام الآ لي ,VALUE DT 17/06/26"/>
    <x v="224"/>
    <s v=""/>
    <x v="0"/>
    <n v="427696.5"/>
    <n v="0"/>
    <x v="17"/>
    <s v="Received"/>
    <s v="Performance - JEDDAH CENTRAL DEVELOPMENT COMPANY"/>
    <x v="1"/>
    <x v="13"/>
    <x v="27"/>
    <n v="6"/>
    <n v="2026"/>
    <m/>
  </r>
  <r>
    <x v="0"/>
    <x v="176"/>
    <x v="0"/>
    <s v="REF 000000JLC7000192,RB REF JLC7000192,VIA CORE SYSTEM,DATE-TIME 17/06-10:23:35, عن طريق النظام الآ لي ,VALUE DT 17/06/26"/>
    <x v="414"/>
    <s v=""/>
    <x v="0"/>
    <n v="2690.05"/>
    <n v="0"/>
    <x v="2"/>
    <s v="Received"/>
    <s v="Systemair For Electrical Equipment Co."/>
    <x v="3"/>
    <x v="3"/>
    <x v="27"/>
    <n v="6"/>
    <n v="2026"/>
    <m/>
  </r>
  <r>
    <x v="5"/>
    <x v="176"/>
    <x v="9"/>
    <s v="Dr TI ILC Comm/Other Charges                                          _x000a_POC007-300382320                                                      _x000a_At Bank Aljazira                                                      _x000a_ CORPORATE BANKING DEPT-JEDDAH                                        _x000a_Date 02-01-1448(H) Time 10.44.47                                      _x000a_Reference ILC-0840-26-8758                                            _x000a_Value Date 02-01-1448(H)                                              _x000a_Fee Collected By Bank AlJazira                                        _x000a_"/>
    <x v="352"/>
    <s v=""/>
    <x v="0"/>
    <n v="200"/>
    <n v="0"/>
    <x v="2"/>
    <s v="Received"/>
    <s v="Green Concrete CJSC"/>
    <x v="0"/>
    <x v="10"/>
    <x v="27"/>
    <n v="6"/>
    <n v="2026"/>
    <m/>
  </r>
  <r>
    <x v="5"/>
    <x v="176"/>
    <x v="9"/>
    <s v="Value Added Tax                                                       _x000a_On SWIFT charges                                                      _x000a_15% of SAR200.00                                                      _x000a_Through CORPORATE BANKING DEPT-JEDDAH                                 _x000a_Date 02-01-1448(H) Time 10.28.27                                      _x000a_Reference ILC-0840-25-8166                                            _x000a_At Bank Aljazira                                                      _x000a_Exchange Rate 1.0                                                     _x000a_"/>
    <x v="309"/>
    <s v=""/>
    <x v="0"/>
    <n v="30"/>
    <n v="0"/>
    <x v="1"/>
    <s v="Received"/>
    <s v="SAUDI HEPCO CO LTD"/>
    <x v="3"/>
    <x v="10"/>
    <x v="27"/>
    <n v="6"/>
    <n v="2026"/>
    <m/>
  </r>
  <r>
    <x v="5"/>
    <x v="176"/>
    <x v="9"/>
    <s v="Dr TI ILC Comm/Other Charges                                          _x000a_POC007-300382266                                                      _x000a_At Bank Aljazira                                                      _x000a_ CORPORATE BANKING DEPT-JEDDAH                                        _x000a_Date 02-01-1448(H) Time 10.44.46                                      _x000a_Reference ILC-0840-26-8758                                            _x000a_Value Date 02-01-1448(H)                                              _x000a_Fee Collected By Bank AlJazira                                        _x000a_"/>
    <x v="352"/>
    <s v=""/>
    <x v="0"/>
    <n v="100"/>
    <n v="0"/>
    <x v="2"/>
    <s v="Received"/>
    <s v="Green Concrete CJSC"/>
    <x v="0"/>
    <x v="10"/>
    <x v="27"/>
    <n v="6"/>
    <n v="2026"/>
    <m/>
  </r>
  <r>
    <x v="5"/>
    <x v="176"/>
    <x v="9"/>
    <s v="Value Added Tax                                                       _x000a_On ILC Acceptance Comm.                                               _x000a_15% of SAR100.00                                                      _x000a_Through CORPORATE BANKING DEPT-JEDDAH                                 _x000a_Date 02-01-1448(H) Time 10.44.46                                      _x000a_Reference ILC-0840-26-8758                                            _x000a_At Bank Aljazira                                                      _x000a_"/>
    <x v="352"/>
    <s v=""/>
    <x v="0"/>
    <n v="15"/>
    <n v="0"/>
    <x v="1"/>
    <s v="Received"/>
    <s v="Green Concrete CJSC"/>
    <x v="0"/>
    <x v="10"/>
    <x v="27"/>
    <n v="6"/>
    <n v="2026"/>
    <m/>
  </r>
  <r>
    <x v="5"/>
    <x v="176"/>
    <x v="9"/>
    <s v="Dr TI ILC Comm/Other Charges                                          _x000a_POC007-300382318                                                      _x000a_At Bank Aljazira                                                      _x000a_ CORPORATE BANKING DEPT-JEDDAH                                        _x000a_Date 02-01-1448(H) Time 10.44.47                                      _x000a_Reference ILC-0840-26-8758                                            _x000a_Value Date 02-01-1448(H)                                              _x000a_Fee Collected By Bank AlJazira                                        _x000a_"/>
    <x v="352"/>
    <s v=""/>
    <x v="0"/>
    <n v="250"/>
    <n v="0"/>
    <x v="2"/>
    <s v="Received"/>
    <s v="Green Concrete CJSC"/>
    <x v="0"/>
    <x v="10"/>
    <x v="27"/>
    <n v="6"/>
    <n v="2026"/>
    <m/>
  </r>
  <r>
    <x v="5"/>
    <x v="176"/>
    <x v="9"/>
    <s v="Value Added Tax                                                       _x000a_On ILC Acceptance Comm.                                               _x000a_15% of SAR250.00                                                      _x000a_Through CORPORATE BANKING DEPT-JEDDAH                                 _x000a_Date 02-01-1448(H) Time 10.44.47                                      _x000a_Reference ILC-0840-26-8758                                            _x000a_At Bank Aljazira                                                      _x000a_"/>
    <x v="352"/>
    <s v=""/>
    <x v="0"/>
    <n v="37.5"/>
    <n v="0"/>
    <x v="1"/>
    <s v="Received"/>
    <s v="Green Concrete CJSC"/>
    <x v="0"/>
    <x v="10"/>
    <x v="27"/>
    <n v="6"/>
    <n v="2026"/>
    <m/>
  </r>
  <r>
    <x v="5"/>
    <x v="176"/>
    <x v="9"/>
    <s v="Value Added Tax                                                       _x000a_On SWIFT charges                                                      _x000a_15% of SAR200.00                                                      _x000a_Through CORPORATE BANKING DEPT-JEDDAH                                 _x000a_Date 02-01-1448(H) Time 10.44.47                                      _x000a_Reference ILC-0840-26-8758                                            _x000a_At Bank Aljazira                                                      _x000a_"/>
    <x v="352"/>
    <s v=""/>
    <x v="0"/>
    <n v="30"/>
    <n v="0"/>
    <x v="1"/>
    <s v="Received"/>
    <s v="Green Concrete CJSC"/>
    <x v="0"/>
    <x v="10"/>
    <x v="27"/>
    <n v="6"/>
    <n v="2026"/>
    <m/>
  </r>
  <r>
    <x v="5"/>
    <x v="176"/>
    <x v="9"/>
    <s v="Dr TI ILC Comm/Other Charges                                          _x000a_ISS001-300429661                                                      _x000a_At Bank Aljazira                                                      _x000a_ CORPORATE BANKING DEPT-JEDDAH                                        _x000a_Date 02-01-1448(H) Time 12.33.16                                      _x000a_Reference ILC-0840-26-9418                                            _x000a_Value Date 02-01-1448(H)                                              _x000a_Fee Collected By Bank AlJazira                                        _x000a_"/>
    <x v="557"/>
    <s v=""/>
    <x v="0"/>
    <n v="200"/>
    <n v="0"/>
    <x v="8"/>
    <s v="Received"/>
    <s v="Saraya Al Andalus for Construction company"/>
    <x v="0"/>
    <x v="10"/>
    <x v="27"/>
    <n v="6"/>
    <n v="2026"/>
    <m/>
  </r>
  <r>
    <x v="5"/>
    <x v="176"/>
    <x v="9"/>
    <s v="Value Added Tax                                                       _x000a_On ILC Commission                                                     _x000a_15% of SAR6,750.00                                                    _x000a_Through CORPORATE BANKING DEPT-JEDDAH                                 _x000a_Date 02-01-1448(H) Time 12.33.14                                      _x000a_Reference ILC-0840-26-9418                                            _x000a_At Bank Aljazira                                                      _x000a_"/>
    <x v="557"/>
    <s v=""/>
    <x v="0"/>
    <n v="1012.5"/>
    <n v="0"/>
    <x v="1"/>
    <s v="Received"/>
    <s v="Saraya Al Andalus for Construction company"/>
    <x v="0"/>
    <x v="10"/>
    <x v="27"/>
    <n v="6"/>
    <n v="2026"/>
    <m/>
  </r>
  <r>
    <x v="5"/>
    <x v="176"/>
    <x v="9"/>
    <s v="Dr TI ILC Comm/Other Charges                                          _x000a_ISS001-300429657                                                      _x000a_At Bank Aljazira                                                      _x000a_ CORPORATE BANKING DEPT-JEDDAH                                        _x000a_Date 02-01-1448(H) Time 12.33.15                                      _x000a_Reference ILC-0840-26-9418                                            _x000a_Value Date 02-01-1448(H)                                              _x000a_Fee Collected By Bank AlJazira                                        _x000a_"/>
    <x v="557"/>
    <s v=""/>
    <x v="0"/>
    <n v="6250"/>
    <n v="0"/>
    <x v="8"/>
    <s v="Received"/>
    <s v="Saraya Al Andalus for Construction company"/>
    <x v="0"/>
    <x v="10"/>
    <x v="27"/>
    <n v="6"/>
    <n v="2026"/>
    <m/>
  </r>
  <r>
    <x v="5"/>
    <x v="176"/>
    <x v="9"/>
    <s v="Value Added Tax                                                       _x000a_On ILC Commission                                                     _x000a_15% of SAR6,250.00                                                    _x000a_Through CORPORATE BANKING DEPT-JEDDAH                                 _x000a_Date 02-01-1448(H) Time 12.33.15                                      _x000a_Reference ILC-0840-26-9418                                            _x000a_At Bank Aljazira                                                      _x000a_"/>
    <x v="557"/>
    <s v=""/>
    <x v="0"/>
    <n v="937.5"/>
    <n v="0"/>
    <x v="1"/>
    <s v="Received"/>
    <s v="Saraya Al Andalus for Construction company"/>
    <x v="0"/>
    <x v="10"/>
    <x v="27"/>
    <n v="6"/>
    <n v="2026"/>
    <m/>
  </r>
  <r>
    <x v="5"/>
    <x v="176"/>
    <x v="9"/>
    <s v="Dr TI ILC Comm/Other Charges                                          _x000a_ISS001-300429659                                                      _x000a_At Bank Aljazira                                                      _x000a_ CORPORATE BANKING DEPT-JEDDAH                                        _x000a_Date 02-01-1448(H) Time 12.33.15                                      _x000a_Reference ILC-0840-26-9418                                            _x000a_Value Date 02-01-1448(H)                                              _x000a_Fee Collected By Bank AlJazira                                        _x000a_"/>
    <x v="557"/>
    <s v=""/>
    <x v="0"/>
    <n v="750"/>
    <n v="0"/>
    <x v="8"/>
    <s v="Received"/>
    <s v="Saraya Al Andalus for Construction company"/>
    <x v="0"/>
    <x v="10"/>
    <x v="27"/>
    <n v="6"/>
    <n v="2026"/>
    <m/>
  </r>
  <r>
    <x v="5"/>
    <x v="176"/>
    <x v="9"/>
    <s v="Value Added Tax                                                       _x000a_On ILC SWIFT/Telex Charges                                            _x000a_15% of SAR750.00                                                      _x000a_Through CORPORATE BANKING DEPT-JEDDAH                                 _x000a_Date 02-01-1448(H) Time 12.33.15                                      _x000a_Reference ILC-0840-26-9418                                            _x000a_At Bank Aljazira                                                      _x000a_"/>
    <x v="557"/>
    <s v=""/>
    <x v="0"/>
    <n v="112.5"/>
    <n v="0"/>
    <x v="1"/>
    <s v="Received"/>
    <s v="Saraya Al Andalus for Construction company"/>
    <x v="0"/>
    <x v="10"/>
    <x v="27"/>
    <n v="6"/>
    <n v="2026"/>
    <m/>
  </r>
  <r>
    <x v="5"/>
    <x v="176"/>
    <x v="9"/>
    <s v="Dr TI ILC Comm/Other Charges                                          _x000a_AMD004-300376430                                                      _x000a_At Bank Aljazira                                                      _x000a_ CORPORATE BANKING DEPT-JEDDAH                                        _x000a_Exchange Rate 1.0                                                     _x000a_Date 02-01-1448(H) Time 10.28.27                                      _x000a_Reference ILC-0840-25-8166                                            _x000a_Value Date 02-01-1448(H)                                              _x000a_Fee Collected By Bank AlJazira                                        _x000a_"/>
    <x v="309"/>
    <s v=""/>
    <x v="0"/>
    <n v="200"/>
    <n v="0"/>
    <x v="5"/>
    <s v="Received"/>
    <s v="SAUDI HEPCO CO LTD"/>
    <x v="3"/>
    <x v="10"/>
    <x v="27"/>
    <n v="6"/>
    <n v="2026"/>
    <m/>
  </r>
  <r>
    <x v="5"/>
    <x v="176"/>
    <x v="9"/>
    <s v="Value Added Tax                                                       _x000a_On ILC Postal/DHL Charges                                             _x000a_15% of SAR200.00                                                      _x000a_Through CORPORATE BANKING DEPT-JEDDAH                                 _x000a_Date 02-01-1448(H) Time 12.33.16                                      _x000a_Reference ILC-0840-26-9418                                            _x000a_At Bank Aljazira                                                      _x000a_"/>
    <x v="557"/>
    <s v=""/>
    <x v="0"/>
    <n v="30"/>
    <n v="0"/>
    <x v="1"/>
    <s v="Received"/>
    <s v="Saraya Al Andalus for Construction company"/>
    <x v="0"/>
    <x v="10"/>
    <x v="27"/>
    <n v="6"/>
    <n v="2026"/>
    <m/>
  </r>
  <r>
    <x v="5"/>
    <x v="176"/>
    <x v="9"/>
    <s v="Dr TI LGI Commission (Unearned)                                       _x000a_ISS001-300429654                                                      _x000a_At Bank AlJazira                                                      _x000a_CORPORATE BANKING DEPT-JEDDAH                                         _x000a_Date 02-01-1448(H) Time 12.33.14                                      _x000a_Reference ILC-0840-26-9418                                            _x000a_"/>
    <x v="557"/>
    <s v=""/>
    <x v="0"/>
    <n v="6750"/>
    <n v="0"/>
    <x v="16"/>
    <s v="Received"/>
    <s v="Saraya Al Andalus for Construction company"/>
    <x v="0"/>
    <x v="10"/>
    <x v="27"/>
    <n v="6"/>
    <n v="2026"/>
    <m/>
  </r>
  <r>
    <x v="5"/>
    <x v="176"/>
    <x v="9"/>
    <s v="Value Added Tax                                                       _x000a_On ILC Commission                                                     _x000a_15% of SAR500.00                                                      _x000a_Through CORPORATE BANKING DEPT-JEDDAH                                 _x000a_Date 02-01-1448(H) Time 10.28.26                                      _x000a_Reference ILC-0840-25-8166                                            _x000a_At Bank Aljazira                                                      _x000a_Exchange Rate 1.0                                                     _x000a_"/>
    <x v="309"/>
    <s v=""/>
    <x v="0"/>
    <n v="75"/>
    <n v="0"/>
    <x v="1"/>
    <s v="Received"/>
    <s v="SAUDI HEPCO CO LTD"/>
    <x v="3"/>
    <x v="10"/>
    <x v="27"/>
    <n v="6"/>
    <n v="2026"/>
    <m/>
  </r>
  <r>
    <x v="5"/>
    <x v="176"/>
    <x v="9"/>
    <s v="Value Added Tax                                                       _x000a_On SWIFT charges                                                      _x000a_15% of SAR200.00                                                      _x000a_Through CORPORATE BANKING DEPT-JEDDAH                                 _x000a_Date 02-01-1448(H) Time 10.27.31                                      _x000a_Reference ILC-0840-26-8820                                            _x000a_At Bank Aljazira                                                      _x000a_"/>
    <x v="362"/>
    <s v=""/>
    <x v="0"/>
    <n v="30"/>
    <n v="0"/>
    <x v="1"/>
    <s v="Received"/>
    <s v="Alfanar Electrical Systems"/>
    <x v="3"/>
    <x v="10"/>
    <x v="27"/>
    <n v="6"/>
    <n v="2026"/>
    <m/>
  </r>
  <r>
    <x v="5"/>
    <x v="176"/>
    <x v="9"/>
    <s v="Value Added Tax                                                       _x000a_On SWIFT charges                                                      _x000a_15% of SAR200.00                                                      _x000a_Through CORPORATE BANKING DEPT-JEDDAH                                 _x000a_Date 02-01-1448(H) Time 10.28.08                                      _x000a_Reference ILC-0840-25-8164                                            _x000a_At Bank Aljazira                                                      _x000a_Exchange Rate 1.0                                                     _x000a_"/>
    <x v="312"/>
    <s v=""/>
    <x v="0"/>
    <n v="30"/>
    <n v="0"/>
    <x v="1"/>
    <s v="Received"/>
    <s v="Mohammed Ramadan Shat Factory"/>
    <x v="3"/>
    <x v="10"/>
    <x v="27"/>
    <n v="6"/>
    <n v="2026"/>
    <m/>
  </r>
  <r>
    <x v="5"/>
    <x v="176"/>
    <x v="9"/>
    <s v="Dr TI ILC Comm/Other Charges                                          _x000a_AMD002-300375638                                                      _x000a_At Bank Aljazira                                                      _x000a_ CORPORATE BANKING DEPT-JEDDAH                                        _x000a_Date 02-01-1448(H) Time 10.26.41                                      _x000a_Reference ILC-0840-26-8823                                            _x000a_Value Date 02-01-1448(H)                                              _x000a_Fee Collected By Bank AlJazira                                        _x000a_"/>
    <x v="363"/>
    <s v=""/>
    <x v="0"/>
    <n v="500"/>
    <n v="0"/>
    <x v="5"/>
    <s v="Received"/>
    <s v="Mohammed Masoud Al Khaldi Est"/>
    <x v="3"/>
    <x v="10"/>
    <x v="27"/>
    <n v="6"/>
    <n v="2026"/>
    <m/>
  </r>
  <r>
    <x v="5"/>
    <x v="176"/>
    <x v="9"/>
    <s v="Value Added Tax                                                       _x000a_On ILC Commission                                                     _x000a_15% of SAR500.00                                                      _x000a_Through CORPORATE BANKING DEPT-JEDDAH                                 _x000a_Date 02-01-1448(H) Time 10.26.42                                      _x000a_Reference ILC-0840-26-8823                                            _x000a_At Bank Aljazira                                                      _x000a_"/>
    <x v="363"/>
    <s v=""/>
    <x v="0"/>
    <n v="75"/>
    <n v="0"/>
    <x v="1"/>
    <s v="Received"/>
    <s v="Mohammed Masoud Al Khaldi Est"/>
    <x v="3"/>
    <x v="10"/>
    <x v="27"/>
    <n v="6"/>
    <n v="2026"/>
    <m/>
  </r>
  <r>
    <x v="5"/>
    <x v="176"/>
    <x v="9"/>
    <s v="Dr TI ILC Comm/Other Charges                                          _x000a_AMD002-300375640                                                      _x000a_At Bank Aljazira                                                      _x000a_ CORPORATE BANKING DEPT-JEDDAH                                        _x000a_Date 02-01-1448(H) Time 10.26.42                                      _x000a_Reference ILC-0840-26-8823                                            _x000a_Value Date 02-01-1448(H)                                              _x000a_Fee Collected By Bank AlJazira                                        _x000a_"/>
    <x v="363"/>
    <s v=""/>
    <x v="0"/>
    <n v="200"/>
    <n v="0"/>
    <x v="5"/>
    <s v="Received"/>
    <s v="Mohammed Masoud Al Khaldi Est"/>
    <x v="3"/>
    <x v="10"/>
    <x v="27"/>
    <n v="6"/>
    <n v="2026"/>
    <m/>
  </r>
  <r>
    <x v="5"/>
    <x v="176"/>
    <x v="9"/>
    <s v="Value Added Tax                                                       _x000a_On SWIFT charges                                                      _x000a_15% of SAR200.00                                                      _x000a_Through CORPORATE BANKING DEPT-JEDDAH                                 _x000a_Date 02-01-1448(H) Time 10.26.42                                      _x000a_Reference ILC-0840-26-8823                                            _x000a_At Bank Aljazira                                                      _x000a_"/>
    <x v="363"/>
    <s v=""/>
    <x v="0"/>
    <n v="30"/>
    <n v="0"/>
    <x v="1"/>
    <s v="Received"/>
    <s v="Mohammed Masoud Al Khaldi Est"/>
    <x v="3"/>
    <x v="10"/>
    <x v="27"/>
    <n v="6"/>
    <n v="2026"/>
    <m/>
  </r>
  <r>
    <x v="5"/>
    <x v="176"/>
    <x v="9"/>
    <s v="Dr TI ILC Comm/Other Charges                                          _x000a_AMD002-300377346                                                      _x000a_At Bank Aljazira                                                      _x000a_ CORPORATE BANKING DEPT-JEDDAH                                        _x000a_Date 02-01-1448(H) Time 10.27.06                                      _x000a_Reference ILC-0840-26-8822                                            _x000a_Value Date 02-01-1448(H)                                              _x000a_Fee Collected By Bank AlJazira                                        _x000a_"/>
    <x v="364"/>
    <s v=""/>
    <x v="0"/>
    <n v="1386.48"/>
    <n v="0"/>
    <x v="5"/>
    <s v="Received"/>
    <s v="Isam Kabanni And Partners For Construction And Maintenance Co Ltd"/>
    <x v="3"/>
    <x v="10"/>
    <x v="27"/>
    <n v="6"/>
    <n v="2026"/>
    <m/>
  </r>
  <r>
    <x v="5"/>
    <x v="176"/>
    <x v="9"/>
    <s v="Value Added Tax                                                       _x000a_On ILC Commission                                                     _x000a_15% of SAR1,386.48                                                    _x000a_Through CORPORATE BANKING DEPT-JEDDAH                                 _x000a_Date 02-01-1448(H) Time 10.27.06                                      _x000a_Reference ILC-0840-26-8822                                            _x000a_At Bank Aljazira                                                      _x000a_"/>
    <x v="364"/>
    <s v=""/>
    <x v="0"/>
    <n v="207.97"/>
    <n v="0"/>
    <x v="1"/>
    <s v="Received"/>
    <s v="Isam Kabanni And Partners For Construction And Maintenance Co Ltd"/>
    <x v="3"/>
    <x v="10"/>
    <x v="27"/>
    <n v="6"/>
    <n v="2026"/>
    <m/>
  </r>
  <r>
    <x v="5"/>
    <x v="176"/>
    <x v="9"/>
    <s v="Dr TI ILC Comm/Other Charges                                          _x000a_AMD002-300377348                                                      _x000a_At Bank Aljazira                                                      _x000a_ CORPORATE BANKING DEPT-JEDDAH                                        _x000a_Date 02-01-1448(H) Time 10.27.07                                      _x000a_Reference ILC-0840-26-8822                                            _x000a_Value Date 02-01-1448(H)                                              _x000a_Fee Collected By Bank AlJazira                                        _x000a_"/>
    <x v="364"/>
    <s v=""/>
    <x v="0"/>
    <n v="200"/>
    <n v="0"/>
    <x v="5"/>
    <s v="Received"/>
    <s v="Isam Kabanni And Partners For Construction And Maintenance Co Ltd"/>
    <x v="3"/>
    <x v="10"/>
    <x v="27"/>
    <n v="6"/>
    <n v="2026"/>
    <m/>
  </r>
  <r>
    <x v="5"/>
    <x v="176"/>
    <x v="9"/>
    <s v="Value Added Tax                                                       _x000a_On SWIFT charges                                                      _x000a_15% of SAR200.00                                                      _x000a_Through CORPORATE BANKING DEPT-JEDDAH                                 _x000a_Date 02-01-1448(H) Time 10.27.07                                      _x000a_Reference ILC-0840-26-8822                                            _x000a_At Bank Aljazira                                                      _x000a_"/>
    <x v="364"/>
    <s v=""/>
    <x v="0"/>
    <n v="30"/>
    <n v="0"/>
    <x v="1"/>
    <s v="Received"/>
    <s v="Isam Kabanni And Partners For Construction And Maintenance Co Ltd"/>
    <x v="3"/>
    <x v="10"/>
    <x v="27"/>
    <n v="6"/>
    <n v="2026"/>
    <m/>
  </r>
  <r>
    <x v="5"/>
    <x v="176"/>
    <x v="9"/>
    <s v="Dr TI ILC Comm/Other Charges                                          _x000a_AMD002-300379662                                                      _x000a_At Bank Aljazira                                                      _x000a_ CORPORATE BANKING DEPT-JEDDAH                                        _x000a_Date 02-01-1448(H) Time 10.27.30                                      _x000a_Reference ILC-0840-26-8820                                            _x000a_Value Date 02-01-1448(H)                                              _x000a_Fee Collected By Bank AlJazira                                        _x000a_"/>
    <x v="362"/>
    <s v=""/>
    <x v="0"/>
    <n v="500"/>
    <n v="0"/>
    <x v="5"/>
    <s v="Received"/>
    <s v="Alfanar Electrical Systems"/>
    <x v="3"/>
    <x v="10"/>
    <x v="27"/>
    <n v="6"/>
    <n v="2026"/>
    <m/>
  </r>
  <r>
    <x v="5"/>
    <x v="176"/>
    <x v="9"/>
    <s v="Value Added Tax                                                       _x000a_On ILC Commission                                                     _x000a_15% of SAR500.00                                                      _x000a_Through CORPORATE BANKING DEPT-JEDDAH                                 _x000a_Date 02-01-1448(H) Time 10.27.30                                      _x000a_Reference ILC-0840-26-8820                                            _x000a_At Bank Aljazira                                                      _x000a_"/>
    <x v="362"/>
    <s v=""/>
    <x v="0"/>
    <n v="75"/>
    <n v="0"/>
    <x v="1"/>
    <s v="Received"/>
    <s v="Alfanar Electrical Systems"/>
    <x v="3"/>
    <x v="10"/>
    <x v="27"/>
    <n v="6"/>
    <n v="2026"/>
    <m/>
  </r>
  <r>
    <x v="5"/>
    <x v="176"/>
    <x v="9"/>
    <s v="Dr TI ILC Comm/Other Charges                                          _x000a_AMD002-300379664                                                      _x000a_At Bank Aljazira                                                      _x000a_ CORPORATE BANKING DEPT-JEDDAH                                        _x000a_Date 02-01-1448(H) Time 10.27.31                                      _x000a_Reference ILC-0840-26-8820                                            _x000a_Value Date 02-01-1448(H)                                              _x000a_Fee Collected By Bank AlJazira                                        _x000a_"/>
    <x v="362"/>
    <s v=""/>
    <x v="0"/>
    <n v="200"/>
    <n v="0"/>
    <x v="5"/>
    <s v="Received"/>
    <s v="Alfanar Electrical Systems"/>
    <x v="3"/>
    <x v="10"/>
    <x v="27"/>
    <n v="6"/>
    <n v="2026"/>
    <m/>
  </r>
  <r>
    <x v="5"/>
    <x v="176"/>
    <x v="9"/>
    <s v="Dr TI ILC Comm/Other Charges                                          _x000a_ISS001-300429663                                                      _x000a_At Bank Aljazira                                                      _x000a_ CORPORATE BANKING DEPT-JEDDAH                                        _x000a_Date 02-01-1448(H) Time 12.33.16                                      _x000a_Reference ILC-0840-26-9418                                            _x000a_Value Date 02-01-1448(H)                                              _x000a_Fee Collected By Bank AlJazira                                        _x000a_"/>
    <x v="557"/>
    <s v=""/>
    <x v="0"/>
    <n v="9444.44"/>
    <n v="0"/>
    <x v="8"/>
    <s v="Received"/>
    <s v="Saraya Al Andalus for Construction company"/>
    <x v="0"/>
    <x v="10"/>
    <x v="27"/>
    <n v="6"/>
    <n v="2026"/>
    <m/>
  </r>
  <r>
    <x v="5"/>
    <x v="176"/>
    <x v="9"/>
    <s v="Dr TI ILC Comm/Other Charges                                          _x000a_AMD004-300378374                                                      _x000a_At Bank Aljazira                                                      _x000a_ CORPORATE BANKING DEPT-JEDDAH                                        _x000a_Exchange Rate 1.0                                                     _x000a_Date 02-01-1448(H) Time 10.28.05                                      _x000a_Reference ILC-0840-25-8164                                            _x000a_Value Date 02-01-1448(H)                                              _x000a_Fee Collected By Bank AlJazira                                        _x000a_"/>
    <x v="312"/>
    <s v=""/>
    <x v="0"/>
    <n v="500"/>
    <n v="0"/>
    <x v="5"/>
    <s v="Received"/>
    <s v="Mohammed Ramadan Shat Factory"/>
    <x v="3"/>
    <x v="10"/>
    <x v="27"/>
    <n v="6"/>
    <n v="2026"/>
    <m/>
  </r>
  <r>
    <x v="5"/>
    <x v="176"/>
    <x v="9"/>
    <s v="Value Added Tax                                                       _x000a_On ILC Commission                                                     _x000a_15% of SAR500.00                                                      _x000a_Through CORPORATE BANKING DEPT-JEDDAH                                 _x000a_Date 02-01-1448(H) Time 10.28.05                                      _x000a_Reference ILC-0840-25-8164                                            _x000a_At Bank Aljazira                                                      _x000a_Exchange Rate 1.0                                                     _x000a_"/>
    <x v="312"/>
    <s v=""/>
    <x v="0"/>
    <n v="75"/>
    <n v="0"/>
    <x v="1"/>
    <s v="Received"/>
    <s v="Mohammed Ramadan Shat Factory"/>
    <x v="3"/>
    <x v="10"/>
    <x v="27"/>
    <n v="6"/>
    <n v="2026"/>
    <m/>
  </r>
  <r>
    <x v="5"/>
    <x v="176"/>
    <x v="9"/>
    <s v="Dr TI ILC Comm/Other Charges                                          _x000a_AMD004-300378376                                                      _x000a_At Bank Aljazira                                                      _x000a_ CORPORATE BANKING DEPT-JEDDAH                                        _x000a_Exchange Rate 1.0                                                     _x000a_Date 02-01-1448(H) Time 10.28.08                                      _x000a_Reference ILC-0840-25-8164                                            _x000a_Value Date 02-01-1448(H)                                              _x000a_Fee Collected By Bank AlJazira                                        _x000a_"/>
    <x v="312"/>
    <s v=""/>
    <x v="0"/>
    <n v="200"/>
    <n v="0"/>
    <x v="5"/>
    <s v="Received"/>
    <s v="Mohammed Ramadan Shat Factory"/>
    <x v="3"/>
    <x v="10"/>
    <x v="27"/>
    <n v="6"/>
    <n v="2026"/>
    <m/>
  </r>
  <r>
    <x v="5"/>
    <x v="176"/>
    <x v="9"/>
    <s v="Dr TI ILC Comm/Other Charges                                          _x000a_AMD004-300376428                                                      _x000a_At Bank Aljazira                                                      _x000a_ CORPORATE BANKING DEPT-JEDDAH                                        _x000a_Exchange Rate 1.0                                                     _x000a_Date 02-01-1448(H) Time 10.28.26                                      _x000a_Reference ILC-0840-25-8166                                            _x000a_Value Date 02-01-1448(H)                                              _x000a_Fee Collected By Bank AlJazira                                        _x000a_"/>
    <x v="309"/>
    <s v=""/>
    <x v="0"/>
    <n v="500"/>
    <n v="0"/>
    <x v="5"/>
    <s v="Received"/>
    <s v="SAUDI HEPCO CO LTD"/>
    <x v="3"/>
    <x v="10"/>
    <x v="27"/>
    <n v="6"/>
    <n v="2026"/>
    <m/>
  </r>
  <r>
    <x v="5"/>
    <x v="176"/>
    <x v="9"/>
    <s v="Value Added Tax                                                       _x000a_On LC PROCESSING FEE                                                  _x000a_15% of SAR9,444.44                                                    _x000a_Through CORPORATE BANKING DEPT-JEDDAH                                 _x000a_Date 02-01-1448(H) Time 12.33.16                                      _x000a_Reference ILC-0840-26-9418                                            _x000a_At Bank Aljazira                                                      _x000a_"/>
    <x v="557"/>
    <s v=""/>
    <x v="0"/>
    <n v="1416.67"/>
    <n v="0"/>
    <x v="1"/>
    <s v="Received"/>
    <s v="Saraya Al Andalus for Construction company"/>
    <x v="0"/>
    <x v="10"/>
    <x v="27"/>
    <n v="6"/>
    <n v="2026"/>
    <m/>
  </r>
  <r>
    <x v="8"/>
    <x v="165"/>
    <x v="22"/>
    <s v="26OGTE49101516 2 20260603102656"/>
    <x v="558"/>
    <s v=""/>
    <x v="0"/>
    <n v="164207.22"/>
    <m/>
    <x v="0"/>
    <s v="NR"/>
    <s v="Bid - MADA INTERNATIONAL HOLDING "/>
    <x v="10"/>
    <x v="2"/>
    <x v="27"/>
    <n v="6"/>
    <n v="2026"/>
    <m/>
  </r>
  <r>
    <x v="8"/>
    <x v="164"/>
    <x v="22"/>
    <s v="26OGTE49101492 2 20260601093431"/>
    <x v="559"/>
    <s v=""/>
    <x v="0"/>
    <n v="93816.84"/>
    <m/>
    <x v="0"/>
    <s v="NR"/>
    <s v="Bid - Diriyah Company"/>
    <x v="0"/>
    <x v="2"/>
    <x v="27"/>
    <n v="6"/>
    <n v="2026"/>
    <m/>
  </r>
  <r>
    <x v="0"/>
    <x v="177"/>
    <x v="0"/>
    <s v="REF 000000JLC6901431,RB REF JLC6901431,VIA CORE SYSTEM,DATE-TIME 18/06-10:36:55, عن طريق النظام الآ لي ,VALUE DT 18/06/26"/>
    <x v="95"/>
    <s v=""/>
    <x v="0"/>
    <n v="818.67"/>
    <n v="0"/>
    <x v="2"/>
    <s v="Received"/>
    <s v="Mat Filtrasyon Teknolojeleri A.S"/>
    <x v="0"/>
    <x v="3"/>
    <x v="27"/>
    <n v="6"/>
    <n v="2026"/>
    <m/>
  </r>
  <r>
    <x v="0"/>
    <x v="177"/>
    <x v="0"/>
    <s v="REF 000000JLC6901431,RB REF JLC6901431,VIA CORE SYSTEM,DATE-TIME 18/06-10:35:48, عن طريق النظام الآ لي ,VALUE DT 18/06/26"/>
    <x v="95"/>
    <s v=""/>
    <x v="0"/>
    <n v="1345.1"/>
    <n v="0"/>
    <x v="2"/>
    <s v="Received"/>
    <s v="Mat Filtrasyon Teknolojeleri A.S"/>
    <x v="0"/>
    <x v="3"/>
    <x v="27"/>
    <n v="6"/>
    <n v="2026"/>
    <m/>
  </r>
  <r>
    <x v="2"/>
    <x v="177"/>
    <x v="4"/>
    <s v="CITY:Jeddah 6132226J210944003"/>
    <x v="266"/>
    <s v="J210944003"/>
    <x v="0"/>
    <n v="185793.71"/>
    <n v="0"/>
    <x v="4"/>
    <s v="Received"/>
    <s v="Mohammed A. Al-Awani Trading"/>
    <x v="0"/>
    <x v="7"/>
    <x v="27"/>
    <n v="6"/>
    <n v="2026"/>
    <m/>
  </r>
  <r>
    <x v="2"/>
    <x v="177"/>
    <x v="4"/>
    <s v="65800000764401 DEP ID:4030219311 CHNL:SNB Payment Systems J210104"/>
    <x v="136"/>
    <s v="J210104"/>
    <x v="0"/>
    <n v="0"/>
    <n v="527.4"/>
    <x v="0"/>
    <s v="D/C Reversal"/>
    <s v="BBH-CHEMTROL INTERNATIONAL ORGANIZATION S.L"/>
    <x v="4"/>
    <x v="11"/>
    <x v="27"/>
    <n v="6"/>
    <n v="2026"/>
    <m/>
  </r>
  <r>
    <x v="2"/>
    <x v="177"/>
    <x v="4"/>
    <s v="CITY:Jeddah 6132226J210104000"/>
    <x v="136"/>
    <s v="J210104000"/>
    <x v="0"/>
    <n v="527.4"/>
    <n v="0"/>
    <x v="53"/>
    <s v="Received"/>
    <s v="BBH-CHEMTROL INTERNATIONAL ORGANIZATION S.L"/>
    <x v="4"/>
    <x v="11"/>
    <x v="27"/>
    <n v="6"/>
    <n v="2026"/>
    <m/>
  </r>
  <r>
    <x v="2"/>
    <x v="177"/>
    <x v="23"/>
    <s v="19100000033209 BEN ID:4030219311 J210104"/>
    <x v="136"/>
    <s v="J210104"/>
    <x v="2"/>
    <n v="527.4"/>
    <n v="0"/>
    <x v="0"/>
    <s v="D/C Reversal"/>
    <s v="BBH-CHEMTROL INTERNATIONAL ORGANIZATION S.L"/>
    <x v="4"/>
    <x v="11"/>
    <x v="27"/>
    <n v="6"/>
    <n v="2026"/>
    <m/>
  </r>
  <r>
    <x v="0"/>
    <x v="178"/>
    <x v="0"/>
    <s v="RB REF JLG7001686,VIA CORE SYSTEM,DATE-TIME 22/06-10:14:46, عن طريق النظام الآ لي ,VALUE DT 22/06/26"/>
    <x v="560"/>
    <s v=""/>
    <x v="0"/>
    <n v="93437.5"/>
    <n v="0"/>
    <x v="17"/>
    <s v="Received"/>
    <s v="Bid - Royal Commission for Riyadh City"/>
    <x v="10"/>
    <x v="2"/>
    <x v="27"/>
    <n v="6"/>
    <n v="2026"/>
    <m/>
  </r>
  <r>
    <x v="2"/>
    <x v="178"/>
    <x v="4"/>
    <s v="CITY:Jeddah 6132226J212502000"/>
    <x v="561"/>
    <s v="J212502000"/>
    <x v="0"/>
    <n v="11182.01"/>
    <n v="0"/>
    <x v="8"/>
    <s v="Received"/>
    <s v="Gulf Applications - GAPP"/>
    <x v="4"/>
    <x v="11"/>
    <x v="27"/>
    <n v="6"/>
    <n v="2026"/>
    <m/>
  </r>
  <r>
    <x v="2"/>
    <x v="178"/>
    <x v="4"/>
    <s v="CITY:Jeddah 6132226J212311001"/>
    <x v="510"/>
    <s v="J212311001"/>
    <x v="0"/>
    <n v="1430.52"/>
    <n v="0"/>
    <x v="2"/>
    <s v="Received"/>
    <s v="Manar Alomran Company For Trading And Industrial Ltd"/>
    <x v="0"/>
    <x v="11"/>
    <x v="27"/>
    <n v="6"/>
    <n v="2026"/>
    <m/>
  </r>
  <r>
    <x v="3"/>
    <x v="178"/>
    <x v="6"/>
    <s v="IMP BILL AMEND. CHARGES DPBEPM221682WPM DCBWPM564580"/>
    <x v="524"/>
    <s v="DPBEPM221682WPM"/>
    <x v="0"/>
    <n v="1699.68"/>
    <n v="0"/>
    <x v="2"/>
    <s v="Received"/>
    <s v="Sika Saudi Arabia Co. Ltd."/>
    <x v="0"/>
    <x v="1"/>
    <x v="27"/>
    <n v="6"/>
    <n v="2026"/>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
  <r>
    <x v="0"/>
    <m/>
    <m/>
    <x v="0"/>
    <x v="0"/>
    <m/>
    <m/>
    <m/>
    <m/>
    <m/>
    <m/>
    <x v="0"/>
    <x v="0"/>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s v="DCBWPM564580"/>
    <d v="2026-03-12T00:00:00"/>
    <x v="0"/>
    <x v="0"/>
    <x v="0"/>
    <x v="0"/>
    <x v="0"/>
    <x v="0"/>
    <s v="Sika Saudi Arabia Co. Ltd."/>
    <x v="0"/>
    <x v="0"/>
    <x v="0"/>
    <x v="0"/>
    <x v="0"/>
    <n v="902623.5"/>
    <x v="0"/>
    <n v="902623.5"/>
    <x v="0"/>
    <x v="0"/>
    <x v="0"/>
    <x v="0"/>
    <x v="0"/>
    <x v="0"/>
  </r>
  <r>
    <s v="J210104"/>
    <d v="2026-06-15T00:00:00"/>
    <x v="1"/>
    <x v="1"/>
    <x v="1"/>
    <x v="1"/>
    <x v="1"/>
    <x v="0"/>
    <s v="BBH-CHEMTROL INTERNATIONAL ORGANIZATION S.L"/>
    <x v="1"/>
    <x v="1"/>
    <x v="1"/>
    <x v="1"/>
    <x v="1"/>
    <n v="1123289.6200000001"/>
    <x v="1"/>
    <n v="4960446.9619200006"/>
    <x v="0"/>
    <x v="1"/>
    <x v="0"/>
    <x v="1"/>
    <x v="0"/>
    <x v="0"/>
  </r>
  <r>
    <s v="TF2535200021"/>
    <d v="2026-06-04T00:00:00"/>
    <x v="2"/>
    <x v="2"/>
    <x v="0"/>
    <x v="2"/>
    <x v="2"/>
    <x v="0"/>
    <s v="Osalas GMBH"/>
    <x v="0"/>
    <x v="2"/>
    <x v="2"/>
    <x v="1"/>
    <x v="0"/>
    <n v="270000"/>
    <x v="2"/>
    <n v="1198665"/>
    <x v="1"/>
    <x v="2"/>
    <x v="0"/>
    <x v="2"/>
    <x v="0"/>
    <x v="0"/>
  </r>
  <r>
    <s v="DCBWPM567556"/>
    <d v="2026-04-13T00:00:00"/>
    <x v="3"/>
    <x v="3"/>
    <x v="0"/>
    <x v="0"/>
    <x v="0"/>
    <x v="0"/>
    <s v="Building System Intelligent Est."/>
    <x v="2"/>
    <x v="3"/>
    <x v="3"/>
    <x v="0"/>
    <x v="1"/>
    <n v="106205.87"/>
    <x v="0"/>
    <n v="106205.87"/>
    <x v="2"/>
    <x v="3"/>
    <x v="0"/>
    <x v="1"/>
    <x v="1"/>
    <x v="1"/>
  </r>
  <r>
    <s v="J210104"/>
    <d v="2026-06-15T00:00:00"/>
    <x v="4"/>
    <x v="1"/>
    <x v="1"/>
    <x v="1"/>
    <x v="1"/>
    <x v="0"/>
    <s v="BBH-CHEMTROL INTERNATIONAL ORGANIZATION S.L"/>
    <x v="1"/>
    <x v="1"/>
    <x v="1"/>
    <x v="1"/>
    <x v="1"/>
    <n v="1034169.01"/>
    <x v="1"/>
    <n v="4566890.3481600005"/>
    <x v="3"/>
    <x v="1"/>
    <x v="0"/>
    <x v="1"/>
    <x v="1"/>
    <x v="1"/>
  </r>
  <r>
    <s v="ILC-0840-26-9073"/>
    <d v="2026-04-09T00:00:00"/>
    <x v="0"/>
    <x v="3"/>
    <x v="1"/>
    <x v="3"/>
    <x v="3"/>
    <x v="0"/>
    <s v="The Fundamental Installation For Electric Work Co"/>
    <x v="2"/>
    <x v="4"/>
    <x v="4"/>
    <x v="0"/>
    <x v="1"/>
    <n v="42000000"/>
    <x v="0"/>
    <n v="42000000"/>
    <x v="3"/>
    <x v="4"/>
    <x v="0"/>
    <x v="1"/>
    <x v="1"/>
    <x v="1"/>
  </r>
  <r>
    <s v="TF2604200011_B"/>
    <d v="2026-04-07T00:00:00"/>
    <x v="2"/>
    <x v="3"/>
    <x v="1"/>
    <x v="2"/>
    <x v="2"/>
    <x v="0"/>
    <s v="The Fundamental Installation For Electric Work Co"/>
    <x v="2"/>
    <x v="2"/>
    <x v="2"/>
    <x v="0"/>
    <x v="1"/>
    <n v="6000000"/>
    <x v="0"/>
    <n v="6000000"/>
    <x v="3"/>
    <x v="4"/>
    <x v="0"/>
    <x v="1"/>
    <x v="1"/>
    <x v="1"/>
  </r>
  <r>
    <s v="TF2527100024"/>
    <d v="2026-06-03T00:00:00"/>
    <x v="5"/>
    <x v="4"/>
    <x v="1"/>
    <x v="2"/>
    <x v="2"/>
    <x v="0"/>
    <s v="Saudi Perfect Pumps Trading &amp; Manufacturing Company"/>
    <x v="0"/>
    <x v="5"/>
    <x v="5"/>
    <x v="0"/>
    <x v="1"/>
    <n v="412500"/>
    <x v="0"/>
    <n v="412500"/>
    <x v="4"/>
    <x v="5"/>
    <x v="0"/>
    <x v="1"/>
    <x v="1"/>
    <x v="1"/>
  </r>
  <r>
    <s v="J211681"/>
    <d v="2026-06-04T00:00:00"/>
    <x v="3"/>
    <x v="5"/>
    <x v="1"/>
    <x v="1"/>
    <x v="1"/>
    <x v="0"/>
    <s v="APS ARABIAN CONTRACTING COMPANY"/>
    <x v="3"/>
    <x v="1"/>
    <x v="1"/>
    <x v="0"/>
    <x v="1"/>
    <n v="652505.4"/>
    <x v="0"/>
    <n v="652505.4"/>
    <x v="5"/>
    <x v="6"/>
    <x v="0"/>
    <x v="1"/>
    <x v="1"/>
    <x v="1"/>
  </r>
  <r>
    <s v="JLC6901431_Cre"/>
    <d v="2026-05-13T00:00:00"/>
    <x v="6"/>
    <x v="6"/>
    <x v="1"/>
    <x v="4"/>
    <x v="4"/>
    <x v="0"/>
    <s v="Mat Filtrasyon Teknolojeleri A.S"/>
    <x v="0"/>
    <x v="6"/>
    <x v="6"/>
    <x v="0"/>
    <x v="1"/>
    <n v="284755.58"/>
    <x v="0"/>
    <n v="284755.58"/>
    <x v="5"/>
    <x v="7"/>
    <x v="0"/>
    <x v="1"/>
    <x v="1"/>
    <x v="1"/>
  </r>
  <r>
    <s v="JLC7000185"/>
    <d v="2026-05-07T00:00:00"/>
    <x v="7"/>
    <x v="6"/>
    <x v="1"/>
    <x v="4"/>
    <x v="4"/>
    <x v="0"/>
    <s v="SKM Air Conditioning Company"/>
    <x v="2"/>
    <x v="6"/>
    <x v="6"/>
    <x v="0"/>
    <x v="1"/>
    <n v="500000"/>
    <x v="0"/>
    <n v="500000"/>
    <x v="6"/>
    <x v="8"/>
    <x v="0"/>
    <x v="1"/>
    <x v="2"/>
    <x v="2"/>
  </r>
  <r>
    <s v="DCBWPM570384"/>
    <d v="2026-05-13T00:00:00"/>
    <x v="7"/>
    <x v="3"/>
    <x v="1"/>
    <x v="0"/>
    <x v="0"/>
    <x v="0"/>
    <s v="Daikin Air Conditioning Saudi Arabia "/>
    <x v="2"/>
    <x v="3"/>
    <x v="3"/>
    <x v="0"/>
    <x v="1"/>
    <n v="208813.02"/>
    <x v="0"/>
    <n v="208813.02"/>
    <x v="6"/>
    <x v="3"/>
    <x v="0"/>
    <x v="1"/>
    <x v="2"/>
    <x v="2"/>
  </r>
  <r>
    <s v="JLC7000384"/>
    <d v="2026-06-08T00:00:00"/>
    <x v="0"/>
    <x v="6"/>
    <x v="1"/>
    <x v="4"/>
    <x v="4"/>
    <x v="0"/>
    <s v="Mat Filtrasyon Teknolojeleri A.S"/>
    <x v="0"/>
    <x v="6"/>
    <x v="6"/>
    <x v="0"/>
    <x v="1"/>
    <n v="735540"/>
    <x v="0"/>
    <n v="735540"/>
    <x v="6"/>
    <x v="9"/>
    <x v="0"/>
    <x v="1"/>
    <x v="2"/>
    <x v="2"/>
  </r>
  <r>
    <s v="DCBWPM162993"/>
    <d v="2026-04-13T00:00:00"/>
    <x v="7"/>
    <x v="3"/>
    <x v="0"/>
    <x v="0"/>
    <x v="0"/>
    <x v="0"/>
    <s v="Ajzal United for Safety CO.LTD."/>
    <x v="2"/>
    <x v="3"/>
    <x v="3"/>
    <x v="0"/>
    <x v="1"/>
    <n v="194647.12"/>
    <x v="0"/>
    <n v="194647.12"/>
    <x v="6"/>
    <x v="10"/>
    <x v="0"/>
    <x v="1"/>
    <x v="2"/>
    <x v="2"/>
  </r>
  <r>
    <s v="DCBWPM161328"/>
    <d v="2026-04-21T00:00:00"/>
    <x v="7"/>
    <x v="3"/>
    <x v="0"/>
    <x v="0"/>
    <x v="0"/>
    <x v="0"/>
    <s v="INTERPLAST CO. LTD"/>
    <x v="2"/>
    <x v="3"/>
    <x v="3"/>
    <x v="0"/>
    <x v="1"/>
    <n v="397090"/>
    <x v="0"/>
    <n v="397090"/>
    <x v="6"/>
    <x v="10"/>
    <x v="0"/>
    <x v="1"/>
    <x v="2"/>
    <x v="2"/>
  </r>
  <r>
    <s v="DCBWPM160342"/>
    <d v="2026-04-22T00:00:00"/>
    <x v="7"/>
    <x v="3"/>
    <x v="0"/>
    <x v="0"/>
    <x v="0"/>
    <x v="0"/>
    <s v="BROOQ ALAMAAN TRAD COMPANY"/>
    <x v="2"/>
    <x v="3"/>
    <x v="3"/>
    <x v="0"/>
    <x v="1"/>
    <n v="365011.38"/>
    <x v="0"/>
    <n v="365011.38"/>
    <x v="6"/>
    <x v="10"/>
    <x v="0"/>
    <x v="1"/>
    <x v="2"/>
    <x v="2"/>
  </r>
  <r>
    <s v="ILC-0840-25-8164"/>
    <d v="2026-04-27T00:00:00"/>
    <x v="0"/>
    <x v="3"/>
    <x v="1"/>
    <x v="3"/>
    <x v="3"/>
    <x v="0"/>
    <s v="Mohammed Ramadan Shat Factory"/>
    <x v="2"/>
    <x v="7"/>
    <x v="7"/>
    <x v="0"/>
    <x v="1"/>
    <n v="199393.9"/>
    <x v="0"/>
    <n v="199393.9"/>
    <x v="7"/>
    <x v="4"/>
    <x v="0"/>
    <x v="1"/>
    <x v="2"/>
    <x v="2"/>
  </r>
  <r>
    <s v="DCBWPM162992"/>
    <d v="2026-04-19T00:00:00"/>
    <x v="7"/>
    <x v="3"/>
    <x v="1"/>
    <x v="0"/>
    <x v="0"/>
    <x v="0"/>
    <s v="Al NAKHEEL FOR TRADING COMPANY"/>
    <x v="2"/>
    <x v="3"/>
    <x v="3"/>
    <x v="0"/>
    <x v="1"/>
    <n v="1309266"/>
    <x v="0"/>
    <n v="1309266"/>
    <x v="8"/>
    <x v="10"/>
    <x v="0"/>
    <x v="1"/>
    <x v="2"/>
    <x v="2"/>
  </r>
  <r>
    <s v="JLC6901431_Cre"/>
    <d v="2026-05-13T00:00:00"/>
    <x v="5"/>
    <x v="6"/>
    <x v="1"/>
    <x v="4"/>
    <x v="4"/>
    <x v="0"/>
    <s v="Mat Filtrasyon Teknolojeleri A.S"/>
    <x v="0"/>
    <x v="6"/>
    <x v="6"/>
    <x v="0"/>
    <x v="1"/>
    <n v="467861.1"/>
    <x v="0"/>
    <n v="467861.1"/>
    <x v="9"/>
    <x v="7"/>
    <x v="0"/>
    <x v="1"/>
    <x v="2"/>
    <x v="2"/>
  </r>
  <r>
    <s v="DCBWPM163960"/>
    <d v="2026-04-30T00:00:00"/>
    <x v="7"/>
    <x v="3"/>
    <x v="0"/>
    <x v="0"/>
    <x v="0"/>
    <x v="0"/>
    <s v="Ideal Caliber Company"/>
    <x v="2"/>
    <x v="3"/>
    <x v="3"/>
    <x v="0"/>
    <x v="1"/>
    <n v="150000"/>
    <x v="0"/>
    <n v="150000"/>
    <x v="10"/>
    <x v="11"/>
    <x v="0"/>
    <x v="1"/>
    <x v="3"/>
    <x v="3"/>
  </r>
  <r>
    <s v="M001959"/>
    <d v="2026-06-07T00:00:00"/>
    <x v="3"/>
    <x v="7"/>
    <x v="0"/>
    <x v="5"/>
    <x v="5"/>
    <x v="0"/>
    <s v="Ready Mix Company Limited."/>
    <x v="0"/>
    <x v="8"/>
    <x v="8"/>
    <x v="0"/>
    <x v="1"/>
    <n v="949900"/>
    <x v="0"/>
    <n v="949900"/>
    <x v="10"/>
    <x v="6"/>
    <x v="0"/>
    <x v="3"/>
    <x v="3"/>
    <x v="3"/>
  </r>
  <r>
    <s v="ILC-0840-26-8758"/>
    <d v="2026-06-17T00:00:00"/>
    <x v="2"/>
    <x v="8"/>
    <x v="1"/>
    <x v="3"/>
    <x v="3"/>
    <x v="0"/>
    <s v="Green Concrete CJSC"/>
    <x v="0"/>
    <x v="7"/>
    <x v="7"/>
    <x v="0"/>
    <x v="1"/>
    <n v="112200.9"/>
    <x v="0"/>
    <n v="112200.9"/>
    <x v="10"/>
    <x v="6"/>
    <x v="0"/>
    <x v="1"/>
    <x v="3"/>
    <x v="3"/>
  </r>
  <r>
    <s v="J212030"/>
    <d v="2026-04-26T00:00:00"/>
    <x v="7"/>
    <x v="9"/>
    <x v="1"/>
    <x v="1"/>
    <x v="1"/>
    <x v="0"/>
    <s v="Safid Co Ltd"/>
    <x v="1"/>
    <x v="1"/>
    <x v="1"/>
    <x v="0"/>
    <x v="1"/>
    <n v="500000"/>
    <x v="0"/>
    <n v="500000"/>
    <x v="10"/>
    <x v="12"/>
    <x v="0"/>
    <x v="1"/>
    <x v="3"/>
    <x v="3"/>
  </r>
  <r>
    <s v="DCBWPM163417"/>
    <d v="2026-05-20T00:00:00"/>
    <x v="3"/>
    <x v="3"/>
    <x v="0"/>
    <x v="0"/>
    <x v="0"/>
    <x v="0"/>
    <s v="The Fundamental Installation For Electric Work Co"/>
    <x v="2"/>
    <x v="3"/>
    <x v="3"/>
    <x v="0"/>
    <x v="1"/>
    <n v="4000000"/>
    <x v="0"/>
    <n v="4000000"/>
    <x v="11"/>
    <x v="4"/>
    <x v="0"/>
    <x v="4"/>
    <x v="3"/>
    <x v="3"/>
  </r>
  <r>
    <s v="DCBWPM162993"/>
    <d v="2026-04-28T00:00:00"/>
    <x v="0"/>
    <x v="3"/>
    <x v="0"/>
    <x v="0"/>
    <x v="0"/>
    <x v="0"/>
    <s v="Ajzal United for Safety CO.LTD."/>
    <x v="2"/>
    <x v="3"/>
    <x v="3"/>
    <x v="0"/>
    <x v="1"/>
    <n v="317042.21000000002"/>
    <x v="0"/>
    <n v="317042.21000000002"/>
    <x v="12"/>
    <x v="10"/>
    <x v="0"/>
    <x v="1"/>
    <x v="3"/>
    <x v="3"/>
  </r>
  <r>
    <s v="JLC7000193"/>
    <d v="2026-05-03T00:00:00"/>
    <x v="7"/>
    <x v="6"/>
    <x v="1"/>
    <x v="4"/>
    <x v="4"/>
    <x v="0"/>
    <s v="Schneider Electric Saudi Arabia Co"/>
    <x v="2"/>
    <x v="6"/>
    <x v="6"/>
    <x v="0"/>
    <x v="1"/>
    <n v="710700"/>
    <x v="0"/>
    <n v="710700"/>
    <x v="12"/>
    <x v="8"/>
    <x v="0"/>
    <x v="1"/>
    <x v="3"/>
    <x v="3"/>
  </r>
  <r>
    <s v="DCBWPM163999"/>
    <d v="2026-04-30T00:00:00"/>
    <x v="7"/>
    <x v="3"/>
    <x v="1"/>
    <x v="0"/>
    <x v="0"/>
    <x v="0"/>
    <s v="Al Maymanah For Contracting Co. Ltd."/>
    <x v="2"/>
    <x v="3"/>
    <x v="3"/>
    <x v="0"/>
    <x v="1"/>
    <n v="500000"/>
    <x v="0"/>
    <n v="500000"/>
    <x v="12"/>
    <x v="11"/>
    <x v="0"/>
    <x v="1"/>
    <x v="3"/>
    <x v="3"/>
  </r>
  <r>
    <s v="DCBWPM163967"/>
    <d v="2026-04-25T00:00:00"/>
    <x v="7"/>
    <x v="3"/>
    <x v="1"/>
    <x v="0"/>
    <x v="0"/>
    <x v="0"/>
    <s v="National Fire Fighting Manufacturing Fzco Br."/>
    <x v="2"/>
    <x v="3"/>
    <x v="3"/>
    <x v="0"/>
    <x v="1"/>
    <n v="500000"/>
    <x v="0"/>
    <n v="500000"/>
    <x v="12"/>
    <x v="11"/>
    <x v="0"/>
    <x v="1"/>
    <x v="3"/>
    <x v="3"/>
  </r>
  <r>
    <s v="JLC7000008"/>
    <d v="2026-04-26T00:00:00"/>
    <x v="7"/>
    <x v="6"/>
    <x v="1"/>
    <x v="4"/>
    <x v="4"/>
    <x v="0"/>
    <s v="ISAM KABBANI &amp; PARTNERS LTD-UNITECH"/>
    <x v="2"/>
    <x v="6"/>
    <x v="6"/>
    <x v="0"/>
    <x v="1"/>
    <n v="500000"/>
    <x v="0"/>
    <n v="500000"/>
    <x v="12"/>
    <x v="8"/>
    <x v="0"/>
    <x v="1"/>
    <x v="3"/>
    <x v="3"/>
  </r>
  <r>
    <s v="JLC7000184"/>
    <d v="2026-05-06T00:00:00"/>
    <x v="7"/>
    <x v="6"/>
    <x v="0"/>
    <x v="4"/>
    <x v="4"/>
    <x v="0"/>
    <s v="Khorayef Industries"/>
    <x v="2"/>
    <x v="6"/>
    <x v="6"/>
    <x v="0"/>
    <x v="1"/>
    <n v="1000000"/>
    <x v="0"/>
    <n v="1000000"/>
    <x v="12"/>
    <x v="8"/>
    <x v="0"/>
    <x v="1"/>
    <x v="3"/>
    <x v="3"/>
  </r>
  <r>
    <s v="DCBWPM565843"/>
    <d v="2026-04-01T00:00:00"/>
    <x v="0"/>
    <x v="3"/>
    <x v="1"/>
    <x v="0"/>
    <x v="0"/>
    <x v="0"/>
    <s v="BAHRA ADVANCED CABLE MANUFACTURE CO. LTD."/>
    <x v="2"/>
    <x v="3"/>
    <x v="3"/>
    <x v="0"/>
    <x v="1"/>
    <n v="427806.8"/>
    <x v="0"/>
    <n v="427806.8"/>
    <x v="13"/>
    <x v="3"/>
    <x v="0"/>
    <x v="1"/>
    <x v="3"/>
    <x v="3"/>
  </r>
  <r>
    <s v="TF2610500021"/>
    <d v="2026-05-11T00:00:00"/>
    <x v="0"/>
    <x v="10"/>
    <x v="0"/>
    <x v="2"/>
    <x v="2"/>
    <x v="0"/>
    <s v="Innovative Specialized Security Solution"/>
    <x v="4"/>
    <x v="2"/>
    <x v="2"/>
    <x v="0"/>
    <x v="1"/>
    <n v="7000000"/>
    <x v="0"/>
    <n v="7000000"/>
    <x v="14"/>
    <x v="10"/>
    <x v="0"/>
    <x v="5"/>
    <x v="3"/>
    <x v="3"/>
  </r>
  <r>
    <s v="TF2610500021"/>
    <d v="2026-06-11T00:00:00"/>
    <x v="2"/>
    <x v="10"/>
    <x v="1"/>
    <x v="2"/>
    <x v="2"/>
    <x v="0"/>
    <s v="Innovative Specialized Security Solution"/>
    <x v="4"/>
    <x v="2"/>
    <x v="2"/>
    <x v="0"/>
    <x v="1"/>
    <n v="4724333.9400000004"/>
    <x v="0"/>
    <n v="4724333.9400000004"/>
    <x v="14"/>
    <x v="10"/>
    <x v="0"/>
    <x v="1"/>
    <x v="3"/>
    <x v="3"/>
  </r>
  <r>
    <s v="TF2610500021"/>
    <d v="2026-06-03T00:00:00"/>
    <x v="3"/>
    <x v="10"/>
    <x v="0"/>
    <x v="2"/>
    <x v="2"/>
    <x v="0"/>
    <s v="Innovative Specialized Security Solution"/>
    <x v="4"/>
    <x v="2"/>
    <x v="2"/>
    <x v="0"/>
    <x v="1"/>
    <n v="4000000"/>
    <x v="0"/>
    <n v="4000000"/>
    <x v="15"/>
    <x v="10"/>
    <x v="0"/>
    <x v="6"/>
    <x v="4"/>
    <x v="4"/>
  </r>
  <r>
    <s v="J212140"/>
    <d v="2026-05-10T00:00:00"/>
    <x v="7"/>
    <x v="9"/>
    <x v="1"/>
    <x v="1"/>
    <x v="1"/>
    <x v="0"/>
    <s v="Electric House Trading Company L.L.C."/>
    <x v="1"/>
    <x v="1"/>
    <x v="1"/>
    <x v="0"/>
    <x v="1"/>
    <n v="2193076"/>
    <x v="0"/>
    <n v="2193076"/>
    <x v="15"/>
    <x v="13"/>
    <x v="0"/>
    <x v="1"/>
    <x v="4"/>
    <x v="4"/>
  </r>
  <r>
    <s v="JLC7000004"/>
    <d v="2026-05-07T00:00:00"/>
    <x v="7"/>
    <x v="6"/>
    <x v="1"/>
    <x v="4"/>
    <x v="4"/>
    <x v="0"/>
    <s v="SKM Air Conditioning Company"/>
    <x v="2"/>
    <x v="6"/>
    <x v="6"/>
    <x v="0"/>
    <x v="1"/>
    <n v="500000"/>
    <x v="0"/>
    <n v="500000"/>
    <x v="15"/>
    <x v="8"/>
    <x v="0"/>
    <x v="1"/>
    <x v="4"/>
    <x v="4"/>
  </r>
  <r>
    <s v="DCBWPM163957"/>
    <d v="2026-04-27T00:00:00"/>
    <x v="7"/>
    <x v="3"/>
    <x v="1"/>
    <x v="0"/>
    <x v="0"/>
    <x v="0"/>
    <s v="Mohamad Saeed Afifi Trading Est."/>
    <x v="2"/>
    <x v="3"/>
    <x v="3"/>
    <x v="0"/>
    <x v="1"/>
    <n v="312768.11"/>
    <x v="0"/>
    <n v="312768.11"/>
    <x v="15"/>
    <x v="11"/>
    <x v="0"/>
    <x v="1"/>
    <x v="4"/>
    <x v="4"/>
  </r>
  <r>
    <s v="DCBWPM164003"/>
    <d v="2026-04-28T00:00:00"/>
    <x v="7"/>
    <x v="3"/>
    <x v="0"/>
    <x v="0"/>
    <x v="0"/>
    <x v="0"/>
    <s v="Saudi Electric Supply Company"/>
    <x v="2"/>
    <x v="3"/>
    <x v="3"/>
    <x v="0"/>
    <x v="1"/>
    <n v="1000000"/>
    <x v="0"/>
    <n v="1000000"/>
    <x v="15"/>
    <x v="11"/>
    <x v="0"/>
    <x v="1"/>
    <x v="4"/>
    <x v="4"/>
  </r>
  <r>
    <s v="DCBWPM163995"/>
    <d v="2026-05-06T00:00:00"/>
    <x v="7"/>
    <x v="3"/>
    <x v="0"/>
    <x v="0"/>
    <x v="0"/>
    <x v="0"/>
    <s v="Aknan Alkhair Tranding Est"/>
    <x v="2"/>
    <x v="3"/>
    <x v="3"/>
    <x v="0"/>
    <x v="1"/>
    <n v="125000"/>
    <x v="0"/>
    <n v="125000"/>
    <x v="15"/>
    <x v="11"/>
    <x v="0"/>
    <x v="1"/>
    <x v="4"/>
    <x v="4"/>
  </r>
  <r>
    <s v="TF2609900016"/>
    <d v="2026-06-10T00:00:00"/>
    <x v="7"/>
    <x v="11"/>
    <x v="1"/>
    <x v="2"/>
    <x v="2"/>
    <x v="0"/>
    <s v="Depa Saudi Arabia for Contracting and Interior Decorating Co. Ltd."/>
    <x v="0"/>
    <x v="9"/>
    <x v="9"/>
    <x v="0"/>
    <x v="1"/>
    <n v="5643717.4500000002"/>
    <x v="0"/>
    <n v="5643717.4500000002"/>
    <x v="16"/>
    <x v="4"/>
    <x v="0"/>
    <x v="1"/>
    <x v="4"/>
    <x v="4"/>
  </r>
  <r>
    <s v="DCBWPM567554"/>
    <d v="2026-05-03T00:00:00"/>
    <x v="0"/>
    <x v="3"/>
    <x v="0"/>
    <x v="0"/>
    <x v="0"/>
    <x v="0"/>
    <s v="TAWREED INTEGRATED INDUSTRIES"/>
    <x v="2"/>
    <x v="3"/>
    <x v="3"/>
    <x v="0"/>
    <x v="1"/>
    <n v="99498"/>
    <x v="0"/>
    <n v="99498"/>
    <x v="17"/>
    <x v="3"/>
    <x v="0"/>
    <x v="7"/>
    <x v="5"/>
    <x v="5"/>
  </r>
  <r>
    <s v="TF2517400098"/>
    <d v="2026-05-06T00:00:00"/>
    <x v="0"/>
    <x v="3"/>
    <x v="0"/>
    <x v="2"/>
    <x v="2"/>
    <x v="0"/>
    <s v="SKM AIR CONDITIONING CO"/>
    <x v="2"/>
    <x v="10"/>
    <x v="10"/>
    <x v="0"/>
    <x v="1"/>
    <n v="702587.67"/>
    <x v="0"/>
    <n v="702587.67"/>
    <x v="18"/>
    <x v="3"/>
    <x v="0"/>
    <x v="5"/>
    <x v="5"/>
    <x v="5"/>
  </r>
  <r>
    <s v="DCBWPM163953"/>
    <d v="2026-05-14T00:00:00"/>
    <x v="7"/>
    <x v="3"/>
    <x v="1"/>
    <x v="0"/>
    <x v="0"/>
    <x v="0"/>
    <s v="Atiaf International Trading Company"/>
    <x v="2"/>
    <x v="3"/>
    <x v="3"/>
    <x v="0"/>
    <x v="1"/>
    <n v="93855.09"/>
    <x v="0"/>
    <n v="93855.09"/>
    <x v="19"/>
    <x v="11"/>
    <x v="0"/>
    <x v="1"/>
    <x v="5"/>
    <x v="5"/>
  </r>
  <r>
    <s v="DCBWPM163413"/>
    <d v="2026-04-07T00:00:00"/>
    <x v="7"/>
    <x v="12"/>
    <x v="0"/>
    <x v="0"/>
    <x v="6"/>
    <x v="0"/>
    <s v="Innovative Contractors for Advanced Dimension (ICAD)"/>
    <x v="0"/>
    <x v="4"/>
    <x v="4"/>
    <x v="0"/>
    <x v="1"/>
    <n v="10000000"/>
    <x v="0"/>
    <n v="10000000"/>
    <x v="20"/>
    <x v="14"/>
    <x v="0"/>
    <x v="1"/>
    <x v="6"/>
    <x v="6"/>
  </r>
  <r>
    <s v="DCBWPM160355"/>
    <d v="2026-05-13T00:00:00"/>
    <x v="7"/>
    <x v="3"/>
    <x v="1"/>
    <x v="0"/>
    <x v="0"/>
    <x v="0"/>
    <s v="Mimar for Construction Tools &amp; Trading Ltd."/>
    <x v="2"/>
    <x v="3"/>
    <x v="3"/>
    <x v="0"/>
    <x v="1"/>
    <n v="900000"/>
    <x v="0"/>
    <n v="900000"/>
    <x v="20"/>
    <x v="10"/>
    <x v="0"/>
    <x v="1"/>
    <x v="6"/>
    <x v="6"/>
  </r>
  <r>
    <s v="JLC7000007"/>
    <d v="2026-05-13T00:00:00"/>
    <x v="7"/>
    <x v="6"/>
    <x v="1"/>
    <x v="4"/>
    <x v="4"/>
    <x v="0"/>
    <s v="ALFANAR ELECTRICAL SYSTEMS"/>
    <x v="2"/>
    <x v="6"/>
    <x v="6"/>
    <x v="0"/>
    <x v="1"/>
    <n v="567743.27"/>
    <x v="0"/>
    <n v="567743.27"/>
    <x v="20"/>
    <x v="8"/>
    <x v="0"/>
    <x v="1"/>
    <x v="6"/>
    <x v="6"/>
  </r>
  <r>
    <s v="JLC7000005"/>
    <d v="2026-05-13T00:00:00"/>
    <x v="7"/>
    <x v="6"/>
    <x v="1"/>
    <x v="4"/>
    <x v="4"/>
    <x v="0"/>
    <s v="Teqniye Al-Majra For Contracting"/>
    <x v="2"/>
    <x v="6"/>
    <x v="6"/>
    <x v="0"/>
    <x v="1"/>
    <n v="489669.97"/>
    <x v="0"/>
    <n v="489669.97"/>
    <x v="20"/>
    <x v="8"/>
    <x v="0"/>
    <x v="1"/>
    <x v="6"/>
    <x v="6"/>
  </r>
  <r>
    <s v="DCBWPM160343"/>
    <d v="2026-05-14T00:00:00"/>
    <x v="7"/>
    <x v="3"/>
    <x v="1"/>
    <x v="0"/>
    <x v="0"/>
    <x v="0"/>
    <s v="BAHRA ADVANCED CABLE MANUFACTURE CO. LTD"/>
    <x v="2"/>
    <x v="3"/>
    <x v="3"/>
    <x v="0"/>
    <x v="1"/>
    <n v="1377731.72"/>
    <x v="0"/>
    <n v="1377731.72"/>
    <x v="20"/>
    <x v="10"/>
    <x v="0"/>
    <x v="1"/>
    <x v="6"/>
    <x v="6"/>
  </r>
  <r>
    <s v="DCBWPM566634"/>
    <d v="2026-04-23T00:00:00"/>
    <x v="0"/>
    <x v="3"/>
    <x v="0"/>
    <x v="0"/>
    <x v="0"/>
    <x v="0"/>
    <s v="BROOQ ALAMAAN TRAD COMPANY"/>
    <x v="2"/>
    <x v="3"/>
    <x v="3"/>
    <x v="0"/>
    <x v="1"/>
    <n v="52759.519999999997"/>
    <x v="0"/>
    <n v="52759.519999999997"/>
    <x v="21"/>
    <x v="3"/>
    <x v="0"/>
    <x v="8"/>
    <x v="6"/>
    <x v="6"/>
  </r>
  <r>
    <s v="TF2609800008"/>
    <d v="2026-05-06T00:00:00"/>
    <x v="7"/>
    <x v="12"/>
    <x v="1"/>
    <x v="2"/>
    <x v="2"/>
    <x v="0"/>
    <s v="Innovative Contractors for Advanced Dimension (ICAD)"/>
    <x v="0"/>
    <x v="4"/>
    <x v="4"/>
    <x v="0"/>
    <x v="1"/>
    <n v="21481033"/>
    <x v="0"/>
    <n v="21481033"/>
    <x v="22"/>
    <x v="3"/>
    <x v="0"/>
    <x v="1"/>
    <x v="6"/>
    <x v="6"/>
  </r>
  <r>
    <s v="TF2609900016"/>
    <d v="2026-06-15T00:00:00"/>
    <x v="0"/>
    <x v="11"/>
    <x v="1"/>
    <x v="2"/>
    <x v="2"/>
    <x v="0"/>
    <s v="Depa Saudi Arabia for Contracting and Interior Decorating Co. Ltd."/>
    <x v="0"/>
    <x v="9"/>
    <x v="9"/>
    <x v="0"/>
    <x v="1"/>
    <n v="2593391.5299999998"/>
    <x v="0"/>
    <n v="2593391.5299999998"/>
    <x v="23"/>
    <x v="4"/>
    <x v="0"/>
    <x v="1"/>
    <x v="7"/>
    <x v="7"/>
  </r>
  <r>
    <s v="DCBWPM163945"/>
    <d v="2026-06-21T00:00:00"/>
    <x v="7"/>
    <x v="3"/>
    <x v="0"/>
    <x v="0"/>
    <x v="0"/>
    <x v="0"/>
    <s v="Masdar Technical Supplies Co."/>
    <x v="2"/>
    <x v="3"/>
    <x v="3"/>
    <x v="0"/>
    <x v="1"/>
    <n v="200000"/>
    <x v="0"/>
    <n v="200000"/>
    <x v="24"/>
    <x v="11"/>
    <x v="0"/>
    <x v="1"/>
    <x v="7"/>
    <x v="7"/>
  </r>
  <r>
    <s v="J212311"/>
    <d v="2026-06-22T00:00:00"/>
    <x v="7"/>
    <x v="9"/>
    <x v="1"/>
    <x v="1"/>
    <x v="1"/>
    <x v="0"/>
    <s v="Manar Alomran Company For Trading And Industrial Ltd"/>
    <x v="0"/>
    <x v="1"/>
    <x v="1"/>
    <x v="0"/>
    <x v="1"/>
    <n v="386858.95"/>
    <x v="0"/>
    <n v="386858.95"/>
    <x v="25"/>
    <x v="4"/>
    <x v="0"/>
    <x v="1"/>
    <x v="8"/>
    <x v="8"/>
  </r>
  <r>
    <s v="DCBWPM570384"/>
    <d v="2026-05-18T00:00:00"/>
    <x v="0"/>
    <x v="3"/>
    <x v="1"/>
    <x v="0"/>
    <x v="0"/>
    <x v="0"/>
    <s v="Daikin Air Conditioning Saudi Arabia "/>
    <x v="2"/>
    <x v="3"/>
    <x v="3"/>
    <x v="0"/>
    <x v="1"/>
    <n v="278905.67"/>
    <x v="0"/>
    <n v="278905.67"/>
    <x v="26"/>
    <x v="3"/>
    <x v="0"/>
    <x v="1"/>
    <x v="9"/>
    <x v="9"/>
  </r>
  <r>
    <s v="DCBWPM163950"/>
    <d v="2026-06-16T00:00:00"/>
    <x v="7"/>
    <x v="3"/>
    <x v="1"/>
    <x v="0"/>
    <x v="0"/>
    <x v="0"/>
    <s v="Khereiji Showrooms Co."/>
    <x v="2"/>
    <x v="3"/>
    <x v="3"/>
    <x v="0"/>
    <x v="1"/>
    <n v="299758.8"/>
    <x v="0"/>
    <n v="299758.8"/>
    <x v="27"/>
    <x v="11"/>
    <x v="0"/>
    <x v="1"/>
    <x v="10"/>
    <x v="10"/>
  </r>
  <r>
    <s v="DCBWPM160364"/>
    <d v="2026-06-21T00:00:00"/>
    <x v="7"/>
    <x v="3"/>
    <x v="0"/>
    <x v="0"/>
    <x v="0"/>
    <x v="0"/>
    <s v="Masdar Technical Supplies Co."/>
    <x v="2"/>
    <x v="3"/>
    <x v="3"/>
    <x v="0"/>
    <x v="2"/>
    <n v="500000"/>
    <x v="0"/>
    <n v="500000"/>
    <x v="27"/>
    <x v="10"/>
    <x v="0"/>
    <x v="9"/>
    <x v="10"/>
    <x v="10"/>
  </r>
  <r>
    <s v="DCBWPM160363"/>
    <d v="2026-06-15T00:00:00"/>
    <x v="7"/>
    <x v="3"/>
    <x v="1"/>
    <x v="0"/>
    <x v="0"/>
    <x v="0"/>
    <s v="Arabian International Company For Contracting"/>
    <x v="2"/>
    <x v="3"/>
    <x v="3"/>
    <x v="0"/>
    <x v="1"/>
    <n v="900000"/>
    <x v="0"/>
    <n v="900000"/>
    <x v="27"/>
    <x v="10"/>
    <x v="0"/>
    <x v="1"/>
    <x v="10"/>
    <x v="10"/>
  </r>
  <r>
    <s v="DCBWPM164001"/>
    <d v="2026-06-10T00:00:00"/>
    <x v="7"/>
    <x v="3"/>
    <x v="1"/>
    <x v="0"/>
    <x v="0"/>
    <x v="0"/>
    <s v="Elsewedy Cables Co. Limited"/>
    <x v="2"/>
    <x v="3"/>
    <x v="3"/>
    <x v="0"/>
    <x v="1"/>
    <n v="995984.82"/>
    <x v="0"/>
    <n v="995984.82"/>
    <x v="27"/>
    <x v="11"/>
    <x v="0"/>
    <x v="1"/>
    <x v="10"/>
    <x v="10"/>
  </r>
  <r>
    <s v="DCBWPM570369"/>
    <d v="2026-05-17T00:00:00"/>
    <x v="7"/>
    <x v="3"/>
    <x v="1"/>
    <x v="0"/>
    <x v="0"/>
    <x v="0"/>
    <s v="Power Center Company for Industries LLC"/>
    <x v="2"/>
    <x v="3"/>
    <x v="3"/>
    <x v="0"/>
    <x v="1"/>
    <n v="4000000"/>
    <x v="0"/>
    <n v="4000000"/>
    <x v="28"/>
    <x v="3"/>
    <x v="0"/>
    <x v="1"/>
    <x v="10"/>
    <x v="10"/>
  </r>
  <r>
    <s v="DCBWPM564580"/>
    <d v="2026-06-16T00:00:00"/>
    <x v="3"/>
    <x v="0"/>
    <x v="0"/>
    <x v="0"/>
    <x v="0"/>
    <x v="0"/>
    <s v="Sika Saudi Arabia Co. Ltd."/>
    <x v="0"/>
    <x v="0"/>
    <x v="0"/>
    <x v="0"/>
    <x v="1"/>
    <n v="197064"/>
    <x v="0"/>
    <n v="197064"/>
    <x v="29"/>
    <x v="0"/>
    <x v="0"/>
    <x v="1"/>
    <x v="11"/>
    <x v="1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
  <r>
    <x v="0"/>
    <x v="0"/>
    <n v="34"/>
  </r>
  <r>
    <x v="0"/>
    <x v="1"/>
    <n v="15"/>
  </r>
  <r>
    <x v="0"/>
    <x v="2"/>
    <n v="25"/>
  </r>
  <r>
    <x v="0"/>
    <x v="3"/>
    <n v="34"/>
  </r>
  <r>
    <x v="1"/>
    <x v="4"/>
    <n v="48"/>
  </r>
  <r>
    <x v="2"/>
    <x v="5"/>
    <n v="18"/>
  </r>
  <r>
    <x v="2"/>
    <x v="6"/>
    <n v="27"/>
  </r>
  <r>
    <x v="2"/>
    <x v="1"/>
    <n v="12"/>
  </r>
  <r>
    <x v="2"/>
    <x v="7"/>
    <n v="10"/>
  </r>
  <r>
    <x v="2"/>
    <x v="3"/>
    <n v="26"/>
  </r>
  <r>
    <x v="2"/>
    <x v="8"/>
    <n v="26"/>
  </r>
  <r>
    <x v="2"/>
    <x v="9"/>
    <n v="35"/>
  </r>
  <r>
    <x v="0"/>
    <x v="10"/>
    <n v="13"/>
  </r>
  <r>
    <x v="0"/>
    <x v="11"/>
    <n v="23"/>
  </r>
  <r>
    <x v="0"/>
    <x v="4"/>
    <n v="25"/>
  </r>
  <r>
    <x v="2"/>
    <x v="10"/>
    <n v="8"/>
  </r>
  <r>
    <x v="0"/>
    <x v="8"/>
    <n v="28"/>
  </r>
  <r>
    <x v="0"/>
    <x v="9"/>
    <n v="56"/>
  </r>
  <r>
    <x v="1"/>
    <x v="0"/>
    <n v="72"/>
  </r>
  <r>
    <x v="1"/>
    <x v="10"/>
    <n v="45"/>
  </r>
  <r>
    <x v="1"/>
    <x v="5"/>
    <n v="94"/>
  </r>
  <r>
    <x v="1"/>
    <x v="11"/>
    <n v="70"/>
  </r>
  <r>
    <x v="2"/>
    <x v="4"/>
    <n v="9"/>
  </r>
  <r>
    <x v="0"/>
    <x v="5"/>
    <n v="30"/>
  </r>
  <r>
    <x v="0"/>
    <x v="7"/>
    <n v="18"/>
  </r>
  <r>
    <x v="2"/>
    <x v="11"/>
    <n v="13"/>
  </r>
  <r>
    <x v="0"/>
    <x v="6"/>
    <n v="38"/>
  </r>
  <r>
    <x v="1"/>
    <x v="2"/>
    <n v="88"/>
  </r>
  <r>
    <x v="2"/>
    <x v="2"/>
    <n v="2"/>
  </r>
  <r>
    <x v="1"/>
    <x v="1"/>
    <n v="54"/>
  </r>
  <r>
    <x v="2"/>
    <x v="0"/>
    <n v="4"/>
  </r>
  <r>
    <x v="1"/>
    <x v="7"/>
    <n v="58"/>
  </r>
  <r>
    <x v="1"/>
    <x v="3"/>
    <n v="101"/>
  </r>
  <r>
    <x v="1"/>
    <x v="6"/>
    <n v="93"/>
  </r>
  <r>
    <x v="1"/>
    <x v="8"/>
    <n v="61"/>
  </r>
  <r>
    <x v="1"/>
    <x v="9"/>
    <n v="46"/>
  </r>
  <r>
    <x v="3"/>
    <x v="0"/>
    <n v="42"/>
  </r>
  <r>
    <x v="3"/>
    <x v="4"/>
    <n v="41"/>
  </r>
  <r>
    <x v="3"/>
    <x v="11"/>
    <n v="46"/>
  </r>
  <r>
    <x v="3"/>
    <x v="10"/>
    <n v="47"/>
  </r>
  <r>
    <x v="3"/>
    <x v="5"/>
    <n v="34"/>
  </r>
  <r>
    <x v="3"/>
    <x v="1"/>
    <n v="25"/>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
  <r>
    <x v="0"/>
    <x v="0"/>
    <x v="0"/>
    <x v="0"/>
    <x v="0"/>
    <x v="0"/>
    <x v="0"/>
    <x v="0"/>
    <x v="0"/>
    <x v="0"/>
    <x v="0"/>
  </r>
  <r>
    <x v="1"/>
    <x v="1"/>
    <x v="1"/>
    <x v="1"/>
    <x v="0"/>
    <x v="1"/>
    <x v="0"/>
    <x v="1"/>
    <x v="1"/>
    <x v="1"/>
    <x v="0"/>
  </r>
  <r>
    <x v="1"/>
    <x v="2"/>
    <x v="2"/>
    <x v="2"/>
    <x v="0"/>
    <x v="2"/>
    <x v="0"/>
    <x v="2"/>
    <x v="2"/>
    <x v="2"/>
    <x v="0"/>
  </r>
  <r>
    <x v="2"/>
    <x v="3"/>
    <x v="3"/>
    <x v="3"/>
    <x v="0"/>
    <x v="3"/>
    <x v="0"/>
    <x v="3"/>
    <x v="3"/>
    <x v="3"/>
    <x v="0"/>
  </r>
  <r>
    <x v="1"/>
    <x v="4"/>
    <x v="1"/>
    <x v="4"/>
    <x v="1"/>
    <x v="1"/>
    <x v="0"/>
    <x v="4"/>
    <x v="4"/>
    <x v="4"/>
    <x v="0"/>
  </r>
  <r>
    <x v="3"/>
    <x v="3"/>
    <x v="0"/>
    <x v="5"/>
    <x v="2"/>
    <x v="4"/>
    <x v="0"/>
    <x v="5"/>
    <x v="5"/>
    <x v="5"/>
    <x v="0"/>
  </r>
  <r>
    <x v="1"/>
    <x v="4"/>
    <x v="1"/>
    <x v="6"/>
    <x v="2"/>
    <x v="1"/>
    <x v="0"/>
    <x v="6"/>
    <x v="6"/>
    <x v="6"/>
    <x v="0"/>
  </r>
  <r>
    <x v="1"/>
    <x v="4"/>
    <x v="1"/>
    <x v="7"/>
    <x v="2"/>
    <x v="1"/>
    <x v="0"/>
    <x v="7"/>
    <x v="7"/>
    <x v="6"/>
    <x v="0"/>
  </r>
  <r>
    <x v="1"/>
    <x v="4"/>
    <x v="1"/>
    <x v="8"/>
    <x v="2"/>
    <x v="1"/>
    <x v="0"/>
    <x v="8"/>
    <x v="8"/>
    <x v="6"/>
    <x v="0"/>
  </r>
  <r>
    <x v="1"/>
    <x v="4"/>
    <x v="1"/>
    <x v="9"/>
    <x v="2"/>
    <x v="1"/>
    <x v="0"/>
    <x v="9"/>
    <x v="9"/>
    <x v="6"/>
    <x v="0"/>
  </r>
  <r>
    <x v="1"/>
    <x v="4"/>
    <x v="1"/>
    <x v="10"/>
    <x v="2"/>
    <x v="1"/>
    <x v="0"/>
    <x v="6"/>
    <x v="6"/>
    <x v="6"/>
    <x v="0"/>
  </r>
  <r>
    <x v="1"/>
    <x v="4"/>
    <x v="1"/>
    <x v="11"/>
    <x v="2"/>
    <x v="1"/>
    <x v="0"/>
    <x v="6"/>
    <x v="6"/>
    <x v="6"/>
    <x v="0"/>
  </r>
  <r>
    <x v="1"/>
    <x v="4"/>
    <x v="1"/>
    <x v="12"/>
    <x v="2"/>
    <x v="1"/>
    <x v="0"/>
    <x v="10"/>
    <x v="10"/>
    <x v="6"/>
    <x v="0"/>
  </r>
  <r>
    <x v="1"/>
    <x v="4"/>
    <x v="1"/>
    <x v="13"/>
    <x v="2"/>
    <x v="1"/>
    <x v="0"/>
    <x v="10"/>
    <x v="10"/>
    <x v="6"/>
    <x v="0"/>
  </r>
  <r>
    <x v="1"/>
    <x v="4"/>
    <x v="1"/>
    <x v="14"/>
    <x v="2"/>
    <x v="1"/>
    <x v="0"/>
    <x v="11"/>
    <x v="11"/>
    <x v="6"/>
    <x v="0"/>
  </r>
  <r>
    <x v="1"/>
    <x v="4"/>
    <x v="1"/>
    <x v="15"/>
    <x v="2"/>
    <x v="1"/>
    <x v="0"/>
    <x v="8"/>
    <x v="8"/>
    <x v="6"/>
    <x v="0"/>
  </r>
  <r>
    <x v="1"/>
    <x v="4"/>
    <x v="4"/>
    <x v="16"/>
    <x v="0"/>
    <x v="5"/>
    <x v="0"/>
    <x v="12"/>
    <x v="12"/>
    <x v="7"/>
    <x v="0"/>
  </r>
  <r>
    <x v="1"/>
    <x v="4"/>
    <x v="5"/>
    <x v="17"/>
    <x v="0"/>
    <x v="6"/>
    <x v="0"/>
    <x v="13"/>
    <x v="13"/>
    <x v="8"/>
    <x v="0"/>
  </r>
  <r>
    <x v="1"/>
    <x v="4"/>
    <x v="4"/>
    <x v="18"/>
    <x v="0"/>
    <x v="7"/>
    <x v="0"/>
    <x v="14"/>
    <x v="14"/>
    <x v="6"/>
    <x v="0"/>
  </r>
  <r>
    <x v="1"/>
    <x v="2"/>
    <x v="2"/>
    <x v="19"/>
    <x v="0"/>
    <x v="2"/>
    <x v="0"/>
    <x v="15"/>
    <x v="15"/>
    <x v="9"/>
    <x v="0"/>
  </r>
  <r>
    <x v="1"/>
    <x v="4"/>
    <x v="4"/>
    <x v="20"/>
    <x v="0"/>
    <x v="7"/>
    <x v="0"/>
    <x v="1"/>
    <x v="1"/>
    <x v="10"/>
    <x v="0"/>
  </r>
  <r>
    <x v="1"/>
    <x v="4"/>
    <x v="1"/>
    <x v="21"/>
    <x v="0"/>
    <x v="1"/>
    <x v="0"/>
    <x v="16"/>
    <x v="16"/>
    <x v="11"/>
    <x v="0"/>
  </r>
  <r>
    <x v="1"/>
    <x v="1"/>
    <x v="0"/>
    <x v="22"/>
    <x v="2"/>
    <x v="0"/>
    <x v="0"/>
    <x v="17"/>
    <x v="17"/>
    <x v="12"/>
    <x v="0"/>
  </r>
  <r>
    <x v="1"/>
    <x v="1"/>
    <x v="5"/>
    <x v="23"/>
    <x v="0"/>
    <x v="8"/>
    <x v="0"/>
    <x v="18"/>
    <x v="18"/>
    <x v="12"/>
    <x v="0"/>
  </r>
  <r>
    <x v="1"/>
    <x v="4"/>
    <x v="3"/>
    <x v="24"/>
    <x v="0"/>
    <x v="3"/>
    <x v="0"/>
    <x v="19"/>
    <x v="19"/>
    <x v="13"/>
    <x v="0"/>
  </r>
  <r>
    <x v="1"/>
    <x v="4"/>
    <x v="3"/>
    <x v="25"/>
    <x v="0"/>
    <x v="3"/>
    <x v="0"/>
    <x v="20"/>
    <x v="20"/>
    <x v="13"/>
    <x v="0"/>
  </r>
  <r>
    <x v="1"/>
    <x v="4"/>
    <x v="3"/>
    <x v="26"/>
    <x v="0"/>
    <x v="3"/>
    <x v="0"/>
    <x v="20"/>
    <x v="20"/>
    <x v="13"/>
    <x v="0"/>
  </r>
  <r>
    <x v="1"/>
    <x v="4"/>
    <x v="3"/>
    <x v="27"/>
    <x v="0"/>
    <x v="3"/>
    <x v="0"/>
    <x v="21"/>
    <x v="21"/>
    <x v="13"/>
    <x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1">
  <r>
    <s v="DCBWPM162993"/>
    <s v="Ajzal United for Safety CO.LTD."/>
    <x v="0"/>
    <x v="0"/>
    <x v="0"/>
    <x v="0"/>
    <x v="0"/>
    <n v="600000"/>
    <x v="0"/>
    <n v="0"/>
    <n v="600000"/>
    <x v="0"/>
    <n v="88310.67"/>
    <x v="0"/>
    <x v="0"/>
    <x v="0"/>
    <x v="0"/>
    <x v="0"/>
    <x v="0"/>
    <d v="2026-10-01T00:00:00"/>
    <x v="0"/>
    <x v="0"/>
    <x v="0"/>
  </r>
  <r>
    <s v="TF2531600062"/>
    <s v="AI-Hadbania Trading Co."/>
    <x v="1"/>
    <x v="0"/>
    <x v="1"/>
    <x v="0"/>
    <x v="1"/>
    <n v="3487033.23"/>
    <x v="0"/>
    <n v="1989866.83"/>
    <n v="1497166.4"/>
    <x v="1"/>
    <n v="1497166.4"/>
    <x v="0"/>
    <x v="1"/>
    <x v="1"/>
    <x v="1"/>
    <x v="0"/>
    <x v="0"/>
    <d v="2026-07-31T00:00:00"/>
    <x v="1"/>
    <x v="1"/>
    <x v="1"/>
  </r>
  <r>
    <s v="DCBWPM570384"/>
    <s v="Daikin Air Conditioning Saudi Arabia "/>
    <x v="0"/>
    <x v="0"/>
    <x v="0"/>
    <x v="0"/>
    <x v="0"/>
    <n v="628258.81000000006"/>
    <x v="0"/>
    <n v="0"/>
    <n v="628258.81000000006"/>
    <x v="2"/>
    <n v="140540.12"/>
    <x v="0"/>
    <x v="2"/>
    <x v="1"/>
    <x v="0"/>
    <x v="0"/>
    <x v="0"/>
    <d v="2026-07-31T00:00:00"/>
    <x v="2"/>
    <x v="2"/>
    <x v="2"/>
  </r>
  <r>
    <s v="DCBWPM163961"/>
    <s v="Ali Manea Alyami Trading Est."/>
    <x v="0"/>
    <x v="0"/>
    <x v="0"/>
    <x v="0"/>
    <x v="0"/>
    <n v="450000"/>
    <x v="0"/>
    <n v="0"/>
    <n v="450000"/>
    <x v="1"/>
    <n v="450000"/>
    <x v="1"/>
    <x v="1"/>
    <x v="1"/>
    <x v="0"/>
    <x v="0"/>
    <x v="0"/>
    <d v="2026-07-31T00:00:00"/>
    <x v="1"/>
    <x v="1"/>
    <x v="1"/>
  </r>
  <r>
    <s v="DCBWPM565843"/>
    <s v="BAHRA ADVANCED CABLE MANUFACTURE CO. LTD."/>
    <x v="0"/>
    <x v="0"/>
    <x v="0"/>
    <x v="0"/>
    <x v="0"/>
    <n v="1500000"/>
    <x v="0"/>
    <n v="1071489.43"/>
    <n v="428510.57"/>
    <x v="3"/>
    <n v="703.77"/>
    <x v="0"/>
    <x v="3"/>
    <x v="1"/>
    <x v="0"/>
    <x v="0"/>
    <x v="0"/>
    <d v="2026-07-31T00:00:00"/>
    <x v="1"/>
    <x v="1"/>
    <x v="1"/>
  </r>
  <r>
    <s v="DCBWPM163990"/>
    <s v="Ajzal United for Safety CO.LTD."/>
    <x v="0"/>
    <x v="0"/>
    <x v="0"/>
    <x v="0"/>
    <x v="0"/>
    <n v="175000"/>
    <x v="0"/>
    <n v="0"/>
    <n v="175000"/>
    <x v="1"/>
    <n v="175000"/>
    <x v="0"/>
    <x v="1"/>
    <x v="1"/>
    <x v="0"/>
    <x v="0"/>
    <x v="0"/>
    <d v="2026-07-31T00:00:00"/>
    <x v="1"/>
    <x v="1"/>
    <x v="1"/>
  </r>
  <r>
    <s v="DCBWPM567556"/>
    <s v="Building System Intelligent Est."/>
    <x v="0"/>
    <x v="0"/>
    <x v="0"/>
    <x v="0"/>
    <x v="0"/>
    <n v="558949"/>
    <x v="0"/>
    <n v="300966.99"/>
    <n v="257982.01"/>
    <x v="4"/>
    <n v="151776.14000000001"/>
    <x v="2"/>
    <x v="4"/>
    <x v="1"/>
    <x v="0"/>
    <x v="0"/>
    <x v="0"/>
    <d v="2026-07-31T00:00:00"/>
    <x v="1"/>
    <x v="1"/>
    <x v="1"/>
  </r>
  <r>
    <s v="TF2523000034"/>
    <s v="Al Arabia Construction &amp; Building Co."/>
    <x v="1"/>
    <x v="1"/>
    <x v="2"/>
    <x v="0"/>
    <x v="2"/>
    <n v="3009600"/>
    <x v="0"/>
    <n v="1850554.97"/>
    <n v="1159045.03"/>
    <x v="1"/>
    <n v="1159045.03"/>
    <x v="3"/>
    <x v="1"/>
    <x v="2"/>
    <x v="1"/>
    <x v="0"/>
    <x v="0"/>
    <d v="2026-09-18T00:00:00"/>
    <x v="3"/>
    <x v="3"/>
    <x v="3"/>
  </r>
  <r>
    <s v="J212228"/>
    <s v="Al Dhow Gulf Company for Trading and Contracting Ltd"/>
    <x v="2"/>
    <x v="2"/>
    <x v="3"/>
    <x v="0"/>
    <x v="3"/>
    <n v="6000000"/>
    <x v="0"/>
    <n v="0"/>
    <n v="6000000"/>
    <x v="1"/>
    <n v="6000000"/>
    <x v="0"/>
    <x v="1"/>
    <x v="3"/>
    <x v="2"/>
    <x v="0"/>
    <x v="0"/>
    <d v="2026-11-30T00:00:00"/>
    <x v="4"/>
    <x v="4"/>
    <x v="4"/>
  </r>
  <r>
    <s v="TF2610500019"/>
    <s v="Anixter Saudi Arabia Ltd"/>
    <x v="1"/>
    <x v="3"/>
    <x v="4"/>
    <x v="0"/>
    <x v="4"/>
    <n v="5693645.4199999999"/>
    <x v="0"/>
    <n v="0"/>
    <n v="5693645.4199999999"/>
    <x v="1"/>
    <n v="5693645.4199999999"/>
    <x v="4"/>
    <x v="1"/>
    <x v="4"/>
    <x v="1"/>
    <x v="0"/>
    <x v="0"/>
    <d v="2026-07-21T00:00:00"/>
    <x v="5"/>
    <x v="5"/>
    <x v="5"/>
  </r>
  <r>
    <s v="ILC-0840-25-8159"/>
    <s v="AL FALWA CO. LTD. FOR READYMIX CONCRETE"/>
    <x v="3"/>
    <x v="1"/>
    <x v="5"/>
    <x v="0"/>
    <x v="5"/>
    <n v="10000000"/>
    <x v="0"/>
    <n v="2924152.4000000004"/>
    <n v="7075847.5999999996"/>
    <x v="1"/>
    <n v="7075847.5999999996"/>
    <x v="0"/>
    <x v="1"/>
    <x v="5"/>
    <x v="3"/>
    <x v="0"/>
    <x v="0"/>
    <d v="2027-01-31T00:00:00"/>
    <x v="6"/>
    <x v="6"/>
    <x v="6"/>
  </r>
  <r>
    <s v="DCBWPM162992"/>
    <s v="Al NAKHEEL FOR TRADING COMPANY"/>
    <x v="0"/>
    <x v="0"/>
    <x v="0"/>
    <x v="0"/>
    <x v="0"/>
    <n v="1870380.07"/>
    <x v="0"/>
    <n v="0"/>
    <n v="1870380.07"/>
    <x v="5"/>
    <n v="561114.06999999995"/>
    <x v="0"/>
    <x v="5"/>
    <x v="0"/>
    <x v="0"/>
    <x v="0"/>
    <x v="0"/>
    <d v="2026-10-01T00:00:00"/>
    <x v="0"/>
    <x v="0"/>
    <x v="0"/>
  </r>
  <r>
    <s v="J211836"/>
    <s v="Al Talal Modern Est"/>
    <x v="2"/>
    <x v="2"/>
    <x v="3"/>
    <x v="0"/>
    <x v="3"/>
    <n v="400000"/>
    <x v="0"/>
    <n v="0"/>
    <n v="400000"/>
    <x v="1"/>
    <n v="400000"/>
    <x v="0"/>
    <x v="1"/>
    <x v="6"/>
    <x v="2"/>
    <x v="0"/>
    <x v="0"/>
    <d v="2026-07-01T00:00:00"/>
    <x v="7"/>
    <x v="7"/>
    <x v="7"/>
  </r>
  <r>
    <s v="JLC7000007"/>
    <s v="ALFANAR ELECTRICAL SYSTEMS"/>
    <x v="4"/>
    <x v="0"/>
    <x v="6"/>
    <x v="0"/>
    <x v="6"/>
    <n v="1044853.45"/>
    <x v="0"/>
    <n v="0"/>
    <n v="1044853.45"/>
    <x v="6"/>
    <n v="477110.18"/>
    <x v="0"/>
    <x v="6"/>
    <x v="7"/>
    <x v="4"/>
    <x v="0"/>
    <x v="0"/>
    <d v="2026-11-01T00:00:00"/>
    <x v="8"/>
    <x v="8"/>
    <x v="8"/>
  </r>
  <r>
    <s v="ILC-0840-26-8820"/>
    <s v="ALFANAR ELECTRICAL SYSTEMS"/>
    <x v="3"/>
    <x v="0"/>
    <x v="5"/>
    <x v="0"/>
    <x v="5"/>
    <n v="1500000"/>
    <x v="0"/>
    <n v="1478254.88"/>
    <n v="21745.119999999999"/>
    <x v="1"/>
    <n v="21745.119999999999"/>
    <x v="0"/>
    <x v="1"/>
    <x v="6"/>
    <x v="3"/>
    <x v="0"/>
    <x v="0"/>
    <d v="2026-07-01T00:00:00"/>
    <x v="7"/>
    <x v="7"/>
    <x v="7"/>
  </r>
  <r>
    <s v="DCBWPM160340"/>
    <s v="AlJammaz Hydrotek"/>
    <x v="5"/>
    <x v="4"/>
    <x v="7"/>
    <x v="0"/>
    <x v="7"/>
    <n v="1269458.03"/>
    <x v="0"/>
    <n v="0"/>
    <n v="1269458.03"/>
    <x v="1"/>
    <n v="1269458.03"/>
    <x v="0"/>
    <x v="1"/>
    <x v="8"/>
    <x v="0"/>
    <x v="0"/>
    <x v="0"/>
    <d v="2026-07-02T00:00:00"/>
    <x v="9"/>
    <x v="7"/>
    <x v="7"/>
  </r>
  <r>
    <s v="J211485"/>
    <s v="ALNAFIE METAL INDUSTRIES CO LTD"/>
    <x v="2"/>
    <x v="5"/>
    <x v="3"/>
    <x v="0"/>
    <x v="3"/>
    <n v="18703391.850000001"/>
    <x v="0"/>
    <n v="17787660.100000001"/>
    <n v="915731.75"/>
    <x v="1"/>
    <n v="915731.75"/>
    <x v="5"/>
    <x v="1"/>
    <x v="0"/>
    <x v="2"/>
    <x v="0"/>
    <x v="0"/>
    <d v="2026-10-01T00:00:00"/>
    <x v="0"/>
    <x v="0"/>
    <x v="0"/>
  </r>
  <r>
    <s v="J212139"/>
    <s v="ALNAFIE METAL INDUSTRIES CO LTD"/>
    <x v="2"/>
    <x v="6"/>
    <x v="3"/>
    <x v="0"/>
    <x v="3"/>
    <n v="7446132.75"/>
    <x v="0"/>
    <n v="2500000"/>
    <n v="4946132.75"/>
    <x v="1"/>
    <n v="4946132.75"/>
    <x v="0"/>
    <x v="1"/>
    <x v="9"/>
    <x v="2"/>
    <x v="0"/>
    <x v="0"/>
    <d v="2026-10-31T00:00:00"/>
    <x v="10"/>
    <x v="9"/>
    <x v="9"/>
  </r>
  <r>
    <s v="ILC-0840-25-8427"/>
    <s v="Alrashid Trading and Contracting Company"/>
    <x v="3"/>
    <x v="1"/>
    <x v="5"/>
    <x v="0"/>
    <x v="5"/>
    <n v="16731764"/>
    <x v="0"/>
    <n v="5732513.5999999996"/>
    <n v="10999250.4"/>
    <x v="1"/>
    <n v="10999250.4"/>
    <x v="6"/>
    <x v="1"/>
    <x v="10"/>
    <x v="3"/>
    <x v="0"/>
    <x v="0"/>
    <d v="2026-07-27T00:00:00"/>
    <x v="11"/>
    <x v="1"/>
    <x v="1"/>
  </r>
  <r>
    <s v="DCBWPM563232"/>
    <s v="Alshrkt Mzaya Almttwrt Alsnaayt shkhs Wahd"/>
    <x v="6"/>
    <x v="0"/>
    <x v="7"/>
    <x v="0"/>
    <x v="7"/>
    <n v="500000"/>
    <x v="0"/>
    <n v="98871.6"/>
    <n v="401128.4"/>
    <x v="1"/>
    <n v="401128.4"/>
    <x v="0"/>
    <x v="1"/>
    <x v="1"/>
    <x v="0"/>
    <x v="0"/>
    <x v="0"/>
    <d v="2026-07-31T00:00:00"/>
    <x v="1"/>
    <x v="1"/>
    <x v="1"/>
  </r>
  <r>
    <s v="DCBWPM160342"/>
    <s v="BROOQ ALAMAAN TRAD COMPANY"/>
    <x v="0"/>
    <x v="0"/>
    <x v="0"/>
    <x v="0"/>
    <x v="0"/>
    <n v="500000"/>
    <x v="0"/>
    <n v="0"/>
    <n v="500000"/>
    <x v="7"/>
    <n v="134988.62"/>
    <x v="0"/>
    <x v="7"/>
    <x v="1"/>
    <x v="0"/>
    <x v="0"/>
    <x v="0"/>
    <d v="2026-07-31T00:00:00"/>
    <x v="1"/>
    <x v="1"/>
    <x v="1"/>
  </r>
  <r>
    <s v="J211681"/>
    <s v="APS ARABIAN CONTRACTING COMPANY"/>
    <x v="2"/>
    <x v="5"/>
    <x v="3"/>
    <x v="0"/>
    <x v="3"/>
    <n v="2072033.2"/>
    <x v="0"/>
    <n v="463730.6"/>
    <n v="1608302.6"/>
    <x v="8"/>
    <n v="955797.2"/>
    <x v="0"/>
    <x v="8"/>
    <x v="9"/>
    <x v="2"/>
    <x v="0"/>
    <x v="0"/>
    <d v="2026-10-31T00:00:00"/>
    <x v="10"/>
    <x v="9"/>
    <x v="9"/>
  </r>
  <r>
    <s v="TF2610500016"/>
    <s v="APTEC SAUDI ARABIA"/>
    <x v="1"/>
    <x v="3"/>
    <x v="4"/>
    <x v="0"/>
    <x v="4"/>
    <n v="5120131"/>
    <x v="0"/>
    <n v="0"/>
    <n v="5120131"/>
    <x v="1"/>
    <n v="5120131"/>
    <x v="0"/>
    <x v="1"/>
    <x v="0"/>
    <x v="1"/>
    <x v="0"/>
    <x v="0"/>
    <d v="2026-10-01T00:00:00"/>
    <x v="0"/>
    <x v="0"/>
    <x v="0"/>
  </r>
  <r>
    <s v="JLC6701731"/>
    <s v="ATELIER HOSPITALITY SRL"/>
    <x v="7"/>
    <x v="1"/>
    <x v="8"/>
    <x v="1"/>
    <x v="8"/>
    <n v="50762045.400000006"/>
    <x v="1"/>
    <n v="210445911.24020118"/>
    <n v="1130293.99"/>
    <x v="1"/>
    <n v="1130293.99"/>
    <x v="0"/>
    <x v="1"/>
    <x v="1"/>
    <x v="4"/>
    <x v="1"/>
    <x v="0"/>
    <d v="2026-07-31T00:00:00"/>
    <x v="1"/>
    <x v="1"/>
    <x v="1"/>
  </r>
  <r>
    <s v="DCBWPM163953"/>
    <s v="Atiaf International Trading Company"/>
    <x v="0"/>
    <x v="0"/>
    <x v="0"/>
    <x v="0"/>
    <x v="0"/>
    <n v="150000"/>
    <x v="0"/>
    <n v="0"/>
    <n v="150000"/>
    <x v="9"/>
    <n v="56144.91"/>
    <x v="7"/>
    <x v="9"/>
    <x v="1"/>
    <x v="0"/>
    <x v="0"/>
    <x v="0"/>
    <d v="2026-07-31T00:00:00"/>
    <x v="12"/>
    <x v="1"/>
    <x v="1"/>
  </r>
  <r>
    <s v="TF2606300014"/>
    <s v="Awtad Jeddah for General Contracting Company"/>
    <x v="1"/>
    <x v="1"/>
    <x v="2"/>
    <x v="0"/>
    <x v="2"/>
    <n v="2495972.17"/>
    <x v="0"/>
    <n v="1548792.03"/>
    <n v="947180.14"/>
    <x v="1"/>
    <n v="947180.14"/>
    <x v="0"/>
    <x v="1"/>
    <x v="11"/>
    <x v="1"/>
    <x v="0"/>
    <x v="0"/>
    <d v="2026-09-01T00:00:00"/>
    <x v="13"/>
    <x v="10"/>
    <x v="10"/>
  </r>
  <r>
    <s v="ILC-0840-25-7736"/>
    <s v="Baamer Group for Trading Company"/>
    <x v="3"/>
    <x v="0"/>
    <x v="5"/>
    <x v="0"/>
    <x v="5"/>
    <n v="312828.75"/>
    <x v="0"/>
    <n v="262776.15000000002"/>
    <n v="50052.6"/>
    <x v="1"/>
    <n v="50052.6"/>
    <x v="0"/>
    <x v="1"/>
    <x v="1"/>
    <x v="3"/>
    <x v="0"/>
    <x v="0"/>
    <d v="2026-07-31T00:00:00"/>
    <x v="1"/>
    <x v="1"/>
    <x v="1"/>
  </r>
  <r>
    <s v="DCBWPM164007"/>
    <s v="Bahra Advanced Cable Manufacture Co."/>
    <x v="0"/>
    <x v="0"/>
    <x v="0"/>
    <x v="0"/>
    <x v="0"/>
    <n v="1000000"/>
    <x v="0"/>
    <n v="0"/>
    <n v="1000000"/>
    <x v="1"/>
    <n v="1000000"/>
    <x v="0"/>
    <x v="1"/>
    <x v="1"/>
    <x v="0"/>
    <x v="0"/>
    <x v="0"/>
    <d v="2026-07-31T00:00:00"/>
    <x v="1"/>
    <x v="1"/>
    <x v="1"/>
  </r>
  <r>
    <s v="DCBWPM160343"/>
    <s v="BAHRA ADVANCED CABLE MANUFACTURE CO. LTD"/>
    <x v="0"/>
    <x v="0"/>
    <x v="0"/>
    <x v="0"/>
    <x v="0"/>
    <n v="1500000"/>
    <x v="0"/>
    <n v="0"/>
    <n v="1500000"/>
    <x v="10"/>
    <n v="122268.28"/>
    <x v="0"/>
    <x v="6"/>
    <x v="1"/>
    <x v="0"/>
    <x v="0"/>
    <x v="0"/>
    <d v="2026-07-31T00:00:00"/>
    <x v="14"/>
    <x v="11"/>
    <x v="11"/>
  </r>
  <r>
    <s v="J209958"/>
    <s v="Banan Thiba Trading Est (BTT)"/>
    <x v="2"/>
    <x v="0"/>
    <x v="9"/>
    <x v="0"/>
    <x v="9"/>
    <n v="900000"/>
    <x v="0"/>
    <n v="781791.28"/>
    <n v="118208.72"/>
    <x v="1"/>
    <n v="118208.72"/>
    <x v="0"/>
    <x v="1"/>
    <x v="1"/>
    <x v="2"/>
    <x v="0"/>
    <x v="0"/>
    <d v="2026-07-31T00:00:00"/>
    <x v="1"/>
    <x v="1"/>
    <x v="1"/>
  </r>
  <r>
    <s v="J210104"/>
    <s v="BBH-CHEMTROL INTERNATIONAL ORGANIZATION S.L"/>
    <x v="2"/>
    <x v="2"/>
    <x v="3"/>
    <x v="1"/>
    <x v="3"/>
    <n v="10500000"/>
    <x v="2"/>
    <n v="12335918.542009998"/>
    <n v="30252081.460000001"/>
    <x v="11"/>
    <n v="20724744.149999999"/>
    <x v="0"/>
    <x v="10"/>
    <x v="12"/>
    <x v="2"/>
    <x v="0"/>
    <x v="0"/>
    <d v="2027-02-21T00:00:00"/>
    <x v="15"/>
    <x v="12"/>
    <x v="12"/>
  </r>
  <r>
    <s v="TF2535900016"/>
    <s v="BBH-CHEMTROL INTERNATIONAL ORGANIZATION S.L"/>
    <x v="1"/>
    <x v="3"/>
    <x v="1"/>
    <x v="1"/>
    <x v="1"/>
    <n v="1687320.39"/>
    <x v="3"/>
    <n v="703586.90607999999"/>
    <n v="6889354.8499999996"/>
    <x v="1"/>
    <n v="6889354.8499999996"/>
    <x v="8"/>
    <x v="1"/>
    <x v="13"/>
    <x v="1"/>
    <x v="0"/>
    <x v="0"/>
    <d v="2027-01-25T00:00:00"/>
    <x v="16"/>
    <x v="13"/>
    <x v="13"/>
  </r>
  <r>
    <s v="TF2527100025"/>
    <s v="BRC Industrial (Saudia) Company"/>
    <x v="1"/>
    <x v="1"/>
    <x v="2"/>
    <x v="0"/>
    <x v="2"/>
    <n v="2074312.5"/>
    <x v="0"/>
    <n v="1365320.5099999998"/>
    <n v="708991.99"/>
    <x v="1"/>
    <n v="708991.99"/>
    <x v="0"/>
    <x v="1"/>
    <x v="14"/>
    <x v="1"/>
    <x v="0"/>
    <x v="0"/>
    <d v="2026-07-29T00:00:00"/>
    <x v="17"/>
    <x v="1"/>
    <x v="1"/>
  </r>
  <r>
    <s v="TF2609900016"/>
    <s v="Depa Saudi Arabia for Contracting and Interior Decorating Co. Ltd."/>
    <x v="1"/>
    <x v="1"/>
    <x v="1"/>
    <x v="0"/>
    <x v="1"/>
    <n v="20000000"/>
    <x v="0"/>
    <n v="0"/>
    <n v="20000000"/>
    <x v="12"/>
    <n v="11762891.02"/>
    <x v="0"/>
    <x v="11"/>
    <x v="15"/>
    <x v="1"/>
    <x v="0"/>
    <x v="0"/>
    <d v="2026-12-01T00:00:00"/>
    <x v="18"/>
    <x v="4"/>
    <x v="4"/>
  </r>
  <r>
    <s v="DCBWPM562604"/>
    <s v="BROOQ ALAMAAN TRAD COMPANY"/>
    <x v="0"/>
    <x v="0"/>
    <x v="0"/>
    <x v="0"/>
    <x v="0"/>
    <n v="300000.01"/>
    <x v="0"/>
    <n v="137792.10999999999"/>
    <n v="162207.9"/>
    <x v="1"/>
    <n v="162207.9"/>
    <x v="0"/>
    <x v="1"/>
    <x v="1"/>
    <x v="0"/>
    <x v="0"/>
    <x v="0"/>
    <d v="2026-07-31T00:00:00"/>
    <x v="1"/>
    <x v="1"/>
    <x v="1"/>
  </r>
  <r>
    <s v="J211987"/>
    <s v="Building System Intelligent Contractor BSICO"/>
    <x v="2"/>
    <x v="2"/>
    <x v="3"/>
    <x v="0"/>
    <x v="3"/>
    <n v="274384"/>
    <x v="0"/>
    <n v="0"/>
    <n v="274384"/>
    <x v="1"/>
    <n v="274384"/>
    <x v="0"/>
    <x v="1"/>
    <x v="8"/>
    <x v="2"/>
    <x v="0"/>
    <x v="0"/>
    <d v="2026-07-02T00:00:00"/>
    <x v="9"/>
    <x v="7"/>
    <x v="7"/>
  </r>
  <r>
    <s v="ILC-0840-25-7981"/>
    <s v="Ealla For General Contracting"/>
    <x v="3"/>
    <x v="0"/>
    <x v="5"/>
    <x v="0"/>
    <x v="5"/>
    <n v="101623.2"/>
    <x v="0"/>
    <n v="0"/>
    <n v="101623.2"/>
    <x v="1"/>
    <n v="101623.2"/>
    <x v="0"/>
    <x v="1"/>
    <x v="1"/>
    <x v="3"/>
    <x v="0"/>
    <x v="0"/>
    <d v="2026-07-31T00:00:00"/>
    <x v="1"/>
    <x v="1"/>
    <x v="1"/>
  </r>
  <r>
    <s v="DCBWPM555620"/>
    <s v="Rawadf International Co."/>
    <x v="0"/>
    <x v="0"/>
    <x v="0"/>
    <x v="0"/>
    <x v="0"/>
    <n v="1000000"/>
    <x v="0"/>
    <n v="732234.90999999992"/>
    <n v="267765.09000000003"/>
    <x v="1"/>
    <n v="267765.09000000003"/>
    <x v="9"/>
    <x v="1"/>
    <x v="1"/>
    <x v="0"/>
    <x v="0"/>
    <x v="0"/>
    <d v="2026-07-31T00:00:00"/>
    <x v="1"/>
    <x v="1"/>
    <x v="1"/>
  </r>
  <r>
    <s v="DCBWPM164009"/>
    <s v="Electric House Trading Company L.L.C."/>
    <x v="0"/>
    <x v="0"/>
    <x v="0"/>
    <x v="0"/>
    <x v="0"/>
    <n v="1000000"/>
    <x v="0"/>
    <n v="0"/>
    <n v="1000000"/>
    <x v="1"/>
    <n v="1000000"/>
    <x v="10"/>
    <x v="1"/>
    <x v="1"/>
    <x v="0"/>
    <x v="0"/>
    <x v="0"/>
    <d v="2026-07-31T00:00:00"/>
    <x v="1"/>
    <x v="1"/>
    <x v="1"/>
  </r>
  <r>
    <s v="ILC-0840-26-8758"/>
    <s v="Green Concrete CJSC"/>
    <x v="3"/>
    <x v="1"/>
    <x v="5"/>
    <x v="0"/>
    <x v="5"/>
    <n v="5802900"/>
    <x v="0"/>
    <n v="495832.85"/>
    <n v="5307067.1500000004"/>
    <x v="13"/>
    <n v="5194866.25"/>
    <x v="11"/>
    <x v="12"/>
    <x v="5"/>
    <x v="3"/>
    <x v="0"/>
    <x v="0"/>
    <d v="2027-01-31T00:00:00"/>
    <x v="6"/>
    <x v="6"/>
    <x v="6"/>
  </r>
  <r>
    <s v="DCBWPM163971"/>
    <s v="Elmady Solution Company"/>
    <x v="0"/>
    <x v="0"/>
    <x v="0"/>
    <x v="0"/>
    <x v="0"/>
    <n v="150000"/>
    <x v="0"/>
    <n v="0"/>
    <n v="150000"/>
    <x v="1"/>
    <n v="150000"/>
    <x v="0"/>
    <x v="1"/>
    <x v="1"/>
    <x v="0"/>
    <x v="0"/>
    <x v="0"/>
    <d v="2026-07-31T00:00:00"/>
    <x v="1"/>
    <x v="1"/>
    <x v="1"/>
  </r>
  <r>
    <s v="DCBWPM164001"/>
    <s v="Elsewedy Cables Co. Limited"/>
    <x v="0"/>
    <x v="0"/>
    <x v="0"/>
    <x v="0"/>
    <x v="0"/>
    <n v="1000000"/>
    <x v="0"/>
    <n v="0"/>
    <n v="1000000"/>
    <x v="14"/>
    <n v="4015.18"/>
    <x v="0"/>
    <x v="13"/>
    <x v="1"/>
    <x v="0"/>
    <x v="0"/>
    <x v="0"/>
    <d v="2026-07-31T00:00:00"/>
    <x v="19"/>
    <x v="10"/>
    <x v="10"/>
  </r>
  <r>
    <s v="DCBWPM563374"/>
    <s v="EVOLVING CONSTELLATION CO. FOR ENERGY"/>
    <x v="6"/>
    <x v="0"/>
    <x v="7"/>
    <x v="0"/>
    <x v="7"/>
    <n v="550000.15"/>
    <x v="0"/>
    <n v="482497.13"/>
    <n v="67503.02"/>
    <x v="1"/>
    <n v="67503.02"/>
    <x v="0"/>
    <x v="1"/>
    <x v="1"/>
    <x v="0"/>
    <x v="0"/>
    <x v="0"/>
    <d v="2026-07-31T00:00:00"/>
    <x v="1"/>
    <x v="1"/>
    <x v="1"/>
  </r>
  <r>
    <s v="TF2526500019"/>
    <s v="Future Pipe Industries LLC"/>
    <x v="1"/>
    <x v="1"/>
    <x v="2"/>
    <x v="0"/>
    <x v="2"/>
    <n v="5308039.3600000003"/>
    <x v="0"/>
    <n v="5072714.3"/>
    <n v="235325.06"/>
    <x v="1"/>
    <n v="235325.06"/>
    <x v="0"/>
    <x v="1"/>
    <x v="16"/>
    <x v="1"/>
    <x v="0"/>
    <x v="0"/>
    <d v="2026-07-22T00:00:00"/>
    <x v="20"/>
    <x v="5"/>
    <x v="5"/>
  </r>
  <r>
    <s v="TF2514700033"/>
    <s v="GAS SOLUTIONS"/>
    <x v="1"/>
    <x v="0"/>
    <x v="1"/>
    <x v="0"/>
    <x v="1"/>
    <n v="381276.62"/>
    <x v="0"/>
    <n v="140641.01"/>
    <n v="240635.61"/>
    <x v="1"/>
    <n v="240635.61"/>
    <x v="0"/>
    <x v="1"/>
    <x v="17"/>
    <x v="1"/>
    <x v="0"/>
    <x v="0"/>
    <d v="2026-06-27T00:00:00"/>
    <x v="21"/>
    <x v="14"/>
    <x v="14"/>
  </r>
  <r>
    <s v="TF2613700036"/>
    <s v="Green Concrete CJSC"/>
    <x v="1"/>
    <x v="1"/>
    <x v="4"/>
    <x v="0"/>
    <x v="4"/>
    <n v="2000000"/>
    <x v="0"/>
    <n v="0"/>
    <n v="2000000"/>
    <x v="1"/>
    <n v="2000000"/>
    <x v="0"/>
    <x v="1"/>
    <x v="0"/>
    <x v="1"/>
    <x v="0"/>
    <x v="0"/>
    <d v="2026-10-01T00:00:00"/>
    <x v="0"/>
    <x v="0"/>
    <x v="0"/>
  </r>
  <r>
    <s v="DCBWPM163997"/>
    <s v="Gulf Grilles Company"/>
    <x v="0"/>
    <x v="0"/>
    <x v="0"/>
    <x v="0"/>
    <x v="0"/>
    <n v="500000"/>
    <x v="0"/>
    <n v="0"/>
    <n v="500000"/>
    <x v="1"/>
    <n v="500000"/>
    <x v="0"/>
    <x v="1"/>
    <x v="1"/>
    <x v="0"/>
    <x v="0"/>
    <x v="0"/>
    <d v="2026-07-31T00:00:00"/>
    <x v="1"/>
    <x v="1"/>
    <x v="1"/>
  </r>
  <r>
    <s v="J211985"/>
    <s v="High Al Shuhra Contracting Company"/>
    <x v="2"/>
    <x v="1"/>
    <x v="2"/>
    <x v="0"/>
    <x v="2"/>
    <n v="2140124.1600000001"/>
    <x v="0"/>
    <n v="1696396.49"/>
    <n v="443727.67"/>
    <x v="1"/>
    <n v="443727.67"/>
    <x v="0"/>
    <x v="1"/>
    <x v="11"/>
    <x v="2"/>
    <x v="0"/>
    <x v="0"/>
    <d v="2026-09-01T00:00:00"/>
    <x v="13"/>
    <x v="10"/>
    <x v="10"/>
  </r>
  <r>
    <s v="JLC6902211"/>
    <s v="IBA MIDDLE EAST FZE"/>
    <x v="4"/>
    <x v="7"/>
    <x v="6"/>
    <x v="1"/>
    <x v="6"/>
    <n v="695184.62200000009"/>
    <x v="4"/>
    <n v="992843.09680000006"/>
    <n v="2010354.47"/>
    <x v="1"/>
    <n v="2010354.47"/>
    <x v="0"/>
    <x v="1"/>
    <x v="18"/>
    <x v="4"/>
    <x v="0"/>
    <x v="0"/>
    <d v="2027-01-15T00:00:00"/>
    <x v="22"/>
    <x v="15"/>
    <x v="15"/>
  </r>
  <r>
    <s v="JLC6902213"/>
    <s v="IBA MIDDLE EAST FZE"/>
    <x v="4"/>
    <x v="7"/>
    <x v="6"/>
    <x v="2"/>
    <x v="6"/>
    <n v="430873.13500000001"/>
    <x v="5"/>
    <n v="386882.11667999998"/>
    <n v="1228892.1399999999"/>
    <x v="1"/>
    <n v="1228892.1399999999"/>
    <x v="0"/>
    <x v="1"/>
    <x v="18"/>
    <x v="4"/>
    <x v="0"/>
    <x v="0"/>
    <d v="2027-01-15T00:00:00"/>
    <x v="22"/>
    <x v="15"/>
    <x v="15"/>
  </r>
  <r>
    <s v="ILC-0840-25-7517"/>
    <s v="SAUDI VITRIFIED CLAY PIPE CO"/>
    <x v="3"/>
    <x v="0"/>
    <x v="5"/>
    <x v="0"/>
    <x v="5"/>
    <n v="1033453.25"/>
    <x v="0"/>
    <n v="391176.24"/>
    <n v="642277.01"/>
    <x v="1"/>
    <n v="642277.01"/>
    <x v="0"/>
    <x v="1"/>
    <x v="1"/>
    <x v="3"/>
    <x v="0"/>
    <x v="0"/>
    <d v="2026-07-31T00:00:00"/>
    <x v="1"/>
    <x v="1"/>
    <x v="1"/>
  </r>
  <r>
    <m/>
    <s v="Innovative Contractors for Advanced Dimension (ICAD)"/>
    <x v="4"/>
    <x v="1"/>
    <x v="6"/>
    <x v="0"/>
    <x v="6"/>
    <n v="3000000"/>
    <x v="0"/>
    <n v="0"/>
    <n v="3000000"/>
    <x v="1"/>
    <n v="3000000"/>
    <x v="0"/>
    <x v="1"/>
    <x v="19"/>
    <x v="4"/>
    <x v="0"/>
    <x v="0"/>
    <d v="2026-08-31T00:00:00"/>
    <x v="23"/>
    <x v="10"/>
    <x v="10"/>
  </r>
  <r>
    <s v="ILC-0840-26-8822"/>
    <s v="Isam Kabanni And Partners For Construction And Maintenance Co Ltd"/>
    <x v="3"/>
    <x v="0"/>
    <x v="5"/>
    <x v="0"/>
    <x v="5"/>
    <n v="739450"/>
    <x v="0"/>
    <n v="0"/>
    <n v="739450"/>
    <x v="1"/>
    <n v="739450"/>
    <x v="12"/>
    <x v="1"/>
    <x v="0"/>
    <x v="3"/>
    <x v="0"/>
    <x v="0"/>
    <d v="2026-10-01T00:00:00"/>
    <x v="0"/>
    <x v="0"/>
    <x v="0"/>
  </r>
  <r>
    <s v="DCBWPM563027"/>
    <s v="JAD AL RIYADH Trading Co. Ltd"/>
    <x v="6"/>
    <x v="0"/>
    <x v="7"/>
    <x v="0"/>
    <x v="7"/>
    <n v="1400000"/>
    <x v="0"/>
    <n v="1385426.0200000003"/>
    <n v="14573.98"/>
    <x v="1"/>
    <n v="14573.98"/>
    <x v="0"/>
    <x v="1"/>
    <x v="1"/>
    <x v="0"/>
    <x v="0"/>
    <x v="0"/>
    <d v="2026-07-31T00:00:00"/>
    <x v="1"/>
    <x v="1"/>
    <x v="1"/>
  </r>
  <r>
    <s v="DCBWPM164010"/>
    <s v="Johnson Controls Arabia Ltd."/>
    <x v="0"/>
    <x v="0"/>
    <x v="0"/>
    <x v="0"/>
    <x v="0"/>
    <n v="1000000"/>
    <x v="0"/>
    <n v="0"/>
    <n v="1000000"/>
    <x v="1"/>
    <n v="1000000"/>
    <x v="0"/>
    <x v="1"/>
    <x v="1"/>
    <x v="0"/>
    <x v="0"/>
    <x v="0"/>
    <d v="2026-07-31T00:00:00"/>
    <x v="1"/>
    <x v="1"/>
    <x v="1"/>
  </r>
  <r>
    <s v="DCBWPM163950"/>
    <s v="Khereiji Showrooms Co."/>
    <x v="0"/>
    <x v="0"/>
    <x v="0"/>
    <x v="0"/>
    <x v="0"/>
    <n v="300000.73"/>
    <x v="0"/>
    <n v="0"/>
    <n v="300000.73"/>
    <x v="15"/>
    <n v="241.93"/>
    <x v="0"/>
    <x v="13"/>
    <x v="1"/>
    <x v="0"/>
    <x v="0"/>
    <x v="0"/>
    <d v="2026-07-31T00:00:00"/>
    <x v="19"/>
    <x v="10"/>
    <x v="10"/>
  </r>
  <r>
    <s v="J211986"/>
    <s v="Koon Trading Company"/>
    <x v="2"/>
    <x v="2"/>
    <x v="3"/>
    <x v="0"/>
    <x v="3"/>
    <n v="400000"/>
    <x v="0"/>
    <n v="0"/>
    <n v="400000"/>
    <x v="1"/>
    <n v="400000"/>
    <x v="0"/>
    <x v="1"/>
    <x v="20"/>
    <x v="2"/>
    <x v="0"/>
    <x v="0"/>
    <d v="2026-08-01T00:00:00"/>
    <x v="12"/>
    <x v="1"/>
    <x v="1"/>
  </r>
  <r>
    <s v="TF2535900014"/>
    <s v="LSI PROJECTS LIMITED"/>
    <x v="1"/>
    <x v="3"/>
    <x v="1"/>
    <x v="3"/>
    <x v="1"/>
    <n v="1534181.67"/>
    <x v="6"/>
    <n v="363328.54672888498"/>
    <n v="6755274.4000000004"/>
    <x v="1"/>
    <n v="6755274.4000000004"/>
    <x v="0"/>
    <x v="1"/>
    <x v="9"/>
    <x v="1"/>
    <x v="0"/>
    <x v="0"/>
    <d v="2026-10-31T00:00:00"/>
    <x v="10"/>
    <x v="9"/>
    <x v="9"/>
  </r>
  <r>
    <s v="TF2533600018"/>
    <s v="LSI PROJECTS LIMITED"/>
    <x v="1"/>
    <x v="3"/>
    <x v="1"/>
    <x v="3"/>
    <x v="1"/>
    <n v="72830.59"/>
    <x v="6"/>
    <n v="0"/>
    <n v="337933.94"/>
    <x v="1"/>
    <n v="337933.94"/>
    <x v="0"/>
    <x v="1"/>
    <x v="9"/>
    <x v="1"/>
    <x v="0"/>
    <x v="0"/>
    <d v="2026-10-31T00:00:00"/>
    <x v="10"/>
    <x v="9"/>
    <x v="9"/>
  </r>
  <r>
    <s v="DCBWPM160344"/>
    <s v="Mase Gulf Company"/>
    <x v="0"/>
    <x v="0"/>
    <x v="0"/>
    <x v="0"/>
    <x v="0"/>
    <n v="500000"/>
    <x v="0"/>
    <n v="0"/>
    <n v="500000"/>
    <x v="1"/>
    <n v="500000"/>
    <x v="0"/>
    <x v="1"/>
    <x v="1"/>
    <x v="0"/>
    <x v="0"/>
    <x v="0"/>
    <d v="2026-07-31T00:00:00"/>
    <x v="1"/>
    <x v="1"/>
    <x v="1"/>
  </r>
  <r>
    <s v="DCBWPM570839"/>
    <s v="MASQ FOR ELECTRICAL TOOLS CO"/>
    <x v="0"/>
    <x v="0"/>
    <x v="0"/>
    <x v="0"/>
    <x v="0"/>
    <n v="8790001.0999999996"/>
    <x v="0"/>
    <n v="650518.46"/>
    <n v="8139482.6399999997"/>
    <x v="1"/>
    <n v="8139482.6399999997"/>
    <x v="13"/>
    <x v="1"/>
    <x v="1"/>
    <x v="0"/>
    <x v="0"/>
    <x v="0"/>
    <d v="2026-07-31T00:00:00"/>
    <x v="1"/>
    <x v="1"/>
    <x v="1"/>
  </r>
  <r>
    <s v="JLC6901431_Cre"/>
    <s v="Mat Filtrasyon Teknolojeleri A.S"/>
    <x v="4"/>
    <x v="1"/>
    <x v="6"/>
    <x v="0"/>
    <x v="6"/>
    <n v="25907203.759999998"/>
    <x v="0"/>
    <n v="16605181.220000001"/>
    <n v="9302022.5399999991"/>
    <x v="16"/>
    <n v="8549405.8599999994"/>
    <x v="0"/>
    <x v="8"/>
    <x v="21"/>
    <x v="4"/>
    <x v="0"/>
    <x v="0"/>
    <d v="2026-11-15T00:00:00"/>
    <x v="24"/>
    <x v="16"/>
    <x v="16"/>
  </r>
  <r>
    <s v="JLC6901431_Cash"/>
    <s v="Mat Filtrasyon Teknolojeleri A.S"/>
    <x v="7"/>
    <x v="1"/>
    <x v="6"/>
    <x v="0"/>
    <x v="6"/>
    <n v="4092796.2399999998"/>
    <x v="0"/>
    <n v="4079312.29"/>
    <n v="13483.95"/>
    <x v="1"/>
    <n v="13483.95"/>
    <x v="0"/>
    <x v="1"/>
    <x v="21"/>
    <x v="4"/>
    <x v="1"/>
    <x v="0"/>
    <d v="2026-11-15T00:00:00"/>
    <x v="24"/>
    <x v="16"/>
    <x v="16"/>
  </r>
  <r>
    <s v="JLC7000384"/>
    <s v="Mat Filtrasyon Teknolojeleri A.S"/>
    <x v="4"/>
    <x v="1"/>
    <x v="6"/>
    <x v="0"/>
    <x v="6"/>
    <n v="17932603.559999999"/>
    <x v="0"/>
    <n v="4576500"/>
    <n v="13356103.560000001"/>
    <x v="17"/>
    <n v="12620563.560000001"/>
    <x v="0"/>
    <x v="7"/>
    <x v="22"/>
    <x v="4"/>
    <x v="0"/>
    <x v="0"/>
    <d v="2026-09-30T00:00:00"/>
    <x v="25"/>
    <x v="0"/>
    <x v="0"/>
  </r>
  <r>
    <s v="ILC-0840-25-8011"/>
    <s v="Metten Al-Arabia Ltd Co (METARA)"/>
    <x v="3"/>
    <x v="1"/>
    <x v="5"/>
    <x v="0"/>
    <x v="5"/>
    <n v="12956001.199999999"/>
    <x v="0"/>
    <n v="1509410.02"/>
    <n v="11446591.18"/>
    <x v="1"/>
    <n v="11446591.18"/>
    <x v="0"/>
    <x v="1"/>
    <x v="1"/>
    <x v="3"/>
    <x v="0"/>
    <x v="0"/>
    <d v="2026-07-31T00:00:00"/>
    <x v="1"/>
    <x v="1"/>
    <x v="1"/>
  </r>
  <r>
    <s v="DCBWPM162995"/>
    <s v="Mimar For Construction Tools and Trading Ltd."/>
    <x v="0"/>
    <x v="0"/>
    <x v="0"/>
    <x v="0"/>
    <x v="0"/>
    <n v="398652.54"/>
    <x v="0"/>
    <n v="0"/>
    <n v="398652.54"/>
    <x v="1"/>
    <n v="398652.54"/>
    <x v="0"/>
    <x v="1"/>
    <x v="0"/>
    <x v="0"/>
    <x v="0"/>
    <x v="0"/>
    <d v="2026-10-01T00:00:00"/>
    <x v="0"/>
    <x v="0"/>
    <x v="0"/>
  </r>
  <r>
    <s v="DCBWPM163957"/>
    <s v="Mohamad Saeed Afifi Trading Est."/>
    <x v="0"/>
    <x v="0"/>
    <x v="0"/>
    <x v="0"/>
    <x v="0"/>
    <n v="450000"/>
    <x v="0"/>
    <n v="0"/>
    <n v="450000"/>
    <x v="18"/>
    <n v="137231.89000000001"/>
    <x v="0"/>
    <x v="14"/>
    <x v="1"/>
    <x v="0"/>
    <x v="0"/>
    <x v="0"/>
    <d v="2026-07-31T00:00:00"/>
    <x v="1"/>
    <x v="1"/>
    <x v="1"/>
  </r>
  <r>
    <s v="TF2531600056"/>
    <s v="Mohammad Saleh Bahareth co."/>
    <x v="1"/>
    <x v="0"/>
    <x v="1"/>
    <x v="0"/>
    <x v="1"/>
    <n v="565057.47"/>
    <x v="0"/>
    <n v="332244.19"/>
    <n v="232813.28"/>
    <x v="1"/>
    <n v="232813.28"/>
    <x v="0"/>
    <x v="1"/>
    <x v="1"/>
    <x v="1"/>
    <x v="0"/>
    <x v="0"/>
    <d v="2026-07-31T00:00:00"/>
    <x v="1"/>
    <x v="1"/>
    <x v="1"/>
  </r>
  <r>
    <s v="J210944"/>
    <s v="Mohammed A. Al-Awani Trading"/>
    <x v="2"/>
    <x v="1"/>
    <x v="2"/>
    <x v="0"/>
    <x v="2"/>
    <n v="2826301.05"/>
    <x v="0"/>
    <n v="1261168.18"/>
    <n v="1565132.87"/>
    <x v="1"/>
    <n v="1565132.87"/>
    <x v="0"/>
    <x v="1"/>
    <x v="19"/>
    <x v="2"/>
    <x v="0"/>
    <x v="0"/>
    <d v="2026-08-31T00:00:00"/>
    <x v="23"/>
    <x v="10"/>
    <x v="10"/>
  </r>
  <r>
    <s v="ILC-0840-26-8823"/>
    <s v="Mohammed Masoud Al Khaldi Est"/>
    <x v="3"/>
    <x v="0"/>
    <x v="5"/>
    <x v="0"/>
    <x v="5"/>
    <n v="424699.6"/>
    <x v="0"/>
    <n v="212349.8"/>
    <n v="212349.8"/>
    <x v="1"/>
    <n v="212349.8"/>
    <x v="0"/>
    <x v="1"/>
    <x v="0"/>
    <x v="3"/>
    <x v="0"/>
    <x v="0"/>
    <d v="2026-10-01T00:00:00"/>
    <x v="0"/>
    <x v="0"/>
    <x v="0"/>
  </r>
  <r>
    <s v="ILC-0840-25-8164"/>
    <s v="Mohammed Ramadan Shat Factory"/>
    <x v="3"/>
    <x v="0"/>
    <x v="5"/>
    <x v="0"/>
    <x v="5"/>
    <n v="501144.18"/>
    <x v="0"/>
    <n v="42591.07"/>
    <n v="458553.11"/>
    <x v="19"/>
    <n v="259159.21"/>
    <x v="0"/>
    <x v="15"/>
    <x v="0"/>
    <x v="3"/>
    <x v="0"/>
    <x v="0"/>
    <d v="2026-10-01T00:00:00"/>
    <x v="0"/>
    <x v="0"/>
    <x v="0"/>
  </r>
  <r>
    <s v="DCBWPM164211"/>
    <s v="Mushal Khalf Hijri For Contracting"/>
    <x v="0"/>
    <x v="0"/>
    <x v="0"/>
    <x v="0"/>
    <x v="0"/>
    <n v="175000"/>
    <x v="0"/>
    <n v="0"/>
    <n v="175000"/>
    <x v="1"/>
    <n v="175000"/>
    <x v="14"/>
    <x v="1"/>
    <x v="1"/>
    <x v="0"/>
    <x v="0"/>
    <x v="0"/>
    <d v="2026-07-31T00:00:00"/>
    <x v="1"/>
    <x v="1"/>
    <x v="1"/>
  </r>
  <r>
    <s v="DCBWPM163964"/>
    <s v="National Marketing Est. Co. Ltd"/>
    <x v="0"/>
    <x v="0"/>
    <x v="0"/>
    <x v="0"/>
    <x v="0"/>
    <n v="275000"/>
    <x v="0"/>
    <n v="0"/>
    <n v="275000"/>
    <x v="1"/>
    <n v="275000"/>
    <x v="0"/>
    <x v="1"/>
    <x v="1"/>
    <x v="0"/>
    <x v="0"/>
    <x v="0"/>
    <d v="2026-07-31T00:00:00"/>
    <x v="1"/>
    <x v="1"/>
    <x v="1"/>
  </r>
  <r>
    <s v="TF2535200021"/>
    <s v="Osalas GMBH"/>
    <x v="1"/>
    <x v="1"/>
    <x v="4"/>
    <x v="1"/>
    <x v="4"/>
    <n v="5000000"/>
    <x v="7"/>
    <n v="20908277"/>
    <n v="1291723"/>
    <x v="20"/>
    <n v="93058"/>
    <x v="0"/>
    <x v="16"/>
    <x v="23"/>
    <x v="1"/>
    <x v="0"/>
    <x v="0"/>
    <d v="2026-10-22T00:00:00"/>
    <x v="26"/>
    <x v="17"/>
    <x v="17"/>
  </r>
  <r>
    <s v="DCBWPM163988"/>
    <s v="Power Center Company For Industries Llc"/>
    <x v="0"/>
    <x v="0"/>
    <x v="0"/>
    <x v="0"/>
    <x v="0"/>
    <n v="900000"/>
    <x v="0"/>
    <n v="0"/>
    <n v="900000"/>
    <x v="1"/>
    <n v="900000"/>
    <x v="0"/>
    <x v="1"/>
    <x v="1"/>
    <x v="0"/>
    <x v="0"/>
    <x v="0"/>
    <d v="2026-07-31T00:00:00"/>
    <x v="1"/>
    <x v="1"/>
    <x v="1"/>
  </r>
  <r>
    <s v="M001959"/>
    <s v="Ready Mix Company Limited."/>
    <x v="8"/>
    <x v="1"/>
    <x v="10"/>
    <x v="0"/>
    <x v="10"/>
    <n v="5000000"/>
    <x v="0"/>
    <n v="2707269.5"/>
    <n v="2292730.5"/>
    <x v="21"/>
    <n v="1342830.5"/>
    <x v="15"/>
    <x v="12"/>
    <x v="1"/>
    <x v="5"/>
    <x v="0"/>
    <x v="0"/>
    <d v="2026-07-31T00:00:00"/>
    <x v="1"/>
    <x v="1"/>
    <x v="1"/>
  </r>
  <r>
    <s v="TF2527100024"/>
    <s v="Saudi Perfect Pumps Trading &amp; Manufacturing Company"/>
    <x v="1"/>
    <x v="1"/>
    <x v="2"/>
    <x v="0"/>
    <x v="2"/>
    <n v="7670500"/>
    <x v="0"/>
    <n v="4347795.32"/>
    <n v="3322704.68"/>
    <x v="22"/>
    <n v="2910204.68"/>
    <x v="0"/>
    <x v="17"/>
    <x v="6"/>
    <x v="1"/>
    <x v="0"/>
    <x v="0"/>
    <d v="2026-07-01T00:00:00"/>
    <x v="7"/>
    <x v="7"/>
    <x v="7"/>
  </r>
  <r>
    <s v="JLC7000002"/>
    <s v="Riyadh Unity for Trading"/>
    <x v="4"/>
    <x v="0"/>
    <x v="6"/>
    <x v="0"/>
    <x v="6"/>
    <n v="500000"/>
    <x v="0"/>
    <n v="326709.94"/>
    <n v="173290.06"/>
    <x v="1"/>
    <n v="173290.06"/>
    <x v="16"/>
    <x v="1"/>
    <x v="7"/>
    <x v="4"/>
    <x v="0"/>
    <x v="0"/>
    <d v="2026-11-01T00:00:00"/>
    <x v="8"/>
    <x v="8"/>
    <x v="8"/>
  </r>
  <r>
    <s v="ILC-0840-25-7407"/>
    <s v="SITE TECHNOLOGY SAUDI ARABIA LTD"/>
    <x v="3"/>
    <x v="0"/>
    <x v="5"/>
    <x v="0"/>
    <x v="5"/>
    <n v="527850.01"/>
    <x v="0"/>
    <n v="263925"/>
    <n v="263925.01"/>
    <x v="1"/>
    <n v="263925.01"/>
    <x v="0"/>
    <x v="1"/>
    <x v="1"/>
    <x v="3"/>
    <x v="0"/>
    <x v="0"/>
    <d v="2026-07-31T00:00:00"/>
    <x v="1"/>
    <x v="1"/>
    <x v="1"/>
  </r>
  <r>
    <s v="J212103"/>
    <s v="Saudi Electric Supply Company Limited(SESCO)"/>
    <x v="2"/>
    <x v="2"/>
    <x v="3"/>
    <x v="0"/>
    <x v="3"/>
    <n v="650000"/>
    <x v="0"/>
    <n v="0"/>
    <n v="650000"/>
    <x v="1"/>
    <n v="650000"/>
    <x v="0"/>
    <x v="1"/>
    <x v="24"/>
    <x v="2"/>
    <x v="0"/>
    <x v="0"/>
    <d v="2026-07-10T00:00:00"/>
    <x v="27"/>
    <x v="18"/>
    <x v="18"/>
  </r>
  <r>
    <s v="ILC-0840-25-8166"/>
    <s v="SAUDI HEPCO CO LTD"/>
    <x v="3"/>
    <x v="0"/>
    <x v="5"/>
    <x v="0"/>
    <x v="5"/>
    <n v="250000"/>
    <x v="0"/>
    <n v="0"/>
    <n v="250000"/>
    <x v="1"/>
    <n v="250000"/>
    <x v="0"/>
    <x v="1"/>
    <x v="0"/>
    <x v="3"/>
    <x v="0"/>
    <x v="0"/>
    <d v="2026-10-01T00:00:00"/>
    <x v="0"/>
    <x v="0"/>
    <x v="0"/>
  </r>
  <r>
    <s v="ILC-0840-25-7353"/>
    <s v="Saudi Hepco Co. Ltd"/>
    <x v="3"/>
    <x v="0"/>
    <x v="5"/>
    <x v="0"/>
    <x v="5"/>
    <n v="863693.45"/>
    <x v="0"/>
    <n v="0"/>
    <n v="863693.45"/>
    <x v="1"/>
    <n v="863693.45"/>
    <x v="0"/>
    <x v="1"/>
    <x v="1"/>
    <x v="3"/>
    <x v="0"/>
    <x v="0"/>
    <d v="2026-07-31T00:00:00"/>
    <x v="1"/>
    <x v="1"/>
    <x v="1"/>
  </r>
  <r>
    <s v="JLC7000003"/>
    <s v="SCHNEIDER ELECTRIC SAUDI ARABIA CO"/>
    <x v="4"/>
    <x v="0"/>
    <x v="6"/>
    <x v="0"/>
    <x v="6"/>
    <n v="1350790.07"/>
    <x v="0"/>
    <n v="0"/>
    <n v="1350790.07"/>
    <x v="1"/>
    <n v="1350790.07"/>
    <x v="0"/>
    <x v="1"/>
    <x v="7"/>
    <x v="4"/>
    <x v="0"/>
    <x v="0"/>
    <d v="2026-11-01T00:00:00"/>
    <x v="8"/>
    <x v="8"/>
    <x v="8"/>
  </r>
  <r>
    <s v="JLC7000193"/>
    <s v="Schneider Electric Saudi Arabia Co"/>
    <x v="4"/>
    <x v="0"/>
    <x v="6"/>
    <x v="0"/>
    <x v="6"/>
    <n v="750000"/>
    <x v="0"/>
    <n v="0"/>
    <n v="750000"/>
    <x v="23"/>
    <n v="39300"/>
    <x v="0"/>
    <x v="0"/>
    <x v="25"/>
    <x v="4"/>
    <x v="0"/>
    <x v="0"/>
    <d v="2026-05-31T00:00:00"/>
    <x v="28"/>
    <x v="19"/>
    <x v="19"/>
  </r>
  <r>
    <s v="DCBWPM565850"/>
    <s v="SITE TECHNOLOGY SAUDI ARABIA CO"/>
    <x v="0"/>
    <x v="0"/>
    <x v="0"/>
    <x v="0"/>
    <x v="0"/>
    <n v="300000"/>
    <x v="0"/>
    <n v="0"/>
    <n v="300000"/>
    <x v="1"/>
    <n v="300000"/>
    <x v="0"/>
    <x v="1"/>
    <x v="1"/>
    <x v="0"/>
    <x v="0"/>
    <x v="0"/>
    <d v="2026-07-31T00:00:00"/>
    <x v="1"/>
    <x v="1"/>
    <x v="1"/>
  </r>
  <r>
    <s v="TF2517400098"/>
    <s v="SKM AIR CONDITIONING CO"/>
    <x v="1"/>
    <x v="0"/>
    <x v="9"/>
    <x v="0"/>
    <x v="9"/>
    <n v="922106.57"/>
    <x v="0"/>
    <n v="207691.38"/>
    <n v="714415.19"/>
    <x v="24"/>
    <n v="11827.52"/>
    <x v="0"/>
    <x v="18"/>
    <x v="26"/>
    <x v="1"/>
    <x v="0"/>
    <x v="0"/>
    <d v="2026-07-24T00:00:00"/>
    <x v="29"/>
    <x v="1"/>
    <x v="1"/>
  </r>
  <r>
    <s v="TF2517700087"/>
    <s v="STAR SQUARES CO LTD"/>
    <x v="1"/>
    <x v="0"/>
    <x v="9"/>
    <x v="0"/>
    <x v="9"/>
    <n v="250000"/>
    <x v="0"/>
    <n v="0"/>
    <n v="250000"/>
    <x v="1"/>
    <n v="250000"/>
    <x v="0"/>
    <x v="1"/>
    <x v="10"/>
    <x v="1"/>
    <x v="0"/>
    <x v="0"/>
    <d v="2026-07-27T00:00:00"/>
    <x v="11"/>
    <x v="1"/>
    <x v="1"/>
  </r>
  <r>
    <s v="JLC7000192"/>
    <s v="Systemair For Electrical Equipment Co."/>
    <x v="4"/>
    <x v="0"/>
    <x v="6"/>
    <x v="0"/>
    <x v="6"/>
    <n v="500000"/>
    <x v="0"/>
    <n v="0"/>
    <n v="500000"/>
    <x v="1"/>
    <n v="500000"/>
    <x v="0"/>
    <x v="1"/>
    <x v="7"/>
    <x v="4"/>
    <x v="0"/>
    <x v="0"/>
    <d v="2026-11-01T00:00:00"/>
    <x v="8"/>
    <x v="8"/>
    <x v="8"/>
  </r>
  <r>
    <s v="DCBWPM567554"/>
    <s v="TAWREED INTEGRATED INDUSTRIES"/>
    <x v="0"/>
    <x v="0"/>
    <x v="0"/>
    <x v="0"/>
    <x v="0"/>
    <n v="500000"/>
    <x v="0"/>
    <n v="336122.53"/>
    <n v="163877.47"/>
    <x v="25"/>
    <n v="64379.47"/>
    <x v="0"/>
    <x v="19"/>
    <x v="1"/>
    <x v="0"/>
    <x v="0"/>
    <x v="0"/>
    <d v="2026-07-31T00:00:00"/>
    <x v="1"/>
    <x v="1"/>
    <x v="1"/>
  </r>
  <r>
    <s v="JLC7000005"/>
    <s v="Teqniye Al-Majra For Contracting"/>
    <x v="4"/>
    <x v="0"/>
    <x v="6"/>
    <x v="0"/>
    <x v="6"/>
    <n v="500000"/>
    <x v="0"/>
    <n v="0"/>
    <n v="500000"/>
    <x v="26"/>
    <n v="10330.030000000001"/>
    <x v="0"/>
    <x v="6"/>
    <x v="1"/>
    <x v="4"/>
    <x v="0"/>
    <x v="0"/>
    <d v="2026-07-31T00:00:00"/>
    <x v="14"/>
    <x v="11"/>
    <x v="11"/>
  </r>
  <r>
    <s v="JLC6801573"/>
    <s v="Visio INC"/>
    <x v="7"/>
    <x v="1"/>
    <x v="8"/>
    <x v="0"/>
    <x v="8"/>
    <n v="16327500.880000001"/>
    <x v="0"/>
    <n v="15446722.59"/>
    <n v="880778.29"/>
    <x v="1"/>
    <n v="880778.29"/>
    <x v="0"/>
    <x v="1"/>
    <x v="1"/>
    <x v="4"/>
    <x v="1"/>
    <x v="0"/>
    <d v="2026-07-31T00:00:00"/>
    <x v="1"/>
    <x v="1"/>
    <x v="1"/>
  </r>
  <r>
    <s v="J212290"/>
    <s v="APLUS TRADE MIKE"/>
    <x v="2"/>
    <x v="8"/>
    <x v="3"/>
    <x v="1"/>
    <x v="3"/>
    <n v="6040641.79"/>
    <x v="8"/>
    <n v="0"/>
    <n v="26518417.460000001"/>
    <x v="1"/>
    <n v="26518417.460000001"/>
    <x v="0"/>
    <x v="1"/>
    <x v="5"/>
    <x v="2"/>
    <x v="0"/>
    <x v="0"/>
    <d v="2027-01-31T00:00:00"/>
    <x v="6"/>
    <x v="6"/>
    <x v="6"/>
  </r>
  <r>
    <s v="ILC-0840-26-9256"/>
    <s v="Al-Tawi READY -MIX FACTORY"/>
    <x v="3"/>
    <x v="1"/>
    <x v="5"/>
    <x v="0"/>
    <x v="5"/>
    <n v="600000"/>
    <x v="0"/>
    <n v="0"/>
    <n v="600000"/>
    <x v="1"/>
    <n v="600000"/>
    <x v="0"/>
    <x v="1"/>
    <x v="19"/>
    <x v="3"/>
    <x v="0"/>
    <x v="0"/>
    <d v="2026-08-31T00:00:00"/>
    <x v="23"/>
    <x v="10"/>
    <x v="10"/>
  </r>
  <r>
    <s v="J212311"/>
    <s v="Manar Alomran Company For Trading And Industrial Ltd"/>
    <x v="2"/>
    <x v="1"/>
    <x v="3"/>
    <x v="0"/>
    <x v="3"/>
    <n v="2896770"/>
    <x v="0"/>
    <n v="0"/>
    <n v="2896770"/>
    <x v="27"/>
    <n v="2509911.0499999998"/>
    <x v="0"/>
    <x v="20"/>
    <x v="0"/>
    <x v="2"/>
    <x v="0"/>
    <x v="0"/>
    <d v="2026-10-01T00:00:00"/>
    <x v="0"/>
    <x v="0"/>
    <x v="0"/>
  </r>
  <r>
    <s v="J212344"/>
    <s v="Saudi Pro-Kitchen"/>
    <x v="2"/>
    <x v="2"/>
    <x v="3"/>
    <x v="0"/>
    <x v="3"/>
    <n v="700000"/>
    <x v="0"/>
    <n v="0"/>
    <n v="700000"/>
    <x v="1"/>
    <n v="700000"/>
    <x v="17"/>
    <x v="1"/>
    <x v="27"/>
    <x v="2"/>
    <x v="0"/>
    <x v="0"/>
    <d v="2026-09-02T00:00:00"/>
    <x v="30"/>
    <x v="10"/>
    <x v="10"/>
  </r>
  <r>
    <s v="DCBWPM165531"/>
    <s v="DAIKIN AIR CONDITIONING SAUDI ARABIA LLC"/>
    <x v="0"/>
    <x v="2"/>
    <x v="11"/>
    <x v="0"/>
    <x v="11"/>
    <n v="735855"/>
    <x v="0"/>
    <n v="0"/>
    <n v="735855"/>
    <x v="1"/>
    <n v="735855"/>
    <x v="18"/>
    <x v="1"/>
    <x v="1"/>
    <x v="0"/>
    <x v="0"/>
    <x v="0"/>
    <d v="2026-07-31T00:00:00"/>
    <x v="1"/>
    <x v="1"/>
    <x v="1"/>
  </r>
  <r>
    <s v="DCBWPM165571"/>
    <s v="Isam Kabbani &amp; Partners for Building and Construction"/>
    <x v="0"/>
    <x v="1"/>
    <x v="11"/>
    <x v="0"/>
    <x v="11"/>
    <n v="1325316"/>
    <x v="0"/>
    <n v="0"/>
    <n v="1325316"/>
    <x v="1"/>
    <n v="1325316"/>
    <x v="19"/>
    <x v="1"/>
    <x v="11"/>
    <x v="0"/>
    <x v="0"/>
    <x v="0"/>
    <d v="2026-09-01T00:00:00"/>
    <x v="13"/>
    <x v="10"/>
    <x v="10"/>
  </r>
  <r>
    <s v="DCBWPM165765"/>
    <s v="TRINDEL ARABIA LTD. CO"/>
    <x v="0"/>
    <x v="2"/>
    <x v="11"/>
    <x v="0"/>
    <x v="11"/>
    <n v="772046"/>
    <x v="0"/>
    <n v="0"/>
    <n v="772046"/>
    <x v="1"/>
    <n v="772046"/>
    <x v="0"/>
    <x v="1"/>
    <x v="19"/>
    <x v="0"/>
    <x v="0"/>
    <x v="0"/>
    <d v="2026-08-31T00:00:00"/>
    <x v="23"/>
    <x v="10"/>
    <x v="10"/>
  </r>
  <r>
    <s v="J212386"/>
    <s v="Martin Professional Information Technology Company"/>
    <x v="2"/>
    <x v="2"/>
    <x v="3"/>
    <x v="0"/>
    <x v="3"/>
    <n v="5000000"/>
    <x v="0"/>
    <n v="0"/>
    <n v="5000000"/>
    <x v="1"/>
    <n v="5000000"/>
    <x v="0"/>
    <x v="1"/>
    <x v="28"/>
    <x v="2"/>
    <x v="0"/>
    <x v="0"/>
    <d v="2026-11-08T00:00:00"/>
    <x v="31"/>
    <x v="20"/>
    <x v="20"/>
  </r>
  <r>
    <s v="DCBWPM166296"/>
    <s v="Al-Sayed Center A/C for Materials Company"/>
    <x v="0"/>
    <x v="0"/>
    <x v="0"/>
    <x v="0"/>
    <x v="0"/>
    <n v="200000"/>
    <x v="0"/>
    <n v="0"/>
    <n v="200000"/>
    <x v="1"/>
    <n v="200000"/>
    <x v="0"/>
    <x v="1"/>
    <x v="0"/>
    <x v="0"/>
    <x v="0"/>
    <x v="0"/>
    <d v="2026-10-01T00:00:00"/>
    <x v="0"/>
    <x v="0"/>
    <x v="0"/>
  </r>
  <r>
    <s v="DCBWPM166294"/>
    <s v="Ali Manea Alyami Trading Est."/>
    <x v="0"/>
    <x v="0"/>
    <x v="0"/>
    <x v="0"/>
    <x v="0"/>
    <n v="200000"/>
    <x v="0"/>
    <n v="0"/>
    <n v="200000"/>
    <x v="1"/>
    <n v="200000"/>
    <x v="0"/>
    <x v="1"/>
    <x v="0"/>
    <x v="0"/>
    <x v="0"/>
    <x v="0"/>
    <d v="2026-10-01T00:00:00"/>
    <x v="0"/>
    <x v="0"/>
    <x v="0"/>
  </r>
  <r>
    <s v="DCBWPM166292"/>
    <s v="GALAXY TECHOLOGY CO."/>
    <x v="0"/>
    <x v="0"/>
    <x v="0"/>
    <x v="0"/>
    <x v="0"/>
    <n v="300000.01"/>
    <x v="0"/>
    <n v="0"/>
    <n v="300000.01"/>
    <x v="1"/>
    <n v="300000.01"/>
    <x v="0"/>
    <x v="1"/>
    <x v="0"/>
    <x v="0"/>
    <x v="0"/>
    <x v="0"/>
    <d v="2026-10-01T00:00:00"/>
    <x v="0"/>
    <x v="0"/>
    <x v="0"/>
  </r>
  <r>
    <s v="DCBWPM166281"/>
    <s v="IDEAL CALIBER COMPANY."/>
    <x v="0"/>
    <x v="0"/>
    <x v="0"/>
    <x v="0"/>
    <x v="0"/>
    <n v="300000"/>
    <x v="0"/>
    <n v="0"/>
    <n v="300000"/>
    <x v="1"/>
    <n v="300000"/>
    <x v="0"/>
    <x v="1"/>
    <x v="0"/>
    <x v="0"/>
    <x v="0"/>
    <x v="0"/>
    <d v="2026-10-01T00:00:00"/>
    <x v="0"/>
    <x v="0"/>
    <x v="0"/>
  </r>
  <r>
    <s v="DCBWPM166290"/>
    <s v="Machinery Land Equipment Rental."/>
    <x v="0"/>
    <x v="0"/>
    <x v="0"/>
    <x v="0"/>
    <x v="0"/>
    <n v="300000"/>
    <x v="0"/>
    <n v="0"/>
    <n v="300000"/>
    <x v="1"/>
    <n v="300000"/>
    <x v="0"/>
    <x v="1"/>
    <x v="0"/>
    <x v="0"/>
    <x v="0"/>
    <x v="0"/>
    <d v="2026-10-01T00:00:00"/>
    <x v="0"/>
    <x v="0"/>
    <x v="0"/>
  </r>
  <r>
    <s v="DCBWPM166285"/>
    <s v="Establishment Marjane El- Shammal for watertransport and distribution"/>
    <x v="0"/>
    <x v="0"/>
    <x v="0"/>
    <x v="0"/>
    <x v="0"/>
    <n v="200000"/>
    <x v="0"/>
    <n v="0"/>
    <n v="200000"/>
    <x v="1"/>
    <n v="200000"/>
    <x v="0"/>
    <x v="1"/>
    <x v="0"/>
    <x v="0"/>
    <x v="0"/>
    <x v="0"/>
    <d v="2026-10-01T00:00:00"/>
    <x v="0"/>
    <x v="0"/>
    <x v="0"/>
  </r>
  <r>
    <s v="DCBWPM166289"/>
    <s v="RAWADF INTERNATIONAL CO."/>
    <x v="0"/>
    <x v="0"/>
    <x v="0"/>
    <x v="0"/>
    <x v="0"/>
    <n v="200000"/>
    <x v="0"/>
    <n v="0"/>
    <n v="200000"/>
    <x v="1"/>
    <n v="200000"/>
    <x v="0"/>
    <x v="1"/>
    <x v="0"/>
    <x v="0"/>
    <x v="0"/>
    <x v="0"/>
    <d v="2026-10-01T00:00:00"/>
    <x v="0"/>
    <x v="0"/>
    <x v="0"/>
  </r>
  <r>
    <s v="DCBWPM166286"/>
    <s v="RAPID SAUDI ARABIA CO LIMITED."/>
    <x v="0"/>
    <x v="0"/>
    <x v="0"/>
    <x v="0"/>
    <x v="0"/>
    <n v="190080.6"/>
    <x v="0"/>
    <n v="0"/>
    <n v="190080.6"/>
    <x v="1"/>
    <n v="190080.6"/>
    <x v="0"/>
    <x v="1"/>
    <x v="0"/>
    <x v="0"/>
    <x v="0"/>
    <x v="0"/>
    <d v="2026-10-01T00:00:00"/>
    <x v="0"/>
    <x v="0"/>
    <x v="0"/>
  </r>
  <r>
    <s v="DCBWPM166284"/>
    <s v="SAUDI ELECTRIC SUPPLY COMPANY."/>
    <x v="0"/>
    <x v="0"/>
    <x v="0"/>
    <x v="0"/>
    <x v="0"/>
    <n v="500000"/>
    <x v="0"/>
    <n v="0"/>
    <n v="500000"/>
    <x v="1"/>
    <n v="500000"/>
    <x v="0"/>
    <x v="1"/>
    <x v="0"/>
    <x v="0"/>
    <x v="0"/>
    <x v="0"/>
    <d v="2026-10-01T00:00:00"/>
    <x v="0"/>
    <x v="0"/>
    <x v="0"/>
  </r>
  <r>
    <s v="DCBWPM166287"/>
    <s v="TECHNICAL TOOLS TRADING CO."/>
    <x v="0"/>
    <x v="0"/>
    <x v="0"/>
    <x v="0"/>
    <x v="0"/>
    <n v="200000"/>
    <x v="0"/>
    <n v="0"/>
    <n v="200000"/>
    <x v="1"/>
    <n v="200000"/>
    <x v="0"/>
    <x v="1"/>
    <x v="0"/>
    <x v="0"/>
    <x v="0"/>
    <x v="0"/>
    <d v="2026-10-01T00:00:00"/>
    <x v="0"/>
    <x v="0"/>
    <x v="0"/>
  </r>
  <r>
    <s v="DCBWPM166274"/>
    <s v="TEN POINTS EST."/>
    <x v="0"/>
    <x v="0"/>
    <x v="0"/>
    <x v="0"/>
    <x v="0"/>
    <n v="450000"/>
    <x v="0"/>
    <n v="0"/>
    <n v="450000"/>
    <x v="1"/>
    <n v="450000"/>
    <x v="0"/>
    <x v="1"/>
    <x v="0"/>
    <x v="0"/>
    <x v="0"/>
    <x v="0"/>
    <d v="2026-10-01T00:00:00"/>
    <x v="0"/>
    <x v="0"/>
    <x v="0"/>
  </r>
  <r>
    <s v="DCBWPM166264"/>
    <s v="NUKHBA ALETFA CO"/>
    <x v="0"/>
    <x v="0"/>
    <x v="0"/>
    <x v="0"/>
    <x v="0"/>
    <n v="500000"/>
    <x v="0"/>
    <n v="0"/>
    <n v="500000"/>
    <x v="1"/>
    <n v="500000"/>
    <x v="0"/>
    <x v="1"/>
    <x v="0"/>
    <x v="0"/>
    <x v="0"/>
    <x v="0"/>
    <d v="2026-10-01T00:00:00"/>
    <x v="0"/>
    <x v="0"/>
    <x v="0"/>
  </r>
  <r>
    <s v="DCBWPM166277"/>
    <s v="Masdar Technical Supplies Co."/>
    <x v="0"/>
    <x v="0"/>
    <x v="0"/>
    <x v="0"/>
    <x v="0"/>
    <n v="300000"/>
    <x v="0"/>
    <n v="0"/>
    <n v="300000"/>
    <x v="1"/>
    <n v="300000"/>
    <x v="0"/>
    <x v="1"/>
    <x v="0"/>
    <x v="0"/>
    <x v="0"/>
    <x v="0"/>
    <d v="2026-10-01T00:00:00"/>
    <x v="0"/>
    <x v="0"/>
    <x v="0"/>
  </r>
  <r>
    <s v="DCBWPM166275"/>
    <s v="KHEREIJI SHOWROOMS CO."/>
    <x v="0"/>
    <x v="0"/>
    <x v="0"/>
    <x v="0"/>
    <x v="0"/>
    <n v="250000"/>
    <x v="0"/>
    <n v="0"/>
    <n v="250000"/>
    <x v="1"/>
    <n v="250000"/>
    <x v="0"/>
    <x v="1"/>
    <x v="0"/>
    <x v="0"/>
    <x v="0"/>
    <x v="0"/>
    <d v="2026-10-01T00:00:00"/>
    <x v="0"/>
    <x v="0"/>
    <x v="0"/>
  </r>
  <r>
    <s v="DCBWPM166282"/>
    <s v="SPECTRA INTERNATIONAL TRADING COMPANY"/>
    <x v="0"/>
    <x v="0"/>
    <x v="0"/>
    <x v="0"/>
    <x v="0"/>
    <n v="250000"/>
    <x v="0"/>
    <n v="0"/>
    <n v="250000"/>
    <x v="1"/>
    <n v="250000"/>
    <x v="0"/>
    <x v="1"/>
    <x v="0"/>
    <x v="0"/>
    <x v="0"/>
    <x v="0"/>
    <d v="2026-10-01T00:00:00"/>
    <x v="0"/>
    <x v="0"/>
    <x v="0"/>
  </r>
  <r>
    <s v="DCBWPM166278"/>
    <s v="POWER CENTER COMPANY FOR INDUSTRIES LLC"/>
    <x v="0"/>
    <x v="0"/>
    <x v="0"/>
    <x v="0"/>
    <x v="0"/>
    <n v="500000"/>
    <x v="0"/>
    <n v="0"/>
    <n v="500000"/>
    <x v="1"/>
    <n v="500000"/>
    <x v="0"/>
    <x v="1"/>
    <x v="0"/>
    <x v="0"/>
    <x v="0"/>
    <x v="0"/>
    <d v="2026-10-01T00:00:00"/>
    <x v="0"/>
    <x v="0"/>
    <x v="0"/>
  </r>
  <r>
    <s v="DCBWPM166259"/>
    <s v="ELECTRIC HOUSE TRADING COMPANY LLC"/>
    <x v="0"/>
    <x v="0"/>
    <x v="0"/>
    <x v="0"/>
    <x v="0"/>
    <n v="1000000"/>
    <x v="0"/>
    <n v="0"/>
    <n v="1000000"/>
    <x v="1"/>
    <n v="1000000"/>
    <x v="0"/>
    <x v="1"/>
    <x v="0"/>
    <x v="0"/>
    <x v="0"/>
    <x v="0"/>
    <d v="2026-10-01T00:00:00"/>
    <x v="0"/>
    <x v="0"/>
    <x v="0"/>
  </r>
  <r>
    <s v="DCBWPM166257"/>
    <s v="ELSEWEDY CABLES CO. LIMITED"/>
    <x v="0"/>
    <x v="0"/>
    <x v="0"/>
    <x v="0"/>
    <x v="0"/>
    <n v="1000000"/>
    <x v="0"/>
    <n v="0"/>
    <n v="1000000"/>
    <x v="1"/>
    <n v="1000000"/>
    <x v="0"/>
    <x v="1"/>
    <x v="0"/>
    <x v="0"/>
    <x v="0"/>
    <x v="0"/>
    <d v="2026-10-01T00:00:00"/>
    <x v="0"/>
    <x v="0"/>
    <x v="0"/>
  </r>
  <r>
    <s v="DCBWPM166270"/>
    <s v="JOHNSON CONTROLS ARABIA"/>
    <x v="0"/>
    <x v="0"/>
    <x v="0"/>
    <x v="0"/>
    <x v="0"/>
    <n v="500000"/>
    <x v="0"/>
    <n v="0"/>
    <n v="500000"/>
    <x v="1"/>
    <n v="500000"/>
    <x v="0"/>
    <x v="1"/>
    <x v="0"/>
    <x v="0"/>
    <x v="0"/>
    <x v="0"/>
    <d v="2026-10-01T00:00:00"/>
    <x v="0"/>
    <x v="0"/>
    <x v="0"/>
  </r>
  <r>
    <s v="DCBWPM166279"/>
    <s v="Systemair For Electrical Equipment Co."/>
    <x v="0"/>
    <x v="0"/>
    <x v="0"/>
    <x v="0"/>
    <x v="0"/>
    <n v="300000"/>
    <x v="0"/>
    <n v="0"/>
    <n v="300000"/>
    <x v="1"/>
    <n v="300000"/>
    <x v="0"/>
    <x v="1"/>
    <x v="0"/>
    <x v="0"/>
    <x v="0"/>
    <x v="0"/>
    <d v="2026-10-01T00:00:00"/>
    <x v="0"/>
    <x v="0"/>
    <x v="0"/>
  </r>
  <r>
    <s v="DCBWPM166272"/>
    <s v="MARIAM TRADING CO AND PARTNER"/>
    <x v="0"/>
    <x v="0"/>
    <x v="0"/>
    <x v="0"/>
    <x v="0"/>
    <n v="200000"/>
    <x v="0"/>
    <n v="0"/>
    <n v="200000"/>
    <x v="1"/>
    <n v="200000"/>
    <x v="0"/>
    <x v="1"/>
    <x v="0"/>
    <x v="0"/>
    <x v="0"/>
    <x v="0"/>
    <d v="2026-10-01T00:00:00"/>
    <x v="0"/>
    <x v="0"/>
    <x v="0"/>
  </r>
  <r>
    <s v="DCBWPM166298"/>
    <s v="Gulf Grilles Company"/>
    <x v="0"/>
    <x v="0"/>
    <x v="0"/>
    <x v="0"/>
    <x v="0"/>
    <n v="400000"/>
    <x v="0"/>
    <n v="0"/>
    <n v="400000"/>
    <x v="1"/>
    <n v="400000"/>
    <x v="0"/>
    <x v="1"/>
    <x v="0"/>
    <x v="0"/>
    <x v="0"/>
    <x v="0"/>
    <d v="2026-10-01T00:00:00"/>
    <x v="0"/>
    <x v="0"/>
    <x v="0"/>
  </r>
  <r>
    <s v="DCBWPM166276"/>
    <s v="AFAQ AL MALAZ TRADING CO.LTD."/>
    <x v="0"/>
    <x v="0"/>
    <x v="0"/>
    <x v="0"/>
    <x v="0"/>
    <n v="200000"/>
    <x v="0"/>
    <n v="0"/>
    <n v="200000"/>
    <x v="1"/>
    <n v="200000"/>
    <x v="0"/>
    <x v="1"/>
    <x v="0"/>
    <x v="0"/>
    <x v="0"/>
    <x v="0"/>
    <d v="2026-10-01T00:00:00"/>
    <x v="0"/>
    <x v="0"/>
    <x v="0"/>
  </r>
  <r>
    <s v="DCBWPM166297"/>
    <s v="National Fire Fighting Manufacturing FZCO BR."/>
    <x v="0"/>
    <x v="0"/>
    <x v="0"/>
    <x v="0"/>
    <x v="0"/>
    <n v="500000"/>
    <x v="0"/>
    <n v="0"/>
    <n v="500000"/>
    <x v="1"/>
    <n v="500000"/>
    <x v="0"/>
    <x v="1"/>
    <x v="0"/>
    <x v="0"/>
    <x v="0"/>
    <x v="0"/>
    <d v="2026-10-01T00:00:00"/>
    <x v="0"/>
    <x v="0"/>
    <x v="0"/>
  </r>
  <r>
    <s v="DCBWPM166271"/>
    <s v="Arabian International Company For Contracting"/>
    <x v="0"/>
    <x v="0"/>
    <x v="0"/>
    <x v="0"/>
    <x v="0"/>
    <n v="500000"/>
    <x v="0"/>
    <n v="0"/>
    <n v="500000"/>
    <x v="1"/>
    <n v="500000"/>
    <x v="0"/>
    <x v="1"/>
    <x v="0"/>
    <x v="0"/>
    <x v="0"/>
    <x v="0"/>
    <d v="2026-10-01T00:00:00"/>
    <x v="0"/>
    <x v="0"/>
    <x v="0"/>
  </r>
  <r>
    <s v="ILC-0840-26-9418"/>
    <s v="Saraya Al Andalus for Construction company"/>
    <x v="3"/>
    <x v="1"/>
    <x v="5"/>
    <x v="0"/>
    <x v="5"/>
    <n v="5000000"/>
    <x v="0"/>
    <n v="0"/>
    <n v="5000000"/>
    <x v="1"/>
    <n v="5000000"/>
    <x v="0"/>
    <x v="1"/>
    <x v="15"/>
    <x v="3"/>
    <x v="0"/>
    <x v="0"/>
    <d v="2026-12-01T00:00:00"/>
    <x v="18"/>
    <x v="4"/>
    <x v="4"/>
  </r>
  <r>
    <s v="DCBWPM166261"/>
    <s v="DAIKIN AIR CONDITIONING SAUDI ARABIA LLC"/>
    <x v="0"/>
    <x v="0"/>
    <x v="0"/>
    <x v="0"/>
    <x v="0"/>
    <n v="1000000"/>
    <x v="0"/>
    <n v="0"/>
    <n v="1000000"/>
    <x v="1"/>
    <n v="1000000"/>
    <x v="0"/>
    <x v="1"/>
    <x v="0"/>
    <x v="0"/>
    <x v="0"/>
    <x v="0"/>
    <d v="2026-10-01T00:00:00"/>
    <x v="0"/>
    <x v="0"/>
    <x v="0"/>
  </r>
  <r>
    <s v="DCBWPM166267"/>
    <s v="ALGHAMDI COMPANY FOR SANITARY WARES"/>
    <x v="0"/>
    <x v="0"/>
    <x v="0"/>
    <x v="0"/>
    <x v="0"/>
    <n v="350000"/>
    <x v="0"/>
    <n v="0"/>
    <n v="350000"/>
    <x v="1"/>
    <n v="350000"/>
    <x v="0"/>
    <x v="1"/>
    <x v="0"/>
    <x v="0"/>
    <x v="0"/>
    <x v="0"/>
    <d v="2026-10-01T00:00:00"/>
    <x v="0"/>
    <x v="0"/>
    <x v="0"/>
  </r>
  <r>
    <s v="DCBWPM166944"/>
    <s v="AL RAMSAT CONTRACTING COMPANY"/>
    <x v="0"/>
    <x v="1"/>
    <x v="11"/>
    <x v="0"/>
    <x v="11"/>
    <n v="2000000"/>
    <x v="0"/>
    <n v="0"/>
    <n v="2000000"/>
    <x v="1"/>
    <n v="2000000"/>
    <x v="0"/>
    <x v="1"/>
    <x v="29"/>
    <x v="0"/>
    <x v="0"/>
    <x v="0"/>
    <d v="2026-12-21T00:00:00"/>
    <x v="32"/>
    <x v="21"/>
    <x v="21"/>
  </r>
  <r>
    <s v="J212502"/>
    <s v="Gulf Applications - GAPP"/>
    <x v="2"/>
    <x v="2"/>
    <x v="3"/>
    <x v="0"/>
    <x v="3"/>
    <n v="11188186.699999999"/>
    <x v="0"/>
    <n v="0"/>
    <n v="11188186.699999999"/>
    <x v="1"/>
    <n v="11188186.699999999"/>
    <x v="0"/>
    <x v="1"/>
    <x v="30"/>
    <x v="2"/>
    <x v="0"/>
    <x v="0"/>
    <d v="2026-09-10T00:00:00"/>
    <x v="33"/>
    <x v="22"/>
    <x v="22"/>
  </r>
  <r>
    <m/>
    <s v="Metal and Glass Trading Co One Person"/>
    <x v="3"/>
    <x v="0"/>
    <x v="5"/>
    <x v="0"/>
    <x v="5"/>
    <n v="3422137.8"/>
    <x v="0"/>
    <n v="0"/>
    <n v="3422137.8"/>
    <x v="1"/>
    <n v="3422137.8"/>
    <x v="0"/>
    <x v="1"/>
    <x v="9"/>
    <x v="3"/>
    <x v="0"/>
    <x v="0"/>
    <d v="2026-10-31T00:00:00"/>
    <x v="10"/>
    <x v="9"/>
    <x v="9"/>
  </r>
  <r>
    <m/>
    <s v="Al Arabia Construction &amp; Building Co."/>
    <x v="2"/>
    <x v="1"/>
    <x v="2"/>
    <x v="0"/>
    <x v="2"/>
    <n v="1017646"/>
    <x v="0"/>
    <n v="0"/>
    <n v="1017646"/>
    <x v="1"/>
    <n v="1017646"/>
    <x v="0"/>
    <x v="1"/>
    <x v="15"/>
    <x v="2"/>
    <x v="0"/>
    <x v="0"/>
    <d v="2026-12-01T00:00:00"/>
    <x v="18"/>
    <x v="4"/>
    <x v="4"/>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6">
  <r>
    <s v="DCBWPM162993"/>
    <d v="2026-03-05T00:00:00"/>
    <x v="0"/>
    <x v="0"/>
    <s v="Ajzal United for Safety CO.LTD."/>
    <x v="0"/>
    <x v="0"/>
    <x v="0"/>
    <x v="0"/>
    <x v="0"/>
    <n v="600000"/>
    <x v="0"/>
    <n v="600000"/>
    <n v="0"/>
    <n v="600000"/>
    <n v="511689.33"/>
    <n v="88310.67"/>
    <x v="0"/>
    <s v="05/07/2026 , 14/07/2026"/>
    <d v="2026-08-31T00:00:00"/>
    <d v="2026-08-31T00:00:00"/>
    <x v="0"/>
    <x v="0"/>
    <x v="0"/>
    <x v="0"/>
    <x v="0"/>
    <x v="0"/>
    <x v="0"/>
    <x v="0"/>
    <x v="0"/>
  </r>
  <r>
    <s v="TF2531600062"/>
    <d v="2025-11-12T00:00:00"/>
    <x v="0"/>
    <x v="0"/>
    <s v="AI-Hadbania Trading Co."/>
    <x v="1"/>
    <x v="0"/>
    <x v="1"/>
    <x v="0"/>
    <x v="1"/>
    <n v="3487033.23"/>
    <x v="0"/>
    <n v="3487033.23"/>
    <n v="1989866.83"/>
    <n v="1497166.4"/>
    <n v="0"/>
    <n v="1497166.4"/>
    <x v="0"/>
    <m/>
    <d v="2026-06-30T00:00:00"/>
    <d v="2026-06-30T00:00:00"/>
    <x v="0"/>
    <x v="0"/>
    <x v="0"/>
    <x v="0"/>
    <x v="0"/>
    <x v="1"/>
    <x v="0"/>
    <x v="0"/>
    <x v="0"/>
  </r>
  <r>
    <s v="DCBWPM570384"/>
    <d v="2025-12-01T00:00:00"/>
    <x v="0"/>
    <x v="0"/>
    <s v="Daikin Air Conditioning Saudi Arabia "/>
    <x v="0"/>
    <x v="0"/>
    <x v="0"/>
    <x v="0"/>
    <x v="0"/>
    <n v="628258.81000000006"/>
    <x v="0"/>
    <n v="628258.81000000006"/>
    <n v="0"/>
    <n v="628258.81000000006"/>
    <n v="487718.69"/>
    <n v="140540.12"/>
    <x v="0"/>
    <s v="05/07/2026 , 24/08/2026"/>
    <d v="2026-06-30T00:00:00"/>
    <d v="2026-06-30T00:00:00"/>
    <x v="0"/>
    <x v="0"/>
    <x v="0"/>
    <x v="0"/>
    <x v="0"/>
    <x v="0"/>
    <x v="0"/>
    <x v="1"/>
    <x v="0"/>
  </r>
  <r>
    <s v="DCBWPM163961"/>
    <d v="2026-04-06T00:00:00"/>
    <x v="0"/>
    <x v="0"/>
    <s v="Ali Manea Alyami Trading Est."/>
    <x v="0"/>
    <x v="0"/>
    <x v="0"/>
    <x v="0"/>
    <x v="0"/>
    <n v="450000"/>
    <x v="0"/>
    <n v="450000"/>
    <n v="0"/>
    <n v="450000"/>
    <n v="0"/>
    <n v="450000"/>
    <x v="1"/>
    <m/>
    <d v="2026-06-30T00:00:00"/>
    <d v="2026-06-30T00:00:00"/>
    <x v="0"/>
    <x v="0"/>
    <x v="0"/>
    <x v="0"/>
    <x v="0"/>
    <x v="0"/>
    <x v="0"/>
    <x v="2"/>
    <x v="0"/>
  </r>
  <r>
    <s v="DCBWPM565843"/>
    <d v="2025-09-14T00:00:00"/>
    <x v="0"/>
    <x v="0"/>
    <s v="BAHRA ADVANCED CABLE MANUFACTURE CO. LTD."/>
    <x v="0"/>
    <x v="0"/>
    <x v="0"/>
    <x v="0"/>
    <x v="0"/>
    <n v="1500000"/>
    <x v="0"/>
    <n v="1500000"/>
    <n v="1071489.43"/>
    <n v="428510.57"/>
    <n v="427806.8"/>
    <n v="703.77"/>
    <x v="0"/>
    <s v="16/07/2026"/>
    <d v="2026-06-30T00:00:00"/>
    <d v="2026-06-30T00:00:00"/>
    <x v="0"/>
    <x v="0"/>
    <x v="0"/>
    <x v="0"/>
    <x v="0"/>
    <x v="0"/>
    <x v="0"/>
    <x v="1"/>
    <x v="0"/>
  </r>
  <r>
    <s v="DCBWPM163990"/>
    <d v="2026-04-06T00:00:00"/>
    <x v="0"/>
    <x v="0"/>
    <s v="Ajzal United for Safety CO.LTD."/>
    <x v="0"/>
    <x v="0"/>
    <x v="0"/>
    <x v="0"/>
    <x v="0"/>
    <n v="175000"/>
    <x v="0"/>
    <n v="175000"/>
    <n v="0"/>
    <n v="175000"/>
    <n v="0"/>
    <n v="175000"/>
    <x v="0"/>
    <m/>
    <d v="2026-06-30T00:00:00"/>
    <d v="2026-06-30T00:00:00"/>
    <x v="0"/>
    <x v="0"/>
    <x v="0"/>
    <x v="0"/>
    <x v="0"/>
    <x v="0"/>
    <x v="0"/>
    <x v="2"/>
    <x v="0"/>
  </r>
  <r>
    <s v="DCBWPM567556"/>
    <d v="2025-10-16T00:00:00"/>
    <x v="0"/>
    <x v="0"/>
    <s v="Building System Intelligent Est."/>
    <x v="0"/>
    <x v="0"/>
    <x v="0"/>
    <x v="0"/>
    <x v="0"/>
    <n v="558949"/>
    <x v="0"/>
    <n v="558949"/>
    <n v="300966.99"/>
    <n v="257982.01"/>
    <n v="106205.87"/>
    <n v="151776.14000000001"/>
    <x v="2"/>
    <s v="28/06/2026"/>
    <d v="2026-06-30T00:00:00"/>
    <d v="2026-06-30T00:00:00"/>
    <x v="0"/>
    <x v="0"/>
    <x v="0"/>
    <x v="0"/>
    <x v="0"/>
    <x v="0"/>
    <x v="0"/>
    <x v="1"/>
    <x v="0"/>
  </r>
  <r>
    <s v="DCBWPM163995"/>
    <d v="2026-04-06T00:00:00"/>
    <x v="0"/>
    <x v="0"/>
    <s v="Aknan Alkhair Tranding Est"/>
    <x v="0"/>
    <x v="0"/>
    <x v="0"/>
    <x v="0"/>
    <x v="0"/>
    <n v="125000"/>
    <x v="0"/>
    <n v="125000"/>
    <n v="0"/>
    <n v="125000"/>
    <n v="125000"/>
    <n v="0"/>
    <x v="0"/>
    <s v="19/07/2026"/>
    <d v="2026-06-30T00:00:00"/>
    <d v="2026-06-30T00:00:00"/>
    <x v="0"/>
    <x v="0"/>
    <x v="0"/>
    <x v="0"/>
    <x v="0"/>
    <x v="0"/>
    <x v="0"/>
    <x v="2"/>
    <x v="0"/>
  </r>
  <r>
    <s v="TF2523000034"/>
    <d v="2025-08-18T00:00:00"/>
    <x v="1"/>
    <x v="0"/>
    <s v="Al Arabia Construction &amp; Building Co."/>
    <x v="1"/>
    <x v="1"/>
    <x v="2"/>
    <x v="0"/>
    <x v="2"/>
    <n v="3009600"/>
    <x v="0"/>
    <n v="3009600"/>
    <n v="1850554.97"/>
    <n v="1159045.03"/>
    <n v="0"/>
    <n v="1159045.03"/>
    <x v="3"/>
    <m/>
    <d v="2026-08-18T00:00:00"/>
    <d v="2026-08-18T00:00:00"/>
    <x v="0"/>
    <x v="0"/>
    <x v="0"/>
    <x v="0"/>
    <x v="0"/>
    <x v="1"/>
    <x v="0"/>
    <x v="3"/>
    <x v="0"/>
  </r>
  <r>
    <s v="TF2610500019"/>
    <d v="2026-04-15T00:00:00"/>
    <x v="2"/>
    <x v="0"/>
    <s v="Anixter Saudi Arabia Ltd"/>
    <x v="1"/>
    <x v="2"/>
    <x v="3"/>
    <x v="0"/>
    <x v="3"/>
    <n v="5693645.4199999999"/>
    <x v="0"/>
    <n v="5693645.4199999999"/>
    <n v="0"/>
    <n v="5693645.4199999999"/>
    <n v="0"/>
    <n v="5693645.4199999999"/>
    <x v="4"/>
    <m/>
    <d v="2026-06-20T00:00:00"/>
    <d v="2026-06-20T00:00:00"/>
    <x v="0"/>
    <x v="0"/>
    <x v="0"/>
    <x v="1"/>
    <x v="1"/>
    <x v="1"/>
    <x v="0"/>
    <x v="4"/>
    <x v="0"/>
  </r>
  <r>
    <s v="J212228"/>
    <d v="2026-04-28T00:00:00"/>
    <x v="3"/>
    <x v="0"/>
    <s v="Al Dhow Gulf Company for Trading and Contracting Ltd"/>
    <x v="2"/>
    <x v="3"/>
    <x v="4"/>
    <x v="0"/>
    <x v="4"/>
    <n v="6000000"/>
    <x v="0"/>
    <n v="6000000"/>
    <n v="0"/>
    <n v="6000000"/>
    <n v="0"/>
    <n v="6000000"/>
    <x v="0"/>
    <m/>
    <d v="2026-10-30T00:00:00"/>
    <d v="2026-10-30T00:00:00"/>
    <x v="0"/>
    <x v="0"/>
    <x v="0"/>
    <x v="0"/>
    <x v="0"/>
    <x v="2"/>
    <x v="0"/>
    <x v="5"/>
    <x v="0"/>
  </r>
  <r>
    <s v="ILC-0840-25-8159"/>
    <d v="2025-08-26T00:00:00"/>
    <x v="4"/>
    <x v="0"/>
    <s v="AL FALWA CO. LTD. FOR READYMIX CONCRETE"/>
    <x v="3"/>
    <x v="1"/>
    <x v="5"/>
    <x v="0"/>
    <x v="5"/>
    <n v="10000000"/>
    <x v="0"/>
    <n v="10000000"/>
    <n v="2924152.4000000004"/>
    <n v="7075847.5999999996"/>
    <n v="0"/>
    <n v="7075847.5999999996"/>
    <x v="0"/>
    <m/>
    <d v="2026-12-31T00:00:00"/>
    <d v="2026-12-31T00:00:00"/>
    <x v="0"/>
    <x v="0"/>
    <x v="0"/>
    <x v="0"/>
    <x v="0"/>
    <x v="3"/>
    <x v="0"/>
    <x v="4"/>
    <x v="0"/>
  </r>
  <r>
    <s v="DCBWPM163999"/>
    <d v="2026-04-06T00:00:00"/>
    <x v="0"/>
    <x v="0"/>
    <s v="Al Maymanah For Contracting Co. Ltd."/>
    <x v="0"/>
    <x v="0"/>
    <x v="0"/>
    <x v="0"/>
    <x v="0"/>
    <n v="500000"/>
    <x v="0"/>
    <n v="500000"/>
    <n v="0"/>
    <n v="500000"/>
    <n v="500000"/>
    <n v="0"/>
    <x v="0"/>
    <s v="14/07/2026"/>
    <d v="2026-06-30T00:00:00"/>
    <d v="2026-06-30T00:00:00"/>
    <x v="0"/>
    <x v="0"/>
    <x v="0"/>
    <x v="0"/>
    <x v="0"/>
    <x v="0"/>
    <x v="0"/>
    <x v="2"/>
    <x v="0"/>
  </r>
  <r>
    <s v="DCBWPM162992"/>
    <d v="2026-03-05T00:00:00"/>
    <x v="0"/>
    <x v="0"/>
    <s v="Al NAKHEEL FOR TRADING COMPANY"/>
    <x v="0"/>
    <x v="0"/>
    <x v="0"/>
    <x v="0"/>
    <x v="0"/>
    <n v="1870380.07"/>
    <x v="0"/>
    <n v="1870380.07"/>
    <n v="0"/>
    <n v="1870380.07"/>
    <n v="1309266"/>
    <n v="561114.06999999995"/>
    <x v="0"/>
    <s v="08/07/2026"/>
    <d v="2026-08-31T00:00:00"/>
    <d v="2026-08-31T00:00:00"/>
    <x v="0"/>
    <x v="0"/>
    <x v="0"/>
    <x v="0"/>
    <x v="0"/>
    <x v="0"/>
    <x v="0"/>
    <x v="0"/>
    <x v="0"/>
  </r>
  <r>
    <s v="J211836"/>
    <d v="2026-01-20T00:00:00"/>
    <x v="3"/>
    <x v="0"/>
    <s v="Al Talal Modern Est"/>
    <x v="2"/>
    <x v="3"/>
    <x v="4"/>
    <x v="0"/>
    <x v="4"/>
    <n v="400000"/>
    <x v="0"/>
    <n v="400000"/>
    <n v="0"/>
    <n v="400000"/>
    <n v="0"/>
    <n v="400000"/>
    <x v="0"/>
    <m/>
    <d v="2026-05-31T00:00:00"/>
    <d v="2026-05-21T00:00:00"/>
    <x v="0"/>
    <x v="0"/>
    <x v="0"/>
    <x v="0"/>
    <x v="0"/>
    <x v="2"/>
    <x v="0"/>
    <x v="5"/>
    <x v="0"/>
  </r>
  <r>
    <s v="JLC7000007"/>
    <d v="2026-01-01T00:00:00"/>
    <x v="5"/>
    <x v="0"/>
    <s v="ALFANAR ELECTRICAL SYSTEMS"/>
    <x v="4"/>
    <x v="0"/>
    <x v="6"/>
    <x v="0"/>
    <x v="6"/>
    <n v="1044853.45"/>
    <x v="0"/>
    <n v="1044853.45"/>
    <n v="0"/>
    <n v="1044853.45"/>
    <n v="567743.27"/>
    <n v="477110.18"/>
    <x v="0"/>
    <s v="02/08/2026"/>
    <d v="2026-10-01T00:00:00"/>
    <d v="2026-10-01T00:00:00"/>
    <x v="0"/>
    <x v="0"/>
    <x v="0"/>
    <x v="0"/>
    <x v="0"/>
    <x v="4"/>
    <x v="0"/>
    <x v="6"/>
    <x v="0"/>
  </r>
  <r>
    <s v="ILC-0840-26-8820"/>
    <d v="2026-01-11T00:00:00"/>
    <x v="0"/>
    <x v="0"/>
    <s v="ALFANAR ELECTRICAL SYSTEMS"/>
    <x v="3"/>
    <x v="0"/>
    <x v="5"/>
    <x v="0"/>
    <x v="5"/>
    <n v="1500000"/>
    <x v="0"/>
    <n v="1500000"/>
    <n v="1478254.88"/>
    <n v="21745.119999999999"/>
    <n v="0"/>
    <n v="21745.119999999999"/>
    <x v="0"/>
    <m/>
    <d v="2026-05-31T00:00:00"/>
    <d v="2026-05-31T00:00:00"/>
    <x v="0"/>
    <x v="0"/>
    <x v="0"/>
    <x v="0"/>
    <x v="0"/>
    <x v="3"/>
    <x v="0"/>
    <x v="0"/>
    <x v="0"/>
  </r>
  <r>
    <s v="DCBWPM160340"/>
    <d v="2026-01-18T00:00:00"/>
    <x v="6"/>
    <x v="0"/>
    <s v="AlJammaz Hydrotek"/>
    <x v="5"/>
    <x v="4"/>
    <x v="7"/>
    <x v="0"/>
    <x v="7"/>
    <n v="1269458.03"/>
    <x v="0"/>
    <n v="1269458.03"/>
    <n v="0"/>
    <n v="1269458.03"/>
    <n v="0"/>
    <n v="1269458.03"/>
    <x v="0"/>
    <m/>
    <d v="2026-06-01T00:00:00"/>
    <d v="2026-05-10T00:00:00"/>
    <x v="0"/>
    <x v="0"/>
    <x v="0"/>
    <x v="0"/>
    <x v="0"/>
    <x v="0"/>
    <x v="0"/>
    <x v="7"/>
    <x v="0"/>
  </r>
  <r>
    <s v="ILC-0840-25-8427"/>
    <d v="2025-10-21T00:00:00"/>
    <x v="4"/>
    <x v="1"/>
    <s v="Alrashid Trading and Contracting Company"/>
    <x v="3"/>
    <x v="1"/>
    <x v="5"/>
    <x v="0"/>
    <x v="5"/>
    <n v="16731764"/>
    <x v="0"/>
    <n v="16731764"/>
    <n v="5732513.5999999996"/>
    <n v="10999250.4"/>
    <n v="0"/>
    <n v="10999250.4"/>
    <x v="5"/>
    <m/>
    <d v="2026-06-26T00:00:00"/>
    <d v="2026-06-26T00:00:00"/>
    <x v="0"/>
    <x v="0"/>
    <x v="0"/>
    <x v="0"/>
    <x v="2"/>
    <x v="3"/>
    <x v="0"/>
    <x v="8"/>
    <x v="0"/>
  </r>
  <r>
    <s v="DCBWPM566634"/>
    <d v="2025-09-29T00:00:00"/>
    <x v="0"/>
    <x v="0"/>
    <s v="BROOQ ALAMAAN TRAD COMPANY"/>
    <x v="0"/>
    <x v="0"/>
    <x v="0"/>
    <x v="0"/>
    <x v="0"/>
    <n v="400000"/>
    <x v="0"/>
    <n v="400000"/>
    <n v="347240.48"/>
    <n v="52759.519999999997"/>
    <n v="52759.519999999997"/>
    <n v="0"/>
    <x v="0"/>
    <s v="03/08/2026"/>
    <d v="2026-04-30T00:00:00"/>
    <d v="2026-04-30T00:00:00"/>
    <x v="0"/>
    <x v="0"/>
    <x v="0"/>
    <x v="0"/>
    <x v="0"/>
    <x v="0"/>
    <x v="0"/>
    <x v="1"/>
    <x v="0"/>
  </r>
  <r>
    <s v="J211485"/>
    <d v="2025-11-06T00:00:00"/>
    <x v="7"/>
    <x v="0"/>
    <s v="ALNAFIE METAL INDUSTRIES CO LTD"/>
    <x v="2"/>
    <x v="5"/>
    <x v="4"/>
    <x v="0"/>
    <x v="4"/>
    <n v="18703391.850000001"/>
    <x v="0"/>
    <n v="18703391.850000001"/>
    <n v="17787660.100000001"/>
    <n v="915731.75"/>
    <n v="0"/>
    <n v="915731.75"/>
    <x v="6"/>
    <m/>
    <d v="2026-08-31T00:00:00"/>
    <d v="2026-08-31T00:00:00"/>
    <x v="0"/>
    <x v="0"/>
    <x v="0"/>
    <x v="0"/>
    <x v="0"/>
    <x v="2"/>
    <x v="0"/>
    <x v="9"/>
    <x v="0"/>
  </r>
  <r>
    <s v="DCBWPM160342"/>
    <d v="2026-01-14T00:00:00"/>
    <x v="0"/>
    <x v="0"/>
    <s v="BROOQ ALAMAAN TRAD COMPANY"/>
    <x v="0"/>
    <x v="0"/>
    <x v="0"/>
    <x v="0"/>
    <x v="0"/>
    <n v="500000"/>
    <x v="0"/>
    <n v="500000"/>
    <n v="0"/>
    <n v="500000"/>
    <n v="365011.38"/>
    <n v="134988.62"/>
    <x v="0"/>
    <s v="05/07/2026"/>
    <d v="2026-06-30T00:00:00"/>
    <d v="2026-06-30T00:00:00"/>
    <x v="0"/>
    <x v="0"/>
    <x v="0"/>
    <x v="0"/>
    <x v="0"/>
    <x v="0"/>
    <x v="0"/>
    <x v="0"/>
    <x v="0"/>
  </r>
  <r>
    <s v="J212139"/>
    <d v="2026-04-12T00:00:00"/>
    <x v="7"/>
    <x v="0"/>
    <s v="ALNAFIE METAL INDUSTRIES CO LTD"/>
    <x v="2"/>
    <x v="6"/>
    <x v="4"/>
    <x v="0"/>
    <x v="4"/>
    <n v="7446132.75"/>
    <x v="0"/>
    <n v="7446132.75"/>
    <n v="2500000"/>
    <n v="4946132.75"/>
    <n v="0"/>
    <n v="4946132.75"/>
    <x v="0"/>
    <m/>
    <d v="2026-09-30T00:00:00"/>
    <d v="2026-08-31T00:00:00"/>
    <x v="0"/>
    <x v="0"/>
    <x v="0"/>
    <x v="0"/>
    <x v="0"/>
    <x v="2"/>
    <x v="0"/>
    <x v="4"/>
    <x v="0"/>
  </r>
  <r>
    <s v="DCBWPM563232"/>
    <d v="2025-08-05T00:00:00"/>
    <x v="8"/>
    <x v="0"/>
    <s v="Alshrkt Mzaya Almttwrt Alsnaayt shkhs Wahd"/>
    <x v="6"/>
    <x v="0"/>
    <x v="7"/>
    <x v="0"/>
    <x v="7"/>
    <n v="500000"/>
    <x v="0"/>
    <n v="500000"/>
    <n v="98871.6"/>
    <n v="401128.4"/>
    <n v="0"/>
    <n v="401128.4"/>
    <x v="0"/>
    <m/>
    <d v="2026-06-30T00:00:00"/>
    <d v="2026-06-30T00:00:00"/>
    <x v="0"/>
    <x v="0"/>
    <x v="0"/>
    <x v="0"/>
    <x v="0"/>
    <x v="0"/>
    <x v="0"/>
    <x v="10"/>
    <x v="0"/>
  </r>
  <r>
    <s v="J211681"/>
    <d v="2025-12-18T00:00:00"/>
    <x v="7"/>
    <x v="0"/>
    <s v="APS ARABIAN CONTRACTING COMPANY"/>
    <x v="2"/>
    <x v="5"/>
    <x v="4"/>
    <x v="0"/>
    <x v="4"/>
    <n v="2072033.2"/>
    <x v="0"/>
    <n v="2072033.2"/>
    <n v="463730.6"/>
    <n v="1608302.6"/>
    <n v="652505.4"/>
    <n v="955797.2"/>
    <x v="0"/>
    <s v="02/07/2026"/>
    <d v="2026-09-30T00:00:00"/>
    <d v="2026-09-30T00:00:00"/>
    <x v="0"/>
    <x v="0"/>
    <x v="0"/>
    <x v="0"/>
    <x v="0"/>
    <x v="2"/>
    <x v="0"/>
    <x v="4"/>
    <x v="0"/>
  </r>
  <r>
    <s v="TF2610500016"/>
    <d v="2026-04-15T00:00:00"/>
    <x v="2"/>
    <x v="0"/>
    <s v="APTEC SAUDI ARABIA"/>
    <x v="1"/>
    <x v="2"/>
    <x v="3"/>
    <x v="0"/>
    <x v="3"/>
    <n v="5120131"/>
    <x v="0"/>
    <n v="5120131"/>
    <n v="0"/>
    <n v="5120131"/>
    <n v="0"/>
    <n v="5120131"/>
    <x v="0"/>
    <m/>
    <d v="2026-08-31T00:00:00"/>
    <d v="2025-10-25T00:00:00"/>
    <x v="0"/>
    <x v="0"/>
    <x v="0"/>
    <x v="2"/>
    <x v="1"/>
    <x v="1"/>
    <x v="0"/>
    <x v="4"/>
    <x v="0"/>
  </r>
  <r>
    <s v="JLC6701731"/>
    <d v="2023-08-30T00:00:00"/>
    <x v="9"/>
    <x v="0"/>
    <s v="ATELIER HOSPITALITY SRL"/>
    <x v="7"/>
    <x v="1"/>
    <x v="8"/>
    <x v="1"/>
    <x v="8"/>
    <n v="50762045.400000006"/>
    <x v="1"/>
    <n v="211576205.22720003"/>
    <n v="210445911.24020118"/>
    <n v="1130293.99"/>
    <n v="0"/>
    <n v="1130293.99"/>
    <x v="0"/>
    <m/>
    <d v="2026-06-30T00:00:00"/>
    <d v="2025-04-15T00:00:00"/>
    <x v="0"/>
    <x v="0"/>
    <x v="1"/>
    <x v="0"/>
    <x v="0"/>
    <x v="4"/>
    <x v="1"/>
    <x v="11"/>
    <x v="0"/>
  </r>
  <r>
    <s v="DCBWPM160363"/>
    <d v="2026-01-14T00:00:00"/>
    <x v="0"/>
    <x v="0"/>
    <s v="Arabian International Company For Contracting"/>
    <x v="0"/>
    <x v="0"/>
    <x v="0"/>
    <x v="0"/>
    <x v="0"/>
    <n v="900000"/>
    <x v="0"/>
    <n v="900000"/>
    <n v="0"/>
    <n v="900000"/>
    <n v="900000"/>
    <n v="0"/>
    <x v="0"/>
    <s v="30/08/2026"/>
    <d v="2026-06-30T00:00:00"/>
    <d v="2026-06-30T00:00:00"/>
    <x v="0"/>
    <x v="0"/>
    <x v="0"/>
    <x v="0"/>
    <x v="0"/>
    <x v="0"/>
    <x v="0"/>
    <x v="0"/>
    <x v="0"/>
  </r>
  <r>
    <s v="DCBWPM163953"/>
    <d v="2026-04-06T00:00:00"/>
    <x v="0"/>
    <x v="0"/>
    <s v="Atiaf International Trading Company"/>
    <x v="0"/>
    <x v="0"/>
    <x v="0"/>
    <x v="0"/>
    <x v="0"/>
    <n v="150000"/>
    <x v="0"/>
    <n v="150000"/>
    <n v="0"/>
    <n v="150000"/>
    <n v="93855.09"/>
    <n v="56144.91"/>
    <x v="7"/>
    <s v="01/08/2026"/>
    <d v="2026-06-30T00:00:00"/>
    <d v="2026-06-30T00:00:00"/>
    <x v="0"/>
    <x v="0"/>
    <x v="0"/>
    <x v="0"/>
    <x v="0"/>
    <x v="0"/>
    <x v="0"/>
    <x v="2"/>
    <x v="0"/>
  </r>
  <r>
    <s v="TF2606300014"/>
    <d v="2026-03-04T00:00:00"/>
    <x v="1"/>
    <x v="0"/>
    <s v="Awtad Jeddah for General Contracting Company"/>
    <x v="1"/>
    <x v="1"/>
    <x v="2"/>
    <x v="0"/>
    <x v="2"/>
    <n v="2495972.17"/>
    <x v="0"/>
    <n v="2495972.17"/>
    <n v="1548792.03"/>
    <n v="947180.14"/>
    <n v="0"/>
    <n v="947180.14"/>
    <x v="0"/>
    <m/>
    <d v="2026-08-01T00:00:00"/>
    <d v="2026-08-01T00:00:00"/>
    <x v="0"/>
    <x v="0"/>
    <x v="0"/>
    <x v="0"/>
    <x v="0"/>
    <x v="1"/>
    <x v="0"/>
    <x v="7"/>
    <x v="0"/>
  </r>
  <r>
    <s v="ILC-0840-25-7736"/>
    <d v="2025-05-27T00:00:00"/>
    <x v="0"/>
    <x v="0"/>
    <s v="Baamer Group for Trading Company"/>
    <x v="3"/>
    <x v="0"/>
    <x v="5"/>
    <x v="0"/>
    <x v="5"/>
    <n v="312828.75"/>
    <x v="0"/>
    <n v="312828.75"/>
    <n v="262776.15000000002"/>
    <n v="50052.6"/>
    <n v="0"/>
    <n v="50052.6"/>
    <x v="0"/>
    <m/>
    <d v="2026-06-30T00:00:00"/>
    <d v="2026-06-30T00:00:00"/>
    <x v="0"/>
    <x v="0"/>
    <x v="0"/>
    <x v="0"/>
    <x v="0"/>
    <x v="3"/>
    <x v="0"/>
    <x v="9"/>
    <x v="0"/>
  </r>
  <r>
    <s v="DCBWPM164007"/>
    <d v="2026-04-06T00:00:00"/>
    <x v="0"/>
    <x v="0"/>
    <s v="Bahra Advanced Cable Manufacture Co."/>
    <x v="0"/>
    <x v="0"/>
    <x v="0"/>
    <x v="0"/>
    <x v="0"/>
    <n v="1000000"/>
    <x v="0"/>
    <n v="1000000"/>
    <n v="0"/>
    <n v="1000000"/>
    <n v="0"/>
    <n v="1000000"/>
    <x v="0"/>
    <m/>
    <d v="2026-06-30T00:00:00"/>
    <d v="2026-06-30T00:00:00"/>
    <x v="0"/>
    <x v="0"/>
    <x v="0"/>
    <x v="0"/>
    <x v="0"/>
    <x v="0"/>
    <x v="0"/>
    <x v="2"/>
    <x v="0"/>
  </r>
  <r>
    <s v="DCBWPM160343"/>
    <d v="2026-01-15T00:00:00"/>
    <x v="0"/>
    <x v="0"/>
    <s v="BAHRA ADVANCED CABLE MANUFACTURE CO. LTD"/>
    <x v="0"/>
    <x v="0"/>
    <x v="0"/>
    <x v="0"/>
    <x v="0"/>
    <n v="1500000"/>
    <x v="0"/>
    <n v="1500000"/>
    <n v="0"/>
    <n v="1500000"/>
    <n v="1377731.72"/>
    <n v="122268.28"/>
    <x v="0"/>
    <s v="02/08/2026"/>
    <d v="2026-06-30T00:00:00"/>
    <d v="2026-06-30T00:00:00"/>
    <x v="0"/>
    <x v="0"/>
    <x v="0"/>
    <x v="0"/>
    <x v="0"/>
    <x v="0"/>
    <x v="0"/>
    <x v="0"/>
    <x v="0"/>
  </r>
  <r>
    <s v="J212140"/>
    <d v="2026-04-12T00:00:00"/>
    <x v="3"/>
    <x v="0"/>
    <s v="Electric House Trading Company L.L.C."/>
    <x v="2"/>
    <x v="3"/>
    <x v="4"/>
    <x v="0"/>
    <x v="4"/>
    <n v="2193076"/>
    <x v="0"/>
    <n v="2193076"/>
    <n v="0"/>
    <n v="2193076"/>
    <n v="2193076"/>
    <n v="0"/>
    <x v="0"/>
    <s v="19/07/2026"/>
    <d v="2026-05-30T00:00:00"/>
    <d v="2026-05-30T00:00:00"/>
    <x v="0"/>
    <x v="0"/>
    <x v="0"/>
    <x v="0"/>
    <x v="3"/>
    <x v="2"/>
    <x v="0"/>
    <x v="12"/>
    <x v="0"/>
  </r>
  <r>
    <s v="J209958"/>
    <d v="2025-01-27T00:00:00"/>
    <x v="1"/>
    <x v="0"/>
    <s v="Banan Thiba Trading Est (BTT)"/>
    <x v="2"/>
    <x v="0"/>
    <x v="9"/>
    <x v="0"/>
    <x v="9"/>
    <n v="900000"/>
    <x v="0"/>
    <n v="900000"/>
    <n v="781791.28"/>
    <n v="118208.72"/>
    <n v="0"/>
    <n v="118208.72"/>
    <x v="0"/>
    <m/>
    <d v="2026-06-30T00:00:00"/>
    <d v="2026-06-30T00:00:00"/>
    <x v="0"/>
    <x v="0"/>
    <x v="0"/>
    <x v="0"/>
    <x v="0"/>
    <x v="2"/>
    <x v="0"/>
    <x v="9"/>
    <x v="0"/>
  </r>
  <r>
    <s v="TF2609900016"/>
    <d v="2026-04-09T00:00:00"/>
    <x v="10"/>
    <x v="0"/>
    <s v="Depa Saudi Arabia for Contracting and Interior Decorating Co. Ltd."/>
    <x v="1"/>
    <x v="1"/>
    <x v="1"/>
    <x v="0"/>
    <x v="1"/>
    <n v="20000000"/>
    <x v="0"/>
    <n v="20000000"/>
    <n v="0"/>
    <n v="20000000"/>
    <n v="8237108.9800000004"/>
    <n v="11762891.02"/>
    <x v="0"/>
    <s v="20/07/2026 , 10/08/2026"/>
    <d v="2026-10-31T00:00:00"/>
    <d v="2026-10-31T00:00:00"/>
    <x v="0"/>
    <x v="0"/>
    <x v="0"/>
    <x v="0"/>
    <x v="0"/>
    <x v="1"/>
    <x v="0"/>
    <x v="9"/>
    <x v="0"/>
  </r>
  <r>
    <s v="J210104"/>
    <d v="2025-03-11T00:00:00"/>
    <x v="11"/>
    <x v="0"/>
    <s v="BBH-CHEMTROL INTERNATIONAL ORGANIZATION S.L"/>
    <x v="2"/>
    <x v="3"/>
    <x v="4"/>
    <x v="1"/>
    <x v="4"/>
    <n v="10500000"/>
    <x v="2"/>
    <n v="42588000"/>
    <n v="12335918.542009998"/>
    <n v="30252081.460000001"/>
    <n v="9527337.3100000005"/>
    <n v="20724744.149999999"/>
    <x v="0"/>
    <s v="25/06/2026 , 29/06/2026"/>
    <d v="2027-01-21T00:00:00"/>
    <d v="2026-12-09T00:00:00"/>
    <x v="0"/>
    <x v="0"/>
    <x v="0"/>
    <x v="0"/>
    <x v="4"/>
    <x v="2"/>
    <x v="0"/>
    <x v="13"/>
    <x v="0"/>
  </r>
  <r>
    <s v="TF2535900016"/>
    <d v="2025-12-25T00:00:00"/>
    <x v="12"/>
    <x v="0"/>
    <s v="BBH-CHEMTROL INTERNATIONAL ORGANIZATION S.L"/>
    <x v="1"/>
    <x v="2"/>
    <x v="1"/>
    <x v="1"/>
    <x v="1"/>
    <n v="1687320.39"/>
    <x v="3"/>
    <n v="7592941.7549999999"/>
    <n v="703586.90607999999"/>
    <n v="6889354.8499999996"/>
    <n v="0"/>
    <n v="6889354.8499999996"/>
    <x v="8"/>
    <m/>
    <d v="2026-12-25T00:00:00"/>
    <d v="2026-12-25T00:00:00"/>
    <x v="0"/>
    <x v="0"/>
    <x v="0"/>
    <x v="0"/>
    <x v="0"/>
    <x v="1"/>
    <x v="0"/>
    <x v="4"/>
    <x v="0"/>
  </r>
  <r>
    <s v="TF2527100025"/>
    <d v="2025-09-28T00:00:00"/>
    <x v="1"/>
    <x v="0"/>
    <s v="BRC Industrial (Saudia) Company"/>
    <x v="1"/>
    <x v="1"/>
    <x v="2"/>
    <x v="0"/>
    <x v="2"/>
    <n v="2074312.5"/>
    <x v="0"/>
    <n v="2074312.5"/>
    <n v="1365320.5099999998"/>
    <n v="708991.99"/>
    <n v="0"/>
    <n v="708991.99"/>
    <x v="0"/>
    <m/>
    <d v="2026-06-28T00:00:00"/>
    <d v="2026-06-28T00:00:00"/>
    <x v="0"/>
    <x v="0"/>
    <x v="0"/>
    <x v="0"/>
    <x v="5"/>
    <x v="1"/>
    <x v="0"/>
    <x v="1"/>
    <x v="0"/>
  </r>
  <r>
    <s v="DCBWPM562604"/>
    <d v="2025-07-24T00:00:00"/>
    <x v="0"/>
    <x v="0"/>
    <s v="BROOQ ALAMAAN TRAD COMPANY"/>
    <x v="0"/>
    <x v="0"/>
    <x v="0"/>
    <x v="0"/>
    <x v="0"/>
    <n v="300000.01"/>
    <x v="0"/>
    <n v="300000.01"/>
    <n v="137792.10999999999"/>
    <n v="162207.9"/>
    <n v="0"/>
    <n v="162207.9"/>
    <x v="0"/>
    <m/>
    <d v="2026-06-30T00:00:00"/>
    <d v="2026-06-30T00:00:00"/>
    <x v="0"/>
    <x v="0"/>
    <x v="0"/>
    <x v="0"/>
    <x v="0"/>
    <x v="0"/>
    <x v="0"/>
    <x v="1"/>
    <x v="0"/>
  </r>
  <r>
    <s v="J211987"/>
    <d v="2026-02-26T00:00:00"/>
    <x v="3"/>
    <x v="0"/>
    <s v="Building System Intelligent Contractor BSICO"/>
    <x v="2"/>
    <x v="3"/>
    <x v="4"/>
    <x v="0"/>
    <x v="4"/>
    <n v="274384"/>
    <x v="0"/>
    <n v="274384"/>
    <n v="0"/>
    <n v="274384"/>
    <n v="0"/>
    <n v="274384"/>
    <x v="0"/>
    <m/>
    <d v="2026-06-01T00:00:00"/>
    <d v="2026-05-15T00:00:00"/>
    <x v="0"/>
    <x v="0"/>
    <x v="0"/>
    <x v="0"/>
    <x v="0"/>
    <x v="2"/>
    <x v="0"/>
    <x v="14"/>
    <x v="0"/>
  </r>
  <r>
    <s v="ILC-0840-26-8758"/>
    <d v="2026-01-01T00:00:00"/>
    <x v="4"/>
    <x v="0"/>
    <s v="Green Concrete CJSC"/>
    <x v="3"/>
    <x v="1"/>
    <x v="5"/>
    <x v="0"/>
    <x v="5"/>
    <n v="5802900"/>
    <x v="0"/>
    <n v="5802900"/>
    <n v="495832.85"/>
    <n v="5307067.1500000004"/>
    <n v="112200.9"/>
    <n v="5194866.25"/>
    <x v="9"/>
    <s v="12/07/2026"/>
    <d v="2026-12-31T00:00:00"/>
    <d v="2026-12-31T00:00:00"/>
    <x v="0"/>
    <x v="0"/>
    <x v="0"/>
    <x v="0"/>
    <x v="0"/>
    <x v="3"/>
    <x v="0"/>
    <x v="4"/>
    <x v="0"/>
  </r>
  <r>
    <s v="ILC-0840-25-7981"/>
    <d v="2025-07-17T00:00:00"/>
    <x v="0"/>
    <x v="0"/>
    <s v="Ealla For General Contracting"/>
    <x v="3"/>
    <x v="0"/>
    <x v="5"/>
    <x v="0"/>
    <x v="5"/>
    <n v="101623.2"/>
    <x v="0"/>
    <n v="101623.2"/>
    <n v="0"/>
    <n v="101623.2"/>
    <n v="0"/>
    <n v="101623.2"/>
    <x v="0"/>
    <m/>
    <d v="2026-06-30T00:00:00"/>
    <d v="2026-06-30T00:00:00"/>
    <x v="0"/>
    <x v="0"/>
    <x v="0"/>
    <x v="0"/>
    <x v="0"/>
    <x v="3"/>
    <x v="0"/>
    <x v="9"/>
    <x v="0"/>
  </r>
  <r>
    <s v="DCBWPM555620"/>
    <d v="2025-04-13T00:00:00"/>
    <x v="0"/>
    <x v="0"/>
    <s v="Rawadf International Co."/>
    <x v="0"/>
    <x v="0"/>
    <x v="0"/>
    <x v="0"/>
    <x v="0"/>
    <n v="1000000"/>
    <x v="0"/>
    <n v="1000000"/>
    <n v="732234.90999999992"/>
    <n v="267765.09000000003"/>
    <n v="0"/>
    <n v="267765.09000000003"/>
    <x v="10"/>
    <m/>
    <d v="2026-06-30T00:00:00"/>
    <d v="2026-06-30T00:00:00"/>
    <x v="0"/>
    <x v="0"/>
    <x v="0"/>
    <x v="0"/>
    <x v="0"/>
    <x v="0"/>
    <x v="0"/>
    <x v="4"/>
    <x v="0"/>
  </r>
  <r>
    <s v="DCBWPM164009"/>
    <d v="2026-04-06T00:00:00"/>
    <x v="0"/>
    <x v="0"/>
    <s v="Electric House Trading Company L.L.C."/>
    <x v="0"/>
    <x v="0"/>
    <x v="0"/>
    <x v="0"/>
    <x v="0"/>
    <n v="1000000"/>
    <x v="0"/>
    <n v="1000000"/>
    <n v="0"/>
    <n v="1000000"/>
    <n v="0"/>
    <n v="1000000"/>
    <x v="11"/>
    <m/>
    <d v="2026-06-30T00:00:00"/>
    <d v="2026-06-30T00:00:00"/>
    <x v="0"/>
    <x v="0"/>
    <x v="0"/>
    <x v="0"/>
    <x v="0"/>
    <x v="0"/>
    <x v="0"/>
    <x v="2"/>
    <x v="0"/>
  </r>
  <r>
    <s v="DCBWPM164001"/>
    <d v="2026-04-06T00:00:00"/>
    <x v="0"/>
    <x v="0"/>
    <s v="Elsewedy Cables Co. Limited"/>
    <x v="0"/>
    <x v="0"/>
    <x v="0"/>
    <x v="0"/>
    <x v="0"/>
    <n v="1000000"/>
    <x v="0"/>
    <n v="1000000"/>
    <n v="0"/>
    <n v="1000000"/>
    <n v="995984.82"/>
    <n v="4015.18"/>
    <x v="0"/>
    <s v="30/08/2026"/>
    <d v="2026-06-30T00:00:00"/>
    <d v="2026-06-30T00:00:00"/>
    <x v="0"/>
    <x v="0"/>
    <x v="0"/>
    <x v="0"/>
    <x v="0"/>
    <x v="0"/>
    <x v="0"/>
    <x v="2"/>
    <x v="0"/>
  </r>
  <r>
    <s v="J211810"/>
    <d v="2026-01-18T00:00:00"/>
    <x v="3"/>
    <x v="0"/>
    <s v="Electro Mechanical Supplies Company"/>
    <x v="2"/>
    <x v="3"/>
    <x v="4"/>
    <x v="0"/>
    <x v="4"/>
    <n v="400000"/>
    <x v="0"/>
    <n v="400000"/>
    <n v="400000"/>
    <n v="0"/>
    <n v="0"/>
    <n v="0"/>
    <x v="0"/>
    <m/>
    <d v="2026-05-30T00:00:00"/>
    <d v="2026-05-15T00:00:00"/>
    <x v="0"/>
    <x v="0"/>
    <x v="0"/>
    <x v="0"/>
    <x v="0"/>
    <x v="2"/>
    <x v="0"/>
    <x v="12"/>
    <x v="0"/>
  </r>
  <r>
    <s v="DCBWPM163971"/>
    <d v="2026-04-06T00:00:00"/>
    <x v="0"/>
    <x v="0"/>
    <s v="Elmady Solution Company"/>
    <x v="0"/>
    <x v="0"/>
    <x v="0"/>
    <x v="0"/>
    <x v="0"/>
    <n v="150000"/>
    <x v="0"/>
    <n v="150000"/>
    <n v="0"/>
    <n v="150000"/>
    <n v="0"/>
    <n v="150000"/>
    <x v="0"/>
    <m/>
    <d v="2026-06-30T00:00:00"/>
    <d v="2026-06-30T00:00:00"/>
    <x v="0"/>
    <x v="0"/>
    <x v="0"/>
    <x v="0"/>
    <x v="0"/>
    <x v="0"/>
    <x v="0"/>
    <x v="2"/>
    <x v="0"/>
  </r>
  <r>
    <s v="DCBWPM563374"/>
    <d v="2025-08-06T00:00:00"/>
    <x v="8"/>
    <x v="0"/>
    <s v="EVOLVING CONSTELLATION CO. FOR ENERGY"/>
    <x v="6"/>
    <x v="0"/>
    <x v="7"/>
    <x v="0"/>
    <x v="7"/>
    <n v="550000.15"/>
    <x v="0"/>
    <n v="550000.15"/>
    <n v="482497.13"/>
    <n v="67503.02"/>
    <n v="0"/>
    <n v="67503.02"/>
    <x v="0"/>
    <m/>
    <d v="2026-06-30T00:00:00"/>
    <d v="2026-06-30T00:00:00"/>
    <x v="0"/>
    <x v="0"/>
    <x v="0"/>
    <x v="0"/>
    <x v="0"/>
    <x v="0"/>
    <x v="0"/>
    <x v="15"/>
    <x v="0"/>
  </r>
  <r>
    <s v="TF2526500019"/>
    <d v="2025-09-24T00:00:00"/>
    <x v="1"/>
    <x v="0"/>
    <s v="Future Pipe Industries LLC"/>
    <x v="1"/>
    <x v="1"/>
    <x v="2"/>
    <x v="0"/>
    <x v="2"/>
    <n v="5308039.3600000003"/>
    <x v="0"/>
    <n v="5308039.3600000003"/>
    <n v="5072714.3"/>
    <n v="235325.06"/>
    <n v="0"/>
    <n v="235325.06"/>
    <x v="0"/>
    <m/>
    <d v="2026-06-21T00:00:00"/>
    <d v="2026-05-31T00:00:00"/>
    <x v="0"/>
    <x v="0"/>
    <x v="0"/>
    <x v="0"/>
    <x v="0"/>
    <x v="1"/>
    <x v="0"/>
    <x v="14"/>
    <x v="0"/>
  </r>
  <r>
    <s v="TF2514700033"/>
    <d v="2025-05-27T00:00:00"/>
    <x v="0"/>
    <x v="0"/>
    <s v="GAS SOLUTIONS"/>
    <x v="1"/>
    <x v="0"/>
    <x v="1"/>
    <x v="0"/>
    <x v="1"/>
    <n v="381276.62"/>
    <x v="0"/>
    <n v="381276.62"/>
    <n v="140641.01"/>
    <n v="240635.61"/>
    <n v="0"/>
    <n v="240635.61"/>
    <x v="0"/>
    <m/>
    <d v="2026-05-27T00:00:00"/>
    <d v="2026-05-27T00:00:00"/>
    <x v="0"/>
    <x v="0"/>
    <x v="0"/>
    <x v="0"/>
    <x v="0"/>
    <x v="1"/>
    <x v="0"/>
    <x v="1"/>
    <x v="0"/>
  </r>
  <r>
    <s v="TF2613700036"/>
    <d v="2026-05-18T00:00:00"/>
    <x v="13"/>
    <x v="0"/>
    <s v="Green Concrete CJSC"/>
    <x v="1"/>
    <x v="1"/>
    <x v="3"/>
    <x v="0"/>
    <x v="3"/>
    <n v="2000000"/>
    <x v="0"/>
    <n v="2000000"/>
    <n v="0"/>
    <n v="2000000"/>
    <n v="0"/>
    <n v="2000000"/>
    <x v="0"/>
    <m/>
    <d v="2026-08-31T00:00:00"/>
    <d v="2026-08-31T00:00:00"/>
    <x v="0"/>
    <x v="0"/>
    <x v="0"/>
    <x v="0"/>
    <x v="0"/>
    <x v="1"/>
    <x v="0"/>
    <x v="16"/>
    <x v="0"/>
  </r>
  <r>
    <s v="DCBWPM163997"/>
    <d v="2026-04-06T00:00:00"/>
    <x v="0"/>
    <x v="0"/>
    <s v="Gulf Grilles Company"/>
    <x v="0"/>
    <x v="0"/>
    <x v="0"/>
    <x v="0"/>
    <x v="0"/>
    <n v="500000"/>
    <x v="0"/>
    <n v="500000"/>
    <n v="0"/>
    <n v="500000"/>
    <n v="0"/>
    <n v="500000"/>
    <x v="0"/>
    <m/>
    <d v="2026-06-30T00:00:00"/>
    <d v="2026-06-30T00:00:00"/>
    <x v="0"/>
    <x v="0"/>
    <x v="0"/>
    <x v="0"/>
    <x v="0"/>
    <x v="0"/>
    <x v="0"/>
    <x v="2"/>
    <x v="0"/>
  </r>
  <r>
    <s v="J211985"/>
    <d v="2026-03-01T00:00:00"/>
    <x v="1"/>
    <x v="0"/>
    <s v="High Al Shuhra Contracting Company"/>
    <x v="2"/>
    <x v="1"/>
    <x v="2"/>
    <x v="0"/>
    <x v="2"/>
    <n v="2140124.1600000001"/>
    <x v="0"/>
    <n v="2140124.1600000001"/>
    <n v="1696396.49"/>
    <n v="443727.67"/>
    <n v="0"/>
    <n v="443727.67"/>
    <x v="0"/>
    <m/>
    <d v="2026-08-01T00:00:00"/>
    <d v="2026-08-01T00:00:00"/>
    <x v="0"/>
    <x v="0"/>
    <x v="0"/>
    <x v="0"/>
    <x v="0"/>
    <x v="2"/>
    <x v="0"/>
    <x v="7"/>
    <x v="0"/>
  </r>
  <r>
    <s v="JLC6902211"/>
    <d v="2025-12-02T00:00:00"/>
    <x v="14"/>
    <x v="0"/>
    <s v="IBA MIDDLE EAST FZE"/>
    <x v="4"/>
    <x v="7"/>
    <x v="6"/>
    <x v="1"/>
    <x v="6"/>
    <n v="695184.62200000009"/>
    <x v="4"/>
    <n v="3003197.5670400006"/>
    <n v="992843.09680000006"/>
    <n v="2010354.47"/>
    <n v="0"/>
    <n v="2010354.47"/>
    <x v="0"/>
    <m/>
    <d v="2026-12-15T00:00:00"/>
    <d v="2026-11-15T00:00:00"/>
    <x v="0"/>
    <x v="0"/>
    <x v="0"/>
    <x v="0"/>
    <x v="0"/>
    <x v="4"/>
    <x v="0"/>
    <x v="17"/>
    <x v="0"/>
  </r>
  <r>
    <s v="JLC6902213"/>
    <d v="2025-12-01T00:00:00"/>
    <x v="14"/>
    <x v="0"/>
    <s v="IBA MIDDLE EAST FZE"/>
    <x v="4"/>
    <x v="7"/>
    <x v="6"/>
    <x v="2"/>
    <x v="6"/>
    <n v="430873.13500000001"/>
    <x v="5"/>
    <n v="1615774.2562500001"/>
    <n v="386882.11667999998"/>
    <n v="1228892.1399999999"/>
    <n v="0"/>
    <n v="1228892.1399999999"/>
    <x v="0"/>
    <m/>
    <d v="2026-12-15T00:00:00"/>
    <d v="2026-11-15T00:00:00"/>
    <x v="0"/>
    <x v="0"/>
    <x v="0"/>
    <x v="0"/>
    <x v="6"/>
    <x v="4"/>
    <x v="0"/>
    <x v="17"/>
    <x v="0"/>
  </r>
  <r>
    <s v="DCBWPM163960"/>
    <d v="2026-04-06T00:00:00"/>
    <x v="0"/>
    <x v="0"/>
    <s v="Ideal Caliber Company"/>
    <x v="0"/>
    <x v="0"/>
    <x v="0"/>
    <x v="0"/>
    <x v="0"/>
    <n v="150000"/>
    <x v="0"/>
    <n v="150000"/>
    <n v="0"/>
    <n v="150000"/>
    <n v="150000"/>
    <n v="0"/>
    <x v="0"/>
    <s v="12/07/2026"/>
    <d v="2026-06-30T00:00:00"/>
    <d v="2026-06-30T00:00:00"/>
    <x v="0"/>
    <x v="0"/>
    <x v="0"/>
    <x v="0"/>
    <x v="0"/>
    <x v="0"/>
    <x v="0"/>
    <x v="2"/>
    <x v="0"/>
  </r>
  <r>
    <s v="ILC-0840-25-7517"/>
    <d v="2025-04-09T00:00:00"/>
    <x v="0"/>
    <x v="0"/>
    <s v="SAUDI VITRIFIED CLAY PIPE CO"/>
    <x v="3"/>
    <x v="0"/>
    <x v="5"/>
    <x v="0"/>
    <x v="5"/>
    <n v="1033453.25"/>
    <x v="0"/>
    <n v="1033453.25"/>
    <n v="391176.24"/>
    <n v="642277.01"/>
    <n v="0"/>
    <n v="642277.01"/>
    <x v="0"/>
    <m/>
    <d v="2026-06-30T00:00:00"/>
    <d v="2026-06-30T00:00:00"/>
    <x v="0"/>
    <x v="0"/>
    <x v="0"/>
    <x v="0"/>
    <x v="0"/>
    <x v="3"/>
    <x v="0"/>
    <x v="9"/>
    <x v="0"/>
  </r>
  <r>
    <s v="DCBWPM163413"/>
    <d v="2026-03-16T00:00:00"/>
    <x v="8"/>
    <x v="0"/>
    <s v="Innovative Contractors for Advanced Dimension (ICAD)"/>
    <x v="5"/>
    <x v="1"/>
    <x v="7"/>
    <x v="0"/>
    <x v="7"/>
    <n v="10000000"/>
    <x v="0"/>
    <n v="10000000"/>
    <n v="0"/>
    <n v="10000000"/>
    <n v="10000000"/>
    <n v="0"/>
    <x v="0"/>
    <s v="02/08/2026"/>
    <d v="2026-06-30T00:00:00"/>
    <d v="2026-06-30T00:00:00"/>
    <x v="0"/>
    <x v="0"/>
    <x v="0"/>
    <x v="0"/>
    <x v="0"/>
    <x v="0"/>
    <x v="0"/>
    <x v="18"/>
    <x v="0"/>
  </r>
  <r>
    <s v="TF2609800008"/>
    <d v="2026-04-08T00:00:00"/>
    <x v="8"/>
    <x v="0"/>
    <s v="Innovative Contractors for Advanced Dimension (ICAD)"/>
    <x v="1"/>
    <x v="1"/>
    <x v="7"/>
    <x v="0"/>
    <x v="7"/>
    <n v="21481033"/>
    <x v="0"/>
    <n v="21481033"/>
    <n v="0"/>
    <n v="21481033"/>
    <n v="21481033"/>
    <n v="0"/>
    <x v="0"/>
    <s v="07/08/2026"/>
    <d v="2026-06-30T00:00:00"/>
    <d v="2026-06-30T00:00:00"/>
    <x v="0"/>
    <x v="0"/>
    <x v="0"/>
    <x v="0"/>
    <x v="0"/>
    <x v="1"/>
    <x v="0"/>
    <x v="1"/>
    <x v="0"/>
  </r>
  <r>
    <s v="TF2610500021"/>
    <d v="2026-04-15T00:00:00"/>
    <x v="2"/>
    <x v="0"/>
    <s v="Innovative Specialized Security Solution"/>
    <x v="1"/>
    <x v="2"/>
    <x v="3"/>
    <x v="0"/>
    <x v="3"/>
    <n v="15724333.939999999"/>
    <x v="0"/>
    <n v="15724333.939999999"/>
    <n v="0"/>
    <n v="15724333.939999999"/>
    <n v="15724333.939999999"/>
    <n v="0"/>
    <x v="0"/>
    <s v="18/07/2026 , 19/07/2026 , 18/07/2026"/>
    <d v="2026-06-30T00:00:00"/>
    <d v="2026-06-20T00:00:00"/>
    <x v="0"/>
    <x v="0"/>
    <x v="0"/>
    <x v="0"/>
    <x v="7"/>
    <x v="1"/>
    <x v="0"/>
    <x v="0"/>
    <x v="0"/>
  </r>
  <r>
    <s v="DCBWPM161328"/>
    <d v="2026-01-28T00:00:00"/>
    <x v="0"/>
    <x v="0"/>
    <s v="INTERPLAST CO. LTD"/>
    <x v="0"/>
    <x v="0"/>
    <x v="0"/>
    <x v="0"/>
    <x v="0"/>
    <n v="397090"/>
    <x v="0"/>
    <n v="397090"/>
    <n v="0"/>
    <n v="397090"/>
    <n v="397090"/>
    <n v="0"/>
    <x v="0"/>
    <s v="05/07/2026"/>
    <d v="2026-04-30T00:00:00"/>
    <d v="2026-04-30T00:00:00"/>
    <x v="0"/>
    <x v="0"/>
    <x v="0"/>
    <x v="0"/>
    <x v="0"/>
    <x v="0"/>
    <x v="0"/>
    <x v="0"/>
    <x v="0"/>
  </r>
  <r>
    <s v="ILC-0840-26-8822"/>
    <d v="2026-01-11T00:00:00"/>
    <x v="0"/>
    <x v="0"/>
    <s v="Isam Kabanni And Partners For Construction And Maintenance Co Ltd"/>
    <x v="3"/>
    <x v="0"/>
    <x v="5"/>
    <x v="0"/>
    <x v="5"/>
    <n v="739450"/>
    <x v="0"/>
    <n v="739450"/>
    <n v="0"/>
    <n v="739450"/>
    <n v="0"/>
    <n v="739450"/>
    <x v="12"/>
    <m/>
    <d v="2026-08-31T00:00:00"/>
    <d v="2026-08-31T00:00:00"/>
    <x v="0"/>
    <x v="0"/>
    <x v="0"/>
    <x v="0"/>
    <x v="0"/>
    <x v="3"/>
    <x v="0"/>
    <x v="0"/>
    <x v="0"/>
  </r>
  <r>
    <s v="JLC7000008"/>
    <d v="2026-01-01T00:00:00"/>
    <x v="5"/>
    <x v="0"/>
    <s v="ISAM KABBANI &amp; PARTNERS LTD-UNITECH"/>
    <x v="4"/>
    <x v="0"/>
    <x v="6"/>
    <x v="0"/>
    <x v="6"/>
    <n v="500000"/>
    <x v="0"/>
    <n v="500000"/>
    <n v="0"/>
    <n v="500000"/>
    <n v="500000"/>
    <n v="0"/>
    <x v="0"/>
    <s v="14/07/2026"/>
    <d v="2026-04-30T00:00:00"/>
    <d v="2026-04-30T00:00:00"/>
    <x v="0"/>
    <x v="0"/>
    <x v="0"/>
    <x v="0"/>
    <x v="0"/>
    <x v="4"/>
    <x v="0"/>
    <x v="6"/>
    <x v="0"/>
  </r>
  <r>
    <s v="DCBWPM563027"/>
    <d v="2025-07-31T00:00:00"/>
    <x v="8"/>
    <x v="0"/>
    <s v="JAD AL RIYADH Trading Co. Ltd"/>
    <x v="6"/>
    <x v="0"/>
    <x v="7"/>
    <x v="0"/>
    <x v="7"/>
    <n v="1400000"/>
    <x v="0"/>
    <n v="1400000"/>
    <n v="1385426.0200000003"/>
    <n v="14573.98"/>
    <n v="0"/>
    <n v="14573.98"/>
    <x v="0"/>
    <m/>
    <d v="2026-06-30T00:00:00"/>
    <d v="2026-06-30T00:00:00"/>
    <x v="0"/>
    <x v="0"/>
    <x v="0"/>
    <x v="0"/>
    <x v="0"/>
    <x v="0"/>
    <x v="0"/>
    <x v="19"/>
    <x v="0"/>
  </r>
  <r>
    <s v="DCBWPM164010"/>
    <d v="2026-04-06T00:00:00"/>
    <x v="0"/>
    <x v="0"/>
    <s v="Johnson Controls Arabia Ltd."/>
    <x v="0"/>
    <x v="0"/>
    <x v="0"/>
    <x v="0"/>
    <x v="0"/>
    <n v="1000000"/>
    <x v="0"/>
    <n v="1000000"/>
    <n v="0"/>
    <n v="1000000"/>
    <n v="0"/>
    <n v="1000000"/>
    <x v="0"/>
    <m/>
    <d v="2026-06-30T00:00:00"/>
    <d v="2026-06-30T00:00:00"/>
    <x v="0"/>
    <x v="0"/>
    <x v="0"/>
    <x v="0"/>
    <x v="0"/>
    <x v="0"/>
    <x v="0"/>
    <x v="2"/>
    <x v="0"/>
  </r>
  <r>
    <s v="DCBWPM163950"/>
    <d v="2026-04-06T00:00:00"/>
    <x v="0"/>
    <x v="0"/>
    <s v="Khereiji Showrooms Co."/>
    <x v="0"/>
    <x v="0"/>
    <x v="0"/>
    <x v="0"/>
    <x v="0"/>
    <n v="300000.73"/>
    <x v="0"/>
    <n v="300000.73"/>
    <n v="0"/>
    <n v="300000.73"/>
    <n v="299758.8"/>
    <n v="241.93"/>
    <x v="0"/>
    <s v="30/08/2026"/>
    <d v="2026-06-30T00:00:00"/>
    <d v="2026-06-30T00:00:00"/>
    <x v="0"/>
    <x v="0"/>
    <x v="0"/>
    <x v="0"/>
    <x v="0"/>
    <x v="0"/>
    <x v="0"/>
    <x v="2"/>
    <x v="0"/>
  </r>
  <r>
    <s v="JLC7000184"/>
    <d v="2026-02-04T00:00:00"/>
    <x v="5"/>
    <x v="0"/>
    <s v="Khorayef Industries"/>
    <x v="4"/>
    <x v="0"/>
    <x v="6"/>
    <x v="0"/>
    <x v="6"/>
    <n v="1000000"/>
    <x v="0"/>
    <n v="1000000"/>
    <n v="0"/>
    <n v="1000000"/>
    <n v="1000000"/>
    <n v="0"/>
    <x v="0"/>
    <s v="14/07/2026"/>
    <d v="2026-04-30T00:00:00"/>
    <d v="2026-04-30T00:00:00"/>
    <x v="0"/>
    <x v="0"/>
    <x v="0"/>
    <x v="0"/>
    <x v="0"/>
    <x v="4"/>
    <x v="0"/>
    <x v="6"/>
    <x v="0"/>
  </r>
  <r>
    <s v="J211986"/>
    <d v="2026-03-01T00:00:00"/>
    <x v="3"/>
    <x v="0"/>
    <s v="Koon Trading Company"/>
    <x v="2"/>
    <x v="3"/>
    <x v="4"/>
    <x v="0"/>
    <x v="4"/>
    <n v="400000"/>
    <x v="0"/>
    <n v="400000"/>
    <n v="0"/>
    <n v="400000"/>
    <n v="0"/>
    <n v="400000"/>
    <x v="0"/>
    <m/>
    <d v="2026-07-01T00:00:00"/>
    <d v="2026-06-15T00:00:00"/>
    <x v="0"/>
    <x v="0"/>
    <x v="0"/>
    <x v="0"/>
    <x v="0"/>
    <x v="2"/>
    <x v="0"/>
    <x v="5"/>
    <x v="0"/>
  </r>
  <r>
    <s v="TF2535900014"/>
    <d v="2025-12-25T00:00:00"/>
    <x v="12"/>
    <x v="0"/>
    <s v="LSI PROJECTS LIMITED"/>
    <x v="1"/>
    <x v="2"/>
    <x v="1"/>
    <x v="3"/>
    <x v="1"/>
    <n v="1534181.67"/>
    <x v="6"/>
    <n v="7118602.9487999994"/>
    <n v="363328.54672888498"/>
    <n v="6755274.4000000004"/>
    <n v="0"/>
    <n v="6755274.4000000004"/>
    <x v="0"/>
    <m/>
    <d v="2026-09-30T00:00:00"/>
    <d v="2026-09-30T00:00:00"/>
    <x v="0"/>
    <x v="0"/>
    <x v="0"/>
    <x v="0"/>
    <x v="0"/>
    <x v="1"/>
    <x v="0"/>
    <x v="9"/>
    <x v="0"/>
  </r>
  <r>
    <s v="TF2533600018"/>
    <d v="2025-12-04T00:00:00"/>
    <x v="12"/>
    <x v="0"/>
    <s v="LSI PROJECTS LIMITED"/>
    <x v="1"/>
    <x v="2"/>
    <x v="1"/>
    <x v="3"/>
    <x v="1"/>
    <n v="72830.59"/>
    <x v="6"/>
    <n v="337933.93759999995"/>
    <n v="0"/>
    <n v="337933.94"/>
    <n v="0"/>
    <n v="337933.94"/>
    <x v="0"/>
    <m/>
    <d v="2026-09-30T00:00:00"/>
    <d v="2026-09-30T00:00:00"/>
    <x v="0"/>
    <x v="0"/>
    <x v="0"/>
    <x v="0"/>
    <x v="0"/>
    <x v="1"/>
    <x v="0"/>
    <x v="17"/>
    <x v="0"/>
  </r>
  <r>
    <s v="DCBWPM160364"/>
    <d v="2026-01-14T00:00:00"/>
    <x v="0"/>
    <x v="0"/>
    <s v="Masdar Technical Supplies Co."/>
    <x v="0"/>
    <x v="0"/>
    <x v="0"/>
    <x v="0"/>
    <x v="0"/>
    <n v="500000"/>
    <x v="0"/>
    <n v="500000"/>
    <n v="0"/>
    <n v="500000"/>
    <n v="500000"/>
    <n v="0"/>
    <x v="0"/>
    <s v="30/08/2026"/>
    <d v="2026-06-30T00:00:00"/>
    <d v="2026-06-30T00:00:00"/>
    <x v="0"/>
    <x v="0"/>
    <x v="0"/>
    <x v="0"/>
    <x v="0"/>
    <x v="0"/>
    <x v="0"/>
    <x v="0"/>
    <x v="0"/>
  </r>
  <r>
    <s v="DCBWPM163945"/>
    <d v="2026-04-06T00:00:00"/>
    <x v="0"/>
    <x v="0"/>
    <s v="Masdar Technical Supplies Co."/>
    <x v="0"/>
    <x v="0"/>
    <x v="0"/>
    <x v="0"/>
    <x v="0"/>
    <n v="200000"/>
    <x v="0"/>
    <n v="200000"/>
    <n v="0"/>
    <n v="200000"/>
    <n v="200000"/>
    <n v="0"/>
    <x v="0"/>
    <s v="11/08/2026"/>
    <d v="2026-06-30T00:00:00"/>
    <d v="2026-06-30T00:00:00"/>
    <x v="0"/>
    <x v="0"/>
    <x v="0"/>
    <x v="0"/>
    <x v="0"/>
    <x v="0"/>
    <x v="0"/>
    <x v="2"/>
    <x v="0"/>
  </r>
  <r>
    <s v="DCBWPM160344"/>
    <d v="2026-01-15T00:00:00"/>
    <x v="0"/>
    <x v="0"/>
    <s v="Mase Gulf Company"/>
    <x v="0"/>
    <x v="0"/>
    <x v="0"/>
    <x v="0"/>
    <x v="0"/>
    <n v="500000"/>
    <x v="0"/>
    <n v="500000"/>
    <n v="0"/>
    <n v="500000"/>
    <n v="0"/>
    <n v="500000"/>
    <x v="0"/>
    <m/>
    <d v="2026-06-30T00:00:00"/>
    <d v="2026-06-30T00:00:00"/>
    <x v="0"/>
    <x v="0"/>
    <x v="0"/>
    <x v="0"/>
    <x v="0"/>
    <x v="0"/>
    <x v="0"/>
    <x v="0"/>
    <x v="0"/>
  </r>
  <r>
    <s v="DCBWPM570839"/>
    <d v="2025-12-28T00:00:00"/>
    <x v="0"/>
    <x v="0"/>
    <s v="MASQ FOR ELECTRICAL TOOLS CO"/>
    <x v="0"/>
    <x v="0"/>
    <x v="0"/>
    <x v="0"/>
    <x v="0"/>
    <n v="8790001.0999999996"/>
    <x v="0"/>
    <n v="8790001.0999999996"/>
    <n v="650518.46"/>
    <n v="8139482.6399999997"/>
    <n v="0"/>
    <n v="8139482.6399999997"/>
    <x v="13"/>
    <m/>
    <d v="2026-06-30T00:00:00"/>
    <d v="2026-06-30T00:00:00"/>
    <x v="0"/>
    <x v="0"/>
    <x v="0"/>
    <x v="0"/>
    <x v="8"/>
    <x v="0"/>
    <x v="0"/>
    <x v="1"/>
    <x v="0"/>
  </r>
  <r>
    <s v="JLC6901431_Cre"/>
    <d v="2025-09-04T00:00:00"/>
    <x v="5"/>
    <x v="0"/>
    <s v="Mat Filtrasyon Teknolojeleri A.S"/>
    <x v="4"/>
    <x v="1"/>
    <x v="6"/>
    <x v="0"/>
    <x v="6"/>
    <n v="25907203.759999998"/>
    <x v="0"/>
    <n v="25907203.759999998"/>
    <n v="16605181.220000001"/>
    <n v="9302022.5399999991"/>
    <n v="752616.68"/>
    <n v="8549405.8599999994"/>
    <x v="0"/>
    <s v="09/07/2026 , 02/07/2026"/>
    <d v="2026-10-15T00:00:00"/>
    <d v="2026-09-24T00:00:00"/>
    <x v="0"/>
    <x v="0"/>
    <x v="0"/>
    <x v="0"/>
    <x v="0"/>
    <x v="4"/>
    <x v="0"/>
    <x v="7"/>
    <x v="0"/>
  </r>
  <r>
    <s v="JLC6901431_Cash"/>
    <d v="2025-09-04T00:00:00"/>
    <x v="5"/>
    <x v="0"/>
    <s v="Mat Filtrasyon Teknolojeleri A.S"/>
    <x v="7"/>
    <x v="1"/>
    <x v="6"/>
    <x v="0"/>
    <x v="6"/>
    <n v="4092796.2399999998"/>
    <x v="0"/>
    <n v="4092796.2399999998"/>
    <n v="4079312.29"/>
    <n v="13483.95"/>
    <n v="0"/>
    <n v="13483.95"/>
    <x v="0"/>
    <m/>
    <d v="2026-10-15T00:00:00"/>
    <d v="2026-09-24T00:00:00"/>
    <x v="0"/>
    <x v="0"/>
    <x v="0"/>
    <x v="0"/>
    <x v="0"/>
    <x v="4"/>
    <x v="1"/>
    <x v="7"/>
    <x v="0"/>
  </r>
  <r>
    <s v="JLC7000384"/>
    <d v="2026-03-24T00:00:00"/>
    <x v="5"/>
    <x v="0"/>
    <s v="Mat Filtrasyon Teknolojeleri A.S"/>
    <x v="4"/>
    <x v="1"/>
    <x v="6"/>
    <x v="0"/>
    <x v="6"/>
    <n v="17932603.559999999"/>
    <x v="0"/>
    <n v="17932603.559999999"/>
    <n v="4576500"/>
    <n v="13356103.560000001"/>
    <n v="735540"/>
    <n v="12620563.560000001"/>
    <x v="0"/>
    <s v="05/07/2026"/>
    <d v="2026-08-30T00:00:00"/>
    <d v="2026-08-09T00:00:00"/>
    <x v="0"/>
    <x v="0"/>
    <x v="0"/>
    <x v="0"/>
    <x v="0"/>
    <x v="4"/>
    <x v="0"/>
    <x v="20"/>
    <x v="0"/>
  </r>
  <r>
    <s v="ILC-0840-25-8011"/>
    <d v="2025-07-24T00:00:00"/>
    <x v="4"/>
    <x v="0"/>
    <s v="Metten Al-Arabia Ltd Co (METARA)"/>
    <x v="3"/>
    <x v="1"/>
    <x v="5"/>
    <x v="0"/>
    <x v="5"/>
    <n v="12956001.199999999"/>
    <x v="0"/>
    <n v="12956001.199999999"/>
    <n v="1509410.02"/>
    <n v="11446591.18"/>
    <n v="0"/>
    <n v="11446591.18"/>
    <x v="0"/>
    <m/>
    <d v="2026-06-30T00:00:00"/>
    <d v="2026-06-30T00:00:00"/>
    <x v="0"/>
    <x v="0"/>
    <x v="0"/>
    <x v="0"/>
    <x v="0"/>
    <x v="3"/>
    <x v="0"/>
    <x v="4"/>
    <x v="0"/>
  </r>
  <r>
    <s v="DCBWPM160355"/>
    <d v="2026-01-15T00:00:00"/>
    <x v="0"/>
    <x v="0"/>
    <s v="Mimar for Construction Tools &amp; Trading Ltd."/>
    <x v="0"/>
    <x v="0"/>
    <x v="0"/>
    <x v="0"/>
    <x v="0"/>
    <n v="900000"/>
    <x v="0"/>
    <n v="900000"/>
    <n v="0"/>
    <n v="900000"/>
    <n v="900000"/>
    <n v="0"/>
    <x v="0"/>
    <s v="02/08/2026"/>
    <d v="2026-06-30T00:00:00"/>
    <d v="2026-06-30T00:00:00"/>
    <x v="0"/>
    <x v="0"/>
    <x v="0"/>
    <x v="0"/>
    <x v="0"/>
    <x v="0"/>
    <x v="0"/>
    <x v="0"/>
    <x v="0"/>
  </r>
  <r>
    <s v="DCBWPM162995"/>
    <d v="2026-03-05T00:00:00"/>
    <x v="0"/>
    <x v="0"/>
    <s v="Mimar For Construction Tools and Trading Ltd."/>
    <x v="0"/>
    <x v="0"/>
    <x v="0"/>
    <x v="0"/>
    <x v="0"/>
    <n v="398652.54"/>
    <x v="0"/>
    <n v="398652.54"/>
    <n v="0"/>
    <n v="398652.54"/>
    <n v="0"/>
    <n v="398652.54"/>
    <x v="0"/>
    <m/>
    <d v="2026-08-31T00:00:00"/>
    <d v="2026-08-31T00:00:00"/>
    <x v="0"/>
    <x v="0"/>
    <x v="0"/>
    <x v="0"/>
    <x v="0"/>
    <x v="0"/>
    <x v="0"/>
    <x v="0"/>
    <x v="0"/>
  </r>
  <r>
    <s v="DCBWPM163957"/>
    <d v="2026-04-06T00:00:00"/>
    <x v="0"/>
    <x v="0"/>
    <s v="Mohamad Saeed Afifi Trading Est."/>
    <x v="0"/>
    <x v="0"/>
    <x v="0"/>
    <x v="0"/>
    <x v="0"/>
    <n v="450000"/>
    <x v="0"/>
    <n v="450000"/>
    <n v="0"/>
    <n v="450000"/>
    <n v="312768.11"/>
    <n v="137231.89000000001"/>
    <x v="0"/>
    <s v="19/07/2026"/>
    <d v="2026-06-30T00:00:00"/>
    <d v="2026-06-30T00:00:00"/>
    <x v="0"/>
    <x v="0"/>
    <x v="0"/>
    <x v="0"/>
    <x v="0"/>
    <x v="0"/>
    <x v="0"/>
    <x v="2"/>
    <x v="0"/>
  </r>
  <r>
    <s v="TF2531600056"/>
    <d v="2025-11-12T00:00:00"/>
    <x v="0"/>
    <x v="0"/>
    <s v="Mohammad Saleh Bahareth co."/>
    <x v="1"/>
    <x v="0"/>
    <x v="1"/>
    <x v="0"/>
    <x v="1"/>
    <n v="565057.47"/>
    <x v="0"/>
    <n v="565057.47"/>
    <n v="332244.19"/>
    <n v="232813.28"/>
    <n v="0"/>
    <n v="232813.28"/>
    <x v="0"/>
    <m/>
    <d v="2026-06-30T00:00:00"/>
    <d v="2026-06-30T00:00:00"/>
    <x v="0"/>
    <x v="0"/>
    <x v="0"/>
    <x v="0"/>
    <x v="0"/>
    <x v="1"/>
    <x v="0"/>
    <x v="0"/>
    <x v="0"/>
  </r>
  <r>
    <s v="J210944"/>
    <d v="2025-07-29T00:00:00"/>
    <x v="1"/>
    <x v="0"/>
    <s v="Mohammed A. Al-Awani Trading"/>
    <x v="2"/>
    <x v="1"/>
    <x v="2"/>
    <x v="0"/>
    <x v="2"/>
    <n v="2826301.05"/>
    <x v="0"/>
    <n v="2826301.05"/>
    <n v="1261168.18"/>
    <n v="1565132.87"/>
    <n v="0"/>
    <n v="1565132.87"/>
    <x v="0"/>
    <m/>
    <d v="2026-07-31T00:00:00"/>
    <d v="2026-07-31T00:00:00"/>
    <x v="0"/>
    <x v="0"/>
    <x v="0"/>
    <x v="0"/>
    <x v="0"/>
    <x v="2"/>
    <x v="0"/>
    <x v="3"/>
    <x v="0"/>
  </r>
  <r>
    <s v="ILC-0840-26-8823"/>
    <d v="2026-01-11T00:00:00"/>
    <x v="0"/>
    <x v="0"/>
    <s v="Mohammed Masoud Al Khaldi Est"/>
    <x v="3"/>
    <x v="0"/>
    <x v="5"/>
    <x v="0"/>
    <x v="5"/>
    <n v="424699.6"/>
    <x v="0"/>
    <n v="424699.6"/>
    <n v="212349.8"/>
    <n v="212349.8"/>
    <n v="0"/>
    <n v="212349.8"/>
    <x v="0"/>
    <m/>
    <d v="2026-08-31T00:00:00"/>
    <d v="2026-08-31T00:00:00"/>
    <x v="0"/>
    <x v="0"/>
    <x v="0"/>
    <x v="0"/>
    <x v="0"/>
    <x v="3"/>
    <x v="0"/>
    <x v="0"/>
    <x v="0"/>
  </r>
  <r>
    <s v="ILC-0840-25-8164"/>
    <d v="2025-08-26T00:00:00"/>
    <x v="0"/>
    <x v="0"/>
    <s v="Mohammed Ramadan Shat Factory"/>
    <x v="3"/>
    <x v="0"/>
    <x v="5"/>
    <x v="0"/>
    <x v="5"/>
    <n v="501144.18"/>
    <x v="0"/>
    <n v="501144.18"/>
    <n v="42591.07"/>
    <n v="458553.11"/>
    <n v="199393.9"/>
    <n v="259159.21"/>
    <x v="0"/>
    <s v="07/07/2026"/>
    <d v="2026-08-31T00:00:00"/>
    <d v="2026-08-31T00:00:00"/>
    <x v="0"/>
    <x v="0"/>
    <x v="0"/>
    <x v="0"/>
    <x v="0"/>
    <x v="3"/>
    <x v="0"/>
    <x v="9"/>
    <x v="0"/>
  </r>
  <r>
    <s v="DCBWPM164211"/>
    <d v="2026-04-12T00:00:00"/>
    <x v="0"/>
    <x v="0"/>
    <s v="Mushal Khalf Hijri For Contracting"/>
    <x v="0"/>
    <x v="0"/>
    <x v="0"/>
    <x v="0"/>
    <x v="0"/>
    <n v="175000"/>
    <x v="0"/>
    <n v="175000"/>
    <n v="0"/>
    <n v="175000"/>
    <n v="0"/>
    <n v="175000"/>
    <x v="14"/>
    <m/>
    <d v="2026-06-30T00:00:00"/>
    <d v="2026-06-30T00:00:00"/>
    <x v="0"/>
    <x v="0"/>
    <x v="0"/>
    <x v="0"/>
    <x v="0"/>
    <x v="0"/>
    <x v="0"/>
    <x v="2"/>
    <x v="0"/>
  </r>
  <r>
    <s v="DCBWPM163967"/>
    <d v="2026-04-06T00:00:00"/>
    <x v="0"/>
    <x v="0"/>
    <s v="National Fire Fighting Manufacturing Fzco Br."/>
    <x v="0"/>
    <x v="0"/>
    <x v="0"/>
    <x v="0"/>
    <x v="0"/>
    <n v="500000"/>
    <x v="0"/>
    <n v="500000"/>
    <n v="0"/>
    <n v="500000"/>
    <n v="500000"/>
    <n v="0"/>
    <x v="0"/>
    <s v="14/07/2026"/>
    <d v="2026-06-30T00:00:00"/>
    <d v="2026-06-30T00:00:00"/>
    <x v="0"/>
    <x v="0"/>
    <x v="0"/>
    <x v="0"/>
    <x v="0"/>
    <x v="0"/>
    <x v="0"/>
    <x v="2"/>
    <x v="0"/>
  </r>
  <r>
    <s v="DCBWPM163964"/>
    <d v="2026-04-06T00:00:00"/>
    <x v="0"/>
    <x v="0"/>
    <s v="National Marketing Est. Co. Ltd"/>
    <x v="0"/>
    <x v="0"/>
    <x v="0"/>
    <x v="0"/>
    <x v="0"/>
    <n v="275000"/>
    <x v="0"/>
    <n v="275000"/>
    <n v="0"/>
    <n v="275000"/>
    <n v="0"/>
    <n v="275000"/>
    <x v="0"/>
    <m/>
    <d v="2026-06-30T00:00:00"/>
    <d v="2026-06-30T00:00:00"/>
    <x v="0"/>
    <x v="0"/>
    <x v="0"/>
    <x v="0"/>
    <x v="0"/>
    <x v="0"/>
    <x v="0"/>
    <x v="2"/>
    <x v="0"/>
  </r>
  <r>
    <s v="TF2535200021"/>
    <d v="2025-12-21T00:00:00"/>
    <x v="13"/>
    <x v="0"/>
    <s v="Osalas GMBH"/>
    <x v="1"/>
    <x v="1"/>
    <x v="3"/>
    <x v="1"/>
    <x v="3"/>
    <n v="5000000"/>
    <x v="7"/>
    <n v="22200000.000000004"/>
    <n v="20908277"/>
    <n v="1291723"/>
    <n v="1198665"/>
    <n v="93058"/>
    <x v="0"/>
    <s v="26/06/2026"/>
    <d v="2026-09-21T00:00:00"/>
    <d v="2026-08-31T00:00:00"/>
    <x v="0"/>
    <x v="0"/>
    <x v="0"/>
    <x v="0"/>
    <x v="9"/>
    <x v="1"/>
    <x v="0"/>
    <x v="21"/>
    <x v="0"/>
  </r>
  <r>
    <s v="DCBWPM570369"/>
    <d v="2025-12-01T00:00:00"/>
    <x v="0"/>
    <x v="0"/>
    <s v="Power Center Company for Industries LLC"/>
    <x v="0"/>
    <x v="0"/>
    <x v="0"/>
    <x v="0"/>
    <x v="0"/>
    <n v="4000000"/>
    <x v="0"/>
    <n v="4000000"/>
    <n v="0"/>
    <n v="4000000"/>
    <n v="4000000"/>
    <n v="0"/>
    <x v="0"/>
    <s v="02/09/2026"/>
    <d v="2026-06-30T00:00:00"/>
    <d v="2026-06-30T00:00:00"/>
    <x v="0"/>
    <x v="0"/>
    <x v="0"/>
    <x v="0"/>
    <x v="8"/>
    <x v="0"/>
    <x v="0"/>
    <x v="1"/>
    <x v="0"/>
  </r>
  <r>
    <s v="DCBWPM163988"/>
    <d v="2026-04-06T00:00:00"/>
    <x v="0"/>
    <x v="0"/>
    <s v="Power Center Company For Industries Llc"/>
    <x v="0"/>
    <x v="0"/>
    <x v="0"/>
    <x v="0"/>
    <x v="0"/>
    <n v="900000"/>
    <x v="0"/>
    <n v="900000"/>
    <n v="0"/>
    <n v="900000"/>
    <n v="0"/>
    <n v="900000"/>
    <x v="0"/>
    <m/>
    <d v="2026-06-30T00:00:00"/>
    <d v="2026-06-30T00:00:00"/>
    <x v="0"/>
    <x v="0"/>
    <x v="0"/>
    <x v="0"/>
    <x v="0"/>
    <x v="0"/>
    <x v="0"/>
    <x v="2"/>
    <x v="0"/>
  </r>
  <r>
    <s v="DCBWPM564580"/>
    <d v="2025-08-26T00:00:00"/>
    <x v="15"/>
    <x v="0"/>
    <s v="Sika Saudi Arabia Co. Ltd."/>
    <x v="0"/>
    <x v="1"/>
    <x v="10"/>
    <x v="0"/>
    <x v="10"/>
    <n v="2741025"/>
    <x v="0"/>
    <n v="2741025"/>
    <n v="1641337.5"/>
    <n v="1099687.5"/>
    <n v="1099687.5"/>
    <n v="0"/>
    <x v="0"/>
    <s v="25/06/2026 , 17/09/2026"/>
    <d v="2026-06-30T00:00:00"/>
    <d v="2026-06-15T00:00:00"/>
    <x v="0"/>
    <x v="0"/>
    <x v="0"/>
    <x v="0"/>
    <x v="0"/>
    <x v="0"/>
    <x v="0"/>
    <x v="22"/>
    <x v="0"/>
  </r>
  <r>
    <s v="M001959"/>
    <d v="2026-03-11T00:00:00"/>
    <x v="16"/>
    <x v="2"/>
    <s v="Ready Mix Company Limited."/>
    <x v="8"/>
    <x v="1"/>
    <x v="11"/>
    <x v="0"/>
    <x v="11"/>
    <n v="5000000"/>
    <x v="0"/>
    <n v="5000000"/>
    <n v="2707269.5"/>
    <n v="2292730.5"/>
    <n v="949900"/>
    <n v="1342830.5"/>
    <x v="15"/>
    <s v="12/07/2026"/>
    <d v="2026-06-30T00:00:00"/>
    <d v="2026-06-30T00:00:00"/>
    <x v="0"/>
    <x v="0"/>
    <x v="0"/>
    <x v="3"/>
    <x v="10"/>
    <x v="5"/>
    <x v="0"/>
    <x v="4"/>
    <x v="0"/>
  </r>
  <r>
    <s v="TF2527100024"/>
    <d v="2025-09-28T00:00:00"/>
    <x v="1"/>
    <x v="0"/>
    <s v="Saudi Perfect Pumps Trading &amp; Manufacturing Company"/>
    <x v="1"/>
    <x v="1"/>
    <x v="2"/>
    <x v="0"/>
    <x v="2"/>
    <n v="7670500"/>
    <x v="0"/>
    <n v="7670500"/>
    <n v="4347795.32"/>
    <n v="3322704.68"/>
    <n v="412500"/>
    <n v="2910204.68"/>
    <x v="0"/>
    <s v="01/07/2026"/>
    <d v="2026-05-31T00:00:00"/>
    <d v="2026-05-31T00:00:00"/>
    <x v="0"/>
    <x v="0"/>
    <x v="0"/>
    <x v="0"/>
    <x v="0"/>
    <x v="1"/>
    <x v="0"/>
    <x v="23"/>
    <x v="0"/>
  </r>
  <r>
    <s v="JLC7000002"/>
    <d v="2026-01-01T00:00:00"/>
    <x v="5"/>
    <x v="0"/>
    <s v="Riyadh Unity for Trading"/>
    <x v="4"/>
    <x v="0"/>
    <x v="6"/>
    <x v="0"/>
    <x v="6"/>
    <n v="500000"/>
    <x v="0"/>
    <n v="500000"/>
    <n v="326709.94"/>
    <n v="173290.06"/>
    <n v="0"/>
    <n v="173290.06"/>
    <x v="16"/>
    <m/>
    <d v="2026-10-01T00:00:00"/>
    <d v="2026-10-01T00:00:00"/>
    <x v="0"/>
    <x v="0"/>
    <x v="0"/>
    <x v="0"/>
    <x v="11"/>
    <x v="4"/>
    <x v="0"/>
    <x v="6"/>
    <x v="0"/>
  </r>
  <r>
    <s v="ILC-0840-25-7407"/>
    <d v="2025-03-06T00:00:00"/>
    <x v="0"/>
    <x v="0"/>
    <s v="SITE TECHNOLOGY SAUDI ARABIA LTD"/>
    <x v="3"/>
    <x v="0"/>
    <x v="5"/>
    <x v="0"/>
    <x v="5"/>
    <n v="527850.01"/>
    <x v="0"/>
    <n v="527850.01"/>
    <n v="263925"/>
    <n v="263925.01"/>
    <n v="0"/>
    <n v="263925.01"/>
    <x v="0"/>
    <m/>
    <d v="2026-06-30T00:00:00"/>
    <d v="2026-06-30T00:00:00"/>
    <x v="0"/>
    <x v="0"/>
    <x v="0"/>
    <x v="0"/>
    <x v="0"/>
    <x v="3"/>
    <x v="0"/>
    <x v="4"/>
    <x v="0"/>
  </r>
  <r>
    <s v="J212030"/>
    <d v="2026-03-08T00:00:00"/>
    <x v="3"/>
    <x v="0"/>
    <s v="Safid Co Ltd"/>
    <x v="2"/>
    <x v="3"/>
    <x v="4"/>
    <x v="0"/>
    <x v="4"/>
    <n v="500000"/>
    <x v="0"/>
    <n v="500000"/>
    <n v="0"/>
    <n v="500000"/>
    <n v="500000"/>
    <n v="0"/>
    <x v="0"/>
    <s v="12/07/2026"/>
    <d v="2026-06-30T00:00:00"/>
    <d v="2026-06-20T00:00:00"/>
    <x v="0"/>
    <x v="0"/>
    <x v="0"/>
    <x v="0"/>
    <x v="0"/>
    <x v="2"/>
    <x v="0"/>
    <x v="5"/>
    <x v="0"/>
  </r>
  <r>
    <s v="DCBWPM164003"/>
    <d v="2026-04-06T00:00:00"/>
    <x v="0"/>
    <x v="0"/>
    <s v="Saudi Electric Supply Company"/>
    <x v="0"/>
    <x v="0"/>
    <x v="0"/>
    <x v="0"/>
    <x v="0"/>
    <n v="1000000"/>
    <x v="0"/>
    <n v="1000000"/>
    <n v="0"/>
    <n v="1000000"/>
    <n v="1000000"/>
    <n v="0"/>
    <x v="0"/>
    <s v="19/07/2026"/>
    <d v="2026-06-30T00:00:00"/>
    <d v="2026-06-30T00:00:00"/>
    <x v="0"/>
    <x v="0"/>
    <x v="0"/>
    <x v="0"/>
    <x v="0"/>
    <x v="0"/>
    <x v="0"/>
    <x v="2"/>
    <x v="0"/>
  </r>
  <r>
    <s v="J212103"/>
    <d v="2026-04-07T00:00:00"/>
    <x v="3"/>
    <x v="0"/>
    <s v="Saudi Electric Supply Company Limited(SESCO)"/>
    <x v="2"/>
    <x v="3"/>
    <x v="4"/>
    <x v="0"/>
    <x v="4"/>
    <n v="650000"/>
    <x v="0"/>
    <n v="650000"/>
    <n v="0"/>
    <n v="650000"/>
    <n v="0"/>
    <n v="650000"/>
    <x v="0"/>
    <m/>
    <d v="2026-06-09T00:00:00"/>
    <d v="2026-05-09T00:00:00"/>
    <x v="0"/>
    <x v="0"/>
    <x v="0"/>
    <x v="0"/>
    <x v="0"/>
    <x v="2"/>
    <x v="0"/>
    <x v="5"/>
    <x v="0"/>
  </r>
  <r>
    <s v="ILC-0840-25-8166"/>
    <d v="2025-08-26T00:00:00"/>
    <x v="0"/>
    <x v="0"/>
    <s v="SAUDI HEPCO CO LTD"/>
    <x v="3"/>
    <x v="0"/>
    <x v="5"/>
    <x v="0"/>
    <x v="5"/>
    <n v="250000"/>
    <x v="0"/>
    <n v="250000"/>
    <n v="0"/>
    <n v="250000"/>
    <n v="0"/>
    <n v="250000"/>
    <x v="0"/>
    <m/>
    <d v="2026-08-31T00:00:00"/>
    <d v="2026-08-31T00:00:00"/>
    <x v="0"/>
    <x v="0"/>
    <x v="0"/>
    <x v="0"/>
    <x v="0"/>
    <x v="3"/>
    <x v="0"/>
    <x v="9"/>
    <x v="0"/>
  </r>
  <r>
    <s v="ILC-0840-25-7353"/>
    <d v="2025-02-27T00:00:00"/>
    <x v="0"/>
    <x v="0"/>
    <s v="Saudi Hepco Co. Ltd"/>
    <x v="3"/>
    <x v="0"/>
    <x v="5"/>
    <x v="0"/>
    <x v="5"/>
    <n v="863693.45"/>
    <x v="0"/>
    <n v="863693.45"/>
    <n v="0"/>
    <n v="863693.45"/>
    <n v="0"/>
    <n v="863693.45"/>
    <x v="0"/>
    <m/>
    <d v="2026-06-30T00:00:00"/>
    <d v="2026-06-30T00:00:00"/>
    <x v="0"/>
    <x v="0"/>
    <x v="0"/>
    <x v="0"/>
    <x v="0"/>
    <x v="3"/>
    <x v="0"/>
    <x v="9"/>
    <x v="0"/>
  </r>
  <r>
    <s v="JLC7000003"/>
    <d v="2026-01-01T00:00:00"/>
    <x v="5"/>
    <x v="0"/>
    <s v="SCHNEIDER ELECTRIC SAUDI ARABIA CO"/>
    <x v="4"/>
    <x v="0"/>
    <x v="6"/>
    <x v="0"/>
    <x v="6"/>
    <n v="1350790.07"/>
    <x v="0"/>
    <n v="1350790.07"/>
    <n v="0"/>
    <n v="1350790.07"/>
    <n v="0"/>
    <n v="1350790.07"/>
    <x v="0"/>
    <m/>
    <d v="2026-10-01T00:00:00"/>
    <d v="2026-10-01T00:00:00"/>
    <x v="0"/>
    <x v="0"/>
    <x v="0"/>
    <x v="0"/>
    <x v="0"/>
    <x v="4"/>
    <x v="0"/>
    <x v="6"/>
    <x v="0"/>
  </r>
  <r>
    <s v="JLC7000193"/>
    <d v="2026-02-04T00:00:00"/>
    <x v="5"/>
    <x v="0"/>
    <s v="Schneider Electric Saudi Arabia Co"/>
    <x v="4"/>
    <x v="0"/>
    <x v="6"/>
    <x v="0"/>
    <x v="6"/>
    <n v="750000"/>
    <x v="0"/>
    <n v="750000"/>
    <n v="0"/>
    <n v="750000"/>
    <n v="710700"/>
    <n v="39300"/>
    <x v="0"/>
    <s v="14/07/2026"/>
    <d v="2026-04-30T00:00:00"/>
    <d v="2026-04-30T00:00:00"/>
    <x v="0"/>
    <x v="0"/>
    <x v="0"/>
    <x v="0"/>
    <x v="0"/>
    <x v="4"/>
    <x v="0"/>
    <x v="6"/>
    <x v="0"/>
  </r>
  <r>
    <s v="DCBWPM565850"/>
    <d v="2025-09-14T00:00:00"/>
    <x v="0"/>
    <x v="0"/>
    <s v="SITE TECHNOLOGY SAUDI ARABIA CO"/>
    <x v="0"/>
    <x v="0"/>
    <x v="0"/>
    <x v="0"/>
    <x v="0"/>
    <n v="300000"/>
    <x v="0"/>
    <n v="300000"/>
    <n v="0"/>
    <n v="300000"/>
    <n v="0"/>
    <n v="300000"/>
    <x v="0"/>
    <m/>
    <d v="2026-06-30T00:00:00"/>
    <d v="2026-06-30T00:00:00"/>
    <x v="0"/>
    <x v="0"/>
    <x v="0"/>
    <x v="0"/>
    <x v="0"/>
    <x v="0"/>
    <x v="0"/>
    <x v="1"/>
    <x v="0"/>
  </r>
  <r>
    <s v="TF2517400098"/>
    <d v="2025-06-23T00:00:00"/>
    <x v="0"/>
    <x v="0"/>
    <s v="SKM AIR CONDITIONING CO"/>
    <x v="1"/>
    <x v="0"/>
    <x v="9"/>
    <x v="0"/>
    <x v="9"/>
    <n v="922106.57"/>
    <x v="0"/>
    <n v="922106.57"/>
    <n v="207691.38"/>
    <n v="714415.19"/>
    <n v="702587.67"/>
    <n v="11827.52"/>
    <x v="0"/>
    <s v="30/07/2026"/>
    <d v="2026-06-23T00:00:00"/>
    <d v="2026-06-23T00:00:00"/>
    <x v="0"/>
    <x v="0"/>
    <x v="0"/>
    <x v="0"/>
    <x v="0"/>
    <x v="1"/>
    <x v="0"/>
    <x v="1"/>
    <x v="0"/>
  </r>
  <r>
    <s v="JLC7000004"/>
    <d v="2026-01-01T00:00:00"/>
    <x v="5"/>
    <x v="0"/>
    <s v="SKM Air Conditioning Company"/>
    <x v="4"/>
    <x v="0"/>
    <x v="6"/>
    <x v="0"/>
    <x v="6"/>
    <n v="500000"/>
    <x v="0"/>
    <n v="500000"/>
    <n v="0"/>
    <n v="500000"/>
    <n v="500000"/>
    <n v="0"/>
    <x v="0"/>
    <s v="19/07/2026"/>
    <d v="2026-04-30T00:00:00"/>
    <d v="2026-04-30T00:00:00"/>
    <x v="0"/>
    <x v="0"/>
    <x v="0"/>
    <x v="0"/>
    <x v="0"/>
    <x v="4"/>
    <x v="0"/>
    <x v="6"/>
    <x v="0"/>
  </r>
  <r>
    <s v="JLC7000185"/>
    <d v="2026-02-04T00:00:00"/>
    <x v="5"/>
    <x v="0"/>
    <s v="SKM Air Conditioning Company"/>
    <x v="4"/>
    <x v="0"/>
    <x v="6"/>
    <x v="0"/>
    <x v="6"/>
    <n v="500000"/>
    <x v="0"/>
    <n v="500000"/>
    <n v="0"/>
    <n v="500000"/>
    <n v="500000"/>
    <n v="0"/>
    <x v="0"/>
    <s v="05/07/2026"/>
    <d v="2026-04-30T00:00:00"/>
    <d v="2026-04-30T00:00:00"/>
    <x v="0"/>
    <x v="0"/>
    <x v="0"/>
    <x v="0"/>
    <x v="0"/>
    <x v="4"/>
    <x v="0"/>
    <x v="6"/>
    <x v="0"/>
  </r>
  <r>
    <s v="TF2517700087"/>
    <d v="2025-06-26T00:00:00"/>
    <x v="0"/>
    <x v="0"/>
    <s v="STAR SQUARES CO LTD"/>
    <x v="1"/>
    <x v="0"/>
    <x v="9"/>
    <x v="0"/>
    <x v="9"/>
    <n v="250000"/>
    <x v="0"/>
    <n v="250000"/>
    <n v="0"/>
    <n v="250000"/>
    <n v="0"/>
    <n v="250000"/>
    <x v="0"/>
    <m/>
    <d v="2026-06-26T00:00:00"/>
    <d v="2026-06-26T00:00:00"/>
    <x v="0"/>
    <x v="0"/>
    <x v="0"/>
    <x v="0"/>
    <x v="0"/>
    <x v="1"/>
    <x v="0"/>
    <x v="1"/>
    <x v="0"/>
  </r>
  <r>
    <s v="JLC7000192"/>
    <d v="2026-02-04T00:00:00"/>
    <x v="5"/>
    <x v="0"/>
    <s v="Systemair For Electrical Equipment Co."/>
    <x v="4"/>
    <x v="0"/>
    <x v="6"/>
    <x v="0"/>
    <x v="6"/>
    <n v="500000"/>
    <x v="0"/>
    <n v="500000"/>
    <n v="0"/>
    <n v="500000"/>
    <n v="0"/>
    <n v="500000"/>
    <x v="0"/>
    <m/>
    <d v="2026-10-01T00:00:00"/>
    <d v="2026-10-01T00:00:00"/>
    <x v="0"/>
    <x v="0"/>
    <x v="0"/>
    <x v="0"/>
    <x v="0"/>
    <x v="4"/>
    <x v="0"/>
    <x v="6"/>
    <x v="0"/>
  </r>
  <r>
    <s v="DCBWPM567554"/>
    <d v="2025-10-16T00:00:00"/>
    <x v="0"/>
    <x v="0"/>
    <s v="TAWREED INTEGRATED INDUSTRIES"/>
    <x v="0"/>
    <x v="0"/>
    <x v="0"/>
    <x v="0"/>
    <x v="0"/>
    <n v="500000"/>
    <x v="0"/>
    <n v="500000"/>
    <n v="336122.53"/>
    <n v="163877.47"/>
    <n v="99498"/>
    <n v="64379.47"/>
    <x v="0"/>
    <s v="27/07/2026"/>
    <d v="2026-06-30T00:00:00"/>
    <d v="2026-06-30T00:00:00"/>
    <x v="0"/>
    <x v="0"/>
    <x v="0"/>
    <x v="0"/>
    <x v="0"/>
    <x v="0"/>
    <x v="0"/>
    <x v="1"/>
    <x v="0"/>
  </r>
  <r>
    <s v="JLC7000005"/>
    <d v="2026-01-01T00:00:00"/>
    <x v="5"/>
    <x v="0"/>
    <s v="Teqniye Al-Majra For Contracting"/>
    <x v="4"/>
    <x v="0"/>
    <x v="6"/>
    <x v="0"/>
    <x v="6"/>
    <n v="500000"/>
    <x v="0"/>
    <n v="500000"/>
    <n v="0"/>
    <n v="500000"/>
    <n v="489669.97"/>
    <n v="10330.030000000001"/>
    <x v="0"/>
    <s v="02/08/2026"/>
    <d v="2026-06-30T00:00:00"/>
    <d v="2026-06-30T00:00:00"/>
    <x v="0"/>
    <x v="0"/>
    <x v="0"/>
    <x v="0"/>
    <x v="0"/>
    <x v="4"/>
    <x v="0"/>
    <x v="6"/>
    <x v="0"/>
  </r>
  <r>
    <s v="TF2604200011_A"/>
    <d v="2026-02-11T00:00:00"/>
    <x v="0"/>
    <x v="0"/>
    <s v="The Fundamental Installation For Electric Work Co"/>
    <x v="1"/>
    <x v="0"/>
    <x v="8"/>
    <x v="0"/>
    <x v="8"/>
    <n v="12000000"/>
    <x v="0"/>
    <n v="12000000"/>
    <n v="12000000"/>
    <n v="0"/>
    <n v="0"/>
    <n v="0"/>
    <x v="0"/>
    <m/>
    <d v="2026-06-30T00:00:00"/>
    <d v="2026-06-30T00:00:00"/>
    <x v="0"/>
    <x v="0"/>
    <x v="0"/>
    <x v="0"/>
    <x v="12"/>
    <x v="1"/>
    <x v="0"/>
    <x v="9"/>
    <x v="0"/>
  </r>
  <r>
    <s v="TF2604200011_B"/>
    <d v="2026-02-11T00:00:00"/>
    <x v="0"/>
    <x v="0"/>
    <s v="The Fundamental Installation For Electric Work Co"/>
    <x v="1"/>
    <x v="0"/>
    <x v="3"/>
    <x v="0"/>
    <x v="3"/>
    <n v="19000000"/>
    <x v="0"/>
    <n v="19000000"/>
    <n v="13000000"/>
    <n v="6000000"/>
    <n v="6000000"/>
    <n v="0"/>
    <x v="0"/>
    <s v="29/06/2026"/>
    <d v="2026-06-30T00:00:00"/>
    <d v="2026-06-30T00:00:00"/>
    <x v="0"/>
    <x v="0"/>
    <x v="0"/>
    <x v="4"/>
    <x v="13"/>
    <x v="1"/>
    <x v="0"/>
    <x v="9"/>
    <x v="0"/>
  </r>
  <r>
    <s v="TF2604200011_C"/>
    <d v="2026-03-10T00:00:00"/>
    <x v="0"/>
    <x v="0"/>
    <s v="The Fundamental Installation For Electric Work Co"/>
    <x v="1"/>
    <x v="0"/>
    <x v="7"/>
    <x v="0"/>
    <x v="7"/>
    <n v="50000000"/>
    <x v="0"/>
    <n v="50000000"/>
    <n v="50000000"/>
    <n v="0"/>
    <n v="0"/>
    <n v="0"/>
    <x v="0"/>
    <m/>
    <d v="2026-06-30T00:00:00"/>
    <d v="2026-06-30T00:00:00"/>
    <x v="0"/>
    <x v="0"/>
    <x v="0"/>
    <x v="0"/>
    <x v="0"/>
    <x v="1"/>
    <x v="0"/>
    <x v="9"/>
    <x v="0"/>
  </r>
  <r>
    <s v="ILC-0840-26-9073"/>
    <d v="2026-03-10T00:00:00"/>
    <x v="0"/>
    <x v="2"/>
    <s v="The Fundamental Installation For Electric Work Co"/>
    <x v="3"/>
    <x v="0"/>
    <x v="7"/>
    <x v="0"/>
    <x v="7"/>
    <n v="67000000"/>
    <x v="0"/>
    <n v="67000000"/>
    <n v="25000000"/>
    <n v="42000000"/>
    <n v="42000000"/>
    <n v="0"/>
    <x v="0"/>
    <s v="29/06/2026"/>
    <d v="2026-06-30T00:00:00"/>
    <d v="2026-06-30T00:00:00"/>
    <x v="0"/>
    <x v="0"/>
    <x v="0"/>
    <x v="5"/>
    <x v="14"/>
    <x v="3"/>
    <x v="0"/>
    <x v="9"/>
    <x v="0"/>
  </r>
  <r>
    <s v="DCBWPM163417"/>
    <d v="2026-03-16T00:00:00"/>
    <x v="0"/>
    <x v="0"/>
    <s v="The Fundamental Installation For Electric Work Co"/>
    <x v="0"/>
    <x v="0"/>
    <x v="0"/>
    <x v="0"/>
    <x v="0"/>
    <n v="14000000"/>
    <x v="0"/>
    <n v="14000000"/>
    <n v="10000000"/>
    <n v="4000000"/>
    <n v="4000000"/>
    <n v="0"/>
    <x v="0"/>
    <s v="13/07/2026"/>
    <d v="2026-08-31T00:00:00"/>
    <d v="2026-08-31T00:00:00"/>
    <x v="0"/>
    <x v="0"/>
    <x v="0"/>
    <x v="0"/>
    <x v="0"/>
    <x v="0"/>
    <x v="0"/>
    <x v="9"/>
    <x v="0"/>
  </r>
  <r>
    <s v="JLC6801573"/>
    <d v="2024-08-25T00:00:00"/>
    <x v="9"/>
    <x v="0"/>
    <s v="Visio INC"/>
    <x v="7"/>
    <x v="1"/>
    <x v="8"/>
    <x v="0"/>
    <x v="8"/>
    <n v="16327500.880000001"/>
    <x v="0"/>
    <n v="16327500.880000001"/>
    <n v="15446722.59"/>
    <n v="880778.29"/>
    <n v="0"/>
    <n v="880778.29"/>
    <x v="0"/>
    <m/>
    <d v="2026-06-30T00:00:00"/>
    <d v="2024-12-31T00:00:00"/>
    <x v="0"/>
    <x v="0"/>
    <x v="0"/>
    <x v="0"/>
    <x v="0"/>
    <x v="4"/>
    <x v="1"/>
    <x v="24"/>
    <x v="0"/>
  </r>
  <r>
    <s v="J212290"/>
    <d v="2026-06-11T00:00:00"/>
    <x v="3"/>
    <x v="0"/>
    <s v="APLUS TRADE MIKE"/>
    <x v="2"/>
    <x v="8"/>
    <x v="4"/>
    <x v="1"/>
    <x v="4"/>
    <n v="6040641.79"/>
    <x v="8"/>
    <n v="26518417.458099999"/>
    <n v="0"/>
    <n v="26518417.460000001"/>
    <n v="0"/>
    <n v="26518417.460000001"/>
    <x v="0"/>
    <m/>
    <d v="2026-12-31T00:00:00"/>
    <d v="2026-12-31T00:00:00"/>
    <x v="0"/>
    <x v="0"/>
    <x v="0"/>
    <x v="4"/>
    <x v="0"/>
    <x v="2"/>
    <x v="0"/>
    <x v="9"/>
    <x v="0"/>
  </r>
  <r>
    <s v="ILC-0840-26-9256"/>
    <d v="2026-05-07T00:00:00"/>
    <x v="4"/>
    <x v="0"/>
    <s v="Al-Tawi READY -MIX FACTORY"/>
    <x v="3"/>
    <x v="1"/>
    <x v="5"/>
    <x v="0"/>
    <x v="5"/>
    <n v="600000"/>
    <x v="0"/>
    <n v="600000"/>
    <n v="0"/>
    <n v="600000"/>
    <n v="0"/>
    <n v="600000"/>
    <x v="0"/>
    <m/>
    <d v="2026-07-31T00:00:00"/>
    <d v="2026-07-31T00:00:00"/>
    <x v="0"/>
    <x v="0"/>
    <x v="0"/>
    <x v="0"/>
    <x v="0"/>
    <x v="3"/>
    <x v="0"/>
    <x v="25"/>
    <x v="0"/>
  </r>
  <r>
    <s v="J212311"/>
    <d v="2026-05-07T00:00:00"/>
    <x v="3"/>
    <x v="0"/>
    <s v="Manar Alomran Company For Trading And Industrial Ltd"/>
    <x v="2"/>
    <x v="1"/>
    <x v="4"/>
    <x v="0"/>
    <x v="4"/>
    <n v="2896770"/>
    <x v="0"/>
    <n v="2896770"/>
    <n v="0"/>
    <n v="2896770"/>
    <n v="386858.95"/>
    <n v="2509911.0499999998"/>
    <x v="0"/>
    <s v="19/08/2026"/>
    <d v="2026-08-31T00:00:00"/>
    <d v="2026-08-31T00:00:00"/>
    <x v="0"/>
    <x v="0"/>
    <x v="0"/>
    <x v="0"/>
    <x v="0"/>
    <x v="2"/>
    <x v="0"/>
    <x v="9"/>
    <x v="0"/>
  </r>
  <r>
    <s v="J212344"/>
    <d v="2026-06-04T00:00:00"/>
    <x v="3"/>
    <x v="0"/>
    <s v="Saudi Pro-Kitchen"/>
    <x v="2"/>
    <x v="3"/>
    <x v="4"/>
    <x v="0"/>
    <x v="4"/>
    <n v="700000"/>
    <x v="0"/>
    <n v="700000"/>
    <n v="0"/>
    <n v="700000"/>
    <n v="0"/>
    <n v="700000"/>
    <x v="17"/>
    <m/>
    <d v="2026-08-02T00:00:00"/>
    <d v="2026-08-02T00:00:00"/>
    <x v="0"/>
    <x v="0"/>
    <x v="0"/>
    <x v="4"/>
    <x v="0"/>
    <x v="2"/>
    <x v="0"/>
    <x v="26"/>
    <x v="0"/>
  </r>
  <r>
    <s v="DCBWPM165531"/>
    <d v="2026-05-10T00:00:00"/>
    <x v="15"/>
    <x v="0"/>
    <s v="DAIKIN AIR CONDITIONING SAUDI ARABIA LLC"/>
    <x v="0"/>
    <x v="3"/>
    <x v="10"/>
    <x v="0"/>
    <x v="10"/>
    <n v="735855"/>
    <x v="0"/>
    <n v="735855"/>
    <n v="0"/>
    <n v="735855"/>
    <n v="0"/>
    <n v="735855"/>
    <x v="18"/>
    <m/>
    <d v="2026-06-30T00:00:00"/>
    <d v="2026-06-30T00:00:00"/>
    <x v="0"/>
    <x v="0"/>
    <x v="0"/>
    <x v="0"/>
    <x v="0"/>
    <x v="0"/>
    <x v="0"/>
    <x v="6"/>
    <x v="0"/>
  </r>
  <r>
    <s v="DCBWPM165571"/>
    <d v="2026-05-11T00:00:00"/>
    <x v="15"/>
    <x v="0"/>
    <s v="Isam Kabbani &amp; Partners for Building and Construction"/>
    <x v="0"/>
    <x v="1"/>
    <x v="10"/>
    <x v="0"/>
    <x v="10"/>
    <n v="1325316"/>
    <x v="0"/>
    <n v="1325316"/>
    <n v="0"/>
    <n v="1325316"/>
    <n v="0"/>
    <n v="1325316"/>
    <x v="19"/>
    <m/>
    <d v="2026-08-01T00:00:00"/>
    <d v="2026-08-01T00:00:00"/>
    <x v="0"/>
    <x v="0"/>
    <x v="0"/>
    <x v="0"/>
    <x v="0"/>
    <x v="0"/>
    <x v="0"/>
    <x v="6"/>
    <x v="0"/>
  </r>
  <r>
    <s v="DCBWPM165765"/>
    <d v="2026-05-19T00:00:00"/>
    <x v="15"/>
    <x v="0"/>
    <s v="TRINDEL ARABIA LTD. CO"/>
    <x v="0"/>
    <x v="3"/>
    <x v="10"/>
    <x v="0"/>
    <x v="10"/>
    <n v="772046"/>
    <x v="0"/>
    <n v="772046"/>
    <n v="0"/>
    <n v="772046"/>
    <n v="0"/>
    <n v="772046"/>
    <x v="0"/>
    <m/>
    <d v="2026-07-31T00:00:00"/>
    <d v="2026-07-10T00:00:00"/>
    <x v="0"/>
    <x v="0"/>
    <x v="0"/>
    <x v="0"/>
    <x v="0"/>
    <x v="0"/>
    <x v="0"/>
    <x v="6"/>
    <x v="0"/>
  </r>
  <r>
    <s v="J212386"/>
    <d v="2026-06-07T00:00:00"/>
    <x v="3"/>
    <x v="0"/>
    <s v="Martin Professional Information Technology Company"/>
    <x v="2"/>
    <x v="3"/>
    <x v="4"/>
    <x v="0"/>
    <x v="4"/>
    <n v="5000000"/>
    <x v="0"/>
    <n v="5000000"/>
    <n v="0"/>
    <n v="5000000"/>
    <n v="0"/>
    <n v="5000000"/>
    <x v="0"/>
    <m/>
    <d v="2026-10-08T00:00:00"/>
    <d v="2026-10-08T00:00:00"/>
    <x v="0"/>
    <x v="0"/>
    <x v="0"/>
    <x v="4"/>
    <x v="0"/>
    <x v="2"/>
    <x v="0"/>
    <x v="4"/>
    <x v="0"/>
  </r>
  <r>
    <s v="DCBWPM166296"/>
    <d v="2026-06-04T00:00:00"/>
    <x v="0"/>
    <x v="0"/>
    <s v="Al-Sayed Center A/C for Materials Company"/>
    <x v="0"/>
    <x v="0"/>
    <x v="0"/>
    <x v="0"/>
    <x v="0"/>
    <n v="200000"/>
    <x v="0"/>
    <n v="200000"/>
    <n v="0"/>
    <n v="200000"/>
    <n v="0"/>
    <n v="200000"/>
    <x v="0"/>
    <m/>
    <d v="2026-08-31T00:00:00"/>
    <d v="2026-08-31T00:00:00"/>
    <x v="0"/>
    <x v="0"/>
    <x v="0"/>
    <x v="0"/>
    <x v="0"/>
    <x v="0"/>
    <x v="0"/>
    <x v="26"/>
    <x v="0"/>
  </r>
  <r>
    <s v="DCBWPM166294"/>
    <d v="2026-06-04T00:00:00"/>
    <x v="0"/>
    <x v="0"/>
    <s v="Ali Manea Alyami Trading Est."/>
    <x v="0"/>
    <x v="0"/>
    <x v="0"/>
    <x v="0"/>
    <x v="0"/>
    <n v="200000"/>
    <x v="0"/>
    <n v="200000"/>
    <n v="0"/>
    <n v="200000"/>
    <n v="0"/>
    <n v="200000"/>
    <x v="0"/>
    <m/>
    <d v="2026-08-31T00:00:00"/>
    <d v="2026-08-31T00:00:00"/>
    <x v="0"/>
    <x v="0"/>
    <x v="0"/>
    <x v="0"/>
    <x v="0"/>
    <x v="0"/>
    <x v="0"/>
    <x v="26"/>
    <x v="0"/>
  </r>
  <r>
    <s v="DCBWPM166292"/>
    <d v="2026-06-04T00:00:00"/>
    <x v="0"/>
    <x v="0"/>
    <s v="GALAXY TECHOLOGY CO."/>
    <x v="0"/>
    <x v="0"/>
    <x v="0"/>
    <x v="0"/>
    <x v="0"/>
    <n v="300000.01"/>
    <x v="0"/>
    <n v="300000.01"/>
    <n v="0"/>
    <n v="300000.01"/>
    <n v="0"/>
    <n v="300000.01"/>
    <x v="0"/>
    <m/>
    <d v="2026-08-31T00:00:00"/>
    <d v="2026-08-31T00:00:00"/>
    <x v="0"/>
    <x v="0"/>
    <x v="0"/>
    <x v="0"/>
    <x v="0"/>
    <x v="0"/>
    <x v="0"/>
    <x v="26"/>
    <x v="0"/>
  </r>
  <r>
    <s v="DCBWPM166281"/>
    <d v="2026-06-04T00:00:00"/>
    <x v="0"/>
    <x v="0"/>
    <s v="IDEAL CALIBER COMPANY."/>
    <x v="0"/>
    <x v="0"/>
    <x v="0"/>
    <x v="0"/>
    <x v="0"/>
    <n v="300000"/>
    <x v="0"/>
    <n v="300000"/>
    <n v="0"/>
    <n v="300000"/>
    <n v="0"/>
    <n v="300000"/>
    <x v="0"/>
    <m/>
    <d v="2026-08-31T00:00:00"/>
    <d v="2026-08-31T00:00:00"/>
    <x v="0"/>
    <x v="0"/>
    <x v="0"/>
    <x v="0"/>
    <x v="0"/>
    <x v="0"/>
    <x v="0"/>
    <x v="26"/>
    <x v="0"/>
  </r>
  <r>
    <s v="DCBWPM166290"/>
    <d v="2026-06-04T00:00:00"/>
    <x v="0"/>
    <x v="0"/>
    <s v="Machinery Land Equipment Rental."/>
    <x v="0"/>
    <x v="0"/>
    <x v="0"/>
    <x v="0"/>
    <x v="0"/>
    <n v="300000"/>
    <x v="0"/>
    <n v="300000"/>
    <n v="0"/>
    <n v="300000"/>
    <n v="0"/>
    <n v="300000"/>
    <x v="0"/>
    <m/>
    <d v="2026-08-31T00:00:00"/>
    <d v="2026-08-31T00:00:00"/>
    <x v="0"/>
    <x v="0"/>
    <x v="0"/>
    <x v="0"/>
    <x v="0"/>
    <x v="0"/>
    <x v="0"/>
    <x v="26"/>
    <x v="0"/>
  </r>
  <r>
    <s v="DCBWPM166285"/>
    <d v="2026-06-04T00:00:00"/>
    <x v="0"/>
    <x v="0"/>
    <s v="Establishment Marjane El- Shammal for watertransport and distribution"/>
    <x v="0"/>
    <x v="0"/>
    <x v="0"/>
    <x v="0"/>
    <x v="0"/>
    <n v="200000"/>
    <x v="0"/>
    <n v="200000"/>
    <n v="0"/>
    <n v="200000"/>
    <n v="0"/>
    <n v="200000"/>
    <x v="0"/>
    <m/>
    <d v="2026-08-31T00:00:00"/>
    <d v="2026-08-31T00:00:00"/>
    <x v="0"/>
    <x v="0"/>
    <x v="0"/>
    <x v="0"/>
    <x v="0"/>
    <x v="0"/>
    <x v="0"/>
    <x v="26"/>
    <x v="0"/>
  </r>
  <r>
    <s v="DCBWPM166289"/>
    <d v="2026-06-04T00:00:00"/>
    <x v="0"/>
    <x v="0"/>
    <s v="RAWADF INTERNATIONAL CO."/>
    <x v="0"/>
    <x v="0"/>
    <x v="0"/>
    <x v="0"/>
    <x v="0"/>
    <n v="200000"/>
    <x v="0"/>
    <n v="200000"/>
    <n v="0"/>
    <n v="200000"/>
    <n v="0"/>
    <n v="200000"/>
    <x v="0"/>
    <m/>
    <d v="2026-08-31T00:00:00"/>
    <d v="2026-08-31T00:00:00"/>
    <x v="0"/>
    <x v="0"/>
    <x v="0"/>
    <x v="0"/>
    <x v="0"/>
    <x v="0"/>
    <x v="0"/>
    <x v="26"/>
    <x v="0"/>
  </r>
  <r>
    <s v="DCBWPM166286"/>
    <d v="2026-06-04T00:00:00"/>
    <x v="0"/>
    <x v="0"/>
    <s v="RAPID SAUDI ARABIA CO LIMITED."/>
    <x v="0"/>
    <x v="0"/>
    <x v="0"/>
    <x v="0"/>
    <x v="0"/>
    <n v="190080.6"/>
    <x v="0"/>
    <n v="190080.6"/>
    <n v="0"/>
    <n v="190080.6"/>
    <n v="0"/>
    <n v="190080.6"/>
    <x v="0"/>
    <m/>
    <d v="2026-08-31T00:00:00"/>
    <d v="2026-08-31T00:00:00"/>
    <x v="0"/>
    <x v="0"/>
    <x v="0"/>
    <x v="0"/>
    <x v="0"/>
    <x v="0"/>
    <x v="0"/>
    <x v="26"/>
    <x v="0"/>
  </r>
  <r>
    <s v="DCBWPM166284"/>
    <d v="2026-06-04T00:00:00"/>
    <x v="0"/>
    <x v="0"/>
    <s v="SAUDI ELECTRIC SUPPLY COMPANY."/>
    <x v="0"/>
    <x v="0"/>
    <x v="0"/>
    <x v="0"/>
    <x v="0"/>
    <n v="500000"/>
    <x v="0"/>
    <n v="500000"/>
    <n v="0"/>
    <n v="500000"/>
    <n v="0"/>
    <n v="500000"/>
    <x v="0"/>
    <m/>
    <d v="2026-08-31T00:00:00"/>
    <d v="2026-08-31T00:00:00"/>
    <x v="0"/>
    <x v="0"/>
    <x v="0"/>
    <x v="0"/>
    <x v="0"/>
    <x v="0"/>
    <x v="0"/>
    <x v="26"/>
    <x v="0"/>
  </r>
  <r>
    <s v="DCBWPM166287"/>
    <d v="2026-06-04T00:00:00"/>
    <x v="0"/>
    <x v="0"/>
    <s v="TECHNICAL TOOLS TRADING CO."/>
    <x v="0"/>
    <x v="0"/>
    <x v="0"/>
    <x v="0"/>
    <x v="0"/>
    <n v="200000"/>
    <x v="0"/>
    <n v="200000"/>
    <n v="0"/>
    <n v="200000"/>
    <n v="0"/>
    <n v="200000"/>
    <x v="0"/>
    <m/>
    <d v="2026-08-31T00:00:00"/>
    <d v="2026-08-31T00:00:00"/>
    <x v="0"/>
    <x v="0"/>
    <x v="0"/>
    <x v="0"/>
    <x v="0"/>
    <x v="0"/>
    <x v="0"/>
    <x v="26"/>
    <x v="0"/>
  </r>
  <r>
    <s v="DCBWPM166274"/>
    <d v="2026-06-04T00:00:00"/>
    <x v="0"/>
    <x v="0"/>
    <s v="TEN POINTS EST."/>
    <x v="0"/>
    <x v="0"/>
    <x v="0"/>
    <x v="0"/>
    <x v="0"/>
    <n v="450000"/>
    <x v="0"/>
    <n v="450000"/>
    <n v="0"/>
    <n v="450000"/>
    <n v="0"/>
    <n v="450000"/>
    <x v="0"/>
    <m/>
    <d v="2026-08-31T00:00:00"/>
    <d v="2026-08-31T00:00:00"/>
    <x v="0"/>
    <x v="0"/>
    <x v="0"/>
    <x v="0"/>
    <x v="0"/>
    <x v="0"/>
    <x v="0"/>
    <x v="26"/>
    <x v="0"/>
  </r>
  <r>
    <s v="DCBWPM166264"/>
    <d v="2026-06-04T00:00:00"/>
    <x v="0"/>
    <x v="0"/>
    <s v="NUKHBA ALETFA CO"/>
    <x v="0"/>
    <x v="0"/>
    <x v="0"/>
    <x v="0"/>
    <x v="0"/>
    <n v="500000"/>
    <x v="0"/>
    <n v="500000"/>
    <n v="0"/>
    <n v="500000"/>
    <n v="0"/>
    <n v="500000"/>
    <x v="0"/>
    <m/>
    <d v="2026-08-31T00:00:00"/>
    <d v="2026-08-31T00:00:00"/>
    <x v="0"/>
    <x v="0"/>
    <x v="0"/>
    <x v="0"/>
    <x v="0"/>
    <x v="0"/>
    <x v="0"/>
    <x v="26"/>
    <x v="0"/>
  </r>
  <r>
    <s v="DCBWPM166277"/>
    <d v="2026-06-04T00:00:00"/>
    <x v="0"/>
    <x v="0"/>
    <s v="Masdar Technical Supplies Co."/>
    <x v="0"/>
    <x v="0"/>
    <x v="0"/>
    <x v="0"/>
    <x v="0"/>
    <n v="300000"/>
    <x v="0"/>
    <n v="300000"/>
    <n v="0"/>
    <n v="300000"/>
    <n v="0"/>
    <n v="300000"/>
    <x v="0"/>
    <m/>
    <d v="2026-08-31T00:00:00"/>
    <d v="2026-08-31T00:00:00"/>
    <x v="0"/>
    <x v="0"/>
    <x v="0"/>
    <x v="0"/>
    <x v="0"/>
    <x v="0"/>
    <x v="0"/>
    <x v="26"/>
    <x v="0"/>
  </r>
  <r>
    <s v="DCBWPM166275"/>
    <d v="2026-06-04T00:00:00"/>
    <x v="0"/>
    <x v="0"/>
    <s v="KHEREIJI SHOWROOMS CO."/>
    <x v="0"/>
    <x v="0"/>
    <x v="0"/>
    <x v="0"/>
    <x v="0"/>
    <n v="250000"/>
    <x v="0"/>
    <n v="250000"/>
    <n v="0"/>
    <n v="250000"/>
    <n v="0"/>
    <n v="250000"/>
    <x v="0"/>
    <m/>
    <d v="2026-08-31T00:00:00"/>
    <d v="2026-08-31T00:00:00"/>
    <x v="0"/>
    <x v="0"/>
    <x v="0"/>
    <x v="0"/>
    <x v="0"/>
    <x v="0"/>
    <x v="0"/>
    <x v="26"/>
    <x v="0"/>
  </r>
  <r>
    <s v="DCBWPM166282"/>
    <d v="2026-06-04T00:00:00"/>
    <x v="0"/>
    <x v="0"/>
    <s v="SPECTRA INTERNATIONAL TRADING COMPANY"/>
    <x v="0"/>
    <x v="0"/>
    <x v="0"/>
    <x v="0"/>
    <x v="0"/>
    <n v="250000"/>
    <x v="0"/>
    <n v="250000"/>
    <n v="0"/>
    <n v="250000"/>
    <n v="0"/>
    <n v="250000"/>
    <x v="0"/>
    <m/>
    <d v="2026-08-31T00:00:00"/>
    <d v="2026-08-31T00:00:00"/>
    <x v="0"/>
    <x v="0"/>
    <x v="0"/>
    <x v="0"/>
    <x v="0"/>
    <x v="0"/>
    <x v="0"/>
    <x v="26"/>
    <x v="0"/>
  </r>
  <r>
    <s v="DCBWPM166278"/>
    <d v="2026-06-04T00:00:00"/>
    <x v="0"/>
    <x v="0"/>
    <s v="POWER CENTER COMPANY FOR INDUSTRIES LLC"/>
    <x v="0"/>
    <x v="0"/>
    <x v="0"/>
    <x v="0"/>
    <x v="0"/>
    <n v="500000"/>
    <x v="0"/>
    <n v="500000"/>
    <n v="0"/>
    <n v="500000"/>
    <n v="0"/>
    <n v="500000"/>
    <x v="0"/>
    <m/>
    <d v="2026-08-31T00:00:00"/>
    <d v="2026-08-31T00:00:00"/>
    <x v="0"/>
    <x v="0"/>
    <x v="0"/>
    <x v="0"/>
    <x v="0"/>
    <x v="0"/>
    <x v="0"/>
    <x v="26"/>
    <x v="0"/>
  </r>
  <r>
    <s v="DCBWPM166259"/>
    <d v="2026-06-04T00:00:00"/>
    <x v="0"/>
    <x v="0"/>
    <s v="ELECTRIC HOUSE TRADING COMPANY LLC"/>
    <x v="0"/>
    <x v="0"/>
    <x v="0"/>
    <x v="0"/>
    <x v="0"/>
    <n v="1000000"/>
    <x v="0"/>
    <n v="1000000"/>
    <n v="0"/>
    <n v="1000000"/>
    <n v="0"/>
    <n v="1000000"/>
    <x v="0"/>
    <m/>
    <d v="2026-08-31T00:00:00"/>
    <d v="2026-08-31T00:00:00"/>
    <x v="0"/>
    <x v="0"/>
    <x v="0"/>
    <x v="0"/>
    <x v="0"/>
    <x v="0"/>
    <x v="0"/>
    <x v="26"/>
    <x v="0"/>
  </r>
  <r>
    <s v="DCBWPM166257"/>
    <d v="2026-06-04T00:00:00"/>
    <x v="0"/>
    <x v="0"/>
    <s v="ELSEWEDY CABLES CO. LIMITED"/>
    <x v="0"/>
    <x v="0"/>
    <x v="0"/>
    <x v="0"/>
    <x v="0"/>
    <n v="1000000"/>
    <x v="0"/>
    <n v="1000000"/>
    <n v="0"/>
    <n v="1000000"/>
    <n v="0"/>
    <n v="1000000"/>
    <x v="0"/>
    <m/>
    <d v="2026-08-31T00:00:00"/>
    <d v="2026-08-31T00:00:00"/>
    <x v="0"/>
    <x v="0"/>
    <x v="0"/>
    <x v="0"/>
    <x v="0"/>
    <x v="0"/>
    <x v="0"/>
    <x v="26"/>
    <x v="0"/>
  </r>
  <r>
    <s v="DCBWPM166270"/>
    <d v="2026-06-04T00:00:00"/>
    <x v="0"/>
    <x v="0"/>
    <s v="JOHNSON CONTROLS ARABIA"/>
    <x v="0"/>
    <x v="0"/>
    <x v="0"/>
    <x v="0"/>
    <x v="0"/>
    <n v="500000"/>
    <x v="0"/>
    <n v="500000"/>
    <n v="0"/>
    <n v="500000"/>
    <n v="0"/>
    <n v="500000"/>
    <x v="0"/>
    <m/>
    <d v="2026-08-31T00:00:00"/>
    <d v="2026-08-31T00:00:00"/>
    <x v="0"/>
    <x v="0"/>
    <x v="0"/>
    <x v="0"/>
    <x v="0"/>
    <x v="0"/>
    <x v="0"/>
    <x v="26"/>
    <x v="0"/>
  </r>
  <r>
    <s v="DCBWPM166279"/>
    <d v="2026-06-04T00:00:00"/>
    <x v="0"/>
    <x v="0"/>
    <s v="Systemair For Electrical Equipment Co."/>
    <x v="0"/>
    <x v="0"/>
    <x v="0"/>
    <x v="0"/>
    <x v="0"/>
    <n v="300000"/>
    <x v="0"/>
    <n v="300000"/>
    <n v="0"/>
    <n v="300000"/>
    <n v="0"/>
    <n v="300000"/>
    <x v="0"/>
    <m/>
    <d v="2026-08-31T00:00:00"/>
    <d v="2026-08-31T00:00:00"/>
    <x v="0"/>
    <x v="0"/>
    <x v="0"/>
    <x v="0"/>
    <x v="0"/>
    <x v="0"/>
    <x v="0"/>
    <x v="26"/>
    <x v="0"/>
  </r>
  <r>
    <s v="DCBWPM166272"/>
    <d v="2026-06-04T00:00:00"/>
    <x v="0"/>
    <x v="0"/>
    <s v="MARIAM TRADING CO AND PARTNER"/>
    <x v="0"/>
    <x v="0"/>
    <x v="0"/>
    <x v="0"/>
    <x v="0"/>
    <n v="200000"/>
    <x v="0"/>
    <n v="200000"/>
    <n v="0"/>
    <n v="200000"/>
    <n v="0"/>
    <n v="200000"/>
    <x v="0"/>
    <m/>
    <d v="2026-08-31T00:00:00"/>
    <d v="2026-08-31T00:00:00"/>
    <x v="0"/>
    <x v="0"/>
    <x v="0"/>
    <x v="0"/>
    <x v="0"/>
    <x v="0"/>
    <x v="0"/>
    <x v="26"/>
    <x v="0"/>
  </r>
  <r>
    <s v="DCBWPM166298"/>
    <d v="2026-06-04T00:00:00"/>
    <x v="0"/>
    <x v="0"/>
    <s v="Gulf Grilles Company"/>
    <x v="0"/>
    <x v="0"/>
    <x v="0"/>
    <x v="0"/>
    <x v="0"/>
    <n v="400000"/>
    <x v="0"/>
    <n v="400000"/>
    <n v="0"/>
    <n v="400000"/>
    <n v="0"/>
    <n v="400000"/>
    <x v="0"/>
    <m/>
    <d v="2026-08-31T00:00:00"/>
    <d v="2026-08-31T00:00:00"/>
    <x v="0"/>
    <x v="0"/>
    <x v="0"/>
    <x v="0"/>
    <x v="0"/>
    <x v="0"/>
    <x v="0"/>
    <x v="26"/>
    <x v="0"/>
  </r>
  <r>
    <s v="DCBWPM166276"/>
    <d v="2026-06-04T00:00:00"/>
    <x v="0"/>
    <x v="0"/>
    <s v="AFAQ AL MALAZ TRADING CO.LTD."/>
    <x v="0"/>
    <x v="0"/>
    <x v="0"/>
    <x v="0"/>
    <x v="0"/>
    <n v="200000"/>
    <x v="0"/>
    <n v="200000"/>
    <n v="0"/>
    <n v="200000"/>
    <n v="0"/>
    <n v="200000"/>
    <x v="0"/>
    <m/>
    <d v="2026-08-31T00:00:00"/>
    <d v="2026-08-31T00:00:00"/>
    <x v="0"/>
    <x v="0"/>
    <x v="0"/>
    <x v="0"/>
    <x v="0"/>
    <x v="0"/>
    <x v="0"/>
    <x v="26"/>
    <x v="0"/>
  </r>
  <r>
    <s v="DCBWPM166297"/>
    <d v="2026-06-04T00:00:00"/>
    <x v="0"/>
    <x v="0"/>
    <s v="National Fire Fighting Manufacturing FZCO BR."/>
    <x v="0"/>
    <x v="0"/>
    <x v="0"/>
    <x v="0"/>
    <x v="0"/>
    <n v="500000"/>
    <x v="0"/>
    <n v="500000"/>
    <n v="0"/>
    <n v="500000"/>
    <n v="0"/>
    <n v="500000"/>
    <x v="0"/>
    <m/>
    <d v="2026-08-31T00:00:00"/>
    <d v="2026-08-31T00:00:00"/>
    <x v="0"/>
    <x v="0"/>
    <x v="0"/>
    <x v="0"/>
    <x v="0"/>
    <x v="0"/>
    <x v="0"/>
    <x v="26"/>
    <x v="0"/>
  </r>
  <r>
    <s v="DCBWPM166271"/>
    <d v="2026-06-04T00:00:00"/>
    <x v="0"/>
    <x v="0"/>
    <s v="Arabian International Company For Contracting"/>
    <x v="0"/>
    <x v="0"/>
    <x v="0"/>
    <x v="0"/>
    <x v="0"/>
    <n v="500000"/>
    <x v="0"/>
    <n v="500000"/>
    <n v="0"/>
    <n v="500000"/>
    <n v="0"/>
    <n v="500000"/>
    <x v="0"/>
    <m/>
    <d v="2026-08-31T00:00:00"/>
    <d v="2026-08-31T00:00:00"/>
    <x v="0"/>
    <x v="0"/>
    <x v="0"/>
    <x v="0"/>
    <x v="0"/>
    <x v="0"/>
    <x v="0"/>
    <x v="26"/>
    <x v="0"/>
  </r>
  <r>
    <s v="ILC-0840-26-9418"/>
    <d v="2026-06-17T00:00:00"/>
    <x v="4"/>
    <x v="0"/>
    <s v="Saraya Al Andalus for Construction company"/>
    <x v="3"/>
    <x v="1"/>
    <x v="5"/>
    <x v="0"/>
    <x v="5"/>
    <n v="5000000"/>
    <x v="0"/>
    <n v="5000000"/>
    <n v="0"/>
    <n v="5000000"/>
    <n v="0"/>
    <n v="5000000"/>
    <x v="0"/>
    <m/>
    <d v="2026-10-31T00:00:00"/>
    <d v="2026-10-31T00:00:00"/>
    <x v="0"/>
    <x v="0"/>
    <x v="0"/>
    <x v="0"/>
    <x v="0"/>
    <x v="3"/>
    <x v="0"/>
    <x v="27"/>
    <x v="0"/>
  </r>
  <r>
    <s v="DCBWPM166261"/>
    <d v="2026-06-04T00:00:00"/>
    <x v="0"/>
    <x v="0"/>
    <s v="DAIKIN AIR CONDITIONING SAUDI ARABIA LLC"/>
    <x v="0"/>
    <x v="0"/>
    <x v="0"/>
    <x v="0"/>
    <x v="0"/>
    <n v="1000000"/>
    <x v="0"/>
    <n v="1000000"/>
    <n v="0"/>
    <n v="1000000"/>
    <n v="0"/>
    <n v="1000000"/>
    <x v="0"/>
    <m/>
    <d v="2026-08-31T00:00:00"/>
    <d v="2026-08-31T00:00:00"/>
    <x v="0"/>
    <x v="0"/>
    <x v="0"/>
    <x v="0"/>
    <x v="0"/>
    <x v="0"/>
    <x v="0"/>
    <x v="26"/>
    <x v="0"/>
  </r>
  <r>
    <s v="DCBWPM166267"/>
    <d v="2026-06-04T00:00:00"/>
    <x v="0"/>
    <x v="0"/>
    <s v="ALGHAMDI COMPANY FOR SANITARY WARES"/>
    <x v="0"/>
    <x v="0"/>
    <x v="0"/>
    <x v="0"/>
    <x v="0"/>
    <n v="350000"/>
    <x v="0"/>
    <n v="350000"/>
    <n v="0"/>
    <n v="350000"/>
    <n v="0"/>
    <n v="350000"/>
    <x v="0"/>
    <m/>
    <d v="2026-08-31T00:00:00"/>
    <d v="2026-08-31T00:00:00"/>
    <x v="0"/>
    <x v="0"/>
    <x v="0"/>
    <x v="0"/>
    <x v="0"/>
    <x v="0"/>
    <x v="0"/>
    <x v="26"/>
    <x v="0"/>
  </r>
  <r>
    <s v="DCBWPM166944"/>
    <d v="2026-06-23T00:00:00"/>
    <x v="15"/>
    <x v="0"/>
    <s v="AL RAMSAT CONTRACTING COMPANY"/>
    <x v="0"/>
    <x v="1"/>
    <x v="10"/>
    <x v="0"/>
    <x v="10"/>
    <n v="2000000"/>
    <x v="0"/>
    <n v="2000000"/>
    <n v="0"/>
    <n v="2000000"/>
    <n v="0"/>
    <n v="2000000"/>
    <x v="0"/>
    <m/>
    <d v="2026-11-20T00:00:00"/>
    <d v="2026-11-20T00:00:00"/>
    <x v="0"/>
    <x v="0"/>
    <x v="0"/>
    <x v="0"/>
    <x v="0"/>
    <x v="0"/>
    <x v="0"/>
    <x v="4"/>
    <x v="0"/>
  </r>
  <r>
    <s v="J212502"/>
    <d v="2026-06-22T00:00:00"/>
    <x v="3"/>
    <x v="0"/>
    <s v="Gulf Applications - GAPP"/>
    <x v="2"/>
    <x v="3"/>
    <x v="4"/>
    <x v="0"/>
    <x v="4"/>
    <n v="11188186.699999999"/>
    <x v="0"/>
    <n v="11188186.699999999"/>
    <n v="0"/>
    <n v="11188186.699999999"/>
    <n v="0"/>
    <n v="11188186.699999999"/>
    <x v="0"/>
    <m/>
    <d v="2026-08-10T00:00:00"/>
    <d v="2026-08-10T00:00:00"/>
    <x v="0"/>
    <x v="0"/>
    <x v="0"/>
    <x v="4"/>
    <x v="0"/>
    <x v="2"/>
    <x v="0"/>
    <x v="9"/>
    <x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0"/>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0"/>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
  <r>
    <x v="0"/>
    <x v="0"/>
    <x v="0"/>
    <n v="21842264.030000001"/>
  </r>
  <r>
    <x v="0"/>
    <x v="1"/>
    <x v="1"/>
    <n v="92314626.399079993"/>
  </r>
  <r>
    <x v="1"/>
    <x v="2"/>
    <x v="2"/>
    <n v="116464447.47996338"/>
  </r>
  <r>
    <x v="2"/>
    <x v="3"/>
    <x v="3"/>
    <n v="47252316.511940002"/>
  </r>
  <r>
    <x v="2"/>
    <x v="0"/>
    <x v="4"/>
    <n v="98384130.58964999"/>
  </r>
  <r>
    <x v="2"/>
    <x v="4"/>
    <x v="4"/>
    <n v="80647533.087650001"/>
  </r>
  <r>
    <x v="1"/>
    <x v="5"/>
    <x v="5"/>
    <n v="156864250.972"/>
  </r>
  <r>
    <x v="1"/>
    <x v="1"/>
    <x v="6"/>
    <n v="150615285.67947701"/>
  </r>
  <r>
    <x v="1"/>
    <x v="6"/>
    <x v="7"/>
    <n v="170881169.64999998"/>
  </r>
  <r>
    <x v="1"/>
    <x v="7"/>
    <x v="8"/>
    <n v="72479758.899999991"/>
  </r>
  <r>
    <x v="1"/>
    <x v="8"/>
    <x v="9"/>
    <n v="87964970.441854507"/>
  </r>
  <r>
    <x v="1"/>
    <x v="9"/>
    <x v="7"/>
    <n v="80763253.530000001"/>
  </r>
  <r>
    <x v="3"/>
    <x v="5"/>
    <x v="10"/>
    <n v="45644534.009999998"/>
  </r>
  <r>
    <x v="1"/>
    <x v="0"/>
    <x v="11"/>
    <n v="118007918.22"/>
  </r>
  <r>
    <x v="1"/>
    <x v="4"/>
    <x v="12"/>
    <n v="138876144.04968998"/>
  </r>
  <r>
    <x v="3"/>
    <x v="6"/>
    <x v="13"/>
    <n v="172837732.5"/>
  </r>
  <r>
    <x v="3"/>
    <x v="10"/>
    <x v="14"/>
    <n v="94308352.840000004"/>
  </r>
  <r>
    <x v="2"/>
    <x v="2"/>
    <x v="15"/>
    <n v="79187119.302190825"/>
  </r>
  <r>
    <x v="0"/>
    <x v="4"/>
    <x v="16"/>
    <n v="77018758.996569991"/>
  </r>
  <r>
    <x v="2"/>
    <x v="11"/>
    <x v="17"/>
    <n v="61896198.603999995"/>
  </r>
  <r>
    <x v="2"/>
    <x v="8"/>
    <x v="18"/>
    <n v="22093379.84"/>
  </r>
  <r>
    <x v="0"/>
    <x v="2"/>
    <x v="19"/>
    <n v="390687649.20460421"/>
  </r>
  <r>
    <x v="2"/>
    <x v="1"/>
    <x v="20"/>
    <n v="638362042.14989686"/>
  </r>
  <r>
    <x v="1"/>
    <x v="3"/>
    <x v="4"/>
    <n v="102870682.288"/>
  </r>
  <r>
    <x v="0"/>
    <x v="11"/>
    <x v="20"/>
    <n v="43967125.764724597"/>
  </r>
  <r>
    <x v="0"/>
    <x v="10"/>
    <x v="18"/>
    <n v="44320869.280440003"/>
  </r>
  <r>
    <x v="1"/>
    <x v="10"/>
    <x v="21"/>
    <n v="59692999.700000003"/>
  </r>
  <r>
    <x v="2"/>
    <x v="5"/>
    <x v="22"/>
    <n v="23398501.27"/>
  </r>
  <r>
    <x v="0"/>
    <x v="8"/>
    <x v="18"/>
    <n v="20579360.18"/>
  </r>
  <r>
    <x v="0"/>
    <x v="6"/>
    <x v="22"/>
    <n v="93729294.332500011"/>
  </r>
  <r>
    <x v="1"/>
    <x v="11"/>
    <x v="20"/>
    <n v="24199118.440000001"/>
  </r>
  <r>
    <x v="2"/>
    <x v="9"/>
    <x v="23"/>
    <n v="7172170.6849500006"/>
  </r>
  <r>
    <x v="2"/>
    <x v="6"/>
    <x v="24"/>
    <n v="57045997.173299998"/>
  </r>
  <r>
    <x v="0"/>
    <x v="5"/>
    <x v="25"/>
    <n v="9363348.1499999985"/>
  </r>
  <r>
    <x v="3"/>
    <x v="7"/>
    <x v="26"/>
    <n v="48681419.744900003"/>
  </r>
  <r>
    <x v="0"/>
    <x v="3"/>
    <x v="27"/>
    <n v="6358290"/>
  </r>
  <r>
    <x v="3"/>
    <x v="8"/>
    <x v="20"/>
    <n v="9507808.1940000001"/>
  </r>
  <r>
    <x v="2"/>
    <x v="7"/>
    <x v="27"/>
    <n v="21471017.5"/>
  </r>
  <r>
    <x v="0"/>
    <x v="9"/>
    <x v="25"/>
    <n v="17110742.542160314"/>
  </r>
  <r>
    <x v="4"/>
    <x v="4"/>
    <x v="25"/>
    <n v="55576581.5625"/>
  </r>
  <r>
    <x v="3"/>
    <x v="9"/>
    <x v="28"/>
    <n v="61196684.768099993"/>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x v="0"/>
    <x v="0"/>
    <x v="0"/>
    <x v="0"/>
    <x v="0"/>
    <x v="0"/>
    <x v="0"/>
    <x v="0"/>
    <x v="0"/>
    <x v="0"/>
    <x v="0"/>
    <x v="0"/>
    <x v="0"/>
    <x v="0"/>
    <x v="0"/>
    <x v="0"/>
    <x v="0"/>
    <x v="0"/>
    <x v="0"/>
    <x v="0"/>
    <x v="0"/>
    <x v="0"/>
    <x v="0"/>
  </r>
  <r>
    <x v="0"/>
    <x v="1"/>
    <x v="1"/>
    <x v="1"/>
    <x v="1"/>
    <x v="1"/>
    <x v="1"/>
    <x v="0"/>
    <x v="1"/>
    <x v="1"/>
    <x v="0"/>
    <x v="1"/>
    <x v="0"/>
    <x v="1"/>
    <x v="1"/>
    <x v="1"/>
    <x v="0"/>
    <x v="1"/>
    <x v="0"/>
    <x v="0"/>
    <x v="0"/>
    <x v="0"/>
    <x v="1"/>
    <x v="0"/>
  </r>
  <r>
    <x v="0"/>
    <x v="2"/>
    <x v="1"/>
    <x v="1"/>
    <x v="1"/>
    <x v="1"/>
    <x v="2"/>
    <x v="0"/>
    <x v="1"/>
    <x v="1"/>
    <x v="0"/>
    <x v="2"/>
    <x v="0"/>
    <x v="2"/>
    <x v="2"/>
    <x v="2"/>
    <x v="0"/>
    <x v="2"/>
    <x v="0"/>
    <x v="0"/>
    <x v="0"/>
    <x v="0"/>
    <x v="2"/>
    <x v="0"/>
  </r>
  <r>
    <x v="0"/>
    <x v="3"/>
    <x v="2"/>
    <x v="0"/>
    <x v="2"/>
    <x v="2"/>
    <x v="3"/>
    <x v="1"/>
    <x v="2"/>
    <x v="2"/>
    <x v="0"/>
    <x v="3"/>
    <x v="0"/>
    <x v="3"/>
    <x v="3"/>
    <x v="2"/>
    <x v="0"/>
    <x v="3"/>
    <x v="0"/>
    <x v="0"/>
    <x v="0"/>
    <x v="0"/>
    <x v="3"/>
    <x v="0"/>
  </r>
  <r>
    <x v="0"/>
    <x v="3"/>
    <x v="3"/>
    <x v="0"/>
    <x v="3"/>
    <x v="3"/>
    <x v="4"/>
    <x v="0"/>
    <x v="3"/>
    <x v="3"/>
    <x v="0"/>
    <x v="4"/>
    <x v="0"/>
    <x v="4"/>
    <x v="4"/>
    <x v="3"/>
    <x v="0"/>
    <x v="4"/>
    <x v="0"/>
    <x v="0"/>
    <x v="0"/>
    <x v="0"/>
    <x v="3"/>
    <x v="0"/>
  </r>
</pivotCacheRecords>
</file>

<file path=xl/pivotCache/pivotCacheRecords1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x v="0"/>
    <x v="0"/>
    <x v="0"/>
    <x v="0"/>
    <x v="0"/>
    <x v="0"/>
    <x v="0"/>
    <x v="0"/>
    <x v="0"/>
    <x v="0"/>
    <x v="0"/>
    <x v="0"/>
    <x v="0"/>
    <x v="0"/>
    <x v="0"/>
    <x v="0"/>
    <x v="0"/>
    <x v="0"/>
    <x v="0"/>
    <x v="0"/>
    <x v="0"/>
    <x v="0"/>
    <x v="0"/>
  </r>
  <r>
    <x v="1"/>
    <x v="1"/>
    <x v="1"/>
    <x v="0"/>
    <x v="1"/>
    <x v="1"/>
    <x v="1"/>
    <x v="1"/>
    <x v="1"/>
    <x v="1"/>
    <x v="0"/>
    <x v="1"/>
    <x v="0"/>
    <x v="1"/>
    <x v="0"/>
    <x v="0"/>
    <x v="0"/>
    <x v="1"/>
    <x v="0"/>
    <x v="0"/>
    <x v="0"/>
    <x v="1"/>
    <x v="1"/>
    <x v="0"/>
  </r>
</pivotCacheRecords>
</file>

<file path=xl/pivotCache/pivotCacheRecords1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x v="0"/>
    <x v="0"/>
    <x v="0"/>
    <x v="0"/>
    <x v="0"/>
    <x v="0"/>
    <x v="0"/>
    <x v="0"/>
    <x v="0"/>
    <x v="0"/>
    <x v="0"/>
    <x v="0"/>
    <x v="0"/>
    <x v="0"/>
    <x v="0"/>
    <x v="0"/>
    <x v="0"/>
    <x v="0"/>
    <x v="0"/>
    <x v="0"/>
    <x v="0"/>
    <x v="0"/>
    <x v="0"/>
  </r>
  <r>
    <x v="0"/>
    <x v="1"/>
    <x v="1"/>
    <x v="0"/>
    <x v="0"/>
    <x v="0"/>
    <x v="1"/>
    <x v="1"/>
    <x v="0"/>
    <x v="0"/>
    <x v="0"/>
    <x v="1"/>
    <x v="0"/>
    <x v="1"/>
    <x v="1"/>
    <x v="1"/>
    <x v="0"/>
    <x v="1"/>
    <x v="0"/>
    <x v="0"/>
    <x v="0"/>
    <x v="0"/>
    <x v="1"/>
    <x v="0"/>
  </r>
  <r>
    <x v="0"/>
    <x v="1"/>
    <x v="1"/>
    <x v="0"/>
    <x v="0"/>
    <x v="0"/>
    <x v="2"/>
    <x v="1"/>
    <x v="0"/>
    <x v="0"/>
    <x v="0"/>
    <x v="2"/>
    <x v="0"/>
    <x v="2"/>
    <x v="1"/>
    <x v="1"/>
    <x v="0"/>
    <x v="1"/>
    <x v="0"/>
    <x v="0"/>
    <x v="0"/>
    <x v="0"/>
    <x v="1"/>
    <x v="0"/>
  </r>
  <r>
    <x v="0"/>
    <x v="1"/>
    <x v="1"/>
    <x v="0"/>
    <x v="0"/>
    <x v="0"/>
    <x v="3"/>
    <x v="1"/>
    <x v="0"/>
    <x v="0"/>
    <x v="0"/>
    <x v="3"/>
    <x v="0"/>
    <x v="3"/>
    <x v="1"/>
    <x v="1"/>
    <x v="0"/>
    <x v="1"/>
    <x v="0"/>
    <x v="0"/>
    <x v="0"/>
    <x v="0"/>
    <x v="1"/>
    <x v="0"/>
  </r>
  <r>
    <x v="0"/>
    <x v="1"/>
    <x v="1"/>
    <x v="0"/>
    <x v="0"/>
    <x v="0"/>
    <x v="4"/>
    <x v="1"/>
    <x v="0"/>
    <x v="0"/>
    <x v="0"/>
    <x v="4"/>
    <x v="0"/>
    <x v="4"/>
    <x v="1"/>
    <x v="1"/>
    <x v="0"/>
    <x v="1"/>
    <x v="0"/>
    <x v="0"/>
    <x v="0"/>
    <x v="0"/>
    <x v="1"/>
    <x v="0"/>
  </r>
  <r>
    <x v="0"/>
    <x v="1"/>
    <x v="1"/>
    <x v="0"/>
    <x v="0"/>
    <x v="0"/>
    <x v="5"/>
    <x v="1"/>
    <x v="0"/>
    <x v="0"/>
    <x v="0"/>
    <x v="1"/>
    <x v="0"/>
    <x v="1"/>
    <x v="1"/>
    <x v="1"/>
    <x v="0"/>
    <x v="1"/>
    <x v="0"/>
    <x v="0"/>
    <x v="0"/>
    <x v="0"/>
    <x v="1"/>
    <x v="0"/>
  </r>
  <r>
    <x v="0"/>
    <x v="1"/>
    <x v="1"/>
    <x v="0"/>
    <x v="0"/>
    <x v="0"/>
    <x v="6"/>
    <x v="1"/>
    <x v="0"/>
    <x v="0"/>
    <x v="0"/>
    <x v="1"/>
    <x v="0"/>
    <x v="1"/>
    <x v="1"/>
    <x v="1"/>
    <x v="0"/>
    <x v="1"/>
    <x v="0"/>
    <x v="0"/>
    <x v="0"/>
    <x v="0"/>
    <x v="1"/>
    <x v="0"/>
  </r>
  <r>
    <x v="0"/>
    <x v="1"/>
    <x v="1"/>
    <x v="0"/>
    <x v="0"/>
    <x v="0"/>
    <x v="7"/>
    <x v="1"/>
    <x v="0"/>
    <x v="0"/>
    <x v="0"/>
    <x v="5"/>
    <x v="0"/>
    <x v="5"/>
    <x v="1"/>
    <x v="1"/>
    <x v="0"/>
    <x v="1"/>
    <x v="0"/>
    <x v="0"/>
    <x v="0"/>
    <x v="0"/>
    <x v="1"/>
    <x v="0"/>
  </r>
  <r>
    <x v="0"/>
    <x v="1"/>
    <x v="1"/>
    <x v="0"/>
    <x v="0"/>
    <x v="0"/>
    <x v="8"/>
    <x v="1"/>
    <x v="0"/>
    <x v="0"/>
    <x v="0"/>
    <x v="5"/>
    <x v="0"/>
    <x v="5"/>
    <x v="1"/>
    <x v="1"/>
    <x v="0"/>
    <x v="1"/>
    <x v="0"/>
    <x v="0"/>
    <x v="0"/>
    <x v="0"/>
    <x v="1"/>
    <x v="0"/>
  </r>
  <r>
    <x v="0"/>
    <x v="1"/>
    <x v="1"/>
    <x v="0"/>
    <x v="0"/>
    <x v="0"/>
    <x v="9"/>
    <x v="1"/>
    <x v="0"/>
    <x v="0"/>
    <x v="0"/>
    <x v="6"/>
    <x v="0"/>
    <x v="6"/>
    <x v="1"/>
    <x v="1"/>
    <x v="0"/>
    <x v="1"/>
    <x v="0"/>
    <x v="0"/>
    <x v="0"/>
    <x v="0"/>
    <x v="1"/>
    <x v="0"/>
  </r>
  <r>
    <x v="0"/>
    <x v="1"/>
    <x v="1"/>
    <x v="0"/>
    <x v="0"/>
    <x v="0"/>
    <x v="10"/>
    <x v="1"/>
    <x v="0"/>
    <x v="0"/>
    <x v="0"/>
    <x v="3"/>
    <x v="0"/>
    <x v="3"/>
    <x v="1"/>
    <x v="1"/>
    <x v="0"/>
    <x v="1"/>
    <x v="0"/>
    <x v="0"/>
    <x v="0"/>
    <x v="0"/>
    <x v="1"/>
    <x v="0"/>
  </r>
  <r>
    <x v="0"/>
    <x v="2"/>
    <x v="2"/>
    <x v="0"/>
    <x v="1"/>
    <x v="1"/>
    <x v="11"/>
    <x v="2"/>
    <x v="1"/>
    <x v="1"/>
    <x v="0"/>
    <x v="7"/>
    <x v="0"/>
    <x v="7"/>
    <x v="2"/>
    <x v="2"/>
    <x v="0"/>
    <x v="0"/>
    <x v="0"/>
    <x v="0"/>
    <x v="0"/>
    <x v="0"/>
    <x v="2"/>
    <x v="0"/>
  </r>
  <r>
    <x v="0"/>
    <x v="3"/>
    <x v="3"/>
    <x v="0"/>
    <x v="2"/>
    <x v="2"/>
    <x v="12"/>
    <x v="2"/>
    <x v="2"/>
    <x v="2"/>
    <x v="0"/>
    <x v="8"/>
    <x v="0"/>
    <x v="8"/>
    <x v="2"/>
    <x v="2"/>
    <x v="0"/>
    <x v="0"/>
    <x v="0"/>
    <x v="0"/>
    <x v="0"/>
    <x v="1"/>
    <x v="3"/>
    <x v="0"/>
  </r>
  <r>
    <x v="0"/>
    <x v="4"/>
    <x v="4"/>
    <x v="0"/>
    <x v="1"/>
    <x v="1"/>
    <x v="13"/>
    <x v="2"/>
    <x v="3"/>
    <x v="3"/>
    <x v="0"/>
    <x v="9"/>
    <x v="0"/>
    <x v="9"/>
    <x v="3"/>
    <x v="3"/>
    <x v="0"/>
    <x v="2"/>
    <x v="0"/>
    <x v="0"/>
    <x v="0"/>
    <x v="0"/>
    <x v="1"/>
    <x v="0"/>
  </r>
  <r>
    <x v="0"/>
    <x v="5"/>
    <x v="4"/>
    <x v="0"/>
    <x v="1"/>
    <x v="1"/>
    <x v="14"/>
    <x v="2"/>
    <x v="3"/>
    <x v="3"/>
    <x v="0"/>
    <x v="10"/>
    <x v="0"/>
    <x v="10"/>
    <x v="2"/>
    <x v="2"/>
    <x v="0"/>
    <x v="0"/>
    <x v="0"/>
    <x v="0"/>
    <x v="0"/>
    <x v="0"/>
    <x v="4"/>
    <x v="0"/>
  </r>
  <r>
    <x v="0"/>
    <x v="6"/>
    <x v="1"/>
    <x v="0"/>
    <x v="0"/>
    <x v="0"/>
    <x v="15"/>
    <x v="2"/>
    <x v="0"/>
    <x v="0"/>
    <x v="0"/>
    <x v="11"/>
    <x v="0"/>
    <x v="11"/>
    <x v="4"/>
    <x v="1"/>
    <x v="0"/>
    <x v="3"/>
    <x v="0"/>
    <x v="0"/>
    <x v="0"/>
    <x v="0"/>
    <x v="5"/>
    <x v="0"/>
  </r>
  <r>
    <x v="0"/>
    <x v="7"/>
    <x v="5"/>
    <x v="0"/>
    <x v="3"/>
    <x v="3"/>
    <x v="16"/>
    <x v="2"/>
    <x v="4"/>
    <x v="4"/>
    <x v="0"/>
    <x v="12"/>
    <x v="0"/>
    <x v="12"/>
    <x v="5"/>
    <x v="4"/>
    <x v="0"/>
    <x v="2"/>
    <x v="0"/>
    <x v="0"/>
    <x v="0"/>
    <x v="0"/>
    <x v="6"/>
    <x v="0"/>
  </r>
  <r>
    <x v="0"/>
    <x v="7"/>
    <x v="5"/>
    <x v="0"/>
    <x v="3"/>
    <x v="3"/>
    <x v="17"/>
    <x v="2"/>
    <x v="4"/>
    <x v="4"/>
    <x v="0"/>
    <x v="13"/>
    <x v="0"/>
    <x v="13"/>
    <x v="5"/>
    <x v="4"/>
    <x v="0"/>
    <x v="2"/>
    <x v="0"/>
    <x v="0"/>
    <x v="0"/>
    <x v="0"/>
    <x v="6"/>
    <x v="0"/>
  </r>
  <r>
    <x v="0"/>
    <x v="7"/>
    <x v="5"/>
    <x v="0"/>
    <x v="3"/>
    <x v="3"/>
    <x v="18"/>
    <x v="2"/>
    <x v="4"/>
    <x v="4"/>
    <x v="0"/>
    <x v="13"/>
    <x v="0"/>
    <x v="13"/>
    <x v="5"/>
    <x v="4"/>
    <x v="0"/>
    <x v="2"/>
    <x v="0"/>
    <x v="0"/>
    <x v="0"/>
    <x v="0"/>
    <x v="6"/>
    <x v="0"/>
  </r>
  <r>
    <x v="0"/>
    <x v="7"/>
    <x v="5"/>
    <x v="0"/>
    <x v="3"/>
    <x v="3"/>
    <x v="19"/>
    <x v="2"/>
    <x v="4"/>
    <x v="4"/>
    <x v="0"/>
    <x v="14"/>
    <x v="0"/>
    <x v="14"/>
    <x v="5"/>
    <x v="4"/>
    <x v="0"/>
    <x v="2"/>
    <x v="0"/>
    <x v="0"/>
    <x v="0"/>
    <x v="0"/>
    <x v="6"/>
    <x v="0"/>
  </r>
</pivotCacheRecords>
</file>

<file path=xl/pivotCache/pivotCacheRecords1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
  <r>
    <x v="0"/>
    <x v="0"/>
    <x v="0"/>
    <x v="0"/>
    <x v="0"/>
    <x v="0"/>
    <x v="0"/>
    <x v="0"/>
    <x v="0"/>
    <x v="0"/>
  </r>
  <r>
    <x v="1"/>
    <x v="1"/>
    <x v="1"/>
    <x v="1"/>
    <x v="1"/>
    <x v="0"/>
    <x v="1"/>
    <x v="1"/>
    <x v="1"/>
    <x v="0"/>
  </r>
  <r>
    <x v="1"/>
    <x v="2"/>
    <x v="2"/>
    <x v="2"/>
    <x v="2"/>
    <x v="0"/>
    <x v="2"/>
    <x v="2"/>
    <x v="2"/>
    <x v="0"/>
  </r>
  <r>
    <x v="2"/>
    <x v="3"/>
    <x v="3"/>
    <x v="3"/>
    <x v="3"/>
    <x v="0"/>
    <x v="3"/>
    <x v="3"/>
    <x v="3"/>
    <x v="0"/>
  </r>
  <r>
    <x v="1"/>
    <x v="4"/>
    <x v="1"/>
    <x v="4"/>
    <x v="4"/>
    <x v="0"/>
    <x v="4"/>
    <x v="4"/>
    <x v="4"/>
    <x v="0"/>
  </r>
  <r>
    <x v="3"/>
    <x v="3"/>
    <x v="0"/>
    <x v="5"/>
    <x v="5"/>
    <x v="0"/>
    <x v="5"/>
    <x v="5"/>
    <x v="5"/>
    <x v="0"/>
  </r>
  <r>
    <x v="1"/>
    <x v="4"/>
    <x v="1"/>
    <x v="6"/>
    <x v="6"/>
    <x v="0"/>
    <x v="6"/>
    <x v="6"/>
    <x v="6"/>
    <x v="0"/>
  </r>
  <r>
    <x v="1"/>
    <x v="4"/>
    <x v="1"/>
    <x v="7"/>
    <x v="6"/>
    <x v="0"/>
    <x v="7"/>
    <x v="7"/>
    <x v="6"/>
    <x v="0"/>
  </r>
  <r>
    <x v="1"/>
    <x v="4"/>
    <x v="1"/>
    <x v="8"/>
    <x v="6"/>
    <x v="0"/>
    <x v="8"/>
    <x v="8"/>
    <x v="6"/>
    <x v="0"/>
  </r>
  <r>
    <x v="1"/>
    <x v="4"/>
    <x v="1"/>
    <x v="9"/>
    <x v="6"/>
    <x v="0"/>
    <x v="9"/>
    <x v="9"/>
    <x v="6"/>
    <x v="0"/>
  </r>
  <r>
    <x v="1"/>
    <x v="4"/>
    <x v="1"/>
    <x v="10"/>
    <x v="6"/>
    <x v="0"/>
    <x v="6"/>
    <x v="6"/>
    <x v="6"/>
    <x v="0"/>
  </r>
  <r>
    <x v="1"/>
    <x v="4"/>
    <x v="1"/>
    <x v="11"/>
    <x v="6"/>
    <x v="0"/>
    <x v="6"/>
    <x v="6"/>
    <x v="6"/>
    <x v="0"/>
  </r>
  <r>
    <x v="1"/>
    <x v="4"/>
    <x v="1"/>
    <x v="12"/>
    <x v="6"/>
    <x v="0"/>
    <x v="10"/>
    <x v="10"/>
    <x v="6"/>
    <x v="0"/>
  </r>
  <r>
    <x v="1"/>
    <x v="4"/>
    <x v="1"/>
    <x v="13"/>
    <x v="6"/>
    <x v="0"/>
    <x v="10"/>
    <x v="10"/>
    <x v="6"/>
    <x v="0"/>
  </r>
  <r>
    <x v="1"/>
    <x v="4"/>
    <x v="1"/>
    <x v="14"/>
    <x v="6"/>
    <x v="0"/>
    <x v="11"/>
    <x v="11"/>
    <x v="6"/>
    <x v="0"/>
  </r>
  <r>
    <x v="1"/>
    <x v="4"/>
    <x v="1"/>
    <x v="15"/>
    <x v="6"/>
    <x v="0"/>
    <x v="8"/>
    <x v="8"/>
    <x v="6"/>
    <x v="0"/>
  </r>
  <r>
    <x v="1"/>
    <x v="4"/>
    <x v="4"/>
    <x v="16"/>
    <x v="7"/>
    <x v="0"/>
    <x v="12"/>
    <x v="12"/>
    <x v="7"/>
    <x v="0"/>
  </r>
  <r>
    <x v="1"/>
    <x v="4"/>
    <x v="5"/>
    <x v="17"/>
    <x v="8"/>
    <x v="0"/>
    <x v="13"/>
    <x v="13"/>
    <x v="8"/>
    <x v="0"/>
  </r>
  <r>
    <x v="1"/>
    <x v="4"/>
    <x v="4"/>
    <x v="18"/>
    <x v="9"/>
    <x v="0"/>
    <x v="14"/>
    <x v="14"/>
    <x v="6"/>
    <x v="0"/>
  </r>
  <r>
    <x v="1"/>
    <x v="2"/>
    <x v="2"/>
    <x v="19"/>
    <x v="2"/>
    <x v="0"/>
    <x v="15"/>
    <x v="15"/>
    <x v="9"/>
    <x v="0"/>
  </r>
  <r>
    <x v="1"/>
    <x v="4"/>
    <x v="4"/>
    <x v="20"/>
    <x v="9"/>
    <x v="0"/>
    <x v="1"/>
    <x v="1"/>
    <x v="10"/>
    <x v="0"/>
  </r>
  <r>
    <x v="1"/>
    <x v="4"/>
    <x v="1"/>
    <x v="21"/>
    <x v="1"/>
    <x v="0"/>
    <x v="16"/>
    <x v="16"/>
    <x v="11"/>
    <x v="0"/>
  </r>
  <r>
    <x v="1"/>
    <x v="1"/>
    <x v="0"/>
    <x v="22"/>
    <x v="10"/>
    <x v="0"/>
    <x v="17"/>
    <x v="17"/>
    <x v="12"/>
    <x v="0"/>
  </r>
  <r>
    <x v="1"/>
    <x v="1"/>
    <x v="5"/>
    <x v="23"/>
    <x v="11"/>
    <x v="0"/>
    <x v="18"/>
    <x v="18"/>
    <x v="12"/>
    <x v="0"/>
  </r>
  <r>
    <x v="1"/>
    <x v="4"/>
    <x v="3"/>
    <x v="24"/>
    <x v="3"/>
    <x v="0"/>
    <x v="19"/>
    <x v="19"/>
    <x v="13"/>
    <x v="0"/>
  </r>
  <r>
    <x v="1"/>
    <x v="4"/>
    <x v="3"/>
    <x v="25"/>
    <x v="3"/>
    <x v="0"/>
    <x v="20"/>
    <x v="20"/>
    <x v="13"/>
    <x v="0"/>
  </r>
  <r>
    <x v="1"/>
    <x v="4"/>
    <x v="3"/>
    <x v="26"/>
    <x v="3"/>
    <x v="0"/>
    <x v="20"/>
    <x v="20"/>
    <x v="13"/>
    <x v="0"/>
  </r>
  <r>
    <x v="1"/>
    <x v="4"/>
    <x v="3"/>
    <x v="27"/>
    <x v="3"/>
    <x v="0"/>
    <x v="21"/>
    <x v="21"/>
    <x v="13"/>
    <x v="0"/>
  </r>
  <r>
    <x v="4"/>
    <x v="5"/>
    <x v="4"/>
    <x v="28"/>
    <x v="9"/>
    <x v="0"/>
    <x v="22"/>
    <x v="22"/>
    <x v="14"/>
    <x v="1"/>
  </r>
  <r>
    <x v="5"/>
    <x v="6"/>
    <x v="4"/>
    <x v="29"/>
    <x v="12"/>
    <x v="0"/>
    <x v="6"/>
    <x v="6"/>
    <x v="12"/>
    <x v="1"/>
  </r>
  <r>
    <x v="6"/>
    <x v="5"/>
    <x v="6"/>
    <x v="30"/>
    <x v="13"/>
    <x v="1"/>
    <x v="23"/>
    <x v="23"/>
    <x v="15"/>
    <x v="1"/>
  </r>
  <r>
    <x v="7"/>
    <x v="7"/>
    <x v="1"/>
    <x v="31"/>
    <x v="14"/>
    <x v="0"/>
    <x v="24"/>
    <x v="24"/>
    <x v="16"/>
    <x v="2"/>
  </r>
  <r>
    <x v="1"/>
    <x v="1"/>
    <x v="7"/>
    <x v="32"/>
    <x v="15"/>
    <x v="0"/>
    <x v="24"/>
    <x v="25"/>
    <x v="17"/>
    <x v="2"/>
  </r>
  <r>
    <x v="1"/>
    <x v="4"/>
    <x v="1"/>
    <x v="33"/>
    <x v="16"/>
    <x v="2"/>
    <x v="24"/>
    <x v="26"/>
    <x v="18"/>
    <x v="2"/>
  </r>
</pivotCacheRecords>
</file>

<file path=xl/pivotCache/pivotCacheRecords1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31">
  <r>
    <s v="TF2331987203"/>
    <d v="2023-11-15T00:00:00"/>
    <s v="Hassan Taleb"/>
    <x v="0"/>
    <s v="A. Abunayyan Trading Corporation"/>
    <s v="KSP"/>
    <x v="0"/>
    <x v="0"/>
    <s v="SAR"/>
    <n v="1020055"/>
    <n v="2161425"/>
    <n v="1"/>
    <n v="2161425"/>
    <n v="2161425"/>
    <n v="0"/>
    <n v="0"/>
    <n v="0"/>
    <n v="0"/>
    <m/>
    <d v="2024-05-31T00:00:00"/>
    <d v="2024-05-31T00:00:00"/>
    <m/>
    <m/>
    <m/>
    <n v="0"/>
    <m/>
    <x v="0"/>
    <s v="Credit"/>
    <s v="90 Days from Delivery Date"/>
    <x v="0"/>
  </r>
  <r>
    <s v="TF2319983726"/>
    <d v="2023-07-18T00:00:00"/>
    <s v="Hassan Taleb"/>
    <x v="0"/>
    <s v="A. Abunayyan Trading Corporation"/>
    <s v="KSP"/>
    <x v="0"/>
    <x v="0"/>
    <s v="SAR"/>
    <n v="1020055"/>
    <n v="514625"/>
    <n v="1"/>
    <n v="514625"/>
    <n v="514625"/>
    <n v="0"/>
    <n v="0"/>
    <n v="0"/>
    <n v="0"/>
    <m/>
    <d v="2023-10-16T00:00:00"/>
    <d v="2023-10-16T00:00:00"/>
    <m/>
    <m/>
    <m/>
    <n v="0"/>
    <m/>
    <x v="0"/>
    <s v="Credit"/>
    <s v="90 Days from Delivery Date"/>
    <x v="0"/>
  </r>
  <r>
    <s v="JLC6901470"/>
    <d v="2025-08-14T00:00:00"/>
    <s v="Muhammed Khan"/>
    <x v="0"/>
    <s v="Abdul Aziz Mohammed Abu Shaiea Trading Est"/>
    <s v="Cash"/>
    <x v="1"/>
    <x v="1"/>
    <s v="SAR"/>
    <m/>
    <n v="551681.93000000005"/>
    <n v="1"/>
    <n v="551681.93000000005"/>
    <n v="397922"/>
    <n v="153759.93"/>
    <n v="0"/>
    <n v="153759.93"/>
    <n v="0"/>
    <m/>
    <d v="2025-09-30T00:00:00"/>
    <d v="2025-09-15T00:00:00"/>
    <m/>
    <m/>
    <m/>
    <m/>
    <s v="Margin refunded - 153759.93 SAR"/>
    <x v="1"/>
    <s v="Cash"/>
    <s v="Sight"/>
    <x v="0"/>
  </r>
  <r>
    <s v="JLC6801678"/>
    <d v="2024-09-10T00:00:00"/>
    <s v="Rabih Makhoul"/>
    <x v="0"/>
    <s v="ABDULAH ABDIN ALBUKHARI FACTORY FOR"/>
    <s v="Cash"/>
    <x v="2"/>
    <x v="2"/>
    <s v="SAR"/>
    <n v="1020098"/>
    <n v="8247656.25"/>
    <n v="1"/>
    <n v="8247656.25"/>
    <n v="8247656.25"/>
    <n v="0"/>
    <n v="0"/>
    <n v="0"/>
    <n v="0"/>
    <m/>
    <d v="2025-02-28T00:00:00"/>
    <d v="2025-02-10T00:00:00"/>
    <n v="2679704.7400000002"/>
    <s v="Abha"/>
    <s v="Yes"/>
    <n v="0"/>
    <m/>
    <x v="1"/>
    <s v="Cash"/>
    <s v="45 Days from Comm. Invoice Date"/>
    <x v="0"/>
  </r>
  <r>
    <s v="IM2431133001"/>
    <d v="2024-11-13T00:00:00"/>
    <s v="Rabih Makhoul"/>
    <x v="0"/>
    <s v="Abdulah Abdin Albukhari Factory For Industry."/>
    <s v="Multipurpose"/>
    <x v="2"/>
    <x v="2"/>
    <s v="SAR"/>
    <n v="1020098"/>
    <n v="10000000"/>
    <n v="1"/>
    <n v="10000000"/>
    <n v="7506078.75"/>
    <n v="2493921.25"/>
    <n v="0"/>
    <n v="2493921.25"/>
    <n v="0"/>
    <m/>
    <d v="2025-01-31T00:00:00"/>
    <d v="2025-01-04T00:00:00"/>
    <m/>
    <m/>
    <m/>
    <n v="0"/>
    <m/>
    <x v="2"/>
    <s v="Credit"/>
    <s v="45 Days from Invoice Date"/>
    <x v="0"/>
  </r>
  <r>
    <s v="IM2433733003"/>
    <d v="2024-12-03T00:00:00"/>
    <s v="Rabih Makhoul"/>
    <x v="0"/>
    <s v="Abdulah Abdin Albukhari Factory For Industry."/>
    <s v="Oceanarium"/>
    <x v="2"/>
    <x v="2"/>
    <s v="SAR"/>
    <n v="1020098"/>
    <n v="50000000"/>
    <n v="1"/>
    <n v="50000000"/>
    <n v="29420278"/>
    <n v="20579722"/>
    <n v="0"/>
    <n v="20579722"/>
    <n v="0"/>
    <m/>
    <d v="2025-03-31T00:00:00"/>
    <d v="2025-03-04T00:00:00"/>
    <m/>
    <m/>
    <m/>
    <n v="0"/>
    <m/>
    <x v="2"/>
    <s v="Credit"/>
    <s v="45 Days from Invoice Date"/>
    <x v="0"/>
  </r>
  <r>
    <s v="J209953"/>
    <d v="2025-01-28T00:00:00"/>
    <s v="Rabih Makhoul"/>
    <x v="0"/>
    <s v="Abdulah Abdin Albukhari Factory For Industry."/>
    <s v="Opera House"/>
    <x v="2"/>
    <x v="2"/>
    <s v="SAR"/>
    <n v="1020098"/>
    <n v="30000000"/>
    <n v="1"/>
    <n v="30000000"/>
    <n v="13268700"/>
    <n v="16731300"/>
    <n v="0"/>
    <n v="16731300"/>
    <n v="0"/>
    <m/>
    <d v="2025-03-31T00:00:00"/>
    <d v="2025-03-04T00:00:00"/>
    <m/>
    <m/>
    <m/>
    <n v="0"/>
    <m/>
    <x v="3"/>
    <s v="Credit"/>
    <s v="45 Days from Invoice Date"/>
    <x v="0"/>
  </r>
  <r>
    <s v="JLC6901475"/>
    <d v="2025-08-20T00:00:00"/>
    <s v="Muhammed Khan"/>
    <x v="0"/>
    <s v="Abu Dawood Trading Co."/>
    <s v="Cash"/>
    <x v="1"/>
    <x v="1"/>
    <s v="SAR"/>
    <m/>
    <n v="377983"/>
    <n v="1"/>
    <n v="377983"/>
    <n v="295901.15999999997"/>
    <n v="82081.84"/>
    <n v="0"/>
    <n v="82081.84"/>
    <n v="0"/>
    <m/>
    <d v="2025-09-30T00:00:00"/>
    <d v="2025-09-15T00:00:00"/>
    <m/>
    <m/>
    <m/>
    <m/>
    <s v="Margin refunded - 82081.84 SAR"/>
    <x v="1"/>
    <s v="Cash"/>
    <s v="Sight"/>
    <x v="0"/>
  </r>
  <r>
    <s v="DCBWPM563039"/>
    <d v="2025-07-31T00:00:00"/>
    <s v="Tareeq Telmasani"/>
    <x v="0"/>
    <s v="AC SOLUTIONS TRADING CO"/>
    <s v="CEER"/>
    <x v="0"/>
    <x v="3"/>
    <s v="SAR"/>
    <n v="1020091"/>
    <n v="1000000"/>
    <n v="1"/>
    <n v="1000000"/>
    <n v="999999.55"/>
    <n v="0.45"/>
    <n v="0"/>
    <n v="0.45"/>
    <n v="0"/>
    <m/>
    <d v="2026-04-30T00:00:00"/>
    <d v="2026-04-30T00:00:00"/>
    <m/>
    <m/>
    <m/>
    <n v="0"/>
    <m/>
    <x v="4"/>
    <s v="Credit"/>
    <s v="90 Days from Appl. Representative Sign"/>
    <x v="0"/>
  </r>
  <r>
    <s v="DCBWPM554912"/>
    <d v="2025-03-25T00:00:00"/>
    <s v="Kotb - Morganti"/>
    <x v="0"/>
    <s v="ADIRONDACK ARCHITECTURAL MODELS INDUSTRY L.L.C"/>
    <s v="MP1"/>
    <x v="3"/>
    <x v="4"/>
    <s v="SAR"/>
    <n v="1020070"/>
    <n v="4000000"/>
    <n v="1"/>
    <n v="4000000"/>
    <n v="4000000"/>
    <n v="0"/>
    <n v="0"/>
    <n v="0"/>
    <n v="0"/>
    <m/>
    <d v="2025-05-31T00:00:00"/>
    <d v="2025-04-30T00:00:00"/>
    <m/>
    <m/>
    <m/>
    <n v="0"/>
    <m/>
    <x v="4"/>
    <s v="Credit"/>
    <s v="Sight"/>
    <x v="0"/>
  </r>
  <r>
    <s v="DCBWPM564596"/>
    <d v="2025-08-26T00:00:00"/>
    <s v="Mohammed Kotb"/>
    <x v="0"/>
    <s v="Advance Future Al Arabiya "/>
    <s v="MP1"/>
    <x v="4"/>
    <x v="4"/>
    <s v="SAR"/>
    <n v="1020070"/>
    <n v="500000"/>
    <n v="1"/>
    <n v="500000"/>
    <n v="500000"/>
    <n v="0"/>
    <n v="0"/>
    <n v="0"/>
    <n v="0"/>
    <m/>
    <d v="2025-10-31T00:00:00"/>
    <d v="2025-10-31T00:00:00"/>
    <m/>
    <m/>
    <m/>
    <n v="0"/>
    <m/>
    <x v="4"/>
    <s v="Credit"/>
    <s v="90 Days from Date of Delivery"/>
    <x v="0"/>
  </r>
  <r>
    <s v="J209174"/>
    <d v="2024-09-16T00:00:00"/>
    <s v="Hassan Taleb"/>
    <x v="0"/>
    <s v="AFAQ AL MALAZ TRADING CO LTD"/>
    <s v="Opera House"/>
    <x v="0"/>
    <x v="0"/>
    <s v="SAR"/>
    <n v="1020055"/>
    <n v="482012.43"/>
    <n v="1"/>
    <n v="482012.43"/>
    <n v="482012.43"/>
    <n v="0"/>
    <n v="0"/>
    <n v="0"/>
    <n v="0"/>
    <m/>
    <d v="2025-02-28T00:00:00"/>
    <d v="2025-01-04T00:00:00"/>
    <m/>
    <m/>
    <m/>
    <n v="0"/>
    <s v="Amend to 28-02/submitted to Bank on 03/02"/>
    <x v="3"/>
    <s v="Credit"/>
    <s v="90 Days from Invoice Date"/>
    <x v="0"/>
  </r>
  <r>
    <s v="J210023"/>
    <d v="2025-02-05T00:00:00"/>
    <s v="Hassan Taleb"/>
    <x v="0"/>
    <s v="AFAQ AL MALAZ TRADING CO LTD"/>
    <s v="Opera House"/>
    <x v="0"/>
    <x v="0"/>
    <s v="SAR"/>
    <n v="1020055"/>
    <n v="476785.75"/>
    <n v="1"/>
    <n v="476785.75"/>
    <n v="476785.75"/>
    <n v="0"/>
    <n v="0"/>
    <n v="0"/>
    <n v="0"/>
    <m/>
    <d v="2025-04-30T00:00:00"/>
    <d v="2025-04-30T00:00:00"/>
    <m/>
    <m/>
    <m/>
    <n v="0"/>
    <s v="2nd Lot"/>
    <x v="3"/>
    <s v="Credit"/>
    <s v="90 Days from Invoice Date"/>
    <x v="0"/>
  </r>
  <r>
    <s v="TF2508300056"/>
    <d v="2025-03-23T00:00:00"/>
    <s v="Hassan Taleb"/>
    <x v="0"/>
    <s v="AFAQ AL MALAZ TRADING CO LTD"/>
    <s v="KSP"/>
    <x v="0"/>
    <x v="0"/>
    <s v="SAR"/>
    <n v="1020055"/>
    <n v="450984.51"/>
    <n v="1"/>
    <n v="450984.51"/>
    <n v="316440.59999999998"/>
    <n v="134543.91"/>
    <n v="0"/>
    <n v="134543.91"/>
    <n v="0"/>
    <m/>
    <d v="2026-03-24T00:00:00"/>
    <d v="2026-03-24T00:00:00"/>
    <m/>
    <m/>
    <m/>
    <n v="0"/>
    <m/>
    <x v="0"/>
    <s v="Credit"/>
    <s v="90 Days from Invoice Date"/>
    <x v="0"/>
  </r>
  <r>
    <s v="IM2512733014"/>
    <d v="2025-05-07T00:00:00"/>
    <s v="Hassan Taleb"/>
    <x v="0"/>
    <s v="AFAQ AL MALAZ TRADING CO LTD."/>
    <s v="Cash"/>
    <x v="0"/>
    <x v="5"/>
    <s v="SAR"/>
    <n v="1020100"/>
    <n v="275000"/>
    <n v="1"/>
    <n v="275000"/>
    <n v="253477.32"/>
    <n v="21522.68"/>
    <n v="0"/>
    <n v="21522.68"/>
    <n v="0"/>
    <m/>
    <d v="2025-12-31T00:00:00"/>
    <d v="2025-12-31T00:00:00"/>
    <m/>
    <m/>
    <n v="21522.68"/>
    <n v="0"/>
    <m/>
    <x v="2"/>
    <s v="Cash"/>
    <s v="120 Days from Invoice Date"/>
    <x v="0"/>
  </r>
  <r>
    <s v="TF2517400019"/>
    <d v="2025-06-23T00:00:00"/>
    <s v="Hassan Taleb"/>
    <x v="0"/>
    <s v="AFAQ AL MALAZ TRADING CO. LTD"/>
    <s v="KSP"/>
    <x v="0"/>
    <x v="5"/>
    <s v="SAR"/>
    <n v="1020100"/>
    <n v="300000"/>
    <n v="1"/>
    <n v="300000"/>
    <n v="300000"/>
    <n v="0"/>
    <n v="0"/>
    <n v="0"/>
    <n v="0"/>
    <m/>
    <d v="2026-02-28T00:00:00"/>
    <d v="2026-02-28T00:00:00"/>
    <m/>
    <m/>
    <m/>
    <n v="0"/>
    <m/>
    <x v="0"/>
    <s v="Credit"/>
    <s v="90 Days from Appl. Representative Sign"/>
    <x v="0"/>
  </r>
  <r>
    <s v="DCBWPM563021"/>
    <d v="2025-07-31T00:00:00"/>
    <s v="Tareeq Telmasani"/>
    <x v="0"/>
    <s v="AFAQ AL MALAZ TRADING CO. LTD."/>
    <s v="CEER"/>
    <x v="0"/>
    <x v="3"/>
    <s v="SAR"/>
    <n v="1020091"/>
    <n v="2000000"/>
    <n v="1"/>
    <n v="2000000"/>
    <n v="1994342"/>
    <n v="5658"/>
    <n v="0"/>
    <n v="5658"/>
    <n v="0"/>
    <m/>
    <d v="2025-10-31T00:00:00"/>
    <d v="2025-10-31T00:00:00"/>
    <m/>
    <m/>
    <m/>
    <n v="0"/>
    <m/>
    <x v="4"/>
    <s v="Credit"/>
    <s v="90 Days from Appl. Representative Sign"/>
    <x v="0"/>
  </r>
  <r>
    <s v="DCBWPM161331"/>
    <d v="2026-01-28T00:00:00"/>
    <s v="Hassan Taleb"/>
    <x v="0"/>
    <s v="AFAQ AL MALAZ TRADING CO. LTD."/>
    <s v="MP1"/>
    <x v="0"/>
    <x v="6"/>
    <s v="SAR"/>
    <n v="1020088"/>
    <n v="500000"/>
    <n v="1"/>
    <n v="500000"/>
    <n v="500000"/>
    <n v="0"/>
    <n v="0"/>
    <n v="0"/>
    <n v="0"/>
    <m/>
    <d v="2026-04-30T00:00:00"/>
    <d v="2026-04-30T00:00:00"/>
    <m/>
    <m/>
    <m/>
    <n v="0"/>
    <m/>
    <x v="4"/>
    <s v="Credit"/>
    <s v="90 Days from Applicant representative sign on Invoice"/>
    <x v="0"/>
  </r>
  <r>
    <s v="TF2513100011"/>
    <d v="2025-05-11T00:00:00"/>
    <s v="Hassan Taleb"/>
    <x v="0"/>
    <s v="AFAQ AL MALAZ TRADING CO.LTD"/>
    <s v="KSP"/>
    <x v="0"/>
    <x v="0"/>
    <s v="SAR"/>
    <n v="1020055"/>
    <n v="78117.13"/>
    <n v="1"/>
    <n v="78117.13"/>
    <n v="78117.13"/>
    <n v="0"/>
    <n v="0"/>
    <n v="0"/>
    <n v="0"/>
    <m/>
    <d v="2025-10-31T00:00:00"/>
    <d v="2025-10-31T00:00:00"/>
    <m/>
    <m/>
    <m/>
    <n v="0"/>
    <s v="to bank on 08-09 | EXP &amp; LDS 31-10"/>
    <x v="0"/>
    <s v="Credit"/>
    <s v="120 Days from Invoice Date"/>
    <x v="0"/>
  </r>
  <r>
    <s v="TF2513500032"/>
    <d v="2025-05-15T00:00:00"/>
    <s v="Hassan Taleb"/>
    <x v="0"/>
    <s v="AFAQ AL MALAZ TRADING CO.LTD"/>
    <s v="KSP"/>
    <x v="0"/>
    <x v="0"/>
    <s v="SAR"/>
    <n v="1020055"/>
    <n v="202604.9"/>
    <n v="1"/>
    <n v="202604.9"/>
    <n v="202604.9"/>
    <n v="0"/>
    <n v="0"/>
    <n v="0"/>
    <n v="0"/>
    <m/>
    <d v="2025-08-31T00:00:00"/>
    <d v="2025-08-31T00:00:00"/>
    <m/>
    <m/>
    <m/>
    <n v="0"/>
    <m/>
    <x v="0"/>
    <s v="Credit"/>
    <s v="120 Days from Invoice Date"/>
    <x v="0"/>
  </r>
  <r>
    <s v="DCBWPM166276"/>
    <d v="2026-06-04T00:00:00"/>
    <s v="Hassan Taleb"/>
    <x v="0"/>
    <s v="AFAQ AL MALAZ TRADING CO.LTD."/>
    <s v="MP1"/>
    <x v="0"/>
    <x v="6"/>
    <s v="SAR"/>
    <n v="1020088"/>
    <n v="200000"/>
    <n v="1"/>
    <n v="200000"/>
    <n v="0"/>
    <n v="200000"/>
    <n v="0"/>
    <n v="200000"/>
    <n v="0"/>
    <m/>
    <d v="2026-08-31T00:00:00"/>
    <d v="2026-08-31T00:00:00"/>
    <m/>
    <m/>
    <m/>
    <n v="0"/>
    <m/>
    <x v="4"/>
    <s v="Credit"/>
    <s v="120 Days from Applicant representative sign on Invoice"/>
    <x v="1"/>
  </r>
  <r>
    <s v="DCBWPM563055"/>
    <d v="2025-08-03T00:00:00"/>
    <s v="Tareeq Telmasani"/>
    <x v="0"/>
    <s v="AFKAR ALTATHBET TRADING COMPANY"/>
    <s v="CEER"/>
    <x v="0"/>
    <x v="3"/>
    <s v="SAR"/>
    <n v="1020091"/>
    <n v="500000"/>
    <n v="1"/>
    <n v="500000"/>
    <n v="499999.97"/>
    <n v="0.03"/>
    <n v="0"/>
    <n v="0.03"/>
    <n v="0"/>
    <m/>
    <d v="2025-12-31T00:00:00"/>
    <d v="2025-12-31T00:00:00"/>
    <m/>
    <m/>
    <m/>
    <n v="0"/>
    <m/>
    <x v="4"/>
    <s v="Credit"/>
    <s v="90 Days from Appl. Representative Sign"/>
    <x v="0"/>
  </r>
  <r>
    <s v="JLC7000006"/>
    <d v="2026-01-01T00:00:00"/>
    <s v="Luis Puente"/>
    <x v="0"/>
    <s v="AFKAR ALTATHBET TRADING COMPANY"/>
    <s v="Oceanarium"/>
    <x v="0"/>
    <x v="7"/>
    <s v="SAR"/>
    <n v="1020096"/>
    <n v="500000"/>
    <n v="1"/>
    <n v="500000"/>
    <n v="499952.7"/>
    <n v="47.3"/>
    <n v="0"/>
    <n v="47.3"/>
    <n v="0"/>
    <m/>
    <d v="2026-04-30T00:00:00"/>
    <d v="2026-04-30T00:00:00"/>
    <m/>
    <m/>
    <m/>
    <n v="0"/>
    <m/>
    <x v="1"/>
    <s v="Credit"/>
    <s v="90 Days from Appln Rep Sign on Invoice"/>
    <x v="0"/>
  </r>
  <r>
    <s v="TF2531600062"/>
    <d v="2025-11-12T00:00:00"/>
    <s v="Hassan Taleb"/>
    <x v="0"/>
    <s v="AI-Hadbania Trading Co."/>
    <s v="KSP"/>
    <x v="0"/>
    <x v="0"/>
    <s v="SAR"/>
    <n v="1020055"/>
    <n v="3487033.23"/>
    <n v="1"/>
    <n v="3487033.23"/>
    <n v="1989866.83"/>
    <n v="1497166.4"/>
    <n v="0"/>
    <n v="1497166.4"/>
    <n v="0"/>
    <m/>
    <d v="2026-06-30T00:00:00"/>
    <d v="2026-06-30T00:00:00"/>
    <m/>
    <m/>
    <m/>
    <n v="0"/>
    <m/>
    <x v="0"/>
    <s v="Credit"/>
    <s v="90 Days from Applicant representative sign on Invoice"/>
    <x v="1"/>
  </r>
  <r>
    <s v="IM2433133002"/>
    <d v="2024-11-26T00:00:00"/>
    <s v="Rabih Makhoul"/>
    <x v="0"/>
    <s v="Ajzal United for Safety Co Ltd"/>
    <s v="Oceanarium"/>
    <x v="2"/>
    <x v="5"/>
    <s v="SAR"/>
    <n v="1020100"/>
    <n v="11166675"/>
    <n v="1"/>
    <n v="11166675"/>
    <n v="8601602.2899999991"/>
    <n v="2565072.71"/>
    <n v="0"/>
    <n v="2565072.71"/>
    <n v="0"/>
    <m/>
    <d v="2025-05-31T00:00:00"/>
    <d v="2025-05-04T00:00:00"/>
    <m/>
    <m/>
    <m/>
    <n v="0"/>
    <m/>
    <x v="2"/>
    <s v="Credit"/>
    <s v="60 Days from Invoice Date"/>
    <x v="0"/>
  </r>
  <r>
    <s v="DCBWPM162993"/>
    <d v="2026-03-05T00:00:00"/>
    <s v="Hassan Taleb"/>
    <x v="0"/>
    <s v="Ajzal United for Safety CO.LTD."/>
    <s v="MP1"/>
    <x v="0"/>
    <x v="6"/>
    <s v="SAR"/>
    <n v="1020088"/>
    <n v="600000"/>
    <n v="1"/>
    <n v="600000"/>
    <n v="0"/>
    <n v="600000"/>
    <n v="511689.33"/>
    <n v="88310.67"/>
    <n v="0"/>
    <s v="05/07/2026 , 14/07/2026"/>
    <d v="2026-08-31T00:00:00"/>
    <d v="2026-08-31T00:00:00"/>
    <m/>
    <m/>
    <m/>
    <n v="0"/>
    <m/>
    <x v="4"/>
    <s v="Credit"/>
    <s v="90 Days from Applicant representative sign on Invoice"/>
    <x v="1"/>
  </r>
  <r>
    <s v="DCBWPM558763"/>
    <d v="2025-06-02T00:00:00"/>
    <s v="Hassan Taleb"/>
    <x v="0"/>
    <s v="Ajzal United for Safety CO.LTD."/>
    <s v="MP1"/>
    <x v="0"/>
    <x v="6"/>
    <s v="SAR"/>
    <n v="1020088"/>
    <n v="500000"/>
    <n v="1"/>
    <n v="500000"/>
    <n v="500000"/>
    <n v="0"/>
    <n v="0"/>
    <n v="0"/>
    <n v="0"/>
    <m/>
    <d v="2025-10-31T00:00:00"/>
    <d v="2025-10-31T00:00:00"/>
    <m/>
    <m/>
    <m/>
    <n v="0"/>
    <m/>
    <x v="4"/>
    <s v="Credit"/>
    <s v="120 Days from Invoice Date"/>
    <x v="0"/>
  </r>
  <r>
    <s v="DCBWPM570380"/>
    <d v="2025-12-01T00:00:00"/>
    <s v="Hassan Taleb"/>
    <x v="0"/>
    <s v="Ajzal United for Safety CO.LTD."/>
    <s v="MP1"/>
    <x v="0"/>
    <x v="6"/>
    <s v="SAR"/>
    <n v="1020088"/>
    <n v="800000"/>
    <n v="1"/>
    <n v="800000"/>
    <n v="799350.29"/>
    <n v="649.71"/>
    <n v="0"/>
    <n v="649.71"/>
    <n v="0"/>
    <m/>
    <d v="2026-02-28T00:00:00"/>
    <d v="2026-02-28T00:00:00"/>
    <m/>
    <m/>
    <m/>
    <n v="0"/>
    <m/>
    <x v="4"/>
    <s v="Credit"/>
    <s v="120 Days from Invoice Date"/>
    <x v="0"/>
  </r>
  <r>
    <s v="DCBWPM163990"/>
    <d v="2026-04-06T00:00:00"/>
    <s v="Hassan Taleb"/>
    <x v="0"/>
    <s v="Ajzal United for Safety CO.LTD."/>
    <s v="MP1"/>
    <x v="0"/>
    <x v="6"/>
    <s v="SAR"/>
    <n v="1020088"/>
    <n v="175000"/>
    <n v="1"/>
    <n v="175000"/>
    <n v="0"/>
    <n v="175000"/>
    <n v="0"/>
    <n v="175000"/>
    <n v="0"/>
    <m/>
    <d v="2026-06-30T00:00:00"/>
    <d v="2026-06-30T00:00:00"/>
    <m/>
    <m/>
    <m/>
    <n v="0"/>
    <m/>
    <x v="4"/>
    <s v="Credit"/>
    <s v="90 Days from App Rep Sign on Invoice"/>
    <x v="1"/>
  </r>
  <r>
    <s v="TF2513200005"/>
    <d v="2025-05-12T00:00:00"/>
    <s v="Hassan Taleb"/>
    <x v="0"/>
    <s v="AKNAN ALKHAIR TRADING EST"/>
    <s v="KSP"/>
    <x v="0"/>
    <x v="0"/>
    <s v="SAR"/>
    <n v="1020055"/>
    <n v="253537.11"/>
    <n v="1"/>
    <n v="253537.11"/>
    <n v="253537.11"/>
    <n v="0"/>
    <n v="0"/>
    <n v="0"/>
    <n v="0"/>
    <m/>
    <d v="2025-10-31T00:00:00"/>
    <d v="2025-10-31T00:00:00"/>
    <m/>
    <m/>
    <m/>
    <n v="0"/>
    <s v="to bank on 08-09 | EXP &amp; LDS 31-10"/>
    <x v="0"/>
    <s v="Credit"/>
    <s v="120 Days from Invoice Date"/>
    <x v="0"/>
  </r>
  <r>
    <s v="IM2512833004"/>
    <d v="2025-05-08T00:00:00"/>
    <s v="Hassan Taleb"/>
    <x v="0"/>
    <s v="AKNAN ALKHAIR TRADING EST."/>
    <s v="Cash"/>
    <x v="0"/>
    <x v="5"/>
    <s v="SAR"/>
    <n v="1020100"/>
    <n v="200000"/>
    <n v="1"/>
    <n v="200000"/>
    <n v="200000"/>
    <n v="0"/>
    <n v="0"/>
    <n v="0"/>
    <n v="0"/>
    <m/>
    <d v="2025-09-30T00:00:00"/>
    <d v="2025-09-30T00:00:00"/>
    <m/>
    <m/>
    <m/>
    <n v="0"/>
    <m/>
    <x v="2"/>
    <s v="Cash"/>
    <s v="120 Days from Invoice Date"/>
    <x v="0"/>
  </r>
  <r>
    <s v="DCBWPM163995"/>
    <d v="2026-04-06T00:00:00"/>
    <s v="Hassan Taleb"/>
    <x v="0"/>
    <s v="Aknan Alkhair Tranding Est"/>
    <s v="MP1"/>
    <x v="0"/>
    <x v="6"/>
    <s v="SAR"/>
    <n v="1020088"/>
    <n v="125000"/>
    <n v="1"/>
    <n v="125000"/>
    <n v="0"/>
    <n v="125000"/>
    <n v="125000"/>
    <n v="0"/>
    <n v="0"/>
    <s v="19/07/2026"/>
    <d v="2026-06-30T00:00:00"/>
    <d v="2026-06-30T00:00:00"/>
    <m/>
    <m/>
    <m/>
    <n v="0"/>
    <m/>
    <x v="4"/>
    <s v="Credit"/>
    <s v="90 Days from App Rep Sign on Invoice"/>
    <x v="1"/>
  </r>
  <r>
    <s v="J210617"/>
    <d v="2025-06-03T00:00:00"/>
    <s v="Rabih Makhoul"/>
    <x v="0"/>
    <s v="Al Arabia Construction &amp; Building Co."/>
    <s v="Opera House"/>
    <x v="2"/>
    <x v="8"/>
    <s v="SAR"/>
    <n v="1020107"/>
    <n v="4738920"/>
    <n v="1"/>
    <n v="4738920"/>
    <n v="3721273.25"/>
    <n v="1017646.75"/>
    <n v="0"/>
    <n v="1017646.75"/>
    <n v="0"/>
    <m/>
    <d v="2026-04-30T00:00:00"/>
    <d v="2026-04-10T00:00:00"/>
    <m/>
    <m/>
    <m/>
    <n v="0"/>
    <m/>
    <x v="3"/>
    <s v="Credit"/>
    <s v="45 Days from the Invoice Date"/>
    <x v="0"/>
  </r>
  <r>
    <s v="TF2523000034"/>
    <d v="2025-08-18T00:00:00"/>
    <s v="Rabih Makhoul"/>
    <x v="0"/>
    <s v="Al Arabia Construction &amp; Building Co."/>
    <s v="KSP"/>
    <x v="2"/>
    <x v="8"/>
    <s v="SAR"/>
    <n v="1020107"/>
    <n v="3009600"/>
    <n v="1"/>
    <n v="3009600"/>
    <n v="1850554.97"/>
    <n v="1159045.03"/>
    <n v="0"/>
    <n v="1159045.03"/>
    <n v="48780.61"/>
    <m/>
    <d v="2026-08-18T00:00:00"/>
    <d v="2026-08-18T00:00:00"/>
    <m/>
    <m/>
    <m/>
    <n v="0"/>
    <m/>
    <x v="0"/>
    <s v="Credit"/>
    <s v="45 Days from the Invoice Date"/>
    <x v="1"/>
  </r>
  <r>
    <m/>
    <d v="2026-06-22T00:00:00"/>
    <s v="Rabih Makhoul"/>
    <x v="1"/>
    <s v="Al Arabia Construction &amp; Building Co."/>
    <s v="Opera House"/>
    <x v="2"/>
    <x v="8"/>
    <s v="SAR"/>
    <n v="1020107"/>
    <n v="1017646"/>
    <n v="1"/>
    <n v="1017646"/>
    <n v="0"/>
    <n v="1017646"/>
    <n v="0"/>
    <n v="1017646"/>
    <n v="0"/>
    <m/>
    <d v="2026-10-31T00:00:00"/>
    <d v="2026-10-31T00:00:00"/>
    <m/>
    <m/>
    <m/>
    <n v="0"/>
    <s v="to bank on 23-06"/>
    <x v="3"/>
    <s v="Credit"/>
    <s v="45 Days from the Invoice Date"/>
    <x v="1"/>
  </r>
  <r>
    <s v="M001909"/>
    <d v="2025-12-18T00:00:00"/>
    <s v="Nader Ageeb"/>
    <x v="0"/>
    <s v="Al Arabia for Construction &amp; Building Co."/>
    <s v="Lagoon"/>
    <x v="2"/>
    <x v="9"/>
    <s v="SAR"/>
    <n v="1020108"/>
    <n v="11573945"/>
    <n v="1"/>
    <n v="11573945"/>
    <n v="1164996"/>
    <n v="10408949"/>
    <n v="0"/>
    <n v="10408949"/>
    <n v="0"/>
    <m/>
    <d v="2026-02-28T00:00:00"/>
    <d v="2026-02-28T00:00:00"/>
    <m/>
    <m/>
    <m/>
    <n v="0"/>
    <m/>
    <x v="5"/>
    <s v="Credit"/>
    <s v="60 Days from Invoice Date"/>
    <x v="0"/>
  </r>
  <r>
    <s v="TF2517700078"/>
    <d v="2025-06-26T00:00:00"/>
    <s v="Hassan Taleb"/>
    <x v="0"/>
    <s v="Al Bayrak Red Contracting Establishment"/>
    <s v="KSP"/>
    <x v="0"/>
    <x v="5"/>
    <s v="SAR"/>
    <n v="1020100"/>
    <n v="870662"/>
    <n v="1"/>
    <n v="870662"/>
    <n v="870662"/>
    <n v="0"/>
    <n v="0"/>
    <n v="0"/>
    <n v="0"/>
    <m/>
    <d v="2025-08-31T00:00:00"/>
    <d v="2025-08-31T00:00:00"/>
    <m/>
    <m/>
    <m/>
    <n v="0"/>
    <m/>
    <x v="0"/>
    <s v="Credit"/>
    <s v="120 Days from Invoice Date"/>
    <x v="0"/>
  </r>
  <r>
    <s v="J209335"/>
    <d v="2024-09-24T00:00:00"/>
    <s v="Hassan Taleb"/>
    <x v="0"/>
    <s v="AL BILAD CONCRETE PIPE CO.LTD"/>
    <s v="Opera House"/>
    <x v="0"/>
    <x v="0"/>
    <s v="SAR"/>
    <n v="1020055"/>
    <n v="1001635.3025"/>
    <n v="1"/>
    <n v="1001635.3025"/>
    <n v="995509.89"/>
    <n v="6125.41"/>
    <n v="0"/>
    <n v="6125.41"/>
    <n v="0"/>
    <m/>
    <d v="2025-04-30T00:00:00"/>
    <d v="2025-04-04T00:00:00"/>
    <m/>
    <m/>
    <m/>
    <n v="0"/>
    <s v="Exp 30-04-25; LDS 04-04-2025 / on 03/03"/>
    <x v="3"/>
    <s v="Credit"/>
    <s v="90 Days from Invoice Date"/>
    <x v="0"/>
  </r>
  <r>
    <s v="TF2502300034"/>
    <d v="2025-01-23T00:00:00"/>
    <s v="Hassan Taleb"/>
    <x v="0"/>
    <s v="AL BILAD CONCRETE PIPE CO.LTD"/>
    <s v="KSP"/>
    <x v="0"/>
    <x v="0"/>
    <s v="SAR"/>
    <n v="1020055"/>
    <n v="750000"/>
    <n v="1"/>
    <n v="750000"/>
    <n v="385105.68000000005"/>
    <n v="364894.32"/>
    <n v="0"/>
    <n v="364894.32"/>
    <n v="0"/>
    <m/>
    <d v="2026-01-23T00:00:00"/>
    <d v="2026-01-23T00:00:00"/>
    <m/>
    <m/>
    <m/>
    <n v="0"/>
    <m/>
    <x v="0"/>
    <s v="Credit"/>
    <s v="90 Days from Invoice Date"/>
    <x v="0"/>
  </r>
  <r>
    <s v="J212228"/>
    <d v="2026-04-28T00:00:00"/>
    <s v="Matthew Mckernan"/>
    <x v="0"/>
    <s v="Al Dhow Gulf Company for Trading and Contracting Ltd"/>
    <s v="Opera House"/>
    <x v="4"/>
    <x v="10"/>
    <s v="SAR"/>
    <n v="1020097"/>
    <n v="6000000"/>
    <n v="1"/>
    <n v="6000000"/>
    <n v="0"/>
    <n v="6000000"/>
    <n v="0"/>
    <n v="6000000"/>
    <n v="0"/>
    <m/>
    <d v="2026-10-30T00:00:00"/>
    <d v="2026-10-30T00:00:00"/>
    <m/>
    <m/>
    <m/>
    <n v="0"/>
    <m/>
    <x v="3"/>
    <s v="Credit"/>
    <s v="90 Days From the Delivery Date"/>
    <x v="1"/>
  </r>
  <r>
    <s v="TF2424695983"/>
    <d v="2024-09-02T00:00:00"/>
    <s v="Rabih Makhoul"/>
    <x v="0"/>
    <s v="Al Faisal Steel Products Co."/>
    <s v="KSP"/>
    <x v="2"/>
    <x v="2"/>
    <s v="SAR"/>
    <n v="1020098"/>
    <n v="3059710.07"/>
    <n v="1"/>
    <n v="3059710.07"/>
    <n v="3059133.3200000003"/>
    <n v="576.75"/>
    <n v="0"/>
    <n v="576.75"/>
    <n v="0"/>
    <m/>
    <d v="2025-03-15T00:00:00"/>
    <d v="2025-02-28T00:00:00"/>
    <m/>
    <m/>
    <m/>
    <n v="0"/>
    <m/>
    <x v="0"/>
    <s v="Credit"/>
    <s v="45 Days from Invoice Date"/>
    <x v="0"/>
  </r>
  <r>
    <s v="IM2422833001"/>
    <d v="2024-08-15T00:00:00"/>
    <s v="Rabih Makhoul"/>
    <x v="0"/>
    <s v="Al Faisal Steel Products Co."/>
    <s v="Multipurpose"/>
    <x v="2"/>
    <x v="2"/>
    <s v="SAR"/>
    <n v="1020098"/>
    <n v="1792213.13"/>
    <n v="1"/>
    <n v="1792213.13"/>
    <n v="0"/>
    <n v="1792213.13"/>
    <n v="0"/>
    <n v="1792213.13"/>
    <n v="0"/>
    <m/>
    <d v="2024-08-15T00:00:00"/>
    <d v="2024-08-15T00:00:00"/>
    <m/>
    <m/>
    <m/>
    <n v="0"/>
    <s v="Submitted to Bank on 12/11/2024, Cannot extend"/>
    <x v="2"/>
    <s v="Credit"/>
    <m/>
    <x v="0"/>
  </r>
  <r>
    <s v="IM2431133005"/>
    <d v="2024-11-13T00:00:00"/>
    <s v="Rabih Makhoul"/>
    <x v="0"/>
    <s v="Al Faisal Steel Products Co."/>
    <s v="Multipurpose"/>
    <x v="2"/>
    <x v="2"/>
    <s v="SAR"/>
    <n v="1020098"/>
    <n v="2868897.74"/>
    <n v="1"/>
    <n v="2868897.74"/>
    <n v="0"/>
    <n v="2868897.74"/>
    <n v="0"/>
    <n v="2868897.74"/>
    <n v="0"/>
    <m/>
    <d v="2025-03-15T00:00:00"/>
    <d v="2025-01-04T00:00:00"/>
    <m/>
    <m/>
    <m/>
    <n v="0"/>
    <m/>
    <x v="2"/>
    <s v="Credit"/>
    <s v="45 Days from Invoice Date"/>
    <x v="0"/>
  </r>
  <r>
    <s v="IM2434733009"/>
    <d v="2024-12-12T00:00:00"/>
    <s v="Rabih Makhoul"/>
    <x v="0"/>
    <s v="Al Faisal Steel Products Co."/>
    <s v="Oceanarium"/>
    <x v="2"/>
    <x v="2"/>
    <s v="SAR"/>
    <n v="1020098"/>
    <n v="2974166.33"/>
    <n v="1"/>
    <n v="2974166.33"/>
    <n v="1537811.54"/>
    <n v="1436354.79"/>
    <n v="0"/>
    <n v="1436354.79"/>
    <n v="0"/>
    <m/>
    <d v="2025-04-15T00:00:00"/>
    <d v="2025-04-15T00:00:00"/>
    <m/>
    <m/>
    <m/>
    <n v="0"/>
    <m/>
    <x v="2"/>
    <s v="Credit"/>
    <s v="45 Days from Invoice Date"/>
    <x v="0"/>
  </r>
  <r>
    <s v="IM2505733002"/>
    <d v="2025-02-26T00:00:00"/>
    <s v="Rabih Makhoul"/>
    <x v="0"/>
    <s v="Al Faisal Steel Products Co."/>
    <s v="Oceanarium"/>
    <x v="2"/>
    <x v="2"/>
    <s v="SAR"/>
    <n v="1020098"/>
    <n v="2835037.61"/>
    <n v="1"/>
    <n v="2835037.61"/>
    <n v="1958341.32"/>
    <n v="876696.29"/>
    <n v="0"/>
    <n v="876696.29"/>
    <n v="0"/>
    <m/>
    <d v="2025-05-15T00:00:00"/>
    <d v="2025-04-20T00:00:00"/>
    <m/>
    <m/>
    <m/>
    <n v="0"/>
    <m/>
    <x v="2"/>
    <s v="Credit"/>
    <s v="45 Days from Invoice Date"/>
    <x v="0"/>
  </r>
  <r>
    <s v="ILC-0840-25-8159"/>
    <d v="2025-08-26T00:00:00"/>
    <s v="AbdulAziz Eraiba Fawzi"/>
    <x v="0"/>
    <s v="AL FALWA CO. LTD. FOR READYMIX CONCRETE"/>
    <s v="RCRC"/>
    <x v="2"/>
    <x v="11"/>
    <s v="SAR"/>
    <n v="1020106"/>
    <n v="10000000"/>
    <n v="1"/>
    <n v="10000000"/>
    <n v="2924152.4000000004"/>
    <n v="7075847.5999999996"/>
    <n v="0"/>
    <n v="7075847.5999999996"/>
    <n v="0"/>
    <m/>
    <d v="2026-12-31T00:00:00"/>
    <d v="2026-12-31T00:00:00"/>
    <m/>
    <m/>
    <m/>
    <n v="0"/>
    <m/>
    <x v="6"/>
    <s v="Credit"/>
    <s v="60 Days from Invoice Date"/>
    <x v="1"/>
  </r>
  <r>
    <s v="J209163"/>
    <d v="2024-09-16T00:00:00"/>
    <s v="Hassan Taleb"/>
    <x v="0"/>
    <s v="AL FANAR CO LTD"/>
    <s v="Opera House"/>
    <x v="0"/>
    <x v="0"/>
    <s v="SAR"/>
    <n v="1020055"/>
    <n v="1083501.1399999999"/>
    <n v="1"/>
    <n v="1083501.1399999999"/>
    <n v="1083501.1399999999"/>
    <n v="0"/>
    <n v="0"/>
    <n v="0"/>
    <n v="0"/>
    <m/>
    <d v="2024-11-30T00:00:00"/>
    <d v="2024-11-04T00:00:00"/>
    <m/>
    <m/>
    <m/>
    <n v="0"/>
    <m/>
    <x v="3"/>
    <s v="Credit"/>
    <s v="90 Days from Invoice Date"/>
    <x v="0"/>
  </r>
  <r>
    <s v="JLC6702456-Cre"/>
    <d v="2023-12-23T00:00:00"/>
    <s v="Mohammed Kotb"/>
    <x v="0"/>
    <s v="AL FANAR CO. LTD"/>
    <s v="Multipurpose"/>
    <x v="5"/>
    <x v="4"/>
    <s v="SAR"/>
    <n v="1020070"/>
    <n v="1409150.2"/>
    <n v="1"/>
    <n v="1409150.2"/>
    <n v="1409150.2"/>
    <n v="0"/>
    <n v="0"/>
    <n v="0"/>
    <n v="0"/>
    <m/>
    <d v="2025-01-15T00:00:00"/>
    <d v="2025-01-01T00:00:00"/>
    <m/>
    <m/>
    <m/>
    <n v="0"/>
    <m/>
    <x v="1"/>
    <s v="Credit"/>
    <s v="90 Days from Invoice Date"/>
    <x v="0"/>
  </r>
  <r>
    <s v="JLC6702456"/>
    <d v="2023-12-23T00:00:00"/>
    <s v="Mohammed Kotb"/>
    <x v="0"/>
    <s v="AL FANAR CO. LTD"/>
    <s v="Cash"/>
    <x v="5"/>
    <x v="4"/>
    <s v="SAR"/>
    <n v="1020070"/>
    <n v="1326959.55"/>
    <n v="1"/>
    <n v="1326959.55"/>
    <n v="1326959"/>
    <n v="0.55000000000000004"/>
    <n v="0"/>
    <n v="0.55000000000000004"/>
    <n v="0"/>
    <m/>
    <d v="2025-01-15T00:00:00"/>
    <d v="2025-01-01T00:00:00"/>
    <m/>
    <m/>
    <m/>
    <n v="0"/>
    <m/>
    <x v="1"/>
    <s v="Cash"/>
    <s v="90 Days from Invoice Date"/>
    <x v="0"/>
  </r>
  <r>
    <s v="J209393"/>
    <d v="2024-10-23T00:00:00"/>
    <s v="Hassan Taleb"/>
    <x v="0"/>
    <s v="Al Fanar Co. Ltd."/>
    <s v="Opera House"/>
    <x v="0"/>
    <x v="0"/>
    <s v="SAR"/>
    <n v="1020055"/>
    <n v="966000"/>
    <n v="1"/>
    <n v="966000"/>
    <n v="966000"/>
    <n v="0"/>
    <n v="0"/>
    <n v="0"/>
    <n v="0"/>
    <m/>
    <d v="2025-02-28T00:00:00"/>
    <d v="2025-02-04T00:00:00"/>
    <m/>
    <m/>
    <m/>
    <n v="0"/>
    <m/>
    <x v="3"/>
    <s v="Credit"/>
    <s v="90 Days from Invoice Date"/>
    <x v="0"/>
  </r>
  <r>
    <s v="IM2434733002"/>
    <d v="2024-12-12T00:00:00"/>
    <s v="Hassan Taleb"/>
    <x v="0"/>
    <s v="Al Fanar Co. Ltd."/>
    <s v="Oceanarium"/>
    <x v="0"/>
    <x v="0"/>
    <s v="SAR"/>
    <n v="1020055"/>
    <n v="2000000"/>
    <n v="1"/>
    <n v="2000000"/>
    <n v="2000000"/>
    <n v="0"/>
    <n v="0"/>
    <n v="0"/>
    <n v="0"/>
    <m/>
    <d v="2025-03-31T00:00:00"/>
    <d v="2025-03-31T00:00:00"/>
    <m/>
    <m/>
    <m/>
    <n v="0"/>
    <m/>
    <x v="2"/>
    <s v="Credit"/>
    <s v="90 Days from Invoice Date"/>
    <x v="0"/>
  </r>
  <r>
    <s v="J209955"/>
    <d v="2025-01-27T00:00:00"/>
    <s v="Rabih Makhoul"/>
    <x v="0"/>
    <s v="Al Fanar company"/>
    <s v="Opera House"/>
    <x v="0"/>
    <x v="5"/>
    <s v="SAR"/>
    <n v="1020100"/>
    <n v="500000"/>
    <n v="1"/>
    <n v="500000"/>
    <n v="500000"/>
    <n v="0"/>
    <n v="0"/>
    <n v="0"/>
    <n v="0"/>
    <m/>
    <d v="2025-04-30T00:00:00"/>
    <d v="2025-04-30T00:00:00"/>
    <m/>
    <m/>
    <m/>
    <n v="0"/>
    <m/>
    <x v="3"/>
    <s v="Credit"/>
    <s v="90 Days from Invoice Date"/>
    <x v="0"/>
  </r>
  <r>
    <s v="TF2320083748"/>
    <d v="2023-07-19T00:00:00"/>
    <s v="Hassan Taleb"/>
    <x v="0"/>
    <s v="AL FANAR ELECTRICAL SYSTEMS"/>
    <s v="KSP"/>
    <x v="0"/>
    <x v="0"/>
    <s v="SAR"/>
    <n v="1020055"/>
    <n v="1416451.76"/>
    <n v="1"/>
    <n v="1416451.76"/>
    <n v="1416451.76"/>
    <n v="0"/>
    <n v="0"/>
    <n v="0"/>
    <n v="0"/>
    <m/>
    <d v="2023-10-16T00:00:00"/>
    <d v="2023-10-16T00:00:00"/>
    <m/>
    <m/>
    <m/>
    <n v="0"/>
    <m/>
    <x v="0"/>
    <s v="Credit"/>
    <m/>
    <x v="0"/>
  </r>
  <r>
    <s v="TF2508300055"/>
    <d v="2025-03-23T00:00:00"/>
    <s v="Hassan Taleb"/>
    <x v="0"/>
    <s v="Al Fanar Electrical Systems"/>
    <s v="KSP"/>
    <x v="0"/>
    <x v="0"/>
    <s v="SAR"/>
    <n v="1020055"/>
    <n v="2626749.98"/>
    <n v="1"/>
    <n v="2626749.98"/>
    <n v="2626749.98"/>
    <n v="0"/>
    <n v="0"/>
    <n v="0"/>
    <n v="0"/>
    <m/>
    <d v="2025-06-30T00:00:00"/>
    <d v="2025-06-30T00:00:00"/>
    <m/>
    <m/>
    <m/>
    <n v="0"/>
    <m/>
    <x v="0"/>
    <s v="Credit"/>
    <s v="90 Days from Invoice Date"/>
    <x v="0"/>
  </r>
  <r>
    <s v="IM2435033008"/>
    <d v="2024-12-15T00:00:00"/>
    <s v="Hassan Taleb"/>
    <x v="0"/>
    <s v="Al Mabani Al Ummumiyah Ltd"/>
    <s v="Oceanarium"/>
    <x v="0"/>
    <x v="0"/>
    <s v="SAR"/>
    <n v="1020055"/>
    <n v="500000"/>
    <n v="1"/>
    <n v="500000"/>
    <n v="500000"/>
    <n v="0"/>
    <n v="0"/>
    <n v="0"/>
    <n v="0"/>
    <m/>
    <d v="2025-03-31T00:00:00"/>
    <d v="2025-03-31T00:00:00"/>
    <m/>
    <m/>
    <m/>
    <n v="0"/>
    <m/>
    <x v="2"/>
    <s v="Credit"/>
    <s v="90 Days from Invoice Date"/>
    <x v="0"/>
  </r>
  <r>
    <s v="TF2414292664"/>
    <d v="2024-05-23T00:00:00"/>
    <s v="Hassan Taleb"/>
    <x v="0"/>
    <s v="AL MABANI AL UMUMIYYAH LTD"/>
    <s v="KSP"/>
    <x v="0"/>
    <x v="0"/>
    <s v="SAR"/>
    <n v="1020055"/>
    <n v="500000"/>
    <n v="1"/>
    <n v="500000"/>
    <n v="500000"/>
    <n v="0"/>
    <n v="0"/>
    <n v="0"/>
    <n v="0"/>
    <m/>
    <d v="2024-09-30T00:00:00"/>
    <d v="2024-09-30T00:00:00"/>
    <m/>
    <m/>
    <m/>
    <n v="0"/>
    <m/>
    <x v="0"/>
    <s v="Credit"/>
    <m/>
    <x v="0"/>
  </r>
  <r>
    <s v="J209000"/>
    <d v="2024-08-15T00:00:00"/>
    <s v="Hassan Taleb"/>
    <x v="0"/>
    <s v="AL MABANI AL UMUMIYYAH LTD"/>
    <s v="Opera House"/>
    <x v="0"/>
    <x v="0"/>
    <s v="SAR"/>
    <n v="1020055"/>
    <n v="580000"/>
    <n v="1"/>
    <n v="580000"/>
    <n v="580000"/>
    <n v="0"/>
    <n v="0"/>
    <n v="0"/>
    <n v="0"/>
    <m/>
    <d v="2024-11-30T00:00:00"/>
    <d v="2024-11-30T00:00:00"/>
    <m/>
    <m/>
    <m/>
    <n v="0"/>
    <m/>
    <x v="3"/>
    <s v="Credit"/>
    <s v="90 Days from Invoice Date"/>
    <x v="0"/>
  </r>
  <r>
    <s v="J209171"/>
    <d v="2024-09-16T00:00:00"/>
    <s v="Hassan Taleb"/>
    <x v="0"/>
    <s v="AL MABANI AL UMUMIYYAH LTD"/>
    <s v="Opera House"/>
    <x v="0"/>
    <x v="0"/>
    <s v="SAR"/>
    <n v="1020055"/>
    <n v="1050000"/>
    <n v="1"/>
    <n v="1050000"/>
    <n v="1050000"/>
    <n v="0"/>
    <n v="0"/>
    <n v="0"/>
    <n v="0"/>
    <m/>
    <d v="2024-11-30T00:00:00"/>
    <d v="2024-11-04T00:00:00"/>
    <m/>
    <m/>
    <m/>
    <n v="0"/>
    <m/>
    <x v="3"/>
    <s v="Credit"/>
    <s v="90 Days from Invoice Date"/>
    <x v="0"/>
  </r>
  <r>
    <s v="TF2433399028"/>
    <d v="2024-11-28T00:00:00"/>
    <s v="Hassan Taleb"/>
    <x v="0"/>
    <s v="Al Mabani Al Umumiyyah Ltd"/>
    <s v="KSP"/>
    <x v="0"/>
    <x v="0"/>
    <s v="SAR"/>
    <n v="1020055"/>
    <n v="1500000"/>
    <n v="1"/>
    <n v="1500000"/>
    <n v="1500000"/>
    <n v="0"/>
    <n v="0"/>
    <n v="0"/>
    <n v="0"/>
    <m/>
    <d v="2025-02-28T00:00:00"/>
    <d v="2025-02-28T00:00:00"/>
    <m/>
    <m/>
    <m/>
    <n v="0"/>
    <m/>
    <x v="0"/>
    <s v="Credit"/>
    <s v="90 Days from Invoice Date"/>
    <x v="0"/>
  </r>
  <r>
    <s v="J210610"/>
    <d v="2025-06-01T00:00:00"/>
    <s v="Hassan Taleb"/>
    <x v="0"/>
    <s v="AL MABANI AL UMUMIYYAH LTD"/>
    <s v="Opera House"/>
    <x v="0"/>
    <x v="0"/>
    <s v="SAR"/>
    <n v="1020055"/>
    <n v="1500000"/>
    <n v="1"/>
    <n v="1500000"/>
    <n v="1500000"/>
    <n v="0"/>
    <n v="0"/>
    <n v="0"/>
    <n v="0"/>
    <m/>
    <d v="2025-08-31T00:00:00"/>
    <d v="2025-08-31T00:00:00"/>
    <m/>
    <m/>
    <m/>
    <n v="0"/>
    <m/>
    <x v="3"/>
    <s v="Credit"/>
    <s v="120 Days from Invoice Date"/>
    <x v="0"/>
  </r>
  <r>
    <s v="TF2324084979"/>
    <d v="2023-08-29T00:00:00"/>
    <s v="Hassan Taleb"/>
    <x v="0"/>
    <s v="AL MABANI AL UMUMIYYAH LTD."/>
    <s v="KSP"/>
    <x v="0"/>
    <x v="0"/>
    <s v="SAR"/>
    <n v="1020055"/>
    <n v="500000"/>
    <n v="1"/>
    <n v="500000"/>
    <n v="450459.17"/>
    <n v="49540.83"/>
    <n v="0"/>
    <n v="49540.83"/>
    <n v="0"/>
    <m/>
    <d v="2023-11-30T00:00:00"/>
    <d v="2023-11-30T00:00:00"/>
    <m/>
    <m/>
    <m/>
    <n v="0"/>
    <m/>
    <x v="0"/>
    <s v="Credit"/>
    <s v="60 Days from Delivery Date"/>
    <x v="0"/>
  </r>
  <r>
    <s v="TF2334688088"/>
    <d v="2023-12-12T00:00:00"/>
    <s v="Hassan Taleb"/>
    <x v="0"/>
    <s v="AL MABANI AL UMUMIYYAH LTD."/>
    <s v="KSP"/>
    <x v="0"/>
    <x v="0"/>
    <s v="SAR"/>
    <n v="1020055"/>
    <n v="1000000"/>
    <n v="1"/>
    <n v="1000000"/>
    <n v="1000000"/>
    <n v="0"/>
    <n v="0"/>
    <n v="0"/>
    <n v="0"/>
    <m/>
    <d v="2024-02-28T00:00:00"/>
    <d v="2024-02-28T00:00:00"/>
    <m/>
    <m/>
    <m/>
    <n v="0"/>
    <m/>
    <x v="0"/>
    <s v="Credit"/>
    <m/>
    <x v="0"/>
  </r>
  <r>
    <s v="TF2420494386"/>
    <d v="2024-07-22T00:00:00"/>
    <s v="Hassan Taleb"/>
    <x v="0"/>
    <s v="AL MABANI LTD"/>
    <s v="KSP"/>
    <x v="0"/>
    <x v="0"/>
    <s v="SAR"/>
    <n v="1020055"/>
    <n v="900000"/>
    <n v="1"/>
    <n v="900000"/>
    <n v="900000"/>
    <n v="0"/>
    <n v="0"/>
    <n v="0"/>
    <n v="0"/>
    <m/>
    <d v="2024-10-31T00:00:00"/>
    <d v="2024-10-31T00:00:00"/>
    <m/>
    <m/>
    <m/>
    <n v="0"/>
    <m/>
    <x v="0"/>
    <s v="Credit"/>
    <m/>
    <x v="0"/>
  </r>
  <r>
    <s v="J209067"/>
    <d v="2024-08-29T00:00:00"/>
    <s v="Hassan Taleb"/>
    <x v="0"/>
    <s v="AL MAYMANAH FOR CONTRACTING CO. LTD"/>
    <s v="Opera House"/>
    <x v="0"/>
    <x v="0"/>
    <s v="SAR"/>
    <n v="1020055"/>
    <n v="375576.84"/>
    <n v="1"/>
    <n v="375576.84"/>
    <n v="375576.84"/>
    <n v="0"/>
    <n v="0"/>
    <n v="0"/>
    <n v="0"/>
    <m/>
    <d v="2024-11-30T00:00:00"/>
    <d v="2024-11-30T00:00:00"/>
    <m/>
    <m/>
    <m/>
    <n v="0"/>
    <m/>
    <x v="3"/>
    <s v="Credit"/>
    <s v="90 Days from Invoice Date"/>
    <x v="0"/>
  </r>
  <r>
    <s v="TF2334688091"/>
    <d v="2023-12-12T00:00:00"/>
    <s v="Hassan Taleb"/>
    <x v="0"/>
    <s v="AL MAYMANAH FOR CONTRACTING CO. LTD."/>
    <s v="KSP"/>
    <x v="0"/>
    <x v="0"/>
    <s v="SAR"/>
    <n v="1020055"/>
    <n v="1001021.99"/>
    <n v="1"/>
    <n v="1001021.99"/>
    <n v="1001021.99"/>
    <n v="0"/>
    <n v="0"/>
    <n v="0"/>
    <n v="0"/>
    <m/>
    <d v="2024-05-04T00:00:00"/>
    <d v="2024-05-04T00:00:00"/>
    <m/>
    <m/>
    <m/>
    <n v="0"/>
    <m/>
    <x v="0"/>
    <s v="Credit"/>
    <m/>
    <x v="0"/>
  </r>
  <r>
    <s v="IM2431933001"/>
    <d v="2024-11-14T00:00:00"/>
    <s v="Rabih Makhoul"/>
    <x v="0"/>
    <s v="Al Maymanah for Contracting Co. Ltd."/>
    <s v="Multipurpose"/>
    <x v="0"/>
    <x v="5"/>
    <s v="SAR"/>
    <n v="1020100"/>
    <n v="1900000"/>
    <n v="1"/>
    <n v="1900000"/>
    <n v="1893550"/>
    <n v="6450"/>
    <n v="0"/>
    <n v="6450"/>
    <n v="0"/>
    <m/>
    <d v="2025-01-31T00:00:00"/>
    <d v="2025-01-04T00:00:00"/>
    <m/>
    <m/>
    <m/>
    <n v="0"/>
    <m/>
    <x v="2"/>
    <s v="Credit"/>
    <s v="90 Days from Invoice Date"/>
    <x v="0"/>
  </r>
  <r>
    <s v="TF2514600067"/>
    <d v="2025-05-27T00:00:00"/>
    <s v="Hassan Taleb"/>
    <x v="0"/>
    <s v="Al Maymanah for Contracting Co. Ltd."/>
    <s v="KSP"/>
    <x v="0"/>
    <x v="0"/>
    <s v="SAR"/>
    <n v="1020055"/>
    <n v="286074"/>
    <n v="1"/>
    <n v="286074"/>
    <n v="286074"/>
    <n v="0"/>
    <n v="0"/>
    <n v="0"/>
    <n v="0"/>
    <m/>
    <d v="2025-08-31T00:00:00"/>
    <d v="2025-08-31T00:00:00"/>
    <m/>
    <m/>
    <m/>
    <n v="0"/>
    <m/>
    <x v="0"/>
    <s v="Credit"/>
    <s v="120 Days from Invoice Date"/>
    <x v="0"/>
  </r>
  <r>
    <s v="DCBWPM558769"/>
    <d v="2025-06-02T00:00:00"/>
    <s v="Hassan Taleb"/>
    <x v="0"/>
    <s v="Al Maymanah for Contracting Co. Ltd."/>
    <s v="MP1"/>
    <x v="0"/>
    <x v="6"/>
    <s v="SAR"/>
    <n v="1020088"/>
    <n v="800000"/>
    <n v="1"/>
    <n v="800000"/>
    <n v="800000"/>
    <n v="0"/>
    <n v="0"/>
    <n v="0"/>
    <n v="0"/>
    <m/>
    <d v="2025-08-31T00:00:00"/>
    <d v="2025-08-31T00:00:00"/>
    <m/>
    <m/>
    <m/>
    <n v="0"/>
    <m/>
    <x v="4"/>
    <s v="Credit"/>
    <s v="120 Days from Invoice Date"/>
    <x v="0"/>
  </r>
  <r>
    <s v="DCBWPM562590"/>
    <d v="2025-07-24T00:00:00"/>
    <s v="Hassan Taleb"/>
    <x v="0"/>
    <s v="Al Maymanah for Contracting Co. Ltd."/>
    <s v="MP1"/>
    <x v="0"/>
    <x v="6"/>
    <s v="SAR"/>
    <n v="1020088"/>
    <n v="500000"/>
    <n v="1"/>
    <n v="500000"/>
    <n v="500000"/>
    <n v="0"/>
    <n v="0"/>
    <n v="0"/>
    <n v="0"/>
    <m/>
    <d v="2025-10-31T00:00:00"/>
    <d v="2025-10-31T00:00:00"/>
    <m/>
    <m/>
    <m/>
    <n v="0"/>
    <m/>
    <x v="4"/>
    <s v="Credit"/>
    <s v="120 Days from Invoice Date"/>
    <x v="0"/>
  </r>
  <r>
    <s v="DCBWPM566842"/>
    <d v="2025-09-30T00:00:00"/>
    <s v="Hassan Taleb"/>
    <x v="0"/>
    <s v="Al Maymanah for Contracting Co. Ltd."/>
    <s v="MP1"/>
    <x v="0"/>
    <x v="6"/>
    <s v="SAR"/>
    <n v="1020088"/>
    <n v="1500000"/>
    <n v="1"/>
    <n v="1500000"/>
    <n v="1500000"/>
    <n v="0"/>
    <n v="0"/>
    <n v="0"/>
    <n v="0"/>
    <m/>
    <d v="2025-12-31T00:00:00"/>
    <d v="2025-12-31T00:00:00"/>
    <m/>
    <m/>
    <m/>
    <n v="0"/>
    <m/>
    <x v="4"/>
    <s v="Credit"/>
    <s v="120 Days from Invoice Date"/>
    <x v="0"/>
  </r>
  <r>
    <s v="DCBWPM161319"/>
    <d v="2026-01-28T00:00:00"/>
    <s v="Hassan Taleb"/>
    <x v="0"/>
    <s v="Al Maymanah for Contracting Co. Ltd."/>
    <s v="MP1"/>
    <x v="0"/>
    <x v="6"/>
    <s v="SAR"/>
    <n v="1020088"/>
    <n v="2000000"/>
    <n v="1"/>
    <n v="2000000"/>
    <n v="2000000"/>
    <n v="0"/>
    <n v="0"/>
    <n v="0"/>
    <n v="0"/>
    <m/>
    <d v="2026-04-30T00:00:00"/>
    <d v="2026-04-30T00:00:00"/>
    <m/>
    <m/>
    <m/>
    <n v="0"/>
    <m/>
    <x v="4"/>
    <s v="Credit"/>
    <s v="90 Days from Applicant representative sign on Invoice"/>
    <x v="0"/>
  </r>
  <r>
    <s v="DCBWPM163999"/>
    <d v="2026-04-06T00:00:00"/>
    <s v="Hassan Taleb"/>
    <x v="0"/>
    <s v="Al Maymanah For Contracting Co. Ltd."/>
    <s v="MP1"/>
    <x v="0"/>
    <x v="6"/>
    <s v="SAR"/>
    <n v="1020088"/>
    <n v="500000"/>
    <n v="1"/>
    <n v="500000"/>
    <n v="0"/>
    <n v="500000"/>
    <n v="500000"/>
    <n v="0"/>
    <n v="0"/>
    <s v="14/07/2026"/>
    <d v="2026-06-30T00:00:00"/>
    <d v="2026-06-30T00:00:00"/>
    <m/>
    <m/>
    <m/>
    <n v="0"/>
    <m/>
    <x v="4"/>
    <s v="Credit"/>
    <s v="90 Days from App Rep Sign on Invoice"/>
    <x v="1"/>
  </r>
  <r>
    <s v="TF2507600031"/>
    <d v="2025-03-18T00:00:00"/>
    <s v="Rabih Makhoul"/>
    <x v="0"/>
    <s v="AL MAYMANAH FOR CONTRACTING CO.LTD."/>
    <s v="KSP"/>
    <x v="0"/>
    <x v="5"/>
    <s v="SAR"/>
    <n v="1020100"/>
    <n v="500000"/>
    <n v="1"/>
    <n v="500000"/>
    <n v="500000"/>
    <n v="0"/>
    <n v="0"/>
    <n v="0"/>
    <n v="0"/>
    <m/>
    <d v="2025-06-30T00:00:00"/>
    <d v="2025-06-30T00:00:00"/>
    <m/>
    <m/>
    <m/>
    <n v="0"/>
    <m/>
    <x v="0"/>
    <s v="Credit"/>
    <s v="90 Days from Invoice Date"/>
    <x v="0"/>
  </r>
  <r>
    <s v="TF2421995039"/>
    <d v="2024-08-08T00:00:00"/>
    <s v="Hassan Taleb"/>
    <x v="0"/>
    <s v="AL MOUSA CO"/>
    <s v="KSP"/>
    <x v="0"/>
    <x v="0"/>
    <s v="SAR"/>
    <n v="1020055"/>
    <n v="2575000"/>
    <n v="1"/>
    <n v="2575000"/>
    <n v="2575000"/>
    <n v="0"/>
    <n v="0"/>
    <n v="0"/>
    <n v="0"/>
    <m/>
    <d v="2024-11-30T00:00:00"/>
    <d v="2024-11-30T00:00:00"/>
    <m/>
    <m/>
    <m/>
    <n v="0"/>
    <m/>
    <x v="0"/>
    <s v="Credit"/>
    <s v="90 Days from Applicant Sign date"/>
    <x v="0"/>
  </r>
  <r>
    <s v="J208999"/>
    <d v="2024-08-15T00:00:00"/>
    <s v="Hassan Taleb"/>
    <x v="0"/>
    <s v="AL MOUSA TRADING CO"/>
    <s v="Opera House"/>
    <x v="0"/>
    <x v="0"/>
    <s v="SAR"/>
    <n v="1020055"/>
    <n v="1261625"/>
    <n v="1"/>
    <n v="1261625"/>
    <n v="1261625"/>
    <n v="0"/>
    <n v="0"/>
    <n v="0"/>
    <n v="0"/>
    <m/>
    <d v="2024-11-30T00:00:00"/>
    <d v="2024-11-30T00:00:00"/>
    <m/>
    <m/>
    <m/>
    <n v="0"/>
    <m/>
    <x v="3"/>
    <s v="Credit"/>
    <s v="90 Days from Invoice Date"/>
    <x v="0"/>
  </r>
  <r>
    <s v="J209619"/>
    <d v="2024-12-08T00:00:00"/>
    <s v="Rabih Makhoul"/>
    <x v="0"/>
    <s v="Al Mousa Trading Co"/>
    <s v="Opera House"/>
    <x v="0"/>
    <x v="5"/>
    <s v="SAR"/>
    <n v="1020100"/>
    <n v="700000"/>
    <n v="1"/>
    <n v="700000"/>
    <n v="700000"/>
    <n v="0"/>
    <n v="0"/>
    <n v="0"/>
    <n v="0"/>
    <m/>
    <d v="2025-02-28T00:00:00"/>
    <d v="2025-02-28T00:00:00"/>
    <m/>
    <m/>
    <m/>
    <n v="0"/>
    <m/>
    <x v="3"/>
    <s v="Credit"/>
    <s v="90 Days from Invoice Date"/>
    <x v="0"/>
  </r>
  <r>
    <s v="IM2434733005"/>
    <d v="2024-12-12T00:00:00"/>
    <s v="Hassan Taleb"/>
    <x v="0"/>
    <s v="Al Mousa Trading Co"/>
    <s v="Oceanarium"/>
    <x v="0"/>
    <x v="0"/>
    <s v="SAR"/>
    <n v="1020055"/>
    <n v="530482.57999999996"/>
    <n v="1"/>
    <n v="530482.57999999996"/>
    <n v="530482.57999999996"/>
    <n v="0"/>
    <n v="0"/>
    <n v="0"/>
    <n v="0"/>
    <m/>
    <d v="2025-03-31T00:00:00"/>
    <d v="2025-03-31T00:00:00"/>
    <m/>
    <m/>
    <m/>
    <n v="0"/>
    <m/>
    <x v="2"/>
    <s v="Credit"/>
    <s v="90 Days from Invoice Date"/>
    <x v="0"/>
  </r>
  <r>
    <s v="J209956"/>
    <d v="2025-01-27T00:00:00"/>
    <s v="Rabih Makhoul"/>
    <x v="0"/>
    <s v="Al Mousa Trading Co"/>
    <s v="Opera House"/>
    <x v="0"/>
    <x v="5"/>
    <s v="SAR"/>
    <n v="1020100"/>
    <n v="350000"/>
    <n v="1"/>
    <n v="350000"/>
    <n v="350000"/>
    <n v="0"/>
    <n v="0"/>
    <n v="0"/>
    <n v="0"/>
    <m/>
    <d v="2025-04-30T00:00:00"/>
    <d v="2025-04-30T00:00:00"/>
    <m/>
    <m/>
    <m/>
    <n v="0"/>
    <m/>
    <x v="3"/>
    <s v="Credit"/>
    <s v="90 Days from Invoice Date"/>
    <x v="0"/>
  </r>
  <r>
    <s v="TF2500700024"/>
    <d v="2025-01-07T00:00:00"/>
    <s v="Hassan Taleb"/>
    <x v="0"/>
    <s v="AL MOUSA TRADING CO."/>
    <s v="KSP"/>
    <x v="0"/>
    <x v="0"/>
    <s v="SAR"/>
    <n v="1020055"/>
    <n v="1500000"/>
    <n v="1"/>
    <n v="1500000"/>
    <n v="1500000"/>
    <n v="0"/>
    <n v="0"/>
    <n v="0"/>
    <n v="0"/>
    <m/>
    <d v="2025-03-31T00:00:00"/>
    <d v="2025-03-31T00:00:00"/>
    <m/>
    <m/>
    <m/>
    <n v="0"/>
    <m/>
    <x v="0"/>
    <s v="Credit"/>
    <s v="90 Days from Invoice Date"/>
    <x v="0"/>
  </r>
  <r>
    <s v="TF2502300053"/>
    <d v="2025-01-23T00:00:00"/>
    <s v="Hassan Taleb"/>
    <x v="0"/>
    <s v="AL MOUSA TRADING CO."/>
    <s v="KSP"/>
    <x v="0"/>
    <x v="0"/>
    <s v="SAR"/>
    <n v="1020055"/>
    <n v="650000"/>
    <n v="1"/>
    <n v="650000"/>
    <n v="650000"/>
    <n v="0"/>
    <n v="0"/>
    <n v="0"/>
    <n v="0"/>
    <m/>
    <d v="2025-04-30T00:00:00"/>
    <d v="2025-04-30T00:00:00"/>
    <m/>
    <m/>
    <m/>
    <n v="0"/>
    <m/>
    <x v="0"/>
    <s v="Credit"/>
    <s v="90 Days from Invoice Date"/>
    <x v="0"/>
  </r>
  <r>
    <s v="TF2521000028"/>
    <d v="2025-07-31T00:00:00"/>
    <s v="Hassan Taleb"/>
    <x v="0"/>
    <s v="AL MOUSA TRADING CO."/>
    <s v="KSP"/>
    <x v="0"/>
    <x v="0"/>
    <s v="SAR"/>
    <n v="1020055"/>
    <n v="417625.03"/>
    <n v="1"/>
    <n v="417625.03"/>
    <n v="417625.03"/>
    <n v="0"/>
    <n v="0"/>
    <n v="0"/>
    <n v="0"/>
    <m/>
    <d v="2025-10-31T00:00:00"/>
    <d v="2025-10-31T00:00:00"/>
    <m/>
    <m/>
    <m/>
    <n v="0"/>
    <m/>
    <x v="0"/>
    <s v="Credit"/>
    <s v="120 Days from Invoice Date"/>
    <x v="0"/>
  </r>
  <r>
    <s v="TF2531600053"/>
    <d v="2025-11-12T00:00:00"/>
    <s v="Hassan Taleb"/>
    <x v="0"/>
    <s v="AL MOUSA TRADING CO."/>
    <s v="KSP"/>
    <x v="0"/>
    <x v="0"/>
    <s v="SAR"/>
    <n v="1020055"/>
    <n v="1252435.67"/>
    <n v="1"/>
    <n v="1252435.67"/>
    <n v="1252435.67"/>
    <n v="0"/>
    <n v="0"/>
    <n v="0"/>
    <n v="0"/>
    <m/>
    <d v="2026-02-28T00:00:00"/>
    <d v="2026-02-28T00:00:00"/>
    <m/>
    <m/>
    <m/>
    <n v="0"/>
    <m/>
    <x v="0"/>
    <s v="Credit"/>
    <s v="90 Days from Applicant representative sign on Invoice"/>
    <x v="0"/>
  </r>
  <r>
    <s v="TF2309380880"/>
    <d v="2023-04-04T00:00:00"/>
    <s v="Bassam Marawie"/>
    <x v="0"/>
    <s v="AL MOUSA TRADING COMPANY"/>
    <s v="KSP"/>
    <x v="0"/>
    <x v="12"/>
    <s v="SAR"/>
    <n v="1020001"/>
    <n v="2952344.02"/>
    <n v="1"/>
    <n v="2952344.02"/>
    <n v="2952344.02"/>
    <n v="0"/>
    <n v="0"/>
    <n v="0"/>
    <n v="0"/>
    <m/>
    <d v="2023-09-30T00:00:00"/>
    <d v="2023-09-30T00:00:00"/>
    <m/>
    <m/>
    <m/>
    <n v="0"/>
    <m/>
    <x v="0"/>
    <s v="Credit"/>
    <m/>
    <x v="0"/>
  </r>
  <r>
    <s v="TF2329286515"/>
    <d v="2023-10-23T00:00:00"/>
    <s v="Hassan Taleb"/>
    <x v="0"/>
    <s v="AL MOUSA TRADING COMPANY"/>
    <s v="KSP"/>
    <x v="0"/>
    <x v="0"/>
    <s v="SAR"/>
    <n v="1020055"/>
    <n v="3320000"/>
    <n v="1"/>
    <n v="3320000"/>
    <n v="3287775.8099999996"/>
    <n v="32224.19"/>
    <n v="0"/>
    <n v="32224.19"/>
    <n v="0"/>
    <m/>
    <d v="2024-07-01T00:00:00"/>
    <d v="2024-07-01T00:00:00"/>
    <m/>
    <m/>
    <m/>
    <n v="0"/>
    <m/>
    <x v="0"/>
    <s v="Credit"/>
    <s v="60 Days from Delivery Date"/>
    <x v="0"/>
  </r>
  <r>
    <s v="TF2508300053"/>
    <d v="2025-03-23T00:00:00"/>
    <s v="Hassan Taleb"/>
    <x v="0"/>
    <s v="Al Mousa Trading Company"/>
    <s v="KSP"/>
    <x v="0"/>
    <x v="0"/>
    <s v="SAR"/>
    <n v="1020055"/>
    <n v="300000"/>
    <n v="1"/>
    <n v="300000"/>
    <n v="300000"/>
    <n v="0"/>
    <n v="0"/>
    <n v="0"/>
    <n v="0"/>
    <m/>
    <d v="2025-06-30T00:00:00"/>
    <d v="2025-06-30T00:00:00"/>
    <m/>
    <m/>
    <m/>
    <n v="0"/>
    <m/>
    <x v="0"/>
    <s v="Credit"/>
    <s v="90 Days from Invoice Date"/>
    <x v="0"/>
  </r>
  <r>
    <s v="DCBWPM555723"/>
    <d v="2025-04-10T00:00:00"/>
    <s v="Hassan Taleb"/>
    <x v="0"/>
    <s v="AL NAKHEEL FOR TRADING CO"/>
    <s v="MP1"/>
    <x v="0"/>
    <x v="6"/>
    <s v="SAR"/>
    <n v="1020088"/>
    <n v="540000"/>
    <n v="1"/>
    <n v="540000"/>
    <n v="540000"/>
    <n v="0"/>
    <n v="0"/>
    <n v="0"/>
    <n v="0"/>
    <m/>
    <d v="2025-06-30T00:00:00"/>
    <d v="2025-06-30T00:00:00"/>
    <m/>
    <m/>
    <m/>
    <n v="0"/>
    <m/>
    <x v="4"/>
    <s v="Credit"/>
    <s v="90 Days from Invoice Date"/>
    <x v="0"/>
  </r>
  <r>
    <s v="DCBWPM162992"/>
    <d v="2026-03-05T00:00:00"/>
    <s v="Hassan Taleb"/>
    <x v="0"/>
    <s v="Al NAKHEEL FOR TRADING COMPANY"/>
    <s v="MP1"/>
    <x v="0"/>
    <x v="6"/>
    <s v="SAR"/>
    <n v="1020088"/>
    <n v="1870380.07"/>
    <n v="1"/>
    <n v="1870380.07"/>
    <n v="0"/>
    <n v="1870380.07"/>
    <n v="1309266"/>
    <n v="561114.06999999995"/>
    <n v="0"/>
    <s v="08/07/2026"/>
    <d v="2026-08-31T00:00:00"/>
    <d v="2026-08-31T00:00:00"/>
    <m/>
    <m/>
    <m/>
    <n v="0"/>
    <m/>
    <x v="4"/>
    <s v="Credit"/>
    <s v="90 Days from Applicant representative sign on Invoice"/>
    <x v="1"/>
  </r>
  <r>
    <s v="TF2400188736"/>
    <d v="2024-01-01T00:00:00"/>
    <s v="Hassan Taleb"/>
    <x v="0"/>
    <s v="AL OTHMAN CO"/>
    <s v="KSP"/>
    <x v="0"/>
    <x v="0"/>
    <s v="SAR"/>
    <n v="1020055"/>
    <n v="1452474.33"/>
    <n v="1"/>
    <n v="1452474.33"/>
    <n v="1360886.92"/>
    <n v="91587.41"/>
    <n v="0"/>
    <n v="91587.41"/>
    <n v="0"/>
    <m/>
    <d v="2024-05-30T00:00:00"/>
    <d v="2024-05-30T00:00:00"/>
    <m/>
    <m/>
    <m/>
    <n v="0"/>
    <m/>
    <x v="0"/>
    <s v="Credit"/>
    <m/>
    <x v="0"/>
  </r>
  <r>
    <s v="JLC6901612"/>
    <d v="2025-09-11T00:00:00"/>
    <s v="Luis Puente"/>
    <x v="0"/>
    <s v="Al Othman Industrial Marketing Co."/>
    <s v="Cash"/>
    <x v="0"/>
    <x v="7"/>
    <s v="SAR"/>
    <n v="1020096"/>
    <n v="250000"/>
    <n v="1"/>
    <n v="250000"/>
    <n v="250000"/>
    <n v="0"/>
    <n v="0"/>
    <n v="0"/>
    <n v="0"/>
    <m/>
    <d v="2025-11-30T00:00:00"/>
    <d v="2025-11-30T00:00:00"/>
    <m/>
    <m/>
    <m/>
    <n v="0"/>
    <m/>
    <x v="1"/>
    <s v="Cash"/>
    <s v="120 Days from Invoice Date"/>
    <x v="0"/>
  </r>
  <r>
    <s v="J209170"/>
    <d v="2024-09-16T00:00:00"/>
    <s v="Hassan Taleb"/>
    <x v="0"/>
    <s v="AL OTHMAN INDUSTRIAL MARKETING LTD."/>
    <s v="Opera House"/>
    <x v="0"/>
    <x v="0"/>
    <s v="SAR"/>
    <n v="1020055"/>
    <n v="769558.85"/>
    <n v="1"/>
    <n v="769558.85"/>
    <n v="769558.85"/>
    <n v="0"/>
    <n v="0"/>
    <n v="0"/>
    <n v="0"/>
    <m/>
    <d v="2024-11-30T00:00:00"/>
    <d v="2024-11-04T00:00:00"/>
    <m/>
    <m/>
    <m/>
    <n v="0"/>
    <m/>
    <x v="3"/>
    <s v="Credit"/>
    <s v="90 Days from Invoice Date"/>
    <x v="0"/>
  </r>
  <r>
    <s v="JLC6901489"/>
    <d v="2025-08-14T00:00:00"/>
    <s v="Muhammed Khan"/>
    <x v="0"/>
    <s v="Al Qimam Contracting &amp; Trading Est"/>
    <s v="Cash"/>
    <x v="1"/>
    <x v="1"/>
    <s v="SAR"/>
    <m/>
    <n v="500575.54"/>
    <n v="1"/>
    <n v="500575.54"/>
    <n v="500575.54"/>
    <n v="0"/>
    <n v="0"/>
    <n v="0"/>
    <n v="0"/>
    <m/>
    <d v="2025-09-30T00:00:00"/>
    <d v="2025-09-15T00:00:00"/>
    <m/>
    <m/>
    <m/>
    <m/>
    <m/>
    <x v="1"/>
    <s v="Cash"/>
    <s v="Sight"/>
    <x v="0"/>
  </r>
  <r>
    <s v="DCBWPM166944"/>
    <d v="2026-06-23T00:00:00"/>
    <s v="Mohammed Kotb"/>
    <x v="0"/>
    <s v="AL RAMSAT CONTRACTING COMPANY"/>
    <s v="MP1"/>
    <x v="2"/>
    <x v="4"/>
    <s v="SAR"/>
    <n v="1020070"/>
    <n v="2000000"/>
    <n v="1"/>
    <n v="2000000"/>
    <n v="0"/>
    <n v="2000000"/>
    <n v="0"/>
    <n v="2000000"/>
    <n v="0"/>
    <m/>
    <d v="2026-11-20T00:00:00"/>
    <d v="2026-11-20T00:00:00"/>
    <m/>
    <m/>
    <m/>
    <n v="0"/>
    <m/>
    <x v="4"/>
    <s v="Credit"/>
    <s v="60 Days from Invoice Date"/>
    <x v="1"/>
  </r>
  <r>
    <s v="DCBWPM555614"/>
    <d v="2025-04-10T00:00:00"/>
    <s v="Hassan Taleb"/>
    <x v="0"/>
    <s v="AL RASHED TIRES COMPANY LLC"/>
    <s v="MP1"/>
    <x v="0"/>
    <x v="6"/>
    <s v="SAR"/>
    <n v="1020088"/>
    <n v="4581071.46"/>
    <n v="1"/>
    <n v="4581071.46"/>
    <n v="4581071.46"/>
    <n v="0"/>
    <n v="0"/>
    <n v="0"/>
    <n v="0"/>
    <m/>
    <d v="2025-06-30T00:00:00"/>
    <d v="2025-06-30T00:00:00"/>
    <m/>
    <m/>
    <m/>
    <n v="0"/>
    <m/>
    <x v="4"/>
    <s v="Credit"/>
    <s v="60 Days from Invoice Date"/>
    <x v="0"/>
  </r>
  <r>
    <s v="TF2517700020"/>
    <d v="2025-06-26T00:00:00"/>
    <s v="Hassan Taleb"/>
    <x v="0"/>
    <s v="AL RAWNAQ AL THAHABI ENGINEERING CONSULTING. CO."/>
    <s v="KSP"/>
    <x v="0"/>
    <x v="5"/>
    <s v="SAR"/>
    <n v="1020100"/>
    <n v="350461"/>
    <n v="1"/>
    <n v="350461"/>
    <n v="350461"/>
    <n v="0"/>
    <n v="0"/>
    <n v="0"/>
    <n v="0"/>
    <m/>
    <d v="2025-10-31T00:00:00"/>
    <d v="2025-10-31T00:00:00"/>
    <m/>
    <m/>
    <m/>
    <n v="0"/>
    <s v="to bank on 08-09 | EXP &amp; LDS 31-10"/>
    <x v="0"/>
    <s v="Credit"/>
    <s v="120 Days from Invoice Date"/>
    <x v="0"/>
  </r>
  <r>
    <s v="DCBWPM564593"/>
    <d v="2025-08-26T00:00:00"/>
    <s v="Mohammed Kotb"/>
    <x v="0"/>
    <s v="Al Saadeh Trading Establishment"/>
    <s v="MP1"/>
    <x v="4"/>
    <x v="4"/>
    <s v="SAR"/>
    <n v="1020070"/>
    <n v="699367"/>
    <n v="1"/>
    <n v="699367"/>
    <n v="699367"/>
    <n v="0"/>
    <n v="0"/>
    <n v="0"/>
    <n v="0"/>
    <m/>
    <d v="2025-10-01T00:00:00"/>
    <d v="2025-10-01T00:00:00"/>
    <m/>
    <m/>
    <m/>
    <n v="0"/>
    <m/>
    <x v="4"/>
    <s v="Credit"/>
    <s v="60 Days from Date of Delivery"/>
    <x v="0"/>
  </r>
  <r>
    <s v="TF2309380877"/>
    <d v="2023-04-04T00:00:00"/>
    <s v="Bassam Marawie"/>
    <x v="0"/>
    <s v="AL SALEM AIR CONDITIONING CO"/>
    <s v="KSP"/>
    <x v="0"/>
    <x v="12"/>
    <s v="SAR"/>
    <n v="1020001"/>
    <n v="8771831.4199999999"/>
    <n v="1"/>
    <n v="8771831.4199999999"/>
    <n v="4351599.32"/>
    <n v="4420232.0999999996"/>
    <n v="0"/>
    <n v="4420232.0999999996"/>
    <n v="0"/>
    <m/>
    <d v="2023-12-31T00:00:00"/>
    <d v="2023-12-31T00:00:00"/>
    <m/>
    <m/>
    <m/>
    <n v="0"/>
    <m/>
    <x v="0"/>
    <s v="Credit"/>
    <m/>
    <x v="0"/>
  </r>
  <r>
    <s v="TF2311581329"/>
    <d v="2023-04-04T00:00:00"/>
    <s v="Bassam Marawie"/>
    <x v="0"/>
    <s v="AL SALEM AIR CONDITIONING CO"/>
    <s v="KSP"/>
    <x v="0"/>
    <x v="12"/>
    <s v="SAR"/>
    <n v="1020001"/>
    <n v="2248483.8399999999"/>
    <n v="1"/>
    <n v="2248483.8399999999"/>
    <n v="1789391.9"/>
    <n v="459091.94"/>
    <n v="0"/>
    <n v="459091.94"/>
    <n v="0"/>
    <m/>
    <d v="2023-09-30T00:00:00"/>
    <d v="2023-09-30T00:00:00"/>
    <m/>
    <m/>
    <m/>
    <n v="0"/>
    <m/>
    <x v="0"/>
    <s v="Credit"/>
    <m/>
    <x v="0"/>
  </r>
  <r>
    <s v="TF2315082491"/>
    <d v="2023-05-18T00:00:00"/>
    <s v="Bassam Marawie"/>
    <x v="0"/>
    <s v="AL SALEM AIR CONDITIONING CO"/>
    <s v="KSP"/>
    <x v="0"/>
    <x v="13"/>
    <s v="SAR"/>
    <n v="1020052"/>
    <n v="2765061.4699999997"/>
    <n v="1"/>
    <n v="2765061.4699999997"/>
    <n v="2765061.47"/>
    <n v="0"/>
    <n v="0"/>
    <n v="0"/>
    <n v="0"/>
    <m/>
    <d v="2024-07-30T00:00:00"/>
    <d v="2024-07-30T00:00:00"/>
    <m/>
    <m/>
    <m/>
    <n v="0"/>
    <m/>
    <x v="0"/>
    <s v="Credit"/>
    <s v="90 Days from Delivery Date"/>
    <x v="0"/>
  </r>
  <r>
    <s v="TF2315082490"/>
    <d v="2023-05-18T00:00:00"/>
    <s v="Bassam Marawie"/>
    <x v="0"/>
    <s v="AL SALEM AIR CONDITIONING CO"/>
    <s v="KSP"/>
    <x v="0"/>
    <x v="13"/>
    <s v="SAR"/>
    <n v="1020052"/>
    <n v="542698.80000000005"/>
    <n v="1"/>
    <n v="542698.80000000005"/>
    <n v="542698.80000000005"/>
    <n v="0"/>
    <n v="0"/>
    <n v="0"/>
    <n v="0"/>
    <m/>
    <d v="2023-09-30T00:00:00"/>
    <d v="2023-09-30T00:00:00"/>
    <m/>
    <m/>
    <m/>
    <n v="0"/>
    <m/>
    <x v="0"/>
    <s v="Credit"/>
    <s v="90 Days from Delivery Date"/>
    <x v="0"/>
  </r>
  <r>
    <s v="TF2335188217"/>
    <d v="2023-12-17T00:00:00"/>
    <s v="Hassan Taleb"/>
    <x v="0"/>
    <s v="AL SALEM AIR CONDITIONING CO"/>
    <s v="KSP"/>
    <x v="0"/>
    <x v="0"/>
    <s v="SAR"/>
    <n v="1020055"/>
    <n v="5725000"/>
    <n v="1"/>
    <n v="5725000"/>
    <n v="5725000"/>
    <n v="0"/>
    <n v="0"/>
    <n v="0"/>
    <n v="0"/>
    <m/>
    <d v="2024-10-31T00:00:00"/>
    <d v="2024-10-10T00:00:00"/>
    <m/>
    <m/>
    <m/>
    <n v="0"/>
    <m/>
    <x v="0"/>
    <s v="Credit"/>
    <s v="45 Days from Delivery Date"/>
    <x v="0"/>
  </r>
  <r>
    <s v="TF2311581331"/>
    <d v="2023-04-25T00:00:00"/>
    <s v="Hassan Taleb"/>
    <x v="0"/>
    <s v="AL SALEM AIR CONDITIONING CO"/>
    <s v="KSP"/>
    <x v="0"/>
    <x v="0"/>
    <s v="SAR"/>
    <n v="1020055"/>
    <n v="1725000"/>
    <n v="1"/>
    <n v="1725000"/>
    <n v="1725000"/>
    <n v="0"/>
    <n v="0"/>
    <n v="0"/>
    <n v="0"/>
    <m/>
    <d v="2023-06-30T00:00:00"/>
    <d v="2023-06-30T00:00:00"/>
    <m/>
    <m/>
    <m/>
    <n v="0"/>
    <m/>
    <x v="0"/>
    <s v="Credit"/>
    <m/>
    <x v="0"/>
  </r>
  <r>
    <s v="TF2320083752"/>
    <d v="2023-07-18T00:00:00"/>
    <s v="Hassan Taleb"/>
    <x v="0"/>
    <s v="AL SALEM AIR CONDITIONING CO"/>
    <s v="KSP"/>
    <x v="0"/>
    <x v="0"/>
    <s v="SAR"/>
    <n v="1020055"/>
    <n v="2504099.35"/>
    <n v="1"/>
    <n v="2504099.35"/>
    <n v="2504099.35"/>
    <n v="0"/>
    <n v="0"/>
    <n v="0"/>
    <n v="0"/>
    <m/>
    <d v="2023-10-16T00:00:00"/>
    <d v="2023-10-16T00:00:00"/>
    <m/>
    <m/>
    <m/>
    <n v="0"/>
    <m/>
    <x v="0"/>
    <s v="Credit"/>
    <s v="45 Days from Delivery Date"/>
    <x v="0"/>
  </r>
  <r>
    <s v="TF2313482016"/>
    <d v="2023-05-14T00:00:00"/>
    <s v="Hassan Taleb"/>
    <x v="0"/>
    <s v="AL SALEM AIR CONDITIONING CO"/>
    <s v="KSP"/>
    <x v="0"/>
    <x v="0"/>
    <s v="SAR"/>
    <n v="1020055"/>
    <n v="2573125"/>
    <n v="1"/>
    <n v="2573125"/>
    <n v="2573125"/>
    <n v="0"/>
    <n v="0"/>
    <n v="0"/>
    <n v="0"/>
    <m/>
    <d v="2023-09-30T00:00:00"/>
    <d v="2023-09-30T00:00:00"/>
    <m/>
    <m/>
    <m/>
    <n v="0"/>
    <m/>
    <x v="0"/>
    <s v="Credit"/>
    <s v="45 Days from Delivery Date"/>
    <x v="0"/>
  </r>
  <r>
    <s v="TF2314982485"/>
    <d v="2023-05-18T00:00:00"/>
    <s v="Bassam Marawie"/>
    <x v="0"/>
    <s v="AL SALEM AIR CONDITIONING CO"/>
    <s v="KSP"/>
    <x v="0"/>
    <x v="13"/>
    <s v="SAR"/>
    <n v="1020052"/>
    <n v="1851500"/>
    <n v="1"/>
    <n v="1851500"/>
    <n v="1851500"/>
    <n v="0"/>
    <n v="0"/>
    <n v="0"/>
    <n v="0"/>
    <m/>
    <d v="2023-09-30T00:00:00"/>
    <d v="2023-09-30T00:00:00"/>
    <m/>
    <m/>
    <m/>
    <n v="0"/>
    <m/>
    <x v="0"/>
    <s v="Credit"/>
    <m/>
    <x v="0"/>
  </r>
  <r>
    <s v="TF2308980806"/>
    <d v="2023-03-30T00:00:00"/>
    <s v="Bassam Marawie"/>
    <x v="0"/>
    <s v="AL SALEM AIR CONDITIONING CO. P.O.B"/>
    <s v="KSP"/>
    <x v="0"/>
    <x v="13"/>
    <s v="SAR"/>
    <n v="1020052"/>
    <n v="4613451"/>
    <n v="1"/>
    <n v="4613451"/>
    <n v="4613451"/>
    <n v="0"/>
    <n v="0"/>
    <n v="0"/>
    <n v="0"/>
    <m/>
    <d v="2023-09-30T00:00:00"/>
    <d v="2023-09-30T00:00:00"/>
    <m/>
    <m/>
    <m/>
    <n v="0"/>
    <m/>
    <x v="0"/>
    <s v="Credit"/>
    <m/>
    <x v="0"/>
  </r>
  <r>
    <s v="J209391"/>
    <d v="2024-10-23T00:00:00"/>
    <s v="Hassan Taleb"/>
    <x v="0"/>
    <s v="Al Salem Airconditioning Co.Ltd (Johnson)"/>
    <s v="Opera House"/>
    <x v="0"/>
    <x v="0"/>
    <s v="SAR"/>
    <n v="1020055"/>
    <n v="1000000"/>
    <n v="1"/>
    <n v="1000000"/>
    <n v="1000000"/>
    <n v="0"/>
    <n v="0"/>
    <n v="0"/>
    <n v="0"/>
    <m/>
    <d v="2024-12-31T00:00:00"/>
    <d v="2024-12-04T00:00:00"/>
    <m/>
    <m/>
    <m/>
    <n v="0"/>
    <m/>
    <x v="3"/>
    <s v="Credit"/>
    <s v="90 Days from Invoice Date"/>
    <x v="0"/>
  </r>
  <r>
    <s v="JLC6901474"/>
    <d v="2025-08-19T00:00:00"/>
    <s v="Muhammed Khan"/>
    <x v="0"/>
    <s v="Al Salem York Services Co Ltd"/>
    <s v="Cash"/>
    <x v="1"/>
    <x v="1"/>
    <s v="SAR"/>
    <m/>
    <n v="1000000"/>
    <n v="1"/>
    <n v="1000000"/>
    <n v="1000000"/>
    <n v="0"/>
    <n v="0"/>
    <n v="0"/>
    <n v="0"/>
    <m/>
    <d v="2025-09-30T00:00:00"/>
    <d v="2025-09-15T00:00:00"/>
    <m/>
    <m/>
    <m/>
    <m/>
    <m/>
    <x v="1"/>
    <s v="Cash"/>
    <s v="Sight"/>
    <x v="0"/>
  </r>
  <r>
    <s v="J209622"/>
    <d v="2024-12-08T00:00:00"/>
    <s v="Rabih Makhoul"/>
    <x v="0"/>
    <s v="Al Tagadom Alaly"/>
    <s v="Opera House"/>
    <x v="0"/>
    <x v="5"/>
    <s v="SAR"/>
    <n v="1020100"/>
    <n v="108100"/>
    <n v="1"/>
    <n v="108100"/>
    <n v="108100"/>
    <n v="0"/>
    <n v="0"/>
    <n v="0"/>
    <n v="0"/>
    <m/>
    <d v="2025-02-28T00:00:00"/>
    <d v="2025-02-28T00:00:00"/>
    <m/>
    <m/>
    <m/>
    <n v="0"/>
    <m/>
    <x v="3"/>
    <s v="Credit"/>
    <s v="90 Days from Invoice Date"/>
    <x v="0"/>
  </r>
  <r>
    <s v="J211836"/>
    <d v="2026-01-20T00:00:00"/>
    <s v="Matthew Mckernan"/>
    <x v="0"/>
    <s v="Al Talal Modern Est"/>
    <s v="Opera House"/>
    <x v="4"/>
    <x v="10"/>
    <s v="SAR"/>
    <n v="1020097"/>
    <n v="400000"/>
    <n v="1"/>
    <n v="400000"/>
    <n v="0"/>
    <n v="400000"/>
    <n v="0"/>
    <n v="400000"/>
    <n v="0"/>
    <m/>
    <d v="2026-05-31T00:00:00"/>
    <d v="2026-05-21T00:00:00"/>
    <m/>
    <m/>
    <m/>
    <n v="0"/>
    <m/>
    <x v="3"/>
    <s v="Credit"/>
    <s v="90 Days From the Delivery Date"/>
    <x v="1"/>
  </r>
  <r>
    <s v="J210927"/>
    <d v="2025-07-28T00:00:00"/>
    <s v="Hassan Taleb"/>
    <x v="0"/>
    <s v="Al Taqadom Alaly Trading Est"/>
    <s v="Opera House"/>
    <x v="0"/>
    <x v="5"/>
    <s v="SAR"/>
    <n v="1020100"/>
    <n v="151075.5"/>
    <n v="1"/>
    <n v="151075.5"/>
    <n v="0"/>
    <n v="151075.5"/>
    <n v="0"/>
    <n v="151075.5"/>
    <n v="0"/>
    <m/>
    <d v="2025-12-31T00:00:00"/>
    <d v="2025-12-31T00:00:00"/>
    <m/>
    <m/>
    <m/>
    <n v="0"/>
    <m/>
    <x v="3"/>
    <s v="Credit"/>
    <s v="120 Days from Invoice Date"/>
    <x v="0"/>
  </r>
  <r>
    <s v="DCBWPM563933"/>
    <d v="2025-08-18T00:00:00"/>
    <s v="Hassan Taleb"/>
    <x v="0"/>
    <s v="Al Taqadom Alaly Trading Est"/>
    <s v="MP1"/>
    <x v="0"/>
    <x v="6"/>
    <s v="SAR"/>
    <n v="1020088"/>
    <n v="300000"/>
    <n v="1"/>
    <n v="300000"/>
    <n v="0"/>
    <n v="300000"/>
    <n v="0"/>
    <n v="300000"/>
    <n v="0"/>
    <m/>
    <d v="2025-11-30T00:00:00"/>
    <d v="2025-11-30T00:00:00"/>
    <m/>
    <m/>
    <m/>
    <n v="0"/>
    <m/>
    <x v="4"/>
    <s v="Credit"/>
    <s v="120 Days from Invoice Date"/>
    <x v="0"/>
  </r>
  <r>
    <s v="ILC-0840-25-7739"/>
    <d v="2025-05-27T00:00:00"/>
    <s v="Hassan Taleb"/>
    <x v="0"/>
    <s v="Al Wasail Industrial Co"/>
    <s v="RCRC"/>
    <x v="0"/>
    <x v="11"/>
    <s v="SAR"/>
    <n v="1020106"/>
    <n v="108757.8"/>
    <n v="1"/>
    <n v="108757.8"/>
    <n v="108757.8"/>
    <n v="0"/>
    <n v="0"/>
    <n v="0"/>
    <n v="0"/>
    <m/>
    <d v="2025-08-31T00:00:00"/>
    <d v="2025-08-31T00:00:00"/>
    <m/>
    <m/>
    <m/>
    <n v="0"/>
    <m/>
    <x v="6"/>
    <s v="Credit"/>
    <s v="90 Days from Invoice Date"/>
    <x v="0"/>
  </r>
  <r>
    <s v="ILC-0840-26-8821"/>
    <d v="2026-01-11T00:00:00"/>
    <s v="Hassan Taleb"/>
    <x v="0"/>
    <s v="Al Wasail Industrial Co "/>
    <s v="RCRC"/>
    <x v="0"/>
    <x v="11"/>
    <s v="SAR"/>
    <n v="1020106"/>
    <n v="209875"/>
    <n v="1"/>
    <n v="209875"/>
    <n v="209875"/>
    <n v="0"/>
    <n v="0"/>
    <n v="0"/>
    <n v="0"/>
    <m/>
    <d v="2026-03-31T00:00:00"/>
    <d v="2026-03-31T00:00:00"/>
    <m/>
    <m/>
    <m/>
    <n v="0"/>
    <m/>
    <x v="6"/>
    <s v="Credit"/>
    <s v="90 Days from Applicant representative sign on Invoice"/>
    <x v="0"/>
  </r>
  <r>
    <s v="DCBWPM562595"/>
    <d v="2025-07-24T00:00:00"/>
    <s v="Hassan Taleb"/>
    <x v="0"/>
    <s v="Al Wasail Industrial Co."/>
    <s v="MP1"/>
    <x v="0"/>
    <x v="6"/>
    <s v="SAR"/>
    <n v="1020088"/>
    <n v="200000"/>
    <n v="1"/>
    <n v="200000"/>
    <n v="200000"/>
    <n v="0"/>
    <n v="0"/>
    <n v="0"/>
    <n v="0"/>
    <m/>
    <d v="2025-10-31T00:00:00"/>
    <d v="2025-10-31T00:00:00"/>
    <m/>
    <m/>
    <m/>
    <n v="0"/>
    <m/>
    <x v="4"/>
    <s v="Credit"/>
    <s v="120 Days from Invoice Date"/>
    <x v="0"/>
  </r>
  <r>
    <s v="ILC-0840-25-7351"/>
    <d v="2025-02-27T00:00:00"/>
    <s v="Hassan Taleb"/>
    <x v="0"/>
    <s v="Al Wasail Industrial Company"/>
    <s v="RCRC"/>
    <x v="0"/>
    <x v="11"/>
    <s v="SAR"/>
    <n v="1020106"/>
    <n v="316864.68"/>
    <n v="1"/>
    <n v="316864.68"/>
    <n v="316864.68"/>
    <n v="0"/>
    <n v="0"/>
    <n v="0"/>
    <n v="0"/>
    <m/>
    <d v="2025-09-30T00:00:00"/>
    <d v="2025-09-30T00:00:00"/>
    <m/>
    <m/>
    <m/>
    <n v="0"/>
    <s v="to bank on 05-10 | EXP &amp; LDS - 31-12-25"/>
    <x v="6"/>
    <s v="Credit"/>
    <s v="90 Days from Invoice Date"/>
    <x v="0"/>
  </r>
  <r>
    <s v="J209516"/>
    <d v="2024-11-20T00:00:00"/>
    <s v="Hassan Taleb"/>
    <x v="0"/>
    <s v="Al Wefaq Contracting Company"/>
    <s v="Opera House"/>
    <x v="0"/>
    <x v="0"/>
    <s v="SAR"/>
    <n v="1020055"/>
    <n v="491845.28749999998"/>
    <n v="1"/>
    <n v="491845.28749999998"/>
    <n v="491845.29"/>
    <n v="0"/>
    <n v="0"/>
    <n v="0"/>
    <n v="0"/>
    <m/>
    <d v="2025-02-28T00:00:00"/>
    <d v="2025-02-04T00:00:00"/>
    <m/>
    <m/>
    <m/>
    <n v="0"/>
    <m/>
    <x v="3"/>
    <s v="Credit"/>
    <s v="90 Days from Invoice Date"/>
    <x v="0"/>
  </r>
  <r>
    <s v="IM2435033009"/>
    <d v="2024-12-15T00:00:00"/>
    <s v="Hassan Taleb"/>
    <x v="0"/>
    <s v="AL WEFAQ CONTRACTING COMPANY"/>
    <s v="Oceanarium"/>
    <x v="0"/>
    <x v="0"/>
    <s v="SAR"/>
    <n v="1020055"/>
    <n v="128535.5"/>
    <n v="1"/>
    <n v="128535.5"/>
    <n v="128535.5"/>
    <n v="0"/>
    <n v="0"/>
    <n v="0"/>
    <n v="0"/>
    <m/>
    <d v="2025-03-31T00:00:00"/>
    <d v="2025-03-31T00:00:00"/>
    <m/>
    <m/>
    <m/>
    <n v="0"/>
    <m/>
    <x v="2"/>
    <s v="Credit"/>
    <s v="90 Days from Invoice Date"/>
    <x v="0"/>
  </r>
  <r>
    <s v="IM2512833001"/>
    <d v="2025-05-08T00:00:00"/>
    <s v="Matthew Mckernan"/>
    <x v="0"/>
    <s v="Al Yamamah Company for Reinforcing Steel Bars"/>
    <s v="Cash"/>
    <x v="2"/>
    <x v="10"/>
    <s v="SAR"/>
    <n v="1020097"/>
    <n v="6439356"/>
    <n v="1"/>
    <n v="6439356"/>
    <n v="6439356"/>
    <n v="0"/>
    <n v="0"/>
    <n v="0"/>
    <n v="0"/>
    <m/>
    <d v="2025-08-31T00:00:00"/>
    <d v="2025-08-31T00:00:00"/>
    <m/>
    <m/>
    <m/>
    <n v="0"/>
    <m/>
    <x v="2"/>
    <s v="Cash"/>
    <s v="120 Days from Invoice Date"/>
    <x v="0"/>
  </r>
  <r>
    <s v="J210868"/>
    <d v="2025-07-14T00:00:00"/>
    <s v="Luis Puente"/>
    <x v="0"/>
    <s v="Al Yamamah Company for Reinforcing Steel Bars"/>
    <s v="Opera House"/>
    <x v="2"/>
    <x v="7"/>
    <s v="SAR"/>
    <n v="1020096"/>
    <n v="17434337.5"/>
    <n v="1"/>
    <n v="17434337.5"/>
    <n v="15816295"/>
    <n v="1618042.5"/>
    <n v="0"/>
    <n v="1618042.5"/>
    <n v="0"/>
    <m/>
    <d v="2025-12-31T00:00:00"/>
    <d v="2025-11-30T00:00:00"/>
    <m/>
    <m/>
    <m/>
    <n v="0"/>
    <m/>
    <x v="3"/>
    <s v="Credit"/>
    <s v="90 Days from Invoice Date"/>
    <x v="0"/>
  </r>
  <r>
    <s v="J209617"/>
    <d v="2024-12-08T00:00:00"/>
    <s v="Rabih Makhoul"/>
    <x v="0"/>
    <s v="AL ZAMIL CO. FOR TRADE &amp; TRANSPORT"/>
    <s v="Opera House"/>
    <x v="0"/>
    <x v="5"/>
    <s v="SAR"/>
    <n v="1020100"/>
    <n v="169050"/>
    <n v="1"/>
    <n v="169050"/>
    <n v="169050"/>
    <n v="0"/>
    <n v="0"/>
    <n v="0"/>
    <n v="0"/>
    <m/>
    <d v="2025-02-28T00:00:00"/>
    <d v="2025-02-28T00:00:00"/>
    <m/>
    <m/>
    <m/>
    <n v="0"/>
    <m/>
    <x v="3"/>
    <s v="Credit"/>
    <s v="90 Days from Invoice Date"/>
    <x v="0"/>
  </r>
  <r>
    <s v="J209060"/>
    <d v="2024-08-29T00:00:00"/>
    <s v="Hassan Taleb"/>
    <x v="0"/>
    <s v="ALAM AL WEFAQ FOR CONTRACTING CO"/>
    <s v="Opera House"/>
    <x v="0"/>
    <x v="0"/>
    <s v="SAR"/>
    <n v="1020055"/>
    <n v="883722.5"/>
    <n v="1"/>
    <n v="883722.5"/>
    <n v="883722.5"/>
    <n v="0"/>
    <n v="0"/>
    <n v="0"/>
    <n v="0"/>
    <m/>
    <d v="2024-11-30T00:00:00"/>
    <d v="2024-11-30T00:00:00"/>
    <m/>
    <m/>
    <m/>
    <n v="0"/>
    <m/>
    <x v="3"/>
    <s v="Credit"/>
    <m/>
    <x v="0"/>
  </r>
  <r>
    <s v="IM2500733002"/>
    <d v="2025-01-07T00:00:00"/>
    <s v="Hassan Taleb"/>
    <x v="0"/>
    <s v="ALAM AL WEFAQ FOR CONTRACTING CO."/>
    <s v="Multipurpose"/>
    <x v="0"/>
    <x v="0"/>
    <s v="SAR"/>
    <n v="1020055"/>
    <n v="436052.14"/>
    <n v="1"/>
    <n v="436052.14"/>
    <n v="436052.14"/>
    <n v="0"/>
    <n v="0"/>
    <n v="0"/>
    <n v="0"/>
    <m/>
    <d v="2025-03-31T00:00:00"/>
    <d v="2025-03-31T00:00:00"/>
    <m/>
    <m/>
    <m/>
    <n v="0"/>
    <m/>
    <x v="2"/>
    <s v="Credit"/>
    <s v="90 Days from Invoice Date"/>
    <x v="0"/>
  </r>
  <r>
    <s v="TF2507700052"/>
    <d v="2025-03-18T00:00:00"/>
    <s v="Rabih Makhoul"/>
    <x v="0"/>
    <s v="ALAM ALWEFAQ FOR CONTRACTING CO"/>
    <s v="KSP"/>
    <x v="0"/>
    <x v="5"/>
    <s v="SAR"/>
    <n v="1020100"/>
    <n v="500000"/>
    <n v="1"/>
    <n v="500000"/>
    <n v="500000"/>
    <n v="0"/>
    <n v="0"/>
    <n v="0"/>
    <n v="0"/>
    <m/>
    <d v="2025-06-30T00:00:00"/>
    <d v="2025-06-30T00:00:00"/>
    <m/>
    <m/>
    <m/>
    <n v="0"/>
    <m/>
    <x v="0"/>
    <s v="Credit"/>
    <s v="90 Days from Invoice Date"/>
    <x v="0"/>
  </r>
  <r>
    <s v="DCBWPM555729"/>
    <d v="2025-04-10T00:00:00"/>
    <s v="Hassan Taleb"/>
    <x v="0"/>
    <s v="ALAM ALWEFAQ FOR CONTRACTING CO"/>
    <s v="MP1"/>
    <x v="0"/>
    <x v="6"/>
    <s v="SAR"/>
    <n v="1020088"/>
    <n v="600000"/>
    <n v="1"/>
    <n v="600000"/>
    <n v="600000"/>
    <n v="0"/>
    <n v="0"/>
    <n v="0"/>
    <n v="0"/>
    <m/>
    <d v="2025-06-30T00:00:00"/>
    <d v="2025-06-30T00:00:00"/>
    <m/>
    <m/>
    <m/>
    <n v="0"/>
    <m/>
    <x v="4"/>
    <s v="Credit"/>
    <s v="90 Days from Invoice Date"/>
    <x v="0"/>
  </r>
  <r>
    <s v="TF2513500036"/>
    <d v="2025-05-15T00:00:00"/>
    <s v="Hassan Taleb"/>
    <x v="0"/>
    <s v="ALAM ALWEFAQ FOR CONTRACTING CO"/>
    <s v="KSP"/>
    <x v="0"/>
    <x v="0"/>
    <s v="SAR"/>
    <n v="1020055"/>
    <n v="382850"/>
    <n v="1"/>
    <n v="382850"/>
    <n v="382850"/>
    <n v="0"/>
    <n v="0"/>
    <n v="0"/>
    <n v="0"/>
    <m/>
    <d v="2025-08-31T00:00:00"/>
    <d v="2025-08-31T00:00:00"/>
    <m/>
    <m/>
    <m/>
    <n v="0"/>
    <m/>
    <x v="0"/>
    <s v="Credit"/>
    <s v="120 Days from Invoice Date"/>
    <x v="0"/>
  </r>
  <r>
    <s v="J212031"/>
    <d v="2026-03-08T00:00:00"/>
    <s v="Matthew Mckernan"/>
    <x v="0"/>
    <s v="Al-Assas Specialized Co"/>
    <s v="Opera House"/>
    <x v="4"/>
    <x v="10"/>
    <s v="SAR"/>
    <n v="1020097"/>
    <n v="500000"/>
    <n v="1"/>
    <n v="500000"/>
    <n v="0"/>
    <n v="500000"/>
    <n v="0"/>
    <n v="500000"/>
    <n v="0"/>
    <m/>
    <d v="2026-04-15T00:00:00"/>
    <d v="2026-03-30T00:00:00"/>
    <m/>
    <m/>
    <m/>
    <n v="0"/>
    <m/>
    <x v="3"/>
    <s v="Credit"/>
    <s v="60 Days From the Delivery Date"/>
    <x v="0"/>
  </r>
  <r>
    <s v="TF2319983729"/>
    <d v="2023-07-18T00:00:00"/>
    <s v="Hassan Taleb"/>
    <x v="0"/>
    <s v="ALBABTAIN LEBLANC"/>
    <s v="KSP"/>
    <x v="0"/>
    <x v="0"/>
    <s v="SAR"/>
    <n v="1020055"/>
    <n v="1030466.4"/>
    <n v="1"/>
    <n v="1030466.4"/>
    <n v="1030466.4"/>
    <n v="0"/>
    <n v="0"/>
    <n v="0"/>
    <n v="0"/>
    <m/>
    <d v="2023-11-30T00:00:00"/>
    <d v="2023-11-30T00:00:00"/>
    <m/>
    <m/>
    <m/>
    <n v="0"/>
    <m/>
    <x v="0"/>
    <s v="Credit"/>
    <m/>
    <x v="0"/>
  </r>
  <r>
    <s v="TF2324184984"/>
    <d v="2023-08-29T00:00:00"/>
    <s v="Hassan Taleb"/>
    <x v="0"/>
    <s v="ALBABTAIN LEBLANC"/>
    <s v="KSP"/>
    <x v="0"/>
    <x v="0"/>
    <s v="SAR"/>
    <n v="1020055"/>
    <n v="1223678.6599999999"/>
    <n v="1"/>
    <n v="1223678.6599999999"/>
    <n v="1223678.6599999999"/>
    <n v="0"/>
    <n v="0"/>
    <n v="0"/>
    <n v="0"/>
    <m/>
    <d v="2023-11-30T00:00:00"/>
    <d v="2023-11-30T00:00:00"/>
    <m/>
    <m/>
    <m/>
    <n v="0"/>
    <m/>
    <x v="0"/>
    <s v="Credit"/>
    <s v="60 Days from Delivery Date"/>
    <x v="0"/>
  </r>
  <r>
    <s v="TF2521000022"/>
    <d v="2025-08-03T00:00:00"/>
    <s v="Hassan Taleb"/>
    <x v="0"/>
    <s v="Albarq Alarabi For Logistics Services"/>
    <s v="KSP"/>
    <x v="0"/>
    <x v="0"/>
    <s v="SAR"/>
    <n v="1020055"/>
    <n v="150000"/>
    <n v="1"/>
    <n v="150000"/>
    <n v="150000"/>
    <n v="0"/>
    <n v="0"/>
    <n v="0"/>
    <n v="0"/>
    <m/>
    <d v="2025-10-31T00:00:00"/>
    <d v="2025-10-31T00:00:00"/>
    <m/>
    <m/>
    <m/>
    <n v="0"/>
    <m/>
    <x v="0"/>
    <s v="Credit"/>
    <s v="120 Days from Invoice Date"/>
    <x v="0"/>
  </r>
  <r>
    <s v="TF2322084323"/>
    <d v="2023-08-09T00:00:00"/>
    <s v="Hassan Taleb"/>
    <x v="0"/>
    <s v="ALBILAD CONCRETE PIPES"/>
    <s v="KSP"/>
    <x v="0"/>
    <x v="0"/>
    <s v="SAR"/>
    <n v="1020055"/>
    <n v="951342.78"/>
    <n v="1"/>
    <n v="951342.78"/>
    <n v="852782.07"/>
    <n v="98560.71"/>
    <n v="0"/>
    <n v="98560.71"/>
    <n v="0"/>
    <m/>
    <d v="2024-05-30T00:00:00"/>
    <d v="2024-05-30T00:00:00"/>
    <m/>
    <m/>
    <m/>
    <n v="0"/>
    <m/>
    <x v="0"/>
    <s v="Credit"/>
    <s v="60 Days from Delivery Date"/>
    <x v="0"/>
  </r>
  <r>
    <s v="J210020"/>
    <d v="2025-02-06T00:00:00"/>
    <s v="Hassan Taleb"/>
    <x v="0"/>
    <s v="ALBYT ALTHAKI Trading CO"/>
    <s v="Opera House"/>
    <x v="0"/>
    <x v="0"/>
    <s v="SAR"/>
    <n v="1020055"/>
    <n v="500000"/>
    <n v="1"/>
    <n v="500000"/>
    <n v="500000"/>
    <n v="0"/>
    <n v="0"/>
    <n v="0"/>
    <n v="0"/>
    <m/>
    <d v="2025-04-30T00:00:00"/>
    <d v="2025-04-30T00:00:00"/>
    <m/>
    <m/>
    <m/>
    <n v="0"/>
    <s v="3rd Lot"/>
    <x v="3"/>
    <s v="Credit"/>
    <s v="90 Days from Invoice Date"/>
    <x v="0"/>
  </r>
  <r>
    <s v="TF2513100027"/>
    <d v="2025-05-11T00:00:00"/>
    <s v="Hassan Taleb"/>
    <x v="0"/>
    <s v="ALBYT ALTHAKI TRADING CO"/>
    <s v="KSP"/>
    <x v="0"/>
    <x v="0"/>
    <s v="SAR"/>
    <n v="1020055"/>
    <n v="624264.62"/>
    <n v="1"/>
    <n v="624264.62"/>
    <n v="624264.62"/>
    <n v="0"/>
    <n v="0"/>
    <n v="0"/>
    <n v="0"/>
    <m/>
    <d v="2026-02-28T00:00:00"/>
    <d v="2026-02-28T00:00:00"/>
    <m/>
    <m/>
    <m/>
    <n v="0"/>
    <m/>
    <x v="0"/>
    <s v="Credit"/>
    <s v="120 Days from Appl. Representative Sign"/>
    <x v="0"/>
  </r>
  <r>
    <s v="TF2514700025"/>
    <d v="2025-05-27T00:00:00"/>
    <s v="Hassan Taleb"/>
    <x v="0"/>
    <s v="ALBYT ALTHAKI TRADING CO"/>
    <s v="KSP"/>
    <x v="0"/>
    <x v="0"/>
    <s v="SAR"/>
    <n v="1020055"/>
    <n v="350000"/>
    <n v="1"/>
    <n v="350000"/>
    <n v="350000"/>
    <n v="0"/>
    <n v="0"/>
    <n v="0"/>
    <n v="0"/>
    <m/>
    <d v="2026-02-28T00:00:00"/>
    <d v="2026-02-28T00:00:00"/>
    <m/>
    <m/>
    <m/>
    <n v="0"/>
    <m/>
    <x v="0"/>
    <s v="Credit"/>
    <s v="120 Days from Appl. Representative Sign"/>
    <x v="0"/>
  </r>
  <r>
    <s v="TF2431798460"/>
    <d v="2024-11-14T00:00:00"/>
    <s v="Rabih Makhoul"/>
    <x v="0"/>
    <s v="Al-Dawliyah Al-Ariqah For Contract And Development Company"/>
    <s v="KSP"/>
    <x v="2"/>
    <x v="14"/>
    <s v="SAR"/>
    <n v="1020060"/>
    <n v="1167116.6000000001"/>
    <n v="1"/>
    <n v="1167116.6000000001"/>
    <n v="858548.04"/>
    <n v="308568.56"/>
    <n v="0"/>
    <n v="308568.56"/>
    <n v="0"/>
    <m/>
    <d v="2025-01-31T00:00:00"/>
    <d v="2025-01-04T00:00:00"/>
    <m/>
    <m/>
    <m/>
    <n v="0"/>
    <m/>
    <x v="0"/>
    <s v="Credit"/>
    <s v="45 Days from Invoice Date"/>
    <x v="0"/>
  </r>
  <r>
    <s v="DCBWPM562622"/>
    <d v="2025-07-27T00:00:00"/>
    <s v="Hassan Taleb"/>
    <x v="0"/>
    <s v="ALDREES INDUSTRIAL AND TRADING CO"/>
    <s v="MP1"/>
    <x v="0"/>
    <x v="6"/>
    <s v="SAR"/>
    <n v="1020088"/>
    <n v="150000.01"/>
    <n v="1"/>
    <n v="150000.01"/>
    <n v="150000"/>
    <n v="0.01"/>
    <n v="0"/>
    <n v="0.01"/>
    <n v="0"/>
    <m/>
    <d v="2025-10-31T00:00:00"/>
    <d v="2025-10-31T00:00:00"/>
    <m/>
    <m/>
    <m/>
    <n v="0"/>
    <m/>
    <x v="4"/>
    <s v="Credit"/>
    <s v="120 Days from Invoice Date"/>
    <x v="0"/>
  </r>
  <r>
    <s v="IM2435433002"/>
    <d v="2024-12-19T00:00:00"/>
    <s v="Hassan Taleb"/>
    <x v="0"/>
    <s v="Alfa Laval Arabia for Maintenance Company"/>
    <s v="Oceanarium"/>
    <x v="0"/>
    <x v="0"/>
    <s v="SAR"/>
    <n v="1020055"/>
    <n v="1584497.6"/>
    <n v="1"/>
    <n v="1584497.6"/>
    <n v="1584497.6"/>
    <n v="0"/>
    <n v="0"/>
    <n v="0"/>
    <n v="0"/>
    <m/>
    <d v="2025-05-31T00:00:00"/>
    <d v="2025-03-31T00:00:00"/>
    <m/>
    <m/>
    <m/>
    <n v="0"/>
    <m/>
    <x v="2"/>
    <s v="Credit"/>
    <s v="90 Days from Invoice Date"/>
    <x v="0"/>
  </r>
  <r>
    <s v="J210028"/>
    <d v="2025-02-06T00:00:00"/>
    <s v="Hassan Taleb"/>
    <x v="0"/>
    <s v="Alfa Laval Arabia for Maintenance Company"/>
    <s v="Opera House"/>
    <x v="0"/>
    <x v="0"/>
    <s v="SAR"/>
    <n v="1020055"/>
    <n v="712597.7"/>
    <n v="1"/>
    <n v="712597.7"/>
    <n v="712597.7"/>
    <n v="0"/>
    <n v="0"/>
    <n v="0"/>
    <n v="0"/>
    <m/>
    <d v="2025-08-31T00:00:00"/>
    <d v="2025-08-31T00:00:00"/>
    <m/>
    <m/>
    <m/>
    <n v="0"/>
    <m/>
    <x v="3"/>
    <s v="Credit"/>
    <s v="90 Days from Invoice Date"/>
    <x v="0"/>
  </r>
  <r>
    <s v="J209618"/>
    <d v="2024-12-08T00:00:00"/>
    <s v="Rabih Makhoul"/>
    <x v="0"/>
    <s v="ALFANAR COMPANY"/>
    <s v="Opera House"/>
    <x v="0"/>
    <x v="5"/>
    <s v="SAR"/>
    <n v="1020100"/>
    <n v="400000"/>
    <n v="1"/>
    <n v="400000"/>
    <n v="400000"/>
    <n v="0"/>
    <n v="0"/>
    <n v="0"/>
    <n v="0"/>
    <m/>
    <d v="2025-04-30T00:00:00"/>
    <d v="2025-04-04T00:00:00"/>
    <m/>
    <m/>
    <m/>
    <n v="0"/>
    <s v="Exp 30-04-25; LDS 04-04-2025 / on 03/03"/>
    <x v="3"/>
    <s v="Credit"/>
    <s v="90 Days from Invoice Date"/>
    <x v="0"/>
  </r>
  <r>
    <s v="TF2431898507"/>
    <d v="2024-11-14T00:00:00"/>
    <s v="Rabih Makhoul"/>
    <x v="0"/>
    <s v="Al-Fanar Company"/>
    <s v="KSP"/>
    <x v="2"/>
    <x v="14"/>
    <s v="SAR"/>
    <n v="1020060"/>
    <n v="514797.5"/>
    <n v="1"/>
    <n v="514797.5"/>
    <n v="514797.5"/>
    <n v="0"/>
    <n v="0"/>
    <n v="0"/>
    <n v="0"/>
    <m/>
    <d v="2025-01-31T00:00:00"/>
    <d v="2025-01-04T00:00:00"/>
    <m/>
    <m/>
    <m/>
    <n v="0"/>
    <s v="Submitted to bank on 11/12"/>
    <x v="0"/>
    <s v="Credit"/>
    <s v="45 Days from Invoice Date"/>
    <x v="0"/>
  </r>
  <r>
    <s v="TF2414292651"/>
    <d v="2024-05-23T00:00:00"/>
    <s v="Hassan Taleb"/>
    <x v="0"/>
    <s v="ALFANAR ELECTRICAL SYSTEMS"/>
    <s v="KSP"/>
    <x v="0"/>
    <x v="0"/>
    <s v="SAR"/>
    <n v="1020055"/>
    <n v="1500000"/>
    <n v="1"/>
    <n v="1500000"/>
    <n v="1500000"/>
    <n v="0"/>
    <n v="0"/>
    <n v="0"/>
    <n v="0"/>
    <m/>
    <d v="2024-09-30T00:00:00"/>
    <d v="2024-09-30T00:00:00"/>
    <m/>
    <m/>
    <m/>
    <n v="0"/>
    <m/>
    <x v="0"/>
    <s v="Credit"/>
    <m/>
    <x v="0"/>
  </r>
  <r>
    <s v="TF2324084957"/>
    <d v="2023-08-29T00:00:00"/>
    <s v="Hassan Taleb"/>
    <x v="0"/>
    <s v="ALFANAR ELECTRICAL SYSTEMS"/>
    <s v="KSP"/>
    <x v="0"/>
    <x v="0"/>
    <s v="SAR"/>
    <n v="1020055"/>
    <n v="6674535.2699999996"/>
    <n v="1"/>
    <n v="6674535.2699999996"/>
    <n v="6674535.2699999996"/>
    <n v="0"/>
    <n v="0"/>
    <n v="0"/>
    <n v="0"/>
    <m/>
    <d v="2023-11-30T00:00:00"/>
    <d v="2023-11-30T00:00:00"/>
    <m/>
    <m/>
    <m/>
    <n v="0"/>
    <m/>
    <x v="0"/>
    <s v="Credit"/>
    <s v="60 Days from Delivery Date"/>
    <x v="0"/>
  </r>
  <r>
    <s v="J209005"/>
    <d v="2024-08-15T00:00:00"/>
    <s v="Hassan Taleb"/>
    <x v="0"/>
    <s v="ALFANAR ELECTRICAL SYSTEMS"/>
    <s v="Opera House"/>
    <x v="0"/>
    <x v="0"/>
    <s v="SAR"/>
    <n v="1020055"/>
    <n v="1795147.53"/>
    <n v="1"/>
    <n v="1795147.53"/>
    <n v="1795147.53"/>
    <n v="0"/>
    <n v="0"/>
    <n v="0"/>
    <n v="0"/>
    <m/>
    <d v="2024-11-30T00:00:00"/>
    <d v="2024-11-30T00:00:00"/>
    <m/>
    <m/>
    <m/>
    <n v="0"/>
    <m/>
    <x v="3"/>
    <s v="Credit"/>
    <s v="90 Days from Invoice Date"/>
    <x v="0"/>
  </r>
  <r>
    <s v="J209064"/>
    <d v="2024-08-29T00:00:00"/>
    <s v="Hassan Taleb"/>
    <x v="0"/>
    <s v="ALFANAR ELECTRICAL SYSTEMS"/>
    <s v="Opera House"/>
    <x v="0"/>
    <x v="0"/>
    <s v="SAR"/>
    <n v="1020055"/>
    <n v="1650702.09"/>
    <n v="1"/>
    <n v="1650702.09"/>
    <n v="1650702.09"/>
    <n v="0"/>
    <n v="0"/>
    <n v="0"/>
    <n v="0"/>
    <m/>
    <d v="2025-01-31T00:00:00"/>
    <d v="2025-01-31T00:00:00"/>
    <m/>
    <m/>
    <m/>
    <n v="0"/>
    <m/>
    <x v="3"/>
    <s v="Credit"/>
    <s v="90 Days from Invoice Date"/>
    <x v="0"/>
  </r>
  <r>
    <s v="IM2435433001_Cre"/>
    <d v="2024-12-19T00:00:00"/>
    <s v="Hassan Taleb"/>
    <x v="0"/>
    <s v="ALFANAR ELECTRICAL SYSTEMS"/>
    <s v="Oceanarium"/>
    <x v="0"/>
    <x v="0"/>
    <s v="SAR"/>
    <n v="1020055"/>
    <n v="988870.39"/>
    <n v="1"/>
    <n v="988870.39"/>
    <n v="988870.39"/>
    <n v="0"/>
    <n v="0"/>
    <n v="0"/>
    <n v="0"/>
    <m/>
    <d v="2025-09-30T00:00:00"/>
    <d v="2025-09-30T00:00:00"/>
    <m/>
    <m/>
    <m/>
    <n v="0"/>
    <m/>
    <x v="2"/>
    <s v="Credit"/>
    <s v="90 Days from Invoice Date"/>
    <x v="0"/>
  </r>
  <r>
    <s v="ILC-0840-25-7352"/>
    <d v="2025-02-27T00:00:00"/>
    <s v="Hassan Taleb"/>
    <x v="0"/>
    <s v="ALFANAR ELECTRICAL SYSTEMS"/>
    <s v="RCRC"/>
    <x v="0"/>
    <x v="11"/>
    <s v="SAR"/>
    <n v="1020106"/>
    <n v="2827275"/>
    <n v="1"/>
    <n v="2827275"/>
    <n v="2827275"/>
    <n v="0"/>
    <n v="0"/>
    <n v="0"/>
    <n v="0"/>
    <m/>
    <d v="2025-12-31T00:00:00"/>
    <d v="2025-12-31T00:00:00"/>
    <m/>
    <m/>
    <m/>
    <n v="0"/>
    <m/>
    <x v="6"/>
    <s v="Credit"/>
    <s v="90 Days from Invoice Date"/>
    <x v="0"/>
  </r>
  <r>
    <s v="ILC-0840-25-7406"/>
    <d v="2025-03-06T00:00:00"/>
    <s v="Hassan Taleb"/>
    <x v="0"/>
    <s v="ALFANAR ELECTRICAL SYSTEMS"/>
    <s v="RCRC"/>
    <x v="0"/>
    <x v="11"/>
    <s v="SAR"/>
    <n v="1020106"/>
    <n v="8002636.4299999997"/>
    <n v="1"/>
    <n v="8002636.4299999997"/>
    <n v="8002636.4299999997"/>
    <n v="0"/>
    <n v="0"/>
    <n v="0"/>
    <n v="0"/>
    <m/>
    <d v="2025-08-20T00:00:00"/>
    <d v="2025-08-20T00:00:00"/>
    <m/>
    <m/>
    <m/>
    <n v="0"/>
    <s v="to bank on 04-08 | Exp and LDS 20-08"/>
    <x v="6"/>
    <s v="Credit"/>
    <s v="90 Days from Invoice Date"/>
    <x v="0"/>
  </r>
  <r>
    <s v="DCBWPM553955"/>
    <d v="2025-03-10T00:00:00"/>
    <s v="Hassan Taleb"/>
    <x v="0"/>
    <s v="Alfanar Electrical Systems"/>
    <s v="MP1"/>
    <x v="0"/>
    <x v="6"/>
    <s v="SAR"/>
    <n v="1020088"/>
    <n v="3000000"/>
    <n v="1"/>
    <n v="3000000"/>
    <n v="3000000"/>
    <n v="0"/>
    <n v="0"/>
    <n v="0"/>
    <n v="0"/>
    <m/>
    <d v="2025-10-31T00:00:00"/>
    <d v="2025-10-31T00:00:00"/>
    <m/>
    <m/>
    <m/>
    <n v="0"/>
    <m/>
    <x v="4"/>
    <s v="Credit"/>
    <s v="90 Days from Invoice Date"/>
    <x v="0"/>
  </r>
  <r>
    <s v="J210386"/>
    <d v="2025-04-20T00:00:00"/>
    <s v="Hassan Taleb"/>
    <x v="0"/>
    <s v="ALFANAR ELECTRICAL SYSTEMS"/>
    <s v="Opera House"/>
    <x v="0"/>
    <x v="0"/>
    <s v="SAR"/>
    <n v="1020055"/>
    <n v="2330000.0099999998"/>
    <n v="1"/>
    <n v="2330000.0099999998"/>
    <n v="2330000.0099999998"/>
    <n v="0"/>
    <n v="0"/>
    <n v="0"/>
    <n v="0"/>
    <m/>
    <d v="2025-07-31T00:00:00"/>
    <d v="2025-07-31T00:00:00"/>
    <m/>
    <m/>
    <m/>
    <n v="0"/>
    <m/>
    <x v="3"/>
    <s v="Credit"/>
    <s v="90 Days from Invoice Date"/>
    <x v="0"/>
  </r>
  <r>
    <s v="J210611"/>
    <d v="2025-06-01T00:00:00"/>
    <s v="Hassan Taleb"/>
    <x v="0"/>
    <s v="ALFANAR ELECTRICAL SYSTEMS"/>
    <s v="Opera House"/>
    <x v="0"/>
    <x v="0"/>
    <s v="SAR"/>
    <n v="1020055"/>
    <n v="1539808.94"/>
    <n v="1"/>
    <n v="1539808.94"/>
    <n v="1539808.9400000002"/>
    <n v="0"/>
    <n v="0"/>
    <n v="0"/>
    <n v="0"/>
    <m/>
    <d v="2025-12-31T00:00:00"/>
    <d v="2025-12-31T00:00:00"/>
    <m/>
    <m/>
    <m/>
    <n v="0"/>
    <m/>
    <x v="3"/>
    <s v="Credit"/>
    <s v="120 Days from Invoice Date"/>
    <x v="0"/>
  </r>
  <r>
    <s v="TF2514700030"/>
    <d v="2025-05-27T00:00:00"/>
    <s v="Hassan Taleb"/>
    <x v="0"/>
    <s v="ALFANAR ELECTRICAL SYSTEMS"/>
    <s v="KSP"/>
    <x v="0"/>
    <x v="0"/>
    <s v="SAR"/>
    <n v="1020055"/>
    <n v="450000"/>
    <n v="1"/>
    <n v="450000"/>
    <n v="450000"/>
    <n v="0"/>
    <n v="0"/>
    <n v="0"/>
    <n v="0"/>
    <m/>
    <d v="2025-08-31T00:00:00"/>
    <d v="2025-08-31T00:00:00"/>
    <m/>
    <m/>
    <m/>
    <n v="0"/>
    <m/>
    <x v="0"/>
    <s v="Credit"/>
    <s v="120 Days from Invoice Date"/>
    <x v="0"/>
  </r>
  <r>
    <s v="TF2517400070"/>
    <d v="2025-06-23T00:00:00"/>
    <s v="Hassan Taleb"/>
    <x v="0"/>
    <s v="ALFANAR ELECTRICAL SYSTEMS"/>
    <s v="KSP"/>
    <x v="0"/>
    <x v="5"/>
    <s v="SAR"/>
    <n v="1020100"/>
    <n v="500000"/>
    <n v="1"/>
    <n v="500000"/>
    <n v="500000"/>
    <n v="0"/>
    <n v="0"/>
    <n v="0"/>
    <n v="0"/>
    <m/>
    <d v="2025-10-31T00:00:00"/>
    <d v="2025-10-31T00:00:00"/>
    <m/>
    <m/>
    <m/>
    <n v="0"/>
    <s v="to bank on 08-09 | EXP &amp; LDS 31-10"/>
    <x v="0"/>
    <s v="Credit"/>
    <s v="120 Days from Invoice Date"/>
    <x v="0"/>
  </r>
  <r>
    <s v="ILC-0840-25-7992"/>
    <d v="2025-07-20T00:00:00"/>
    <s v="Hassan Taleb"/>
    <x v="0"/>
    <s v="ALFANAR ELECTRICAL SYSTEMS"/>
    <s v="RCRC"/>
    <x v="0"/>
    <x v="11"/>
    <s v="SAR"/>
    <n v="1020106"/>
    <n v="4000010.22"/>
    <n v="1"/>
    <n v="4000010.22"/>
    <n v="4000010.22"/>
    <n v="0"/>
    <n v="0"/>
    <n v="0"/>
    <n v="0"/>
    <m/>
    <d v="2025-12-31T00:00:00"/>
    <d v="2025-12-31T00:00:00"/>
    <m/>
    <m/>
    <m/>
    <n v="0"/>
    <s v="to bank on 05-10 | EXP &amp; LDS - 31-12-25"/>
    <x v="6"/>
    <s v="Credit"/>
    <s v="90 Days from Invoice Date"/>
    <x v="0"/>
  </r>
  <r>
    <s v="DCBWPM562626"/>
    <d v="2025-07-24T00:00:00"/>
    <s v="Hassan Taleb"/>
    <x v="0"/>
    <s v="ALFANAR ELECTRICAL SYSTEMS"/>
    <s v="MP1"/>
    <x v="0"/>
    <x v="6"/>
    <s v="SAR"/>
    <n v="1020088"/>
    <n v="546393.94999999995"/>
    <n v="1"/>
    <n v="546393.94999999995"/>
    <n v="546393.94999999995"/>
    <n v="0"/>
    <n v="0"/>
    <n v="0"/>
    <n v="0"/>
    <m/>
    <d v="2025-10-31T00:00:00"/>
    <d v="2025-10-31T00:00:00"/>
    <m/>
    <m/>
    <m/>
    <n v="0"/>
    <m/>
    <x v="4"/>
    <s v="Credit"/>
    <s v="120 Days from Invoice Date"/>
    <x v="0"/>
  </r>
  <r>
    <s v="TF2521100101"/>
    <d v="2025-07-31T00:00:00"/>
    <s v="Hassan Taleb"/>
    <x v="0"/>
    <s v="ALFANAR ELECTRICAL SYSTEMS"/>
    <s v="KSP"/>
    <x v="0"/>
    <x v="0"/>
    <s v="SAR"/>
    <n v="1020055"/>
    <n v="500000"/>
    <n v="1"/>
    <n v="500000"/>
    <n v="500000"/>
    <n v="0"/>
    <n v="0"/>
    <n v="0"/>
    <n v="0"/>
    <m/>
    <d v="2025-12-31T00:00:00"/>
    <d v="2025-12-31T00:00:00"/>
    <m/>
    <m/>
    <m/>
    <n v="0"/>
    <s v="to bank on 30-10 | EXP &amp; LDS 31-12"/>
    <x v="0"/>
    <s v="Credit"/>
    <s v="120 Days from Invoice Date"/>
    <x v="0"/>
  </r>
  <r>
    <s v="DCBWPM563814"/>
    <d v="2025-08-13T00:00:00"/>
    <s v="Tareeq Telmasani"/>
    <x v="0"/>
    <s v="ALFANAR ELECTRICAL SYSTEMS"/>
    <s v="CEER"/>
    <x v="0"/>
    <x v="3"/>
    <s v="SAR"/>
    <n v="1020091"/>
    <n v="6250000"/>
    <n v="1"/>
    <n v="6250000"/>
    <n v="6250000"/>
    <n v="0"/>
    <n v="0"/>
    <n v="0"/>
    <n v="0"/>
    <m/>
    <d v="2025-11-30T00:00:00"/>
    <d v="2025-11-30T00:00:00"/>
    <m/>
    <m/>
    <m/>
    <n v="0"/>
    <m/>
    <x v="4"/>
    <s v="Credit"/>
    <s v="90 Days from Appl. Representative Sign"/>
    <x v="0"/>
  </r>
  <r>
    <s v="ILC-0840-25-8161"/>
    <d v="2025-08-26T00:00:00"/>
    <s v="Hassan Taleb"/>
    <x v="0"/>
    <s v="ALFANAR ELECTRICAL SYSTEMS"/>
    <s v="RCRC"/>
    <x v="0"/>
    <x v="11"/>
    <s v="SAR"/>
    <n v="1020106"/>
    <n v="1000000"/>
    <n v="1"/>
    <n v="1000000"/>
    <n v="1000000"/>
    <n v="0"/>
    <n v="0"/>
    <n v="0"/>
    <n v="0"/>
    <m/>
    <d v="2025-11-30T00:00:00"/>
    <d v="2025-11-30T00:00:00"/>
    <m/>
    <m/>
    <m/>
    <n v="0"/>
    <m/>
    <x v="6"/>
    <s v="Credit"/>
    <s v="90 Days from Invoice Date"/>
    <x v="0"/>
  </r>
  <r>
    <s v="IM2435433001"/>
    <d v="2024-12-19T00:00:00"/>
    <s v="Hassan Taleb"/>
    <x v="0"/>
    <s v="ALFANAR ELECTRICAL SYSTEMS"/>
    <s v="Cash"/>
    <x v="0"/>
    <x v="0"/>
    <s v="SAR"/>
    <n v="1020055"/>
    <n v="150129.60999999999"/>
    <n v="1"/>
    <n v="150129.60999999999"/>
    <n v="150129.60999999999"/>
    <n v="0"/>
    <n v="0"/>
    <n v="0"/>
    <n v="0"/>
    <m/>
    <d v="2025-09-30T00:00:00"/>
    <d v="2025-09-30T00:00:00"/>
    <m/>
    <m/>
    <m/>
    <n v="0"/>
    <m/>
    <x v="2"/>
    <s v="Cash"/>
    <s v="90 Days from Invoice Date"/>
    <x v="0"/>
  </r>
  <r>
    <s v="ILC-0840-25-8471"/>
    <d v="2025-10-29T00:00:00"/>
    <s v="AbdulAziz Eraiba Fawzi"/>
    <x v="0"/>
    <s v="ALFANAR ELECTRICAL SYSTEMS"/>
    <s v="RCRC"/>
    <x v="0"/>
    <x v="11"/>
    <s v="SAR"/>
    <n v="1020106"/>
    <n v="2000000.93"/>
    <n v="1"/>
    <n v="2000000.93"/>
    <n v="2000000.93"/>
    <n v="0"/>
    <n v="0"/>
    <n v="0"/>
    <n v="0"/>
    <m/>
    <d v="2025-12-31T00:00:00"/>
    <d v="2025-12-31T00:00:00"/>
    <m/>
    <m/>
    <m/>
    <n v="0"/>
    <m/>
    <x v="6"/>
    <s v="Credit"/>
    <s v="90 Days from Applicant representative sign on Invoice"/>
    <x v="0"/>
  </r>
  <r>
    <s v="JLC7000007"/>
    <d v="2026-01-01T00:00:00"/>
    <s v="Luis Puente"/>
    <x v="0"/>
    <s v="ALFANAR ELECTRICAL SYSTEMS"/>
    <s v="Oceanarium"/>
    <x v="0"/>
    <x v="7"/>
    <s v="SAR"/>
    <n v="1020096"/>
    <n v="1044853.45"/>
    <n v="1"/>
    <n v="1044853.45"/>
    <n v="0"/>
    <n v="1044853.45"/>
    <n v="567743.27"/>
    <n v="477110.18"/>
    <n v="0"/>
    <s v="02/08/2026"/>
    <d v="2026-10-01T00:00:00"/>
    <d v="2026-10-01T00:00:00"/>
    <m/>
    <m/>
    <m/>
    <n v="0"/>
    <m/>
    <x v="1"/>
    <s v="Credit"/>
    <s v="90 Days from Appln Rep Sign on Invoice"/>
    <x v="1"/>
  </r>
  <r>
    <s v="ILC-0840-26-8820"/>
    <d v="2026-01-11T00:00:00"/>
    <s v="Hassan Taleb"/>
    <x v="0"/>
    <s v="Alfanar Electrical Systems"/>
    <s v="RCRC"/>
    <x v="0"/>
    <x v="11"/>
    <s v="SAR"/>
    <n v="1020106"/>
    <n v="1500000"/>
    <n v="1"/>
    <n v="1500000"/>
    <n v="1478254.88"/>
    <n v="21745.119999999999"/>
    <n v="0"/>
    <n v="21745.119999999999"/>
    <n v="0"/>
    <m/>
    <d v="2026-05-31T00:00:00"/>
    <d v="2026-05-31T00:00:00"/>
    <m/>
    <m/>
    <m/>
    <n v="0"/>
    <m/>
    <x v="6"/>
    <s v="Credit"/>
    <s v="90 Days from Applicant representative sign on Invoice"/>
    <x v="1"/>
  </r>
  <r>
    <s v="TF2308980795"/>
    <d v="2023-03-30T00:00:00"/>
    <s v="Bassam Marawie"/>
    <x v="0"/>
    <s v="ALFANAR ELECTRICAL SYSTEMS P.O.BOX"/>
    <s v="KSP"/>
    <x v="0"/>
    <x v="12"/>
    <s v="SAR"/>
    <n v="1020001"/>
    <n v="5705150"/>
    <n v="1"/>
    <n v="5705150"/>
    <n v="5705150"/>
    <n v="0"/>
    <n v="0"/>
    <n v="0"/>
    <n v="0"/>
    <m/>
    <d v="2023-11-30T00:00:00"/>
    <d v="2023-11-30T00:00:00"/>
    <m/>
    <m/>
    <m/>
    <n v="0"/>
    <m/>
    <x v="0"/>
    <s v="Credit"/>
    <m/>
    <x v="0"/>
  </r>
  <r>
    <s v="TF2308980792"/>
    <d v="2023-03-30T00:00:00"/>
    <s v="Bassam Marawie"/>
    <x v="0"/>
    <s v="ALFANAR ELECTRICAL SYSTEMS P.O.BOX"/>
    <s v="KSP"/>
    <x v="0"/>
    <x v="13"/>
    <s v="SAR"/>
    <n v="1020052"/>
    <n v="4330900"/>
    <n v="1"/>
    <n v="4330900"/>
    <n v="4330900"/>
    <n v="0"/>
    <n v="0"/>
    <n v="0"/>
    <n v="0"/>
    <m/>
    <d v="2023-07-31T00:00:00"/>
    <d v="2023-07-31T00:00:00"/>
    <m/>
    <m/>
    <m/>
    <n v="0"/>
    <m/>
    <x v="0"/>
    <s v="Credit"/>
    <m/>
    <x v="0"/>
  </r>
  <r>
    <s v="TF2500600007"/>
    <d v="2025-01-07T00:00:00"/>
    <s v="Hassan Taleb"/>
    <x v="0"/>
    <s v="ALFANAR ELECTRICAL SYSTEMS."/>
    <s v="KSP"/>
    <x v="0"/>
    <x v="0"/>
    <s v="SAR"/>
    <n v="1020055"/>
    <n v="3000000"/>
    <n v="1"/>
    <n v="3000000"/>
    <n v="3000000"/>
    <n v="0"/>
    <n v="0"/>
    <n v="0"/>
    <n v="0"/>
    <m/>
    <d v="2025-03-31T00:00:00"/>
    <d v="2025-03-31T00:00:00"/>
    <m/>
    <m/>
    <m/>
    <n v="0"/>
    <m/>
    <x v="0"/>
    <s v="Credit"/>
    <s v="90 Days from Invoice Date"/>
    <x v="0"/>
  </r>
  <r>
    <s v="TF2502300033"/>
    <d v="2025-01-23T00:00:00"/>
    <s v="Hassan Taleb"/>
    <x v="0"/>
    <s v="ALFANAR ELECTRICAL SYSTEMS."/>
    <s v="KSP"/>
    <x v="0"/>
    <x v="0"/>
    <s v="SAR"/>
    <n v="1020055"/>
    <n v="1500000"/>
    <n v="1"/>
    <n v="1500000"/>
    <n v="1457868.77"/>
    <n v="42131.23"/>
    <n v="0"/>
    <n v="42131.23"/>
    <n v="0"/>
    <m/>
    <d v="2025-04-30T00:00:00"/>
    <d v="2025-04-30T00:00:00"/>
    <m/>
    <m/>
    <m/>
    <n v="0"/>
    <m/>
    <x v="0"/>
    <s v="Credit"/>
    <s v="90 Days from Invoice Date"/>
    <x v="0"/>
  </r>
  <r>
    <s v="TF2507700061"/>
    <d v="2025-03-18T00:00:00"/>
    <s v="Rabih Makhoul"/>
    <x v="0"/>
    <s v="ALFANAR ELECTRICAL SYSTEMS."/>
    <s v="KSP"/>
    <x v="0"/>
    <x v="5"/>
    <s v="SAR"/>
    <n v="1020100"/>
    <n v="400000"/>
    <n v="1"/>
    <n v="400000"/>
    <n v="400000"/>
    <n v="0"/>
    <n v="0"/>
    <n v="0"/>
    <n v="0"/>
    <m/>
    <d v="2025-08-31T00:00:00"/>
    <d v="2025-08-31T00:00:00"/>
    <m/>
    <m/>
    <m/>
    <n v="0"/>
    <s v="Exp: 31-08 | LDS: 31-08 | to bank on 29-06"/>
    <x v="0"/>
    <s v="Credit"/>
    <s v="90 Days from Invoice Date"/>
    <x v="0"/>
  </r>
  <r>
    <s v="DCBWPM555618"/>
    <d v="2025-04-10T00:00:00"/>
    <s v="Hassan Taleb"/>
    <x v="0"/>
    <s v="ALFANAR ELECTRICAL SYSTEMS."/>
    <s v="MP1"/>
    <x v="0"/>
    <x v="6"/>
    <s v="SAR"/>
    <n v="1020088"/>
    <n v="1095964"/>
    <n v="1"/>
    <n v="1095964"/>
    <n v="1095964"/>
    <n v="0"/>
    <n v="0"/>
    <n v="0"/>
    <n v="0"/>
    <m/>
    <d v="2025-06-30T00:00:00"/>
    <d v="2025-06-30T00:00:00"/>
    <m/>
    <m/>
    <m/>
    <n v="0"/>
    <m/>
    <x v="4"/>
    <s v="Credit"/>
    <s v="60 Days from Invoice Date"/>
    <x v="0"/>
  </r>
  <r>
    <s v="TF2331887165"/>
    <d v="2023-11-15T00:00:00"/>
    <s v="Hassan Taleb"/>
    <x v="0"/>
    <s v="ALFANAR SYSTEM"/>
    <s v="KSP"/>
    <x v="0"/>
    <x v="0"/>
    <s v="SAR"/>
    <n v="1020055"/>
    <n v="1960000"/>
    <n v="1"/>
    <n v="1960000"/>
    <n v="1960000"/>
    <n v="0"/>
    <n v="0"/>
    <n v="0"/>
    <n v="0"/>
    <m/>
    <d v="2024-01-31T00:00:00"/>
    <d v="2024-01-31T00:00:00"/>
    <m/>
    <m/>
    <m/>
    <n v="0"/>
    <m/>
    <x v="0"/>
    <s v="Credit"/>
    <m/>
    <x v="0"/>
  </r>
  <r>
    <s v="DCBWPM554913"/>
    <d v="2025-03-27T00:00:00"/>
    <s v="Kotb - Morganti"/>
    <x v="0"/>
    <s v="Al-Fares Advanced Contracting Company"/>
    <s v="MP1"/>
    <x v="3"/>
    <x v="4"/>
    <s v="SAR"/>
    <n v="1020070"/>
    <n v="3262947"/>
    <n v="1"/>
    <n v="3262947"/>
    <n v="3262947"/>
    <n v="0"/>
    <n v="0"/>
    <n v="0"/>
    <n v="0"/>
    <m/>
    <d v="2025-05-31T00:00:00"/>
    <d v="2025-04-30T00:00:00"/>
    <m/>
    <m/>
    <m/>
    <n v="0"/>
    <m/>
    <x v="4"/>
    <s v="Credit"/>
    <s v="Sight"/>
    <x v="0"/>
  </r>
  <r>
    <s v="J208455"/>
    <d v="2024-06-13T00:00:00"/>
    <s v="Khaled Sultan"/>
    <x v="0"/>
    <s v="ALFARRA GRES S.L.U"/>
    <s v="Opera House"/>
    <x v="2"/>
    <x v="15"/>
    <s v="EUR"/>
    <n v="1020068"/>
    <n v="217790.5"/>
    <n v="4.3951000000000002"/>
    <n v="957211.02655000007"/>
    <n v="917271.48402500013"/>
    <n v="39939.54"/>
    <n v="0"/>
    <n v="39939.54"/>
    <n v="0"/>
    <m/>
    <d v="2024-09-30T00:00:00"/>
    <d v="2024-09-30T00:00:00"/>
    <m/>
    <m/>
    <m/>
    <n v="0"/>
    <m/>
    <x v="3"/>
    <s v="Credit"/>
    <s v="Sight"/>
    <x v="0"/>
  </r>
  <r>
    <s v="DCBWPM562628"/>
    <d v="2025-07-24T00:00:00"/>
    <s v="Hassan Taleb"/>
    <x v="0"/>
    <s v="ALGHAMDI COMPANY FOR SANITARY WARES"/>
    <s v="MP1"/>
    <x v="0"/>
    <x v="6"/>
    <s v="SAR"/>
    <n v="1020088"/>
    <n v="400000.94"/>
    <n v="1"/>
    <n v="400000.94"/>
    <n v="378800.2"/>
    <n v="21200.74"/>
    <n v="0"/>
    <n v="21200.74"/>
    <n v="0"/>
    <m/>
    <d v="2026-04-30T00:00:00"/>
    <d v="2026-04-30T00:00:00"/>
    <m/>
    <m/>
    <m/>
    <n v="0"/>
    <m/>
    <x v="4"/>
    <s v="Credit"/>
    <s v="120 Days from Invoice Date"/>
    <x v="0"/>
  </r>
  <r>
    <s v="DCBWPM166267"/>
    <d v="2026-06-04T00:00:00"/>
    <s v="Hassan Taleb"/>
    <x v="0"/>
    <s v="ALGHAMDI COMPANY FOR SANITARY WARES"/>
    <s v="MP1"/>
    <x v="0"/>
    <x v="6"/>
    <s v="SAR"/>
    <n v="1020088"/>
    <n v="350000"/>
    <n v="1"/>
    <n v="350000"/>
    <n v="0"/>
    <n v="350000"/>
    <n v="0"/>
    <n v="350000"/>
    <n v="0"/>
    <m/>
    <d v="2026-08-31T00:00:00"/>
    <d v="2026-08-31T00:00:00"/>
    <m/>
    <m/>
    <m/>
    <n v="0"/>
    <m/>
    <x v="4"/>
    <s v="Credit"/>
    <s v="120 Days from Applicant representative sign on Invoice"/>
    <x v="1"/>
  </r>
  <r>
    <s v="J209161"/>
    <d v="2024-09-16T00:00:00"/>
    <s v="Hassan Taleb"/>
    <x v="0"/>
    <s v="AL-HADBANIA TRADING CO"/>
    <s v="Opera House"/>
    <x v="0"/>
    <x v="0"/>
    <s v="SAR"/>
    <n v="1020055"/>
    <n v="500000"/>
    <n v="1"/>
    <n v="500000"/>
    <n v="500000"/>
    <n v="0"/>
    <n v="0"/>
    <n v="0"/>
    <n v="0"/>
    <m/>
    <d v="2025-01-31T00:00:00"/>
    <d v="2025-01-04T00:00:00"/>
    <m/>
    <m/>
    <m/>
    <n v="0"/>
    <m/>
    <x v="3"/>
    <s v="Credit"/>
    <s v="90 Days from Invoice Date"/>
    <x v="0"/>
  </r>
  <r>
    <s v="TF2311581357"/>
    <d v="2023-04-25T00:00:00"/>
    <s v="Hassan Taleb"/>
    <x v="0"/>
    <s v="AL-HADBANIA TRADING CO."/>
    <s v="KSP"/>
    <x v="0"/>
    <x v="0"/>
    <s v="SAR"/>
    <n v="1020055"/>
    <n v="1603107.56"/>
    <n v="1"/>
    <n v="1603107.56"/>
    <n v="1603107.56"/>
    <n v="0"/>
    <n v="0"/>
    <n v="0"/>
    <n v="0"/>
    <m/>
    <d v="2023-06-30T00:00:00"/>
    <d v="2023-06-30T00:00:00"/>
    <m/>
    <m/>
    <m/>
    <n v="0"/>
    <m/>
    <x v="0"/>
    <s v="Credit"/>
    <m/>
    <x v="0"/>
  </r>
  <r>
    <s v="TF2324185001"/>
    <d v="2023-08-30T00:00:00"/>
    <s v="Hassan Taleb"/>
    <x v="0"/>
    <s v="AL-HADBANIA TRADING CO."/>
    <s v="KSP"/>
    <x v="0"/>
    <x v="0"/>
    <s v="SAR"/>
    <n v="1020055"/>
    <n v="1000000"/>
    <n v="1"/>
    <n v="1000000"/>
    <n v="1000000"/>
    <n v="0"/>
    <n v="0"/>
    <n v="0"/>
    <n v="0"/>
    <m/>
    <d v="2023-11-30T00:00:00"/>
    <d v="2023-11-30T00:00:00"/>
    <m/>
    <m/>
    <m/>
    <n v="0"/>
    <m/>
    <x v="0"/>
    <s v="Credit"/>
    <m/>
    <x v="0"/>
  </r>
  <r>
    <s v="TF2521100048"/>
    <d v="2025-07-31T00:00:00"/>
    <s v="Hassan Taleb"/>
    <x v="0"/>
    <s v="AL-HADBANIA TRADING CO."/>
    <s v="KSP"/>
    <x v="0"/>
    <x v="0"/>
    <s v="SAR"/>
    <n v="1020055"/>
    <n v="250000"/>
    <n v="1"/>
    <n v="250000"/>
    <n v="250000"/>
    <n v="0"/>
    <n v="0"/>
    <n v="0"/>
    <n v="0"/>
    <m/>
    <d v="2025-12-31T00:00:00"/>
    <d v="2025-12-31T00:00:00"/>
    <m/>
    <m/>
    <m/>
    <n v="0"/>
    <m/>
    <x v="0"/>
    <s v="Credit"/>
    <s v="120 Days from Invoice Date"/>
    <x v="0"/>
  </r>
  <r>
    <s v="TF2508300052"/>
    <d v="2025-03-23T00:00:00"/>
    <s v="Hassan Taleb"/>
    <x v="0"/>
    <s v="AL-HADBANIA TRADING COMPANY."/>
    <s v="KSP"/>
    <x v="0"/>
    <x v="0"/>
    <s v="SAR"/>
    <n v="1020055"/>
    <n v="300000.5"/>
    <n v="1"/>
    <n v="300000.5"/>
    <n v="300000"/>
    <n v="0.5"/>
    <n v="0"/>
    <n v="0.5"/>
    <n v="0"/>
    <m/>
    <d v="2025-06-30T00:00:00"/>
    <d v="2025-06-30T00:00:00"/>
    <m/>
    <m/>
    <m/>
    <n v="0"/>
    <m/>
    <x v="0"/>
    <s v="Credit"/>
    <s v="90 Days from Invoice Date"/>
    <x v="0"/>
  </r>
  <r>
    <s v="IM2434733007"/>
    <d v="2024-12-12T00:00:00"/>
    <s v="Hassan Taleb"/>
    <x v="0"/>
    <s v="AL-HADBANIA TRADING COMPANY."/>
    <s v="Oceanarium"/>
    <x v="0"/>
    <x v="0"/>
    <s v="SAR"/>
    <n v="1020055"/>
    <n v="1500000"/>
    <n v="1"/>
    <n v="1500000"/>
    <n v="1500000"/>
    <n v="0"/>
    <n v="0"/>
    <n v="0"/>
    <n v="0"/>
    <m/>
    <d v="2025-03-31T00:00:00"/>
    <d v="2025-03-31T00:00:00"/>
    <m/>
    <m/>
    <m/>
    <n v="0"/>
    <m/>
    <x v="2"/>
    <s v="Credit"/>
    <s v="90 Days from Invoice Date"/>
    <x v="0"/>
  </r>
  <r>
    <s v="TF2513500038"/>
    <d v="2025-05-15T00:00:00"/>
    <s v="Hassan Taleb"/>
    <x v="0"/>
    <s v="ALI MANEA ALYAMI TRADING EST."/>
    <s v="KSP"/>
    <x v="0"/>
    <x v="0"/>
    <s v="SAR"/>
    <n v="1020055"/>
    <n v="221169.27"/>
    <n v="1"/>
    <n v="221169.27"/>
    <n v="221169.27"/>
    <n v="0"/>
    <n v="0"/>
    <n v="0"/>
    <n v="0"/>
    <m/>
    <d v="2025-10-31T00:00:00"/>
    <d v="2025-10-31T00:00:00"/>
    <m/>
    <m/>
    <m/>
    <n v="0"/>
    <s v="to bank on 08-09 | EXP &amp; LDS 31-10"/>
    <x v="0"/>
    <s v="Credit"/>
    <s v="120 Days from Invoice Date"/>
    <x v="0"/>
  </r>
  <r>
    <s v="DCBWPM558785"/>
    <d v="2025-06-02T00:00:00"/>
    <s v="Hassan Taleb"/>
    <x v="0"/>
    <s v="ALI MANEA ALYAMI TRADING EST."/>
    <s v="MP1"/>
    <x v="0"/>
    <x v="6"/>
    <s v="SAR"/>
    <n v="1020088"/>
    <n v="650000"/>
    <n v="1"/>
    <n v="650000"/>
    <n v="650000"/>
    <n v="0"/>
    <n v="0"/>
    <n v="0"/>
    <n v="0"/>
    <m/>
    <d v="2025-08-31T00:00:00"/>
    <d v="2025-08-31T00:00:00"/>
    <m/>
    <m/>
    <m/>
    <n v="0"/>
    <m/>
    <x v="4"/>
    <s v="Credit"/>
    <s v="120 Days from Invoice Date"/>
    <x v="0"/>
  </r>
  <r>
    <s v="DCBWPM163961"/>
    <d v="2026-04-06T00:00:00"/>
    <s v="Hassan Taleb"/>
    <x v="0"/>
    <s v="Ali Manea Alyami Trading Est."/>
    <s v="MP1"/>
    <x v="0"/>
    <x v="6"/>
    <s v="SAR"/>
    <n v="1020088"/>
    <n v="450000"/>
    <n v="1"/>
    <n v="450000"/>
    <n v="0"/>
    <n v="450000"/>
    <n v="0"/>
    <n v="450000"/>
    <n v="450000"/>
    <m/>
    <d v="2026-06-30T00:00:00"/>
    <d v="2026-06-30T00:00:00"/>
    <m/>
    <m/>
    <m/>
    <n v="0"/>
    <m/>
    <x v="4"/>
    <s v="Credit"/>
    <s v="90 Days from App Rep Sign on Invoice"/>
    <x v="1"/>
  </r>
  <r>
    <s v="DCBWPM166294"/>
    <d v="2026-06-04T00:00:00"/>
    <s v="Hassan Taleb"/>
    <x v="0"/>
    <s v="ALI MANEA ALYAMI TRADING EST."/>
    <s v="MP1"/>
    <x v="0"/>
    <x v="6"/>
    <s v="SAR"/>
    <n v="1020088"/>
    <n v="200000"/>
    <n v="1"/>
    <n v="200000"/>
    <n v="0"/>
    <n v="200000"/>
    <n v="0"/>
    <n v="200000"/>
    <n v="0"/>
    <m/>
    <d v="2026-08-31T00:00:00"/>
    <d v="2026-08-31T00:00:00"/>
    <m/>
    <m/>
    <m/>
    <n v="0"/>
    <m/>
    <x v="4"/>
    <s v="Credit"/>
    <s v="120 Days from Applicant representative sign on Invoice"/>
    <x v="1"/>
  </r>
  <r>
    <s v="DCBWPM160340"/>
    <d v="2026-01-18T00:00:00"/>
    <s v="Haytham Salem"/>
    <x v="0"/>
    <s v="AlJammaz Hydrotek"/>
    <s v="T5"/>
    <x v="6"/>
    <x v="3"/>
    <s v="SAR"/>
    <n v="1020091"/>
    <n v="1269458.03"/>
    <n v="1"/>
    <n v="1269458.03"/>
    <n v="0"/>
    <n v="1269458.03"/>
    <n v="0"/>
    <n v="1269458.03"/>
    <n v="0"/>
    <m/>
    <d v="2026-06-01T00:00:00"/>
    <d v="2026-05-10T00:00:00"/>
    <m/>
    <m/>
    <m/>
    <n v="0"/>
    <m/>
    <x v="4"/>
    <s v="Credit"/>
    <s v="45 Days from Invoice Date"/>
    <x v="1"/>
  </r>
  <r>
    <s v="DCBWPM563019"/>
    <d v="2025-07-31T00:00:00"/>
    <s v="Tareeq Telmasani"/>
    <x v="0"/>
    <s v="Alkhorayef Commercial co."/>
    <s v="CEER"/>
    <x v="0"/>
    <x v="3"/>
    <s v="SAR"/>
    <n v="1020091"/>
    <n v="2080350"/>
    <n v="1"/>
    <n v="2080350"/>
    <n v="2080350"/>
    <n v="0"/>
    <n v="0"/>
    <n v="0"/>
    <n v="0"/>
    <m/>
    <d v="2025-10-31T00:00:00"/>
    <d v="2025-10-31T00:00:00"/>
    <m/>
    <m/>
    <m/>
    <n v="0"/>
    <m/>
    <x v="4"/>
    <s v="Credit"/>
    <s v="120 Days from Appl. Representative Sign"/>
    <x v="0"/>
  </r>
  <r>
    <s v="J211806"/>
    <d v="2026-01-18T00:00:00"/>
    <s v="Matthew Mckernan"/>
    <x v="0"/>
    <s v="Alkhorayef Commercial Company"/>
    <s v="Opera House"/>
    <x v="4"/>
    <x v="10"/>
    <s v="SAR"/>
    <n v="1020097"/>
    <n v="800000"/>
    <n v="1"/>
    <n v="800000"/>
    <n v="800000"/>
    <n v="0"/>
    <n v="0"/>
    <n v="0"/>
    <n v="0"/>
    <m/>
    <d v="2026-02-28T00:00:00"/>
    <d v="2026-02-07T00:00:00"/>
    <m/>
    <m/>
    <m/>
    <n v="0"/>
    <m/>
    <x v="3"/>
    <s v="Credit"/>
    <s v="90 Days from Delivery Date"/>
    <x v="0"/>
  </r>
  <r>
    <s v="TF2322084325"/>
    <d v="2023-08-09T00:00:00"/>
    <s v="Hassan Taleb"/>
    <x v="0"/>
    <s v="ALMABANI ALUMUMIYYAH LTD"/>
    <s v="KSP"/>
    <x v="0"/>
    <x v="0"/>
    <s v="SAR"/>
    <n v="1020055"/>
    <n v="400000"/>
    <n v="1"/>
    <n v="400000"/>
    <n v="400000"/>
    <n v="0"/>
    <n v="0"/>
    <n v="0"/>
    <n v="0"/>
    <m/>
    <d v="2023-10-31T00:00:00"/>
    <d v="2023-10-31T00:00:00"/>
    <m/>
    <m/>
    <m/>
    <n v="0"/>
    <m/>
    <x v="0"/>
    <s v="Credit"/>
    <m/>
    <x v="0"/>
  </r>
  <r>
    <s v="TF2509900021"/>
    <d v="2025-04-14T00:00:00"/>
    <s v="Rabih Makhoul"/>
    <x v="0"/>
    <s v="Almansha Almubasher Trading Company"/>
    <s v="KSP"/>
    <x v="0"/>
    <x v="5"/>
    <s v="SAR"/>
    <n v="1020100"/>
    <n v="150000"/>
    <n v="1"/>
    <n v="150000"/>
    <n v="150000"/>
    <n v="0"/>
    <n v="0"/>
    <n v="0"/>
    <n v="0"/>
    <m/>
    <d v="2025-06-30T00:00:00"/>
    <d v="2025-06-30T00:00:00"/>
    <m/>
    <m/>
    <m/>
    <n v="0"/>
    <m/>
    <x v="0"/>
    <s v="Credit"/>
    <s v="90 Days from Invoice Date"/>
    <x v="0"/>
  </r>
  <r>
    <s v="TF2517400045"/>
    <d v="2025-06-23T00:00:00"/>
    <s v="Hassan Taleb"/>
    <x v="0"/>
    <s v="Almansha Almubasher Trading Company"/>
    <s v="KSP"/>
    <x v="0"/>
    <x v="5"/>
    <s v="SAR"/>
    <n v="1020100"/>
    <n v="400000"/>
    <n v="1"/>
    <n v="400000"/>
    <n v="362250"/>
    <n v="37750"/>
    <n v="0"/>
    <n v="37750"/>
    <n v="0"/>
    <m/>
    <d v="2026-04-30T00:00:00"/>
    <d v="2026-04-30T00:00:00"/>
    <m/>
    <m/>
    <m/>
    <n v="0"/>
    <s v="to bank on 05-03 | Exp &amp; LDS 30-04"/>
    <x v="0"/>
    <s v="Credit"/>
    <s v="120 Days from Invoice Date"/>
    <x v="0"/>
  </r>
  <r>
    <s v="TF2521100097"/>
    <d v="2025-07-31T00:00:00"/>
    <s v="Hassan Taleb"/>
    <x v="0"/>
    <s v="Almansha Almubasher Trading Company"/>
    <s v="KSP"/>
    <x v="0"/>
    <x v="0"/>
    <s v="SAR"/>
    <n v="1020055"/>
    <n v="305000"/>
    <n v="1"/>
    <n v="305000"/>
    <n v="305000"/>
    <n v="0"/>
    <n v="0"/>
    <n v="0"/>
    <n v="0"/>
    <m/>
    <d v="2025-10-31T00:00:00"/>
    <d v="2025-10-31T00:00:00"/>
    <m/>
    <m/>
    <m/>
    <n v="0"/>
    <s v="to bank on 28-07"/>
    <x v="0"/>
    <s v="Credit"/>
    <s v="120 Days from Invoice Date"/>
    <x v="0"/>
  </r>
  <r>
    <s v="TF2322084317"/>
    <d v="2023-08-09T00:00:00"/>
    <s v="Hassan Taleb"/>
    <x v="0"/>
    <s v="ALMAYMANAH FOR CONTRACTING CO LTD"/>
    <s v="KSP"/>
    <x v="0"/>
    <x v="0"/>
    <s v="SAR"/>
    <n v="1020055"/>
    <n v="786746.67"/>
    <n v="1"/>
    <n v="786746.67"/>
    <n v="786746.67"/>
    <n v="0"/>
    <n v="0"/>
    <n v="0"/>
    <n v="0"/>
    <m/>
    <d v="2023-10-31T00:00:00"/>
    <d v="2023-10-31T00:00:00"/>
    <m/>
    <m/>
    <m/>
    <n v="0"/>
    <m/>
    <x v="0"/>
    <s v="Credit"/>
    <m/>
    <x v="0"/>
  </r>
  <r>
    <s v="JLC6901480"/>
    <d v="2025-08-19T00:00:00"/>
    <s v="Muhammed Khan"/>
    <x v="0"/>
    <s v="ALMAYMANAH FOR CONTRACTING CO."/>
    <s v="Cash"/>
    <x v="1"/>
    <x v="1"/>
    <s v="SAR"/>
    <m/>
    <n v="510271"/>
    <n v="1"/>
    <n v="510271"/>
    <n v="510271"/>
    <n v="0"/>
    <n v="0"/>
    <n v="0"/>
    <n v="0"/>
    <m/>
    <d v="2025-09-30T00:00:00"/>
    <d v="2025-09-15T00:00:00"/>
    <m/>
    <m/>
    <m/>
    <m/>
    <m/>
    <x v="1"/>
    <s v="Cash"/>
    <s v="Sight"/>
    <x v="0"/>
  </r>
  <r>
    <s v="J211485"/>
    <d v="2025-11-06T00:00:00"/>
    <s v="Matthew Mckernan - AICS"/>
    <x v="0"/>
    <s v="ALNAFIE METAL INDUSTRIES CO LTD"/>
    <s v="Opera House"/>
    <x v="7"/>
    <x v="10"/>
    <s v="SAR"/>
    <n v="1020097"/>
    <n v="18703391.850000001"/>
    <n v="1"/>
    <n v="18703391.850000001"/>
    <n v="17787660.100000001"/>
    <n v="915731.75"/>
    <n v="0"/>
    <n v="915731.75"/>
    <n v="915007.28"/>
    <m/>
    <d v="2026-08-31T00:00:00"/>
    <d v="2026-08-31T00:00:00"/>
    <m/>
    <m/>
    <m/>
    <n v="0"/>
    <m/>
    <x v="3"/>
    <s v="Credit"/>
    <s v="90 Days from Invoice Date"/>
    <x v="1"/>
  </r>
  <r>
    <s v="J211600"/>
    <d v="2025-12-02T00:00:00"/>
    <s v="Matthew Mckernan - AICS"/>
    <x v="0"/>
    <s v="ALNAFIE METAL INDUSTRIES CO LTD"/>
    <s v="Opera House"/>
    <x v="7"/>
    <x v="10"/>
    <s v="SAR"/>
    <n v="1020097"/>
    <n v="999166"/>
    <n v="1"/>
    <n v="999166"/>
    <n v="999166"/>
    <n v="0"/>
    <n v="0"/>
    <n v="0"/>
    <n v="0"/>
    <m/>
    <d v="2026-02-28T00:00:00"/>
    <d v="2026-02-28T00:00:00"/>
    <m/>
    <m/>
    <m/>
    <n v="0"/>
    <m/>
    <x v="3"/>
    <s v="Credit"/>
    <s v="30 Days From Invoice Date"/>
    <x v="0"/>
  </r>
  <r>
    <s v="J212139"/>
    <d v="2026-04-12T00:00:00"/>
    <s v="Matthew Mckernan - AICS"/>
    <x v="0"/>
    <s v="ALNAFIE METAL INDUSTRIES CO LTD"/>
    <s v="Opera House"/>
    <x v="8"/>
    <x v="10"/>
    <s v="SAR"/>
    <n v="1020097"/>
    <n v="7446132.75"/>
    <n v="1"/>
    <n v="7446132.75"/>
    <n v="2500000"/>
    <n v="4946132.75"/>
    <n v="0"/>
    <n v="4946132.75"/>
    <n v="0"/>
    <m/>
    <d v="2026-09-30T00:00:00"/>
    <d v="2026-08-31T00:00:00"/>
    <m/>
    <m/>
    <m/>
    <n v="0"/>
    <m/>
    <x v="3"/>
    <s v="Credit"/>
    <s v="60 Days from Invoice Date"/>
    <x v="1"/>
  </r>
  <r>
    <s v="ILC-0840-25-7266"/>
    <d v="2025-02-10T00:00:00"/>
    <s v="Hassan Taleb"/>
    <x v="0"/>
    <s v="Alpha Limit Trading and Contracting Company"/>
    <s v="RCRC"/>
    <x v="0"/>
    <x v="11"/>
    <s v="SAR"/>
    <n v="1020106"/>
    <n v="799251.9"/>
    <n v="1"/>
    <n v="799251.9"/>
    <n v="799251.9"/>
    <n v="0"/>
    <n v="0"/>
    <n v="0"/>
    <n v="0"/>
    <m/>
    <d v="2025-10-31T00:00:00"/>
    <d v="2025-10-31T00:00:00"/>
    <m/>
    <m/>
    <m/>
    <n v="0"/>
    <m/>
    <x v="6"/>
    <s v="Credit"/>
    <s v="90 Days from Invoice Date"/>
    <x v="0"/>
  </r>
  <r>
    <s v="ILC-0840-25-7982"/>
    <d v="2025-07-17T00:00:00"/>
    <s v="Hassan Taleb"/>
    <x v="0"/>
    <s v="Alpha Limit Trading and Contracting Company"/>
    <s v="RCRC"/>
    <x v="0"/>
    <x v="11"/>
    <s v="SAR"/>
    <n v="1020106"/>
    <n v="399623.8"/>
    <n v="1"/>
    <n v="399623.8"/>
    <n v="399623.77"/>
    <n v="0.03"/>
    <n v="0"/>
    <n v="0.03"/>
    <n v="0"/>
    <m/>
    <d v="2026-02-28T00:00:00"/>
    <d v="2026-02-28T00:00:00"/>
    <m/>
    <m/>
    <m/>
    <n v="0"/>
    <m/>
    <x v="6"/>
    <s v="Credit"/>
    <s v="90 Days from Invoice Date"/>
    <x v="0"/>
  </r>
  <r>
    <s v="ILC-0840-25-8427"/>
    <d v="2025-10-21T00:00:00"/>
    <s v="AbdulAziz Eraiba Fawzi"/>
    <x v="2"/>
    <s v="Alrashid Trading and Contracting Company"/>
    <s v="RCRC"/>
    <x v="2"/>
    <x v="11"/>
    <s v="SAR"/>
    <n v="1020106"/>
    <n v="16731764"/>
    <n v="1"/>
    <n v="16731764"/>
    <n v="5732513.5999999996"/>
    <n v="10999250.4"/>
    <n v="0"/>
    <n v="10999250.4"/>
    <n v="3481208.18"/>
    <m/>
    <d v="2026-06-26T00:00:00"/>
    <d v="2026-06-26T00:00:00"/>
    <m/>
    <m/>
    <m/>
    <n v="0"/>
    <s v="to bank on 18-06 | Exp: 31-12"/>
    <x v="6"/>
    <s v="Credit"/>
    <s v="30 Days From Invoice Date"/>
    <x v="1"/>
  </r>
  <r>
    <s v="DCBWPM563030"/>
    <d v="2025-08-03T00:00:00"/>
    <s v="Tareeq Telmasani"/>
    <x v="0"/>
    <s v="AL-RIYADHA AL-OULA FOR INDUSTRIAL MATERIAL SUPPLY CO."/>
    <s v="CEER"/>
    <x v="0"/>
    <x v="3"/>
    <s v="SAR"/>
    <n v="1020091"/>
    <n v="1400000"/>
    <n v="1"/>
    <n v="1400000"/>
    <n v="1395175.35"/>
    <n v="4824.6499999999996"/>
    <n v="0"/>
    <n v="4824.6499999999996"/>
    <n v="0"/>
    <m/>
    <d v="2025-10-31T00:00:00"/>
    <d v="2025-10-31T00:00:00"/>
    <m/>
    <m/>
    <m/>
    <n v="0"/>
    <m/>
    <x v="4"/>
    <s v="Credit"/>
    <s v="120 Days from Appl. Representative Sign"/>
    <x v="0"/>
  </r>
  <r>
    <s v="DCBWPM563046"/>
    <d v="2025-08-03T00:00:00"/>
    <s v="Tareeq Telmasani"/>
    <x v="0"/>
    <s v="Al-Sayed Center A/C &amp; Refrigeration Materials Company"/>
    <s v="CEER"/>
    <x v="0"/>
    <x v="3"/>
    <s v="SAR"/>
    <n v="1020091"/>
    <n v="871119.25"/>
    <n v="1"/>
    <n v="871119.25"/>
    <n v="871119.25"/>
    <n v="0"/>
    <n v="0"/>
    <n v="0"/>
    <n v="0"/>
    <m/>
    <d v="2025-10-31T00:00:00"/>
    <d v="2025-10-31T00:00:00"/>
    <m/>
    <m/>
    <m/>
    <n v="0"/>
    <m/>
    <x v="4"/>
    <s v="Credit"/>
    <s v="90 Days from Appl. Representative Sign"/>
    <x v="0"/>
  </r>
  <r>
    <s v="DCBWPM566642"/>
    <d v="2025-09-29T00:00:00"/>
    <s v="Hassan Taleb"/>
    <x v="0"/>
    <s v="Al-Sayed Center A/C &amp; Refrigeration Materials Company"/>
    <s v="MP1"/>
    <x v="0"/>
    <x v="6"/>
    <s v="SAR"/>
    <n v="1020088"/>
    <n v="250000"/>
    <n v="1"/>
    <n v="250000"/>
    <n v="250000"/>
    <n v="0"/>
    <n v="0"/>
    <n v="0"/>
    <n v="0"/>
    <m/>
    <d v="2025-12-31T00:00:00"/>
    <d v="2025-12-31T00:00:00"/>
    <m/>
    <m/>
    <m/>
    <n v="0"/>
    <m/>
    <x v="4"/>
    <s v="Credit"/>
    <s v="120 Days from Invoice Date"/>
    <x v="0"/>
  </r>
  <r>
    <s v="DCBWPM564605"/>
    <d v="2025-08-26T00:00:00"/>
    <s v="Mohammed Kotb"/>
    <x v="0"/>
    <s v="Al-Sayed Center A/C &amp; Refrigeration Materials Company."/>
    <s v="MP1"/>
    <x v="4"/>
    <x v="4"/>
    <s v="SAR"/>
    <n v="1020070"/>
    <n v="686883"/>
    <n v="1"/>
    <n v="686883"/>
    <n v="686883"/>
    <n v="0"/>
    <n v="0"/>
    <n v="0"/>
    <n v="0"/>
    <m/>
    <d v="2025-10-31T00:00:00"/>
    <d v="2025-10-09T00:00:00"/>
    <m/>
    <m/>
    <m/>
    <n v="0"/>
    <m/>
    <x v="4"/>
    <s v="Credit"/>
    <s v="120 Days from Date of Delivery"/>
    <x v="0"/>
  </r>
  <r>
    <s v="TF2508300051"/>
    <d v="2025-03-23T00:00:00"/>
    <s v="Hassan Taleb"/>
    <x v="0"/>
    <s v="AL-SAYED CENTER A/C FOR MATERIALS COMPANY"/>
    <s v="KSP"/>
    <x v="0"/>
    <x v="0"/>
    <s v="SAR"/>
    <n v="1020055"/>
    <n v="404174.93"/>
    <n v="1"/>
    <n v="404174.93"/>
    <n v="404174.93"/>
    <n v="0"/>
    <n v="0"/>
    <n v="0"/>
    <n v="0"/>
    <m/>
    <d v="2025-06-30T00:00:00"/>
    <d v="2025-06-30T00:00:00"/>
    <m/>
    <m/>
    <m/>
    <n v="0"/>
    <m/>
    <x v="0"/>
    <s v="Credit"/>
    <s v="90 Days from Invoice Date"/>
    <x v="0"/>
  </r>
  <r>
    <s v="TF2510400028"/>
    <d v="2025-04-24T00:00:00"/>
    <s v="Rabih Makhoul"/>
    <x v="0"/>
    <s v="AL-SAYED CENTER A/C FOR MATERIALS COMPANY"/>
    <s v="KSP"/>
    <x v="0"/>
    <x v="5"/>
    <s v="SAR"/>
    <n v="1020100"/>
    <n v="400000"/>
    <n v="1"/>
    <n v="400000"/>
    <n v="400000"/>
    <n v="0"/>
    <n v="0"/>
    <n v="0"/>
    <n v="0"/>
    <m/>
    <d v="2025-06-30T00:00:00"/>
    <d v="2025-06-30T00:00:00"/>
    <m/>
    <m/>
    <m/>
    <n v="0"/>
    <m/>
    <x v="0"/>
    <s v="Credit"/>
    <s v="90 Days from Invoice Date"/>
    <x v="0"/>
  </r>
  <r>
    <s v="J210607"/>
    <d v="2025-06-01T00:00:00"/>
    <s v="Hassan Taleb"/>
    <x v="0"/>
    <s v="AL-SAYED CENTER A/C FOR MATERIALS COMPANY"/>
    <s v="Opera House"/>
    <x v="0"/>
    <x v="0"/>
    <s v="SAR"/>
    <n v="1020055"/>
    <n v="734118.99"/>
    <n v="1"/>
    <n v="734118.99"/>
    <n v="734118.99"/>
    <n v="0"/>
    <n v="0"/>
    <n v="0"/>
    <n v="0"/>
    <m/>
    <d v="2025-10-31T00:00:00"/>
    <d v="2025-10-31T00:00:00"/>
    <m/>
    <m/>
    <m/>
    <n v="0"/>
    <m/>
    <x v="3"/>
    <s v="Credit"/>
    <s v="120 Days from Invoice Date"/>
    <x v="0"/>
  </r>
  <r>
    <s v="DCBWPM558781"/>
    <d v="2025-06-02T00:00:00"/>
    <s v="Hassan Taleb"/>
    <x v="0"/>
    <s v="Al-Sayed Center A/C for Materials Company"/>
    <s v="MP1"/>
    <x v="0"/>
    <x v="6"/>
    <s v="SAR"/>
    <n v="1020088"/>
    <n v="205760"/>
    <n v="1"/>
    <n v="205760"/>
    <n v="205760"/>
    <n v="0"/>
    <n v="0"/>
    <n v="0"/>
    <n v="0"/>
    <m/>
    <d v="2025-10-31T00:00:00"/>
    <d v="2025-10-31T00:00:00"/>
    <m/>
    <m/>
    <m/>
    <n v="0"/>
    <m/>
    <x v="4"/>
    <s v="Credit"/>
    <s v="120 Days from Invoice Date"/>
    <x v="0"/>
  </r>
  <r>
    <s v="DCBWPM166296"/>
    <d v="2026-06-04T00:00:00"/>
    <s v="Hassan Taleb"/>
    <x v="0"/>
    <s v="Al-Sayed Center A/C for Materials Company"/>
    <s v="MP1"/>
    <x v="0"/>
    <x v="6"/>
    <s v="SAR"/>
    <n v="1020088"/>
    <n v="200000"/>
    <n v="1"/>
    <n v="200000"/>
    <n v="0"/>
    <n v="200000"/>
    <n v="0"/>
    <n v="200000"/>
    <n v="0"/>
    <m/>
    <d v="2026-08-31T00:00:00"/>
    <d v="2026-08-31T00:00:00"/>
    <m/>
    <m/>
    <m/>
    <n v="0"/>
    <m/>
    <x v="4"/>
    <s v="Credit"/>
    <s v="120 Days from Applicant representative sign on Invoice"/>
    <x v="1"/>
  </r>
  <r>
    <s v="DCBWPM563232"/>
    <d v="2025-08-05T00:00:00"/>
    <s v="Tareeq Telmasani"/>
    <x v="0"/>
    <s v="Alshrkt Mzaya Almttwrt Alsnaayt shkhs Wahd"/>
    <s v="CEER"/>
    <x v="0"/>
    <x v="3"/>
    <s v="SAR"/>
    <n v="1020091"/>
    <n v="500000"/>
    <n v="1"/>
    <n v="500000"/>
    <n v="98871.6"/>
    <n v="401128.4"/>
    <n v="0"/>
    <n v="401128.4"/>
    <n v="0"/>
    <m/>
    <d v="2026-06-30T00:00:00"/>
    <d v="2026-06-30T00:00:00"/>
    <m/>
    <m/>
    <m/>
    <n v="0"/>
    <m/>
    <x v="4"/>
    <s v="Credit"/>
    <s v="120 Days from Appl. Representative Sign"/>
    <x v="1"/>
  </r>
  <r>
    <s v="ILC-0840-25-7173"/>
    <d v="2025-01-27T00:00:00"/>
    <s v="Hassan Taleb"/>
    <x v="0"/>
    <s v="AL-Tawi Ready Mix Concrete Factory Co"/>
    <s v="RCRC"/>
    <x v="0"/>
    <x v="11"/>
    <s v="SAR"/>
    <n v="1020106"/>
    <n v="1798725.35"/>
    <n v="1"/>
    <n v="1798725.35"/>
    <n v="1500000"/>
    <n v="298725.34999999998"/>
    <n v="0"/>
    <n v="298725.34999999998"/>
    <n v="0"/>
    <m/>
    <d v="2025-12-31T00:00:00"/>
    <d v="2025-12-31T00:00:00"/>
    <m/>
    <m/>
    <m/>
    <n v="0"/>
    <s v="TF refused to extend this LC"/>
    <x v="6"/>
    <s v="Credit"/>
    <s v="90 Days from Invoice Date"/>
    <x v="0"/>
  </r>
  <r>
    <s v="ILC-0840-26-9256"/>
    <d v="2026-05-07T00:00:00"/>
    <s v="AbdulAziz Eraiba Fawzi"/>
    <x v="0"/>
    <s v="Al-Tawi READY -MIX FACTORY"/>
    <s v="RCRC"/>
    <x v="2"/>
    <x v="11"/>
    <s v="SAR"/>
    <n v="1020106"/>
    <n v="600000"/>
    <n v="1"/>
    <n v="600000"/>
    <n v="0"/>
    <n v="600000"/>
    <n v="0"/>
    <n v="600000"/>
    <n v="0"/>
    <m/>
    <d v="2026-07-31T00:00:00"/>
    <d v="2026-07-31T00:00:00"/>
    <m/>
    <m/>
    <m/>
    <n v="0"/>
    <m/>
    <x v="6"/>
    <s v="Credit"/>
    <s v="90 Days From Appl sign on Invoice"/>
    <x v="1"/>
  </r>
  <r>
    <s v="DCBWPM564575"/>
    <d v="2025-08-26T00:00:00"/>
    <s v="Mohammed Kotb"/>
    <x v="0"/>
    <s v="AL-TAYYAR AL-HAQIQI COMMERCIAL CO."/>
    <s v="MP1"/>
    <x v="4"/>
    <x v="4"/>
    <s v="SAR"/>
    <n v="1020070"/>
    <n v="5193136.82"/>
    <n v="1"/>
    <n v="5193136.82"/>
    <n v="5124646.7300000004"/>
    <n v="68490.09"/>
    <n v="0"/>
    <n v="68490.09"/>
    <n v="0"/>
    <m/>
    <d v="2025-12-31T00:00:00"/>
    <d v="2025-12-31T00:00:00"/>
    <m/>
    <m/>
    <m/>
    <n v="0"/>
    <m/>
    <x v="4"/>
    <s v="Credit"/>
    <s v="60 Days from Date of Delivery"/>
    <x v="0"/>
  </r>
  <r>
    <s v="DCBWPM560813"/>
    <d v="2025-07-01T00:00:00"/>
    <s v="Tareeq - Premium"/>
    <x v="0"/>
    <s v="Aluminium Products company (ALUPCO)"/>
    <s v="CEER"/>
    <x v="9"/>
    <x v="3"/>
    <s v="SAR"/>
    <n v="1020091"/>
    <n v="2500000"/>
    <n v="1"/>
    <n v="2500000"/>
    <n v="2500000"/>
    <n v="0"/>
    <n v="0"/>
    <n v="0"/>
    <n v="0"/>
    <m/>
    <d v="2025-10-30T00:00:00"/>
    <d v="2025-10-15T00:00:00"/>
    <m/>
    <m/>
    <m/>
    <n v="0"/>
    <m/>
    <x v="4"/>
    <s v="Credit"/>
    <s v="90 Days from Invoice Date"/>
    <x v="0"/>
  </r>
  <r>
    <s v="DCBWPM554918"/>
    <d v="2025-03-27T00:00:00"/>
    <s v="Kotb - Morganti"/>
    <x v="0"/>
    <s v="AMCC CONSTRUCTION"/>
    <s v="MP1"/>
    <x v="3"/>
    <x v="4"/>
    <s v="SAR"/>
    <n v="1020070"/>
    <n v="1926250"/>
    <n v="1"/>
    <n v="1926250"/>
    <n v="1926250"/>
    <n v="0"/>
    <n v="0"/>
    <n v="0"/>
    <n v="0"/>
    <m/>
    <d v="2025-05-31T00:00:00"/>
    <d v="2025-04-30T00:00:00"/>
    <m/>
    <m/>
    <m/>
    <n v="0"/>
    <m/>
    <x v="4"/>
    <s v="Credit"/>
    <s v="120 Days from Invoice Date"/>
    <x v="0"/>
  </r>
  <r>
    <s v="DCBWPM558751"/>
    <d v="2025-06-02T00:00:00"/>
    <s v="Hassan Taleb"/>
    <x v="0"/>
    <s v="ANDHMAH ALMNANI ALTWARH EST"/>
    <s v="MP1"/>
    <x v="0"/>
    <x v="6"/>
    <s v="SAR"/>
    <n v="1020088"/>
    <n v="400000"/>
    <n v="1"/>
    <n v="400000"/>
    <n v="399987.65"/>
    <n v="12.35"/>
    <n v="0"/>
    <n v="12.35"/>
    <n v="0"/>
    <m/>
    <d v="2025-10-31T00:00:00"/>
    <d v="2025-10-31T00:00:00"/>
    <m/>
    <m/>
    <m/>
    <n v="0"/>
    <m/>
    <x v="4"/>
    <s v="Credit"/>
    <s v="120 Days from Invoice Date"/>
    <x v="0"/>
  </r>
  <r>
    <s v="TF2518100017"/>
    <d v="2025-07-10T00:00:00"/>
    <s v="Justin Xavier"/>
    <x v="0"/>
    <s v="Anixter Saudi Arabia Ltd"/>
    <s v="KSP"/>
    <x v="4"/>
    <x v="12"/>
    <s v="SAR"/>
    <n v="1020001"/>
    <n v="1904115"/>
    <n v="1"/>
    <n v="1904115"/>
    <n v="1904115"/>
    <n v="0"/>
    <n v="0"/>
    <n v="0"/>
    <n v="0"/>
    <m/>
    <d v="2025-08-31T00:00:00"/>
    <d v="2025-06-30T00:00:00"/>
    <m/>
    <m/>
    <m/>
    <n v="0"/>
    <m/>
    <x v="0"/>
    <s v="Credit"/>
    <s v="60 Days from Invoice Date"/>
    <x v="0"/>
  </r>
  <r>
    <s v="TF2610500019"/>
    <d v="2026-04-15T00:00:00"/>
    <s v="Justin Xavier"/>
    <x v="0"/>
    <s v="Anixter Saudi Arabia Ltd"/>
    <s v="KSP"/>
    <x v="5"/>
    <x v="12"/>
    <s v="SAR"/>
    <n v="1020001"/>
    <n v="5693645.4199999999"/>
    <n v="1"/>
    <n v="5693645.4199999999"/>
    <n v="0"/>
    <n v="5693645.4199999999"/>
    <n v="0"/>
    <n v="5693645.4199999999"/>
    <n v="714129.01"/>
    <m/>
    <d v="2026-06-20T00:00:00"/>
    <d v="2026-06-20T00:00:00"/>
    <m/>
    <m/>
    <m/>
    <n v="909438.01"/>
    <s v="Approvals Pending with Faiz | Increase in LC | Addition of PO's"/>
    <x v="0"/>
    <s v="Credit"/>
    <s v="60 Days from Invoice Date"/>
    <x v="1"/>
  </r>
  <r>
    <s v="TF2513500034"/>
    <d v="2025-05-15T00:00:00"/>
    <s v="Hassan Taleb"/>
    <x v="0"/>
    <s v="ANSSAM AL RIYADH CONTRACTING EST"/>
    <s v="KSP"/>
    <x v="0"/>
    <x v="0"/>
    <s v="SAR"/>
    <n v="1020055"/>
    <n v="235199.15"/>
    <n v="1"/>
    <n v="235199.15"/>
    <n v="235199.15"/>
    <n v="0"/>
    <n v="0"/>
    <n v="0"/>
    <n v="0"/>
    <m/>
    <d v="2025-12-31T00:00:00"/>
    <d v="2025-12-31T00:00:00"/>
    <m/>
    <m/>
    <m/>
    <n v="0"/>
    <m/>
    <x v="0"/>
    <s v="Credit"/>
    <s v="120 Days from Invoice Date"/>
    <x v="0"/>
  </r>
  <r>
    <s v="TF2421995040"/>
    <d v="2024-08-08T00:00:00"/>
    <s v="Hassan Taleb"/>
    <x v="0"/>
    <s v="API EAST"/>
    <s v="KSP"/>
    <x v="0"/>
    <x v="0"/>
    <s v="AED"/>
    <n v="1020055"/>
    <n v="750000"/>
    <n v="1.03"/>
    <n v="772500"/>
    <n v="770249.99999999988"/>
    <n v="2250"/>
    <n v="0"/>
    <n v="2250"/>
    <n v="0"/>
    <m/>
    <d v="2025-03-31T00:00:00"/>
    <d v="2025-03-16T00:00:00"/>
    <m/>
    <m/>
    <m/>
    <n v="0"/>
    <m/>
    <x v="0"/>
    <s v="Credit"/>
    <s v="90 Days from Applicant Sign date"/>
    <x v="0"/>
  </r>
  <r>
    <s v="TF2329186488"/>
    <d v="2023-10-23T00:00:00"/>
    <s v="Hassan Taleb"/>
    <x v="0"/>
    <s v="API ENERGY MIDDLE EAST"/>
    <s v="KSP"/>
    <x v="0"/>
    <x v="0"/>
    <s v="AED"/>
    <n v="1020055"/>
    <n v="1475299.7"/>
    <n v="1.0249999999999999"/>
    <n v="1512182.1924999999"/>
    <n v="1512182.1924999999"/>
    <n v="0"/>
    <n v="0"/>
    <n v="0"/>
    <n v="0"/>
    <m/>
    <d v="2024-01-31T00:00:00"/>
    <d v="2024-01-31T00:00:00"/>
    <m/>
    <m/>
    <m/>
    <n v="0"/>
    <m/>
    <x v="0"/>
    <s v="Credit"/>
    <s v="60 Days from Delivery Date"/>
    <x v="0"/>
  </r>
  <r>
    <s v="J209065"/>
    <d v="2024-08-29T00:00:00"/>
    <s v="Hassan Taleb"/>
    <x v="0"/>
    <s v="API ENERGY MIDDLE EASTAPI ENERGY GE"/>
    <s v="Opera House"/>
    <x v="0"/>
    <x v="0"/>
    <s v="AED"/>
    <n v="1020055"/>
    <n v="1363657"/>
    <n v="1.0286999999999999"/>
    <n v="1402793.9558999999"/>
    <n v="1098438.5839"/>
    <n v="304355.37"/>
    <n v="0"/>
    <n v="304355.37"/>
    <n v="0"/>
    <m/>
    <d v="2025-05-31T00:00:00"/>
    <d v="2025-01-31T00:00:00"/>
    <m/>
    <m/>
    <m/>
    <n v="0"/>
    <m/>
    <x v="3"/>
    <s v="Credit"/>
    <s v="90 Days from Invoice Date"/>
    <x v="0"/>
  </r>
  <r>
    <s v="J212290"/>
    <d v="2026-06-11T00:00:00"/>
    <s v="Matthew Mckernan"/>
    <x v="0"/>
    <s v="APLUS TRADE MIKE"/>
    <s v="Opera House"/>
    <x v="10"/>
    <x v="10"/>
    <s v="EUR"/>
    <n v="1020097"/>
    <n v="6040641.79"/>
    <n v="4.3899999999999997"/>
    <n v="26518417.458099999"/>
    <n v="0"/>
    <n v="26518417.460000001"/>
    <n v="0"/>
    <n v="26518417.460000001"/>
    <n v="0"/>
    <m/>
    <d v="2026-12-31T00:00:00"/>
    <d v="2026-12-31T00:00:00"/>
    <m/>
    <m/>
    <m/>
    <m/>
    <m/>
    <x v="3"/>
    <s v="Credit"/>
    <s v="90 Days from Invoice Date"/>
    <x v="1"/>
  </r>
  <r>
    <s v="J211681"/>
    <d v="2025-12-18T00:00:00"/>
    <s v="Matthew Mckernan - AICS"/>
    <x v="0"/>
    <s v="APS ARABIAN CONTRACTING COMPANY"/>
    <s v="Opera House"/>
    <x v="7"/>
    <x v="10"/>
    <s v="SAR"/>
    <n v="1020097"/>
    <n v="2072033.2"/>
    <n v="1"/>
    <n v="2072033.2"/>
    <n v="463730.6"/>
    <n v="1608302.6"/>
    <n v="652505.4"/>
    <n v="955797.2"/>
    <n v="0"/>
    <s v="02/07/2026"/>
    <d v="2026-09-30T00:00:00"/>
    <d v="2026-09-30T00:00:00"/>
    <m/>
    <m/>
    <m/>
    <n v="0"/>
    <m/>
    <x v="3"/>
    <s v="Credit"/>
    <s v="60 Days from Invoice Date"/>
    <x v="1"/>
  </r>
  <r>
    <s v="JLC6800559"/>
    <d v="2024-03-20T00:00:00"/>
    <s v="Bassam Marawie"/>
    <x v="0"/>
    <s v="APTEC SAUDI ARABIA"/>
    <s v="Multipurpose"/>
    <x v="5"/>
    <x v="12"/>
    <s v="SAR"/>
    <n v="1020001"/>
    <n v="4339603.43"/>
    <n v="1"/>
    <n v="4339603.43"/>
    <n v="4121924.82"/>
    <n v="217678.61"/>
    <n v="0"/>
    <n v="217678.61"/>
    <n v="0"/>
    <m/>
    <d v="2024-05-31T00:00:00"/>
    <d v="2024-05-31T00:00:00"/>
    <m/>
    <m/>
    <m/>
    <n v="0"/>
    <m/>
    <x v="1"/>
    <s v="Credit"/>
    <m/>
    <x v="0"/>
  </r>
  <r>
    <s v="JLC6800561-Cre"/>
    <d v="2024-03-24T00:00:00"/>
    <s v="Bassam Marawie"/>
    <x v="0"/>
    <s v="APTEC SAUDI ARABIA"/>
    <s v="Multipurpose"/>
    <x v="5"/>
    <x v="12"/>
    <s v="SAR"/>
    <n v="1020001"/>
    <n v="5540467.0099999998"/>
    <n v="1"/>
    <n v="5540467.0099999998"/>
    <n v="5540367.0099999998"/>
    <n v="100"/>
    <n v="0"/>
    <n v="100"/>
    <n v="0"/>
    <m/>
    <d v="2024-11-26T00:00:00"/>
    <d v="2024-09-26T00:00:00"/>
    <m/>
    <m/>
    <m/>
    <n v="0"/>
    <m/>
    <x v="1"/>
    <s v="Credit"/>
    <m/>
    <x v="0"/>
  </r>
  <r>
    <s v="JLC6800561"/>
    <d v="2024-03-24T00:00:00"/>
    <s v="Bassam Marawie"/>
    <x v="0"/>
    <s v="APTEC SAUDI ARABIA"/>
    <s v="Cash"/>
    <x v="5"/>
    <x v="12"/>
    <s v="SAR"/>
    <n v="1020001"/>
    <n v="2878521.22"/>
    <n v="1"/>
    <n v="2878521.22"/>
    <n v="7170868.2400000002"/>
    <n v="-4292347.0199999996"/>
    <n v="0"/>
    <n v="-4292347.0199999996"/>
    <n v="0"/>
    <m/>
    <d v="2024-11-26T00:00:00"/>
    <d v="2024-09-26T00:00:00"/>
    <m/>
    <m/>
    <m/>
    <n v="0"/>
    <m/>
    <x v="1"/>
    <s v="Cash"/>
    <m/>
    <x v="0"/>
  </r>
  <r>
    <s v="J210676"/>
    <d v="2025-06-04T00:00:00"/>
    <s v="Justin Xavier"/>
    <x v="0"/>
    <s v="APTEC SAUDI ARABIA"/>
    <s v="Opera House"/>
    <x v="5"/>
    <x v="12"/>
    <s v="SAR"/>
    <n v="1020001"/>
    <n v="8632232.3800000008"/>
    <n v="1"/>
    <n v="8632232.3800000008"/>
    <n v="7344755.46"/>
    <n v="1287476.92"/>
    <n v="0"/>
    <n v="1287476.92"/>
    <n v="0"/>
    <m/>
    <d v="2025-12-25T00:00:00"/>
    <d v="2025-10-25T00:00:00"/>
    <m/>
    <m/>
    <m/>
    <n v="0"/>
    <m/>
    <x v="3"/>
    <s v="Credit"/>
    <s v="60 Days from Invoice Date"/>
    <x v="0"/>
  </r>
  <r>
    <s v="TF2610500016"/>
    <d v="2026-04-15T00:00:00"/>
    <s v="Justin Xavier"/>
    <x v="0"/>
    <s v="APTEC SAUDI ARABIA"/>
    <s v="KSP"/>
    <x v="5"/>
    <x v="12"/>
    <s v="SAR"/>
    <n v="1020001"/>
    <n v="5120131"/>
    <n v="1"/>
    <n v="5120131"/>
    <n v="0"/>
    <n v="5120131"/>
    <n v="0"/>
    <n v="5120131"/>
    <n v="0"/>
    <m/>
    <d v="2026-08-31T00:00:00"/>
    <d v="2025-10-25T00:00:00"/>
    <m/>
    <m/>
    <m/>
    <n v="3738069.89"/>
    <s v="Approvals Pending with Faiz | Increase in LC | Addition of PO's"/>
    <x v="0"/>
    <s v="Credit"/>
    <s v="60 Days from Invoice Date"/>
    <x v="1"/>
  </r>
  <r>
    <s v="IM2435033005"/>
    <d v="2024-12-15T00:00:00"/>
    <s v="Hassan Taleb"/>
    <x v="0"/>
    <s v="ARAB EAGLE CO"/>
    <s v="Oceanarium"/>
    <x v="0"/>
    <x v="0"/>
    <s v="SAR"/>
    <n v="1020055"/>
    <n v="1000475.49"/>
    <n v="1"/>
    <n v="1000475.49"/>
    <n v="1000475.48"/>
    <n v="0.01"/>
    <n v="0"/>
    <n v="0.01"/>
    <n v="0"/>
    <m/>
    <d v="2025-03-31T00:00:00"/>
    <d v="2025-03-31T00:00:00"/>
    <m/>
    <m/>
    <m/>
    <n v="0"/>
    <m/>
    <x v="2"/>
    <s v="Credit"/>
    <s v="90 Days from Invoice Date"/>
    <x v="0"/>
  </r>
  <r>
    <s v="J210022"/>
    <d v="2025-02-06T00:00:00"/>
    <s v="Hassan Taleb"/>
    <x v="0"/>
    <s v="Arab Eagle Co."/>
    <s v="Opera House"/>
    <x v="0"/>
    <x v="0"/>
    <s v="SAR"/>
    <n v="1020055"/>
    <n v="1000000"/>
    <n v="1"/>
    <n v="1000000"/>
    <n v="1000000"/>
    <n v="0"/>
    <n v="0"/>
    <n v="0"/>
    <n v="0"/>
    <m/>
    <d v="2025-04-30T00:00:00"/>
    <d v="2025-04-30T00:00:00"/>
    <m/>
    <m/>
    <m/>
    <n v="0"/>
    <m/>
    <x v="3"/>
    <s v="Credit"/>
    <s v="90 Days from Invoice Date"/>
    <x v="0"/>
  </r>
  <r>
    <s v="TF2514700055"/>
    <d v="2025-05-27T00:00:00"/>
    <s v="Hassan Taleb"/>
    <x v="0"/>
    <s v="ARAB EAGLE TRANSPORT CO."/>
    <s v="KSP"/>
    <x v="0"/>
    <x v="0"/>
    <s v="SAR"/>
    <n v="1020055"/>
    <n v="300000"/>
    <n v="1"/>
    <n v="300000"/>
    <n v="300000"/>
    <n v="0"/>
    <n v="0"/>
    <n v="0"/>
    <n v="0"/>
    <m/>
    <d v="2025-08-31T00:00:00"/>
    <d v="2025-08-31T00:00:00"/>
    <m/>
    <m/>
    <m/>
    <n v="0"/>
    <m/>
    <x v="0"/>
    <s v="Credit"/>
    <s v="120 Days from Invoice Date"/>
    <x v="0"/>
  </r>
  <r>
    <s v="TF2324184994"/>
    <d v="2023-08-29T00:00:00"/>
    <s v="Hassan Taleb"/>
    <x v="0"/>
    <s v="ARABIAN INTERNATIONAL COMPANY"/>
    <s v="KSP"/>
    <x v="0"/>
    <x v="0"/>
    <s v="SAR"/>
    <n v="1020055"/>
    <n v="1500000"/>
    <n v="1"/>
    <n v="1500000"/>
    <n v="1341988.81"/>
    <n v="158011.19"/>
    <n v="0"/>
    <n v="158011.19"/>
    <n v="0"/>
    <m/>
    <d v="2024-07-01T00:00:00"/>
    <d v="2024-07-01T00:00:00"/>
    <m/>
    <m/>
    <m/>
    <n v="0"/>
    <m/>
    <x v="0"/>
    <s v="Credit"/>
    <s v="60 Days from Delivery Date"/>
    <x v="0"/>
  </r>
  <r>
    <s v="TF2502300049"/>
    <d v="2025-01-23T00:00:00"/>
    <s v="Hassan Taleb"/>
    <x v="0"/>
    <s v="ARABIAN INTERNATIONAL COMPANY"/>
    <s v="KSP"/>
    <x v="0"/>
    <x v="0"/>
    <s v="SAR"/>
    <n v="1020055"/>
    <n v="350000"/>
    <n v="1"/>
    <n v="350000"/>
    <n v="350000"/>
    <n v="0"/>
    <n v="0"/>
    <n v="0"/>
    <n v="0"/>
    <m/>
    <d v="2025-04-30T00:00:00"/>
    <d v="2025-04-30T00:00:00"/>
    <m/>
    <m/>
    <m/>
    <n v="0"/>
    <m/>
    <x v="0"/>
    <s v="Credit"/>
    <s v="90 Days from Invoice Date"/>
    <x v="0"/>
  </r>
  <r>
    <s v="TF2500700015"/>
    <d v="2025-01-07T00:00:00"/>
    <s v="Hassan Taleb"/>
    <x v="0"/>
    <s v="ARABIAN INTERNATIONAL COMPANY"/>
    <s v="KSP"/>
    <x v="0"/>
    <x v="0"/>
    <s v="SAR"/>
    <n v="1020055"/>
    <n v="500000"/>
    <n v="1"/>
    <n v="500000"/>
    <n v="500000"/>
    <n v="0"/>
    <n v="0"/>
    <n v="0"/>
    <n v="0"/>
    <m/>
    <d v="2025-03-31T00:00:00"/>
    <d v="2025-03-31T00:00:00"/>
    <m/>
    <m/>
    <m/>
    <n v="0"/>
    <m/>
    <x v="0"/>
    <s v="Credit"/>
    <s v="90 Days from Invoice Date"/>
    <x v="0"/>
  </r>
  <r>
    <s v="J210608"/>
    <d v="2025-06-01T00:00:00"/>
    <s v="Hassan Taleb"/>
    <x v="0"/>
    <s v="ARABIAN INTERNATIONAL COMPANY FOR CONTRACTING"/>
    <s v="Opera House"/>
    <x v="0"/>
    <x v="0"/>
    <s v="SAR"/>
    <n v="1020055"/>
    <n v="1000000"/>
    <n v="1"/>
    <n v="1000000"/>
    <n v="1000000"/>
    <n v="0"/>
    <n v="0"/>
    <n v="0"/>
    <n v="0"/>
    <m/>
    <d v="2025-10-31T00:00:00"/>
    <d v="2025-10-31T00:00:00"/>
    <m/>
    <m/>
    <m/>
    <n v="0"/>
    <m/>
    <x v="3"/>
    <s v="Credit"/>
    <s v="120 Days from Invoice Date"/>
    <x v="0"/>
  </r>
  <r>
    <s v="DCBWPM558782"/>
    <d v="2025-06-02T00:00:00"/>
    <s v="Hassan Taleb"/>
    <x v="0"/>
    <s v="Arabian International Company For Contracting"/>
    <s v="MP1"/>
    <x v="0"/>
    <x v="6"/>
    <s v="SAR"/>
    <n v="1020088"/>
    <n v="300000"/>
    <n v="1"/>
    <n v="300000"/>
    <n v="300000"/>
    <n v="0"/>
    <n v="0"/>
    <n v="0"/>
    <n v="0"/>
    <m/>
    <d v="2025-08-31T00:00:00"/>
    <d v="2025-08-31T00:00:00"/>
    <m/>
    <m/>
    <m/>
    <n v="0"/>
    <m/>
    <x v="4"/>
    <s v="Credit"/>
    <s v="120 Days from Invoice Date"/>
    <x v="0"/>
  </r>
  <r>
    <s v="DCBWPM566848"/>
    <d v="2025-09-30T00:00:00"/>
    <s v="Hassan Taleb"/>
    <x v="0"/>
    <s v="Arabian International Company For Contracting"/>
    <s v="MP1"/>
    <x v="0"/>
    <x v="6"/>
    <s v="SAR"/>
    <n v="1020088"/>
    <n v="500000"/>
    <n v="1"/>
    <n v="500000"/>
    <n v="500000"/>
    <n v="0"/>
    <n v="0"/>
    <n v="0"/>
    <n v="0"/>
    <m/>
    <d v="2026-02-28T00:00:00"/>
    <d v="2026-02-28T00:00:00"/>
    <m/>
    <m/>
    <m/>
    <n v="0"/>
    <m/>
    <x v="4"/>
    <s v="Credit"/>
    <s v="120 Days from Invoice Date"/>
    <x v="0"/>
  </r>
  <r>
    <s v="DCBWPM160363"/>
    <d v="2026-01-14T00:00:00"/>
    <s v="Hassan Taleb"/>
    <x v="0"/>
    <s v="Arabian International Company For Contracting"/>
    <s v="MP1"/>
    <x v="0"/>
    <x v="6"/>
    <s v="SAR"/>
    <n v="1020088"/>
    <n v="900000"/>
    <n v="1"/>
    <n v="900000"/>
    <n v="0"/>
    <n v="900000"/>
    <n v="900000"/>
    <n v="0"/>
    <n v="0"/>
    <s v="30/08/2026"/>
    <d v="2026-06-30T00:00:00"/>
    <d v="2026-06-30T00:00:00"/>
    <m/>
    <m/>
    <m/>
    <n v="0"/>
    <m/>
    <x v="4"/>
    <s v="Credit"/>
    <s v="90 Days from Applicant representative sign on Invoice"/>
    <x v="1"/>
  </r>
  <r>
    <s v="DCBWPM166271"/>
    <d v="2026-06-04T00:00:00"/>
    <s v="Hassan Taleb"/>
    <x v="0"/>
    <s v="Arabian International Company For Contracting"/>
    <s v="MP1"/>
    <x v="0"/>
    <x v="6"/>
    <s v="SAR"/>
    <n v="1020088"/>
    <n v="500000"/>
    <n v="1"/>
    <n v="500000"/>
    <n v="0"/>
    <n v="500000"/>
    <n v="0"/>
    <n v="500000"/>
    <n v="0"/>
    <m/>
    <d v="2026-08-31T00:00:00"/>
    <d v="2026-08-31T00:00:00"/>
    <m/>
    <m/>
    <m/>
    <n v="0"/>
    <m/>
    <x v="4"/>
    <s v="Credit"/>
    <s v="120 Days from Applicant representative sign on Invoice"/>
    <x v="1"/>
  </r>
  <r>
    <s v="J209951"/>
    <d v="2025-01-27T00:00:00"/>
    <s v="Rabih Makhoul"/>
    <x v="0"/>
    <s v="Arabian Plastic Manufacturing Co. Ltd"/>
    <s v="Opera House"/>
    <x v="0"/>
    <x v="5"/>
    <s v="SAR"/>
    <n v="1020100"/>
    <n v="600000"/>
    <n v="1"/>
    <n v="600000"/>
    <n v="600000"/>
    <n v="0"/>
    <n v="0"/>
    <n v="0"/>
    <n v="0"/>
    <m/>
    <d v="2025-03-31T00:00:00"/>
    <d v="2025-03-04T00:00:00"/>
    <m/>
    <m/>
    <m/>
    <n v="0"/>
    <m/>
    <x v="3"/>
    <s v="Credit"/>
    <s v="90 Days from Invoice Date"/>
    <x v="0"/>
  </r>
  <r>
    <s v="JLC6901617_Cash"/>
    <d v="2025-09-11T00:00:00"/>
    <s v="Luis Puente"/>
    <x v="0"/>
    <s v="Arabian Point Eight Power Co.Ltd."/>
    <s v="Cash"/>
    <x v="0"/>
    <x v="7"/>
    <s v="SAR"/>
    <n v="1020096"/>
    <n v="333060.53999999998"/>
    <n v="1"/>
    <n v="333060.53999999998"/>
    <n v="0"/>
    <n v="333060.53999999998"/>
    <n v="0"/>
    <n v="333060.53999999998"/>
    <n v="0"/>
    <m/>
    <d v="2025-11-30T00:00:00"/>
    <d v="2025-11-30T00:00:00"/>
    <m/>
    <m/>
    <n v="333060.53999999998"/>
    <n v="0"/>
    <m/>
    <x v="1"/>
    <s v="Cash"/>
    <s v="120 Days from Invoice Date"/>
    <x v="0"/>
  </r>
  <r>
    <s v="JLC6901617_Cre"/>
    <d v="2025-09-11T00:00:00"/>
    <s v="Luis Puente"/>
    <x v="0"/>
    <s v="Arabian Point Eight Power Co.Ltd."/>
    <s v="Oceanarium"/>
    <x v="0"/>
    <x v="7"/>
    <s v="SAR"/>
    <n v="1020096"/>
    <n v="66939.460000000021"/>
    <n v="1"/>
    <n v="66939.460000000021"/>
    <n v="0"/>
    <n v="66939.460000000006"/>
    <n v="0"/>
    <n v="66939.460000000006"/>
    <n v="0"/>
    <m/>
    <d v="2025-11-30T00:00:00"/>
    <d v="2025-11-30T00:00:00"/>
    <m/>
    <m/>
    <m/>
    <n v="0"/>
    <m/>
    <x v="1"/>
    <s v="Credit"/>
    <s v="120 Days from Invoice Date"/>
    <x v="0"/>
  </r>
  <r>
    <s v="DCBWPM512796"/>
    <d v="2024-07-31T00:00:00"/>
    <s v="Tareeq Telmasani"/>
    <x v="0"/>
    <s v="Arabian Roofs Company"/>
    <s v="CEER"/>
    <x v="2"/>
    <x v="3"/>
    <s v="SAR"/>
    <n v="1020091"/>
    <n v="30000000"/>
    <n v="1"/>
    <n v="30000000"/>
    <n v="0"/>
    <n v="30000000"/>
    <n v="0"/>
    <n v="30000000"/>
    <n v="0"/>
    <m/>
    <d v="2025-03-31T00:00:00"/>
    <d v="2025-03-19T00:00:00"/>
    <m/>
    <m/>
    <m/>
    <n v="0"/>
    <m/>
    <x v="4"/>
    <s v="Credit"/>
    <s v="Sight"/>
    <x v="0"/>
  </r>
  <r>
    <s v="TF2301278790"/>
    <d v="2023-01-12T00:00:00"/>
    <s v="Hassan Taleb"/>
    <x v="0"/>
    <s v="ARCELORMITTAL COMMERICAL SECTION"/>
    <s v="KSP"/>
    <x v="2"/>
    <x v="0"/>
    <s v="USD"/>
    <n v="1020055"/>
    <n v="2496892.84"/>
    <n v="3.75"/>
    <n v="9363348.1499999985"/>
    <n v="8554426.0360599998"/>
    <n v="808922.11"/>
    <n v="0"/>
    <n v="808922.11"/>
    <n v="0"/>
    <m/>
    <d v="2023-04-21T00:00:00"/>
    <d v="2023-04-21T00:00:00"/>
    <m/>
    <m/>
    <m/>
    <n v="0"/>
    <m/>
    <x v="0"/>
    <s v="Credit"/>
    <m/>
    <x v="0"/>
  </r>
  <r>
    <s v="JLC6701492"/>
    <d v="2023-08-23T00:00:00"/>
    <s v="Wissam Arafa"/>
    <x v="0"/>
    <s v="ARCELORMITTAL DSTC FZE"/>
    <s v="Multipurpose"/>
    <x v="11"/>
    <x v="16"/>
    <s v="EUR"/>
    <n v="1020076"/>
    <n v="25798747"/>
    <n v="4.2647402999999997"/>
    <n v="110024956.02040409"/>
    <n v="100636126.86688"/>
    <n v="9388829.1500000004"/>
    <n v="0"/>
    <n v="9388829.1500000004"/>
    <n v="0"/>
    <m/>
    <d v="2024-08-31T00:00:00"/>
    <d v="2024-08-31T00:00:00"/>
    <m/>
    <m/>
    <m/>
    <n v="0"/>
    <m/>
    <x v="1"/>
    <s v="Credit"/>
    <s v="45 Days from B/L DATE"/>
    <x v="0"/>
  </r>
  <r>
    <s v="DCBWPM551279"/>
    <d v="2025-01-26T00:00:00"/>
    <s v="Tareeq Telmasani"/>
    <x v="0"/>
    <s v="Arnon Plastic Industries Co Ltd"/>
    <s v="CEER"/>
    <x v="2"/>
    <x v="3"/>
    <s v="SAR"/>
    <n v="1020091"/>
    <n v="15413737.5"/>
    <n v="1"/>
    <n v="15413737.5"/>
    <n v="12872983.999999998"/>
    <n v="2540753.5"/>
    <n v="0"/>
    <n v="2540753.5"/>
    <n v="0"/>
    <m/>
    <d v="2025-09-15T00:00:00"/>
    <d v="2025-08-30T00:00:00"/>
    <m/>
    <m/>
    <m/>
    <n v="0"/>
    <m/>
    <x v="4"/>
    <s v="Credit"/>
    <s v="90 Days from Invoice Date"/>
    <x v="0"/>
  </r>
  <r>
    <s v="JLC6901487"/>
    <d v="2025-08-14T00:00:00"/>
    <s v="Muhammed Khan"/>
    <x v="0"/>
    <s v="ASCO Company Ltd"/>
    <s v="Cash"/>
    <x v="1"/>
    <x v="1"/>
    <s v="SAR"/>
    <m/>
    <n v="222582"/>
    <n v="1"/>
    <n v="222582"/>
    <n v="83778"/>
    <n v="138804"/>
    <n v="0"/>
    <n v="138804"/>
    <n v="0"/>
    <m/>
    <d v="2025-09-30T00:00:00"/>
    <d v="2025-09-15T00:00:00"/>
    <m/>
    <m/>
    <m/>
    <m/>
    <s v="Margin refunded - 138804.50 SAR"/>
    <x v="1"/>
    <s v="Cash"/>
    <s v="Sight"/>
    <x v="0"/>
  </r>
  <r>
    <s v="DCBWPM560155"/>
    <d v="2025-06-23T00:00:00"/>
    <s v="Tareeq - Premium"/>
    <x v="0"/>
    <s v="ASSA ABLOY ENTRANCE SYSTEMS SAUDI CO."/>
    <s v="CEER"/>
    <x v="9"/>
    <x v="3"/>
    <s v="SAR"/>
    <n v="1020091"/>
    <n v="1150000"/>
    <n v="1"/>
    <n v="1150000"/>
    <n v="575000"/>
    <n v="575000"/>
    <n v="0"/>
    <n v="575000"/>
    <n v="0"/>
    <m/>
    <d v="2025-11-15T00:00:00"/>
    <d v="2025-10-30T00:00:00"/>
    <m/>
    <m/>
    <m/>
    <n v="0"/>
    <m/>
    <x v="4"/>
    <s v="Credit"/>
    <s v="90 Days from Invoice Date"/>
    <x v="0"/>
  </r>
  <r>
    <s v="TF2513500016"/>
    <d v="2025-05-15T00:00:00"/>
    <s v="Hassan Taleb"/>
    <x v="0"/>
    <s v="ATC Saudi Co."/>
    <s v="KSP"/>
    <x v="0"/>
    <x v="0"/>
    <s v="SAR"/>
    <n v="1020055"/>
    <n v="167957.5"/>
    <n v="1"/>
    <n v="167957.5"/>
    <n v="167967.5"/>
    <n v="-10"/>
    <n v="0"/>
    <n v="-10"/>
    <n v="0"/>
    <m/>
    <d v="2025-08-31T00:00:00"/>
    <d v="2025-08-31T00:00:00"/>
    <m/>
    <m/>
    <m/>
    <n v="0"/>
    <m/>
    <x v="0"/>
    <s v="Credit"/>
    <s v="120 Days from Invoice Date"/>
    <x v="0"/>
  </r>
  <r>
    <s v="IM2513133003"/>
    <d v="2025-05-11T00:00:00"/>
    <s v="Hassan Taleb"/>
    <x v="0"/>
    <s v="ATEEQ AL-LUQMANI EST"/>
    <s v="Cash"/>
    <x v="0"/>
    <x v="5"/>
    <s v="SAR"/>
    <n v="1020100"/>
    <n v="400000"/>
    <n v="1"/>
    <n v="400000"/>
    <n v="400000"/>
    <n v="0"/>
    <n v="0"/>
    <n v="0"/>
    <n v="0"/>
    <m/>
    <d v="2025-07-31T00:00:00"/>
    <d v="2025-07-31T00:00:00"/>
    <m/>
    <m/>
    <m/>
    <n v="0"/>
    <m/>
    <x v="2"/>
    <s v="Cash"/>
    <s v="120 Days from Invoice Date"/>
    <x v="0"/>
  </r>
  <r>
    <s v="JLC6701731"/>
    <d v="2023-08-30T00:00:00"/>
    <s v="Dipu Sir"/>
    <x v="0"/>
    <s v="ATELIER HOSPITALITY SRL"/>
    <s v="Cash"/>
    <x v="2"/>
    <x v="17"/>
    <s v="EUR"/>
    <n v="1020015"/>
    <n v="50762045.400000006"/>
    <n v="4.1680000000000001"/>
    <n v="211576205.22720003"/>
    <n v="210445911.24020118"/>
    <n v="1130293.99"/>
    <n v="0"/>
    <n v="1130293.99"/>
    <n v="0"/>
    <m/>
    <d v="2026-06-30T00:00:00"/>
    <d v="2025-04-15T00:00:00"/>
    <m/>
    <m/>
    <n v="118762.64"/>
    <n v="0"/>
    <m/>
    <x v="1"/>
    <s v="Cash"/>
    <s v="30 days from the date of comm. inv."/>
    <x v="1"/>
  </r>
  <r>
    <s v="DCBWPM163953"/>
    <d v="2026-04-06T00:00:00"/>
    <s v="Hassan Taleb"/>
    <x v="0"/>
    <s v="Atiaf International Trading Company"/>
    <s v="MP1"/>
    <x v="0"/>
    <x v="6"/>
    <s v="SAR"/>
    <n v="1020088"/>
    <n v="150000"/>
    <n v="1"/>
    <n v="150000"/>
    <n v="0"/>
    <n v="150000"/>
    <n v="93855.09"/>
    <n v="56144.91"/>
    <n v="55822.96"/>
    <s v="01/08/2026"/>
    <d v="2026-06-30T00:00:00"/>
    <d v="2026-06-30T00:00:00"/>
    <m/>
    <m/>
    <m/>
    <n v="0"/>
    <m/>
    <x v="4"/>
    <s v="Credit"/>
    <s v="90 Days from App Rep Sign on Invoice"/>
    <x v="1"/>
  </r>
  <r>
    <s v="TF2521100011"/>
    <d v="2025-07-31T00:00:00"/>
    <s v="Hassan Taleb"/>
    <x v="0"/>
    <s v="ATLANTIC SUPPLIES FOR TRADING"/>
    <s v="KSP"/>
    <x v="0"/>
    <x v="0"/>
    <s v="SAR"/>
    <n v="1020055"/>
    <n v="311571.08"/>
    <n v="1"/>
    <n v="311571.08"/>
    <n v="311571.08"/>
    <n v="0"/>
    <n v="0"/>
    <n v="0"/>
    <n v="0"/>
    <m/>
    <d v="2025-10-31T00:00:00"/>
    <d v="2025-10-31T00:00:00"/>
    <m/>
    <m/>
    <m/>
    <n v="0"/>
    <m/>
    <x v="0"/>
    <s v="Credit"/>
    <s v="120 Days from Invoice Date"/>
    <x v="0"/>
  </r>
  <r>
    <s v="DCBWPM563017"/>
    <d v="2025-07-31T00:00:00"/>
    <s v="Tareeq Telmasani"/>
    <x v="0"/>
    <s v="Atlas Industrial Equipment Co."/>
    <s v="CEER"/>
    <x v="0"/>
    <x v="3"/>
    <s v="SAR"/>
    <n v="1020091"/>
    <n v="4030520.1"/>
    <n v="1"/>
    <n v="4030520.1"/>
    <n v="4030520.1"/>
    <n v="0"/>
    <n v="0"/>
    <n v="0"/>
    <n v="0"/>
    <m/>
    <d v="2025-10-31T00:00:00"/>
    <d v="2025-10-31T00:00:00"/>
    <m/>
    <m/>
    <m/>
    <n v="0"/>
    <m/>
    <x v="4"/>
    <s v="Credit"/>
    <s v="150 Days from Appl. Representative Sign"/>
    <x v="0"/>
  </r>
  <r>
    <s v="TF2517700068"/>
    <d v="2025-06-26T00:00:00"/>
    <s v="Hassan Taleb"/>
    <x v="0"/>
    <s v="Awad Batel Bin Awad Al Rashidi Contracting Est."/>
    <s v="KSP"/>
    <x v="0"/>
    <x v="5"/>
    <s v="SAR"/>
    <n v="1020100"/>
    <n v="204357"/>
    <n v="1"/>
    <n v="204357"/>
    <n v="204357"/>
    <n v="0"/>
    <n v="0"/>
    <n v="0"/>
    <n v="0"/>
    <m/>
    <d v="2025-10-31T00:00:00"/>
    <d v="2025-10-31T00:00:00"/>
    <m/>
    <m/>
    <m/>
    <n v="0"/>
    <m/>
    <x v="0"/>
    <s v="Credit"/>
    <s v="120 Days from Invoice Date"/>
    <x v="0"/>
  </r>
  <r>
    <s v="DCBWPM563372"/>
    <d v="2025-08-06T00:00:00"/>
    <s v="Tareeq Telmasani"/>
    <x v="0"/>
    <s v="Awraq Alqyqb Lltjart Company"/>
    <s v="CEER"/>
    <x v="0"/>
    <x v="3"/>
    <s v="SAR"/>
    <n v="1020091"/>
    <n v="850000"/>
    <n v="1"/>
    <n v="850000"/>
    <n v="850000"/>
    <n v="0"/>
    <n v="0"/>
    <n v="0"/>
    <n v="0"/>
    <m/>
    <d v="2025-12-31T00:00:00"/>
    <d v="2025-12-31T00:00:00"/>
    <m/>
    <m/>
    <m/>
    <n v="0"/>
    <m/>
    <x v="4"/>
    <s v="Credit"/>
    <s v="120 Days from Appl. Representative Sign"/>
    <x v="0"/>
  </r>
  <r>
    <s v="TF2510400017"/>
    <d v="2025-04-14T00:00:00"/>
    <s v="Rabih Makhoul"/>
    <x v="0"/>
    <s v="Awtad Jeddah for General Contracting Company"/>
    <s v="KSP"/>
    <x v="2"/>
    <x v="8"/>
    <s v="SAR"/>
    <n v="1020107"/>
    <n v="5233040.5"/>
    <n v="1"/>
    <n v="5233040.5"/>
    <n v="2737068.33"/>
    <n v="2495972.17"/>
    <n v="0"/>
    <n v="2495972.17"/>
    <n v="0"/>
    <m/>
    <d v="2025-10-30T00:00:00"/>
    <d v="2025-10-15T00:00:00"/>
    <m/>
    <m/>
    <m/>
    <n v="0"/>
    <m/>
    <x v="0"/>
    <s v="Credit"/>
    <s v="45 Days from Applicant Sign on Invoice"/>
    <x v="0"/>
  </r>
  <r>
    <s v="TF2606300014"/>
    <d v="2026-03-04T00:00:00"/>
    <s v="Rabih Makhoul"/>
    <x v="0"/>
    <s v="Awtad Jeddah for General Contracting Company"/>
    <s v="KSP"/>
    <x v="2"/>
    <x v="8"/>
    <s v="SAR"/>
    <n v="1020107"/>
    <n v="2495972.17"/>
    <n v="1"/>
    <n v="2495972.17"/>
    <n v="1548792.03"/>
    <n v="947180.14"/>
    <n v="0"/>
    <n v="947180.14"/>
    <n v="0"/>
    <m/>
    <d v="2026-08-01T00:00:00"/>
    <d v="2026-08-01T00:00:00"/>
    <m/>
    <m/>
    <m/>
    <n v="0"/>
    <m/>
    <x v="0"/>
    <s v="Credit"/>
    <s v="45 Days from Invoice Date"/>
    <x v="1"/>
  </r>
  <r>
    <s v="ILC-0840-25-7736"/>
    <d v="2025-05-27T00:00:00"/>
    <s v="Hassan Taleb"/>
    <x v="0"/>
    <s v="Baamer Group for Trading Company"/>
    <s v="RCRC"/>
    <x v="0"/>
    <x v="11"/>
    <s v="SAR"/>
    <n v="1020106"/>
    <n v="312828.75"/>
    <n v="1"/>
    <n v="312828.75"/>
    <n v="262776.15000000002"/>
    <n v="50052.6"/>
    <n v="0"/>
    <n v="50052.6"/>
    <n v="0"/>
    <m/>
    <d v="2026-06-30T00:00:00"/>
    <d v="2026-06-30T00:00:00"/>
    <m/>
    <m/>
    <m/>
    <n v="0"/>
    <m/>
    <x v="6"/>
    <s v="Credit"/>
    <s v="90 Days from Invoice Date"/>
    <x v="1"/>
  </r>
  <r>
    <s v="DCBWPM164007"/>
    <d v="2026-04-06T00:00:00"/>
    <s v="Hassan Taleb"/>
    <x v="0"/>
    <s v="Bahra Advanced Cable Manufacture Co."/>
    <s v="MP1"/>
    <x v="0"/>
    <x v="6"/>
    <s v="SAR"/>
    <n v="1020088"/>
    <n v="1000000"/>
    <n v="1"/>
    <n v="1000000"/>
    <n v="0"/>
    <n v="1000000"/>
    <n v="0"/>
    <n v="1000000"/>
    <n v="0"/>
    <m/>
    <d v="2026-06-30T00:00:00"/>
    <d v="2026-06-30T00:00:00"/>
    <m/>
    <m/>
    <m/>
    <n v="0"/>
    <m/>
    <x v="4"/>
    <s v="Credit"/>
    <s v="90 Days from App Rep Sign on Invoice"/>
    <x v="1"/>
  </r>
  <r>
    <s v="DCBWPM160343"/>
    <d v="2026-01-15T00:00:00"/>
    <s v="Hassan Taleb"/>
    <x v="0"/>
    <s v="BAHRA ADVANCED CABLE MANUFACTURE CO. LTD"/>
    <s v="MP1"/>
    <x v="0"/>
    <x v="6"/>
    <s v="SAR"/>
    <n v="1020088"/>
    <n v="1500000"/>
    <n v="1"/>
    <n v="1500000"/>
    <n v="0"/>
    <n v="1500000"/>
    <n v="1377731.72"/>
    <n v="122268.28"/>
    <n v="0"/>
    <s v="02/08/2026"/>
    <d v="2026-06-30T00:00:00"/>
    <d v="2026-06-30T00:00:00"/>
    <m/>
    <m/>
    <m/>
    <n v="0"/>
    <m/>
    <x v="4"/>
    <s v="Credit"/>
    <s v="90 Days from Applicant representative sign on Invoice"/>
    <x v="1"/>
  </r>
  <r>
    <s v="DCBWPM565843"/>
    <d v="2025-09-14T00:00:00"/>
    <s v="Hassan Taleb"/>
    <x v="0"/>
    <s v="BAHRA ADVANCED CABLE MANUFACTURE CO. LTD."/>
    <s v="MP1"/>
    <x v="0"/>
    <x v="6"/>
    <s v="SAR"/>
    <n v="1020088"/>
    <n v="1500000"/>
    <n v="1"/>
    <n v="1500000"/>
    <n v="1071489.43"/>
    <n v="428510.57"/>
    <n v="427806.8"/>
    <n v="703.77"/>
    <n v="0"/>
    <s v="16/07/2026"/>
    <d v="2026-06-30T00:00:00"/>
    <d v="2026-06-30T00:00:00"/>
    <m/>
    <m/>
    <m/>
    <n v="0"/>
    <m/>
    <x v="4"/>
    <s v="Credit"/>
    <s v="120 Days from Invoice Date"/>
    <x v="1"/>
  </r>
  <r>
    <s v="TF2431898506"/>
    <d v="2024-11-14T00:00:00"/>
    <s v="Rabih Makhoul"/>
    <x v="0"/>
    <s v="Bahra Advanced Cable Manufacture Co.Ltd"/>
    <s v="KSP"/>
    <x v="2"/>
    <x v="14"/>
    <s v="SAR"/>
    <n v="1020060"/>
    <n v="3259208.68"/>
    <n v="1"/>
    <n v="3259208.68"/>
    <n v="3084055.03"/>
    <n v="175153.65"/>
    <n v="0"/>
    <n v="175153.65"/>
    <n v="0"/>
    <m/>
    <d v="2025-03-31T00:00:00"/>
    <d v="2025-03-04T00:00:00"/>
    <m/>
    <m/>
    <m/>
    <n v="0"/>
    <m/>
    <x v="0"/>
    <s v="Credit"/>
    <s v="45 Days from Invoice Date"/>
    <x v="0"/>
  </r>
  <r>
    <s v="TF2429897815"/>
    <d v="2024-10-31T00:00:00"/>
    <s v="Rabih Makhoul"/>
    <x v="0"/>
    <s v="Bahra Advanced Cable Manufacture Co.Ltd"/>
    <s v="KSP"/>
    <x v="0"/>
    <x v="5"/>
    <s v="SAR"/>
    <n v="1020100"/>
    <n v="900000"/>
    <n v="1"/>
    <n v="900000"/>
    <n v="840873.63"/>
    <n v="59126.37"/>
    <n v="0"/>
    <n v="59126.37"/>
    <n v="0"/>
    <m/>
    <d v="2025-06-30T00:00:00"/>
    <d v="2025-04-13T00:00:00"/>
    <m/>
    <m/>
    <m/>
    <n v="0"/>
    <m/>
    <x v="0"/>
    <s v="Credit"/>
    <s v="90 Days from Invoice Date"/>
    <x v="0"/>
  </r>
  <r>
    <s v="J209517"/>
    <d v="2024-11-19T00:00:00"/>
    <s v="Hassan Taleb"/>
    <x v="0"/>
    <s v="Bahra Advanced Cable Manufacture Co.Ltd"/>
    <s v="Opera House"/>
    <x v="0"/>
    <x v="0"/>
    <s v="SAR"/>
    <n v="1020055"/>
    <n v="526225.01500000095"/>
    <n v="1"/>
    <n v="526225.01500000095"/>
    <n v="526225.02"/>
    <n v="0"/>
    <n v="0"/>
    <n v="0"/>
    <n v="0"/>
    <m/>
    <d v="2025-04-30T00:00:00"/>
    <d v="2025-04-04T00:00:00"/>
    <m/>
    <m/>
    <m/>
    <n v="0"/>
    <m/>
    <x v="3"/>
    <s v="Credit"/>
    <s v="90 Days from Invoice Date"/>
    <x v="0"/>
  </r>
  <r>
    <s v="DCBWPM558768"/>
    <d v="2025-06-02T00:00:00"/>
    <s v="Hassan Taleb"/>
    <x v="0"/>
    <s v="Bahra Advanced Cable Manufacture Co.Ltd"/>
    <s v="MP1"/>
    <x v="0"/>
    <x v="6"/>
    <s v="SAR"/>
    <n v="1020088"/>
    <n v="875313.5"/>
    <n v="1"/>
    <n v="875313.5"/>
    <n v="875194.28"/>
    <n v="119.22"/>
    <n v="0"/>
    <n v="119.22"/>
    <n v="0"/>
    <m/>
    <d v="2025-10-31T00:00:00"/>
    <d v="2025-10-31T00:00:00"/>
    <m/>
    <m/>
    <m/>
    <n v="0"/>
    <m/>
    <x v="4"/>
    <s v="Credit"/>
    <s v="120 Days from Invoice Date"/>
    <x v="0"/>
  </r>
  <r>
    <s v="TF2523800026"/>
    <d v="2025-08-27T00:00:00"/>
    <s v="Rabih Makhoul"/>
    <x v="0"/>
    <s v="Bahra Advanced Cable Manufacture Co.Ltd"/>
    <s v="KSP"/>
    <x v="2"/>
    <x v="14"/>
    <s v="SAR"/>
    <n v="1020060"/>
    <n v="175153.65"/>
    <n v="1"/>
    <n v="175153.65"/>
    <n v="0"/>
    <n v="175153.65"/>
    <n v="0"/>
    <n v="175153.65"/>
    <n v="0"/>
    <m/>
    <d v="2025-10-08T00:00:00"/>
    <d v="2025-09-20T00:00:00"/>
    <m/>
    <m/>
    <m/>
    <n v="0"/>
    <m/>
    <x v="0"/>
    <s v="Credit"/>
    <s v="90 Days from Invoice Date"/>
    <x v="0"/>
  </r>
  <r>
    <s v="J209175"/>
    <d v="2024-09-16T00:00:00"/>
    <s v="Hassan Taleb"/>
    <x v="0"/>
    <s v="BANAN THIBA TRADING EST"/>
    <s v="Opera House"/>
    <x v="0"/>
    <x v="0"/>
    <s v="SAR"/>
    <n v="1020055"/>
    <n v="500000"/>
    <n v="1"/>
    <n v="500000"/>
    <n v="500000"/>
    <n v="0"/>
    <n v="0"/>
    <n v="0"/>
    <n v="0"/>
    <m/>
    <d v="2024-11-30T00:00:00"/>
    <d v="2024-11-04T00:00:00"/>
    <m/>
    <m/>
    <m/>
    <n v="0"/>
    <m/>
    <x v="3"/>
    <s v="Credit"/>
    <s v="90 Days from Invoice Date"/>
    <x v="0"/>
  </r>
  <r>
    <s v="J209958"/>
    <d v="2025-01-27T00:00:00"/>
    <s v="Rabih Makhoul"/>
    <x v="0"/>
    <s v="Banan Thiba Trading Est (BTT)"/>
    <s v="Opera House"/>
    <x v="0"/>
    <x v="5"/>
    <s v="SAR"/>
    <n v="1020100"/>
    <n v="900000"/>
    <n v="1"/>
    <n v="900000"/>
    <n v="781791.28"/>
    <n v="118208.72"/>
    <n v="0"/>
    <n v="118208.72"/>
    <n v="0"/>
    <m/>
    <d v="2026-06-30T00:00:00"/>
    <d v="2026-06-30T00:00:00"/>
    <m/>
    <m/>
    <m/>
    <n v="0"/>
    <m/>
    <x v="3"/>
    <s v="Credit"/>
    <s v="90 Days from Invoice Date"/>
    <x v="1"/>
  </r>
  <r>
    <s v="J209341"/>
    <d v="2024-10-14T00:00:00"/>
    <s v="Hassan Taleb"/>
    <x v="0"/>
    <s v="Banan Thiba Trading Est. (BTT)"/>
    <s v="Opera House"/>
    <x v="0"/>
    <x v="0"/>
    <s v="SAR"/>
    <n v="1020055"/>
    <n v="933207.66"/>
    <n v="1"/>
    <n v="933207.66"/>
    <n v="916299.21"/>
    <n v="16908.45"/>
    <n v="0"/>
    <n v="16908.45"/>
    <n v="0"/>
    <m/>
    <d v="2024-12-31T00:00:00"/>
    <d v="2024-12-04T00:00:00"/>
    <m/>
    <m/>
    <m/>
    <n v="0"/>
    <m/>
    <x v="3"/>
    <s v="Credit"/>
    <s v="90 Days from Invoice Date"/>
    <x v="0"/>
  </r>
  <r>
    <s v="IM2512733016"/>
    <d v="2025-05-08T00:00:00"/>
    <s v="Matthew Mckernan"/>
    <x v="0"/>
    <s v="Bawan Metal Industries Company"/>
    <s v="Cash"/>
    <x v="2"/>
    <x v="7"/>
    <s v="SAR"/>
    <n v="1020096"/>
    <n v="10893375"/>
    <n v="1"/>
    <n v="10893375"/>
    <n v="10893375"/>
    <n v="0"/>
    <n v="0"/>
    <n v="0"/>
    <n v="0"/>
    <m/>
    <d v="2025-08-31T00:00:00"/>
    <d v="2025-08-31T00:00:00"/>
    <m/>
    <m/>
    <m/>
    <n v="0"/>
    <m/>
    <x v="2"/>
    <s v="Cash"/>
    <s v="120 Days from Invoice Date"/>
    <x v="0"/>
  </r>
  <r>
    <s v="TF2320583838"/>
    <d v="2023-07-18T00:00:00"/>
    <s v="Mohammed Atef"/>
    <x v="0"/>
    <s v="BBH-CHEMTROL INTERNATIONAL ORGANIZATION S.L"/>
    <s v="KSP"/>
    <x v="4"/>
    <x v="0"/>
    <s v="EUR"/>
    <n v="1020055"/>
    <n v="8182985"/>
    <n v="3.9586999999999999"/>
    <n v="32393982.719499998"/>
    <n v="29771388.196412001"/>
    <n v="2622594.52"/>
    <n v="0"/>
    <n v="2622594.52"/>
    <n v="0"/>
    <m/>
    <d v="2025-04-14T00:00:00"/>
    <d v="2025-03-31T00:00:00"/>
    <m/>
    <m/>
    <m/>
    <n v="0"/>
    <m/>
    <x v="0"/>
    <s v="Credit"/>
    <s v="30 Days from Shipment Date"/>
    <x v="0"/>
  </r>
  <r>
    <s v="J210104"/>
    <d v="2025-03-11T00:00:00"/>
    <s v="Chaminda Indrajit"/>
    <x v="0"/>
    <s v="BBH-CHEMTROL INTERNATIONAL ORGANIZATION S.L"/>
    <s v="Opera House"/>
    <x v="4"/>
    <x v="10"/>
    <s v="EUR"/>
    <n v="1020097"/>
    <n v="10500000"/>
    <n v="4.056"/>
    <n v="42588000"/>
    <n v="12335918.542009998"/>
    <n v="30252081.460000001"/>
    <n v="9527337.3100000005"/>
    <n v="20724744.149999999"/>
    <n v="0"/>
    <s v="25/06/2026 , 29/06/2026"/>
    <d v="2027-01-21T00:00:00"/>
    <d v="2026-12-09T00:00:00"/>
    <m/>
    <m/>
    <m/>
    <n v="0"/>
    <s v="to bank on 01-06 | Shipment Date - 31-12-2026"/>
    <x v="3"/>
    <s v="Credit"/>
    <s v="30 Days from Shipment Date"/>
    <x v="1"/>
  </r>
  <r>
    <s v="TF2519400032"/>
    <d v="2025-07-15T00:00:00"/>
    <s v="Pierre Samaha"/>
    <x v="0"/>
    <s v="BBH-CHEMTROL INTERNATIONAL ORGANIZATION S.L"/>
    <s v="KSP"/>
    <x v="4"/>
    <x v="0"/>
    <s v="EUR"/>
    <n v="1020055"/>
    <n v="240542.66"/>
    <n v="4.3594999999999997"/>
    <n v="1048645.72627"/>
    <n v="381401.93062999996"/>
    <n v="667243.80000000005"/>
    <n v="0"/>
    <n v="667243.80000000005"/>
    <n v="0"/>
    <m/>
    <d v="2025-12-31T00:00:00"/>
    <d v="2025-12-10T00:00:00"/>
    <m/>
    <m/>
    <m/>
    <n v="0"/>
    <m/>
    <x v="0"/>
    <s v="Credit"/>
    <s v="90 Days from Shipment Date"/>
    <x v="0"/>
  </r>
  <r>
    <s v="TF2535900016"/>
    <d v="2025-12-25T00:00:00"/>
    <s v="Hashmat Khan"/>
    <x v="0"/>
    <s v="BBH-CHEMTROL INTERNATIONAL ORGANIZATION S.L"/>
    <s v="KSP"/>
    <x v="5"/>
    <x v="0"/>
    <s v="EUR"/>
    <n v="1020055"/>
    <n v="1687320.39"/>
    <n v="4.5"/>
    <n v="7592941.7549999999"/>
    <n v="703586.90607999999"/>
    <n v="6889354.8499999996"/>
    <n v="0"/>
    <n v="6889354.8499999996"/>
    <n v="675197.28"/>
    <m/>
    <d v="2026-12-25T00:00:00"/>
    <d v="2026-12-25T00:00:00"/>
    <m/>
    <m/>
    <m/>
    <n v="0"/>
    <m/>
    <x v="0"/>
    <s v="Credit"/>
    <s v="60 Days from Invoice Date"/>
    <x v="1"/>
  </r>
  <r>
    <s v="J211945"/>
    <d v="2026-02-12T00:00:00"/>
    <s v="Hashmat Khan"/>
    <x v="0"/>
    <s v="BeWunder Turnkey Projects Arabia Contracting Company"/>
    <s v="Opera House"/>
    <x v="5"/>
    <x v="10"/>
    <s v="SAR"/>
    <n v="1020097"/>
    <n v="5000000"/>
    <n v="1"/>
    <n v="5000000"/>
    <n v="0"/>
    <n v="5000000"/>
    <n v="0"/>
    <n v="5000000"/>
    <n v="0"/>
    <m/>
    <d v="2026-04-26T00:00:00"/>
    <d v="2026-04-01T00:00:00"/>
    <m/>
    <m/>
    <m/>
    <n v="0"/>
    <m/>
    <x v="3"/>
    <s v="Credit"/>
    <s v="60 Days from Invoice Date"/>
    <x v="0"/>
  </r>
  <r>
    <s v="J210021"/>
    <d v="2025-02-05T00:00:00"/>
    <s v="Hassan Taleb"/>
    <x v="0"/>
    <s v="Br. Mumtaz &amp; Construction Co."/>
    <s v="Opera House"/>
    <x v="0"/>
    <x v="0"/>
    <s v="SAR"/>
    <n v="1020055"/>
    <n v="1000000"/>
    <n v="1"/>
    <n v="1000000"/>
    <n v="1000000"/>
    <n v="0"/>
    <n v="0"/>
    <n v="0"/>
    <n v="0"/>
    <m/>
    <d v="2025-04-30T00:00:00"/>
    <d v="2025-04-30T00:00:00"/>
    <m/>
    <m/>
    <m/>
    <n v="0"/>
    <m/>
    <x v="3"/>
    <s v="Credit"/>
    <s v="90 Days from Invoice Date"/>
    <x v="0"/>
  </r>
  <r>
    <s v="TF2514700064"/>
    <d v="2025-05-27T00:00:00"/>
    <s v="Hassan Taleb"/>
    <x v="0"/>
    <s v="BR.MUMTAZ &amp; CONSTRUCTION CO.MIRPUR A.K."/>
    <s v="KSP"/>
    <x v="0"/>
    <x v="0"/>
    <s v="SAR"/>
    <n v="1020055"/>
    <n v="250000"/>
    <n v="1"/>
    <n v="250000"/>
    <n v="250000"/>
    <n v="0"/>
    <n v="0"/>
    <n v="0"/>
    <n v="0"/>
    <m/>
    <d v="2025-08-31T00:00:00"/>
    <d v="2025-08-31T00:00:00"/>
    <m/>
    <m/>
    <m/>
    <n v="0"/>
    <m/>
    <x v="0"/>
    <s v="Credit"/>
    <s v="120 Days from Invoice Date"/>
    <x v="0"/>
  </r>
  <r>
    <s v="DCBWPM566637"/>
    <d v="2025-09-28T00:00:00"/>
    <s v="Hassan Taleb"/>
    <x v="0"/>
    <s v="Branch of National Fire Fighting"/>
    <s v="MP1"/>
    <x v="0"/>
    <x v="6"/>
    <s v="SAR"/>
    <n v="1020088"/>
    <n v="1500000"/>
    <n v="1"/>
    <n v="1500000"/>
    <n v="1500000"/>
    <n v="0"/>
    <n v="0"/>
    <n v="0"/>
    <n v="0"/>
    <m/>
    <d v="2025-12-31T00:00:00"/>
    <d v="2025-12-31T00:00:00"/>
    <m/>
    <m/>
    <m/>
    <n v="0"/>
    <m/>
    <x v="4"/>
    <s v="Credit"/>
    <s v="120 Days from Invoice Date"/>
    <x v="0"/>
  </r>
  <r>
    <s v="TF2324184986"/>
    <d v="2023-08-29T00:00:00"/>
    <s v="Hassan Taleb"/>
    <x v="0"/>
    <s v="Branch of National Fire Fighting (NAFFCO)"/>
    <s v="KSP"/>
    <x v="0"/>
    <x v="0"/>
    <s v="SAR"/>
    <n v="1020055"/>
    <n v="800000"/>
    <n v="1"/>
    <n v="800000"/>
    <n v="800000"/>
    <n v="0"/>
    <n v="0"/>
    <n v="0"/>
    <n v="0"/>
    <m/>
    <d v="2023-11-30T00:00:00"/>
    <d v="2023-11-30T00:00:00"/>
    <m/>
    <m/>
    <m/>
    <n v="0"/>
    <m/>
    <x v="0"/>
    <s v="Credit"/>
    <s v="60 Days from Delivery Date"/>
    <x v="0"/>
  </r>
  <r>
    <s v="TF2333887830"/>
    <d v="2023-12-11T00:00:00"/>
    <s v="Hassan Taleb"/>
    <x v="0"/>
    <s v="Branch of National Fire Fighting (NAFFCO)"/>
    <s v="KSP"/>
    <x v="0"/>
    <x v="0"/>
    <s v="SAR"/>
    <n v="1020055"/>
    <n v="1552500"/>
    <n v="1"/>
    <n v="1552500"/>
    <n v="1552500"/>
    <n v="0"/>
    <n v="0"/>
    <n v="0"/>
    <n v="0"/>
    <m/>
    <d v="2024-09-30T00:00:00"/>
    <d v="2024-09-09T00:00:00"/>
    <m/>
    <m/>
    <m/>
    <n v="0"/>
    <m/>
    <x v="0"/>
    <s v="Credit"/>
    <s v="60 Days from Delivery Date"/>
    <x v="0"/>
  </r>
  <r>
    <s v="IM2431833002"/>
    <d v="2024-11-13T00:00:00"/>
    <s v="Rabih Makhoul"/>
    <x v="0"/>
    <s v="Branch of National Fire Fighting (NAFFCO)"/>
    <s v="Multipurpose"/>
    <x v="0"/>
    <x v="5"/>
    <s v="SAR"/>
    <n v="1020100"/>
    <n v="2500000"/>
    <n v="1"/>
    <n v="2500000"/>
    <n v="2154117.0299999998"/>
    <n v="345882.97"/>
    <n v="0"/>
    <n v="345882.97"/>
    <n v="0"/>
    <m/>
    <d v="2025-02-28T00:00:00"/>
    <d v="2025-01-04T00:00:00"/>
    <m/>
    <m/>
    <m/>
    <n v="0"/>
    <m/>
    <x v="2"/>
    <s v="Credit"/>
    <s v="90 Days from Invoice Date"/>
    <x v="0"/>
  </r>
  <r>
    <s v="IM2500633009_Cre"/>
    <d v="2025-01-06T00:00:00"/>
    <s v="Hassan Taleb"/>
    <x v="0"/>
    <s v="Branch of National Fire Fighting (NAFFCO)"/>
    <s v="Multipurpose"/>
    <x v="0"/>
    <x v="0"/>
    <s v="SAR"/>
    <n v="1020055"/>
    <n v="665985.3600000001"/>
    <n v="1"/>
    <n v="665985.3600000001"/>
    <n v="665985.36"/>
    <n v="0"/>
    <n v="0"/>
    <n v="0"/>
    <n v="0"/>
    <m/>
    <d v="2025-09-30T00:00:00"/>
    <d v="2025-09-30T00:00:00"/>
    <m/>
    <m/>
    <m/>
    <n v="0"/>
    <m/>
    <x v="2"/>
    <s v="Credit"/>
    <s v="90 Days from Invoice Date"/>
    <x v="0"/>
  </r>
  <r>
    <s v="J209620"/>
    <d v="2024-12-08T00:00:00"/>
    <s v="Rabih Makhoul"/>
    <x v="0"/>
    <s v="Branch of National Fire Fighting (NAFFCO)"/>
    <s v="Opera House"/>
    <x v="0"/>
    <x v="5"/>
    <s v="SAR"/>
    <n v="1020100"/>
    <n v="522850"/>
    <n v="1"/>
    <n v="522850"/>
    <n v="522850"/>
    <n v="0"/>
    <n v="0"/>
    <n v="0"/>
    <n v="0"/>
    <m/>
    <d v="2025-02-28T00:00:00"/>
    <d v="2025-02-28T00:00:00"/>
    <m/>
    <m/>
    <m/>
    <n v="0"/>
    <m/>
    <x v="3"/>
    <s v="Credit"/>
    <s v="90 Days from Invoice Date"/>
    <x v="0"/>
  </r>
  <r>
    <s v="J209959"/>
    <d v="2025-01-27T00:00:00"/>
    <s v="Rabih Makhoul"/>
    <x v="0"/>
    <s v="Branch of National Fire Fighting (NAFFCO)"/>
    <s v="Opera House"/>
    <x v="0"/>
    <x v="5"/>
    <s v="SAR"/>
    <n v="1020100"/>
    <n v="800000"/>
    <n v="1"/>
    <n v="800000"/>
    <n v="800000"/>
    <n v="0"/>
    <n v="0"/>
    <n v="0"/>
    <n v="0"/>
    <m/>
    <d v="2025-06-30T00:00:00"/>
    <d v="2025-04-30T00:00:00"/>
    <m/>
    <m/>
    <m/>
    <n v="0"/>
    <m/>
    <x v="3"/>
    <s v="Credit"/>
    <s v="90 Days from Invoice Date"/>
    <x v="0"/>
  </r>
  <r>
    <s v="DCBWPM553752"/>
    <d v="2025-03-10T00:00:00"/>
    <s v="Hassan Taleb"/>
    <x v="0"/>
    <s v="Branch of National Fire Fighting (NAFFCO)"/>
    <s v="MP1"/>
    <x v="0"/>
    <x v="6"/>
    <s v="SAR"/>
    <n v="1020088"/>
    <n v="4952175"/>
    <n v="1"/>
    <n v="4952175"/>
    <n v="4952175"/>
    <n v="0"/>
    <n v="0"/>
    <n v="0"/>
    <n v="0"/>
    <m/>
    <d v="2025-07-31T00:00:00"/>
    <d v="2025-05-31T00:00:00"/>
    <m/>
    <m/>
    <m/>
    <n v="0"/>
    <m/>
    <x v="4"/>
    <s v="Credit"/>
    <s v="90 Days from Invoice Date"/>
    <x v="0"/>
  </r>
  <r>
    <s v="ILC-0840-25-7481"/>
    <d v="2025-03-27T00:00:00"/>
    <s v="Hassan Taleb"/>
    <x v="0"/>
    <s v="Branch of National Fire Fighting (NAFFCO)"/>
    <s v="RCRC"/>
    <x v="0"/>
    <x v="11"/>
    <s v="SAR"/>
    <n v="1020106"/>
    <n v="205980.49"/>
    <n v="1"/>
    <n v="205980.49"/>
    <n v="190776.59"/>
    <n v="15203.9"/>
    <n v="0"/>
    <n v="15203.9"/>
    <n v="0"/>
    <m/>
    <d v="2025-08-31T00:00:00"/>
    <d v="2025-08-31T00:00:00"/>
    <m/>
    <m/>
    <m/>
    <n v="0"/>
    <m/>
    <x v="6"/>
    <s v="Credit"/>
    <s v="60 Days from Invoice Date"/>
    <x v="0"/>
  </r>
  <r>
    <s v="ILC-0840-25-7572"/>
    <d v="2025-04-28T00:00:00"/>
    <s v="Hassan Taleb"/>
    <x v="0"/>
    <s v="Branch of National Fire Fighting (NAFFCO)"/>
    <s v="RCRC"/>
    <x v="0"/>
    <x v="11"/>
    <s v="SAR"/>
    <n v="1020106"/>
    <n v="440466.43"/>
    <n v="1"/>
    <n v="440466.43"/>
    <n v="440466.43"/>
    <n v="0"/>
    <n v="0"/>
    <n v="0"/>
    <n v="0"/>
    <m/>
    <d v="2025-09-30T00:00:00"/>
    <d v="2025-09-30T00:00:00"/>
    <m/>
    <m/>
    <m/>
    <m/>
    <m/>
    <x v="6"/>
    <s v="Credit"/>
    <s v="90 Days from Invoice Date"/>
    <x v="0"/>
  </r>
  <r>
    <s v="IM2500633009"/>
    <d v="2025-01-06T00:00:00"/>
    <s v="Hassan Taleb"/>
    <x v="0"/>
    <s v="Branch of National Fire Fighting (NAFFCO)"/>
    <s v="Cash"/>
    <x v="0"/>
    <x v="0"/>
    <s v="SAR"/>
    <n v="1020055"/>
    <n v="886481.72000000009"/>
    <n v="1"/>
    <n v="886481.72000000009"/>
    <n v="886481.71999999986"/>
    <n v="0"/>
    <n v="0"/>
    <n v="0"/>
    <n v="0"/>
    <m/>
    <d v="2025-09-30T00:00:00"/>
    <d v="2025-09-30T00:00:00"/>
    <m/>
    <m/>
    <n v="822386.5"/>
    <n v="0"/>
    <m/>
    <x v="2"/>
    <s v="Cash"/>
    <s v="90 Days from Invoice Date"/>
    <x v="0"/>
  </r>
  <r>
    <s v="TF2328386224"/>
    <d v="2023-10-10T00:00:00"/>
    <s v="Mohammed Kotb"/>
    <x v="0"/>
    <s v="BRANCH OF TECON LIMITED"/>
    <s v="KSP"/>
    <x v="5"/>
    <x v="4"/>
    <s v="SAR"/>
    <n v="1020070"/>
    <n v="707020"/>
    <n v="1"/>
    <n v="707020"/>
    <n v="707020"/>
    <n v="0"/>
    <n v="0"/>
    <n v="0"/>
    <n v="0"/>
    <m/>
    <d v="2024-10-01T00:00:00"/>
    <d v="2024-10-01T00:00:00"/>
    <m/>
    <m/>
    <m/>
    <n v="0"/>
    <m/>
    <x v="0"/>
    <s v="Cash"/>
    <m/>
    <x v="0"/>
  </r>
  <r>
    <s v="IM2512833005"/>
    <d v="2025-05-08T00:00:00"/>
    <s v="Rabih Makhoul"/>
    <x v="0"/>
    <s v="BRC Industrial (Saudia) Company"/>
    <s v="Cash"/>
    <x v="2"/>
    <x v="8"/>
    <s v="SAR"/>
    <n v="1020107"/>
    <n v="1964200"/>
    <n v="1"/>
    <n v="1964200"/>
    <n v="1233769.43"/>
    <n v="730430.57"/>
    <n v="0"/>
    <n v="730430.57"/>
    <n v="0"/>
    <m/>
    <d v="2026-02-28T00:00:00"/>
    <d v="2026-02-28T00:00:00"/>
    <m/>
    <m/>
    <m/>
    <n v="0"/>
    <m/>
    <x v="2"/>
    <s v="Cash"/>
    <s v="120 Days from Invoice Date"/>
    <x v="0"/>
  </r>
  <r>
    <s v="TF2527100025"/>
    <d v="2025-09-28T00:00:00"/>
    <s v="Rabih Makhoul"/>
    <x v="0"/>
    <s v="BRC Industrial (Saudia) Company"/>
    <s v="KSP"/>
    <x v="2"/>
    <x v="8"/>
    <s v="SAR"/>
    <n v="1020107"/>
    <n v="2074312.5"/>
    <n v="1"/>
    <n v="2074312.5"/>
    <n v="1365320.5099999998"/>
    <n v="708991.99"/>
    <n v="0"/>
    <n v="708991.99"/>
    <n v="0"/>
    <m/>
    <d v="2026-06-28T00:00:00"/>
    <d v="2026-06-28T00:00:00"/>
    <m/>
    <m/>
    <m/>
    <n v="0"/>
    <s v="to bank on 26-02 | Exp &amp; LDS 28-06"/>
    <x v="0"/>
    <s v="Credit"/>
    <s v="120 Days from Invoice Date"/>
    <x v="1"/>
  </r>
  <r>
    <s v="J211763"/>
    <d v="2026-01-11T00:00:00"/>
    <s v="Matthew Mckernan"/>
    <x v="0"/>
    <s v="BRC Industrial Saudia Company."/>
    <s v="Opera House"/>
    <x v="2"/>
    <x v="10"/>
    <s v="SAR"/>
    <n v="1020097"/>
    <n v="623875"/>
    <n v="1"/>
    <n v="623875"/>
    <n v="0"/>
    <n v="623875"/>
    <n v="0"/>
    <n v="623875"/>
    <n v="0"/>
    <m/>
    <d v="2026-03-31T00:00:00"/>
    <d v="2026-03-31T00:00:00"/>
    <m/>
    <m/>
    <m/>
    <n v="0"/>
    <m/>
    <x v="3"/>
    <s v="Credit"/>
    <s v="90 Days from Invoice Date"/>
    <x v="0"/>
  </r>
  <r>
    <s v="DCBWPM554940"/>
    <d v="2025-03-25T00:00:00"/>
    <s v="Kotb - Morganti"/>
    <x v="0"/>
    <s v="Brilliant Skies Est"/>
    <s v="MP1"/>
    <x v="3"/>
    <x v="4"/>
    <s v="SAR"/>
    <n v="1020070"/>
    <n v="1000000"/>
    <n v="1"/>
    <n v="1000000"/>
    <n v="1000000"/>
    <n v="0"/>
    <n v="0"/>
    <n v="0"/>
    <n v="0"/>
    <m/>
    <d v="2025-05-31T00:00:00"/>
    <d v="2025-04-30T00:00:00"/>
    <m/>
    <m/>
    <m/>
    <n v="0"/>
    <m/>
    <x v="4"/>
    <s v="Credit"/>
    <s v="120 Days from Invoice Date"/>
    <x v="0"/>
  </r>
  <r>
    <s v="J211811"/>
    <d v="2026-01-18T00:00:00"/>
    <s v="Matthew Mckernan"/>
    <x v="0"/>
    <s v="Brooq Al Amaan Trading"/>
    <s v="Opera House"/>
    <x v="4"/>
    <x v="10"/>
    <s v="SAR"/>
    <n v="1020097"/>
    <n v="700000"/>
    <n v="1"/>
    <n v="700000"/>
    <n v="700000"/>
    <n v="0"/>
    <n v="0"/>
    <n v="0"/>
    <n v="0"/>
    <m/>
    <d v="2026-03-31T00:00:00"/>
    <d v="2026-03-31T00:00:00"/>
    <m/>
    <m/>
    <m/>
    <n v="0"/>
    <m/>
    <x v="3"/>
    <s v="Credit"/>
    <s v="120 Days from Delivery Date"/>
    <x v="0"/>
  </r>
  <r>
    <s v="DCBWPM564600"/>
    <d v="2025-08-26T00:00:00"/>
    <s v="Mohammed Kotb"/>
    <x v="0"/>
    <s v="Brooq Al Amaan Trading Company"/>
    <s v="MP1"/>
    <x v="4"/>
    <x v="4"/>
    <s v="SAR"/>
    <n v="1020070"/>
    <n v="304417"/>
    <n v="1"/>
    <n v="304417"/>
    <n v="304417"/>
    <n v="0"/>
    <n v="0"/>
    <n v="0"/>
    <n v="0"/>
    <m/>
    <d v="2025-10-31T00:00:00"/>
    <d v="2025-10-31T00:00:00"/>
    <m/>
    <m/>
    <m/>
    <n v="0"/>
    <m/>
    <x v="4"/>
    <s v="Credit"/>
    <s v="90 Days from Date of Delivery"/>
    <x v="0"/>
  </r>
  <r>
    <s v="DCBWPM562604"/>
    <d v="2025-07-24T00:00:00"/>
    <s v="Hassan Taleb"/>
    <x v="0"/>
    <s v="BROOQ ALAMAAN TRAD COMPANY"/>
    <s v="MP1"/>
    <x v="0"/>
    <x v="6"/>
    <s v="SAR"/>
    <n v="1020088"/>
    <n v="300000.01"/>
    <n v="1"/>
    <n v="300000.01"/>
    <n v="137792.10999999999"/>
    <n v="162207.9"/>
    <n v="0"/>
    <n v="162207.9"/>
    <n v="0"/>
    <m/>
    <d v="2026-06-30T00:00:00"/>
    <d v="2026-06-30T00:00:00"/>
    <m/>
    <m/>
    <m/>
    <n v="0"/>
    <m/>
    <x v="4"/>
    <s v="Credit"/>
    <s v="120 Days from Invoice Date"/>
    <x v="1"/>
  </r>
  <r>
    <s v="DCBWPM566634"/>
    <d v="2025-09-29T00:00:00"/>
    <s v="Hassan Taleb"/>
    <x v="0"/>
    <s v="BROOQ ALAMAAN TRAD COMPANY"/>
    <s v="MP1"/>
    <x v="0"/>
    <x v="6"/>
    <s v="SAR"/>
    <n v="1020088"/>
    <n v="400000"/>
    <n v="1"/>
    <n v="400000"/>
    <n v="347240.48"/>
    <n v="52759.519999999997"/>
    <n v="52759.519999999997"/>
    <n v="0"/>
    <n v="0"/>
    <s v="03/08/2026"/>
    <d v="2026-04-30T00:00:00"/>
    <d v="2026-04-30T00:00:00"/>
    <m/>
    <m/>
    <m/>
    <n v="0"/>
    <m/>
    <x v="4"/>
    <s v="Credit"/>
    <s v="120 Days from Invoice Date"/>
    <x v="1"/>
  </r>
  <r>
    <s v="DCBWPM160342"/>
    <d v="2026-01-14T00:00:00"/>
    <s v="Hassan Taleb"/>
    <x v="0"/>
    <s v="BROOQ ALAMAAN TRAD COMPANY"/>
    <s v="MP1"/>
    <x v="0"/>
    <x v="6"/>
    <s v="SAR"/>
    <n v="1020088"/>
    <n v="500000"/>
    <n v="1"/>
    <n v="500000"/>
    <n v="0"/>
    <n v="500000"/>
    <n v="365011.38"/>
    <n v="134988.62"/>
    <n v="0"/>
    <s v="05/07/2026"/>
    <d v="2026-06-30T00:00:00"/>
    <d v="2026-06-30T00:00:00"/>
    <m/>
    <m/>
    <m/>
    <n v="0"/>
    <m/>
    <x v="4"/>
    <s v="Credit"/>
    <s v="90 Days from Applicant representative sign on Invoice"/>
    <x v="1"/>
  </r>
  <r>
    <s v="DCBWPM558775"/>
    <d v="2025-06-02T00:00:00"/>
    <s v="Hassan Taleb"/>
    <x v="0"/>
    <s v="Brooq Al-Amaan Trading Company"/>
    <s v="MP1"/>
    <x v="0"/>
    <x v="6"/>
    <s v="SAR"/>
    <n v="1020088"/>
    <n v="800000"/>
    <n v="1"/>
    <n v="800000"/>
    <n v="800000"/>
    <n v="0"/>
    <n v="0"/>
    <n v="0"/>
    <n v="0"/>
    <m/>
    <d v="2025-12-31T00:00:00"/>
    <d v="2025-12-31T00:00:00"/>
    <m/>
    <m/>
    <m/>
    <n v="0"/>
    <m/>
    <x v="4"/>
    <s v="Credit"/>
    <s v="120 Days from Invoice Date"/>
    <x v="0"/>
  </r>
  <r>
    <s v="TF2325585403"/>
    <d v="2023-09-14T00:00:00"/>
    <s v=" - "/>
    <x v="0"/>
    <s v="BUILDING COMPONENT SOLUTIONS CO"/>
    <s v="KSP"/>
    <x v="2"/>
    <x v="18"/>
    <s v="SAR"/>
    <n v="1020003"/>
    <n v="385997"/>
    <n v="1"/>
    <n v="385997"/>
    <n v="385997"/>
    <n v="0"/>
    <n v="0"/>
    <n v="0"/>
    <n v="0"/>
    <m/>
    <d v="2023-11-30T00:00:00"/>
    <d v="2023-11-30T00:00:00"/>
    <m/>
    <m/>
    <m/>
    <n v="0"/>
    <m/>
    <x v="0"/>
    <s v="Cash"/>
    <m/>
    <x v="0"/>
  </r>
  <r>
    <s v="IM2435033004"/>
    <d v="2024-12-15T00:00:00"/>
    <s v="Hassan Taleb"/>
    <x v="0"/>
    <s v="Building System Intelligent (BSICO)"/>
    <s v="Oceanarium"/>
    <x v="0"/>
    <x v="0"/>
    <s v="SAR"/>
    <n v="1020055"/>
    <n v="804752.18"/>
    <n v="1"/>
    <n v="804752.18"/>
    <n v="804752.18000000017"/>
    <n v="0"/>
    <n v="0"/>
    <n v="0"/>
    <n v="0"/>
    <m/>
    <d v="2025-03-31T00:00:00"/>
    <d v="2025-03-31T00:00:00"/>
    <m/>
    <m/>
    <m/>
    <n v="0"/>
    <m/>
    <x v="2"/>
    <s v="Credit"/>
    <s v="90 Days from Invoice Date"/>
    <x v="0"/>
  </r>
  <r>
    <s v="J211987"/>
    <d v="2026-02-26T00:00:00"/>
    <s v="Matthew Mckernan"/>
    <x v="0"/>
    <s v="Building System Intelligent Contractor BSICO"/>
    <s v="Opera House"/>
    <x v="4"/>
    <x v="10"/>
    <s v="SAR"/>
    <n v="1020097"/>
    <n v="274384"/>
    <n v="1"/>
    <n v="274384"/>
    <n v="0"/>
    <n v="274384"/>
    <n v="0"/>
    <n v="274384"/>
    <n v="0"/>
    <m/>
    <d v="2026-06-01T00:00:00"/>
    <d v="2026-05-15T00:00:00"/>
    <m/>
    <m/>
    <m/>
    <n v="0"/>
    <m/>
    <x v="3"/>
    <s v="Credit"/>
    <s v="60 Days From the Delivery Date"/>
    <x v="1"/>
  </r>
  <r>
    <s v="TF2315082509"/>
    <d v="2023-05-18T00:00:00"/>
    <s v="Bassam Marawie"/>
    <x v="0"/>
    <s v="BUILDING SYSTEM INTELLIGENT EST."/>
    <s v="KSP"/>
    <x v="0"/>
    <x v="13"/>
    <s v="SAR"/>
    <n v="1020052"/>
    <n v="751946.18"/>
    <n v="1"/>
    <n v="751946.18"/>
    <n v="751946.18"/>
    <n v="0"/>
    <n v="0"/>
    <n v="0"/>
    <n v="0"/>
    <m/>
    <d v="2023-09-30T00:00:00"/>
    <d v="2023-09-30T00:00:00"/>
    <m/>
    <m/>
    <m/>
    <n v="0"/>
    <m/>
    <x v="0"/>
    <s v="Credit"/>
    <s v="60 Days from Delivery Date"/>
    <x v="0"/>
  </r>
  <r>
    <s v="DCBWPM567556"/>
    <d v="2025-10-16T00:00:00"/>
    <s v="Hassan Taleb"/>
    <x v="0"/>
    <s v="Building System Intelligent Est."/>
    <s v="MP1"/>
    <x v="0"/>
    <x v="6"/>
    <s v="SAR"/>
    <n v="1020088"/>
    <n v="558949"/>
    <n v="1"/>
    <n v="558949"/>
    <n v="300966.99"/>
    <n v="257982.01"/>
    <n v="106205.87"/>
    <n v="151776.14000000001"/>
    <n v="151776.14000000001"/>
    <s v="28/06/2026"/>
    <d v="2026-06-30T00:00:00"/>
    <d v="2026-06-30T00:00:00"/>
    <m/>
    <m/>
    <m/>
    <n v="0"/>
    <m/>
    <x v="4"/>
    <s v="Credit"/>
    <s v="120 Days from Invoice Date"/>
    <x v="1"/>
  </r>
  <r>
    <s v="JLC6901484"/>
    <d v="2025-08-14T00:00:00"/>
    <s v="Muhammed Khan"/>
    <x v="0"/>
    <s v="Business Existing Trading Company"/>
    <s v="Cash"/>
    <x v="1"/>
    <x v="1"/>
    <s v="SAR"/>
    <m/>
    <n v="205442.15"/>
    <n v="1"/>
    <n v="205442.15"/>
    <n v="205442.15"/>
    <n v="0"/>
    <n v="0"/>
    <n v="0"/>
    <n v="0"/>
    <m/>
    <d v="2025-09-30T00:00:00"/>
    <d v="2025-09-15T00:00:00"/>
    <m/>
    <m/>
    <m/>
    <m/>
    <m/>
    <x v="1"/>
    <s v="Cash"/>
    <s v="Sight"/>
    <x v="0"/>
  </r>
  <r>
    <s v="TF2517700045"/>
    <d v="2025-06-26T00:00:00"/>
    <s v="Hassan Taleb"/>
    <x v="0"/>
    <s v="CAN AL SHARQ GENERAL CONT.EST"/>
    <s v="KSP"/>
    <x v="0"/>
    <x v="5"/>
    <s v="SAR"/>
    <n v="1020100"/>
    <n v="214923"/>
    <n v="1"/>
    <n v="214923"/>
    <n v="214923"/>
    <n v="0"/>
    <n v="0"/>
    <n v="0"/>
    <n v="0"/>
    <m/>
    <d v="2025-08-31T00:00:00"/>
    <d v="2025-08-31T00:00:00"/>
    <m/>
    <m/>
    <m/>
    <n v="0"/>
    <m/>
    <x v="0"/>
    <s v="Credit"/>
    <s v="120 Days from Invoice Date"/>
    <x v="0"/>
  </r>
  <r>
    <s v="J210609"/>
    <d v="2025-06-01T00:00:00"/>
    <s v="Hassan Taleb"/>
    <x v="0"/>
    <s v="CAN ALSHARQ GENERAL CONT. EST"/>
    <s v="Opera House"/>
    <x v="0"/>
    <x v="0"/>
    <s v="SAR"/>
    <n v="1020055"/>
    <n v="783377.8"/>
    <n v="1"/>
    <n v="783377.8"/>
    <n v="783377.8"/>
    <n v="0"/>
    <n v="0"/>
    <n v="0"/>
    <n v="0"/>
    <m/>
    <d v="2025-08-31T00:00:00"/>
    <d v="2025-08-31T00:00:00"/>
    <m/>
    <m/>
    <m/>
    <n v="0"/>
    <m/>
    <x v="3"/>
    <s v="Credit"/>
    <s v="120 Days from Invoice Date"/>
    <x v="0"/>
  </r>
  <r>
    <s v="TF2311581369"/>
    <d v="2023-04-30T00:00:00"/>
    <s v="Dipu Sir"/>
    <x v="0"/>
    <s v="CANME GROUP CORPORATION 1965 SA LLU"/>
    <s v="KSP"/>
    <x v="2"/>
    <x v="17"/>
    <s v="EUR"/>
    <n v="1020015"/>
    <n v="3740702.82"/>
    <n v="4.1420000000000003"/>
    <n v="15493991.08044"/>
    <n v="15385131.247946013"/>
    <n v="108859.83"/>
    <n v="0"/>
    <n v="108859.83"/>
    <n v="0"/>
    <m/>
    <d v="2024-09-30T00:00:00"/>
    <d v="2024-09-30T00:00:00"/>
    <m/>
    <m/>
    <m/>
    <n v="0"/>
    <m/>
    <x v="0"/>
    <s v="Credit"/>
    <s v="30 Day from Shipment Date -10% LC at sight"/>
    <x v="0"/>
  </r>
  <r>
    <s v="DCBWPM565536"/>
    <d v="2025-09-09T00:00:00"/>
    <s v="Tareeq - Premium"/>
    <x v="0"/>
    <s v="Company Alabwab Aldulaya For Contracting"/>
    <s v="CEER"/>
    <x v="9"/>
    <x v="3"/>
    <s v="SAR"/>
    <n v="1020091"/>
    <n v="3000000"/>
    <n v="1"/>
    <n v="3000000"/>
    <n v="1979998.95"/>
    <n v="1020001.05"/>
    <n v="0"/>
    <n v="1020001.05"/>
    <n v="0"/>
    <m/>
    <d v="2025-11-15T00:00:00"/>
    <d v="2025-10-30T00:00:00"/>
    <m/>
    <m/>
    <m/>
    <n v="0"/>
    <m/>
    <x v="4"/>
    <s v="Credit"/>
    <s v="30 Days from Delivery Note Date"/>
    <x v="0"/>
  </r>
  <r>
    <s v="TF2523600024"/>
    <d v="2025-08-24T00:00:00"/>
    <s v="Hassan Taleb"/>
    <x v="0"/>
    <s v="COMPANY IMDAD AL-TAQA FOR LOGISTIC"/>
    <s v="KSP"/>
    <x v="0"/>
    <x v="0"/>
    <s v="SAR"/>
    <n v="1020055"/>
    <n v="245149.44"/>
    <n v="1"/>
    <n v="245149.44"/>
    <n v="245149.44"/>
    <n v="0"/>
    <n v="0"/>
    <n v="0"/>
    <n v="0"/>
    <m/>
    <d v="2025-10-31T00:00:00"/>
    <d v="2025-10-31T00:00:00"/>
    <m/>
    <m/>
    <m/>
    <n v="0"/>
    <m/>
    <x v="0"/>
    <s v="Credit"/>
    <s v="120 Days from Invoice Date"/>
    <x v="0"/>
  </r>
  <r>
    <s v="TF2521100095"/>
    <d v="2025-07-31T00:00:00"/>
    <s v="Hassan Taleb"/>
    <x v="0"/>
    <s v="CONTRACTORS SERVICES CO."/>
    <s v="KSP"/>
    <x v="0"/>
    <x v="0"/>
    <s v="SAR"/>
    <n v="1020055"/>
    <n v="304000.75"/>
    <n v="1"/>
    <n v="304000.75"/>
    <n v="304000.75"/>
    <n v="0"/>
    <n v="0"/>
    <n v="0"/>
    <n v="0"/>
    <m/>
    <d v="2025-10-31T00:00:00"/>
    <d v="2025-10-31T00:00:00"/>
    <m/>
    <m/>
    <m/>
    <n v="0"/>
    <m/>
    <x v="0"/>
    <s v="Credit"/>
    <s v="120 Days from Invoice Date"/>
    <x v="0"/>
  </r>
  <r>
    <s v="TF2322084321"/>
    <d v="2023-08-09T00:00:00"/>
    <s v="Hassan Taleb"/>
    <x v="0"/>
    <s v="CUBE METAL INDUSTRIES CO"/>
    <s v="KSP"/>
    <x v="0"/>
    <x v="0"/>
    <s v="SAR"/>
    <n v="1020055"/>
    <n v="900000"/>
    <n v="1"/>
    <n v="900000"/>
    <n v="900000"/>
    <n v="0"/>
    <n v="0"/>
    <n v="0"/>
    <n v="0"/>
    <m/>
    <d v="2023-10-31T00:00:00"/>
    <d v="2023-10-31T00:00:00"/>
    <m/>
    <m/>
    <m/>
    <n v="0"/>
    <m/>
    <x v="0"/>
    <s v="Credit"/>
    <m/>
    <x v="0"/>
  </r>
  <r>
    <s v="TF2402489351"/>
    <d v="2024-01-24T00:00:00"/>
    <s v="Hassan Taleb"/>
    <x v="0"/>
    <s v="CUBE METAL INDUSTRIES CO"/>
    <s v="KSP"/>
    <x v="0"/>
    <x v="0"/>
    <s v="SAR"/>
    <n v="1020055"/>
    <n v="1050000"/>
    <n v="1"/>
    <n v="1050000"/>
    <n v="1050000"/>
    <n v="0"/>
    <n v="0"/>
    <n v="0"/>
    <n v="0"/>
    <m/>
    <d v="2024-03-31T00:00:00"/>
    <d v="2024-03-31T00:00:00"/>
    <m/>
    <m/>
    <m/>
    <n v="0"/>
    <m/>
    <x v="0"/>
    <s v="Credit"/>
    <m/>
    <x v="0"/>
  </r>
  <r>
    <s v="TF2324084976"/>
    <d v="2023-08-29T00:00:00"/>
    <s v="Hassan Taleb"/>
    <x v="0"/>
    <s v="CUBE METAL INDUSTRIES CO."/>
    <s v="KSP"/>
    <x v="0"/>
    <x v="0"/>
    <s v="SAR"/>
    <n v="1020055"/>
    <n v="1000000"/>
    <n v="1"/>
    <n v="1000000"/>
    <n v="1000000"/>
    <n v="0"/>
    <n v="0"/>
    <n v="0"/>
    <n v="0"/>
    <m/>
    <d v="2023-11-30T00:00:00"/>
    <d v="2023-11-30T00:00:00"/>
    <m/>
    <m/>
    <m/>
    <n v="0"/>
    <m/>
    <x v="0"/>
    <s v="Credit"/>
    <s v="60 Days from Delivery Date"/>
    <x v="0"/>
  </r>
  <r>
    <s v="DCBWPM563375"/>
    <d v="2025-08-06T00:00:00"/>
    <s v="Tareeq Telmasani"/>
    <x v="0"/>
    <s v="Cube Metal Industries Co."/>
    <s v="CEER"/>
    <x v="0"/>
    <x v="3"/>
    <s v="SAR"/>
    <n v="1020091"/>
    <n v="500000"/>
    <n v="1"/>
    <n v="500000"/>
    <n v="500000"/>
    <n v="0"/>
    <n v="0"/>
    <n v="0"/>
    <n v="0"/>
    <m/>
    <d v="2025-10-31T00:00:00"/>
    <d v="2025-10-31T00:00:00"/>
    <m/>
    <m/>
    <m/>
    <n v="0"/>
    <m/>
    <x v="4"/>
    <s v="Credit"/>
    <s v="90 Days from Appl. Representative Sign"/>
    <x v="0"/>
  </r>
  <r>
    <s v="TF2400788846"/>
    <d v="2024-01-08T00:00:00"/>
    <s v="Hassan Taleb"/>
    <x v="0"/>
    <s v="DAIKIN AIR CONDITIONING "/>
    <s v="KSP"/>
    <x v="0"/>
    <x v="0"/>
    <s v="SAR"/>
    <n v="1020055"/>
    <n v="1399515.42"/>
    <n v="1"/>
    <n v="1399515.42"/>
    <n v="0"/>
    <n v="1399515.42"/>
    <n v="0"/>
    <n v="1399515.42"/>
    <n v="0"/>
    <m/>
    <d v="2024-03-31T00:00:00"/>
    <d v="2024-03-31T00:00:00"/>
    <m/>
    <m/>
    <m/>
    <n v="0"/>
    <m/>
    <x v="0"/>
    <s v="Credit"/>
    <s v="60 Days from Delivery Date"/>
    <x v="0"/>
  </r>
  <r>
    <s v="JLC6801052"/>
    <d v="2024-06-10T00:00:00"/>
    <s v="Mohammed Kotb"/>
    <x v="0"/>
    <s v="DAIKIN AIR CONDITIONING SAUDI ARABI"/>
    <s v="Multipurpose"/>
    <x v="5"/>
    <x v="4"/>
    <s v="SAR"/>
    <n v="1020070"/>
    <n v="4783058.92"/>
    <n v="1"/>
    <n v="4783058.92"/>
    <n v="4783058.92"/>
    <n v="0"/>
    <n v="0"/>
    <n v="0"/>
    <n v="0"/>
    <m/>
    <d v="2024-08-31T00:00:00"/>
    <d v="2024-08-31T00:00:00"/>
    <m/>
    <m/>
    <m/>
    <n v="0"/>
    <m/>
    <x v="1"/>
    <s v="Credit"/>
    <m/>
    <x v="0"/>
  </r>
  <r>
    <s v="JLC6702462"/>
    <d v="2023-12-23T00:00:00"/>
    <s v="Mohammed Kotb"/>
    <x v="0"/>
    <s v="DAIKIN AIR CONDITIONING SAUDI ARABI"/>
    <s v="Multipurpose"/>
    <x v="5"/>
    <x v="4"/>
    <s v="SAR"/>
    <n v="1020070"/>
    <n v="4783058.92"/>
    <n v="1"/>
    <n v="4783058.92"/>
    <n v="0"/>
    <n v="4783058.92"/>
    <n v="0"/>
    <n v="4783058.92"/>
    <n v="0"/>
    <m/>
    <d v="2024-04-30T00:00:00"/>
    <d v="2024-04-30T00:00:00"/>
    <m/>
    <m/>
    <m/>
    <n v="0"/>
    <m/>
    <x v="1"/>
    <s v="Credit"/>
    <m/>
    <x v="0"/>
  </r>
  <r>
    <s v="DCBWPM555615"/>
    <d v="2025-04-13T00:00:00"/>
    <s v="Hassan Taleb"/>
    <x v="0"/>
    <s v="DAIKIN AIR CONDITIONING SAUDI ARABIA"/>
    <s v="MP1"/>
    <x v="0"/>
    <x v="6"/>
    <s v="SAR"/>
    <n v="1020088"/>
    <n v="1995000"/>
    <n v="1"/>
    <n v="1995000"/>
    <n v="1995000"/>
    <n v="0"/>
    <n v="0"/>
    <n v="0"/>
    <n v="0"/>
    <m/>
    <d v="2025-12-31T00:00:00"/>
    <d v="2025-12-31T00:00:00"/>
    <m/>
    <m/>
    <m/>
    <n v="0"/>
    <m/>
    <x v="4"/>
    <s v="Credit"/>
    <s v="90 Days from Invoice Date"/>
    <x v="0"/>
  </r>
  <r>
    <s v="TF2322084319"/>
    <d v="2023-08-09T00:00:00"/>
    <s v="Hassan Taleb"/>
    <x v="0"/>
    <s v="DAIKIN AIR CONDITIONING SAUDI ARABIA "/>
    <s v="KSP"/>
    <x v="0"/>
    <x v="0"/>
    <s v="SAR"/>
    <n v="1020055"/>
    <n v="905627.11"/>
    <n v="1"/>
    <n v="905627.11"/>
    <n v="0"/>
    <n v="905627.11"/>
    <n v="0"/>
    <n v="905627.11"/>
    <n v="0"/>
    <m/>
    <d v="2023-10-31T00:00:00"/>
    <d v="2023-10-31T00:00:00"/>
    <m/>
    <m/>
    <m/>
    <n v="0"/>
    <m/>
    <x v="0"/>
    <s v="Credit"/>
    <s v="60 Days from Delivery Date"/>
    <x v="0"/>
  </r>
  <r>
    <s v="DCBWPM558759"/>
    <d v="2025-06-02T00:00:00"/>
    <s v="Hassan Taleb"/>
    <x v="0"/>
    <s v="Daikin Air Conditioning Saudi Arabia "/>
    <s v="MP1"/>
    <x v="0"/>
    <x v="6"/>
    <s v="SAR"/>
    <n v="1020088"/>
    <n v="2000000"/>
    <n v="1"/>
    <n v="2000000"/>
    <n v="2000000"/>
    <n v="0"/>
    <n v="0"/>
    <n v="0"/>
    <n v="0"/>
    <m/>
    <d v="2025-10-31T00:00:00"/>
    <d v="2025-10-31T00:00:00"/>
    <m/>
    <m/>
    <m/>
    <n v="0"/>
    <m/>
    <x v="4"/>
    <s v="Credit"/>
    <s v="120 Days from Invoice Date"/>
    <x v="0"/>
  </r>
  <r>
    <s v="DCBWPM570384"/>
    <d v="2025-12-01T00:00:00"/>
    <s v="Hassan Taleb"/>
    <x v="0"/>
    <s v="Daikin Air Conditioning Saudi Arabia "/>
    <s v="MP1"/>
    <x v="0"/>
    <x v="6"/>
    <s v="SAR"/>
    <n v="1020088"/>
    <n v="628258.81000000006"/>
    <n v="1"/>
    <n v="628258.81000000006"/>
    <n v="0"/>
    <n v="628258.81000000006"/>
    <n v="487718.69"/>
    <n v="140540.12"/>
    <n v="0"/>
    <s v="05/07/2026 , 24/08/2026"/>
    <d v="2026-06-30T00:00:00"/>
    <d v="2026-06-30T00:00:00"/>
    <m/>
    <m/>
    <m/>
    <n v="0"/>
    <m/>
    <x v="4"/>
    <s v="Credit"/>
    <s v="120 Days from Invoice Date"/>
    <x v="1"/>
  </r>
  <r>
    <s v="DCBWPM165531"/>
    <d v="2026-05-10T00:00:00"/>
    <s v="Mohammed Kotb"/>
    <x v="0"/>
    <s v="DAIKIN AIR CONDITIONING SAUDI ARABIA LLC"/>
    <s v="MP1"/>
    <x v="4"/>
    <x v="4"/>
    <s v="SAR"/>
    <n v="1020070"/>
    <n v="735855"/>
    <n v="1"/>
    <n v="735855"/>
    <n v="0"/>
    <n v="735855"/>
    <n v="0"/>
    <n v="735855"/>
    <n v="735855"/>
    <m/>
    <d v="2026-06-30T00:00:00"/>
    <d v="2026-06-30T00:00:00"/>
    <m/>
    <m/>
    <m/>
    <n v="0"/>
    <m/>
    <x v="4"/>
    <s v="Credit"/>
    <s v="90 Days from Appln Rep Sign on Invoice"/>
    <x v="1"/>
  </r>
  <r>
    <s v="DCBWPM166261"/>
    <d v="2026-06-04T00:00:00"/>
    <s v="Hassan Taleb"/>
    <x v="0"/>
    <s v="DAIKIN AIR CONDITIONING SAUDI ARABIA LLC"/>
    <s v="MP1"/>
    <x v="0"/>
    <x v="6"/>
    <s v="SAR"/>
    <n v="1020088"/>
    <n v="1000000"/>
    <n v="1"/>
    <n v="1000000"/>
    <n v="0"/>
    <n v="1000000"/>
    <n v="0"/>
    <n v="1000000"/>
    <n v="0"/>
    <m/>
    <d v="2026-08-31T00:00:00"/>
    <d v="2026-08-31T00:00:00"/>
    <m/>
    <m/>
    <m/>
    <n v="0"/>
    <m/>
    <x v="4"/>
    <s v="Credit"/>
    <s v="120 Days from Applicant representative sign on Invoice"/>
    <x v="1"/>
  </r>
  <r>
    <s v="DCBWPM565824"/>
    <d v="2025-09-14T00:00:00"/>
    <s v="Hassan Taleb"/>
    <x v="0"/>
    <s v="DAIKIN AIR CONDITIONING SAUDI ARABIA LLC "/>
    <s v="MP1"/>
    <x v="0"/>
    <x v="6"/>
    <s v="SAR"/>
    <n v="1020088"/>
    <n v="2500000"/>
    <n v="1"/>
    <n v="2500000"/>
    <n v="2500000"/>
    <n v="0"/>
    <n v="0"/>
    <n v="0"/>
    <n v="0"/>
    <m/>
    <d v="2025-12-31T00:00:00"/>
    <d v="2025-12-31T00:00:00"/>
    <m/>
    <m/>
    <m/>
    <n v="0"/>
    <m/>
    <x v="4"/>
    <s v="Credit"/>
    <s v="120 Days from Invoice Date"/>
    <x v="0"/>
  </r>
  <r>
    <s v="TF2508300048"/>
    <d v="2025-03-23T00:00:00"/>
    <s v="Hassan Taleb"/>
    <x v="0"/>
    <s v="DAIKIN AIRCONDITIONING SA, LLC"/>
    <s v="KSP"/>
    <x v="0"/>
    <x v="0"/>
    <s v="SAR"/>
    <n v="1020055"/>
    <n v="177325.35"/>
    <n v="1"/>
    <n v="177325.35"/>
    <n v="176690.77"/>
    <n v="634.58000000000004"/>
    <n v="0"/>
    <n v="634.58000000000004"/>
    <n v="0"/>
    <m/>
    <d v="2025-06-30T00:00:00"/>
    <d v="2025-06-30T00:00:00"/>
    <m/>
    <m/>
    <m/>
    <n v="0"/>
    <m/>
    <x v="0"/>
    <s v="Credit"/>
    <s v="90 Days from Invoice Date"/>
    <x v="0"/>
  </r>
  <r>
    <s v="IM2435133002"/>
    <d v="2024-12-17T00:00:00"/>
    <s v="Hassan Taleb"/>
    <x v="0"/>
    <s v="Daikin Airconditioning Sa, Llc"/>
    <s v="Oceanarium"/>
    <x v="0"/>
    <x v="0"/>
    <s v="SAR"/>
    <n v="1020055"/>
    <n v="593400"/>
    <n v="1"/>
    <n v="593400"/>
    <n v="593400"/>
    <n v="0"/>
    <n v="0"/>
    <n v="0"/>
    <n v="0"/>
    <m/>
    <d v="2025-03-31T00:00:00"/>
    <d v="2025-03-31T00:00:00"/>
    <m/>
    <m/>
    <m/>
    <n v="0"/>
    <m/>
    <x v="2"/>
    <s v="Credit"/>
    <s v="60 Days from Invoice Date"/>
    <x v="0"/>
  </r>
  <r>
    <s v="JLC6901472"/>
    <d v="2025-08-14T00:00:00"/>
    <s v="Muhammed Khan"/>
    <x v="0"/>
    <s v="Dalal Al Sham Security Company"/>
    <s v="Cash"/>
    <x v="1"/>
    <x v="1"/>
    <s v="SAR"/>
    <m/>
    <n v="273082"/>
    <n v="1"/>
    <n v="273082"/>
    <n v="222726.82"/>
    <n v="50355.18"/>
    <n v="0"/>
    <n v="50355.18"/>
    <n v="0"/>
    <m/>
    <d v="2025-09-30T00:00:00"/>
    <d v="2025-09-15T00:00:00"/>
    <m/>
    <m/>
    <m/>
    <m/>
    <s v="Margin refunded - 50355.18 SAR"/>
    <x v="1"/>
    <s v="Cash"/>
    <s v="Sight"/>
    <x v="0"/>
  </r>
  <r>
    <s v="IM2512833002"/>
    <d v="2025-05-08T00:00:00"/>
    <s v="Hassan Taleb"/>
    <x v="0"/>
    <s v="DALHAM AL JANOUB CONTRACTING EST."/>
    <s v="Cash"/>
    <x v="0"/>
    <x v="5"/>
    <s v="SAR"/>
    <n v="1020100"/>
    <n v="250000"/>
    <n v="1"/>
    <n v="250000"/>
    <n v="250000"/>
    <n v="0"/>
    <n v="0"/>
    <n v="0"/>
    <n v="0"/>
    <m/>
    <d v="2025-07-31T00:00:00"/>
    <d v="2025-07-31T00:00:00"/>
    <m/>
    <m/>
    <m/>
    <n v="0"/>
    <m/>
    <x v="2"/>
    <s v="Cash"/>
    <s v="120 Days from Invoice Date"/>
    <x v="0"/>
  </r>
  <r>
    <s v="TF2526500017"/>
    <d v="2025-09-22T00:00:00"/>
    <s v="Hassan Taleb"/>
    <x v="0"/>
    <s v="DANAH METAL CO."/>
    <s v="KSP"/>
    <x v="0"/>
    <x v="0"/>
    <s v="SAR"/>
    <n v="1020055"/>
    <n v="207933.08"/>
    <n v="1"/>
    <n v="207933.08"/>
    <n v="207933.08"/>
    <n v="0"/>
    <n v="0"/>
    <n v="0"/>
    <n v="0"/>
    <m/>
    <d v="2025-12-31T00:00:00"/>
    <d v="2025-12-31T00:00:00"/>
    <m/>
    <m/>
    <m/>
    <n v="0"/>
    <m/>
    <x v="0"/>
    <s v="Credit"/>
    <s v="120 Days from Invoice Date"/>
    <x v="0"/>
  </r>
  <r>
    <s v="TF2514700066"/>
    <d v="2025-05-27T00:00:00"/>
    <s v="Hassan Taleb"/>
    <x v="0"/>
    <s v="DANIA AIR CONTROL SYSTEM FACTORY"/>
    <s v="KSP"/>
    <x v="0"/>
    <x v="0"/>
    <s v="SAR"/>
    <n v="1020055"/>
    <n v="197999.99"/>
    <n v="1"/>
    <n v="197999.99"/>
    <n v="197000"/>
    <n v="999.99"/>
    <n v="0"/>
    <n v="999.99"/>
    <n v="0"/>
    <m/>
    <d v="2025-08-31T00:00:00"/>
    <d v="2025-08-31T00:00:00"/>
    <m/>
    <m/>
    <m/>
    <n v="0"/>
    <m/>
    <x v="0"/>
    <s v="Credit"/>
    <s v="120 Days from Invoice Date"/>
    <x v="0"/>
  </r>
  <r>
    <s v="TF2514600059"/>
    <d v="2025-05-27T00:00:00"/>
    <s v="Hassan Taleb"/>
    <x v="0"/>
    <s v="DAR-AL MAWARED TRADING CO."/>
    <s v="KSP"/>
    <x v="0"/>
    <x v="0"/>
    <s v="SAR"/>
    <n v="1020055"/>
    <n v="120438.35"/>
    <n v="1"/>
    <n v="120438.35"/>
    <n v="120438.35"/>
    <n v="0"/>
    <n v="0"/>
    <n v="0"/>
    <n v="0"/>
    <m/>
    <d v="2025-12-31T00:00:00"/>
    <d v="2025-12-31T00:00:00"/>
    <m/>
    <m/>
    <m/>
    <n v="0"/>
    <m/>
    <x v="0"/>
    <s v="Credit"/>
    <s v="120 Days from Invoice Date"/>
    <x v="0"/>
  </r>
  <r>
    <s v="J209316"/>
    <d v="2024-10-07T00:00:00"/>
    <m/>
    <x v="0"/>
    <s v="DELHAM AL JANOUB FOR CONTRACTING"/>
    <s v="Opera House"/>
    <x v="0"/>
    <x v="19"/>
    <s v="SAR"/>
    <m/>
    <n v="2120837"/>
    <n v="1"/>
    <n v="2120837"/>
    <n v="2120837"/>
    <n v="0"/>
    <n v="0"/>
    <n v="0"/>
    <n v="0"/>
    <m/>
    <d v="2024-12-31T00:00:00"/>
    <d v="2024-12-04T00:00:00"/>
    <m/>
    <m/>
    <m/>
    <n v="0"/>
    <m/>
    <x v="3"/>
    <s v="Credit"/>
    <s v="90 Days from Invoice Date"/>
    <x v="0"/>
  </r>
  <r>
    <s v="TF2517400030"/>
    <d v="2025-06-23T00:00:00"/>
    <s v="Hassan Taleb"/>
    <x v="0"/>
    <s v="DELHAM AL JANOUB FOR CONTRACTING"/>
    <s v="KSP"/>
    <x v="0"/>
    <x v="5"/>
    <s v="SAR"/>
    <n v="1020100"/>
    <n v="80000"/>
    <n v="1"/>
    <n v="80000"/>
    <n v="80000"/>
    <n v="0"/>
    <n v="0"/>
    <n v="0"/>
    <n v="0"/>
    <m/>
    <d v="2025-08-31T00:00:00"/>
    <d v="2025-08-31T00:00:00"/>
    <m/>
    <m/>
    <m/>
    <n v="0"/>
    <m/>
    <x v="0"/>
    <s v="Credit"/>
    <s v="120 Days from Invoice Date"/>
    <x v="0"/>
  </r>
  <r>
    <s v="TF2521100016"/>
    <d v="2025-08-03T00:00:00"/>
    <s v="Hassan Taleb"/>
    <x v="0"/>
    <s v="DELHAM ALJANOUB FOR TRADING CONTRACTING"/>
    <s v="KSP"/>
    <x v="0"/>
    <x v="0"/>
    <s v="SAR"/>
    <n v="1020055"/>
    <n v="200000"/>
    <n v="1"/>
    <n v="200000"/>
    <n v="200000"/>
    <n v="0"/>
    <n v="0"/>
    <n v="0"/>
    <n v="0"/>
    <m/>
    <d v="2025-10-31T00:00:00"/>
    <d v="2025-10-31T00:00:00"/>
    <m/>
    <m/>
    <m/>
    <n v="0"/>
    <m/>
    <x v="0"/>
    <s v="Credit"/>
    <s v="120 Days from Invoice Date"/>
    <x v="0"/>
  </r>
  <r>
    <s v="J211835"/>
    <d v="2026-01-20T00:00:00"/>
    <s v="Matthew Mckernan"/>
    <x v="0"/>
    <s v="Delmatic Co Ltd"/>
    <s v="Opera House"/>
    <x v="4"/>
    <x v="10"/>
    <s v="SAR"/>
    <n v="1020097"/>
    <n v="500000"/>
    <n v="1"/>
    <n v="500000"/>
    <n v="0"/>
    <n v="500000"/>
    <n v="0"/>
    <n v="500000"/>
    <n v="0"/>
    <m/>
    <d v="2026-04-15T00:00:00"/>
    <d v="2026-03-15T00:00:00"/>
    <m/>
    <m/>
    <m/>
    <n v="0"/>
    <m/>
    <x v="3"/>
    <s v="Credit"/>
    <s v="90 Days From the Delivery Date"/>
    <x v="0"/>
  </r>
  <r>
    <s v="IM2431833001"/>
    <d v="2024-11-13T00:00:00"/>
    <s v="Hassan Taleb"/>
    <x v="0"/>
    <s v="Depa Saudi Arabia for Contracting and Interior Decorating Co. Ltd."/>
    <s v="Multipurpose"/>
    <x v="2"/>
    <x v="0"/>
    <s v="SAR"/>
    <n v="1020055"/>
    <n v="18000000"/>
    <n v="1"/>
    <n v="18000000"/>
    <n v="7904811.6600000001"/>
    <n v="10095188.34"/>
    <n v="0"/>
    <n v="10095188.34"/>
    <n v="0"/>
    <m/>
    <d v="2025-05-31T00:00:00"/>
    <d v="2025-05-04T00:00:00"/>
    <m/>
    <m/>
    <m/>
    <n v="0"/>
    <m/>
    <x v="2"/>
    <s v="Credit"/>
    <s v="30 Days From Invoice Date"/>
    <x v="0"/>
  </r>
  <r>
    <s v="TF2519600062"/>
    <d v="2025-07-16T00:00:00"/>
    <s v="Hassan Taleb"/>
    <x v="0"/>
    <s v="Depa Saudi Arabia for Contracting and Interior Decorating Co. Ltd."/>
    <s v="KSP"/>
    <x v="2"/>
    <x v="0"/>
    <s v="SAR"/>
    <n v="1020055"/>
    <n v="10095188.34"/>
    <n v="1"/>
    <n v="10095188.34"/>
    <n v="10095188.34"/>
    <n v="0"/>
    <n v="0"/>
    <n v="0"/>
    <n v="0"/>
    <m/>
    <d v="2025-08-31T00:00:00"/>
    <d v="2025-08-31T00:00:00"/>
    <m/>
    <m/>
    <m/>
    <n v="0"/>
    <m/>
    <x v="0"/>
    <s v="Credit"/>
    <s v="30 Days From Invoice Date"/>
    <x v="0"/>
  </r>
  <r>
    <s v="TF2534800029"/>
    <d v="2025-12-18T00:00:00"/>
    <s v="Essam Zahran"/>
    <x v="0"/>
    <s v="Depa Saudi Arabia for Contracting and Interior Decorating Co. Ltd."/>
    <s v="KSP"/>
    <x v="2"/>
    <x v="0"/>
    <s v="SAR"/>
    <n v="1020055"/>
    <n v="30000000"/>
    <n v="1"/>
    <n v="30000000"/>
    <n v="11768747.039999999"/>
    <n v="18231252.960000001"/>
    <n v="0"/>
    <n v="18231252.960000001"/>
    <n v="0"/>
    <m/>
    <d v="2026-02-28T00:00:00"/>
    <d v="2026-02-28T00:00:00"/>
    <m/>
    <m/>
    <m/>
    <n v="0"/>
    <m/>
    <x v="0"/>
    <s v="Credit"/>
    <s v="90 Days from Invoice Date"/>
    <x v="0"/>
  </r>
  <r>
    <s v="TF2609900016"/>
    <d v="2026-04-09T00:00:00"/>
    <s v="Essam Zahran"/>
    <x v="0"/>
    <s v="Depa Saudi Arabia for Contracting and Interior Decorating Co. Ltd."/>
    <s v="KSP"/>
    <x v="2"/>
    <x v="0"/>
    <s v="SAR"/>
    <n v="1020055"/>
    <n v="20000000"/>
    <n v="1"/>
    <n v="20000000"/>
    <n v="0"/>
    <n v="20000000"/>
    <n v="8237108.9800000004"/>
    <n v="11762891.02"/>
    <n v="0"/>
    <s v="20/07/2026 , 10/08/2026"/>
    <d v="2026-10-31T00:00:00"/>
    <d v="2026-10-31T00:00:00"/>
    <m/>
    <m/>
    <m/>
    <n v="0"/>
    <m/>
    <x v="0"/>
    <s v="Credit"/>
    <s v="90 Days from Invoice Date"/>
    <x v="1"/>
  </r>
  <r>
    <s v="TF2331987213"/>
    <d v="2023-11-15T00:00:00"/>
    <s v="Hassan Taleb"/>
    <x v="0"/>
    <s v="DEPTH CO"/>
    <s v="KSP"/>
    <x v="0"/>
    <x v="0"/>
    <s v="SAR"/>
    <n v="1020055"/>
    <n v="2000000"/>
    <n v="1"/>
    <n v="2000000"/>
    <n v="1951487.53"/>
    <n v="48512.47"/>
    <n v="0"/>
    <n v="48512.47"/>
    <n v="0"/>
    <m/>
    <d v="2024-07-01T00:00:00"/>
    <d v="2024-07-01T00:00:00"/>
    <m/>
    <m/>
    <m/>
    <n v="0"/>
    <m/>
    <x v="0"/>
    <s v="Credit"/>
    <s v="60 Days from Delivery Date"/>
    <x v="0"/>
  </r>
  <r>
    <s v="TF2421494840"/>
    <d v="2024-08-01T00:00:00"/>
    <s v="Hassan Taleb"/>
    <x v="0"/>
    <s v="DEPTH CO"/>
    <s v="KSP"/>
    <x v="0"/>
    <x v="0"/>
    <s v="SAR"/>
    <n v="1020055"/>
    <n v="1000000"/>
    <n v="1"/>
    <n v="1000000"/>
    <n v="1000000"/>
    <n v="0"/>
    <n v="0"/>
    <n v="0"/>
    <n v="0"/>
    <m/>
    <d v="2024-10-31T00:00:00"/>
    <d v="2024-10-31T00:00:00"/>
    <m/>
    <m/>
    <m/>
    <n v="0"/>
    <m/>
    <x v="0"/>
    <s v="Credit"/>
    <m/>
    <x v="0"/>
  </r>
  <r>
    <s v="IM2500633010"/>
    <d v="2025-01-06T00:00:00"/>
    <s v="Hassan Taleb"/>
    <x v="0"/>
    <s v="DEPTH MODERN TECHNOLOGIES"/>
    <s v="Multipurpose"/>
    <x v="0"/>
    <x v="0"/>
    <s v="SAR"/>
    <n v="1020055"/>
    <n v="3000000"/>
    <n v="1"/>
    <n v="3000000"/>
    <n v="3000000"/>
    <n v="0"/>
    <n v="0"/>
    <n v="0"/>
    <n v="0"/>
    <m/>
    <d v="2025-03-31T00:00:00"/>
    <d v="2025-03-31T00:00:00"/>
    <m/>
    <m/>
    <m/>
    <n v="0"/>
    <m/>
    <x v="2"/>
    <s v="Credit"/>
    <s v="90 Days from Invoice Date"/>
    <x v="0"/>
  </r>
  <r>
    <s v="DCBWPM564579"/>
    <d v="2025-08-25T00:00:00"/>
    <s v="Mohammed Kotb"/>
    <x v="0"/>
    <s v="Depth Modern Technologies"/>
    <s v="MP1"/>
    <x v="4"/>
    <x v="4"/>
    <s v="SAR"/>
    <n v="1020070"/>
    <n v="3000000"/>
    <n v="1"/>
    <n v="3000000"/>
    <n v="3000000"/>
    <n v="0"/>
    <n v="0"/>
    <n v="0"/>
    <n v="0"/>
    <m/>
    <d v="2025-10-31T00:00:00"/>
    <d v="2025-10-31T00:00:00"/>
    <m/>
    <m/>
    <m/>
    <n v="0"/>
    <m/>
    <x v="4"/>
    <s v="Credit"/>
    <s v="90 Days from Date of Delivery"/>
    <x v="0"/>
  </r>
  <r>
    <s v="TF2433399032"/>
    <d v="2024-11-28T00:00:00"/>
    <s v="Hassan Taleb"/>
    <x v="0"/>
    <s v="Depth Modern Technologies Co."/>
    <s v="KSP"/>
    <x v="0"/>
    <x v="0"/>
    <s v="SAR"/>
    <n v="1020055"/>
    <n v="1000000"/>
    <n v="1"/>
    <n v="1000000"/>
    <n v="1000000"/>
    <n v="0"/>
    <n v="0"/>
    <n v="0"/>
    <n v="0"/>
    <m/>
    <d v="2025-02-28T00:00:00"/>
    <d v="2025-02-28T00:00:00"/>
    <m/>
    <m/>
    <m/>
    <n v="0"/>
    <m/>
    <x v="0"/>
    <s v="Credit"/>
    <s v="90 Days from Invoice Date"/>
    <x v="0"/>
  </r>
  <r>
    <s v="J209069"/>
    <d v="2024-08-29T00:00:00"/>
    <s v="Hassan Taleb"/>
    <x v="0"/>
    <s v="DEPTH MODERN TECHNOLOGIES CO."/>
    <s v="Opera House"/>
    <x v="0"/>
    <x v="0"/>
    <s v="SAR"/>
    <n v="1020055"/>
    <n v="1000000"/>
    <n v="1"/>
    <n v="1000000"/>
    <n v="1000000"/>
    <n v="0"/>
    <n v="0"/>
    <n v="0"/>
    <n v="0"/>
    <m/>
    <d v="2024-11-30T00:00:00"/>
    <d v="2024-11-30T00:00:00"/>
    <m/>
    <m/>
    <m/>
    <n v="0"/>
    <m/>
    <x v="3"/>
    <s v="Credit"/>
    <m/>
    <x v="0"/>
  </r>
  <r>
    <s v="J209165"/>
    <d v="2024-09-16T00:00:00"/>
    <s v="Hassan Taleb"/>
    <x v="0"/>
    <s v="DEPTH MODERN TECHNOLOGIES CO."/>
    <s v="Opera House"/>
    <x v="0"/>
    <x v="0"/>
    <s v="SAR"/>
    <n v="1020055"/>
    <n v="2000000"/>
    <n v="1"/>
    <n v="2000000"/>
    <n v="2000000"/>
    <n v="0"/>
    <n v="0"/>
    <n v="0"/>
    <n v="0"/>
    <m/>
    <d v="2024-11-30T00:00:00"/>
    <d v="2024-11-04T00:00:00"/>
    <m/>
    <m/>
    <m/>
    <n v="0"/>
    <m/>
    <x v="3"/>
    <s v="Credit"/>
    <s v="90 Days from Invoice Date"/>
    <x v="0"/>
  </r>
  <r>
    <s v="J210019"/>
    <d v="2025-02-06T00:00:00"/>
    <s v="Hassan Taleb"/>
    <x v="0"/>
    <s v="Depth Modern Technologies Co."/>
    <s v="Opera House"/>
    <x v="0"/>
    <x v="0"/>
    <s v="SAR"/>
    <n v="1020055"/>
    <n v="3000000"/>
    <n v="1"/>
    <n v="3000000"/>
    <n v="3000000"/>
    <n v="0"/>
    <n v="0"/>
    <n v="0"/>
    <n v="0"/>
    <m/>
    <d v="2025-04-30T00:00:00"/>
    <d v="2025-04-30T00:00:00"/>
    <m/>
    <m/>
    <m/>
    <n v="0"/>
    <m/>
    <x v="3"/>
    <s v="Credit"/>
    <s v="90 Days from Invoice Date"/>
    <x v="0"/>
  </r>
  <r>
    <s v="J210612"/>
    <d v="2025-06-01T00:00:00"/>
    <s v="Hassan Taleb"/>
    <x v="0"/>
    <s v="DEPTH MODERN TECHNOLOGIES CO."/>
    <s v="Opera House"/>
    <x v="0"/>
    <x v="0"/>
    <s v="SAR"/>
    <n v="1020055"/>
    <n v="2000000"/>
    <n v="1"/>
    <n v="2000000"/>
    <n v="2000000"/>
    <n v="0"/>
    <n v="0"/>
    <n v="0"/>
    <n v="0"/>
    <m/>
    <d v="2025-08-31T00:00:00"/>
    <d v="2025-08-31T00:00:00"/>
    <m/>
    <m/>
    <m/>
    <n v="0"/>
    <m/>
    <x v="3"/>
    <s v="Credit"/>
    <s v="120 Days from Invoice Date"/>
    <x v="0"/>
  </r>
  <r>
    <s v="TF2533500010"/>
    <d v="2025-12-03T00:00:00"/>
    <s v="Hassan Taleb"/>
    <x v="0"/>
    <s v="Depth Modern Technologies Co."/>
    <s v="KSP"/>
    <x v="0"/>
    <x v="0"/>
    <s v="SAR"/>
    <n v="1020055"/>
    <n v="4000000"/>
    <n v="1"/>
    <n v="4000000"/>
    <n v="4000000"/>
    <n v="0"/>
    <n v="0"/>
    <n v="0"/>
    <n v="0"/>
    <m/>
    <d v="2026-02-28T00:00:00"/>
    <d v="2026-02-28T00:00:00"/>
    <m/>
    <m/>
    <m/>
    <n v="0"/>
    <m/>
    <x v="0"/>
    <s v="Credit"/>
    <s v="90 Days from Invoice Date"/>
    <x v="0"/>
  </r>
  <r>
    <s v="TF2508300046"/>
    <d v="2025-03-23T00:00:00"/>
    <s v="Hassan Taleb"/>
    <x v="0"/>
    <s v="DEPTH MODERN TECHNOLOGIES."/>
    <s v="KSP"/>
    <x v="0"/>
    <x v="0"/>
    <s v="SAR"/>
    <n v="1020055"/>
    <n v="3000000"/>
    <n v="1"/>
    <n v="3000000"/>
    <n v="3000000"/>
    <n v="0"/>
    <n v="0"/>
    <n v="0"/>
    <n v="0"/>
    <m/>
    <d v="2025-06-30T00:00:00"/>
    <d v="2025-06-30T00:00:00"/>
    <m/>
    <m/>
    <m/>
    <n v="0"/>
    <m/>
    <x v="0"/>
    <s v="Credit"/>
    <s v="90 Days from Invoice Date"/>
    <x v="0"/>
  </r>
  <r>
    <s v="J209392"/>
    <d v="2024-10-23T00:00:00"/>
    <s v="Hassan Taleb"/>
    <x v="0"/>
    <s v="DEPTH MODERN TECHNOLOGIES."/>
    <s v="Opera House"/>
    <x v="0"/>
    <x v="0"/>
    <s v="SAR"/>
    <n v="1020055"/>
    <n v="1000000"/>
    <n v="1"/>
    <n v="1000000"/>
    <n v="1000000"/>
    <n v="0"/>
    <n v="0"/>
    <n v="0"/>
    <n v="0"/>
    <m/>
    <d v="2024-12-31T00:00:00"/>
    <d v="2024-12-04T00:00:00"/>
    <m/>
    <m/>
    <m/>
    <n v="0"/>
    <m/>
    <x v="3"/>
    <s v="Credit"/>
    <s v="90 Days from Invoice Date"/>
    <x v="0"/>
  </r>
  <r>
    <s v="DCBWPM553297"/>
    <d v="2025-02-26T00:00:00"/>
    <s v="Hassan Taleb"/>
    <x v="0"/>
    <s v="Diakin Air Conditioning Saudi Arabia"/>
    <s v="MP1"/>
    <x v="0"/>
    <x v="6"/>
    <s v="SAR"/>
    <n v="1020088"/>
    <n v="6322470"/>
    <n v="1"/>
    <n v="6322470"/>
    <n v="6322470"/>
    <n v="0"/>
    <n v="0"/>
    <n v="0"/>
    <n v="0"/>
    <m/>
    <d v="2025-05-31T00:00:00"/>
    <d v="2025-05-31T00:00:00"/>
    <m/>
    <m/>
    <m/>
    <n v="0"/>
    <m/>
    <x v="4"/>
    <s v="Credit"/>
    <s v="90 Days from Invoice Date"/>
    <x v="0"/>
  </r>
  <r>
    <s v="JLC6901469"/>
    <d v="2025-08-14T00:00:00"/>
    <s v="Muhammed Khan"/>
    <x v="0"/>
    <s v="Diamond Towers Trading &amp; Contracting Company"/>
    <s v="Cash"/>
    <x v="1"/>
    <x v="1"/>
    <s v="SAR"/>
    <m/>
    <n v="351509.38"/>
    <n v="1"/>
    <n v="351509.38"/>
    <n v="351509.38"/>
    <n v="0"/>
    <n v="0"/>
    <n v="0"/>
    <n v="0"/>
    <m/>
    <d v="2025-09-30T00:00:00"/>
    <d v="2025-09-15T00:00:00"/>
    <m/>
    <m/>
    <m/>
    <m/>
    <m/>
    <x v="1"/>
    <s v="Cash"/>
    <s v="Sight"/>
    <x v="0"/>
  </r>
  <r>
    <s v="ILC-0840-25-8163"/>
    <d v="2025-08-26T00:00:00"/>
    <s v="Hassan Taleb"/>
    <x v="0"/>
    <s v="EALAA FOR GENERAL CONTRACTING CO"/>
    <s v="RCRC"/>
    <x v="0"/>
    <x v="11"/>
    <s v="SAR"/>
    <n v="1020106"/>
    <n v="70863"/>
    <n v="1"/>
    <n v="70863"/>
    <n v="70863"/>
    <n v="0"/>
    <n v="0"/>
    <n v="0"/>
    <n v="0"/>
    <m/>
    <d v="2025-11-30T00:00:00"/>
    <d v="2025-11-30T00:00:00"/>
    <m/>
    <m/>
    <m/>
    <n v="0"/>
    <m/>
    <x v="6"/>
    <s v="Credit"/>
    <s v="90 Days from Invoice Date"/>
    <x v="0"/>
  </r>
  <r>
    <s v="ILC-0840-25-7981"/>
    <d v="2025-07-17T00:00:00"/>
    <s v="Hassan Taleb"/>
    <x v="0"/>
    <s v="Ealla For General Contracting"/>
    <s v="RCRC"/>
    <x v="0"/>
    <x v="11"/>
    <s v="SAR"/>
    <n v="1020106"/>
    <n v="101623.2"/>
    <n v="1"/>
    <n v="101623.2"/>
    <n v="0"/>
    <n v="101623.2"/>
    <n v="0"/>
    <n v="101623.2"/>
    <n v="0"/>
    <m/>
    <d v="2026-06-30T00:00:00"/>
    <d v="2026-06-30T00:00:00"/>
    <m/>
    <m/>
    <m/>
    <n v="0"/>
    <m/>
    <x v="6"/>
    <s v="Credit"/>
    <s v="90 Days from Invoice Date"/>
    <x v="1"/>
  </r>
  <r>
    <s v="ILC-0840-25-7737"/>
    <d v="2025-05-27T00:00:00"/>
    <s v="Hassan Taleb"/>
    <x v="0"/>
    <s v="EALLA FOR GENERAL CONTRACTING CO "/>
    <s v="RCRC"/>
    <x v="0"/>
    <x v="11"/>
    <s v="SAR"/>
    <n v="1020106"/>
    <n v="552155.25"/>
    <n v="1"/>
    <n v="552155.25"/>
    <n v="552155.25"/>
    <n v="0"/>
    <n v="0"/>
    <n v="0"/>
    <n v="0"/>
    <m/>
    <d v="2025-10-31T00:00:00"/>
    <d v="2025-10-31T00:00:00"/>
    <m/>
    <m/>
    <m/>
    <n v="0"/>
    <m/>
    <x v="6"/>
    <s v="Credit"/>
    <s v="90 Days from Invoice Date"/>
    <x v="0"/>
  </r>
  <r>
    <s v="JLC6901477"/>
    <d v="2025-08-14T00:00:00"/>
    <s v="Muhammed Khan"/>
    <x v="0"/>
    <s v="EASTERN CATERING &amp; OPERATIONS CO"/>
    <s v="Cash"/>
    <x v="1"/>
    <x v="1"/>
    <s v="SAR"/>
    <m/>
    <n v="500339.7"/>
    <n v="1"/>
    <n v="500339.7"/>
    <n v="500339.7"/>
    <n v="0"/>
    <n v="0"/>
    <n v="0"/>
    <n v="0"/>
    <m/>
    <d v="2025-09-30T00:00:00"/>
    <d v="2025-09-15T00:00:00"/>
    <m/>
    <m/>
    <m/>
    <m/>
    <m/>
    <x v="1"/>
    <s v="Cash"/>
    <s v="Sight"/>
    <x v="0"/>
  </r>
  <r>
    <s v="TF2328186174"/>
    <d v="2023-10-10T00:00:00"/>
    <s v="Mohammed Kotb"/>
    <x v="0"/>
    <s v="ELECTRIC HOUSE"/>
    <s v="KSP"/>
    <x v="5"/>
    <x v="4"/>
    <s v="SAR"/>
    <n v="1020070"/>
    <n v="2500000"/>
    <n v="1"/>
    <n v="2500000"/>
    <n v="2500000"/>
    <n v="0"/>
    <n v="0"/>
    <n v="0"/>
    <n v="0"/>
    <m/>
    <d v="2023-12-12T00:00:00"/>
    <d v="2023-12-12T00:00:00"/>
    <m/>
    <m/>
    <m/>
    <n v="0"/>
    <m/>
    <x v="0"/>
    <s v="Cash"/>
    <m/>
    <x v="0"/>
  </r>
  <r>
    <s v="TF2400188738"/>
    <d v="2024-01-01T00:00:00"/>
    <s v="Hassan Taleb"/>
    <x v="0"/>
    <s v="ELECTRIC HOUSE CO"/>
    <s v="KSP"/>
    <x v="0"/>
    <x v="0"/>
    <s v="SAR"/>
    <n v="1020055"/>
    <n v="1500000"/>
    <n v="1"/>
    <n v="1500000"/>
    <n v="1500000"/>
    <n v="0"/>
    <n v="0"/>
    <n v="0"/>
    <n v="0"/>
    <m/>
    <d v="2024-05-30T00:00:00"/>
    <d v="2024-05-30T00:00:00"/>
    <m/>
    <m/>
    <m/>
    <n v="0"/>
    <m/>
    <x v="0"/>
    <s v="Credit"/>
    <s v="90 Days from Delivery Date"/>
    <x v="0"/>
  </r>
  <r>
    <s v="J209512"/>
    <d v="2024-11-19T00:00:00"/>
    <s v="Hassan Taleb"/>
    <x v="0"/>
    <s v="Electric House Est"/>
    <s v="Opera House"/>
    <x v="0"/>
    <x v="0"/>
    <s v="SAR"/>
    <n v="1020055"/>
    <n v="800000"/>
    <n v="1"/>
    <n v="800000"/>
    <n v="800000"/>
    <n v="0"/>
    <n v="0"/>
    <n v="0"/>
    <n v="0"/>
    <m/>
    <d v="2025-02-28T00:00:00"/>
    <d v="2025-02-04T00:00:00"/>
    <m/>
    <m/>
    <m/>
    <n v="0"/>
    <m/>
    <x v="3"/>
    <s v="Credit"/>
    <s v="90 Days from Invoice Date"/>
    <x v="0"/>
  </r>
  <r>
    <s v="DCBWPM565760"/>
    <d v="2025-09-11T00:00:00"/>
    <s v="Tareeq Telmasani"/>
    <x v="0"/>
    <s v="ELECTRIC HOUSE LIMITED COMPANY."/>
    <s v="CEER"/>
    <x v="0"/>
    <x v="3"/>
    <s v="SAR"/>
    <n v="1020091"/>
    <n v="2000000"/>
    <n v="1"/>
    <n v="2000000"/>
    <n v="2000000"/>
    <n v="0"/>
    <n v="0"/>
    <n v="0"/>
    <n v="0"/>
    <m/>
    <d v="2025-12-31T00:00:00"/>
    <d v="2025-12-31T00:00:00"/>
    <m/>
    <m/>
    <m/>
    <n v="0"/>
    <m/>
    <x v="4"/>
    <s v="Credit"/>
    <s v="120 Days from Appl. Representative Sign"/>
    <x v="0"/>
  </r>
  <r>
    <s v="TF2420494370"/>
    <d v="2024-07-22T00:00:00"/>
    <s v="Hassan Taleb"/>
    <x v="0"/>
    <s v="ELECTRIC HOUSE LLC"/>
    <s v="KSP"/>
    <x v="0"/>
    <x v="0"/>
    <s v="SAR"/>
    <n v="1020055"/>
    <n v="2920000"/>
    <n v="1"/>
    <n v="2920000"/>
    <n v="2920000"/>
    <n v="0"/>
    <n v="0"/>
    <n v="0"/>
    <n v="0"/>
    <m/>
    <d v="2025-03-31T00:00:00"/>
    <d v="2025-03-31T00:00:00"/>
    <m/>
    <m/>
    <m/>
    <n v="0"/>
    <m/>
    <x v="0"/>
    <s v="Credit"/>
    <m/>
    <x v="0"/>
  </r>
  <r>
    <s v="TF2429897810"/>
    <d v="2024-10-28T00:00:00"/>
    <s v="Rabih Makhoul"/>
    <x v="0"/>
    <s v="Electric House Trading Co LLC"/>
    <s v="KSP"/>
    <x v="0"/>
    <x v="5"/>
    <s v="SAR"/>
    <n v="1020100"/>
    <n v="1400000"/>
    <n v="1"/>
    <n v="1400000"/>
    <n v="1400000"/>
    <n v="0"/>
    <n v="0"/>
    <n v="0"/>
    <n v="0"/>
    <m/>
    <d v="2025-01-31T00:00:00"/>
    <d v="2025-01-31T00:00:00"/>
    <m/>
    <m/>
    <m/>
    <n v="0"/>
    <m/>
    <x v="0"/>
    <s v="Credit"/>
    <s v="90 Days from Invoice Date"/>
    <x v="0"/>
  </r>
  <r>
    <s v="J209217"/>
    <d v="2024-09-19T00:00:00"/>
    <s v="Rabih Makhoul"/>
    <x v="0"/>
    <s v="Electric House Trading Co LLC"/>
    <s v="Opera House"/>
    <x v="0"/>
    <x v="5"/>
    <s v="SAR"/>
    <n v="1020100"/>
    <n v="6000000"/>
    <n v="1"/>
    <n v="6000000"/>
    <n v="6000000"/>
    <n v="0"/>
    <n v="0"/>
    <n v="0"/>
    <n v="0"/>
    <m/>
    <d v="2024-12-31T00:00:00"/>
    <d v="2024-12-31T00:00:00"/>
    <m/>
    <m/>
    <m/>
    <n v="0"/>
    <m/>
    <x v="3"/>
    <s v="Credit"/>
    <s v="90 Days from Date of Delivery"/>
    <x v="0"/>
  </r>
  <r>
    <s v="J209963"/>
    <d v="2025-01-27T00:00:00"/>
    <s v="Rabih Makhoul"/>
    <x v="0"/>
    <s v="Electric House Trading Co LLC"/>
    <s v="Opera House"/>
    <x v="0"/>
    <x v="5"/>
    <s v="SAR"/>
    <n v="1020100"/>
    <n v="900000"/>
    <n v="1"/>
    <n v="900000"/>
    <n v="900000"/>
    <n v="0"/>
    <n v="0"/>
    <n v="0"/>
    <n v="0"/>
    <m/>
    <d v="2025-04-30T00:00:00"/>
    <d v="2025-04-30T00:00:00"/>
    <m/>
    <m/>
    <m/>
    <n v="0"/>
    <m/>
    <x v="3"/>
    <s v="Credit"/>
    <s v="90 Days from Invoice Date"/>
    <x v="0"/>
  </r>
  <r>
    <s v="J209070"/>
    <d v="2024-08-29T00:00:00"/>
    <s v="Hassan Taleb"/>
    <x v="0"/>
    <s v="ELECTRIC HOUSE TRADING COMPANY"/>
    <s v="Opera House"/>
    <x v="0"/>
    <x v="0"/>
    <s v="SAR"/>
    <n v="1020055"/>
    <n v="2000000"/>
    <n v="1"/>
    <n v="2000000"/>
    <n v="2000000"/>
    <n v="0"/>
    <n v="0"/>
    <n v="0"/>
    <n v="0"/>
    <m/>
    <d v="2024-11-30T00:00:00"/>
    <d v="2024-11-30T00:00:00"/>
    <m/>
    <m/>
    <m/>
    <n v="0"/>
    <m/>
    <x v="3"/>
    <s v="Credit"/>
    <s v="90 Days from Invoice Date"/>
    <x v="0"/>
  </r>
  <r>
    <s v="TF2433399025"/>
    <d v="2024-11-28T00:00:00"/>
    <s v="Hassan Taleb"/>
    <x v="0"/>
    <s v="Electric House Trading Company L.L.C."/>
    <s v="KSP"/>
    <x v="0"/>
    <x v="0"/>
    <s v="SAR"/>
    <n v="1020055"/>
    <n v="1000000"/>
    <n v="1"/>
    <n v="1000000"/>
    <n v="1000000"/>
    <n v="0"/>
    <n v="0"/>
    <n v="0"/>
    <n v="0"/>
    <m/>
    <d v="2025-02-28T00:00:00"/>
    <d v="2025-02-28T00:00:00"/>
    <m/>
    <m/>
    <m/>
    <n v="0"/>
    <m/>
    <x v="0"/>
    <s v="Credit"/>
    <s v="90 Days from Invoice Date"/>
    <x v="0"/>
  </r>
  <r>
    <s v="TF2502300030"/>
    <d v="2025-01-23T00:00:00"/>
    <s v="Hassan Taleb"/>
    <x v="0"/>
    <s v="Electric House Trading Company L.L.C."/>
    <s v="KSP"/>
    <x v="0"/>
    <x v="0"/>
    <s v="SAR"/>
    <n v="1020055"/>
    <n v="400000"/>
    <n v="1"/>
    <n v="400000"/>
    <n v="400000"/>
    <n v="0"/>
    <n v="0"/>
    <n v="0"/>
    <n v="0"/>
    <m/>
    <d v="2025-04-30T00:00:00"/>
    <d v="2025-04-30T00:00:00"/>
    <m/>
    <m/>
    <m/>
    <n v="0"/>
    <m/>
    <x v="0"/>
    <s v="Credit"/>
    <s v="90 Days from Invoice Date"/>
    <x v="0"/>
  </r>
  <r>
    <s v="TF2507700035"/>
    <d v="2025-03-18T00:00:00"/>
    <s v="Rabih Makhoul"/>
    <x v="0"/>
    <s v="ELECTRIC HOUSE TRADING COMPANY L.L.C."/>
    <s v="KSP"/>
    <x v="0"/>
    <x v="5"/>
    <s v="SAR"/>
    <n v="1020100"/>
    <n v="1250000"/>
    <n v="1"/>
    <n v="1250000"/>
    <n v="1250000"/>
    <n v="0"/>
    <n v="0"/>
    <n v="0"/>
    <n v="0"/>
    <m/>
    <d v="2025-06-30T00:00:00"/>
    <d v="2025-06-30T00:00:00"/>
    <m/>
    <m/>
    <m/>
    <n v="0"/>
    <m/>
    <x v="0"/>
    <s v="Credit"/>
    <s v="90 Days from Invoice Date"/>
    <x v="0"/>
  </r>
  <r>
    <s v="IM2513233001"/>
    <d v="2025-05-12T00:00:00"/>
    <s v="Hassan Taleb"/>
    <x v="0"/>
    <s v="Electric House Trading Company L.L.C."/>
    <s v="Cash"/>
    <x v="0"/>
    <x v="0"/>
    <s v="SAR"/>
    <n v="1020055"/>
    <n v="4639392.95"/>
    <n v="1"/>
    <n v="4639392.95"/>
    <n v="4639392.95"/>
    <n v="0"/>
    <n v="0"/>
    <n v="0"/>
    <n v="0"/>
    <m/>
    <d v="2025-12-31T00:00:00"/>
    <d v="2025-12-31T00:00:00"/>
    <m/>
    <m/>
    <m/>
    <n v="0"/>
    <s v="to bank on 05-10 | EXP &amp; LDS - 31-12-25"/>
    <x v="2"/>
    <s v="Cash"/>
    <s v="90 Days from Invoice Date"/>
    <x v="0"/>
  </r>
  <r>
    <s v="TF2513100028"/>
    <d v="2025-05-11T00:00:00"/>
    <s v="Hassan Taleb"/>
    <x v="0"/>
    <s v="ELECTRIC HOUSE TRADING COMPANY L.L.C."/>
    <s v="KSP"/>
    <x v="0"/>
    <x v="0"/>
    <s v="SAR"/>
    <n v="1020055"/>
    <n v="891914.65"/>
    <n v="1"/>
    <n v="891914.65"/>
    <n v="891914.65"/>
    <n v="0"/>
    <n v="0"/>
    <n v="0"/>
    <n v="0"/>
    <m/>
    <d v="2025-10-31T00:00:00"/>
    <d v="2025-10-31T00:00:00"/>
    <m/>
    <m/>
    <m/>
    <n v="0"/>
    <s v="to bank on 08-09 | EXP &amp; LDS 31-10"/>
    <x v="0"/>
    <s v="Credit"/>
    <s v="120 Days from Invoice Date"/>
    <x v="0"/>
  </r>
  <r>
    <s v="J210604"/>
    <d v="2025-06-01T00:00:00"/>
    <s v="Hassan Taleb"/>
    <x v="0"/>
    <s v="Electric House Trading Company L.L.C."/>
    <s v="Opera House"/>
    <x v="0"/>
    <x v="0"/>
    <s v="SAR"/>
    <n v="1020055"/>
    <n v="400000"/>
    <n v="1"/>
    <n v="400000"/>
    <n v="400000"/>
    <n v="0"/>
    <n v="0"/>
    <n v="0"/>
    <n v="0"/>
    <m/>
    <d v="2026-02-28T00:00:00"/>
    <d v="2026-02-28T00:00:00"/>
    <m/>
    <m/>
    <m/>
    <n v="0"/>
    <m/>
    <x v="3"/>
    <s v="Credit"/>
    <s v="120 Days from Invoice Date"/>
    <x v="0"/>
  </r>
  <r>
    <s v="TF2517400062"/>
    <d v="2025-06-23T00:00:00"/>
    <s v="Hassan Taleb"/>
    <x v="0"/>
    <s v="Electric House Trading Company L.L.C."/>
    <s v="KSP"/>
    <x v="0"/>
    <x v="5"/>
    <s v="SAR"/>
    <n v="1020100"/>
    <n v="900000"/>
    <n v="1"/>
    <n v="900000"/>
    <n v="900000"/>
    <n v="0"/>
    <n v="0"/>
    <n v="0"/>
    <n v="0"/>
    <m/>
    <d v="2025-08-31T00:00:00"/>
    <d v="2025-08-31T00:00:00"/>
    <m/>
    <m/>
    <m/>
    <n v="0"/>
    <m/>
    <x v="0"/>
    <s v="Credit"/>
    <s v="120 Days from Invoice Date"/>
    <x v="0"/>
  </r>
  <r>
    <s v="DCBWPM558778"/>
    <d v="2025-06-02T00:00:00"/>
    <s v="Hassan Taleb"/>
    <x v="0"/>
    <s v="Electric House Trading Company L.L.C."/>
    <s v="MP1"/>
    <x v="0"/>
    <x v="6"/>
    <s v="SAR"/>
    <n v="1020088"/>
    <n v="400000"/>
    <n v="1"/>
    <n v="400000"/>
    <n v="400000"/>
    <n v="0"/>
    <n v="0"/>
    <n v="0"/>
    <n v="0"/>
    <m/>
    <d v="2025-10-31T00:00:00"/>
    <d v="2025-10-31T00:00:00"/>
    <m/>
    <m/>
    <m/>
    <n v="0"/>
    <m/>
    <x v="4"/>
    <s v="Credit"/>
    <s v="120 Days from Invoice Date"/>
    <x v="0"/>
  </r>
  <r>
    <s v="DCBWPM562625"/>
    <d v="2025-07-24T00:00:00"/>
    <s v="Hassan Taleb"/>
    <x v="0"/>
    <s v="Electric House Trading Company L.L.C."/>
    <s v="MP1"/>
    <x v="0"/>
    <x v="6"/>
    <s v="SAR"/>
    <n v="1020088"/>
    <n v="250000"/>
    <n v="1"/>
    <n v="250000"/>
    <n v="250000"/>
    <n v="0"/>
    <n v="0"/>
    <n v="0"/>
    <n v="0"/>
    <m/>
    <d v="2025-10-31T00:00:00"/>
    <d v="2025-10-31T00:00:00"/>
    <m/>
    <m/>
    <m/>
    <n v="0"/>
    <m/>
    <x v="4"/>
    <s v="Credit"/>
    <s v="120 Days from Invoice Date"/>
    <x v="0"/>
  </r>
  <r>
    <s v="DCBWPM562730"/>
    <d v="2025-07-29T00:00:00"/>
    <s v="Tareeq Telmasani"/>
    <x v="0"/>
    <s v="Electric House Trading Company L.L.C."/>
    <s v="CEER"/>
    <x v="0"/>
    <x v="3"/>
    <s v="SAR"/>
    <n v="1020091"/>
    <n v="20000000"/>
    <n v="1"/>
    <n v="20000000"/>
    <n v="20000000"/>
    <n v="0"/>
    <n v="0"/>
    <n v="0"/>
    <n v="0"/>
    <m/>
    <d v="2025-10-31T00:00:00"/>
    <d v="2025-10-31T00:00:00"/>
    <m/>
    <m/>
    <m/>
    <n v="0"/>
    <m/>
    <x v="4"/>
    <s v="Credit"/>
    <s v="90 Days from Appl. Representative Sign"/>
    <x v="0"/>
  </r>
  <r>
    <s v="DCBWPM563813"/>
    <d v="2025-08-13T00:00:00"/>
    <s v="Tareeq Telmasani"/>
    <x v="0"/>
    <s v="Electric House Trading Company L.L.C."/>
    <s v="CEER"/>
    <x v="0"/>
    <x v="3"/>
    <s v="SAR"/>
    <n v="1020091"/>
    <n v="40000000"/>
    <n v="1"/>
    <n v="40000000"/>
    <n v="40000000"/>
    <n v="0"/>
    <n v="0"/>
    <n v="0"/>
    <n v="0"/>
    <m/>
    <d v="2025-11-30T00:00:00"/>
    <d v="2025-11-30T00:00:00"/>
    <m/>
    <m/>
    <m/>
    <n v="0"/>
    <m/>
    <x v="4"/>
    <s v="Credit"/>
    <s v="90 Days from Appl. Representative Sign"/>
    <x v="0"/>
  </r>
  <r>
    <s v="DCBWPM564585"/>
    <d v="2025-08-26T00:00:00"/>
    <s v="Mohammed Kotb"/>
    <x v="0"/>
    <s v="Electric House Trading Company L.L.C."/>
    <s v="MP1"/>
    <x v="4"/>
    <x v="4"/>
    <s v="SAR"/>
    <n v="1020070"/>
    <n v="809915"/>
    <n v="1"/>
    <n v="809915"/>
    <n v="809915"/>
    <n v="0"/>
    <n v="0"/>
    <n v="0"/>
    <n v="0"/>
    <m/>
    <d v="2025-11-30T00:00:00"/>
    <d v="2025-11-30T00:00:00"/>
    <m/>
    <m/>
    <m/>
    <n v="0"/>
    <m/>
    <x v="4"/>
    <s v="Credit"/>
    <s v="90 Days from Date of Delivery"/>
    <x v="0"/>
  </r>
  <r>
    <s v="DCBWPM566972"/>
    <d v="2025-10-02T00:00:00"/>
    <s v="Hassan Taleb"/>
    <x v="0"/>
    <s v="Electric House Trading Company L.L.C."/>
    <s v="MP1"/>
    <x v="0"/>
    <x v="6"/>
    <s v="SAR"/>
    <n v="1020088"/>
    <n v="600000"/>
    <n v="1"/>
    <n v="600000"/>
    <n v="600000"/>
    <n v="0"/>
    <n v="0"/>
    <n v="0"/>
    <n v="0"/>
    <m/>
    <d v="2025-12-31T00:00:00"/>
    <d v="2025-12-31T00:00:00"/>
    <m/>
    <m/>
    <m/>
    <n v="0"/>
    <m/>
    <x v="4"/>
    <s v="Credit"/>
    <s v="120 Days from Invoice Date"/>
    <x v="0"/>
  </r>
  <r>
    <s v="J211805"/>
    <d v="2026-01-20T00:00:00"/>
    <s v="Matthew Mckernan"/>
    <x v="0"/>
    <s v="Electric House Trading Company L.L.C."/>
    <s v="Opera House"/>
    <x v="4"/>
    <x v="10"/>
    <s v="SAR"/>
    <n v="1020097"/>
    <n v="3000000"/>
    <n v="1"/>
    <n v="3000000"/>
    <n v="806924.71"/>
    <n v="2193075.29"/>
    <n v="0"/>
    <n v="2193075.29"/>
    <n v="0"/>
    <m/>
    <d v="2026-02-28T00:00:00"/>
    <d v="2026-02-28T00:00:00"/>
    <m/>
    <m/>
    <m/>
    <n v="0"/>
    <m/>
    <x v="3"/>
    <s v="Credit"/>
    <s v="90 Days from Delivery Date"/>
    <x v="0"/>
  </r>
  <r>
    <s v="J211808"/>
    <d v="2026-01-18T00:00:00"/>
    <s v="Matthew Mckernan"/>
    <x v="0"/>
    <s v="Electric House Trading Company L.L.C."/>
    <s v="Opera House"/>
    <x v="4"/>
    <x v="10"/>
    <s v="SAR"/>
    <n v="1020097"/>
    <n v="250000"/>
    <n v="1"/>
    <n v="250000"/>
    <n v="250000"/>
    <n v="0"/>
    <n v="0"/>
    <n v="0"/>
    <n v="0"/>
    <m/>
    <d v="2026-02-28T00:00:00"/>
    <d v="2026-02-28T00:00:00"/>
    <m/>
    <m/>
    <m/>
    <n v="0"/>
    <m/>
    <x v="3"/>
    <s v="Credit"/>
    <s v="90 Days from Delivery Date"/>
    <x v="0"/>
  </r>
  <r>
    <s v="J211807"/>
    <d v="2026-01-18T00:00:00"/>
    <s v="Matthew Mckernan"/>
    <x v="0"/>
    <s v="Electric House Trading Company L.L.C."/>
    <s v="Opera House"/>
    <x v="4"/>
    <x v="10"/>
    <s v="SAR"/>
    <n v="1020097"/>
    <n v="350000"/>
    <n v="1"/>
    <n v="350000"/>
    <n v="350000"/>
    <n v="0"/>
    <n v="0"/>
    <n v="0"/>
    <n v="0"/>
    <m/>
    <d v="2026-03-31T00:00:00"/>
    <d v="2026-03-31T00:00:00"/>
    <m/>
    <m/>
    <m/>
    <n v="0"/>
    <m/>
    <x v="3"/>
    <s v="Credit"/>
    <s v="90 Days from Delivery Date"/>
    <x v="0"/>
  </r>
  <r>
    <s v="JLC7000001"/>
    <d v="2026-01-01T00:00:00"/>
    <s v="Luis Puente"/>
    <x v="0"/>
    <s v="Electric House Trading Company L.L.C."/>
    <s v="Oceanarium"/>
    <x v="0"/>
    <x v="7"/>
    <s v="SAR"/>
    <n v="1020096"/>
    <n v="1000000"/>
    <n v="1"/>
    <n v="1000000"/>
    <n v="1000000"/>
    <n v="0"/>
    <n v="0"/>
    <n v="0"/>
    <n v="0"/>
    <m/>
    <d v="2026-04-30T00:00:00"/>
    <d v="2026-04-30T00:00:00"/>
    <m/>
    <m/>
    <m/>
    <n v="0"/>
    <m/>
    <x v="1"/>
    <s v="Credit"/>
    <s v="90 Days from Appln Rep Sign on Invoice"/>
    <x v="0"/>
  </r>
  <r>
    <s v="DCBWPM161326"/>
    <d v="2026-01-28T00:00:00"/>
    <s v="Hassan Taleb"/>
    <x v="0"/>
    <s v="Electric House Trading Company L.L.C."/>
    <s v="MP1"/>
    <x v="0"/>
    <x v="6"/>
    <s v="SAR"/>
    <n v="1020088"/>
    <n v="1000000"/>
    <n v="1"/>
    <n v="1000000"/>
    <n v="1000000"/>
    <n v="0"/>
    <n v="0"/>
    <n v="0"/>
    <n v="0"/>
    <m/>
    <d v="2026-04-30T00:00:00"/>
    <d v="2026-04-30T00:00:00"/>
    <m/>
    <m/>
    <m/>
    <n v="0"/>
    <m/>
    <x v="4"/>
    <s v="Credit"/>
    <s v="90 Days from Applicant representative sign on Invoice"/>
    <x v="0"/>
  </r>
  <r>
    <s v="JLC7000188"/>
    <d v="2026-02-04T00:00:00"/>
    <s v="Luis Puente"/>
    <x v="0"/>
    <s v="Electric House Trading Company L.L.C."/>
    <s v="Oceanarium"/>
    <x v="0"/>
    <x v="7"/>
    <s v="SAR"/>
    <n v="1020096"/>
    <n v="500000"/>
    <n v="1"/>
    <n v="500000"/>
    <n v="500000"/>
    <n v="0"/>
    <n v="0"/>
    <n v="0"/>
    <n v="0"/>
    <m/>
    <d v="2026-04-30T00:00:00"/>
    <d v="2026-04-30T00:00:00"/>
    <m/>
    <m/>
    <m/>
    <n v="0"/>
    <m/>
    <x v="1"/>
    <s v="Credit"/>
    <s v="90 Days from Appln Rep Sign on Invoice"/>
    <x v="0"/>
  </r>
  <r>
    <s v="DCBWPM164009"/>
    <d v="2026-04-06T00:00:00"/>
    <s v="Hassan Taleb"/>
    <x v="0"/>
    <s v="Electric House Trading Company L.L.C."/>
    <s v="MP1"/>
    <x v="0"/>
    <x v="6"/>
    <s v="SAR"/>
    <n v="1020088"/>
    <n v="1000000"/>
    <n v="1"/>
    <n v="1000000"/>
    <n v="0"/>
    <n v="1000000"/>
    <n v="0"/>
    <n v="1000000"/>
    <n v="1000000"/>
    <m/>
    <d v="2026-06-30T00:00:00"/>
    <d v="2026-06-30T00:00:00"/>
    <m/>
    <m/>
    <m/>
    <n v="0"/>
    <m/>
    <x v="4"/>
    <s v="Credit"/>
    <s v="90 Days from App Rep Sign on Invoice"/>
    <x v="1"/>
  </r>
  <r>
    <s v="J212140"/>
    <d v="2026-04-12T00:00:00"/>
    <s v="Matthew Mckernan"/>
    <x v="0"/>
    <s v="Electric House Trading Company L.L.C."/>
    <s v="Opera House"/>
    <x v="4"/>
    <x v="10"/>
    <s v="SAR"/>
    <n v="1020097"/>
    <n v="2193076"/>
    <n v="1"/>
    <n v="2193076"/>
    <n v="0"/>
    <n v="2193076"/>
    <n v="2193076"/>
    <n v="0"/>
    <n v="0"/>
    <s v="19/07/2026"/>
    <d v="2026-05-30T00:00:00"/>
    <d v="2026-05-30T00:00:00"/>
    <m/>
    <m/>
    <m/>
    <n v="0"/>
    <s v="to bank on 08-04"/>
    <x v="3"/>
    <s v="Credit"/>
    <s v="90 Days from Delivery Date"/>
    <x v="1"/>
  </r>
  <r>
    <s v="TF2308980790"/>
    <d v="2023-03-30T00:00:00"/>
    <s v="Bassam Marawie"/>
    <x v="0"/>
    <s v="ELECTRIC HOUSE TRADING COMPANY LLC"/>
    <s v="KSP"/>
    <x v="0"/>
    <x v="12"/>
    <s v="SAR"/>
    <n v="1020001"/>
    <n v="9577116"/>
    <n v="1"/>
    <n v="9577116"/>
    <n v="9501205.2300000004"/>
    <n v="75910.77"/>
    <n v="0"/>
    <n v="75910.77"/>
    <n v="0"/>
    <m/>
    <d v="2023-10-31T00:00:00"/>
    <d v="2023-07-31T00:00:00"/>
    <m/>
    <m/>
    <m/>
    <n v="0"/>
    <m/>
    <x v="0"/>
    <s v="Credit"/>
    <m/>
    <x v="0"/>
  </r>
  <r>
    <s v="TF2308580642"/>
    <d v="2024-01-01T00:00:00"/>
    <s v="Bassam Marawie"/>
    <x v="0"/>
    <s v="ELECTRIC HOUSE TRADING COMPANY LLC"/>
    <s v="KSP"/>
    <x v="0"/>
    <x v="13"/>
    <s v="SAR"/>
    <n v="1020052"/>
    <n v="4998187.67"/>
    <n v="1"/>
    <n v="4998187.67"/>
    <n v="4998187.67"/>
    <n v="0"/>
    <n v="0"/>
    <n v="0"/>
    <n v="0"/>
    <m/>
    <d v="2023-12-31T00:00:00"/>
    <d v="2023-12-31T00:00:00"/>
    <m/>
    <m/>
    <m/>
    <n v="0"/>
    <m/>
    <x v="0"/>
    <s v="Credit"/>
    <m/>
    <x v="0"/>
  </r>
  <r>
    <s v="TF2308580633"/>
    <d v="2023-03-26T00:00:00"/>
    <s v="Bassam Marawie"/>
    <x v="0"/>
    <s v="ELECTRIC HOUSE TRADING COMPANY LLC"/>
    <s v="KSP"/>
    <x v="0"/>
    <x v="13"/>
    <s v="SAR"/>
    <n v="1020052"/>
    <n v="853853.28"/>
    <n v="1"/>
    <n v="853853.28"/>
    <n v="853853.28"/>
    <n v="0"/>
    <n v="0"/>
    <n v="0"/>
    <n v="0"/>
    <m/>
    <d v="2023-12-31T00:00:00"/>
    <d v="2023-12-31T00:00:00"/>
    <m/>
    <m/>
    <m/>
    <n v="0"/>
    <m/>
    <x v="0"/>
    <s v="Credit"/>
    <m/>
    <x v="0"/>
  </r>
  <r>
    <s v="TF2308580653"/>
    <d v="2023-03-26T00:00:00"/>
    <s v="Bassam Marawie"/>
    <x v="0"/>
    <s v="ELECTRIC HOUSE TRADING COMPANY LLC"/>
    <s v="KSP"/>
    <x v="0"/>
    <x v="13"/>
    <s v="SAR"/>
    <n v="1020052"/>
    <n v="1707750"/>
    <n v="1"/>
    <n v="1707750"/>
    <n v="1707750"/>
    <n v="0"/>
    <n v="0"/>
    <n v="0"/>
    <n v="0"/>
    <m/>
    <d v="2023-12-31T00:00:00"/>
    <d v="2023-12-31T00:00:00"/>
    <m/>
    <m/>
    <m/>
    <n v="0"/>
    <m/>
    <x v="0"/>
    <s v="Credit"/>
    <m/>
    <x v="0"/>
  </r>
  <r>
    <s v="TF2324084975"/>
    <d v="2023-08-29T00:00:00"/>
    <s v="Hassan Taleb"/>
    <x v="0"/>
    <s v="ELECTRIC HOUSE TRADING COMPANY LLC"/>
    <s v="KSP"/>
    <x v="0"/>
    <x v="0"/>
    <s v="SAR"/>
    <n v="1020055"/>
    <n v="3991924.87"/>
    <n v="1"/>
    <n v="3991924.87"/>
    <n v="3991924.87"/>
    <n v="0"/>
    <n v="0"/>
    <n v="0"/>
    <n v="0"/>
    <m/>
    <d v="2024-07-01T00:00:00"/>
    <d v="2024-07-01T00:00:00"/>
    <m/>
    <m/>
    <m/>
    <n v="0"/>
    <m/>
    <x v="0"/>
    <s v="Credit"/>
    <s v="90 Days from Delivery Date"/>
    <x v="0"/>
  </r>
  <r>
    <s v="TF2319983736"/>
    <d v="2023-07-18T00:00:00"/>
    <s v="Hassan Taleb"/>
    <x v="0"/>
    <s v="ELECTRIC HOUSE TRADING COMPANY LLC"/>
    <s v="KSP"/>
    <x v="0"/>
    <x v="0"/>
    <s v="SAR"/>
    <n v="1020055"/>
    <n v="752957.98"/>
    <n v="1"/>
    <n v="752957.98"/>
    <n v="752957.98"/>
    <n v="0"/>
    <n v="0"/>
    <n v="0"/>
    <n v="0"/>
    <m/>
    <d v="2023-11-30T00:00:00"/>
    <d v="2023-11-30T00:00:00"/>
    <m/>
    <m/>
    <m/>
    <n v="0"/>
    <m/>
    <x v="0"/>
    <s v="Credit"/>
    <m/>
    <x v="0"/>
  </r>
  <r>
    <s v="JLC6702457"/>
    <d v="2023-12-23T00:00:00"/>
    <s v="Mohammed Kotb"/>
    <x v="0"/>
    <s v="ELECTRIC HOUSE TRADING COMPANY LLC"/>
    <s v="Multipurpose"/>
    <x v="5"/>
    <x v="4"/>
    <s v="SAR"/>
    <n v="1020070"/>
    <n v="7021761.2000000002"/>
    <n v="1"/>
    <n v="7021761.2000000002"/>
    <n v="7021761.1999999993"/>
    <n v="0"/>
    <n v="0"/>
    <n v="0"/>
    <n v="0"/>
    <m/>
    <d v="2024-06-30T00:00:00"/>
    <d v="2024-06-30T00:00:00"/>
    <m/>
    <m/>
    <m/>
    <n v="0"/>
    <m/>
    <x v="1"/>
    <s v="Credit"/>
    <m/>
    <x v="0"/>
  </r>
  <r>
    <s v="J209219"/>
    <d v="2024-09-19T00:00:00"/>
    <s v="Mohammed Kotb"/>
    <x v="0"/>
    <s v="ELECTRIC HOUSE TRADING COMPANY LLC"/>
    <s v="Opera House"/>
    <x v="5"/>
    <x v="4"/>
    <s v="SAR"/>
    <n v="1020070"/>
    <n v="3543660.2"/>
    <n v="1"/>
    <n v="3543660.2"/>
    <n v="3543660.1999999997"/>
    <n v="0"/>
    <n v="0"/>
    <n v="0"/>
    <n v="0"/>
    <m/>
    <d v="2024-12-31T00:00:00"/>
    <d v="2024-12-31T00:00:00"/>
    <m/>
    <m/>
    <m/>
    <n v="0"/>
    <m/>
    <x v="3"/>
    <s v="Credit"/>
    <s v="90 Days from Date of Delivery"/>
    <x v="0"/>
  </r>
  <r>
    <s v="TF2319983728"/>
    <d v="2023-07-18T00:00:00"/>
    <s v="Hassan Taleb"/>
    <x v="0"/>
    <s v="ELECTRIC HOUSE TRADING COMPANY LLC"/>
    <s v="KSP"/>
    <x v="0"/>
    <x v="0"/>
    <s v="SAR"/>
    <n v="1020055"/>
    <n v="2836813.01"/>
    <n v="1"/>
    <n v="2836813.01"/>
    <n v="2836813.0100000002"/>
    <n v="0"/>
    <n v="0"/>
    <n v="0"/>
    <n v="0"/>
    <m/>
    <d v="2023-11-30T00:00:00"/>
    <d v="2023-11-30T00:00:00"/>
    <m/>
    <m/>
    <m/>
    <n v="0"/>
    <m/>
    <x v="0"/>
    <s v="Credit"/>
    <m/>
    <x v="0"/>
  </r>
  <r>
    <s v="TF2324185016"/>
    <d v="2023-08-29T00:00:00"/>
    <s v="Mohammed Atef"/>
    <x v="0"/>
    <s v="ELECTRIC HOUSE TRADING COMPANY LLC"/>
    <s v="KSP"/>
    <x v="5"/>
    <x v="0"/>
    <s v="SAR"/>
    <n v="1020055"/>
    <n v="4440950.5599999996"/>
    <n v="1"/>
    <n v="4440950.5599999996"/>
    <n v="4440950.5599999996"/>
    <n v="0"/>
    <n v="0"/>
    <n v="0"/>
    <n v="0"/>
    <m/>
    <d v="2023-11-30T00:00:00"/>
    <d v="2023-11-30T00:00:00"/>
    <m/>
    <m/>
    <m/>
    <n v="0"/>
    <m/>
    <x v="0"/>
    <s v="Credit"/>
    <m/>
    <x v="0"/>
  </r>
  <r>
    <s v="DCBWPM166259"/>
    <d v="2026-06-04T00:00:00"/>
    <s v="Hassan Taleb"/>
    <x v="0"/>
    <s v="ELECTRIC HOUSE TRADING COMPANY LLC"/>
    <s v="MP1"/>
    <x v="0"/>
    <x v="6"/>
    <s v="SAR"/>
    <n v="1020088"/>
    <n v="1000000"/>
    <n v="1"/>
    <n v="1000000"/>
    <n v="0"/>
    <n v="1000000"/>
    <n v="0"/>
    <n v="1000000"/>
    <n v="0"/>
    <m/>
    <d v="2026-08-31T00:00:00"/>
    <d v="2026-08-31T00:00:00"/>
    <m/>
    <m/>
    <m/>
    <n v="0"/>
    <m/>
    <x v="4"/>
    <s v="Credit"/>
    <s v="120 Days from Applicant representative sign on Invoice"/>
    <x v="1"/>
  </r>
  <r>
    <s v="JLC7000187"/>
    <d v="2026-02-04T00:00:00"/>
    <s v="Luis Puente"/>
    <x v="0"/>
    <s v="Electro Mechanical Supplies"/>
    <s v="Oceanarium"/>
    <x v="0"/>
    <x v="7"/>
    <s v="SAR"/>
    <n v="1020096"/>
    <n v="500000"/>
    <n v="1"/>
    <n v="500000"/>
    <n v="500000"/>
    <n v="0"/>
    <n v="0"/>
    <n v="0"/>
    <n v="0"/>
    <m/>
    <d v="2026-04-30T00:00:00"/>
    <d v="2026-04-30T00:00:00"/>
    <m/>
    <m/>
    <m/>
    <n v="0"/>
    <m/>
    <x v="1"/>
    <s v="Credit"/>
    <s v="90 Days from Appln Rep Sign on Invoice"/>
    <x v="0"/>
  </r>
  <r>
    <s v="J211810"/>
    <d v="2026-01-18T00:00:00"/>
    <s v="Matthew Mckernan"/>
    <x v="0"/>
    <s v="Electro Mechanical Supplies Company"/>
    <s v="Opera House"/>
    <x v="4"/>
    <x v="10"/>
    <s v="SAR"/>
    <n v="1020097"/>
    <n v="400000"/>
    <n v="1"/>
    <n v="400000"/>
    <n v="400000"/>
    <n v="0"/>
    <n v="0"/>
    <n v="0"/>
    <n v="0"/>
    <m/>
    <d v="2026-05-30T00:00:00"/>
    <d v="2026-05-15T00:00:00"/>
    <m/>
    <m/>
    <m/>
    <n v="0"/>
    <m/>
    <x v="3"/>
    <s v="Credit"/>
    <s v="90 Days from Delivery Date"/>
    <x v="1"/>
  </r>
  <r>
    <s v="TF2517400057"/>
    <d v="2025-06-23T00:00:00"/>
    <s v="Hassan Taleb"/>
    <x v="0"/>
    <s v="Elite Arabian Contracting Co Ltd"/>
    <s v="KSP"/>
    <x v="0"/>
    <x v="5"/>
    <s v="SAR"/>
    <n v="1020100"/>
    <n v="94929.8"/>
    <n v="1"/>
    <n v="94929.8"/>
    <n v="94929.8"/>
    <n v="0"/>
    <n v="0"/>
    <n v="0"/>
    <n v="0"/>
    <m/>
    <d v="2025-08-31T00:00:00"/>
    <d v="2025-08-31T00:00:00"/>
    <m/>
    <m/>
    <m/>
    <n v="0"/>
    <m/>
    <x v="0"/>
    <s v="Credit"/>
    <s v="120 Days from Invoice Date"/>
    <x v="0"/>
  </r>
  <r>
    <s v="DCBWPM163971"/>
    <d v="2026-04-06T00:00:00"/>
    <s v="Hassan Taleb"/>
    <x v="0"/>
    <s v="Elmady Solution Company"/>
    <s v="MP1"/>
    <x v="0"/>
    <x v="6"/>
    <s v="SAR"/>
    <n v="1020088"/>
    <n v="150000"/>
    <n v="1"/>
    <n v="150000"/>
    <n v="0"/>
    <n v="150000"/>
    <n v="0"/>
    <n v="150000"/>
    <n v="0"/>
    <m/>
    <d v="2026-06-30T00:00:00"/>
    <d v="2026-06-30T00:00:00"/>
    <m/>
    <m/>
    <m/>
    <n v="0"/>
    <m/>
    <x v="4"/>
    <s v="Credit"/>
    <s v="90 Days from App Rep Sign on Invoice"/>
    <x v="1"/>
  </r>
  <r>
    <s v="DCBWPM553753"/>
    <d v="2025-03-10T00:00:00"/>
    <s v="Hassan Taleb"/>
    <x v="0"/>
    <s v="Elsewedy Cables Co Ltd"/>
    <s v="MP1"/>
    <x v="0"/>
    <x v="6"/>
    <s v="SAR"/>
    <n v="1020088"/>
    <n v="4000000"/>
    <n v="1"/>
    <n v="4000000"/>
    <n v="4000000"/>
    <n v="0"/>
    <n v="0"/>
    <n v="0"/>
    <n v="0"/>
    <m/>
    <d v="2025-05-31T00:00:00"/>
    <d v="2025-05-31T00:00:00"/>
    <m/>
    <m/>
    <m/>
    <n v="0"/>
    <m/>
    <x v="4"/>
    <s v="Credit"/>
    <s v="90 Days from Invoice Date"/>
    <x v="0"/>
  </r>
  <r>
    <s v="ILC-0840-25-7171"/>
    <d v="2025-01-27T00:00:00"/>
    <s v="Hassan Taleb"/>
    <x v="0"/>
    <s v="Elsewedy Cables Co."/>
    <s v="RCRC"/>
    <x v="0"/>
    <x v="11"/>
    <s v="SAR"/>
    <n v="1020106"/>
    <n v="2103975.9500000002"/>
    <n v="1"/>
    <n v="2103975.9500000002"/>
    <n v="2103975.9500000002"/>
    <n v="0"/>
    <n v="0"/>
    <n v="0"/>
    <n v="0"/>
    <m/>
    <d v="2025-05-15T00:00:00"/>
    <d v="2025-04-30T00:00:00"/>
    <m/>
    <m/>
    <m/>
    <m/>
    <m/>
    <x v="6"/>
    <s v="Credit"/>
    <s v="90 Days from Invoice Date"/>
    <x v="0"/>
  </r>
  <r>
    <s v="TF2517400038"/>
    <d v="2025-06-23T00:00:00"/>
    <s v="Hassan Taleb"/>
    <x v="0"/>
    <s v="ELSEWEDY CABLES CO. LIMITED"/>
    <s v="KSP"/>
    <x v="0"/>
    <x v="5"/>
    <s v="SAR"/>
    <n v="1020100"/>
    <n v="500000"/>
    <n v="1"/>
    <n v="500000"/>
    <n v="500000"/>
    <n v="0"/>
    <n v="0"/>
    <n v="0"/>
    <n v="0"/>
    <m/>
    <d v="2025-08-31T00:00:00"/>
    <d v="2025-08-31T00:00:00"/>
    <m/>
    <m/>
    <m/>
    <n v="0"/>
    <m/>
    <x v="0"/>
    <s v="Credit"/>
    <s v="120 Days from Invoice Date"/>
    <x v="0"/>
  </r>
  <r>
    <s v="DCBWPM570361"/>
    <d v="2025-12-01T00:00:00"/>
    <s v="Hassan Taleb"/>
    <x v="0"/>
    <s v="ELSEWEDY CABLES CO. LIMITED"/>
    <s v="MP1"/>
    <x v="0"/>
    <x v="6"/>
    <s v="SAR"/>
    <n v="1020088"/>
    <n v="6908467.5099999998"/>
    <n v="1"/>
    <n v="6908467.5099999998"/>
    <n v="6903372.0600000005"/>
    <n v="5095.45"/>
    <n v="0"/>
    <n v="5095.45"/>
    <n v="0"/>
    <m/>
    <d v="2026-04-30T00:00:00"/>
    <d v="2026-04-30T00:00:00"/>
    <m/>
    <m/>
    <m/>
    <n v="0"/>
    <m/>
    <x v="4"/>
    <s v="Credit"/>
    <s v="120 Days from Invoice Date"/>
    <x v="0"/>
  </r>
  <r>
    <s v="DCBWPM164001"/>
    <d v="2026-04-06T00:00:00"/>
    <s v="Hassan Taleb"/>
    <x v="0"/>
    <s v="Elsewedy Cables Co. Limited"/>
    <s v="MP1"/>
    <x v="0"/>
    <x v="6"/>
    <s v="SAR"/>
    <n v="1020088"/>
    <n v="1000000"/>
    <n v="1"/>
    <n v="1000000"/>
    <n v="0"/>
    <n v="1000000"/>
    <n v="995984.82"/>
    <n v="4015.18"/>
    <n v="0"/>
    <s v="30/08/2026"/>
    <d v="2026-06-30T00:00:00"/>
    <d v="2026-06-30T00:00:00"/>
    <m/>
    <m/>
    <m/>
    <n v="0"/>
    <m/>
    <x v="4"/>
    <s v="Credit"/>
    <s v="90 Days from App Rep Sign on Invoice"/>
    <x v="1"/>
  </r>
  <r>
    <s v="DCBWPM166257"/>
    <d v="2026-06-04T00:00:00"/>
    <s v="Hassan Taleb"/>
    <x v="0"/>
    <s v="ELSEWEDY CABLES CO. LIMITED"/>
    <s v="MP1"/>
    <x v="0"/>
    <x v="6"/>
    <s v="SAR"/>
    <n v="1020088"/>
    <n v="1000000"/>
    <n v="1"/>
    <n v="1000000"/>
    <n v="0"/>
    <n v="1000000"/>
    <n v="0"/>
    <n v="1000000"/>
    <n v="0"/>
    <m/>
    <d v="2026-08-31T00:00:00"/>
    <d v="2026-08-31T00:00:00"/>
    <m/>
    <m/>
    <m/>
    <n v="0"/>
    <m/>
    <x v="4"/>
    <s v="Credit"/>
    <s v="120 Days from Applicant representative sign on Invoice"/>
    <x v="1"/>
  </r>
  <r>
    <s v="ILC-0840-25-7518"/>
    <d v="2025-04-09T00:00:00"/>
    <s v="Hassan Taleb"/>
    <x v="0"/>
    <s v="ELSEWEDY CABLES CO.LIMITED"/>
    <s v="RCRC"/>
    <x v="0"/>
    <x v="11"/>
    <s v="SAR"/>
    <n v="1020106"/>
    <n v="2139000"/>
    <n v="1"/>
    <n v="2139000"/>
    <n v="2138999.4"/>
    <n v="0.6"/>
    <n v="0"/>
    <n v="0.6"/>
    <n v="0"/>
    <m/>
    <d v="2025-08-31T00:00:00"/>
    <d v="2025-08-31T00:00:00"/>
    <m/>
    <m/>
    <m/>
    <n v="0"/>
    <m/>
    <x v="6"/>
    <s v="Credit"/>
    <s v="90 Days from Invoice Date"/>
    <x v="0"/>
  </r>
  <r>
    <s v="ILC-0840-25-7574"/>
    <d v="2025-04-28T00:00:00"/>
    <s v="Hassan Taleb"/>
    <x v="0"/>
    <s v="ELSEWEDY CABLES CO.LIMITED"/>
    <s v="RCRC"/>
    <x v="0"/>
    <x v="11"/>
    <s v="SAR"/>
    <n v="1020106"/>
    <n v="499955.6"/>
    <n v="1"/>
    <n v="499955.6"/>
    <n v="499955.6"/>
    <n v="0"/>
    <n v="0"/>
    <n v="0"/>
    <n v="0"/>
    <m/>
    <d v="2025-07-31T00:00:00"/>
    <d v="2025-07-31T00:00:00"/>
    <m/>
    <m/>
    <m/>
    <m/>
    <m/>
    <x v="6"/>
    <s v="Credit"/>
    <s v="90 Days from Invoice Date"/>
    <x v="0"/>
  </r>
  <r>
    <s v="DCBWPM565818"/>
    <d v="2025-09-14T00:00:00"/>
    <s v="Hassan Taleb"/>
    <x v="0"/>
    <s v="ELSEWEDY CABLES COMPANY LTD."/>
    <s v="MP1"/>
    <x v="0"/>
    <x v="6"/>
    <s v="SAR"/>
    <n v="1020088"/>
    <n v="5000000"/>
    <n v="1"/>
    <n v="5000000"/>
    <n v="4999038.42"/>
    <n v="961.58"/>
    <n v="0"/>
    <n v="961.58"/>
    <n v="0"/>
    <m/>
    <d v="2025-12-31T00:00:00"/>
    <d v="2025-12-31T00:00:00"/>
    <m/>
    <m/>
    <m/>
    <n v="0"/>
    <m/>
    <x v="4"/>
    <s v="Credit"/>
    <s v="120 Days from Invoice Date"/>
    <x v="0"/>
  </r>
  <r>
    <s v="J209426"/>
    <d v="2024-10-30T00:00:00"/>
    <s v="Hassan Taleb"/>
    <x v="0"/>
    <s v="Emaan International Company"/>
    <s v="Opera House"/>
    <x v="0"/>
    <x v="13"/>
    <s v="SAR"/>
    <n v="1020052"/>
    <n v="4626403.66"/>
    <n v="1"/>
    <n v="4626403.66"/>
    <n v="4626403.66"/>
    <n v="0"/>
    <n v="0"/>
    <n v="0"/>
    <n v="0"/>
    <m/>
    <d v="2025-01-31T00:00:00"/>
    <d v="2025-01-04T00:00:00"/>
    <m/>
    <m/>
    <m/>
    <n v="0"/>
    <m/>
    <x v="3"/>
    <s v="Credit"/>
    <s v="90 Days from Invoice Date"/>
    <x v="0"/>
  </r>
  <r>
    <s v="J209168"/>
    <d v="2024-09-16T00:00:00"/>
    <s v="Hassan Taleb"/>
    <x v="0"/>
    <s v="EMAAR POLE COMPANY"/>
    <s v="Opera House"/>
    <x v="0"/>
    <x v="0"/>
    <s v="SAR"/>
    <n v="1020055"/>
    <n v="686893.71"/>
    <n v="1"/>
    <n v="686893.71"/>
    <n v="686893.71"/>
    <n v="0"/>
    <n v="0"/>
    <n v="0"/>
    <n v="0"/>
    <m/>
    <d v="2024-11-30T00:00:00"/>
    <d v="2024-11-04T00:00:00"/>
    <m/>
    <m/>
    <m/>
    <n v="0"/>
    <m/>
    <x v="3"/>
    <s v="Credit"/>
    <s v="90 Days from Invoice Date"/>
    <x v="0"/>
  </r>
  <r>
    <s v="TF2513500030"/>
    <d v="2025-05-15T00:00:00"/>
    <s v="Hassan Taleb"/>
    <x v="0"/>
    <s v="EMAAR POLE COMPANY"/>
    <s v="KSP"/>
    <x v="0"/>
    <x v="0"/>
    <s v="SAR"/>
    <n v="1020055"/>
    <n v="391554.28"/>
    <n v="1"/>
    <n v="391554.28"/>
    <n v="391554.28"/>
    <n v="0"/>
    <n v="0"/>
    <n v="0"/>
    <n v="0"/>
    <m/>
    <d v="2025-08-31T00:00:00"/>
    <d v="2025-08-31T00:00:00"/>
    <m/>
    <m/>
    <m/>
    <n v="0"/>
    <m/>
    <x v="0"/>
    <s v="Credit"/>
    <s v="120 Days from Invoice Date"/>
    <x v="0"/>
  </r>
  <r>
    <s v="TF2414292659"/>
    <d v="2024-05-23T00:00:00"/>
    <s v="Hassan Taleb"/>
    <x v="0"/>
    <s v="EMPOWER AIR TECHNOLOGIES CO"/>
    <s v="KSP"/>
    <x v="0"/>
    <x v="0"/>
    <s v="SAR"/>
    <n v="1020055"/>
    <n v="700000"/>
    <n v="1"/>
    <n v="700000"/>
    <n v="700000"/>
    <n v="0"/>
    <n v="0"/>
    <n v="0"/>
    <n v="0"/>
    <m/>
    <d v="2024-09-30T00:00:00"/>
    <d v="2024-09-30T00:00:00"/>
    <m/>
    <m/>
    <m/>
    <n v="0"/>
    <m/>
    <x v="0"/>
    <s v="Credit"/>
    <m/>
    <x v="0"/>
  </r>
  <r>
    <s v="TF2322084306"/>
    <d v="2023-08-09T00:00:00"/>
    <s v="Hassan Taleb"/>
    <x v="0"/>
    <s v="EMPOWER AIR TECHNOLOGIES CO"/>
    <s v="KSP"/>
    <x v="0"/>
    <x v="0"/>
    <s v="SAR"/>
    <n v="1020055"/>
    <n v="2200000"/>
    <n v="1"/>
    <n v="2200000"/>
    <n v="2200000"/>
    <n v="0"/>
    <n v="0"/>
    <n v="0"/>
    <n v="0"/>
    <m/>
    <d v="2023-10-31T00:00:00"/>
    <d v="2023-10-31T00:00:00"/>
    <m/>
    <m/>
    <m/>
    <n v="0"/>
    <m/>
    <x v="0"/>
    <s v="Credit"/>
    <s v="45 Days from Delivery Date"/>
    <x v="0"/>
  </r>
  <r>
    <s v="J209167"/>
    <d v="2024-09-16T00:00:00"/>
    <s v="Hassan Taleb"/>
    <x v="0"/>
    <s v="EMPOWER AIR TECHNOLOGIES CO."/>
    <s v="Opera House"/>
    <x v="0"/>
    <x v="0"/>
    <s v="SAR"/>
    <n v="1020055"/>
    <n v="1000000"/>
    <n v="1"/>
    <n v="1000000"/>
    <n v="1000000"/>
    <n v="0"/>
    <n v="0"/>
    <n v="0"/>
    <n v="0"/>
    <m/>
    <d v="2024-11-30T00:00:00"/>
    <d v="2024-11-04T00:00:00"/>
    <m/>
    <m/>
    <m/>
    <n v="0"/>
    <m/>
    <x v="3"/>
    <s v="Credit"/>
    <s v="90 Days from Invoice Date"/>
    <x v="0"/>
  </r>
  <r>
    <s v="TF2334688086"/>
    <d v="2023-12-12T00:00:00"/>
    <s v="Hassan Taleb"/>
    <x v="0"/>
    <s v="EMPOWER AIR TECHNOLOGIES CO."/>
    <s v="KSP"/>
    <x v="0"/>
    <x v="0"/>
    <s v="SAR"/>
    <n v="1020055"/>
    <n v="2000000"/>
    <n v="1"/>
    <n v="2000000"/>
    <n v="2000000.0009999999"/>
    <n v="0"/>
    <n v="0"/>
    <n v="0"/>
    <n v="0"/>
    <m/>
    <d v="2024-02-28T00:00:00"/>
    <d v="2024-02-28T00:00:00"/>
    <m/>
    <m/>
    <m/>
    <n v="0"/>
    <m/>
    <x v="0"/>
    <s v="Credit"/>
    <s v="45 Days from Delivery Date"/>
    <x v="0"/>
  </r>
  <r>
    <s v="TF2502300040"/>
    <d v="2025-01-23T00:00:00"/>
    <s v="Hassan Taleb"/>
    <x v="0"/>
    <s v="ENERGY CONCEPT CO LTD"/>
    <s v="KSP"/>
    <x v="0"/>
    <x v="0"/>
    <s v="SAR"/>
    <n v="1020055"/>
    <n v="493685.89"/>
    <n v="1"/>
    <n v="493685.89"/>
    <n v="493685.89"/>
    <n v="0"/>
    <n v="0"/>
    <n v="0"/>
    <n v="0"/>
    <m/>
    <d v="2025-04-30T00:00:00"/>
    <d v="2025-04-30T00:00:00"/>
    <m/>
    <m/>
    <m/>
    <n v="0"/>
    <m/>
    <x v="0"/>
    <s v="Credit"/>
    <s v="90 Days from Invoice Date"/>
    <x v="0"/>
  </r>
  <r>
    <s v="IM2435033006"/>
    <d v="2024-12-15T00:00:00"/>
    <s v="Hassan Taleb"/>
    <x v="0"/>
    <s v="Energy Concept Co Ltd"/>
    <s v="Oceanarium"/>
    <x v="0"/>
    <x v="0"/>
    <s v="SAR"/>
    <n v="1020055"/>
    <n v="500000"/>
    <n v="1"/>
    <n v="500000"/>
    <n v="500000"/>
    <n v="0"/>
    <n v="0"/>
    <n v="0"/>
    <n v="0"/>
    <m/>
    <d v="2025-03-31T00:00:00"/>
    <d v="2025-03-31T00:00:00"/>
    <m/>
    <m/>
    <m/>
    <n v="0"/>
    <m/>
    <x v="2"/>
    <s v="Credit"/>
    <s v="90 Days from Invoice Date"/>
    <x v="0"/>
  </r>
  <r>
    <s v="TF2508300047"/>
    <d v="2025-03-23T00:00:00"/>
    <s v="Hassan Taleb"/>
    <x v="0"/>
    <s v="ENERGY CONCEPT CO LTD"/>
    <s v="KSP"/>
    <x v="0"/>
    <x v="0"/>
    <s v="SAR"/>
    <n v="1020055"/>
    <n v="400000"/>
    <n v="1"/>
    <n v="400000"/>
    <n v="400000"/>
    <n v="0"/>
    <n v="0"/>
    <n v="0"/>
    <n v="0"/>
    <m/>
    <d v="2025-08-31T00:00:00"/>
    <d v="2025-08-31T00:00:00"/>
    <m/>
    <m/>
    <m/>
    <n v="0"/>
    <m/>
    <x v="0"/>
    <s v="Credit"/>
    <s v="90 Days from Invoice Date"/>
    <x v="0"/>
  </r>
  <r>
    <s v="TF2517400044"/>
    <d v="2025-06-23T00:00:00"/>
    <s v="Hassan Taleb"/>
    <x v="0"/>
    <s v="ENERGY CONCEPT CO LTD"/>
    <s v="KSP"/>
    <x v="0"/>
    <x v="5"/>
    <s v="SAR"/>
    <n v="1020100"/>
    <n v="248951.85"/>
    <n v="1"/>
    <n v="248951.85"/>
    <n v="248951.85"/>
    <n v="0"/>
    <n v="0"/>
    <n v="0"/>
    <n v="0"/>
    <m/>
    <d v="2025-07-31T00:00:00"/>
    <d v="2025-07-31T00:00:00"/>
    <m/>
    <m/>
    <m/>
    <m/>
    <m/>
    <x v="0"/>
    <s v="Credit"/>
    <s v="120 Days from Invoice Date"/>
    <x v="0"/>
  </r>
  <r>
    <s v="TF2514700046"/>
    <d v="2025-05-27T00:00:00"/>
    <s v="Hassan Taleb"/>
    <x v="0"/>
    <s v="Energy International Controls"/>
    <s v="KSP"/>
    <x v="0"/>
    <x v="0"/>
    <s v="SAR"/>
    <n v="1020055"/>
    <n v="249901.5"/>
    <n v="1"/>
    <n v="249901.5"/>
    <n v="249901.5"/>
    <n v="0"/>
    <n v="0"/>
    <n v="0"/>
    <n v="0"/>
    <m/>
    <d v="2025-08-31T00:00:00"/>
    <d v="2025-08-31T00:00:00"/>
    <m/>
    <m/>
    <m/>
    <n v="0"/>
    <m/>
    <x v="0"/>
    <s v="Credit"/>
    <s v="120 Days from Invoice Date"/>
    <x v="0"/>
  </r>
  <r>
    <s v="TF2517700014"/>
    <d v="2025-06-26T00:00:00"/>
    <s v="Hassan Taleb"/>
    <x v="0"/>
    <s v="ENGINEERING STYLES EST FOR CONTRACTING"/>
    <s v="KSP"/>
    <x v="0"/>
    <x v="5"/>
    <s v="SAR"/>
    <n v="1020100"/>
    <n v="378574"/>
    <n v="1"/>
    <n v="378574"/>
    <n v="378574"/>
    <n v="0"/>
    <n v="0"/>
    <n v="0"/>
    <n v="0"/>
    <m/>
    <d v="2025-10-31T00:00:00"/>
    <d v="2025-10-31T00:00:00"/>
    <m/>
    <m/>
    <m/>
    <n v="0"/>
    <s v="to bank on 08-09 | EXP &amp; LDS 31-10"/>
    <x v="0"/>
    <s v="Credit"/>
    <s v="120 Days from Invoice Date"/>
    <x v="0"/>
  </r>
  <r>
    <s v="TF2507700038"/>
    <d v="2025-03-18T00:00:00"/>
    <s v="Rabih Makhoul"/>
    <x v="0"/>
    <s v="EQTISAD - ELMAMLAKAH FOR CONSTRUCTION LTD."/>
    <s v="KSP"/>
    <x v="0"/>
    <x v="5"/>
    <s v="SAR"/>
    <n v="1020100"/>
    <n v="500000"/>
    <n v="1"/>
    <n v="500000"/>
    <n v="500000"/>
    <n v="0"/>
    <n v="0"/>
    <n v="0"/>
    <n v="0"/>
    <m/>
    <d v="2025-06-30T00:00:00"/>
    <d v="2025-06-30T00:00:00"/>
    <m/>
    <m/>
    <m/>
    <n v="0"/>
    <m/>
    <x v="0"/>
    <s v="Credit"/>
    <s v="90 Days from Invoice Date"/>
    <x v="0"/>
  </r>
  <r>
    <s v="TF2517400022"/>
    <d v="2025-06-23T00:00:00"/>
    <s v="Hassan Taleb"/>
    <x v="0"/>
    <s v="ESSAM KABBANI AND PARTNERS CO FOR CONSTRUCTION AND MAINTENANCE CO"/>
    <s v="KSP"/>
    <x v="0"/>
    <x v="5"/>
    <s v="SAR"/>
    <n v="1020100"/>
    <n v="400000"/>
    <n v="1"/>
    <n v="400000"/>
    <n v="0"/>
    <n v="400000"/>
    <n v="0"/>
    <n v="400000"/>
    <n v="0"/>
    <m/>
    <d v="2025-10-31T00:00:00"/>
    <d v="2025-10-31T00:00:00"/>
    <m/>
    <m/>
    <m/>
    <n v="0"/>
    <m/>
    <x v="0"/>
    <s v="Credit"/>
    <s v="120 Days from Invoice Date"/>
    <x v="0"/>
  </r>
  <r>
    <s v="DCBWPM166285"/>
    <d v="2026-06-04T00:00:00"/>
    <s v="Hassan Taleb"/>
    <x v="0"/>
    <s v="Establishment Marjane El- Shammal for watertransport and distribution"/>
    <s v="MP1"/>
    <x v="0"/>
    <x v="6"/>
    <s v="SAR"/>
    <n v="1020088"/>
    <n v="200000"/>
    <n v="1"/>
    <n v="200000"/>
    <n v="0"/>
    <n v="200000"/>
    <n v="0"/>
    <n v="200000"/>
    <n v="0"/>
    <m/>
    <d v="2026-08-31T00:00:00"/>
    <d v="2026-08-31T00:00:00"/>
    <m/>
    <m/>
    <m/>
    <n v="0"/>
    <m/>
    <x v="4"/>
    <s v="Credit"/>
    <s v="120 Days from Applicant representative sign on Invoice"/>
    <x v="1"/>
  </r>
  <r>
    <s v="J210024"/>
    <d v="2025-02-06T00:00:00"/>
    <s v="Hassan Taleb"/>
    <x v="0"/>
    <s v="ESTABLISHMENT OF AL OROUBA TOWER FOR GENERAL CONTRACTING"/>
    <s v="Opera House"/>
    <x v="0"/>
    <x v="0"/>
    <s v="SAR"/>
    <n v="1020055"/>
    <n v="1000000"/>
    <n v="1"/>
    <n v="1000000"/>
    <n v="1000000"/>
    <n v="0"/>
    <n v="0"/>
    <n v="0"/>
    <n v="0"/>
    <m/>
    <d v="2025-04-30T00:00:00"/>
    <d v="2025-04-30T00:00:00"/>
    <m/>
    <m/>
    <m/>
    <n v="0"/>
    <m/>
    <x v="3"/>
    <s v="Credit"/>
    <s v="90 Days from Invoice Date"/>
    <x v="0"/>
  </r>
  <r>
    <s v="J209317"/>
    <d v="2024-10-06T00:00:00"/>
    <m/>
    <x v="0"/>
    <s v="ESTABLISHMENT OF AL OROUBA TOWER FOR GENERAL CONTRACTING"/>
    <s v="Opera House"/>
    <x v="0"/>
    <x v="19"/>
    <s v="SAR"/>
    <m/>
    <n v="3055634"/>
    <n v="1"/>
    <n v="3055634"/>
    <n v="3055634"/>
    <n v="0"/>
    <n v="0"/>
    <n v="0"/>
    <n v="0"/>
    <m/>
    <d v="2024-12-31T00:00:00"/>
    <d v="2024-12-04T00:00:00"/>
    <m/>
    <m/>
    <m/>
    <n v="0"/>
    <m/>
    <x v="3"/>
    <s v="Credit"/>
    <s v="90 Days from Invoice Date"/>
    <x v="0"/>
  </r>
  <r>
    <s v="TF2517700091"/>
    <d v="2025-06-26T00:00:00"/>
    <s v="Hassan Taleb"/>
    <x v="0"/>
    <s v="Establishment SAFIH ABDULLAH BEN BAKRI"/>
    <s v="KSP"/>
    <x v="0"/>
    <x v="5"/>
    <s v="SAR"/>
    <n v="1020100"/>
    <n v="123144"/>
    <n v="1"/>
    <n v="123144"/>
    <n v="123144"/>
    <n v="0"/>
    <n v="0"/>
    <n v="0"/>
    <n v="0"/>
    <m/>
    <d v="2025-08-31T00:00:00"/>
    <d v="2025-08-31T00:00:00"/>
    <m/>
    <m/>
    <m/>
    <n v="0"/>
    <m/>
    <x v="0"/>
    <s v="Credit"/>
    <s v="120 Days from Invoice Date"/>
    <x v="0"/>
  </r>
  <r>
    <s v="JLC6901479"/>
    <d v="2025-08-14T00:00:00"/>
    <s v="Muhammed Khan"/>
    <x v="0"/>
    <s v="European World Trading Co."/>
    <s v="Cash"/>
    <x v="1"/>
    <x v="1"/>
    <s v="SAR"/>
    <m/>
    <n v="425000"/>
    <n v="1"/>
    <n v="425000"/>
    <n v="425000"/>
    <n v="0"/>
    <n v="0"/>
    <n v="0"/>
    <n v="0"/>
    <m/>
    <d v="2025-09-30T00:00:00"/>
    <d v="2025-09-15T00:00:00"/>
    <m/>
    <m/>
    <m/>
    <m/>
    <m/>
    <x v="1"/>
    <s v="Cash"/>
    <s v="Sight"/>
    <x v="0"/>
  </r>
  <r>
    <s v="DCBWPM563374"/>
    <d v="2025-08-06T00:00:00"/>
    <s v="Tareeq Telmasani"/>
    <x v="0"/>
    <s v="EVOLVING CONSTELLATION CO. FOR ENERGY"/>
    <s v="CEER"/>
    <x v="0"/>
    <x v="3"/>
    <s v="SAR"/>
    <n v="1020091"/>
    <n v="550000.15"/>
    <n v="1"/>
    <n v="550000.15"/>
    <n v="482497.13"/>
    <n v="67503.02"/>
    <n v="0"/>
    <n v="67503.02"/>
    <n v="0"/>
    <m/>
    <d v="2026-06-30T00:00:00"/>
    <d v="2026-06-30T00:00:00"/>
    <m/>
    <m/>
    <m/>
    <n v="0"/>
    <m/>
    <x v="4"/>
    <s v="Credit"/>
    <s v="60 Days from Appl. Representative Sign"/>
    <x v="1"/>
  </r>
  <r>
    <s v="IM2512733006"/>
    <d v="2025-05-08T00:00:00"/>
    <s v="Rabih Makhoul"/>
    <x v="0"/>
    <s v="Expertise Contracting Company Ltd"/>
    <s v="Cash"/>
    <x v="2"/>
    <x v="5"/>
    <s v="SAR"/>
    <n v="1020100"/>
    <n v="5000000"/>
    <n v="1"/>
    <n v="5000000"/>
    <n v="5000000"/>
    <n v="0"/>
    <n v="0"/>
    <n v="0"/>
    <n v="0"/>
    <m/>
    <d v="2025-08-15T00:00:00"/>
    <d v="2025-05-30T00:00:00"/>
    <m/>
    <m/>
    <m/>
    <n v="0"/>
    <m/>
    <x v="2"/>
    <s v="Cash"/>
    <s v="60 Days from Invoice Date"/>
    <x v="0"/>
  </r>
  <r>
    <s v="J210603"/>
    <d v="2025-06-01T00:00:00"/>
    <s v="Rabih Makhoul"/>
    <x v="0"/>
    <s v="Expertise Contracting Company Ltd"/>
    <s v="Opera House"/>
    <x v="2"/>
    <x v="5"/>
    <s v="SAR"/>
    <n v="1020100"/>
    <n v="5000000"/>
    <n v="1"/>
    <n v="5000000"/>
    <n v="5000000"/>
    <n v="0"/>
    <n v="0"/>
    <n v="0"/>
    <n v="0"/>
    <m/>
    <d v="2025-08-15T00:00:00"/>
    <d v="2025-06-04T00:00:00"/>
    <m/>
    <m/>
    <m/>
    <m/>
    <m/>
    <x v="3"/>
    <s v="Credit"/>
    <s v="60 Days from Invoice Date"/>
    <x v="0"/>
  </r>
  <r>
    <s v="TF2512800002"/>
    <d v="2025-05-08T00:00:00"/>
    <s v="Hashmat Khan"/>
    <x v="0"/>
    <s v="Extron Electronics Middle East FZE"/>
    <s v="KSP"/>
    <x v="4"/>
    <x v="0"/>
    <s v="USD"/>
    <n v="1020055"/>
    <n v="272816.33999999997"/>
    <n v="3.75"/>
    <n v="1023061.2749999999"/>
    <n v="1023061.2750000001"/>
    <n v="0"/>
    <n v="0"/>
    <n v="0"/>
    <n v="0"/>
    <m/>
    <d v="2025-09-15T00:00:00"/>
    <d v="2025-08-31T00:00:00"/>
    <m/>
    <m/>
    <m/>
    <m/>
    <m/>
    <x v="0"/>
    <s v="Credit"/>
    <s v="90 Days from Invoice Date"/>
    <x v="0"/>
  </r>
  <r>
    <s v="DCBWPM563064"/>
    <d v="2025-08-03T00:00:00"/>
    <s v="Tareeq Telmasani"/>
    <x v="0"/>
    <s v="Ezdehar Industrial Services Co."/>
    <s v="CEER"/>
    <x v="0"/>
    <x v="3"/>
    <s v="SAR"/>
    <n v="1020091"/>
    <n v="863207.81"/>
    <n v="1"/>
    <n v="863207.81"/>
    <n v="851717.19"/>
    <n v="11490.62"/>
    <n v="0"/>
    <n v="11490.62"/>
    <n v="0"/>
    <m/>
    <d v="2025-10-31T00:00:00"/>
    <d v="2025-10-31T00:00:00"/>
    <m/>
    <m/>
    <m/>
    <n v="0"/>
    <m/>
    <x v="4"/>
    <s v="Credit"/>
    <s v="90 Days from Appl. Representative Sign"/>
    <x v="0"/>
  </r>
  <r>
    <s v="DCBWPM564601"/>
    <d v="2025-08-26T00:00:00"/>
    <s v="Mohammed Kotb"/>
    <x v="0"/>
    <s v="FAISAL AWAD AL HARBI COMPANY"/>
    <s v="MP1"/>
    <x v="4"/>
    <x v="4"/>
    <s v="SAR"/>
    <n v="1020070"/>
    <n v="784558"/>
    <n v="1"/>
    <n v="784558"/>
    <n v="784558"/>
    <n v="0"/>
    <n v="0"/>
    <n v="0"/>
    <n v="0"/>
    <m/>
    <d v="2025-09-30T00:00:00"/>
    <d v="2025-09-15T00:00:00"/>
    <m/>
    <m/>
    <m/>
    <n v="0"/>
    <m/>
    <x v="4"/>
    <s v="Credit"/>
    <s v="90 Days from Date of Delivery"/>
    <x v="0"/>
  </r>
  <r>
    <s v="DCBWPM563067"/>
    <d v="2025-08-03T00:00:00"/>
    <s v="Tareeq Telmasani"/>
    <x v="0"/>
    <s v="Fawaz Refrigeration &amp; Air Conditioning Cont. Co. LLC"/>
    <s v="CEER"/>
    <x v="0"/>
    <x v="3"/>
    <s v="SAR"/>
    <n v="1020091"/>
    <n v="699476"/>
    <n v="1"/>
    <n v="699476"/>
    <n v="699476"/>
    <n v="0"/>
    <n v="0"/>
    <n v="0"/>
    <n v="0"/>
    <m/>
    <d v="2025-12-31T00:00:00"/>
    <d v="2025-12-31T00:00:00"/>
    <m/>
    <m/>
    <m/>
    <n v="0"/>
    <m/>
    <x v="4"/>
    <s v="Credit"/>
    <s v="90 Days from Appl. Representative Sign"/>
    <x v="0"/>
  </r>
  <r>
    <s v="DCBWPM554916"/>
    <d v="2025-03-25T00:00:00"/>
    <s v="Kotb - Morganti"/>
    <x v="0"/>
    <s v="FUTURE ACE CONTRACTING COMPANY"/>
    <s v="MP1"/>
    <x v="3"/>
    <x v="4"/>
    <s v="SAR"/>
    <n v="1020070"/>
    <n v="1500000"/>
    <n v="1"/>
    <n v="1500000"/>
    <n v="1500000"/>
    <n v="0"/>
    <n v="0"/>
    <n v="0"/>
    <n v="0"/>
    <m/>
    <d v="2025-05-31T00:00:00"/>
    <d v="2025-04-30T00:00:00"/>
    <m/>
    <m/>
    <m/>
    <n v="0"/>
    <m/>
    <x v="4"/>
    <s v="Credit"/>
    <s v="Sight"/>
    <x v="0"/>
  </r>
  <r>
    <s v="IM2431833003"/>
    <d v="2024-11-13T00:00:00"/>
    <s v="Rabih Makhoul"/>
    <x v="0"/>
    <s v="Future Pipe Industries LLC"/>
    <s v="Multipurpose"/>
    <x v="2"/>
    <x v="8"/>
    <s v="SAR"/>
    <n v="1020107"/>
    <n v="4262455.25"/>
    <n v="1"/>
    <n v="4262455.25"/>
    <n v="4262444.8"/>
    <n v="10.45"/>
    <n v="0"/>
    <n v="10.45"/>
    <n v="0"/>
    <m/>
    <d v="2025-01-31T00:00:00"/>
    <d v="2025-01-04T00:00:00"/>
    <m/>
    <m/>
    <m/>
    <n v="0"/>
    <m/>
    <x v="2"/>
    <s v="Credit"/>
    <s v="20 Days from Invoice Date"/>
    <x v="0"/>
  </r>
  <r>
    <s v="TF2526500019"/>
    <d v="2025-09-24T00:00:00"/>
    <s v="Rabih Makhoul"/>
    <x v="0"/>
    <s v="Future Pipe Industries LLC"/>
    <s v="KSP"/>
    <x v="2"/>
    <x v="8"/>
    <s v="SAR"/>
    <n v="1020107"/>
    <n v="5308039.3600000003"/>
    <n v="1"/>
    <n v="5308039.3600000003"/>
    <n v="5072714.3"/>
    <n v="235325.06"/>
    <n v="0"/>
    <n v="235325.06"/>
    <n v="0"/>
    <m/>
    <d v="2026-06-21T00:00:00"/>
    <d v="2026-05-31T00:00:00"/>
    <m/>
    <m/>
    <m/>
    <n v="0"/>
    <m/>
    <x v="0"/>
    <s v="Credit"/>
    <s v="60 Days From the Delivery Date"/>
    <x v="1"/>
  </r>
  <r>
    <s v="ILC-0840-25-7986"/>
    <d v="2025-07-17T00:00:00"/>
    <s v="Hassan Taleb"/>
    <x v="0"/>
    <s v="Future Plastic Factory for Industry"/>
    <s v="RCRC"/>
    <x v="0"/>
    <x v="11"/>
    <s v="SAR"/>
    <n v="1020106"/>
    <n v="300000"/>
    <n v="1"/>
    <n v="300000"/>
    <n v="300000"/>
    <n v="0"/>
    <n v="0"/>
    <n v="0"/>
    <n v="0"/>
    <m/>
    <d v="2025-09-30T00:00:00"/>
    <d v="2025-09-30T00:00:00"/>
    <m/>
    <m/>
    <m/>
    <n v="0"/>
    <m/>
    <x v="6"/>
    <s v="Credit"/>
    <s v="90 Days from Invoice Date"/>
    <x v="0"/>
  </r>
  <r>
    <s v="DCBWPM166292"/>
    <d v="2026-06-04T00:00:00"/>
    <s v="Hassan Taleb"/>
    <x v="0"/>
    <s v="GALAXY TECHOLOGY CO."/>
    <s v="MP1"/>
    <x v="0"/>
    <x v="6"/>
    <s v="SAR"/>
    <n v="1020088"/>
    <n v="300000.01"/>
    <n v="1"/>
    <n v="300000.01"/>
    <n v="0"/>
    <n v="300000.01"/>
    <n v="0"/>
    <n v="300000.01"/>
    <n v="0"/>
    <m/>
    <d v="2026-08-31T00:00:00"/>
    <d v="2026-08-31T00:00:00"/>
    <m/>
    <m/>
    <m/>
    <n v="0"/>
    <m/>
    <x v="4"/>
    <s v="Credit"/>
    <s v="120 Days from Applicant representative sign on Invoice"/>
    <x v="1"/>
  </r>
  <r>
    <s v="TF2514700033"/>
    <d v="2025-05-27T00:00:00"/>
    <s v="Hassan Taleb"/>
    <x v="0"/>
    <s v="GAS SOLUTIONS"/>
    <s v="KSP"/>
    <x v="0"/>
    <x v="0"/>
    <s v="SAR"/>
    <n v="1020055"/>
    <n v="381276.62"/>
    <n v="1"/>
    <n v="381276.62"/>
    <n v="140641.01"/>
    <n v="240635.61"/>
    <n v="0"/>
    <n v="240635.61"/>
    <n v="0"/>
    <m/>
    <d v="2026-05-27T00:00:00"/>
    <d v="2026-05-27T00:00:00"/>
    <m/>
    <m/>
    <m/>
    <n v="0"/>
    <m/>
    <x v="0"/>
    <s v="Credit"/>
    <s v="120 Days from Invoice Date"/>
    <x v="1"/>
  </r>
  <r>
    <s v="J208909"/>
    <d v="2024-08-15T00:00:00"/>
    <s v="Mathew Mckernan"/>
    <x v="0"/>
    <s v="GETZNER WERKSTOFFE GMBH"/>
    <s v="Opera House"/>
    <x v="2"/>
    <x v="10"/>
    <s v="EUR"/>
    <n v="1020097"/>
    <n v="1497459.08"/>
    <n v="4.2640440899999996"/>
    <n v="6385231.5400908366"/>
    <n v="6091650.6007849993"/>
    <n v="293580.94"/>
    <n v="0"/>
    <n v="293580.94"/>
    <n v="0"/>
    <m/>
    <d v="2024-10-31T00:00:00"/>
    <d v="2024-10-31T00:00:00"/>
    <m/>
    <m/>
    <m/>
    <n v="0"/>
    <m/>
    <x v="3"/>
    <s v="Credit"/>
    <s v="60 Days from BL Date"/>
    <x v="0"/>
  </r>
  <r>
    <s v="DCBWPM563695"/>
    <d v="2025-08-12T00:00:00"/>
    <s v="Mohammed Kotb"/>
    <x v="0"/>
    <s v="GIBCA Furniture Industry Co Ltd"/>
    <s v="MP1"/>
    <x v="2"/>
    <x v="4"/>
    <s v="AED"/>
    <n v="1020070"/>
    <n v="899226.33"/>
    <n v="1.021495"/>
    <n v="918555.19996334997"/>
    <n v="807280.43904000008"/>
    <n v="111274.76"/>
    <n v="0"/>
    <n v="111274.76"/>
    <n v="0"/>
    <m/>
    <d v="2026-01-31T00:00:00"/>
    <d v="2025-12-31T00:00:00"/>
    <m/>
    <m/>
    <m/>
    <n v="0"/>
    <m/>
    <x v="4"/>
    <s v="Credit"/>
    <s v="30 Days From Invoice Date"/>
    <x v="0"/>
  </r>
  <r>
    <s v="ILC-0840-26-8758"/>
    <d v="2026-01-01T00:00:00"/>
    <s v="AbdulAziz Eraiba Fawzi"/>
    <x v="0"/>
    <s v="Green Concrete CJSC"/>
    <s v="RCRC"/>
    <x v="2"/>
    <x v="11"/>
    <s v="SAR"/>
    <n v="1020106"/>
    <n v="5802900"/>
    <n v="1"/>
    <n v="5802900"/>
    <n v="495832.85"/>
    <n v="5307067.1500000004"/>
    <n v="112200.9"/>
    <n v="5194866.25"/>
    <n v="148788.15"/>
    <s v="12/07/2026"/>
    <d v="2026-12-31T00:00:00"/>
    <d v="2026-12-31T00:00:00"/>
    <m/>
    <m/>
    <m/>
    <n v="0"/>
    <m/>
    <x v="6"/>
    <s v="Credit"/>
    <s v="60 Days from Invoice Date"/>
    <x v="1"/>
  </r>
  <r>
    <s v="TF2613700036"/>
    <d v="2026-05-18T00:00:00"/>
    <s v="Mohammed Atef"/>
    <x v="0"/>
    <s v="Green Concrete CJSC"/>
    <s v="KSP"/>
    <x v="2"/>
    <x v="12"/>
    <s v="SAR"/>
    <n v="1020001"/>
    <n v="2000000"/>
    <n v="1"/>
    <n v="2000000"/>
    <n v="0"/>
    <n v="2000000"/>
    <n v="0"/>
    <n v="2000000"/>
    <n v="0"/>
    <m/>
    <d v="2026-08-31T00:00:00"/>
    <d v="2026-08-31T00:00:00"/>
    <m/>
    <m/>
    <m/>
    <n v="0"/>
    <m/>
    <x v="0"/>
    <s v="Credit"/>
    <s v="60 Days from Applicant representative sign on Invoice"/>
    <x v="1"/>
  </r>
  <r>
    <s v="TF2307380286"/>
    <d v="2023-03-14T00:00:00"/>
    <s v="Dipu Sir"/>
    <x v="0"/>
    <s v="GREEN CONCRETE CJSC 6550 AL QIRAWAN"/>
    <s v="KSP"/>
    <x v="2"/>
    <x v="17"/>
    <s v="SAR"/>
    <n v="1020015"/>
    <n v="17700000"/>
    <n v="1"/>
    <n v="17700000"/>
    <n v="14422758.899999999"/>
    <n v="3277241.1"/>
    <n v="0"/>
    <n v="3277241.1"/>
    <n v="0"/>
    <m/>
    <d v="2023-12-15T00:00:00"/>
    <d v="2023-12-15T00:00:00"/>
    <m/>
    <m/>
    <m/>
    <n v="0"/>
    <m/>
    <x v="0"/>
    <s v="Credit"/>
    <m/>
    <x v="0"/>
  </r>
  <r>
    <s v="J212502"/>
    <d v="2026-06-22T00:00:00"/>
    <s v="Matthew Mckernan"/>
    <x v="0"/>
    <s v="Gulf Applications - GAPP"/>
    <s v="Opera House"/>
    <x v="4"/>
    <x v="10"/>
    <s v="SAR"/>
    <n v="1020097"/>
    <n v="11188186.699999999"/>
    <n v="1"/>
    <n v="11188186.699999999"/>
    <n v="0"/>
    <n v="11188186.699999999"/>
    <n v="0"/>
    <n v="11188186.699999999"/>
    <n v="0"/>
    <m/>
    <d v="2026-08-10T00:00:00"/>
    <d v="2026-08-10T00:00:00"/>
    <m/>
    <m/>
    <m/>
    <m/>
    <m/>
    <x v="3"/>
    <s v="Credit"/>
    <s v="90 Days from Invoice Date"/>
    <x v="1"/>
  </r>
  <r>
    <s v="J209071"/>
    <d v="2024-08-29T00:00:00"/>
    <s v="Hassan Taleb"/>
    <x v="0"/>
    <s v="GULF GRILLES CO"/>
    <s v="Opera House"/>
    <x v="0"/>
    <x v="0"/>
    <s v="SAR"/>
    <n v="1020055"/>
    <n v="507987.99"/>
    <n v="1"/>
    <n v="507987.99"/>
    <n v="507987.99"/>
    <n v="0"/>
    <n v="0"/>
    <n v="0"/>
    <n v="0"/>
    <m/>
    <d v="2024-11-30T00:00:00"/>
    <d v="2024-11-30T00:00:00"/>
    <m/>
    <m/>
    <m/>
    <n v="0"/>
    <m/>
    <x v="3"/>
    <s v="Credit"/>
    <s v="90 Days from Invoice Date"/>
    <x v="0"/>
  </r>
  <r>
    <s v="TF2513100029"/>
    <d v="2025-05-11T00:00:00"/>
    <s v="Hassan Taleb"/>
    <x v="0"/>
    <s v="GULF GRILLES COMPANY"/>
    <s v="KSP"/>
    <x v="0"/>
    <x v="0"/>
    <s v="SAR"/>
    <n v="1020055"/>
    <n v="780320.25"/>
    <n v="1"/>
    <n v="780320.25"/>
    <n v="780320.25"/>
    <n v="0"/>
    <n v="0"/>
    <n v="0"/>
    <n v="0"/>
    <m/>
    <d v="2025-08-31T00:00:00"/>
    <d v="2025-08-31T00:00:00"/>
    <m/>
    <m/>
    <m/>
    <n v="0"/>
    <m/>
    <x v="0"/>
    <s v="Credit"/>
    <s v="120 Days from Invoice Date"/>
    <x v="0"/>
  </r>
  <r>
    <s v="J210605"/>
    <d v="2025-06-01T00:00:00"/>
    <s v="Hassan Taleb"/>
    <x v="0"/>
    <s v="Gulf Grilles Company"/>
    <s v="Opera House"/>
    <x v="0"/>
    <x v="0"/>
    <s v="SAR"/>
    <n v="1020055"/>
    <n v="524263.78"/>
    <n v="1"/>
    <n v="524263.78"/>
    <n v="524263.78"/>
    <n v="0"/>
    <n v="0"/>
    <n v="0"/>
    <n v="0"/>
    <m/>
    <d v="2025-10-31T00:00:00"/>
    <d v="2025-10-31T00:00:00"/>
    <m/>
    <m/>
    <m/>
    <n v="0"/>
    <m/>
    <x v="3"/>
    <s v="Credit"/>
    <s v="120 Days from Invoice Date"/>
    <x v="0"/>
  </r>
  <r>
    <s v="TF2517400017"/>
    <d v="2025-06-23T00:00:00"/>
    <s v="Hassan Taleb"/>
    <x v="0"/>
    <s v="Gulf Grilles Company"/>
    <s v="KSP"/>
    <x v="0"/>
    <x v="5"/>
    <s v="SAR"/>
    <n v="1020100"/>
    <n v="300000.01"/>
    <n v="1"/>
    <n v="300000.01"/>
    <n v="300000"/>
    <n v="0.01"/>
    <n v="0"/>
    <n v="0.01"/>
    <n v="0"/>
    <m/>
    <d v="2025-08-31T00:00:00"/>
    <d v="2025-08-31T00:00:00"/>
    <m/>
    <m/>
    <m/>
    <n v="0"/>
    <m/>
    <x v="0"/>
    <s v="Credit"/>
    <s v="120 Days from Invoice Date"/>
    <x v="0"/>
  </r>
  <r>
    <s v="TF2533500006"/>
    <d v="2025-12-03T00:00:00"/>
    <s v="Hassan Taleb"/>
    <x v="0"/>
    <s v="Gulf Grilles Company"/>
    <s v="KSP"/>
    <x v="0"/>
    <x v="0"/>
    <s v="SAR"/>
    <n v="1020055"/>
    <n v="2044458.32"/>
    <n v="1"/>
    <n v="2044458.32"/>
    <n v="2044458.32"/>
    <n v="0"/>
    <n v="0"/>
    <n v="0"/>
    <n v="0"/>
    <m/>
    <d v="2026-02-28T00:00:00"/>
    <d v="2026-02-28T00:00:00"/>
    <m/>
    <m/>
    <m/>
    <n v="0"/>
    <m/>
    <x v="0"/>
    <s v="Credit"/>
    <s v="90 Days from Invoice Date"/>
    <x v="0"/>
  </r>
  <r>
    <s v="DCBWPM163997"/>
    <d v="2026-04-06T00:00:00"/>
    <s v="Hassan Taleb"/>
    <x v="0"/>
    <s v="Gulf Grilles Company"/>
    <s v="MP1"/>
    <x v="0"/>
    <x v="6"/>
    <s v="SAR"/>
    <n v="1020088"/>
    <n v="500000"/>
    <n v="1"/>
    <n v="500000"/>
    <n v="0"/>
    <n v="500000"/>
    <n v="0"/>
    <n v="500000"/>
    <n v="0"/>
    <m/>
    <d v="2026-06-30T00:00:00"/>
    <d v="2026-06-30T00:00:00"/>
    <m/>
    <m/>
    <m/>
    <n v="0"/>
    <m/>
    <x v="4"/>
    <s v="Credit"/>
    <s v="90 Days from App Rep Sign on Invoice"/>
    <x v="1"/>
  </r>
  <r>
    <s v="DCBWPM166298"/>
    <d v="2026-06-04T00:00:00"/>
    <s v="Hassan Taleb"/>
    <x v="0"/>
    <s v="Gulf Grilles Company"/>
    <s v="MP1"/>
    <x v="0"/>
    <x v="6"/>
    <s v="SAR"/>
    <n v="1020088"/>
    <n v="400000"/>
    <n v="1"/>
    <n v="400000"/>
    <n v="0"/>
    <n v="400000"/>
    <n v="0"/>
    <n v="400000"/>
    <n v="0"/>
    <m/>
    <d v="2026-08-31T00:00:00"/>
    <d v="2026-08-31T00:00:00"/>
    <m/>
    <m/>
    <m/>
    <n v="0"/>
    <m/>
    <x v="4"/>
    <s v="Credit"/>
    <s v="120 Days from Applicant representative sign on Invoice"/>
    <x v="1"/>
  </r>
  <r>
    <s v="TF2508300036"/>
    <d v="2025-03-23T00:00:00"/>
    <s v="Hassan Taleb"/>
    <x v="0"/>
    <s v="Gulf Grilles Company -GGC"/>
    <s v="KSP"/>
    <x v="0"/>
    <x v="0"/>
    <s v="SAR"/>
    <n v="1020055"/>
    <n v="517624.02"/>
    <n v="1"/>
    <n v="517624.02"/>
    <n v="517624.02"/>
    <n v="0"/>
    <n v="0"/>
    <n v="0"/>
    <n v="0"/>
    <m/>
    <d v="2025-06-30T00:00:00"/>
    <d v="2025-06-30T00:00:00"/>
    <m/>
    <m/>
    <m/>
    <n v="0"/>
    <m/>
    <x v="0"/>
    <s v="Credit"/>
    <s v="90 Days from Invoice Date"/>
    <x v="0"/>
  </r>
  <r>
    <s v="TF2531400014"/>
    <d v="2025-11-11T00:00:00"/>
    <s v="Mohammed Atef"/>
    <x v="0"/>
    <s v="Hamada Decoration Company"/>
    <s v="KSP"/>
    <x v="2"/>
    <x v="12"/>
    <s v="SAR"/>
    <n v="1020001"/>
    <n v="94000000"/>
    <n v="1"/>
    <n v="94000000"/>
    <n v="94000000"/>
    <n v="0"/>
    <n v="0"/>
    <n v="0"/>
    <n v="0"/>
    <m/>
    <d v="2026-01-31T00:00:00"/>
    <d v="2026-01-31T00:00:00"/>
    <m/>
    <m/>
    <m/>
    <n v="0"/>
    <m/>
    <x v="0"/>
    <s v="Credit"/>
    <s v="120 Days from the Invoice Date"/>
    <x v="0"/>
  </r>
  <r>
    <s v="TF2431898505"/>
    <d v="2024-11-14T00:00:00"/>
    <s v="Rabih Makhoul"/>
    <x v="0"/>
    <s v="Hesham Elswedy Trading Company Ltd"/>
    <s v="KSP"/>
    <x v="2"/>
    <x v="14"/>
    <s v="SAR"/>
    <n v="1020060"/>
    <n v="2026592"/>
    <n v="1"/>
    <n v="2026592"/>
    <n v="2026591.9999999998"/>
    <n v="0"/>
    <n v="0"/>
    <n v="0"/>
    <n v="0"/>
    <m/>
    <d v="2025-01-31T00:00:00"/>
    <d v="2025-01-04T00:00:00"/>
    <m/>
    <m/>
    <m/>
    <n v="0"/>
    <m/>
    <x v="0"/>
    <s v="Credit"/>
    <s v="45 Days from Invoice Date"/>
    <x v="0"/>
  </r>
  <r>
    <s v="J210425"/>
    <d v="2025-05-01T00:00:00"/>
    <s v="Rabih Makhoul"/>
    <x v="0"/>
    <s v="High Al Shuhra Contracting Company"/>
    <s v="Opera House"/>
    <x v="2"/>
    <x v="8"/>
    <s v="SAR"/>
    <n v="1020107"/>
    <n v="3000000"/>
    <n v="1"/>
    <n v="3000000"/>
    <n v="2962743.95"/>
    <n v="37256.050000000003"/>
    <n v="0"/>
    <n v="37256.050000000003"/>
    <n v="0"/>
    <m/>
    <d v="2025-11-30T00:00:00"/>
    <d v="2025-11-30T00:00:00"/>
    <m/>
    <m/>
    <m/>
    <n v="0"/>
    <m/>
    <x v="3"/>
    <s v="Credit"/>
    <s v="45 Days from Invoice Date"/>
    <x v="0"/>
  </r>
  <r>
    <s v="J211985"/>
    <d v="2026-03-01T00:00:00"/>
    <s v="Rabih Makhoul"/>
    <x v="0"/>
    <s v="High Al Shuhra Contracting Company"/>
    <s v="Opera House"/>
    <x v="2"/>
    <x v="8"/>
    <s v="SAR"/>
    <n v="1020107"/>
    <n v="2140124.1600000001"/>
    <n v="1"/>
    <n v="2140124.1600000001"/>
    <n v="1696396.49"/>
    <n v="443727.67"/>
    <n v="0"/>
    <n v="443727.67"/>
    <n v="0"/>
    <m/>
    <d v="2026-08-01T00:00:00"/>
    <d v="2026-08-01T00:00:00"/>
    <m/>
    <m/>
    <m/>
    <n v="0"/>
    <m/>
    <x v="3"/>
    <s v="Credit"/>
    <s v="45 Days from Invoice Date"/>
    <x v="1"/>
  </r>
  <r>
    <s v="TF2517400111"/>
    <d v="2025-06-23T00:00:00"/>
    <s v="Hassan Taleb"/>
    <x v="0"/>
    <s v="HILTI SAUDI ARABIA FOR CONSTRUCTION TOOLS"/>
    <s v="KSP"/>
    <x v="0"/>
    <x v="5"/>
    <s v="SAR"/>
    <n v="1020100"/>
    <n v="200000"/>
    <n v="1"/>
    <n v="200000"/>
    <n v="200000"/>
    <n v="0"/>
    <n v="0"/>
    <n v="0"/>
    <n v="0"/>
    <m/>
    <d v="2025-10-31T00:00:00"/>
    <d v="2025-10-31T00:00:00"/>
    <m/>
    <m/>
    <m/>
    <n v="0"/>
    <s v="to bank on 08-09 | EXP &amp; LDS 31-10"/>
    <x v="0"/>
    <s v="Credit"/>
    <s v="120 Days from Invoice Date"/>
    <x v="0"/>
  </r>
  <r>
    <s v="J210096"/>
    <d v="2025-03-02T00:00:00"/>
    <s v="Tareeq Telmasani"/>
    <x v="0"/>
    <s v="HOLCIM SOLUTIONS AND PRODUCTS EMEA BV"/>
    <s v="Opera House"/>
    <x v="12"/>
    <x v="3"/>
    <s v="USD"/>
    <n v="1020091"/>
    <n v="2600115.56"/>
    <n v="3.75"/>
    <n v="9750433.3499999996"/>
    <n v="9746115.0374999978"/>
    <n v="4318.3100000000004"/>
    <n v="0"/>
    <n v="4318.3100000000004"/>
    <n v="0"/>
    <m/>
    <d v="2025-10-21T00:00:00"/>
    <d v="2025-09-30T00:00:00"/>
    <m/>
    <m/>
    <m/>
    <m/>
    <m/>
    <x v="3"/>
    <s v="Credit"/>
    <s v="90 Days from Shipment Date"/>
    <x v="0"/>
  </r>
  <r>
    <s v="JLC6800619"/>
    <d v="2024-03-28T00:00:00"/>
    <s v="Dipu Sir"/>
    <x v="0"/>
    <s v="HOME ITEMS INTERNATIONAL TRADING"/>
    <s v="Multipurpose"/>
    <x v="2"/>
    <x v="17"/>
    <s v="AED"/>
    <n v="1020015"/>
    <n v="25067422.109999999"/>
    <n v="1.03"/>
    <n v="25819444.7733"/>
    <n v="25679477.646225005"/>
    <n v="139967.13"/>
    <n v="0"/>
    <n v="139967.13"/>
    <n v="0"/>
    <m/>
    <d v="2024-09-15T00:00:00"/>
    <d v="2024-09-15T00:00:00"/>
    <m/>
    <m/>
    <m/>
    <n v="0"/>
    <m/>
    <x v="1"/>
    <s v="Credit"/>
    <m/>
    <x v="0"/>
  </r>
  <r>
    <s v="JLC6801574"/>
    <d v="2024-08-25T00:00:00"/>
    <s v="Dipu Sir"/>
    <x v="0"/>
    <s v="HOME ITEMS INTERNATIONAL TRADING"/>
    <s v="Cash"/>
    <x v="2"/>
    <x v="17"/>
    <s v="AED"/>
    <n v="1020015"/>
    <n v="10215283.68"/>
    <n v="1.03"/>
    <n v="10521742.190400001"/>
    <n v="10432413.443347"/>
    <n v="89328.75"/>
    <n v="0"/>
    <n v="89328.75"/>
    <n v="0"/>
    <m/>
    <d v="2025-01-30T00:00:00"/>
    <d v="2024-12-31T00:00:00"/>
    <m/>
    <m/>
    <m/>
    <n v="0"/>
    <m/>
    <x v="1"/>
    <s v="Cash"/>
    <s v="Sight"/>
    <x v="0"/>
  </r>
  <r>
    <s v="IM2434733003"/>
    <d v="2024-12-12T00:00:00"/>
    <s v="Hassan Taleb"/>
    <x v="0"/>
    <s v="Huda Lighting"/>
    <s v="Oceanarium"/>
    <x v="0"/>
    <x v="0"/>
    <s v="SAR"/>
    <n v="1020055"/>
    <n v="2003904.69"/>
    <n v="1"/>
    <n v="2003904.69"/>
    <n v="2003904.69"/>
    <n v="0"/>
    <n v="0"/>
    <n v="0"/>
    <n v="0"/>
    <m/>
    <d v="2025-03-31T00:00:00"/>
    <d v="2025-03-31T00:00:00"/>
    <m/>
    <m/>
    <m/>
    <n v="0"/>
    <m/>
    <x v="2"/>
    <s v="Credit"/>
    <s v="90 Days from Invoice Date"/>
    <x v="0"/>
  </r>
  <r>
    <s v="J209395"/>
    <d v="2024-10-23T00:00:00"/>
    <s v="Hassan Taleb"/>
    <x v="0"/>
    <s v="Huda Lighting"/>
    <s v="Opera House"/>
    <x v="0"/>
    <x v="0"/>
    <s v="SAR"/>
    <n v="1020055"/>
    <n v="1500000"/>
    <n v="1"/>
    <n v="1500000"/>
    <n v="1500000"/>
    <n v="0"/>
    <n v="0"/>
    <n v="0"/>
    <n v="0"/>
    <m/>
    <d v="2024-12-31T00:00:00"/>
    <d v="2024-12-04T00:00:00"/>
    <m/>
    <m/>
    <m/>
    <n v="0"/>
    <m/>
    <x v="3"/>
    <s v="Credit"/>
    <s v="90 Days from Invoice Date"/>
    <x v="0"/>
  </r>
  <r>
    <s v="TF2423595735"/>
    <d v="2024-08-22T00:00:00"/>
    <s v="Hassan Taleb"/>
    <x v="0"/>
    <s v="HUDA LIGHTING CO"/>
    <s v="KSP"/>
    <x v="0"/>
    <x v="0"/>
    <s v="SAR"/>
    <n v="1020055"/>
    <n v="2000000"/>
    <n v="1"/>
    <n v="2000000"/>
    <n v="2000000"/>
    <n v="0"/>
    <n v="0"/>
    <n v="0"/>
    <n v="0"/>
    <m/>
    <d v="2024-11-30T00:00:00"/>
    <d v="2024-11-30T00:00:00"/>
    <m/>
    <m/>
    <m/>
    <n v="0"/>
    <m/>
    <x v="0"/>
    <s v="Credit"/>
    <m/>
    <x v="0"/>
  </r>
  <r>
    <s v="TF2414292642"/>
    <d v="2024-05-23T00:00:00"/>
    <s v="Hassan Taleb"/>
    <x v="0"/>
    <s v="HUDA LIGHTING LLC CO"/>
    <s v="KSP"/>
    <x v="0"/>
    <x v="0"/>
    <s v="SAR"/>
    <n v="1020055"/>
    <n v="3000000"/>
    <n v="1"/>
    <n v="3000000"/>
    <n v="3000000"/>
    <n v="0"/>
    <n v="0"/>
    <n v="0"/>
    <n v="0"/>
    <m/>
    <d v="2024-09-30T00:00:00"/>
    <d v="2024-09-30T00:00:00"/>
    <m/>
    <m/>
    <m/>
    <n v="0"/>
    <m/>
    <x v="0"/>
    <s v="Credit"/>
    <m/>
    <x v="0"/>
  </r>
  <r>
    <s v="TF2311581336"/>
    <d v="2023-04-25T00:00:00"/>
    <s v="Hassan Taleb"/>
    <x v="0"/>
    <s v="HUDA LIGHTING LLC CO"/>
    <s v="KSP"/>
    <x v="0"/>
    <x v="0"/>
    <s v="SAR"/>
    <n v="1020055"/>
    <n v="891560.04"/>
    <n v="1"/>
    <n v="891560.04"/>
    <n v="891560.04"/>
    <n v="0"/>
    <n v="0"/>
    <n v="0"/>
    <n v="0"/>
    <m/>
    <d v="2023-06-30T00:00:00"/>
    <d v="2023-06-30T00:00:00"/>
    <m/>
    <m/>
    <m/>
    <n v="0"/>
    <m/>
    <x v="0"/>
    <s v="Credit"/>
    <m/>
    <x v="0"/>
  </r>
  <r>
    <s v="TF2311581348"/>
    <d v="2023-04-25T00:00:00"/>
    <s v="Hassan Taleb"/>
    <x v="0"/>
    <s v="HUDA LIGHTING LLC CO"/>
    <s v="KSP"/>
    <x v="0"/>
    <x v="0"/>
    <s v="SAR"/>
    <n v="1020055"/>
    <n v="7788301.3200000003"/>
    <n v="1"/>
    <n v="7788301.3200000003"/>
    <n v="7788301.3200000003"/>
    <n v="0"/>
    <n v="0"/>
    <n v="0"/>
    <n v="0"/>
    <m/>
    <d v="2023-06-30T00:00:00"/>
    <d v="2023-06-30T00:00:00"/>
    <m/>
    <m/>
    <m/>
    <n v="0"/>
    <m/>
    <x v="0"/>
    <s v="Credit"/>
    <m/>
    <x v="0"/>
  </r>
  <r>
    <s v="TF2335188226"/>
    <d v="2023-12-18T00:00:00"/>
    <s v="Hassan Taleb"/>
    <x v="0"/>
    <s v="HUDA LIGHTING LLC CO"/>
    <s v="KSP"/>
    <x v="0"/>
    <x v="0"/>
    <s v="SAR"/>
    <n v="1020055"/>
    <n v="6084035.2300000004"/>
    <n v="1"/>
    <n v="6084035.2300000004"/>
    <n v="6084035.2300000004"/>
    <n v="0"/>
    <n v="0"/>
    <n v="0"/>
    <n v="0"/>
    <m/>
    <d v="2024-02-29T00:00:00"/>
    <d v="2024-02-29T00:00:00"/>
    <m/>
    <m/>
    <m/>
    <n v="0"/>
    <m/>
    <x v="0"/>
    <s v="Credit"/>
    <m/>
    <x v="0"/>
  </r>
  <r>
    <s v="TF2500700023"/>
    <d v="2025-01-07T00:00:00"/>
    <s v="Hassan Taleb"/>
    <x v="0"/>
    <s v="Huda Lighting LLC Co"/>
    <s v="KSP"/>
    <x v="0"/>
    <x v="0"/>
    <s v="SAR"/>
    <n v="1020055"/>
    <n v="2000000"/>
    <n v="1"/>
    <n v="2000000"/>
    <n v="2000000"/>
    <n v="0"/>
    <n v="0"/>
    <n v="0"/>
    <n v="0"/>
    <m/>
    <d v="2025-03-31T00:00:00"/>
    <d v="2025-03-31T00:00:00"/>
    <m/>
    <m/>
    <m/>
    <n v="0"/>
    <m/>
    <x v="0"/>
    <s v="Credit"/>
    <s v="90 Days from Invoice Date"/>
    <x v="0"/>
  </r>
  <r>
    <s v="J209066"/>
    <d v="2024-08-29T00:00:00"/>
    <s v="Hassan Taleb"/>
    <x v="0"/>
    <s v="HUDA LIGHTING LLC CO"/>
    <s v="Opera House"/>
    <x v="0"/>
    <x v="0"/>
    <s v="SAR"/>
    <n v="1020055"/>
    <n v="2000000"/>
    <n v="1"/>
    <n v="2000000"/>
    <n v="2000000"/>
    <n v="0"/>
    <n v="0"/>
    <n v="0"/>
    <n v="0"/>
    <m/>
    <d v="2024-11-30T00:00:00"/>
    <d v="2024-11-30T00:00:00"/>
    <m/>
    <m/>
    <m/>
    <n v="0"/>
    <m/>
    <x v="3"/>
    <s v="Credit"/>
    <m/>
    <x v="0"/>
  </r>
  <r>
    <s v="J209164"/>
    <d v="2024-09-16T00:00:00"/>
    <s v="Hassan Taleb"/>
    <x v="0"/>
    <s v="HUDA LIGHTING LLC CO"/>
    <s v="Opera House"/>
    <x v="0"/>
    <x v="0"/>
    <s v="SAR"/>
    <n v="1020055"/>
    <n v="1500000"/>
    <n v="1"/>
    <n v="1500000"/>
    <n v="1500000"/>
    <n v="0"/>
    <n v="0"/>
    <n v="0"/>
    <n v="0"/>
    <m/>
    <d v="2024-11-30T00:00:00"/>
    <d v="2024-11-04T00:00:00"/>
    <m/>
    <m/>
    <m/>
    <n v="0"/>
    <m/>
    <x v="3"/>
    <s v="Credit"/>
    <s v="90 Days from Invoice Date"/>
    <x v="0"/>
  </r>
  <r>
    <s v="J210018"/>
    <d v="2025-02-05T00:00:00"/>
    <s v="Hassan Taleb"/>
    <x v="0"/>
    <s v="Huda Lighting LLC Co"/>
    <s v="Opera House"/>
    <x v="0"/>
    <x v="0"/>
    <s v="SAR"/>
    <n v="1020055"/>
    <n v="500000"/>
    <n v="1"/>
    <n v="500000"/>
    <n v="499999.82"/>
    <n v="0.18"/>
    <n v="0"/>
    <n v="0.18"/>
    <n v="0"/>
    <m/>
    <d v="2025-04-30T00:00:00"/>
    <d v="2025-04-30T00:00:00"/>
    <m/>
    <m/>
    <m/>
    <n v="0"/>
    <m/>
    <x v="3"/>
    <s v="Credit"/>
    <s v="90 Days from Invoice Date"/>
    <x v="0"/>
  </r>
  <r>
    <s v="TF2330986927"/>
    <d v="2023-11-07T00:00:00"/>
    <s v="Hassan Taleb"/>
    <x v="0"/>
    <s v="HUDA LIGHTING LLC CO"/>
    <s v="KSP"/>
    <x v="0"/>
    <x v="0"/>
    <s v="SAR"/>
    <n v="1020055"/>
    <n v="2325790.02"/>
    <n v="1"/>
    <n v="2325790.02"/>
    <n v="2325783.02"/>
    <n v="7"/>
    <n v="0"/>
    <n v="7"/>
    <n v="0"/>
    <m/>
    <d v="2024-01-31T00:00:00"/>
    <d v="2024-01-31T00:00:00"/>
    <m/>
    <m/>
    <m/>
    <n v="0"/>
    <m/>
    <x v="0"/>
    <s v="Credit"/>
    <m/>
    <x v="0"/>
  </r>
  <r>
    <s v="J210679"/>
    <d v="2025-06-04T00:00:00"/>
    <s v="Rabih Makhoul"/>
    <x v="0"/>
    <s v="I Engineering KSA"/>
    <s v="Opera House"/>
    <x v="2"/>
    <x v="8"/>
    <s v="SAR"/>
    <n v="1020107"/>
    <n v="6577809.0999999996"/>
    <n v="1"/>
    <n v="6577809.0999999996"/>
    <n v="1774302.4000000001"/>
    <n v="4803506.7"/>
    <n v="0"/>
    <n v="4803506.7"/>
    <n v="0"/>
    <m/>
    <d v="2025-09-30T00:00:00"/>
    <d v="2025-09-07T00:00:00"/>
    <m/>
    <m/>
    <m/>
    <n v="0"/>
    <m/>
    <x v="3"/>
    <s v="Credit"/>
    <s v="60 Days from Invoice Date"/>
    <x v="0"/>
  </r>
  <r>
    <s v="JLC6902211"/>
    <d v="2025-12-02T00:00:00"/>
    <s v="Luis Puente - United Arab Aluminum Company"/>
    <x v="0"/>
    <s v="IBA MIDDLE EAST FZE"/>
    <s v="Oceanarium"/>
    <x v="13"/>
    <x v="7"/>
    <s v="EUR"/>
    <n v="1020096"/>
    <n v="695184.62200000009"/>
    <n v="4.32"/>
    <n v="3003197.5670400006"/>
    <n v="992843.09680000006"/>
    <n v="2010354.47"/>
    <n v="0"/>
    <n v="2010354.47"/>
    <n v="0"/>
    <m/>
    <d v="2026-12-15T00:00:00"/>
    <d v="2026-11-15T00:00:00"/>
    <m/>
    <m/>
    <m/>
    <n v="0"/>
    <m/>
    <x v="1"/>
    <s v="Credit"/>
    <s v="90 Days from Shipment Date"/>
    <x v="1"/>
  </r>
  <r>
    <s v="JLC6902213"/>
    <d v="2025-12-01T00:00:00"/>
    <s v="Luis Puente - United Arab Aluminum Company"/>
    <x v="0"/>
    <s v="IBA MIDDLE EAST FZE"/>
    <s v="Oceanarium"/>
    <x v="13"/>
    <x v="7"/>
    <s v="USD"/>
    <n v="1020096"/>
    <n v="430873.13500000001"/>
    <n v="3.75"/>
    <n v="1615774.2562500001"/>
    <n v="386882.11667999998"/>
    <n v="1228892.1399999999"/>
    <n v="0"/>
    <n v="1228892.1399999999"/>
    <n v="0"/>
    <m/>
    <d v="2026-12-15T00:00:00"/>
    <d v="2026-11-15T00:00:00"/>
    <m/>
    <m/>
    <m/>
    <n v="0"/>
    <s v="to bank on 16-06 | Exp15.12 LDS 15-11"/>
    <x v="1"/>
    <s v="Credit"/>
    <s v="90 Days from Shipment Date"/>
    <x v="1"/>
  </r>
  <r>
    <s v="J209062"/>
    <d v="2024-08-29T00:00:00"/>
    <s v="Hassan Taleb"/>
    <x v="0"/>
    <s v="IDEAL CALIBER COMPANY"/>
    <s v="Opera House"/>
    <x v="0"/>
    <x v="0"/>
    <s v="SAR"/>
    <n v="1020055"/>
    <n v="593580.02"/>
    <n v="1"/>
    <n v="593580.02"/>
    <n v="593580.02"/>
    <n v="0"/>
    <n v="0"/>
    <n v="0"/>
    <n v="0"/>
    <m/>
    <d v="2024-11-30T00:00:00"/>
    <d v="2024-11-30T00:00:00"/>
    <m/>
    <m/>
    <m/>
    <n v="0"/>
    <m/>
    <x v="3"/>
    <s v="Credit"/>
    <s v="90 Days from Invoice Date"/>
    <x v="0"/>
  </r>
  <r>
    <s v="IM2512733011"/>
    <d v="2025-05-08T00:00:00"/>
    <s v="Hassan Taleb"/>
    <x v="0"/>
    <s v="IDEAL CALIBER COMPANY"/>
    <s v="Cash"/>
    <x v="0"/>
    <x v="5"/>
    <s v="SAR"/>
    <n v="1020100"/>
    <n v="200000"/>
    <n v="1"/>
    <n v="200000"/>
    <n v="200000"/>
    <n v="0"/>
    <n v="0"/>
    <n v="0"/>
    <n v="0"/>
    <m/>
    <d v="2025-07-31T00:00:00"/>
    <d v="2025-07-31T00:00:00"/>
    <m/>
    <m/>
    <m/>
    <n v="0"/>
    <m/>
    <x v="2"/>
    <s v="Cash"/>
    <s v="120 Days from Invoice Date"/>
    <x v="0"/>
  </r>
  <r>
    <s v="TF2513500039"/>
    <d v="2025-05-15T00:00:00"/>
    <s v="Hassan Taleb"/>
    <x v="0"/>
    <s v="IDEAL CALIBER COMPANY"/>
    <s v="KSP"/>
    <x v="0"/>
    <x v="0"/>
    <s v="SAR"/>
    <n v="1020055"/>
    <n v="302213.12"/>
    <n v="1"/>
    <n v="302213.12"/>
    <n v="295966.52"/>
    <n v="6246.6"/>
    <n v="0"/>
    <n v="6246.6"/>
    <n v="0"/>
    <m/>
    <d v="2025-10-31T00:00:00"/>
    <d v="2025-10-31T00:00:00"/>
    <m/>
    <m/>
    <m/>
    <n v="0"/>
    <s v="to bank on 08-09 | EXP &amp; LDS 31-10"/>
    <x v="0"/>
    <s v="Credit"/>
    <s v="120 Days from Invoice Date"/>
    <x v="0"/>
  </r>
  <r>
    <s v="DCBWPM161329"/>
    <d v="2026-01-28T00:00:00"/>
    <s v="Hassan Taleb"/>
    <x v="0"/>
    <s v="IDEAL CALIBER COMPANY"/>
    <s v="MP1"/>
    <x v="0"/>
    <x v="6"/>
    <s v="SAR"/>
    <n v="1020088"/>
    <n v="500000"/>
    <n v="1"/>
    <n v="500000"/>
    <n v="500000"/>
    <n v="0"/>
    <n v="0"/>
    <n v="0"/>
    <n v="0"/>
    <m/>
    <d v="2026-04-30T00:00:00"/>
    <d v="2026-04-30T00:00:00"/>
    <m/>
    <m/>
    <m/>
    <n v="0"/>
    <m/>
    <x v="4"/>
    <s v="Credit"/>
    <s v="90 Days from Applicant representative sign on Invoice"/>
    <x v="0"/>
  </r>
  <r>
    <s v="JLC7000186"/>
    <d v="2026-02-04T00:00:00"/>
    <s v="Luis Puente"/>
    <x v="0"/>
    <s v="Ideal Caliber Company"/>
    <s v="Oceanarium"/>
    <x v="0"/>
    <x v="7"/>
    <s v="SAR"/>
    <n v="1020096"/>
    <n v="617898.36"/>
    <n v="1"/>
    <n v="617898.36"/>
    <n v="500000"/>
    <n v="117898.36"/>
    <n v="0"/>
    <n v="117898.36"/>
    <n v="0"/>
    <m/>
    <d v="2026-04-30T00:00:00"/>
    <d v="2026-04-30T00:00:00"/>
    <m/>
    <m/>
    <m/>
    <n v="0"/>
    <m/>
    <x v="1"/>
    <s v="Credit"/>
    <s v="90 Days from Appln Rep Sign on Invoice"/>
    <x v="0"/>
  </r>
  <r>
    <s v="DCBWPM163960"/>
    <d v="2026-04-06T00:00:00"/>
    <s v="Hassan Taleb"/>
    <x v="0"/>
    <s v="Ideal Caliber Company"/>
    <s v="MP1"/>
    <x v="0"/>
    <x v="6"/>
    <s v="SAR"/>
    <n v="1020088"/>
    <n v="150000"/>
    <n v="1"/>
    <n v="150000"/>
    <n v="0"/>
    <n v="150000"/>
    <n v="150000"/>
    <n v="0"/>
    <n v="0"/>
    <s v="12/07/2026"/>
    <d v="2026-06-30T00:00:00"/>
    <d v="2026-06-30T00:00:00"/>
    <m/>
    <m/>
    <m/>
    <n v="0"/>
    <m/>
    <x v="4"/>
    <s v="Credit"/>
    <s v="90 Days from App Rep Sign on Invoice"/>
    <x v="1"/>
  </r>
  <r>
    <s v="TF2508300039"/>
    <d v="2025-03-23T00:00:00"/>
    <s v="Hassan Taleb"/>
    <x v="0"/>
    <s v="Ideal Caliber Company Ltd"/>
    <s v="KSP"/>
    <x v="0"/>
    <x v="0"/>
    <s v="SAR"/>
    <n v="1020055"/>
    <n v="464036.5"/>
    <n v="1"/>
    <n v="464036.5"/>
    <n v="464036.5"/>
    <n v="0"/>
    <n v="0"/>
    <n v="0"/>
    <n v="0"/>
    <m/>
    <d v="2025-06-30T00:00:00"/>
    <d v="2025-06-30T00:00:00"/>
    <m/>
    <m/>
    <m/>
    <n v="0"/>
    <m/>
    <x v="0"/>
    <s v="Credit"/>
    <s v="90 Days from Invoice Date"/>
    <x v="0"/>
  </r>
  <r>
    <s v="DCBWPM563026"/>
    <d v="2025-07-31T00:00:00"/>
    <s v="Tareeq Telmasani"/>
    <x v="0"/>
    <s v="IDEAL CALIBER COMPANY LTD"/>
    <s v="CEER"/>
    <x v="0"/>
    <x v="3"/>
    <s v="SAR"/>
    <n v="1020091"/>
    <n v="1500000"/>
    <n v="1"/>
    <n v="1500000"/>
    <n v="1500000"/>
    <n v="0"/>
    <n v="0"/>
    <n v="0"/>
    <n v="0"/>
    <m/>
    <d v="2025-10-31T00:00:00"/>
    <d v="2025-10-31T00:00:00"/>
    <m/>
    <m/>
    <m/>
    <n v="0"/>
    <m/>
    <x v="4"/>
    <s v="Credit"/>
    <s v="90 Days from Appl. Representative Sign"/>
    <x v="0"/>
  </r>
  <r>
    <s v="TF2507700050"/>
    <d v="2025-03-18T00:00:00"/>
    <s v="Rabih Makhoul"/>
    <x v="0"/>
    <s v="IDEAL CALIBER COMPANY."/>
    <s v="KSP"/>
    <x v="0"/>
    <x v="5"/>
    <s v="SAR"/>
    <n v="1020100"/>
    <n v="300000"/>
    <n v="1"/>
    <n v="300000"/>
    <n v="300000"/>
    <n v="0"/>
    <n v="0"/>
    <n v="0"/>
    <n v="0"/>
    <m/>
    <d v="2025-06-30T00:00:00"/>
    <d v="2025-06-30T00:00:00"/>
    <m/>
    <m/>
    <m/>
    <n v="0"/>
    <m/>
    <x v="0"/>
    <s v="Credit"/>
    <s v="90 Days from Invoice Date"/>
    <x v="0"/>
  </r>
  <r>
    <s v="IM2500733003"/>
    <d v="2025-01-07T00:00:00"/>
    <s v="Hassan Taleb"/>
    <x v="0"/>
    <s v="IDEAL CALIBER COMPANY."/>
    <s v="Multipurpose"/>
    <x v="0"/>
    <x v="0"/>
    <s v="SAR"/>
    <n v="1020055"/>
    <n v="576618.84"/>
    <n v="1"/>
    <n v="576618.84"/>
    <n v="576618.84"/>
    <n v="0"/>
    <n v="0"/>
    <n v="0"/>
    <n v="0"/>
    <m/>
    <d v="2025-03-31T00:00:00"/>
    <d v="2025-03-31T00:00:00"/>
    <m/>
    <m/>
    <m/>
    <n v="0"/>
    <m/>
    <x v="2"/>
    <s v="Credit"/>
    <s v="90 Days from Invoice Date"/>
    <x v="0"/>
  </r>
  <r>
    <s v="DCBWPM166281"/>
    <d v="2026-06-04T00:00:00"/>
    <s v="Hassan Taleb"/>
    <x v="0"/>
    <s v="IDEAL CALIBER COMPANY."/>
    <s v="MP1"/>
    <x v="0"/>
    <x v="6"/>
    <s v="SAR"/>
    <n v="1020088"/>
    <n v="300000"/>
    <n v="1"/>
    <n v="300000"/>
    <n v="0"/>
    <n v="300000"/>
    <n v="0"/>
    <n v="300000"/>
    <n v="0"/>
    <m/>
    <d v="2026-08-31T00:00:00"/>
    <d v="2026-08-31T00:00:00"/>
    <m/>
    <m/>
    <m/>
    <n v="0"/>
    <m/>
    <x v="4"/>
    <s v="Credit"/>
    <s v="120 Days from Applicant representative sign on Invoice"/>
    <x v="1"/>
  </r>
  <r>
    <s v="DCBWPM557847"/>
    <d v="2025-05-20T00:00:00"/>
    <s v="Kotb - Morganti"/>
    <x v="0"/>
    <s v="Innovative Contractors for Advanced Dimension (ICAD)"/>
    <s v="MP1"/>
    <x v="3"/>
    <x v="4"/>
    <s v="SAR"/>
    <n v="1020070"/>
    <n v="3000000"/>
    <n v="1"/>
    <n v="3000000"/>
    <n v="3000000"/>
    <n v="0"/>
    <n v="0"/>
    <n v="0"/>
    <n v="0"/>
    <m/>
    <d v="2025-06-30T00:00:00"/>
    <d v="2025-05-31T00:00:00"/>
    <m/>
    <m/>
    <m/>
    <n v="0"/>
    <m/>
    <x v="4"/>
    <s v="Credit"/>
    <s v="120 Days from Invoice Date"/>
    <x v="0"/>
  </r>
  <r>
    <s v="DCBWPM163413"/>
    <d v="2026-03-16T00:00:00"/>
    <s v="Tareeq Telmasani"/>
    <x v="0"/>
    <s v="Innovative Contractors for Advanced Dimension (ICAD)"/>
    <s v="T5"/>
    <x v="2"/>
    <x v="3"/>
    <s v="SAR"/>
    <n v="1020091"/>
    <n v="10000000"/>
    <n v="1"/>
    <n v="10000000"/>
    <n v="0"/>
    <n v="10000000"/>
    <n v="10000000"/>
    <n v="0"/>
    <n v="0"/>
    <s v="02/08/2026"/>
    <d v="2026-06-30T00:00:00"/>
    <d v="2026-06-30T00:00:00"/>
    <m/>
    <m/>
    <m/>
    <n v="0"/>
    <m/>
    <x v="4"/>
    <s v="Credit"/>
    <s v="120 Days from Appl Rep Sign on Invoice"/>
    <x v="1"/>
  </r>
  <r>
    <s v="TF2609800008"/>
    <d v="2026-04-08T00:00:00"/>
    <s v="Tareeq Telmasani"/>
    <x v="0"/>
    <s v="Innovative Contractors for Advanced Dimension (ICAD)"/>
    <s v="KSP"/>
    <x v="2"/>
    <x v="3"/>
    <s v="SAR"/>
    <n v="1020091"/>
    <n v="21481033"/>
    <n v="1"/>
    <n v="21481033"/>
    <n v="0"/>
    <n v="21481033"/>
    <n v="21481033"/>
    <n v="0"/>
    <n v="0"/>
    <s v="07/08/2026"/>
    <d v="2026-06-30T00:00:00"/>
    <d v="2026-06-30T00:00:00"/>
    <m/>
    <m/>
    <m/>
    <n v="0"/>
    <m/>
    <x v="0"/>
    <s v="Credit"/>
    <s v="120 Days from Invoice Date"/>
    <x v="1"/>
  </r>
  <r>
    <m/>
    <d v="2026-04-13T00:00:00"/>
    <s v="Luis Puente"/>
    <x v="1"/>
    <s v="Innovative Contractors for Advanced Dimension (ICAD)"/>
    <s v="Oceanarium"/>
    <x v="2"/>
    <x v="7"/>
    <s v="SAR"/>
    <n v="1020096"/>
    <n v="3000000"/>
    <n v="1"/>
    <n v="3000000"/>
    <n v="0"/>
    <n v="3000000"/>
    <n v="0"/>
    <n v="3000000"/>
    <n v="0"/>
    <m/>
    <d v="2026-07-31T00:00:00"/>
    <d v="2026-07-31T00:00:00"/>
    <m/>
    <m/>
    <m/>
    <n v="0"/>
    <s v="to bank on 15-04 | Facility Issue"/>
    <x v="1"/>
    <s v="Credit"/>
    <s v="60 Days from Applicant representative sign on Invoice"/>
    <x v="1"/>
  </r>
  <r>
    <s v="TF2512800006"/>
    <d v="2025-05-08T00:00:00"/>
    <s v="Hashmat Khan"/>
    <x v="0"/>
    <s v="Innovative Specialised Security Solutions"/>
    <s v="KSP"/>
    <x v="4"/>
    <x v="0"/>
    <s v="SAR"/>
    <n v="1020055"/>
    <n v="2118694.4500000002"/>
    <n v="1"/>
    <n v="2118694.4500000002"/>
    <n v="2118694.4500000002"/>
    <n v="0"/>
    <n v="0"/>
    <n v="0"/>
    <n v="0"/>
    <m/>
    <d v="2025-05-21T00:00:00"/>
    <d v="2025-05-21T00:00:00"/>
    <m/>
    <m/>
    <m/>
    <n v="0"/>
    <m/>
    <x v="0"/>
    <s v="Credit"/>
    <s v="120 Days from Invoice Date"/>
    <x v="0"/>
  </r>
  <r>
    <s v="TF2610500021"/>
    <d v="2026-04-15T00:00:00"/>
    <s v="Justin Xavier"/>
    <x v="0"/>
    <s v="Innovative Specialized Security Solution"/>
    <s v="KSP"/>
    <x v="5"/>
    <x v="12"/>
    <s v="SAR"/>
    <n v="1020001"/>
    <n v="15724333.939999999"/>
    <n v="1"/>
    <n v="15724333.939999999"/>
    <n v="0"/>
    <n v="15724333.939999999"/>
    <n v="15724333.939999999"/>
    <n v="0"/>
    <n v="0"/>
    <s v="18/07/2026 , 19/07/2026 , 18/07/2026"/>
    <d v="2026-06-30T00:00:00"/>
    <d v="2026-06-20T00:00:00"/>
    <m/>
    <m/>
    <m/>
    <n v="0"/>
    <s v="to bank on 06-05 | Payment terms 180 Days instead of 90 Days | Cannot proceed as per bank"/>
    <x v="0"/>
    <s v="Credit"/>
    <s v="90 Days from Applicant representative sign on Invoice"/>
    <x v="1"/>
  </r>
  <r>
    <s v="J209239"/>
    <d v="2024-09-24T00:00:00"/>
    <m/>
    <x v="0"/>
    <s v="INTELLIGENT SYSTEM GENERAL CONTRACTING COMPANY"/>
    <s v="Opera House"/>
    <x v="0"/>
    <x v="19"/>
    <s v="SAR"/>
    <m/>
    <n v="5000000"/>
    <n v="1"/>
    <n v="5000000"/>
    <n v="5000000"/>
    <n v="0"/>
    <n v="0"/>
    <n v="0"/>
    <n v="0"/>
    <m/>
    <d v="2024-12-31T00:00:00"/>
    <d v="2024-12-04T00:00:00"/>
    <m/>
    <m/>
    <m/>
    <n v="0"/>
    <m/>
    <x v="3"/>
    <s v="Credit"/>
    <s v="90 Days from Invoice Date"/>
    <x v="0"/>
  </r>
  <r>
    <s v="DCBWPM553808"/>
    <d v="2025-03-10T00:00:00"/>
    <s v="Hassan Taleb"/>
    <x v="0"/>
    <s v="Interplast Co Ltd"/>
    <s v="MP1"/>
    <x v="0"/>
    <x v="6"/>
    <s v="SAR"/>
    <n v="1020088"/>
    <n v="800000"/>
    <n v="1"/>
    <n v="800000"/>
    <n v="780963.37000000011"/>
    <n v="19036.63"/>
    <n v="0"/>
    <n v="19036.63"/>
    <n v="0"/>
    <m/>
    <d v="2026-04-30T00:00:00"/>
    <d v="2026-04-30T00:00:00"/>
    <m/>
    <m/>
    <m/>
    <n v="0"/>
    <m/>
    <x v="4"/>
    <s v="Credit"/>
    <s v="90 Days from Invoice Date"/>
    <x v="0"/>
  </r>
  <r>
    <s v="DCBWPM161328"/>
    <d v="2026-01-28T00:00:00"/>
    <s v="Hassan Taleb"/>
    <x v="0"/>
    <s v="INTERPLAST CO. LTD"/>
    <s v="MP1"/>
    <x v="0"/>
    <x v="6"/>
    <s v="SAR"/>
    <n v="1020088"/>
    <n v="397090"/>
    <n v="1"/>
    <n v="397090"/>
    <n v="0"/>
    <n v="397090"/>
    <n v="397090"/>
    <n v="0"/>
    <n v="0"/>
    <s v="05/07/2026"/>
    <d v="2026-04-30T00:00:00"/>
    <d v="2026-04-30T00:00:00"/>
    <m/>
    <m/>
    <m/>
    <n v="0"/>
    <m/>
    <x v="4"/>
    <s v="Credit"/>
    <s v="90 Days from Applicant representative sign on Invoice"/>
    <x v="1"/>
  </r>
  <r>
    <s v="DCBWPM562612"/>
    <d v="2025-07-24T00:00:00"/>
    <s v="Hassan Taleb"/>
    <x v="0"/>
    <s v="INTERPLAST CO.LTD"/>
    <s v="MP1"/>
    <x v="0"/>
    <x v="6"/>
    <s v="SAR"/>
    <n v="1020088"/>
    <n v="250000"/>
    <n v="1"/>
    <n v="250000"/>
    <n v="250000"/>
    <n v="0"/>
    <n v="0"/>
    <n v="0"/>
    <n v="0"/>
    <m/>
    <d v="2025-12-31T00:00:00"/>
    <d v="2025-12-31T00:00:00"/>
    <m/>
    <m/>
    <m/>
    <n v="0"/>
    <m/>
    <x v="4"/>
    <s v="Credit"/>
    <s v="120 Days from Invoice Date"/>
    <x v="0"/>
  </r>
  <r>
    <s v="ILC-0840-26-8822"/>
    <d v="2026-01-11T00:00:00"/>
    <s v="Hassan Taleb"/>
    <x v="0"/>
    <s v="Isam Kabanni And Partners For Construction And Maintenance Co Ltd"/>
    <s v="RCRC"/>
    <x v="0"/>
    <x v="11"/>
    <s v="SAR"/>
    <n v="1020106"/>
    <n v="739450"/>
    <n v="1"/>
    <n v="739450"/>
    <n v="0"/>
    <n v="739450"/>
    <n v="0"/>
    <n v="739450"/>
    <n v="184860.5"/>
    <m/>
    <d v="2026-08-31T00:00:00"/>
    <d v="2026-08-31T00:00:00"/>
    <m/>
    <m/>
    <m/>
    <n v="0"/>
    <m/>
    <x v="6"/>
    <s v="Credit"/>
    <s v="90 Days from Applicant representative sign on Invoice"/>
    <x v="1"/>
  </r>
  <r>
    <s v="DCBWPM554939"/>
    <d v="2025-03-25T00:00:00"/>
    <s v="Kotb - Morganti"/>
    <x v="0"/>
    <s v="Isam Kabbani &amp; Partners"/>
    <s v="MP1"/>
    <x v="3"/>
    <x v="4"/>
    <s v="SAR"/>
    <n v="1020070"/>
    <n v="1000000"/>
    <n v="1"/>
    <n v="1000000"/>
    <n v="1000000"/>
    <n v="0"/>
    <n v="0"/>
    <n v="0"/>
    <n v="0"/>
    <m/>
    <d v="2025-05-31T00:00:00"/>
    <d v="2025-04-30T00:00:00"/>
    <m/>
    <m/>
    <m/>
    <n v="0"/>
    <m/>
    <x v="4"/>
    <s v="Credit"/>
    <s v="Sight"/>
    <x v="0"/>
  </r>
  <r>
    <s v="DCBWPM559830"/>
    <d v="2025-06-15T00:00:00"/>
    <s v="Mohammed Kotb"/>
    <x v="0"/>
    <s v="Isam Kabbani &amp; Partners"/>
    <s v="MP1"/>
    <x v="2"/>
    <x v="4"/>
    <s v="SAR"/>
    <n v="1020070"/>
    <n v="1900870.95"/>
    <n v="1"/>
    <n v="1900870.95"/>
    <n v="1900870.95"/>
    <n v="0"/>
    <n v="0"/>
    <n v="0"/>
    <n v="0"/>
    <m/>
    <d v="2025-12-31T00:00:00"/>
    <d v="2025-11-30T00:00:00"/>
    <m/>
    <m/>
    <m/>
    <n v="0"/>
    <m/>
    <x v="4"/>
    <s v="Credit"/>
    <s v="60 Days from Invoice Date"/>
    <x v="0"/>
  </r>
  <r>
    <s v="DCBWPM165571"/>
    <d v="2026-05-11T00:00:00"/>
    <s v="Mohammed Kotb"/>
    <x v="0"/>
    <s v="Isam Kabbani &amp; Partners for Building and Construction"/>
    <s v="MP1"/>
    <x v="2"/>
    <x v="4"/>
    <s v="SAR"/>
    <n v="1020070"/>
    <n v="1325316"/>
    <n v="1"/>
    <n v="1325316"/>
    <n v="0"/>
    <n v="1325316"/>
    <n v="0"/>
    <n v="1325316"/>
    <n v="1325316"/>
    <m/>
    <d v="2026-08-01T00:00:00"/>
    <d v="2026-08-01T00:00:00"/>
    <m/>
    <m/>
    <m/>
    <n v="0"/>
    <m/>
    <x v="4"/>
    <s v="Credit"/>
    <s v="90 Days from Appln Rep Sign on Invoice"/>
    <x v="1"/>
  </r>
  <r>
    <s v="TF2502300031"/>
    <d v="2025-01-23T00:00:00"/>
    <s v="Hassan Taleb"/>
    <x v="0"/>
    <s v="ISAM KABBANI &amp; PARTNERS LTD - UNITECH"/>
    <s v="KSP"/>
    <x v="0"/>
    <x v="0"/>
    <s v="SAR"/>
    <n v="1020055"/>
    <n v="500000"/>
    <n v="1"/>
    <n v="500000"/>
    <n v="500000"/>
    <n v="0"/>
    <n v="0"/>
    <n v="0"/>
    <n v="0"/>
    <m/>
    <d v="2025-04-30T00:00:00"/>
    <d v="2025-04-30T00:00:00"/>
    <m/>
    <m/>
    <m/>
    <n v="0"/>
    <m/>
    <x v="0"/>
    <s v="Credit"/>
    <s v="90 Days from Invoice Date"/>
    <x v="0"/>
  </r>
  <r>
    <s v="TF2433399031"/>
    <d v="2024-11-28T00:00:00"/>
    <s v="Hassan Taleb"/>
    <x v="0"/>
    <s v="Isam Kabbani &amp; Partners Ltd-Unitech"/>
    <s v="KSP"/>
    <x v="0"/>
    <x v="0"/>
    <s v="SAR"/>
    <n v="1020055"/>
    <n v="809055.91"/>
    <n v="1"/>
    <n v="809055.91"/>
    <n v="809055.91"/>
    <n v="0"/>
    <n v="0"/>
    <n v="0"/>
    <n v="0"/>
    <m/>
    <d v="2025-02-28T00:00:00"/>
    <d v="2025-02-28T00:00:00"/>
    <m/>
    <m/>
    <m/>
    <n v="0"/>
    <m/>
    <x v="0"/>
    <s v="Credit"/>
    <s v="90 Days from Invoice Date"/>
    <x v="0"/>
  </r>
  <r>
    <s v="TF2508300032"/>
    <d v="2025-03-23T00:00:00"/>
    <s v="Hassan Taleb"/>
    <x v="0"/>
    <s v="ISAM KABBANI &amp; PARTNERS LTD-UNITECH"/>
    <s v="KSP"/>
    <x v="0"/>
    <x v="0"/>
    <s v="SAR"/>
    <n v="1020055"/>
    <n v="200000"/>
    <n v="1"/>
    <n v="200000"/>
    <n v="200000"/>
    <n v="0"/>
    <n v="0"/>
    <n v="0"/>
    <n v="0"/>
    <m/>
    <d v="2025-06-30T00:00:00"/>
    <d v="2025-06-30T00:00:00"/>
    <m/>
    <m/>
    <m/>
    <n v="0"/>
    <m/>
    <x v="0"/>
    <s v="Credit"/>
    <s v="90 Days from Invoice Date"/>
    <x v="0"/>
  </r>
  <r>
    <s v="JLC6901613"/>
    <d v="2025-09-11T00:00:00"/>
    <s v="Luis Puente"/>
    <x v="0"/>
    <s v="Isam Kabbani &amp; Partners Ltd-Unitech"/>
    <s v="Cash"/>
    <x v="0"/>
    <x v="7"/>
    <s v="SAR"/>
    <n v="1020096"/>
    <n v="300000"/>
    <n v="1"/>
    <n v="300000"/>
    <n v="300000"/>
    <n v="0"/>
    <n v="0"/>
    <n v="0"/>
    <n v="0"/>
    <m/>
    <d v="2025-11-30T00:00:00"/>
    <d v="2025-11-30T00:00:00"/>
    <m/>
    <m/>
    <m/>
    <n v="0"/>
    <m/>
    <x v="1"/>
    <s v="Cash"/>
    <s v="120 Days from Invoice Date"/>
    <x v="0"/>
  </r>
  <r>
    <s v="JLC7000008"/>
    <d v="2026-01-01T00:00:00"/>
    <s v="Luis Puente"/>
    <x v="0"/>
    <s v="ISAM KABBANI &amp; PARTNERS LTD-UNITECH"/>
    <s v="Oceanarium"/>
    <x v="0"/>
    <x v="7"/>
    <s v="SAR"/>
    <n v="1020096"/>
    <n v="500000"/>
    <n v="1"/>
    <n v="500000"/>
    <n v="0"/>
    <n v="500000"/>
    <n v="500000"/>
    <n v="0"/>
    <n v="0"/>
    <s v="14/07/2026"/>
    <d v="2026-04-30T00:00:00"/>
    <d v="2026-04-30T00:00:00"/>
    <m/>
    <m/>
    <m/>
    <n v="0"/>
    <m/>
    <x v="1"/>
    <s v="Credit"/>
    <s v="90 Days from Appln Rep Sign on Invoice"/>
    <x v="1"/>
  </r>
  <r>
    <s v="DCBWPM554738"/>
    <d v="2025-04-07T00:00:00"/>
    <s v="Tareeq - Premium"/>
    <x v="0"/>
    <s v="ISAM MUAMMED KHAIRI KABBANI GLASS (IKK Glass)"/>
    <s v="CEER"/>
    <x v="9"/>
    <x v="3"/>
    <s v="SAR"/>
    <n v="1020091"/>
    <n v="3500000"/>
    <n v="1"/>
    <n v="3500000"/>
    <n v="3500000"/>
    <n v="0"/>
    <n v="0"/>
    <n v="0"/>
    <n v="0"/>
    <m/>
    <d v="2025-11-15T00:00:00"/>
    <d v="2025-10-30T00:00:00"/>
    <m/>
    <m/>
    <m/>
    <n v="0"/>
    <m/>
    <x v="4"/>
    <s v="Credit"/>
    <s v="30 Days From Invoice Date"/>
    <x v="0"/>
  </r>
  <r>
    <s v="DC WPM518533"/>
    <d v="2024-10-21T00:00:00"/>
    <s v="Tareeq Telmasani"/>
    <x v="0"/>
    <s v="Isotherm Insulations Fzc"/>
    <s v="CEER"/>
    <x v="2"/>
    <x v="3"/>
    <s v="AED"/>
    <n v="1020091"/>
    <n v="1680000"/>
    <n v="1.026"/>
    <n v="1723680"/>
    <n v="1723680"/>
    <n v="0"/>
    <n v="0"/>
    <n v="0"/>
    <n v="0"/>
    <m/>
    <d v="2024-12-31T00:00:00"/>
    <d v="2024-11-15T00:00:00"/>
    <m/>
    <m/>
    <m/>
    <n v="0"/>
    <m/>
    <x v="4"/>
    <s v="Credit"/>
    <s v="Sight"/>
    <x v="0"/>
  </r>
  <r>
    <s v="DPCWPM519562"/>
    <d v="2024-10-31T00:00:00"/>
    <s v="Tareeq Telmasani"/>
    <x v="0"/>
    <s v="Isotherm Insulations Fzc"/>
    <s v="CEER"/>
    <x v="2"/>
    <x v="3"/>
    <s v="AED"/>
    <n v="1020091"/>
    <n v="11192216"/>
    <n v="1.03"/>
    <n v="11527982.48"/>
    <n v="2494026.8997599999"/>
    <n v="9033955.5800000001"/>
    <n v="0"/>
    <n v="9033955.5800000001"/>
    <n v="0"/>
    <m/>
    <d v="2025-01-31T00:00:00"/>
    <d v="2025-01-04T00:00:00"/>
    <m/>
    <m/>
    <m/>
    <n v="0"/>
    <m/>
    <x v="4"/>
    <s v="Credit"/>
    <s v="Sight"/>
    <x v="0"/>
  </r>
  <r>
    <s v="TF2328386223"/>
    <d v="2023-10-10T00:00:00"/>
    <s v="Mohammed Kotb"/>
    <x v="0"/>
    <s v="ISSAM KABBANI AND PARTNERS LTD"/>
    <s v="KSP"/>
    <x v="5"/>
    <x v="4"/>
    <s v="SAR"/>
    <n v="1020070"/>
    <n v="2000000"/>
    <n v="1"/>
    <n v="2000000"/>
    <n v="1524114.55"/>
    <n v="475885.45"/>
    <n v="0"/>
    <n v="475885.45"/>
    <n v="0"/>
    <m/>
    <d v="2023-12-12T00:00:00"/>
    <d v="2023-12-12T00:00:00"/>
    <m/>
    <m/>
    <m/>
    <n v="0"/>
    <m/>
    <x v="0"/>
    <s v="Cash"/>
    <m/>
    <x v="0"/>
  </r>
  <r>
    <s v="DCBWPM563027"/>
    <d v="2025-07-31T00:00:00"/>
    <s v="Tareeq Telmasani"/>
    <x v="0"/>
    <s v="JAD AL RIYADH Trading Co. Ltd"/>
    <s v="CEER"/>
    <x v="0"/>
    <x v="3"/>
    <s v="SAR"/>
    <n v="1020091"/>
    <n v="1400000"/>
    <n v="1"/>
    <n v="1400000"/>
    <n v="1385426.0200000003"/>
    <n v="14573.98"/>
    <n v="0"/>
    <n v="14573.98"/>
    <n v="0"/>
    <m/>
    <d v="2026-06-30T00:00:00"/>
    <d v="2026-06-30T00:00:00"/>
    <m/>
    <m/>
    <m/>
    <n v="0"/>
    <m/>
    <x v="4"/>
    <s v="Credit"/>
    <s v="90 Days from Appl. Representative Sign"/>
    <x v="1"/>
  </r>
  <r>
    <s v="IM2500733007"/>
    <d v="2025-01-07T00:00:00"/>
    <s v="Hassan Taleb"/>
    <x v="0"/>
    <s v="Jamil Ali Nasser AlZadjali Factory for Industry"/>
    <s v="Multipurpose"/>
    <x v="0"/>
    <x v="0"/>
    <s v="SAR"/>
    <n v="1020055"/>
    <n v="451362.57"/>
    <n v="1"/>
    <n v="451362.57"/>
    <n v="451362.57"/>
    <n v="0"/>
    <n v="0"/>
    <n v="0"/>
    <n v="0"/>
    <m/>
    <d v="2025-03-31T00:00:00"/>
    <d v="2025-03-31T00:00:00"/>
    <m/>
    <m/>
    <m/>
    <n v="0"/>
    <m/>
    <x v="2"/>
    <s v="Credit"/>
    <s v="90 Days from Invoice Date"/>
    <x v="0"/>
  </r>
  <r>
    <s v="TF2502300037"/>
    <d v="2025-01-23T00:00:00"/>
    <s v="Hassan Taleb"/>
    <x v="0"/>
    <s v="Jamil Ali Nasser Al-Zadjali Factory For Industry"/>
    <s v="KSP"/>
    <x v="0"/>
    <x v="0"/>
    <s v="SAR"/>
    <n v="1020055"/>
    <n v="400000"/>
    <n v="1"/>
    <n v="400000"/>
    <n v="400000"/>
    <n v="0"/>
    <n v="0"/>
    <n v="0"/>
    <n v="0"/>
    <m/>
    <d v="2025-04-30T00:00:00"/>
    <d v="2025-04-30T00:00:00"/>
    <m/>
    <m/>
    <m/>
    <n v="0"/>
    <m/>
    <x v="0"/>
    <s v="Credit"/>
    <s v="90 Days from Invoice Date"/>
    <x v="0"/>
  </r>
  <r>
    <s v="JLC6901482"/>
    <d v="2025-08-14T00:00:00"/>
    <s v="Muhammed Khan"/>
    <x v="0"/>
    <s v="JARIR MARKETING CO"/>
    <s v="Cash"/>
    <x v="1"/>
    <x v="1"/>
    <s v="SAR"/>
    <m/>
    <n v="349170.7"/>
    <n v="1"/>
    <n v="349170.7"/>
    <n v="349170.7"/>
    <n v="0"/>
    <n v="0"/>
    <n v="0"/>
    <n v="0"/>
    <m/>
    <d v="2025-09-30T00:00:00"/>
    <d v="2025-09-15T00:00:00"/>
    <m/>
    <m/>
    <m/>
    <m/>
    <m/>
    <x v="1"/>
    <s v="Cash"/>
    <s v="Sight"/>
    <x v="0"/>
  </r>
  <r>
    <s v="J209315"/>
    <d v="2024-10-07T00:00:00"/>
    <m/>
    <x v="0"/>
    <s v="JAY CO LTD"/>
    <s v="Opera House"/>
    <x v="0"/>
    <x v="19"/>
    <s v="SAR"/>
    <m/>
    <n v="5000000"/>
    <n v="1"/>
    <n v="5000000"/>
    <n v="5000000"/>
    <n v="0"/>
    <n v="0"/>
    <n v="0"/>
    <n v="0"/>
    <m/>
    <d v="2024-11-30T00:00:00"/>
    <d v="2024-11-04T00:00:00"/>
    <m/>
    <m/>
    <m/>
    <n v="0"/>
    <m/>
    <x v="3"/>
    <s v="Credit"/>
    <s v="90 Days from Invoice Date"/>
    <x v="0"/>
  </r>
  <r>
    <s v="JLC6901492"/>
    <d v="2025-09-04T00:00:00"/>
    <s v="Luis Puente"/>
    <x v="0"/>
    <s v="Jiangsu Donchamp New Materials Technology Co.Ltd."/>
    <s v="Oceanarium"/>
    <x v="2"/>
    <x v="7"/>
    <s v="USD"/>
    <n v="1020096"/>
    <n v="7339154"/>
    <n v="3.762"/>
    <n v="27609897.348000001"/>
    <n v="25727757.043026205"/>
    <n v="1882140.3"/>
    <n v="0"/>
    <n v="1882140.3"/>
    <n v="0"/>
    <m/>
    <d v="2026-04-30T00:00:00"/>
    <d v="2026-04-10T00:00:00"/>
    <m/>
    <m/>
    <m/>
    <n v="0"/>
    <m/>
    <x v="1"/>
    <s v="Credit"/>
    <s v="45 Days from Invoice Date / Sight"/>
    <x v="0"/>
  </r>
  <r>
    <s v="JLC6901608"/>
    <d v="2025-09-11T00:00:00"/>
    <s v="Luis Puente"/>
    <x v="0"/>
    <s v="Johnson Controls Arabia"/>
    <s v="Oceanarium"/>
    <x v="0"/>
    <x v="7"/>
    <s v="SAR"/>
    <n v="1020096"/>
    <n v="2000000"/>
    <n v="1"/>
    <n v="2000000"/>
    <n v="2000000"/>
    <n v="0"/>
    <n v="0"/>
    <n v="0"/>
    <n v="0"/>
    <m/>
    <d v="2025-11-30T00:00:00"/>
    <d v="2025-11-30T00:00:00"/>
    <m/>
    <m/>
    <m/>
    <n v="0"/>
    <m/>
    <x v="1"/>
    <s v="Credit"/>
    <s v="120 Days from Invoice Date"/>
    <x v="0"/>
  </r>
  <r>
    <s v="DCBWPM166270"/>
    <d v="2026-06-04T00:00:00"/>
    <s v="Hassan Taleb"/>
    <x v="0"/>
    <s v="JOHNSON CONTROLS ARABIA"/>
    <s v="MP1"/>
    <x v="0"/>
    <x v="6"/>
    <s v="SAR"/>
    <n v="1020088"/>
    <n v="500000"/>
    <n v="1"/>
    <n v="500000"/>
    <n v="0"/>
    <n v="500000"/>
    <n v="0"/>
    <n v="500000"/>
    <n v="0"/>
    <m/>
    <d v="2026-08-31T00:00:00"/>
    <d v="2026-08-31T00:00:00"/>
    <m/>
    <m/>
    <m/>
    <n v="0"/>
    <m/>
    <x v="4"/>
    <s v="Credit"/>
    <s v="120 Days from Applicant representative sign on Invoice"/>
    <x v="1"/>
  </r>
  <r>
    <s v="TF2419794178"/>
    <d v="2024-07-15T00:00:00"/>
    <s v="Hassan Taleb"/>
    <x v="0"/>
    <s v="JOHNSON CONTROLS ARABIA LIMITED"/>
    <s v="KSP"/>
    <x v="0"/>
    <x v="0"/>
    <s v="SAR"/>
    <n v="1020055"/>
    <n v="9787326"/>
    <n v="1"/>
    <n v="9787326"/>
    <n v="9787326"/>
    <n v="0"/>
    <n v="0"/>
    <n v="0"/>
    <n v="0"/>
    <m/>
    <d v="2024-10-30T00:00:00"/>
    <d v="2024-10-30T00:00:00"/>
    <m/>
    <m/>
    <m/>
    <n v="0"/>
    <m/>
    <x v="0"/>
    <s v="Credit"/>
    <m/>
    <x v="0"/>
  </r>
  <r>
    <s v="TF2433399024"/>
    <d v="2024-11-28T00:00:00"/>
    <s v="Hassan Taleb"/>
    <x v="0"/>
    <s v="Johnson Controls Arabia Limited"/>
    <s v="KSP"/>
    <x v="0"/>
    <x v="0"/>
    <s v="SAR"/>
    <n v="1020055"/>
    <n v="2500000"/>
    <n v="1"/>
    <n v="2500000"/>
    <n v="2500000"/>
    <n v="0"/>
    <n v="0"/>
    <n v="0"/>
    <n v="0"/>
    <m/>
    <d v="2025-02-28T00:00:00"/>
    <d v="2025-02-28T00:00:00"/>
    <m/>
    <m/>
    <m/>
    <n v="0"/>
    <m/>
    <x v="0"/>
    <s v="Credit"/>
    <s v="90 Days from Invoice Date"/>
    <x v="0"/>
  </r>
  <r>
    <s v="TF2502300059"/>
    <d v="2025-01-23T00:00:00"/>
    <s v="Hassan Taleb"/>
    <x v="0"/>
    <s v="Johnson Controls Arabia Limited"/>
    <s v="KSP"/>
    <x v="0"/>
    <x v="0"/>
    <s v="SAR"/>
    <n v="1020055"/>
    <n v="2000000"/>
    <n v="1"/>
    <n v="2000000"/>
    <n v="2000000"/>
    <n v="0"/>
    <n v="0"/>
    <n v="0"/>
    <n v="0"/>
    <m/>
    <d v="2025-04-30T00:00:00"/>
    <d v="2025-04-30T00:00:00"/>
    <m/>
    <m/>
    <m/>
    <n v="0"/>
    <m/>
    <x v="0"/>
    <s v="Credit"/>
    <s v="90 Days from Invoice Date"/>
    <x v="0"/>
  </r>
  <r>
    <s v="IM2500633007"/>
    <d v="2025-01-06T00:00:00"/>
    <s v="Hassan Taleb"/>
    <x v="0"/>
    <s v="Johnson Controls Arabia Limited"/>
    <s v="Multipurpose"/>
    <x v="0"/>
    <x v="0"/>
    <s v="SAR"/>
    <n v="1020055"/>
    <n v="6700000"/>
    <n v="1"/>
    <n v="6700000"/>
    <n v="6700000"/>
    <n v="0"/>
    <n v="0"/>
    <n v="0"/>
    <n v="0"/>
    <m/>
    <d v="2025-03-31T00:00:00"/>
    <d v="2025-03-31T00:00:00"/>
    <m/>
    <m/>
    <m/>
    <n v="0"/>
    <m/>
    <x v="2"/>
    <s v="Credit"/>
    <s v="90 Days from Invoice Date"/>
    <x v="0"/>
  </r>
  <r>
    <s v="J209004"/>
    <d v="2024-08-15T00:00:00"/>
    <s v="Hassan Taleb"/>
    <x v="0"/>
    <s v="JOHNSON CONTROLS ARABIA LIMITED"/>
    <s v="Opera House"/>
    <x v="0"/>
    <x v="0"/>
    <s v="SAR"/>
    <n v="1020055"/>
    <n v="1749851.86"/>
    <n v="1"/>
    <n v="1749851.86"/>
    <n v="1749851.86"/>
    <n v="0"/>
    <n v="0"/>
    <n v="0"/>
    <n v="0"/>
    <m/>
    <d v="2024-11-30T00:00:00"/>
    <d v="2024-11-30T00:00:00"/>
    <m/>
    <m/>
    <m/>
    <n v="0"/>
    <m/>
    <x v="3"/>
    <s v="Credit"/>
    <s v="90 Days from Invoice Date"/>
    <x v="0"/>
  </r>
  <r>
    <s v="J211809"/>
    <d v="2026-01-18T00:00:00"/>
    <s v="Matthew Mckernan"/>
    <x v="0"/>
    <s v="Johnson Controls Arabia Limited"/>
    <s v="Opera House"/>
    <x v="4"/>
    <x v="10"/>
    <s v="SAR"/>
    <n v="1020097"/>
    <n v="800000"/>
    <n v="1"/>
    <n v="800000"/>
    <n v="800000"/>
    <n v="0"/>
    <n v="0"/>
    <n v="0"/>
    <n v="0"/>
    <m/>
    <d v="2026-02-25T00:00:00"/>
    <d v="2026-01-30T00:00:00"/>
    <m/>
    <m/>
    <m/>
    <n v="0"/>
    <m/>
    <x v="3"/>
    <s v="Credit"/>
    <s v="60 Days from Delivery Date"/>
    <x v="0"/>
  </r>
  <r>
    <s v="DCBWPM563822"/>
    <d v="2025-08-13T00:00:00"/>
    <s v="Tareeq Telmasani"/>
    <x v="0"/>
    <s v="Johnson Controls Arabia Ltd"/>
    <s v="CEER"/>
    <x v="0"/>
    <x v="3"/>
    <s v="SAR"/>
    <n v="1020091"/>
    <n v="5000000"/>
    <n v="1"/>
    <n v="5000000"/>
    <n v="5000000"/>
    <n v="0"/>
    <n v="0"/>
    <n v="0"/>
    <n v="0"/>
    <m/>
    <d v="2025-11-30T00:00:00"/>
    <d v="2025-11-30T00:00:00"/>
    <m/>
    <m/>
    <m/>
    <n v="0"/>
    <m/>
    <x v="4"/>
    <s v="Credit"/>
    <s v="90 Days from Appl. Representative Sign"/>
    <x v="0"/>
  </r>
  <r>
    <s v="DCBWPM562620"/>
    <d v="2025-07-24T00:00:00"/>
    <s v="Hassan Taleb"/>
    <x v="0"/>
    <s v="JOHNSON CONTROLS ARABIA LTD."/>
    <s v="MP1"/>
    <x v="0"/>
    <x v="6"/>
    <s v="SAR"/>
    <n v="1020088"/>
    <n v="300000"/>
    <n v="1"/>
    <n v="300000"/>
    <n v="283333.74"/>
    <n v="16666.259999999998"/>
    <n v="0"/>
    <n v="16666.259999999998"/>
    <n v="0"/>
    <m/>
    <d v="2026-04-30T00:00:00"/>
    <d v="2026-04-30T00:00:00"/>
    <m/>
    <m/>
    <m/>
    <n v="0"/>
    <m/>
    <x v="4"/>
    <s v="Credit"/>
    <s v="120 Days from Invoice Date"/>
    <x v="0"/>
  </r>
  <r>
    <s v="DCBWPM164010"/>
    <d v="2026-04-06T00:00:00"/>
    <s v="Hassan Taleb"/>
    <x v="0"/>
    <s v="Johnson Controls Arabia Ltd."/>
    <s v="MP1"/>
    <x v="0"/>
    <x v="6"/>
    <s v="SAR"/>
    <n v="1020088"/>
    <n v="1000000"/>
    <n v="1"/>
    <n v="1000000"/>
    <n v="0"/>
    <n v="1000000"/>
    <n v="0"/>
    <n v="1000000"/>
    <n v="0"/>
    <m/>
    <d v="2026-06-30T00:00:00"/>
    <d v="2026-06-30T00:00:00"/>
    <m/>
    <m/>
    <m/>
    <n v="0"/>
    <m/>
    <x v="4"/>
    <s v="Credit"/>
    <s v="90 Days from App Rep Sign on Invoice"/>
    <x v="1"/>
  </r>
  <r>
    <s v="J209616"/>
    <d v="2024-12-08T00:00:00"/>
    <s v="Rabih Makhoul"/>
    <x v="0"/>
    <s v="KATHOOM JEDDAH TRADING EST."/>
    <s v="Opera House"/>
    <x v="0"/>
    <x v="5"/>
    <s v="SAR"/>
    <n v="1020100"/>
    <n v="300000"/>
    <n v="1"/>
    <n v="300000"/>
    <n v="300000"/>
    <n v="0"/>
    <n v="0"/>
    <n v="0"/>
    <n v="0"/>
    <m/>
    <d v="2025-02-28T00:00:00"/>
    <d v="2025-02-28T00:00:00"/>
    <m/>
    <m/>
    <m/>
    <n v="0"/>
    <m/>
    <x v="3"/>
    <s v="Credit"/>
    <s v="90 Days from Invoice Date"/>
    <x v="0"/>
  </r>
  <r>
    <s v="IM2512733008"/>
    <d v="2025-05-07T00:00:00"/>
    <s v="Hassan Taleb"/>
    <x v="0"/>
    <s v="KENZ SARAB MACHINERY AND EQUIPMENT COMPANY"/>
    <s v="Cash"/>
    <x v="0"/>
    <x v="5"/>
    <s v="SAR"/>
    <n v="1020100"/>
    <n v="500000"/>
    <n v="1"/>
    <n v="500000"/>
    <n v="500000"/>
    <n v="0"/>
    <n v="0"/>
    <n v="0"/>
    <n v="0"/>
    <m/>
    <d v="2025-09-30T00:00:00"/>
    <d v="2025-09-30T00:00:00"/>
    <m/>
    <m/>
    <n v="141838.25"/>
    <n v="0"/>
    <m/>
    <x v="2"/>
    <s v="Cash"/>
    <s v="120 Days from Invoice Date"/>
    <x v="0"/>
  </r>
  <r>
    <s v="IM2428833005"/>
    <d v="2024-10-15T00:00:00"/>
    <s v="Mohammed Kotb"/>
    <x v="0"/>
    <s v="Khalid M.Algarboo Company"/>
    <s v="Multipurpose"/>
    <x v="2"/>
    <x v="4"/>
    <s v="SAR"/>
    <n v="1020070"/>
    <n v="71300"/>
    <n v="1"/>
    <n v="71300"/>
    <n v="0"/>
    <n v="71300"/>
    <n v="0"/>
    <n v="71300"/>
    <n v="0"/>
    <m/>
    <d v="2024-12-05T00:00:00"/>
    <d v="2024-11-15T00:00:00"/>
    <m/>
    <m/>
    <m/>
    <n v="0"/>
    <m/>
    <x v="2"/>
    <s v="Credit"/>
    <s v="Sight"/>
    <x v="0"/>
  </r>
  <r>
    <s v="DCBWPM163950"/>
    <d v="2026-04-06T00:00:00"/>
    <s v="Hassan Taleb"/>
    <x v="0"/>
    <s v="Khereiji Showrooms Co."/>
    <s v="MP1"/>
    <x v="0"/>
    <x v="6"/>
    <s v="SAR"/>
    <n v="1020088"/>
    <n v="300000.73"/>
    <n v="1"/>
    <n v="300000.73"/>
    <n v="0"/>
    <n v="300000.73"/>
    <n v="299758.8"/>
    <n v="241.93"/>
    <n v="0"/>
    <s v="30/08/2026"/>
    <d v="2026-06-30T00:00:00"/>
    <d v="2026-06-30T00:00:00"/>
    <m/>
    <m/>
    <m/>
    <n v="0"/>
    <m/>
    <x v="4"/>
    <s v="Credit"/>
    <s v="90 Days from App Rep Sign on Invoice"/>
    <x v="1"/>
  </r>
  <r>
    <s v="DCBWPM166275"/>
    <d v="2026-06-04T00:00:00"/>
    <s v="Hassan Taleb"/>
    <x v="0"/>
    <s v="KHEREIJI SHOWROOMS CO."/>
    <s v="MP1"/>
    <x v="0"/>
    <x v="6"/>
    <s v="SAR"/>
    <n v="1020088"/>
    <n v="250000"/>
    <n v="1"/>
    <n v="250000"/>
    <n v="0"/>
    <n v="250000"/>
    <n v="0"/>
    <n v="250000"/>
    <n v="0"/>
    <m/>
    <d v="2026-08-31T00:00:00"/>
    <d v="2026-08-31T00:00:00"/>
    <m/>
    <m/>
    <m/>
    <n v="0"/>
    <m/>
    <x v="4"/>
    <s v="Credit"/>
    <s v="120 Days from Applicant representative sign on Invoice"/>
    <x v="1"/>
  </r>
  <r>
    <s v="ILC-0840-25-7355"/>
    <d v="2025-02-27T00:00:00"/>
    <s v="Hassan Taleb"/>
    <x v="0"/>
    <s v="Khorayef Industries"/>
    <s v="RCRC"/>
    <x v="0"/>
    <x v="11"/>
    <s v="SAR"/>
    <n v="1020106"/>
    <n v="646875"/>
    <n v="1"/>
    <n v="646875"/>
    <n v="646875"/>
    <n v="0"/>
    <n v="0"/>
    <n v="0"/>
    <n v="0"/>
    <m/>
    <d v="2025-08-20T00:00:00"/>
    <d v="2025-08-20T00:00:00"/>
    <m/>
    <m/>
    <m/>
    <n v="0"/>
    <m/>
    <x v="6"/>
    <s v="Credit"/>
    <s v="90 Days from Invoice Date"/>
    <x v="0"/>
  </r>
  <r>
    <s v="TF2517400023"/>
    <d v="2025-06-23T00:00:00"/>
    <s v="Hassan Taleb"/>
    <x v="0"/>
    <s v="Khorayef Industries"/>
    <s v="KSP"/>
    <x v="0"/>
    <x v="5"/>
    <s v="SAR"/>
    <n v="1020100"/>
    <n v="511750"/>
    <n v="1"/>
    <n v="511750"/>
    <n v="511750"/>
    <n v="0"/>
    <n v="0"/>
    <n v="0"/>
    <n v="0"/>
    <m/>
    <d v="2025-10-31T00:00:00"/>
    <d v="2025-10-31T00:00:00"/>
    <m/>
    <m/>
    <m/>
    <n v="0"/>
    <s v="to bank on 08-09 | EXP &amp; LDS 31-10"/>
    <x v="0"/>
    <s v="Credit"/>
    <s v="120 Days from Invoice Date"/>
    <x v="0"/>
  </r>
  <r>
    <s v="JLC7000184"/>
    <d v="2026-02-04T00:00:00"/>
    <s v="Luis Puente"/>
    <x v="0"/>
    <s v="Khorayef Industries"/>
    <s v="Oceanarium"/>
    <x v="0"/>
    <x v="7"/>
    <s v="SAR"/>
    <n v="1020096"/>
    <n v="1000000"/>
    <n v="1"/>
    <n v="1000000"/>
    <n v="0"/>
    <n v="1000000"/>
    <n v="1000000"/>
    <n v="0"/>
    <n v="0"/>
    <s v="14/07/2026"/>
    <d v="2026-04-30T00:00:00"/>
    <d v="2026-04-30T00:00:00"/>
    <m/>
    <m/>
    <m/>
    <n v="0"/>
    <m/>
    <x v="1"/>
    <s v="Credit"/>
    <s v="90 Days from Appln Rep Sign on Invoice"/>
    <x v="1"/>
  </r>
  <r>
    <s v="TF2502300026"/>
    <d v="2025-01-23T00:00:00"/>
    <s v="Hassan Taleb"/>
    <x v="0"/>
    <s v="Kingdom Deserts Contracting Co."/>
    <s v="KSP"/>
    <x v="0"/>
    <x v="0"/>
    <s v="SAR"/>
    <n v="1020055"/>
    <n v="900400"/>
    <n v="1"/>
    <n v="900400"/>
    <n v="900400"/>
    <n v="0"/>
    <n v="0"/>
    <n v="0"/>
    <n v="0"/>
    <m/>
    <d v="2025-04-30T00:00:00"/>
    <d v="2025-04-30T00:00:00"/>
    <m/>
    <m/>
    <m/>
    <n v="0"/>
    <m/>
    <x v="0"/>
    <s v="Credit"/>
    <s v="90 Days from Invoice Date"/>
    <x v="0"/>
  </r>
  <r>
    <s v="DCBWPM553893"/>
    <d v="2025-03-10T00:00:00"/>
    <s v="Tareeq Telmasani"/>
    <x v="0"/>
    <s v="Kingspan Insulated Panels Manufacturing LLC"/>
    <s v="CEER"/>
    <x v="2"/>
    <x v="3"/>
    <s v="SAR"/>
    <n v="1020091"/>
    <n v="11632450.5"/>
    <n v="1"/>
    <n v="11632450.5"/>
    <n v="11069374.060000001"/>
    <n v="563076.43999999994"/>
    <n v="0"/>
    <n v="563076.43999999994"/>
    <n v="0"/>
    <m/>
    <d v="2025-09-14T00:00:00"/>
    <d v="2025-08-15T00:00:00"/>
    <m/>
    <m/>
    <m/>
    <m/>
    <m/>
    <x v="4"/>
    <s v="Credit"/>
    <s v="180 Days from Invoice Date"/>
    <x v="0"/>
  </r>
  <r>
    <s v="TF2514600068"/>
    <d v="2025-05-27T00:00:00"/>
    <s v="Hassan Taleb"/>
    <x v="0"/>
    <s v="Klimacontra International"/>
    <s v="KSP"/>
    <x v="0"/>
    <x v="0"/>
    <s v="SAR"/>
    <n v="1020055"/>
    <n v="255852.91"/>
    <n v="1"/>
    <n v="255852.91"/>
    <n v="255852.91"/>
    <n v="0"/>
    <n v="0"/>
    <n v="0"/>
    <n v="0"/>
    <m/>
    <d v="2025-08-31T00:00:00"/>
    <d v="2025-08-31T00:00:00"/>
    <m/>
    <m/>
    <m/>
    <n v="0"/>
    <s v="to bank on 08-09 | EXP &amp; LDS 31-10"/>
    <x v="0"/>
    <s v="Credit"/>
    <s v="120 Days from Invoice Date"/>
    <x v="0"/>
  </r>
  <r>
    <s v="JLC6901483"/>
    <d v="2025-08-14T00:00:00"/>
    <s v="Muhammed Khan"/>
    <x v="0"/>
    <s v="KONE AREECO LIMITED COMPANY"/>
    <s v="Cash"/>
    <x v="1"/>
    <x v="1"/>
    <s v="SAR"/>
    <m/>
    <n v="408291.9"/>
    <n v="1"/>
    <n v="408291.9"/>
    <n v="408291.9"/>
    <n v="0"/>
    <n v="0"/>
    <n v="0"/>
    <n v="0"/>
    <m/>
    <d v="2025-09-30T00:00:00"/>
    <d v="2025-09-15T00:00:00"/>
    <m/>
    <m/>
    <m/>
    <m/>
    <m/>
    <x v="1"/>
    <s v="Cash"/>
    <s v="Sight"/>
    <x v="0"/>
  </r>
  <r>
    <s v="J211986"/>
    <d v="2026-03-01T00:00:00"/>
    <s v="Matthew Mckernan"/>
    <x v="0"/>
    <s v="Koon Trading Company"/>
    <s v="Opera House"/>
    <x v="4"/>
    <x v="10"/>
    <s v="SAR"/>
    <n v="1020097"/>
    <n v="400000"/>
    <n v="1"/>
    <n v="400000"/>
    <n v="0"/>
    <n v="400000"/>
    <n v="0"/>
    <n v="400000"/>
    <n v="0"/>
    <m/>
    <d v="2026-07-01T00:00:00"/>
    <d v="2026-06-15T00:00:00"/>
    <m/>
    <m/>
    <m/>
    <n v="0"/>
    <m/>
    <x v="3"/>
    <s v="Credit"/>
    <s v="90 Days From the Delivery Date"/>
    <x v="1"/>
  </r>
  <r>
    <s v="TF2517700054"/>
    <d v="2025-06-26T00:00:00"/>
    <s v="Hassan Taleb"/>
    <x v="0"/>
    <s v="LAILA M.BIN ABDULLAH AL-FARAJ FOR GENERAL CONT.EST"/>
    <s v="KSP"/>
    <x v="0"/>
    <x v="5"/>
    <s v="SAR"/>
    <n v="1020100"/>
    <n v="263032"/>
    <n v="1"/>
    <n v="263032"/>
    <n v="263032"/>
    <n v="0"/>
    <n v="0"/>
    <n v="0"/>
    <n v="0"/>
    <m/>
    <d v="2025-10-31T00:00:00"/>
    <d v="2025-10-31T00:00:00"/>
    <m/>
    <m/>
    <m/>
    <n v="0"/>
    <s v="to bank on 08-09 | EXP &amp; LDS 31-10"/>
    <x v="0"/>
    <s v="Credit"/>
    <s v="120 Days from Invoice Date"/>
    <x v="0"/>
  </r>
  <r>
    <s v="TF2419794181"/>
    <d v="2024-07-16T00:00:00"/>
    <s v="Mohammed Atef"/>
    <x v="0"/>
    <s v="LEADERS FORT ARABIA CONTRACTING"/>
    <s v="KSP"/>
    <x v="2"/>
    <x v="0"/>
    <s v="SAR"/>
    <n v="1020055"/>
    <n v="5319603.3000000007"/>
    <n v="1"/>
    <n v="5319603.3000000007"/>
    <n v="0"/>
    <n v="5319603.3"/>
    <n v="0"/>
    <n v="5319603.3"/>
    <n v="0"/>
    <m/>
    <d v="2024-12-31T00:00:00"/>
    <d v="2024-12-31T00:00:00"/>
    <m/>
    <m/>
    <m/>
    <n v="0"/>
    <m/>
    <x v="0"/>
    <s v="Credit"/>
    <m/>
    <x v="0"/>
  </r>
  <r>
    <s v="DCBWPM554915"/>
    <d v="2025-03-25T00:00:00"/>
    <s v="Kotb - Morganti"/>
    <x v="0"/>
    <s v="Light Box Trading Company"/>
    <s v="MP1"/>
    <x v="3"/>
    <x v="4"/>
    <s v="SAR"/>
    <n v="1020070"/>
    <n v="1200000"/>
    <n v="1"/>
    <n v="1200000"/>
    <n v="1200000"/>
    <n v="0"/>
    <n v="0"/>
    <n v="0"/>
    <n v="0"/>
    <m/>
    <d v="2025-05-31T00:00:00"/>
    <d v="2025-04-30T00:00:00"/>
    <m/>
    <m/>
    <m/>
    <n v="0"/>
    <m/>
    <x v="4"/>
    <s v="Credit"/>
    <s v="Sight"/>
    <x v="0"/>
  </r>
  <r>
    <s v="TF2330986923"/>
    <d v="2023-11-07T00:00:00"/>
    <s v="Hassan Taleb"/>
    <x v="0"/>
    <s v="LIGHT TECHNOLOGIES CO"/>
    <s v="KSP"/>
    <x v="0"/>
    <x v="0"/>
    <s v="SAR"/>
    <n v="1020055"/>
    <n v="4038899.85"/>
    <n v="1"/>
    <n v="4038899.85"/>
    <n v="4038899.85"/>
    <n v="0"/>
    <n v="0"/>
    <n v="0"/>
    <n v="0"/>
    <m/>
    <d v="2024-01-31T00:00:00"/>
    <d v="2024-01-31T00:00:00"/>
    <m/>
    <m/>
    <m/>
    <n v="0"/>
    <m/>
    <x v="0"/>
    <s v="Credit"/>
    <m/>
    <x v="0"/>
  </r>
  <r>
    <s v="TF2335188225"/>
    <d v="2023-12-17T00:00:00"/>
    <s v="Hassan Taleb"/>
    <x v="0"/>
    <s v="LIGHT TECHNOLOGIES COMPANY"/>
    <s v="KSP"/>
    <x v="0"/>
    <x v="0"/>
    <s v="SAR"/>
    <n v="1020055"/>
    <n v="9000000"/>
    <n v="1"/>
    <n v="9000000"/>
    <n v="9000000"/>
    <n v="0"/>
    <n v="0"/>
    <n v="0"/>
    <n v="0"/>
    <m/>
    <d v="2024-07-30T00:00:00"/>
    <d v="2024-07-30T00:00:00"/>
    <m/>
    <m/>
    <m/>
    <n v="0"/>
    <m/>
    <x v="0"/>
    <s v="Credit"/>
    <s v="90 Days from Delivery Date"/>
    <x v="0"/>
  </r>
  <r>
    <s v="TF2318783381"/>
    <d v="2023-07-06T00:00:00"/>
    <s v="Hassan Taleb"/>
    <x v="0"/>
    <s v="LIGHT TECHNOLOGIES COMPANY LTD"/>
    <s v="KSP"/>
    <x v="0"/>
    <x v="0"/>
    <s v="SAR"/>
    <n v="1020055"/>
    <n v="7364224.5800000001"/>
    <n v="1"/>
    <n v="7364224.5800000001"/>
    <n v="7364224.5800000001"/>
    <n v="0"/>
    <n v="0"/>
    <n v="0"/>
    <n v="0"/>
    <m/>
    <d v="2023-09-30T00:00:00"/>
    <d v="2023-09-30T00:00:00"/>
    <m/>
    <m/>
    <m/>
    <n v="0"/>
    <m/>
    <x v="0"/>
    <s v="Credit"/>
    <s v="60 Days from Delivery Date"/>
    <x v="0"/>
  </r>
  <r>
    <s v="J209068"/>
    <d v="2024-08-29T00:00:00"/>
    <s v="Hassan Taleb"/>
    <x v="0"/>
    <s v="LIGHT TECHNOLOGIES COMPANY LTD"/>
    <s v="Opera House"/>
    <x v="0"/>
    <x v="0"/>
    <s v="SAR"/>
    <n v="1020055"/>
    <n v="3500000"/>
    <n v="1"/>
    <n v="3500000"/>
    <n v="3500000"/>
    <n v="0"/>
    <n v="0"/>
    <n v="0"/>
    <n v="0"/>
    <m/>
    <d v="2024-11-30T00:00:00"/>
    <d v="2024-11-30T00:00:00"/>
    <m/>
    <m/>
    <m/>
    <n v="0"/>
    <m/>
    <x v="3"/>
    <s v="Credit"/>
    <s v="90 Days from Invoice Date"/>
    <x v="0"/>
  </r>
  <r>
    <s v="TF2327686006"/>
    <d v="2023-10-10T00:00:00"/>
    <s v="Hassan Taleb"/>
    <x v="0"/>
    <s v="LIGHT TECHNOLOGIES COMPANY LTD"/>
    <s v="KSP"/>
    <x v="0"/>
    <x v="0"/>
    <s v="SAR"/>
    <n v="1020055"/>
    <n v="4805000"/>
    <n v="1"/>
    <n v="4805000"/>
    <n v="4805000"/>
    <n v="0"/>
    <n v="0"/>
    <n v="0"/>
    <n v="0"/>
    <m/>
    <d v="2024-09-01T00:00:00"/>
    <d v="2024-09-01T00:00:00"/>
    <m/>
    <m/>
    <m/>
    <n v="0"/>
    <m/>
    <x v="0"/>
    <s v="Credit"/>
    <s v="90 Days from Delivery Date"/>
    <x v="0"/>
  </r>
  <r>
    <s v="IM2500633008"/>
    <d v="2025-01-06T00:00:00"/>
    <s v="Hassan Taleb"/>
    <x v="0"/>
    <s v="Light Technologies Company LTD / Lightech."/>
    <s v="Multipurpose"/>
    <x v="0"/>
    <x v="0"/>
    <s v="SAR"/>
    <n v="1020055"/>
    <n v="3000000"/>
    <n v="1"/>
    <n v="3000000"/>
    <n v="3000000"/>
    <n v="0"/>
    <n v="0"/>
    <n v="0"/>
    <n v="0"/>
    <m/>
    <d v="2025-03-31T00:00:00"/>
    <d v="2025-03-31T00:00:00"/>
    <m/>
    <m/>
    <m/>
    <n v="0"/>
    <m/>
    <x v="2"/>
    <s v="Credit"/>
    <s v="90 Days from Invoice Date"/>
    <x v="0"/>
  </r>
  <r>
    <s v="TF2502300056"/>
    <d v="2025-01-23T00:00:00"/>
    <s v="Hassan Taleb"/>
    <x v="0"/>
    <s v="Light Technologies Company LTD / Lightech."/>
    <s v="KSP"/>
    <x v="0"/>
    <x v="0"/>
    <s v="SAR"/>
    <n v="1020055"/>
    <n v="900000"/>
    <n v="1"/>
    <n v="900000"/>
    <n v="899345.63"/>
    <n v="654.37"/>
    <n v="0"/>
    <n v="654.37"/>
    <n v="0"/>
    <m/>
    <d v="2025-08-31T00:00:00"/>
    <d v="2025-08-31T00:00:00"/>
    <m/>
    <m/>
    <m/>
    <n v="0"/>
    <m/>
    <x v="0"/>
    <s v="Credit"/>
    <s v="90 Days from Invoice Date"/>
    <x v="0"/>
  </r>
  <r>
    <s v="IM2434733001"/>
    <d v="2024-12-12T00:00:00"/>
    <s v="Hassan Taleb"/>
    <x v="0"/>
    <s v="Light Technologies Company Ltd. (Lightech)"/>
    <s v="Oceanarium"/>
    <x v="0"/>
    <x v="0"/>
    <s v="SAR"/>
    <n v="1020055"/>
    <n v="3582817.67"/>
    <n v="1"/>
    <n v="3582817.67"/>
    <n v="3582817.67"/>
    <n v="0"/>
    <n v="0"/>
    <n v="0"/>
    <n v="0"/>
    <m/>
    <d v="2025-03-31T00:00:00"/>
    <d v="2025-03-31T00:00:00"/>
    <m/>
    <m/>
    <m/>
    <n v="0"/>
    <m/>
    <x v="2"/>
    <s v="Credit"/>
    <s v="90 Days from Invoice Date"/>
    <x v="0"/>
  </r>
  <r>
    <s v="TF2508300035"/>
    <d v="2025-03-23T00:00:00"/>
    <s v="Hassan Taleb"/>
    <x v="0"/>
    <s v="Light Technologies Company Ltd. (Lightech)"/>
    <s v="KSP"/>
    <x v="0"/>
    <x v="0"/>
    <s v="SAR"/>
    <n v="1020055"/>
    <n v="800000"/>
    <n v="1"/>
    <n v="800000"/>
    <n v="800000"/>
    <n v="0"/>
    <n v="0"/>
    <n v="0"/>
    <n v="0"/>
    <m/>
    <d v="2025-08-31T00:00:00"/>
    <d v="2025-08-31T00:00:00"/>
    <m/>
    <m/>
    <m/>
    <n v="0"/>
    <m/>
    <x v="0"/>
    <s v="Credit"/>
    <s v="90 Days from Invoice Date"/>
    <x v="0"/>
  </r>
  <r>
    <s v="TF2421494834"/>
    <d v="2024-08-01T00:00:00"/>
    <s v="Hassan Taleb"/>
    <x v="0"/>
    <s v="LIGHTING LTD"/>
    <s v="KSP"/>
    <x v="0"/>
    <x v="0"/>
    <s v="SAR"/>
    <n v="1020055"/>
    <n v="300000"/>
    <n v="1"/>
    <n v="300000"/>
    <n v="300000"/>
    <n v="0"/>
    <n v="0"/>
    <n v="0"/>
    <n v="0"/>
    <m/>
    <d v="2024-10-31T00:00:00"/>
    <d v="2024-10-31T00:00:00"/>
    <m/>
    <m/>
    <m/>
    <n v="0"/>
    <m/>
    <x v="0"/>
    <s v="Credit"/>
    <m/>
    <x v="0"/>
  </r>
  <r>
    <s v="JLC6901616"/>
    <d v="2025-09-11T00:00:00"/>
    <s v="Luis Puente"/>
    <x v="0"/>
    <s v="lmdadat Al Jazera Al Arabia Trading Co."/>
    <s v="Cash"/>
    <x v="0"/>
    <x v="7"/>
    <s v="SAR"/>
    <n v="1020096"/>
    <n v="450000"/>
    <n v="1"/>
    <n v="450000"/>
    <n v="450000"/>
    <n v="0"/>
    <n v="0"/>
    <n v="0"/>
    <n v="0"/>
    <m/>
    <d v="2026-01-31T00:00:00"/>
    <d v="2026-01-31T00:00:00"/>
    <m/>
    <m/>
    <m/>
    <n v="0"/>
    <m/>
    <x v="1"/>
    <s v="Cash"/>
    <s v="120 Days from Invoice Date"/>
    <x v="0"/>
  </r>
  <r>
    <s v="TF2434399302"/>
    <d v="2024-12-09T00:00:00"/>
    <s v="Nadim Salhieh"/>
    <x v="0"/>
    <s v="LSI PROJECTS LIMITED"/>
    <s v="KSP"/>
    <x v="4"/>
    <x v="0"/>
    <s v="GBP"/>
    <n v="1020055"/>
    <n v="373015"/>
    <n v="4.7089499999999997"/>
    <n v="1756508.98425"/>
    <n v="1269454.6215999997"/>
    <n v="487054.36"/>
    <n v="0"/>
    <n v="487054.36"/>
    <n v="0"/>
    <m/>
    <d v="2025-04-21T00:00:00"/>
    <d v="2025-03-31T00:00:00"/>
    <m/>
    <m/>
    <m/>
    <n v="0"/>
    <m/>
    <x v="0"/>
    <s v="Credit"/>
    <s v="60 Days from Shipment Date"/>
    <x v="0"/>
  </r>
  <r>
    <s v="TF2434399308"/>
    <d v="2024-12-09T00:00:00"/>
    <s v="Nadim Salhieh"/>
    <x v="0"/>
    <s v="LSI PROJECTS LIMITED"/>
    <s v="KSP"/>
    <x v="4"/>
    <x v="0"/>
    <s v="GBP"/>
    <n v="1020055"/>
    <n v="131292"/>
    <n v="4.7089499999999997"/>
    <n v="618247.46340000001"/>
    <n v="444354.00079999998"/>
    <n v="173893.46"/>
    <n v="0"/>
    <n v="173893.46"/>
    <n v="0"/>
    <m/>
    <d v="2025-04-21T00:00:00"/>
    <d v="2025-03-31T00:00:00"/>
    <m/>
    <m/>
    <m/>
    <n v="0"/>
    <m/>
    <x v="0"/>
    <s v="Credit"/>
    <s v="60 Days from Shipment Date"/>
    <x v="0"/>
  </r>
  <r>
    <s v="TF2511400003"/>
    <d v="2025-05-19T00:00:00"/>
    <s v="Hashmat Khan"/>
    <x v="0"/>
    <s v="LSI PROJECTS LIMITED"/>
    <s v="KSP"/>
    <x v="4"/>
    <x v="0"/>
    <s v="GBP"/>
    <n v="1020055"/>
    <n v="1198730.71"/>
    <n v="4.7089499999999997"/>
    <n v="5644762.9768544994"/>
    <n v="0"/>
    <n v="5644762.9800000004"/>
    <n v="0"/>
    <n v="5644762.9800000004"/>
    <n v="0"/>
    <m/>
    <d v="2025-12-21T00:00:00"/>
    <d v="2025-07-31T00:00:00"/>
    <m/>
    <m/>
    <m/>
    <n v="0"/>
    <s v="Sent to Shareef Sir | Payment term 90 Days from Inv Date"/>
    <x v="0"/>
    <s v="Credit"/>
    <s v="Mixed Payment"/>
    <x v="0"/>
  </r>
  <r>
    <s v="TF2535900014"/>
    <d v="2025-12-25T00:00:00"/>
    <s v="Hashmat Khan"/>
    <x v="0"/>
    <s v="LSI PROJECTS LIMITED"/>
    <s v="KSP"/>
    <x v="5"/>
    <x v="0"/>
    <s v="GBP"/>
    <n v="1020055"/>
    <n v="1534181.67"/>
    <n v="4.6399999999999997"/>
    <n v="7118602.9487999994"/>
    <n v="363328.54672888498"/>
    <n v="6755274.4000000004"/>
    <n v="0"/>
    <n v="6755274.4000000004"/>
    <n v="0"/>
    <m/>
    <d v="2026-09-30T00:00:00"/>
    <d v="2026-09-30T00:00:00"/>
    <m/>
    <m/>
    <m/>
    <n v="0"/>
    <m/>
    <x v="0"/>
    <s v="Credit"/>
    <s v="90 Days from Invoice Date"/>
    <x v="1"/>
  </r>
  <r>
    <s v="TF2533600018"/>
    <d v="2025-12-04T00:00:00"/>
    <s v="Hashmat Khan"/>
    <x v="0"/>
    <s v="LSI PROJECTS LIMITED"/>
    <s v="KSP"/>
    <x v="5"/>
    <x v="0"/>
    <s v="GBP"/>
    <n v="1020055"/>
    <n v="72830.59"/>
    <n v="4.6399999999999997"/>
    <n v="337933.93759999995"/>
    <n v="0"/>
    <n v="337933.94"/>
    <n v="0"/>
    <n v="337933.94"/>
    <n v="0"/>
    <m/>
    <d v="2026-09-30T00:00:00"/>
    <d v="2026-09-30T00:00:00"/>
    <m/>
    <m/>
    <m/>
    <n v="0"/>
    <m/>
    <x v="0"/>
    <s v="Credit"/>
    <s v="90 Days from Shipment Date"/>
    <x v="1"/>
  </r>
  <r>
    <s v="TF2605600008"/>
    <d v="2026-02-25T00:00:00"/>
    <s v="Hashmat Khan"/>
    <x v="0"/>
    <s v="LSI PROJECTS LIMITED"/>
    <s v="KSP"/>
    <x v="5"/>
    <x v="0"/>
    <s v="GBP"/>
    <n v="1020055"/>
    <n v="1198730.71"/>
    <n v="5.19"/>
    <n v="6221412.3848999999"/>
    <n v="6101179.6946869995"/>
    <n v="120232.69"/>
    <n v="0"/>
    <n v="120232.69"/>
    <n v="0"/>
    <m/>
    <d v="2026-04-30T00:00:00"/>
    <d v="2026-04-30T00:00:00"/>
    <m/>
    <m/>
    <m/>
    <n v="0"/>
    <m/>
    <x v="0"/>
    <s v="Credit"/>
    <s v="90 Days from Invoice Date"/>
    <x v="0"/>
  </r>
  <r>
    <s v="TF2319983732"/>
    <d v="2023-07-18T00:00:00"/>
    <s v="Mohammed Atef"/>
    <x v="0"/>
    <s v="LSI PROJECTS LIMITIED - ICAD"/>
    <s v="KSP"/>
    <x v="4"/>
    <x v="0"/>
    <s v="GBP"/>
    <n v="1020055"/>
    <n v="3834246"/>
    <n v="4.7802300000000004"/>
    <n v="18328577.756580003"/>
    <n v="17056987.438388038"/>
    <n v="1271590.32"/>
    <n v="0"/>
    <n v="1271590.32"/>
    <n v="0"/>
    <m/>
    <d v="2024-09-16T00:00:00"/>
    <d v="2024-09-16T00:00:00"/>
    <m/>
    <m/>
    <m/>
    <n v="0"/>
    <m/>
    <x v="0"/>
    <s v="Credit"/>
    <s v="60 Days from Shipment Date"/>
    <x v="0"/>
  </r>
  <r>
    <s v="TF2319883712"/>
    <d v="2023-07-18T00:00:00"/>
    <s v="Mohammed Atef"/>
    <x v="0"/>
    <s v="LSI PROJECTS LIMITIED - ICAD"/>
    <s v="KSP"/>
    <x v="4"/>
    <x v="0"/>
    <s v="GBP"/>
    <n v="1020055"/>
    <n v="5028295"/>
    <n v="4.7553999999999998"/>
    <n v="23911554.042999998"/>
    <n v="23099166.36806"/>
    <n v="812387.67"/>
    <n v="0"/>
    <n v="812387.67"/>
    <n v="0"/>
    <m/>
    <d v="2024-06-30T00:00:00"/>
    <d v="2024-06-30T00:00:00"/>
    <m/>
    <m/>
    <m/>
    <n v="0"/>
    <m/>
    <x v="0"/>
    <s v="Credit"/>
    <s v="60 Days from Shipment Date"/>
    <x v="0"/>
  </r>
  <r>
    <s v="TF2431898513"/>
    <d v="2024-11-14T00:00:00"/>
    <s v="Rabih Makhoul"/>
    <x v="0"/>
    <s v="Lucy Switchgear Arabia Co Ltd"/>
    <s v="KSP"/>
    <x v="2"/>
    <x v="14"/>
    <s v="SAR"/>
    <n v="1020060"/>
    <n v="807357.5"/>
    <n v="1"/>
    <n v="807357.5"/>
    <n v="0"/>
    <n v="807357.5"/>
    <n v="0"/>
    <n v="807357.5"/>
    <n v="0"/>
    <m/>
    <d v="2025-01-31T00:00:00"/>
    <d v="2025-01-04T00:00:00"/>
    <m/>
    <m/>
    <m/>
    <n v="0"/>
    <m/>
    <x v="0"/>
    <s v="Credit"/>
    <s v="45 Days from Invoice Date"/>
    <x v="0"/>
  </r>
  <r>
    <s v="TF2331887127"/>
    <d v="2023-11-15T00:00:00"/>
    <s v="Hassan Taleb"/>
    <x v="0"/>
    <s v="LUMIERE KSA"/>
    <s v="KSP"/>
    <x v="0"/>
    <x v="0"/>
    <s v="SAR"/>
    <n v="1020055"/>
    <n v="405408.51"/>
    <n v="1"/>
    <n v="405408.51"/>
    <n v="0"/>
    <n v="405408.51"/>
    <n v="0"/>
    <n v="405408.51"/>
    <n v="0"/>
    <m/>
    <d v="2024-02-28T00:00:00"/>
    <d v="2024-02-28T00:00:00"/>
    <m/>
    <m/>
    <m/>
    <n v="0"/>
    <m/>
    <x v="0"/>
    <s v="Credit"/>
    <m/>
    <x v="0"/>
  </r>
  <r>
    <s v="DCBWPM563040"/>
    <d v="2025-08-03T00:00:00"/>
    <s v="Tareeq Telmasani"/>
    <x v="0"/>
    <s v="Mab United For Trading &amp; Contracting Co"/>
    <s v="CEER"/>
    <x v="0"/>
    <x v="3"/>
    <s v="SAR"/>
    <n v="1020091"/>
    <n v="850000"/>
    <n v="1"/>
    <n v="850000"/>
    <n v="850000"/>
    <n v="0"/>
    <n v="0"/>
    <n v="0"/>
    <n v="0"/>
    <m/>
    <d v="2025-12-31T00:00:00"/>
    <d v="2025-12-31T00:00:00"/>
    <m/>
    <m/>
    <m/>
    <n v="0"/>
    <m/>
    <x v="4"/>
    <s v="Credit"/>
    <s v="120 Days from Appl. Representative Sign"/>
    <x v="0"/>
  </r>
  <r>
    <s v="DCBWPM166290"/>
    <d v="2026-06-04T00:00:00"/>
    <s v="Hassan Taleb"/>
    <x v="0"/>
    <s v="Machinery Land Equipment Rental."/>
    <s v="MP1"/>
    <x v="0"/>
    <x v="6"/>
    <s v="SAR"/>
    <n v="1020088"/>
    <n v="300000"/>
    <n v="1"/>
    <n v="300000"/>
    <n v="0"/>
    <n v="300000"/>
    <n v="0"/>
    <n v="300000"/>
    <n v="0"/>
    <m/>
    <d v="2026-08-31T00:00:00"/>
    <d v="2026-08-31T00:00:00"/>
    <m/>
    <m/>
    <m/>
    <n v="0"/>
    <m/>
    <x v="4"/>
    <s v="Credit"/>
    <s v="120 Days from Applicant representative sign on Invoice"/>
    <x v="1"/>
  </r>
  <r>
    <s v="JLC6800287"/>
    <d v="2024-02-08T00:00:00"/>
    <s v="Rabih Makhoul"/>
    <x v="0"/>
    <s v="MACHINERY RENTAL ALTERNATIVES CO."/>
    <s v="Multipurpose"/>
    <x v="2"/>
    <x v="2"/>
    <s v="SAR"/>
    <n v="1020098"/>
    <n v="2685480"/>
    <n v="1"/>
    <n v="2685480"/>
    <n v="2685480"/>
    <n v="0"/>
    <n v="0"/>
    <n v="0"/>
    <n v="0"/>
    <m/>
    <d v="2024-08-20T00:00:00"/>
    <d v="2024-08-20T00:00:00"/>
    <m/>
    <m/>
    <m/>
    <n v="0"/>
    <m/>
    <x v="1"/>
    <s v="Credit"/>
    <m/>
    <x v="0"/>
  </r>
  <r>
    <s v="JLC6800286"/>
    <d v="2024-02-08T00:00:00"/>
    <s v="Rabih Makhoul"/>
    <x v="0"/>
    <s v="MACHINERY RENTAL ALTERNATIVES CO."/>
    <s v="Multipurpose"/>
    <x v="2"/>
    <x v="2"/>
    <s v="SAR"/>
    <n v="1020098"/>
    <n v="18785537.5"/>
    <n v="1"/>
    <n v="18785537.5"/>
    <n v="18785537.5"/>
    <n v="0"/>
    <n v="0"/>
    <n v="0"/>
    <n v="0"/>
    <m/>
    <d v="2024-05-31T00:00:00"/>
    <d v="2024-05-31T00:00:00"/>
    <m/>
    <m/>
    <m/>
    <n v="0"/>
    <m/>
    <x v="1"/>
    <s v="Credit"/>
    <m/>
    <x v="0"/>
  </r>
  <r>
    <s v="TF2517700028"/>
    <d v="2025-06-26T00:00:00"/>
    <s v="Hassan Taleb"/>
    <x v="0"/>
    <s v="MAHAWAR AL JAZEERA CONTRACTING CO."/>
    <s v="KSP"/>
    <x v="0"/>
    <x v="5"/>
    <s v="SAR"/>
    <n v="1020100"/>
    <n v="93771"/>
    <n v="1"/>
    <n v="93771"/>
    <n v="93771"/>
    <n v="0"/>
    <n v="0"/>
    <n v="0"/>
    <n v="0"/>
    <m/>
    <d v="2025-12-31T00:00:00"/>
    <d v="2025-12-31T00:00:00"/>
    <m/>
    <m/>
    <m/>
    <n v="0"/>
    <s v="to bank on 30-10 | EXP &amp; LDS 31-12"/>
    <x v="0"/>
    <s v="Credit"/>
    <s v="120 Days from Invoice Date"/>
    <x v="0"/>
  </r>
  <r>
    <s v="J210928"/>
    <d v="2025-07-27T00:00:00"/>
    <s v="Hassan Taleb"/>
    <x v="0"/>
    <s v="Mahmoud AI-Taheni &amp; Partners Trading Co."/>
    <s v="Opera House"/>
    <x v="0"/>
    <x v="5"/>
    <s v="SAR"/>
    <n v="1020100"/>
    <n v="150000"/>
    <n v="1"/>
    <n v="150000"/>
    <n v="150000"/>
    <n v="0"/>
    <n v="0"/>
    <n v="0"/>
    <n v="0"/>
    <m/>
    <d v="2025-10-31T00:00:00"/>
    <d v="2025-10-31T00:00:00"/>
    <m/>
    <m/>
    <m/>
    <n v="0"/>
    <m/>
    <x v="3"/>
    <s v="Credit"/>
    <s v="120 Days from Invoice Date"/>
    <x v="0"/>
  </r>
  <r>
    <s v="TF2535200018"/>
    <d v="2025-12-18T00:00:00"/>
    <s v="Essam Zahran - Signal Control"/>
    <x v="0"/>
    <s v="Mahmoud Al Tahini and Partners Company"/>
    <s v="KSP"/>
    <x v="14"/>
    <x v="0"/>
    <s v="SAR"/>
    <n v="1020055"/>
    <n v="1249991.3500000001"/>
    <n v="1"/>
    <n v="1249991.3500000001"/>
    <n v="1249991.3500000001"/>
    <n v="0"/>
    <n v="0"/>
    <n v="0"/>
    <n v="0"/>
    <m/>
    <d v="2026-02-28T00:00:00"/>
    <d v="2026-02-28T00:00:00"/>
    <m/>
    <m/>
    <m/>
    <n v="0"/>
    <m/>
    <x v="0"/>
    <s v="Credit"/>
    <s v="90 Days from Invoice Date"/>
    <x v="0"/>
  </r>
  <r>
    <s v="TF2507700039"/>
    <d v="2025-03-18T00:00:00"/>
    <s v="Rabih Makhoul"/>
    <x v="0"/>
    <s v="MAHMOUD ALTAHENI &amp; PARTNERS TRADING CO."/>
    <s v="KSP"/>
    <x v="0"/>
    <x v="5"/>
    <s v="SAR"/>
    <n v="1020100"/>
    <n v="700000"/>
    <n v="1"/>
    <n v="700000"/>
    <n v="700000"/>
    <n v="0"/>
    <n v="0"/>
    <n v="0"/>
    <n v="0"/>
    <m/>
    <d v="2025-06-30T00:00:00"/>
    <d v="2025-06-30T00:00:00"/>
    <m/>
    <m/>
    <m/>
    <n v="0"/>
    <m/>
    <x v="0"/>
    <s v="Credit"/>
    <s v="90 Days from Invoice Date"/>
    <x v="0"/>
  </r>
  <r>
    <s v="IM2512833009"/>
    <d v="2025-05-08T00:00:00"/>
    <s v="Hassan Taleb"/>
    <x v="0"/>
    <s v="MAHMOUD ALTAHENI &amp; PARTNERS TRADING CO."/>
    <s v="Cash"/>
    <x v="0"/>
    <x v="5"/>
    <s v="SAR"/>
    <n v="1020100"/>
    <n v="250000"/>
    <n v="1"/>
    <n v="250000"/>
    <n v="250000"/>
    <n v="0"/>
    <n v="0"/>
    <n v="0"/>
    <n v="0"/>
    <m/>
    <d v="2025-07-31T00:00:00"/>
    <d v="2025-07-31T00:00:00"/>
    <m/>
    <m/>
    <m/>
    <n v="0"/>
    <m/>
    <x v="2"/>
    <s v="Cash"/>
    <s v="120 Days from Invoice Date"/>
    <x v="0"/>
  </r>
  <r>
    <s v="TF2517400066"/>
    <d v="2025-06-23T00:00:00"/>
    <s v="Hassan Taleb"/>
    <x v="0"/>
    <s v="MAHMOUD ALTAHENI &amp; PARTNERS TRADING CO."/>
    <s v="KSP"/>
    <x v="0"/>
    <x v="5"/>
    <s v="SAR"/>
    <n v="1020100"/>
    <n v="342207.75"/>
    <n v="1"/>
    <n v="342207.75"/>
    <n v="340841.26"/>
    <n v="1366.49"/>
    <n v="0"/>
    <n v="1366.49"/>
    <n v="0"/>
    <m/>
    <d v="2025-08-31T00:00:00"/>
    <d v="2025-08-31T00:00:00"/>
    <m/>
    <m/>
    <m/>
    <n v="0"/>
    <m/>
    <x v="0"/>
    <s v="Credit"/>
    <s v="120 Days from Invoice Date"/>
    <x v="0"/>
  </r>
  <r>
    <s v="JLC7000009"/>
    <d v="2026-01-01T00:00:00"/>
    <s v="Luis Puente"/>
    <x v="0"/>
    <s v="Mahmoud Altaheni &amp; Partners Trading Co."/>
    <s v="Oceanarium"/>
    <x v="0"/>
    <x v="7"/>
    <s v="SAR"/>
    <n v="1020096"/>
    <n v="550000"/>
    <n v="1"/>
    <n v="550000"/>
    <n v="550000"/>
    <n v="0"/>
    <n v="0"/>
    <n v="0"/>
    <n v="0"/>
    <m/>
    <d v="2026-04-30T00:00:00"/>
    <d v="2026-04-30T00:00:00"/>
    <m/>
    <m/>
    <m/>
    <n v="0"/>
    <m/>
    <x v="1"/>
    <s v="Credit"/>
    <s v="90 Days from Appln Rep Sign on Invoice"/>
    <x v="0"/>
  </r>
  <r>
    <s v="JLC7000182"/>
    <d v="2026-02-04T00:00:00"/>
    <s v="Luis Puente"/>
    <x v="0"/>
    <s v="Mahmoud Altaheni And His Partners Trading Company"/>
    <s v="Oceanarium"/>
    <x v="0"/>
    <x v="7"/>
    <s v="SAR"/>
    <n v="1020096"/>
    <n v="500000"/>
    <n v="1"/>
    <n v="500000"/>
    <n v="500000"/>
    <n v="0"/>
    <n v="0"/>
    <n v="0"/>
    <n v="0"/>
    <m/>
    <d v="2026-04-30T00:00:00"/>
    <d v="2026-04-30T00:00:00"/>
    <m/>
    <m/>
    <m/>
    <n v="0"/>
    <m/>
    <x v="1"/>
    <s v="Credit"/>
    <s v="90 Days from Appln Rep Sign on Invoice"/>
    <x v="0"/>
  </r>
  <r>
    <s v="J212311"/>
    <d v="2026-05-07T00:00:00"/>
    <s v="Matthew Mckernan"/>
    <x v="0"/>
    <s v="Manar Alomran Company For Trading And Industrial Ltd"/>
    <s v="Opera House"/>
    <x v="2"/>
    <x v="10"/>
    <s v="SAR"/>
    <n v="1020097"/>
    <n v="2896770"/>
    <n v="1"/>
    <n v="2896770"/>
    <n v="0"/>
    <n v="2896770"/>
    <n v="386858.95"/>
    <n v="2509911.0499999998"/>
    <n v="0"/>
    <s v="19/08/2026"/>
    <d v="2026-08-31T00:00:00"/>
    <d v="2026-08-31T00:00:00"/>
    <m/>
    <m/>
    <m/>
    <n v="0"/>
    <m/>
    <x v="3"/>
    <s v="Credit"/>
    <s v="90 Days from Invoice Date"/>
    <x v="1"/>
  </r>
  <r>
    <s v="TF2513500037"/>
    <d v="2025-05-15T00:00:00"/>
    <s v="Hassan Taleb"/>
    <x v="0"/>
    <s v="MANATIQ GENERAL CONTRACTING COMPANY"/>
    <s v="KSP"/>
    <x v="0"/>
    <x v="0"/>
    <s v="SAR"/>
    <n v="1020055"/>
    <n v="283912"/>
    <n v="1"/>
    <n v="283912"/>
    <n v="283912"/>
    <n v="0"/>
    <n v="0"/>
    <n v="0"/>
    <n v="0"/>
    <m/>
    <d v="2025-10-31T00:00:00"/>
    <d v="2025-10-31T00:00:00"/>
    <m/>
    <m/>
    <m/>
    <n v="0"/>
    <s v="to bank on 08-09 | EXP &amp; LDS 31-10"/>
    <x v="0"/>
    <s v="Credit"/>
    <s v="120 Days from Invoice Date"/>
    <x v="0"/>
  </r>
  <r>
    <s v="TF2508300030"/>
    <d v="2025-03-23T00:00:00"/>
    <s v="Hassan Taleb"/>
    <x v="0"/>
    <s v="Mariam Ahmad Jamal Ibrahim &amp; Partner Trading  Company"/>
    <s v="KSP"/>
    <x v="0"/>
    <x v="0"/>
    <s v="SAR"/>
    <n v="1020055"/>
    <n v="400000"/>
    <n v="1"/>
    <n v="400000"/>
    <n v="400000"/>
    <n v="0"/>
    <n v="0"/>
    <n v="0"/>
    <n v="0"/>
    <m/>
    <d v="2025-06-30T00:00:00"/>
    <d v="2025-06-30T00:00:00"/>
    <m/>
    <m/>
    <m/>
    <n v="0"/>
    <m/>
    <x v="0"/>
    <s v="Credit"/>
    <s v="90 Days from Invoice Date"/>
    <x v="0"/>
  </r>
  <r>
    <s v="IM2435033003"/>
    <d v="2024-12-15T00:00:00"/>
    <s v="Hassan Taleb"/>
    <x v="0"/>
    <s v="Mariam Ahmad Jamal Ibrahim &amp; Partner Trading Co."/>
    <s v="Oceanarium"/>
    <x v="0"/>
    <x v="0"/>
    <s v="SAR"/>
    <n v="1020055"/>
    <n v="400000"/>
    <n v="1"/>
    <n v="400000"/>
    <n v="400000"/>
    <n v="0"/>
    <n v="0"/>
    <n v="0"/>
    <n v="0"/>
    <m/>
    <d v="2025-03-31T00:00:00"/>
    <d v="2025-03-31T00:00:00"/>
    <m/>
    <m/>
    <m/>
    <n v="0"/>
    <m/>
    <x v="2"/>
    <s v="Credit"/>
    <s v="90 Days from Invoice Date"/>
    <x v="0"/>
  </r>
  <r>
    <s v="J209514"/>
    <d v="2024-11-19T00:00:00"/>
    <s v="Hassan Taleb"/>
    <x v="0"/>
    <s v="Mariam Ahmad Jamal Ibrahim &amp; Partner Trading Co."/>
    <s v="Opera House"/>
    <x v="0"/>
    <x v="0"/>
    <s v="SAR"/>
    <n v="1020055"/>
    <n v="499521.42"/>
    <n v="1"/>
    <n v="499521.42"/>
    <n v="499521.42"/>
    <n v="0"/>
    <n v="0"/>
    <n v="0"/>
    <n v="0"/>
    <m/>
    <d v="2025-04-30T00:00:00"/>
    <d v="2025-04-04T00:00:00"/>
    <m/>
    <m/>
    <m/>
    <n v="0"/>
    <m/>
    <x v="3"/>
    <s v="Credit"/>
    <s v="90 Days from Invoice Date"/>
    <x v="0"/>
  </r>
  <r>
    <s v="TF2414292662"/>
    <d v="2024-05-23T00:00:00"/>
    <s v="Hassan Taleb"/>
    <x v="0"/>
    <s v="MARIAM AHMAD JAMAL IBRAHIM AND PARTNER TRADING CO"/>
    <s v="KSP"/>
    <x v="0"/>
    <x v="0"/>
    <s v="SAR"/>
    <n v="1020055"/>
    <n v="755381.98"/>
    <n v="1"/>
    <n v="755381.98"/>
    <n v="755381.98"/>
    <n v="0"/>
    <n v="0"/>
    <n v="0"/>
    <n v="0"/>
    <m/>
    <d v="2024-09-30T00:00:00"/>
    <d v="2024-09-30T00:00:00"/>
    <m/>
    <m/>
    <m/>
    <n v="0"/>
    <m/>
    <x v="0"/>
    <s v="Credit"/>
    <m/>
    <x v="0"/>
  </r>
  <r>
    <s v="J209063"/>
    <d v="2024-08-29T00:00:00"/>
    <s v="Hassan Taleb"/>
    <x v="0"/>
    <s v="MARIAM AHMAD JAMAL IBRAHIM PARTNE"/>
    <s v="Opera House"/>
    <x v="0"/>
    <x v="0"/>
    <s v="SAR"/>
    <n v="1020055"/>
    <n v="700000"/>
    <n v="1"/>
    <n v="700000"/>
    <n v="700000"/>
    <n v="0"/>
    <n v="0"/>
    <n v="0"/>
    <n v="0"/>
    <m/>
    <d v="2024-11-30T00:00:00"/>
    <d v="2024-11-30T00:00:00"/>
    <m/>
    <m/>
    <m/>
    <n v="0"/>
    <m/>
    <x v="3"/>
    <s v="Credit"/>
    <s v="90 Days from Invoice Date"/>
    <x v="0"/>
  </r>
  <r>
    <s v="J209954"/>
    <d v="2025-01-27T00:00:00"/>
    <s v="Rabih Makhoul"/>
    <x v="0"/>
    <s v="Mariam Ahmed Jamal Ibrahim"/>
    <s v="Opera House"/>
    <x v="0"/>
    <x v="5"/>
    <s v="SAR"/>
    <n v="1020100"/>
    <n v="400000"/>
    <n v="1"/>
    <n v="400000"/>
    <n v="400000"/>
    <n v="0"/>
    <n v="0"/>
    <n v="0"/>
    <n v="0"/>
    <m/>
    <d v="2025-04-30T00:00:00"/>
    <d v="2025-04-30T00:00:00"/>
    <m/>
    <m/>
    <m/>
    <n v="0"/>
    <m/>
    <x v="3"/>
    <s v="Credit"/>
    <s v="90 Days from Invoice Date"/>
    <x v="0"/>
  </r>
  <r>
    <s v="DCBWPM563824"/>
    <d v="2025-08-13T00:00:00"/>
    <s v="Tareeq Telmasani"/>
    <x v="0"/>
    <s v="MARIAM TRADING CO &amp; PARTNER"/>
    <s v="CEER"/>
    <x v="0"/>
    <x v="3"/>
    <s v="SAR"/>
    <n v="1020091"/>
    <n v="600000"/>
    <n v="1"/>
    <n v="600000"/>
    <n v="600000"/>
    <n v="0"/>
    <n v="0"/>
    <n v="0"/>
    <n v="0"/>
    <m/>
    <d v="2025-11-30T00:00:00"/>
    <d v="2025-11-30T00:00:00"/>
    <m/>
    <m/>
    <m/>
    <n v="0"/>
    <m/>
    <x v="4"/>
    <s v="Credit"/>
    <s v="60 Days from Appl. Representative Sign"/>
    <x v="0"/>
  </r>
  <r>
    <s v="J210606"/>
    <d v="2025-06-01T00:00:00"/>
    <s v="Hassan Taleb"/>
    <x v="0"/>
    <s v="MARIAM TRADING CO &amp; PARTNERS"/>
    <s v="Opera House"/>
    <x v="0"/>
    <x v="0"/>
    <s v="SAR"/>
    <n v="1020055"/>
    <n v="547153.36"/>
    <n v="1"/>
    <n v="547153.36"/>
    <n v="547153.37"/>
    <n v="-0.01"/>
    <n v="0"/>
    <n v="-0.01"/>
    <n v="0"/>
    <m/>
    <d v="2025-10-31T00:00:00"/>
    <d v="2025-10-31T00:00:00"/>
    <m/>
    <m/>
    <m/>
    <n v="0"/>
    <m/>
    <x v="3"/>
    <s v="Credit"/>
    <s v="120 Days from Invoice Date"/>
    <x v="0"/>
  </r>
  <r>
    <s v="DCBWPM166272"/>
    <d v="2026-06-04T00:00:00"/>
    <s v="Hassan Taleb"/>
    <x v="0"/>
    <s v="MARIAM TRADING CO AND PARTNER"/>
    <s v="MP1"/>
    <x v="0"/>
    <x v="6"/>
    <s v="SAR"/>
    <n v="1020088"/>
    <n v="200000"/>
    <n v="1"/>
    <n v="200000"/>
    <n v="0"/>
    <n v="200000"/>
    <n v="0"/>
    <n v="200000"/>
    <n v="0"/>
    <m/>
    <d v="2026-08-31T00:00:00"/>
    <d v="2026-08-31T00:00:00"/>
    <m/>
    <m/>
    <m/>
    <n v="0"/>
    <m/>
    <x v="4"/>
    <s v="Credit"/>
    <s v="120 Days from Applicant representative sign on Invoice"/>
    <x v="1"/>
  </r>
  <r>
    <s v="TF2502300038"/>
    <d v="2025-01-23T00:00:00"/>
    <s v="Hassan Taleb"/>
    <x v="0"/>
    <s v="MARIAM TRADING CO. &amp; PARTNER"/>
    <s v="KSP"/>
    <x v="0"/>
    <x v="0"/>
    <s v="SAR"/>
    <n v="1020055"/>
    <n v="413369.1"/>
    <n v="1"/>
    <n v="413369.1"/>
    <n v="413369.1"/>
    <n v="0"/>
    <n v="0"/>
    <n v="0"/>
    <n v="0"/>
    <m/>
    <d v="2025-04-30T00:00:00"/>
    <d v="2025-04-30T00:00:00"/>
    <m/>
    <m/>
    <m/>
    <n v="0"/>
    <m/>
    <x v="0"/>
    <s v="Credit"/>
    <s v="90 Days from Invoice Date"/>
    <x v="0"/>
  </r>
  <r>
    <s v="DCBWPM161330"/>
    <d v="2026-01-28T00:00:00"/>
    <s v="Hassan Taleb"/>
    <x v="0"/>
    <s v="Mariam Trading CO. &amp; Partner"/>
    <s v="MP1"/>
    <x v="0"/>
    <x v="6"/>
    <s v="SAR"/>
    <n v="1020088"/>
    <n v="500000"/>
    <n v="1"/>
    <n v="500000"/>
    <n v="500000"/>
    <n v="0"/>
    <n v="0"/>
    <n v="0"/>
    <n v="0"/>
    <m/>
    <d v="2026-04-30T00:00:00"/>
    <d v="2026-04-30T00:00:00"/>
    <m/>
    <m/>
    <m/>
    <n v="0"/>
    <m/>
    <x v="4"/>
    <s v="Credit"/>
    <s v="90 Days from Applicant representative sign on Invoice"/>
    <x v="0"/>
  </r>
  <r>
    <s v="DCBWPM558786"/>
    <d v="2025-06-02T00:00:00"/>
    <s v="Hassan Taleb"/>
    <x v="0"/>
    <s v="MARIAM TRADING CO. &amp; PARTNER "/>
    <s v="MP1"/>
    <x v="0"/>
    <x v="6"/>
    <s v="SAR"/>
    <n v="1020088"/>
    <n v="400000"/>
    <n v="1"/>
    <n v="400000"/>
    <n v="400000"/>
    <n v="0"/>
    <n v="0"/>
    <n v="0"/>
    <n v="0"/>
    <m/>
    <d v="2025-08-31T00:00:00"/>
    <d v="2025-08-31T00:00:00"/>
    <m/>
    <m/>
    <m/>
    <n v="0"/>
    <m/>
    <x v="4"/>
    <s v="Credit"/>
    <s v="120 Days from Invoice Date"/>
    <x v="0"/>
  </r>
  <r>
    <s v="DCBWPM566639"/>
    <d v="2025-09-29T00:00:00"/>
    <s v="Hassan Taleb"/>
    <x v="0"/>
    <s v="MARIAM TRADING CO. &amp; PARTNER "/>
    <s v="MP1"/>
    <x v="0"/>
    <x v="6"/>
    <s v="SAR"/>
    <n v="1020088"/>
    <n v="550000"/>
    <n v="1"/>
    <n v="550000"/>
    <n v="550000"/>
    <n v="0"/>
    <n v="0"/>
    <n v="0"/>
    <n v="0"/>
    <m/>
    <d v="2025-12-31T00:00:00"/>
    <d v="2025-12-31T00:00:00"/>
    <m/>
    <m/>
    <m/>
    <n v="0"/>
    <m/>
    <x v="4"/>
    <s v="Credit"/>
    <s v="120 Days from Invoice Date"/>
    <x v="0"/>
  </r>
  <r>
    <s v="J209172"/>
    <d v="2024-09-16T00:00:00"/>
    <s v="Hassan Taleb"/>
    <x v="0"/>
    <s v="MARIAM TRADING COMPANY AND PARTNER"/>
    <s v="Opera House"/>
    <x v="0"/>
    <x v="0"/>
    <s v="SAR"/>
    <n v="1020055"/>
    <n v="897119.6"/>
    <n v="1"/>
    <n v="897119.6"/>
    <n v="897119.6"/>
    <n v="0"/>
    <n v="0"/>
    <n v="0"/>
    <n v="0"/>
    <m/>
    <d v="2024-11-30T00:00:00"/>
    <d v="2024-11-04T00:00:00"/>
    <m/>
    <m/>
    <m/>
    <n v="0"/>
    <m/>
    <x v="3"/>
    <s v="Credit"/>
    <s v="90 Days from Invoice Date"/>
    <x v="0"/>
  </r>
  <r>
    <s v="TF2322084298"/>
    <d v="2023-08-09T00:00:00"/>
    <m/>
    <x v="0"/>
    <s v="MARINETEK CONTRACTING LLC"/>
    <s v="KSP"/>
    <x v="2"/>
    <x v="20"/>
    <s v="AED"/>
    <m/>
    <n v="25282382.350000001"/>
    <n v="1.02"/>
    <n v="25788029.997000001"/>
    <n v="25352828.721135631"/>
    <n v="435201.28000000003"/>
    <n v="0"/>
    <n v="435201.28000000003"/>
    <n v="0"/>
    <m/>
    <d v="2024-01-31T00:00:00"/>
    <d v="2024-01-31T00:00:00"/>
    <m/>
    <m/>
    <m/>
    <n v="0"/>
    <m/>
    <x v="0"/>
    <s v="Credit"/>
    <m/>
    <x v="0"/>
  </r>
  <r>
    <s v="J209218"/>
    <d v="2024-09-19T00:00:00"/>
    <s v="Rabih Makhoul"/>
    <x v="0"/>
    <s v="MARINETEK CONTRACTING LLC"/>
    <s v="Opera House"/>
    <x v="15"/>
    <x v="21"/>
    <s v="AED"/>
    <n v="1020085"/>
    <n v="4205828.8"/>
    <n v="1.0287999999999999"/>
    <n v="4326956.6694399994"/>
    <n v="2990244.1374608562"/>
    <n v="1336712.53"/>
    <n v="0"/>
    <n v="1336712.53"/>
    <n v="0"/>
    <m/>
    <d v="2025-05-31T00:00:00"/>
    <d v="2025-03-04T00:00:00"/>
    <m/>
    <m/>
    <m/>
    <n v="0"/>
    <m/>
    <x v="3"/>
    <s v="Credit"/>
    <s v="Sight"/>
    <x v="0"/>
  </r>
  <r>
    <s v="J212386"/>
    <d v="2026-06-07T00:00:00"/>
    <s v="Matthew Mckernan"/>
    <x v="0"/>
    <s v="Martin Professional Information Technology Company"/>
    <s v="Opera House"/>
    <x v="4"/>
    <x v="10"/>
    <s v="SAR"/>
    <n v="1020097"/>
    <n v="5000000"/>
    <n v="1"/>
    <n v="5000000"/>
    <n v="0"/>
    <n v="5000000"/>
    <n v="0"/>
    <n v="5000000"/>
    <n v="0"/>
    <m/>
    <d v="2026-10-08T00:00:00"/>
    <d v="2026-10-08T00:00:00"/>
    <m/>
    <m/>
    <m/>
    <m/>
    <m/>
    <x v="3"/>
    <s v="Credit"/>
    <s v="60 Days from Invoice Date"/>
    <x v="1"/>
  </r>
  <r>
    <s v="J209957"/>
    <d v="2025-01-27T00:00:00"/>
    <s v="Rabih Makhoul"/>
    <x v="0"/>
    <s v="Masdar Technical Supplies"/>
    <s v="Opera House"/>
    <x v="0"/>
    <x v="5"/>
    <s v="SAR"/>
    <n v="1020100"/>
    <n v="400000"/>
    <n v="1"/>
    <n v="400000"/>
    <n v="400000"/>
    <n v="0"/>
    <n v="0"/>
    <n v="0"/>
    <n v="0"/>
    <m/>
    <d v="2025-04-30T00:00:00"/>
    <d v="2025-04-30T00:00:00"/>
    <m/>
    <m/>
    <m/>
    <n v="0"/>
    <m/>
    <x v="3"/>
    <s v="Credit"/>
    <s v="90 Days from Invoice Date"/>
    <x v="0"/>
  </r>
  <r>
    <s v="J209621"/>
    <d v="2024-12-08T00:00:00"/>
    <s v="Rabih Makhoul"/>
    <x v="0"/>
    <s v="Masdar Technical Supplies"/>
    <s v="Opera House"/>
    <x v="0"/>
    <x v="5"/>
    <s v="SAR"/>
    <n v="1020100"/>
    <n v="800000"/>
    <n v="1"/>
    <n v="800000"/>
    <n v="800000"/>
    <n v="0"/>
    <n v="0"/>
    <n v="0"/>
    <n v="0"/>
    <m/>
    <d v="2025-02-28T00:00:00"/>
    <d v="2025-02-28T00:00:00"/>
    <m/>
    <m/>
    <m/>
    <n v="0"/>
    <m/>
    <x v="3"/>
    <s v="Credit"/>
    <s v="90 Days from Invoice Date"/>
    <x v="0"/>
  </r>
  <r>
    <s v="TF2508300031"/>
    <d v="2025-03-23T00:00:00"/>
    <s v="Hassan Taleb"/>
    <x v="0"/>
    <s v="Masdar Technical Supplies Co"/>
    <s v="KSP"/>
    <x v="0"/>
    <x v="0"/>
    <s v="SAR"/>
    <n v="1020055"/>
    <n v="413173.15"/>
    <n v="1"/>
    <n v="413173.15"/>
    <n v="413173.15"/>
    <n v="0"/>
    <n v="0"/>
    <n v="0"/>
    <n v="0"/>
    <m/>
    <d v="2025-08-31T00:00:00"/>
    <d v="2025-08-31T00:00:00"/>
    <m/>
    <m/>
    <m/>
    <n v="0"/>
    <m/>
    <x v="0"/>
    <s v="Credit"/>
    <s v="90 Days from Invoice Date"/>
    <x v="0"/>
  </r>
  <r>
    <s v="DCBWPM562605"/>
    <d v="2025-07-24T00:00:00"/>
    <s v="Hassan Taleb"/>
    <x v="0"/>
    <s v="MASDAR TECHNICAL SUPPLIES CO"/>
    <s v="MP1"/>
    <x v="0"/>
    <x v="6"/>
    <s v="SAR"/>
    <n v="1020088"/>
    <n v="160462"/>
    <n v="1"/>
    <n v="160462"/>
    <n v="160462"/>
    <n v="0"/>
    <n v="0"/>
    <n v="0"/>
    <n v="0"/>
    <m/>
    <d v="2025-10-31T00:00:00"/>
    <d v="2025-10-31T00:00:00"/>
    <m/>
    <m/>
    <m/>
    <n v="0"/>
    <m/>
    <x v="4"/>
    <s v="Credit"/>
    <s v="120 Days from Invoice Date"/>
    <x v="0"/>
  </r>
  <r>
    <s v="TF2513500019"/>
    <d v="2025-05-15T00:00:00"/>
    <s v="Hassan Taleb"/>
    <x v="0"/>
    <s v="MASDAR TECHNICAL Supplies CO."/>
    <s v="KSP"/>
    <x v="0"/>
    <x v="0"/>
    <s v="SAR"/>
    <n v="1020055"/>
    <n v="353089.35"/>
    <n v="1"/>
    <n v="353089.35"/>
    <n v="249589.36"/>
    <n v="103499.99"/>
    <n v="0"/>
    <n v="103499.99"/>
    <n v="0"/>
    <m/>
    <d v="2026-05-15T00:00:00"/>
    <d v="2026-05-15T00:00:00"/>
    <m/>
    <m/>
    <m/>
    <n v="0"/>
    <m/>
    <x v="0"/>
    <s v="Credit"/>
    <s v="120 Days from Appl. Representative Sign"/>
    <x v="0"/>
  </r>
  <r>
    <s v="DCBWPM563936"/>
    <d v="2025-08-18T00:00:00"/>
    <s v="Hassan Taleb"/>
    <x v="0"/>
    <s v="Masdar Technical Supplies Co."/>
    <s v="MP1"/>
    <x v="0"/>
    <x v="6"/>
    <s v="SAR"/>
    <n v="1020088"/>
    <n v="200000"/>
    <n v="1"/>
    <n v="200000"/>
    <n v="200000"/>
    <n v="0"/>
    <n v="0"/>
    <n v="0"/>
    <n v="0"/>
    <m/>
    <d v="2025-11-30T00:00:00"/>
    <d v="2025-11-30T00:00:00"/>
    <m/>
    <m/>
    <m/>
    <n v="0"/>
    <m/>
    <x v="4"/>
    <s v="Credit"/>
    <s v="120 Days from Invoice Date"/>
    <x v="0"/>
  </r>
  <r>
    <s v="DCBWPM160364"/>
    <d v="2026-01-14T00:00:00"/>
    <s v="Hassan Taleb"/>
    <x v="0"/>
    <s v="Masdar Technical Supplies Co."/>
    <s v="MP1"/>
    <x v="0"/>
    <x v="6"/>
    <s v="SAR"/>
    <n v="1020088"/>
    <n v="500000"/>
    <n v="1"/>
    <n v="500000"/>
    <n v="0"/>
    <n v="500000"/>
    <n v="500000"/>
    <n v="0"/>
    <n v="0"/>
    <s v="30/08/2026"/>
    <d v="2026-06-30T00:00:00"/>
    <d v="2026-06-30T00:00:00"/>
    <m/>
    <m/>
    <m/>
    <n v="0"/>
    <m/>
    <x v="4"/>
    <s v="Credit"/>
    <s v="90 Days from Applicant representative sign on Invoice"/>
    <x v="1"/>
  </r>
  <r>
    <s v="DCBWPM163945"/>
    <d v="2026-04-06T00:00:00"/>
    <s v="Hassan Taleb"/>
    <x v="0"/>
    <s v="Masdar Technical Supplies Co."/>
    <s v="MP1"/>
    <x v="0"/>
    <x v="6"/>
    <s v="SAR"/>
    <n v="1020088"/>
    <n v="200000"/>
    <n v="1"/>
    <n v="200000"/>
    <n v="0"/>
    <n v="200000"/>
    <n v="200000"/>
    <n v="0"/>
    <n v="0"/>
    <s v="11/08/2026"/>
    <d v="2026-06-30T00:00:00"/>
    <d v="2026-06-30T00:00:00"/>
    <m/>
    <m/>
    <m/>
    <n v="0"/>
    <m/>
    <x v="4"/>
    <s v="Credit"/>
    <s v="90 Days from App Rep Sign on Invoice"/>
    <x v="1"/>
  </r>
  <r>
    <s v="DCBWPM166277"/>
    <d v="2026-06-04T00:00:00"/>
    <s v="Hassan Taleb"/>
    <x v="0"/>
    <s v="Masdar Technical Supplies Co."/>
    <s v="MP1"/>
    <x v="0"/>
    <x v="6"/>
    <s v="SAR"/>
    <n v="1020088"/>
    <n v="300000"/>
    <n v="1"/>
    <n v="300000"/>
    <n v="0"/>
    <n v="300000"/>
    <n v="0"/>
    <n v="300000"/>
    <n v="0"/>
    <m/>
    <d v="2026-08-31T00:00:00"/>
    <d v="2026-08-31T00:00:00"/>
    <m/>
    <m/>
    <m/>
    <n v="0"/>
    <m/>
    <x v="4"/>
    <s v="Credit"/>
    <s v="120 Days from Applicant representative sign on Invoice"/>
    <x v="1"/>
  </r>
  <r>
    <s v="DCBWPM563023"/>
    <d v="2025-07-31T00:00:00"/>
    <s v="Tareeq Telmasani"/>
    <x v="0"/>
    <s v="Masdar Technical Supplies Co. "/>
    <s v="CEER"/>
    <x v="0"/>
    <x v="3"/>
    <s v="SAR"/>
    <n v="1020091"/>
    <n v="1800000"/>
    <n v="1"/>
    <n v="1800000"/>
    <n v="1800000"/>
    <n v="0"/>
    <n v="0"/>
    <n v="0"/>
    <n v="0"/>
    <m/>
    <d v="2025-10-31T00:00:00"/>
    <d v="2025-10-31T00:00:00"/>
    <m/>
    <m/>
    <m/>
    <n v="0"/>
    <m/>
    <x v="4"/>
    <s v="Credit"/>
    <s v="90 Days from Appl. Representative Sign"/>
    <x v="0"/>
  </r>
  <r>
    <s v="TF2400788864"/>
    <d v="2024-01-08T00:00:00"/>
    <s v="Hassan Taleb"/>
    <x v="0"/>
    <s v="MASE CO"/>
    <s v="KSP"/>
    <x v="0"/>
    <x v="0"/>
    <s v="SAR"/>
    <n v="1020055"/>
    <n v="422050"/>
    <n v="1"/>
    <n v="422050"/>
    <n v="376050"/>
    <n v="46000"/>
    <n v="0"/>
    <n v="46000"/>
    <n v="0"/>
    <m/>
    <d v="2024-07-01T00:00:00"/>
    <d v="2024-07-01T00:00:00"/>
    <m/>
    <m/>
    <m/>
    <n v="0"/>
    <m/>
    <x v="0"/>
    <s v="Credit"/>
    <s v="90 Days from Delivery Date"/>
    <x v="0"/>
  </r>
  <r>
    <s v="DCBWPM558756"/>
    <d v="2025-06-02T00:00:00"/>
    <s v="Hassan Taleb"/>
    <x v="0"/>
    <s v="MASE GULF COMPANY"/>
    <s v="MP1"/>
    <x v="0"/>
    <x v="6"/>
    <s v="SAR"/>
    <n v="1020088"/>
    <n v="894240"/>
    <n v="1"/>
    <n v="894240"/>
    <n v="894240"/>
    <n v="0"/>
    <n v="0"/>
    <n v="0"/>
    <n v="0"/>
    <m/>
    <d v="2025-08-31T00:00:00"/>
    <d v="2025-08-31T00:00:00"/>
    <m/>
    <m/>
    <m/>
    <n v="0"/>
    <m/>
    <x v="4"/>
    <s v="Credit"/>
    <s v="120 Days from Invoice Date"/>
    <x v="0"/>
  </r>
  <r>
    <s v="DCBWPM160344"/>
    <d v="2026-01-15T00:00:00"/>
    <s v="Hassan Taleb"/>
    <x v="0"/>
    <s v="Mase Gulf Company"/>
    <s v="MP1"/>
    <x v="0"/>
    <x v="6"/>
    <s v="SAR"/>
    <n v="1020088"/>
    <n v="500000"/>
    <n v="1"/>
    <n v="500000"/>
    <n v="0"/>
    <n v="500000"/>
    <n v="0"/>
    <n v="500000"/>
    <n v="0"/>
    <m/>
    <d v="2026-06-30T00:00:00"/>
    <d v="2026-06-30T00:00:00"/>
    <m/>
    <m/>
    <m/>
    <n v="0"/>
    <m/>
    <x v="4"/>
    <s v="Credit"/>
    <s v="90 Days from Applicant representative sign on Invoice"/>
    <x v="1"/>
  </r>
  <r>
    <s v="DCBWPM562615"/>
    <d v="2025-07-24T00:00:00"/>
    <s v="Hassan Taleb"/>
    <x v="0"/>
    <s v="MASQ FOR ELECTRICAL TOOLS CO"/>
    <s v="MP1"/>
    <x v="0"/>
    <x v="6"/>
    <s v="SAR"/>
    <n v="1020088"/>
    <n v="2250000"/>
    <n v="1"/>
    <n v="2250000"/>
    <n v="2250000"/>
    <n v="0"/>
    <n v="0"/>
    <n v="0"/>
    <n v="0"/>
    <m/>
    <d v="2025-10-31T00:00:00"/>
    <d v="2025-10-31T00:00:00"/>
    <m/>
    <m/>
    <m/>
    <n v="0"/>
    <m/>
    <x v="4"/>
    <s v="Credit"/>
    <s v="120 Days from Invoice Date"/>
    <x v="0"/>
  </r>
  <r>
    <s v="DCBWPM563935"/>
    <d v="2025-08-18T00:00:00"/>
    <s v="Hassan Taleb"/>
    <x v="0"/>
    <s v="MASQ FOR ELECTRICAL TOOLS CO"/>
    <s v="MP1"/>
    <x v="0"/>
    <x v="6"/>
    <s v="SAR"/>
    <n v="1020088"/>
    <n v="700000"/>
    <n v="1"/>
    <n v="700000"/>
    <n v="700000"/>
    <n v="0"/>
    <n v="0"/>
    <n v="0"/>
    <n v="0"/>
    <m/>
    <d v="2025-11-30T00:00:00"/>
    <d v="2025-11-30T00:00:00"/>
    <m/>
    <m/>
    <m/>
    <n v="0"/>
    <m/>
    <x v="4"/>
    <s v="Credit"/>
    <s v="120 Days from Invoice Date"/>
    <x v="0"/>
  </r>
  <r>
    <s v="DCBWPM570839"/>
    <d v="2025-12-28T00:00:00"/>
    <s v="Hassan Taleb"/>
    <x v="0"/>
    <s v="MASQ FOR ELECTRICAL TOOLS CO"/>
    <s v="MP1"/>
    <x v="0"/>
    <x v="6"/>
    <s v="SAR"/>
    <n v="1020088"/>
    <n v="8790001.0999999996"/>
    <n v="1"/>
    <n v="8790001.0999999996"/>
    <n v="650518.46"/>
    <n v="8139482.6399999997"/>
    <n v="0"/>
    <n v="8139482.6399999997"/>
    <n v="3318117.9"/>
    <m/>
    <d v="2026-06-30T00:00:00"/>
    <d v="2026-06-30T00:00:00"/>
    <m/>
    <m/>
    <m/>
    <n v="0"/>
    <s v="to bank on 27-04 | Exp/ LDS 30-06"/>
    <x v="4"/>
    <s v="Credit"/>
    <s v="120 Days from Invoice Date"/>
    <x v="1"/>
  </r>
  <r>
    <s v="TF2431898512"/>
    <d v="2024-11-14T00:00:00"/>
    <s v="Rabih Makhoul"/>
    <x v="0"/>
    <s v="MASTTE - Moadon Advance Services Technology Company"/>
    <s v="KSP"/>
    <x v="2"/>
    <x v="14"/>
    <s v="SAR"/>
    <n v="1020060"/>
    <n v="1253500"/>
    <n v="1"/>
    <n v="1253500"/>
    <n v="1253500"/>
    <n v="0"/>
    <n v="0"/>
    <n v="0"/>
    <n v="0"/>
    <m/>
    <d v="2025-09-30T00:00:00"/>
    <d v="2025-04-10T00:00:00"/>
    <m/>
    <m/>
    <m/>
    <n v="0"/>
    <m/>
    <x v="0"/>
    <s v="Credit"/>
    <s v="45 Days from Invoice Date"/>
    <x v="0"/>
  </r>
  <r>
    <s v="JLC6901431_Cre"/>
    <d v="2025-09-04T00:00:00"/>
    <s v="Luis Puente"/>
    <x v="0"/>
    <s v="Mat Filtrasyon Teknolojeleri A.S"/>
    <s v="Oceanarium"/>
    <x v="2"/>
    <x v="7"/>
    <s v="SAR"/>
    <n v="1020096"/>
    <n v="25907203.759999998"/>
    <n v="1"/>
    <n v="25907203.759999998"/>
    <n v="16605181.220000001"/>
    <n v="9302022.5399999991"/>
    <n v="752616.68"/>
    <n v="8549405.8599999994"/>
    <n v="0"/>
    <s v="09/07/2026 , 02/07/2026"/>
    <d v="2026-10-15T00:00:00"/>
    <d v="2026-09-24T00:00:00"/>
    <m/>
    <m/>
    <m/>
    <n v="0"/>
    <m/>
    <x v="1"/>
    <s v="Credit"/>
    <s v="45 Days from Invoice Date"/>
    <x v="1"/>
  </r>
  <r>
    <s v="JLC6901431_Cash"/>
    <d v="2025-09-04T00:00:00"/>
    <s v="Luis Puente"/>
    <x v="0"/>
    <s v="Mat Filtrasyon Teknolojeleri A.S"/>
    <s v="Cash"/>
    <x v="2"/>
    <x v="7"/>
    <s v="SAR"/>
    <n v="1020096"/>
    <n v="4092796.2399999998"/>
    <n v="1"/>
    <n v="4092796.2399999998"/>
    <n v="4079312.29"/>
    <n v="13483.95"/>
    <n v="0"/>
    <n v="13483.95"/>
    <n v="0"/>
    <m/>
    <d v="2026-10-15T00:00:00"/>
    <d v="2026-09-24T00:00:00"/>
    <m/>
    <m/>
    <m/>
    <n v="0"/>
    <m/>
    <x v="1"/>
    <s v="Cash"/>
    <s v="45 Days from Invoice Date"/>
    <x v="1"/>
  </r>
  <r>
    <s v="JLC7000384"/>
    <d v="2026-03-24T00:00:00"/>
    <s v="Luis Puente"/>
    <x v="0"/>
    <s v="Mat Filtrasyon Teknolojeleri A.S"/>
    <s v="Oceanarium"/>
    <x v="2"/>
    <x v="7"/>
    <s v="SAR"/>
    <n v="1020096"/>
    <n v="17932603.559999999"/>
    <n v="1"/>
    <n v="17932603.559999999"/>
    <n v="4576500"/>
    <n v="13356103.560000001"/>
    <n v="735540"/>
    <n v="12620563.560000001"/>
    <n v="0"/>
    <s v="05/07/2026"/>
    <d v="2026-08-30T00:00:00"/>
    <d v="2026-08-09T00:00:00"/>
    <m/>
    <m/>
    <m/>
    <n v="0"/>
    <m/>
    <x v="1"/>
    <s v="Credit"/>
    <s v="Mixed Tenor - 60 / 45 / 21 Days from Invoice Date"/>
    <x v="1"/>
  </r>
  <r>
    <s v="DCBWPM554250"/>
    <d v="2025-03-17T00:00:00"/>
    <s v="Tareeq Telmasani"/>
    <x v="0"/>
    <s v="MATERIALS SYSTEMS AND INDUSTRIAL SOLUTIONS COMPANY"/>
    <s v="CEER"/>
    <x v="2"/>
    <x v="3"/>
    <s v="SAR"/>
    <n v="1020091"/>
    <n v="4859479.5600000005"/>
    <n v="1"/>
    <n v="4859479.5600000005"/>
    <n v="4245673.21"/>
    <n v="613806.35"/>
    <n v="0"/>
    <n v="613806.35"/>
    <n v="0"/>
    <m/>
    <d v="2025-10-04T00:00:00"/>
    <d v="2025-09-20T00:00:00"/>
    <m/>
    <m/>
    <m/>
    <n v="0"/>
    <m/>
    <x v="4"/>
    <s v="Credit"/>
    <s v="90 Days from Invoice Date"/>
    <x v="0"/>
  </r>
  <r>
    <s v="TF2508300028"/>
    <d v="2025-03-23T00:00:00"/>
    <s v="Hassan Taleb"/>
    <x v="0"/>
    <s v="MAWARID AISHAMELA TRADING CO."/>
    <s v="KSP"/>
    <x v="0"/>
    <x v="0"/>
    <s v="SAR"/>
    <n v="1020055"/>
    <n v="112626.99"/>
    <n v="1"/>
    <n v="112626.99"/>
    <n v="112626.99"/>
    <n v="0"/>
    <n v="0"/>
    <n v="0"/>
    <n v="0"/>
    <m/>
    <d v="2025-06-30T00:00:00"/>
    <d v="2025-06-30T00:00:00"/>
    <m/>
    <m/>
    <m/>
    <n v="0"/>
    <m/>
    <x v="0"/>
    <s v="Credit"/>
    <s v="90 Days from Invoice Date"/>
    <x v="0"/>
  </r>
  <r>
    <s v="TF2514700051"/>
    <d v="2025-05-27T00:00:00"/>
    <s v="Hassan Taleb"/>
    <x v="0"/>
    <s v="MAWARID AISHAMELA TRADING CO."/>
    <s v="KSP"/>
    <x v="0"/>
    <x v="0"/>
    <s v="SAR"/>
    <n v="1020055"/>
    <n v="73962.710000000006"/>
    <n v="1"/>
    <n v="73962.710000000006"/>
    <n v="73962.710000000006"/>
    <n v="0"/>
    <n v="0"/>
    <n v="0"/>
    <n v="0"/>
    <m/>
    <d v="2025-12-31T00:00:00"/>
    <d v="2025-12-31T00:00:00"/>
    <m/>
    <m/>
    <m/>
    <n v="0"/>
    <s v="to bank on 30-10 | EXP &amp; LDS 31-12"/>
    <x v="0"/>
    <s v="Credit"/>
    <s v="120 Days from Invoice Date"/>
    <x v="0"/>
  </r>
  <r>
    <s v="ILC-0840-25-7799"/>
    <d v="2025-06-03T00:00:00"/>
    <s v="Hassan Taleb"/>
    <x v="0"/>
    <s v="Metal and Glass Trading Co"/>
    <s v="RCRC"/>
    <x v="0"/>
    <x v="11"/>
    <s v="SAR"/>
    <n v="1020106"/>
    <n v="2000097.25"/>
    <n v="1"/>
    <n v="2000097.25"/>
    <n v="2000097.25"/>
    <n v="0"/>
    <n v="0"/>
    <n v="0"/>
    <n v="0"/>
    <m/>
    <d v="2026-02-28T00:00:00"/>
    <d v="2026-02-28T00:00:00"/>
    <m/>
    <m/>
    <m/>
    <n v="0"/>
    <m/>
    <x v="6"/>
    <s v="Credit"/>
    <s v="90 Days from Invoice Date"/>
    <x v="0"/>
  </r>
  <r>
    <m/>
    <d v="2026-06-22T00:00:00"/>
    <s v="Hassan Taleb"/>
    <x v="1"/>
    <s v="Metal and Glass Trading Co One Person"/>
    <s v="RCRC"/>
    <x v="0"/>
    <x v="11"/>
    <s v="SAR"/>
    <n v="1020106"/>
    <n v="3422137.8"/>
    <n v="1"/>
    <n v="3422137.8"/>
    <n v="0"/>
    <n v="3422137.8"/>
    <n v="0"/>
    <n v="3422137.8"/>
    <n v="0"/>
    <m/>
    <d v="2026-09-30T00:00:00"/>
    <d v="2026-09-30T00:00:00"/>
    <m/>
    <m/>
    <m/>
    <n v="0"/>
    <s v="to bank on 23-06"/>
    <x v="6"/>
    <s v="Credit"/>
    <s v="90 Days from Applicant representative sign on Invoice"/>
    <x v="1"/>
  </r>
  <r>
    <s v="DCBWPM510983"/>
    <d v="2024-07-04T00:00:00"/>
    <s v="Tareeq Telmasani"/>
    <x v="0"/>
    <s v="METALLURGICAL CORP OF CHINA (MCC)"/>
    <s v="CEER"/>
    <x v="2"/>
    <x v="3"/>
    <s v="SAR"/>
    <n v="1020091"/>
    <n v="583175399"/>
    <n v="1"/>
    <n v="583175399"/>
    <n v="576597366.8499999"/>
    <n v="6578032.1500000004"/>
    <n v="0"/>
    <n v="6578032.1500000004"/>
    <n v="0"/>
    <m/>
    <d v="2025-05-31T00:00:00"/>
    <d v="2025-05-31T00:00:00"/>
    <m/>
    <m/>
    <m/>
    <n v="0"/>
    <m/>
    <x v="4"/>
    <s v="Credit"/>
    <s v="14 Days after Sight"/>
    <x v="0"/>
  </r>
  <r>
    <s v="ILC-0840-25-8011"/>
    <d v="2025-07-24T00:00:00"/>
    <s v="AbdulAziz Eraiba Fawzi"/>
    <x v="0"/>
    <s v="Metten Al-Arabia Ltd Co (METARA)"/>
    <s v="RCRC"/>
    <x v="2"/>
    <x v="11"/>
    <s v="SAR"/>
    <n v="1020106"/>
    <n v="12956001.199999999"/>
    <n v="1"/>
    <n v="12956001.199999999"/>
    <n v="1509410.02"/>
    <n v="11446591.18"/>
    <n v="0"/>
    <n v="11446591.18"/>
    <n v="0"/>
    <m/>
    <d v="2026-06-30T00:00:00"/>
    <d v="2026-06-30T00:00:00"/>
    <m/>
    <m/>
    <m/>
    <n v="0"/>
    <m/>
    <x v="6"/>
    <s v="Credit"/>
    <s v="60 Days from Invoice Date"/>
    <x v="1"/>
  </r>
  <r>
    <s v="DCBWPM558787"/>
    <d v="2025-06-02T00:00:00"/>
    <s v="Hassan Taleb"/>
    <x v="0"/>
    <s v="Mimar for Construction Tools &amp; Tradina Ltd."/>
    <s v="MP1"/>
    <x v="0"/>
    <x v="6"/>
    <s v="SAR"/>
    <n v="1020088"/>
    <n v="700000"/>
    <n v="1"/>
    <n v="700000"/>
    <n v="667529.19999999995"/>
    <n v="32470.799999999999"/>
    <n v="0"/>
    <n v="32470.799999999999"/>
    <n v="0"/>
    <m/>
    <d v="2025-12-31T00:00:00"/>
    <d v="2025-12-31T00:00:00"/>
    <m/>
    <m/>
    <m/>
    <n v="0"/>
    <m/>
    <x v="4"/>
    <s v="Credit"/>
    <s v="120 Days from Invoice Date"/>
    <x v="0"/>
  </r>
  <r>
    <s v="DCBWPM565846"/>
    <d v="2025-09-14T00:00:00"/>
    <s v="Hassan Taleb"/>
    <x v="0"/>
    <s v="Mimar For Construction Tools &amp; Trading Ltd."/>
    <s v="MP1"/>
    <x v="0"/>
    <x v="6"/>
    <s v="SAR"/>
    <n v="1020088"/>
    <n v="1200000"/>
    <n v="1"/>
    <n v="1200000"/>
    <n v="1200000"/>
    <n v="0"/>
    <n v="0"/>
    <n v="0"/>
    <n v="0"/>
    <m/>
    <d v="2026-02-28T00:00:00"/>
    <d v="2026-02-28T00:00:00"/>
    <m/>
    <m/>
    <m/>
    <n v="0"/>
    <m/>
    <x v="4"/>
    <s v="Credit"/>
    <s v="120 Days from Invoice Date"/>
    <x v="0"/>
  </r>
  <r>
    <s v="DCBWPM160355"/>
    <d v="2026-01-15T00:00:00"/>
    <s v="Hassan Taleb"/>
    <x v="0"/>
    <s v="Mimar for Construction Tools &amp; Trading Ltd."/>
    <s v="MP1"/>
    <x v="0"/>
    <x v="6"/>
    <s v="SAR"/>
    <n v="1020088"/>
    <n v="900000"/>
    <n v="1"/>
    <n v="900000"/>
    <n v="0"/>
    <n v="900000"/>
    <n v="900000"/>
    <n v="0"/>
    <n v="0"/>
    <s v="02/08/2026"/>
    <d v="2026-06-30T00:00:00"/>
    <d v="2026-06-30T00:00:00"/>
    <m/>
    <m/>
    <m/>
    <n v="0"/>
    <m/>
    <x v="4"/>
    <s v="Credit"/>
    <s v="90 Days from Applicant representative sign on Invoice"/>
    <x v="1"/>
  </r>
  <r>
    <s v="DCBWPM553897"/>
    <d v="2025-03-10T00:00:00"/>
    <s v="Hassan Taleb"/>
    <x v="0"/>
    <s v="Mimar For Construction Tools And Trading Ltd"/>
    <s v="MP1"/>
    <x v="0"/>
    <x v="6"/>
    <s v="SAR"/>
    <n v="1020088"/>
    <n v="500000"/>
    <n v="1"/>
    <n v="500000"/>
    <n v="500000"/>
    <n v="0"/>
    <n v="0"/>
    <n v="0"/>
    <n v="0"/>
    <m/>
    <d v="2025-10-31T00:00:00"/>
    <d v="2025-10-31T00:00:00"/>
    <m/>
    <m/>
    <m/>
    <n v="0"/>
    <m/>
    <x v="4"/>
    <s v="Credit"/>
    <s v="90 Days from Invoice Date"/>
    <x v="0"/>
  </r>
  <r>
    <s v="DCBWPM162995"/>
    <d v="2026-03-05T00:00:00"/>
    <s v="Hassan Taleb"/>
    <x v="0"/>
    <s v="Mimar For Construction Tools and Trading Ltd."/>
    <s v="MP1"/>
    <x v="0"/>
    <x v="6"/>
    <s v="SAR"/>
    <n v="1020088"/>
    <n v="398652.54"/>
    <n v="1"/>
    <n v="398652.54"/>
    <n v="0"/>
    <n v="398652.54"/>
    <n v="0"/>
    <n v="398652.54"/>
    <n v="0"/>
    <m/>
    <d v="2026-08-31T00:00:00"/>
    <d v="2026-08-31T00:00:00"/>
    <m/>
    <m/>
    <m/>
    <n v="0"/>
    <m/>
    <x v="4"/>
    <s v="Credit"/>
    <s v="90 Days from Applicant representative sign on Invoice"/>
    <x v="1"/>
  </r>
  <r>
    <s v="TF2514700052"/>
    <d v="2025-05-27T00:00:00"/>
    <s v="Hassan Taleb"/>
    <x v="0"/>
    <s v="MODERN AL BONYAN CAPITAL COMPANY LIMITED"/>
    <s v="KSP"/>
    <x v="0"/>
    <x v="0"/>
    <s v="SAR"/>
    <n v="1020055"/>
    <n v="300000"/>
    <n v="1"/>
    <n v="300000"/>
    <n v="300000"/>
    <n v="0"/>
    <n v="0"/>
    <n v="0"/>
    <n v="0"/>
    <m/>
    <d v="2025-08-31T00:00:00"/>
    <d v="2025-08-31T00:00:00"/>
    <m/>
    <m/>
    <m/>
    <n v="0"/>
    <m/>
    <x v="0"/>
    <s v="Credit"/>
    <s v="120 Days from Invoice Date"/>
    <x v="0"/>
  </r>
  <r>
    <s v="TF2502300023"/>
    <d v="2025-01-23T00:00:00"/>
    <s v="Hassan Taleb"/>
    <x v="0"/>
    <s v="MODERN HOUSING CONTRACTING CO."/>
    <s v="KSP"/>
    <x v="0"/>
    <x v="0"/>
    <s v="SAR"/>
    <n v="1020055"/>
    <n v="400000"/>
    <n v="1"/>
    <n v="400000"/>
    <n v="400000"/>
    <n v="0"/>
    <n v="0"/>
    <n v="0"/>
    <n v="0"/>
    <m/>
    <d v="2025-04-30T00:00:00"/>
    <d v="2025-04-30T00:00:00"/>
    <m/>
    <m/>
    <m/>
    <n v="0"/>
    <m/>
    <x v="0"/>
    <s v="Credit"/>
    <s v="90 Days from Invoice Date"/>
    <x v="0"/>
  </r>
  <r>
    <s v="TF2513500031"/>
    <d v="2025-05-15T00:00:00"/>
    <s v="Hassan Taleb"/>
    <x v="0"/>
    <s v="MODERN HOUSING CONTRACTING CO."/>
    <s v="KSP"/>
    <x v="0"/>
    <x v="0"/>
    <s v="SAR"/>
    <n v="1020055"/>
    <n v="254390"/>
    <n v="1"/>
    <n v="254390"/>
    <n v="254390"/>
    <n v="0"/>
    <n v="0"/>
    <n v="0"/>
    <n v="0"/>
    <m/>
    <d v="2025-10-31T00:00:00"/>
    <d v="2025-10-31T00:00:00"/>
    <m/>
    <m/>
    <m/>
    <n v="0"/>
    <s v="to bank on 08-09 | EXP &amp; LDS 31-10"/>
    <x v="0"/>
    <s v="Credit"/>
    <s v="120 Days from Invoice Date"/>
    <x v="0"/>
  </r>
  <r>
    <s v="TF2400188729"/>
    <d v="2024-01-01T00:00:00"/>
    <s v="Hassan Taleb"/>
    <x v="0"/>
    <s v="MODERN TIMES "/>
    <s v="KSP"/>
    <x v="0"/>
    <x v="0"/>
    <s v="SAR"/>
    <n v="1020055"/>
    <n v="2846250"/>
    <n v="1"/>
    <n v="2846250"/>
    <n v="2277000"/>
    <n v="569250"/>
    <n v="0"/>
    <n v="569250"/>
    <n v="0"/>
    <m/>
    <d v="2025-01-31T00:00:00"/>
    <d v="2025-01-10T00:00:00"/>
    <m/>
    <m/>
    <m/>
    <n v="0"/>
    <m/>
    <x v="0"/>
    <s v="Credit"/>
    <s v="45 Days from Delivery Date"/>
    <x v="0"/>
  </r>
  <r>
    <s v="DCBWPM563229"/>
    <d v="2025-08-05T00:00:00"/>
    <s v="Tareeq Telmasani"/>
    <x v="0"/>
    <s v="Modern Times Technical System Co"/>
    <s v="CEER"/>
    <x v="0"/>
    <x v="3"/>
    <s v="SAR"/>
    <n v="1020091"/>
    <n v="1400000"/>
    <n v="1"/>
    <n v="1400000"/>
    <n v="1400000"/>
    <n v="0"/>
    <n v="0"/>
    <n v="0"/>
    <n v="0"/>
    <m/>
    <d v="2025-10-31T00:00:00"/>
    <d v="2025-10-31T00:00:00"/>
    <m/>
    <m/>
    <m/>
    <n v="0"/>
    <m/>
    <x v="4"/>
    <s v="Credit"/>
    <s v="90 Days from Appl. Representative Sign"/>
    <x v="0"/>
  </r>
  <r>
    <s v="TF2513500029"/>
    <d v="2025-05-15T00:00:00"/>
    <s v="Hassan Taleb"/>
    <x v="0"/>
    <s v="MODON ADVANCE SERVICES TECH CO (MASTTE)"/>
    <s v="KSP"/>
    <x v="0"/>
    <x v="0"/>
    <s v="SAR"/>
    <n v="1020055"/>
    <n v="365762.69"/>
    <n v="1"/>
    <n v="365762.69"/>
    <n v="365762.69"/>
    <n v="0"/>
    <n v="0"/>
    <n v="0"/>
    <n v="0"/>
    <m/>
    <d v="2025-08-31T00:00:00"/>
    <d v="2025-08-31T00:00:00"/>
    <m/>
    <m/>
    <m/>
    <n v="0"/>
    <m/>
    <x v="0"/>
    <s v="Credit"/>
    <s v="120 Days from Invoice Date"/>
    <x v="0"/>
  </r>
  <r>
    <s v="DCBWPM563059"/>
    <d v="2025-08-03T00:00:00"/>
    <s v="Tareeq Telmasani"/>
    <x v="0"/>
    <s v="MODON ADVANCE SERVICES TECH CO."/>
    <s v="CEER"/>
    <x v="0"/>
    <x v="3"/>
    <s v="SAR"/>
    <n v="1020091"/>
    <n v="273781"/>
    <n v="1"/>
    <n v="273781"/>
    <n v="273781"/>
    <n v="0"/>
    <n v="0"/>
    <n v="0"/>
    <n v="0"/>
    <m/>
    <d v="2025-10-31T00:00:00"/>
    <d v="2025-10-31T00:00:00"/>
    <m/>
    <m/>
    <m/>
    <n v="0"/>
    <m/>
    <x v="4"/>
    <s v="Credit"/>
    <s v="90 Days from Appl. Representative Sign"/>
    <x v="0"/>
  </r>
  <r>
    <s v="DCBWPM555709"/>
    <d v="2025-04-13T00:00:00"/>
    <s v="Hassan Taleb"/>
    <x v="0"/>
    <s v="MOHAMAD SAEED AFIFI TRADING EST."/>
    <s v="MP1"/>
    <x v="0"/>
    <x v="6"/>
    <s v="SAR"/>
    <n v="1020088"/>
    <n v="475009.53"/>
    <n v="1"/>
    <n v="475009.53"/>
    <n v="475009.52"/>
    <n v="0.01"/>
    <n v="0"/>
    <n v="0.01"/>
    <n v="0"/>
    <m/>
    <d v="2025-06-30T00:00:00"/>
    <d v="2025-06-30T00:00:00"/>
    <m/>
    <m/>
    <m/>
    <n v="0"/>
    <m/>
    <x v="4"/>
    <s v="Credit"/>
    <s v="90 Days from Invoice Date"/>
    <x v="0"/>
  </r>
  <r>
    <s v="DCBWPM570414"/>
    <d v="2025-12-03T00:00:00"/>
    <s v="Hassan Taleb"/>
    <x v="0"/>
    <s v="Mohamad Saeed Afifi Trading Est."/>
    <s v="MP1"/>
    <x v="0"/>
    <x v="6"/>
    <s v="SAR"/>
    <n v="1020088"/>
    <n v="1900037.67"/>
    <n v="1"/>
    <n v="1900037.67"/>
    <n v="1900037.67"/>
    <n v="0"/>
    <n v="0"/>
    <n v="0"/>
    <n v="0"/>
    <m/>
    <d v="2026-02-28T00:00:00"/>
    <d v="2026-02-28T00:00:00"/>
    <m/>
    <m/>
    <m/>
    <n v="0"/>
    <m/>
    <x v="4"/>
    <s v="Credit"/>
    <s v="120 Days from Invoice Date"/>
    <x v="0"/>
  </r>
  <r>
    <s v="DCBWPM163957"/>
    <d v="2026-04-06T00:00:00"/>
    <s v="Hassan Taleb"/>
    <x v="0"/>
    <s v="Mohamad Saeed Afifi Trading Est."/>
    <s v="MP1"/>
    <x v="0"/>
    <x v="6"/>
    <s v="SAR"/>
    <n v="1020088"/>
    <n v="450000"/>
    <n v="1"/>
    <n v="450000"/>
    <n v="0"/>
    <n v="450000"/>
    <n v="312768.11"/>
    <n v="137231.89000000001"/>
    <n v="0"/>
    <s v="19/07/2026"/>
    <d v="2026-06-30T00:00:00"/>
    <d v="2026-06-30T00:00:00"/>
    <m/>
    <m/>
    <m/>
    <n v="0"/>
    <m/>
    <x v="4"/>
    <s v="Credit"/>
    <s v="90 Days from App Rep Sign on Invoice"/>
    <x v="1"/>
  </r>
  <r>
    <s v="TF2324184991"/>
    <d v="2023-08-29T00:00:00"/>
    <s v="Hassan Taleb"/>
    <x v="0"/>
    <s v="MOHAMMAD SALEH BAHARETH CO."/>
    <s v="KSP"/>
    <x v="0"/>
    <x v="0"/>
    <s v="SAR"/>
    <n v="1020055"/>
    <n v="500000"/>
    <n v="1"/>
    <n v="500000"/>
    <n v="500000"/>
    <n v="0"/>
    <n v="0"/>
    <n v="0"/>
    <n v="0"/>
    <m/>
    <d v="2023-11-30T00:00:00"/>
    <d v="2023-11-30T00:00:00"/>
    <m/>
    <m/>
    <m/>
    <n v="0"/>
    <m/>
    <x v="0"/>
    <s v="Credit"/>
    <s v="60 Days from Delivery Date"/>
    <x v="0"/>
  </r>
  <r>
    <s v="TF2531600056"/>
    <d v="2025-11-12T00:00:00"/>
    <s v="Hassan Taleb"/>
    <x v="0"/>
    <s v="Mohammad Saleh Bahareth co."/>
    <s v="KSP"/>
    <x v="0"/>
    <x v="0"/>
    <s v="SAR"/>
    <n v="1020055"/>
    <n v="565057.47"/>
    <n v="1"/>
    <n v="565057.47"/>
    <n v="332244.19"/>
    <n v="232813.28"/>
    <n v="0"/>
    <n v="232813.28"/>
    <n v="0"/>
    <m/>
    <d v="2026-06-30T00:00:00"/>
    <d v="2026-06-30T00:00:00"/>
    <m/>
    <m/>
    <m/>
    <n v="0"/>
    <m/>
    <x v="0"/>
    <s v="Credit"/>
    <s v="90 Days from Applicant representative sign on Invoice"/>
    <x v="1"/>
  </r>
  <r>
    <s v="J210944"/>
    <d v="2025-07-29T00:00:00"/>
    <s v="Rabih Makhoul"/>
    <x v="0"/>
    <s v="Mohammed A. Al-Awani Trading"/>
    <s v="Opera House"/>
    <x v="2"/>
    <x v="8"/>
    <s v="SAR"/>
    <n v="1020107"/>
    <n v="2826301.05"/>
    <n v="1"/>
    <n v="2826301.05"/>
    <n v="1261168.18"/>
    <n v="1565132.87"/>
    <n v="0"/>
    <n v="1565132.87"/>
    <n v="0"/>
    <m/>
    <d v="2026-07-31T00:00:00"/>
    <d v="2026-07-31T00:00:00"/>
    <m/>
    <m/>
    <m/>
    <n v="0"/>
    <m/>
    <x v="3"/>
    <s v="Credit"/>
    <s v="45 Days from the Invoice Date"/>
    <x v="1"/>
  </r>
  <r>
    <s v="JLC6901466"/>
    <d v="2025-08-19T00:00:00"/>
    <s v="Muhammed Khan"/>
    <x v="0"/>
    <s v="Mohammed hamad Bin Dakhil EST.For Contracting"/>
    <s v="Cash"/>
    <x v="1"/>
    <x v="1"/>
    <s v="SAR"/>
    <m/>
    <n v="355517.15"/>
    <n v="1"/>
    <n v="355517.15"/>
    <n v="355517.15"/>
    <n v="0"/>
    <n v="0"/>
    <n v="0"/>
    <n v="0"/>
    <m/>
    <d v="2025-09-30T00:00:00"/>
    <d v="2025-09-15T00:00:00"/>
    <m/>
    <m/>
    <m/>
    <m/>
    <m/>
    <x v="1"/>
    <s v="Cash"/>
    <s v="Sight"/>
    <x v="0"/>
  </r>
  <r>
    <s v="J209318"/>
    <d v="2024-10-07T00:00:00"/>
    <m/>
    <x v="0"/>
    <s v="MOHAMMED KHALAF ALANIZI EST FOR CONTRACTING"/>
    <s v="Opera House"/>
    <x v="0"/>
    <x v="19"/>
    <s v="SAR"/>
    <m/>
    <n v="1978910.18"/>
    <n v="1"/>
    <n v="1978910.18"/>
    <n v="1978910.18"/>
    <n v="0"/>
    <n v="0"/>
    <n v="0"/>
    <n v="0"/>
    <m/>
    <d v="2024-12-31T00:00:00"/>
    <d v="2024-12-04T00:00:00"/>
    <m/>
    <m/>
    <m/>
    <n v="0"/>
    <m/>
    <x v="3"/>
    <s v="Credit"/>
    <s v="90 Days from Invoice Date"/>
    <x v="0"/>
  </r>
  <r>
    <s v="ILC-0840-26-8823"/>
    <d v="2026-01-11T00:00:00"/>
    <s v="Hassan Taleb"/>
    <x v="0"/>
    <s v="Mohammed Masoud Al Khaldi Est"/>
    <s v="RCRC"/>
    <x v="0"/>
    <x v="11"/>
    <s v="SAR"/>
    <n v="1020106"/>
    <n v="424699.6"/>
    <n v="1"/>
    <n v="424699.6"/>
    <n v="212349.8"/>
    <n v="212349.8"/>
    <n v="0"/>
    <n v="212349.8"/>
    <n v="0"/>
    <m/>
    <d v="2026-08-31T00:00:00"/>
    <d v="2026-08-31T00:00:00"/>
    <m/>
    <m/>
    <m/>
    <n v="0"/>
    <m/>
    <x v="6"/>
    <s v="Credit"/>
    <s v="90 Days from Applicant representative sign on Invoice"/>
    <x v="1"/>
  </r>
  <r>
    <s v="TF2508300029"/>
    <d v="2025-03-23T00:00:00"/>
    <s v="Hassan Taleb"/>
    <x v="0"/>
    <s v="MOHAMMED MASOUD AL-KHALDI EST"/>
    <s v="KSP"/>
    <x v="0"/>
    <x v="0"/>
    <s v="SAR"/>
    <n v="1020055"/>
    <n v="274309.5"/>
    <n v="1"/>
    <n v="274309.5"/>
    <n v="274309.5"/>
    <n v="0"/>
    <n v="0"/>
    <n v="0"/>
    <n v="0"/>
    <m/>
    <d v="2025-08-31T00:00:00"/>
    <d v="2025-08-31T00:00:00"/>
    <m/>
    <m/>
    <m/>
    <n v="0"/>
    <m/>
    <x v="0"/>
    <s v="Credit"/>
    <s v="90 Days from Invoice Date"/>
    <x v="0"/>
  </r>
  <r>
    <s v="ILC-0840-25-7984"/>
    <d v="2025-07-17T00:00:00"/>
    <s v="Hassan Taleb"/>
    <x v="0"/>
    <s v="Mohammed Ramadan Shat"/>
    <s v="RCRC"/>
    <x v="0"/>
    <x v="11"/>
    <s v="SAR"/>
    <n v="1020106"/>
    <n v="100383.5"/>
    <n v="1"/>
    <n v="100383.5"/>
    <n v="89826.5"/>
    <n v="10557"/>
    <n v="0"/>
    <n v="10557"/>
    <n v="0"/>
    <m/>
    <d v="2026-04-30T00:00:00"/>
    <d v="2026-04-30T00:00:00"/>
    <m/>
    <m/>
    <m/>
    <n v="0"/>
    <m/>
    <x v="6"/>
    <s v="Credit"/>
    <s v="90 Days from Invoice Date"/>
    <x v="0"/>
  </r>
  <r>
    <s v="ILC-0840-25-8164"/>
    <d v="2025-08-26T00:00:00"/>
    <s v="Hassan Taleb"/>
    <x v="0"/>
    <s v="Mohammed Ramadan Shat Factory"/>
    <s v="RCRC"/>
    <x v="0"/>
    <x v="11"/>
    <s v="SAR"/>
    <n v="1020106"/>
    <n v="501144.18"/>
    <n v="1"/>
    <n v="501144.18"/>
    <n v="42591.07"/>
    <n v="458553.11"/>
    <n v="199393.9"/>
    <n v="259159.21"/>
    <n v="0"/>
    <s v="07/07/2026"/>
    <d v="2026-08-31T00:00:00"/>
    <d v="2026-08-31T00:00:00"/>
    <m/>
    <m/>
    <m/>
    <n v="0"/>
    <m/>
    <x v="6"/>
    <s v="Credit"/>
    <s v="90 Days from Invoice Date"/>
    <x v="1"/>
  </r>
  <r>
    <s v="ILC-0840-25-7264"/>
    <d v="2025-02-10T00:00:00"/>
    <s v="Hassan Taleb"/>
    <x v="0"/>
    <s v="MOHAMMED RAMADAN SHAT FACTORY FOR METAL"/>
    <s v="RCRC"/>
    <x v="0"/>
    <x v="11"/>
    <s v="SAR"/>
    <n v="1020106"/>
    <n v="1112374.18"/>
    <n v="1"/>
    <n v="1112374.18"/>
    <n v="1112374.18"/>
    <n v="0"/>
    <n v="0"/>
    <n v="0"/>
    <n v="0"/>
    <m/>
    <d v="2025-10-31T00:00:00"/>
    <d v="2025-10-31T00:00:00"/>
    <m/>
    <m/>
    <m/>
    <n v="0"/>
    <m/>
    <x v="6"/>
    <s v="Credit"/>
    <s v="90 Days from Invoice Date"/>
    <x v="0"/>
  </r>
  <r>
    <s v="ILC-0840-25-7570"/>
    <d v="2025-04-28T00:00:00"/>
    <s v="Hassan Taleb"/>
    <x v="0"/>
    <s v="MOHAMMED RAMADAN SHAT FACTORY FOR METAL INDUSTRIES"/>
    <s v="RCRC"/>
    <x v="0"/>
    <x v="11"/>
    <s v="SAR"/>
    <n v="1020106"/>
    <n v="284688.25"/>
    <n v="1"/>
    <n v="284688.25"/>
    <n v="284688.25"/>
    <n v="0"/>
    <n v="0"/>
    <n v="0"/>
    <n v="0"/>
    <m/>
    <d v="2025-12-31T00:00:00"/>
    <d v="2025-12-31T00:00:00"/>
    <m/>
    <m/>
    <m/>
    <m/>
    <s v="to bank on 05-10 | EXP &amp; LDS - 31-12-25"/>
    <x v="6"/>
    <s v="Credit"/>
    <s v="90 Days from Invoice Date"/>
    <x v="0"/>
  </r>
  <r>
    <s v="TF2502300039"/>
    <d v="2025-01-23T00:00:00"/>
    <s v="Hassan Taleb"/>
    <x v="0"/>
    <s v="MUDN DISTRINGUISHED ADVANCE CO"/>
    <s v="KSP"/>
    <x v="0"/>
    <x v="0"/>
    <s v="SAR"/>
    <n v="1020055"/>
    <n v="1458479.28"/>
    <n v="1"/>
    <n v="1458479.28"/>
    <n v="1458479.28"/>
    <n v="0"/>
    <n v="0"/>
    <n v="0"/>
    <n v="0"/>
    <m/>
    <d v="2025-04-30T00:00:00"/>
    <d v="2025-04-30T00:00:00"/>
    <m/>
    <m/>
    <m/>
    <n v="0"/>
    <m/>
    <x v="0"/>
    <s v="Credit"/>
    <s v="90 Days from Invoice Date"/>
    <x v="0"/>
  </r>
  <r>
    <s v="TF2315082508"/>
    <d v="2023-05-18T00:00:00"/>
    <s v="Bassam Marawie"/>
    <x v="0"/>
    <s v="MULTI LIGHTS EST."/>
    <s v="KSP"/>
    <x v="0"/>
    <x v="13"/>
    <s v="SAR"/>
    <n v="1020052"/>
    <n v="947915.1"/>
    <n v="1"/>
    <n v="947915.1"/>
    <n v="447358.06"/>
    <n v="500557.04"/>
    <n v="0"/>
    <n v="500557.04"/>
    <n v="0"/>
    <m/>
    <d v="2024-05-25T00:00:00"/>
    <d v="2024-05-25T00:00:00"/>
    <m/>
    <m/>
    <m/>
    <n v="0"/>
    <m/>
    <x v="0"/>
    <s v="Credit"/>
    <m/>
    <x v="0"/>
  </r>
  <r>
    <s v="DCBWPM164211"/>
    <d v="2026-04-12T00:00:00"/>
    <s v="Hassan Taleb"/>
    <x v="0"/>
    <s v="Mushal Khalf Hijri For Contracting"/>
    <s v="MP1"/>
    <x v="0"/>
    <x v="6"/>
    <s v="SAR"/>
    <n v="1020088"/>
    <n v="175000"/>
    <n v="1"/>
    <n v="175000"/>
    <n v="0"/>
    <n v="175000"/>
    <n v="0"/>
    <n v="175000"/>
    <n v="175000"/>
    <m/>
    <d v="2026-06-30T00:00:00"/>
    <d v="2026-06-30T00:00:00"/>
    <m/>
    <m/>
    <m/>
    <n v="0"/>
    <m/>
    <x v="4"/>
    <s v="Credit"/>
    <s v="90 Days from App Rep Sign on Invoice"/>
    <x v="1"/>
  </r>
  <r>
    <s v="TF2514700037"/>
    <d v="2025-05-27T00:00:00"/>
    <s v="Hassan Taleb"/>
    <x v="0"/>
    <s v="NAJM AL FALAK TRADING CO."/>
    <s v="KSP"/>
    <x v="0"/>
    <x v="0"/>
    <s v="SAR"/>
    <n v="1020055"/>
    <n v="250000"/>
    <n v="1"/>
    <n v="250000"/>
    <n v="250000"/>
    <n v="0"/>
    <n v="0"/>
    <n v="0"/>
    <n v="0"/>
    <m/>
    <d v="2026-02-28T00:00:00"/>
    <d v="2026-02-28T00:00:00"/>
    <m/>
    <m/>
    <m/>
    <n v="0"/>
    <m/>
    <x v="0"/>
    <s v="Credit"/>
    <s v="120 Days from Appl. Representative Sign"/>
    <x v="0"/>
  </r>
  <r>
    <s v="JLC6901467"/>
    <d v="2025-08-14T00:00:00"/>
    <s v="Muhammed Khan"/>
    <x v="0"/>
    <s v="Naseej Uniforms Co."/>
    <s v="Cash"/>
    <x v="1"/>
    <x v="1"/>
    <s v="SAR"/>
    <m/>
    <n v="435085.25"/>
    <n v="1"/>
    <n v="435085.25"/>
    <n v="435085.25"/>
    <n v="0"/>
    <n v="0"/>
    <n v="0"/>
    <n v="0"/>
    <m/>
    <d v="2025-09-30T00:00:00"/>
    <d v="2025-09-15T00:00:00"/>
    <m/>
    <m/>
    <m/>
    <m/>
    <m/>
    <x v="1"/>
    <s v="Cash"/>
    <s v="Sight"/>
    <x v="0"/>
  </r>
  <r>
    <s v="TF2421494832"/>
    <d v="2024-08-01T00:00:00"/>
    <s v="Hassan Taleb"/>
    <x v="0"/>
    <s v="NATIONAL EST. CO. LTD"/>
    <s v="KSP"/>
    <x v="0"/>
    <x v="0"/>
    <s v="SAR"/>
    <n v="1020055"/>
    <n v="539552.68999999994"/>
    <n v="1"/>
    <n v="539552.68999999994"/>
    <n v="539552.68999999994"/>
    <n v="0"/>
    <n v="0"/>
    <n v="0"/>
    <n v="0"/>
    <m/>
    <d v="2024-10-31T00:00:00"/>
    <d v="2024-10-31T00:00:00"/>
    <m/>
    <m/>
    <m/>
    <n v="0"/>
    <m/>
    <x v="0"/>
    <s v="Credit"/>
    <m/>
    <x v="0"/>
  </r>
  <r>
    <s v="DCBWPM563228"/>
    <d v="2025-08-05T00:00:00"/>
    <s v="Tareeq Telmasani"/>
    <x v="0"/>
    <s v="National Fire Fighting Manufacturing"/>
    <s v="CEER"/>
    <x v="0"/>
    <x v="3"/>
    <s v="SAR"/>
    <n v="1020091"/>
    <n v="4782000"/>
    <n v="1"/>
    <n v="4782000"/>
    <n v="4782000"/>
    <n v="0"/>
    <n v="0"/>
    <n v="0"/>
    <n v="0"/>
    <m/>
    <d v="2025-10-31T00:00:00"/>
    <d v="2025-10-31T00:00:00"/>
    <m/>
    <m/>
    <m/>
    <n v="0"/>
    <m/>
    <x v="4"/>
    <s v="Credit"/>
    <s v="120 Days from Appl. Representative Sign"/>
    <x v="0"/>
  </r>
  <r>
    <s v="DCBWPM163967"/>
    <d v="2026-04-06T00:00:00"/>
    <s v="Hassan Taleb"/>
    <x v="0"/>
    <s v="National Fire Fighting Manufacturing Fzco Br."/>
    <s v="MP1"/>
    <x v="0"/>
    <x v="6"/>
    <s v="SAR"/>
    <n v="1020088"/>
    <n v="500000"/>
    <n v="1"/>
    <n v="500000"/>
    <n v="0"/>
    <n v="500000"/>
    <n v="500000"/>
    <n v="0"/>
    <n v="0"/>
    <s v="14/07/2026"/>
    <d v="2026-06-30T00:00:00"/>
    <d v="2026-06-30T00:00:00"/>
    <m/>
    <m/>
    <m/>
    <n v="0"/>
    <m/>
    <x v="4"/>
    <s v="Credit"/>
    <s v="90 Days from App Rep Sign on Invoice"/>
    <x v="1"/>
  </r>
  <r>
    <s v="DCBWPM166297"/>
    <d v="2026-06-04T00:00:00"/>
    <s v="Hassan Taleb"/>
    <x v="0"/>
    <s v="National Fire Fighting Manufacturing FZCO BR."/>
    <s v="MP1"/>
    <x v="0"/>
    <x v="6"/>
    <s v="SAR"/>
    <n v="1020088"/>
    <n v="500000"/>
    <n v="1"/>
    <n v="500000"/>
    <n v="0"/>
    <n v="500000"/>
    <n v="0"/>
    <n v="500000"/>
    <n v="0"/>
    <m/>
    <d v="2026-08-31T00:00:00"/>
    <d v="2026-08-31T00:00:00"/>
    <m/>
    <m/>
    <m/>
    <n v="0"/>
    <m/>
    <x v="4"/>
    <s v="Credit"/>
    <s v="120 Days from Applicant representative sign on Invoice"/>
    <x v="1"/>
  </r>
  <r>
    <s v="TF2322084311"/>
    <d v="2023-08-09T00:00:00"/>
    <s v="Hassan Taleb"/>
    <x v="0"/>
    <s v="NATIONAL MARKERING EST. CO"/>
    <s v="KSP"/>
    <x v="0"/>
    <x v="0"/>
    <s v="SAR"/>
    <n v="1020055"/>
    <n v="823546.42"/>
    <n v="1"/>
    <n v="823546.42"/>
    <n v="823546.42"/>
    <n v="0"/>
    <n v="0"/>
    <n v="0"/>
    <n v="0"/>
    <m/>
    <d v="2023-10-31T00:00:00"/>
    <d v="2023-10-31T00:00:00"/>
    <m/>
    <m/>
    <m/>
    <n v="0"/>
    <m/>
    <x v="0"/>
    <s v="Credit"/>
    <m/>
    <x v="0"/>
  </r>
  <r>
    <s v="TF2330986924"/>
    <d v="2023-11-07T00:00:00"/>
    <s v="Hassan Taleb"/>
    <x v="0"/>
    <s v="NATIONAL MARKETING EST"/>
    <s v="KSP"/>
    <x v="0"/>
    <x v="0"/>
    <s v="SAR"/>
    <n v="1020055"/>
    <n v="950740.65"/>
    <n v="1"/>
    <n v="950740.65"/>
    <n v="950740.65"/>
    <n v="0"/>
    <n v="0"/>
    <n v="0"/>
    <n v="0"/>
    <m/>
    <d v="2024-01-31T00:00:00"/>
    <d v="2024-01-31T00:00:00"/>
    <m/>
    <m/>
    <m/>
    <n v="0"/>
    <m/>
    <x v="0"/>
    <s v="Credit"/>
    <m/>
    <x v="0"/>
  </r>
  <r>
    <s v="TF2414292661"/>
    <d v="2024-05-23T00:00:00"/>
    <s v="Hassan Taleb"/>
    <x v="0"/>
    <s v="NATIONAL MARKETING EST CO LTD"/>
    <s v="KSP"/>
    <x v="0"/>
    <x v="0"/>
    <s v="SAR"/>
    <n v="1020055"/>
    <n v="750000"/>
    <n v="1"/>
    <n v="750000"/>
    <n v="700000"/>
    <n v="50000"/>
    <n v="0"/>
    <n v="50000"/>
    <n v="0"/>
    <m/>
    <d v="2024-09-30T00:00:00"/>
    <d v="2024-09-30T00:00:00"/>
    <m/>
    <m/>
    <m/>
    <n v="0"/>
    <m/>
    <x v="0"/>
    <s v="Credit"/>
    <m/>
    <x v="0"/>
  </r>
  <r>
    <s v="TF2510400021"/>
    <d v="2025-04-14T00:00:00"/>
    <s v="Rabih Makhoul"/>
    <x v="0"/>
    <s v="National Marketing Est Co Ltd"/>
    <s v="KSP"/>
    <x v="0"/>
    <x v="5"/>
    <s v="SAR"/>
    <n v="1020100"/>
    <n v="780158"/>
    <n v="1"/>
    <n v="780158"/>
    <n v="761046.3600000001"/>
    <n v="19111.64"/>
    <n v="0"/>
    <n v="19111.64"/>
    <n v="0"/>
    <m/>
    <d v="2025-10-31T00:00:00"/>
    <d v="2025-10-31T00:00:00"/>
    <m/>
    <m/>
    <m/>
    <n v="0"/>
    <s v="to bank on 08-09 | EXP &amp; LDS 31-10"/>
    <x v="0"/>
    <s v="Credit"/>
    <s v="90 Days from Invoice Date"/>
    <x v="0"/>
  </r>
  <r>
    <s v="ILC-0840-25-7172"/>
    <d v="2025-01-27T00:00:00"/>
    <s v="Hassan Taleb"/>
    <x v="0"/>
    <s v="National Marketing Est."/>
    <s v="RCRC"/>
    <x v="0"/>
    <x v="11"/>
    <s v="SAR"/>
    <n v="1020106"/>
    <n v="4370000"/>
    <n v="1"/>
    <n v="4370000"/>
    <n v="4370000"/>
    <n v="0"/>
    <n v="0"/>
    <n v="0"/>
    <n v="0"/>
    <m/>
    <d v="2025-04-30T00:00:00"/>
    <d v="2025-04-30T00:00:00"/>
    <m/>
    <m/>
    <m/>
    <n v="0"/>
    <m/>
    <x v="6"/>
    <s v="Credit"/>
    <s v="120 Days from Invoice Date"/>
    <x v="0"/>
  </r>
  <r>
    <s v="TF2429897807"/>
    <d v="2024-10-28T00:00:00"/>
    <s v="Rabih Makhoul"/>
    <x v="0"/>
    <s v="National Marketing Est. Co. Ltd"/>
    <s v="KSP"/>
    <x v="0"/>
    <x v="5"/>
    <s v="SAR"/>
    <n v="1020100"/>
    <n v="500000"/>
    <n v="1"/>
    <n v="500000"/>
    <n v="500000"/>
    <n v="0"/>
    <n v="0"/>
    <n v="0"/>
    <n v="0"/>
    <m/>
    <d v="2025-01-31T00:00:00"/>
    <d v="2025-01-31T00:00:00"/>
    <m/>
    <m/>
    <m/>
    <n v="0"/>
    <m/>
    <x v="0"/>
    <s v="Credit"/>
    <s v="90 Days from Invoice Date"/>
    <x v="0"/>
  </r>
  <r>
    <s v="J209173"/>
    <d v="2024-09-16T00:00:00"/>
    <s v="Hassan Taleb"/>
    <x v="0"/>
    <s v="NATIONAL MARKETING EST. CO. LTD"/>
    <s v="Opera House"/>
    <x v="0"/>
    <x v="0"/>
    <s v="SAR"/>
    <n v="1020055"/>
    <n v="405299.47"/>
    <n v="1"/>
    <n v="405299.47"/>
    <n v="405299.47"/>
    <n v="0"/>
    <n v="0"/>
    <n v="0"/>
    <n v="0"/>
    <m/>
    <d v="2024-11-30T00:00:00"/>
    <d v="2024-11-04T00:00:00"/>
    <m/>
    <m/>
    <m/>
    <n v="0"/>
    <m/>
    <x v="3"/>
    <s v="Credit"/>
    <s v="90 Days from Invoice Date"/>
    <x v="0"/>
  </r>
  <r>
    <s v="J209962"/>
    <d v="2025-01-27T00:00:00"/>
    <s v="Rabih Makhoul"/>
    <x v="0"/>
    <s v="National Marketing Est. Co. Ltd"/>
    <s v="Opera House"/>
    <x v="0"/>
    <x v="5"/>
    <s v="SAR"/>
    <n v="1020100"/>
    <n v="500000"/>
    <n v="1"/>
    <n v="500000"/>
    <n v="500000"/>
    <n v="0"/>
    <n v="0"/>
    <n v="0"/>
    <n v="0"/>
    <m/>
    <d v="2025-04-30T00:00:00"/>
    <d v="2025-04-30T00:00:00"/>
    <m/>
    <m/>
    <m/>
    <n v="0"/>
    <m/>
    <x v="3"/>
    <s v="Credit"/>
    <s v="90 Days from Invoice Date"/>
    <x v="0"/>
  </r>
  <r>
    <s v="TF2517400053"/>
    <d v="2025-06-23T00:00:00"/>
    <s v="Hassan Taleb"/>
    <x v="0"/>
    <s v="National Marketing Est. Co. Ltd"/>
    <s v="KSP"/>
    <x v="0"/>
    <x v="5"/>
    <s v="SAR"/>
    <n v="1020100"/>
    <n v="300000"/>
    <n v="1"/>
    <n v="300000"/>
    <n v="300000"/>
    <n v="0"/>
    <n v="0"/>
    <n v="0"/>
    <n v="0"/>
    <m/>
    <d v="2025-08-31T00:00:00"/>
    <d v="2025-08-31T00:00:00"/>
    <m/>
    <m/>
    <m/>
    <n v="0"/>
    <m/>
    <x v="0"/>
    <s v="Credit"/>
    <s v="120 Days from Invoice Date"/>
    <x v="0"/>
  </r>
  <r>
    <s v="DCBCPM558780"/>
    <d v="2025-06-02T00:00:00"/>
    <s v="Hassan Taleb"/>
    <x v="0"/>
    <s v="National Marketing Est. Co. Ltd"/>
    <s v="MP1"/>
    <x v="0"/>
    <x v="6"/>
    <s v="SAR"/>
    <n v="1020088"/>
    <n v="400000"/>
    <n v="1"/>
    <n v="400000"/>
    <n v="400000"/>
    <n v="0"/>
    <n v="0"/>
    <n v="0"/>
    <n v="0"/>
    <m/>
    <d v="2025-08-31T00:00:00"/>
    <d v="2025-08-31T00:00:00"/>
    <m/>
    <m/>
    <m/>
    <n v="0"/>
    <m/>
    <x v="4"/>
    <s v="Credit"/>
    <s v="120 Days from Invoice Date"/>
    <x v="0"/>
  </r>
  <r>
    <s v="JLC7002384"/>
    <d v="2026-01-01T00:00:00"/>
    <s v="Luis Puente"/>
    <x v="0"/>
    <s v="National Marketing Est. Co. Ltd"/>
    <s v="Oceanarium"/>
    <x v="0"/>
    <x v="7"/>
    <s v="SAR"/>
    <n v="1020096"/>
    <n v="500000"/>
    <n v="1"/>
    <n v="500000"/>
    <n v="500000"/>
    <n v="0"/>
    <n v="0"/>
    <n v="0"/>
    <n v="0"/>
    <m/>
    <d v="2026-04-30T00:00:00"/>
    <d v="2026-04-30T00:00:00"/>
    <m/>
    <m/>
    <m/>
    <n v="0"/>
    <m/>
    <x v="1"/>
    <s v="Credit"/>
    <s v="90 Days from Appln Rep Sign on Invoice"/>
    <x v="0"/>
  </r>
  <r>
    <s v="DCBWPM163964"/>
    <d v="2026-04-06T00:00:00"/>
    <s v="Hassan Taleb"/>
    <x v="0"/>
    <s v="National Marketing Est. Co. Ltd"/>
    <s v="MP1"/>
    <x v="0"/>
    <x v="6"/>
    <s v="SAR"/>
    <n v="1020088"/>
    <n v="275000"/>
    <n v="1"/>
    <n v="275000"/>
    <n v="0"/>
    <n v="275000"/>
    <n v="0"/>
    <n v="275000"/>
    <n v="0"/>
    <m/>
    <d v="2026-06-30T00:00:00"/>
    <d v="2026-06-30T00:00:00"/>
    <m/>
    <m/>
    <m/>
    <n v="0"/>
    <m/>
    <x v="4"/>
    <s v="Credit"/>
    <s v="90 Days from App Rep Sign on Invoice"/>
    <x v="1"/>
  </r>
  <r>
    <s v="TF2502300036"/>
    <d v="2025-01-23T00:00:00"/>
    <s v="Hassan Taleb"/>
    <x v="0"/>
    <s v="National Marketing Est. Co. Ltd."/>
    <s v="KSP"/>
    <x v="0"/>
    <x v="0"/>
    <s v="SAR"/>
    <n v="1020055"/>
    <n v="407334.49"/>
    <n v="1"/>
    <n v="407334.49"/>
    <n v="407334.49"/>
    <n v="0"/>
    <n v="0"/>
    <n v="0"/>
    <n v="0"/>
    <m/>
    <d v="2025-04-30T00:00:00"/>
    <d v="2025-04-30T00:00:00"/>
    <m/>
    <m/>
    <m/>
    <n v="0"/>
    <m/>
    <x v="0"/>
    <s v="Credit"/>
    <s v="90 Days from Invoice Date"/>
    <x v="0"/>
  </r>
  <r>
    <s v="DCBWPM566643"/>
    <d v="2025-09-29T00:00:00"/>
    <s v="Hassan Taleb"/>
    <x v="0"/>
    <s v="National Marketing Est. Co. Ltd. "/>
    <s v="MP1"/>
    <x v="0"/>
    <x v="6"/>
    <s v="SAR"/>
    <n v="1020088"/>
    <n v="300000"/>
    <n v="1"/>
    <n v="300000"/>
    <n v="299950.92"/>
    <n v="49.08"/>
    <n v="0"/>
    <n v="49.08"/>
    <n v="0"/>
    <m/>
    <d v="2025-12-31T00:00:00"/>
    <d v="2025-12-31T00:00:00"/>
    <m/>
    <m/>
    <m/>
    <n v="0"/>
    <m/>
    <x v="4"/>
    <s v="Credit"/>
    <s v="120 Days from Invoice Date"/>
    <x v="0"/>
  </r>
  <r>
    <s v="TF2508300021"/>
    <d v="2025-03-23T00:00:00"/>
    <s v="Hassan Taleb"/>
    <x v="0"/>
    <s v="National Marketing Est.Co.Ltd"/>
    <s v="KSP"/>
    <x v="0"/>
    <x v="0"/>
    <s v="SAR"/>
    <n v="1020055"/>
    <n v="234893.88"/>
    <n v="1"/>
    <n v="234893.88"/>
    <n v="234893.88"/>
    <n v="0"/>
    <n v="0"/>
    <n v="0"/>
    <n v="0"/>
    <m/>
    <d v="2025-06-30T00:00:00"/>
    <d v="2025-06-30T00:00:00"/>
    <m/>
    <m/>
    <m/>
    <n v="0"/>
    <m/>
    <x v="0"/>
    <s v="Credit"/>
    <s v="90 Days from Invoice Date"/>
    <x v="0"/>
  </r>
  <r>
    <s v="TF2507700057"/>
    <d v="2025-03-18T00:00:00"/>
    <s v="Rabih Makhoul"/>
    <x v="0"/>
    <s v="NATIONAL MARKETING EST.CO.LTD"/>
    <s v="KSP"/>
    <x v="0"/>
    <x v="5"/>
    <s v="SAR"/>
    <n v="1020100"/>
    <n v="400000"/>
    <n v="1"/>
    <n v="400000"/>
    <n v="400000"/>
    <n v="0"/>
    <n v="0"/>
    <n v="0"/>
    <n v="0"/>
    <m/>
    <d v="2025-06-30T00:00:00"/>
    <d v="2025-06-30T00:00:00"/>
    <m/>
    <m/>
    <m/>
    <n v="0"/>
    <m/>
    <x v="0"/>
    <s v="Credit"/>
    <s v="90 Days from Invoice Date"/>
    <x v="0"/>
  </r>
  <r>
    <s v="TF2400188737"/>
    <d v="2024-01-01T00:00:00"/>
    <s v="Hassan Taleb"/>
    <x v="0"/>
    <s v="NATIONAL MARKITING CO"/>
    <s v="KSP"/>
    <x v="0"/>
    <x v="0"/>
    <s v="SAR"/>
    <n v="1020055"/>
    <n v="2565300.11"/>
    <n v="1"/>
    <n v="2565300.11"/>
    <n v="2565300.11"/>
    <n v="0"/>
    <n v="0"/>
    <n v="0"/>
    <n v="0"/>
    <m/>
    <d v="2024-05-30T00:00:00"/>
    <d v="2024-05-30T00:00:00"/>
    <m/>
    <m/>
    <m/>
    <n v="0"/>
    <m/>
    <x v="0"/>
    <s v="Credit"/>
    <s v="90 Days from Delivery Date"/>
    <x v="0"/>
  </r>
  <r>
    <s v="JLC6901468"/>
    <d v="2025-08-19T00:00:00"/>
    <s v="Muhammed Khan"/>
    <x v="0"/>
    <s v="Nesma Nibras Maintenance &amp; Cleaning International Co."/>
    <s v="Cash"/>
    <x v="1"/>
    <x v="1"/>
    <s v="SAR"/>
    <m/>
    <n v="313581.86"/>
    <n v="1"/>
    <n v="313581.86"/>
    <n v="313581.86"/>
    <n v="0"/>
    <n v="0"/>
    <n v="0"/>
    <n v="0"/>
    <m/>
    <d v="2025-09-30T00:00:00"/>
    <d v="2025-09-15T00:00:00"/>
    <m/>
    <m/>
    <m/>
    <m/>
    <m/>
    <x v="1"/>
    <s v="Cash"/>
    <s v="Sight"/>
    <x v="0"/>
  </r>
  <r>
    <s v="TF2507700036"/>
    <d v="2025-03-18T00:00:00"/>
    <s v="Rabih Makhoul"/>
    <x v="0"/>
    <s v="NIZA ABD ALGHANY KABLI FOR GENERAL CONTRACTING"/>
    <s v="KSP"/>
    <x v="0"/>
    <x v="5"/>
    <s v="SAR"/>
    <n v="1020100"/>
    <n v="500000"/>
    <n v="1"/>
    <n v="500000"/>
    <n v="500000"/>
    <n v="0"/>
    <n v="0"/>
    <n v="0"/>
    <n v="0"/>
    <m/>
    <d v="2025-06-30T00:00:00"/>
    <d v="2025-06-30T00:00:00"/>
    <m/>
    <m/>
    <m/>
    <n v="0"/>
    <m/>
    <x v="0"/>
    <s v="Credit"/>
    <s v="90 Days from Invoice Date"/>
    <x v="0"/>
  </r>
  <r>
    <s v="M001910"/>
    <d v="2025-12-18T00:00:00"/>
    <s v="Nader Ageeb"/>
    <x v="0"/>
    <s v="NIZAR ABDALGHANY KABLI FOR GENERAL CONTRACTING"/>
    <s v="Lagoon"/>
    <x v="2"/>
    <x v="9"/>
    <s v="SAR"/>
    <n v="1020108"/>
    <n v="13581536.125"/>
    <n v="1"/>
    <n v="13581536.125"/>
    <n v="0"/>
    <n v="13581536.119999999"/>
    <n v="0"/>
    <n v="13581536.119999999"/>
    <n v="0"/>
    <m/>
    <d v="2026-02-28T00:00:00"/>
    <d v="2026-02-28T00:00:00"/>
    <m/>
    <m/>
    <m/>
    <n v="0"/>
    <m/>
    <x v="5"/>
    <s v="Credit"/>
    <s v="60 Days from Invoice Date"/>
    <x v="0"/>
  </r>
  <r>
    <s v="IM2512833006"/>
    <d v="2025-05-08T00:00:00"/>
    <s v="Hassan Taleb"/>
    <x v="0"/>
    <s v="NMA ALMUTAMIZA INDUSTRIAL AND EQUIPMENT CO."/>
    <s v="Cash"/>
    <x v="0"/>
    <x v="5"/>
    <s v="SAR"/>
    <n v="1020100"/>
    <n v="200000"/>
    <n v="1"/>
    <n v="200000"/>
    <n v="200000"/>
    <n v="0"/>
    <n v="0"/>
    <n v="0"/>
    <n v="0"/>
    <m/>
    <d v="2025-07-31T00:00:00"/>
    <d v="2025-07-31T00:00:00"/>
    <m/>
    <m/>
    <m/>
    <n v="0"/>
    <m/>
    <x v="2"/>
    <s v="Cash"/>
    <s v="120 Days from Invoice Date"/>
    <x v="0"/>
  </r>
  <r>
    <s v="DCBWPM562624"/>
    <d v="2025-07-24T00:00:00"/>
    <s v="Hassan Taleb"/>
    <x v="0"/>
    <s v="NMA ALMUTAMIZA INDUSTRIAL AND EQUIPMENT CO."/>
    <s v="MP1"/>
    <x v="0"/>
    <x v="6"/>
    <s v="SAR"/>
    <n v="1020088"/>
    <n v="250000"/>
    <n v="1"/>
    <n v="250000"/>
    <n v="250000"/>
    <n v="0"/>
    <n v="0"/>
    <n v="0"/>
    <n v="0"/>
    <m/>
    <d v="2025-10-31T00:00:00"/>
    <d v="2025-10-31T00:00:00"/>
    <m/>
    <m/>
    <m/>
    <n v="0"/>
    <m/>
    <x v="4"/>
    <s v="Credit"/>
    <s v="120 Days from Invoice Date"/>
    <x v="0"/>
  </r>
  <r>
    <s v="JLC6901471"/>
    <d v="2025-08-19T00:00:00"/>
    <s v="Muhammed Khan"/>
    <x v="0"/>
    <s v="Norah Abdullah Mubarak Abu Dhabi Fuel Est"/>
    <s v="Cash"/>
    <x v="1"/>
    <x v="1"/>
    <s v="SAR"/>
    <m/>
    <n v="2395477.52"/>
    <n v="1"/>
    <n v="2395477.52"/>
    <n v="2395477.52"/>
    <n v="0"/>
    <n v="0"/>
    <n v="0"/>
    <n v="0"/>
    <m/>
    <d v="2025-09-30T00:00:00"/>
    <d v="2025-09-15T00:00:00"/>
    <m/>
    <m/>
    <m/>
    <m/>
    <m/>
    <x v="1"/>
    <s v="Cash"/>
    <s v="Sight"/>
    <x v="0"/>
  </r>
  <r>
    <s v="DCBWPM166264"/>
    <d v="2026-06-04T00:00:00"/>
    <s v="Hassan Taleb"/>
    <x v="0"/>
    <s v="NUKHBA ALETFA CO"/>
    <s v="MP1"/>
    <x v="0"/>
    <x v="6"/>
    <s v="SAR"/>
    <n v="1020088"/>
    <n v="500000"/>
    <n v="1"/>
    <n v="500000"/>
    <n v="0"/>
    <n v="500000"/>
    <n v="0"/>
    <n v="500000"/>
    <n v="0"/>
    <m/>
    <d v="2026-08-31T00:00:00"/>
    <d v="2026-08-31T00:00:00"/>
    <m/>
    <m/>
    <m/>
    <n v="0"/>
    <m/>
    <x v="4"/>
    <s v="Credit"/>
    <s v="120 Days from Applicant representative sign on Invoice"/>
    <x v="1"/>
  </r>
  <r>
    <s v="DCBCPM160316"/>
    <d v="2026-01-18T00:00:00"/>
    <s v="Haytham Salem"/>
    <x v="0"/>
    <s v="Off Premises Solutions"/>
    <s v="T5"/>
    <x v="6"/>
    <x v="3"/>
    <s v="SAR"/>
    <n v="1020091"/>
    <n v="9979435.5"/>
    <n v="1"/>
    <n v="9979435.5"/>
    <n v="2272515"/>
    <n v="7706920.5"/>
    <n v="0"/>
    <n v="7706920.5"/>
    <n v="0"/>
    <m/>
    <d v="2026-03-15T00:00:00"/>
    <d v="2026-02-28T00:00:00"/>
    <m/>
    <m/>
    <m/>
    <n v="0"/>
    <m/>
    <x v="4"/>
    <s v="Credit"/>
    <s v="60 Days after applicant repr sign on Invoice"/>
    <x v="0"/>
  </r>
  <r>
    <s v="TF2331887169"/>
    <d v="2023-11-15T00:00:00"/>
    <s v="Hassan Taleb"/>
    <x v="0"/>
    <s v="OPTIMAL"/>
    <s v="KSP"/>
    <x v="0"/>
    <x v="0"/>
    <s v="SAR"/>
    <n v="1020055"/>
    <n v="4000000"/>
    <n v="1"/>
    <n v="4000000"/>
    <n v="4000000"/>
    <n v="0"/>
    <n v="0"/>
    <n v="0"/>
    <n v="0"/>
    <m/>
    <d v="2024-01-31T00:00:00"/>
    <d v="2024-01-31T00:00:00"/>
    <m/>
    <m/>
    <m/>
    <n v="0"/>
    <m/>
    <x v="0"/>
    <s v="Credit"/>
    <m/>
    <x v="0"/>
  </r>
  <r>
    <s v="TF2500700017"/>
    <d v="2025-01-07T00:00:00"/>
    <s v="Hassan Taleb"/>
    <x v="0"/>
    <s v="Optimal Engineering Solutions"/>
    <s v="KSP"/>
    <x v="0"/>
    <x v="0"/>
    <s v="SAR"/>
    <n v="1020055"/>
    <n v="3000000"/>
    <n v="1"/>
    <n v="3000000"/>
    <n v="3000000"/>
    <n v="0"/>
    <n v="0"/>
    <n v="0"/>
    <n v="0"/>
    <m/>
    <d v="2025-03-31T00:00:00"/>
    <d v="2025-03-31T00:00:00"/>
    <m/>
    <m/>
    <m/>
    <n v="0"/>
    <m/>
    <x v="0"/>
    <s v="Credit"/>
    <s v="90 Days from Invoice Date"/>
    <x v="0"/>
  </r>
  <r>
    <s v="TF2502300057"/>
    <d v="2025-01-23T00:00:00"/>
    <s v="Hassan Taleb"/>
    <x v="0"/>
    <s v="Optimal Engineering Solutions"/>
    <s v="KSP"/>
    <x v="0"/>
    <x v="0"/>
    <s v="SAR"/>
    <n v="1020055"/>
    <n v="3000000"/>
    <n v="1"/>
    <n v="3000000"/>
    <n v="3000000"/>
    <n v="0"/>
    <n v="0"/>
    <n v="0"/>
    <n v="0"/>
    <m/>
    <d v="2025-06-30T00:00:00"/>
    <d v="2025-04-30T00:00:00"/>
    <m/>
    <m/>
    <m/>
    <n v="0"/>
    <m/>
    <x v="0"/>
    <s v="Credit"/>
    <s v="90 Days from Invoice Date"/>
    <x v="0"/>
  </r>
  <r>
    <s v="DCBWPM562600"/>
    <d v="2025-07-24T00:00:00"/>
    <s v="Hassan Taleb"/>
    <x v="0"/>
    <s v="OPTIMAL ENGINEERING SOLUTIONS"/>
    <s v="MP1"/>
    <x v="0"/>
    <x v="6"/>
    <s v="SAR"/>
    <n v="1020088"/>
    <n v="300000"/>
    <n v="1"/>
    <n v="300000"/>
    <n v="300000"/>
    <n v="0"/>
    <n v="0"/>
    <n v="0"/>
    <n v="0"/>
    <m/>
    <d v="2025-10-31T00:00:00"/>
    <d v="2025-10-31T00:00:00"/>
    <m/>
    <m/>
    <m/>
    <n v="0"/>
    <m/>
    <x v="4"/>
    <s v="Credit"/>
    <s v="120 Days from Invoice Date"/>
    <x v="0"/>
  </r>
  <r>
    <s v="TF2322084309"/>
    <d v="2023-08-09T00:00:00"/>
    <s v="Hassan Taleb"/>
    <x v="0"/>
    <s v="OPTIMAL ENGINEERING SOLUTIONS              "/>
    <s v="KSP"/>
    <x v="0"/>
    <x v="0"/>
    <s v="SAR"/>
    <n v="1020055"/>
    <n v="4000000"/>
    <n v="1"/>
    <n v="4000000"/>
    <n v="4000000"/>
    <n v="0"/>
    <n v="0"/>
    <n v="0"/>
    <n v="0"/>
    <m/>
    <d v="2023-10-31T00:00:00"/>
    <d v="2023-10-31T00:00:00"/>
    <m/>
    <m/>
    <m/>
    <n v="0"/>
    <m/>
    <x v="0"/>
    <s v="Credit"/>
    <m/>
    <x v="0"/>
  </r>
  <r>
    <s v="TF2535200021"/>
    <d v="2025-12-21T00:00:00"/>
    <s v="Mohammed Atef"/>
    <x v="0"/>
    <s v="Osalas GMBH"/>
    <s v="KSP"/>
    <x v="2"/>
    <x v="12"/>
    <s v="EUR"/>
    <n v="1020001"/>
    <n v="5000000"/>
    <n v="4.4400000000000004"/>
    <n v="22200000.000000004"/>
    <n v="20908277"/>
    <n v="1291723"/>
    <n v="1198665"/>
    <n v="93058"/>
    <n v="0"/>
    <s v="26/06/2026"/>
    <d v="2026-09-21T00:00:00"/>
    <d v="2026-08-31T00:00:00"/>
    <m/>
    <m/>
    <m/>
    <n v="0"/>
    <s v="to bank on 25-12 | Exp: 21-09 &amp; LDS 31-08"/>
    <x v="0"/>
    <s v="Credit"/>
    <s v="Sight / 60 Days from Appl. Rep Sign on Invoice"/>
    <x v="1"/>
  </r>
  <r>
    <s v="TF2315082507"/>
    <d v="2023-05-18T00:00:00"/>
    <s v="Bassam Marawie"/>
    <x v="0"/>
    <s v="PERMA PIPE SAUDI ARABIA L.L.C"/>
    <s v="KSP"/>
    <x v="0"/>
    <x v="12"/>
    <s v="SAR"/>
    <n v="1020001"/>
    <n v="5602519.9800000004"/>
    <n v="1"/>
    <n v="5602519.9800000004"/>
    <n v="5554715.1200000001"/>
    <n v="47804.86"/>
    <n v="0"/>
    <n v="47804.86"/>
    <n v="0"/>
    <m/>
    <d v="2023-11-21T00:00:00"/>
    <d v="2023-11-21T00:00:00"/>
    <m/>
    <m/>
    <m/>
    <n v="0"/>
    <m/>
    <x v="0"/>
    <s v="Credit"/>
    <m/>
    <x v="0"/>
  </r>
  <r>
    <s v="TF2317083066"/>
    <d v="2023-06-21T00:00:00"/>
    <s v="Rabih Makhoul"/>
    <x v="0"/>
    <s v="PETER CREMER GMBH"/>
    <s v="KSP"/>
    <x v="2"/>
    <x v="22"/>
    <s v="USD"/>
    <n v="1020051"/>
    <n v="4473396.8600000003"/>
    <n v="3.8249998999999999"/>
    <n v="17110742.542160314"/>
    <n v="16779477.793500002"/>
    <n v="331264.75"/>
    <n v="0"/>
    <n v="331264.75"/>
    <n v="0"/>
    <m/>
    <d v="2023-10-31T00:00:00"/>
    <d v="2023-10-31T00:00:00"/>
    <m/>
    <m/>
    <m/>
    <n v="0"/>
    <m/>
    <x v="0"/>
    <s v="Credit"/>
    <s v="Sight"/>
    <x v="0"/>
  </r>
  <r>
    <s v="JLC6702384"/>
    <d v="2023-12-20T00:00:00"/>
    <s v="Rabih Makhoul"/>
    <x v="0"/>
    <s v="PETER CREMER GMBH"/>
    <s v="Multipurpose"/>
    <x v="2"/>
    <x v="22"/>
    <s v="USD"/>
    <n v="1020051"/>
    <n v="6638408.9000000004"/>
    <n v="3.7513000000000001"/>
    <n v="24902663.306570001"/>
    <n v="24902663.306570001"/>
    <n v="0"/>
    <n v="0"/>
    <n v="0"/>
    <n v="0"/>
    <m/>
    <d v="2024-07-21T00:00:00"/>
    <d v="2024-07-21T00:00:00"/>
    <m/>
    <m/>
    <m/>
    <n v="0"/>
    <m/>
    <x v="1"/>
    <s v="Credit"/>
    <s v="21 days from the shipment "/>
    <x v="0"/>
  </r>
  <r>
    <s v="TF2307380289"/>
    <d v="2023-03-14T00:00:00"/>
    <s v="Rabih Makhoul"/>
    <x v="0"/>
    <s v="PETER CREMER GMBH CLOCKENGIESSERWAL"/>
    <s v="KSP"/>
    <x v="2"/>
    <x v="22"/>
    <s v="USD"/>
    <n v="1020051"/>
    <n v="3911507.59"/>
    <n v="1"/>
    <n v="3911507.59"/>
    <n v="3838403.1565549998"/>
    <n v="73104.429999999993"/>
    <n v="0"/>
    <n v="73104.429999999993"/>
    <n v="0"/>
    <m/>
    <d v="2023-05-15T00:00:00"/>
    <d v="2023-05-15T00:00:00"/>
    <m/>
    <m/>
    <m/>
    <n v="0"/>
    <m/>
    <x v="0"/>
    <s v="Credit"/>
    <m/>
    <x v="0"/>
  </r>
  <r>
    <s v="TF2307380291"/>
    <d v="2023-03-14T00:00:00"/>
    <s v="Rabih Makhoul"/>
    <x v="0"/>
    <s v="PETER CREMER GMBH CLOCKENGIESSERWAL"/>
    <s v="KSP"/>
    <x v="2"/>
    <x v="22"/>
    <s v="USD"/>
    <n v="1020051"/>
    <n v="16678375.462499999"/>
    <n v="1"/>
    <n v="16678375.462499999"/>
    <n v="16361252.01774"/>
    <n v="317123.44"/>
    <n v="0"/>
    <n v="317123.44"/>
    <n v="0"/>
    <m/>
    <d v="2023-05-26T00:00:00"/>
    <d v="2023-05-26T00:00:00"/>
    <m/>
    <m/>
    <m/>
    <n v="0"/>
    <m/>
    <x v="0"/>
    <s v="Credit"/>
    <m/>
    <x v="0"/>
  </r>
  <r>
    <s v="TF2422095043"/>
    <d v="2024-08-08T00:00:00"/>
    <s v="Hassan Taleb"/>
    <x v="0"/>
    <s v="POWER CENTER"/>
    <s v="KSP"/>
    <x v="0"/>
    <x v="0"/>
    <s v="SAR"/>
    <n v="1020055"/>
    <n v="1000000"/>
    <n v="1"/>
    <n v="1000000"/>
    <n v="1000000"/>
    <n v="0"/>
    <n v="0"/>
    <n v="0"/>
    <n v="0"/>
    <m/>
    <d v="2024-11-30T00:00:00"/>
    <d v="2024-11-30T00:00:00"/>
    <m/>
    <m/>
    <m/>
    <n v="0"/>
    <m/>
    <x v="0"/>
    <s v="Credit"/>
    <m/>
    <x v="0"/>
  </r>
  <r>
    <s v="J209615"/>
    <d v="2024-12-08T00:00:00"/>
    <s v="Rabih Makhoul"/>
    <x v="0"/>
    <s v="Power Center Company fo Industries LLC"/>
    <s v="Opera House"/>
    <x v="0"/>
    <x v="5"/>
    <s v="SAR"/>
    <n v="1020100"/>
    <n v="2000000"/>
    <n v="1"/>
    <n v="2000000"/>
    <n v="2000000"/>
    <n v="0"/>
    <n v="0"/>
    <n v="0"/>
    <n v="0"/>
    <m/>
    <d v="2025-02-28T00:00:00"/>
    <d v="2025-02-28T00:00:00"/>
    <m/>
    <m/>
    <m/>
    <n v="0"/>
    <m/>
    <x v="3"/>
    <s v="Credit"/>
    <s v="90 Days from Invoice Date"/>
    <x v="0"/>
  </r>
  <r>
    <s v="J209961"/>
    <d v="2025-01-27T00:00:00"/>
    <s v="Rabih Makhoul"/>
    <x v="0"/>
    <s v="Power Center Company fo Industries LLC"/>
    <s v="Opera House"/>
    <x v="0"/>
    <x v="5"/>
    <s v="SAR"/>
    <n v="1020100"/>
    <n v="900000"/>
    <n v="1"/>
    <n v="900000"/>
    <n v="900000"/>
    <n v="0"/>
    <n v="0"/>
    <n v="0"/>
    <n v="0"/>
    <m/>
    <d v="2025-04-30T00:00:00"/>
    <d v="2025-04-30T00:00:00"/>
    <m/>
    <m/>
    <m/>
    <n v="0"/>
    <m/>
    <x v="3"/>
    <s v="Credit"/>
    <s v="90 Days from Invoice Date"/>
    <x v="0"/>
  </r>
  <r>
    <s v="J209003"/>
    <d v="2024-08-15T00:00:00"/>
    <s v="Hassan Taleb"/>
    <x v="0"/>
    <s v="POWER CENTER COMPANY FOR"/>
    <s v="Opera House"/>
    <x v="0"/>
    <x v="0"/>
    <s v="SAR"/>
    <n v="1020055"/>
    <n v="2238238.98"/>
    <n v="1"/>
    <n v="2238238.98"/>
    <n v="2238238.98"/>
    <n v="0"/>
    <n v="0"/>
    <n v="0"/>
    <n v="0"/>
    <m/>
    <d v="2024-11-30T00:00:00"/>
    <d v="2024-11-30T00:00:00"/>
    <m/>
    <m/>
    <m/>
    <n v="0"/>
    <m/>
    <x v="3"/>
    <s v="Credit"/>
    <s v="90 Days from Invoice Date"/>
    <x v="0"/>
  </r>
  <r>
    <s v="TF2429897813"/>
    <d v="2024-10-28T00:00:00"/>
    <s v="Rabih Makhoul"/>
    <x v="0"/>
    <s v="Power Center Company for Industries LLC"/>
    <s v="KSP"/>
    <x v="0"/>
    <x v="5"/>
    <s v="SAR"/>
    <n v="1020100"/>
    <n v="2200000"/>
    <n v="1"/>
    <n v="2200000"/>
    <n v="2200000"/>
    <n v="0"/>
    <n v="0"/>
    <n v="0"/>
    <n v="0"/>
    <m/>
    <d v="2025-01-31T00:00:00"/>
    <d v="2025-01-31T00:00:00"/>
    <m/>
    <m/>
    <m/>
    <n v="0"/>
    <m/>
    <x v="0"/>
    <s v="Credit"/>
    <s v="90 Days from Invoice Date"/>
    <x v="0"/>
  </r>
  <r>
    <s v="TF2324185011"/>
    <d v="2023-08-30T00:00:00"/>
    <s v="Hassan Taleb"/>
    <x v="0"/>
    <s v="POWER CENTER COMPANY FOR INDUSTRIES LLC"/>
    <s v="KSP"/>
    <x v="0"/>
    <x v="0"/>
    <s v="SAR"/>
    <n v="1020055"/>
    <n v="2211315.2999999998"/>
    <n v="1"/>
    <n v="2211315.2999999998"/>
    <n v="2211315.2999999998"/>
    <n v="0"/>
    <n v="0"/>
    <n v="0"/>
    <n v="0"/>
    <m/>
    <d v="2023-11-30T00:00:00"/>
    <d v="2023-11-30T00:00:00"/>
    <m/>
    <m/>
    <m/>
    <n v="0"/>
    <m/>
    <x v="0"/>
    <s v="Credit"/>
    <m/>
    <x v="0"/>
  </r>
  <r>
    <s v="TF2433399033"/>
    <d v="2024-11-28T00:00:00"/>
    <s v="Hassan Taleb"/>
    <x v="0"/>
    <s v="Power Center Company for Industries LLC"/>
    <s v="KSP"/>
    <x v="0"/>
    <x v="0"/>
    <s v="SAR"/>
    <n v="1020055"/>
    <n v="2500000"/>
    <n v="1"/>
    <n v="2500000"/>
    <n v="2500000"/>
    <n v="0"/>
    <n v="0"/>
    <n v="0"/>
    <n v="0"/>
    <m/>
    <d v="2025-02-28T00:00:00"/>
    <d v="2025-02-28T00:00:00"/>
    <m/>
    <m/>
    <m/>
    <n v="0"/>
    <m/>
    <x v="0"/>
    <s v="Credit"/>
    <s v="90 Days from Invoice Date"/>
    <x v="0"/>
  </r>
  <r>
    <s v="TF2502300062"/>
    <d v="2025-01-23T00:00:00"/>
    <s v="Hassan Taleb"/>
    <x v="0"/>
    <s v="Power Center Company for Industries LLC"/>
    <s v="KSP"/>
    <x v="0"/>
    <x v="0"/>
    <s v="SAR"/>
    <n v="1020055"/>
    <n v="2000000"/>
    <n v="1"/>
    <n v="2000000"/>
    <n v="2000000"/>
    <n v="0"/>
    <n v="0"/>
    <n v="0"/>
    <n v="0"/>
    <m/>
    <d v="2025-04-30T00:00:00"/>
    <d v="2025-04-30T00:00:00"/>
    <m/>
    <m/>
    <m/>
    <n v="0"/>
    <m/>
    <x v="0"/>
    <s v="Credit"/>
    <s v="90 Days from Invoice Date"/>
    <x v="0"/>
  </r>
  <r>
    <s v="DCBWPM553960"/>
    <d v="2025-03-10T00:00:00"/>
    <s v="Hassan Taleb"/>
    <x v="0"/>
    <s v="Power Center Company for Industries LLC"/>
    <s v="MP1"/>
    <x v="0"/>
    <x v="6"/>
    <s v="SAR"/>
    <n v="1020088"/>
    <n v="1000000"/>
    <n v="1"/>
    <n v="1000000"/>
    <n v="1000000"/>
    <n v="0"/>
    <n v="0"/>
    <n v="0"/>
    <n v="0"/>
    <m/>
    <d v="2025-06-30T00:00:00"/>
    <d v="2025-06-30T00:00:00"/>
    <m/>
    <m/>
    <m/>
    <n v="0"/>
    <m/>
    <x v="4"/>
    <s v="Credit"/>
    <s v="90 Days from Invoice Date"/>
    <x v="0"/>
  </r>
  <r>
    <s v="DCBWPM565832"/>
    <d v="2025-09-14T00:00:00"/>
    <s v="Hassan Taleb"/>
    <x v="0"/>
    <s v="Power Center Company for Industries LLC"/>
    <s v="MP1"/>
    <x v="0"/>
    <x v="6"/>
    <s v="SAR"/>
    <n v="1020088"/>
    <n v="2000000"/>
    <n v="1"/>
    <n v="2000000"/>
    <n v="2000000"/>
    <n v="0"/>
    <n v="0"/>
    <n v="0"/>
    <n v="0"/>
    <m/>
    <d v="2025-12-31T00:00:00"/>
    <d v="2025-12-31T00:00:00"/>
    <m/>
    <m/>
    <m/>
    <n v="0"/>
    <m/>
    <x v="4"/>
    <s v="Credit"/>
    <s v="120 Days from Invoice Date"/>
    <x v="0"/>
  </r>
  <r>
    <s v="DCBWPM570369"/>
    <d v="2025-12-01T00:00:00"/>
    <s v="Hassan Taleb"/>
    <x v="0"/>
    <s v="Power Center Company for Industries LLC"/>
    <s v="MP1"/>
    <x v="0"/>
    <x v="6"/>
    <s v="SAR"/>
    <n v="1020088"/>
    <n v="4000000"/>
    <n v="1"/>
    <n v="4000000"/>
    <n v="0"/>
    <n v="4000000"/>
    <n v="4000000"/>
    <n v="0"/>
    <n v="0"/>
    <s v="02/09/2026"/>
    <d v="2026-06-30T00:00:00"/>
    <d v="2026-06-30T00:00:00"/>
    <m/>
    <m/>
    <m/>
    <n v="0"/>
    <s v="to bank on 27-04 | Exp/ LDS 30-06"/>
    <x v="4"/>
    <s v="Credit"/>
    <s v="120 Days from Invoice Date"/>
    <x v="1"/>
  </r>
  <r>
    <s v="DCBWPM163988"/>
    <d v="2026-04-06T00:00:00"/>
    <s v="Hassan Taleb"/>
    <x v="0"/>
    <s v="Power Center Company For Industries Llc"/>
    <s v="MP1"/>
    <x v="0"/>
    <x v="6"/>
    <s v="SAR"/>
    <n v="1020088"/>
    <n v="900000"/>
    <n v="1"/>
    <n v="900000"/>
    <n v="0"/>
    <n v="900000"/>
    <n v="0"/>
    <n v="900000"/>
    <n v="0"/>
    <m/>
    <d v="2026-06-30T00:00:00"/>
    <d v="2026-06-30T00:00:00"/>
    <m/>
    <m/>
    <m/>
    <n v="0"/>
    <m/>
    <x v="4"/>
    <s v="Credit"/>
    <s v="90 Days from App Rep Sign on Invoice"/>
    <x v="1"/>
  </r>
  <r>
    <s v="DCBWPM166278"/>
    <d v="2026-06-04T00:00:00"/>
    <s v="Hassan Taleb"/>
    <x v="0"/>
    <s v="POWER CENTER COMPANY FOR INDUSTRIES LLC"/>
    <s v="MP1"/>
    <x v="0"/>
    <x v="6"/>
    <s v="SAR"/>
    <n v="1020088"/>
    <n v="500000"/>
    <n v="1"/>
    <n v="500000"/>
    <n v="0"/>
    <n v="500000"/>
    <n v="0"/>
    <n v="500000"/>
    <n v="0"/>
    <m/>
    <d v="2026-08-31T00:00:00"/>
    <d v="2026-08-31T00:00:00"/>
    <m/>
    <m/>
    <m/>
    <n v="0"/>
    <m/>
    <x v="4"/>
    <s v="Credit"/>
    <s v="120 Days from Applicant representative sign on Invoice"/>
    <x v="1"/>
  </r>
  <r>
    <s v="TF2331987218"/>
    <d v="2023-11-15T00:00:00"/>
    <s v="Hassan Taleb"/>
    <x v="0"/>
    <s v="POWER LLC"/>
    <s v="KSP"/>
    <x v="0"/>
    <x v="0"/>
    <s v="SAR"/>
    <n v="1020055"/>
    <n v="2000000"/>
    <n v="1"/>
    <n v="2000000"/>
    <n v="2000000"/>
    <n v="0"/>
    <n v="0"/>
    <n v="0"/>
    <n v="0"/>
    <m/>
    <d v="2024-01-31T00:00:00"/>
    <d v="2024-01-31T00:00:00"/>
    <m/>
    <m/>
    <m/>
    <n v="0"/>
    <m/>
    <x v="0"/>
    <s v="Credit"/>
    <m/>
    <x v="0"/>
  </r>
  <r>
    <s v="J209526"/>
    <d v="2024-11-20T00:00:00"/>
    <s v="Hassan Taleb"/>
    <x v="0"/>
    <s v="Premium For General Contracting Est."/>
    <s v="Opera House"/>
    <x v="2"/>
    <x v="15"/>
    <s v="SAR"/>
    <n v="1020068"/>
    <n v="10000000"/>
    <n v="1"/>
    <n v="10000000"/>
    <n v="10000000"/>
    <n v="0"/>
    <n v="0"/>
    <n v="0"/>
    <n v="0"/>
    <m/>
    <d v="2025-02-28T00:00:00"/>
    <d v="2025-02-04T00:00:00"/>
    <m/>
    <m/>
    <m/>
    <n v="0"/>
    <m/>
    <x v="3"/>
    <s v="Credit"/>
    <s v="Sight"/>
    <x v="0"/>
  </r>
  <r>
    <s v="TF2502300064"/>
    <d v="2025-01-23T00:00:00"/>
    <s v="Hassan Taleb"/>
    <x v="0"/>
    <s v="Prime Star Technologies Co. Ltd."/>
    <s v="KSP"/>
    <x v="0"/>
    <x v="0"/>
    <s v="SAR"/>
    <n v="1020055"/>
    <n v="1420509.01"/>
    <n v="1"/>
    <n v="1420509.01"/>
    <n v="1420509.01"/>
    <n v="0"/>
    <n v="0"/>
    <n v="0"/>
    <n v="0"/>
    <m/>
    <d v="2025-04-30T00:00:00"/>
    <d v="2025-04-30T00:00:00"/>
    <m/>
    <m/>
    <m/>
    <n v="0"/>
    <m/>
    <x v="0"/>
    <s v="Credit"/>
    <s v="90 Days from Invoice Date"/>
    <x v="0"/>
  </r>
  <r>
    <s v="TF2523600029"/>
    <d v="2025-08-24T00:00:00"/>
    <s v="Hassan Taleb"/>
    <x v="0"/>
    <s v="Prime Star Technologies Company Limited"/>
    <s v="KSP"/>
    <x v="0"/>
    <x v="0"/>
    <s v="SAR"/>
    <n v="1020055"/>
    <n v="900000"/>
    <n v="1"/>
    <n v="900000"/>
    <n v="900000"/>
    <n v="0"/>
    <n v="0"/>
    <n v="0"/>
    <n v="0"/>
    <m/>
    <d v="2025-11-30T00:00:00"/>
    <d v="2025-11-30T00:00:00"/>
    <m/>
    <m/>
    <m/>
    <n v="0"/>
    <m/>
    <x v="0"/>
    <s v="Credit"/>
    <s v="120 Days from Invoice Date"/>
    <x v="0"/>
  </r>
  <r>
    <s v="TF2508300024"/>
    <d v="2025-03-23T00:00:00"/>
    <s v="Hassan Taleb"/>
    <x v="0"/>
    <s v="Project Supply For Trading Est."/>
    <s v="KSP"/>
    <x v="0"/>
    <x v="0"/>
    <s v="SAR"/>
    <n v="1020055"/>
    <n v="332775"/>
    <n v="1"/>
    <n v="332775"/>
    <n v="332775"/>
    <n v="0"/>
    <n v="0"/>
    <n v="0"/>
    <n v="0"/>
    <m/>
    <d v="2025-06-30T00:00:00"/>
    <d v="2025-06-30T00:00:00"/>
    <m/>
    <m/>
    <m/>
    <n v="0"/>
    <m/>
    <x v="0"/>
    <s v="Credit"/>
    <s v="90 Days from Invoice Date"/>
    <x v="0"/>
  </r>
  <r>
    <s v="TF2513500026"/>
    <d v="2025-05-15T00:00:00"/>
    <s v="Hassan Taleb"/>
    <x v="0"/>
    <s v="PROJECT SUPPLY FOR TRADING EST."/>
    <s v="KSP"/>
    <x v="0"/>
    <x v="0"/>
    <s v="SAR"/>
    <n v="1020055"/>
    <n v="613577"/>
    <n v="1"/>
    <n v="613577"/>
    <n v="613577"/>
    <n v="0"/>
    <n v="0"/>
    <n v="0"/>
    <n v="0"/>
    <m/>
    <d v="2025-08-31T00:00:00"/>
    <d v="2025-08-31T00:00:00"/>
    <m/>
    <m/>
    <m/>
    <n v="0"/>
    <m/>
    <x v="0"/>
    <s v="Credit"/>
    <s v="120 Days from Invoice Date"/>
    <x v="0"/>
  </r>
  <r>
    <s v="IM2428833006"/>
    <d v="2024-10-15T00:00:00"/>
    <s v="Mohammed Kotb"/>
    <x v="0"/>
    <s v="Qawaed Aleskan Company General Contracting"/>
    <s v="Multipurpose"/>
    <x v="2"/>
    <x v="4"/>
    <s v="SAR"/>
    <n v="1020070"/>
    <n v="127650"/>
    <n v="1"/>
    <n v="127650"/>
    <n v="127650"/>
    <n v="0"/>
    <n v="0"/>
    <n v="0"/>
    <n v="0"/>
    <m/>
    <d v="2024-12-05T00:00:00"/>
    <d v="2024-11-15T00:00:00"/>
    <m/>
    <m/>
    <m/>
    <n v="0"/>
    <m/>
    <x v="2"/>
    <s v="Credit"/>
    <s v="Sight"/>
    <x v="0"/>
  </r>
  <r>
    <s v="ILC-0840-25-7174"/>
    <d v="2025-01-27T00:00:00"/>
    <s v="Hassan Taleb"/>
    <x v="0"/>
    <s v="Rabigh Solb Industry Factory Company"/>
    <s v="RCRC"/>
    <x v="0"/>
    <x v="11"/>
    <s v="SAR"/>
    <n v="1020106"/>
    <n v="715921"/>
    <n v="1"/>
    <n v="715921"/>
    <n v="715921"/>
    <n v="0"/>
    <n v="0"/>
    <n v="0"/>
    <n v="0"/>
    <m/>
    <d v="2025-04-30T00:00:00"/>
    <d v="2025-04-30T00:00:00"/>
    <m/>
    <m/>
    <m/>
    <n v="0"/>
    <m/>
    <x v="6"/>
    <s v="Credit"/>
    <s v="60 Days from Invoice Date"/>
    <x v="0"/>
  </r>
  <r>
    <s v="ILC-0840-25-7571"/>
    <d v="2025-04-28T00:00:00"/>
    <s v="Hassan Taleb"/>
    <x v="0"/>
    <s v="RABIGH SOLB INDUSTRY FACTORY COMPANY"/>
    <s v="RCRC"/>
    <x v="0"/>
    <x v="11"/>
    <s v="SAR"/>
    <n v="1020106"/>
    <n v="1918775"/>
    <n v="1"/>
    <n v="1918775"/>
    <n v="1918775"/>
    <n v="0"/>
    <n v="0"/>
    <n v="0"/>
    <n v="0"/>
    <m/>
    <d v="2025-07-31T00:00:00"/>
    <d v="2025-07-31T00:00:00"/>
    <m/>
    <m/>
    <m/>
    <m/>
    <m/>
    <x v="6"/>
    <s v="Credit"/>
    <s v="90 Days from Invoice Date"/>
    <x v="0"/>
  </r>
  <r>
    <s v="DCBWPM166286"/>
    <d v="2026-06-04T00:00:00"/>
    <s v="Hassan Taleb"/>
    <x v="0"/>
    <s v="RAPID SAUDI ARABIA CO LIMITED."/>
    <s v="MP1"/>
    <x v="0"/>
    <x v="6"/>
    <s v="SAR"/>
    <n v="1020088"/>
    <n v="190080.6"/>
    <n v="1"/>
    <n v="190080.6"/>
    <n v="0"/>
    <n v="190080.6"/>
    <n v="0"/>
    <n v="190080.6"/>
    <n v="0"/>
    <m/>
    <d v="2026-08-31T00:00:00"/>
    <d v="2026-08-31T00:00:00"/>
    <m/>
    <m/>
    <m/>
    <n v="0"/>
    <m/>
    <x v="4"/>
    <s v="Credit"/>
    <s v="120 Days from Applicant representative sign on Invoice"/>
    <x v="1"/>
  </r>
  <r>
    <s v="TF2508300026"/>
    <d v="2025-03-23T00:00:00"/>
    <s v="Hassan Taleb"/>
    <x v="0"/>
    <s v="Rawabi Al Mahfar Trading Co."/>
    <s v="KSP"/>
    <x v="0"/>
    <x v="0"/>
    <s v="SAR"/>
    <n v="1020055"/>
    <n v="450975.31"/>
    <n v="1"/>
    <n v="450975.31"/>
    <n v="450975.3"/>
    <n v="0.01"/>
    <n v="0"/>
    <n v="0.01"/>
    <n v="0"/>
    <m/>
    <d v="2025-06-30T00:00:00"/>
    <d v="2025-06-30T00:00:00"/>
    <m/>
    <m/>
    <m/>
    <n v="0"/>
    <m/>
    <x v="0"/>
    <s v="Credit"/>
    <s v="90 Days from Invoice Date"/>
    <x v="0"/>
  </r>
  <r>
    <s v="TF2513500018"/>
    <d v="2025-05-15T00:00:00"/>
    <s v="Hassan Taleb"/>
    <x v="0"/>
    <s v="RAWABI AL MAHFAR TRADING CO."/>
    <s v="KSP"/>
    <x v="0"/>
    <x v="0"/>
    <s v="SAR"/>
    <n v="1020055"/>
    <n v="292628.84000000003"/>
    <n v="1"/>
    <n v="292628.84000000003"/>
    <n v="292628.83"/>
    <n v="0.01"/>
    <n v="0"/>
    <n v="0.01"/>
    <n v="0"/>
    <m/>
    <d v="2025-08-31T00:00:00"/>
    <d v="2025-08-31T00:00:00"/>
    <m/>
    <m/>
    <m/>
    <n v="0"/>
    <m/>
    <x v="0"/>
    <s v="Credit"/>
    <s v="120 Days from Invoice Date"/>
    <x v="0"/>
  </r>
  <r>
    <s v="TF2513100026"/>
    <d v="2025-05-11T00:00:00"/>
    <s v="Hassan Taleb"/>
    <x v="0"/>
    <s v="RAWABI AL MAHFAR TRADING CO."/>
    <s v="KSP"/>
    <x v="0"/>
    <x v="0"/>
    <s v="SAR"/>
    <n v="1020055"/>
    <n v="102859.94"/>
    <n v="1"/>
    <n v="102859.94"/>
    <n v="102859.94"/>
    <n v="0"/>
    <n v="0"/>
    <n v="0"/>
    <n v="0"/>
    <m/>
    <d v="2025-10-31T00:00:00"/>
    <d v="2025-10-31T00:00:00"/>
    <m/>
    <m/>
    <m/>
    <n v="0"/>
    <s v="to bank on 08-09 | EXP &amp; LDS 31-10"/>
    <x v="0"/>
    <s v="Credit"/>
    <s v="120 Days from Invoice Date"/>
    <x v="0"/>
  </r>
  <r>
    <s v="ILC-0840-25-8473"/>
    <d v="2025-10-29T00:00:00"/>
    <s v="AbdulAziz Eraiba Fawzi"/>
    <x v="0"/>
    <s v="Rawabi Al Mahfar Trading Co."/>
    <s v="RCRC"/>
    <x v="0"/>
    <x v="11"/>
    <s v="SAR"/>
    <n v="1020106"/>
    <n v="282279.51"/>
    <n v="1"/>
    <n v="282279.51"/>
    <n v="282279.51"/>
    <n v="0"/>
    <n v="0"/>
    <n v="0"/>
    <n v="0"/>
    <m/>
    <d v="2025-11-30T00:00:00"/>
    <d v="2025-11-30T00:00:00"/>
    <m/>
    <m/>
    <m/>
    <n v="0"/>
    <m/>
    <x v="6"/>
    <s v="Credit"/>
    <s v="90 Days from Applicant representative sign on Invoice"/>
    <x v="0"/>
  </r>
  <r>
    <s v="J209061"/>
    <d v="2024-08-29T00:00:00"/>
    <s v="Hassan Taleb"/>
    <x v="0"/>
    <s v="RAWABI AL MAHFAR TRADING COMPANY LL"/>
    <s v="Opera House"/>
    <x v="0"/>
    <x v="0"/>
    <s v="SAR"/>
    <n v="1020055"/>
    <n v="458485.39"/>
    <n v="1"/>
    <n v="458485.39"/>
    <n v="458485.39"/>
    <n v="0"/>
    <n v="0"/>
    <n v="0"/>
    <n v="0"/>
    <m/>
    <d v="2024-11-30T00:00:00"/>
    <d v="2024-11-30T00:00:00"/>
    <m/>
    <m/>
    <m/>
    <n v="0"/>
    <m/>
    <x v="3"/>
    <s v="Credit"/>
    <s v="90 Days from Invoice Date"/>
    <x v="0"/>
  </r>
  <r>
    <s v="IM2500733001"/>
    <d v="2025-01-07T00:00:00"/>
    <s v="Hassan Taleb"/>
    <x v="0"/>
    <s v="RAWABI AL MAHFAR TRADING COMPANY LLC."/>
    <s v="Multipurpose"/>
    <x v="0"/>
    <x v="0"/>
    <s v="SAR"/>
    <n v="1020055"/>
    <n v="507379.58"/>
    <n v="1"/>
    <n v="507379.58"/>
    <n v="507379.57"/>
    <n v="0.01"/>
    <n v="0"/>
    <n v="0.01"/>
    <n v="0"/>
    <m/>
    <d v="2025-03-31T00:00:00"/>
    <d v="2025-03-31T00:00:00"/>
    <m/>
    <m/>
    <m/>
    <n v="0"/>
    <m/>
    <x v="2"/>
    <s v="Credit"/>
    <s v="90 Days from Invoice Date"/>
    <x v="0"/>
  </r>
  <r>
    <s v="J209515"/>
    <d v="2024-11-19T00:00:00"/>
    <s v="Hassan Taleb"/>
    <x v="0"/>
    <s v="Rawabi Al Mahfar Trdg.Company Llc"/>
    <s v="Opera House"/>
    <x v="0"/>
    <x v="0"/>
    <s v="SAR"/>
    <n v="1020055"/>
    <n v="754128.94"/>
    <n v="1"/>
    <n v="754128.94"/>
    <n v="754128.94"/>
    <n v="0"/>
    <n v="0"/>
    <n v="0"/>
    <n v="0"/>
    <m/>
    <d v="2025-02-28T00:00:00"/>
    <d v="2025-02-04T00:00:00"/>
    <m/>
    <m/>
    <m/>
    <n v="0"/>
    <m/>
    <x v="3"/>
    <s v="Credit"/>
    <s v="90 Days from Invoice Date"/>
    <x v="0"/>
  </r>
  <r>
    <s v="DCBWPM555620"/>
    <d v="2025-04-13T00:00:00"/>
    <s v="Hassan Taleb"/>
    <x v="0"/>
    <s v="Rawadf International Co."/>
    <s v="MP1"/>
    <x v="0"/>
    <x v="6"/>
    <s v="SAR"/>
    <n v="1020088"/>
    <n v="1000000"/>
    <n v="1"/>
    <n v="1000000"/>
    <n v="732234.90999999992"/>
    <n v="267765.09000000003"/>
    <n v="0"/>
    <n v="267765.09000000003"/>
    <n v="267765.09000000003"/>
    <m/>
    <d v="2026-06-30T00:00:00"/>
    <d v="2026-06-30T00:00:00"/>
    <m/>
    <m/>
    <m/>
    <n v="0"/>
    <m/>
    <x v="4"/>
    <s v="Credit"/>
    <s v="60 Days from Invoice Date"/>
    <x v="1"/>
  </r>
  <r>
    <s v="DCBWPM166289"/>
    <d v="2026-06-04T00:00:00"/>
    <s v="Hassan Taleb"/>
    <x v="0"/>
    <s v="RAWADF INTERNATIONAL CO."/>
    <s v="MP1"/>
    <x v="0"/>
    <x v="6"/>
    <s v="SAR"/>
    <n v="1020088"/>
    <n v="200000"/>
    <n v="1"/>
    <n v="200000"/>
    <n v="0"/>
    <n v="200000"/>
    <n v="0"/>
    <n v="200000"/>
    <n v="0"/>
    <m/>
    <d v="2026-08-31T00:00:00"/>
    <d v="2026-08-31T00:00:00"/>
    <m/>
    <m/>
    <m/>
    <n v="0"/>
    <m/>
    <x v="4"/>
    <s v="Credit"/>
    <s v="120 Days from Applicant representative sign on Invoice"/>
    <x v="1"/>
  </r>
  <r>
    <s v="M001959"/>
    <d v="2026-03-11T00:00:00"/>
    <s v="Nader Ageeb"/>
    <x v="3"/>
    <s v="Ready Mix Company Limited."/>
    <s v="Lagoon"/>
    <x v="2"/>
    <x v="9"/>
    <s v="SAR"/>
    <n v="1020108"/>
    <n v="5000000"/>
    <n v="1"/>
    <n v="5000000"/>
    <n v="2707269.5"/>
    <n v="2292730.5"/>
    <n v="949900"/>
    <n v="1342830.5"/>
    <n v="648646"/>
    <s v="12/07/2026"/>
    <d v="2026-06-30T00:00:00"/>
    <d v="2026-06-30T00:00:00"/>
    <m/>
    <m/>
    <m/>
    <n v="1500000"/>
    <s v="to bank on 23-06| LC Increase 1.5M | Exp Date 31-08"/>
    <x v="5"/>
    <s v="Credit"/>
    <s v="60 Days from Invoice Date"/>
    <x v="1"/>
  </r>
  <r>
    <s v="TF2431898515"/>
    <d v="2024-11-14T00:00:00"/>
    <s v="Rabih Makhoul"/>
    <x v="0"/>
    <s v="Reda Trading Development Company For Machinery And Equipment"/>
    <s v="KSP"/>
    <x v="2"/>
    <x v="14"/>
    <s v="SAR"/>
    <n v="1020060"/>
    <n v="455725.45"/>
    <n v="1"/>
    <n v="455725.45"/>
    <n v="91145.09"/>
    <n v="364580.36"/>
    <n v="0"/>
    <n v="364580.36"/>
    <n v="0"/>
    <m/>
    <d v="2025-01-31T00:00:00"/>
    <d v="2025-01-04T00:00:00"/>
    <m/>
    <m/>
    <m/>
    <n v="0"/>
    <m/>
    <x v="0"/>
    <s v="Credit"/>
    <s v="45 Days from Invoice Date"/>
    <x v="0"/>
  </r>
  <r>
    <s v="J211005"/>
    <d v="2025-08-07T00:00:00"/>
    <s v="Rabih Makhoul"/>
    <x v="0"/>
    <s v="Reda Trading Development Company For Machinery And Equipment"/>
    <s v="Opera House"/>
    <x v="2"/>
    <x v="14"/>
    <s v="SAR"/>
    <n v="1020060"/>
    <n v="364580.36"/>
    <n v="1"/>
    <n v="364580.36"/>
    <n v="0"/>
    <n v="364580.36"/>
    <n v="0"/>
    <n v="364580.36"/>
    <n v="0"/>
    <m/>
    <d v="2025-10-06T00:00:00"/>
    <d v="2025-09-15T00:00:00"/>
    <m/>
    <m/>
    <m/>
    <n v="0"/>
    <m/>
    <x v="3"/>
    <s v="Credit"/>
    <s v="45 Days from Invoice Date"/>
    <x v="0"/>
  </r>
  <r>
    <s v="TF2320083754"/>
    <d v="2023-07-19T00:00:00"/>
    <s v="Hassan Taleb"/>
    <x v="0"/>
    <s v="RIYAD CABLES GROUP COMPANY"/>
    <s v="KSP"/>
    <x v="0"/>
    <x v="0"/>
    <s v="SAR"/>
    <n v="1020055"/>
    <n v="1260873.8"/>
    <n v="1"/>
    <n v="1260873.8"/>
    <n v="1202205.3899999999"/>
    <n v="58668.41"/>
    <n v="0"/>
    <n v="58668.41"/>
    <n v="0"/>
    <m/>
    <d v="2023-10-16T00:00:00"/>
    <d v="2023-10-16T00:00:00"/>
    <m/>
    <m/>
    <m/>
    <n v="0"/>
    <m/>
    <x v="0"/>
    <s v="Credit"/>
    <s v="90 Days from Delivery Date"/>
    <x v="0"/>
  </r>
  <r>
    <s v="TF2324184990"/>
    <d v="2023-08-29T00:00:00"/>
    <s v="Hassan Taleb"/>
    <x v="0"/>
    <s v="RIYAD CABLES GROUP COMPANY"/>
    <s v="KSP"/>
    <x v="0"/>
    <x v="0"/>
    <s v="SAR"/>
    <n v="1020055"/>
    <n v="4000000"/>
    <n v="1"/>
    <n v="4000000"/>
    <n v="3998930.02"/>
    <n v="1069.98"/>
    <n v="0"/>
    <n v="1069.98"/>
    <n v="0"/>
    <m/>
    <d v="2023-11-30T00:00:00"/>
    <d v="2023-11-30T00:00:00"/>
    <m/>
    <m/>
    <m/>
    <n v="0"/>
    <m/>
    <x v="0"/>
    <s v="Credit"/>
    <s v="90 Days from Delivery Date"/>
    <x v="0"/>
  </r>
  <r>
    <s v="TF2400188721"/>
    <d v="2024-01-01T00:00:00"/>
    <s v="Hassan Taleb"/>
    <x v="0"/>
    <s v="RIYAD CO"/>
    <s v="KSP"/>
    <x v="0"/>
    <x v="0"/>
    <s v="SAR"/>
    <n v="1020055"/>
    <n v="4530823.74"/>
    <n v="1"/>
    <n v="4530823.74"/>
    <n v="4530823.74"/>
    <n v="0"/>
    <n v="0"/>
    <n v="0"/>
    <n v="0"/>
    <m/>
    <d v="2024-05-30T00:00:00"/>
    <d v="2024-05-30T00:00:00"/>
    <m/>
    <m/>
    <m/>
    <n v="0"/>
    <m/>
    <x v="0"/>
    <s v="Credit"/>
    <s v="90 Days from Delivery Date"/>
    <x v="0"/>
  </r>
  <r>
    <s v="TF2508300025"/>
    <d v="2025-03-23T00:00:00"/>
    <s v="Hassan Taleb"/>
    <x v="0"/>
    <s v="Riyadh Cable Group Of Company"/>
    <s v="KSP"/>
    <x v="0"/>
    <x v="0"/>
    <s v="SAR"/>
    <n v="1020055"/>
    <n v="1519664.37"/>
    <n v="1"/>
    <n v="1519664.37"/>
    <n v="1499834.16"/>
    <n v="19830.21"/>
    <n v="0"/>
    <n v="19830.21"/>
    <n v="0"/>
    <m/>
    <d v="2025-06-30T00:00:00"/>
    <d v="2025-06-30T00:00:00"/>
    <m/>
    <m/>
    <m/>
    <n v="0"/>
    <m/>
    <x v="0"/>
    <s v="Credit"/>
    <s v="90 Days from Invoice Date"/>
    <x v="0"/>
  </r>
  <r>
    <s v="IM2435033007"/>
    <d v="2024-12-15T00:00:00"/>
    <s v="Hassan Taleb"/>
    <x v="0"/>
    <s v="Riyadh Cable Group Of Company"/>
    <s v="Oceanarium"/>
    <x v="0"/>
    <x v="0"/>
    <s v="SAR"/>
    <n v="1020055"/>
    <n v="531394.88"/>
    <n v="1"/>
    <n v="531394.88"/>
    <n v="492054.91000000003"/>
    <n v="39339.97"/>
    <n v="0"/>
    <n v="39339.97"/>
    <n v="0"/>
    <m/>
    <d v="2025-03-31T00:00:00"/>
    <d v="2025-03-31T00:00:00"/>
    <m/>
    <m/>
    <m/>
    <n v="0"/>
    <m/>
    <x v="2"/>
    <s v="Credit"/>
    <s v="90 Days from Invoice Date"/>
    <x v="0"/>
  </r>
  <r>
    <s v="J209513"/>
    <d v="2024-11-19T00:00:00"/>
    <s v="Hassan Taleb"/>
    <x v="0"/>
    <s v="Riyadh Cable Group Of Company"/>
    <s v="Opera House"/>
    <x v="0"/>
    <x v="0"/>
    <s v="SAR"/>
    <n v="1020055"/>
    <n v="530000"/>
    <n v="1"/>
    <n v="530000"/>
    <n v="522689.46"/>
    <n v="7310.54"/>
    <n v="0"/>
    <n v="7310.54"/>
    <n v="0"/>
    <m/>
    <d v="2025-02-28T00:00:00"/>
    <d v="2025-02-04T00:00:00"/>
    <m/>
    <m/>
    <m/>
    <n v="0"/>
    <m/>
    <x v="3"/>
    <s v="Credit"/>
    <s v="90 Days from Invoice Date"/>
    <x v="0"/>
  </r>
  <r>
    <s v="TF2420494373"/>
    <d v="2024-07-22T00:00:00"/>
    <s v="Hassan Taleb"/>
    <x v="0"/>
    <s v="RIYADH CABLES GROUP CO"/>
    <s v="KSP"/>
    <x v="0"/>
    <x v="0"/>
    <s v="SAR"/>
    <n v="1020055"/>
    <n v="2000000"/>
    <n v="1"/>
    <n v="2000000"/>
    <n v="1989919.86"/>
    <n v="10080.14"/>
    <n v="0"/>
    <n v="10080.14"/>
    <n v="0"/>
    <m/>
    <d v="2024-10-31T00:00:00"/>
    <d v="2024-10-31T00:00:00"/>
    <m/>
    <m/>
    <m/>
    <n v="0"/>
    <m/>
    <x v="0"/>
    <s v="Credit"/>
    <m/>
    <x v="0"/>
  </r>
  <r>
    <s v="TF2414292637"/>
    <d v="2024-05-23T00:00:00"/>
    <s v="Hassan Taleb"/>
    <x v="0"/>
    <s v="RIYADH CABLES GROUP COMPANY"/>
    <s v="KSP"/>
    <x v="0"/>
    <x v="0"/>
    <s v="SAR"/>
    <n v="1020055"/>
    <n v="3000000"/>
    <n v="1"/>
    <n v="3000000"/>
    <n v="2993950.31"/>
    <n v="6049.69"/>
    <n v="0"/>
    <n v="6049.69"/>
    <n v="0"/>
    <m/>
    <d v="2024-09-30T00:00:00"/>
    <d v="2024-09-30T00:00:00"/>
    <m/>
    <m/>
    <m/>
    <n v="0"/>
    <m/>
    <x v="0"/>
    <s v="Cash"/>
    <m/>
    <x v="0"/>
  </r>
  <r>
    <s v="J209002"/>
    <d v="2024-08-15T00:00:00"/>
    <s v="Hassan Taleb"/>
    <x v="0"/>
    <s v="RIYADH CABLES GROUP COMPANY"/>
    <s v="Opera House"/>
    <x v="0"/>
    <x v="0"/>
    <s v="SAR"/>
    <n v="1020055"/>
    <n v="2588066.71"/>
    <n v="1"/>
    <n v="2588066.71"/>
    <n v="2560899.8000000003"/>
    <n v="27166.91"/>
    <n v="0"/>
    <n v="27166.91"/>
    <n v="0"/>
    <m/>
    <d v="2024-11-30T00:00:00"/>
    <d v="2024-11-30T00:00:00"/>
    <m/>
    <m/>
    <m/>
    <n v="0"/>
    <m/>
    <x v="3"/>
    <s v="Credit"/>
    <s v="90 Days from Invoice Date"/>
    <x v="0"/>
  </r>
  <r>
    <s v="J209162"/>
    <d v="2024-09-16T00:00:00"/>
    <s v="Hassan Taleb"/>
    <x v="0"/>
    <s v="RIYADH CABLES GROUP COMPANY"/>
    <s v="Opera House"/>
    <x v="0"/>
    <x v="0"/>
    <s v="SAR"/>
    <n v="1020055"/>
    <n v="2019034.07"/>
    <n v="1"/>
    <n v="2019034.07"/>
    <n v="2009087.66"/>
    <n v="9946.41"/>
    <n v="0"/>
    <n v="9946.41"/>
    <n v="0"/>
    <m/>
    <d v="2024-11-30T00:00:00"/>
    <d v="2024-11-04T00:00:00"/>
    <m/>
    <m/>
    <m/>
    <n v="0"/>
    <m/>
    <x v="3"/>
    <s v="Credit"/>
    <s v="90 Days from Invoice Date"/>
    <x v="0"/>
  </r>
  <r>
    <s v="J210027"/>
    <d v="2025-02-05T00:00:00"/>
    <s v="Hassan Taleb"/>
    <x v="0"/>
    <s v="RIYADH CABLES GROUP COMPANY"/>
    <s v="Opera House"/>
    <x v="0"/>
    <x v="0"/>
    <s v="SAR"/>
    <n v="1020055"/>
    <n v="594305.52"/>
    <n v="1"/>
    <n v="594305.52"/>
    <n v="590632.94000000006"/>
    <n v="3672.58"/>
    <n v="0"/>
    <n v="3672.58"/>
    <n v="0"/>
    <m/>
    <d v="2025-04-30T00:00:00"/>
    <d v="2025-04-30T00:00:00"/>
    <m/>
    <m/>
    <m/>
    <n v="0"/>
    <m/>
    <x v="3"/>
    <s v="Credit"/>
    <s v="90 Days from Invoice Date"/>
    <x v="0"/>
  </r>
  <r>
    <s v="J210388"/>
    <d v="2025-04-20T00:00:00"/>
    <s v="Hassan Taleb"/>
    <x v="0"/>
    <s v="RIYADH CABLES GROUP COMPANY"/>
    <s v="Opera House"/>
    <x v="0"/>
    <x v="0"/>
    <s v="SAR"/>
    <n v="1020055"/>
    <n v="1000000"/>
    <n v="1"/>
    <n v="1000000"/>
    <n v="1000000"/>
    <n v="0"/>
    <n v="0"/>
    <n v="0"/>
    <n v="0"/>
    <m/>
    <d v="2025-07-31T00:00:00"/>
    <d v="2025-07-31T00:00:00"/>
    <m/>
    <m/>
    <m/>
    <n v="0"/>
    <m/>
    <x v="3"/>
    <s v="Credit"/>
    <s v="90 Days from Invoice Date"/>
    <x v="0"/>
  </r>
  <r>
    <s v="DCBWPM563025"/>
    <d v="2025-07-31T00:00:00"/>
    <s v="Tareeq Telmasani"/>
    <x v="0"/>
    <s v="Riyadh Unity for Trading"/>
    <s v="CEER"/>
    <x v="0"/>
    <x v="3"/>
    <s v="SAR"/>
    <n v="1020091"/>
    <n v="1600000"/>
    <n v="1"/>
    <n v="1600000"/>
    <n v="1599999.9999999998"/>
    <n v="0"/>
    <n v="0"/>
    <n v="0"/>
    <n v="0"/>
    <m/>
    <d v="2026-02-28T00:00:00"/>
    <d v="2026-02-28T00:00:00"/>
    <m/>
    <m/>
    <m/>
    <n v="0"/>
    <m/>
    <x v="4"/>
    <s v="Credit"/>
    <s v="90 Days from Appl. Representative Sign"/>
    <x v="0"/>
  </r>
  <r>
    <s v="JLC7000002"/>
    <d v="2026-01-01T00:00:00"/>
    <s v="Luis Puente"/>
    <x v="0"/>
    <s v="Riyadh Unity for Trading"/>
    <s v="Oceanarium"/>
    <x v="0"/>
    <x v="7"/>
    <s v="SAR"/>
    <n v="1020096"/>
    <n v="500000"/>
    <n v="1"/>
    <n v="500000"/>
    <n v="326709.94"/>
    <n v="173290.06"/>
    <n v="0"/>
    <n v="173290.06"/>
    <n v="173290.06"/>
    <m/>
    <d v="2026-10-01T00:00:00"/>
    <d v="2026-10-01T00:00:00"/>
    <m/>
    <m/>
    <m/>
    <n v="0"/>
    <s v="to bank on 16-06 | Exp01-10"/>
    <x v="1"/>
    <s v="Credit"/>
    <s v="90 Days from Appln Rep Sign on Invoice"/>
    <x v="1"/>
  </r>
  <r>
    <s v="JLC7000183"/>
    <d v="2026-02-04T00:00:00"/>
    <s v="Luis Puente"/>
    <x v="0"/>
    <s v="Riyadh Unity for Trading"/>
    <s v="Oceanarium"/>
    <x v="0"/>
    <x v="7"/>
    <s v="SAR"/>
    <n v="1020096"/>
    <n v="500000"/>
    <n v="1"/>
    <n v="500000"/>
    <n v="500000"/>
    <n v="0"/>
    <n v="0"/>
    <n v="0"/>
    <n v="0"/>
    <m/>
    <d v="2026-04-30T00:00:00"/>
    <d v="2026-04-30T00:00:00"/>
    <m/>
    <m/>
    <m/>
    <n v="0"/>
    <m/>
    <x v="1"/>
    <s v="Credit"/>
    <s v="90 Days from Appln Rep Sign on Invoice"/>
    <x v="0"/>
  </r>
  <r>
    <s v="J210017"/>
    <d v="2025-02-05T00:00:00"/>
    <s v="Hassan Taleb"/>
    <x v="0"/>
    <s v="Rolaco Arabian Sounds &amp; Lights CO."/>
    <s v="Opera House"/>
    <x v="0"/>
    <x v="0"/>
    <s v="SAR"/>
    <n v="1020055"/>
    <n v="2622000"/>
    <n v="1"/>
    <n v="2622000"/>
    <n v="2622000"/>
    <n v="0"/>
    <n v="0"/>
    <n v="0"/>
    <n v="0"/>
    <m/>
    <d v="2025-04-30T00:00:00"/>
    <d v="2025-04-30T00:00:00"/>
    <m/>
    <m/>
    <m/>
    <n v="0"/>
    <m/>
    <x v="3"/>
    <s v="Credit"/>
    <s v="90 Days from Invoice Date"/>
    <x v="0"/>
  </r>
  <r>
    <s v="J210387"/>
    <d v="2025-04-20T00:00:00"/>
    <s v="Hassan Taleb"/>
    <x v="0"/>
    <s v="ROLACO ARABIAN SOUNDS &amp; LIGHTS COMPANY"/>
    <s v="Opera House"/>
    <x v="0"/>
    <x v="0"/>
    <s v="SAR"/>
    <n v="1020055"/>
    <n v="5113228.88"/>
    <n v="1"/>
    <n v="5113228.88"/>
    <n v="5113228.88"/>
    <n v="0"/>
    <n v="0"/>
    <n v="0"/>
    <n v="0"/>
    <m/>
    <d v="2025-07-31T00:00:00"/>
    <d v="2025-07-31T00:00:00"/>
    <m/>
    <m/>
    <m/>
    <n v="0"/>
    <m/>
    <x v="3"/>
    <s v="Credit"/>
    <s v="90 Days from Invoice Date"/>
    <x v="0"/>
  </r>
  <r>
    <s v="DCBWPM567940"/>
    <d v="2025-10-19T00:00:00"/>
    <s v="Tareeq - Premium"/>
    <x v="0"/>
    <s v="ROLLC FOR TRADING COMPANY"/>
    <s v="CEER"/>
    <x v="9"/>
    <x v="3"/>
    <s v="SAR"/>
    <n v="1020091"/>
    <n v="3000000"/>
    <n v="1"/>
    <n v="3000000"/>
    <n v="3000000"/>
    <n v="0"/>
    <n v="0"/>
    <n v="0"/>
    <n v="0"/>
    <m/>
    <d v="2025-11-15T00:00:00"/>
    <d v="2025-10-30T00:00:00"/>
    <m/>
    <m/>
    <m/>
    <n v="0"/>
    <m/>
    <x v="4"/>
    <s v="Credit"/>
    <s v="7 Days from Delivery Date"/>
    <x v="0"/>
  </r>
  <r>
    <s v="DPCWPM519485"/>
    <d v="2024-10-31T00:00:00"/>
    <s v="Tareeq Telmasani"/>
    <x v="0"/>
    <s v="Roof Metal Ind LLC"/>
    <s v="CEER"/>
    <x v="2"/>
    <x v="3"/>
    <s v="AED"/>
    <n v="1020091"/>
    <n v="4156524"/>
    <n v="1.026"/>
    <n v="4264593.6239999998"/>
    <n v="3934905.2673540004"/>
    <n v="329688.36"/>
    <n v="0"/>
    <n v="329688.36"/>
    <n v="0"/>
    <m/>
    <d v="2025-01-31T00:00:00"/>
    <d v="2025-01-04T00:00:00"/>
    <m/>
    <m/>
    <m/>
    <n v="0"/>
    <m/>
    <x v="4"/>
    <s v="Credit"/>
    <s v="Sight"/>
    <x v="0"/>
  </r>
  <r>
    <s v="DPCWPM551225"/>
    <d v="2025-01-22T00:00:00"/>
    <s v="Tareeq Telmasani"/>
    <x v="0"/>
    <s v="Roof Metal Ind LLC"/>
    <s v="CEER"/>
    <x v="2"/>
    <x v="3"/>
    <s v="AED"/>
    <n v="1020091"/>
    <n v="12740122"/>
    <n v="1.026"/>
    <n v="13071365.172"/>
    <n v="11962594.868075"/>
    <n v="1108770.3"/>
    <n v="0"/>
    <n v="1108770.3"/>
    <n v="0"/>
    <m/>
    <d v="2025-06-10T00:00:00"/>
    <d v="2025-03-31T00:00:00"/>
    <m/>
    <m/>
    <m/>
    <n v="0"/>
    <m/>
    <x v="4"/>
    <s v="Credit"/>
    <s v="Sight"/>
    <x v="0"/>
  </r>
  <r>
    <s v="DCBWPM562572"/>
    <d v="2025-07-28T00:00:00"/>
    <s v="Tareeq Telmasani"/>
    <x v="0"/>
    <s v="Roof Metal Ind LLC"/>
    <s v="CEER"/>
    <x v="2"/>
    <x v="3"/>
    <s v="AED"/>
    <n v="1020091"/>
    <n v="1248463.2195000001"/>
    <n v="1.026"/>
    <n v="1280923.2632070002"/>
    <n v="1233071.8233"/>
    <n v="47851.44"/>
    <n v="0"/>
    <n v="47851.44"/>
    <n v="0"/>
    <m/>
    <d v="2025-09-10T00:00:00"/>
    <d v="2025-08-20T00:00:00"/>
    <m/>
    <m/>
    <m/>
    <n v="0"/>
    <m/>
    <x v="4"/>
    <s v="Credit"/>
    <s v="Sight"/>
    <x v="0"/>
  </r>
  <r>
    <s v="TF2507700041"/>
    <d v="2025-03-18T00:00:00"/>
    <s v="Hassan Taleb"/>
    <x v="0"/>
    <s v="Roots Innovative Industrial Co"/>
    <s v="KSP"/>
    <x v="0"/>
    <x v="19"/>
    <s v="SAR"/>
    <m/>
    <n v="2500000"/>
    <n v="1"/>
    <n v="2500000"/>
    <n v="2500000"/>
    <n v="0"/>
    <n v="0"/>
    <n v="0"/>
    <n v="0"/>
    <m/>
    <d v="2025-05-31T00:00:00"/>
    <d v="2025-05-31T00:00:00"/>
    <m/>
    <m/>
    <m/>
    <n v="0"/>
    <m/>
    <x v="0"/>
    <s v="Credit"/>
    <s v="90 Days from Invoice Date"/>
    <x v="0"/>
  </r>
  <r>
    <s v="J209320"/>
    <d v="2024-10-07T00:00:00"/>
    <s v="Hassan Taleb"/>
    <x v="0"/>
    <s v="ROOTS INNOVATIVE INDUSTRIAL CO. "/>
    <s v="Opera House"/>
    <x v="0"/>
    <x v="19"/>
    <s v="SAR"/>
    <m/>
    <n v="5000000"/>
    <n v="1"/>
    <n v="5000000"/>
    <n v="5000000"/>
    <n v="0"/>
    <n v="0"/>
    <n v="0"/>
    <n v="0"/>
    <m/>
    <d v="2025-03-31T00:00:00"/>
    <d v="2025-03-04T00:00:00"/>
    <m/>
    <m/>
    <m/>
    <n v="0"/>
    <m/>
    <x v="3"/>
    <s v="Credit"/>
    <s v="90 Days from Invoice Date"/>
    <x v="0"/>
  </r>
  <r>
    <s v="TF2308980798"/>
    <d v="2023-03-30T00:00:00"/>
    <s v="Bassam Marawie"/>
    <x v="0"/>
    <s v="ROOTS INNOVATIVE INDUSTRIAL CO. JED"/>
    <s v="KSP"/>
    <x v="0"/>
    <x v="12"/>
    <s v="SAR"/>
    <n v="1020001"/>
    <n v="5713072"/>
    <n v="1"/>
    <n v="5713072"/>
    <n v="5713073"/>
    <n v="-1"/>
    <n v="0"/>
    <n v="-1"/>
    <n v="0"/>
    <m/>
    <d v="2023-09-30T00:00:00"/>
    <d v="2023-09-30T00:00:00"/>
    <m/>
    <m/>
    <m/>
    <n v="0"/>
    <m/>
    <x v="0"/>
    <s v="Credit"/>
    <m/>
    <x v="0"/>
  </r>
  <r>
    <s v="TF2308980803"/>
    <d v="2023-03-30T00:00:00"/>
    <s v="Bassam Marawie"/>
    <x v="0"/>
    <s v="ROOTS INNOVATIVE INDUSTRIAL CO. JED"/>
    <s v="KSP"/>
    <x v="0"/>
    <x v="12"/>
    <s v="SAR"/>
    <n v="1020001"/>
    <n v="12420000"/>
    <n v="1"/>
    <n v="12420000"/>
    <n v="11730000"/>
    <n v="690000"/>
    <n v="0"/>
    <n v="690000"/>
    <n v="0"/>
    <m/>
    <d v="2023-11-30T00:00:00"/>
    <d v="2023-11-30T00:00:00"/>
    <m/>
    <m/>
    <m/>
    <n v="0"/>
    <m/>
    <x v="0"/>
    <s v="Credit"/>
    <m/>
    <x v="0"/>
  </r>
  <r>
    <s v="J210026"/>
    <d v="2025-02-11T00:00:00"/>
    <s v="Hassan Taleb"/>
    <x v="0"/>
    <s v="Rubiya Contracting Company"/>
    <s v="Opera House"/>
    <x v="0"/>
    <x v="0"/>
    <s v="SAR"/>
    <n v="1020055"/>
    <n v="700000"/>
    <n v="1"/>
    <n v="700000"/>
    <n v="700000"/>
    <n v="0"/>
    <n v="0"/>
    <n v="0"/>
    <n v="0"/>
    <m/>
    <d v="2025-04-30T00:00:00"/>
    <d v="2025-04-30T00:00:00"/>
    <m/>
    <m/>
    <m/>
    <n v="0"/>
    <m/>
    <x v="3"/>
    <s v="Credit"/>
    <s v="90 Days from Invoice Date"/>
    <x v="0"/>
  </r>
  <r>
    <s v="TF2422095042"/>
    <d v="2024-08-08T00:00:00"/>
    <s v="Hassan Taleb"/>
    <x v="0"/>
    <s v="SAFID CO"/>
    <s v="KSP"/>
    <x v="0"/>
    <x v="0"/>
    <s v="SAR"/>
    <n v="1020055"/>
    <n v="900000"/>
    <n v="1"/>
    <n v="900000"/>
    <n v="900000"/>
    <n v="0"/>
    <n v="0"/>
    <n v="0"/>
    <n v="0"/>
    <m/>
    <d v="2024-11-30T00:00:00"/>
    <d v="2024-11-30T00:00:00"/>
    <m/>
    <m/>
    <m/>
    <n v="0"/>
    <m/>
    <x v="0"/>
    <s v="Credit"/>
    <m/>
    <x v="0"/>
  </r>
  <r>
    <s v="TF2334688090"/>
    <d v="2023-12-12T00:00:00"/>
    <s v="Hassan Taleb"/>
    <x v="0"/>
    <s v="SAFID CO LTD"/>
    <s v="KSP"/>
    <x v="0"/>
    <x v="0"/>
    <s v="SAR"/>
    <n v="1020055"/>
    <n v="2000000"/>
    <n v="1"/>
    <n v="2000000"/>
    <n v="2000000"/>
    <n v="0"/>
    <n v="0"/>
    <n v="0"/>
    <n v="0"/>
    <m/>
    <d v="2024-02-28T00:00:00"/>
    <d v="2024-02-28T00:00:00"/>
    <m/>
    <m/>
    <m/>
    <n v="0"/>
    <m/>
    <x v="0"/>
    <s v="Credit"/>
    <m/>
    <x v="0"/>
  </r>
  <r>
    <s v="TF2402489352"/>
    <d v="2024-01-24T00:00:00"/>
    <s v="Hassan Taleb"/>
    <x v="0"/>
    <s v="SAFID CO LTD"/>
    <s v="KSP"/>
    <x v="0"/>
    <x v="0"/>
    <s v="SAR"/>
    <n v="1020055"/>
    <n v="1000000"/>
    <n v="1"/>
    <n v="1000000"/>
    <n v="1000000"/>
    <n v="0"/>
    <n v="0"/>
    <n v="0"/>
    <n v="0"/>
    <m/>
    <d v="2024-03-31T00:00:00"/>
    <d v="2024-03-31T00:00:00"/>
    <m/>
    <m/>
    <m/>
    <n v="0"/>
    <m/>
    <x v="0"/>
    <s v="Credit"/>
    <m/>
    <x v="0"/>
  </r>
  <r>
    <s v="J212030"/>
    <d v="2026-03-08T00:00:00"/>
    <s v="Matthew Mckernan"/>
    <x v="0"/>
    <s v="Safid Co Ltd"/>
    <s v="Opera House"/>
    <x v="4"/>
    <x v="10"/>
    <s v="SAR"/>
    <n v="1020097"/>
    <n v="500000"/>
    <n v="1"/>
    <n v="500000"/>
    <n v="0"/>
    <n v="500000"/>
    <n v="500000"/>
    <n v="0"/>
    <n v="0"/>
    <s v="12/07/2026"/>
    <d v="2026-06-30T00:00:00"/>
    <d v="2026-06-20T00:00:00"/>
    <m/>
    <m/>
    <m/>
    <n v="0"/>
    <m/>
    <x v="3"/>
    <s v="Credit"/>
    <s v="90 Days From the Delivery Date"/>
    <x v="1"/>
  </r>
  <r>
    <s v="TF2325485343"/>
    <d v="2023-08-09T00:00:00"/>
    <s v="Hassan Taleb"/>
    <x v="0"/>
    <s v="SAFID CO. LTD"/>
    <s v="KSP"/>
    <x v="0"/>
    <x v="0"/>
    <s v="SAR"/>
    <n v="1020055"/>
    <n v="1476799.72"/>
    <n v="1"/>
    <n v="1476799.72"/>
    <n v="1476799.72"/>
    <n v="0"/>
    <n v="0"/>
    <n v="0"/>
    <n v="0"/>
    <m/>
    <d v="2023-10-31T00:00:00"/>
    <d v="2023-10-31T00:00:00"/>
    <m/>
    <m/>
    <m/>
    <n v="0"/>
    <m/>
    <x v="0"/>
    <s v="Credit"/>
    <m/>
    <x v="0"/>
  </r>
  <r>
    <s v="DCBWPM564584"/>
    <d v="2025-08-26T00:00:00"/>
    <s v="Mohammed Kotb"/>
    <x v="0"/>
    <s v="Safid Co. Ltd"/>
    <s v="MP1"/>
    <x v="4"/>
    <x v="4"/>
    <s v="SAR"/>
    <n v="1020070"/>
    <n v="1180195"/>
    <n v="1"/>
    <n v="1180195"/>
    <n v="1180195"/>
    <n v="0"/>
    <n v="0"/>
    <n v="0"/>
    <n v="0"/>
    <m/>
    <d v="2025-12-31T00:00:00"/>
    <d v="2025-10-31T00:00:00"/>
    <m/>
    <m/>
    <m/>
    <n v="0"/>
    <m/>
    <x v="4"/>
    <s v="Credit"/>
    <s v="90 Days from Date of Delivery"/>
    <x v="0"/>
  </r>
  <r>
    <s v="TF2502300048"/>
    <d v="2025-01-23T00:00:00"/>
    <s v="Hassan Taleb"/>
    <x v="0"/>
    <s v="Safid Co. Ltd."/>
    <s v="KSP"/>
    <x v="0"/>
    <x v="0"/>
    <s v="SAR"/>
    <n v="1020055"/>
    <n v="1500000"/>
    <n v="1"/>
    <n v="1500000"/>
    <n v="1500000"/>
    <n v="0"/>
    <n v="0"/>
    <n v="0"/>
    <n v="0"/>
    <m/>
    <d v="2025-04-30T00:00:00"/>
    <d v="2025-04-30T00:00:00"/>
    <m/>
    <m/>
    <m/>
    <n v="0"/>
    <m/>
    <x v="0"/>
    <s v="Credit"/>
    <s v="90 Days from Invoice Date"/>
    <x v="0"/>
  </r>
  <r>
    <s v="JLC6901610"/>
    <d v="2025-09-11T00:00:00"/>
    <s v="Luis Puente"/>
    <x v="0"/>
    <s v="Safid Co. Ltd."/>
    <s v="Oceanarium"/>
    <x v="0"/>
    <x v="7"/>
    <s v="SAR"/>
    <n v="1020096"/>
    <n v="1000000"/>
    <n v="1"/>
    <n v="1000000"/>
    <n v="1000000"/>
    <n v="0"/>
    <n v="0"/>
    <n v="0"/>
    <n v="0"/>
    <m/>
    <d v="2025-11-30T00:00:00"/>
    <d v="2025-11-30T00:00:00"/>
    <m/>
    <m/>
    <m/>
    <n v="0"/>
    <m/>
    <x v="1"/>
    <s v="Credit"/>
    <s v="120 Days from Invoice Date"/>
    <x v="0"/>
  </r>
  <r>
    <s v="TF2508300020"/>
    <d v="2025-03-23T00:00:00"/>
    <s v="Hassan Taleb"/>
    <x v="0"/>
    <s v="SAFID CO.LTD"/>
    <s v="KSP"/>
    <x v="0"/>
    <x v="0"/>
    <s v="SAR"/>
    <n v="1020055"/>
    <n v="500000"/>
    <n v="1"/>
    <n v="500000"/>
    <n v="500000"/>
    <n v="0"/>
    <n v="0"/>
    <n v="0"/>
    <n v="0"/>
    <m/>
    <d v="2025-06-30T00:00:00"/>
    <d v="2025-06-30T00:00:00"/>
    <m/>
    <m/>
    <m/>
    <n v="0"/>
    <m/>
    <x v="0"/>
    <s v="Credit"/>
    <s v="90 Days from Invoice Date"/>
    <x v="0"/>
  </r>
  <r>
    <s v="IM2434733004"/>
    <d v="2024-12-12T00:00:00"/>
    <s v="Hassan Taleb"/>
    <x v="0"/>
    <s v="Safid Co.Ltd"/>
    <s v="Oceanarium"/>
    <x v="0"/>
    <x v="0"/>
    <s v="SAR"/>
    <n v="1020055"/>
    <n v="1500000"/>
    <n v="1"/>
    <n v="1500000"/>
    <n v="1500000"/>
    <n v="0"/>
    <n v="0"/>
    <n v="0"/>
    <n v="0"/>
    <m/>
    <d v="2025-03-31T00:00:00"/>
    <d v="2025-03-31T00:00:00"/>
    <m/>
    <m/>
    <m/>
    <n v="0"/>
    <m/>
    <x v="2"/>
    <s v="Credit"/>
    <s v="90 Days from Invoice Date"/>
    <x v="0"/>
  </r>
  <r>
    <s v="J209001"/>
    <d v="2024-08-15T00:00:00"/>
    <s v="Hassan Taleb"/>
    <x v="0"/>
    <s v="SAFID CO.LTD"/>
    <s v="Opera House"/>
    <x v="0"/>
    <x v="0"/>
    <s v="SAR"/>
    <n v="1020055"/>
    <n v="500000"/>
    <n v="1"/>
    <n v="500000"/>
    <n v="500000"/>
    <n v="0"/>
    <n v="0"/>
    <n v="0"/>
    <n v="0"/>
    <m/>
    <d v="2024-11-30T00:00:00"/>
    <d v="2024-11-30T00:00:00"/>
    <m/>
    <m/>
    <m/>
    <n v="0"/>
    <m/>
    <x v="3"/>
    <s v="Credit"/>
    <s v="90 Days from Invoice Date"/>
    <x v="0"/>
  </r>
  <r>
    <s v="J209166"/>
    <d v="2024-09-16T00:00:00"/>
    <s v="Hassan Taleb"/>
    <x v="0"/>
    <s v="SAFID CO.LTD"/>
    <s v="Opera House"/>
    <x v="0"/>
    <x v="0"/>
    <s v="SAR"/>
    <n v="1020055"/>
    <n v="1508807.25"/>
    <n v="1"/>
    <n v="1508807.25"/>
    <n v="1508807.25"/>
    <n v="0"/>
    <n v="0"/>
    <n v="0"/>
    <n v="0"/>
    <m/>
    <d v="2024-11-30T00:00:00"/>
    <d v="2024-11-04T00:00:00"/>
    <m/>
    <m/>
    <m/>
    <n v="0"/>
    <m/>
    <x v="3"/>
    <s v="Credit"/>
    <s v="90 Days from Invoice Date"/>
    <x v="0"/>
  </r>
  <r>
    <s v="IM2512733003"/>
    <d v="2025-05-07T00:00:00"/>
    <s v="Hassan Taleb"/>
    <x v="0"/>
    <s v="Safid Co.Ltd"/>
    <s v="Cash"/>
    <x v="0"/>
    <x v="5"/>
    <s v="SAR"/>
    <n v="1020100"/>
    <n v="200000"/>
    <n v="1"/>
    <n v="200000"/>
    <n v="200000"/>
    <n v="0"/>
    <n v="0"/>
    <n v="0"/>
    <n v="0"/>
    <m/>
    <d v="2025-07-31T00:00:00"/>
    <d v="2025-07-31T00:00:00"/>
    <m/>
    <m/>
    <m/>
    <n v="0"/>
    <m/>
    <x v="2"/>
    <s v="Cash"/>
    <s v="120 Days from Invoice Date"/>
    <x v="0"/>
  </r>
  <r>
    <s v="DCBWPM562731"/>
    <d v="2025-07-29T00:00:00"/>
    <s v="Tareeq Telmasani"/>
    <x v="0"/>
    <s v="SAFID CO.LTD"/>
    <s v="CEER"/>
    <x v="0"/>
    <x v="3"/>
    <s v="SAR"/>
    <n v="1020091"/>
    <n v="5000000"/>
    <n v="1"/>
    <n v="5000000"/>
    <n v="5000000"/>
    <n v="0"/>
    <n v="0"/>
    <n v="0"/>
    <n v="0"/>
    <m/>
    <d v="2025-10-31T00:00:00"/>
    <d v="2025-10-31T00:00:00"/>
    <m/>
    <m/>
    <m/>
    <n v="0"/>
    <m/>
    <x v="4"/>
    <s v="Credit"/>
    <s v="90 Days from Appl. Representative Sign"/>
    <x v="0"/>
  </r>
  <r>
    <s v="TF2507700062"/>
    <d v="2025-03-18T00:00:00"/>
    <s v="Rabih Makhoul"/>
    <x v="0"/>
    <s v="SAFID CO.LTD."/>
    <s v="KSP"/>
    <x v="0"/>
    <x v="5"/>
    <s v="SAR"/>
    <n v="1020100"/>
    <n v="500000"/>
    <n v="1"/>
    <n v="500000"/>
    <n v="500000"/>
    <n v="0"/>
    <n v="0"/>
    <n v="0"/>
    <n v="0"/>
    <m/>
    <d v="2025-06-30T00:00:00"/>
    <d v="2025-06-30T00:00:00"/>
    <m/>
    <m/>
    <m/>
    <n v="0"/>
    <m/>
    <x v="0"/>
    <s v="Credit"/>
    <s v="90 Days from Invoice Date"/>
    <x v="0"/>
  </r>
  <r>
    <s v="TF2513100024"/>
    <d v="2025-05-11T00:00:00"/>
    <s v="Hassan Taleb"/>
    <x v="0"/>
    <s v="SAFID CO.LTD."/>
    <s v="KSP"/>
    <x v="0"/>
    <x v="0"/>
    <s v="SAR"/>
    <n v="1020055"/>
    <n v="1161954.08"/>
    <n v="1"/>
    <n v="1161954.08"/>
    <n v="1161954.08"/>
    <n v="0"/>
    <n v="0"/>
    <n v="0"/>
    <n v="0"/>
    <m/>
    <d v="2025-08-31T00:00:00"/>
    <d v="2025-08-31T00:00:00"/>
    <m/>
    <m/>
    <m/>
    <n v="0"/>
    <m/>
    <x v="0"/>
    <s v="Credit"/>
    <s v="120 Days from Invoice Date"/>
    <x v="0"/>
  </r>
  <r>
    <s v="TF2513500017"/>
    <d v="2025-05-15T00:00:00"/>
    <s v="Hassan Taleb"/>
    <x v="0"/>
    <s v="SAFID CO.LTD."/>
    <s v="KSP"/>
    <x v="0"/>
    <x v="0"/>
    <s v="SAR"/>
    <n v="1020055"/>
    <n v="535185.18000000005"/>
    <n v="1"/>
    <n v="535185.18000000005"/>
    <n v="535185.18000000005"/>
    <n v="0"/>
    <n v="0"/>
    <n v="0"/>
    <n v="0"/>
    <m/>
    <d v="2025-08-31T00:00:00"/>
    <d v="2025-08-31T00:00:00"/>
    <m/>
    <m/>
    <m/>
    <n v="0"/>
    <m/>
    <x v="0"/>
    <s v="Credit"/>
    <s v="120 Days from Invoice Date"/>
    <x v="0"/>
  </r>
  <r>
    <s v="TF2514700056"/>
    <d v="2025-05-27T00:00:00"/>
    <s v="Hassan Taleb"/>
    <x v="0"/>
    <s v="SAHM AL MADINAH CONTRACTING EST"/>
    <s v="KSP"/>
    <x v="0"/>
    <x v="0"/>
    <s v="SAR"/>
    <n v="1020055"/>
    <n v="150000"/>
    <n v="1"/>
    <n v="150000"/>
    <n v="150000"/>
    <n v="0"/>
    <n v="0"/>
    <n v="0"/>
    <n v="0"/>
    <m/>
    <d v="2025-08-31T00:00:00"/>
    <d v="2025-08-31T00:00:00"/>
    <m/>
    <m/>
    <m/>
    <n v="0"/>
    <m/>
    <x v="0"/>
    <s v="Credit"/>
    <s v="120 Days from Invoice Date"/>
    <x v="0"/>
  </r>
  <r>
    <s v="TF2517700035"/>
    <d v="2025-06-26T00:00:00"/>
    <s v="Hassan Taleb"/>
    <x v="0"/>
    <s v="SAHM AL MADINAH CONTRACTING EST"/>
    <s v="KSP"/>
    <x v="0"/>
    <x v="5"/>
    <s v="SAR"/>
    <n v="1020100"/>
    <n v="550000"/>
    <n v="1"/>
    <n v="550000"/>
    <n v="550000"/>
    <n v="0"/>
    <n v="0"/>
    <n v="0"/>
    <n v="0"/>
    <m/>
    <d v="2025-08-31T00:00:00"/>
    <d v="2025-08-31T00:00:00"/>
    <m/>
    <m/>
    <m/>
    <n v="0"/>
    <m/>
    <x v="0"/>
    <s v="Credit"/>
    <s v="120 Days from Invoice Date"/>
    <x v="0"/>
  </r>
  <r>
    <s v="IM2512733005"/>
    <d v="2025-05-07T00:00:00"/>
    <s v="Hassan Taleb"/>
    <x v="0"/>
    <s v="SAHM AL-MADINAH CONTRACTING EST"/>
    <s v="Cash"/>
    <x v="0"/>
    <x v="5"/>
    <s v="SAR"/>
    <n v="1020100"/>
    <n v="500000"/>
    <n v="1"/>
    <n v="500000"/>
    <n v="500000"/>
    <n v="0"/>
    <n v="0"/>
    <n v="0"/>
    <n v="0"/>
    <m/>
    <d v="2025-07-31T00:00:00"/>
    <d v="2025-07-31T00:00:00"/>
    <m/>
    <m/>
    <m/>
    <n v="0"/>
    <m/>
    <x v="2"/>
    <s v="Cash"/>
    <s v="120 Days from Invoice Date"/>
    <x v="0"/>
  </r>
  <r>
    <s v="J210929"/>
    <d v="2025-07-27T00:00:00"/>
    <s v="Hassan Taleb"/>
    <x v="0"/>
    <s v="Sami Yousee Bin Abdel Rahim Alharbi Foundation"/>
    <s v="Opera House"/>
    <x v="0"/>
    <x v="5"/>
    <s v="SAR"/>
    <n v="1020100"/>
    <n v="200000"/>
    <n v="1"/>
    <n v="200000"/>
    <n v="184701.44"/>
    <n v="15298.56"/>
    <n v="0"/>
    <n v="15298.56"/>
    <n v="0"/>
    <m/>
    <d v="2025-10-31T00:00:00"/>
    <d v="2025-10-31T00:00:00"/>
    <m/>
    <m/>
    <m/>
    <n v="0"/>
    <m/>
    <x v="3"/>
    <s v="Credit"/>
    <s v="120 Days from Invoice Date"/>
    <x v="0"/>
  </r>
  <r>
    <s v="JLC6801271"/>
    <d v="2024-06-11T00:00:00"/>
    <s v="Dipu Sir"/>
    <x v="0"/>
    <s v="SAMSARA SRL"/>
    <s v="Cash"/>
    <x v="2"/>
    <x v="17"/>
    <s v="EUR"/>
    <n v="1020015"/>
    <n v="308759"/>
    <n v="4.6375999999999999"/>
    <n v="1431900.7383999999"/>
    <n v="1360305.70148"/>
    <n v="71595.039999999994"/>
    <n v="0"/>
    <n v="71595.039999999994"/>
    <n v="0"/>
    <m/>
    <d v="2026-03-31T00:00:00"/>
    <d v="2024-08-31T00:00:00"/>
    <m/>
    <m/>
    <n v="71595.03"/>
    <n v="0"/>
    <m/>
    <x v="1"/>
    <s v="Cash"/>
    <s v="Sight"/>
    <x v="0"/>
  </r>
  <r>
    <s v="ILC-0840-26-9418"/>
    <d v="2026-06-17T00:00:00"/>
    <s v="AbdulAziz Eraiba Fawzi"/>
    <x v="0"/>
    <s v="Saraya Al Andalus for Construction company"/>
    <s v="RCRC"/>
    <x v="2"/>
    <x v="11"/>
    <s v="SAR"/>
    <n v="1020106"/>
    <n v="5000000"/>
    <n v="1"/>
    <n v="5000000"/>
    <n v="0"/>
    <n v="5000000"/>
    <n v="0"/>
    <n v="5000000"/>
    <n v="0"/>
    <m/>
    <d v="2026-10-31T00:00:00"/>
    <d v="2026-10-31T00:00:00"/>
    <m/>
    <m/>
    <m/>
    <n v="0"/>
    <m/>
    <x v="6"/>
    <s v="Credit"/>
    <s v="30 Days from Appl. Rep Sign on Invoice"/>
    <x v="1"/>
  </r>
  <r>
    <s v="IM2512833003"/>
    <d v="2025-05-08T00:00:00"/>
    <s v="Hassan Taleb"/>
    <x v="0"/>
    <s v="SAUD JAMAL ALHADDAD EQUIPMENT RENTAL EST."/>
    <s v="Cash"/>
    <x v="0"/>
    <x v="5"/>
    <s v="SAR"/>
    <n v="1020100"/>
    <n v="350000"/>
    <n v="1"/>
    <n v="350000"/>
    <n v="350000"/>
    <n v="0"/>
    <n v="0"/>
    <n v="0"/>
    <n v="0"/>
    <m/>
    <d v="2025-07-31T00:00:00"/>
    <d v="2025-07-31T00:00:00"/>
    <m/>
    <m/>
    <m/>
    <n v="0"/>
    <m/>
    <x v="2"/>
    <s v="Cash"/>
    <s v="120 Days from Invoice Date"/>
    <x v="0"/>
  </r>
  <r>
    <s v="TF2517700061"/>
    <d v="2025-06-26T00:00:00"/>
    <s v="Hassan Taleb"/>
    <x v="0"/>
    <s v="SAUD JAMAL ALHADDAD EQUIPMENT RENTAL EST."/>
    <s v="KSP"/>
    <x v="0"/>
    <x v="5"/>
    <s v="SAR"/>
    <n v="1020100"/>
    <n v="200000"/>
    <n v="1"/>
    <n v="200000"/>
    <n v="200000"/>
    <n v="0"/>
    <n v="0"/>
    <n v="0"/>
    <n v="0"/>
    <m/>
    <d v="2025-08-31T00:00:00"/>
    <d v="2025-08-31T00:00:00"/>
    <m/>
    <m/>
    <m/>
    <n v="0"/>
    <m/>
    <x v="0"/>
    <s v="Credit"/>
    <s v="120 Days from Invoice Date"/>
    <x v="0"/>
  </r>
  <r>
    <s v="ILC-0840-25-8162"/>
    <d v="2025-08-26T00:00:00"/>
    <s v="Hassan Taleb"/>
    <x v="0"/>
    <s v="Saudi Benaa Company for Building Materials"/>
    <s v="RCRC"/>
    <x v="0"/>
    <x v="11"/>
    <s v="SAR"/>
    <n v="1020106"/>
    <n v="148350"/>
    <n v="1"/>
    <n v="148350"/>
    <n v="148350"/>
    <n v="0"/>
    <n v="0"/>
    <n v="0"/>
    <n v="0"/>
    <m/>
    <d v="2025-11-30T00:00:00"/>
    <d v="2025-11-30T00:00:00"/>
    <m/>
    <m/>
    <m/>
    <n v="0"/>
    <m/>
    <x v="6"/>
    <s v="Credit"/>
    <s v="90 Days from Invoice Date"/>
    <x v="0"/>
  </r>
  <r>
    <s v="ILC-0840-25-8470"/>
    <d v="2025-10-29T00:00:00"/>
    <s v="AbdulAziz Eraiba Fawzi"/>
    <x v="0"/>
    <s v="Saudi Benaa Company For Building Materials"/>
    <s v="RCRC"/>
    <x v="0"/>
    <x v="11"/>
    <s v="SAR"/>
    <n v="1020106"/>
    <n v="526125"/>
    <n v="1"/>
    <n v="526125"/>
    <n v="526125"/>
    <n v="0"/>
    <n v="0"/>
    <n v="0"/>
    <n v="0"/>
    <m/>
    <d v="2025-12-31T00:00:00"/>
    <d v="2025-12-31T00:00:00"/>
    <m/>
    <m/>
    <m/>
    <n v="0"/>
    <m/>
    <x v="6"/>
    <s v="Credit"/>
    <s v="60 Days from Applicant representative sign on Invoice"/>
    <x v="0"/>
  </r>
  <r>
    <s v="J211604"/>
    <d v="2025-12-04T00:00:00"/>
    <s v="Matthew Mckernan"/>
    <x v="0"/>
    <s v="Saudi Benaa Company For Building Materials"/>
    <s v="Opera House"/>
    <x v="2"/>
    <x v="10"/>
    <s v="SAR"/>
    <n v="1020097"/>
    <n v="1200600"/>
    <n v="1"/>
    <n v="1200600"/>
    <n v="1200600"/>
    <n v="0"/>
    <n v="0"/>
    <n v="0"/>
    <n v="0"/>
    <m/>
    <d v="2026-02-28T00:00:00"/>
    <d v="2026-02-28T00:00:00"/>
    <m/>
    <m/>
    <m/>
    <n v="0"/>
    <m/>
    <x v="3"/>
    <s v="Credit"/>
    <s v="90 Days from Invoice Date"/>
    <x v="0"/>
  </r>
  <r>
    <s v="JLC6901473"/>
    <d v="2025-08-19T00:00:00"/>
    <s v="Muhammed Khan"/>
    <x v="0"/>
    <s v="Saudi company for development of construction and trading limited - SACODECO"/>
    <s v="Cash"/>
    <x v="1"/>
    <x v="1"/>
    <s v="SAR"/>
    <m/>
    <n v="711169"/>
    <n v="1"/>
    <n v="711169"/>
    <n v="711169"/>
    <n v="0"/>
    <n v="0"/>
    <n v="0"/>
    <n v="0"/>
    <m/>
    <d v="2025-09-30T00:00:00"/>
    <d v="2025-09-15T00:00:00"/>
    <m/>
    <m/>
    <m/>
    <m/>
    <m/>
    <x v="1"/>
    <s v="Cash"/>
    <s v="Sight"/>
    <x v="0"/>
  </r>
  <r>
    <s v="TF2400188734"/>
    <d v="2024-01-01T00:00:00"/>
    <s v="Hassan Taleb"/>
    <x v="0"/>
    <s v="SAUDI ELECTRIC CO"/>
    <s v="KSP"/>
    <x v="0"/>
    <x v="0"/>
    <s v="SAR"/>
    <n v="1020055"/>
    <n v="1133900"/>
    <n v="1"/>
    <n v="1133900"/>
    <n v="1133900"/>
    <n v="0"/>
    <n v="0"/>
    <n v="0"/>
    <n v="0"/>
    <m/>
    <d v="2024-05-30T00:00:00"/>
    <d v="2024-05-30T00:00:00"/>
    <m/>
    <m/>
    <m/>
    <n v="0"/>
    <m/>
    <x v="0"/>
    <s v="Credit"/>
    <s v="90 Days from Delivery Date"/>
    <x v="0"/>
  </r>
  <r>
    <s v="TF2324184996"/>
    <d v="2023-08-29T00:00:00"/>
    <s v="Hassan Taleb"/>
    <x v="0"/>
    <s v="Saudi Electric Supply Company"/>
    <s v="KSP"/>
    <x v="0"/>
    <x v="0"/>
    <s v="SAR"/>
    <n v="1020055"/>
    <n v="1350000"/>
    <n v="1"/>
    <n v="1350000"/>
    <n v="1350000"/>
    <n v="0"/>
    <n v="0"/>
    <n v="0"/>
    <n v="0"/>
    <m/>
    <d v="2023-11-30T00:00:00"/>
    <d v="2023-11-30T00:00:00"/>
    <m/>
    <m/>
    <m/>
    <n v="0"/>
    <m/>
    <x v="0"/>
    <s v="Credit"/>
    <s v="90 Days from Delivery Date"/>
    <x v="0"/>
  </r>
  <r>
    <s v="TF2508300006"/>
    <d v="2025-03-23T00:00:00"/>
    <s v="Hassan Taleb"/>
    <x v="0"/>
    <s v="Saudi Electric Supply Company"/>
    <s v="KSP"/>
    <x v="0"/>
    <x v="0"/>
    <s v="SAR"/>
    <n v="1020055"/>
    <n v="200422.65"/>
    <n v="1"/>
    <n v="200422.65"/>
    <n v="200422.65"/>
    <n v="0"/>
    <n v="0"/>
    <n v="0"/>
    <n v="0"/>
    <m/>
    <d v="2025-06-30T00:00:00"/>
    <d v="2025-06-30T00:00:00"/>
    <m/>
    <m/>
    <m/>
    <n v="0"/>
    <m/>
    <x v="0"/>
    <s v="Credit"/>
    <s v="90 Days from Invoice Date"/>
    <x v="0"/>
  </r>
  <r>
    <s v="DCBWPM553914"/>
    <d v="2025-03-11T00:00:00"/>
    <s v="Hassan Taleb"/>
    <x v="0"/>
    <s v="Saudi Electric Supply Company"/>
    <s v="MP1"/>
    <x v="0"/>
    <x v="6"/>
    <s v="SAR"/>
    <n v="1020088"/>
    <n v="500000"/>
    <n v="1"/>
    <n v="500000"/>
    <n v="500000"/>
    <n v="0"/>
    <n v="0"/>
    <n v="0"/>
    <n v="0"/>
    <m/>
    <d v="2025-06-30T00:00:00"/>
    <d v="2025-06-30T00:00:00"/>
    <m/>
    <m/>
    <m/>
    <n v="0"/>
    <m/>
    <x v="4"/>
    <s v="Credit"/>
    <s v="90 Days from Invoice Date"/>
    <x v="0"/>
  </r>
  <r>
    <s v="J209613"/>
    <d v="2024-12-08T00:00:00"/>
    <s v="Rabih Makhoul"/>
    <x v="0"/>
    <s v="Saudi Electric Supply Company"/>
    <s v="Opera House"/>
    <x v="0"/>
    <x v="5"/>
    <s v="SAR"/>
    <n v="1020100"/>
    <n v="700000"/>
    <n v="1"/>
    <n v="700000"/>
    <n v="650808.41"/>
    <n v="49191.59"/>
    <n v="0"/>
    <n v="49191.59"/>
    <n v="0"/>
    <m/>
    <d v="2025-06-30T00:00:00"/>
    <d v="2025-04-04T00:00:00"/>
    <m/>
    <m/>
    <m/>
    <n v="0"/>
    <m/>
    <x v="3"/>
    <s v="Credit"/>
    <s v="90 Days from Invoice Date"/>
    <x v="0"/>
  </r>
  <r>
    <s v="J209960"/>
    <d v="2025-01-27T00:00:00"/>
    <s v="Rabih Makhoul"/>
    <x v="0"/>
    <s v="Saudi Electric Supply Company"/>
    <s v="Opera House"/>
    <x v="0"/>
    <x v="5"/>
    <s v="SAR"/>
    <n v="1020100"/>
    <n v="350000"/>
    <n v="1"/>
    <n v="350000"/>
    <n v="350000"/>
    <n v="0"/>
    <n v="0"/>
    <n v="0"/>
    <n v="0"/>
    <m/>
    <d v="2025-04-30T00:00:00"/>
    <d v="2025-04-30T00:00:00"/>
    <m/>
    <m/>
    <m/>
    <n v="0"/>
    <m/>
    <x v="3"/>
    <s v="Credit"/>
    <s v="90 Days from Invoice Date"/>
    <x v="0"/>
  </r>
  <r>
    <s v="J209072"/>
    <d v="2024-08-29T00:00:00"/>
    <s v="Hassan Taleb"/>
    <x v="0"/>
    <s v="Saudi Electric Supply Company"/>
    <s v="Opera House"/>
    <x v="0"/>
    <x v="0"/>
    <s v="SAR"/>
    <n v="1020055"/>
    <n v="1053268.1599999999"/>
    <n v="1"/>
    <n v="1053268.1599999999"/>
    <n v="1053268.1599999999"/>
    <n v="0"/>
    <n v="0"/>
    <n v="0"/>
    <n v="0"/>
    <m/>
    <d v="2024-11-30T00:00:00"/>
    <d v="2024-11-30T00:00:00"/>
    <m/>
    <m/>
    <m/>
    <n v="0"/>
    <m/>
    <x v="3"/>
    <s v="Credit"/>
    <s v="90 Days from Invoice Date"/>
    <x v="0"/>
  </r>
  <r>
    <s v="TF2513500035"/>
    <d v="2025-05-15T00:00:00"/>
    <s v="Hassan Taleb"/>
    <x v="0"/>
    <s v="Saudi Electric Supply Company"/>
    <s v="KSP"/>
    <x v="0"/>
    <x v="0"/>
    <s v="SAR"/>
    <n v="1020055"/>
    <n v="335475.96000000002"/>
    <n v="1"/>
    <n v="335475.96000000002"/>
    <n v="335475.96000000002"/>
    <n v="0"/>
    <n v="0"/>
    <n v="0"/>
    <n v="0"/>
    <m/>
    <d v="2025-08-31T00:00:00"/>
    <d v="2025-08-31T00:00:00"/>
    <m/>
    <m/>
    <m/>
    <n v="0"/>
    <m/>
    <x v="0"/>
    <s v="Credit"/>
    <s v="120 Days from Invoice Date"/>
    <x v="0"/>
  </r>
  <r>
    <s v="TF2517400086"/>
    <d v="2025-06-23T00:00:00"/>
    <s v="Hassan Taleb"/>
    <x v="0"/>
    <s v="Saudi Electric Supply Company"/>
    <s v="KSP"/>
    <x v="0"/>
    <x v="5"/>
    <s v="SAR"/>
    <n v="1020100"/>
    <n v="400000"/>
    <n v="1"/>
    <n v="400000"/>
    <n v="400000"/>
    <n v="0"/>
    <n v="0"/>
    <n v="0"/>
    <n v="0"/>
    <m/>
    <d v="2025-08-31T00:00:00"/>
    <d v="2025-08-31T00:00:00"/>
    <m/>
    <m/>
    <m/>
    <n v="0"/>
    <m/>
    <x v="0"/>
    <s v="Credit"/>
    <s v="120 Days from Invoice Date"/>
    <x v="0"/>
  </r>
  <r>
    <s v="DCBWPM558755"/>
    <d v="2025-06-02T00:00:00"/>
    <s v="Hassan Taleb"/>
    <x v="0"/>
    <s v="Saudi Electric Supply Company"/>
    <s v="MP1"/>
    <x v="0"/>
    <x v="6"/>
    <s v="SAR"/>
    <n v="1020088"/>
    <n v="150000"/>
    <n v="1"/>
    <n v="150000"/>
    <n v="150000"/>
    <n v="0"/>
    <n v="0"/>
    <n v="0"/>
    <n v="0"/>
    <m/>
    <d v="2025-08-31T00:00:00"/>
    <d v="2025-08-31T00:00:00"/>
    <m/>
    <m/>
    <m/>
    <n v="0"/>
    <m/>
    <x v="4"/>
    <s v="Credit"/>
    <s v="120 Days from Invoice Date"/>
    <x v="0"/>
  </r>
  <r>
    <s v="DCBWPM562592"/>
    <d v="2025-07-24T00:00:00"/>
    <s v="Hassan Taleb"/>
    <x v="0"/>
    <s v="Saudi Electric Supply Company"/>
    <s v="MP1"/>
    <x v="0"/>
    <x v="6"/>
    <s v="SAR"/>
    <n v="1020088"/>
    <n v="293143.98"/>
    <n v="1"/>
    <n v="293143.98"/>
    <n v="293143.98"/>
    <n v="0"/>
    <n v="0"/>
    <n v="0"/>
    <n v="0"/>
    <m/>
    <d v="2025-10-31T00:00:00"/>
    <d v="2025-10-31T00:00:00"/>
    <m/>
    <m/>
    <m/>
    <n v="0"/>
    <m/>
    <x v="4"/>
    <s v="Credit"/>
    <s v="120 Days from Invoice Date"/>
    <x v="0"/>
  </r>
  <r>
    <s v="DCBWPM565841"/>
    <d v="2025-09-14T00:00:00"/>
    <s v="Hassan Taleb"/>
    <x v="0"/>
    <s v="Saudi Electric Supply Company"/>
    <s v="MP1"/>
    <x v="0"/>
    <x v="6"/>
    <s v="SAR"/>
    <n v="1020088"/>
    <n v="2000000"/>
    <n v="1"/>
    <n v="2000000"/>
    <n v="2000000"/>
    <n v="0"/>
    <n v="0"/>
    <n v="0"/>
    <n v="0"/>
    <m/>
    <d v="2025-12-31T00:00:00"/>
    <d v="2025-12-31T00:00:00"/>
    <m/>
    <m/>
    <m/>
    <n v="0"/>
    <m/>
    <x v="4"/>
    <s v="Credit"/>
    <s v="120 Days from Invoice Date"/>
    <x v="0"/>
  </r>
  <r>
    <s v="JLC6901611"/>
    <d v="2025-09-11T00:00:00"/>
    <s v="Luis Puente"/>
    <x v="0"/>
    <s v="Saudi Electric Supply Company"/>
    <s v="Cash"/>
    <x v="0"/>
    <x v="7"/>
    <s v="SAR"/>
    <n v="1020096"/>
    <n v="600000"/>
    <n v="1"/>
    <n v="600000"/>
    <n v="600000"/>
    <n v="0"/>
    <n v="0"/>
    <n v="0"/>
    <n v="0"/>
    <m/>
    <d v="2025-11-30T00:00:00"/>
    <d v="2025-11-30T00:00:00"/>
    <m/>
    <m/>
    <m/>
    <n v="0"/>
    <m/>
    <x v="1"/>
    <s v="Cash"/>
    <s v="120 Days from Invoice Date"/>
    <x v="0"/>
  </r>
  <r>
    <s v="DCBWPM161322"/>
    <d v="2026-01-28T00:00:00"/>
    <s v="Hassan Taleb"/>
    <x v="0"/>
    <s v="SAUDI ELECTRIC SUPPLY COMPANY"/>
    <s v="MP1"/>
    <x v="0"/>
    <x v="6"/>
    <s v="SAR"/>
    <n v="1020088"/>
    <n v="1000000"/>
    <n v="1"/>
    <n v="1000000"/>
    <n v="1000000"/>
    <n v="0"/>
    <n v="0"/>
    <n v="0"/>
    <n v="0"/>
    <m/>
    <d v="2026-04-30T00:00:00"/>
    <d v="2026-04-30T00:00:00"/>
    <m/>
    <m/>
    <m/>
    <n v="0"/>
    <m/>
    <x v="4"/>
    <s v="Credit"/>
    <s v="90 Days from Applicant representative sign on Invoice"/>
    <x v="0"/>
  </r>
  <r>
    <s v="DCBWPM164003"/>
    <d v="2026-04-06T00:00:00"/>
    <s v="Hassan Taleb"/>
    <x v="0"/>
    <s v="Saudi Electric Supply Company"/>
    <s v="MP1"/>
    <x v="0"/>
    <x v="6"/>
    <s v="SAR"/>
    <n v="1020088"/>
    <n v="1000000"/>
    <n v="1"/>
    <n v="1000000"/>
    <n v="0"/>
    <n v="1000000"/>
    <n v="1000000"/>
    <n v="0"/>
    <n v="0"/>
    <s v="19/07/2026"/>
    <d v="2026-06-30T00:00:00"/>
    <d v="2026-06-30T00:00:00"/>
    <m/>
    <m/>
    <m/>
    <n v="0"/>
    <m/>
    <x v="4"/>
    <s v="Credit"/>
    <s v="90 Days from App Rep Sign on Invoice"/>
    <x v="1"/>
  </r>
  <r>
    <s v="J212103"/>
    <d v="2026-04-07T00:00:00"/>
    <s v="Matthew Mckernan"/>
    <x v="0"/>
    <s v="Saudi Electric Supply Company Limited(SESCO)"/>
    <s v="Opera House"/>
    <x v="4"/>
    <x v="10"/>
    <s v="SAR"/>
    <n v="1020097"/>
    <n v="650000"/>
    <n v="1"/>
    <n v="650000"/>
    <n v="0"/>
    <n v="650000"/>
    <n v="0"/>
    <n v="650000"/>
    <n v="0"/>
    <m/>
    <d v="2026-06-09T00:00:00"/>
    <d v="2026-05-09T00:00:00"/>
    <m/>
    <m/>
    <m/>
    <n v="0"/>
    <m/>
    <x v="3"/>
    <s v="Credit"/>
    <s v="90 Days From the Delivery Date"/>
    <x v="1"/>
  </r>
  <r>
    <s v="DCBWPM166284"/>
    <d v="2026-06-04T00:00:00"/>
    <s v="Hassan Taleb"/>
    <x v="0"/>
    <s v="SAUDI ELECTRIC SUPPLY COMPANY."/>
    <s v="MP1"/>
    <x v="0"/>
    <x v="6"/>
    <s v="SAR"/>
    <n v="1020088"/>
    <n v="500000"/>
    <n v="1"/>
    <n v="500000"/>
    <n v="0"/>
    <n v="500000"/>
    <n v="0"/>
    <n v="500000"/>
    <n v="0"/>
    <m/>
    <d v="2026-08-31T00:00:00"/>
    <d v="2026-08-31T00:00:00"/>
    <m/>
    <m/>
    <m/>
    <n v="0"/>
    <m/>
    <x v="4"/>
    <s v="Credit"/>
    <s v="120 Days from Applicant representative sign on Invoice"/>
    <x v="1"/>
  </r>
  <r>
    <s v="ILC-0840-25-7566"/>
    <d v="2025-04-28T00:00:00"/>
    <s v="Hassan Taleb"/>
    <x v="0"/>
    <s v="SAUDI HEPCO"/>
    <s v="RCRC"/>
    <x v="0"/>
    <x v="11"/>
    <s v="SAR"/>
    <n v="1020106"/>
    <n v="1000000"/>
    <n v="1"/>
    <n v="1000000"/>
    <n v="1000000"/>
    <n v="0"/>
    <n v="0"/>
    <n v="0"/>
    <n v="0"/>
    <m/>
    <d v="2025-09-30T00:00:00"/>
    <d v="2025-09-30T00:00:00"/>
    <m/>
    <m/>
    <m/>
    <m/>
    <m/>
    <x v="6"/>
    <s v="Credit"/>
    <s v="90 Days from Invoice Date"/>
    <x v="0"/>
  </r>
  <r>
    <s v="ILC-0840-25-7980"/>
    <d v="2025-07-17T00:00:00"/>
    <s v="Hassan Taleb"/>
    <x v="0"/>
    <s v="Saudi Hepco Co Ltd"/>
    <s v="RCRC"/>
    <x v="0"/>
    <x v="11"/>
    <s v="SAR"/>
    <n v="1020106"/>
    <n v="1000000.94"/>
    <n v="1"/>
    <n v="1000000.94"/>
    <n v="1000000"/>
    <n v="0.94"/>
    <n v="0"/>
    <n v="0.94"/>
    <n v="0"/>
    <m/>
    <d v="2025-09-30T00:00:00"/>
    <d v="2025-09-30T00:00:00"/>
    <m/>
    <m/>
    <m/>
    <n v="0"/>
    <s v="to bank on 05-10 | EXP &amp; LDS - 31-12-25"/>
    <x v="6"/>
    <s v="Credit"/>
    <s v="90 Days from Invoice Date"/>
    <x v="0"/>
  </r>
  <r>
    <s v="ILC-0840-25-8165"/>
    <d v="2025-08-26T00:00:00"/>
    <s v="Hassan Taleb"/>
    <x v="0"/>
    <s v="SAUDI HEPCO CO LTD"/>
    <s v="RCRC"/>
    <x v="0"/>
    <x v="11"/>
    <s v="SAR"/>
    <n v="1020106"/>
    <n v="750000"/>
    <n v="1"/>
    <n v="750000"/>
    <n v="737540"/>
    <n v="12460"/>
    <n v="0"/>
    <n v="12460"/>
    <n v="0"/>
    <m/>
    <d v="2026-01-31T00:00:00"/>
    <d v="2026-01-31T00:00:00"/>
    <m/>
    <m/>
    <m/>
    <n v="0"/>
    <m/>
    <x v="6"/>
    <s v="Credit"/>
    <s v="90 Days from Invoice Date"/>
    <x v="0"/>
  </r>
  <r>
    <s v="ILC-0840-25-8166"/>
    <d v="2025-08-26T00:00:00"/>
    <s v="Hassan Taleb"/>
    <x v="0"/>
    <s v="SAUDI HEPCO CO LTD"/>
    <s v="RCRC"/>
    <x v="0"/>
    <x v="11"/>
    <s v="SAR"/>
    <n v="1020106"/>
    <n v="250000"/>
    <n v="1"/>
    <n v="250000"/>
    <n v="0"/>
    <n v="250000"/>
    <n v="0"/>
    <n v="250000"/>
    <n v="0"/>
    <m/>
    <d v="2026-08-31T00:00:00"/>
    <d v="2026-08-31T00:00:00"/>
    <m/>
    <m/>
    <m/>
    <n v="0"/>
    <m/>
    <x v="6"/>
    <s v="Credit"/>
    <s v="90 Days from Invoice Date"/>
    <x v="1"/>
  </r>
  <r>
    <s v="ILC-0840-25-7267"/>
    <d v="2025-02-10T00:00:00"/>
    <s v="Hassan Taleb"/>
    <x v="0"/>
    <s v="Saudi Hepco Co. Ltd"/>
    <s v="RCRC"/>
    <x v="0"/>
    <x v="11"/>
    <s v="SAR"/>
    <n v="1020106"/>
    <n v="1513032.73"/>
    <n v="1"/>
    <n v="1513032.73"/>
    <n v="1513032"/>
    <n v="0.73"/>
    <n v="0"/>
    <n v="0.73"/>
    <n v="0"/>
    <m/>
    <d v="2025-06-30T00:00:00"/>
    <d v="2025-05-31T00:00:00"/>
    <m/>
    <m/>
    <m/>
    <n v="0"/>
    <m/>
    <x v="6"/>
    <s v="Credit"/>
    <s v="90 Days from Invoice Date"/>
    <x v="0"/>
  </r>
  <r>
    <s v="ILC-0840-25-7353"/>
    <d v="2025-02-27T00:00:00"/>
    <s v="Hassan Taleb"/>
    <x v="0"/>
    <s v="Saudi Hepco Co. Ltd"/>
    <s v="RCRC"/>
    <x v="0"/>
    <x v="11"/>
    <s v="SAR"/>
    <n v="1020106"/>
    <n v="863693.45"/>
    <n v="1"/>
    <n v="863693.45"/>
    <n v="0"/>
    <n v="863693.45"/>
    <n v="0"/>
    <n v="863693.45"/>
    <n v="0"/>
    <m/>
    <d v="2026-06-30T00:00:00"/>
    <d v="2026-06-30T00:00:00"/>
    <m/>
    <m/>
    <m/>
    <n v="0"/>
    <m/>
    <x v="6"/>
    <s v="Credit"/>
    <s v="90 Days from Invoice Date"/>
    <x v="1"/>
  </r>
  <r>
    <s v="TF2329286508"/>
    <d v="2023-10-25T00:00:00"/>
    <m/>
    <x v="0"/>
    <s v="SAUDI LIEBHERR COM LIMITED"/>
    <s v="KSP"/>
    <x v="16"/>
    <x v="23"/>
    <s v="EUR"/>
    <m/>
    <n v="1004640"/>
    <n v="4.12"/>
    <n v="4139116.8000000003"/>
    <n v="4130607.4992"/>
    <n v="8509.2999999999993"/>
    <n v="0"/>
    <n v="8509.2999999999993"/>
    <n v="0"/>
    <m/>
    <d v="2024-01-10T00:00:00"/>
    <d v="2024-01-10T00:00:00"/>
    <m/>
    <m/>
    <m/>
    <n v="0"/>
    <m/>
    <x v="0"/>
    <s v="Cash"/>
    <m/>
    <x v="0"/>
  </r>
  <r>
    <s v="JLC6702401"/>
    <d v="2023-12-25T00:00:00"/>
    <s v="Rabih Makhoul"/>
    <x v="0"/>
    <s v="SAUDI LIEBHERR COMPANY LIMITED"/>
    <s v="Multipurpose"/>
    <x v="2"/>
    <x v="22"/>
    <s v="EUR"/>
    <n v="1020051"/>
    <n v="1004640"/>
    <n v="4.12"/>
    <n v="4139116.8000000003"/>
    <n v="4072810.56"/>
    <n v="66306.240000000005"/>
    <n v="0"/>
    <n v="66306.240000000005"/>
    <n v="0"/>
    <m/>
    <d v="2024-03-15T00:00:00"/>
    <d v="2024-03-15T00:00:00"/>
    <m/>
    <m/>
    <m/>
    <n v="0"/>
    <m/>
    <x v="1"/>
    <s v="Credit"/>
    <m/>
    <x v="0"/>
  </r>
  <r>
    <s v="J208364"/>
    <d v="2024-05-12T00:00:00"/>
    <m/>
    <x v="0"/>
    <s v="SAUDI LIEBHERR COMPANY LIMITED"/>
    <s v="Opera House"/>
    <x v="2"/>
    <x v="20"/>
    <s v="EUR"/>
    <m/>
    <n v="2009280"/>
    <n v="4.0279999999999996"/>
    <n v="8093379.8399999989"/>
    <n v="8096280.0005942406"/>
    <n v="-2900.16"/>
    <n v="0"/>
    <n v="-2900.16"/>
    <n v="0"/>
    <m/>
    <d v="2024-08-05T00:00:00"/>
    <d v="2024-08-05T00:00:00"/>
    <m/>
    <m/>
    <m/>
    <n v="0"/>
    <m/>
    <x v="3"/>
    <s v="Credit"/>
    <m/>
    <x v="0"/>
  </r>
  <r>
    <s v="J208650"/>
    <d v="2024-07-04T00:00:00"/>
    <m/>
    <x v="0"/>
    <s v="SAUDI LIEBHERR COMPANY LIMITED"/>
    <s v="Opera House"/>
    <x v="2"/>
    <x v="20"/>
    <s v="EUR"/>
    <m/>
    <n v="4259713.8498969609"/>
    <n v="1"/>
    <n v="4259713.8498969609"/>
    <n v="4259713.8498969609"/>
    <n v="0"/>
    <n v="0"/>
    <n v="0"/>
    <n v="0"/>
    <m/>
    <d v="2024-08-15T00:00:00"/>
    <d v="2024-08-15T00:00:00"/>
    <m/>
    <m/>
    <m/>
    <n v="0"/>
    <m/>
    <x v="3"/>
    <s v="Credit"/>
    <m/>
    <x v="0"/>
  </r>
  <r>
    <s v="JLC6702402"/>
    <d v="2023-12-25T00:00:00"/>
    <s v="Rabih Makhoul"/>
    <x v="0"/>
    <s v="SAUDI LIEBHERR COMPANY LIMITED"/>
    <s v="Multipurpose"/>
    <x v="2"/>
    <x v="22"/>
    <s v="EUR"/>
    <n v="1020051"/>
    <n v="1004640"/>
    <n v="4.12"/>
    <n v="4139116.8000000003"/>
    <n v="4121033.2800000003"/>
    <n v="18083.52"/>
    <n v="0"/>
    <n v="18083.52"/>
    <n v="0"/>
    <m/>
    <d v="2024-03-10T00:00:00"/>
    <d v="2024-03-10T00:00:00"/>
    <m/>
    <m/>
    <m/>
    <n v="0"/>
    <m/>
    <x v="1"/>
    <s v="Credit"/>
    <m/>
    <x v="0"/>
  </r>
  <r>
    <s v="TF2527100024"/>
    <d v="2025-09-28T00:00:00"/>
    <s v="Rabih Makhoul"/>
    <x v="0"/>
    <s v="Saudi Perfect Pumps Trading &amp; Manufacturing Company"/>
    <s v="KSP"/>
    <x v="2"/>
    <x v="8"/>
    <s v="SAR"/>
    <n v="1020107"/>
    <n v="7670500"/>
    <n v="1"/>
    <n v="7670500"/>
    <n v="4347795.32"/>
    <n v="3322704.68"/>
    <n v="412500"/>
    <n v="2910204.68"/>
    <n v="0"/>
    <s v="01/07/2026"/>
    <d v="2026-05-31T00:00:00"/>
    <d v="2026-05-31T00:00:00"/>
    <m/>
    <m/>
    <m/>
    <n v="0"/>
    <m/>
    <x v="0"/>
    <s v="Credit"/>
    <s v="45 Days from Delivery Date"/>
    <x v="1"/>
  </r>
  <r>
    <s v="DCBWPM558776"/>
    <d v="2025-06-02T00:00:00"/>
    <s v="Hassan Taleb"/>
    <x v="0"/>
    <s v="Saudi Pipe Systems Co. Ltd."/>
    <s v="MP1"/>
    <x v="0"/>
    <x v="6"/>
    <s v="SAR"/>
    <n v="1020088"/>
    <n v="524686.5"/>
    <n v="1"/>
    <n v="524686.5"/>
    <n v="524686.5"/>
    <n v="0"/>
    <n v="0"/>
    <n v="0"/>
    <n v="0"/>
    <m/>
    <d v="2025-08-31T00:00:00"/>
    <d v="2025-08-31T00:00:00"/>
    <m/>
    <m/>
    <m/>
    <n v="0"/>
    <m/>
    <x v="4"/>
    <s v="Credit"/>
    <s v="120 Days from Invoice Date"/>
    <x v="0"/>
  </r>
  <r>
    <s v="TF2313582062"/>
    <d v="2023-05-15T00:00:00"/>
    <s v="Bassam Marawie"/>
    <x v="0"/>
    <s v="SAUDI PREINSULATED PIPES INDUSTRIES LLC"/>
    <s v="KSP"/>
    <x v="0"/>
    <x v="13"/>
    <s v="SAR"/>
    <n v="1020052"/>
    <n v="3443026.15"/>
    <n v="1"/>
    <n v="3443026.15"/>
    <n v="3442182.0599999996"/>
    <n v="844.09"/>
    <n v="0"/>
    <n v="844.09"/>
    <n v="0"/>
    <m/>
    <d v="2023-09-30T00:00:00"/>
    <d v="2023-09-30T00:00:00"/>
    <m/>
    <m/>
    <m/>
    <n v="0"/>
    <m/>
    <x v="0"/>
    <s v="Credit"/>
    <m/>
    <x v="0"/>
  </r>
  <r>
    <s v="J212344"/>
    <d v="2026-06-04T00:00:00"/>
    <s v="Matthew Mckernan"/>
    <x v="0"/>
    <s v="Saudi Pro-Kitchen"/>
    <s v="Opera House"/>
    <x v="4"/>
    <x v="10"/>
    <s v="SAR"/>
    <n v="1020097"/>
    <n v="700000"/>
    <n v="1"/>
    <n v="700000"/>
    <n v="0"/>
    <n v="700000"/>
    <n v="0"/>
    <n v="700000"/>
    <n v="700000"/>
    <m/>
    <d v="2026-08-02T00:00:00"/>
    <d v="2026-08-02T00:00:00"/>
    <m/>
    <m/>
    <m/>
    <m/>
    <m/>
    <x v="3"/>
    <s v="Credit"/>
    <s v="120 Days from Applicant representative sign on Invoice"/>
    <x v="1"/>
  </r>
  <r>
    <s v="ILC-0840-25-7517"/>
    <d v="2025-04-09T00:00:00"/>
    <s v="Hassan Taleb"/>
    <x v="0"/>
    <s v="SAUDI VITRIFIED CLAY PIPE CO"/>
    <s v="RCRC"/>
    <x v="0"/>
    <x v="11"/>
    <s v="SAR"/>
    <n v="1020106"/>
    <n v="1033453.25"/>
    <n v="1"/>
    <n v="1033453.25"/>
    <n v="391176.24"/>
    <n v="642277.01"/>
    <n v="0"/>
    <n v="642277.01"/>
    <n v="0"/>
    <m/>
    <d v="2026-06-30T00:00:00"/>
    <d v="2026-06-30T00:00:00"/>
    <m/>
    <m/>
    <m/>
    <n v="0"/>
    <m/>
    <x v="6"/>
    <s v="Credit"/>
    <s v="90 Days from Invoice Date"/>
    <x v="1"/>
  </r>
  <r>
    <s v="TF2313582060"/>
    <d v="2023-05-15T00:00:00"/>
    <s v="Bassam Marawie"/>
    <x v="0"/>
    <s v="SCHNEIDER ELECTRIC S.A. CO. LTD"/>
    <s v="KSP"/>
    <x v="0"/>
    <x v="12"/>
    <s v="SAR"/>
    <n v="1020001"/>
    <n v="2101567.5"/>
    <n v="1"/>
    <n v="2101567.5"/>
    <n v="2101567.5"/>
    <n v="0"/>
    <n v="0"/>
    <n v="0"/>
    <n v="0"/>
    <m/>
    <d v="2023-12-31T00:00:00"/>
    <d v="2023-12-31T00:00:00"/>
    <m/>
    <m/>
    <m/>
    <n v="0"/>
    <m/>
    <x v="0"/>
    <s v="Credit"/>
    <s v="30 Days from Delivery Date"/>
    <x v="0"/>
  </r>
  <r>
    <s v="TF2517300038"/>
    <d v="2025-06-23T00:00:00"/>
    <s v="Hassan Taleb"/>
    <x v="0"/>
    <s v="SCHNEIDER ELECTRIC SAUDI ARABIA CO"/>
    <s v="KSP"/>
    <x v="0"/>
    <x v="5"/>
    <s v="SAR"/>
    <n v="1020100"/>
    <n v="578910"/>
    <n v="1"/>
    <n v="578910"/>
    <n v="578910"/>
    <n v="0"/>
    <n v="0"/>
    <n v="0"/>
    <n v="0"/>
    <m/>
    <d v="2025-10-31T00:00:00"/>
    <d v="2025-10-31T00:00:00"/>
    <m/>
    <m/>
    <m/>
    <n v="0"/>
    <s v="to bank on 08-09 | EXP &amp; LDS 31-10"/>
    <x v="0"/>
    <s v="Credit"/>
    <s v="120 Days from Invoice Date"/>
    <x v="0"/>
  </r>
  <r>
    <s v="JLC7000003"/>
    <d v="2026-01-01T00:00:00"/>
    <s v="Luis Puente"/>
    <x v="0"/>
    <s v="SCHNEIDER ELECTRIC SAUDI ARABIA CO"/>
    <s v="Oceanarium"/>
    <x v="0"/>
    <x v="7"/>
    <s v="SAR"/>
    <n v="1020096"/>
    <n v="1350790.07"/>
    <n v="1"/>
    <n v="1350790.07"/>
    <n v="0"/>
    <n v="1350790.07"/>
    <n v="0"/>
    <n v="1350790.07"/>
    <n v="0"/>
    <m/>
    <d v="2026-10-01T00:00:00"/>
    <d v="2026-10-01T00:00:00"/>
    <m/>
    <m/>
    <m/>
    <n v="0"/>
    <m/>
    <x v="1"/>
    <s v="Credit"/>
    <s v="90 Days from Appln Rep Sign on Invoice"/>
    <x v="1"/>
  </r>
  <r>
    <s v="JLC7000193"/>
    <d v="2026-02-04T00:00:00"/>
    <s v="Luis Puente"/>
    <x v="0"/>
    <s v="Schneider Electric Saudi Arabia Co"/>
    <s v="Oceanarium"/>
    <x v="0"/>
    <x v="7"/>
    <s v="SAR"/>
    <n v="1020096"/>
    <n v="750000"/>
    <n v="1"/>
    <n v="750000"/>
    <n v="0"/>
    <n v="750000"/>
    <n v="710700"/>
    <n v="39300"/>
    <n v="0"/>
    <s v="14/07/2026"/>
    <d v="2026-04-30T00:00:00"/>
    <d v="2026-04-30T00:00:00"/>
    <m/>
    <m/>
    <m/>
    <n v="0"/>
    <m/>
    <x v="1"/>
    <s v="Credit"/>
    <s v="90 Days from Appln Rep Sign on Invoice"/>
    <x v="1"/>
  </r>
  <r>
    <s v="DCBWPM554837"/>
    <d v="2025-04-07T00:00:00"/>
    <s v="Tareeq - Premium"/>
    <x v="0"/>
    <s v="SCHUCO MIDDLE EAST WINDOWS AND FACADE SYSTEMS LLC"/>
    <s v="CEER"/>
    <x v="9"/>
    <x v="3"/>
    <s v="AED"/>
    <n v="1020091"/>
    <n v="4750000"/>
    <n v="1.026"/>
    <n v="4873500"/>
    <n v="4721720.4628079999"/>
    <n v="151779.54"/>
    <n v="0"/>
    <n v="151779.54"/>
    <n v="0"/>
    <m/>
    <d v="2025-10-15T00:00:00"/>
    <d v="2025-09-30T00:00:00"/>
    <m/>
    <m/>
    <m/>
    <n v="0"/>
    <m/>
    <x v="4"/>
    <s v="Credit"/>
    <s v="60 Days from Invoice Date"/>
    <x v="0"/>
  </r>
  <r>
    <s v="JLC6901476"/>
    <d v="2025-08-14T00:00:00"/>
    <s v="Muhammed Khan"/>
    <x v="0"/>
    <s v="Seerah Operation &amp; Maintenance Company"/>
    <s v="Cash"/>
    <x v="1"/>
    <x v="1"/>
    <s v="SAR"/>
    <m/>
    <n v="500000"/>
    <n v="1"/>
    <n v="500000"/>
    <n v="500000"/>
    <n v="0"/>
    <n v="0"/>
    <n v="0"/>
    <n v="0"/>
    <m/>
    <d v="2025-09-30T00:00:00"/>
    <d v="2025-09-15T00:00:00"/>
    <m/>
    <m/>
    <m/>
    <m/>
    <m/>
    <x v="1"/>
    <s v="Cash"/>
    <s v="Sight"/>
    <x v="0"/>
  </r>
  <r>
    <s v="DCBWPM162155"/>
    <d v="2026-02-12T00:00:00"/>
    <s v="Mohammed Kotb"/>
    <x v="0"/>
    <s v="SERGAS SAUDI CONTRACTING CO. L.L.C"/>
    <s v="MP1"/>
    <x v="4"/>
    <x v="4"/>
    <s v="SAR"/>
    <n v="1020070"/>
    <n v="817725"/>
    <n v="1"/>
    <n v="817725"/>
    <n v="667115"/>
    <n v="150610"/>
    <n v="0"/>
    <n v="150610"/>
    <n v="0"/>
    <m/>
    <d v="2026-04-30T00:00:00"/>
    <d v="2026-04-15T00:00:00"/>
    <m/>
    <m/>
    <m/>
    <n v="0"/>
    <m/>
    <x v="4"/>
    <s v="Credit"/>
    <s v="90 Days from Date of Delivery"/>
    <x v="0"/>
  </r>
  <r>
    <s v="DCBWPM564603"/>
    <d v="2025-08-26T00:00:00"/>
    <s v="Mohammed Kotb"/>
    <x v="0"/>
    <s v="SERGAS SAUDI CONTRACTING CO. L.L.C"/>
    <s v="MP1"/>
    <x v="4"/>
    <x v="4"/>
    <s v="SAR"/>
    <n v="1020070"/>
    <n v="817725"/>
    <n v="1"/>
    <n v="817725"/>
    <n v="0"/>
    <n v="817725"/>
    <n v="0"/>
    <n v="817725"/>
    <n v="0"/>
    <m/>
    <d v="2025-11-30T00:00:00"/>
    <d v="2025-11-30T00:00:00"/>
    <m/>
    <m/>
    <m/>
    <n v="0"/>
    <m/>
    <x v="4"/>
    <s v="Credit"/>
    <s v="90 Days from Date of Delivery"/>
    <x v="0"/>
  </r>
  <r>
    <s v="IM2512733010"/>
    <d v="2025-05-07T00:00:00"/>
    <s v="Hassan Taleb"/>
    <x v="0"/>
    <s v="SHEHAB TRADING COMPANY"/>
    <s v="Cash"/>
    <x v="0"/>
    <x v="5"/>
    <s v="SAR"/>
    <n v="1020100"/>
    <n v="200000"/>
    <n v="1"/>
    <n v="200000"/>
    <n v="200000"/>
    <n v="0"/>
    <n v="0"/>
    <n v="0"/>
    <n v="0"/>
    <m/>
    <d v="2025-07-31T00:00:00"/>
    <d v="2025-07-31T00:00:00"/>
    <m/>
    <m/>
    <m/>
    <n v="0"/>
    <m/>
    <x v="2"/>
    <s v="Cash"/>
    <s v="120 Days from Invoice Date"/>
    <x v="0"/>
  </r>
  <r>
    <s v="DC WPM554941"/>
    <d v="2025-03-25T00:00:00"/>
    <s v="Kotb - Morganti"/>
    <x v="0"/>
    <s v="ShowTex Middle East F.Z.C"/>
    <s v="MP1"/>
    <x v="3"/>
    <x v="4"/>
    <s v="AED"/>
    <n v="1020070"/>
    <n v="850000"/>
    <n v="1.0264"/>
    <n v="872440"/>
    <n v="872440"/>
    <n v="0"/>
    <n v="0"/>
    <n v="0"/>
    <n v="0"/>
    <m/>
    <d v="2025-07-15T00:00:00"/>
    <d v="2025-07-15T00:00:00"/>
    <m/>
    <m/>
    <m/>
    <n v="0"/>
    <m/>
    <x v="4"/>
    <s v="Credit"/>
    <s v="120 Days from Invoice Date"/>
    <x v="0"/>
  </r>
  <r>
    <s v="TF2535200019"/>
    <d v="2025-12-18T00:00:00"/>
    <s v="Essam Zahran - Signal Control"/>
    <x v="0"/>
    <s v="SIEMENS Limited Company"/>
    <s v="KSP"/>
    <x v="14"/>
    <x v="0"/>
    <s v="SAR"/>
    <n v="1020055"/>
    <n v="7259198.5"/>
    <n v="1"/>
    <n v="7259198.5"/>
    <n v="7259198.5"/>
    <n v="0"/>
    <n v="0"/>
    <n v="0"/>
    <n v="0"/>
    <m/>
    <d v="2026-02-28T00:00:00"/>
    <d v="2026-02-28T00:00:00"/>
    <m/>
    <m/>
    <m/>
    <n v="0"/>
    <m/>
    <x v="0"/>
    <s v="Credit"/>
    <s v="90 Days from Invoice Date"/>
    <x v="0"/>
  </r>
  <r>
    <s v="DCBWPM564580"/>
    <d v="2025-08-26T00:00:00"/>
    <s v="Mohammed Kotb"/>
    <x v="0"/>
    <s v="Sika Saudi Arabia Co. Ltd."/>
    <s v="MP1"/>
    <x v="2"/>
    <x v="4"/>
    <s v="SAR"/>
    <n v="1020070"/>
    <n v="2741025"/>
    <n v="1"/>
    <n v="2741025"/>
    <n v="1641337.5"/>
    <n v="1099687.5"/>
    <n v="1099687.5"/>
    <n v="0"/>
    <n v="0"/>
    <s v="25/06/2026 , 17/09/2026"/>
    <d v="2026-06-30T00:00:00"/>
    <d v="2026-06-15T00:00:00"/>
    <m/>
    <m/>
    <m/>
    <n v="0"/>
    <m/>
    <x v="4"/>
    <s v="Credit"/>
    <s v="120 Days from the Invoice Date"/>
    <x v="1"/>
  </r>
  <r>
    <s v="JLC6901481"/>
    <d v="2025-08-14T00:00:00"/>
    <s v="Muhammed Khan"/>
    <x v="0"/>
    <s v="Sindal Arabia Trading Company"/>
    <s v="Cash"/>
    <x v="1"/>
    <x v="1"/>
    <s v="SAR"/>
    <m/>
    <n v="345402.56"/>
    <n v="1"/>
    <n v="345402.56"/>
    <n v="345402.56"/>
    <n v="0"/>
    <n v="0"/>
    <n v="0"/>
    <n v="0"/>
    <m/>
    <d v="2025-09-30T00:00:00"/>
    <d v="2025-09-15T00:00:00"/>
    <m/>
    <m/>
    <m/>
    <m/>
    <m/>
    <x v="1"/>
    <s v="Cash"/>
    <s v="Sight"/>
    <x v="0"/>
  </r>
  <r>
    <s v="DCBWPM555720"/>
    <d v="2025-04-10T00:00:00"/>
    <s v="Hassan Taleb"/>
    <x v="0"/>
    <s v="SITE TECHNOLOGY SAUDI ARABIA CO"/>
    <s v="MP1"/>
    <x v="0"/>
    <x v="6"/>
    <s v="SAR"/>
    <n v="1020088"/>
    <n v="168705.07"/>
    <n v="1"/>
    <n v="168705.07"/>
    <n v="168705.07"/>
    <n v="0"/>
    <n v="0"/>
    <n v="0"/>
    <n v="0"/>
    <m/>
    <d v="2025-06-30T00:00:00"/>
    <d v="2025-06-30T00:00:00"/>
    <m/>
    <m/>
    <m/>
    <n v="0"/>
    <m/>
    <x v="4"/>
    <s v="Credit"/>
    <s v="90 Days from Invoice Date"/>
    <x v="0"/>
  </r>
  <r>
    <s v="DCBWPM565850"/>
    <d v="2025-09-14T00:00:00"/>
    <s v="Hassan Taleb"/>
    <x v="0"/>
    <s v="SITE TECHNOLOGY SAUDI ARABIA CO"/>
    <s v="MP1"/>
    <x v="0"/>
    <x v="6"/>
    <s v="SAR"/>
    <n v="1020088"/>
    <n v="300000"/>
    <n v="1"/>
    <n v="300000"/>
    <n v="0"/>
    <n v="300000"/>
    <n v="0"/>
    <n v="300000"/>
    <n v="0"/>
    <m/>
    <d v="2026-06-30T00:00:00"/>
    <d v="2026-06-30T00:00:00"/>
    <m/>
    <m/>
    <m/>
    <n v="0"/>
    <m/>
    <x v="4"/>
    <s v="Credit"/>
    <s v="120 Days from Invoice Date"/>
    <x v="1"/>
  </r>
  <r>
    <s v="ILC-0840-25-7407"/>
    <d v="2025-03-06T00:00:00"/>
    <s v="Hassan Taleb"/>
    <x v="0"/>
    <s v="SITE TECHNOLOGY SAUDI ARABIA LTD"/>
    <s v="RCRC"/>
    <x v="0"/>
    <x v="11"/>
    <s v="SAR"/>
    <n v="1020106"/>
    <n v="527850.01"/>
    <n v="1"/>
    <n v="527850.01"/>
    <n v="263925"/>
    <n v="263925.01"/>
    <n v="0"/>
    <n v="263925.01"/>
    <n v="0"/>
    <m/>
    <d v="2026-06-30T00:00:00"/>
    <d v="2026-06-30T00:00:00"/>
    <m/>
    <m/>
    <m/>
    <n v="0"/>
    <m/>
    <x v="6"/>
    <s v="Credit"/>
    <s v="60 Days from Invoice Date"/>
    <x v="1"/>
  </r>
  <r>
    <s v="TF2509900019"/>
    <d v="2025-04-14T00:00:00"/>
    <s v="Rabih Makhoul"/>
    <x v="0"/>
    <s v="SKM AIR CONDITIONING CO"/>
    <s v="KSP"/>
    <x v="0"/>
    <x v="5"/>
    <s v="SAR"/>
    <n v="1020100"/>
    <n v="303361.71999999997"/>
    <n v="1"/>
    <n v="303361.71999999997"/>
    <n v="0"/>
    <n v="303361.71999999997"/>
    <n v="0"/>
    <n v="303361.71999999997"/>
    <n v="0"/>
    <m/>
    <d v="2026-04-14T00:00:00"/>
    <d v="2026-04-14T00:00:00"/>
    <m/>
    <m/>
    <m/>
    <n v="0"/>
    <s v="Cannot Extend Further"/>
    <x v="0"/>
    <s v="Credit"/>
    <s v="90 Days from Invoice Date"/>
    <x v="0"/>
  </r>
  <r>
    <s v="TF2517400098"/>
    <d v="2025-06-23T00:00:00"/>
    <s v="Hassan Taleb"/>
    <x v="0"/>
    <s v="SKM AIR CONDITIONING CO"/>
    <s v="KSP"/>
    <x v="0"/>
    <x v="5"/>
    <s v="SAR"/>
    <n v="1020100"/>
    <n v="922106.57"/>
    <n v="1"/>
    <n v="922106.57"/>
    <n v="207691.38"/>
    <n v="714415.19"/>
    <n v="702587.67"/>
    <n v="11827.52"/>
    <n v="0"/>
    <s v="30/07/2026"/>
    <d v="2026-06-23T00:00:00"/>
    <d v="2026-06-23T00:00:00"/>
    <m/>
    <m/>
    <m/>
    <n v="0"/>
    <m/>
    <x v="0"/>
    <s v="Credit"/>
    <s v="120 Days from Invoice Date"/>
    <x v="1"/>
  </r>
  <r>
    <s v="JLC7000004"/>
    <d v="2026-01-01T00:00:00"/>
    <s v="Luis Puente"/>
    <x v="0"/>
    <s v="SKM Air Conditioning Company"/>
    <s v="Oceanarium"/>
    <x v="0"/>
    <x v="7"/>
    <s v="SAR"/>
    <n v="1020096"/>
    <n v="500000"/>
    <n v="1"/>
    <n v="500000"/>
    <n v="0"/>
    <n v="500000"/>
    <n v="500000"/>
    <n v="0"/>
    <n v="0"/>
    <s v="19/07/2026"/>
    <d v="2026-04-30T00:00:00"/>
    <d v="2026-04-30T00:00:00"/>
    <m/>
    <m/>
    <m/>
    <n v="0"/>
    <m/>
    <x v="1"/>
    <s v="Credit"/>
    <s v="90 Days from Appln Rep Sign on Invoice"/>
    <x v="1"/>
  </r>
  <r>
    <s v="JLC7000185"/>
    <d v="2026-02-04T00:00:00"/>
    <s v="Luis Puente"/>
    <x v="0"/>
    <s v="SKM Air Conditioning Company"/>
    <s v="Oceanarium"/>
    <x v="0"/>
    <x v="7"/>
    <s v="SAR"/>
    <n v="1020096"/>
    <n v="500000"/>
    <n v="1"/>
    <n v="500000"/>
    <n v="0"/>
    <n v="500000"/>
    <n v="500000"/>
    <n v="0"/>
    <n v="0"/>
    <s v="05/07/2026"/>
    <d v="2026-04-30T00:00:00"/>
    <d v="2026-04-30T00:00:00"/>
    <m/>
    <m/>
    <m/>
    <n v="0"/>
    <m/>
    <x v="1"/>
    <s v="Credit"/>
    <s v="90 Days from Appln Rep Sign on Invoice"/>
    <x v="1"/>
  </r>
  <r>
    <s v="DCBWPM554917"/>
    <d v="2025-03-25T00:00:00"/>
    <s v="Kotb - Morganti"/>
    <x v="0"/>
    <s v="Smart Access Solutions Company Ltd."/>
    <s v="MP1"/>
    <x v="3"/>
    <x v="4"/>
    <s v="SAR"/>
    <n v="1020070"/>
    <n v="1548105.39"/>
    <n v="1"/>
    <n v="1548105.39"/>
    <n v="1548105.39"/>
    <n v="0"/>
    <n v="0"/>
    <n v="0"/>
    <n v="0"/>
    <m/>
    <d v="2025-05-31T00:00:00"/>
    <d v="2025-04-30T00:00:00"/>
    <m/>
    <m/>
    <m/>
    <n v="0"/>
    <m/>
    <x v="4"/>
    <s v="Credit"/>
    <s v="120 Days from Invoice Date"/>
    <x v="0"/>
  </r>
  <r>
    <s v="J209241"/>
    <d v="2024-09-24T00:00:00"/>
    <s v="Bassam Marawie"/>
    <x v="0"/>
    <s v="SMART HOME TRADING COMPANY"/>
    <s v="Opera House"/>
    <x v="0"/>
    <x v="13"/>
    <s v="SAR"/>
    <n v="1020052"/>
    <n v="1000000"/>
    <n v="1"/>
    <n v="1000000"/>
    <n v="1000000"/>
    <n v="0"/>
    <n v="0"/>
    <n v="0"/>
    <n v="0"/>
    <m/>
    <d v="2024-12-31T00:00:00"/>
    <d v="2024-12-04T00:00:00"/>
    <m/>
    <m/>
    <m/>
    <n v="0"/>
    <m/>
    <x v="3"/>
    <s v="Credit"/>
    <s v="60 Days from Invoice Date"/>
    <x v="0"/>
  </r>
  <r>
    <s v="IM2506533001"/>
    <d v="2025-03-09T00:00:00"/>
    <s v="Rabih Makhoul"/>
    <x v="0"/>
    <s v="SOLB STEEL TRADING COMPANY"/>
    <s v="Oceanarium"/>
    <x v="2"/>
    <x v="2"/>
    <s v="SAR"/>
    <n v="1020098"/>
    <n v="17471352"/>
    <n v="1"/>
    <n v="17471352"/>
    <n v="0"/>
    <n v="17471352"/>
    <n v="0"/>
    <n v="17471352"/>
    <n v="0"/>
    <m/>
    <d v="2025-05-15T00:00:00"/>
    <d v="2025-04-20T00:00:00"/>
    <m/>
    <m/>
    <m/>
    <n v="0"/>
    <m/>
    <x v="2"/>
    <s v="Credit"/>
    <s v="45 Days from Invoice Date"/>
    <x v="0"/>
  </r>
  <r>
    <s v="IM2433133001"/>
    <d v="2024-11-26T00:00:00"/>
    <s v="Rabih Makhoul"/>
    <x v="0"/>
    <s v="Soliman Saleh Al Mohileb And Sons Holding Company (Closed Joint)"/>
    <s v="Oceanarium"/>
    <x v="2"/>
    <x v="2"/>
    <s v="SAR"/>
    <n v="1020098"/>
    <n v="9000429"/>
    <n v="1"/>
    <n v="9000429"/>
    <n v="8652634.5"/>
    <n v="347794.5"/>
    <n v="0"/>
    <n v="347794.5"/>
    <n v="0"/>
    <m/>
    <d v="2025-03-31T00:00:00"/>
    <d v="2025-03-04T00:00:00"/>
    <m/>
    <m/>
    <m/>
    <n v="0"/>
    <m/>
    <x v="2"/>
    <s v="Credit"/>
    <s v="30 Days From Invoice Date"/>
    <x v="0"/>
  </r>
  <r>
    <s v="J209833"/>
    <d v="2025-01-12T00:00:00"/>
    <s v="Rabih Makhoul"/>
    <x v="0"/>
    <s v="Soliman Saleh Al Mohileb And Sons Holding Company (Closed Joint)"/>
    <s v="Opera House"/>
    <x v="2"/>
    <x v="2"/>
    <s v="SAR"/>
    <n v="1020098"/>
    <n v="18879540"/>
    <n v="1"/>
    <n v="18879540"/>
    <n v="18806709"/>
    <n v="72831"/>
    <n v="0"/>
    <n v="72831"/>
    <n v="0"/>
    <m/>
    <d v="2025-03-31T00:00:00"/>
    <d v="2025-03-04T00:00:00"/>
    <m/>
    <m/>
    <m/>
    <n v="0"/>
    <m/>
    <x v="3"/>
    <s v="Credit"/>
    <s v="30 Days From Invoice Date"/>
    <x v="0"/>
  </r>
  <r>
    <s v="IM2505733001"/>
    <d v="2025-02-26T00:00:00"/>
    <s v="Rabih Makhoul"/>
    <x v="0"/>
    <s v="Soliman Saleh Al Mohileb And Sons Holding Company (Closed Joint)"/>
    <s v="Oceanarium"/>
    <x v="2"/>
    <x v="2"/>
    <s v="SAR"/>
    <n v="1020098"/>
    <n v="30000000"/>
    <n v="1"/>
    <n v="30000000"/>
    <n v="30000000"/>
    <n v="0"/>
    <n v="0"/>
    <n v="0"/>
    <n v="0"/>
    <m/>
    <d v="2025-05-31T00:00:00"/>
    <d v="2025-03-04T00:00:00"/>
    <m/>
    <m/>
    <m/>
    <n v="0"/>
    <m/>
    <x v="2"/>
    <s v="Credit"/>
    <s v="30 Days From Invoice Date"/>
    <x v="0"/>
  </r>
  <r>
    <s v="J210548"/>
    <d v="2025-05-15T00:00:00"/>
    <s v="Rabih Makhoul"/>
    <x v="0"/>
    <s v="Soliman Saleh Al Mohileb And Sons Holding Company (Closed Joint)"/>
    <s v="Opera House"/>
    <x v="2"/>
    <x v="2"/>
    <s v="SAR"/>
    <n v="1020098"/>
    <n v="23391922.5"/>
    <n v="1"/>
    <n v="23391922.5"/>
    <n v="23391922.5"/>
    <n v="0"/>
    <n v="0"/>
    <n v="0"/>
    <n v="0"/>
    <m/>
    <d v="2025-08-31T00:00:00"/>
    <d v="2025-08-04T00:00:00"/>
    <m/>
    <m/>
    <m/>
    <m/>
    <m/>
    <x v="3"/>
    <s v="Credit"/>
    <s v="30 Days From Invoice Date"/>
    <x v="0"/>
  </r>
  <r>
    <s v="ILC-0840-25-7877"/>
    <d v="2025-06-25T00:00:00"/>
    <s v="Rabih Makhoul"/>
    <x v="0"/>
    <s v="Soliman Saleh Al Mohileb And Sons Holding Company (Closed Joint)"/>
    <s v="RCRC"/>
    <x v="2"/>
    <x v="2"/>
    <s v="SAR"/>
    <n v="1020098"/>
    <n v="14000000"/>
    <n v="1"/>
    <n v="14000000"/>
    <n v="14000000"/>
    <n v="0"/>
    <n v="0"/>
    <n v="0"/>
    <n v="0"/>
    <m/>
    <d v="2025-08-31T00:00:00"/>
    <d v="2025-08-04T00:00:00"/>
    <m/>
    <m/>
    <m/>
    <n v="0"/>
    <m/>
    <x v="6"/>
    <s v="Credit"/>
    <s v="30 Days From Invoice Date"/>
    <x v="0"/>
  </r>
  <r>
    <s v="DCBWPM564582"/>
    <d v="2025-08-25T00:00:00"/>
    <s v="Mohammed Kotb"/>
    <x v="0"/>
    <s v="Soundlines Administrative Co Ltd."/>
    <s v="MP1"/>
    <x v="4"/>
    <x v="4"/>
    <s v="SAR"/>
    <n v="1020070"/>
    <n v="1500000"/>
    <n v="1"/>
    <n v="1500000"/>
    <n v="1500000"/>
    <n v="0"/>
    <n v="0"/>
    <n v="0"/>
    <n v="0"/>
    <m/>
    <d v="2025-10-31T00:00:00"/>
    <d v="2025-10-31T00:00:00"/>
    <m/>
    <m/>
    <m/>
    <n v="0"/>
    <m/>
    <x v="4"/>
    <s v="Credit"/>
    <s v="120 Days from Date of Delivery"/>
    <x v="0"/>
  </r>
  <r>
    <s v="JLC6800618"/>
    <d v="2024-03-28T00:00:00"/>
    <s v="Bassam Marawie"/>
    <x v="0"/>
    <s v="SPECIALIZED SECURITY SERVICES"/>
    <s v="Cash"/>
    <x v="5"/>
    <x v="12"/>
    <s v="SAR"/>
    <n v="1020001"/>
    <n v="4219083.67"/>
    <n v="1"/>
    <n v="4219083.67"/>
    <n v="4219083.67"/>
    <n v="0"/>
    <n v="0"/>
    <n v="0"/>
    <n v="0"/>
    <m/>
    <d v="2024-11-29T00:00:00"/>
    <d v="2024-11-29T00:00:00"/>
    <m/>
    <m/>
    <m/>
    <n v="0"/>
    <m/>
    <x v="1"/>
    <s v="Cash"/>
    <m/>
    <x v="0"/>
  </r>
  <r>
    <s v="JLC6800618-Cre"/>
    <d v="2024-03-28T00:00:00"/>
    <s v="Bassam Marawie"/>
    <x v="0"/>
    <s v="SPECIALIZED SECURITY SERVICES"/>
    <s v="Multipurpose"/>
    <x v="5"/>
    <x v="12"/>
    <s v="SAR"/>
    <n v="1020001"/>
    <n v="8343884.8700000001"/>
    <n v="1"/>
    <n v="8343884.8700000001"/>
    <n v="8343884.8699999992"/>
    <n v="0"/>
    <n v="0"/>
    <n v="0"/>
    <n v="0"/>
    <m/>
    <d v="2024-11-29T00:00:00"/>
    <d v="2024-11-29T00:00:00"/>
    <m/>
    <m/>
    <m/>
    <n v="0"/>
    <m/>
    <x v="1"/>
    <s v="Credit"/>
    <m/>
    <x v="0"/>
  </r>
  <r>
    <s v="DCBWPM166282"/>
    <d v="2026-06-04T00:00:00"/>
    <s v="Hassan Taleb"/>
    <x v="0"/>
    <s v="SPECTRA INTERNATIONAL TRADING COMPANY"/>
    <s v="MP1"/>
    <x v="0"/>
    <x v="6"/>
    <s v="SAR"/>
    <n v="1020088"/>
    <n v="250000"/>
    <n v="1"/>
    <n v="250000"/>
    <n v="0"/>
    <n v="250000"/>
    <n v="0"/>
    <n v="250000"/>
    <n v="0"/>
    <m/>
    <d v="2026-08-31T00:00:00"/>
    <d v="2026-08-31T00:00:00"/>
    <m/>
    <m/>
    <m/>
    <n v="0"/>
    <m/>
    <x v="4"/>
    <s v="Credit"/>
    <s v="120 Days from Applicant representative sign on Invoice"/>
    <x v="1"/>
  </r>
  <r>
    <s v="TF2517700087"/>
    <d v="2025-06-26T00:00:00"/>
    <s v="Hassan Taleb"/>
    <x v="0"/>
    <s v="STAR SQUARES CO LTD"/>
    <s v="KSP"/>
    <x v="0"/>
    <x v="5"/>
    <s v="SAR"/>
    <n v="1020100"/>
    <n v="250000"/>
    <n v="1"/>
    <n v="250000"/>
    <n v="0"/>
    <n v="250000"/>
    <n v="0"/>
    <n v="250000"/>
    <n v="0"/>
    <m/>
    <d v="2026-06-26T00:00:00"/>
    <d v="2026-06-26T00:00:00"/>
    <m/>
    <m/>
    <m/>
    <n v="0"/>
    <m/>
    <x v="0"/>
    <s v="Credit"/>
    <s v="120 Days from Invoice Date"/>
    <x v="1"/>
  </r>
  <r>
    <s v="TF2523600022"/>
    <d v="2025-08-24T00:00:00"/>
    <s v="Hassan Taleb"/>
    <x v="0"/>
    <s v="STAR SQUARES CO. LTD."/>
    <s v="KSP"/>
    <x v="0"/>
    <x v="0"/>
    <s v="SAR"/>
    <n v="1020055"/>
    <n v="200000"/>
    <n v="1"/>
    <n v="200000"/>
    <n v="200000"/>
    <n v="0"/>
    <n v="0"/>
    <n v="0"/>
    <n v="0"/>
    <m/>
    <d v="2025-11-30T00:00:00"/>
    <d v="2025-11-30T00:00:00"/>
    <m/>
    <m/>
    <m/>
    <n v="0"/>
    <m/>
    <x v="0"/>
    <s v="Credit"/>
    <s v="120 Days from Invoice Date"/>
    <x v="0"/>
  </r>
  <r>
    <s v="IM2512733007"/>
    <d v="2025-05-07T00:00:00"/>
    <s v="Hassan Taleb"/>
    <x v="0"/>
    <s v="STAR SQUARES COMPANY LTD."/>
    <s v="Cash"/>
    <x v="0"/>
    <x v="5"/>
    <s v="SAR"/>
    <n v="1020100"/>
    <n v="500000"/>
    <n v="1"/>
    <n v="500000"/>
    <n v="500000"/>
    <n v="0"/>
    <n v="0"/>
    <n v="0"/>
    <n v="0"/>
    <m/>
    <d v="2025-07-31T00:00:00"/>
    <d v="2025-07-31T00:00:00"/>
    <m/>
    <m/>
    <m/>
    <n v="0"/>
    <m/>
    <x v="2"/>
    <s v="Cash"/>
    <s v="120 Days from Invoice Date"/>
    <x v="0"/>
  </r>
  <r>
    <s v="IM2433133003"/>
    <d v="2024-11-27T00:00:00"/>
    <s v="Rabih Makhoul"/>
    <x v="0"/>
    <s v="Stratconn Commercial Broker LLC"/>
    <s v="Cash"/>
    <x v="2"/>
    <x v="5"/>
    <s v="EUR"/>
    <n v="1020100"/>
    <n v="965047"/>
    <n v="4.6084500000000004"/>
    <n v="4447370.8471500007"/>
    <n v="4447370.8485483956"/>
    <n v="0"/>
    <n v="0"/>
    <n v="0"/>
    <n v="0"/>
    <m/>
    <d v="2025-10-15T00:00:00"/>
    <d v="2025-09-30T00:00:00"/>
    <m/>
    <m/>
    <m/>
    <n v="0"/>
    <m/>
    <x v="2"/>
    <s v="Cash"/>
    <s v="Sight"/>
    <x v="0"/>
  </r>
  <r>
    <s v="TF2510400020"/>
    <d v="2025-04-14T00:00:00"/>
    <s v="Rabih Makhoul"/>
    <x v="0"/>
    <s v="Systemair For Electrical Equipment Co."/>
    <s v="KSP"/>
    <x v="0"/>
    <x v="5"/>
    <s v="SAR"/>
    <n v="1020100"/>
    <n v="500000"/>
    <n v="1"/>
    <n v="500000"/>
    <n v="500000"/>
    <n v="0"/>
    <n v="0"/>
    <n v="0"/>
    <n v="0"/>
    <m/>
    <d v="2025-10-31T00:00:00"/>
    <d v="2025-10-31T00:00:00"/>
    <m/>
    <m/>
    <m/>
    <n v="0"/>
    <s v="to bank on 08-09 | EXP &amp; LDS 31-10"/>
    <x v="0"/>
    <s v="Credit"/>
    <s v="90 Days from Invoice Date"/>
    <x v="0"/>
  </r>
  <r>
    <s v="DCBWPM563043"/>
    <d v="2025-08-03T00:00:00"/>
    <s v="Tareeq Telmasani"/>
    <x v="0"/>
    <s v="Systemair for Electrical Equipment Co."/>
    <s v="CEER"/>
    <x v="0"/>
    <x v="3"/>
    <s v="SAR"/>
    <n v="1020091"/>
    <n v="120000"/>
    <n v="1"/>
    <n v="120000"/>
    <n v="119128.29999999999"/>
    <n v="871.7"/>
    <n v="0"/>
    <n v="871.7"/>
    <n v="0"/>
    <m/>
    <d v="2026-02-28T00:00:00"/>
    <d v="2026-02-28T00:00:00"/>
    <m/>
    <m/>
    <m/>
    <n v="0"/>
    <m/>
    <x v="4"/>
    <s v="Credit"/>
    <s v="90 Days from Appl. Representative Sign"/>
    <x v="0"/>
  </r>
  <r>
    <s v="JLC7000192"/>
    <d v="2026-02-04T00:00:00"/>
    <s v="Luis Puente"/>
    <x v="0"/>
    <s v="Systemair For Electrical Equipment Co."/>
    <s v="Oceanarium"/>
    <x v="0"/>
    <x v="7"/>
    <s v="SAR"/>
    <n v="1020096"/>
    <n v="500000"/>
    <n v="1"/>
    <n v="500000"/>
    <n v="0"/>
    <n v="500000"/>
    <n v="0"/>
    <n v="500000"/>
    <n v="0"/>
    <m/>
    <d v="2026-10-01T00:00:00"/>
    <d v="2026-10-01T00:00:00"/>
    <m/>
    <m/>
    <m/>
    <n v="0"/>
    <m/>
    <x v="1"/>
    <s v="Credit"/>
    <s v="90 Days from Appln Rep Sign on Invoice"/>
    <x v="1"/>
  </r>
  <r>
    <s v="DCBWPM166279"/>
    <d v="2026-06-04T00:00:00"/>
    <s v="Hassan Taleb"/>
    <x v="0"/>
    <s v="Systemair For Electrical Equipment Co."/>
    <s v="MP1"/>
    <x v="0"/>
    <x v="6"/>
    <s v="SAR"/>
    <n v="1020088"/>
    <n v="300000"/>
    <n v="1"/>
    <n v="300000"/>
    <n v="0"/>
    <n v="300000"/>
    <n v="0"/>
    <n v="300000"/>
    <n v="0"/>
    <m/>
    <d v="2026-08-31T00:00:00"/>
    <d v="2026-08-31T00:00:00"/>
    <m/>
    <m/>
    <m/>
    <n v="0"/>
    <m/>
    <x v="4"/>
    <s v="Credit"/>
    <s v="120 Days from Applicant representative sign on Invoice"/>
    <x v="1"/>
  </r>
  <r>
    <s v="TF2322084312"/>
    <d v="2023-08-09T00:00:00"/>
    <s v="Hassan Taleb"/>
    <x v="0"/>
    <s v="T,NAGADI PREFORMED CONCRETE"/>
    <s v="KSP"/>
    <x v="0"/>
    <x v="0"/>
    <s v="SAR"/>
    <n v="1020055"/>
    <n v="661990.6"/>
    <n v="1"/>
    <n v="661990.6"/>
    <n v="661990.6"/>
    <n v="0"/>
    <n v="0"/>
    <n v="0"/>
    <n v="0"/>
    <m/>
    <d v="2023-12-31T00:00:00"/>
    <d v="2023-12-31T00:00:00"/>
    <m/>
    <m/>
    <m/>
    <n v="0"/>
    <m/>
    <x v="0"/>
    <s v="Credit"/>
    <s v="60 Days from Delivery Date"/>
    <x v="0"/>
  </r>
  <r>
    <s v="J209691"/>
    <d v="2024-12-17T00:00:00"/>
    <s v="Rabih Makhoul"/>
    <x v="0"/>
    <s v="Tabarak Al-Momyza For Trading Company"/>
    <s v="Opera House"/>
    <x v="2"/>
    <x v="14"/>
    <s v="SAR"/>
    <n v="1020060"/>
    <n v="999349.72"/>
    <n v="1"/>
    <n v="999349.72"/>
    <n v="999349.72"/>
    <n v="0"/>
    <n v="0"/>
    <n v="0"/>
    <n v="0"/>
    <m/>
    <d v="2025-02-28T00:00:00"/>
    <d v="2025-02-04T00:00:00"/>
    <m/>
    <m/>
    <m/>
    <n v="0"/>
    <m/>
    <x v="3"/>
    <s v="Credit"/>
    <s v="45 Days from Invoice Date"/>
    <x v="0"/>
  </r>
  <r>
    <s v="J209614"/>
    <d v="2024-12-08T00:00:00"/>
    <s v="Rabih Makhoul"/>
    <x v="0"/>
    <s v="Tabark Al - Momyza For Trading Est."/>
    <s v="Opera House"/>
    <x v="0"/>
    <x v="5"/>
    <s v="SAR"/>
    <n v="1020100"/>
    <n v="300000"/>
    <n v="1"/>
    <n v="300000"/>
    <n v="300000"/>
    <n v="0"/>
    <n v="0"/>
    <n v="0"/>
    <n v="0"/>
    <m/>
    <d v="2025-02-28T00:00:00"/>
    <d v="2025-02-28T00:00:00"/>
    <m/>
    <m/>
    <m/>
    <n v="0"/>
    <m/>
    <x v="3"/>
    <s v="Credit"/>
    <s v="90 Days from Invoice Date"/>
    <x v="0"/>
  </r>
  <r>
    <s v="TF2521100088"/>
    <d v="2025-07-31T00:00:00"/>
    <s v="Hassan Taleb"/>
    <x v="0"/>
    <s v="TABARK AL-MOMMYZA FOR TRADING COMPANY"/>
    <s v="KSP"/>
    <x v="0"/>
    <x v="0"/>
    <s v="SAR"/>
    <n v="1020055"/>
    <n v="395588.5"/>
    <n v="1"/>
    <n v="395588.5"/>
    <n v="395588.5"/>
    <n v="0"/>
    <n v="0"/>
    <n v="0"/>
    <n v="0"/>
    <m/>
    <d v="2025-10-31T00:00:00"/>
    <d v="2025-10-31T00:00:00"/>
    <m/>
    <m/>
    <m/>
    <n v="0"/>
    <m/>
    <x v="0"/>
    <s v="Credit"/>
    <s v="120 Days from Invoice Date"/>
    <x v="0"/>
  </r>
  <r>
    <s v="TF2513100025"/>
    <d v="2025-05-11T00:00:00"/>
    <s v="Hassan Taleb"/>
    <x v="0"/>
    <s v="TABARK AL-MOMMYZA FOR TRADING EST"/>
    <s v="KSP"/>
    <x v="0"/>
    <x v="0"/>
    <s v="SAR"/>
    <n v="1020055"/>
    <n v="300000"/>
    <n v="1"/>
    <n v="300000"/>
    <n v="300000"/>
    <n v="0"/>
    <n v="0"/>
    <n v="0"/>
    <n v="0"/>
    <m/>
    <d v="2025-08-31T00:00:00"/>
    <d v="2025-08-31T00:00:00"/>
    <m/>
    <m/>
    <m/>
    <n v="0"/>
    <m/>
    <x v="0"/>
    <s v="Credit"/>
    <s v="120 Days from Invoice Date"/>
    <x v="0"/>
  </r>
  <r>
    <s v="TF2508300060"/>
    <d v="2025-03-23T00:00:00"/>
    <s v="Hassan Taleb"/>
    <x v="0"/>
    <s v="Tabark Al-Momyza For Tarding Est."/>
    <s v="KSP"/>
    <x v="0"/>
    <x v="0"/>
    <s v="SAR"/>
    <n v="1020055"/>
    <n v="450163.23"/>
    <n v="1"/>
    <n v="450163.23"/>
    <n v="450163.23"/>
    <n v="0"/>
    <n v="0"/>
    <n v="0"/>
    <n v="0"/>
    <m/>
    <d v="2025-08-31T00:00:00"/>
    <d v="2025-08-31T00:00:00"/>
    <m/>
    <m/>
    <m/>
    <n v="0"/>
    <s v="to bank on 08-09 | EXP &amp; LDS 31-10"/>
    <x v="0"/>
    <s v="Credit"/>
    <s v="90 Days from Invoice Date"/>
    <x v="0"/>
  </r>
  <r>
    <s v="IM2506533002"/>
    <d v="2025-03-09T00:00:00"/>
    <s v="Rabih Makhoul"/>
    <x v="0"/>
    <s v="TABUK STEEL COMPANY"/>
    <s v="Multipurpose"/>
    <x v="2"/>
    <x v="2"/>
    <s v="SAR"/>
    <n v="1020098"/>
    <n v="7566370.25"/>
    <n v="1"/>
    <n v="7566370.25"/>
    <n v="7566369.8300000001"/>
    <n v="0.42"/>
    <n v="0"/>
    <n v="0.42"/>
    <n v="0"/>
    <m/>
    <d v="2025-05-31T00:00:00"/>
    <d v="2025-03-31T00:00:00"/>
    <m/>
    <m/>
    <m/>
    <n v="0"/>
    <m/>
    <x v="2"/>
    <s v="Credit"/>
    <s v="30 Days From Invoice Date"/>
    <x v="0"/>
  </r>
  <r>
    <s v="IM2512733012"/>
    <d v="2025-05-07T00:00:00"/>
    <s v="Hassan Taleb"/>
    <x v="0"/>
    <s v="TAMEA AND TAHENA FOR FAST FOOD"/>
    <s v="Cash"/>
    <x v="0"/>
    <x v="5"/>
    <s v="SAR"/>
    <n v="1020100"/>
    <n v="270000"/>
    <n v="1"/>
    <n v="270000"/>
    <n v="270000"/>
    <n v="0"/>
    <n v="0"/>
    <n v="0"/>
    <n v="0"/>
    <m/>
    <d v="2025-07-31T00:00:00"/>
    <d v="2025-07-31T00:00:00"/>
    <m/>
    <m/>
    <m/>
    <n v="0"/>
    <m/>
    <x v="2"/>
    <s v="Cash"/>
    <s v="120 Days from Invoice Date"/>
    <x v="0"/>
  </r>
  <r>
    <s v="J209789"/>
    <d v="2025-01-05T00:00:00"/>
    <s v="Rabih Makhoul"/>
    <x v="0"/>
    <s v="TAMEER STEEL FACTORY CO LTD"/>
    <s v="Opera House"/>
    <x v="2"/>
    <x v="2"/>
    <s v="SAR"/>
    <n v="1020098"/>
    <n v="12603195"/>
    <n v="1"/>
    <n v="12603195"/>
    <n v="12603195"/>
    <n v="0"/>
    <n v="0"/>
    <n v="0"/>
    <n v="0"/>
    <m/>
    <d v="2025-02-15T00:00:00"/>
    <d v="2025-02-10T00:00:00"/>
    <m/>
    <m/>
    <m/>
    <n v="0"/>
    <m/>
    <x v="3"/>
    <s v="Credit"/>
    <s v="45 Days from Invoice Date"/>
    <x v="0"/>
  </r>
  <r>
    <s v="J209950"/>
    <d v="2025-01-28T00:00:00"/>
    <s v="Rabih Makhoul"/>
    <x v="0"/>
    <s v="TAMEER STEEL FACTORY CO LTD"/>
    <s v="Opera House"/>
    <x v="2"/>
    <x v="2"/>
    <s v="SAR"/>
    <n v="1020098"/>
    <n v="5208739.97"/>
    <n v="1"/>
    <n v="5208739.97"/>
    <n v="4911189.34"/>
    <n v="297550.63"/>
    <n v="0"/>
    <n v="297550.63"/>
    <n v="0"/>
    <m/>
    <d v="2025-03-31T00:00:00"/>
    <d v="2025-03-15T00:00:00"/>
    <m/>
    <m/>
    <m/>
    <n v="0"/>
    <m/>
    <x v="3"/>
    <s v="Credit"/>
    <s v="45 Days from Invoice Date"/>
    <x v="0"/>
  </r>
  <r>
    <s v="IM2505633002"/>
    <d v="2025-02-25T00:00:00"/>
    <s v="Rabih Makhoul"/>
    <x v="0"/>
    <s v="TAMEER STEEL FACTORY CO LTD"/>
    <s v="Oceanarium"/>
    <x v="2"/>
    <x v="2"/>
    <s v="SAR"/>
    <n v="1020098"/>
    <n v="11821448"/>
    <n v="1"/>
    <n v="11821448"/>
    <n v="11804060"/>
    <n v="17388"/>
    <n v="0"/>
    <n v="17388"/>
    <n v="0"/>
    <m/>
    <d v="2025-05-25T00:00:00"/>
    <d v="2025-03-15T00:00:00"/>
    <m/>
    <m/>
    <m/>
    <n v="0"/>
    <m/>
    <x v="2"/>
    <s v="Credit"/>
    <s v="45 Days from Invoice Date"/>
    <x v="0"/>
  </r>
  <r>
    <s v="J210690"/>
    <d v="2025-06-14T00:00:00"/>
    <s v="Rabih Makhoul"/>
    <x v="0"/>
    <s v="TAMEER STEEL FACTORY CO LTD"/>
    <s v="Opera House"/>
    <x v="2"/>
    <x v="2"/>
    <s v="SAR"/>
    <n v="1020098"/>
    <n v="6947334"/>
    <n v="1"/>
    <n v="6947334"/>
    <n v="6947334"/>
    <n v="0"/>
    <n v="0"/>
    <n v="0"/>
    <n v="0"/>
    <m/>
    <d v="2025-08-31T00:00:00"/>
    <d v="2025-08-31T00:00:00"/>
    <m/>
    <m/>
    <m/>
    <m/>
    <m/>
    <x v="3"/>
    <s v="Credit"/>
    <s v="45 Days from Invoice Date"/>
    <x v="0"/>
  </r>
  <r>
    <s v="TF2233877699"/>
    <d v="2022-12-04T00:00:00"/>
    <s v="Hassan Taleb"/>
    <x v="0"/>
    <s v="TATA INTERNATIONAL WEST ASIA"/>
    <s v="KSP"/>
    <x v="2"/>
    <x v="0"/>
    <s v="USD"/>
    <n v="1020055"/>
    <n v="14820421.75"/>
    <n v="3.75"/>
    <n v="55576581.5625"/>
    <n v="53278706.214680009"/>
    <n v="2297875.35"/>
    <n v="0"/>
    <n v="2297875.35"/>
    <n v="0"/>
    <m/>
    <d v="2023-04-25T00:00:00"/>
    <d v="2023-04-25T00:00:00"/>
    <m/>
    <m/>
    <m/>
    <n v="0"/>
    <m/>
    <x v="0"/>
    <s v="Credit"/>
    <m/>
    <x v="0"/>
  </r>
  <r>
    <s v="DCBWPM567554"/>
    <d v="2025-10-16T00:00:00"/>
    <s v="Hassan Taleb"/>
    <x v="0"/>
    <s v="TAWREED INTEGRATED INDUSTRIES"/>
    <s v="MP1"/>
    <x v="0"/>
    <x v="6"/>
    <s v="SAR"/>
    <n v="1020088"/>
    <n v="500000"/>
    <n v="1"/>
    <n v="500000"/>
    <n v="336122.53"/>
    <n v="163877.47"/>
    <n v="99498"/>
    <n v="64379.47"/>
    <n v="0"/>
    <s v="27/07/2026"/>
    <d v="2026-06-30T00:00:00"/>
    <d v="2026-06-30T00:00:00"/>
    <m/>
    <m/>
    <m/>
    <n v="0"/>
    <m/>
    <x v="4"/>
    <s v="Credit"/>
    <s v="120 Days from Invoice Date"/>
    <x v="1"/>
  </r>
  <r>
    <s v="JLC6701905"/>
    <d v="2023-10-08T00:00:00"/>
    <s v="Dipu Sir"/>
    <x v="0"/>
    <s v="TDM SL"/>
    <s v="Cash"/>
    <x v="2"/>
    <x v="17"/>
    <s v="EUR"/>
    <n v="1020015"/>
    <n v="5927186"/>
    <n v="4.2151211000000002"/>
    <n v="24983806.772224601"/>
    <n v="24250543.522939995"/>
    <n v="733263.25"/>
    <n v="0"/>
    <n v="733263.25"/>
    <n v="0"/>
    <m/>
    <d v="2024-07-16T00:00:00"/>
    <d v="2024-07-16T00:00:00"/>
    <m/>
    <m/>
    <m/>
    <n v="0"/>
    <m/>
    <x v="1"/>
    <s v="Cash"/>
    <s v="21 days from the shipment "/>
    <x v="0"/>
  </r>
  <r>
    <s v="JLC6800620"/>
    <d v="2024-03-28T00:00:00"/>
    <s v="Dipu Sir"/>
    <x v="0"/>
    <s v="TDM SL"/>
    <s v="Multipurpose"/>
    <x v="2"/>
    <x v="17"/>
    <s v="EUR"/>
    <n v="1020015"/>
    <n v="1440242"/>
    <n v="4.0999999999999996"/>
    <n v="5904992.1999999993"/>
    <n v="5877097.7354299994"/>
    <n v="27894.46"/>
    <n v="0"/>
    <n v="27894.46"/>
    <n v="0"/>
    <m/>
    <d v="2024-07-30T00:00:00"/>
    <d v="2024-07-30T00:00:00"/>
    <m/>
    <m/>
    <m/>
    <n v="0"/>
    <m/>
    <x v="1"/>
    <s v="Credit"/>
    <m/>
    <x v="0"/>
  </r>
  <r>
    <s v="JLC6801559"/>
    <d v="2024-08-25T00:00:00"/>
    <s v="Dipu Sir"/>
    <x v="0"/>
    <s v="TDM SL"/>
    <s v="Cash"/>
    <x v="2"/>
    <x v="17"/>
    <s v="EUR"/>
    <n v="1020015"/>
    <n v="964422.8"/>
    <n v="4.8235000000000001"/>
    <n v="4651893.3758000005"/>
    <n v="3529473.1941499999"/>
    <n v="1122420.18"/>
    <n v="0"/>
    <n v="1122420.18"/>
    <n v="0"/>
    <m/>
    <d v="2024-12-31T00:00:00"/>
    <d v="2024-11-30T00:00:00"/>
    <m/>
    <m/>
    <m/>
    <n v="0"/>
    <m/>
    <x v="1"/>
    <s v="Cash"/>
    <m/>
    <x v="0"/>
  </r>
  <r>
    <s v="TF2507700047"/>
    <d v="2025-03-18T00:00:00"/>
    <s v="Rabih Makhoul"/>
    <x v="0"/>
    <s v="TECHNICAL TOOLS TRADING CO"/>
    <s v="KSP"/>
    <x v="0"/>
    <x v="5"/>
    <s v="SAR"/>
    <n v="1020100"/>
    <n v="250000"/>
    <n v="1"/>
    <n v="250000"/>
    <n v="250000"/>
    <n v="0"/>
    <n v="0"/>
    <n v="0"/>
    <n v="0"/>
    <m/>
    <d v="2025-06-30T00:00:00"/>
    <d v="2025-06-30T00:00:00"/>
    <m/>
    <m/>
    <m/>
    <n v="0"/>
    <m/>
    <x v="0"/>
    <s v="Credit"/>
    <s v="90 Days from Invoice Date"/>
    <x v="0"/>
  </r>
  <r>
    <s v="TF2513500033"/>
    <d v="2025-05-15T00:00:00"/>
    <s v="Hassan Taleb"/>
    <x v="0"/>
    <s v="TECHNICAL TOOLS TRADING CO"/>
    <s v="KSP"/>
    <x v="0"/>
    <x v="0"/>
    <s v="SAR"/>
    <n v="1020055"/>
    <n v="124712.48"/>
    <n v="1"/>
    <n v="124712.48"/>
    <n v="124712.48"/>
    <n v="0"/>
    <n v="0"/>
    <n v="0"/>
    <n v="0"/>
    <m/>
    <d v="2025-08-31T00:00:00"/>
    <d v="2025-08-31T00:00:00"/>
    <m/>
    <m/>
    <m/>
    <n v="0"/>
    <m/>
    <x v="0"/>
    <s v="Credit"/>
    <s v="120 Days from Invoice Date"/>
    <x v="0"/>
  </r>
  <r>
    <s v="DCBWPM562598"/>
    <d v="2025-07-24T00:00:00"/>
    <s v="Hassan Taleb"/>
    <x v="0"/>
    <s v="TECHNICAL TOOLS TRADING CO."/>
    <s v="MP1"/>
    <x v="0"/>
    <x v="6"/>
    <s v="SAR"/>
    <n v="1020088"/>
    <n v="250000"/>
    <n v="1"/>
    <n v="250000"/>
    <n v="250000"/>
    <n v="0"/>
    <n v="0"/>
    <n v="0"/>
    <n v="0"/>
    <m/>
    <d v="2025-10-31T00:00:00"/>
    <d v="2025-10-31T00:00:00"/>
    <m/>
    <m/>
    <m/>
    <n v="0"/>
    <m/>
    <x v="4"/>
    <s v="Credit"/>
    <s v="120 Days from Invoice Date"/>
    <x v="0"/>
  </r>
  <r>
    <s v="DCBWPM166287"/>
    <d v="2026-06-04T00:00:00"/>
    <s v="Hassan Taleb"/>
    <x v="0"/>
    <s v="TECHNICAL TOOLS TRADING CO."/>
    <s v="MP1"/>
    <x v="0"/>
    <x v="6"/>
    <s v="SAR"/>
    <n v="1020088"/>
    <n v="200000"/>
    <n v="1"/>
    <n v="200000"/>
    <n v="0"/>
    <n v="200000"/>
    <n v="0"/>
    <n v="200000"/>
    <n v="0"/>
    <m/>
    <d v="2026-08-31T00:00:00"/>
    <d v="2026-08-31T00:00:00"/>
    <m/>
    <m/>
    <m/>
    <n v="0"/>
    <m/>
    <x v="4"/>
    <s v="Credit"/>
    <s v="120 Days from Applicant representative sign on Invoice"/>
    <x v="1"/>
  </r>
  <r>
    <s v="IM2512733009"/>
    <d v="2025-05-07T00:00:00"/>
    <s v="Hassan Taleb"/>
    <x v="0"/>
    <s v="TECHNICAL TOOLS TRADING COMPANY"/>
    <s v="Cash"/>
    <x v="0"/>
    <x v="5"/>
    <s v="SAR"/>
    <n v="1020100"/>
    <n v="200000"/>
    <n v="1"/>
    <n v="200000"/>
    <n v="200000"/>
    <n v="0"/>
    <n v="0"/>
    <n v="0"/>
    <n v="0"/>
    <m/>
    <d v="2025-07-31T00:00:00"/>
    <d v="2025-07-31T00:00:00"/>
    <m/>
    <m/>
    <m/>
    <n v="0"/>
    <m/>
    <x v="2"/>
    <s v="Cash"/>
    <s v="120 Days from Invoice Date"/>
    <x v="0"/>
  </r>
  <r>
    <s v="IM2512733017"/>
    <d v="2025-05-08T00:00:00"/>
    <s v="Hassan Taleb"/>
    <x v="0"/>
    <s v="TEN POINTS EST"/>
    <s v="Cash"/>
    <x v="0"/>
    <x v="5"/>
    <s v="SAR"/>
    <n v="1020100"/>
    <n v="606049"/>
    <n v="1"/>
    <n v="606049"/>
    <n v="606049"/>
    <n v="0"/>
    <n v="0"/>
    <n v="0"/>
    <n v="0"/>
    <m/>
    <d v="2025-07-31T00:00:00"/>
    <d v="2025-07-31T00:00:00"/>
    <m/>
    <m/>
    <m/>
    <n v="0"/>
    <m/>
    <x v="2"/>
    <s v="Cash"/>
    <s v="120 Days from Invoice Date"/>
    <x v="0"/>
  </r>
  <r>
    <s v="TF2517400050"/>
    <d v="2025-06-23T00:00:00"/>
    <s v="Hassan Taleb"/>
    <x v="0"/>
    <s v="TEN POINTS EST"/>
    <s v="KSP"/>
    <x v="0"/>
    <x v="5"/>
    <s v="SAR"/>
    <n v="1020100"/>
    <n v="309487"/>
    <n v="1"/>
    <n v="309487"/>
    <n v="309487"/>
    <n v="0"/>
    <n v="0"/>
    <n v="0"/>
    <n v="0"/>
    <m/>
    <d v="2025-08-31T00:00:00"/>
    <d v="2025-08-31T00:00:00"/>
    <m/>
    <m/>
    <m/>
    <n v="0"/>
    <m/>
    <x v="0"/>
    <s v="Credit"/>
    <s v="120 Days from Invoice Date"/>
    <x v="0"/>
  </r>
  <r>
    <s v="DCBWPM565836"/>
    <d v="2025-09-14T00:00:00"/>
    <s v="Hassan Taleb"/>
    <x v="0"/>
    <s v="TEN POINTS EST"/>
    <s v="MP1"/>
    <x v="0"/>
    <x v="6"/>
    <s v="SAR"/>
    <n v="1020088"/>
    <n v="500000"/>
    <n v="1"/>
    <n v="500000"/>
    <n v="500000"/>
    <n v="0"/>
    <n v="0"/>
    <n v="0"/>
    <n v="0"/>
    <m/>
    <d v="2025-12-31T00:00:00"/>
    <d v="2025-12-31T00:00:00"/>
    <m/>
    <m/>
    <m/>
    <n v="0"/>
    <m/>
    <x v="4"/>
    <s v="Credit"/>
    <s v="120 Days from Invoice Date"/>
    <x v="0"/>
  </r>
  <r>
    <s v="DCBWPM166274"/>
    <d v="2026-06-04T00:00:00"/>
    <s v="Hassan Taleb"/>
    <x v="0"/>
    <s v="TEN POINTS EST."/>
    <s v="MP1"/>
    <x v="0"/>
    <x v="6"/>
    <s v="SAR"/>
    <n v="1020088"/>
    <n v="450000"/>
    <n v="1"/>
    <n v="450000"/>
    <n v="0"/>
    <n v="450000"/>
    <n v="0"/>
    <n v="450000"/>
    <n v="0"/>
    <m/>
    <d v="2026-08-31T00:00:00"/>
    <d v="2026-08-31T00:00:00"/>
    <m/>
    <m/>
    <m/>
    <n v="0"/>
    <m/>
    <x v="4"/>
    <s v="Credit"/>
    <s v="120 Days from Applicant representative sign on Invoice"/>
    <x v="1"/>
  </r>
  <r>
    <s v="DCBWPM563932"/>
    <d v="2025-08-18T00:00:00"/>
    <s v="Hassan Taleb"/>
    <x v="0"/>
    <s v="TEN POINTS TRADING EST"/>
    <s v="MP1"/>
    <x v="0"/>
    <x v="6"/>
    <s v="SAR"/>
    <n v="1020088"/>
    <n v="300000"/>
    <n v="1"/>
    <n v="300000"/>
    <n v="300000"/>
    <n v="0"/>
    <n v="0"/>
    <n v="0"/>
    <n v="0"/>
    <m/>
    <d v="2025-11-30T00:00:00"/>
    <d v="2025-11-30T00:00:00"/>
    <m/>
    <m/>
    <m/>
    <n v="0"/>
    <m/>
    <x v="4"/>
    <s v="Credit"/>
    <s v="120 Days from Invoice Date"/>
    <x v="0"/>
  </r>
  <r>
    <s v="JLC7000005"/>
    <d v="2026-01-01T00:00:00"/>
    <s v="Luis Puente"/>
    <x v="0"/>
    <s v="Teqniye Al-Majra For Contracting"/>
    <s v="Oceanarium"/>
    <x v="0"/>
    <x v="7"/>
    <s v="SAR"/>
    <n v="1020096"/>
    <n v="500000"/>
    <n v="1"/>
    <n v="500000"/>
    <n v="0"/>
    <n v="500000"/>
    <n v="489669.97"/>
    <n v="10330.030000000001"/>
    <n v="0"/>
    <s v="02/08/2026"/>
    <d v="2026-06-30T00:00:00"/>
    <d v="2026-06-30T00:00:00"/>
    <m/>
    <m/>
    <m/>
    <n v="0"/>
    <m/>
    <x v="1"/>
    <s v="Credit"/>
    <s v="90 Days from Appln Rep Sign on Invoice"/>
    <x v="1"/>
  </r>
  <r>
    <s v="DCBWPM562728"/>
    <d v="2025-07-29T00:00:00"/>
    <s v="Tareeq Telmasani"/>
    <x v="0"/>
    <s v="The Fundamental Installation For Electric Work Co"/>
    <s v="CEER"/>
    <x v="0"/>
    <x v="3"/>
    <s v="SAR"/>
    <n v="1020091"/>
    <n v="40540825"/>
    <n v="1"/>
    <n v="40540825"/>
    <n v="40540825"/>
    <n v="0"/>
    <n v="0"/>
    <n v="0"/>
    <n v="0"/>
    <m/>
    <d v="2025-11-30T00:00:00"/>
    <d v="2025-11-30T00:00:00"/>
    <m/>
    <m/>
    <m/>
    <m/>
    <s v="to bank on 22-10 | Increase &amp; Extension 30-11"/>
    <x v="4"/>
    <s v="Credit"/>
    <s v="60 Days from Invoice Date"/>
    <x v="0"/>
  </r>
  <r>
    <s v="TF2604200011_A"/>
    <d v="2026-02-11T00:00:00"/>
    <s v="Hassan Taleb"/>
    <x v="0"/>
    <s v="The Fundamental Installation For Electric Work Co"/>
    <s v="KSP"/>
    <x v="0"/>
    <x v="17"/>
    <s v="SAR"/>
    <n v="1020015"/>
    <n v="12000000"/>
    <n v="1"/>
    <n v="12000000"/>
    <n v="12000000"/>
    <n v="0"/>
    <n v="0"/>
    <n v="0"/>
    <n v="0"/>
    <m/>
    <d v="2026-06-30T00:00:00"/>
    <d v="2026-06-30T00:00:00"/>
    <m/>
    <m/>
    <m/>
    <n v="0"/>
    <s v="to bank on 09-03 | Exp &amp; LDS 30-06"/>
    <x v="0"/>
    <s v="Credit"/>
    <s v="90 Days from Invoice Date"/>
    <x v="1"/>
  </r>
  <r>
    <s v="TF2604200011_B"/>
    <d v="2026-02-11T00:00:00"/>
    <s v="Hassan Taleb"/>
    <x v="0"/>
    <s v="The Fundamental Installation For Electric Work Co"/>
    <s v="KSP"/>
    <x v="0"/>
    <x v="12"/>
    <s v="SAR"/>
    <n v="1020001"/>
    <n v="19000000"/>
    <n v="1"/>
    <n v="19000000"/>
    <n v="13000000"/>
    <n v="6000000"/>
    <n v="6000000"/>
    <n v="0"/>
    <n v="0"/>
    <s v="29/06/2026"/>
    <d v="2026-06-30T00:00:00"/>
    <d v="2026-06-30T00:00:00"/>
    <m/>
    <m/>
    <m/>
    <m/>
    <s v="to bank on 31-03"/>
    <x v="0"/>
    <s v="Credit"/>
    <s v="90 Days from Invoice Date"/>
    <x v="1"/>
  </r>
  <r>
    <s v="TF2604200011_C"/>
    <d v="2026-03-10T00:00:00"/>
    <s v="Hassan Taleb"/>
    <x v="0"/>
    <s v="The Fundamental Installation For Electric Work Co"/>
    <s v="KSP"/>
    <x v="0"/>
    <x v="3"/>
    <s v="SAR"/>
    <n v="1020091"/>
    <n v="50000000"/>
    <n v="1"/>
    <n v="50000000"/>
    <n v="50000000"/>
    <n v="0"/>
    <n v="0"/>
    <n v="0"/>
    <n v="0"/>
    <m/>
    <d v="2026-06-30T00:00:00"/>
    <d v="2026-06-30T00:00:00"/>
    <m/>
    <m/>
    <m/>
    <n v="0"/>
    <m/>
    <x v="0"/>
    <s v="Credit"/>
    <s v="90 Days from Invoice Date"/>
    <x v="1"/>
  </r>
  <r>
    <s v="ILC-0840-26-9073"/>
    <d v="2026-03-10T00:00:00"/>
    <s v="Hassan Taleb"/>
    <x v="3"/>
    <s v="The Fundamental Installation For Electric Work Co"/>
    <s v="RCRC"/>
    <x v="0"/>
    <x v="3"/>
    <s v="SAR"/>
    <n v="1020091"/>
    <n v="67000000"/>
    <n v="1"/>
    <n v="67000000"/>
    <n v="25000000"/>
    <n v="42000000"/>
    <n v="42000000"/>
    <n v="0"/>
    <n v="0"/>
    <s v="29/06/2026"/>
    <d v="2026-06-30T00:00:00"/>
    <d v="2026-06-30T00:00:00"/>
    <m/>
    <m/>
    <m/>
    <n v="25000000"/>
    <s v="to bank on 23-06| Increase 25M | Extend 30-09 |Tenor 120 Days"/>
    <x v="6"/>
    <s v="Credit"/>
    <s v="90 Days from Invoice Date"/>
    <x v="1"/>
  </r>
  <r>
    <s v="DCBWPM163417"/>
    <d v="2026-03-16T00:00:00"/>
    <s v="Hassan Taleb"/>
    <x v="0"/>
    <s v="The Fundamental Installation For Electric Work Co"/>
    <s v="MP1"/>
    <x v="0"/>
    <x v="6"/>
    <s v="SAR"/>
    <n v="1020088"/>
    <n v="14000000"/>
    <n v="1"/>
    <n v="14000000"/>
    <n v="10000000"/>
    <n v="4000000"/>
    <n v="4000000"/>
    <n v="0"/>
    <n v="0"/>
    <s v="13/07/2026"/>
    <d v="2026-08-31T00:00:00"/>
    <d v="2026-08-31T00:00:00"/>
    <m/>
    <m/>
    <m/>
    <n v="0"/>
    <m/>
    <x v="4"/>
    <s v="Credit"/>
    <s v="90 Days from Invoice Date"/>
    <x v="1"/>
  </r>
  <r>
    <s v="JLC6901485"/>
    <d v="2025-08-14T00:00:00"/>
    <s v="Muhammed Khan"/>
    <x v="0"/>
    <s v="Theqah Al Tawseel Co. for Transport"/>
    <s v="Cash"/>
    <x v="1"/>
    <x v="1"/>
    <s v="SAR"/>
    <m/>
    <n v="303062.95"/>
    <n v="1"/>
    <n v="303062.95"/>
    <n v="303062.95"/>
    <n v="0"/>
    <n v="0"/>
    <n v="0"/>
    <n v="0"/>
    <m/>
    <d v="2025-09-30T00:00:00"/>
    <d v="2025-09-15T00:00:00"/>
    <m/>
    <m/>
    <m/>
    <m/>
    <m/>
    <x v="1"/>
    <s v="Cash"/>
    <s v="Sight"/>
    <x v="0"/>
  </r>
  <r>
    <s v="TF2324185008"/>
    <d v="2023-08-30T00:00:00"/>
    <s v="Hassan Taleb"/>
    <x v="0"/>
    <s v="THKM ALAALMYT LLTAQT COMPANY"/>
    <s v="KSP"/>
    <x v="0"/>
    <x v="0"/>
    <s v="SAR"/>
    <n v="1020055"/>
    <n v="1000000"/>
    <n v="1"/>
    <n v="1000000"/>
    <n v="999478.92999999993"/>
    <n v="521.07000000000005"/>
    <n v="0"/>
    <n v="521.07000000000005"/>
    <n v="0"/>
    <m/>
    <d v="2023-11-30T00:00:00"/>
    <d v="2023-11-30T00:00:00"/>
    <m/>
    <m/>
    <m/>
    <n v="0"/>
    <m/>
    <x v="0"/>
    <s v="Credit"/>
    <s v="90 Days from Delivery Date"/>
    <x v="0"/>
  </r>
  <r>
    <s v="J208998"/>
    <d v="2024-08-24T00:00:00"/>
    <s v="Hassan Taleb"/>
    <x v="0"/>
    <s v="THKM ALAALMYT LLTAQT COMPANY"/>
    <s v="Opera House"/>
    <x v="0"/>
    <x v="0"/>
    <s v="SAR"/>
    <n v="1020055"/>
    <n v="500000"/>
    <n v="1"/>
    <n v="500000"/>
    <n v="500000"/>
    <n v="0"/>
    <n v="0"/>
    <n v="0"/>
    <n v="0"/>
    <m/>
    <d v="2024-11-30T00:00:00"/>
    <d v="2024-11-30T00:00:00"/>
    <m/>
    <m/>
    <m/>
    <n v="0"/>
    <m/>
    <x v="3"/>
    <s v="Credit"/>
    <s v="90 Days from Invoice Date"/>
    <x v="0"/>
  </r>
  <r>
    <s v="IM2512733015"/>
    <d v="2025-05-07T00:00:00"/>
    <s v="Hassan Taleb"/>
    <x v="0"/>
    <s v="THKM ALAALMYT LLTAQT COMPANY"/>
    <s v="Cash"/>
    <x v="0"/>
    <x v="5"/>
    <s v="SAR"/>
    <n v="1020100"/>
    <n v="200000"/>
    <n v="1"/>
    <n v="200000"/>
    <n v="200000"/>
    <n v="0"/>
    <n v="0"/>
    <n v="0"/>
    <n v="0"/>
    <m/>
    <d v="2025-07-31T00:00:00"/>
    <d v="2025-07-31T00:00:00"/>
    <m/>
    <m/>
    <m/>
    <n v="0"/>
    <m/>
    <x v="2"/>
    <s v="Cash"/>
    <s v="120 Days from Invoice Date"/>
    <x v="0"/>
  </r>
  <r>
    <s v="TF2433399026"/>
    <d v="2024-11-28T00:00:00"/>
    <s v="Hassan Taleb"/>
    <x v="0"/>
    <s v="Thkm Alaalmyt Lltaqt Company."/>
    <s v="KSP"/>
    <x v="0"/>
    <x v="0"/>
    <s v="SAR"/>
    <n v="1020055"/>
    <n v="301761.59999999998"/>
    <n v="1"/>
    <n v="301761.59999999998"/>
    <n v="301761.59999999998"/>
    <n v="0"/>
    <n v="0"/>
    <n v="0"/>
    <n v="0"/>
    <m/>
    <d v="2025-02-28T00:00:00"/>
    <d v="2025-02-28T00:00:00"/>
    <m/>
    <m/>
    <m/>
    <n v="0"/>
    <m/>
    <x v="0"/>
    <s v="Credit"/>
    <s v="90 Days from Invoice Date"/>
    <x v="0"/>
  </r>
  <r>
    <s v="TF2331987210"/>
    <d v="2023-11-15T00:00:00"/>
    <s v="Hassan Taleb"/>
    <x v="0"/>
    <s v="THKM CO"/>
    <s v="KSP"/>
    <x v="0"/>
    <x v="0"/>
    <s v="SAR"/>
    <n v="1020055"/>
    <n v="2000000"/>
    <n v="1"/>
    <n v="2000000"/>
    <n v="1999510.76"/>
    <n v="489.24"/>
    <n v="0"/>
    <n v="489.24"/>
    <n v="0"/>
    <m/>
    <d v="2024-07-01T00:00:00"/>
    <d v="2024-07-01T00:00:00"/>
    <m/>
    <m/>
    <m/>
    <n v="0"/>
    <m/>
    <x v="0"/>
    <s v="Credit"/>
    <s v="90 Days from Delivery Date"/>
    <x v="0"/>
  </r>
  <r>
    <s v="TF2400788861"/>
    <d v="2024-01-08T00:00:00"/>
    <s v="Hassan Taleb"/>
    <x v="0"/>
    <s v="THKM CO"/>
    <s v="KSP"/>
    <x v="0"/>
    <x v="0"/>
    <s v="SAR"/>
    <n v="1020055"/>
    <n v="500000"/>
    <n v="1"/>
    <n v="500000"/>
    <n v="499320.68"/>
    <n v="679.32"/>
    <n v="0"/>
    <n v="679.32"/>
    <n v="0"/>
    <m/>
    <d v="2024-07-01T00:00:00"/>
    <d v="2024-07-01T00:00:00"/>
    <m/>
    <m/>
    <m/>
    <n v="0"/>
    <m/>
    <x v="0"/>
    <s v="Credit"/>
    <s v="90 Days from Delivery Date"/>
    <x v="0"/>
  </r>
  <r>
    <s v="TF2421494838"/>
    <d v="2024-08-01T00:00:00"/>
    <s v="Hassan Taleb"/>
    <x v="0"/>
    <s v="THKM CO"/>
    <s v="KSP"/>
    <x v="0"/>
    <x v="0"/>
    <s v="SAR"/>
    <n v="1020055"/>
    <n v="327750"/>
    <n v="1"/>
    <n v="327750"/>
    <n v="327750"/>
    <n v="0"/>
    <n v="0"/>
    <n v="0"/>
    <n v="0"/>
    <m/>
    <d v="2024-10-31T00:00:00"/>
    <d v="2024-10-31T00:00:00"/>
    <m/>
    <m/>
    <m/>
    <n v="0"/>
    <m/>
    <x v="0"/>
    <s v="Credit"/>
    <m/>
    <x v="0"/>
  </r>
  <r>
    <s v="JLC6901486"/>
    <d v="2025-08-14T00:00:00"/>
    <s v="Muhammed Khan"/>
    <x v="0"/>
    <s v="TRAP Pest Control and Garden Maintenance Co. Ltd"/>
    <s v="Cash"/>
    <x v="1"/>
    <x v="1"/>
    <s v="SAR"/>
    <m/>
    <n v="567886.03"/>
    <n v="1"/>
    <n v="567886.03"/>
    <n v="567886.03"/>
    <n v="0"/>
    <n v="0"/>
    <n v="0"/>
    <n v="0"/>
    <m/>
    <d v="2025-09-30T00:00:00"/>
    <d v="2025-09-15T00:00:00"/>
    <m/>
    <m/>
    <m/>
    <m/>
    <m/>
    <x v="1"/>
    <s v="Cash"/>
    <s v="Sight"/>
    <x v="0"/>
  </r>
  <r>
    <s v="JLC6702455"/>
    <d v="2023-12-23T00:00:00"/>
    <s v="Mohammed Kotb"/>
    <x v="0"/>
    <s v="TRINDEL ARABIA LTD. CO"/>
    <s v="Multipurpose"/>
    <x v="5"/>
    <x v="4"/>
    <s v="SAR"/>
    <n v="1020070"/>
    <n v="934375"/>
    <n v="1"/>
    <n v="934375"/>
    <n v="934375"/>
    <n v="0"/>
    <n v="0"/>
    <n v="0"/>
    <n v="0"/>
    <m/>
    <d v="2024-06-30T00:00:00"/>
    <d v="2024-06-30T00:00:00"/>
    <m/>
    <m/>
    <m/>
    <n v="0"/>
    <m/>
    <x v="1"/>
    <s v="Credit"/>
    <m/>
    <x v="0"/>
  </r>
  <r>
    <s v="DCBWPM165765"/>
    <d v="2026-05-19T00:00:00"/>
    <s v="Mohammed Kotb"/>
    <x v="0"/>
    <s v="TRINDEL ARABIA LTD. CO"/>
    <s v="MP1"/>
    <x v="4"/>
    <x v="4"/>
    <s v="SAR"/>
    <n v="1020070"/>
    <n v="772046"/>
    <n v="1"/>
    <n v="772046"/>
    <n v="0"/>
    <n v="772046"/>
    <n v="0"/>
    <n v="772046"/>
    <n v="0"/>
    <m/>
    <d v="2026-07-31T00:00:00"/>
    <d v="2026-07-10T00:00:00"/>
    <m/>
    <m/>
    <m/>
    <n v="0"/>
    <m/>
    <x v="4"/>
    <s v="Credit"/>
    <s v="90 Days from Appln Rep Sign on Invoice"/>
    <x v="1"/>
  </r>
  <r>
    <s v="IM2512733013"/>
    <d v="2025-05-07T00:00:00"/>
    <s v="Hassan Taleb"/>
    <x v="0"/>
    <s v="ULTIMATE SOLUTIONS TRADING CO."/>
    <s v="Cash"/>
    <x v="0"/>
    <x v="5"/>
    <s v="SAR"/>
    <n v="1020100"/>
    <n v="200000"/>
    <n v="1"/>
    <n v="200000"/>
    <n v="200000"/>
    <n v="0"/>
    <n v="0"/>
    <n v="0"/>
    <n v="0"/>
    <m/>
    <d v="2025-08-20T00:00:00"/>
    <d v="2025-08-20T00:00:00"/>
    <m/>
    <m/>
    <m/>
    <n v="0"/>
    <m/>
    <x v="2"/>
    <s v="Cash"/>
    <s v="120 Days from Invoice Date"/>
    <x v="0"/>
  </r>
  <r>
    <s v="ILC-0840-25-7269"/>
    <d v="2025-02-10T00:00:00"/>
    <s v="Hassan Taleb"/>
    <x v="0"/>
    <s v="Union Pipes Industry"/>
    <s v="RCRC"/>
    <x v="0"/>
    <x v="11"/>
    <s v="SAR"/>
    <n v="1020106"/>
    <n v="666690.68999999994"/>
    <n v="1"/>
    <n v="666690.68999999994"/>
    <n v="622981.28"/>
    <n v="43709.41"/>
    <n v="0"/>
    <n v="43709.41"/>
    <n v="0"/>
    <m/>
    <d v="2025-10-31T00:00:00"/>
    <d v="2025-10-31T00:00:00"/>
    <m/>
    <m/>
    <m/>
    <n v="0"/>
    <m/>
    <x v="6"/>
    <s v="Credit"/>
    <s v="90 Days from Invoice Date"/>
    <x v="0"/>
  </r>
  <r>
    <s v="J210025"/>
    <d v="2025-02-05T00:00:00"/>
    <s v="Hassan Taleb"/>
    <x v="0"/>
    <s v="Union Pipes Industry Co"/>
    <s v="Opera House"/>
    <x v="0"/>
    <x v="0"/>
    <s v="SAR"/>
    <n v="1020055"/>
    <n v="649056.68999999994"/>
    <n v="1"/>
    <n v="649056.68999999994"/>
    <n v="649056.68999999994"/>
    <n v="0"/>
    <n v="0"/>
    <n v="0"/>
    <n v="0"/>
    <m/>
    <d v="2025-04-30T00:00:00"/>
    <d v="2025-04-30T00:00:00"/>
    <m/>
    <m/>
    <m/>
    <n v="0"/>
    <s v="2nd Lot"/>
    <x v="3"/>
    <s v="Credit"/>
    <s v="90 Days from Invoice Date"/>
    <x v="0"/>
  </r>
  <r>
    <s v="ILC-0840-25-7979"/>
    <d v="2025-07-17T00:00:00"/>
    <s v="Hassan Taleb"/>
    <x v="0"/>
    <s v="Union Pipes Industry Co LLC"/>
    <s v="RCRC"/>
    <x v="0"/>
    <x v="11"/>
    <s v="SAR"/>
    <n v="1020106"/>
    <n v="225103.44"/>
    <n v="1"/>
    <n v="225103.44"/>
    <n v="225103.44"/>
    <n v="0"/>
    <n v="0"/>
    <n v="0"/>
    <n v="0"/>
    <m/>
    <d v="2025-09-30T00:00:00"/>
    <d v="2025-09-30T00:00:00"/>
    <m/>
    <m/>
    <m/>
    <n v="0"/>
    <m/>
    <x v="6"/>
    <s v="Credit"/>
    <s v="90 Days from Invoice Date"/>
    <x v="0"/>
  </r>
  <r>
    <s v="TF2513100023"/>
    <d v="2025-05-11T00:00:00"/>
    <s v="Hassan Taleb"/>
    <x v="0"/>
    <s v="UNION PIPES INDUSTRY CO."/>
    <s v="KSP"/>
    <x v="0"/>
    <x v="0"/>
    <s v="SAR"/>
    <n v="1020055"/>
    <n v="304087.03999999998"/>
    <n v="1"/>
    <n v="304087.03999999998"/>
    <n v="304087.03999999998"/>
    <n v="0"/>
    <n v="0"/>
    <n v="0"/>
    <n v="0"/>
    <m/>
    <d v="2025-08-31T00:00:00"/>
    <d v="2025-08-31T00:00:00"/>
    <m/>
    <m/>
    <m/>
    <n v="0"/>
    <m/>
    <x v="0"/>
    <s v="Credit"/>
    <s v="120 Days from Invoice Date"/>
    <x v="0"/>
  </r>
  <r>
    <s v="TF2433399020"/>
    <d v="2024-11-28T00:00:00"/>
    <s v="Hassan Taleb"/>
    <x v="0"/>
    <s v="Union Pipes Industry Co. Llc."/>
    <s v="KSP"/>
    <x v="0"/>
    <x v="0"/>
    <s v="SAR"/>
    <n v="1020055"/>
    <n v="359810.57"/>
    <n v="1"/>
    <n v="359810.57"/>
    <n v="359810.57"/>
    <n v="0"/>
    <n v="0"/>
    <n v="0"/>
    <n v="0"/>
    <m/>
    <d v="2025-02-28T00:00:00"/>
    <d v="2025-02-28T00:00:00"/>
    <m/>
    <m/>
    <m/>
    <n v="0"/>
    <m/>
    <x v="0"/>
    <s v="Credit"/>
    <s v="90 Days from Invoice Date"/>
    <x v="0"/>
  </r>
  <r>
    <s v="J209442"/>
    <d v="2024-10-27T00:00:00"/>
    <s v="Hassan Taleb"/>
    <x v="0"/>
    <s v="United Arab Aluminum Company Limited"/>
    <s v="Opera House"/>
    <x v="2"/>
    <x v="15"/>
    <s v="SAR"/>
    <n v="1020068"/>
    <n v="12000000"/>
    <n v="1"/>
    <n v="12000000"/>
    <n v="12000000"/>
    <n v="0"/>
    <n v="0"/>
    <n v="0"/>
    <n v="0"/>
    <m/>
    <d v="2025-01-31T00:00:00"/>
    <d v="2025-01-04T00:00:00"/>
    <m/>
    <m/>
    <m/>
    <n v="0"/>
    <m/>
    <x v="3"/>
    <s v="Credit"/>
    <s v="30 Days From Invoice Date"/>
    <x v="0"/>
  </r>
  <r>
    <s v="TF2311581354"/>
    <d v="2023-04-25T00:00:00"/>
    <s v="Hassan Taleb"/>
    <x v="0"/>
    <s v="UNITED INTEGRATED COMPANY LIMITED"/>
    <s v="KSP"/>
    <x v="0"/>
    <x v="0"/>
    <s v="SAR"/>
    <n v="1020055"/>
    <n v="2846250"/>
    <n v="1"/>
    <n v="2846250"/>
    <n v="2846250"/>
    <n v="0"/>
    <n v="0"/>
    <n v="0"/>
    <n v="0"/>
    <m/>
    <d v="2023-06-30T00:00:00"/>
    <d v="2023-06-30T00:00:00"/>
    <m/>
    <m/>
    <m/>
    <n v="0"/>
    <m/>
    <x v="0"/>
    <s v="Credit"/>
    <m/>
    <x v="0"/>
  </r>
  <r>
    <s v="ILC-0840-25-7354"/>
    <d v="2025-03-02T00:00:00"/>
    <s v="Hassan Taleb"/>
    <x v="0"/>
    <s v="UNITED PARK CO"/>
    <s v="RCRC"/>
    <x v="0"/>
    <x v="11"/>
    <s v="SAR"/>
    <n v="1020106"/>
    <n v="753402"/>
    <n v="1"/>
    <n v="753402"/>
    <n v="753402.01"/>
    <n v="-0.01"/>
    <n v="0"/>
    <n v="-0.01"/>
    <n v="0"/>
    <m/>
    <d v="2025-12-31T00:00:00"/>
    <d v="2025-12-31T00:00:00"/>
    <m/>
    <m/>
    <m/>
    <n v="0"/>
    <s v="to bank on 05-10 | EXP &amp; LDS - 31-12-25"/>
    <x v="6"/>
    <s v="Credit"/>
    <s v="90 Days from Invoice Date"/>
    <x v="0"/>
  </r>
  <r>
    <s v="ILC-0840-25-8160"/>
    <d v="2025-08-26T00:00:00"/>
    <s v="Hassan Taleb"/>
    <x v="0"/>
    <s v="United Park Co."/>
    <s v="RCRC"/>
    <x v="0"/>
    <x v="11"/>
    <s v="SAR"/>
    <n v="1020106"/>
    <n v="251134"/>
    <n v="1"/>
    <n v="251134"/>
    <n v="251134"/>
    <n v="0"/>
    <n v="0"/>
    <n v="0"/>
    <n v="0"/>
    <m/>
    <d v="2026-01-31T00:00:00"/>
    <d v="2026-01-31T00:00:00"/>
    <m/>
    <m/>
    <m/>
    <n v="0"/>
    <m/>
    <x v="6"/>
    <s v="Credit"/>
    <s v="90 Days from Invoice Date"/>
    <x v="0"/>
  </r>
  <r>
    <s v="ILC-0840-26-8819"/>
    <d v="2026-01-11T00:00:00"/>
    <s v="Hassan Taleb"/>
    <x v="0"/>
    <s v="United Park Co."/>
    <s v="RCRC"/>
    <x v="0"/>
    <x v="11"/>
    <s v="SAR"/>
    <n v="1020106"/>
    <n v="252107.36"/>
    <n v="1"/>
    <n v="252107.36"/>
    <n v="252107.36"/>
    <n v="0"/>
    <n v="0"/>
    <n v="0"/>
    <n v="0"/>
    <m/>
    <d v="2026-03-31T00:00:00"/>
    <d v="2026-03-31T00:00:00"/>
    <m/>
    <m/>
    <m/>
    <n v="0"/>
    <m/>
    <x v="6"/>
    <s v="Credit"/>
    <s v="90 Days from Applicant representative sign on Invoice"/>
    <x v="0"/>
  </r>
  <r>
    <s v="TF2431898511"/>
    <d v="2024-11-14T00:00:00"/>
    <s v="Rabih Makhoul"/>
    <x v="0"/>
    <s v="United Technology Of Electric Substation &amp; Switchgear Company"/>
    <s v="KSP"/>
    <x v="2"/>
    <x v="14"/>
    <s v="SAR"/>
    <n v="1020060"/>
    <n v="1181656.28"/>
    <n v="1"/>
    <n v="1181656.28"/>
    <n v="0"/>
    <n v="1181656.28"/>
    <n v="0"/>
    <n v="1181656.28"/>
    <n v="0"/>
    <m/>
    <d v="2025-01-31T00:00:00"/>
    <d v="2025-01-04T00:00:00"/>
    <m/>
    <m/>
    <m/>
    <n v="0"/>
    <s v="Draft at Sight Pending with Rashid Naamani"/>
    <x v="0"/>
    <s v="Credit"/>
    <s v="45 Days from Invoice Date"/>
    <x v="0"/>
  </r>
  <r>
    <s v="IM2500733004"/>
    <d v="2025-01-07T00:00:00"/>
    <s v="Hassan Taleb"/>
    <x v="0"/>
    <s v="Universal Building Materials Merchants Co. Ltd"/>
    <s v="Multipurpose"/>
    <x v="0"/>
    <x v="0"/>
    <s v="SAR"/>
    <n v="1020055"/>
    <n v="431393.05"/>
    <n v="1"/>
    <n v="431393.05"/>
    <n v="431393.05"/>
    <n v="0"/>
    <n v="0"/>
    <n v="0"/>
    <n v="0"/>
    <m/>
    <d v="2025-03-31T00:00:00"/>
    <d v="2025-03-31T00:00:00"/>
    <m/>
    <m/>
    <m/>
    <n v="0"/>
    <m/>
    <x v="2"/>
    <s v="Credit"/>
    <s v="90 Days from Invoice Date"/>
    <x v="0"/>
  </r>
  <r>
    <s v="TF2514700061"/>
    <d v="2025-05-27T00:00:00"/>
    <s v="Hassan Taleb"/>
    <x v="0"/>
    <s v="Universal Building Materials Merchants Co. ltd"/>
    <s v="KSP"/>
    <x v="0"/>
    <x v="0"/>
    <s v="SAR"/>
    <n v="1020055"/>
    <n v="200000"/>
    <n v="1"/>
    <n v="200000"/>
    <n v="200000"/>
    <n v="0"/>
    <n v="0"/>
    <n v="0"/>
    <n v="0"/>
    <m/>
    <d v="2025-08-31T00:00:00"/>
    <d v="2025-08-31T00:00:00"/>
    <m/>
    <m/>
    <m/>
    <n v="0"/>
    <m/>
    <x v="0"/>
    <s v="Credit"/>
    <s v="120 Days from Invoice Date"/>
    <x v="0"/>
  </r>
  <r>
    <s v="J209169"/>
    <d v="2024-09-16T00:00:00"/>
    <s v="Hassan Taleb"/>
    <x v="0"/>
    <s v="UNIVERSAL BUILDING MATERIALS MERCHANTS CO.LTD"/>
    <s v="Opera House"/>
    <x v="0"/>
    <x v="0"/>
    <s v="SAR"/>
    <n v="1020055"/>
    <n v="670471.5"/>
    <n v="1"/>
    <n v="670471.5"/>
    <n v="670471.5"/>
    <n v="0"/>
    <n v="0"/>
    <n v="0"/>
    <n v="0"/>
    <m/>
    <d v="2024-11-30T00:00:00"/>
    <d v="2024-11-04T00:00:00"/>
    <m/>
    <m/>
    <m/>
    <n v="0"/>
    <m/>
    <x v="3"/>
    <s v="Credit"/>
    <s v="90 Days from Invoice Date"/>
    <x v="0"/>
  </r>
  <r>
    <s v="TF2508300059"/>
    <d v="2025-03-23T00:00:00"/>
    <s v="Hassan Taleb"/>
    <x v="0"/>
    <s v="UNIVERSAL BUILDING MATERIALS MERCHANTS CO.LTD"/>
    <s v="KSP"/>
    <x v="0"/>
    <x v="0"/>
    <s v="SAR"/>
    <n v="1020055"/>
    <n v="300597.8"/>
    <n v="1"/>
    <n v="300597.8"/>
    <n v="300597.8"/>
    <n v="0"/>
    <n v="0"/>
    <n v="0"/>
    <n v="0"/>
    <m/>
    <d v="2025-06-30T00:00:00"/>
    <d v="2025-06-30T00:00:00"/>
    <m/>
    <m/>
    <m/>
    <n v="0"/>
    <m/>
    <x v="0"/>
    <s v="Credit"/>
    <s v="90 Days from Invoice Date"/>
    <x v="0"/>
  </r>
  <r>
    <s v="DC WPM556764"/>
    <d v="2025-04-28T00:00:00"/>
    <s v="Tareeq - Premium"/>
    <x v="0"/>
    <s v="VENTLINE AIR CONDITIONING REQUISITES MANUFACTURING LLC"/>
    <s v="CEER"/>
    <x v="9"/>
    <x v="3"/>
    <s v="AED"/>
    <n v="1020091"/>
    <n v="6500000"/>
    <n v="1.03"/>
    <n v="6695000"/>
    <n v="6679465.7599999998"/>
    <n v="15534.24"/>
    <n v="0"/>
    <n v="15534.24"/>
    <n v="0"/>
    <m/>
    <d v="2025-10-21T00:00:00"/>
    <d v="2025-09-30T00:00:00"/>
    <m/>
    <m/>
    <m/>
    <n v="0"/>
    <m/>
    <x v="4"/>
    <s v="Credit"/>
    <s v="Sight"/>
    <x v="0"/>
  </r>
  <r>
    <s v="JLC6801573"/>
    <d v="2024-08-25T00:00:00"/>
    <s v="Dipu Sir"/>
    <x v="0"/>
    <s v="Visio INC"/>
    <s v="Cash"/>
    <x v="2"/>
    <x v="17"/>
    <s v="SAR"/>
    <n v="1020015"/>
    <n v="16327500.880000001"/>
    <n v="1"/>
    <n v="16327500.880000001"/>
    <n v="15446722.59"/>
    <n v="880778.29"/>
    <n v="0"/>
    <n v="880778.29"/>
    <n v="0"/>
    <m/>
    <d v="2026-06-30T00:00:00"/>
    <d v="2024-12-31T00:00:00"/>
    <m/>
    <m/>
    <m/>
    <n v="0"/>
    <m/>
    <x v="1"/>
    <s v="Cash"/>
    <s v="30 Days from Delivery Date"/>
    <x v="1"/>
  </r>
  <r>
    <s v="ILC-0840-25-7735"/>
    <d v="2025-05-27T00:00:00"/>
    <s v="Hassan Taleb"/>
    <x v="0"/>
    <s v="VOLTAGE ELEMENTS INDUSTRIAL Co. "/>
    <s v="RCRC"/>
    <x v="0"/>
    <x v="11"/>
    <s v="SAR"/>
    <n v="1020106"/>
    <n v="618700.01"/>
    <n v="1"/>
    <n v="618700.01"/>
    <n v="618700"/>
    <n v="0.01"/>
    <n v="0"/>
    <n v="0.01"/>
    <n v="0"/>
    <m/>
    <d v="2025-10-31T00:00:00"/>
    <d v="2025-10-31T00:00:00"/>
    <m/>
    <m/>
    <m/>
    <n v="0"/>
    <m/>
    <x v="6"/>
    <s v="Credit"/>
    <s v="90 Days from Invoice Date"/>
    <x v="0"/>
  </r>
  <r>
    <s v="ILC-0840-25-7568"/>
    <d v="2025-04-28T00:00:00"/>
    <s v="Hassan Taleb"/>
    <x v="0"/>
    <s v="WATANIA STEEL FACTORY COMPANY"/>
    <s v="RCRC"/>
    <x v="2"/>
    <x v="11"/>
    <s v="SAR"/>
    <n v="1020106"/>
    <n v="11042622"/>
    <n v="1"/>
    <n v="11042622"/>
    <n v="11042622"/>
    <n v="0"/>
    <n v="0"/>
    <n v="0"/>
    <n v="0"/>
    <m/>
    <d v="2025-07-31T00:00:00"/>
    <d v="2025-07-31T00:00:00"/>
    <m/>
    <m/>
    <m/>
    <n v="0"/>
    <m/>
    <x v="6"/>
    <s v="Credit"/>
    <s v="90 Days from Invoice Date"/>
    <x v="0"/>
  </r>
  <r>
    <s v="TF2324885182"/>
    <d v="2023-09-06T00:00:00"/>
    <s v="Mohammed Atef"/>
    <x v="0"/>
    <s v="WESTCON SAUDI COMPANY                          "/>
    <s v="KSP"/>
    <x v="5"/>
    <x v="0"/>
    <s v="SAR"/>
    <n v="1020055"/>
    <n v="5972293"/>
    <n v="1"/>
    <n v="5972293"/>
    <n v="5972293"/>
    <n v="0"/>
    <n v="0"/>
    <n v="0"/>
    <n v="0"/>
    <m/>
    <d v="2023-11-30T00:00:00"/>
    <d v="2023-11-30T00:00:00"/>
    <m/>
    <m/>
    <m/>
    <n v="0"/>
    <m/>
    <x v="0"/>
    <s v="Credit"/>
    <m/>
    <x v="0"/>
  </r>
  <r>
    <s v="TF2514700038"/>
    <d v="2025-05-27T00:00:00"/>
    <s v="Hassan Taleb"/>
    <x v="0"/>
    <s v="World Systems Co. Ltd."/>
    <s v="KSP"/>
    <x v="0"/>
    <x v="0"/>
    <s v="SAR"/>
    <n v="1020055"/>
    <n v="381871.86"/>
    <n v="1"/>
    <n v="381871.86"/>
    <n v="381871.86"/>
    <n v="0"/>
    <n v="0"/>
    <n v="0"/>
    <n v="0"/>
    <m/>
    <d v="2025-10-31T00:00:00"/>
    <d v="2025-10-31T00:00:00"/>
    <m/>
    <m/>
    <m/>
    <n v="0"/>
    <s v="to bank on 08-09 | EXP &amp; LDS 31-10"/>
    <x v="0"/>
    <s v="Credit"/>
    <s v="120 Days from Invoice Date"/>
    <x v="0"/>
  </r>
  <r>
    <s v="TF2521100037"/>
    <d v="2025-07-31T00:00:00"/>
    <s v="Hassan Taleb"/>
    <x v="0"/>
    <s v="ZAHID TRACTOR &amp; HEAVY MACHINERY CO. LTD."/>
    <s v="KSP"/>
    <x v="0"/>
    <x v="0"/>
    <s v="SAR"/>
    <n v="1020055"/>
    <n v="4106471.65"/>
    <n v="1"/>
    <n v="4106471.65"/>
    <n v="4106471.65"/>
    <n v="0"/>
    <n v="0"/>
    <n v="0"/>
    <n v="0"/>
    <m/>
    <d v="2025-10-31T00:00:00"/>
    <d v="2025-10-31T00:00:00"/>
    <m/>
    <m/>
    <m/>
    <n v="0"/>
    <s v="to bank on 28-07"/>
    <x v="0"/>
    <s v="Credit"/>
    <s v="120 Days from Invoice Date"/>
    <x v="0"/>
  </r>
  <r>
    <s v="TF2308980805"/>
    <d v="2023-03-30T00:00:00"/>
    <s v="Bassam Marawie"/>
    <x v="0"/>
    <s v="ZAHID TRACTOR AND HEAVEY MACHINERY"/>
    <s v="KSP"/>
    <x v="0"/>
    <x v="13"/>
    <s v="SAR"/>
    <n v="1020052"/>
    <n v="10518119"/>
    <n v="1"/>
    <n v="10518119"/>
    <n v="10518119"/>
    <n v="0"/>
    <n v="0"/>
    <n v="0"/>
    <n v="0"/>
    <m/>
    <d v="2023-09-30T00:00:00"/>
    <d v="2023-09-30T00:00:00"/>
    <m/>
    <m/>
    <m/>
    <n v="0"/>
    <m/>
    <x v="0"/>
    <s v="Credit"/>
    <m/>
    <x v="0"/>
  </r>
  <r>
    <s v="TF2414292663"/>
    <d v="2024-05-23T00:00:00"/>
    <s v="Hassan Taleb"/>
    <x v="0"/>
    <s v="ZAHID TRACTOR AND HEAVY MACHINERY CO LTD"/>
    <s v="KSP"/>
    <x v="0"/>
    <x v="0"/>
    <s v="SAR"/>
    <n v="1020055"/>
    <n v="3794618.02"/>
    <n v="1"/>
    <n v="3794618.02"/>
    <n v="3794618.02"/>
    <n v="0"/>
    <n v="0"/>
    <n v="0"/>
    <n v="0"/>
    <m/>
    <d v="2024-09-30T00:00:00"/>
    <d v="2024-09-30T00:00:00"/>
    <m/>
    <m/>
    <m/>
    <n v="0"/>
    <m/>
    <x v="0"/>
    <s v="Credit"/>
    <m/>
    <x v="0"/>
  </r>
  <r>
    <s v="J209006"/>
    <d v="2024-08-15T00:00:00"/>
    <s v="Hassan Taleb"/>
    <x v="0"/>
    <s v="ZAHID TRACTOR HEAVY MACHINERY CO"/>
    <s v="Opera House"/>
    <x v="0"/>
    <x v="0"/>
    <s v="SAR"/>
    <n v="1020055"/>
    <n v="2754688.47"/>
    <n v="1"/>
    <n v="2754688.47"/>
    <n v="2754688.47"/>
    <n v="0"/>
    <n v="0"/>
    <n v="0"/>
    <n v="0"/>
    <m/>
    <d v="2024-11-30T00:00:00"/>
    <d v="2024-11-30T00:00:00"/>
    <m/>
    <m/>
    <m/>
    <n v="0"/>
    <m/>
    <x v="3"/>
    <s v="Credit"/>
    <m/>
    <x v="0"/>
  </r>
</pivotCacheRecords>
</file>

<file path=xl/pivotCache/pivotCacheRecords1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5">
  <r>
    <x v="0"/>
    <d v="2025-04-16T00:00:00"/>
    <x v="0"/>
    <s v="Discrepant"/>
    <x v="0"/>
    <s v="Credit"/>
    <x v="0"/>
    <s v="MBL"/>
    <s v="JCD SPMI"/>
    <s v="1020100"/>
    <x v="0"/>
    <n v="930474.94"/>
    <n v="1"/>
    <n v="930474.94"/>
    <d v="2025-05-20T00:00:00"/>
  </r>
  <r>
    <x v="1"/>
    <d v="2025-03-12T00:00:00"/>
    <x v="1"/>
    <s v="Discrepant"/>
    <x v="0"/>
    <s v="Credit"/>
    <x v="1"/>
    <s v="FIRST FIX"/>
    <s v="KSP"/>
    <s v="1020055"/>
    <x v="0"/>
    <n v="400000"/>
    <n v="1"/>
    <n v="400000"/>
    <d v="2025-04-14T00:00:00"/>
  </r>
  <r>
    <x v="2"/>
    <d v="2025-01-28T00:00:00"/>
    <x v="1"/>
    <s v="Collection"/>
    <x v="0"/>
    <s v="Credit"/>
    <x v="2"/>
    <s v="MBL"/>
    <s v="Neom - The Line"/>
    <s v="1020098"/>
    <x v="0"/>
    <n v="1793279.73"/>
    <n v="1"/>
    <n v="1793279.73"/>
    <d v="2025-01-28T00:00:00"/>
  </r>
  <r>
    <x v="3"/>
    <d v="2025-04-24T00:00:00"/>
    <x v="1"/>
    <s v="Clean"/>
    <x v="0"/>
    <s v="Credit"/>
    <x v="3"/>
    <s v="MBL"/>
    <s v="Rabigh Power Plant"/>
    <s v="1020107"/>
    <x v="0"/>
    <n v="4262444.8"/>
    <n v="1"/>
    <n v="4262444.8"/>
    <d v="2025-04-30T00:00:00"/>
  </r>
  <r>
    <x v="4"/>
    <d v="2025-03-24T00:00:00"/>
    <x v="2"/>
    <s v="Clean"/>
    <x v="1"/>
    <s v="Credit"/>
    <x v="4"/>
    <s v="MBL"/>
    <s v="CEER"/>
    <s v="1020091"/>
    <x v="1"/>
    <n v="105946.36"/>
    <n v="1.0259"/>
    <n v="108690.37072400001"/>
    <d v="2025-03-26T00:00:00"/>
  </r>
  <r>
    <x v="5"/>
    <d v="2024-10-22T00:00:00"/>
    <x v="1"/>
    <s v="Clean"/>
    <x v="2"/>
    <s v="Credit"/>
    <x v="5"/>
    <s v="ICAD"/>
    <s v="ABHA"/>
    <s v="1020070"/>
    <x v="0"/>
    <n v="1876828.68"/>
    <n v="1"/>
    <n v="1876828.68"/>
    <d v="2025-01-09T00:00:00"/>
  </r>
  <r>
    <x v="5"/>
    <d v="2024-11-19T00:00:00"/>
    <x v="3"/>
    <s v="Clean"/>
    <x v="2"/>
    <s v="Credit"/>
    <x v="5"/>
    <s v="ICAD"/>
    <s v="ABHA"/>
    <s v="1020070"/>
    <x v="0"/>
    <n v="1454735.93"/>
    <n v="1"/>
    <n v="1454735.93"/>
    <d v="2025-02-18T00:00:00"/>
  </r>
  <r>
    <x v="5"/>
    <d v="2025-01-01T00:00:00"/>
    <x v="0"/>
    <s v="Clean"/>
    <x v="2"/>
    <s v="Credit"/>
    <x v="5"/>
    <s v="ICAD"/>
    <s v="ABHA"/>
    <s v="1020070"/>
    <x v="0"/>
    <n v="212095.59"/>
    <n v="1"/>
    <n v="212095.59"/>
    <d v="2025-03-05T00:00:00"/>
  </r>
  <r>
    <x v="6"/>
    <d v="2024-11-18T00:00:00"/>
    <x v="1"/>
    <s v="Clean"/>
    <x v="2"/>
    <s v="Credit"/>
    <x v="6"/>
    <s v="FIRST FIX"/>
    <s v="B05"/>
    <s v="1020052"/>
    <x v="0"/>
    <n v="1000000"/>
    <n v="1"/>
    <n v="1000000"/>
    <d v="2024-12-01T00:00:00"/>
  </r>
  <r>
    <x v="7"/>
    <d v="2025-01-13T00:00:00"/>
    <x v="1"/>
    <s v="Discrepant"/>
    <x v="2"/>
    <s v="Credit"/>
    <x v="7"/>
    <s v="FIRST FIX"/>
    <s v="B05"/>
    <s v="1020052"/>
    <x v="0"/>
    <n v="4626403.66"/>
    <n v="1"/>
    <n v="4626403.66"/>
    <d v="2025-03-12T00:00:00"/>
  </r>
  <r>
    <x v="8"/>
    <d v="2024-11-18T00:00:00"/>
    <x v="1"/>
    <s v="Clean"/>
    <x v="2"/>
    <s v="Credit"/>
    <x v="8"/>
    <s v="FIRST FIX"/>
    <s v="JCD SPMI"/>
    <s v="1020100"/>
    <x v="0"/>
    <n v="6000000"/>
    <n v="1"/>
    <n v="6000000"/>
    <d v="2025-02-11T00:00:00"/>
  </r>
  <r>
    <x v="9"/>
    <d v="2024-12-29T00:00:00"/>
    <x v="1"/>
    <s v="Discrepant"/>
    <x v="2"/>
    <s v="Credit"/>
    <x v="9"/>
    <s v="FIRST FIX"/>
    <s v="JCD SPMI"/>
    <s v="1020100"/>
    <x v="0"/>
    <n v="108100"/>
    <n v="1"/>
    <n v="108100"/>
    <d v="2025-04-06T00:00:00"/>
  </r>
  <r>
    <x v="10"/>
    <d v="2025-01-01T00:00:00"/>
    <x v="1"/>
    <s v="Clean"/>
    <x v="2"/>
    <s v="Credit"/>
    <x v="10"/>
    <s v="FIRST FIX"/>
    <s v="JCD SPMI"/>
    <s v="1020100"/>
    <x v="0"/>
    <n v="2000000"/>
    <n v="1"/>
    <n v="2000000"/>
    <d v="2025-03-25T00:00:00"/>
  </r>
  <r>
    <x v="11"/>
    <d v="2025-02-05T00:00:00"/>
    <x v="1"/>
    <s v="Discrepant"/>
    <x v="2"/>
    <s v="Credit"/>
    <x v="11"/>
    <s v="FIRST FIX"/>
    <s v="JCD SPMI"/>
    <s v="1020100"/>
    <x v="0"/>
    <n v="250606.6"/>
    <n v="1"/>
    <n v="250606.6"/>
    <d v="2025-03-25T00:00:00"/>
  </r>
  <r>
    <x v="12"/>
    <d v="2025-02-06T00:00:00"/>
    <x v="1"/>
    <s v="Discrepant"/>
    <x v="2"/>
    <s v="Credit"/>
    <x v="12"/>
    <s v="FIRST FIX"/>
    <s v="JCD SPMI"/>
    <s v="1020100"/>
    <x v="0"/>
    <n v="650808.41"/>
    <n v="1"/>
    <n v="650808.41"/>
    <d v="2025-03-24T00:00:00"/>
  </r>
  <r>
    <x v="13"/>
    <d v="2025-02-17T00:00:00"/>
    <x v="1"/>
    <s v="Discrepant"/>
    <x v="2"/>
    <s v="Credit"/>
    <x v="13"/>
    <s v="FIRST FIX"/>
    <s v="JCD SPMI"/>
    <s v="1020100"/>
    <x v="0"/>
    <n v="300000"/>
    <n v="1"/>
    <n v="300000"/>
    <d v="2025-04-10T00:00:00"/>
  </r>
  <r>
    <x v="14"/>
    <d v="2025-03-06T00:00:00"/>
    <x v="1"/>
    <s v="Discrepant"/>
    <x v="2"/>
    <s v="Credit"/>
    <x v="14"/>
    <s v="FIRST FIX"/>
    <s v="JCD SPMI"/>
    <s v="1020100"/>
    <x v="0"/>
    <n v="400000"/>
    <n v="1"/>
    <n v="400000"/>
    <d v="2025-05-06T00:00:00"/>
  </r>
  <r>
    <x v="15"/>
    <d v="2025-03-11T00:00:00"/>
    <x v="1"/>
    <s v="Discrepant"/>
    <x v="2"/>
    <s v="Credit"/>
    <x v="15"/>
    <s v="FIRST FIX"/>
    <s v="JCD SPMI"/>
    <s v="1020100"/>
    <x v="0"/>
    <n v="169050"/>
    <n v="1"/>
    <n v="169050"/>
    <d v="2025-04-10T00:00:00"/>
  </r>
  <r>
    <x v="16"/>
    <d v="2025-03-18T00:00:00"/>
    <x v="1"/>
    <s v="Clean"/>
    <x v="2"/>
    <s v="Credit"/>
    <x v="16"/>
    <s v="FIRST FIX"/>
    <s v="JCD SPMI"/>
    <s v="1020100"/>
    <x v="0"/>
    <n v="300000"/>
    <n v="1"/>
    <n v="300000"/>
    <d v="2025-03-16T00:00:00"/>
  </r>
  <r>
    <x v="17"/>
    <d v="2025-03-18T00:00:00"/>
    <x v="1"/>
    <s v="Clean"/>
    <x v="2"/>
    <s v="Credit"/>
    <x v="17"/>
    <s v="FIRST FIX"/>
    <s v="JCD SPMI"/>
    <s v="1020100"/>
    <x v="0"/>
    <n v="600000"/>
    <n v="1"/>
    <n v="600000"/>
    <d v="2025-06-01T00:00:00"/>
  </r>
  <r>
    <x v="18"/>
    <d v="2025-03-24T00:00:00"/>
    <x v="1"/>
    <s v="Clean"/>
    <x v="2"/>
    <s v="Credit"/>
    <x v="8"/>
    <s v="FIRST FIX"/>
    <s v="JCD SPMI"/>
    <s v="1020100"/>
    <x v="0"/>
    <n v="900000"/>
    <n v="1"/>
    <n v="900000"/>
    <d v="2025-06-08T00:00:00"/>
  </r>
  <r>
    <x v="19"/>
    <d v="2025-04-20T00:00:00"/>
    <x v="1"/>
    <s v="Clean"/>
    <x v="2"/>
    <s v="Credit"/>
    <x v="10"/>
    <s v="FIRST FIX"/>
    <s v="JCD SPMI"/>
    <s v="1020100"/>
    <x v="0"/>
    <n v="900000"/>
    <n v="1"/>
    <n v="900000"/>
    <d v="2025-06-22T00:00:00"/>
  </r>
  <r>
    <x v="20"/>
    <d v="2025-04-22T00:00:00"/>
    <x v="1"/>
    <s v="Clean"/>
    <x v="2"/>
    <s v="Credit"/>
    <x v="18"/>
    <s v="FIRST FIX"/>
    <s v="JCD SPMI"/>
    <s v="1020100"/>
    <x v="0"/>
    <n v="781791.28"/>
    <n v="1"/>
    <n v="781791.28"/>
    <d v="2025-05-27T00:00:00"/>
  </r>
  <r>
    <x v="21"/>
    <d v="2025-04-08T00:00:00"/>
    <x v="1"/>
    <s v="Clean"/>
    <x v="2"/>
    <s v="Credit"/>
    <x v="12"/>
    <s v="FIRST FIX"/>
    <s v="JCD SPMI"/>
    <s v="1020100"/>
    <x v="0"/>
    <n v="302011.38"/>
    <n v="1"/>
    <n v="302011.38"/>
    <d v="2025-05-25T00:00:00"/>
  </r>
  <r>
    <x v="22"/>
    <d v="2025-05-13T00:00:00"/>
    <x v="1"/>
    <s v="Discrepant"/>
    <x v="2"/>
    <s v="Credit"/>
    <x v="19"/>
    <s v="FIRST FIX"/>
    <s v="JCD SPMI"/>
    <s v="1020100"/>
    <x v="0"/>
    <n v="350000"/>
    <n v="1"/>
    <n v="350000"/>
    <d v="2025-06-03T00:00:00"/>
  </r>
  <r>
    <x v="23"/>
    <d v="2025-04-15T00:00:00"/>
    <x v="1"/>
    <s v="Clean"/>
    <x v="2"/>
    <s v="Credit"/>
    <x v="20"/>
    <s v="FIRST FIX"/>
    <s v="JCD SPMI"/>
    <s v="1020100"/>
    <x v="0"/>
    <n v="446228.6"/>
    <n v="1"/>
    <n v="446228.6"/>
    <d v="2025-05-06T00:00:00"/>
  </r>
  <r>
    <x v="24"/>
    <d v="2025-04-14T00:00:00"/>
    <x v="1"/>
    <s v="Clean"/>
    <x v="2"/>
    <s v="Credit"/>
    <x v="21"/>
    <s v="FIRST FIX"/>
    <s v="JCD SPMI"/>
    <s v="1020100"/>
    <x v="0"/>
    <n v="522850"/>
    <n v="1"/>
    <n v="522850"/>
    <d v="2025-04-14T00:00:00"/>
  </r>
  <r>
    <x v="25"/>
    <d v="2025-04-14T00:00:00"/>
    <x v="1"/>
    <s v="Clean"/>
    <x v="2"/>
    <s v="Credit"/>
    <x v="19"/>
    <s v="FIRST FIX"/>
    <s v="JCD SPMI"/>
    <s v="1020100"/>
    <x v="0"/>
    <n v="700000"/>
    <n v="1"/>
    <n v="700000"/>
    <d v="2025-04-20T00:00:00"/>
  </r>
  <r>
    <x v="26"/>
    <d v="2025-05-22T00:00:00"/>
    <x v="1"/>
    <s v="Discrepant"/>
    <x v="2"/>
    <s v="Credit"/>
    <x v="22"/>
    <s v="FIRST FIX"/>
    <s v="JCD SPMI"/>
    <s v="1020100"/>
    <x v="0"/>
    <n v="400000"/>
    <n v="1"/>
    <n v="400000"/>
    <d v="2025-06-26T00:00:00"/>
  </r>
  <r>
    <x v="21"/>
    <d v="2025-05-15T00:00:00"/>
    <x v="3"/>
    <s v="Discrepant"/>
    <x v="2"/>
    <s v="Credit"/>
    <x v="12"/>
    <s v="FIRST FIX"/>
    <s v="JCD SPMI"/>
    <s v="1020100"/>
    <x v="0"/>
    <n v="47988.62"/>
    <n v="1"/>
    <n v="47988.62"/>
    <d v="2025-07-06T00:00:00"/>
  </r>
  <r>
    <x v="27"/>
    <d v="2025-01-15T00:00:00"/>
    <x v="1"/>
    <s v="Clean"/>
    <x v="2"/>
    <s v="Credit"/>
    <x v="23"/>
    <s v="MBL"/>
    <s v="KAP"/>
    <s v="1020060"/>
    <x v="0"/>
    <n v="999349.72"/>
    <n v="1"/>
    <n v="999349.72"/>
    <d v="2025-02-06T00:00:00"/>
  </r>
  <r>
    <x v="28"/>
    <d v="2024-10-08T00:00:00"/>
    <x v="1"/>
    <s v="Clean"/>
    <x v="2"/>
    <s v="Credit"/>
    <x v="24"/>
    <s v="FIRST FIX"/>
    <s v="KSP"/>
    <s v="1020055"/>
    <x v="0"/>
    <n v="458485.39"/>
    <n v="1"/>
    <n v="458485.39"/>
    <d v="2024-11-27T00:00:00"/>
  </r>
  <r>
    <x v="29"/>
    <d v="2024-10-08T00:00:00"/>
    <x v="1"/>
    <s v="Clean"/>
    <x v="2"/>
    <s v="Credit"/>
    <x v="25"/>
    <s v="FIRST FIX"/>
    <s v="KSP"/>
    <s v="1020055"/>
    <x v="0"/>
    <n v="1238238.98"/>
    <n v="1"/>
    <n v="1238238.98"/>
    <d v="2024-12-29T00:00:00"/>
  </r>
  <r>
    <x v="29"/>
    <d v="2024-10-09T00:00:00"/>
    <x v="3"/>
    <s v="Clean"/>
    <x v="2"/>
    <s v="Credit"/>
    <x v="25"/>
    <s v="FIRST FIX"/>
    <s v="KSP"/>
    <s v="1020055"/>
    <x v="0"/>
    <n v="1000000"/>
    <n v="1"/>
    <n v="1000000"/>
    <d v="2024-12-29T00:00:00"/>
  </r>
  <r>
    <x v="30"/>
    <d v="2024-10-13T00:00:00"/>
    <x v="1"/>
    <s v="Clean"/>
    <x v="2"/>
    <s v="Credit"/>
    <x v="26"/>
    <s v="FIRST FIX"/>
    <s v="KSP"/>
    <s v="1020055"/>
    <x v="0"/>
    <n v="500000"/>
    <n v="1"/>
    <n v="500000"/>
    <d v="2024-12-26T00:00:00"/>
  </r>
  <r>
    <x v="31"/>
    <d v="2024-10-14T00:00:00"/>
    <x v="1"/>
    <s v="Discrepant"/>
    <x v="2"/>
    <s v="Credit"/>
    <x v="27"/>
    <s v="FIRST FIX"/>
    <s v="KSP"/>
    <s v="1020055"/>
    <x v="0"/>
    <n v="1000000"/>
    <n v="1"/>
    <n v="1000000"/>
    <d v="2024-12-15T00:00:00"/>
  </r>
  <r>
    <x v="32"/>
    <d v="2024-10-14T00:00:00"/>
    <x v="1"/>
    <s v="Discrepant"/>
    <x v="2"/>
    <s v="Credit"/>
    <x v="28"/>
    <s v="FIRST FIX"/>
    <s v="KSP"/>
    <s v="1020055"/>
    <x v="0"/>
    <n v="580000"/>
    <n v="1"/>
    <n v="580000"/>
    <d v="2024-11-21T00:00:00"/>
  </r>
  <r>
    <x v="33"/>
    <d v="2024-10-15T00:00:00"/>
    <x v="1"/>
    <s v="Discrepant"/>
    <x v="2"/>
    <s v="Credit"/>
    <x v="29"/>
    <s v="FIRST FIX"/>
    <s v="KSP"/>
    <s v="1020055"/>
    <x v="0"/>
    <n v="700000"/>
    <n v="1"/>
    <n v="700000"/>
    <d v="2024-12-05T00:00:00"/>
  </r>
  <r>
    <x v="34"/>
    <d v="2024-10-16T00:00:00"/>
    <x v="1"/>
    <s v="Discrepant"/>
    <x v="2"/>
    <s v="Credit"/>
    <x v="30"/>
    <s v="FIRST FIX"/>
    <s v="KSP"/>
    <s v="1020055"/>
    <x v="0"/>
    <n v="416865.1"/>
    <n v="1"/>
    <n v="416865.1"/>
    <d v="2024-12-29T00:00:00"/>
  </r>
  <r>
    <x v="35"/>
    <d v="2024-10-16T00:00:00"/>
    <x v="1"/>
    <s v="Clean"/>
    <x v="2"/>
    <s v="Credit"/>
    <x v="26"/>
    <s v="FIRST FIX"/>
    <s v="KSP"/>
    <s v="1020055"/>
    <x v="0"/>
    <n v="1508807.25"/>
    <n v="1"/>
    <n v="1508807.25"/>
    <d v="2025-01-05T00:00:00"/>
  </r>
  <r>
    <x v="36"/>
    <d v="2024-10-16T00:00:00"/>
    <x v="1"/>
    <s v="Clean"/>
    <x v="2"/>
    <s v="Credit"/>
    <x v="19"/>
    <s v="FIRST FIX"/>
    <s v="KSP"/>
    <s v="1020055"/>
    <x v="0"/>
    <n v="1261625"/>
    <n v="1"/>
    <n v="1261625"/>
    <d v="2024-12-26T00:00:00"/>
  </r>
  <r>
    <x v="37"/>
    <d v="2024-10-17T00:00:00"/>
    <x v="1"/>
    <s v="Clean"/>
    <x v="2"/>
    <s v="Credit"/>
    <x v="31"/>
    <s v="FIRST FIX"/>
    <s v="KSP"/>
    <s v="1020055"/>
    <x v="0"/>
    <n v="1083501.1399999999"/>
    <n v="1"/>
    <n v="1083501.1399999999"/>
    <d v="2024-12-24T00:00:00"/>
  </r>
  <r>
    <x v="38"/>
    <d v="2024-10-17T00:00:00"/>
    <x v="1"/>
    <s v="Clean"/>
    <x v="2"/>
    <s v="Credit"/>
    <x v="32"/>
    <s v="FIRST FIX"/>
    <s v="KSP"/>
    <s v="1020055"/>
    <x v="0"/>
    <n v="2000000"/>
    <n v="1"/>
    <n v="2000000"/>
    <d v="2025-01-05T00:00:00"/>
  </r>
  <r>
    <x v="39"/>
    <d v="2024-10-20T00:00:00"/>
    <x v="1"/>
    <s v="Clean"/>
    <x v="2"/>
    <s v="Credit"/>
    <x v="33"/>
    <s v="FIRST FIX"/>
    <s v="KSP"/>
    <s v="1020055"/>
    <x v="0"/>
    <n v="2000000"/>
    <n v="1"/>
    <n v="2000000"/>
    <d v="2024-12-16T00:00:00"/>
  </r>
  <r>
    <x v="40"/>
    <d v="2024-10-20T00:00:00"/>
    <x v="1"/>
    <s v="Discrepant"/>
    <x v="2"/>
    <s v="Credit"/>
    <x v="34"/>
    <s v="FIRST FIX"/>
    <s v="KSP"/>
    <s v="1020055"/>
    <x v="0"/>
    <n v="670471.5"/>
    <n v="1"/>
    <n v="670471.5"/>
    <d v="2024-12-17T00:00:00"/>
  </r>
  <r>
    <x v="41"/>
    <d v="2024-10-21T00:00:00"/>
    <x v="1"/>
    <s v="Clean"/>
    <x v="2"/>
    <s v="Credit"/>
    <x v="35"/>
    <s v="FIRST FIX"/>
    <s v="KSP"/>
    <s v="1020055"/>
    <x v="0"/>
    <n v="507987.99"/>
    <n v="1"/>
    <n v="507987.99"/>
    <d v="2024-12-09T00:00:00"/>
  </r>
  <r>
    <x v="42"/>
    <d v="2024-10-21T00:00:00"/>
    <x v="1"/>
    <s v="Discrepant"/>
    <x v="2"/>
    <s v="Credit"/>
    <x v="36"/>
    <s v="FIRST FIX"/>
    <s v="KSP"/>
    <s v="1020055"/>
    <x v="0"/>
    <n v="769558.85"/>
    <n v="1"/>
    <n v="769558.85"/>
    <d v="2024-12-24T00:00:00"/>
  </r>
  <r>
    <x v="43"/>
    <d v="2024-10-22T00:00:00"/>
    <x v="1"/>
    <s v="Clean"/>
    <x v="2"/>
    <s v="Credit"/>
    <x v="37"/>
    <s v="FIRST FIX"/>
    <s v="KSP"/>
    <s v="1020055"/>
    <x v="0"/>
    <n v="405299.47"/>
    <n v="1"/>
    <n v="405299.47"/>
    <d v="2024-12-17T00:00:00"/>
  </r>
  <r>
    <x v="44"/>
    <d v="2024-10-21T00:00:00"/>
    <x v="1"/>
    <s v="Discrepant"/>
    <x v="2"/>
    <s v="Credit"/>
    <x v="38"/>
    <s v="FIRST FIX"/>
    <s v="KSP"/>
    <s v="1020055"/>
    <x v="0"/>
    <n v="1500000"/>
    <n v="1"/>
    <n v="1500000"/>
    <d v="2024-12-17T00:00:00"/>
  </r>
  <r>
    <x v="45"/>
    <d v="2024-10-21T00:00:00"/>
    <x v="1"/>
    <s v="Discrepant"/>
    <x v="2"/>
    <s v="Credit"/>
    <x v="28"/>
    <s v="FIRST FIX"/>
    <s v="KSP"/>
    <s v="1020055"/>
    <x v="0"/>
    <n v="1050000"/>
    <n v="1"/>
    <n v="1050000"/>
    <d v="2024-12-16T00:00:00"/>
  </r>
  <r>
    <x v="46"/>
    <d v="2024-10-21T00:00:00"/>
    <x v="1"/>
    <s v="Discrepant"/>
    <x v="2"/>
    <s v="Credit"/>
    <x v="39"/>
    <s v="FIRST FIX"/>
    <s v="KSP"/>
    <s v="1020055"/>
    <x v="0"/>
    <n v="375576.84"/>
    <n v="1"/>
    <n v="375576.84"/>
    <d v="2024-12-01T00:00:00"/>
  </r>
  <r>
    <x v="47"/>
    <d v="2024-10-31T00:00:00"/>
    <x v="1"/>
    <s v="Clean"/>
    <x v="2"/>
    <s v="Credit"/>
    <x v="40"/>
    <s v="FIRST FIX"/>
    <s v="KSP"/>
    <s v="1020055"/>
    <x v="0"/>
    <n v="1795147.53"/>
    <n v="1"/>
    <n v="1795147.53"/>
    <d v="2024-12-24T00:00:00"/>
  </r>
  <r>
    <x v="48"/>
    <d v="2024-11-03T00:00:00"/>
    <x v="1"/>
    <s v="Discrepant"/>
    <x v="2"/>
    <s v="Credit"/>
    <x v="41"/>
    <s v="FIRST FIX"/>
    <s v="KSP"/>
    <s v="1020055"/>
    <x v="0"/>
    <n v="1749851.86"/>
    <n v="1"/>
    <n v="1749851.86"/>
    <d v="2024-11-24T00:00:00"/>
  </r>
  <r>
    <x v="49"/>
    <d v="2024-11-04T00:00:00"/>
    <x v="1"/>
    <s v="Clean"/>
    <x v="2"/>
    <s v="Credit"/>
    <x v="42"/>
    <s v="FIRST FIX"/>
    <s v="KSP"/>
    <s v="1020055"/>
    <x v="0"/>
    <n v="500000"/>
    <n v="1"/>
    <n v="500000"/>
    <d v="2024-12-16T00:00:00"/>
  </r>
  <r>
    <x v="50"/>
    <d v="2024-11-10T00:00:00"/>
    <x v="1"/>
    <s v="Discrepant"/>
    <x v="2"/>
    <s v="Credit"/>
    <x v="43"/>
    <s v="FIRST FIX"/>
    <s v="KSP"/>
    <s v="1020055"/>
    <x v="0"/>
    <n v="457318.2"/>
    <n v="1"/>
    <n v="457318.2"/>
    <d v="2024-12-08T00:00:00"/>
  </r>
  <r>
    <x v="51"/>
    <d v="2024-11-10T00:00:00"/>
    <x v="1"/>
    <s v="Clean"/>
    <x v="2"/>
    <s v="Credit"/>
    <x v="44"/>
    <s v="FIRST FIX"/>
    <s v="KSP"/>
    <s v="1020055"/>
    <x v="0"/>
    <n v="897119.6"/>
    <n v="1"/>
    <n v="897119.6"/>
    <d v="2024-12-31T00:00:00"/>
  </r>
  <r>
    <x v="52"/>
    <d v="2024-11-05T00:00:00"/>
    <x v="1"/>
    <s v="Discrepant"/>
    <x v="2"/>
    <s v="Credit"/>
    <x v="45"/>
    <s v="FIRST FIX"/>
    <s v="KSP"/>
    <s v="1020055"/>
    <x v="0"/>
    <n v="593580.02"/>
    <n v="1"/>
    <n v="593580.02"/>
    <d v="2024-12-05T00:00:00"/>
  </r>
  <r>
    <x v="53"/>
    <d v="2024-11-12T00:00:00"/>
    <x v="1"/>
    <s v="Discrepant"/>
    <x v="2"/>
    <s v="Credit"/>
    <x v="46"/>
    <s v="FIRST FIX"/>
    <s v="KSP"/>
    <s v="1020055"/>
    <x v="0"/>
    <n v="3500000"/>
    <n v="1"/>
    <n v="3500000"/>
    <d v="2024-11-27T00:00:00"/>
  </r>
  <r>
    <x v="34"/>
    <d v="2024-11-13T00:00:00"/>
    <x v="3"/>
    <s v="Discrepant"/>
    <x v="2"/>
    <s v="Credit"/>
    <x v="30"/>
    <s v="FIRST FIX"/>
    <s v="KSP"/>
    <s v="1020055"/>
    <x v="0"/>
    <n v="2144034.7000000002"/>
    <n v="1"/>
    <n v="2144034.7000000002"/>
    <d v="2025-01-19T00:00:00"/>
  </r>
  <r>
    <x v="54"/>
    <d v="2024-11-16T00:00:00"/>
    <x v="1"/>
    <s v="Discrepant"/>
    <x v="2"/>
    <s v="Credit"/>
    <x v="47"/>
    <s v="FIRST FIX"/>
    <s v="KSP"/>
    <s v="1020055"/>
    <x v="0"/>
    <n v="686893.71"/>
    <n v="1"/>
    <n v="686893.71"/>
    <d v="2024-12-17T00:00:00"/>
  </r>
  <r>
    <x v="55"/>
    <d v="2024-11-18T00:00:00"/>
    <x v="1"/>
    <s v="Clean"/>
    <x v="2"/>
    <s v="Credit"/>
    <x v="48"/>
    <s v="FIRST FIX"/>
    <s v="KSP"/>
    <s v="1020055"/>
    <x v="0"/>
    <n v="1000000"/>
    <n v="1"/>
    <n v="1000000"/>
    <d v="2025-01-22T00:00:00"/>
  </r>
  <r>
    <x v="56"/>
    <d v="2024-11-18T00:00:00"/>
    <x v="1"/>
    <s v="Clean"/>
    <x v="2"/>
    <s v="Credit"/>
    <x v="30"/>
    <s v="FIRST FIX"/>
    <s v="KSP"/>
    <s v="1020055"/>
    <x v="0"/>
    <n v="2009087.66"/>
    <n v="1"/>
    <n v="2009087.66"/>
    <d v="2025-01-19T00:00:00"/>
  </r>
  <r>
    <x v="57"/>
    <d v="2024-11-10T00:00:00"/>
    <x v="1"/>
    <s v="Clean"/>
    <x v="2"/>
    <s v="Credit"/>
    <x v="49"/>
    <s v="FIRST FIX"/>
    <s v="KSP"/>
    <s v="1020055"/>
    <x v="0"/>
    <n v="500000"/>
    <n v="1"/>
    <n v="500000"/>
    <d v="2024-12-22T00:00:00"/>
  </r>
  <r>
    <x v="58"/>
    <d v="2024-12-01T00:00:00"/>
    <x v="1"/>
    <s v="Clean"/>
    <x v="2"/>
    <s v="Credit"/>
    <x v="50"/>
    <s v="FIRST FIX"/>
    <s v="KSP"/>
    <s v="1020055"/>
    <x v="0"/>
    <n v="209264.52"/>
    <n v="1"/>
    <n v="209264.52"/>
    <d v="2025-01-15T00:00:00"/>
  </r>
  <r>
    <x v="59"/>
    <d v="2024-12-03T00:00:00"/>
    <x v="1"/>
    <s v="Discrepant"/>
    <x v="2"/>
    <s v="Credit"/>
    <x v="51"/>
    <s v="FIRST FIX"/>
    <s v="KSP"/>
    <s v="1020055"/>
    <x v="0"/>
    <n v="1000000"/>
    <n v="1"/>
    <n v="1000000"/>
    <d v="2025-01-26T00:00:00"/>
  </r>
  <r>
    <x v="60"/>
    <d v="2024-12-03T00:00:00"/>
    <x v="1"/>
    <s v="Clean"/>
    <x v="2"/>
    <s v="Credit"/>
    <x v="40"/>
    <s v="FIRST FIX"/>
    <s v="KSP"/>
    <s v="1020055"/>
    <x v="0"/>
    <n v="1650702.09"/>
    <n v="1"/>
    <n v="1650702.09"/>
    <d v="2024-12-24T00:00:00"/>
  </r>
  <r>
    <x v="61"/>
    <d v="2024-12-03T00:00:00"/>
    <x v="1"/>
    <s v="Discrepant"/>
    <x v="2"/>
    <s v="Credit"/>
    <x v="52"/>
    <s v="FIRST FIX"/>
    <s v="KSP"/>
    <s v="1020055"/>
    <x v="0"/>
    <n v="1500000"/>
    <n v="1"/>
    <n v="1500000"/>
    <d v="2025-02-02T00:00:00"/>
  </r>
  <r>
    <x v="50"/>
    <d v="2024-12-03T00:00:00"/>
    <x v="3"/>
    <s v="Discrepant"/>
    <x v="2"/>
    <s v="Credit"/>
    <x v="43"/>
    <s v="FIRST FIX"/>
    <s v="KSP"/>
    <s v="1020055"/>
    <x v="0"/>
    <n v="42681.8"/>
    <n v="1"/>
    <n v="42681.8"/>
    <d v="2025-02-03T00:00:00"/>
  </r>
  <r>
    <x v="62"/>
    <d v="2024-12-05T00:00:00"/>
    <x v="1"/>
    <s v="Clean"/>
    <x v="2"/>
    <s v="Credit"/>
    <x v="53"/>
    <s v="FIRST FIX"/>
    <s v="KSP"/>
    <s v="1020055"/>
    <x v="0"/>
    <n v="931500.09"/>
    <n v="1"/>
    <n v="931500.09"/>
    <d v="2025-02-11T00:00:00"/>
  </r>
  <r>
    <x v="63"/>
    <d v="2024-12-05T00:00:00"/>
    <x v="1"/>
    <s v="Clean"/>
    <x v="2"/>
    <s v="Credit"/>
    <x v="54"/>
    <s v="FIRST FIX"/>
    <s v="KSP"/>
    <s v="1020055"/>
    <x v="0"/>
    <n v="229198.19"/>
    <n v="1"/>
    <n v="229198.19"/>
    <d v="2025-02-06T00:00:00"/>
  </r>
  <r>
    <x v="64"/>
    <d v="2024-12-10T00:00:00"/>
    <x v="1"/>
    <s v="Discrepant"/>
    <x v="2"/>
    <s v="Credit"/>
    <x v="55"/>
    <s v="MBL"/>
    <s v="KSP Finishing"/>
    <s v="1020068"/>
    <x v="0"/>
    <n v="10000000"/>
    <n v="1"/>
    <n v="10000000"/>
    <d v="2024-12-11T00:00:00"/>
  </r>
  <r>
    <x v="65"/>
    <d v="2024-12-16T00:00:00"/>
    <x v="1"/>
    <s v="Clean"/>
    <x v="2"/>
    <s v="Credit"/>
    <x v="56"/>
    <s v="FIRST FIX"/>
    <s v="KSP"/>
    <s v="1020055"/>
    <x v="0"/>
    <n v="800000"/>
    <n v="1"/>
    <n v="800000"/>
    <d v="2025-03-05T00:00:00"/>
  </r>
  <r>
    <x v="58"/>
    <d v="2024-12-24T00:00:00"/>
    <x v="3"/>
    <s v="Clean"/>
    <x v="2"/>
    <s v="Credit"/>
    <x v="50"/>
    <s v="FIRST FIX"/>
    <s v="KSP"/>
    <s v="1020055"/>
    <x v="0"/>
    <n v="298416.84000000003"/>
    <n v="1"/>
    <n v="298416.84000000003"/>
    <d v="2025-02-09T00:00:00"/>
  </r>
  <r>
    <x v="66"/>
    <d v="2024-12-24T00:00:00"/>
    <x v="1"/>
    <s v="Clean"/>
    <x v="2"/>
    <s v="Credit"/>
    <x v="57"/>
    <s v="FIRST FIX"/>
    <s v="KSP"/>
    <s v="1020055"/>
    <x v="0"/>
    <n v="916299.21"/>
    <n v="1"/>
    <n v="916299.21"/>
    <d v="2025-01-21T00:00:00"/>
  </r>
  <r>
    <x v="67"/>
    <d v="2025-01-08T00:00:00"/>
    <x v="1"/>
    <s v="Clean"/>
    <x v="2"/>
    <s v="Credit"/>
    <x v="58"/>
    <s v="FIRST FIX"/>
    <s v="KSP"/>
    <s v="1020055"/>
    <x v="0"/>
    <n v="754128.94"/>
    <n v="1"/>
    <n v="754128.94"/>
    <d v="2025-02-18T00:00:00"/>
  </r>
  <r>
    <x v="68"/>
    <d v="2025-01-09T00:00:00"/>
    <x v="1"/>
    <s v="Clean"/>
    <x v="2"/>
    <s v="Credit"/>
    <x v="59"/>
    <s v="FIRST FIX"/>
    <s v="KSP"/>
    <s v="1020055"/>
    <x v="0"/>
    <n v="522689.46"/>
    <n v="1"/>
    <n v="522689.46"/>
    <d v="2025-03-25T00:00:00"/>
  </r>
  <r>
    <x v="69"/>
    <d v="2025-01-21T00:00:00"/>
    <x v="1"/>
    <s v="Discrepant"/>
    <x v="2"/>
    <s v="Credit"/>
    <x v="60"/>
    <s v="FIRST FIX"/>
    <s v="KSP"/>
    <s v="1020055"/>
    <x v="0"/>
    <n v="491845.29"/>
    <n v="1"/>
    <n v="491845.29"/>
    <d v="2025-02-18T00:00:00"/>
  </r>
  <r>
    <x v="58"/>
    <d v="2025-01-26T00:00:00"/>
    <x v="0"/>
    <s v="Clean"/>
    <x v="2"/>
    <s v="Credit"/>
    <x v="50"/>
    <s v="FIRST FIX"/>
    <s v="KSP"/>
    <s v="1020055"/>
    <x v="0"/>
    <n v="182832.65"/>
    <n v="1"/>
    <n v="182832.65"/>
    <d v="2025-03-05T00:00:00"/>
  </r>
  <r>
    <x v="62"/>
    <d v="2025-01-28T00:00:00"/>
    <x v="3"/>
    <s v="Clean"/>
    <x v="2"/>
    <s v="Credit"/>
    <x v="53"/>
    <s v="FIRST FIX"/>
    <s v="KSP"/>
    <s v="1020055"/>
    <x v="0"/>
    <n v="34499.910000000003"/>
    <n v="1"/>
    <n v="34499.910000000003"/>
    <d v="2025-03-05T00:00:00"/>
  </r>
  <r>
    <x v="63"/>
    <d v="2025-02-10T00:00:00"/>
    <x v="3"/>
    <s v="Discrepant"/>
    <x v="2"/>
    <s v="Credit"/>
    <x v="54"/>
    <s v="FIRST FIX"/>
    <s v="KSP"/>
    <s v="1020055"/>
    <x v="0"/>
    <n v="252814.24"/>
    <n v="1"/>
    <n v="252814.24"/>
    <d v="2025-04-14T00:00:00"/>
  </r>
  <r>
    <x v="70"/>
    <d v="2025-02-26T00:00:00"/>
    <x v="1"/>
    <s v="Discrepant"/>
    <x v="2"/>
    <s v="Credit"/>
    <x v="61"/>
    <s v="FIRST FIX"/>
    <s v="KSP"/>
    <s v="1020055"/>
    <x v="0"/>
    <n v="1000000"/>
    <n v="1"/>
    <n v="1000000"/>
    <d v="2025-05-08T00:00:00"/>
  </r>
  <r>
    <x v="71"/>
    <d v="2025-03-18T00:00:00"/>
    <x v="1"/>
    <s v="Discrepant"/>
    <x v="2"/>
    <s v="Credit"/>
    <x v="62"/>
    <s v="FIRST FIX"/>
    <s v="KSP"/>
    <s v="1020055"/>
    <x v="0"/>
    <n v="1000000"/>
    <n v="1"/>
    <n v="1000000"/>
    <d v="2025-06-03T00:00:00"/>
  </r>
  <r>
    <x v="72"/>
    <d v="2025-03-18T00:00:00"/>
    <x v="1"/>
    <s v="Discrepant"/>
    <x v="2"/>
    <s v="Credit"/>
    <x v="63"/>
    <s v="FIRST FIX"/>
    <s v="KSP"/>
    <s v="1020055"/>
    <x v="0"/>
    <n v="500000"/>
    <n v="1"/>
    <n v="500000"/>
    <d v="2025-05-08T00:00:00"/>
  </r>
  <r>
    <x v="58"/>
    <d v="2025-04-06T00:00:00"/>
    <x v="4"/>
    <s v="Clean"/>
    <x v="2"/>
    <s v="Credit"/>
    <x v="50"/>
    <s v="FIRST FIX"/>
    <s v="KSP"/>
    <s v="1020055"/>
    <x v="0"/>
    <n v="304995.88"/>
    <n v="1"/>
    <n v="304995.88"/>
    <d v="2025-03-30T00:00:00"/>
  </r>
  <r>
    <x v="73"/>
    <d v="2025-05-26T00:00:00"/>
    <x v="1"/>
    <s v="Discrepant"/>
    <x v="2"/>
    <s v="Credit"/>
    <x v="64"/>
    <s v="FIRST FIX"/>
    <s v="KSP"/>
    <s v="1020055"/>
    <x v="1"/>
    <n v="1063657"/>
    <n v="1.0327"/>
    <n v="1098438.5839"/>
    <d v="2025-06-01T00:00:00"/>
  </r>
  <r>
    <x v="74"/>
    <d v="2025-04-07T00:00:00"/>
    <x v="1"/>
    <s v="Clean"/>
    <x v="2"/>
    <s v="Credit"/>
    <x v="54"/>
    <s v="FIRST FIX"/>
    <s v="KSP"/>
    <s v="1020055"/>
    <x v="0"/>
    <n v="476785.75"/>
    <n v="1"/>
    <n v="476785.75"/>
    <d v="2025-06-01T00:00:00"/>
  </r>
  <r>
    <x v="75"/>
    <d v="2025-04-16T00:00:00"/>
    <x v="1"/>
    <s v="Discrepant"/>
    <x v="2"/>
    <s v="Credit"/>
    <x v="38"/>
    <s v="FIRST FIX"/>
    <s v="KSP"/>
    <s v="1020055"/>
    <x v="0"/>
    <n v="207176.82"/>
    <n v="1"/>
    <n v="207176.82"/>
    <d v="2025-06-01T00:00:00"/>
  </r>
  <r>
    <x v="76"/>
    <d v="2025-03-17T00:00:00"/>
    <x v="1"/>
    <s v="Discrepant"/>
    <x v="2"/>
    <s v="Credit"/>
    <x v="37"/>
    <s v="FIRST FIX"/>
    <s v="JCD SPMI"/>
    <s v="1020100"/>
    <x v="0"/>
    <n v="500000"/>
    <n v="1"/>
    <n v="500000"/>
    <d v="2025-06-01T00:00:00"/>
  </r>
  <r>
    <x v="77"/>
    <d v="2025-04-08T00:00:00"/>
    <x v="1"/>
    <s v="Clean"/>
    <x v="2"/>
    <s v="Credit"/>
    <x v="30"/>
    <s v="FIRST FIX"/>
    <s v="KSP"/>
    <s v="1020055"/>
    <x v="0"/>
    <n v="525809.39"/>
    <n v="1"/>
    <n v="525809.39"/>
    <d v="2025-06-05T00:00:00"/>
  </r>
  <r>
    <x v="77"/>
    <d v="2025-05-13T00:00:00"/>
    <x v="3"/>
    <s v="Discrepant"/>
    <x v="2"/>
    <s v="Credit"/>
    <x v="30"/>
    <s v="FIRST FIX"/>
    <s v="KSP"/>
    <s v="1020055"/>
    <x v="0"/>
    <n v="64823.55"/>
    <n v="1"/>
    <n v="64823.55"/>
    <d v="2025-06-22T00:00:00"/>
  </r>
  <r>
    <x v="75"/>
    <d v="2025-05-27T00:00:00"/>
    <x v="3"/>
    <s v="Discrepant"/>
    <x v="2"/>
    <s v="Credit"/>
    <x v="38"/>
    <s v="FIRST FIX"/>
    <s v="KSP"/>
    <s v="1020055"/>
    <x v="0"/>
    <n v="292823"/>
    <n v="1"/>
    <n v="292823"/>
    <d v="2025-07-10T00:00:00"/>
  </r>
  <r>
    <x v="78"/>
    <d v="2025-05-13T00:00:00"/>
    <x v="1"/>
    <s v="Discrepant"/>
    <x v="2"/>
    <s v="Credit"/>
    <x v="1"/>
    <s v="FIRST FIX"/>
    <s v="KSP"/>
    <s v="1020055"/>
    <x v="0"/>
    <n v="499521.42"/>
    <n v="1"/>
    <n v="499521.42"/>
    <d v="2025-06-24T00:00:00"/>
  </r>
  <r>
    <x v="79"/>
    <d v="2024-11-25T00:00:00"/>
    <x v="1"/>
    <s v="Clean"/>
    <x v="2"/>
    <s v="Credit"/>
    <x v="65"/>
    <s v="MBL"/>
    <s v="KSP Finishing"/>
    <s v="1020068"/>
    <x v="0"/>
    <n v="12000000"/>
    <n v="1"/>
    <n v="12000000"/>
    <d v="2024-12-17T00:00:00"/>
  </r>
  <r>
    <x v="80"/>
    <d v="2025-04-30T00:00:00"/>
    <x v="1"/>
    <s v="Discrepant"/>
    <x v="2"/>
    <s v="Credit"/>
    <x v="14"/>
    <s v="FIRST FIX"/>
    <s v="JCD SPMI"/>
    <s v="1020100"/>
    <x v="0"/>
    <n v="800000"/>
    <n v="1"/>
    <n v="800000"/>
    <d v="2025-06-01T00:00:00"/>
  </r>
  <r>
    <x v="81"/>
    <d v="2025-03-09T00:00:00"/>
    <x v="5"/>
    <s v="Clean"/>
    <x v="2"/>
    <s v="Credit"/>
    <x v="33"/>
    <s v="FIRST FIX"/>
    <s v="KSP"/>
    <s v="1020055"/>
    <x v="0"/>
    <n v="2000000"/>
    <n v="1"/>
    <n v="2000000"/>
    <d v="2025-05-11T00:00:00"/>
  </r>
  <r>
    <x v="82"/>
    <d v="2024-12-11T00:00:00"/>
    <x v="1"/>
    <s v="Discrepant"/>
    <x v="2"/>
    <s v="Credit"/>
    <x v="66"/>
    <s v="OXAGON"/>
    <s v="Neom - Bay Jetty"/>
    <s v="1020085"/>
    <x v="1"/>
    <n v="525728.6"/>
    <n v="1.0307770000000001"/>
    <n v="541908.94912220002"/>
    <d v="2024-12-12T00:00:00"/>
  </r>
  <r>
    <x v="82"/>
    <d v="2025-02-02T00:00:00"/>
    <x v="3"/>
    <s v="Clean"/>
    <x v="2"/>
    <s v="Credit"/>
    <x v="66"/>
    <s v="OXAGON"/>
    <s v="Neom - Bay Jetty"/>
    <s v="1020085"/>
    <x v="1"/>
    <n v="1720780.84"/>
    <n v="1.0315234"/>
    <n v="1775025.7027316561"/>
    <d v="2025-02-02T00:00:00"/>
  </r>
  <r>
    <x v="82"/>
    <d v="2025-03-12T00:00:00"/>
    <x v="0"/>
    <s v="Discrepant"/>
    <x v="2"/>
    <s v="Credit"/>
    <x v="66"/>
    <s v="OXAGON"/>
    <s v="Neom - Bay Jetty"/>
    <s v="1020085"/>
    <x v="1"/>
    <n v="653635.06999999995"/>
    <n v="1.0301"/>
    <n v="673309.48560699995"/>
    <d v="2025-03-20T00:00:00"/>
  </r>
  <r>
    <x v="83"/>
    <d v="2025-01-26T00:00:00"/>
    <x v="1"/>
    <s v="Clean"/>
    <x v="2"/>
    <s v="Credit"/>
    <x v="67"/>
    <s v="MBL"/>
    <s v="Neom - The Line"/>
    <s v="1020098"/>
    <x v="0"/>
    <n v="4837590"/>
    <n v="1"/>
    <n v="4837590"/>
    <d v="2025-02-26T00:00:00"/>
  </r>
  <r>
    <x v="83"/>
    <d v="2025-02-10T00:00:00"/>
    <x v="3"/>
    <s v="Clean"/>
    <x v="2"/>
    <s v="Credit"/>
    <x v="67"/>
    <s v="MBL"/>
    <s v="Neom - The Line"/>
    <s v="1020098"/>
    <x v="0"/>
    <n v="2367873"/>
    <n v="1"/>
    <n v="2367873"/>
    <d v="2025-03-11T00:00:00"/>
  </r>
  <r>
    <x v="83"/>
    <d v="2025-02-12T00:00:00"/>
    <x v="0"/>
    <s v="Discrepant"/>
    <x v="2"/>
    <s v="Credit"/>
    <x v="67"/>
    <s v="MBL"/>
    <s v="Neom - The Line"/>
    <s v="1020098"/>
    <x v="0"/>
    <n v="3140190"/>
    <n v="1"/>
    <n v="3140190"/>
    <d v="2025-04-08T00:00:00"/>
  </r>
  <r>
    <x v="83"/>
    <d v="2025-02-13T00:00:00"/>
    <x v="4"/>
    <s v="Clean"/>
    <x v="2"/>
    <s v="Credit"/>
    <x v="67"/>
    <s v="MBL"/>
    <s v="Neom - The Line"/>
    <s v="1020098"/>
    <x v="0"/>
    <n v="2257542"/>
    <n v="1"/>
    <n v="2257542"/>
    <d v="2025-03-11T00:00:00"/>
  </r>
  <r>
    <x v="84"/>
    <d v="2025-03-06T00:00:00"/>
    <x v="1"/>
    <s v="Discrepant"/>
    <x v="2"/>
    <s v="Credit"/>
    <x v="68"/>
    <s v="MBL"/>
    <s v="Neom - The Line"/>
    <s v="1020098"/>
    <x v="0"/>
    <n v="2203480.5"/>
    <n v="1"/>
    <n v="2203480.5"/>
    <d v="2025-03-20T00:00:00"/>
  </r>
  <r>
    <x v="85"/>
    <d v="2025-03-11T00:00:00"/>
    <x v="1"/>
    <s v="Clean"/>
    <x v="2"/>
    <s v="Credit"/>
    <x v="67"/>
    <s v="MBL"/>
    <s v="Neom - The Line"/>
    <s v="1020098"/>
    <x v="0"/>
    <n v="1054571.18"/>
    <n v="1"/>
    <n v="1054571.18"/>
    <d v="2025-03-25T00:00:00"/>
  </r>
  <r>
    <x v="85"/>
    <d v="2025-03-11T00:00:00"/>
    <x v="3"/>
    <s v="Clean"/>
    <x v="2"/>
    <s v="Credit"/>
    <x v="67"/>
    <s v="MBL"/>
    <s v="Neom - The Line"/>
    <s v="1020098"/>
    <x v="0"/>
    <n v="875326.61"/>
    <n v="1"/>
    <n v="875326.61"/>
    <d v="2025-03-27T00:00:00"/>
  </r>
  <r>
    <x v="86"/>
    <d v="2025-03-16T00:00:00"/>
    <x v="5"/>
    <s v="Clean"/>
    <x v="2"/>
    <s v="Credit"/>
    <x v="69"/>
    <s v="MBL"/>
    <s v="Neom - The Line"/>
    <s v="1020098"/>
    <x v="0"/>
    <n v="5646080"/>
    <n v="1"/>
    <n v="5646080"/>
    <d v="2025-03-25T00:00:00"/>
  </r>
  <r>
    <x v="85"/>
    <d v="2025-03-16T00:00:00"/>
    <x v="0"/>
    <s v="Clean"/>
    <x v="2"/>
    <s v="Credit"/>
    <x v="67"/>
    <s v="MBL"/>
    <s v="Neom - The Line"/>
    <s v="1020098"/>
    <x v="0"/>
    <n v="1810890.66"/>
    <n v="1"/>
    <n v="1810890.66"/>
    <d v="2025-03-20T00:00:00"/>
  </r>
  <r>
    <x v="86"/>
    <d v="2025-03-18T00:00:00"/>
    <x v="3"/>
    <s v="Clean"/>
    <x v="2"/>
    <s v="Credit"/>
    <x v="69"/>
    <s v="MBL"/>
    <s v="Neom - The Line"/>
    <s v="1020098"/>
    <x v="0"/>
    <n v="6622620"/>
    <n v="1"/>
    <n v="6622620"/>
    <d v="2025-04-06T00:00:00"/>
  </r>
  <r>
    <x v="84"/>
    <d v="2025-03-23T00:00:00"/>
    <x v="0"/>
    <s v="Discrepant"/>
    <x v="2"/>
    <s v="Credit"/>
    <x v="68"/>
    <s v="MBL"/>
    <s v="Neom - The Line"/>
    <s v="1020098"/>
    <x v="0"/>
    <n v="2211691.5"/>
    <n v="1"/>
    <n v="2211691.5"/>
    <d v="2025-04-28T00:00:00"/>
  </r>
  <r>
    <x v="84"/>
    <d v="2025-03-24T00:00:00"/>
    <x v="3"/>
    <s v="Clean"/>
    <x v="2"/>
    <s v="Credit"/>
    <x v="68"/>
    <s v="MBL"/>
    <s v="Neom - The Line"/>
    <s v="1020098"/>
    <x v="0"/>
    <n v="2425764"/>
    <n v="1"/>
    <n v="2425764"/>
    <d v="2025-03-24T00:00:00"/>
  </r>
  <r>
    <x v="85"/>
    <d v="2025-04-06T00:00:00"/>
    <x v="4"/>
    <s v="Clean"/>
    <x v="2"/>
    <s v="Credit"/>
    <x v="67"/>
    <s v="MBL"/>
    <s v="Neom - The Line"/>
    <s v="1020098"/>
    <x v="0"/>
    <n v="1170400.8899999999"/>
    <n v="1"/>
    <n v="1170400.8899999999"/>
    <d v="2025-04-20T00:00:00"/>
  </r>
  <r>
    <x v="84"/>
    <d v="2025-04-14T00:00:00"/>
    <x v="4"/>
    <s v="Discrepant"/>
    <x v="2"/>
    <s v="Credit"/>
    <x v="68"/>
    <s v="MBL"/>
    <s v="Neom - The Line"/>
    <s v="1020098"/>
    <x v="0"/>
    <n v="7780509"/>
    <n v="1"/>
    <n v="7780509"/>
    <d v="2025-04-28T00:00:00"/>
  </r>
  <r>
    <x v="84"/>
    <d v="2025-04-14T00:00:00"/>
    <x v="6"/>
    <s v="Discrepant"/>
    <x v="2"/>
    <s v="Credit"/>
    <x v="68"/>
    <s v="MBL"/>
    <s v="Neom - The Line"/>
    <s v="1020098"/>
    <x v="0"/>
    <n v="4185264"/>
    <n v="1"/>
    <n v="4185264"/>
    <d v="2025-04-28T00:00:00"/>
  </r>
  <r>
    <x v="87"/>
    <d v="2024-10-22T00:00:00"/>
    <x v="1"/>
    <s v="Clean"/>
    <x v="2"/>
    <s v="Credit"/>
    <x v="70"/>
    <s v="FIRST FIX"/>
    <s v="Old Dues"/>
    <s v="0"/>
    <x v="0"/>
    <n v="2500000"/>
    <n v="1"/>
    <n v="2500000"/>
    <d v="2025-01-07T00:00:00"/>
  </r>
  <r>
    <x v="88"/>
    <d v="2024-11-05T00:00:00"/>
    <x v="1"/>
    <s v="Clean"/>
    <x v="2"/>
    <s v="Credit"/>
    <x v="71"/>
    <s v="FIRST FIX"/>
    <s v="Old Dues"/>
    <s v="0"/>
    <x v="0"/>
    <n v="2120837"/>
    <n v="1"/>
    <n v="2120837"/>
    <d v="2025-01-09T00:00:00"/>
  </r>
  <r>
    <x v="89"/>
    <d v="2024-11-05T00:00:00"/>
    <x v="1"/>
    <s v="Discrepant"/>
    <x v="2"/>
    <s v="Credit"/>
    <x v="72"/>
    <s v="FIRST FIX"/>
    <s v="Old Dues"/>
    <s v="0"/>
    <x v="0"/>
    <n v="1978910.18"/>
    <n v="1"/>
    <n v="1978910.18"/>
    <d v="2025-01-08T00:00:00"/>
  </r>
  <r>
    <x v="90"/>
    <d v="2024-11-10T00:00:00"/>
    <x v="1"/>
    <s v="Discrepant"/>
    <x v="2"/>
    <s v="Credit"/>
    <x v="61"/>
    <s v="FIRST FIX"/>
    <s v="Old Dues"/>
    <s v="0"/>
    <x v="0"/>
    <n v="3055634"/>
    <n v="1"/>
    <n v="3055634"/>
    <d v="2025-01-07T00:00:00"/>
  </r>
  <r>
    <x v="91"/>
    <d v="2024-11-10T00:00:00"/>
    <x v="1"/>
    <s v="Discrepant"/>
    <x v="2"/>
    <s v="Credit"/>
    <x v="73"/>
    <s v="FIRST FIX"/>
    <s v="Old Dues"/>
    <s v="0"/>
    <x v="0"/>
    <n v="5000000"/>
    <n v="1"/>
    <n v="5000000"/>
    <d v="2025-01-09T00:00:00"/>
  </r>
  <r>
    <x v="92"/>
    <d v="2024-11-05T00:00:00"/>
    <x v="1"/>
    <s v="Discrepant"/>
    <x v="2"/>
    <s v="Credit"/>
    <x v="74"/>
    <s v="FIRST FIX"/>
    <s v="Old Dues"/>
    <s v="0"/>
    <x v="0"/>
    <n v="5000000"/>
    <n v="1"/>
    <n v="5000000"/>
    <d v="2024-12-24T00:00:00"/>
  </r>
  <r>
    <x v="87"/>
    <d v="2024-12-19T00:00:00"/>
    <x v="3"/>
    <s v="Clean"/>
    <x v="2"/>
    <s v="Credit"/>
    <x v="70"/>
    <s v="FIRST FIX"/>
    <s v="Old Dues"/>
    <s v="0"/>
    <x v="0"/>
    <n v="2500000"/>
    <n v="1"/>
    <n v="2500000"/>
    <d v="2025-02-06T00:00:00"/>
  </r>
  <r>
    <x v="93"/>
    <d v="2025-05-13T00:00:00"/>
    <x v="1"/>
    <s v="Discrepant"/>
    <x v="2"/>
    <s v="Credit"/>
    <x v="75"/>
    <s v="FIRST FIX"/>
    <s v="KSP"/>
    <s v="1020055"/>
    <x v="0"/>
    <n v="526225.02"/>
    <n v="1"/>
    <n v="526225.02"/>
    <d v="2025-06-01T00:00:00"/>
  </r>
  <r>
    <x v="94"/>
    <d v="2025-06-03T00:00:00"/>
    <x v="1"/>
    <s v="Clean"/>
    <x v="2"/>
    <s v="Credit"/>
    <x v="30"/>
    <s v="FIRST FIX"/>
    <s v="KSP"/>
    <s v="1020055"/>
    <x v="0"/>
    <n v="1000000"/>
    <n v="1"/>
    <n v="1000000"/>
    <d v="2025-08-28T00:00:00"/>
  </r>
  <r>
    <x v="23"/>
    <d v="2025-05-20T00:00:00"/>
    <x v="3"/>
    <s v="Clean"/>
    <x v="2"/>
    <s v="Credit"/>
    <x v="20"/>
    <s v="FIRST FIX"/>
    <s v="JCD SPMI"/>
    <s v="1020100"/>
    <x v="0"/>
    <n v="53771.4"/>
    <n v="1"/>
    <n v="53771.4"/>
    <d v="2025-05-20T00:00:00"/>
  </r>
  <r>
    <x v="95"/>
    <d v="2025-03-23T00:00:00"/>
    <x v="1"/>
    <s v="Discrepant"/>
    <x v="2"/>
    <s v="Credit"/>
    <x v="76"/>
    <s v="FIRST FIX"/>
    <s v="KSP"/>
    <s v="1020055"/>
    <x v="0"/>
    <n v="1000000"/>
    <n v="1"/>
    <n v="1000000"/>
    <d v="2025-05-13T00:00:00"/>
  </r>
  <r>
    <x v="86"/>
    <d v="2025-03-16T00:00:00"/>
    <x v="7"/>
    <s v="Clean"/>
    <x v="2"/>
    <s v="Credit"/>
    <x v="69"/>
    <s v="MBL"/>
    <s v="Neom - The Line"/>
    <s v="1020098"/>
    <x v="0"/>
    <n v="1000000"/>
    <n v="1"/>
    <n v="1000000"/>
    <d v="2025-03-25T00:00:00"/>
  </r>
  <r>
    <x v="96"/>
    <d v="2025-03-24T00:00:00"/>
    <x v="1"/>
    <s v="Clean"/>
    <x v="2"/>
    <s v="Credit"/>
    <x v="77"/>
    <s v="FIRST FIX"/>
    <s v="KSP"/>
    <s v="1020055"/>
    <x v="0"/>
    <n v="2622000"/>
    <n v="1"/>
    <n v="2622000"/>
    <d v="2025-05-11T00:00:00"/>
  </r>
  <r>
    <x v="97"/>
    <d v="2025-04-06T00:00:00"/>
    <x v="1"/>
    <s v="Clean"/>
    <x v="2"/>
    <s v="Credit"/>
    <x v="78"/>
    <s v="FIRST FIX"/>
    <s v="KSP"/>
    <s v="1020055"/>
    <x v="0"/>
    <n v="649056.68999999994"/>
    <n v="1"/>
    <n v="649056.68999999994"/>
    <d v="2025-05-15T00:00:00"/>
  </r>
  <r>
    <x v="98"/>
    <d v="2025-05-06T00:00:00"/>
    <x v="1"/>
    <s v="Discrepant"/>
    <x v="2"/>
    <s v="Credit"/>
    <x v="79"/>
    <s v="FIRST FIX"/>
    <s v="KSP"/>
    <s v="1020055"/>
    <x v="0"/>
    <n v="700000"/>
    <n v="1"/>
    <n v="700000"/>
    <d v="2025-06-01T00:00:00"/>
  </r>
  <r>
    <x v="81"/>
    <d v="2025-03-09T00:00:00"/>
    <x v="7"/>
    <s v="Clean"/>
    <x v="2"/>
    <s v="Credit"/>
    <x v="33"/>
    <s v="FIRST FIX"/>
    <s v="KSP"/>
    <s v="1020055"/>
    <x v="0"/>
    <n v="1000000"/>
    <n v="1"/>
    <n v="1000000"/>
    <d v="2025-05-11T00:00:00"/>
  </r>
  <r>
    <x v="99"/>
    <d v="2025-05-22T00:00:00"/>
    <x v="1"/>
    <s v="Discrepant"/>
    <x v="2"/>
    <s v="Credit"/>
    <x v="21"/>
    <s v="FIRST FIX"/>
    <s v="JCD SPMI"/>
    <s v="1020100"/>
    <x v="0"/>
    <n v="800000"/>
    <n v="1"/>
    <n v="800000"/>
    <d v="2025-07-03T00:00:00"/>
  </r>
  <r>
    <x v="100"/>
    <d v="2025-06-03T00:00:00"/>
    <x v="1"/>
    <s v="Clean"/>
    <x v="2"/>
    <s v="Credit"/>
    <x v="80"/>
    <s v="FIRST FIX"/>
    <s v="KSP"/>
    <s v="1020055"/>
    <x v="0"/>
    <n v="5113228.88"/>
    <n v="1"/>
    <n v="5113228.88"/>
    <d v="2025-07-27T00:00:00"/>
  </r>
  <r>
    <x v="101"/>
    <d v="2025-06-23T00:00:00"/>
    <x v="1"/>
    <s v="Clean"/>
    <x v="2"/>
    <s v="Credit"/>
    <x v="40"/>
    <s v="FIRST FIX"/>
    <s v="KSP"/>
    <s v="1020055"/>
    <x v="0"/>
    <n v="1232500.01"/>
    <n v="1"/>
    <n v="1232500.01"/>
    <d v="2025-07-28T00:00:00"/>
  </r>
  <r>
    <x v="101"/>
    <d v="2025-07-01T00:00:00"/>
    <x v="3"/>
    <s v="Clean"/>
    <x v="2"/>
    <s v="Credit"/>
    <x v="40"/>
    <s v="FIRST FIX"/>
    <s v="KSP"/>
    <s v="1020055"/>
    <x v="0"/>
    <n v="941825.08"/>
    <n v="1"/>
    <n v="941825.08"/>
    <d v="2025-08-18T00:00:00"/>
  </r>
  <r>
    <x v="102"/>
    <d v="2025-06-22T00:00:00"/>
    <x v="1"/>
    <s v="Clean"/>
    <x v="2"/>
    <s v="Credit"/>
    <x v="33"/>
    <s v="FIRST FIX"/>
    <s v="KSP"/>
    <s v="1020055"/>
    <x v="0"/>
    <n v="2000000"/>
    <n v="1"/>
    <n v="2000000"/>
    <d v="2025-09-30T00:00:00"/>
  </r>
  <r>
    <x v="103"/>
    <d v="2025-06-29T00:00:00"/>
    <x v="1"/>
    <s v="Clean"/>
    <x v="2"/>
    <s v="Credit"/>
    <x v="81"/>
    <s v="MBL"/>
    <s v="Rabigh Power Plant"/>
    <s v="1020107"/>
    <x v="0"/>
    <n v="766481.6"/>
    <n v="1"/>
    <n v="766481.6"/>
    <d v="2025-06-29T00:00:00"/>
  </r>
  <r>
    <x v="104"/>
    <d v="2025-07-21T00:00:00"/>
    <x v="1"/>
    <s v="Discrepant"/>
    <x v="2"/>
    <s v="Credit"/>
    <x v="82"/>
    <s v="MBL"/>
    <s v="JCD SPMI"/>
    <s v="1020100"/>
    <x v="0"/>
    <n v="5000000"/>
    <n v="1"/>
    <n v="5000000"/>
    <d v="2025-08-18T00:00:00"/>
  </r>
  <r>
    <x v="101"/>
    <d v="2025-07-15T00:00:00"/>
    <x v="0"/>
    <s v="Clean"/>
    <x v="2"/>
    <s v="Credit"/>
    <x v="40"/>
    <s v="FIRST FIX"/>
    <s v="KSP"/>
    <s v="1020055"/>
    <x v="0"/>
    <n v="79154.070000000007"/>
    <n v="1"/>
    <n v="79154.070000000007"/>
    <d v="2025-09-28T00:00:00"/>
  </r>
  <r>
    <x v="105"/>
    <d v="2025-07-21T00:00:00"/>
    <x v="1"/>
    <s v="Clean"/>
    <x v="2"/>
    <s v="Credit"/>
    <x v="83"/>
    <s v="FIRST FIX"/>
    <s v="KSP"/>
    <s v="1020055"/>
    <x v="0"/>
    <n v="783377.8"/>
    <n v="1"/>
    <n v="783377.8"/>
    <d v="2025-09-29T00:00:00"/>
  </r>
  <r>
    <x v="106"/>
    <d v="2025-07-14T00:00:00"/>
    <x v="1"/>
    <s v="Discrepant"/>
    <x v="2"/>
    <s v="Credit"/>
    <x v="84"/>
    <s v="MBL"/>
    <s v="Rabigh Power Plant"/>
    <s v="1020107"/>
    <x v="0"/>
    <n v="216257.5"/>
    <n v="1"/>
    <n v="216257.5"/>
    <d v="2025-07-27T00:00:00"/>
  </r>
  <r>
    <x v="107"/>
    <d v="2025-08-24T00:00:00"/>
    <x v="1"/>
    <s v="Clean"/>
    <x v="3"/>
    <s v="Credit"/>
    <x v="85"/>
    <s v="FIRST FIX"/>
    <s v="RCRC"/>
    <s v="1020106"/>
    <x v="0"/>
    <n v="543834"/>
    <n v="1"/>
    <n v="543834"/>
    <d v="2025-08-24T00:00:00"/>
  </r>
  <r>
    <x v="101"/>
    <d v="2025-07-28T00:00:00"/>
    <x v="4"/>
    <s v="Clean"/>
    <x v="2"/>
    <s v="Credit"/>
    <x v="40"/>
    <s v="FIRST FIX"/>
    <s v="KSP"/>
    <s v="1020055"/>
    <x v="0"/>
    <n v="76520.850000000006"/>
    <n v="1"/>
    <n v="76520.850000000006"/>
    <d v="2025-10-05T00:00:00"/>
  </r>
  <r>
    <x v="108"/>
    <d v="2025-09-22T00:00:00"/>
    <x v="3"/>
    <s v="Discrepant"/>
    <x v="2"/>
    <s v="Credit"/>
    <x v="40"/>
    <s v="FIRST FIX"/>
    <s v="KSP"/>
    <s v="1020055"/>
    <x v="0"/>
    <n v="134784.6"/>
    <n v="1"/>
    <n v="134784.6"/>
    <d v="2025-10-27T00:00:00"/>
  </r>
  <r>
    <x v="109"/>
    <d v="2025-07-21T00:00:00"/>
    <x v="1"/>
    <s v="Clean"/>
    <x v="2"/>
    <s v="Credit"/>
    <x v="68"/>
    <s v="MBL"/>
    <s v="Neom - The Line"/>
    <s v="1020098"/>
    <x v="0"/>
    <n v="4623922.5"/>
    <n v="1"/>
    <n v="4623922.5"/>
    <d v="2025-07-21T00:00:00"/>
  </r>
  <r>
    <x v="109"/>
    <d v="2025-07-21T00:00:00"/>
    <x v="8"/>
    <s v="Clean"/>
    <x v="2"/>
    <s v="Credit"/>
    <x v="68"/>
    <s v="MBL"/>
    <s v="Neom - The Line"/>
    <s v="1020098"/>
    <x v="0"/>
    <n v="13376077.5"/>
    <n v="1"/>
    <n v="13376077.5"/>
    <d v="2025-07-21T00:00:00"/>
  </r>
  <r>
    <x v="110"/>
    <d v="2025-08-24T00:00:00"/>
    <x v="1"/>
    <s v="Discrepant"/>
    <x v="2"/>
    <s v="Credit"/>
    <x v="86"/>
    <s v="FIRST FIX"/>
    <s v="KSP"/>
    <s v="1020055"/>
    <x v="0"/>
    <n v="712597.7"/>
    <n v="1"/>
    <n v="712597.7"/>
    <d v="2025-10-19T00:00:00"/>
  </r>
  <r>
    <x v="111"/>
    <d v="2025-07-23T00:00:00"/>
    <x v="1"/>
    <s v="Clean"/>
    <x v="2"/>
    <s v="Credit"/>
    <x v="67"/>
    <s v="MBL"/>
    <s v="Neom - The Line"/>
    <s v="1020098"/>
    <x v="0"/>
    <n v="3621879"/>
    <n v="1"/>
    <n v="3621879"/>
    <d v="2025-08-19T00:00:00"/>
  </r>
  <r>
    <x v="111"/>
    <d v="2025-07-23T00:00:00"/>
    <x v="3"/>
    <s v="Clean"/>
    <x v="2"/>
    <s v="Credit"/>
    <x v="67"/>
    <s v="MBL"/>
    <s v="Neom - The Line"/>
    <s v="1020098"/>
    <x v="0"/>
    <n v="3185730"/>
    <n v="1"/>
    <n v="3185730"/>
    <d v="2025-08-19T00:00:00"/>
  </r>
  <r>
    <x v="111"/>
    <d v="2025-08-27T00:00:00"/>
    <x v="0"/>
    <s v="Clean"/>
    <x v="2"/>
    <s v="Credit"/>
    <x v="67"/>
    <s v="MBL"/>
    <s v="Neom - The Line"/>
    <s v="1020098"/>
    <x v="0"/>
    <n v="139725"/>
    <n v="1"/>
    <n v="139725"/>
    <d v="2025-09-03T00:00:00"/>
  </r>
  <r>
    <x v="112"/>
    <d v="2025-07-30T00:00:00"/>
    <x v="1"/>
    <s v="Discrepant"/>
    <x v="1"/>
    <s v="Credit"/>
    <x v="87"/>
    <s v="MBL"/>
    <s v="ABHA"/>
    <s v="1020070"/>
    <x v="0"/>
    <n v="1900870.95"/>
    <n v="1"/>
    <n v="1900870.95"/>
    <d v="2025-08-31T00:00:00"/>
  </r>
  <r>
    <x v="113"/>
    <d v="2025-08-12T00:00:00"/>
    <x v="1"/>
    <s v="Clean"/>
    <x v="2"/>
    <s v="Credit"/>
    <x v="28"/>
    <s v="FIRST FIX"/>
    <s v="KSP"/>
    <s v="1020055"/>
    <x v="0"/>
    <n v="1500000"/>
    <n v="1"/>
    <n v="1500000"/>
    <d v="2025-10-13T00:00:00"/>
  </r>
  <r>
    <x v="109"/>
    <d v="2025-07-21T00:00:00"/>
    <x v="9"/>
    <s v="Clean"/>
    <x v="2"/>
    <s v="Credit"/>
    <x v="68"/>
    <s v="MBL"/>
    <s v="Neom - The Line"/>
    <s v="1020098"/>
    <x v="0"/>
    <n v="5391922.5"/>
    <n v="1"/>
    <n v="5391922.5"/>
    <d v="2025-07-21T00:00:00"/>
  </r>
  <r>
    <x v="114"/>
    <d v="2025-07-23T00:00:00"/>
    <x v="1"/>
    <s v="Discrepant"/>
    <x v="2"/>
    <s v="Credit"/>
    <x v="88"/>
    <s v="MBL"/>
    <s v="Rabigh Power Plant"/>
    <s v="1020107"/>
    <x v="0"/>
    <n v="1315561.82"/>
    <n v="1"/>
    <n v="1315561.82"/>
    <d v="2025-08-25T00:00:00"/>
  </r>
  <r>
    <x v="115"/>
    <d v="2025-07-31T00:00:00"/>
    <x v="1"/>
    <s v="Clean"/>
    <x v="4"/>
    <s v="Credit"/>
    <x v="89"/>
    <s v="MBL/ICAD"/>
    <s v="ADF"/>
    <s v="1020001"/>
    <x v="0"/>
    <n v="1904115"/>
    <n v="1"/>
    <n v="1904115"/>
    <d v="2025-09-21T00:00:00"/>
  </r>
  <r>
    <x v="116"/>
    <d v="2025-07-31T00:00:00"/>
    <x v="1"/>
    <s v="Clean"/>
    <x v="2"/>
    <s v="Credit"/>
    <x v="90"/>
    <s v="MBL"/>
    <s v="Oceanarium"/>
    <s v="1020096"/>
    <x v="0"/>
    <n v="9484337.5"/>
    <n v="1"/>
    <n v="9484337.5"/>
    <d v="2025-11-11T00:00:00"/>
  </r>
  <r>
    <x v="103"/>
    <d v="2025-09-21T00:00:00"/>
    <x v="3"/>
    <s v="Clean"/>
    <x v="2"/>
    <s v="Credit"/>
    <x v="81"/>
    <s v="MBL"/>
    <s v="Rabigh Power Plant"/>
    <s v="1020107"/>
    <x v="0"/>
    <n v="407201.89"/>
    <n v="1"/>
    <n v="407201.89"/>
    <d v="2025-09-21T00:00:00"/>
  </r>
  <r>
    <x v="114"/>
    <d v="2025-08-12T00:00:00"/>
    <x v="3"/>
    <s v="Clean"/>
    <x v="2"/>
    <s v="Credit"/>
    <x v="88"/>
    <s v="MBL"/>
    <s v="Rabigh Power Plant"/>
    <s v="1020107"/>
    <x v="0"/>
    <n v="458740.58"/>
    <n v="1"/>
    <n v="458740.58"/>
    <d v="2025-08-21T00:00:00"/>
  </r>
  <r>
    <x v="108"/>
    <d v="2025-09-21T00:00:00"/>
    <x v="1"/>
    <s v="Clean"/>
    <x v="2"/>
    <s v="Credit"/>
    <x v="40"/>
    <s v="FIRST FIX"/>
    <s v="KSP"/>
    <s v="1020055"/>
    <x v="0"/>
    <n v="1353135.09"/>
    <n v="1"/>
    <n v="1353135.09"/>
    <d v="2025-11-12T00:00:00"/>
  </r>
  <r>
    <x v="117"/>
    <d v="2025-08-17T00:00:00"/>
    <x v="1"/>
    <s v="Clean"/>
    <x v="3"/>
    <s v="Credit"/>
    <x v="91"/>
    <s v="FIRST FIX"/>
    <s v="RCRC"/>
    <s v="1020106"/>
    <x v="0"/>
    <n v="646875"/>
    <n v="1"/>
    <n v="646875"/>
    <d v="2025-10-13T00:00:00"/>
  </r>
  <r>
    <x v="118"/>
    <d v="2025-08-13T00:00:00"/>
    <x v="1"/>
    <s v="Clean"/>
    <x v="3"/>
    <s v="Credit"/>
    <x v="92"/>
    <s v="FIRST FIX"/>
    <s v="RCRC"/>
    <s v="1020106"/>
    <x v="0"/>
    <n v="125131.5"/>
    <n v="1"/>
    <n v="125131.5"/>
    <d v="2025-10-13T00:00:00"/>
  </r>
  <r>
    <x v="119"/>
    <d v="2025-09-24T00:00:00"/>
    <x v="1"/>
    <s v="Discrepant"/>
    <x v="2"/>
    <s v="Credit"/>
    <x v="93"/>
    <s v="FIRST FIX"/>
    <s v="KSP"/>
    <s v="1020055"/>
    <x v="0"/>
    <n v="1000000"/>
    <n v="1"/>
    <n v="1000000"/>
    <d v="2025-10-29T00:00:00"/>
  </r>
  <r>
    <x v="120"/>
    <d v="2025-08-07T00:00:00"/>
    <x v="1"/>
    <s v="Discrepant"/>
    <x v="3"/>
    <s v="Credit"/>
    <x v="94"/>
    <s v="FIRST FIX"/>
    <s v="RCRC"/>
    <s v="1020106"/>
    <x v="0"/>
    <n v="502268.01"/>
    <n v="1"/>
    <n v="502268.01"/>
    <d v="2025-10-19T00:00:00"/>
  </r>
  <r>
    <x v="107"/>
    <d v="2025-09-16T00:00:00"/>
    <x v="3"/>
    <s v="Clean"/>
    <x v="3"/>
    <s v="Credit"/>
    <x v="85"/>
    <s v="FIRST FIX"/>
    <s v="RCRC"/>
    <s v="1020106"/>
    <x v="0"/>
    <n v="456166"/>
    <n v="1"/>
    <n v="456166"/>
    <d v="2025-10-12T00:00:00"/>
  </r>
  <r>
    <x v="121"/>
    <d v="2025-09-24T00:00:00"/>
    <x v="1"/>
    <s v="Discrepant"/>
    <x v="2"/>
    <s v="Credit"/>
    <x v="95"/>
    <s v="FIRST FIX"/>
    <s v="KSP"/>
    <s v="1020055"/>
    <x v="0"/>
    <n v="734118.99"/>
    <n v="1"/>
    <n v="734118.99"/>
    <d v="2025-10-29T00:00:00"/>
  </r>
  <r>
    <x v="122"/>
    <d v="2025-09-28T00:00:00"/>
    <x v="1"/>
    <s v="Clean"/>
    <x v="2"/>
    <s v="Credit"/>
    <x v="96"/>
    <s v="FIRST FIX"/>
    <s v="KSP"/>
    <s v="1020055"/>
    <x v="0"/>
    <n v="524263.78"/>
    <n v="1"/>
    <n v="524263.78"/>
    <d v="2025-10-30T00:00:00"/>
  </r>
  <r>
    <x v="123"/>
    <d v="2025-09-11T00:00:00"/>
    <x v="1"/>
    <s v="Clean"/>
    <x v="3"/>
    <s v="Credit"/>
    <x v="40"/>
    <s v="FIRST FIX"/>
    <s v="RCRC"/>
    <s v="1020106"/>
    <x v="0"/>
    <n v="2595590.6"/>
    <n v="1"/>
    <n v="2595590.6"/>
    <d v="2025-10-28T00:00:00"/>
  </r>
  <r>
    <x v="124"/>
    <d v="2025-09-09T00:00:00"/>
    <x v="1"/>
    <s v="Clean"/>
    <x v="1"/>
    <s v="Credit"/>
    <x v="97"/>
    <s v="FIRST FIX"/>
    <s v="CEER"/>
    <s v="1020091"/>
    <x v="0"/>
    <n v="621000"/>
    <n v="1"/>
    <n v="621000"/>
    <d v="2025-12-16T00:00:00"/>
  </r>
  <r>
    <x v="125"/>
    <d v="2025-10-27T00:00:00"/>
    <x v="1"/>
    <s v="Discrepant"/>
    <x v="2"/>
    <s v="Credit"/>
    <x v="98"/>
    <s v="FIRST FIX"/>
    <s v="KSP"/>
    <s v="1020055"/>
    <x v="0"/>
    <n v="547153.37"/>
    <n v="1"/>
    <n v="547153.37"/>
    <d v="2025-11-25T00:00:00"/>
  </r>
  <r>
    <x v="126"/>
    <d v="2025-09-16T00:00:00"/>
    <x v="1"/>
    <s v="Clean"/>
    <x v="3"/>
    <s v="Credit"/>
    <x v="99"/>
    <s v="FIRST FIX"/>
    <s v="RCRC"/>
    <s v="1020106"/>
    <x v="0"/>
    <n v="552155.25"/>
    <n v="1"/>
    <n v="552155.25"/>
    <d v="2025-11-03T00:00:00"/>
  </r>
  <r>
    <x v="127"/>
    <d v="2025-09-14T00:00:00"/>
    <x v="1"/>
    <s v="Clean"/>
    <x v="2"/>
    <s v="Credit"/>
    <x v="100"/>
    <s v="FIRST FIX"/>
    <s v="JCD SPMI"/>
    <s v="1020100"/>
    <x v="0"/>
    <n v="150000"/>
    <n v="1"/>
    <n v="150000"/>
    <d v="2025-12-04T00:00:00"/>
  </r>
  <r>
    <x v="128"/>
    <d v="2025-09-16T00:00:00"/>
    <x v="1"/>
    <s v="Clean"/>
    <x v="3"/>
    <s v="Credit"/>
    <x v="101"/>
    <s v="FIRST FIX"/>
    <s v="RCRC"/>
    <s v="1020106"/>
    <x v="0"/>
    <n v="225103.44"/>
    <n v="1"/>
    <n v="225103.44"/>
    <d v="2025-11-18T00:00:00"/>
  </r>
  <r>
    <x v="129"/>
    <d v="2025-11-03T00:00:00"/>
    <x v="1"/>
    <s v="Discrepant"/>
    <x v="4"/>
    <s v="Credit"/>
    <x v="102"/>
    <s v="MBL"/>
    <s v="KSP"/>
    <s v="1020055"/>
    <x v="0"/>
    <n v="10095188.34"/>
    <n v="1"/>
    <n v="10095188.34"/>
    <d v="2025-11-16T00:00:00"/>
  </r>
  <r>
    <x v="130"/>
    <d v="2025-09-18T00:00:00"/>
    <x v="1"/>
    <s v="Clean"/>
    <x v="3"/>
    <s v="Credit"/>
    <x v="103"/>
    <s v="FIRST FIX"/>
    <s v="RCRC"/>
    <s v="1020106"/>
    <x v="0"/>
    <n v="472000"/>
    <n v="1"/>
    <n v="472000"/>
    <d v="2025-11-02T00:00:00"/>
  </r>
  <r>
    <x v="131"/>
    <d v="2025-09-16T00:00:00"/>
    <x v="3"/>
    <s v="Clean"/>
    <x v="3"/>
    <s v="Credit"/>
    <x v="21"/>
    <s v="FIRST FIX"/>
    <s v="RCRC"/>
    <s v="1020106"/>
    <x v="0"/>
    <n v="329151.09999999998"/>
    <n v="1"/>
    <n v="329151.09999999998"/>
    <d v="2025-11-17T00:00:00"/>
  </r>
  <r>
    <x v="132"/>
    <d v="2025-10-09T00:00:00"/>
    <x v="3"/>
    <s v="Clean"/>
    <x v="3"/>
    <s v="Credit"/>
    <x v="104"/>
    <s v="MBL"/>
    <s v="RCRC"/>
    <s v="1020106"/>
    <x v="0"/>
    <n v="359031.77"/>
    <n v="1"/>
    <n v="359031.77"/>
    <d v="2025-10-13T00:00:00"/>
  </r>
  <r>
    <x v="133"/>
    <d v="2025-10-15T00:00:00"/>
    <x v="0"/>
    <s v="Clean"/>
    <x v="3"/>
    <s v="Credit"/>
    <x v="40"/>
    <s v="FIRST FIX"/>
    <s v="RCRC"/>
    <s v="1020106"/>
    <x v="0"/>
    <n v="733654"/>
    <n v="1"/>
    <n v="733654"/>
    <d v="2025-11-27T00:00:00"/>
  </r>
  <r>
    <x v="123"/>
    <d v="2025-10-16T00:00:00"/>
    <x v="3"/>
    <s v="Clean"/>
    <x v="3"/>
    <s v="Credit"/>
    <x v="40"/>
    <s v="FIRST FIX"/>
    <s v="RCRC"/>
    <s v="1020106"/>
    <x v="0"/>
    <n v="1036414.51"/>
    <n v="1"/>
    <n v="1036414.51"/>
    <d v="2025-11-26T00:00:00"/>
  </r>
  <r>
    <x v="134"/>
    <d v="2025-09-25T00:00:00"/>
    <x v="1"/>
    <s v="Discrepant"/>
    <x v="5"/>
    <s v="Cash"/>
    <x v="105"/>
    <s v="IFAS"/>
    <s v="IFAS - Various Projects"/>
    <s v="0"/>
    <x v="0"/>
    <n v="313581.86"/>
    <n v="1"/>
    <n v="313581.86"/>
    <d v="2025-10-13T00:00:00"/>
  </r>
  <r>
    <x v="135"/>
    <d v="2025-10-08T00:00:00"/>
    <x v="1"/>
    <s v="Clean"/>
    <x v="5"/>
    <s v="Cash"/>
    <x v="106"/>
    <s v="IFAS"/>
    <s v="IFAS - Various Projects"/>
    <s v="0"/>
    <x v="0"/>
    <n v="397922"/>
    <n v="1"/>
    <n v="397922"/>
    <d v="2025-10-09T00:00:00"/>
  </r>
  <r>
    <x v="136"/>
    <d v="2025-10-14T00:00:00"/>
    <x v="1"/>
    <s v="Clean"/>
    <x v="3"/>
    <s v="Credit"/>
    <x v="107"/>
    <s v="FIRST FIX"/>
    <s v="RCRC"/>
    <s v="1020106"/>
    <x v="0"/>
    <n v="148350"/>
    <n v="1"/>
    <n v="148350"/>
    <d v="2025-11-30T00:00:00"/>
  </r>
  <r>
    <x v="137"/>
    <d v="2025-10-05T00:00:00"/>
    <x v="1"/>
    <s v="Discrepant"/>
    <x v="2"/>
    <s v="Credit"/>
    <x v="108"/>
    <s v="FIRST FIX"/>
    <s v="JCD SPMI"/>
    <s v="1020100"/>
    <x v="0"/>
    <n v="184701.44"/>
    <n v="1"/>
    <n v="184701.44"/>
    <d v="2026-01-07T00:00:00"/>
  </r>
  <r>
    <x v="138"/>
    <d v="2025-10-05T00:00:00"/>
    <x v="3"/>
    <s v="Clean"/>
    <x v="3"/>
    <s v="Credit"/>
    <x v="109"/>
    <s v="FIRST FIX"/>
    <s v="RCRC"/>
    <s v="1020106"/>
    <x v="0"/>
    <n v="564484.85"/>
    <n v="1"/>
    <n v="564484.85"/>
    <d v="2025-11-30T00:00:00"/>
  </r>
  <r>
    <x v="132"/>
    <d v="2025-10-02T00:00:00"/>
    <x v="1"/>
    <s v="Clean"/>
    <x v="3"/>
    <s v="Credit"/>
    <x v="104"/>
    <s v="MBL"/>
    <s v="RCRC"/>
    <s v="1020106"/>
    <x v="0"/>
    <n v="450632"/>
    <n v="1"/>
    <n v="450632"/>
    <d v="2025-10-30T00:00:00"/>
  </r>
  <r>
    <x v="130"/>
    <d v="2025-10-02T00:00:00"/>
    <x v="3"/>
    <s v="Clean"/>
    <x v="3"/>
    <s v="Credit"/>
    <x v="103"/>
    <s v="FIRST FIX"/>
    <s v="RCRC"/>
    <s v="1020106"/>
    <x v="0"/>
    <n v="528000"/>
    <n v="1"/>
    <n v="528000"/>
    <d v="2025-12-01T00:00:00"/>
  </r>
  <r>
    <x v="139"/>
    <d v="2025-10-15T00:00:00"/>
    <x v="1"/>
    <s v="Clean"/>
    <x v="3"/>
    <s v="Credit"/>
    <x v="40"/>
    <s v="FIRST FIX"/>
    <s v="RCRC"/>
    <s v="1020106"/>
    <x v="0"/>
    <n v="1000000"/>
    <n v="1"/>
    <n v="1000000"/>
    <d v="2025-12-11T00:00:00"/>
  </r>
  <r>
    <x v="140"/>
    <d v="2025-10-15T00:00:00"/>
    <x v="4"/>
    <s v="Clean"/>
    <x v="3"/>
    <s v="Credit"/>
    <x v="110"/>
    <s v="FIRST FIX"/>
    <s v="RCRC"/>
    <s v="1020106"/>
    <x v="0"/>
    <n v="119761.29"/>
    <n v="1"/>
    <n v="119761.29"/>
    <d v="2026-01-12T00:00:00"/>
  </r>
  <r>
    <x v="123"/>
    <d v="2025-12-04T00:00:00"/>
    <x v="0"/>
    <s v="Clean"/>
    <x v="3"/>
    <s v="Credit"/>
    <x v="40"/>
    <s v="FIRST FIX"/>
    <s v="RCRC"/>
    <s v="1020106"/>
    <x v="0"/>
    <n v="368005.11"/>
    <n v="1"/>
    <n v="368005.11"/>
    <d v="2025-12-11T00:00:00"/>
  </r>
  <r>
    <x v="141"/>
    <d v="2025-10-12T00:00:00"/>
    <x v="3"/>
    <s v="Clean"/>
    <x v="3"/>
    <s v="Credit"/>
    <x v="111"/>
    <s v="MBL"/>
    <s v="RCRC"/>
    <s v="1020106"/>
    <x v="0"/>
    <n v="403652.3"/>
    <n v="1"/>
    <n v="403652.3"/>
    <d v="2025-11-05T00:00:00"/>
  </r>
  <r>
    <x v="138"/>
    <d v="2025-10-22T00:00:00"/>
    <x v="0"/>
    <s v="Clean"/>
    <x v="3"/>
    <s v="Credit"/>
    <x v="109"/>
    <s v="FIRST FIX"/>
    <s v="RCRC"/>
    <s v="1020106"/>
    <x v="0"/>
    <n v="500000"/>
    <n v="1"/>
    <n v="500000"/>
    <d v="2025-12-24T00:00:00"/>
  </r>
  <r>
    <x v="142"/>
    <d v="2025-11-06T00:00:00"/>
    <x v="1"/>
    <s v="Discrepant"/>
    <x v="3"/>
    <s v="Credit"/>
    <x v="112"/>
    <s v="FIRST FIX"/>
    <s v="RCRC"/>
    <s v="1020106"/>
    <x v="0"/>
    <n v="618700"/>
    <n v="1"/>
    <n v="618700"/>
    <d v="2025-11-30T00:00:00"/>
  </r>
  <r>
    <x v="133"/>
    <d v="2025-10-23T00:00:00"/>
    <x v="4"/>
    <s v="Clean"/>
    <x v="3"/>
    <s v="Credit"/>
    <x v="40"/>
    <s v="FIRST FIX"/>
    <s v="RCRC"/>
    <s v="1020106"/>
    <x v="0"/>
    <n v="565800"/>
    <n v="1"/>
    <n v="565800"/>
    <d v="2025-12-16T00:00:00"/>
  </r>
  <r>
    <x v="143"/>
    <d v="2025-10-20T00:00:00"/>
    <x v="3"/>
    <s v="Clean"/>
    <x v="3"/>
    <s v="Credit"/>
    <x v="113"/>
    <s v="FIRST FIX"/>
    <s v="RCRC"/>
    <s v="1020106"/>
    <x v="0"/>
    <n v="130844.12"/>
    <n v="1"/>
    <n v="130844.12"/>
    <d v="2025-12-18T00:00:00"/>
  </r>
  <r>
    <x v="106"/>
    <d v="2025-10-27T00:00:00"/>
    <x v="3"/>
    <s v="Discrepant"/>
    <x v="2"/>
    <s v="Credit"/>
    <x v="84"/>
    <s v="MBL"/>
    <s v="Rabigh Power Plant"/>
    <s v="1020107"/>
    <x v="0"/>
    <n v="180745.25"/>
    <n v="1"/>
    <n v="180745.25"/>
    <d v="2025-11-05T00:00:00"/>
  </r>
  <r>
    <x v="133"/>
    <d v="2025-11-10T00:00:00"/>
    <x v="6"/>
    <s v="Clean"/>
    <x v="3"/>
    <s v="Credit"/>
    <x v="40"/>
    <s v="FIRST FIX"/>
    <s v="RCRC"/>
    <s v="1020106"/>
    <x v="0"/>
    <n v="497076"/>
    <n v="1"/>
    <n v="497076"/>
    <d v="2026-01-04T00:00:00"/>
  </r>
  <r>
    <x v="144"/>
    <d v="2025-11-02T00:00:00"/>
    <x v="0"/>
    <s v="Clean"/>
    <x v="3"/>
    <s v="Credit"/>
    <x v="114"/>
    <s v="FIRST FIX"/>
    <s v="RCRC"/>
    <s v="1020106"/>
    <x v="0"/>
    <n v="48936.47"/>
    <n v="1"/>
    <n v="48936.47"/>
    <d v="2026-01-14T00:00:00"/>
  </r>
  <r>
    <x v="145"/>
    <d v="2025-12-14T00:00:00"/>
    <x v="3"/>
    <s v="Discrepant"/>
    <x v="1"/>
    <s v="Credit"/>
    <x v="115"/>
    <s v="FIRST FIX"/>
    <s v="MP1"/>
    <s v="1020088"/>
    <x v="0"/>
    <n v="258500.05"/>
    <n v="1"/>
    <n v="258500.05"/>
    <d v="2026-01-11T00:00:00"/>
  </r>
  <r>
    <x v="146"/>
    <d v="2025-12-25T00:00:00"/>
    <x v="1"/>
    <s v="Discrepant"/>
    <x v="3"/>
    <s v="Credit"/>
    <x v="116"/>
    <s v="FIRST FIX"/>
    <s v="RCRC"/>
    <s v="1020106"/>
    <x v="0"/>
    <n v="70863"/>
    <n v="1"/>
    <n v="70863"/>
    <d v="2026-02-09T00:00:00"/>
  </r>
  <r>
    <x v="106"/>
    <d v="2025-11-02T00:00:00"/>
    <x v="0"/>
    <s v="Discrepant"/>
    <x v="2"/>
    <s v="Credit"/>
    <x v="84"/>
    <s v="MBL"/>
    <s v="Rabigh Power Plant"/>
    <s v="1020107"/>
    <x v="0"/>
    <n v="386911.75"/>
    <n v="1"/>
    <n v="386911.75"/>
    <d v="2025-11-06T00:00:00"/>
  </r>
  <r>
    <x v="147"/>
    <d v="2025-11-21T00:00:00"/>
    <x v="1"/>
    <s v="Discrepant"/>
    <x v="2"/>
    <s v="Credit"/>
    <x v="117"/>
    <s v="MBL"/>
    <s v="Rabigh Power Plant"/>
    <s v="1020107"/>
    <x v="0"/>
    <n v="586589.85"/>
    <n v="1"/>
    <n v="586589.85"/>
    <d v="2025-11-27T00:00:00"/>
  </r>
  <r>
    <x v="103"/>
    <d v="2025-11-03T00:00:00"/>
    <x v="0"/>
    <s v="Clean"/>
    <x v="2"/>
    <s v="Credit"/>
    <x v="81"/>
    <s v="MBL"/>
    <s v="Rabigh Power Plant"/>
    <s v="1020107"/>
    <x v="0"/>
    <n v="1789060.46"/>
    <n v="1"/>
    <n v="1789060.46"/>
    <d v="2025-11-03T00:00:00"/>
  </r>
  <r>
    <x v="148"/>
    <d v="2025-11-26T00:00:00"/>
    <x v="3"/>
    <s v="Clean"/>
    <x v="3"/>
    <s v="Credit"/>
    <x v="118"/>
    <s v="FIRST FIX"/>
    <s v="RCRC"/>
    <s v="1020106"/>
    <x v="0"/>
    <n v="1000000"/>
    <n v="1"/>
    <n v="1000000"/>
    <d v="2025-12-30T00:00:00"/>
  </r>
  <r>
    <x v="149"/>
    <d v="2025-12-14T00:00:00"/>
    <x v="1"/>
    <s v="Discrepant"/>
    <x v="1"/>
    <s v="Credit"/>
    <x v="119"/>
    <s v="FIRST FIX"/>
    <s v="MP1"/>
    <s v="1020088"/>
    <x v="0"/>
    <n v="539548.79"/>
    <n v="1"/>
    <n v="539548.79"/>
    <d v="2026-02-10T00:00:00"/>
  </r>
  <r>
    <x v="150"/>
    <d v="2025-10-30T00:00:00"/>
    <x v="1"/>
    <s v="Discrepant"/>
    <x v="4"/>
    <s v="Credit"/>
    <x v="120"/>
    <s v="FIRST FIX"/>
    <s v="JCD SPMI"/>
    <s v="1020100"/>
    <x v="0"/>
    <n v="123144"/>
    <n v="1"/>
    <n v="123144"/>
    <d v="2025-11-10T00:00:00"/>
  </r>
  <r>
    <x v="151"/>
    <d v="2025-11-06T00:00:00"/>
    <x v="1"/>
    <s v="Discrepant"/>
    <x v="1"/>
    <s v="Credit"/>
    <x v="121"/>
    <s v="MBL"/>
    <s v="ABHA"/>
    <s v="1020070"/>
    <x v="0"/>
    <n v="1641337.5"/>
    <n v="1"/>
    <n v="1641337.5"/>
    <d v="2026-06-02T00:00:00"/>
  </r>
  <r>
    <x v="116"/>
    <d v="2025-11-25T00:00:00"/>
    <x v="3"/>
    <s v="Clean"/>
    <x v="2"/>
    <s v="Credit"/>
    <x v="90"/>
    <s v="MBL"/>
    <s v="Oceanarium"/>
    <s v="1020096"/>
    <x v="0"/>
    <n v="6331957.5"/>
    <n v="1"/>
    <n v="6331957.5"/>
    <d v="2026-02-08T00:00:00"/>
  </r>
  <r>
    <x v="152"/>
    <d v="2025-11-21T00:00:00"/>
    <x v="1"/>
    <s v="Discrepant"/>
    <x v="2"/>
    <s v="Credit"/>
    <x v="122"/>
    <s v="MBL/AICS"/>
    <s v="OPERA House"/>
    <s v="1020097"/>
    <x v="0"/>
    <n v="11269136.109999999"/>
    <n v="1"/>
    <n v="11269136.109999999"/>
    <d v="2026-02-10T00:00:00"/>
  </r>
  <r>
    <x v="106"/>
    <d v="2025-11-21T00:00:00"/>
    <x v="4"/>
    <s v="Discrepant"/>
    <x v="2"/>
    <s v="Credit"/>
    <x v="84"/>
    <s v="MBL"/>
    <s v="Rabigh Power Plant"/>
    <s v="1020107"/>
    <x v="0"/>
    <n v="637519.75"/>
    <n v="1"/>
    <n v="637519.75"/>
    <d v="2025-11-27T00:00:00"/>
  </r>
  <r>
    <x v="153"/>
    <d v="2025-12-09T00:00:00"/>
    <x v="4"/>
    <s v="Discrepant"/>
    <x v="1"/>
    <s v="Credit"/>
    <x v="123"/>
    <s v="FIRST FIX"/>
    <s v="CEER"/>
    <s v="1020091"/>
    <x v="0"/>
    <n v="328383.40000000002"/>
    <n v="1"/>
    <n v="328383.40000000002"/>
    <d v="2026-02-23T00:00:00"/>
  </r>
  <r>
    <x v="154"/>
    <d v="2025-12-04T00:00:00"/>
    <x v="3"/>
    <s v="Discrepant"/>
    <x v="1"/>
    <s v="Credit"/>
    <x v="124"/>
    <s v="FIRST FIX"/>
    <s v="CEER"/>
    <s v="1020091"/>
    <x v="0"/>
    <n v="610345.93000000005"/>
    <n v="1"/>
    <n v="610345.93000000005"/>
    <d v="2026-03-24T00:00:00"/>
  </r>
  <r>
    <x v="155"/>
    <d v="2025-12-08T00:00:00"/>
    <x v="1"/>
    <s v="Discrepant"/>
    <x v="1"/>
    <s v="Credit"/>
    <x v="125"/>
    <s v="MBL/ICAD"/>
    <s v="ABHA"/>
    <s v="1020070"/>
    <x v="0"/>
    <n v="2352034.91"/>
    <n v="1"/>
    <n v="2352034.91"/>
    <d v="2026-01-04T00:00:00"/>
  </r>
  <r>
    <x v="156"/>
    <d v="2025-12-09T00:00:00"/>
    <x v="1"/>
    <s v="Discrepant"/>
    <x v="1"/>
    <s v="Credit"/>
    <x v="126"/>
    <s v="FIRST FIX"/>
    <s v="MP1"/>
    <s v="1020088"/>
    <x v="0"/>
    <n v="47630.53"/>
    <n v="1"/>
    <n v="47630.53"/>
    <d v="2026-02-15T00:00:00"/>
  </r>
  <r>
    <x v="157"/>
    <d v="2025-12-02T00:00:00"/>
    <x v="1"/>
    <s v="Discrepant"/>
    <x v="1"/>
    <s v="Credit"/>
    <x v="127"/>
    <s v="FIRST FIX"/>
    <s v="MP1"/>
    <s v="1020088"/>
    <x v="0"/>
    <n v="250000"/>
    <n v="1"/>
    <n v="250000"/>
    <d v="2026-02-19T00:00:00"/>
  </r>
  <r>
    <x v="158"/>
    <d v="2025-12-25T00:00:00"/>
    <x v="3"/>
    <s v="Clean"/>
    <x v="3"/>
    <s v="Credit"/>
    <x v="128"/>
    <s v="FIRST FIX"/>
    <s v="RCRC"/>
    <s v="1020106"/>
    <x v="0"/>
    <n v="65268.54"/>
    <n v="1"/>
    <n v="65268.54"/>
    <d v="2026-01-12T00:00:00"/>
  </r>
  <r>
    <x v="159"/>
    <d v="2025-12-09T00:00:00"/>
    <x v="1"/>
    <s v="Clean"/>
    <x v="1"/>
    <s v="Credit"/>
    <x v="129"/>
    <s v="FIRST FIX"/>
    <s v="MP1"/>
    <s v="1020088"/>
    <x v="0"/>
    <n v="250000"/>
    <n v="1"/>
    <n v="250000"/>
    <d v="2026-02-01T00:00:00"/>
  </r>
  <r>
    <x v="160"/>
    <d v="2025-12-23T00:00:00"/>
    <x v="1"/>
    <s v="Clean"/>
    <x v="3"/>
    <s v="Credit"/>
    <x v="107"/>
    <s v="FIRST FIX"/>
    <s v="RCRC"/>
    <s v="1020106"/>
    <x v="0"/>
    <n v="526125"/>
    <n v="1"/>
    <n v="526125"/>
    <d v="2026-02-08T00:00:00"/>
  </r>
  <r>
    <x v="161"/>
    <d v="2025-12-02T00:00:00"/>
    <x v="1"/>
    <s v="Clean"/>
    <x v="5"/>
    <s v="Credit"/>
    <x v="130"/>
    <s v="FIRST FIX"/>
    <s v="Oceanarium"/>
    <s v="1020096"/>
    <x v="0"/>
    <n v="2000000"/>
    <n v="1"/>
    <n v="2000000"/>
    <d v="2026-03-09T00:00:00"/>
  </r>
  <r>
    <x v="162"/>
    <d v="2025-12-08T00:00:00"/>
    <x v="1"/>
    <s v="Clean"/>
    <x v="3"/>
    <s v="Credit"/>
    <x v="131"/>
    <s v="FIRST FIX"/>
    <s v="RCRC"/>
    <s v="1020106"/>
    <x v="0"/>
    <n v="263925"/>
    <n v="1"/>
    <n v="263925"/>
    <d v="2026-01-11T00:00:00"/>
  </r>
  <r>
    <x v="163"/>
    <d v="2026-01-06T00:00:00"/>
    <x v="1"/>
    <s v="Discrepant"/>
    <x v="3"/>
    <s v="Credit"/>
    <x v="132"/>
    <s v="FIRST FIX"/>
    <s v="RCRC"/>
    <s v="1020106"/>
    <x v="0"/>
    <n v="282279.51"/>
    <n v="1"/>
    <n v="282279.51"/>
    <d v="2026-02-25T00:00:00"/>
  </r>
  <r>
    <x v="120"/>
    <d v="2026-01-06T00:00:00"/>
    <x v="3"/>
    <s v="Discrepant"/>
    <x v="3"/>
    <s v="Credit"/>
    <x v="94"/>
    <s v="FIRST FIX"/>
    <s v="RCRC"/>
    <s v="1020106"/>
    <x v="0"/>
    <n v="251134"/>
    <n v="1"/>
    <n v="251134"/>
    <d v="2026-02-16T00:00:00"/>
  </r>
  <r>
    <x v="164"/>
    <d v="2025-12-17T00:00:00"/>
    <x v="1"/>
    <s v="Clean"/>
    <x v="3"/>
    <s v="Credit"/>
    <x v="133"/>
    <s v="FIRST FIX"/>
    <s v="RCRC"/>
    <s v="1020106"/>
    <x v="0"/>
    <n v="251134"/>
    <n v="1"/>
    <n v="251134"/>
    <d v="2026-02-04T00:00:00"/>
  </r>
  <r>
    <x v="144"/>
    <d v="2026-01-05T00:00:00"/>
    <x v="4"/>
    <s v="Clean"/>
    <x v="3"/>
    <s v="Credit"/>
    <x v="114"/>
    <s v="FIRST FIX"/>
    <s v="RCRC"/>
    <s v="1020106"/>
    <x v="0"/>
    <n v="96824.6"/>
    <n v="1"/>
    <n v="96824.6"/>
    <d v="2026-01-25T00:00:00"/>
  </r>
  <r>
    <x v="165"/>
    <d v="2025-12-11T00:00:00"/>
    <x v="1"/>
    <s v="Clean"/>
    <x v="3"/>
    <s v="Credit"/>
    <x v="40"/>
    <s v="FIRST FIX"/>
    <s v="RCRC"/>
    <s v="1020106"/>
    <x v="0"/>
    <n v="2000000.93"/>
    <n v="1"/>
    <n v="2000000.93"/>
    <d v="2026-02-26T00:00:00"/>
  </r>
  <r>
    <x v="108"/>
    <d v="2025-12-16T00:00:00"/>
    <x v="0"/>
    <s v="Clean"/>
    <x v="2"/>
    <s v="Credit"/>
    <x v="40"/>
    <s v="FIRST FIX"/>
    <s v="KSP"/>
    <s v="1020055"/>
    <x v="0"/>
    <n v="51889.25"/>
    <n v="1"/>
    <n v="51889.25"/>
    <d v="2026-03-25T00:00:00"/>
  </r>
  <r>
    <x v="166"/>
    <d v="2025-12-14T00:00:00"/>
    <x v="1"/>
    <s v="Clean"/>
    <x v="1"/>
    <s v="Credit"/>
    <x v="134"/>
    <s v="FIRST FIX"/>
    <s v="MP1"/>
    <s v="1020088"/>
    <x v="0"/>
    <n v="2000000"/>
    <n v="1"/>
    <n v="2000000"/>
    <d v="2026-03-29T00:00:00"/>
  </r>
  <r>
    <x v="167"/>
    <d v="2025-12-22T00:00:00"/>
    <x v="1"/>
    <s v="Clean"/>
    <x v="2"/>
    <s v="Credit"/>
    <x v="135"/>
    <s v="ICAD"/>
    <s v="ADF"/>
    <s v="1020001"/>
    <x v="0"/>
    <n v="6019158.46"/>
    <n v="1"/>
    <n v="6019158.46"/>
    <d v="2025-12-28T00:00:00"/>
  </r>
  <r>
    <x v="141"/>
    <d v="2025-12-11T00:00:00"/>
    <x v="0"/>
    <s v="Clean"/>
    <x v="3"/>
    <s v="Credit"/>
    <x v="111"/>
    <s v="MBL"/>
    <s v="RCRC"/>
    <s v="1020106"/>
    <x v="0"/>
    <n v="253366.85"/>
    <n v="1"/>
    <n v="253366.85"/>
    <d v="2026-01-07T00:00:00"/>
  </r>
  <r>
    <x v="147"/>
    <d v="2025-12-21T00:00:00"/>
    <x v="3"/>
    <s v="Clean"/>
    <x v="2"/>
    <s v="Credit"/>
    <x v="117"/>
    <s v="MBL"/>
    <s v="Rabigh Power Plant"/>
    <s v="1020107"/>
    <x v="0"/>
    <n v="488824.87"/>
    <n v="1"/>
    <n v="488824.87"/>
    <d v="2025-12-28T00:00:00"/>
  </r>
  <r>
    <x v="168"/>
    <d v="2026-01-18T00:00:00"/>
    <x v="1"/>
    <s v="Clean"/>
    <x v="2"/>
    <s v="Credit"/>
    <x v="107"/>
    <s v="MBL"/>
    <s v="OPERA House"/>
    <s v="1020097"/>
    <x v="0"/>
    <n v="1200600"/>
    <n v="1"/>
    <n v="1200600"/>
    <d v="2026-03-16T00:00:00"/>
  </r>
  <r>
    <x v="167"/>
    <d v="2025-12-30T00:00:00"/>
    <x v="3"/>
    <s v="Clean"/>
    <x v="2"/>
    <s v="Credit"/>
    <x v="135"/>
    <s v="ICAD"/>
    <s v="ADF"/>
    <s v="1020001"/>
    <x v="0"/>
    <n v="1325597"/>
    <n v="1"/>
    <n v="1325597"/>
    <d v="2025-12-30T00:00:00"/>
  </r>
  <r>
    <x v="118"/>
    <d v="2026-01-21T00:00:00"/>
    <x v="3"/>
    <s v="Discrepant"/>
    <x v="3"/>
    <s v="Credit"/>
    <x v="92"/>
    <s v="FIRST FIX"/>
    <s v="RCRC"/>
    <s v="1020106"/>
    <x v="0"/>
    <n v="137644.65"/>
    <n v="1"/>
    <n v="137644.65"/>
    <d v="2026-03-08T00:00:00"/>
  </r>
  <r>
    <x v="169"/>
    <d v="2025-12-21T00:00:00"/>
    <x v="1"/>
    <s v="Clean"/>
    <x v="2"/>
    <s v="Credit"/>
    <x v="122"/>
    <s v="MBL/AICS"/>
    <s v="OPERA House"/>
    <s v="1020097"/>
    <x v="0"/>
    <n v="999166"/>
    <n v="1"/>
    <n v="999166"/>
    <d v="2026-01-04T00:00:00"/>
  </r>
  <r>
    <x v="141"/>
    <d v="2026-01-26T00:00:00"/>
    <x v="4"/>
    <s v="Clean"/>
    <x v="3"/>
    <s v="Credit"/>
    <x v="111"/>
    <s v="MBL"/>
    <s v="RCRC"/>
    <s v="1020106"/>
    <x v="0"/>
    <n v="519801.15"/>
    <n v="1"/>
    <n v="519801.15"/>
    <d v="2026-02-23T00:00:00"/>
  </r>
  <r>
    <x v="170"/>
    <d v="2026-01-19T00:00:00"/>
    <x v="1"/>
    <s v="Clean"/>
    <x v="3"/>
    <s v="Credit"/>
    <x v="136"/>
    <s v="MBL"/>
    <s v="RCRC"/>
    <s v="1020106"/>
    <x v="0"/>
    <n v="1117011.5"/>
    <n v="1"/>
    <n v="1117011.5"/>
    <d v="2026-01-28T00:00:00"/>
  </r>
  <r>
    <x v="171"/>
    <d v="2026-01-08T00:00:00"/>
    <x v="4"/>
    <s v="Discrepant"/>
    <x v="0"/>
    <s v="Cash"/>
    <x v="21"/>
    <s v="FIRST FIX"/>
    <s v="KSP"/>
    <s v="1020055"/>
    <x v="0"/>
    <n v="616454.66999999993"/>
    <n v="1"/>
    <n v="616454.66999999993"/>
    <d v="2026-01-13T00:00:00"/>
  </r>
  <r>
    <x v="106"/>
    <d v="2026-01-20T00:00:00"/>
    <x v="6"/>
    <s v="Discrepant"/>
    <x v="2"/>
    <s v="Credit"/>
    <x v="84"/>
    <s v="MBL"/>
    <s v="Rabigh Power Plant"/>
    <s v="1020107"/>
    <x v="0"/>
    <n v="123142"/>
    <n v="1"/>
    <n v="123142"/>
    <d v="2026-01-26T00:00:00"/>
  </r>
  <r>
    <x v="106"/>
    <d v="2026-01-20T00:00:00"/>
    <x v="10"/>
    <s v="Discrepant"/>
    <x v="2"/>
    <s v="Credit"/>
    <x v="84"/>
    <s v="MBL"/>
    <s v="Rabigh Power Plant"/>
    <s v="1020107"/>
    <x v="0"/>
    <n v="125798.5"/>
    <n v="1"/>
    <n v="125798.5"/>
    <d v="2026-01-26T00:00:00"/>
  </r>
  <r>
    <x v="152"/>
    <d v="2026-01-20T00:00:00"/>
    <x v="3"/>
    <s v="Clean"/>
    <x v="2"/>
    <s v="Credit"/>
    <x v="122"/>
    <s v="MBL/AICS"/>
    <s v="OPERA House"/>
    <s v="1020097"/>
    <x v="0"/>
    <n v="794349.56"/>
    <n v="1"/>
    <n v="794349.56"/>
    <d v="2026-03-23T00:00:00"/>
  </r>
  <r>
    <x v="171"/>
    <d v="2026-01-08T00:00:00"/>
    <x v="11"/>
    <s v="Discrepant"/>
    <x v="0"/>
    <s v="Cash"/>
    <x v="21"/>
    <s v="FIRST FIX"/>
    <s v="KSP"/>
    <s v="1020055"/>
    <x v="0"/>
    <n v="205932.54999999993"/>
    <n v="1"/>
    <n v="205932.54999999993"/>
    <d v="2026-01-13T00:00:00"/>
  </r>
  <r>
    <x v="170"/>
    <d v="2026-01-25T00:00:00"/>
    <x v="3"/>
    <s v="Clean"/>
    <x v="3"/>
    <s v="Credit"/>
    <x v="136"/>
    <s v="MBL"/>
    <s v="RCRC"/>
    <s v="1020106"/>
    <x v="0"/>
    <n v="1575293.5"/>
    <n v="1"/>
    <n v="1575293.5"/>
    <d v="2026-02-12T00:00:00"/>
  </r>
  <r>
    <x v="172"/>
    <d v="2026-01-22T00:00:00"/>
    <x v="1"/>
    <s v="Clean"/>
    <x v="3"/>
    <s v="Credit"/>
    <x v="103"/>
    <s v="FIRST FIX"/>
    <s v="RCRC"/>
    <s v="1020106"/>
    <x v="0"/>
    <n v="737540"/>
    <n v="1"/>
    <n v="737540"/>
    <d v="2026-03-05T00:00:00"/>
  </r>
  <r>
    <x v="173"/>
    <d v="2026-01-28T00:00:00"/>
    <x v="1"/>
    <s v="Discrepant"/>
    <x v="2"/>
    <s v="Credit"/>
    <x v="137"/>
    <s v="FIRST FIX"/>
    <s v="KSP"/>
    <s v="1020055"/>
    <x v="0"/>
    <n v="400000"/>
    <n v="1"/>
    <n v="400000"/>
    <d v="2026-04-01T00:00:00"/>
  </r>
  <r>
    <x v="174"/>
    <d v="2026-02-05T00:00:00"/>
    <x v="1"/>
    <s v="Clean"/>
    <x v="3"/>
    <s v="Credit"/>
    <x v="133"/>
    <s v="FIRST FIX"/>
    <s v="RCRC"/>
    <s v="1020106"/>
    <x v="0"/>
    <n v="252107.36"/>
    <n v="1"/>
    <n v="252107.36"/>
    <d v="2026-04-28T00:00:00"/>
  </r>
  <r>
    <x v="152"/>
    <d v="2026-01-27T00:00:00"/>
    <x v="0"/>
    <s v="Clean"/>
    <x v="2"/>
    <s v="Credit"/>
    <x v="122"/>
    <s v="MBL/AICS"/>
    <s v="OPERA House"/>
    <s v="1020097"/>
    <x v="0"/>
    <n v="949026"/>
    <n v="1"/>
    <n v="949026"/>
    <d v="2026-03-23T00:00:00"/>
  </r>
  <r>
    <x v="175"/>
    <d v="2026-02-19T00:00:00"/>
    <x v="1"/>
    <s v="Clean"/>
    <x v="3"/>
    <s v="Credit"/>
    <x v="138"/>
    <s v="FIRST FIX"/>
    <s v="RCRC"/>
    <s v="1020106"/>
    <x v="0"/>
    <n v="212349.8"/>
    <n v="1"/>
    <n v="212349.8"/>
    <d v="2026-05-03T00:00:00"/>
  </r>
  <r>
    <x v="138"/>
    <d v="2026-02-17T00:00:00"/>
    <x v="4"/>
    <s v="Clean"/>
    <x v="3"/>
    <s v="Credit"/>
    <x v="109"/>
    <s v="FIRST FIX"/>
    <s v="RCRC"/>
    <s v="1020106"/>
    <x v="0"/>
    <n v="521698.4"/>
    <n v="1"/>
    <n v="521698.4"/>
    <d v="2026-04-01T00:00:00"/>
  </r>
  <r>
    <x v="176"/>
    <d v="2026-02-16T00:00:00"/>
    <x v="1"/>
    <s v="Clean"/>
    <x v="3"/>
    <s v="Credit"/>
    <x v="139"/>
    <s v="FIRST FIX"/>
    <s v="RCRC"/>
    <s v="1020106"/>
    <x v="0"/>
    <n v="209875"/>
    <n v="1"/>
    <n v="209875"/>
    <d v="2026-05-03T00:00:00"/>
  </r>
  <r>
    <x v="106"/>
    <d v="2026-02-08T00:00:00"/>
    <x v="12"/>
    <s v="Discrepant"/>
    <x v="2"/>
    <s v="Credit"/>
    <x v="84"/>
    <s v="MBL"/>
    <s v="Rabigh Power Plant"/>
    <s v="1020107"/>
    <x v="0"/>
    <n v="971037"/>
    <n v="1"/>
    <n v="971037"/>
    <d v="2026-02-18T00:00:00"/>
  </r>
  <r>
    <x v="177"/>
    <d v="2026-02-25T00:00:00"/>
    <x v="1"/>
    <s v="Clean"/>
    <x v="3"/>
    <s v="Credit"/>
    <x v="40"/>
    <s v="FIRST FIX"/>
    <s v="RCRC"/>
    <s v="1020106"/>
    <x v="0"/>
    <n v="1478254.88"/>
    <n v="1"/>
    <n v="1478254.88"/>
    <d v="2026-05-10T00:00:00"/>
  </r>
  <r>
    <x v="178"/>
    <d v="2026-02-25T00:00:00"/>
    <x v="1"/>
    <s v="Clean"/>
    <x v="3"/>
    <s v="Credit"/>
    <x v="140"/>
    <s v="FIRST FIX"/>
    <s v="RCRC"/>
    <s v="1020106"/>
    <x v="0"/>
    <n v="89826.5"/>
    <n v="1"/>
    <n v="89826.5"/>
    <d v="2026-04-26T00:00:00"/>
  </r>
  <r>
    <x v="179"/>
    <d v="2026-02-25T00:00:00"/>
    <x v="1"/>
    <s v="Clean"/>
    <x v="3"/>
    <s v="Credit"/>
    <x v="141"/>
    <s v="FIRST FIX"/>
    <s v="RCRC"/>
    <s v="1020106"/>
    <x v="0"/>
    <n v="42591.07"/>
    <n v="1"/>
    <n v="42591.07"/>
    <d v="2026-04-26T00:00:00"/>
  </r>
  <r>
    <x v="180"/>
    <d v="2026-02-25T00:00:00"/>
    <x v="1"/>
    <s v="Clean"/>
    <x v="6"/>
    <s v="Credit"/>
    <x v="142"/>
    <s v="MBL"/>
    <s v="Lagoon"/>
    <s v="1020108"/>
    <x v="0"/>
    <n v="1164996"/>
    <n v="1"/>
    <n v="1164996"/>
    <d v="2026-03-09T00:00:00"/>
  </r>
  <r>
    <x v="181"/>
    <d v="2026-02-26T00:00:00"/>
    <x v="1"/>
    <s v="Discrepant"/>
    <x v="2"/>
    <s v="Credit"/>
    <x v="143"/>
    <s v="MBL/ICAD"/>
    <s v="OPERA House"/>
    <s v="1020097"/>
    <x v="0"/>
    <n v="400000"/>
    <n v="1"/>
    <n v="400000"/>
    <d v="2026-05-04T00:00:00"/>
  </r>
  <r>
    <x v="182"/>
    <d v="2026-03-09T00:00:00"/>
    <x v="1"/>
    <s v="Discrepant"/>
    <x v="2"/>
    <s v="Credit"/>
    <x v="41"/>
    <s v="MBL/ICAD"/>
    <s v="OPERA House"/>
    <s v="1020097"/>
    <x v="0"/>
    <n v="800000"/>
    <n v="1"/>
    <n v="800000"/>
    <d v="2026-03-24T00:00:00"/>
  </r>
  <r>
    <x v="183"/>
    <d v="2026-03-01T00:00:00"/>
    <x v="1"/>
    <s v="Discrepant"/>
    <x v="2"/>
    <s v="Credit"/>
    <x v="144"/>
    <s v="MBL/ICAD"/>
    <s v="OPERA House"/>
    <s v="1020097"/>
    <x v="0"/>
    <n v="700000"/>
    <n v="1"/>
    <n v="700000"/>
    <d v="2026-05-21T00:00:00"/>
  </r>
  <r>
    <x v="184"/>
    <d v="2026-03-16T00:00:00"/>
    <x v="1"/>
    <s v="Discrepant"/>
    <x v="2"/>
    <s v="Credit"/>
    <x v="137"/>
    <s v="MBL/ICAD"/>
    <s v="OPERA House"/>
    <s v="1020097"/>
    <x v="0"/>
    <n v="806924.71"/>
    <n v="1"/>
    <n v="806924.71"/>
    <d v="2026-05-13T00:00:00"/>
  </r>
  <r>
    <x v="185"/>
    <d v="2026-03-16T00:00:00"/>
    <x v="1"/>
    <s v="Discrepant"/>
    <x v="2"/>
    <s v="Credit"/>
    <x v="137"/>
    <s v="MBL/ICAD"/>
    <s v="OPERA House"/>
    <s v="1020097"/>
    <x v="0"/>
    <n v="250000"/>
    <n v="1"/>
    <n v="250000"/>
    <d v="2026-05-13T00:00:00"/>
  </r>
  <r>
    <x v="186"/>
    <d v="2026-03-16T00:00:00"/>
    <x v="1"/>
    <s v="Clean"/>
    <x v="3"/>
    <s v="Credit"/>
    <x v="145"/>
    <s v="MBL"/>
    <s v="RCRC"/>
    <s v="1020106"/>
    <x v="0"/>
    <n v="109064.85"/>
    <n v="1"/>
    <n v="109064.85"/>
    <d v="2026-04-12T00:00:00"/>
  </r>
  <r>
    <x v="170"/>
    <d v="2026-03-16T00:00:00"/>
    <x v="0"/>
    <s v="Clean"/>
    <x v="3"/>
    <s v="Credit"/>
    <x v="136"/>
    <s v="MBL"/>
    <s v="RCRC"/>
    <s v="1020106"/>
    <x v="0"/>
    <n v="1835164.63"/>
    <n v="1"/>
    <n v="1835164.63"/>
    <d v="2026-03-16T00:00:00"/>
  </r>
  <r>
    <x v="132"/>
    <d v="2026-03-16T00:00:00"/>
    <x v="0"/>
    <s v="Clean"/>
    <x v="3"/>
    <s v="Credit"/>
    <x v="104"/>
    <s v="MBL"/>
    <s v="RCRC"/>
    <s v="1020106"/>
    <x v="0"/>
    <n v="54799.8"/>
    <n v="1"/>
    <n v="54799.8"/>
    <d v="2026-03-16T00:00:00"/>
  </r>
  <r>
    <x v="141"/>
    <d v="2026-04-01T00:00:00"/>
    <x v="6"/>
    <s v="Clean"/>
    <x v="3"/>
    <s v="Credit"/>
    <x v="111"/>
    <s v="MBL"/>
    <s v="RCRC"/>
    <s v="1020106"/>
    <x v="0"/>
    <n v="537079"/>
    <n v="1"/>
    <n v="537079"/>
    <d v="2026-04-26T00:00:00"/>
  </r>
  <r>
    <x v="187"/>
    <d v="2026-03-15T00:00:00"/>
    <x v="1"/>
    <s v="Clean"/>
    <x v="2"/>
    <s v="Credit"/>
    <x v="81"/>
    <s v="MBL"/>
    <s v="Rabigh Power Plant"/>
    <s v="1020107"/>
    <x v="0"/>
    <n v="1696396.49"/>
    <n v="1"/>
    <n v="1696396.49"/>
    <d v="2026-04-16T00:00:00"/>
  </r>
  <r>
    <x v="188"/>
    <d v="2026-03-28T00:00:00"/>
    <x v="1"/>
    <s v="Clean"/>
    <x v="2"/>
    <s v="Credit"/>
    <x v="146"/>
    <s v="MBL/AICS"/>
    <s v="OPERA House"/>
    <s v="1020097"/>
    <x v="0"/>
    <n v="223403.6"/>
    <n v="1"/>
    <n v="223403.6"/>
    <d v="2026-04-30T00:00:00"/>
  </r>
  <r>
    <x v="189"/>
    <d v="2026-03-29T00:00:00"/>
    <x v="1"/>
    <s v="Clean"/>
    <x v="3"/>
    <s v="Credit"/>
    <x v="147"/>
    <s v="FIRST FIX"/>
    <s v="CEER"/>
    <s v="1020091"/>
    <x v="0"/>
    <n v="25000000"/>
    <n v="1"/>
    <n v="25000000"/>
    <d v="2026-06-08T00:00:00"/>
  </r>
  <r>
    <x v="190"/>
    <d v="2026-04-01T00:00:00"/>
    <x v="6"/>
    <s v="Clean"/>
    <x v="4"/>
    <s v="Credit"/>
    <x v="84"/>
    <s v="MBL"/>
    <s v="Rabigh Power Plant"/>
    <s v="1020107"/>
    <x v="0"/>
    <n v="291391.23"/>
    <n v="1"/>
    <n v="291391.23"/>
    <d v="2026-04-16T00:00:00"/>
  </r>
  <r>
    <x v="191"/>
    <d v="2026-04-13T00:00:00"/>
    <x v="13"/>
    <s v="Clean"/>
    <x v="4"/>
    <s v="Credit"/>
    <x v="148"/>
    <s v="MBL"/>
    <s v="Rabigh Power Plant"/>
    <s v="1020107"/>
    <x v="0"/>
    <n v="412500"/>
    <n v="1"/>
    <n v="412500"/>
    <d v="2026-04-26T00:00:00"/>
  </r>
  <r>
    <x v="192"/>
    <d v="2026-04-26T00:00:00"/>
    <x v="1"/>
    <s v="Clean"/>
    <x v="4"/>
    <s v="Credit"/>
    <x v="149"/>
    <s v="ICAD"/>
    <s v="KSP"/>
    <s v="1020055"/>
    <x v="2"/>
    <n v="1198730.71"/>
    <n v="5.0896999999999997"/>
    <n v="6101179.6946869995"/>
    <d v="2026-06-01T00:00:00"/>
  </r>
  <r>
    <x v="193"/>
    <d v="2026-04-26T00:00:00"/>
    <x v="1"/>
    <s v="Clean"/>
    <x v="4"/>
    <s v="Credit"/>
    <x v="149"/>
    <s v="ICAD"/>
    <s v="KSP"/>
    <s v="1020055"/>
    <x v="2"/>
    <n v="71061.149999999994"/>
    <n v="5.1128999000000004"/>
    <n v="363328.54672888498"/>
    <d v="2026-05-12T00:00:00"/>
  </r>
  <r>
    <x v="194"/>
    <d v="2026-04-20T00:00:00"/>
    <x v="1"/>
    <s v="Discrepant"/>
    <x v="2"/>
    <s v="Credit"/>
    <x v="137"/>
    <s v="MBL/ICAD"/>
    <s v="OPERA House"/>
    <s v="1020097"/>
    <x v="0"/>
    <n v="350000"/>
    <n v="1"/>
    <n v="350000"/>
    <d v="2026-05-31T00:00:00"/>
  </r>
  <r>
    <x v="152"/>
    <d v="2026-04-13T00:00:00"/>
    <x v="6"/>
    <s v="Clean"/>
    <x v="2"/>
    <s v="Credit"/>
    <x v="122"/>
    <s v="MBL/AICS"/>
    <s v="OPERA House"/>
    <s v="1020097"/>
    <x v="0"/>
    <n v="1386492.9"/>
    <n v="1"/>
    <n v="1386492.9"/>
    <d v="2026-04-30T00:00:00"/>
  </r>
  <r>
    <x v="195"/>
    <d v="2026-04-07T00:00:00"/>
    <x v="4"/>
    <s v="Clean"/>
    <x v="4"/>
    <s v="Credit"/>
    <x v="147"/>
    <s v="FIRST FIX"/>
    <s v="ADF"/>
    <s v="1020001"/>
    <x v="0"/>
    <n v="6000000"/>
    <n v="1"/>
    <n v="6000000"/>
    <d v="2026-06-29T00:00:00"/>
  </r>
  <r>
    <x v="189"/>
    <d v="2026-04-09T00:00:00"/>
    <x v="3"/>
    <s v="Clean"/>
    <x v="3"/>
    <s v="Credit"/>
    <x v="147"/>
    <s v="FIRST FIX"/>
    <s v="CEER"/>
    <s v="1020091"/>
    <x v="0"/>
    <n v="42000000"/>
    <n v="1"/>
    <n v="42000000"/>
    <d v="2026-06-29T00:00:00"/>
  </r>
  <r>
    <x v="196"/>
    <d v="2026-05-06T00:00:00"/>
    <x v="1"/>
    <s v="Clean"/>
    <x v="4"/>
    <s v="Credit"/>
    <x v="150"/>
    <s v="MBL"/>
    <s v="CEER"/>
    <s v="1020091"/>
    <x v="0"/>
    <n v="21481033"/>
    <n v="1"/>
    <n v="21481033"/>
    <d v="2026-08-07T00:00:00"/>
  </r>
  <r>
    <x v="186"/>
    <d v="2026-04-26T00:00:00"/>
    <x v="3"/>
    <s v="Clean"/>
    <x v="3"/>
    <s v="Credit"/>
    <x v="145"/>
    <s v="MBL"/>
    <s v="RCRC"/>
    <s v="1020106"/>
    <x v="0"/>
    <n v="182356.65"/>
    <n v="1"/>
    <n v="182356.65"/>
    <d v="2026-05-12T00:00:00"/>
  </r>
  <r>
    <x v="132"/>
    <d v="2026-04-27T00:00:00"/>
    <x v="4"/>
    <s v="Clean"/>
    <x v="3"/>
    <s v="Credit"/>
    <x v="104"/>
    <s v="MBL"/>
    <s v="RCRC"/>
    <s v="1020106"/>
    <x v="0"/>
    <n v="644946.44999999995"/>
    <n v="1"/>
    <n v="644946.44999999995"/>
    <d v="2026-04-28T00:00:00"/>
  </r>
  <r>
    <x v="152"/>
    <d v="2026-04-23T00:00:00"/>
    <x v="10"/>
    <s v="Clean"/>
    <x v="2"/>
    <s v="Credit"/>
    <x v="122"/>
    <s v="MBL/AICS"/>
    <s v="OPERA House"/>
    <s v="1020097"/>
    <x v="0"/>
    <n v="1418090.3"/>
    <n v="1"/>
    <n v="1418090.3"/>
    <d v="2026-06-08T00:00:00"/>
  </r>
  <r>
    <x v="197"/>
    <d v="2026-04-26T00:00:00"/>
    <x v="1"/>
    <s v="Clean"/>
    <x v="2"/>
    <s v="Credit"/>
    <x v="151"/>
    <s v="MBL/ICAD"/>
    <s v="OPERA House"/>
    <s v="1020097"/>
    <x v="0"/>
    <n v="500000"/>
    <n v="1"/>
    <n v="500000"/>
    <d v="2026-07-12T00:00:00"/>
  </r>
  <r>
    <x v="106"/>
    <d v="2026-04-19T00:00:00"/>
    <x v="13"/>
    <s v="Clean"/>
    <x v="2"/>
    <s v="Credit"/>
    <x v="84"/>
    <s v="MBL"/>
    <s v="Rabigh Power Plant"/>
    <s v="1020107"/>
    <x v="0"/>
    <n v="809237.75"/>
    <n v="1"/>
    <n v="809237.75"/>
    <d v="2026-04-19T00:00:00"/>
  </r>
  <r>
    <x v="198"/>
    <d v="2026-04-29T00:00:00"/>
    <x v="3"/>
    <s v="Discrepant"/>
    <x v="4"/>
    <s v="Credit"/>
    <x v="152"/>
    <s v="MBL"/>
    <s v="Rabigh Power Plant"/>
    <s v="1020107"/>
    <x v="0"/>
    <n v="430163.81"/>
    <n v="1"/>
    <n v="430163.81"/>
    <d v="2026-05-05T00:00:00"/>
  </r>
  <r>
    <x v="179"/>
    <d v="2026-04-27T00:00:00"/>
    <x v="3"/>
    <s v="Clean"/>
    <x v="3"/>
    <s v="Credit"/>
    <x v="141"/>
    <s v="FIRST FIX"/>
    <s v="RCRC"/>
    <s v="1020106"/>
    <x v="0"/>
    <n v="199393.9"/>
    <n v="1"/>
    <n v="199393.9"/>
    <d v="2026-07-07T00:00:00"/>
  </r>
  <r>
    <x v="186"/>
    <d v="2026-05-04T00:00:00"/>
    <x v="0"/>
    <s v="Clean"/>
    <x v="3"/>
    <s v="Credit"/>
    <x v="145"/>
    <s v="MBL"/>
    <s v="RCRC"/>
    <s v="1020106"/>
    <x v="0"/>
    <n v="204411.35"/>
    <n v="1"/>
    <n v="204411.35"/>
    <d v="2026-06-14T00:00:00"/>
  </r>
  <r>
    <x v="198"/>
    <d v="2026-04-29T00:00:00"/>
    <x v="0"/>
    <s v="Discrepant"/>
    <x v="4"/>
    <s v="Credit"/>
    <x v="152"/>
    <s v="MBL"/>
    <s v="Rabigh Power Plant"/>
    <s v="1020107"/>
    <x v="0"/>
    <n v="411465.73"/>
    <n v="1"/>
    <n v="411465.73"/>
    <d v="2026-05-05T00:00:00"/>
  </r>
  <r>
    <x v="198"/>
    <d v="2026-04-29T00:00:00"/>
    <x v="4"/>
    <s v="Discrepant"/>
    <x v="4"/>
    <s v="Credit"/>
    <x v="152"/>
    <s v="MBL"/>
    <s v="Rabigh Power Plant"/>
    <s v="1020107"/>
    <x v="0"/>
    <n v="292116.28000000003"/>
    <n v="1"/>
    <n v="292116.28000000003"/>
    <d v="2026-05-05T00:00:00"/>
  </r>
  <r>
    <x v="199"/>
    <d v="2026-05-10T00:00:00"/>
    <x v="1"/>
    <s v="Clean"/>
    <x v="2"/>
    <s v="Credit"/>
    <x v="137"/>
    <s v="MBL/ICAD"/>
    <s v="OPERA House"/>
    <s v="1020097"/>
    <x v="0"/>
    <n v="2193076"/>
    <n v="1"/>
    <n v="2193076"/>
    <d v="2026-07-19T00:00:00"/>
  </r>
  <r>
    <x v="200"/>
    <d v="2026-06-10T00:00:00"/>
    <x v="1"/>
    <s v="Clean"/>
    <x v="4"/>
    <s v="Credit"/>
    <x v="102"/>
    <s v="MBL"/>
    <s v="KSP"/>
    <s v="1020055"/>
    <x v="0"/>
    <n v="5643717.4500000002"/>
    <n v="1"/>
    <n v="5643717.4500000002"/>
    <d v="2026-07-20T00:00:00"/>
  </r>
  <r>
    <x v="188"/>
    <d v="2026-05-06T00:00:00"/>
    <x v="3"/>
    <s v="Clean"/>
    <x v="2"/>
    <s v="Credit"/>
    <x v="146"/>
    <s v="MBL/AICS"/>
    <s v="OPERA House"/>
    <s v="1020097"/>
    <x v="0"/>
    <n v="240327"/>
    <n v="1"/>
    <n v="240327"/>
    <d v="2026-06-04T00:00:00"/>
  </r>
  <r>
    <x v="191"/>
    <d v="2026-05-12T00:00:00"/>
    <x v="14"/>
    <s v="Clean"/>
    <x v="4"/>
    <s v="Credit"/>
    <x v="148"/>
    <s v="MBL"/>
    <s v="Rabigh Power Plant"/>
    <s v="1020107"/>
    <x v="0"/>
    <n v="263230"/>
    <n v="1"/>
    <n v="263230"/>
    <d v="2026-06-14T00:00:00"/>
  </r>
  <r>
    <x v="106"/>
    <d v="2026-05-05T00:00:00"/>
    <x v="14"/>
    <s v="Discrepant"/>
    <x v="2"/>
    <s v="Credit"/>
    <x v="84"/>
    <s v="MBL"/>
    <s v="Rabigh Power Plant"/>
    <s v="1020107"/>
    <x v="0"/>
    <n v="270623.75"/>
    <n v="1"/>
    <n v="270623.75"/>
    <d v="2026-05-07T00:00:00"/>
  </r>
  <r>
    <x v="170"/>
    <d v="2026-06-03T00:00:00"/>
    <x v="4"/>
    <s v="Clean"/>
    <x v="3"/>
    <s v="Credit"/>
    <x v="136"/>
    <s v="MBL"/>
    <s v="RCRC"/>
    <s v="1020106"/>
    <x v="0"/>
    <n v="1205043.97"/>
    <n v="1"/>
    <n v="1205043.97"/>
    <d v="2026-06-08T00:00:00"/>
  </r>
  <r>
    <x v="201"/>
    <d v="2026-05-17T00:00:00"/>
    <x v="0"/>
    <s v="Clean"/>
    <x v="4"/>
    <s v="Credit"/>
    <x v="3"/>
    <s v="MBL"/>
    <s v="Rabigh Power Plant"/>
    <s v="1020107"/>
    <x v="0"/>
    <n v="1018975.83"/>
    <n v="1"/>
    <n v="1018975.83"/>
    <d v="2026-06-07T00:00:00"/>
  </r>
  <r>
    <x v="152"/>
    <d v="2026-05-18T00:00:00"/>
    <x v="12"/>
    <s v="Clean"/>
    <x v="2"/>
    <s v="Credit"/>
    <x v="122"/>
    <s v="MBL/AICS"/>
    <s v="OPERA House"/>
    <s v="1020097"/>
    <x v="0"/>
    <n v="373524"/>
    <n v="1"/>
    <n v="373524"/>
    <d v="2026-06-08T00:00:00"/>
  </r>
  <r>
    <x v="202"/>
    <d v="2026-05-11T00:00:00"/>
    <x v="3"/>
    <s v="Discrepant"/>
    <x v="4"/>
    <s v="Credit"/>
    <x v="153"/>
    <s v="ICAD"/>
    <s v="ADF"/>
    <s v="1020001"/>
    <x v="0"/>
    <n v="7000000"/>
    <n v="1"/>
    <n v="7000000"/>
    <d v="2026-07-18T00:00:00"/>
  </r>
  <r>
    <x v="203"/>
    <d v="2026-06-21T00:00:00"/>
    <x v="1"/>
    <s v="Discrepant"/>
    <x v="1"/>
    <s v="Credit"/>
    <x v="154"/>
    <s v="FIRST FIX"/>
    <s v="MP1"/>
    <s v="1020088"/>
    <x v="0"/>
    <n v="200000"/>
    <n v="1"/>
    <n v="200000"/>
    <d v="2026-08-11T00:00:00"/>
  </r>
  <r>
    <x v="190"/>
    <d v="2026-06-03T00:00:00"/>
    <x v="10"/>
    <s v="Clean"/>
    <x v="4"/>
    <s v="Credit"/>
    <x v="84"/>
    <s v="MBL"/>
    <s v="Rabigh Power Plant"/>
    <s v="1020107"/>
    <x v="0"/>
    <n v="440649.09"/>
    <n v="1"/>
    <n v="440649.09"/>
    <d v="2026-06-08T00:00:00"/>
  </r>
  <r>
    <x v="186"/>
    <d v="2026-06-17T00:00:00"/>
    <x v="4"/>
    <s v="Clean"/>
    <x v="3"/>
    <s v="Credit"/>
    <x v="145"/>
    <s v="MBL"/>
    <s v="RCRC"/>
    <s v="1020106"/>
    <x v="0"/>
    <n v="112200.9"/>
    <n v="1"/>
    <n v="112200.9"/>
    <d v="2026-07-12T00:00:00"/>
  </r>
  <r>
    <x v="204"/>
    <d v="2026-05-21T00:00:00"/>
    <x v="1"/>
    <s v="Clean"/>
    <x v="2"/>
    <s v="Credit"/>
    <x v="122"/>
    <s v="MBL/AICS (L01)"/>
    <s v="OPERA House"/>
    <s v="1020097"/>
    <x v="0"/>
    <n v="2500000"/>
    <n v="1"/>
    <n v="2500000"/>
    <d v="2026-06-11T00:00:00"/>
  </r>
  <r>
    <x v="205"/>
    <d v="2026-06-21T00:00:00"/>
    <x v="1"/>
    <s v="Discrepant"/>
    <x v="1"/>
    <s v="Credit"/>
    <x v="154"/>
    <s v="FIRST FIX"/>
    <s v="MP1"/>
    <s v="1020088"/>
    <x v="0"/>
    <n v="500000"/>
    <n v="1"/>
    <n v="500000"/>
    <d v="2026-08-30T00:00:00"/>
  </r>
  <r>
    <x v="200"/>
    <d v="2026-06-15T00:00:00"/>
    <x v="3"/>
    <s v="Clean"/>
    <x v="4"/>
    <s v="Credit"/>
    <x v="102"/>
    <s v="MBL"/>
    <s v="KSP"/>
    <s v="1020055"/>
    <x v="0"/>
    <n v="2593391.5299999998"/>
    <n v="1"/>
    <n v="2593391.5299999998"/>
    <d v="2026-08-10T00:00:00"/>
  </r>
  <r>
    <x v="188"/>
    <d v="2026-06-04T00:00:00"/>
    <x v="0"/>
    <s v="Clean"/>
    <x v="2"/>
    <s v="Credit"/>
    <x v="146"/>
    <s v="MBL/AICS"/>
    <s v="OPERA House"/>
    <s v="1020097"/>
    <x v="0"/>
    <n v="652505.4"/>
    <n v="1"/>
    <n v="652505.4"/>
    <d v="2026-07-02T00:00:00"/>
  </r>
  <r>
    <x v="202"/>
    <d v="2026-06-03T00:00:00"/>
    <x v="0"/>
    <s v="Discrepant"/>
    <x v="4"/>
    <s v="Credit"/>
    <x v="153"/>
    <s v="ICAD"/>
    <s v="ADF"/>
    <s v="1020001"/>
    <x v="0"/>
    <n v="4000000"/>
    <n v="1"/>
    <n v="4000000"/>
    <d v="2026-07-19T00:00:00"/>
  </r>
  <r>
    <x v="191"/>
    <d v="2026-06-03T00:00:00"/>
    <x v="15"/>
    <s v="Clean"/>
    <x v="4"/>
    <s v="Credit"/>
    <x v="148"/>
    <s v="MBL"/>
    <s v="Rabigh Power Plant"/>
    <s v="1020107"/>
    <x v="0"/>
    <n v="412500"/>
    <n v="1"/>
    <n v="412500"/>
    <d v="2026-07-01T00:00:00"/>
  </r>
  <r>
    <x v="190"/>
    <d v="2026-06-03T00:00:00"/>
    <x v="12"/>
    <s v="Clean"/>
    <x v="4"/>
    <s v="Credit"/>
    <x v="84"/>
    <s v="MBL"/>
    <s v="Rabigh Power Plant"/>
    <s v="1020107"/>
    <x v="0"/>
    <n v="85138.27"/>
    <n v="1"/>
    <n v="85138.27"/>
    <d v="2026-06-08T00:00:00"/>
  </r>
  <r>
    <x v="190"/>
    <d v="2026-06-03T00:00:00"/>
    <x v="13"/>
    <s v="Clean"/>
    <x v="4"/>
    <s v="Credit"/>
    <x v="84"/>
    <s v="MBL"/>
    <s v="Rabigh Power Plant"/>
    <s v="1020107"/>
    <x v="0"/>
    <n v="292378.94"/>
    <n v="1"/>
    <n v="292378.94"/>
    <d v="2026-06-08T00:00:00"/>
  </r>
  <r>
    <x v="206"/>
    <d v="2026-06-22T00:00:00"/>
    <x v="1"/>
    <s v="Clean"/>
    <x v="2"/>
    <s v="Credit"/>
    <x v="155"/>
    <s v="MBL"/>
    <s v="OPERA House"/>
    <s v="1020097"/>
    <x v="0"/>
    <n v="386858.95"/>
    <n v="1"/>
    <n v="386858.95"/>
    <d v="2026-08-19T00:00:00"/>
  </r>
  <r>
    <x v="147"/>
    <d v="2026-06-18T00:00:00"/>
    <x v="0"/>
    <s v="Clean"/>
    <x v="2"/>
    <s v="Credit"/>
    <x v="117"/>
    <s v="MBL"/>
    <s v="Rabigh Power Plant"/>
    <s v="1020107"/>
    <x v="0"/>
    <n v="185753.46"/>
    <n v="1"/>
    <n v="185753.46"/>
    <d v="2026-06-18T00:00:00"/>
  </r>
  <r>
    <x v="151"/>
    <d v="2026-06-16T00:00:00"/>
    <x v="0"/>
    <s v="Discrepant"/>
    <x v="1"/>
    <s v="Credit"/>
    <x v="121"/>
    <s v="MBL"/>
    <s v="ABHA"/>
    <s v="1020070"/>
    <x v="0"/>
    <n v="197064"/>
    <n v="1"/>
    <n v="197064"/>
    <d v="2026-09-17T00:00:00"/>
  </r>
  <r>
    <x v="202"/>
    <d v="2026-06-11T00:00:00"/>
    <x v="4"/>
    <s v="Clean"/>
    <x v="4"/>
    <s v="Credit"/>
    <x v="153"/>
    <s v="ICAD"/>
    <s v="ADF"/>
    <s v="1020001"/>
    <x v="0"/>
    <n v="4724333.9400000004"/>
    <n v="1"/>
    <n v="4724333.9400000004"/>
    <d v="2026-07-18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35E92DF-78A3-46AC-866A-EE3D2A2A6FDD}" name="PivotTable4" cacheId="13" applyNumberFormats="0" applyBorderFormats="0" applyFontFormats="0" applyPatternFormats="0" applyAlignmentFormats="0" applyWidthHeightFormats="1" dataCaption="Values" missingCaption="0" updatedVersion="8" minRefreshableVersion="3" showDrill="0" useAutoFormatting="1" rowGrandTotals="0" colGrandTotals="0" itemPrintTitles="1" createdVersion="8" indent="0" compact="0" compactData="0" multipleFieldFilters="0">
  <location ref="AI5:AK7" firstHeaderRow="1" firstDataRow="1" firstDataCol="2"/>
  <pivotFields count="24">
    <pivotField compact="0" outline="0" subtotalTop="0" showAll="0" defaultSubtotal="0"/>
    <pivotField compact="0" outline="0" showAll="0" defaultSubtotal="0"/>
    <pivotField compact="0" outline="0" showAll="0" defaultSubtotal="0"/>
    <pivotField compact="0" outline="0" showAll="0" defaultSubtotal="0"/>
    <pivotField axis="axisRow" compact="0" outline="0" showAll="0" defaultSubtotal="0">
      <items count="7">
        <item m="1" x="2"/>
        <item m="1" x="6"/>
        <item m="1" x="3"/>
        <item m="1" x="4"/>
        <item x="1"/>
        <item m="1" x="5"/>
        <item x="0"/>
      </items>
      <extLst>
        <ext xmlns:x14="http://schemas.microsoft.com/office/spreadsheetml/2009/9/main" uri="{2946ED86-A175-432a-8AC1-64E0C546D7DE}">
          <x14:pivotField fillDownLabels="1"/>
        </ext>
      </extLst>
    </pivotField>
    <pivotField axis="axisRow" compact="0" outline="0" showAll="0" defaultSubtotal="0">
      <items count="9">
        <item m="1" x="2"/>
        <item m="1" x="6"/>
        <item m="1" x="3"/>
        <item m="1" x="7"/>
        <item x="1"/>
        <item m="1" x="8"/>
        <item m="1" x="5"/>
        <item m="1" x="4"/>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s>
  <rowFields count="2">
    <field x="4"/>
    <field x="5"/>
  </rowFields>
  <rowItems count="2">
    <i>
      <x v="4"/>
      <x v="4"/>
    </i>
    <i>
      <x v="6"/>
      <x v="8"/>
    </i>
  </rowItems>
  <colItems count="1">
    <i/>
  </colItems>
  <dataFields count="1">
    <dataField name="Amendment Increase (SAR)" fld="21" baseField="0" baseItem="0" numFmtId="4"/>
  </dataFields>
  <formats count="14">
    <format dxfId="1267">
      <pivotArea type="all" dataOnly="0" outline="0" fieldPosition="0"/>
    </format>
    <format dxfId="1266">
      <pivotArea outline="0" collapsedLevelsAreSubtotals="1" fieldPosition="0"/>
    </format>
    <format dxfId="1265">
      <pivotArea field="4" type="button" dataOnly="0" labelOnly="1" outline="0" axis="axisRow" fieldPosition="0"/>
    </format>
    <format dxfId="1264">
      <pivotArea field="5" type="button" dataOnly="0" labelOnly="1" outline="0" axis="axisRow" fieldPosition="1"/>
    </format>
    <format dxfId="1263">
      <pivotArea dataOnly="0" labelOnly="1" outline="0" fieldPosition="0">
        <references count="1">
          <reference field="4" count="0"/>
        </references>
      </pivotArea>
    </format>
    <format dxfId="1262">
      <pivotArea dataOnly="0" labelOnly="1" outline="0" fieldPosition="0">
        <references count="2">
          <reference field="4" count="0" selected="0"/>
          <reference field="5" count="0"/>
        </references>
      </pivotArea>
    </format>
    <format dxfId="1261">
      <pivotArea dataOnly="0" labelOnly="1" outline="0" axis="axisValues" fieldPosition="0"/>
    </format>
    <format dxfId="1260">
      <pivotArea field="4" type="button" dataOnly="0" labelOnly="1" outline="0" axis="axisRow" fieldPosition="0"/>
    </format>
    <format dxfId="1259">
      <pivotArea field="5" type="button" dataOnly="0" labelOnly="1" outline="0" axis="axisRow" fieldPosition="1"/>
    </format>
    <format dxfId="1258">
      <pivotArea dataOnly="0" labelOnly="1" outline="0" axis="axisValues" fieldPosition="0"/>
    </format>
    <format dxfId="1257">
      <pivotArea dataOnly="0" labelOnly="1" outline="0" axis="axisValues" fieldPosition="0"/>
    </format>
    <format dxfId="1256">
      <pivotArea type="all" dataOnly="0" outline="0" fieldPosition="0"/>
    </format>
    <format dxfId="1255">
      <pivotArea field="4" type="button" dataOnly="0" labelOnly="1" outline="0" axis="axisRow" fieldPosition="0"/>
    </format>
    <format dxfId="1254">
      <pivotArea field="5" type="button" dataOnly="0" labelOnly="1" outline="0" axis="axisRow" fieldPosition="1"/>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EA1D9C1-C9C0-4421-BD1D-7CE99389FCAF}" name="PivotTable3" cacheId="12"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compact="0" compactData="0" multipleFieldFilters="0">
  <location ref="AE5:AG9" firstHeaderRow="1" firstDataRow="1" firstDataCol="2"/>
  <pivotFields count="24">
    <pivotField compact="0" outline="0" subtotalTop="0" showAll="0" defaultSubtotal="0"/>
    <pivotField compact="0" outline="0" showAll="0" defaultSubtotal="0"/>
    <pivotField compact="0" outline="0" showAll="0" defaultSubtotal="0"/>
    <pivotField compact="0" outline="0" showAll="0" defaultSubtotal="0"/>
    <pivotField axis="axisRow" compact="0" outline="0" showAll="0" defaultSubtotal="0">
      <items count="9">
        <item m="1" x="6"/>
        <item m="1" x="4"/>
        <item x="2"/>
        <item x="3"/>
        <item m="1" x="7"/>
        <item m="1" x="8"/>
        <item x="0"/>
        <item m="1" x="5"/>
        <item x="1"/>
      </items>
      <extLst>
        <ext xmlns:x14="http://schemas.microsoft.com/office/spreadsheetml/2009/9/main" uri="{2946ED86-A175-432a-8AC1-64E0C546D7DE}">
          <x14:pivotField fillDownLabels="1"/>
        </ext>
      </extLst>
    </pivotField>
    <pivotField axis="axisRow" compact="0" outline="0" showAll="0" defaultSubtotal="0">
      <items count="11">
        <item m="1" x="8"/>
        <item m="1" x="6"/>
        <item m="1" x="4"/>
        <item x="2"/>
        <item x="3"/>
        <item m="1" x="9"/>
        <item m="1" x="10"/>
        <item x="0"/>
        <item m="1" x="5"/>
        <item m="1" x="7"/>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4"/>
    <field x="5"/>
  </rowFields>
  <rowItems count="4">
    <i>
      <x v="2"/>
      <x v="3"/>
    </i>
    <i>
      <x v="3"/>
      <x v="4"/>
    </i>
    <i>
      <x v="6"/>
      <x v="7"/>
    </i>
    <i>
      <x v="8"/>
      <x v="10"/>
    </i>
  </rowItems>
  <colItems count="1">
    <i/>
  </colItems>
  <dataFields count="1">
    <dataField name="Sum of LC Amt(SAR)" fld="13" baseField="0" baseItem="0" numFmtId="4"/>
  </dataFields>
  <formats count="26">
    <format dxfId="1293">
      <pivotArea type="all" dataOnly="0" outline="0" fieldPosition="0"/>
    </format>
    <format dxfId="1292">
      <pivotArea outline="0" collapsedLevelsAreSubtotals="1" fieldPosition="0"/>
    </format>
    <format dxfId="1291">
      <pivotArea field="4" type="button" dataOnly="0" labelOnly="1" outline="0" axis="axisRow" fieldPosition="0"/>
    </format>
    <format dxfId="1290">
      <pivotArea dataOnly="0" labelOnly="1" fieldPosition="0">
        <references count="1">
          <reference field="4" count="0"/>
        </references>
      </pivotArea>
    </format>
    <format dxfId="1289">
      <pivotArea dataOnly="0" labelOnly="1" grandRow="1" outline="0" fieldPosition="0"/>
    </format>
    <format dxfId="1288">
      <pivotArea dataOnly="0" labelOnly="1" fieldPosition="0">
        <references count="2">
          <reference field="4" count="1" selected="0">
            <x v="0"/>
          </reference>
          <reference field="5" count="1">
            <x v="1"/>
          </reference>
        </references>
      </pivotArea>
    </format>
    <format dxfId="1287">
      <pivotArea dataOnly="0" labelOnly="1" fieldPosition="0">
        <references count="2">
          <reference field="4" count="1" selected="0">
            <x v="1"/>
          </reference>
          <reference field="5" count="2">
            <x v="0"/>
            <x v="2"/>
          </reference>
        </references>
      </pivotArea>
    </format>
    <format dxfId="1286">
      <pivotArea dataOnly="0" labelOnly="1" outline="0" axis="axisValues" fieldPosition="0"/>
    </format>
    <format dxfId="1285">
      <pivotArea type="all" dataOnly="0" outline="0" fieldPosition="0"/>
    </format>
    <format dxfId="1284">
      <pivotArea field="4" type="button" dataOnly="0" labelOnly="1" outline="0" axis="axisRow" fieldPosition="0"/>
    </format>
    <format dxfId="1283">
      <pivotArea dataOnly="0" labelOnly="1" fieldPosition="0">
        <references count="1">
          <reference field="4" count="0"/>
        </references>
      </pivotArea>
    </format>
    <format dxfId="1282">
      <pivotArea dataOnly="0" labelOnly="1" grandRow="1" outline="0" fieldPosition="0"/>
    </format>
    <format dxfId="1281">
      <pivotArea dataOnly="0" labelOnly="1" fieldPosition="0">
        <references count="2">
          <reference field="4" count="1" selected="0">
            <x v="0"/>
          </reference>
          <reference field="5" count="1">
            <x v="1"/>
          </reference>
        </references>
      </pivotArea>
    </format>
    <format dxfId="1280">
      <pivotArea dataOnly="0" labelOnly="1" fieldPosition="0">
        <references count="2">
          <reference field="4" count="1" selected="0">
            <x v="1"/>
          </reference>
          <reference field="5" count="2">
            <x v="0"/>
            <x v="2"/>
          </reference>
        </references>
      </pivotArea>
    </format>
    <format dxfId="1279">
      <pivotArea dataOnly="0" labelOnly="1" outline="0" axis="axisValues" fieldPosition="0"/>
    </format>
    <format dxfId="1278">
      <pivotArea dataOnly="0" labelOnly="1" outline="0" fieldPosition="0">
        <references count="2">
          <reference field="4" count="1" selected="0">
            <x v="0"/>
          </reference>
          <reference field="5" count="1">
            <x v="1"/>
          </reference>
        </references>
      </pivotArea>
    </format>
    <format dxfId="1277">
      <pivotArea field="4" type="button" dataOnly="0" labelOnly="1" outline="0" axis="axisRow" fieldPosition="0"/>
    </format>
    <format dxfId="1276">
      <pivotArea field="5" type="button" dataOnly="0" labelOnly="1" outline="0" axis="axisRow" fieldPosition="1"/>
    </format>
    <format dxfId="1275">
      <pivotArea dataOnly="0" labelOnly="1" outline="0" axis="axisValues" fieldPosition="0"/>
    </format>
    <format dxfId="1274">
      <pivotArea field="4" type="button" dataOnly="0" labelOnly="1" outline="0" axis="axisRow" fieldPosition="0"/>
    </format>
    <format dxfId="1273">
      <pivotArea field="5" type="button" dataOnly="0" labelOnly="1" outline="0" axis="axisRow" fieldPosition="1"/>
    </format>
    <format dxfId="1272">
      <pivotArea dataOnly="0" labelOnly="1" outline="0" axis="axisValues" fieldPosition="0"/>
    </format>
    <format dxfId="1271">
      <pivotArea outline="0" collapsedLevelsAreSubtotals="1" fieldPosition="0"/>
    </format>
    <format dxfId="1270">
      <pivotArea dataOnly="0" labelOnly="1" outline="0" fieldPosition="0">
        <references count="1">
          <reference field="4" count="0"/>
        </references>
      </pivotArea>
    </format>
    <format dxfId="1269">
      <pivotArea dataOnly="0" labelOnly="1" outline="0" fieldPosition="0">
        <references count="2">
          <reference field="4" count="1" selected="0">
            <x v="1"/>
          </reference>
          <reference field="5" count="2">
            <x v="0"/>
            <x v="2"/>
          </reference>
        </references>
      </pivotArea>
    </format>
    <format dxfId="1268">
      <pivotArea dataOnly="0" labelOnly="1" outline="0" fieldPosition="0">
        <references count="2">
          <reference field="4" count="1" selected="0">
            <x v="6"/>
          </reference>
          <reference field="5" count="1">
            <x v="7"/>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839EEE3-59D2-43FA-AC77-786C831B1EF9}" name="PivotTable8" cacheId="14"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compact="0" compactData="0" multipleFieldFilters="0" fieldListSortAscending="1">
  <location ref="AM5:AO9" firstHeaderRow="1" firstDataRow="1" firstDataCol="2"/>
  <pivotFields count="24">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7">
        <item m="1" x="6"/>
        <item x="0"/>
        <item x="1"/>
        <item x="2"/>
        <item m="1" x="4"/>
        <item m="1" x="5"/>
        <item x="3"/>
      </items>
    </pivotField>
    <pivotField axis="axisRow" compact="0" outline="0" showAll="0" defaultSubtotal="0">
      <items count="7">
        <item m="1" x="6"/>
        <item x="1"/>
        <item x="0"/>
        <item x="2"/>
        <item m="1" x="4"/>
        <item m="1" x="5"/>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4"/>
    <field x="5"/>
  </rowFields>
  <rowItems count="4">
    <i>
      <x v="1"/>
      <x v="2"/>
    </i>
    <i>
      <x v="2"/>
      <x v="1"/>
    </i>
    <i>
      <x v="3"/>
      <x v="3"/>
    </i>
    <i>
      <x v="6"/>
      <x v="6"/>
    </i>
  </rowItems>
  <colItems count="1">
    <i/>
  </colItems>
  <dataFields count="1">
    <dataField name=" LC Amt(SAR)" fld="13" baseField="0" baseItem="0"/>
  </dataFields>
  <formats count="7">
    <format dxfId="1300">
      <pivotArea type="all" dataOnly="0" outline="0" fieldPosition="0"/>
    </format>
    <format dxfId="1299">
      <pivotArea field="4" type="button" dataOnly="0" labelOnly="1" outline="0" axis="axisRow" fieldPosition="0"/>
    </format>
    <format dxfId="1298">
      <pivotArea dataOnly="0" labelOnly="1" fieldPosition="0">
        <references count="1">
          <reference field="4" count="0"/>
        </references>
      </pivotArea>
    </format>
    <format dxfId="1297">
      <pivotArea dataOnly="0" labelOnly="1" grandRow="1" outline="0" fieldPosition="0"/>
    </format>
    <format dxfId="1296">
      <pivotArea dataOnly="0" labelOnly="1" fieldPosition="0">
        <references count="2">
          <reference field="4" count="1" selected="0">
            <x v="0"/>
          </reference>
          <reference field="5" count="1">
            <x v="0"/>
          </reference>
        </references>
      </pivotArea>
    </format>
    <format dxfId="1295">
      <pivotArea dataOnly="0" labelOnly="1" fieldPosition="0">
        <references count="2">
          <reference field="4" count="1" selected="0">
            <x v="1"/>
          </reference>
          <reference field="5" count="1">
            <x v="2"/>
          </reference>
        </references>
      </pivotArea>
    </format>
    <format dxfId="1294">
      <pivotArea dataOnly="0" labelOnly="1" fieldPosition="0">
        <references count="2">
          <reference field="4" count="1" selected="0">
            <x v="2"/>
          </reference>
          <reference field="5" count="1">
            <x v="1"/>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A6032CF-6567-44BE-BB22-C76F7B9E3236}" name="PivotTable5" cacheId="7" applyNumberFormats="0" applyBorderFormats="0" applyFontFormats="0" applyPatternFormats="0" applyAlignmentFormats="0" applyWidthHeightFormats="1" dataCaption="Values" missingCaption="0" updatedVersion="8" minRefreshableVersion="3" showDrill="0" itemPrintTitles="1" createdVersion="8" indent="0" compact="0" compactData="0" multipleFieldFilters="0" fieldListSortAscending="1">
  <location ref="T22:AS39" firstHeaderRow="1" firstDataRow="3" firstDataCol="2"/>
  <pivotFields count="35">
    <pivotField compact="0" outline="0" showAll="0" defaultSubtotal="0"/>
    <pivotField compact="0" outline="0" showAll="0" defaultSubtotal="0"/>
    <pivotField compact="0" outline="0" showAll="0" defaultSubtotal="0">
      <items count="10">
        <item x="7"/>
        <item x="6"/>
        <item x="1"/>
        <item x="0"/>
        <item m="1" x="9"/>
        <item x="4"/>
        <item x="2"/>
        <item x="3"/>
        <item x="8"/>
        <item x="5"/>
      </items>
    </pivotField>
    <pivotField compact="0" outline="0" showAll="0" defaultSubtotal="0"/>
    <pivotField axis="axisRow" compact="0" outline="0" showAll="0" defaultSubtotal="0">
      <items count="13">
        <item x="11"/>
        <item x="4"/>
        <item x="7"/>
        <item x="9"/>
        <item x="1"/>
        <item x="8"/>
        <item x="10"/>
        <item x="0"/>
        <item x="6"/>
        <item x="3"/>
        <item x="2"/>
        <item x="5"/>
        <item m="1" x="1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ubtotalTop="0" showAll="0" defaultSubtotal="0"/>
    <pivotField compact="0" outline="0" showAll="0" defaultSubtotal="0">
      <items count="31">
        <item x="1"/>
        <item x="10"/>
        <item x="9"/>
        <item x="6"/>
        <item x="25"/>
        <item x="23"/>
        <item x="13"/>
        <item x="8"/>
        <item x="20"/>
        <item x="11"/>
        <item x="16"/>
        <item x="14"/>
        <item x="22"/>
        <item x="24"/>
        <item x="15"/>
        <item x="0"/>
        <item x="5"/>
        <item x="19"/>
        <item x="4"/>
        <item x="3"/>
        <item x="21"/>
        <item x="17"/>
        <item x="26"/>
        <item x="2"/>
        <item x="12"/>
        <item x="27"/>
        <item x="28"/>
        <item x="7"/>
        <item x="18"/>
        <item x="29"/>
        <item x="30"/>
      </items>
    </pivotField>
    <pivotField axis="axisRow" compact="0" outline="0" showAll="0" defaultSubtotal="0">
      <items count="7">
        <item x="1"/>
        <item m="1" x="6"/>
        <item x="3"/>
        <item x="4"/>
        <item x="0"/>
        <item x="2"/>
        <item x="5"/>
      </items>
    </pivotField>
    <pivotField compact="0" outline="0" showAll="0" defaultSubtotal="0"/>
    <pivotField compact="0" outline="0" showAll="0" defaultSubtotal="0"/>
    <pivotField compact="0" outline="0" subtotalTop="0" showAll="0" defaultSubtotal="0"/>
    <pivotField compact="0" outline="0" showAll="0" sortType="ascending" defaultSubtotal="0">
      <items count="34">
        <item x="21"/>
        <item x="7"/>
        <item x="9"/>
        <item x="27"/>
        <item x="28"/>
        <item x="5"/>
        <item x="20"/>
        <item x="11"/>
        <item x="17"/>
        <item x="29"/>
        <item x="1"/>
        <item x="12"/>
        <item x="14"/>
        <item x="2"/>
        <item x="19"/>
        <item x="23"/>
        <item x="13"/>
        <item x="30"/>
        <item x="33"/>
        <item x="3"/>
        <item x="25"/>
        <item x="0"/>
        <item x="26"/>
        <item x="10"/>
        <item x="8"/>
        <item x="31"/>
        <item x="24"/>
        <item x="4"/>
        <item x="18"/>
        <item x="32"/>
        <item x="22"/>
        <item x="16"/>
        <item x="6"/>
        <item x="15"/>
      </items>
    </pivotField>
    <pivotField axis="axisCol" compact="0" outline="0" showAll="0" sortType="ascending" defaultSubtotal="0">
      <items count="23">
        <item x="14"/>
        <item x="7"/>
        <item x="18"/>
        <item x="19"/>
        <item x="5"/>
        <item x="1"/>
        <item x="11"/>
        <item x="2"/>
        <item x="10"/>
        <item x="22"/>
        <item x="3"/>
        <item x="0"/>
        <item x="17"/>
        <item x="9"/>
        <item x="8"/>
        <item x="20"/>
        <item x="16"/>
        <item x="4"/>
        <item x="21"/>
        <item x="15"/>
        <item x="13"/>
        <item x="6"/>
        <item x="12"/>
      </items>
    </pivotField>
    <pivotField axis="axisCol" compact="0" outline="0" showAll="0" defaultSubtotal="0">
      <items count="23">
        <item x="1"/>
        <item x="9"/>
        <item x="10"/>
        <item x="7"/>
        <item x="17"/>
        <item x="13"/>
        <item x="18"/>
        <item x="5"/>
        <item x="0"/>
        <item x="19"/>
        <item x="4"/>
        <item x="6"/>
        <item x="3"/>
        <item x="16"/>
        <item x="14"/>
        <item x="11"/>
        <item x="2"/>
        <item x="12"/>
        <item x="20"/>
        <item x="8"/>
        <item x="15"/>
        <item x="21"/>
        <item x="22"/>
      </items>
    </pivotField>
    <pivotField compact="0" outline="0" showAll="0" defaultSubtotal="0">
      <items count="14">
        <item sd="0" x="0"/>
        <item sd="0" x="1"/>
        <item sd="0" x="2"/>
        <item sd="0" x="3"/>
        <item sd="0" x="4"/>
        <item sd="0" x="5"/>
        <item sd="0" x="6"/>
        <item sd="0" x="7"/>
        <item sd="0" x="8"/>
        <item sd="0" x="9"/>
        <item sd="0" x="10"/>
        <item sd="0" x="11"/>
        <item sd="0" x="12"/>
        <item sd="0" x="13"/>
      </items>
    </pivotField>
    <pivotField compact="0" outline="0" showAll="0" defaultSubtotal="0">
      <items count="6">
        <item sd="0" x="1"/>
        <item sd="0" x="2"/>
        <item sd="0" x="3"/>
        <item sd="0" x="4"/>
        <item x="5"/>
        <item x="0"/>
      </items>
    </pivotField>
    <pivotField compact="0" outline="0" showAll="0" defaultSubtotal="0">
      <items count="4">
        <item sd="0" x="1"/>
        <item x="2"/>
        <item x="3"/>
        <item x="0"/>
      </items>
    </pivotField>
    <pivotField compact="0" outline="0" showAll="0" defaultSubtotal="0">
      <items count="14">
        <item sd="0" x="0"/>
        <item sd="0" x="1"/>
        <item sd="0" x="2"/>
        <item sd="0" x="3"/>
        <item sd="0" x="4"/>
        <item sd="0" x="5"/>
        <item sd="0" x="6"/>
        <item sd="0" x="7"/>
        <item sd="0" x="8"/>
        <item sd="0" x="9"/>
        <item sd="0" x="10"/>
        <item sd="0" x="11"/>
        <item sd="0" x="12"/>
        <item sd="0" x="13"/>
      </items>
    </pivotField>
    <pivotField compact="0" outline="0" showAll="0" defaultSubtotal="0">
      <items count="6">
        <item sd="0" x="1"/>
        <item sd="0" x="2"/>
        <item sd="0" x="3"/>
        <item sd="0" x="4"/>
        <item x="5"/>
        <item x="0"/>
      </items>
    </pivotField>
    <pivotField compact="0" outline="0" showAll="0" defaultSubtotal="0">
      <items count="4">
        <item sd="0" x="1"/>
        <item x="2"/>
        <item x="3"/>
        <item x="0"/>
      </items>
    </pivotField>
    <pivotField compact="0" outline="0" subtotalTop="0" showAll="0" defaultSubtotal="0">
      <items count="14">
        <item sd="0" x="0"/>
        <item sd="0" x="1"/>
        <item sd="0" x="2"/>
        <item sd="0" x="3"/>
        <item sd="0" x="4"/>
        <item sd="0" x="5"/>
        <item sd="0" x="6"/>
        <item sd="0" x="7"/>
        <item sd="0" x="8"/>
        <item sd="0" x="9"/>
        <item sd="0" x="10"/>
        <item sd="0" x="11"/>
        <item sd="0" x="12"/>
        <item sd="0" x="13"/>
      </items>
    </pivotField>
    <pivotField compact="0" outline="0" subtotalTop="0" showAll="0" defaultSubtotal="0">
      <items count="6">
        <item sd="0" x="1"/>
        <item sd="0" x="2"/>
        <item sd="0" x="3"/>
        <item sd="0" x="4"/>
        <item x="5"/>
        <item x="0"/>
      </items>
    </pivotField>
    <pivotField compact="0" outline="0" subtotalTop="0" showAll="0" defaultSubtotal="0">
      <items count="4">
        <item sd="0" x="1"/>
        <item x="2"/>
        <item x="3"/>
        <item x="0"/>
      </items>
    </pivotField>
    <pivotField compact="0" outline="0" subtotalTop="0" showAll="0" defaultSubtotal="0">
      <items count="14">
        <item x="0"/>
        <item x="1"/>
        <item x="2"/>
        <item x="3"/>
        <item x="4"/>
        <item x="5"/>
        <item x="6"/>
        <item x="7"/>
        <item x="8"/>
        <item x="9"/>
        <item x="10"/>
        <item x="11"/>
        <item x="12"/>
        <item x="13"/>
      </items>
    </pivotField>
    <pivotField compact="0" outline="0" subtotalTop="0" showAll="0" defaultSubtotal="0">
      <items count="6">
        <item x="1"/>
        <item x="2"/>
        <item x="3"/>
        <item x="4"/>
        <item x="5"/>
        <item x="0"/>
      </items>
    </pivotField>
    <pivotField compact="0" outline="0" subtotalTop="0" showAll="0" defaultSubtotal="0">
      <items count="4">
        <item x="1"/>
        <item x="2"/>
        <item x="3"/>
        <item x="0"/>
      </items>
    </pivotField>
  </pivotFields>
  <rowFields count="2">
    <field x="16"/>
    <field x="4"/>
  </rowFields>
  <rowItems count="15">
    <i>
      <x/>
      <x v="1"/>
    </i>
    <i r="1">
      <x v="3"/>
    </i>
    <i r="1">
      <x v="4"/>
    </i>
    <i r="1">
      <x v="10"/>
    </i>
    <i>
      <x v="2"/>
      <x v="11"/>
    </i>
    <i>
      <x v="3"/>
      <x v="5"/>
    </i>
    <i r="1">
      <x v="8"/>
    </i>
    <i>
      <x v="4"/>
      <x/>
    </i>
    <i r="1">
      <x v="2"/>
    </i>
    <i r="1">
      <x v="7"/>
    </i>
    <i>
      <x v="5"/>
      <x v="3"/>
    </i>
    <i r="1">
      <x v="9"/>
    </i>
    <i r="1">
      <x v="10"/>
    </i>
    <i>
      <x v="6"/>
      <x v="6"/>
    </i>
    <i t="grand">
      <x/>
    </i>
  </rowItems>
  <colFields count="2">
    <field x="21"/>
    <field x="22"/>
  </colFields>
  <colItems count="24">
    <i>
      <x/>
      <x v="14"/>
    </i>
    <i>
      <x v="1"/>
      <x v="3"/>
    </i>
    <i>
      <x v="2"/>
      <x v="6"/>
    </i>
    <i>
      <x v="3"/>
      <x v="9"/>
    </i>
    <i>
      <x v="4"/>
      <x v="7"/>
    </i>
    <i>
      <x v="5"/>
      <x/>
    </i>
    <i>
      <x v="6"/>
      <x v="15"/>
    </i>
    <i>
      <x v="7"/>
      <x v="16"/>
    </i>
    <i>
      <x v="8"/>
      <x v="2"/>
    </i>
    <i>
      <x v="9"/>
      <x v="22"/>
    </i>
    <i>
      <x v="10"/>
      <x v="12"/>
    </i>
    <i>
      <x v="11"/>
      <x v="8"/>
    </i>
    <i>
      <x v="12"/>
      <x v="4"/>
    </i>
    <i>
      <x v="13"/>
      <x v="1"/>
    </i>
    <i>
      <x v="14"/>
      <x v="19"/>
    </i>
    <i>
      <x v="15"/>
      <x v="18"/>
    </i>
    <i>
      <x v="16"/>
      <x v="13"/>
    </i>
    <i>
      <x v="17"/>
      <x v="10"/>
    </i>
    <i>
      <x v="18"/>
      <x v="21"/>
    </i>
    <i>
      <x v="19"/>
      <x v="20"/>
    </i>
    <i>
      <x v="20"/>
      <x v="5"/>
    </i>
    <i>
      <x v="21"/>
      <x v="11"/>
    </i>
    <i>
      <x v="22"/>
      <x v="17"/>
    </i>
    <i t="grand">
      <x/>
    </i>
  </colItems>
  <dataFields count="1">
    <dataField name="Sum of LC Balance" fld="12" baseField="18" baseItem="0" numFmtId="4"/>
  </dataFields>
  <formats count="105">
    <format dxfId="1405">
      <pivotArea type="origin" dataOnly="0" labelOnly="1" outline="0" fieldPosition="0"/>
    </format>
    <format dxfId="1404">
      <pivotArea field="16" type="button" dataOnly="0" labelOnly="1" outline="0" axis="axisRow" fieldPosition="0"/>
    </format>
    <format dxfId="1403">
      <pivotArea field="2" type="button" dataOnly="0" labelOnly="1" outline="0"/>
    </format>
    <format dxfId="1402">
      <pivotArea type="topRight" dataOnly="0" labelOnly="1" outline="0" fieldPosition="0"/>
    </format>
    <format dxfId="1401">
      <pivotArea field="21" type="button" dataOnly="0" labelOnly="1" outline="0" axis="axisCol" fieldPosition="0"/>
    </format>
    <format dxfId="1400">
      <pivotArea field="22" type="button" dataOnly="0" labelOnly="1" outline="0" axis="axisCol" fieldPosition="1"/>
    </format>
    <format dxfId="1399">
      <pivotArea dataOnly="0" labelOnly="1" outline="0" fieldPosition="0">
        <references count="1">
          <reference field="16" count="0"/>
        </references>
      </pivotArea>
    </format>
    <format dxfId="1398">
      <pivotArea grandRow="1" outline="0" collapsedLevelsAreSubtotals="1" fieldPosition="0"/>
    </format>
    <format dxfId="1397">
      <pivotArea dataOnly="0" labelOnly="1" grandRow="1" outline="0" fieldPosition="0"/>
    </format>
    <format dxfId="1396">
      <pivotArea outline="0" fieldPosition="0">
        <references count="1">
          <reference field="4294967294" count="1">
            <x v="0"/>
          </reference>
        </references>
      </pivotArea>
    </format>
    <format dxfId="1395">
      <pivotArea type="all" dataOnly="0" outline="0" fieldPosition="0"/>
    </format>
    <format dxfId="1394">
      <pivotArea outline="0" collapsedLevelsAreSubtotals="1" fieldPosition="0"/>
    </format>
    <format dxfId="1393">
      <pivotArea type="origin" dataOnly="0" labelOnly="1" outline="0" fieldPosition="0"/>
    </format>
    <format dxfId="1392">
      <pivotArea field="16" type="button" dataOnly="0" labelOnly="1" outline="0" axis="axisRow" fieldPosition="0"/>
    </format>
    <format dxfId="1391">
      <pivotArea field="2" type="button" dataOnly="0" labelOnly="1" outline="0"/>
    </format>
    <format dxfId="1390">
      <pivotArea type="topRight" dataOnly="0" labelOnly="1" outline="0" fieldPosition="0"/>
    </format>
    <format dxfId="1389">
      <pivotArea field="21" type="button" dataOnly="0" labelOnly="1" outline="0" axis="axisCol" fieldPosition="0"/>
    </format>
    <format dxfId="1388">
      <pivotArea field="22" type="button" dataOnly="0" labelOnly="1" outline="0" axis="axisCol" fieldPosition="1"/>
    </format>
    <format dxfId="1387">
      <pivotArea dataOnly="0" labelOnly="1" grandRow="1" outline="0" fieldPosition="0"/>
    </format>
    <format dxfId="1386">
      <pivotArea dataOnly="0" labelOnly="1" outline="0" fieldPosition="0">
        <references count="1">
          <reference field="16" count="0"/>
        </references>
      </pivotArea>
    </format>
    <format dxfId="1385">
      <pivotArea dataOnly="0" labelOnly="1" grandCol="1" outline="0" fieldPosition="0"/>
    </format>
    <format dxfId="1384">
      <pivotArea dataOnly="0" labelOnly="1" grandCol="1" outline="0" fieldPosition="0"/>
    </format>
    <format dxfId="1383">
      <pivotArea field="20" type="button" dataOnly="0" labelOnly="1" outline="0"/>
    </format>
    <format dxfId="1382">
      <pivotArea outline="0" fieldPosition="0">
        <references count="2">
          <reference field="21" count="0" selected="0"/>
          <reference field="22" count="0" selected="0"/>
        </references>
      </pivotArea>
    </format>
    <format dxfId="1381">
      <pivotArea dataOnly="0" labelOnly="1" outline="0" fieldPosition="0">
        <references count="2">
          <reference field="21" count="1" selected="0">
            <x v="5"/>
          </reference>
          <reference field="22" count="1">
            <x v="0"/>
          </reference>
        </references>
      </pivotArea>
    </format>
    <format dxfId="1380">
      <pivotArea grandCol="1" outline="0" collapsedLevelsAreSubtotals="1" fieldPosition="0"/>
    </format>
    <format dxfId="1379">
      <pivotArea dataOnly="0" labelOnly="1" grandRow="1" outline="0" fieldPosition="0"/>
    </format>
    <format dxfId="1378">
      <pivotArea field="21" type="button" dataOnly="0" labelOnly="1" outline="0" axis="axisCol" fieldPosition="0"/>
    </format>
    <format dxfId="1377">
      <pivotArea dataOnly="0" labelOnly="1" outline="0" fieldPosition="0">
        <references count="1">
          <reference field="21" count="0"/>
        </references>
      </pivotArea>
    </format>
    <format dxfId="1376">
      <pivotArea field="21" type="button" dataOnly="0" labelOnly="1" outline="0" axis="axisCol" fieldPosition="0"/>
    </format>
    <format dxfId="1375">
      <pivotArea dataOnly="0" labelOnly="1" outline="0" fieldPosition="0">
        <references count="1">
          <reference field="21" count="0"/>
        </references>
      </pivotArea>
    </format>
    <format dxfId="1374">
      <pivotArea dataOnly="0" labelOnly="1" outline="0" fieldPosition="0">
        <references count="2">
          <reference field="21" count="1" selected="0">
            <x v="1"/>
          </reference>
          <reference field="22" count="1">
            <x v="3"/>
          </reference>
        </references>
      </pivotArea>
    </format>
    <format dxfId="1373">
      <pivotArea dataOnly="0" labelOnly="1" outline="0" fieldPosition="0">
        <references count="2">
          <reference field="21" count="1" selected="0">
            <x v="5"/>
          </reference>
          <reference field="22" count="1">
            <x v="0"/>
          </reference>
        </references>
      </pivotArea>
    </format>
    <format dxfId="1372">
      <pivotArea dataOnly="0" labelOnly="1" outline="0" fieldPosition="0">
        <references count="2">
          <reference field="4" count="4">
            <x v="1"/>
            <x v="3"/>
            <x v="4"/>
            <x v="10"/>
          </reference>
          <reference field="16" count="1" selected="0">
            <x v="0"/>
          </reference>
        </references>
      </pivotArea>
    </format>
    <format dxfId="1371">
      <pivotArea dataOnly="0" labelOnly="1" outline="0" fieldPosition="0">
        <references count="2">
          <reference field="4" count="1">
            <x v="10"/>
          </reference>
          <reference field="16" count="1" selected="0">
            <x v="1"/>
          </reference>
        </references>
      </pivotArea>
    </format>
    <format dxfId="1370">
      <pivotArea dataOnly="0" labelOnly="1" outline="0" fieldPosition="0">
        <references count="2">
          <reference field="4" count="1">
            <x v="11"/>
          </reference>
          <reference field="16" count="1" selected="0">
            <x v="2"/>
          </reference>
        </references>
      </pivotArea>
    </format>
    <format dxfId="1369">
      <pivotArea dataOnly="0" labelOnly="1" outline="0" fieldPosition="0">
        <references count="2">
          <reference field="4" count="2">
            <x v="5"/>
            <x v="8"/>
          </reference>
          <reference field="16" count="1" selected="0">
            <x v="3"/>
          </reference>
        </references>
      </pivotArea>
    </format>
    <format dxfId="1368">
      <pivotArea dataOnly="0" labelOnly="1" outline="0" fieldPosition="0">
        <references count="2">
          <reference field="4" count="3">
            <x v="0"/>
            <x v="2"/>
            <x v="7"/>
          </reference>
          <reference field="16" count="1" selected="0">
            <x v="4"/>
          </reference>
        </references>
      </pivotArea>
    </format>
    <format dxfId="1367">
      <pivotArea dataOnly="0" labelOnly="1" outline="0" fieldPosition="0">
        <references count="2">
          <reference field="4" count="4">
            <x v="3"/>
            <x v="8"/>
            <x v="9"/>
            <x v="10"/>
          </reference>
          <reference field="16" count="1" selected="0">
            <x v="5"/>
          </reference>
        </references>
      </pivotArea>
    </format>
    <format dxfId="1366">
      <pivotArea dataOnly="0" labelOnly="1" outline="0" fieldPosition="0">
        <references count="2">
          <reference field="4" count="1">
            <x v="6"/>
          </reference>
          <reference field="16" count="1" selected="0">
            <x v="6"/>
          </reference>
        </references>
      </pivotArea>
    </format>
    <format dxfId="1365">
      <pivotArea dataOnly="0" labelOnly="1" outline="0" fieldPosition="0">
        <references count="2">
          <reference field="4" count="4">
            <x v="1"/>
            <x v="3"/>
            <x v="4"/>
            <x v="10"/>
          </reference>
          <reference field="16" count="1" selected="0">
            <x v="0"/>
          </reference>
        </references>
      </pivotArea>
    </format>
    <format dxfId="1364">
      <pivotArea dataOnly="0" labelOnly="1" outline="0" fieldPosition="0">
        <references count="2">
          <reference field="4" count="1">
            <x v="10"/>
          </reference>
          <reference field="16" count="1" selected="0">
            <x v="1"/>
          </reference>
        </references>
      </pivotArea>
    </format>
    <format dxfId="1363">
      <pivotArea dataOnly="0" labelOnly="1" outline="0" fieldPosition="0">
        <references count="2">
          <reference field="4" count="1">
            <x v="11"/>
          </reference>
          <reference field="16" count="1" selected="0">
            <x v="2"/>
          </reference>
        </references>
      </pivotArea>
    </format>
    <format dxfId="1362">
      <pivotArea dataOnly="0" labelOnly="1" outline="0" fieldPosition="0">
        <references count="2">
          <reference field="4" count="2">
            <x v="5"/>
            <x v="8"/>
          </reference>
          <reference field="16" count="1" selected="0">
            <x v="3"/>
          </reference>
        </references>
      </pivotArea>
    </format>
    <format dxfId="1361">
      <pivotArea dataOnly="0" labelOnly="1" outline="0" fieldPosition="0">
        <references count="2">
          <reference field="4" count="3">
            <x v="0"/>
            <x v="2"/>
            <x v="7"/>
          </reference>
          <reference field="16" count="1" selected="0">
            <x v="4"/>
          </reference>
        </references>
      </pivotArea>
    </format>
    <format dxfId="1360">
      <pivotArea dataOnly="0" labelOnly="1" outline="0" fieldPosition="0">
        <references count="2">
          <reference field="4" count="4">
            <x v="3"/>
            <x v="8"/>
            <x v="9"/>
            <x v="10"/>
          </reference>
          <reference field="16" count="1" selected="0">
            <x v="5"/>
          </reference>
        </references>
      </pivotArea>
    </format>
    <format dxfId="1359">
      <pivotArea dataOnly="0" labelOnly="1" outline="0" fieldPosition="0">
        <references count="2">
          <reference field="4" count="1">
            <x v="6"/>
          </reference>
          <reference field="16" count="1" selected="0">
            <x v="6"/>
          </reference>
        </references>
      </pivotArea>
    </format>
    <format dxfId="1358">
      <pivotArea field="4" type="button" dataOnly="0" labelOnly="1" outline="0" axis="axisRow" fieldPosition="1"/>
    </format>
    <format dxfId="1357">
      <pivotArea field="4" type="button" dataOnly="0" labelOnly="1" outline="0" axis="axisRow" fieldPosition="1"/>
    </format>
    <format dxfId="1356">
      <pivotArea dataOnly="0" labelOnly="1" outline="0" fieldPosition="0">
        <references count="2">
          <reference field="4" count="1">
            <x v="2"/>
          </reference>
          <reference field="16" count="1" selected="0">
            <x v="0"/>
          </reference>
        </references>
      </pivotArea>
    </format>
    <format dxfId="1355">
      <pivotArea dataOnly="0" labelOnly="1" outline="0" fieldPosition="0">
        <references count="2">
          <reference field="4" count="1">
            <x v="2"/>
          </reference>
          <reference field="16" count="1" selected="0">
            <x v="2"/>
          </reference>
        </references>
      </pivotArea>
    </format>
    <format dxfId="1354">
      <pivotArea dataOnly="0" labelOnly="1" outline="0" fieldPosition="0">
        <references count="2">
          <reference field="4" count="1">
            <x v="2"/>
          </reference>
          <reference field="16" count="1" selected="0">
            <x v="2"/>
          </reference>
        </references>
      </pivotArea>
    </format>
    <format dxfId="1353">
      <pivotArea dataOnly="0" labelOnly="1" outline="0" fieldPosition="0">
        <references count="2">
          <reference field="4" count="1">
            <x v="1"/>
          </reference>
          <reference field="16" count="1" selected="0">
            <x v="0"/>
          </reference>
        </references>
      </pivotArea>
    </format>
    <format dxfId="1352">
      <pivotArea dataOnly="0" labelOnly="1" outline="0" fieldPosition="0">
        <references count="2">
          <reference field="4" count="4">
            <x v="2"/>
            <x v="3"/>
            <x v="4"/>
            <x v="10"/>
          </reference>
          <reference field="16" count="1" selected="0">
            <x v="0"/>
          </reference>
        </references>
      </pivotArea>
    </format>
    <format dxfId="1351">
      <pivotArea dataOnly="0" labelOnly="1" outline="0" fieldPosition="0">
        <references count="2">
          <reference field="4" count="1">
            <x v="10"/>
          </reference>
          <reference field="16" count="1" selected="0">
            <x v="1"/>
          </reference>
        </references>
      </pivotArea>
    </format>
    <format dxfId="1350">
      <pivotArea dataOnly="0" labelOnly="1" outline="0" fieldPosition="0">
        <references count="2">
          <reference field="4" count="2">
            <x v="2"/>
            <x v="11"/>
          </reference>
          <reference field="16" count="1" selected="0">
            <x v="2"/>
          </reference>
        </references>
      </pivotArea>
    </format>
    <format dxfId="1349">
      <pivotArea dataOnly="0" labelOnly="1" outline="0" fieldPosition="0">
        <references count="2">
          <reference field="4" count="2">
            <x v="5"/>
            <x v="8"/>
          </reference>
          <reference field="16" count="1" selected="0">
            <x v="3"/>
          </reference>
        </references>
      </pivotArea>
    </format>
    <format dxfId="1348">
      <pivotArea dataOnly="0" labelOnly="1" outline="0" fieldPosition="0">
        <references count="2">
          <reference field="4" count="3">
            <x v="0"/>
            <x v="2"/>
            <x v="7"/>
          </reference>
          <reference field="16" count="1" selected="0">
            <x v="4"/>
          </reference>
        </references>
      </pivotArea>
    </format>
    <format dxfId="1347">
      <pivotArea dataOnly="0" labelOnly="1" outline="0" fieldPosition="0">
        <references count="2">
          <reference field="4" count="3">
            <x v="3"/>
            <x v="9"/>
            <x v="10"/>
          </reference>
          <reference field="16" count="1" selected="0">
            <x v="5"/>
          </reference>
        </references>
      </pivotArea>
    </format>
    <format dxfId="1346">
      <pivotArea dataOnly="0" labelOnly="1" outline="0" fieldPosition="0">
        <references count="2">
          <reference field="4" count="1">
            <x v="6"/>
          </reference>
          <reference field="16" count="1" selected="0">
            <x v="6"/>
          </reference>
        </references>
      </pivotArea>
    </format>
    <format dxfId="1345">
      <pivotArea dataOnly="0" labelOnly="1" outline="0" fieldPosition="0">
        <references count="2">
          <reference field="4" count="5">
            <x v="1"/>
            <x v="2"/>
            <x v="3"/>
            <x v="4"/>
            <x v="10"/>
          </reference>
          <reference field="16" count="1" selected="0">
            <x v="0"/>
          </reference>
        </references>
      </pivotArea>
    </format>
    <format dxfId="1344">
      <pivotArea dataOnly="0" labelOnly="1" outline="0" fieldPosition="0">
        <references count="2">
          <reference field="4" count="1">
            <x v="10"/>
          </reference>
          <reference field="16" count="1" selected="0">
            <x v="1"/>
          </reference>
        </references>
      </pivotArea>
    </format>
    <format dxfId="1343">
      <pivotArea dataOnly="0" labelOnly="1" outline="0" fieldPosition="0">
        <references count="2">
          <reference field="4" count="2">
            <x v="2"/>
            <x v="11"/>
          </reference>
          <reference field="16" count="1" selected="0">
            <x v="2"/>
          </reference>
        </references>
      </pivotArea>
    </format>
    <format dxfId="1342">
      <pivotArea dataOnly="0" labelOnly="1" outline="0" fieldPosition="0">
        <references count="2">
          <reference field="4" count="2">
            <x v="5"/>
            <x v="8"/>
          </reference>
          <reference field="16" count="1" selected="0">
            <x v="3"/>
          </reference>
        </references>
      </pivotArea>
    </format>
    <format dxfId="1341">
      <pivotArea dataOnly="0" labelOnly="1" outline="0" fieldPosition="0">
        <references count="2">
          <reference field="4" count="3">
            <x v="0"/>
            <x v="2"/>
            <x v="7"/>
          </reference>
          <reference field="16" count="1" selected="0">
            <x v="4"/>
          </reference>
        </references>
      </pivotArea>
    </format>
    <format dxfId="1340">
      <pivotArea dataOnly="0" labelOnly="1" outline="0" fieldPosition="0">
        <references count="2">
          <reference field="4" count="3">
            <x v="3"/>
            <x v="9"/>
            <x v="10"/>
          </reference>
          <reference field="16" count="1" selected="0">
            <x v="5"/>
          </reference>
        </references>
      </pivotArea>
    </format>
    <format dxfId="1339">
      <pivotArea dataOnly="0" labelOnly="1" outline="0" fieldPosition="0">
        <references count="2">
          <reference field="4" count="1">
            <x v="6"/>
          </reference>
          <reference field="16" count="1" selected="0">
            <x v="6"/>
          </reference>
        </references>
      </pivotArea>
    </format>
    <format dxfId="1338">
      <pivotArea dataOnly="0" labelOnly="1" outline="0" fieldPosition="0">
        <references count="2">
          <reference field="4" count="1">
            <x v="5"/>
          </reference>
          <reference field="16" count="1" selected="0">
            <x v="5"/>
          </reference>
        </references>
      </pivotArea>
    </format>
    <format dxfId="1337">
      <pivotArea dataOnly="0" labelOnly="1" outline="0" fieldPosition="0">
        <references count="2">
          <reference field="4" count="1">
            <x v="5"/>
          </reference>
          <reference field="16" count="1" selected="0">
            <x v="5"/>
          </reference>
        </references>
      </pivotArea>
    </format>
    <format dxfId="1336">
      <pivotArea dataOnly="0" labelOnly="1" outline="0" fieldPosition="0">
        <references count="2">
          <reference field="4" count="1">
            <x v="5"/>
          </reference>
          <reference field="16" count="1" selected="0">
            <x v="5"/>
          </reference>
        </references>
      </pivotArea>
    </format>
    <format dxfId="1335">
      <pivotArea dataOnly="0" labelOnly="1" outline="0" fieldPosition="0">
        <references count="1">
          <reference field="21" count="0"/>
        </references>
      </pivotArea>
    </format>
    <format dxfId="1334">
      <pivotArea dataOnly="0" labelOnly="1" outline="0" fieldPosition="0">
        <references count="2">
          <reference field="21" count="1" selected="0">
            <x v="1"/>
          </reference>
          <reference field="22" count="1">
            <x v="3"/>
          </reference>
        </references>
      </pivotArea>
    </format>
    <format dxfId="1333">
      <pivotArea dataOnly="0" labelOnly="1" outline="0" fieldPosition="0">
        <references count="2">
          <reference field="21" count="1" selected="0">
            <x v="2"/>
          </reference>
          <reference field="22" count="1">
            <x v="6"/>
          </reference>
        </references>
      </pivotArea>
    </format>
    <format dxfId="1332">
      <pivotArea dataOnly="0" labelOnly="1" outline="0" fieldPosition="0">
        <references count="2">
          <reference field="21" count="1" selected="0">
            <x v="3"/>
          </reference>
          <reference field="22" count="1">
            <x v="9"/>
          </reference>
        </references>
      </pivotArea>
    </format>
    <format dxfId="1331">
      <pivotArea dataOnly="0" labelOnly="1" outline="0" fieldPosition="0">
        <references count="2">
          <reference field="21" count="1" selected="0">
            <x v="4"/>
          </reference>
          <reference field="22" count="1">
            <x v="7"/>
          </reference>
        </references>
      </pivotArea>
    </format>
    <format dxfId="1330">
      <pivotArea dataOnly="0" labelOnly="1" outline="0" fieldPosition="0">
        <references count="2">
          <reference field="21" count="1" selected="0">
            <x v="5"/>
          </reference>
          <reference field="22" count="1">
            <x v="0"/>
          </reference>
        </references>
      </pivotArea>
    </format>
    <format dxfId="1329">
      <pivotArea dataOnly="0" labelOnly="1" outline="0" fieldPosition="0">
        <references count="1">
          <reference field="21" count="0"/>
        </references>
      </pivotArea>
    </format>
    <format dxfId="1328">
      <pivotArea dataOnly="0" labelOnly="1" outline="0" fieldPosition="0">
        <references count="2">
          <reference field="21" count="1" selected="0">
            <x v="1"/>
          </reference>
          <reference field="22" count="1">
            <x v="3"/>
          </reference>
        </references>
      </pivotArea>
    </format>
    <format dxfId="1327">
      <pivotArea dataOnly="0" labelOnly="1" outline="0" fieldPosition="0">
        <references count="2">
          <reference field="21" count="1" selected="0">
            <x v="2"/>
          </reference>
          <reference field="22" count="1">
            <x v="6"/>
          </reference>
        </references>
      </pivotArea>
    </format>
    <format dxfId="1326">
      <pivotArea dataOnly="0" labelOnly="1" outline="0" fieldPosition="0">
        <references count="2">
          <reference field="21" count="1" selected="0">
            <x v="3"/>
          </reference>
          <reference field="22" count="1">
            <x v="9"/>
          </reference>
        </references>
      </pivotArea>
    </format>
    <format dxfId="1325">
      <pivotArea dataOnly="0" labelOnly="1" outline="0" fieldPosition="0">
        <references count="2">
          <reference field="21" count="1" selected="0">
            <x v="4"/>
          </reference>
          <reference field="22" count="1">
            <x v="7"/>
          </reference>
        </references>
      </pivotArea>
    </format>
    <format dxfId="1324">
      <pivotArea dataOnly="0" labelOnly="1" outline="0" fieldPosition="0">
        <references count="2">
          <reference field="21" count="1" selected="0">
            <x v="5"/>
          </reference>
          <reference field="22" count="1">
            <x v="0"/>
          </reference>
        </references>
      </pivotArea>
    </format>
    <format dxfId="1323">
      <pivotArea dataOnly="0" labelOnly="1" outline="0" fieldPosition="0">
        <references count="2">
          <reference field="21" count="1" selected="0">
            <x v="2"/>
          </reference>
          <reference field="22" count="1">
            <x v="6"/>
          </reference>
        </references>
      </pivotArea>
    </format>
    <format dxfId="1322">
      <pivotArea dataOnly="0" labelOnly="1" outline="0" fieldPosition="0">
        <references count="2">
          <reference field="21" count="1" selected="0">
            <x v="0"/>
          </reference>
          <reference field="22" count="1">
            <x v="14"/>
          </reference>
        </references>
      </pivotArea>
    </format>
    <format dxfId="1321">
      <pivotArea dataOnly="0" labelOnly="1" outline="0" fieldPosition="0">
        <references count="2">
          <reference field="21" count="1" selected="0">
            <x v="6"/>
          </reference>
          <reference field="22" count="1">
            <x v="15"/>
          </reference>
        </references>
      </pivotArea>
    </format>
    <format dxfId="1320">
      <pivotArea dataOnly="0" labelOnly="1" outline="0" fieldPosition="0">
        <references count="2">
          <reference field="21" count="1" selected="0">
            <x v="7"/>
          </reference>
          <reference field="22" count="1">
            <x v="16"/>
          </reference>
        </references>
      </pivotArea>
    </format>
    <format dxfId="1319">
      <pivotArea dataOnly="0" labelOnly="1" outline="0" fieldPosition="0">
        <references count="2">
          <reference field="21" count="1" selected="0">
            <x v="8"/>
          </reference>
          <reference field="22" count="1">
            <x v="2"/>
          </reference>
        </references>
      </pivotArea>
    </format>
    <format dxfId="1318">
      <pivotArea dataOnly="0" labelOnly="1" outline="0" fieldPosition="0">
        <references count="2">
          <reference field="21" count="1" selected="0">
            <x v="10"/>
          </reference>
          <reference field="22" count="1">
            <x v="12"/>
          </reference>
        </references>
      </pivotArea>
    </format>
    <format dxfId="1317">
      <pivotArea dataOnly="0" labelOnly="1" outline="0" fieldPosition="0">
        <references count="2">
          <reference field="21" count="1" selected="0">
            <x v="11"/>
          </reference>
          <reference field="22" count="1">
            <x v="8"/>
          </reference>
        </references>
      </pivotArea>
    </format>
    <format dxfId="1316">
      <pivotArea dataOnly="0" labelOnly="1" outline="0" fieldPosition="0">
        <references count="2">
          <reference field="21" count="1" selected="0">
            <x v="12"/>
          </reference>
          <reference field="22" count="1">
            <x v="4"/>
          </reference>
        </references>
      </pivotArea>
    </format>
    <format dxfId="1315">
      <pivotArea dataOnly="0" labelOnly="1" outline="0" fieldPosition="0">
        <references count="2">
          <reference field="21" count="1" selected="0">
            <x v="13"/>
          </reference>
          <reference field="22" count="1">
            <x v="1"/>
          </reference>
        </references>
      </pivotArea>
    </format>
    <format dxfId="1314">
      <pivotArea dataOnly="0" labelOnly="1" outline="0" fieldPosition="0">
        <references count="2">
          <reference field="21" count="1" selected="0">
            <x v="16"/>
          </reference>
          <reference field="22" count="1">
            <x v="13"/>
          </reference>
        </references>
      </pivotArea>
    </format>
    <format dxfId="1313">
      <pivotArea dataOnly="0" labelOnly="1" outline="0" fieldPosition="0">
        <references count="2">
          <reference field="21" count="1" selected="0">
            <x v="17"/>
          </reference>
          <reference field="22" count="1">
            <x v="10"/>
          </reference>
        </references>
      </pivotArea>
    </format>
    <format dxfId="1312">
      <pivotArea dataOnly="0" labelOnly="1" outline="0" fieldPosition="0">
        <references count="2">
          <reference field="21" count="1" selected="0">
            <x v="20"/>
          </reference>
          <reference field="22" count="1">
            <x v="5"/>
          </reference>
        </references>
      </pivotArea>
    </format>
    <format dxfId="1311">
      <pivotArea dataOnly="0" labelOnly="1" outline="0" fieldPosition="0">
        <references count="2">
          <reference field="21" count="1" selected="0">
            <x v="21"/>
          </reference>
          <reference field="22" count="1">
            <x v="11"/>
          </reference>
        </references>
      </pivotArea>
    </format>
    <format dxfId="1310">
      <pivotArea dataOnly="0" labelOnly="1" outline="0" fieldPosition="0">
        <references count="2">
          <reference field="21" count="1" selected="0">
            <x v="22"/>
          </reference>
          <reference field="22" count="1">
            <x v="17"/>
          </reference>
        </references>
      </pivotArea>
    </format>
    <format dxfId="1309">
      <pivotArea dataOnly="0" labelOnly="1" outline="0" fieldPosition="0">
        <references count="2">
          <reference field="21" count="1" selected="0">
            <x v="15"/>
          </reference>
          <reference field="22" count="1">
            <x v="18"/>
          </reference>
        </references>
      </pivotArea>
    </format>
    <format dxfId="1308">
      <pivotArea dataOnly="0" labelOnly="1" outline="0" fieldPosition="0">
        <references count="2">
          <reference field="21" count="1" selected="0">
            <x v="4"/>
          </reference>
          <reference field="22" count="1">
            <x v="7"/>
          </reference>
        </references>
      </pivotArea>
    </format>
    <format dxfId="1307">
      <pivotArea dataOnly="0" labelOnly="1" outline="0" fieldPosition="0">
        <references count="2">
          <reference field="21" count="1" selected="0">
            <x v="5"/>
          </reference>
          <reference field="22" count="1">
            <x v="0"/>
          </reference>
        </references>
      </pivotArea>
    </format>
    <format dxfId="1306">
      <pivotArea dataOnly="0" labelOnly="1" outline="0" fieldPosition="0">
        <references count="2">
          <reference field="21" count="1" selected="0">
            <x v="6"/>
          </reference>
          <reference field="22" count="1">
            <x v="15"/>
          </reference>
        </references>
      </pivotArea>
    </format>
    <format dxfId="1305">
      <pivotArea dataOnly="0" labelOnly="1" outline="0" fieldPosition="0">
        <references count="2">
          <reference field="21" count="1" selected="0">
            <x v="3"/>
          </reference>
          <reference field="22" count="1">
            <x v="9"/>
          </reference>
        </references>
      </pivotArea>
    </format>
    <format dxfId="1304">
      <pivotArea dataOnly="0" labelOnly="1" outline="0" fieldPosition="0">
        <references count="2">
          <reference field="21" count="1" selected="0">
            <x v="14"/>
          </reference>
          <reference field="22" count="1">
            <x v="19"/>
          </reference>
        </references>
      </pivotArea>
    </format>
    <format dxfId="1303">
      <pivotArea dataOnly="0" labelOnly="1" outline="0" fieldPosition="0">
        <references count="2">
          <reference field="21" count="1" selected="0">
            <x v="19"/>
          </reference>
          <reference field="22" count="1">
            <x v="20"/>
          </reference>
        </references>
      </pivotArea>
    </format>
    <format dxfId="1302">
      <pivotArea dataOnly="0" labelOnly="1" outline="0" fieldPosition="0">
        <references count="2">
          <reference field="21" count="1" selected="0">
            <x v="9"/>
          </reference>
          <reference field="22" count="1">
            <x v="22"/>
          </reference>
        </references>
      </pivotArea>
    </format>
    <format dxfId="1301">
      <pivotArea dataOnly="0" labelOnly="1" outline="0" fieldPosition="0">
        <references count="2">
          <reference field="21" count="1" selected="0">
            <x v="18"/>
          </reference>
          <reference field="22" count="1">
            <x v="2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CCED67C-433C-43F9-86B8-422A90436B27}" name="PivotTable1" cacheId="4" applyNumberFormats="0" applyBorderFormats="0" applyFontFormats="0" applyPatternFormats="0" applyAlignmentFormats="0" applyWidthHeightFormats="1" dataCaption="Values" missingCaption="0" updatedVersion="8" minRefreshableVersion="3" showDrill="0" itemPrintTitles="1" createdVersion="8" indent="0" compact="0" compactData="0" multipleFieldFilters="0">
  <location ref="A22:O38" firstHeaderRow="1" firstDataRow="3" firstDataCol="2"/>
  <pivotFields count="23">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axis="axisRow" compact="0" outline="0" subtotalTop="0" showAll="0" defaultSubtotal="0">
      <items count="7">
        <item x="2"/>
        <item m="1" x="6"/>
        <item x="3"/>
        <item x="4"/>
        <item x="1"/>
        <item x="0"/>
        <item x="5"/>
      </items>
    </pivotField>
    <pivotField compact="0" outline="0" subtotalTop="0" showAll="0" defaultSubtotal="0">
      <items count="10">
        <item m="1" x="8"/>
        <item x="2"/>
        <item m="1" x="9"/>
        <item x="4"/>
        <item x="1"/>
        <item x="3"/>
        <item x="0"/>
        <item m="1" x="7"/>
        <item x="5"/>
        <item x="6"/>
      </items>
    </pivotField>
    <pivotField compact="0" outline="0" subtotalTop="0" showAll="0" defaultSubtotal="0"/>
    <pivotField compact="0" outline="0" subtotalTop="0" showAll="0" defaultSubtotal="0"/>
    <pivotField compact="0" outline="0" subtotalTop="0" showAll="0" defaultSubtotal="0"/>
    <pivotField axis="axisRow" compact="0" outline="0" subtotalTop="0" showAll="0" defaultSubtotal="0">
      <items count="17">
        <item x="0"/>
        <item x="4"/>
        <item x="10"/>
        <item x="9"/>
        <item m="1" x="12"/>
        <item x="3"/>
        <item m="1" x="15"/>
        <item m="1" x="16"/>
        <item x="5"/>
        <item x="7"/>
        <item x="6"/>
        <item x="1"/>
        <item x="2"/>
        <item m="1" x="14"/>
        <item m="1" x="13"/>
        <item x="8"/>
        <item m="1" x="11"/>
      </items>
    </pivotField>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axis="axisCol" compact="0" numFmtId="167" outline="0" subtotalTop="0" showAll="0" sortType="ascending" defaultSubtotal="0">
      <items count="12">
        <item x="0"/>
        <item x="1"/>
        <item x="2"/>
        <item x="3"/>
        <item x="4"/>
        <item x="5"/>
        <item x="6"/>
        <item x="7"/>
        <item x="8"/>
        <item x="9"/>
        <item x="10"/>
        <item x="11"/>
      </items>
    </pivotField>
    <pivotField axis="axisCol" compact="0" numFmtId="167" outline="0" subtotalTop="0" showAll="0" defaultSubtotal="0">
      <items count="12">
        <item x="3"/>
        <item x="1"/>
        <item x="6"/>
        <item x="2"/>
        <item x="4"/>
        <item x="5"/>
        <item x="10"/>
        <item x="9"/>
        <item x="0"/>
        <item x="7"/>
        <item x="11"/>
        <item x="8"/>
      </items>
    </pivotField>
  </pivotFields>
  <rowFields count="2">
    <field x="5"/>
    <field x="10"/>
  </rowFields>
  <rowItems count="14">
    <i>
      <x/>
      <x v="1"/>
    </i>
    <i r="1">
      <x v="2"/>
    </i>
    <i r="1">
      <x v="3"/>
    </i>
    <i r="1">
      <x v="8"/>
    </i>
    <i r="1">
      <x v="12"/>
    </i>
    <i>
      <x v="2"/>
      <x v="1"/>
    </i>
    <i r="1">
      <x v="9"/>
    </i>
    <i>
      <x v="3"/>
      <x v="10"/>
    </i>
    <i>
      <x v="4"/>
      <x v="11"/>
    </i>
    <i>
      <x v="5"/>
      <x/>
    </i>
    <i r="1">
      <x v="1"/>
    </i>
    <i r="1">
      <x v="5"/>
    </i>
    <i>
      <x v="6"/>
      <x v="15"/>
    </i>
    <i t="grand">
      <x/>
    </i>
  </rowItems>
  <colFields count="2">
    <field x="21"/>
    <field x="22"/>
  </colFields>
  <colItems count="13">
    <i>
      <x/>
      <x v="8"/>
    </i>
    <i>
      <x v="1"/>
      <x v="1"/>
    </i>
    <i>
      <x v="2"/>
      <x v="3"/>
    </i>
    <i>
      <x v="3"/>
      <x/>
    </i>
    <i>
      <x v="4"/>
      <x v="4"/>
    </i>
    <i>
      <x v="5"/>
      <x v="5"/>
    </i>
    <i>
      <x v="6"/>
      <x v="2"/>
    </i>
    <i>
      <x v="7"/>
      <x v="9"/>
    </i>
    <i>
      <x v="8"/>
      <x v="11"/>
    </i>
    <i>
      <x v="9"/>
      <x v="7"/>
    </i>
    <i>
      <x v="10"/>
      <x v="6"/>
    </i>
    <i>
      <x v="11"/>
      <x v="10"/>
    </i>
    <i t="grand">
      <x/>
    </i>
  </colItems>
  <dataFields count="1">
    <dataField name="Invoice Amt (SAR)" fld="16" baseField="0" baseItem="0" numFmtId="164"/>
  </dataFields>
  <formats count="127">
    <format dxfId="1532">
      <pivotArea outline="0" collapsedLevelsAreSubtotals="1" fieldPosition="0"/>
    </format>
    <format dxfId="1531">
      <pivotArea type="all" dataOnly="0" outline="0" fieldPosition="0"/>
    </format>
    <format dxfId="1530">
      <pivotArea outline="0" collapsedLevelsAreSubtotals="1" fieldPosition="0"/>
    </format>
    <format dxfId="1529">
      <pivotArea dataOnly="0" labelOnly="1" outline="0" fieldPosition="0">
        <references count="1">
          <reference field="21" count="0"/>
        </references>
      </pivotArea>
    </format>
    <format dxfId="1528">
      <pivotArea type="origin" dataOnly="0" labelOnly="1" outline="0" fieldPosition="0"/>
    </format>
    <format dxfId="1527">
      <pivotArea field="5" type="button" dataOnly="0" labelOnly="1" outline="0" axis="axisRow" fieldPosition="0"/>
    </format>
    <format dxfId="1526">
      <pivotArea field="6" type="button" dataOnly="0" labelOnly="1" outline="0"/>
    </format>
    <format dxfId="1525">
      <pivotArea type="topRight" dataOnly="0" labelOnly="1" outline="0" fieldPosition="0"/>
    </format>
    <format dxfId="1524">
      <pivotArea field="21" type="button" dataOnly="0" labelOnly="1" outline="0" axis="axisCol" fieldPosition="0"/>
    </format>
    <format dxfId="1523">
      <pivotArea field="22" type="button" dataOnly="0" labelOnly="1" outline="0" axis="axisCol" fieldPosition="1"/>
    </format>
    <format dxfId="1522">
      <pivotArea dataOnly="0" labelOnly="1" outline="0" fieldPosition="0">
        <references count="1">
          <reference field="5" count="4">
            <x v="0"/>
            <x v="1"/>
            <x v="2"/>
            <x v="4"/>
          </reference>
        </references>
      </pivotArea>
    </format>
    <format dxfId="1521">
      <pivotArea dataOnly="0" labelOnly="1" grandCol="1" outline="0" fieldPosition="0"/>
    </format>
    <format dxfId="1520">
      <pivotArea type="origin" dataOnly="0" labelOnly="1" outline="0" fieldPosition="0"/>
    </format>
    <format dxfId="1519">
      <pivotArea field="5" type="button" dataOnly="0" labelOnly="1" outline="0" axis="axisRow" fieldPosition="0"/>
    </format>
    <format dxfId="1518">
      <pivotArea field="6" type="button" dataOnly="0" labelOnly="1" outline="0"/>
    </format>
    <format dxfId="1517">
      <pivotArea type="topRight" dataOnly="0" labelOnly="1" outline="0" fieldPosition="0"/>
    </format>
    <format dxfId="1516">
      <pivotArea field="21" type="button" dataOnly="0" labelOnly="1" outline="0" axis="axisCol" fieldPosition="0"/>
    </format>
    <format dxfId="1515">
      <pivotArea field="22" type="button" dataOnly="0" labelOnly="1" outline="0" axis="axisCol" fieldPosition="1"/>
    </format>
    <format dxfId="1514">
      <pivotArea dataOnly="0" labelOnly="1" outline="0" fieldPosition="0">
        <references count="1">
          <reference field="5" count="4">
            <x v="0"/>
            <x v="1"/>
            <x v="2"/>
            <x v="4"/>
          </reference>
        </references>
      </pivotArea>
    </format>
    <format dxfId="1513">
      <pivotArea dataOnly="0" labelOnly="1" grandCol="1" outline="0" fieldPosition="0"/>
    </format>
    <format dxfId="1512">
      <pivotArea grandRow="1" outline="0" collapsedLevelsAreSubtotals="1" fieldPosition="0"/>
    </format>
    <format dxfId="1511">
      <pivotArea dataOnly="0" labelOnly="1" grandRow="1" outline="0" fieldPosition="0"/>
    </format>
    <format dxfId="1510">
      <pivotArea grandRow="1" outline="0" collapsedLevelsAreSubtotals="1" fieldPosition="0"/>
    </format>
    <format dxfId="1509">
      <pivotArea dataOnly="0" labelOnly="1" grandRow="1" outline="0" fieldPosition="0"/>
    </format>
    <format dxfId="1508">
      <pivotArea field="22" grandRow="1" outline="0" axis="axisCol" fieldPosition="1">
        <references count="2">
          <reference field="21" count="0" selected="0"/>
          <reference field="22" count="0" selected="0"/>
        </references>
      </pivotArea>
    </format>
    <format dxfId="1507">
      <pivotArea field="22" grandRow="1" outline="0" axis="axisCol" fieldPosition="1">
        <references count="2">
          <reference field="21" count="0" selected="0"/>
          <reference field="22" count="0" selected="0"/>
        </references>
      </pivotArea>
    </format>
    <format dxfId="1506">
      <pivotArea field="22" grandRow="1" outline="0" axis="axisCol" fieldPosition="1">
        <references count="2">
          <reference field="21" count="0" selected="0"/>
          <reference field="22" count="0" selected="0"/>
        </references>
      </pivotArea>
    </format>
    <format dxfId="1505">
      <pivotArea type="origin" dataOnly="0" labelOnly="1" outline="0" fieldPosition="0"/>
    </format>
    <format dxfId="1504">
      <pivotArea field="5" type="button" dataOnly="0" labelOnly="1" outline="0" axis="axisRow" fieldPosition="0"/>
    </format>
    <format dxfId="1503">
      <pivotArea field="6" type="button" dataOnly="0" labelOnly="1" outline="0"/>
    </format>
    <format dxfId="1502">
      <pivotArea type="topRight" dataOnly="0" labelOnly="1" outline="0" fieldPosition="0"/>
    </format>
    <format dxfId="1501">
      <pivotArea field="21" type="button" dataOnly="0" labelOnly="1" outline="0" axis="axisCol" fieldPosition="0"/>
    </format>
    <format dxfId="1500">
      <pivotArea field="22" type="button" dataOnly="0" labelOnly="1" outline="0" axis="axisCol" fieldPosition="1"/>
    </format>
    <format dxfId="1499">
      <pivotArea dataOnly="0" labelOnly="1" outline="0" fieldPosition="0">
        <references count="1">
          <reference field="5" count="4">
            <x v="0"/>
            <x v="1"/>
            <x v="2"/>
            <x v="4"/>
          </reference>
        </references>
      </pivotArea>
    </format>
    <format dxfId="1498">
      <pivotArea dataOnly="0" labelOnly="1" grandCol="1" outline="0" fieldPosition="0"/>
    </format>
    <format dxfId="1497">
      <pivotArea grandRow="1" outline="0" collapsedLevelsAreSubtotals="1" fieldPosition="0"/>
    </format>
    <format dxfId="1496">
      <pivotArea dataOnly="0" labelOnly="1" grandRow="1" outline="0" fieldPosition="0"/>
    </format>
    <format dxfId="1495">
      <pivotArea dataOnly="0" labelOnly="1" outline="0" fieldPosition="0">
        <references count="1">
          <reference field="21" count="0"/>
        </references>
      </pivotArea>
    </format>
    <format dxfId="1494">
      <pivotArea dataOnly="0" labelOnly="1" outline="0" fieldPosition="0">
        <references count="1">
          <reference field="5" count="1">
            <x v="5"/>
          </reference>
        </references>
      </pivotArea>
    </format>
    <format dxfId="1493">
      <pivotArea dataOnly="0" labelOnly="1" outline="0" fieldPosition="0">
        <references count="1">
          <reference field="5" count="1">
            <x v="3"/>
          </reference>
        </references>
      </pivotArea>
    </format>
    <format dxfId="1492">
      <pivotArea field="10" type="button" dataOnly="0" labelOnly="1" outline="0" axis="axisRow" fieldPosition="1"/>
    </format>
    <format dxfId="1491">
      <pivotArea grandCol="1" outline="0" collapsedLevelsAreSubtotals="1" fieldPosition="0"/>
    </format>
    <format dxfId="1490">
      <pivotArea dataOnly="0" labelOnly="1" grandCol="1" outline="0" fieldPosition="0"/>
    </format>
    <format dxfId="1489">
      <pivotArea grandRow="1" outline="0" collapsedLevelsAreSubtotals="1" fieldPosition="0"/>
    </format>
    <format dxfId="1488">
      <pivotArea dataOnly="0" labelOnly="1" grandRow="1" outline="0" fieldPosition="0"/>
    </format>
    <format dxfId="1487">
      <pivotArea dataOnly="0" labelOnly="1" outline="0" fieldPosition="0">
        <references count="2">
          <reference field="5" count="1" selected="0">
            <x v="0"/>
          </reference>
          <reference field="10" count="3">
            <x v="2"/>
            <x v="3"/>
            <x v="12"/>
          </reference>
        </references>
      </pivotArea>
    </format>
    <format dxfId="1486">
      <pivotArea dataOnly="0" labelOnly="1" outline="0" fieldPosition="0">
        <references count="2">
          <reference field="5" count="1" selected="0">
            <x v="2"/>
          </reference>
          <reference field="10" count="1">
            <x v="9"/>
          </reference>
        </references>
      </pivotArea>
    </format>
    <format dxfId="1485">
      <pivotArea dataOnly="0" labelOnly="1" outline="0" fieldPosition="0">
        <references count="2">
          <reference field="5" count="1" selected="0">
            <x v="3"/>
          </reference>
          <reference field="10" count="1">
            <x v="10"/>
          </reference>
        </references>
      </pivotArea>
    </format>
    <format dxfId="1484">
      <pivotArea dataOnly="0" labelOnly="1" outline="0" fieldPosition="0">
        <references count="2">
          <reference field="5" count="1" selected="0">
            <x v="4"/>
          </reference>
          <reference field="10" count="3">
            <x v="3"/>
            <x v="10"/>
            <x v="11"/>
          </reference>
        </references>
      </pivotArea>
    </format>
    <format dxfId="1483">
      <pivotArea dataOnly="0" labelOnly="1" outline="0" fieldPosition="0">
        <references count="2">
          <reference field="5" count="1" selected="0">
            <x v="5"/>
          </reference>
          <reference field="10" count="3">
            <x v="0"/>
            <x v="1"/>
            <x v="5"/>
          </reference>
        </references>
      </pivotArea>
    </format>
    <format dxfId="1482">
      <pivotArea dataOnly="0" labelOnly="1" outline="0" fieldPosition="0">
        <references count="2">
          <reference field="5" count="1" selected="0">
            <x v="0"/>
          </reference>
          <reference field="10" count="3">
            <x v="2"/>
            <x v="3"/>
            <x v="12"/>
          </reference>
        </references>
      </pivotArea>
    </format>
    <format dxfId="1481">
      <pivotArea dataOnly="0" labelOnly="1" outline="0" fieldPosition="0">
        <references count="2">
          <reference field="5" count="1" selected="0">
            <x v="2"/>
          </reference>
          <reference field="10" count="1">
            <x v="9"/>
          </reference>
        </references>
      </pivotArea>
    </format>
    <format dxfId="1480">
      <pivotArea dataOnly="0" labelOnly="1" outline="0" fieldPosition="0">
        <references count="2">
          <reference field="5" count="1" selected="0">
            <x v="3"/>
          </reference>
          <reference field="10" count="1">
            <x v="10"/>
          </reference>
        </references>
      </pivotArea>
    </format>
    <format dxfId="1479">
      <pivotArea dataOnly="0" labelOnly="1" outline="0" fieldPosition="0">
        <references count="2">
          <reference field="5" count="1" selected="0">
            <x v="4"/>
          </reference>
          <reference field="10" count="3">
            <x v="3"/>
            <x v="10"/>
            <x v="11"/>
          </reference>
        </references>
      </pivotArea>
    </format>
    <format dxfId="1478">
      <pivotArea dataOnly="0" labelOnly="1" outline="0" fieldPosition="0">
        <references count="2">
          <reference field="5" count="1" selected="0">
            <x v="5"/>
          </reference>
          <reference field="10" count="3">
            <x v="0"/>
            <x v="1"/>
            <x v="5"/>
          </reference>
        </references>
      </pivotArea>
    </format>
    <format dxfId="1477">
      <pivotArea dataOnly="0" labelOnly="1" outline="0" fieldPosition="0">
        <references count="2">
          <reference field="5" count="1" selected="0">
            <x v="0"/>
          </reference>
          <reference field="10" count="3">
            <x v="2"/>
            <x v="3"/>
            <x v="12"/>
          </reference>
        </references>
      </pivotArea>
    </format>
    <format dxfId="1476">
      <pivotArea dataOnly="0" labelOnly="1" outline="0" fieldPosition="0">
        <references count="2">
          <reference field="5" count="1" selected="0">
            <x v="2"/>
          </reference>
          <reference field="10" count="1">
            <x v="9"/>
          </reference>
        </references>
      </pivotArea>
    </format>
    <format dxfId="1475">
      <pivotArea dataOnly="0" labelOnly="1" outline="0" fieldPosition="0">
        <references count="2">
          <reference field="5" count="1" selected="0">
            <x v="3"/>
          </reference>
          <reference field="10" count="1">
            <x v="10"/>
          </reference>
        </references>
      </pivotArea>
    </format>
    <format dxfId="1474">
      <pivotArea dataOnly="0" labelOnly="1" outline="0" fieldPosition="0">
        <references count="2">
          <reference field="5" count="1" selected="0">
            <x v="4"/>
          </reference>
          <reference field="10" count="3">
            <x v="3"/>
            <x v="10"/>
            <x v="11"/>
          </reference>
        </references>
      </pivotArea>
    </format>
    <format dxfId="1473">
      <pivotArea dataOnly="0" labelOnly="1" outline="0" fieldPosition="0">
        <references count="2">
          <reference field="5" count="1" selected="0">
            <x v="5"/>
          </reference>
          <reference field="10" count="3">
            <x v="0"/>
            <x v="1"/>
            <x v="5"/>
          </reference>
        </references>
      </pivotArea>
    </format>
    <format dxfId="1472">
      <pivotArea outline="0" fieldPosition="0">
        <references count="4">
          <reference field="5" count="0" selected="0"/>
          <reference field="10" count="0" selected="0"/>
          <reference field="21" count="0" selected="0"/>
          <reference field="22" count="0" selected="0"/>
        </references>
      </pivotArea>
    </format>
    <format dxfId="1471">
      <pivotArea outline="0" fieldPosition="0">
        <references count="4">
          <reference field="5" count="0" selected="0"/>
          <reference field="10" count="0" selected="0"/>
          <reference field="21" count="0" selected="0"/>
          <reference field="22" count="0" selected="0"/>
        </references>
      </pivotArea>
    </format>
    <format dxfId="1470">
      <pivotArea dataOnly="0" labelOnly="1" outline="0" fieldPosition="0">
        <references count="1">
          <reference field="21" count="0"/>
        </references>
      </pivotArea>
    </format>
    <format dxfId="1469">
      <pivotArea dataOnly="0" labelOnly="1" outline="0" fieldPosition="0">
        <references count="1">
          <reference field="21" count="0"/>
        </references>
      </pivotArea>
    </format>
    <format dxfId="1468">
      <pivotArea dataOnly="0" labelOnly="1" outline="0" fieldPosition="0">
        <references count="2">
          <reference field="5" count="1" selected="0">
            <x v="0"/>
          </reference>
          <reference field="10" count="3">
            <x v="2"/>
            <x v="3"/>
            <x v="12"/>
          </reference>
        </references>
      </pivotArea>
    </format>
    <format dxfId="1467">
      <pivotArea dataOnly="0" labelOnly="1" outline="0" fieldPosition="0">
        <references count="2">
          <reference field="5" count="1" selected="0">
            <x v="2"/>
          </reference>
          <reference field="10" count="1">
            <x v="9"/>
          </reference>
        </references>
      </pivotArea>
    </format>
    <format dxfId="1466">
      <pivotArea dataOnly="0" labelOnly="1" outline="0" fieldPosition="0">
        <references count="2">
          <reference field="5" count="1" selected="0">
            <x v="4"/>
          </reference>
          <reference field="10" count="3">
            <x v="3"/>
            <x v="10"/>
            <x v="11"/>
          </reference>
        </references>
      </pivotArea>
    </format>
    <format dxfId="1465">
      <pivotArea dataOnly="0" labelOnly="1" outline="0" fieldPosition="0">
        <references count="2">
          <reference field="5" count="1" selected="0">
            <x v="4"/>
          </reference>
          <reference field="10" count="1">
            <x v="8"/>
          </reference>
        </references>
      </pivotArea>
    </format>
    <format dxfId="1464">
      <pivotArea dataOnly="0" labelOnly="1" outline="0" fieldPosition="0">
        <references count="2">
          <reference field="5" count="1" selected="0">
            <x v="4"/>
          </reference>
          <reference field="10" count="1">
            <x v="8"/>
          </reference>
        </references>
      </pivotArea>
    </format>
    <format dxfId="1463">
      <pivotArea dataOnly="0" labelOnly="1" outline="0" fieldPosition="0">
        <references count="2">
          <reference field="5" count="1" selected="0">
            <x v="4"/>
          </reference>
          <reference field="10" count="1">
            <x v="8"/>
          </reference>
        </references>
      </pivotArea>
    </format>
    <format dxfId="1462">
      <pivotArea dataOnly="0" labelOnly="1" outline="0" fieldPosition="0">
        <references count="2">
          <reference field="5" count="1" selected="0">
            <x v="3"/>
          </reference>
          <reference field="10" count="1">
            <x v="4"/>
          </reference>
        </references>
      </pivotArea>
    </format>
    <format dxfId="1461">
      <pivotArea dataOnly="0" labelOnly="1" outline="0" fieldPosition="0">
        <references count="2">
          <reference field="5" count="1" selected="0">
            <x v="3"/>
          </reference>
          <reference field="10" count="1">
            <x v="4"/>
          </reference>
        </references>
      </pivotArea>
    </format>
    <format dxfId="1460">
      <pivotArea dataOnly="0" labelOnly="1" outline="0" fieldPosition="0">
        <references count="2">
          <reference field="5" count="1" selected="0">
            <x v="3"/>
          </reference>
          <reference field="10" count="1">
            <x v="4"/>
          </reference>
        </references>
      </pivotArea>
    </format>
    <format dxfId="1459">
      <pivotArea dataOnly="0" labelOnly="1" outline="0" fieldPosition="0">
        <references count="2">
          <reference field="5" count="1" selected="0">
            <x v="0"/>
          </reference>
          <reference field="10" count="1">
            <x v="4"/>
          </reference>
        </references>
      </pivotArea>
    </format>
    <format dxfId="1458">
      <pivotArea dataOnly="0" labelOnly="1" outline="0" fieldPosition="0">
        <references count="2">
          <reference field="5" count="1" selected="0">
            <x v="0"/>
          </reference>
          <reference field="10" count="1">
            <x v="4"/>
          </reference>
        </references>
      </pivotArea>
    </format>
    <format dxfId="1457">
      <pivotArea dataOnly="0" labelOnly="1" outline="0" fieldPosition="0">
        <references count="2">
          <reference field="5" count="1" selected="0">
            <x v="0"/>
          </reference>
          <reference field="10" count="1">
            <x v="4"/>
          </reference>
        </references>
      </pivotArea>
    </format>
    <format dxfId="1456">
      <pivotArea dataOnly="0" labelOnly="1" outline="0" fieldPosition="0">
        <references count="2">
          <reference field="5" count="1" selected="0">
            <x v="6"/>
          </reference>
          <reference field="10" count="1">
            <x v="15"/>
          </reference>
        </references>
      </pivotArea>
    </format>
    <format dxfId="1455">
      <pivotArea dataOnly="0" labelOnly="1" outline="0" fieldPosition="0">
        <references count="2">
          <reference field="5" count="1" selected="0">
            <x v="6"/>
          </reference>
          <reference field="10" count="1">
            <x v="15"/>
          </reference>
        </references>
      </pivotArea>
    </format>
    <format dxfId="1454">
      <pivotArea dataOnly="0" labelOnly="1" outline="0" fieldPosition="0">
        <references count="1">
          <reference field="5" count="1">
            <x v="6"/>
          </reference>
        </references>
      </pivotArea>
    </format>
    <format dxfId="1453">
      <pivotArea dataOnly="0" labelOnly="1" outline="0" fieldPosition="0">
        <references count="1">
          <reference field="5" count="1">
            <x v="6"/>
          </reference>
        </references>
      </pivotArea>
    </format>
    <format dxfId="1452">
      <pivotArea dataOnly="0" labelOnly="1" outline="0" fieldPosition="0">
        <references count="1">
          <reference field="5" count="1">
            <x v="6"/>
          </reference>
        </references>
      </pivotArea>
    </format>
    <format dxfId="1451">
      <pivotArea dataOnly="0" labelOnly="1" outline="0" fieldPosition="0">
        <references count="2">
          <reference field="5" count="1" selected="0">
            <x v="6"/>
          </reference>
          <reference field="10" count="1">
            <x v="15"/>
          </reference>
        </references>
      </pivotArea>
    </format>
    <format dxfId="1450">
      <pivotArea dataOnly="0" labelOnly="1" outline="0" fieldPosition="0">
        <references count="2">
          <reference field="5" count="1" selected="0">
            <x v="0"/>
          </reference>
          <reference field="10" count="1">
            <x v="8"/>
          </reference>
        </references>
      </pivotArea>
    </format>
    <format dxfId="1449">
      <pivotArea dataOnly="0" labelOnly="1" outline="0" fieldPosition="0">
        <references count="2">
          <reference field="5" count="1" selected="0">
            <x v="0"/>
          </reference>
          <reference field="10" count="1">
            <x v="8"/>
          </reference>
        </references>
      </pivotArea>
    </format>
    <format dxfId="1448">
      <pivotArea dataOnly="0" labelOnly="1" outline="0" fieldPosition="0">
        <references count="2">
          <reference field="5" count="1" selected="0">
            <x v="0"/>
          </reference>
          <reference field="10" count="1">
            <x v="8"/>
          </reference>
        </references>
      </pivotArea>
    </format>
    <format dxfId="1447">
      <pivotArea dataOnly="0" labelOnly="1" outline="0" fieldPosition="0">
        <references count="2">
          <reference field="5" count="1" selected="0">
            <x v="0"/>
          </reference>
          <reference field="10" count="1">
            <x v="8"/>
          </reference>
        </references>
      </pivotArea>
    </format>
    <format dxfId="1446">
      <pivotArea dataOnly="0" labelOnly="1" outline="0" fieldPosition="0">
        <references count="2">
          <reference field="5" count="1" selected="0">
            <x v="0"/>
          </reference>
          <reference field="10" count="1">
            <x v="1"/>
          </reference>
        </references>
      </pivotArea>
    </format>
    <format dxfId="1445">
      <pivotArea dataOnly="0" labelOnly="1" outline="0" fieldPosition="0">
        <references count="2">
          <reference field="5" count="1" selected="0">
            <x v="0"/>
          </reference>
          <reference field="10" count="1">
            <x v="1"/>
          </reference>
        </references>
      </pivotArea>
    </format>
    <format dxfId="1444">
      <pivotArea dataOnly="0" labelOnly="1" outline="0" fieldPosition="0">
        <references count="2">
          <reference field="5" count="1" selected="0">
            <x v="0"/>
          </reference>
          <reference field="10" count="1">
            <x v="1"/>
          </reference>
        </references>
      </pivotArea>
    </format>
    <format dxfId="1443">
      <pivotArea dataOnly="0" labelOnly="1" outline="0" fieldPosition="0">
        <references count="2">
          <reference field="5" count="1" selected="0">
            <x v="2"/>
          </reference>
          <reference field="10" count="1">
            <x v="1"/>
          </reference>
        </references>
      </pivotArea>
    </format>
    <format dxfId="1442">
      <pivotArea dataOnly="0" labelOnly="1" outline="0" fieldPosition="0">
        <references count="2">
          <reference field="5" count="1" selected="0">
            <x v="2"/>
          </reference>
          <reference field="10" count="1">
            <x v="1"/>
          </reference>
        </references>
      </pivotArea>
    </format>
    <format dxfId="1441">
      <pivotArea dataOnly="0" labelOnly="1" outline="0" fieldPosition="0">
        <references count="2">
          <reference field="5" count="1" selected="0">
            <x v="2"/>
          </reference>
          <reference field="10" count="1">
            <x v="1"/>
          </reference>
        </references>
      </pivotArea>
    </format>
    <format dxfId="1440">
      <pivotArea dataOnly="0" labelOnly="1" outline="0" fieldPosition="0">
        <references count="1">
          <reference field="21" count="0"/>
        </references>
      </pivotArea>
    </format>
    <format dxfId="1439">
      <pivotArea dataOnly="0" labelOnly="1" outline="0" fieldPosition="0">
        <references count="2">
          <reference field="21" count="1" selected="0">
            <x v="1"/>
          </reference>
          <reference field="22" count="1">
            <x v="1"/>
          </reference>
        </references>
      </pivotArea>
    </format>
    <format dxfId="1438">
      <pivotArea dataOnly="0" labelOnly="1" outline="0" fieldPosition="0">
        <references count="2">
          <reference field="21" count="1" selected="0">
            <x v="2"/>
          </reference>
          <reference field="22" count="1">
            <x v="3"/>
          </reference>
        </references>
      </pivotArea>
    </format>
    <format dxfId="1437">
      <pivotArea dataOnly="0" labelOnly="1" outline="0" fieldPosition="0">
        <references count="2">
          <reference field="21" count="1" selected="0">
            <x v="3"/>
          </reference>
          <reference field="22" count="1">
            <x v="0"/>
          </reference>
        </references>
      </pivotArea>
    </format>
    <format dxfId="1436">
      <pivotArea dataOnly="0" labelOnly="1" outline="0" fieldPosition="0">
        <references count="2">
          <reference field="21" count="1" selected="0">
            <x v="6"/>
          </reference>
          <reference field="22" count="1">
            <x v="2"/>
          </reference>
        </references>
      </pivotArea>
    </format>
    <format dxfId="1435">
      <pivotArea field="10" grandCol="1" outline="0" axis="axisRow" fieldPosition="1">
        <references count="2">
          <reference field="5" count="0" selected="0"/>
          <reference field="10" count="0" selected="0"/>
        </references>
      </pivotArea>
    </format>
    <format dxfId="1434">
      <pivotArea dataOnly="0" labelOnly="1" outline="0" fieldPosition="0">
        <references count="2">
          <reference field="21" count="1" selected="0">
            <x v="1"/>
          </reference>
          <reference field="22" count="1">
            <x v="1"/>
          </reference>
        </references>
      </pivotArea>
    </format>
    <format dxfId="1433">
      <pivotArea dataOnly="0" labelOnly="1" outline="0" fieldPosition="0">
        <references count="2">
          <reference field="21" count="1" selected="0">
            <x v="2"/>
          </reference>
          <reference field="22" count="1">
            <x v="3"/>
          </reference>
        </references>
      </pivotArea>
    </format>
    <format dxfId="1432">
      <pivotArea dataOnly="0" labelOnly="1" outline="0" fieldPosition="0">
        <references count="2">
          <reference field="21" count="1" selected="0">
            <x v="3"/>
          </reference>
          <reference field="22" count="1">
            <x v="0"/>
          </reference>
        </references>
      </pivotArea>
    </format>
    <format dxfId="1431">
      <pivotArea dataOnly="0" labelOnly="1" outline="0" fieldPosition="0">
        <references count="1">
          <reference field="21" count="0"/>
        </references>
      </pivotArea>
    </format>
    <format dxfId="1430">
      <pivotArea dataOnly="0" labelOnly="1" outline="0" fieldPosition="0">
        <references count="2">
          <reference field="21" count="1" selected="0">
            <x v="1"/>
          </reference>
          <reference field="22" count="1">
            <x v="1"/>
          </reference>
        </references>
      </pivotArea>
    </format>
    <format dxfId="1429">
      <pivotArea dataOnly="0" labelOnly="1" outline="0" fieldPosition="0">
        <references count="2">
          <reference field="21" count="1" selected="0">
            <x v="2"/>
          </reference>
          <reference field="22" count="1">
            <x v="3"/>
          </reference>
        </references>
      </pivotArea>
    </format>
    <format dxfId="1428">
      <pivotArea dataOnly="0" labelOnly="1" outline="0" fieldPosition="0">
        <references count="2">
          <reference field="21" count="1" selected="0">
            <x v="3"/>
          </reference>
          <reference field="22" count="1">
            <x v="0"/>
          </reference>
        </references>
      </pivotArea>
    </format>
    <format dxfId="1427">
      <pivotArea dataOnly="0" labelOnly="1" outline="0" fieldPosition="0">
        <references count="2">
          <reference field="21" count="1" selected="0">
            <x v="6"/>
          </reference>
          <reference field="22" count="1">
            <x v="2"/>
          </reference>
        </references>
      </pivotArea>
    </format>
    <format dxfId="1426">
      <pivotArea dataOnly="0" labelOnly="1" outline="0" fieldPosition="0">
        <references count="1">
          <reference field="21" count="0"/>
        </references>
      </pivotArea>
    </format>
    <format dxfId="1425">
      <pivotArea dataOnly="0" labelOnly="1" outline="0" fieldPosition="0">
        <references count="2">
          <reference field="21" count="1" selected="0">
            <x v="1"/>
          </reference>
          <reference field="22" count="1">
            <x v="1"/>
          </reference>
        </references>
      </pivotArea>
    </format>
    <format dxfId="1424">
      <pivotArea dataOnly="0" labelOnly="1" outline="0" fieldPosition="0">
        <references count="2">
          <reference field="21" count="1" selected="0">
            <x v="2"/>
          </reference>
          <reference field="22" count="1">
            <x v="3"/>
          </reference>
        </references>
      </pivotArea>
    </format>
    <format dxfId="1423">
      <pivotArea dataOnly="0" labelOnly="1" outline="0" fieldPosition="0">
        <references count="2">
          <reference field="21" count="1" selected="0">
            <x v="3"/>
          </reference>
          <reference field="22" count="1">
            <x v="0"/>
          </reference>
        </references>
      </pivotArea>
    </format>
    <format dxfId="1422">
      <pivotArea dataOnly="0" labelOnly="1" outline="0" fieldPosition="0">
        <references count="2">
          <reference field="21" count="1" selected="0">
            <x v="6"/>
          </reference>
          <reference field="22" count="1">
            <x v="2"/>
          </reference>
        </references>
      </pivotArea>
    </format>
    <format dxfId="1421">
      <pivotArea dataOnly="0" labelOnly="1" outline="0" fieldPosition="0">
        <references count="2">
          <reference field="21" count="1" selected="0">
            <x v="4"/>
          </reference>
          <reference field="22" count="1">
            <x v="4"/>
          </reference>
        </references>
      </pivotArea>
    </format>
    <format dxfId="1420">
      <pivotArea dataOnly="0" labelOnly="1" outline="0" fieldPosition="0">
        <references count="2">
          <reference field="21" count="1" selected="0">
            <x v="5"/>
          </reference>
          <reference field="22" count="1">
            <x v="5"/>
          </reference>
        </references>
      </pivotArea>
    </format>
    <format dxfId="1419">
      <pivotArea dataOnly="0" labelOnly="1" outline="0" fieldPosition="0">
        <references count="2">
          <reference field="21" count="1" selected="0">
            <x v="9"/>
          </reference>
          <reference field="22" count="1">
            <x v="7"/>
          </reference>
        </references>
      </pivotArea>
    </format>
    <format dxfId="1418">
      <pivotArea dataOnly="0" labelOnly="1" outline="0" fieldPosition="0">
        <references count="2">
          <reference field="21" count="1" selected="0">
            <x v="10"/>
          </reference>
          <reference field="22" count="1">
            <x v="6"/>
          </reference>
        </references>
      </pivotArea>
    </format>
    <format dxfId="1417">
      <pivotArea dataOnly="0" labelOnly="1" outline="0" fieldPosition="0">
        <references count="2">
          <reference field="21" count="1" selected="0">
            <x v="9"/>
          </reference>
          <reference field="22" count="1">
            <x v="7"/>
          </reference>
        </references>
      </pivotArea>
    </format>
    <format dxfId="1416">
      <pivotArea dataOnly="0" labelOnly="1" outline="0" fieldPosition="0">
        <references count="2">
          <reference field="21" count="1" selected="0">
            <x v="10"/>
          </reference>
          <reference field="22" count="1">
            <x v="6"/>
          </reference>
        </references>
      </pivotArea>
    </format>
    <format dxfId="1415">
      <pivotArea dataOnly="0" labelOnly="1" outline="0" fieldPosition="0">
        <references count="2">
          <reference field="21" count="1" selected="0">
            <x v="0"/>
          </reference>
          <reference field="22" count="1">
            <x v="8"/>
          </reference>
        </references>
      </pivotArea>
    </format>
    <format dxfId="1414">
      <pivotArea dataOnly="0" labelOnly="1" outline="0" fieldPosition="0">
        <references count="2">
          <reference field="5" count="1" selected="0">
            <x v="0"/>
          </reference>
          <reference field="10" count="4">
            <x v="1"/>
            <x v="2"/>
            <x v="8"/>
            <x v="12"/>
          </reference>
        </references>
      </pivotArea>
    </format>
    <format dxfId="1413">
      <pivotArea dataOnly="0" labelOnly="1" outline="0" fieldPosition="0">
        <references count="2">
          <reference field="5" count="1" selected="0">
            <x v="2"/>
          </reference>
          <reference field="10" count="2">
            <x v="1"/>
            <x v="9"/>
          </reference>
        </references>
      </pivotArea>
    </format>
    <format dxfId="1412">
      <pivotArea dataOnly="0" labelOnly="1" outline="0" fieldPosition="0">
        <references count="2">
          <reference field="5" count="1" selected="0">
            <x v="3"/>
          </reference>
          <reference field="10" count="1">
            <x v="10"/>
          </reference>
        </references>
      </pivotArea>
    </format>
    <format dxfId="1411">
      <pivotArea dataOnly="0" labelOnly="1" outline="0" fieldPosition="0">
        <references count="2">
          <reference field="5" count="1" selected="0">
            <x v="4"/>
          </reference>
          <reference field="10" count="1">
            <x v="11"/>
          </reference>
        </references>
      </pivotArea>
    </format>
    <format dxfId="1410">
      <pivotArea dataOnly="0" labelOnly="1" outline="0" fieldPosition="0">
        <references count="2">
          <reference field="5" count="1" selected="0">
            <x v="5"/>
          </reference>
          <reference field="10" count="3">
            <x v="0"/>
            <x v="1"/>
            <x v="5"/>
          </reference>
        </references>
      </pivotArea>
    </format>
    <format dxfId="1409">
      <pivotArea dataOnly="0" labelOnly="1" outline="0" fieldPosition="0">
        <references count="2">
          <reference field="5" count="1" selected="0">
            <x v="6"/>
          </reference>
          <reference field="10" count="1">
            <x v="15"/>
          </reference>
        </references>
      </pivotArea>
    </format>
    <format dxfId="1408">
      <pivotArea dataOnly="0" labelOnly="1" outline="0" fieldPosition="0">
        <references count="2">
          <reference field="21" count="1" selected="0">
            <x v="7"/>
          </reference>
          <reference field="22" count="1">
            <x v="9"/>
          </reference>
        </references>
      </pivotArea>
    </format>
    <format dxfId="1407">
      <pivotArea dataOnly="0" labelOnly="1" outline="0" fieldPosition="0">
        <references count="2">
          <reference field="21" count="1" selected="0">
            <x v="11"/>
          </reference>
          <reference field="22" count="1">
            <x v="10"/>
          </reference>
        </references>
      </pivotArea>
    </format>
    <format dxfId="1406">
      <pivotArea dataOnly="0" labelOnly="1" outline="0" fieldPosition="0">
        <references count="2">
          <reference field="21" count="1" selected="0">
            <x v="8"/>
          </reference>
          <reference field="22" count="1">
            <x v="11"/>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D368022-3B7A-4C92-94B9-AB3873814290}" name="PivotTable2" cacheId="8"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location ref="AA5:AC14" firstHeaderRow="1" firstDataRow="1" firstDataCol="2"/>
  <pivotFields count="3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10">
        <item x="6"/>
        <item x="1"/>
        <item x="0"/>
        <item m="1" x="9"/>
        <item x="4"/>
        <item x="2"/>
        <item x="3"/>
        <item x="7"/>
        <item x="8"/>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ubtotalTop="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7">
        <item x="1"/>
        <item m="1" x="6"/>
        <item x="3"/>
        <item x="0"/>
        <item x="2"/>
        <item x="4"/>
        <item x="5"/>
      </items>
      <extLst>
        <ext xmlns:x14="http://schemas.microsoft.com/office/spreadsheetml/2009/9/main" uri="{2946ED86-A175-432a-8AC1-64E0C546D7DE}">
          <x14:pivotField fillDownLabels="1"/>
        </ext>
      </extLst>
    </pivotField>
    <pivotField compact="0" outline="0" showAll="0" defaultSubtotal="0"/>
    <pivotField compact="0" outline="0" showAll="0" defaultSubtotal="0"/>
    <pivotField compact="0" outline="0" showAll="0" defaultSubtotal="0"/>
  </pivotFields>
  <rowFields count="2">
    <field x="26"/>
    <field x="5"/>
  </rowFields>
  <rowItems count="9">
    <i>
      <x/>
      <x v="1"/>
    </i>
    <i>
      <x v="2"/>
      <x v="6"/>
    </i>
    <i>
      <x v="3"/>
      <x/>
    </i>
    <i r="1">
      <x v="2"/>
    </i>
    <i r="1">
      <x v="9"/>
    </i>
    <i>
      <x v="4"/>
      <x v="5"/>
    </i>
    <i>
      <x v="5"/>
      <x v="4"/>
    </i>
    <i r="1">
      <x v="7"/>
    </i>
    <i>
      <x v="6"/>
      <x v="8"/>
    </i>
  </rowItems>
  <colItems count="1">
    <i/>
  </colItems>
  <dataFields count="1">
    <dataField name="Sum of Balance After Settlement" fld="14" baseField="0" baseItem="0" numFmtId="164"/>
  </dataFields>
  <formats count="23">
    <format dxfId="1555">
      <pivotArea type="all" dataOnly="0" outline="0" fieldPosition="0"/>
    </format>
    <format dxfId="1554">
      <pivotArea outline="0" collapsedLevelsAreSubtotals="1" fieldPosition="0"/>
    </format>
    <format dxfId="1553">
      <pivotArea field="26" type="button" dataOnly="0" labelOnly="1" outline="0" axis="axisRow" fieldPosition="0"/>
    </format>
    <format dxfId="1552">
      <pivotArea field="5" type="button" dataOnly="0" labelOnly="1" outline="0" axis="axisRow" fieldPosition="1"/>
    </format>
    <format dxfId="1551">
      <pivotArea dataOnly="0" labelOnly="1" outline="0" axis="axisValues" fieldPosition="0"/>
    </format>
    <format dxfId="1550">
      <pivotArea field="26" type="button" dataOnly="0" labelOnly="1" outline="0" axis="axisRow" fieldPosition="0"/>
    </format>
    <format dxfId="1549">
      <pivotArea field="5" type="button" dataOnly="0" labelOnly="1" outline="0" axis="axisRow" fieldPosition="1"/>
    </format>
    <format dxfId="1548">
      <pivotArea dataOnly="0" labelOnly="1" outline="0" axis="axisValues" fieldPosition="0"/>
    </format>
    <format dxfId="1547">
      <pivotArea field="26" type="button" dataOnly="0" labelOnly="1" outline="0" axis="axisRow" fieldPosition="0"/>
    </format>
    <format dxfId="1546">
      <pivotArea field="5" type="button" dataOnly="0" labelOnly="1" outline="0" axis="axisRow" fieldPosition="1"/>
    </format>
    <format dxfId="1545">
      <pivotArea dataOnly="0" labelOnly="1" outline="0" axis="axisValues" fieldPosition="0"/>
    </format>
    <format dxfId="1544">
      <pivotArea field="26" type="button" dataOnly="0" labelOnly="1" outline="0" axis="axisRow" fieldPosition="0"/>
    </format>
    <format dxfId="1543">
      <pivotArea field="5" type="button" dataOnly="0" labelOnly="1" outline="0" axis="axisRow" fieldPosition="1"/>
    </format>
    <format dxfId="1542">
      <pivotArea dataOnly="0" labelOnly="1" outline="0" axis="axisValues" fieldPosition="0"/>
    </format>
    <format dxfId="1541">
      <pivotArea outline="0" collapsedLevelsAreSubtotals="1" fieldPosition="0"/>
    </format>
    <format dxfId="1540">
      <pivotArea outline="0" collapsedLevelsAreSubtotals="1" fieldPosition="0"/>
    </format>
    <format dxfId="1539">
      <pivotArea dataOnly="0" labelOnly="1" outline="0" fieldPosition="0">
        <references count="1">
          <reference field="26" count="0"/>
        </references>
      </pivotArea>
    </format>
    <format dxfId="1538">
      <pivotArea dataOnly="0" labelOnly="1" outline="0" fieldPosition="0">
        <references count="2">
          <reference field="5" count="1">
            <x v="1"/>
          </reference>
          <reference field="26" count="1" selected="0">
            <x v="0"/>
          </reference>
        </references>
      </pivotArea>
    </format>
    <format dxfId="1537">
      <pivotArea dataOnly="0" labelOnly="1" outline="0" fieldPosition="0">
        <references count="2">
          <reference field="5" count="2">
            <x v="3"/>
            <x v="4"/>
          </reference>
          <reference field="26" count="1" selected="0">
            <x v="1"/>
          </reference>
        </references>
      </pivotArea>
    </format>
    <format dxfId="1536">
      <pivotArea dataOnly="0" labelOnly="1" outline="0" fieldPosition="0">
        <references count="2">
          <reference field="5" count="1">
            <x v="6"/>
          </reference>
          <reference field="26" count="1" selected="0">
            <x v="2"/>
          </reference>
        </references>
      </pivotArea>
    </format>
    <format dxfId="1535">
      <pivotArea dataOnly="0" labelOnly="1" outline="0" fieldPosition="0">
        <references count="2">
          <reference field="5" count="2">
            <x v="0"/>
            <x v="2"/>
          </reference>
          <reference field="26" count="1" selected="0">
            <x v="3"/>
          </reference>
        </references>
      </pivotArea>
    </format>
    <format dxfId="1534">
      <pivotArea dataOnly="0" labelOnly="1" outline="0" fieldPosition="0">
        <references count="2">
          <reference field="5" count="1">
            <x v="5"/>
          </reference>
          <reference field="26" count="1" selected="0">
            <x v="4"/>
          </reference>
        </references>
      </pivotArea>
    </format>
    <format dxfId="1533">
      <pivotArea dataOnly="0" labelOnly="1" outline="0" fieldPosition="0">
        <references count="2">
          <reference field="5" count="2">
            <x v="3"/>
            <x v="4"/>
          </reference>
          <reference field="26" count="1" selected="0">
            <x v="5"/>
          </reference>
        </references>
      </pivotArea>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8872E21-EDBE-4B55-BF56-DC6AD68E6ED7}" name="PivotTable9" cacheId="1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fieldListSortAscending="1">
  <location ref="S3:U5" firstHeaderRow="1" firstDataRow="3" firstDataCol="1"/>
  <pivotFields count="17">
    <pivotField dataField="1" showAll="0"/>
    <pivotField axis="axisRow" showAll="0">
      <items count="7">
        <item m="1" x="0"/>
        <item m="1" x="3"/>
        <item m="1" x="2"/>
        <item m="1" x="1"/>
        <item m="1" x="5"/>
        <item m="1" x="4"/>
        <item t="default"/>
      </items>
    </pivotField>
    <pivotField showAll="0"/>
    <pivotField showAll="0"/>
    <pivotField showAll="0"/>
    <pivotField axis="axisRow" showAll="0">
      <items count="6">
        <item m="1" x="1"/>
        <item m="1" x="3"/>
        <item m="1" x="0"/>
        <item m="1" x="4"/>
        <item m="1" x="2"/>
        <item t="default"/>
      </items>
    </pivotField>
    <pivotField axis="axisRow" showAll="0">
      <items count="12">
        <item m="1" x="8"/>
        <item m="1" x="10"/>
        <item m="1" x="0"/>
        <item m="1" x="5"/>
        <item m="1" x="7"/>
        <item m="1" x="3"/>
        <item m="1" x="2"/>
        <item m="1" x="9"/>
        <item m="1" x="4"/>
        <item m="1" x="6"/>
        <item m="1" x="1"/>
        <item t="default"/>
      </items>
    </pivotField>
    <pivotField showAll="0"/>
    <pivotField showAll="0"/>
    <pivotField showAll="0"/>
    <pivotField showAll="0"/>
    <pivotField dataField="1" showAll="0"/>
    <pivotField showAll="0"/>
    <pivotField showAll="0">
      <items count="1">
        <item t="default"/>
      </items>
    </pivotField>
    <pivotField axis="axisCol" showAll="0">
      <items count="3">
        <item m="1" x="1"/>
        <item m="1" x="0"/>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3">
    <field x="5"/>
    <field x="6"/>
    <field x="1"/>
  </rowFields>
  <colFields count="2">
    <field x="14"/>
    <field x="-2"/>
  </colFields>
  <dataFields count="2">
    <dataField name="Count" fld="0" subtotal="count" baseField="0" baseItem="0"/>
    <dataField name="Invoice Amt (SAR)" fld="11" baseField="5" baseItem="1" numFmtId="4"/>
  </dataFields>
  <formats count="166">
    <format dxfId="272">
      <pivotArea type="origin" dataOnly="0" labelOnly="1" outline="0" fieldPosition="0"/>
    </format>
    <format dxfId="271">
      <pivotArea field="14" type="button" dataOnly="0" labelOnly="1" outline="0" axis="axisCol" fieldPosition="0"/>
    </format>
    <format dxfId="270">
      <pivotArea field="6" type="button" dataOnly="0" labelOnly="1" outline="0" axis="axisRow" fieldPosition="1"/>
    </format>
    <format dxfId="269">
      <pivotArea field="1" type="button" dataOnly="0" labelOnly="1" outline="0" axis="axisRow" fieldPosition="2"/>
    </format>
    <format dxfId="268">
      <pivotArea dataOnly="0" labelOnly="1" outline="0" fieldPosition="0">
        <references count="1">
          <reference field="14" count="0"/>
        </references>
      </pivotArea>
    </format>
    <format dxfId="267">
      <pivotArea grandRow="1" outline="0" collapsedLevelsAreSubtotals="1" fieldPosition="0"/>
    </format>
    <format dxfId="266">
      <pivotArea dataOnly="0" labelOnly="1" grandRow="1" outline="0" fieldPosition="0"/>
    </format>
    <format dxfId="265">
      <pivotArea outline="0" fieldPosition="0">
        <references count="2">
          <reference field="1" count="0" selected="0"/>
          <reference field="6" count="0" selected="0"/>
        </references>
      </pivotArea>
    </format>
    <format dxfId="264">
      <pivotArea dataOnly="0" labelOnly="1" outline="0" fieldPosition="0">
        <references count="1">
          <reference field="6" count="0"/>
        </references>
      </pivotArea>
    </format>
    <format dxfId="263">
      <pivotArea dataOnly="0" labelOnly="1" outline="0" fieldPosition="0">
        <references count="2">
          <reference field="1" count="2">
            <x v="0"/>
            <x v="3"/>
          </reference>
          <reference field="6" count="1" selected="0">
            <x v="0"/>
          </reference>
        </references>
      </pivotArea>
    </format>
    <format dxfId="262">
      <pivotArea dataOnly="0" labelOnly="1" outline="0" fieldPosition="0">
        <references count="2">
          <reference field="1" count="1">
            <x v="0"/>
          </reference>
          <reference field="6" count="1" selected="0">
            <x v="1"/>
          </reference>
        </references>
      </pivotArea>
    </format>
    <format dxfId="261">
      <pivotArea dataOnly="0" labelOnly="1" outline="0" fieldPosition="0">
        <references count="2">
          <reference field="1" count="2">
            <x v="0"/>
            <x v="3"/>
          </reference>
          <reference field="6" count="1" selected="0">
            <x v="2"/>
          </reference>
        </references>
      </pivotArea>
    </format>
    <format dxfId="260">
      <pivotArea dataOnly="0" labelOnly="1" outline="0" fieldPosition="0">
        <references count="2">
          <reference field="1" count="1">
            <x v="2"/>
          </reference>
          <reference field="6" count="1" selected="0">
            <x v="3"/>
          </reference>
        </references>
      </pivotArea>
    </format>
    <format dxfId="259">
      <pivotArea dataOnly="0" labelOnly="1" outline="0" fieldPosition="0">
        <references count="2">
          <reference field="1" count="1">
            <x v="3"/>
          </reference>
          <reference field="6" count="1" selected="0">
            <x v="4"/>
          </reference>
        </references>
      </pivotArea>
    </format>
    <format dxfId="258">
      <pivotArea dataOnly="0" labelOnly="1" outline="0" fieldPosition="0">
        <references count="2">
          <reference field="1" count="1">
            <x v="1"/>
          </reference>
          <reference field="6" count="1" selected="0">
            <x v="5"/>
          </reference>
        </references>
      </pivotArea>
    </format>
    <format dxfId="257">
      <pivotArea outline="0" fieldPosition="0">
        <references count="2">
          <reference field="1" count="0" selected="0"/>
          <reference field="6" count="0" selected="0"/>
        </references>
      </pivotArea>
    </format>
    <format dxfId="256">
      <pivotArea dataOnly="0" labelOnly="1" outline="0" fieldPosition="0">
        <references count="2">
          <reference field="1" count="2">
            <x v="0"/>
            <x v="3"/>
          </reference>
          <reference field="6" count="1" selected="0">
            <x v="0"/>
          </reference>
        </references>
      </pivotArea>
    </format>
    <format dxfId="255">
      <pivotArea dataOnly="0" labelOnly="1" outline="0" fieldPosition="0">
        <references count="2">
          <reference field="1" count="1">
            <x v="0"/>
          </reference>
          <reference field="6" count="1" selected="0">
            <x v="1"/>
          </reference>
        </references>
      </pivotArea>
    </format>
    <format dxfId="254">
      <pivotArea dataOnly="0" labelOnly="1" outline="0" fieldPosition="0">
        <references count="2">
          <reference field="1" count="2">
            <x v="0"/>
            <x v="3"/>
          </reference>
          <reference field="6" count="1" selected="0">
            <x v="2"/>
          </reference>
        </references>
      </pivotArea>
    </format>
    <format dxfId="253">
      <pivotArea dataOnly="0" labelOnly="1" outline="0" fieldPosition="0">
        <references count="2">
          <reference field="1" count="1">
            <x v="2"/>
          </reference>
          <reference field="6" count="1" selected="0">
            <x v="3"/>
          </reference>
        </references>
      </pivotArea>
    </format>
    <format dxfId="252">
      <pivotArea dataOnly="0" labelOnly="1" outline="0" fieldPosition="0">
        <references count="2">
          <reference field="1" count="1">
            <x v="3"/>
          </reference>
          <reference field="6" count="1" selected="0">
            <x v="4"/>
          </reference>
        </references>
      </pivotArea>
    </format>
    <format dxfId="251">
      <pivotArea dataOnly="0" labelOnly="1" outline="0" fieldPosition="0">
        <references count="2">
          <reference field="1" count="1">
            <x v="1"/>
          </reference>
          <reference field="6" count="1" selected="0">
            <x v="5"/>
          </reference>
        </references>
      </pivotArea>
    </format>
    <format dxfId="250">
      <pivotArea type="all" dataOnly="0" outline="0" fieldPosition="0"/>
    </format>
    <format dxfId="249">
      <pivotArea outline="0" collapsedLevelsAreSubtotals="1" fieldPosition="0"/>
    </format>
    <format dxfId="248">
      <pivotArea type="origin" dataOnly="0" labelOnly="1" outline="0" fieldPosition="0"/>
    </format>
    <format dxfId="247">
      <pivotArea field="14" type="button" dataOnly="0" labelOnly="1" outline="0" axis="axisCol" fieldPosition="0"/>
    </format>
    <format dxfId="246">
      <pivotArea field="6" type="button" dataOnly="0" labelOnly="1" outline="0" axis="axisRow" fieldPosition="1"/>
    </format>
    <format dxfId="245">
      <pivotArea dataOnly="0" labelOnly="1" fieldPosition="0">
        <references count="1">
          <reference field="6" count="0"/>
        </references>
      </pivotArea>
    </format>
    <format dxfId="244">
      <pivotArea dataOnly="0" labelOnly="1" grandRow="1" outline="0" fieldPosition="0"/>
    </format>
    <format dxfId="243">
      <pivotArea dataOnly="0" labelOnly="1" fieldPosition="0">
        <references count="2">
          <reference field="1" count="2">
            <x v="0"/>
            <x v="3"/>
          </reference>
          <reference field="6" count="1" selected="0">
            <x v="0"/>
          </reference>
        </references>
      </pivotArea>
    </format>
    <format dxfId="242">
      <pivotArea dataOnly="0" labelOnly="1" fieldPosition="0">
        <references count="2">
          <reference field="1" count="1">
            <x v="0"/>
          </reference>
          <reference field="6" count="1" selected="0">
            <x v="1"/>
          </reference>
        </references>
      </pivotArea>
    </format>
    <format dxfId="241">
      <pivotArea dataOnly="0" labelOnly="1" fieldPosition="0">
        <references count="2">
          <reference field="1" count="2">
            <x v="0"/>
            <x v="3"/>
          </reference>
          <reference field="6" count="1" selected="0">
            <x v="2"/>
          </reference>
        </references>
      </pivotArea>
    </format>
    <format dxfId="240">
      <pivotArea dataOnly="0" labelOnly="1" fieldPosition="0">
        <references count="2">
          <reference field="1" count="1">
            <x v="2"/>
          </reference>
          <reference field="6" count="1" selected="0">
            <x v="3"/>
          </reference>
        </references>
      </pivotArea>
    </format>
    <format dxfId="239">
      <pivotArea dataOnly="0" labelOnly="1" fieldPosition="0">
        <references count="2">
          <reference field="1" count="1">
            <x v="3"/>
          </reference>
          <reference field="6" count="1" selected="0">
            <x v="4"/>
          </reference>
        </references>
      </pivotArea>
    </format>
    <format dxfId="238">
      <pivotArea dataOnly="0" labelOnly="1" fieldPosition="0">
        <references count="2">
          <reference field="1" count="1">
            <x v="1"/>
          </reference>
          <reference field="6" count="1" selected="0">
            <x v="5"/>
          </reference>
        </references>
      </pivotArea>
    </format>
    <format dxfId="237">
      <pivotArea dataOnly="0" labelOnly="1" fieldPosition="0">
        <references count="1">
          <reference field="14" count="0"/>
        </references>
      </pivotArea>
    </format>
    <format dxfId="236">
      <pivotArea collapsedLevelsAreSubtotals="1" fieldPosition="0">
        <references count="1">
          <reference field="6" count="1">
            <x v="0"/>
          </reference>
        </references>
      </pivotArea>
    </format>
    <format dxfId="235">
      <pivotArea collapsedLevelsAreSubtotals="1" fieldPosition="0">
        <references count="2">
          <reference field="1" count="2">
            <x v="0"/>
            <x v="3"/>
          </reference>
          <reference field="6" count="1" selected="0">
            <x v="0"/>
          </reference>
        </references>
      </pivotArea>
    </format>
    <format dxfId="234">
      <pivotArea collapsedLevelsAreSubtotals="1" fieldPosition="0">
        <references count="1">
          <reference field="6" count="1">
            <x v="1"/>
          </reference>
        </references>
      </pivotArea>
    </format>
    <format dxfId="233">
      <pivotArea collapsedLevelsAreSubtotals="1" fieldPosition="0">
        <references count="2">
          <reference field="1" count="1">
            <x v="0"/>
          </reference>
          <reference field="6" count="1" selected="0">
            <x v="1"/>
          </reference>
        </references>
      </pivotArea>
    </format>
    <format dxfId="232">
      <pivotArea collapsedLevelsAreSubtotals="1" fieldPosition="0">
        <references count="1">
          <reference field="6" count="1">
            <x v="2"/>
          </reference>
        </references>
      </pivotArea>
    </format>
    <format dxfId="231">
      <pivotArea collapsedLevelsAreSubtotals="1" fieldPosition="0">
        <references count="2">
          <reference field="1" count="2">
            <x v="0"/>
            <x v="3"/>
          </reference>
          <reference field="6" count="1" selected="0">
            <x v="2"/>
          </reference>
        </references>
      </pivotArea>
    </format>
    <format dxfId="230">
      <pivotArea collapsedLevelsAreSubtotals="1" fieldPosition="0">
        <references count="1">
          <reference field="6" count="1">
            <x v="3"/>
          </reference>
        </references>
      </pivotArea>
    </format>
    <format dxfId="229">
      <pivotArea collapsedLevelsAreSubtotals="1" fieldPosition="0">
        <references count="2">
          <reference field="1" count="1">
            <x v="2"/>
          </reference>
          <reference field="6" count="1" selected="0">
            <x v="3"/>
          </reference>
        </references>
      </pivotArea>
    </format>
    <format dxfId="228">
      <pivotArea collapsedLevelsAreSubtotals="1" fieldPosition="0">
        <references count="1">
          <reference field="6" count="1">
            <x v="4"/>
          </reference>
        </references>
      </pivotArea>
    </format>
    <format dxfId="227">
      <pivotArea collapsedLevelsAreSubtotals="1" fieldPosition="0">
        <references count="2">
          <reference field="1" count="1">
            <x v="3"/>
          </reference>
          <reference field="6" count="1" selected="0">
            <x v="4"/>
          </reference>
        </references>
      </pivotArea>
    </format>
    <format dxfId="226">
      <pivotArea collapsedLevelsAreSubtotals="1" fieldPosition="0">
        <references count="1">
          <reference field="6" count="1">
            <x v="5"/>
          </reference>
        </references>
      </pivotArea>
    </format>
    <format dxfId="225">
      <pivotArea collapsedLevelsAreSubtotals="1" fieldPosition="0">
        <references count="2">
          <reference field="1" count="1">
            <x v="1"/>
          </reference>
          <reference field="6" count="1" selected="0">
            <x v="5"/>
          </reference>
        </references>
      </pivotArea>
    </format>
    <format dxfId="224">
      <pivotArea dataOnly="0" labelOnly="1" outline="0" fieldPosition="0">
        <references count="2">
          <reference field="4294967294" count="1">
            <x v="0"/>
          </reference>
          <reference field="14" count="0" selected="0"/>
        </references>
      </pivotArea>
    </format>
    <format dxfId="223">
      <pivotArea field="-2" type="button" dataOnly="0" labelOnly="1" outline="0" axis="axisCol" fieldPosition="1"/>
    </format>
    <format dxfId="222">
      <pivotArea dataOnly="0" labelOnly="1" outline="0" fieldPosition="0">
        <references count="2">
          <reference field="4294967294" count="1">
            <x v="0"/>
          </reference>
          <reference field="14" count="0" selected="0"/>
        </references>
      </pivotArea>
    </format>
    <format dxfId="221">
      <pivotArea dataOnly="0" labelOnly="1" outline="0" fieldPosition="0">
        <references count="2">
          <reference field="4294967294" count="1">
            <x v="0"/>
          </reference>
          <reference field="14" count="0" selected="0"/>
        </references>
      </pivotArea>
    </format>
    <format dxfId="220">
      <pivotArea field="-2" type="button" dataOnly="0" labelOnly="1" outline="0" axis="axisCol" fieldPosition="1"/>
    </format>
    <format dxfId="219">
      <pivotArea field="6" type="button" dataOnly="0" labelOnly="1" outline="0" axis="axisRow" fieldPosition="1"/>
    </format>
    <format dxfId="218">
      <pivotArea dataOnly="0" labelOnly="1" outline="0" fieldPosition="0">
        <references count="2">
          <reference field="4294967294" count="1">
            <x v="0"/>
          </reference>
          <reference field="14" count="0" selected="0"/>
        </references>
      </pivotArea>
    </format>
    <format dxfId="217">
      <pivotArea dataOnly="0" labelOnly="1" offset="A256" fieldPosition="0">
        <references count="1">
          <reference field="14" count="0"/>
        </references>
      </pivotArea>
    </format>
    <format dxfId="216">
      <pivotArea collapsedLevelsAreSubtotals="1" fieldPosition="0">
        <references count="3">
          <reference field="4294967294" count="1" selected="0">
            <x v="0"/>
          </reference>
          <reference field="6" count="1">
            <x v="0"/>
          </reference>
          <reference field="14" count="0" selected="0"/>
        </references>
      </pivotArea>
    </format>
    <format dxfId="215">
      <pivotArea collapsedLevelsAreSubtotals="1" fieldPosition="0">
        <references count="3">
          <reference field="4294967294" count="1" selected="0">
            <x v="0"/>
          </reference>
          <reference field="6" count="1">
            <x v="1"/>
          </reference>
          <reference field="14" count="0" selected="0"/>
        </references>
      </pivotArea>
    </format>
    <format dxfId="214">
      <pivotArea collapsedLevelsAreSubtotals="1" fieldPosition="0">
        <references count="3">
          <reference field="4294967294" count="1" selected="0">
            <x v="0"/>
          </reference>
          <reference field="6" count="1">
            <x v="2"/>
          </reference>
          <reference field="14" count="0" selected="0"/>
        </references>
      </pivotArea>
    </format>
    <format dxfId="213">
      <pivotArea collapsedLevelsAreSubtotals="1" fieldPosition="0">
        <references count="3">
          <reference field="4294967294" count="1" selected="0">
            <x v="0"/>
          </reference>
          <reference field="6" count="1">
            <x v="3"/>
          </reference>
          <reference field="14" count="0" selected="0"/>
        </references>
      </pivotArea>
    </format>
    <format dxfId="212">
      <pivotArea collapsedLevelsAreSubtotals="1" fieldPosition="0">
        <references count="3">
          <reference field="4294967294" count="1" selected="0">
            <x v="0"/>
          </reference>
          <reference field="6" count="1">
            <x v="4"/>
          </reference>
          <reference field="14" count="0" selected="0"/>
        </references>
      </pivotArea>
    </format>
    <format dxfId="211">
      <pivotArea collapsedLevelsAreSubtotals="1" fieldPosition="0">
        <references count="3">
          <reference field="4294967294" count="1" selected="0">
            <x v="0"/>
          </reference>
          <reference field="6" count="1">
            <x v="5"/>
          </reference>
          <reference field="14" count="0" selected="0"/>
        </references>
      </pivotArea>
    </format>
    <format dxfId="210">
      <pivotArea field="14" grandRow="1" outline="0" collapsedLevelsAreSubtotals="1" axis="axisCol" fieldPosition="0">
        <references count="2">
          <reference field="4294967294" count="1" selected="0">
            <x v="0"/>
          </reference>
          <reference field="14" count="0" selected="0"/>
        </references>
      </pivotArea>
    </format>
    <format dxfId="209">
      <pivotArea grandRow="1" outline="0" collapsedLevelsAreSubtotals="1" fieldPosition="0"/>
    </format>
    <format dxfId="208">
      <pivotArea collapsedLevelsAreSubtotals="1" fieldPosition="0">
        <references count="1">
          <reference field="5" count="1">
            <x v="1"/>
          </reference>
        </references>
      </pivotArea>
    </format>
    <format dxfId="207">
      <pivotArea dataOnly="0" labelOnly="1" fieldPosition="0">
        <references count="1">
          <reference field="5" count="1">
            <x v="1"/>
          </reference>
        </references>
      </pivotArea>
    </format>
    <format dxfId="206">
      <pivotArea collapsedLevelsAreSubtotals="1" fieldPosition="0">
        <references count="1">
          <reference field="5" count="1">
            <x v="0"/>
          </reference>
        </references>
      </pivotArea>
    </format>
    <format dxfId="205">
      <pivotArea dataOnly="0" labelOnly="1" fieldPosition="0">
        <references count="1">
          <reference field="5" count="1">
            <x v="0"/>
          </reference>
        </references>
      </pivotArea>
    </format>
    <format dxfId="204">
      <pivotArea collapsedLevelsAreSubtotals="1" fieldPosition="0">
        <references count="3">
          <reference field="4294967294" count="1" selected="0">
            <x v="0"/>
          </reference>
          <reference field="5" count="1">
            <x v="1"/>
          </reference>
          <reference field="14" count="0" selected="0"/>
        </references>
      </pivotArea>
    </format>
    <format dxfId="203">
      <pivotArea collapsedLevelsAreSubtotals="1" fieldPosition="0">
        <references count="3">
          <reference field="4294967294" count="1" selected="0">
            <x v="0"/>
          </reference>
          <reference field="5" count="1">
            <x v="0"/>
          </reference>
          <reference field="14" count="0" selected="0"/>
        </references>
      </pivotArea>
    </format>
    <format dxfId="202">
      <pivotArea collapsedLevelsAreSubtotals="1" fieldPosition="0">
        <references count="1">
          <reference field="5" count="1">
            <x v="1"/>
          </reference>
        </references>
      </pivotArea>
    </format>
    <format dxfId="201">
      <pivotArea dataOnly="0" labelOnly="1" fieldPosition="0">
        <references count="1">
          <reference field="5" count="1">
            <x v="1"/>
          </reference>
        </references>
      </pivotArea>
    </format>
    <format dxfId="200">
      <pivotArea collapsedLevelsAreSubtotals="1" fieldPosition="0">
        <references count="1">
          <reference field="5" count="1">
            <x v="0"/>
          </reference>
        </references>
      </pivotArea>
    </format>
    <format dxfId="199">
      <pivotArea dataOnly="0" labelOnly="1" fieldPosition="0">
        <references count="1">
          <reference field="5" count="1">
            <x v="0"/>
          </reference>
        </references>
      </pivotArea>
    </format>
    <format dxfId="198">
      <pivotArea collapsedLevelsAreSubtotals="1" fieldPosition="0">
        <references count="1">
          <reference field="5" count="1">
            <x v="0"/>
          </reference>
        </references>
      </pivotArea>
    </format>
    <format dxfId="197">
      <pivotArea dataOnly="0" labelOnly="1" fieldPosition="0">
        <references count="1">
          <reference field="5" count="1">
            <x v="0"/>
          </reference>
        </references>
      </pivotArea>
    </format>
    <format dxfId="196">
      <pivotArea collapsedLevelsAreSubtotals="1" fieldPosition="0">
        <references count="1">
          <reference field="5" count="1">
            <x v="1"/>
          </reference>
        </references>
      </pivotArea>
    </format>
    <format dxfId="195">
      <pivotArea dataOnly="0" labelOnly="1" fieldPosition="0">
        <references count="1">
          <reference field="5" count="1">
            <x v="1"/>
          </reference>
        </references>
      </pivotArea>
    </format>
    <format dxfId="194">
      <pivotArea grandRow="1" outline="0" collapsedLevelsAreSubtotals="1" fieldPosition="0"/>
    </format>
    <format dxfId="193">
      <pivotArea dataOnly="0" labelOnly="1" grandRow="1" outline="0" fieldPosition="0"/>
    </format>
    <format dxfId="192">
      <pivotArea type="origin" dataOnly="0" labelOnly="1" outline="0" fieldPosition="0"/>
    </format>
    <format dxfId="191">
      <pivotArea field="5" type="button" dataOnly="0" labelOnly="1" outline="0" axis="axisRow" fieldPosition="0"/>
    </format>
    <format dxfId="190">
      <pivotArea field="14" type="button" dataOnly="0" labelOnly="1" outline="0" axis="axisCol" fieldPosition="0"/>
    </format>
    <format dxfId="189">
      <pivotArea dataOnly="0" labelOnly="1" outline="0" fieldPosition="0">
        <references count="2">
          <reference field="4294967294" count="1">
            <x v="0"/>
          </reference>
          <reference field="14" count="0" selected="0"/>
        </references>
      </pivotArea>
    </format>
    <format dxfId="188">
      <pivotArea field="-2" type="button" dataOnly="0" labelOnly="1" outline="0" axis="axisCol" fieldPosition="1"/>
    </format>
    <format dxfId="187">
      <pivotArea dataOnly="0" labelOnly="1" offset="IV256" fieldPosition="0">
        <references count="1">
          <reference field="14" count="0"/>
        </references>
      </pivotArea>
    </format>
    <format dxfId="186">
      <pivotArea collapsedLevelsAreSubtotals="1" fieldPosition="0">
        <references count="1">
          <reference field="5" count="1">
            <x v="2"/>
          </reference>
        </references>
      </pivotArea>
    </format>
    <format dxfId="185">
      <pivotArea dataOnly="0" labelOnly="1" fieldPosition="0">
        <references count="1">
          <reference field="5" count="1">
            <x v="2"/>
          </reference>
        </references>
      </pivotArea>
    </format>
    <format dxfId="184">
      <pivotArea collapsedLevelsAreSubtotals="1" fieldPosition="0">
        <references count="1">
          <reference field="5" count="1">
            <x v="2"/>
          </reference>
        </references>
      </pivotArea>
    </format>
    <format dxfId="183">
      <pivotArea dataOnly="0" labelOnly="1" fieldPosition="0">
        <references count="1">
          <reference field="5" count="1">
            <x v="2"/>
          </reference>
        </references>
      </pivotArea>
    </format>
    <format dxfId="182">
      <pivotArea collapsedLevelsAreSubtotals="1" fieldPosition="0">
        <references count="3">
          <reference field="4294967294" count="1" selected="0">
            <x v="0"/>
          </reference>
          <reference field="5" count="1">
            <x v="2"/>
          </reference>
          <reference field="14" count="0" selected="0"/>
        </references>
      </pivotArea>
    </format>
    <format dxfId="181">
      <pivotArea collapsedLevelsAreSubtotals="1" fieldPosition="0">
        <references count="4">
          <reference field="4294967294" count="1" selected="0">
            <x v="0"/>
          </reference>
          <reference field="5" count="1" selected="0">
            <x v="2"/>
          </reference>
          <reference field="6" count="1">
            <x v="6"/>
          </reference>
          <reference field="14" count="0" selected="0"/>
        </references>
      </pivotArea>
    </format>
    <format dxfId="180">
      <pivotArea collapsedLevelsAreSubtotals="1" fieldPosition="0">
        <references count="4">
          <reference field="4294967294" count="1" selected="0">
            <x v="0"/>
          </reference>
          <reference field="5" count="1" selected="0">
            <x v="2"/>
          </reference>
          <reference field="6" count="1">
            <x v="6"/>
          </reference>
          <reference field="14" count="0" selected="0"/>
        </references>
      </pivotArea>
    </format>
    <format dxfId="179">
      <pivotArea collapsedLevelsAreSubtotals="1" fieldPosition="0">
        <references count="1">
          <reference field="5" count="1">
            <x v="3"/>
          </reference>
        </references>
      </pivotArea>
    </format>
    <format dxfId="178">
      <pivotArea dataOnly="0" labelOnly="1" fieldPosition="0">
        <references count="1">
          <reference field="5" count="1">
            <x v="3"/>
          </reference>
        </references>
      </pivotArea>
    </format>
    <format dxfId="177">
      <pivotArea collapsedLevelsAreSubtotals="1" fieldPosition="0">
        <references count="1">
          <reference field="5" count="1">
            <x v="3"/>
          </reference>
        </references>
      </pivotArea>
    </format>
    <format dxfId="176">
      <pivotArea dataOnly="0" labelOnly="1" fieldPosition="0">
        <references count="1">
          <reference field="5" count="1">
            <x v="3"/>
          </reference>
        </references>
      </pivotArea>
    </format>
    <format dxfId="175">
      <pivotArea collapsedLevelsAreSubtotals="1" fieldPosition="0">
        <references count="3">
          <reference field="4294967294" count="1" selected="0">
            <x v="0"/>
          </reference>
          <reference field="5" count="1">
            <x v="3"/>
          </reference>
          <reference field="14" count="0" selected="0"/>
        </references>
      </pivotArea>
    </format>
    <format dxfId="174">
      <pivotArea collapsedLevelsAreSubtotals="1" fieldPosition="0">
        <references count="4">
          <reference field="4294967294" count="1" selected="0">
            <x v="0"/>
          </reference>
          <reference field="5" count="1" selected="0">
            <x v="3"/>
          </reference>
          <reference field="6" count="1">
            <x v="7"/>
          </reference>
          <reference field="14" count="0" selected="0"/>
        </references>
      </pivotArea>
    </format>
    <format dxfId="173">
      <pivotArea collapsedLevelsAreSubtotals="1" fieldPosition="0">
        <references count="4">
          <reference field="4294967294" count="1" selected="0">
            <x v="0"/>
          </reference>
          <reference field="5" count="1" selected="0">
            <x v="3"/>
          </reference>
          <reference field="6" count="1">
            <x v="7"/>
          </reference>
          <reference field="14" count="0" selected="0"/>
        </references>
      </pivotArea>
    </format>
    <format dxfId="172">
      <pivotArea collapsedLevelsAreSubtotals="1" fieldPosition="0">
        <references count="1">
          <reference field="5" count="1">
            <x v="3"/>
          </reference>
        </references>
      </pivotArea>
    </format>
    <format dxfId="171">
      <pivotArea dataOnly="0" labelOnly="1" fieldPosition="0">
        <references count="1">
          <reference field="5" count="1">
            <x v="3"/>
          </reference>
        </references>
      </pivotArea>
    </format>
    <format dxfId="170">
      <pivotArea collapsedLevelsAreSubtotals="1" fieldPosition="0">
        <references count="2">
          <reference field="5" count="1" selected="0">
            <x v="0"/>
          </reference>
          <reference field="6" count="1">
            <x v="0"/>
          </reference>
        </references>
      </pivotArea>
    </format>
    <format dxfId="169">
      <pivotArea dataOnly="0" labelOnly="1" fieldPosition="0">
        <references count="2">
          <reference field="5" count="1" selected="0">
            <x v="0"/>
          </reference>
          <reference field="6" count="1">
            <x v="0"/>
          </reference>
        </references>
      </pivotArea>
    </format>
    <format dxfId="168">
      <pivotArea collapsedLevelsAreSubtotals="1" fieldPosition="0">
        <references count="2">
          <reference field="5" count="1" selected="0">
            <x v="0"/>
          </reference>
          <reference field="6" count="1">
            <x v="2"/>
          </reference>
        </references>
      </pivotArea>
    </format>
    <format dxfId="167">
      <pivotArea dataOnly="0" labelOnly="1" fieldPosition="0">
        <references count="2">
          <reference field="5" count="1" selected="0">
            <x v="0"/>
          </reference>
          <reference field="6" count="1">
            <x v="2"/>
          </reference>
        </references>
      </pivotArea>
    </format>
    <format dxfId="166">
      <pivotArea collapsedLevelsAreSubtotals="1" fieldPosition="0">
        <references count="2">
          <reference field="5" count="1" selected="0">
            <x v="0"/>
          </reference>
          <reference field="6" count="1">
            <x v="3"/>
          </reference>
        </references>
      </pivotArea>
    </format>
    <format dxfId="165">
      <pivotArea dataOnly="0" labelOnly="1" fieldPosition="0">
        <references count="2">
          <reference field="5" count="1" selected="0">
            <x v="0"/>
          </reference>
          <reference field="6" count="1">
            <x v="3"/>
          </reference>
        </references>
      </pivotArea>
    </format>
    <format dxfId="164">
      <pivotArea collapsedLevelsAreSubtotals="1" fieldPosition="0">
        <references count="2">
          <reference field="5" count="1" selected="0">
            <x v="0"/>
          </reference>
          <reference field="6" count="1">
            <x v="5"/>
          </reference>
        </references>
      </pivotArea>
    </format>
    <format dxfId="163">
      <pivotArea dataOnly="0" labelOnly="1" fieldPosition="0">
        <references count="2">
          <reference field="5" count="1" selected="0">
            <x v="0"/>
          </reference>
          <reference field="6" count="1">
            <x v="5"/>
          </reference>
        </references>
      </pivotArea>
    </format>
    <format dxfId="162">
      <pivotArea collapsedLevelsAreSubtotals="1" fieldPosition="0">
        <references count="2">
          <reference field="5" count="1" selected="0">
            <x v="1"/>
          </reference>
          <reference field="6" count="1">
            <x v="2"/>
          </reference>
        </references>
      </pivotArea>
    </format>
    <format dxfId="161">
      <pivotArea dataOnly="0" labelOnly="1" fieldPosition="0">
        <references count="2">
          <reference field="5" count="1" selected="0">
            <x v="1"/>
          </reference>
          <reference field="6" count="1">
            <x v="2"/>
          </reference>
        </references>
      </pivotArea>
    </format>
    <format dxfId="160">
      <pivotArea collapsedLevelsAreSubtotals="1" fieldPosition="0">
        <references count="2">
          <reference field="5" count="1" selected="0">
            <x v="3"/>
          </reference>
          <reference field="6" count="1">
            <x v="7"/>
          </reference>
        </references>
      </pivotArea>
    </format>
    <format dxfId="159">
      <pivotArea dataOnly="0" labelOnly="1" fieldPosition="0">
        <references count="2">
          <reference field="5" count="1" selected="0">
            <x v="3"/>
          </reference>
          <reference field="6" count="1">
            <x v="7"/>
          </reference>
        </references>
      </pivotArea>
    </format>
    <format dxfId="158">
      <pivotArea collapsedLevelsAreSubtotals="1" fieldPosition="0">
        <references count="2">
          <reference field="5" count="1" selected="0">
            <x v="1"/>
          </reference>
          <reference field="6" count="1">
            <x v="5"/>
          </reference>
        </references>
      </pivotArea>
    </format>
    <format dxfId="157">
      <pivotArea dataOnly="0" labelOnly="1" fieldPosition="0">
        <references count="2">
          <reference field="5" count="1" selected="0">
            <x v="1"/>
          </reference>
          <reference field="6" count="1">
            <x v="5"/>
          </reference>
        </references>
      </pivotArea>
    </format>
    <format dxfId="156">
      <pivotArea collapsedLevelsAreSubtotals="1" fieldPosition="0">
        <references count="2">
          <reference field="5" count="1" selected="0">
            <x v="2"/>
          </reference>
          <reference field="6" count="1">
            <x v="6"/>
          </reference>
        </references>
      </pivotArea>
    </format>
    <format dxfId="155">
      <pivotArea dataOnly="0" labelOnly="1" fieldPosition="0">
        <references count="2">
          <reference field="5" count="1" selected="0">
            <x v="2"/>
          </reference>
          <reference field="6" count="1">
            <x v="6"/>
          </reference>
        </references>
      </pivotArea>
    </format>
    <format dxfId="154">
      <pivotArea collapsedLevelsAreSubtotals="1" fieldPosition="0">
        <references count="4">
          <reference field="4294967294" count="1" selected="0">
            <x v="1"/>
          </reference>
          <reference field="5" count="0" selected="0"/>
          <reference field="6" count="1">
            <x v="2"/>
          </reference>
          <reference field="14" count="0" selected="0"/>
        </references>
      </pivotArea>
    </format>
    <format dxfId="153">
      <pivotArea collapsedLevelsAreSubtotals="1" fieldPosition="0">
        <references count="5">
          <reference field="4294967294" count="1" selected="0">
            <x v="1"/>
          </reference>
          <reference field="1" count="0"/>
          <reference field="5" count="0" selected="0"/>
          <reference field="6" count="1" selected="0">
            <x v="2"/>
          </reference>
          <reference field="14" count="0" selected="0"/>
        </references>
      </pivotArea>
    </format>
    <format dxfId="152">
      <pivotArea collapsedLevelsAreSubtotals="1" fieldPosition="0">
        <references count="4">
          <reference field="4294967294" count="1" selected="0">
            <x v="1"/>
          </reference>
          <reference field="5" count="0" selected="0"/>
          <reference field="6" count="1">
            <x v="4"/>
          </reference>
          <reference field="14" count="0" selected="0"/>
        </references>
      </pivotArea>
    </format>
    <format dxfId="151">
      <pivotArea collapsedLevelsAreSubtotals="1" fieldPosition="0">
        <references count="5">
          <reference field="4294967294" count="1" selected="0">
            <x v="1"/>
          </reference>
          <reference field="1" count="0"/>
          <reference field="5" count="0" selected="0"/>
          <reference field="6" count="1" selected="0">
            <x v="4"/>
          </reference>
          <reference field="14" count="0" selected="0"/>
        </references>
      </pivotArea>
    </format>
    <format dxfId="150">
      <pivotArea field="14" grandRow="1" outline="0" collapsedLevelsAreSubtotals="1" axis="axisCol" fieldPosition="0">
        <references count="2">
          <reference field="4294967294" count="1" selected="0">
            <x v="1"/>
          </reference>
          <reference field="14" count="0" selected="0"/>
        </references>
      </pivotArea>
    </format>
    <format dxfId="149">
      <pivotArea outline="0" fieldPosition="0">
        <references count="1">
          <reference field="4294967294" count="1">
            <x v="1"/>
          </reference>
        </references>
      </pivotArea>
    </format>
    <format dxfId="148">
      <pivotArea collapsedLevelsAreSubtotals="1" fieldPosition="0">
        <references count="2">
          <reference field="5" count="0" selected="0"/>
          <reference field="6" count="1">
            <x v="4"/>
          </reference>
        </references>
      </pivotArea>
    </format>
    <format dxfId="147">
      <pivotArea dataOnly="0" labelOnly="1" fieldPosition="0">
        <references count="2">
          <reference field="5" count="0" selected="0"/>
          <reference field="6" count="1">
            <x v="4"/>
          </reference>
        </references>
      </pivotArea>
    </format>
    <format dxfId="146">
      <pivotArea dataOnly="0" labelOnly="1" outline="0" fieldPosition="0">
        <references count="2">
          <reference field="4294967294" count="1">
            <x v="1"/>
          </reference>
          <reference field="14" count="0" selected="0"/>
        </references>
      </pivotArea>
    </format>
    <format dxfId="145">
      <pivotArea dataOnly="0" labelOnly="1" outline="0" fieldPosition="0">
        <references count="2">
          <reference field="4294967294" count="1">
            <x v="1"/>
          </reference>
          <reference field="14" count="0" selected="0"/>
        </references>
      </pivotArea>
    </format>
    <format dxfId="144">
      <pivotArea collapsedLevelsAreSubtotals="1" fieldPosition="0">
        <references count="4">
          <reference field="4294967294" count="1" selected="0">
            <x v="0"/>
          </reference>
          <reference field="5" count="1" selected="0">
            <x v="0"/>
          </reference>
          <reference field="6" count="1">
            <x v="9"/>
          </reference>
          <reference field="14" count="0" selected="0"/>
        </references>
      </pivotArea>
    </format>
    <format dxfId="143">
      <pivotArea collapsedLevelsAreSubtotals="1" fieldPosition="0">
        <references count="4">
          <reference field="4294967294" count="1" selected="0">
            <x v="0"/>
          </reference>
          <reference field="5" count="1" selected="0">
            <x v="0"/>
          </reference>
          <reference field="6" count="1">
            <x v="9"/>
          </reference>
          <reference field="14" count="0" selected="0"/>
        </references>
      </pivotArea>
    </format>
    <format dxfId="142">
      <pivotArea collapsedLevelsAreSubtotals="1" fieldPosition="0">
        <references count="2">
          <reference field="5" count="1" selected="0">
            <x v="0"/>
          </reference>
          <reference field="6" count="1">
            <x v="9"/>
          </reference>
        </references>
      </pivotArea>
    </format>
    <format dxfId="141">
      <pivotArea dataOnly="0" labelOnly="1" fieldPosition="0">
        <references count="2">
          <reference field="5" count="1" selected="0">
            <x v="0"/>
          </reference>
          <reference field="6" count="1">
            <x v="9"/>
          </reference>
        </references>
      </pivotArea>
    </format>
    <format dxfId="140">
      <pivotArea collapsedLevelsAreSubtotals="1" fieldPosition="0">
        <references count="4">
          <reference field="4294967294" count="1" selected="0">
            <x v="1"/>
          </reference>
          <reference field="5" count="1" selected="0">
            <x v="0"/>
          </reference>
          <reference field="6" count="1">
            <x v="3"/>
          </reference>
          <reference field="14" count="0" selected="0"/>
        </references>
      </pivotArea>
    </format>
    <format dxfId="139">
      <pivotArea collapsedLevelsAreSubtotals="1" fieldPosition="0">
        <references count="5">
          <reference field="4294967294" count="1" selected="0">
            <x v="1"/>
          </reference>
          <reference field="1" count="1">
            <x v="2"/>
          </reference>
          <reference field="5" count="1" selected="0">
            <x v="0"/>
          </reference>
          <reference field="6" count="1" selected="0">
            <x v="3"/>
          </reference>
          <reference field="14" count="0" selected="0"/>
        </references>
      </pivotArea>
    </format>
    <format dxfId="138">
      <pivotArea collapsedLevelsAreSubtotals="1" fieldPosition="0">
        <references count="4">
          <reference field="4294967294" count="1" selected="0">
            <x v="1"/>
          </reference>
          <reference field="5" count="1" selected="0">
            <x v="0"/>
          </reference>
          <reference field="6" count="1">
            <x v="9"/>
          </reference>
          <reference field="14" count="0" selected="0"/>
        </references>
      </pivotArea>
    </format>
    <format dxfId="137">
      <pivotArea collapsedLevelsAreSubtotals="1" fieldPosition="0">
        <references count="5">
          <reference field="4294967294" count="1" selected="0">
            <x v="1"/>
          </reference>
          <reference field="1" count="1">
            <x v="2"/>
          </reference>
          <reference field="5" count="1" selected="0">
            <x v="0"/>
          </reference>
          <reference field="6" count="1" selected="0">
            <x v="9"/>
          </reference>
          <reference field="14" count="0" selected="0"/>
        </references>
      </pivotArea>
    </format>
    <format dxfId="136">
      <pivotArea collapsedLevelsAreSubtotals="1" fieldPosition="0">
        <references count="4">
          <reference field="4294967294" count="1" selected="0">
            <x v="1"/>
          </reference>
          <reference field="5" count="0" selected="0"/>
          <reference field="6" count="1">
            <x v="5"/>
          </reference>
          <reference field="14" count="0" selected="0"/>
        </references>
      </pivotArea>
    </format>
    <format dxfId="135">
      <pivotArea collapsedLevelsAreSubtotals="1" fieldPosition="0">
        <references count="5">
          <reference field="4294967294" count="1" selected="0">
            <x v="1"/>
          </reference>
          <reference field="1" count="1">
            <x v="1"/>
          </reference>
          <reference field="5" count="0" selected="0"/>
          <reference field="6" count="1" selected="0">
            <x v="5"/>
          </reference>
          <reference field="14" count="0" selected="0"/>
        </references>
      </pivotArea>
    </format>
    <format dxfId="134">
      <pivotArea dataOnly="0" labelOnly="1" fieldPosition="0">
        <references count="3">
          <reference field="1" count="1">
            <x v="5"/>
          </reference>
          <reference field="5" count="1" selected="0">
            <x v="0"/>
          </reference>
          <reference field="6" count="1" selected="0">
            <x v="8"/>
          </reference>
        </references>
      </pivotArea>
    </format>
    <format dxfId="133">
      <pivotArea collapsedLevelsAreSubtotals="1" fieldPosition="0">
        <references count="4">
          <reference field="4294967294" count="1" selected="0">
            <x v="0"/>
          </reference>
          <reference field="5" count="1" selected="0">
            <x v="0"/>
          </reference>
          <reference field="6" count="1">
            <x v="8"/>
          </reference>
          <reference field="14" count="0" selected="0"/>
        </references>
      </pivotArea>
    </format>
    <format dxfId="132">
      <pivotArea dataOnly="0" labelOnly="1" fieldPosition="0">
        <references count="3">
          <reference field="1" count="1">
            <x v="2"/>
          </reference>
          <reference field="5" count="1" selected="0">
            <x v="2"/>
          </reference>
          <reference field="6" count="1" selected="0">
            <x v="6"/>
          </reference>
        </references>
      </pivotArea>
    </format>
    <format dxfId="131">
      <pivotArea collapsedLevelsAreSubtotals="1" fieldPosition="0">
        <references count="3">
          <reference field="1" count="1">
            <x v="5"/>
          </reference>
          <reference field="5" count="1" selected="0">
            <x v="0"/>
          </reference>
          <reference field="6" count="1" selected="0">
            <x v="8"/>
          </reference>
        </references>
      </pivotArea>
    </format>
    <format dxfId="130">
      <pivotArea dataOnly="0" labelOnly="1" fieldPosition="0">
        <references count="3">
          <reference field="1" count="1">
            <x v="5"/>
          </reference>
          <reference field="5" count="1" selected="0">
            <x v="0"/>
          </reference>
          <reference field="6" count="1" selected="0">
            <x v="8"/>
          </reference>
        </references>
      </pivotArea>
    </format>
    <format dxfId="129">
      <pivotArea collapsedLevelsAreSubtotals="1" fieldPosition="0">
        <references count="3">
          <reference field="1" count="1">
            <x v="2"/>
          </reference>
          <reference field="5" count="1" selected="0">
            <x v="2"/>
          </reference>
          <reference field="6" count="1" selected="0">
            <x v="6"/>
          </reference>
        </references>
      </pivotArea>
    </format>
    <format dxfId="128">
      <pivotArea dataOnly="0" labelOnly="1" fieldPosition="0">
        <references count="3">
          <reference field="1" count="1">
            <x v="2"/>
          </reference>
          <reference field="5" count="1" selected="0">
            <x v="2"/>
          </reference>
          <reference field="6" count="1" selected="0">
            <x v="6"/>
          </reference>
        </references>
      </pivotArea>
    </format>
    <format dxfId="127">
      <pivotArea collapsedLevelsAreSubtotals="1" fieldPosition="0">
        <references count="5">
          <reference field="4294967294" count="1" selected="0">
            <x v="1"/>
          </reference>
          <reference field="1" count="1">
            <x v="5"/>
          </reference>
          <reference field="5" count="1" selected="0">
            <x v="0"/>
          </reference>
          <reference field="6" count="1" selected="0">
            <x v="8"/>
          </reference>
          <reference field="14" count="0" selected="0"/>
        </references>
      </pivotArea>
    </format>
    <format dxfId="126">
      <pivotArea collapsedLevelsAreSubtotals="1" fieldPosition="0">
        <references count="5">
          <reference field="4294967294" count="1" selected="0">
            <x v="0"/>
          </reference>
          <reference field="1" count="1">
            <x v="5"/>
          </reference>
          <reference field="5" count="1" selected="0">
            <x v="0"/>
          </reference>
          <reference field="6" count="1" selected="0">
            <x v="8"/>
          </reference>
          <reference field="14" count="0" selected="0"/>
        </references>
      </pivotArea>
    </format>
    <format dxfId="125">
      <pivotArea collapsedLevelsAreSubtotals="1" fieldPosition="0">
        <references count="5">
          <reference field="4294967294" count="1" selected="0">
            <x v="0"/>
          </reference>
          <reference field="1" count="1">
            <x v="2"/>
          </reference>
          <reference field="5" count="1" selected="0">
            <x v="2"/>
          </reference>
          <reference field="6" count="1" selected="0">
            <x v="6"/>
          </reference>
          <reference field="14" count="0" selected="0"/>
        </references>
      </pivotArea>
    </format>
    <format dxfId="124">
      <pivotArea collapsedLevelsAreSubtotals="1" fieldPosition="0">
        <references count="5">
          <reference field="4294967294" count="1" selected="0">
            <x v="1"/>
          </reference>
          <reference field="1" count="1">
            <x v="2"/>
          </reference>
          <reference field="5" count="1" selected="0">
            <x v="2"/>
          </reference>
          <reference field="6" count="1" selected="0">
            <x v="6"/>
          </reference>
          <reference field="14" count="0" selected="0"/>
        </references>
      </pivotArea>
    </format>
    <format dxfId="123">
      <pivotArea collapsedLevelsAreSubtotals="1" fieldPosition="0">
        <references count="5">
          <reference field="4294967294" count="1" selected="0">
            <x v="1"/>
          </reference>
          <reference field="1" count="1">
            <x v="2"/>
          </reference>
          <reference field="5" count="1" selected="0">
            <x v="2"/>
          </reference>
          <reference field="6" count="1" selected="0">
            <x v="6"/>
          </reference>
          <reference field="14" count="0" selected="0"/>
        </references>
      </pivotArea>
    </format>
    <format dxfId="122">
      <pivotArea collapsedLevelsAreSubtotals="1" fieldPosition="0">
        <references count="5">
          <reference field="4294967294" count="1" selected="0">
            <x v="1"/>
          </reference>
          <reference field="1" count="1">
            <x v="2"/>
          </reference>
          <reference field="5" count="1" selected="0">
            <x v="1"/>
          </reference>
          <reference field="6" count="1" selected="0">
            <x v="6"/>
          </reference>
          <reference field="14" count="0" selected="0"/>
        </references>
      </pivotArea>
    </format>
    <format dxfId="121">
      <pivotArea collapsedLevelsAreSubtotals="1" fieldPosition="0">
        <references count="4">
          <reference field="4294967294" count="1" selected="0">
            <x v="0"/>
          </reference>
          <reference field="5" count="1" selected="0">
            <x v="1"/>
          </reference>
          <reference field="6" count="1">
            <x v="6"/>
          </reference>
          <reference field="14" count="0" selected="0"/>
        </references>
      </pivotArea>
    </format>
    <format dxfId="120">
      <pivotArea collapsedLevelsAreSubtotals="1" fieldPosition="0">
        <references count="4">
          <reference field="4294967294" count="1" selected="0">
            <x v="1"/>
          </reference>
          <reference field="5" count="1" selected="0">
            <x v="0"/>
          </reference>
          <reference field="6" count="1">
            <x v="0"/>
          </reference>
          <reference field="14" count="0" selected="0"/>
        </references>
      </pivotArea>
    </format>
    <format dxfId="119">
      <pivotArea collapsedLevelsAreSubtotals="1" fieldPosition="0">
        <references count="5">
          <reference field="4294967294" count="1" selected="0">
            <x v="1"/>
          </reference>
          <reference field="1" count="1">
            <x v="0"/>
          </reference>
          <reference field="5" count="1" selected="0">
            <x v="0"/>
          </reference>
          <reference field="6" count="1" selected="0">
            <x v="0"/>
          </reference>
          <reference field="14" count="0" selected="0"/>
        </references>
      </pivotArea>
    </format>
    <format dxfId="118">
      <pivotArea collapsedLevelsAreSubtotals="1" fieldPosition="0">
        <references count="2">
          <reference field="5" count="1" selected="0">
            <x v="2"/>
          </reference>
          <reference field="6" count="1">
            <x v="2"/>
          </reference>
        </references>
      </pivotArea>
    </format>
    <format dxfId="117">
      <pivotArea dataOnly="0" labelOnly="1" fieldPosition="0">
        <references count="2">
          <reference field="5" count="1" selected="0">
            <x v="2"/>
          </reference>
          <reference field="6" count="1">
            <x v="2"/>
          </reference>
        </references>
      </pivotArea>
    </format>
    <format dxfId="116">
      <pivotArea collapsedLevelsAreSubtotals="1" fieldPosition="0">
        <references count="1">
          <reference field="5" count="1">
            <x v="4"/>
          </reference>
        </references>
      </pivotArea>
    </format>
    <format dxfId="115">
      <pivotArea dataOnly="0" labelOnly="1" fieldPosition="0">
        <references count="1">
          <reference field="5" count="1">
            <x v="4"/>
          </reference>
        </references>
      </pivotArea>
    </format>
    <format dxfId="114">
      <pivotArea collapsedLevelsAreSubtotals="1" fieldPosition="0">
        <references count="1">
          <reference field="5" count="1">
            <x v="4"/>
          </reference>
        </references>
      </pivotArea>
    </format>
    <format dxfId="113">
      <pivotArea dataOnly="0" labelOnly="1" fieldPosition="0">
        <references count="1">
          <reference field="5" count="1">
            <x v="4"/>
          </reference>
        </references>
      </pivotArea>
    </format>
    <format dxfId="112">
      <pivotArea collapsedLevelsAreSubtotals="1" fieldPosition="0">
        <references count="2">
          <reference field="5" count="1" selected="0">
            <x v="4"/>
          </reference>
          <reference field="6" count="1">
            <x v="10"/>
          </reference>
        </references>
      </pivotArea>
    </format>
    <format dxfId="111">
      <pivotArea dataOnly="0" labelOnly="1" fieldPosition="0">
        <references count="2">
          <reference field="5" count="1" selected="0">
            <x v="4"/>
          </reference>
          <reference field="6" count="1">
            <x v="10"/>
          </reference>
        </references>
      </pivotArea>
    </format>
    <format dxfId="110">
      <pivotArea collapsedLevelsAreSubtotals="1" fieldPosition="0">
        <references count="3">
          <reference field="4294967294" count="1" selected="0">
            <x v="0"/>
          </reference>
          <reference field="5" count="1">
            <x v="4"/>
          </reference>
          <reference field="14" count="0" selected="0"/>
        </references>
      </pivotArea>
    </format>
    <format dxfId="109">
      <pivotArea collapsedLevelsAreSubtotals="1" fieldPosition="0">
        <references count="4">
          <reference field="4294967294" count="1" selected="0">
            <x v="0"/>
          </reference>
          <reference field="5" count="1" selected="0">
            <x v="4"/>
          </reference>
          <reference field="6" count="1">
            <x v="10"/>
          </reference>
          <reference field="14" count="0" selected="0"/>
        </references>
      </pivotArea>
    </format>
    <format dxfId="108">
      <pivotArea collapsedLevelsAreSubtotals="1" fieldPosition="0">
        <references count="1">
          <reference field="5" count="1">
            <x v="4"/>
          </reference>
        </references>
      </pivotArea>
    </format>
    <format dxfId="107">
      <pivotArea dataOnly="0" labelOnly="1" fieldPosition="0">
        <references count="1">
          <reference field="5" count="1">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47248E6-E4B8-4EBD-B89E-4E5F42EDB185}" name="PivotTable5" cacheId="23"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location ref="Y6:Z74" firstHeaderRow="1" firstDataRow="1" firstDataCol="1" rowPageCount="2" colPageCount="1"/>
  <pivotFields count="30">
    <pivotField showAll="0"/>
    <pivotField numFmtId="167" showAll="0"/>
    <pivotField showAll="0"/>
    <pivotField axis="axisPage" multipleItemSelectionAllowed="1" showAll="0">
      <items count="5">
        <item x="0"/>
        <item x="2"/>
        <item h="1" x="1"/>
        <item h="1" x="3"/>
        <item t="default"/>
      </items>
    </pivotField>
    <pivotField showAll="0"/>
    <pivotField showAll="0"/>
    <pivotField axis="axisRow" showAll="0">
      <items count="21">
        <item x="16"/>
        <item x="0"/>
        <item x="5"/>
        <item m="1" x="19"/>
        <item x="2"/>
        <item x="11"/>
        <item x="12"/>
        <item x="15"/>
        <item x="4"/>
        <item x="1"/>
        <item m="1" x="18"/>
        <item x="3"/>
        <item x="7"/>
        <item x="9"/>
        <item m="1" x="17"/>
        <item x="14"/>
        <item x="6"/>
        <item x="13"/>
        <item x="8"/>
        <item x="10"/>
        <item t="default"/>
      </items>
    </pivotField>
    <pivotField axis="axisRow" showAll="0">
      <items count="36">
        <item x="23"/>
        <item x="4"/>
        <item x="12"/>
        <item x="18"/>
        <item x="13"/>
        <item x="3"/>
        <item x="20"/>
        <item x="22"/>
        <item x="5"/>
        <item x="14"/>
        <item x="0"/>
        <item x="15"/>
        <item x="17"/>
        <item x="6"/>
        <item x="21"/>
        <item x="2"/>
        <item x="7"/>
        <item x="19"/>
        <item x="10"/>
        <item x="16"/>
        <item x="8"/>
        <item x="11"/>
        <item m="1" x="25"/>
        <item m="1" x="28"/>
        <item m="1" x="29"/>
        <item m="1" x="26"/>
        <item m="1" x="30"/>
        <item m="1" x="31"/>
        <item m="1" x="32"/>
        <item m="1" x="33"/>
        <item m="1" x="27"/>
        <item m="1" x="34"/>
        <item x="1"/>
        <item x="9"/>
        <item m="1" x="24"/>
        <item t="default"/>
      </items>
    </pivotField>
    <pivotField showAll="0"/>
    <pivotField showAll="0"/>
    <pivotField numFmtId="164" showAll="0"/>
    <pivotField numFmtId="164" showAll="0"/>
    <pivotField numFmtId="164" showAll="0"/>
    <pivotField numFmtId="164" showAll="0"/>
    <pivotField numFmtId="164" showAll="0"/>
    <pivotField numFmtId="164" showAll="0"/>
    <pivotField numFmtId="164" showAll="0"/>
    <pivotField numFmtId="164" showAll="0"/>
    <pivotField showAll="0"/>
    <pivotField numFmtId="167" showAll="0"/>
    <pivotField numFmtId="167" showAll="0"/>
    <pivotField showAll="0"/>
    <pivotField showAll="0"/>
    <pivotField showAll="0"/>
    <pivotField showAll="0"/>
    <pivotField showAll="0"/>
    <pivotField axis="axisRow" showAll="0">
      <items count="8">
        <item x="0"/>
        <item x="2"/>
        <item x="6"/>
        <item x="1"/>
        <item x="4"/>
        <item x="3"/>
        <item x="5"/>
        <item t="default"/>
      </items>
    </pivotField>
    <pivotField showAll="0"/>
    <pivotField showAll="0"/>
    <pivotField name="Active" axis="axisPage" dataField="1" multipleItemSelectionAllowed="1" showAll="0">
      <items count="3">
        <item x="1"/>
        <item h="1" x="0"/>
        <item t="default"/>
      </items>
    </pivotField>
  </pivotFields>
  <rowFields count="3">
    <field x="7"/>
    <field x="6"/>
    <field x="26"/>
  </rowFields>
  <rowItems count="68">
    <i>
      <x v="1"/>
    </i>
    <i r="1">
      <x v="4"/>
    </i>
    <i r="2">
      <x v="4"/>
    </i>
    <i r="1">
      <x v="8"/>
    </i>
    <i r="2">
      <x v="4"/>
    </i>
    <i>
      <x v="2"/>
    </i>
    <i r="1">
      <x v="1"/>
    </i>
    <i r="2">
      <x/>
    </i>
    <i r="1">
      <x v="2"/>
    </i>
    <i r="2">
      <x/>
    </i>
    <i r="1">
      <x v="4"/>
    </i>
    <i r="2">
      <x/>
    </i>
    <i>
      <x v="5"/>
    </i>
    <i r="1">
      <x v="1"/>
    </i>
    <i r="2">
      <x/>
    </i>
    <i r="2">
      <x v="4"/>
    </i>
    <i r="1">
      <x v="4"/>
    </i>
    <i r="2">
      <x/>
    </i>
    <i r="2">
      <x v="4"/>
    </i>
    <i r="1">
      <x v="16"/>
    </i>
    <i r="2">
      <x v="4"/>
    </i>
    <i>
      <x v="8"/>
    </i>
    <i r="1">
      <x v="1"/>
    </i>
    <i r="2">
      <x/>
    </i>
    <i r="2">
      <x v="5"/>
    </i>
    <i>
      <x v="10"/>
    </i>
    <i r="1">
      <x v="1"/>
    </i>
    <i r="2">
      <x/>
    </i>
    <i r="1">
      <x v="2"/>
    </i>
    <i r="2">
      <x/>
    </i>
    <i r="1">
      <x v="4"/>
    </i>
    <i r="2">
      <x/>
    </i>
    <i>
      <x v="12"/>
    </i>
    <i r="1">
      <x v="1"/>
    </i>
    <i r="2">
      <x/>
    </i>
    <i r="1">
      <x v="4"/>
    </i>
    <i r="2">
      <x v="3"/>
    </i>
    <i>
      <x v="13"/>
    </i>
    <i r="1">
      <x v="1"/>
    </i>
    <i r="2">
      <x v="4"/>
    </i>
    <i>
      <x v="16"/>
    </i>
    <i r="1">
      <x v="1"/>
    </i>
    <i r="2">
      <x v="3"/>
    </i>
    <i r="1">
      <x v="4"/>
    </i>
    <i r="2">
      <x v="3"/>
    </i>
    <i r="1">
      <x v="17"/>
    </i>
    <i r="2">
      <x v="3"/>
    </i>
    <i>
      <x v="18"/>
    </i>
    <i r="1">
      <x v="4"/>
    </i>
    <i r="2">
      <x v="5"/>
    </i>
    <i r="1">
      <x v="8"/>
    </i>
    <i r="2">
      <x v="5"/>
    </i>
    <i r="1">
      <x v="12"/>
    </i>
    <i r="2">
      <x v="5"/>
    </i>
    <i r="1">
      <x v="18"/>
    </i>
    <i r="2">
      <x v="5"/>
    </i>
    <i r="1">
      <x v="19"/>
    </i>
    <i r="2">
      <x v="5"/>
    </i>
    <i>
      <x v="20"/>
    </i>
    <i r="1">
      <x v="4"/>
    </i>
    <i r="2">
      <x/>
    </i>
    <i r="2">
      <x v="5"/>
    </i>
    <i>
      <x v="21"/>
    </i>
    <i r="1">
      <x v="1"/>
    </i>
    <i r="2">
      <x v="2"/>
    </i>
    <i r="1">
      <x v="4"/>
    </i>
    <i r="2">
      <x v="2"/>
    </i>
    <i t="grand">
      <x/>
    </i>
  </rowItems>
  <colItems count="1">
    <i/>
  </colItems>
  <pageFields count="2">
    <pageField fld="29" hier="-1"/>
    <pageField fld="3" hier="-1"/>
  </pageFields>
  <dataFields count="1">
    <dataField name="Count" fld="29" subtotal="count" baseField="0" baseItem="0"/>
  </dataFields>
  <formats count="191">
    <format dxfId="463">
      <pivotArea field="29" type="button" dataOnly="0" labelOnly="1" outline="0" axis="axisPage" fieldPosition="0"/>
    </format>
    <format dxfId="462">
      <pivotArea field="26" type="button" dataOnly="0" labelOnly="1" outline="0" axis="axisRow" fieldPosition="2"/>
    </format>
    <format dxfId="461">
      <pivotArea dataOnly="0" labelOnly="1" outline="0" axis="axisValues" fieldPosition="0"/>
    </format>
    <format dxfId="460">
      <pivotArea outline="0" fieldPosition="0">
        <references count="2">
          <reference field="26" count="0" selected="0"/>
          <reference field="29" count="0" selected="0"/>
        </references>
      </pivotArea>
    </format>
    <format dxfId="459">
      <pivotArea dataOnly="0" labelOnly="1" outline="0" fieldPosition="0">
        <references count="1">
          <reference field="29" count="0"/>
        </references>
      </pivotArea>
    </format>
    <format dxfId="458">
      <pivotArea dataOnly="0" labelOnly="1" outline="0" fieldPosition="0">
        <references count="2">
          <reference field="26" count="0"/>
          <reference field="29" count="0" selected="0"/>
        </references>
      </pivotArea>
    </format>
    <format dxfId="457">
      <pivotArea outline="0" fieldPosition="0">
        <references count="1">
          <reference field="29" count="0" selected="0" defaultSubtotal="1"/>
        </references>
      </pivotArea>
    </format>
    <format dxfId="456">
      <pivotArea dataOnly="0" labelOnly="1" outline="0" fieldPosition="0">
        <references count="1">
          <reference field="29" count="0" defaultSubtotal="1"/>
        </references>
      </pivotArea>
    </format>
    <format dxfId="455">
      <pivotArea outline="0" fieldPosition="0">
        <references count="1">
          <reference field="29" count="0" selected="0" defaultSubtotal="1"/>
        </references>
      </pivotArea>
    </format>
    <format dxfId="454">
      <pivotArea field="7" type="button" dataOnly="0" labelOnly="1" outline="0" axis="axisRow" fieldPosition="0"/>
    </format>
    <format dxfId="453">
      <pivotArea outline="0" collapsedLevelsAreSubtotals="1" fieldPosition="0"/>
    </format>
    <format dxfId="452">
      <pivotArea grandRow="1" outline="0" collapsedLevelsAreSubtotals="1" fieldPosition="0"/>
    </format>
    <format dxfId="451">
      <pivotArea dataOnly="0" labelOnly="1" grandRow="1" outline="0" fieldPosition="0"/>
    </format>
    <format dxfId="450">
      <pivotArea grandRow="1" outline="0" collapsedLevelsAreSubtotals="1" fieldPosition="0"/>
    </format>
    <format dxfId="449">
      <pivotArea field="3" type="button" dataOnly="0" labelOnly="1" outline="0" axis="axisPage" fieldPosition="1"/>
    </format>
    <format dxfId="448">
      <pivotArea dataOnly="0" labelOnly="1" outline="0" fieldPosition="0">
        <references count="1">
          <reference field="7" count="13">
            <x v="1"/>
            <x v="2"/>
            <x v="5"/>
            <x v="8"/>
            <x v="9"/>
            <x v="10"/>
            <x v="12"/>
            <x v="13"/>
            <x v="15"/>
            <x v="16"/>
            <x v="18"/>
            <x v="20"/>
            <x v="21"/>
          </reference>
        </references>
      </pivotArea>
    </format>
    <format dxfId="447">
      <pivotArea field="6" type="button" dataOnly="0" labelOnly="1" outline="0" axis="axisRow" fieldPosition="1"/>
    </format>
    <format dxfId="446">
      <pivotArea outline="0" fieldPosition="0">
        <references count="1">
          <reference field="26" count="0" selected="0" defaultSubtotal="1"/>
        </references>
      </pivotArea>
    </format>
    <format dxfId="445">
      <pivotArea dataOnly="0" labelOnly="1" outline="0" fieldPosition="0">
        <references count="1">
          <reference field="26" count="0"/>
        </references>
      </pivotArea>
    </format>
    <format dxfId="444">
      <pivotArea dataOnly="0" labelOnly="1" outline="0" fieldPosition="0">
        <references count="1">
          <reference field="26" count="0" defaultSubtotal="1"/>
        </references>
      </pivotArea>
    </format>
    <format dxfId="443">
      <pivotArea dataOnly="0" labelOnly="1" outline="0" fieldPosition="0">
        <references count="2">
          <reference field="7" count="5">
            <x v="2"/>
            <x v="8"/>
            <x v="9"/>
            <x v="10"/>
            <x v="20"/>
          </reference>
          <reference field="26" count="1" selected="0">
            <x v="0"/>
          </reference>
        </references>
      </pivotArea>
    </format>
    <format dxfId="442">
      <pivotArea dataOnly="0" labelOnly="1" outline="0" fieldPosition="0">
        <references count="2">
          <reference field="7" count="5">
            <x v="8"/>
            <x v="10"/>
            <x v="16"/>
            <x v="18"/>
            <x v="20"/>
          </reference>
          <reference field="26" count="1" selected="0">
            <x v="1"/>
          </reference>
        </references>
      </pivotArea>
    </format>
    <format dxfId="441">
      <pivotArea dataOnly="0" labelOnly="1" outline="0" fieldPosition="0">
        <references count="2">
          <reference field="7" count="2">
            <x v="15"/>
            <x v="21"/>
          </reference>
          <reference field="26" count="1" selected="0">
            <x v="2"/>
          </reference>
        </references>
      </pivotArea>
    </format>
    <format dxfId="440">
      <pivotArea dataOnly="0" labelOnly="1" outline="0" fieldPosition="0">
        <references count="2">
          <reference field="7" count="2">
            <x v="12"/>
            <x v="32"/>
          </reference>
          <reference field="26" count="1" selected="0">
            <x v="3"/>
          </reference>
        </references>
      </pivotArea>
    </format>
    <format dxfId="439">
      <pivotArea dataOnly="0" labelOnly="1" outline="0" fieldPosition="0">
        <references count="2">
          <reference field="7" count="3">
            <x v="1"/>
            <x v="5"/>
            <x v="13"/>
          </reference>
          <reference field="26" count="1" selected="0">
            <x v="4"/>
          </reference>
        </references>
      </pivotArea>
    </format>
    <format dxfId="438">
      <pivotArea dataOnly="0" labelOnly="1" outline="0" fieldPosition="0">
        <references count="2">
          <reference field="7" count="9">
            <x v="2"/>
            <x v="5"/>
            <x v="8"/>
            <x v="9"/>
            <x v="10"/>
            <x v="15"/>
            <x v="16"/>
            <x v="18"/>
            <x v="20"/>
          </reference>
          <reference field="26" count="1" selected="0">
            <x v="5"/>
          </reference>
        </references>
      </pivotArea>
    </format>
    <format dxfId="437">
      <pivotArea outline="0" fieldPosition="0">
        <references count="1">
          <reference field="26" count="1" selected="0" defaultSubtotal="1">
            <x v="5"/>
          </reference>
        </references>
      </pivotArea>
    </format>
    <format dxfId="436">
      <pivotArea dataOnly="0" labelOnly="1" outline="0" fieldPosition="0">
        <references count="1">
          <reference field="26" count="1" defaultSubtotal="1">
            <x v="5"/>
          </reference>
        </references>
      </pivotArea>
    </format>
    <format dxfId="435">
      <pivotArea outline="0" fieldPosition="0">
        <references count="1">
          <reference field="26" count="1" selected="0" defaultSubtotal="1">
            <x v="4"/>
          </reference>
        </references>
      </pivotArea>
    </format>
    <format dxfId="434">
      <pivotArea dataOnly="0" labelOnly="1" outline="0" fieldPosition="0">
        <references count="1">
          <reference field="26" count="1" defaultSubtotal="1">
            <x v="4"/>
          </reference>
        </references>
      </pivotArea>
    </format>
    <format dxfId="433">
      <pivotArea outline="0" fieldPosition="0">
        <references count="1">
          <reference field="26" count="1" selected="0" defaultSubtotal="1">
            <x v="3"/>
          </reference>
        </references>
      </pivotArea>
    </format>
    <format dxfId="432">
      <pivotArea dataOnly="0" labelOnly="1" outline="0" fieldPosition="0">
        <references count="1">
          <reference field="26" count="1" defaultSubtotal="1">
            <x v="3"/>
          </reference>
        </references>
      </pivotArea>
    </format>
    <format dxfId="431">
      <pivotArea outline="0" fieldPosition="0">
        <references count="1">
          <reference field="26" count="1" selected="0" defaultSubtotal="1">
            <x v="2"/>
          </reference>
        </references>
      </pivotArea>
    </format>
    <format dxfId="430">
      <pivotArea dataOnly="0" labelOnly="1" outline="0" fieldPosition="0">
        <references count="1">
          <reference field="26" count="1" defaultSubtotal="1">
            <x v="2"/>
          </reference>
        </references>
      </pivotArea>
    </format>
    <format dxfId="429">
      <pivotArea outline="0" fieldPosition="0">
        <references count="1">
          <reference field="26" count="1" selected="0" defaultSubtotal="1">
            <x v="1"/>
          </reference>
        </references>
      </pivotArea>
    </format>
    <format dxfId="428">
      <pivotArea dataOnly="0" labelOnly="1" outline="0" fieldPosition="0">
        <references count="1">
          <reference field="26" count="1" defaultSubtotal="1">
            <x v="1"/>
          </reference>
        </references>
      </pivotArea>
    </format>
    <format dxfId="427">
      <pivotArea outline="0" fieldPosition="0">
        <references count="1">
          <reference field="26" count="1" selected="0" defaultSubtotal="1">
            <x v="0"/>
          </reference>
        </references>
      </pivotArea>
    </format>
    <format dxfId="426">
      <pivotArea dataOnly="0" labelOnly="1" outline="0" fieldPosition="0">
        <references count="1">
          <reference field="26" count="1" defaultSubtotal="1">
            <x v="0"/>
          </reference>
        </references>
      </pivotArea>
    </format>
    <format dxfId="425">
      <pivotArea collapsedLevelsAreSubtotals="1" fieldPosition="0">
        <references count="1">
          <reference field="26" count="1">
            <x v="0"/>
          </reference>
        </references>
      </pivotArea>
    </format>
    <format dxfId="424">
      <pivotArea collapsedLevelsAreSubtotals="1" fieldPosition="0">
        <references count="1">
          <reference field="26" count="1">
            <x v="1"/>
          </reference>
        </references>
      </pivotArea>
    </format>
    <format dxfId="423">
      <pivotArea collapsedLevelsAreSubtotals="1" fieldPosition="0">
        <references count="1">
          <reference field="26" count="1">
            <x v="0"/>
          </reference>
        </references>
      </pivotArea>
    </format>
    <format dxfId="422">
      <pivotArea collapsedLevelsAreSubtotals="1" fieldPosition="0">
        <references count="1">
          <reference field="26" count="1">
            <x v="1"/>
          </reference>
        </references>
      </pivotArea>
    </format>
    <format dxfId="421">
      <pivotArea collapsedLevelsAreSubtotals="1" fieldPosition="0">
        <references count="1">
          <reference field="26" count="1">
            <x v="2"/>
          </reference>
        </references>
      </pivotArea>
    </format>
    <format dxfId="420">
      <pivotArea collapsedLevelsAreSubtotals="1" fieldPosition="0">
        <references count="1">
          <reference field="26" count="1">
            <x v="3"/>
          </reference>
        </references>
      </pivotArea>
    </format>
    <format dxfId="419">
      <pivotArea collapsedLevelsAreSubtotals="1" fieldPosition="0">
        <references count="1">
          <reference field="26" count="1">
            <x v="4"/>
          </reference>
        </references>
      </pivotArea>
    </format>
    <format dxfId="418">
      <pivotArea collapsedLevelsAreSubtotals="1" fieldPosition="0">
        <references count="1">
          <reference field="26" count="1">
            <x v="5"/>
          </reference>
        </references>
      </pivotArea>
    </format>
    <format dxfId="417">
      <pivotArea field="26" type="button" dataOnly="0" labelOnly="1" outline="0" axis="axisRow" fieldPosition="2"/>
    </format>
    <format dxfId="416">
      <pivotArea dataOnly="0" labelOnly="1" outline="0" axis="axisValues" fieldPosition="0"/>
    </format>
    <format dxfId="415">
      <pivotArea outline="0" collapsedLevelsAreSubtotals="1" fieldPosition="0"/>
    </format>
    <format dxfId="414">
      <pivotArea collapsedLevelsAreSubtotals="1" fieldPosition="0">
        <references count="1">
          <reference field="6" count="1">
            <x v="1"/>
          </reference>
        </references>
      </pivotArea>
    </format>
    <format dxfId="413">
      <pivotArea collapsedLevelsAreSubtotals="1" fieldPosition="0">
        <references count="2">
          <reference field="6" count="1" selected="0">
            <x v="1"/>
          </reference>
          <reference field="26" count="1">
            <x v="0"/>
          </reference>
        </references>
      </pivotArea>
    </format>
    <format dxfId="412">
      <pivotArea collapsedLevelsAreSubtotals="1" fieldPosition="0">
        <references count="3">
          <reference field="6" count="1" selected="0">
            <x v="1"/>
          </reference>
          <reference field="7" count="2">
            <x v="8"/>
            <x v="10"/>
          </reference>
          <reference field="26" count="1" selected="0">
            <x v="0"/>
          </reference>
        </references>
      </pivotArea>
    </format>
    <format dxfId="411">
      <pivotArea collapsedLevelsAreSubtotals="1" fieldPosition="0">
        <references count="2">
          <reference field="6" count="1" selected="0">
            <x v="1"/>
          </reference>
          <reference field="26" count="1">
            <x v="1"/>
          </reference>
        </references>
      </pivotArea>
    </format>
    <format dxfId="410">
      <pivotArea collapsedLevelsAreSubtotals="1" fieldPosition="0">
        <references count="3">
          <reference field="6" count="1" selected="0">
            <x v="1"/>
          </reference>
          <reference field="7" count="2">
            <x v="8"/>
            <x v="10"/>
          </reference>
          <reference field="26" count="1" selected="0">
            <x v="1"/>
          </reference>
        </references>
      </pivotArea>
    </format>
    <format dxfId="409">
      <pivotArea collapsedLevelsAreSubtotals="1" fieldPosition="0">
        <references count="2">
          <reference field="6" count="1" selected="0">
            <x v="1"/>
          </reference>
          <reference field="26" count="1">
            <x v="2"/>
          </reference>
        </references>
      </pivotArea>
    </format>
    <format dxfId="408">
      <pivotArea collapsedLevelsAreSubtotals="1" fieldPosition="0">
        <references count="3">
          <reference field="6" count="1" selected="0">
            <x v="1"/>
          </reference>
          <reference field="7" count="1">
            <x v="21"/>
          </reference>
          <reference field="26" count="1" selected="0">
            <x v="2"/>
          </reference>
        </references>
      </pivotArea>
    </format>
    <format dxfId="407">
      <pivotArea collapsedLevelsAreSubtotals="1" fieldPosition="0">
        <references count="2">
          <reference field="6" count="1" selected="0">
            <x v="1"/>
          </reference>
          <reference field="26" count="1">
            <x v="4"/>
          </reference>
        </references>
      </pivotArea>
    </format>
    <format dxfId="406">
      <pivotArea collapsedLevelsAreSubtotals="1" fieldPosition="0">
        <references count="3">
          <reference field="6" count="1" selected="0">
            <x v="1"/>
          </reference>
          <reference field="7" count="2">
            <x v="5"/>
            <x v="13"/>
          </reference>
          <reference field="26" count="1" selected="0">
            <x v="4"/>
          </reference>
        </references>
      </pivotArea>
    </format>
    <format dxfId="405">
      <pivotArea collapsedLevelsAreSubtotals="1" fieldPosition="0">
        <references count="2">
          <reference field="6" count="1" selected="0">
            <x v="1"/>
          </reference>
          <reference field="26" count="1">
            <x v="5"/>
          </reference>
        </references>
      </pivotArea>
    </format>
    <format dxfId="404">
      <pivotArea collapsedLevelsAreSubtotals="1" fieldPosition="0">
        <references count="3">
          <reference field="6" count="1" selected="0">
            <x v="1"/>
          </reference>
          <reference field="7" count="2">
            <x v="8"/>
            <x v="10"/>
          </reference>
          <reference field="26" count="1" selected="0">
            <x v="5"/>
          </reference>
        </references>
      </pivotArea>
    </format>
    <format dxfId="403">
      <pivotArea collapsedLevelsAreSubtotals="1" fieldPosition="0">
        <references count="1">
          <reference field="6" count="1">
            <x v="2"/>
          </reference>
        </references>
      </pivotArea>
    </format>
    <format dxfId="402">
      <pivotArea collapsedLevelsAreSubtotals="1" fieldPosition="0">
        <references count="2">
          <reference field="6" count="1" selected="0">
            <x v="2"/>
          </reference>
          <reference field="26" count="1">
            <x v="5"/>
          </reference>
        </references>
      </pivotArea>
    </format>
    <format dxfId="401">
      <pivotArea collapsedLevelsAreSubtotals="1" fieldPosition="0">
        <references count="3">
          <reference field="6" count="1" selected="0">
            <x v="2"/>
          </reference>
          <reference field="7" count="1">
            <x v="2"/>
          </reference>
          <reference field="26" count="1" selected="0">
            <x v="5"/>
          </reference>
        </references>
      </pivotArea>
    </format>
    <format dxfId="400">
      <pivotArea collapsedLevelsAreSubtotals="1" fieldPosition="0">
        <references count="1">
          <reference field="6" count="1">
            <x v="3"/>
          </reference>
        </references>
      </pivotArea>
    </format>
    <format dxfId="399">
      <pivotArea collapsedLevelsAreSubtotals="1" fieldPosition="0">
        <references count="2">
          <reference field="6" count="1" selected="0">
            <x v="3"/>
          </reference>
          <reference field="26" count="1">
            <x v="0"/>
          </reference>
        </references>
      </pivotArea>
    </format>
    <format dxfId="398">
      <pivotArea collapsedLevelsAreSubtotals="1" fieldPosition="0">
        <references count="3">
          <reference field="6" count="1" selected="0">
            <x v="3"/>
          </reference>
          <reference field="7" count="2">
            <x v="2"/>
            <x v="10"/>
          </reference>
          <reference field="26" count="1" selected="0">
            <x v="0"/>
          </reference>
        </references>
      </pivotArea>
    </format>
    <format dxfId="397">
      <pivotArea collapsedLevelsAreSubtotals="1" fieldPosition="0">
        <references count="2">
          <reference field="6" count="1" selected="0">
            <x v="3"/>
          </reference>
          <reference field="26" count="1">
            <x v="5"/>
          </reference>
        </references>
      </pivotArea>
    </format>
    <format dxfId="396">
      <pivotArea collapsedLevelsAreSubtotals="1" fieldPosition="0">
        <references count="3">
          <reference field="6" count="1" selected="0">
            <x v="3"/>
          </reference>
          <reference field="7" count="1">
            <x v="18"/>
          </reference>
          <reference field="26" count="1" selected="0">
            <x v="5"/>
          </reference>
        </references>
      </pivotArea>
    </format>
    <format dxfId="395">
      <pivotArea collapsedLevelsAreSubtotals="1" fieldPosition="0">
        <references count="1">
          <reference field="6" count="1">
            <x v="4"/>
          </reference>
        </references>
      </pivotArea>
    </format>
    <format dxfId="394">
      <pivotArea collapsedLevelsAreSubtotals="1" fieldPosition="0">
        <references count="2">
          <reference field="6" count="1" selected="0">
            <x v="4"/>
          </reference>
          <reference field="26" count="1">
            <x v="0"/>
          </reference>
        </references>
      </pivotArea>
    </format>
    <format dxfId="393">
      <pivotArea collapsedLevelsAreSubtotals="1" fieldPosition="0">
        <references count="3">
          <reference field="6" count="1" selected="0">
            <x v="4"/>
          </reference>
          <reference field="7" count="3">
            <x v="9"/>
            <x v="10"/>
            <x v="20"/>
          </reference>
          <reference field="26" count="1" selected="0">
            <x v="0"/>
          </reference>
        </references>
      </pivotArea>
    </format>
    <format dxfId="392">
      <pivotArea collapsedLevelsAreSubtotals="1" fieldPosition="0">
        <references count="2">
          <reference field="6" count="1" selected="0">
            <x v="4"/>
          </reference>
          <reference field="26" count="1">
            <x v="1"/>
          </reference>
        </references>
      </pivotArea>
    </format>
    <format dxfId="391">
      <pivotArea collapsedLevelsAreSubtotals="1" fieldPosition="0">
        <references count="3">
          <reference field="6" count="1" selected="0">
            <x v="4"/>
          </reference>
          <reference field="7" count="4">
            <x v="8"/>
            <x v="16"/>
            <x v="18"/>
            <x v="20"/>
          </reference>
          <reference field="26" count="1" selected="0">
            <x v="1"/>
          </reference>
        </references>
      </pivotArea>
    </format>
    <format dxfId="390">
      <pivotArea collapsedLevelsAreSubtotals="1" fieldPosition="0">
        <references count="2">
          <reference field="6" count="1" selected="0">
            <x v="4"/>
          </reference>
          <reference field="26" count="1">
            <x v="2"/>
          </reference>
        </references>
      </pivotArea>
    </format>
    <format dxfId="389">
      <pivotArea collapsedLevelsAreSubtotals="1" fieldPosition="0">
        <references count="3">
          <reference field="6" count="1" selected="0">
            <x v="4"/>
          </reference>
          <reference field="7" count="2">
            <x v="15"/>
            <x v="21"/>
          </reference>
          <reference field="26" count="1" selected="0">
            <x v="2"/>
          </reference>
        </references>
      </pivotArea>
    </format>
    <format dxfId="388">
      <pivotArea collapsedLevelsAreSubtotals="1" fieldPosition="0">
        <references count="2">
          <reference field="6" count="1" selected="0">
            <x v="4"/>
          </reference>
          <reference field="26" count="1">
            <x v="3"/>
          </reference>
        </references>
      </pivotArea>
    </format>
    <format dxfId="387">
      <pivotArea collapsedLevelsAreSubtotals="1" fieldPosition="0">
        <references count="3">
          <reference field="6" count="1" selected="0">
            <x v="4"/>
          </reference>
          <reference field="7" count="1">
            <x v="12"/>
          </reference>
          <reference field="26" count="1" selected="0">
            <x v="3"/>
          </reference>
        </references>
      </pivotArea>
    </format>
    <format dxfId="386">
      <pivotArea collapsedLevelsAreSubtotals="1" fieldPosition="0">
        <references count="2">
          <reference field="6" count="1" selected="0">
            <x v="4"/>
          </reference>
          <reference field="26" count="1">
            <x v="4"/>
          </reference>
        </references>
      </pivotArea>
    </format>
    <format dxfId="385">
      <pivotArea collapsedLevelsAreSubtotals="1" fieldPosition="0">
        <references count="3">
          <reference field="6" count="1" selected="0">
            <x v="4"/>
          </reference>
          <reference field="7" count="2">
            <x v="1"/>
            <x v="5"/>
          </reference>
          <reference field="26" count="1" selected="0">
            <x v="4"/>
          </reference>
        </references>
      </pivotArea>
    </format>
    <format dxfId="384">
      <pivotArea collapsedLevelsAreSubtotals="1" fieldPosition="0">
        <references count="2">
          <reference field="6" count="1" selected="0">
            <x v="4"/>
          </reference>
          <reference field="26" count="1">
            <x v="5"/>
          </reference>
        </references>
      </pivotArea>
    </format>
    <format dxfId="383">
      <pivotArea collapsedLevelsAreSubtotals="1" fieldPosition="0">
        <references count="3">
          <reference field="6" count="1" selected="0">
            <x v="4"/>
          </reference>
          <reference field="7" count="5">
            <x v="8"/>
            <x v="9"/>
            <x v="15"/>
            <x v="16"/>
            <x v="20"/>
          </reference>
          <reference field="26" count="1" selected="0">
            <x v="5"/>
          </reference>
        </references>
      </pivotArea>
    </format>
    <format dxfId="382">
      <pivotArea collapsedLevelsAreSubtotals="1" fieldPosition="0">
        <references count="1">
          <reference field="6" count="1">
            <x v="6"/>
          </reference>
        </references>
      </pivotArea>
    </format>
    <format dxfId="381">
      <pivotArea collapsedLevelsAreSubtotals="1" fieldPosition="0">
        <references count="2">
          <reference field="6" count="1" selected="0">
            <x v="6"/>
          </reference>
          <reference field="26" count="1">
            <x v="3"/>
          </reference>
        </references>
      </pivotArea>
    </format>
    <format dxfId="380">
      <pivotArea collapsedLevelsAreSubtotals="1" fieldPosition="0">
        <references count="3">
          <reference field="6" count="1" selected="0">
            <x v="6"/>
          </reference>
          <reference field="7" count="1">
            <x v="32"/>
          </reference>
          <reference field="26" count="1" selected="0">
            <x v="3"/>
          </reference>
        </references>
      </pivotArea>
    </format>
    <format dxfId="379">
      <pivotArea collapsedLevelsAreSubtotals="1" fieldPosition="0">
        <references count="2">
          <reference field="6" count="1" selected="0">
            <x v="6"/>
          </reference>
          <reference field="26" count="1">
            <x v="5"/>
          </reference>
        </references>
      </pivotArea>
    </format>
    <format dxfId="378">
      <pivotArea collapsedLevelsAreSubtotals="1" fieldPosition="0">
        <references count="3">
          <reference field="6" count="1" selected="0">
            <x v="6"/>
          </reference>
          <reference field="7" count="1">
            <x v="5"/>
          </reference>
          <reference field="26" count="1" selected="0">
            <x v="5"/>
          </reference>
        </references>
      </pivotArea>
    </format>
    <format dxfId="377">
      <pivotArea collapsedLevelsAreSubtotals="1" fieldPosition="0">
        <references count="1">
          <reference field="6" count="1">
            <x v="8"/>
          </reference>
        </references>
      </pivotArea>
    </format>
    <format dxfId="376">
      <pivotArea collapsedLevelsAreSubtotals="1" fieldPosition="0">
        <references count="2">
          <reference field="6" count="1" selected="0">
            <x v="8"/>
          </reference>
          <reference field="26" count="1">
            <x v="4"/>
          </reference>
        </references>
      </pivotArea>
    </format>
    <format dxfId="375">
      <pivotArea collapsedLevelsAreSubtotals="1" fieldPosition="0">
        <references count="3">
          <reference field="6" count="1" selected="0">
            <x v="8"/>
          </reference>
          <reference field="7" count="1">
            <x v="1"/>
          </reference>
          <reference field="26" count="1" selected="0">
            <x v="4"/>
          </reference>
        </references>
      </pivotArea>
    </format>
    <format dxfId="374">
      <pivotArea dataOnly="0" labelOnly="1" fieldPosition="0">
        <references count="1">
          <reference field="6" count="6">
            <x v="1"/>
            <x v="2"/>
            <x v="3"/>
            <x v="4"/>
            <x v="6"/>
            <x v="8"/>
          </reference>
        </references>
      </pivotArea>
    </format>
    <format dxfId="373">
      <pivotArea dataOnly="0" labelOnly="1" fieldPosition="0">
        <references count="2">
          <reference field="6" count="1" selected="0">
            <x v="1"/>
          </reference>
          <reference field="26" count="5">
            <x v="0"/>
            <x v="1"/>
            <x v="2"/>
            <x v="4"/>
            <x v="5"/>
          </reference>
        </references>
      </pivotArea>
    </format>
    <format dxfId="372">
      <pivotArea dataOnly="0" labelOnly="1" fieldPosition="0">
        <references count="2">
          <reference field="6" count="1" selected="0">
            <x v="2"/>
          </reference>
          <reference field="26" count="1">
            <x v="5"/>
          </reference>
        </references>
      </pivotArea>
    </format>
    <format dxfId="371">
      <pivotArea dataOnly="0" labelOnly="1" fieldPosition="0">
        <references count="2">
          <reference field="6" count="1" selected="0">
            <x v="3"/>
          </reference>
          <reference field="26" count="2">
            <x v="0"/>
            <x v="5"/>
          </reference>
        </references>
      </pivotArea>
    </format>
    <format dxfId="370">
      <pivotArea dataOnly="0" labelOnly="1" fieldPosition="0">
        <references count="2">
          <reference field="6" count="1" selected="0">
            <x v="4"/>
          </reference>
          <reference field="26" count="0"/>
        </references>
      </pivotArea>
    </format>
    <format dxfId="369">
      <pivotArea dataOnly="0" labelOnly="1" fieldPosition="0">
        <references count="2">
          <reference field="6" count="1" selected="0">
            <x v="6"/>
          </reference>
          <reference field="26" count="2">
            <x v="3"/>
            <x v="5"/>
          </reference>
        </references>
      </pivotArea>
    </format>
    <format dxfId="368">
      <pivotArea dataOnly="0" labelOnly="1" fieldPosition="0">
        <references count="2">
          <reference field="6" count="1" selected="0">
            <x v="8"/>
          </reference>
          <reference field="26" count="1">
            <x v="4"/>
          </reference>
        </references>
      </pivotArea>
    </format>
    <format dxfId="367">
      <pivotArea dataOnly="0" labelOnly="1" fieldPosition="0">
        <references count="3">
          <reference field="6" count="1" selected="0">
            <x v="1"/>
          </reference>
          <reference field="7" count="2">
            <x v="8"/>
            <x v="10"/>
          </reference>
          <reference field="26" count="1" selected="0">
            <x v="0"/>
          </reference>
        </references>
      </pivotArea>
    </format>
    <format dxfId="366">
      <pivotArea dataOnly="0" labelOnly="1" fieldPosition="0">
        <references count="3">
          <reference field="6" count="1" selected="0">
            <x v="1"/>
          </reference>
          <reference field="7" count="2">
            <x v="8"/>
            <x v="10"/>
          </reference>
          <reference field="26" count="1" selected="0">
            <x v="1"/>
          </reference>
        </references>
      </pivotArea>
    </format>
    <format dxfId="365">
      <pivotArea dataOnly="0" labelOnly="1" fieldPosition="0">
        <references count="3">
          <reference field="6" count="1" selected="0">
            <x v="1"/>
          </reference>
          <reference field="7" count="1">
            <x v="21"/>
          </reference>
          <reference field="26" count="1" selected="0">
            <x v="2"/>
          </reference>
        </references>
      </pivotArea>
    </format>
    <format dxfId="364">
      <pivotArea dataOnly="0" labelOnly="1" fieldPosition="0">
        <references count="3">
          <reference field="6" count="1" selected="0">
            <x v="1"/>
          </reference>
          <reference field="7" count="2">
            <x v="5"/>
            <x v="13"/>
          </reference>
          <reference field="26" count="1" selected="0">
            <x v="4"/>
          </reference>
        </references>
      </pivotArea>
    </format>
    <format dxfId="363">
      <pivotArea dataOnly="0" labelOnly="1" fieldPosition="0">
        <references count="3">
          <reference field="6" count="1" selected="0">
            <x v="1"/>
          </reference>
          <reference field="7" count="2">
            <x v="8"/>
            <x v="10"/>
          </reference>
          <reference field="26" count="1" selected="0">
            <x v="5"/>
          </reference>
        </references>
      </pivotArea>
    </format>
    <format dxfId="362">
      <pivotArea dataOnly="0" labelOnly="1" fieldPosition="0">
        <references count="3">
          <reference field="6" count="1" selected="0">
            <x v="2"/>
          </reference>
          <reference field="7" count="1">
            <x v="2"/>
          </reference>
          <reference field="26" count="1" selected="0">
            <x v="5"/>
          </reference>
        </references>
      </pivotArea>
    </format>
    <format dxfId="361">
      <pivotArea dataOnly="0" labelOnly="1" fieldPosition="0">
        <references count="3">
          <reference field="6" count="1" selected="0">
            <x v="3"/>
          </reference>
          <reference field="7" count="2">
            <x v="2"/>
            <x v="10"/>
          </reference>
          <reference field="26" count="1" selected="0">
            <x v="0"/>
          </reference>
        </references>
      </pivotArea>
    </format>
    <format dxfId="360">
      <pivotArea dataOnly="0" labelOnly="1" fieldPosition="0">
        <references count="3">
          <reference field="6" count="1" selected="0">
            <x v="3"/>
          </reference>
          <reference field="7" count="1">
            <x v="18"/>
          </reference>
          <reference field="26" count="1" selected="0">
            <x v="5"/>
          </reference>
        </references>
      </pivotArea>
    </format>
    <format dxfId="359">
      <pivotArea dataOnly="0" labelOnly="1" fieldPosition="0">
        <references count="3">
          <reference field="6" count="1" selected="0">
            <x v="4"/>
          </reference>
          <reference field="7" count="3">
            <x v="9"/>
            <x v="10"/>
            <x v="20"/>
          </reference>
          <reference field="26" count="1" selected="0">
            <x v="0"/>
          </reference>
        </references>
      </pivotArea>
    </format>
    <format dxfId="358">
      <pivotArea dataOnly="0" labelOnly="1" fieldPosition="0">
        <references count="3">
          <reference field="6" count="1" selected="0">
            <x v="4"/>
          </reference>
          <reference field="7" count="4">
            <x v="8"/>
            <x v="16"/>
            <x v="18"/>
            <x v="20"/>
          </reference>
          <reference field="26" count="1" selected="0">
            <x v="1"/>
          </reference>
        </references>
      </pivotArea>
    </format>
    <format dxfId="357">
      <pivotArea dataOnly="0" labelOnly="1" fieldPosition="0">
        <references count="3">
          <reference field="6" count="1" selected="0">
            <x v="4"/>
          </reference>
          <reference field="7" count="2">
            <x v="15"/>
            <x v="21"/>
          </reference>
          <reference field="26" count="1" selected="0">
            <x v="2"/>
          </reference>
        </references>
      </pivotArea>
    </format>
    <format dxfId="356">
      <pivotArea dataOnly="0" labelOnly="1" fieldPosition="0">
        <references count="3">
          <reference field="6" count="1" selected="0">
            <x v="4"/>
          </reference>
          <reference field="7" count="1">
            <x v="12"/>
          </reference>
          <reference field="26" count="1" selected="0">
            <x v="3"/>
          </reference>
        </references>
      </pivotArea>
    </format>
    <format dxfId="355">
      <pivotArea dataOnly="0" labelOnly="1" fieldPosition="0">
        <references count="3">
          <reference field="6" count="1" selected="0">
            <x v="4"/>
          </reference>
          <reference field="7" count="2">
            <x v="1"/>
            <x v="5"/>
          </reference>
          <reference field="26" count="1" selected="0">
            <x v="4"/>
          </reference>
        </references>
      </pivotArea>
    </format>
    <format dxfId="354">
      <pivotArea dataOnly="0" labelOnly="1" fieldPosition="0">
        <references count="3">
          <reference field="6" count="1" selected="0">
            <x v="4"/>
          </reference>
          <reference field="7" count="5">
            <x v="8"/>
            <x v="9"/>
            <x v="15"/>
            <x v="16"/>
            <x v="20"/>
          </reference>
          <reference field="26" count="1" selected="0">
            <x v="5"/>
          </reference>
        </references>
      </pivotArea>
    </format>
    <format dxfId="353">
      <pivotArea dataOnly="0" labelOnly="1" fieldPosition="0">
        <references count="3">
          <reference field="6" count="1" selected="0">
            <x v="6"/>
          </reference>
          <reference field="7" count="1">
            <x v="32"/>
          </reference>
          <reference field="26" count="1" selected="0">
            <x v="3"/>
          </reference>
        </references>
      </pivotArea>
    </format>
    <format dxfId="352">
      <pivotArea dataOnly="0" labelOnly="1" fieldPosition="0">
        <references count="3">
          <reference field="6" count="1" selected="0">
            <x v="6"/>
          </reference>
          <reference field="7" count="1">
            <x v="5"/>
          </reference>
          <reference field="26" count="1" selected="0">
            <x v="5"/>
          </reference>
        </references>
      </pivotArea>
    </format>
    <format dxfId="351">
      <pivotArea dataOnly="0" labelOnly="1" fieldPosition="0">
        <references count="3">
          <reference field="6" count="1" selected="0">
            <x v="8"/>
          </reference>
          <reference field="7" count="1">
            <x v="1"/>
          </reference>
          <reference field="26" count="1" selected="0">
            <x v="4"/>
          </reference>
        </references>
      </pivotArea>
    </format>
    <format dxfId="350">
      <pivotArea collapsedLevelsAreSubtotals="1" fieldPosition="0">
        <references count="1">
          <reference field="6" count="1">
            <x v="1"/>
          </reference>
        </references>
      </pivotArea>
    </format>
    <format dxfId="349">
      <pivotArea dataOnly="0" labelOnly="1" fieldPosition="0">
        <references count="1">
          <reference field="6" count="1">
            <x v="1"/>
          </reference>
        </references>
      </pivotArea>
    </format>
    <format dxfId="348">
      <pivotArea collapsedLevelsAreSubtotals="1" fieldPosition="0">
        <references count="1">
          <reference field="6" count="1">
            <x v="2"/>
          </reference>
        </references>
      </pivotArea>
    </format>
    <format dxfId="347">
      <pivotArea dataOnly="0" labelOnly="1" fieldPosition="0">
        <references count="1">
          <reference field="6" count="1">
            <x v="2"/>
          </reference>
        </references>
      </pivotArea>
    </format>
    <format dxfId="346">
      <pivotArea collapsedLevelsAreSubtotals="1" fieldPosition="0">
        <references count="1">
          <reference field="6" count="1">
            <x v="2"/>
          </reference>
        </references>
      </pivotArea>
    </format>
    <format dxfId="345">
      <pivotArea dataOnly="0" labelOnly="1" fieldPosition="0">
        <references count="1">
          <reference field="6" count="1">
            <x v="2"/>
          </reference>
        </references>
      </pivotArea>
    </format>
    <format dxfId="344">
      <pivotArea collapsedLevelsAreSubtotals="1" fieldPosition="0">
        <references count="1">
          <reference field="6" count="1">
            <x v="3"/>
          </reference>
        </references>
      </pivotArea>
    </format>
    <format dxfId="343">
      <pivotArea dataOnly="0" labelOnly="1" fieldPosition="0">
        <references count="1">
          <reference field="6" count="1">
            <x v="3"/>
          </reference>
        </references>
      </pivotArea>
    </format>
    <format dxfId="342">
      <pivotArea collapsedLevelsAreSubtotals="1" fieldPosition="0">
        <references count="1">
          <reference field="6" count="1">
            <x v="3"/>
          </reference>
        </references>
      </pivotArea>
    </format>
    <format dxfId="341">
      <pivotArea dataOnly="0" labelOnly="1" fieldPosition="0">
        <references count="1">
          <reference field="6" count="1">
            <x v="3"/>
          </reference>
        </references>
      </pivotArea>
    </format>
    <format dxfId="340">
      <pivotArea collapsedLevelsAreSubtotals="1" fieldPosition="0">
        <references count="1">
          <reference field="6" count="1">
            <x v="4"/>
          </reference>
        </references>
      </pivotArea>
    </format>
    <format dxfId="339">
      <pivotArea dataOnly="0" labelOnly="1" fieldPosition="0">
        <references count="1">
          <reference field="6" count="1">
            <x v="4"/>
          </reference>
        </references>
      </pivotArea>
    </format>
    <format dxfId="338">
      <pivotArea collapsedLevelsAreSubtotals="1" fieldPosition="0">
        <references count="1">
          <reference field="6" count="1">
            <x v="4"/>
          </reference>
        </references>
      </pivotArea>
    </format>
    <format dxfId="337">
      <pivotArea dataOnly="0" labelOnly="1" fieldPosition="0">
        <references count="1">
          <reference field="6" count="1">
            <x v="4"/>
          </reference>
        </references>
      </pivotArea>
    </format>
    <format dxfId="336">
      <pivotArea collapsedLevelsAreSubtotals="1" fieldPosition="0">
        <references count="1">
          <reference field="6" count="1">
            <x v="6"/>
          </reference>
        </references>
      </pivotArea>
    </format>
    <format dxfId="335">
      <pivotArea dataOnly="0" labelOnly="1" fieldPosition="0">
        <references count="1">
          <reference field="6" count="1">
            <x v="6"/>
          </reference>
        </references>
      </pivotArea>
    </format>
    <format dxfId="334">
      <pivotArea collapsedLevelsAreSubtotals="1" fieldPosition="0">
        <references count="1">
          <reference field="6" count="1">
            <x v="6"/>
          </reference>
        </references>
      </pivotArea>
    </format>
    <format dxfId="333">
      <pivotArea dataOnly="0" labelOnly="1" fieldPosition="0">
        <references count="1">
          <reference field="6" count="1">
            <x v="6"/>
          </reference>
        </references>
      </pivotArea>
    </format>
    <format dxfId="332">
      <pivotArea collapsedLevelsAreSubtotals="1" fieldPosition="0">
        <references count="1">
          <reference field="6" count="1">
            <x v="8"/>
          </reference>
        </references>
      </pivotArea>
    </format>
    <format dxfId="331">
      <pivotArea dataOnly="0" labelOnly="1" fieldPosition="0">
        <references count="1">
          <reference field="6" count="1">
            <x v="8"/>
          </reference>
        </references>
      </pivotArea>
    </format>
    <format dxfId="330">
      <pivotArea collapsedLevelsAreSubtotals="1" fieldPosition="0">
        <references count="1">
          <reference field="6" count="1">
            <x v="8"/>
          </reference>
        </references>
      </pivotArea>
    </format>
    <format dxfId="329">
      <pivotArea dataOnly="0" labelOnly="1" fieldPosition="0">
        <references count="1">
          <reference field="6" count="1">
            <x v="8"/>
          </reference>
        </references>
      </pivotArea>
    </format>
    <format dxfId="328">
      <pivotArea collapsedLevelsAreSubtotals="1" fieldPosition="0">
        <references count="1">
          <reference field="6" count="1">
            <x v="1"/>
          </reference>
        </references>
      </pivotArea>
    </format>
    <format dxfId="327">
      <pivotArea dataOnly="0" labelOnly="1" fieldPosition="0">
        <references count="1">
          <reference field="6" count="1">
            <x v="1"/>
          </reference>
        </references>
      </pivotArea>
    </format>
    <format dxfId="326">
      <pivotArea collapsedLevelsAreSubtotals="1" fieldPosition="0">
        <references count="1">
          <reference field="6" count="1">
            <x v="2"/>
          </reference>
        </references>
      </pivotArea>
    </format>
    <format dxfId="325">
      <pivotArea dataOnly="0" labelOnly="1" fieldPosition="0">
        <references count="1">
          <reference field="6" count="1">
            <x v="2"/>
          </reference>
        </references>
      </pivotArea>
    </format>
    <format dxfId="324">
      <pivotArea collapsedLevelsAreSubtotals="1" fieldPosition="0">
        <references count="1">
          <reference field="6" count="1">
            <x v="3"/>
          </reference>
        </references>
      </pivotArea>
    </format>
    <format dxfId="323">
      <pivotArea dataOnly="0" labelOnly="1" fieldPosition="0">
        <references count="1">
          <reference field="6" count="1">
            <x v="3"/>
          </reference>
        </references>
      </pivotArea>
    </format>
    <format dxfId="322">
      <pivotArea collapsedLevelsAreSubtotals="1" fieldPosition="0">
        <references count="1">
          <reference field="6" count="1">
            <x v="4"/>
          </reference>
        </references>
      </pivotArea>
    </format>
    <format dxfId="321">
      <pivotArea dataOnly="0" labelOnly="1" fieldPosition="0">
        <references count="1">
          <reference field="6" count="1">
            <x v="4"/>
          </reference>
        </references>
      </pivotArea>
    </format>
    <format dxfId="320">
      <pivotArea collapsedLevelsAreSubtotals="1" fieldPosition="0">
        <references count="1">
          <reference field="6" count="1">
            <x v="6"/>
          </reference>
        </references>
      </pivotArea>
    </format>
    <format dxfId="319">
      <pivotArea dataOnly="0" labelOnly="1" fieldPosition="0">
        <references count="1">
          <reference field="6" count="1">
            <x v="6"/>
          </reference>
        </references>
      </pivotArea>
    </format>
    <format dxfId="318">
      <pivotArea collapsedLevelsAreSubtotals="1" fieldPosition="0">
        <references count="1">
          <reference field="6" count="1">
            <x v="8"/>
          </reference>
        </references>
      </pivotArea>
    </format>
    <format dxfId="317">
      <pivotArea dataOnly="0" labelOnly="1" fieldPosition="0">
        <references count="1">
          <reference field="6" count="1">
            <x v="8"/>
          </reference>
        </references>
      </pivotArea>
    </format>
    <format dxfId="316">
      <pivotArea collapsedLevelsAreSubtotals="1" fieldPosition="0">
        <references count="2">
          <reference field="6" count="1" selected="0">
            <x v="1"/>
          </reference>
          <reference field="26" count="1">
            <x v="0"/>
          </reference>
        </references>
      </pivotArea>
    </format>
    <format dxfId="315">
      <pivotArea dataOnly="0" labelOnly="1" fieldPosition="0">
        <references count="2">
          <reference field="6" count="1" selected="0">
            <x v="1"/>
          </reference>
          <reference field="26" count="1">
            <x v="0"/>
          </reference>
        </references>
      </pivotArea>
    </format>
    <format dxfId="314">
      <pivotArea collapsedLevelsAreSubtotals="1" fieldPosition="0">
        <references count="2">
          <reference field="6" count="1" selected="0">
            <x v="1"/>
          </reference>
          <reference field="26" count="1">
            <x v="1"/>
          </reference>
        </references>
      </pivotArea>
    </format>
    <format dxfId="313">
      <pivotArea dataOnly="0" labelOnly="1" fieldPosition="0">
        <references count="2">
          <reference field="6" count="1" selected="0">
            <x v="1"/>
          </reference>
          <reference field="26" count="1">
            <x v="1"/>
          </reference>
        </references>
      </pivotArea>
    </format>
    <format dxfId="312">
      <pivotArea collapsedLevelsAreSubtotals="1" fieldPosition="0">
        <references count="2">
          <reference field="6" count="1" selected="0">
            <x v="1"/>
          </reference>
          <reference field="26" count="1">
            <x v="3"/>
          </reference>
        </references>
      </pivotArea>
    </format>
    <format dxfId="311">
      <pivotArea dataOnly="0" labelOnly="1" fieldPosition="0">
        <references count="2">
          <reference field="6" count="1" selected="0">
            <x v="1"/>
          </reference>
          <reference field="26" count="1">
            <x v="3"/>
          </reference>
        </references>
      </pivotArea>
    </format>
    <format dxfId="310">
      <pivotArea collapsedLevelsAreSubtotals="1" fieldPosition="0">
        <references count="2">
          <reference field="6" count="1" selected="0">
            <x v="1"/>
          </reference>
          <reference field="26" count="1">
            <x v="2"/>
          </reference>
        </references>
      </pivotArea>
    </format>
    <format dxfId="309">
      <pivotArea dataOnly="0" labelOnly="1" fieldPosition="0">
        <references count="2">
          <reference field="6" count="1" selected="0">
            <x v="1"/>
          </reference>
          <reference field="26" count="1">
            <x v="2"/>
          </reference>
        </references>
      </pivotArea>
    </format>
    <format dxfId="308">
      <pivotArea collapsedLevelsAreSubtotals="1" fieldPosition="0">
        <references count="2">
          <reference field="6" count="1" selected="0">
            <x v="1"/>
          </reference>
          <reference field="26" count="1">
            <x v="4"/>
          </reference>
        </references>
      </pivotArea>
    </format>
    <format dxfId="307">
      <pivotArea dataOnly="0" labelOnly="1" fieldPosition="0">
        <references count="2">
          <reference field="6" count="1" selected="0">
            <x v="1"/>
          </reference>
          <reference field="26" count="1">
            <x v="4"/>
          </reference>
        </references>
      </pivotArea>
    </format>
    <format dxfId="306">
      <pivotArea collapsedLevelsAreSubtotals="1" fieldPosition="0">
        <references count="2">
          <reference field="6" count="1" selected="0">
            <x v="1"/>
          </reference>
          <reference field="26" count="1">
            <x v="5"/>
          </reference>
        </references>
      </pivotArea>
    </format>
    <format dxfId="305">
      <pivotArea dataOnly="0" labelOnly="1" fieldPosition="0">
        <references count="2">
          <reference field="6" count="1" selected="0">
            <x v="1"/>
          </reference>
          <reference field="26" count="1">
            <x v="5"/>
          </reference>
        </references>
      </pivotArea>
    </format>
    <format dxfId="304">
      <pivotArea collapsedLevelsAreSubtotals="1" fieldPosition="0">
        <references count="2">
          <reference field="6" count="1" selected="0">
            <x v="4"/>
          </reference>
          <reference field="26" count="1">
            <x v="0"/>
          </reference>
        </references>
      </pivotArea>
    </format>
    <format dxfId="303">
      <pivotArea dataOnly="0" labelOnly="1" fieldPosition="0">
        <references count="2">
          <reference field="6" count="1" selected="0">
            <x v="4"/>
          </reference>
          <reference field="26" count="1">
            <x v="0"/>
          </reference>
        </references>
      </pivotArea>
    </format>
    <format dxfId="302">
      <pivotArea collapsedLevelsAreSubtotals="1" fieldPosition="0">
        <references count="2">
          <reference field="6" count="1" selected="0">
            <x v="4"/>
          </reference>
          <reference field="26" count="1">
            <x v="1"/>
          </reference>
        </references>
      </pivotArea>
    </format>
    <format dxfId="301">
      <pivotArea dataOnly="0" labelOnly="1" fieldPosition="0">
        <references count="2">
          <reference field="6" count="1" selected="0">
            <x v="4"/>
          </reference>
          <reference field="26" count="1">
            <x v="1"/>
          </reference>
        </references>
      </pivotArea>
    </format>
    <format dxfId="300">
      <pivotArea collapsedLevelsAreSubtotals="1" fieldPosition="0">
        <references count="2">
          <reference field="6" count="1" selected="0">
            <x v="4"/>
          </reference>
          <reference field="26" count="1">
            <x v="2"/>
          </reference>
        </references>
      </pivotArea>
    </format>
    <format dxfId="299">
      <pivotArea dataOnly="0" labelOnly="1" fieldPosition="0">
        <references count="2">
          <reference field="6" count="1" selected="0">
            <x v="4"/>
          </reference>
          <reference field="26" count="1">
            <x v="2"/>
          </reference>
        </references>
      </pivotArea>
    </format>
    <format dxfId="298">
      <pivotArea collapsedLevelsAreSubtotals="1" fieldPosition="0">
        <references count="2">
          <reference field="6" count="1" selected="0">
            <x v="4"/>
          </reference>
          <reference field="26" count="1">
            <x v="3"/>
          </reference>
        </references>
      </pivotArea>
    </format>
    <format dxfId="297">
      <pivotArea dataOnly="0" labelOnly="1" fieldPosition="0">
        <references count="2">
          <reference field="6" count="1" selected="0">
            <x v="4"/>
          </reference>
          <reference field="26" count="1">
            <x v="3"/>
          </reference>
        </references>
      </pivotArea>
    </format>
    <format dxfId="296">
      <pivotArea collapsedLevelsAreSubtotals="1" fieldPosition="0">
        <references count="2">
          <reference field="6" count="1" selected="0">
            <x v="4"/>
          </reference>
          <reference field="26" count="1">
            <x v="4"/>
          </reference>
        </references>
      </pivotArea>
    </format>
    <format dxfId="295">
      <pivotArea dataOnly="0" labelOnly="1" fieldPosition="0">
        <references count="2">
          <reference field="6" count="1" selected="0">
            <x v="4"/>
          </reference>
          <reference field="26" count="1">
            <x v="4"/>
          </reference>
        </references>
      </pivotArea>
    </format>
    <format dxfId="294">
      <pivotArea collapsedLevelsAreSubtotals="1" fieldPosition="0">
        <references count="2">
          <reference field="6" count="1" selected="0">
            <x v="4"/>
          </reference>
          <reference field="26" count="1">
            <x v="5"/>
          </reference>
        </references>
      </pivotArea>
    </format>
    <format dxfId="293">
      <pivotArea dataOnly="0" labelOnly="1" fieldPosition="0">
        <references count="2">
          <reference field="6" count="1" selected="0">
            <x v="4"/>
          </reference>
          <reference field="26" count="1">
            <x v="5"/>
          </reference>
        </references>
      </pivotArea>
    </format>
    <format dxfId="292">
      <pivotArea collapsedLevelsAreSubtotals="1" fieldPosition="0">
        <references count="2">
          <reference field="6" count="1" selected="0">
            <x v="8"/>
          </reference>
          <reference field="26" count="1">
            <x v="5"/>
          </reference>
        </references>
      </pivotArea>
    </format>
    <format dxfId="291">
      <pivotArea dataOnly="0" labelOnly="1" fieldPosition="0">
        <references count="2">
          <reference field="6" count="1" selected="0">
            <x v="8"/>
          </reference>
          <reference field="26" count="1">
            <x v="5"/>
          </reference>
        </references>
      </pivotArea>
    </format>
    <format dxfId="290">
      <pivotArea collapsedLevelsAreSubtotals="1" fieldPosition="0">
        <references count="2">
          <reference field="6" count="1" selected="0">
            <x v="8"/>
          </reference>
          <reference field="26" count="1">
            <x v="4"/>
          </reference>
        </references>
      </pivotArea>
    </format>
    <format dxfId="289">
      <pivotArea dataOnly="0" labelOnly="1" fieldPosition="0">
        <references count="2">
          <reference field="6" count="1" selected="0">
            <x v="8"/>
          </reference>
          <reference field="26" count="1">
            <x v="4"/>
          </reference>
        </references>
      </pivotArea>
    </format>
    <format dxfId="288">
      <pivotArea collapsedLevelsAreSubtotals="1" fieldPosition="0">
        <references count="2">
          <reference field="6" count="1" selected="0">
            <x v="8"/>
          </reference>
          <reference field="26" count="1">
            <x v="0"/>
          </reference>
        </references>
      </pivotArea>
    </format>
    <format dxfId="287">
      <pivotArea dataOnly="0" labelOnly="1" fieldPosition="0">
        <references count="2">
          <reference field="6" count="1" selected="0">
            <x v="8"/>
          </reference>
          <reference field="26" count="1">
            <x v="0"/>
          </reference>
        </references>
      </pivotArea>
    </format>
    <format dxfId="286">
      <pivotArea collapsedLevelsAreSubtotals="1" fieldPosition="0">
        <references count="2">
          <reference field="6" count="1" selected="0">
            <x v="6"/>
          </reference>
          <reference field="26" count="1">
            <x v="5"/>
          </reference>
        </references>
      </pivotArea>
    </format>
    <format dxfId="285">
      <pivotArea dataOnly="0" labelOnly="1" fieldPosition="0">
        <references count="2">
          <reference field="6" count="1" selected="0">
            <x v="6"/>
          </reference>
          <reference field="26" count="1">
            <x v="5"/>
          </reference>
        </references>
      </pivotArea>
    </format>
    <format dxfId="284">
      <pivotArea collapsedLevelsAreSubtotals="1" fieldPosition="0">
        <references count="2">
          <reference field="6" count="1" selected="0">
            <x v="6"/>
          </reference>
          <reference field="26" count="1">
            <x v="3"/>
          </reference>
        </references>
      </pivotArea>
    </format>
    <format dxfId="283">
      <pivotArea dataOnly="0" labelOnly="1" fieldPosition="0">
        <references count="2">
          <reference field="6" count="1" selected="0">
            <x v="6"/>
          </reference>
          <reference field="26" count="1">
            <x v="3"/>
          </reference>
        </references>
      </pivotArea>
    </format>
    <format dxfId="282">
      <pivotArea collapsedLevelsAreSubtotals="1" fieldPosition="0">
        <references count="1">
          <reference field="6" count="1">
            <x v="1"/>
          </reference>
        </references>
      </pivotArea>
    </format>
    <format dxfId="281">
      <pivotArea dataOnly="0" labelOnly="1" fieldPosition="0">
        <references count="1">
          <reference field="6" count="1">
            <x v="1"/>
          </reference>
        </references>
      </pivotArea>
    </format>
    <format dxfId="280">
      <pivotArea collapsedLevelsAreSubtotals="1" fieldPosition="0">
        <references count="1">
          <reference field="6" count="1">
            <x v="2"/>
          </reference>
        </references>
      </pivotArea>
    </format>
    <format dxfId="279">
      <pivotArea dataOnly="0" labelOnly="1" fieldPosition="0">
        <references count="1">
          <reference field="6" count="1">
            <x v="2"/>
          </reference>
        </references>
      </pivotArea>
    </format>
    <format dxfId="278">
      <pivotArea collapsedLevelsAreSubtotals="1" fieldPosition="0">
        <references count="1">
          <reference field="6" count="1">
            <x v="4"/>
          </reference>
        </references>
      </pivotArea>
    </format>
    <format dxfId="277">
      <pivotArea dataOnly="0" labelOnly="1" fieldPosition="0">
        <references count="1">
          <reference field="6" count="1">
            <x v="4"/>
          </reference>
        </references>
      </pivotArea>
    </format>
    <format dxfId="276">
      <pivotArea collapsedLevelsAreSubtotals="1" fieldPosition="0">
        <references count="1">
          <reference field="6" count="1">
            <x v="6"/>
          </reference>
        </references>
      </pivotArea>
    </format>
    <format dxfId="275">
      <pivotArea dataOnly="0" labelOnly="1" fieldPosition="0">
        <references count="1">
          <reference field="6" count="1">
            <x v="6"/>
          </reference>
        </references>
      </pivotArea>
    </format>
    <format dxfId="274">
      <pivotArea collapsedLevelsAreSubtotals="1" fieldPosition="0">
        <references count="1">
          <reference field="6" count="1">
            <x v="8"/>
          </reference>
        </references>
      </pivotArea>
    </format>
    <format dxfId="273">
      <pivotArea dataOnly="0" labelOnly="1" fieldPosition="0">
        <references count="1">
          <reference field="6" count="1">
            <x v="8"/>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114651F-6847-4A92-8C46-12D3541F16E1}" name="PivotTable3" cacheId="7" applyNumberFormats="0" applyBorderFormats="0" applyFontFormats="0" applyPatternFormats="0" applyAlignmentFormats="0" applyWidthHeightFormats="1" dataCaption="Values" missingCaption="0" updatedVersion="8" minRefreshableVersion="3" showDrill="0" itemPrintTitles="1" createdVersion="8" indent="0" compact="0" compactData="0" multipleFieldFilters="0" fieldListSortAscending="1">
  <location ref="AB3:AC38" firstHeaderRow="1" firstDataRow="1" firstDataCol="1"/>
  <pivotFields count="35">
    <pivotField compact="0" outline="0" showAll="0" defaultSubtotal="0"/>
    <pivotField compact="0" outline="0" showAll="0" defaultSubtotal="0"/>
    <pivotField compact="0" outline="0" showAll="0" defaultSubtotal="0">
      <items count="10">
        <item x="7"/>
        <item x="6"/>
        <item x="1"/>
        <item x="0"/>
        <item m="1" x="9"/>
        <item x="4"/>
        <item x="2"/>
        <item x="3"/>
        <item x="8"/>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dataField="1" compact="0" outline="0" showAll="0" defaultSubtotal="0">
      <items count="31">
        <item x="1"/>
        <item x="10"/>
        <item x="9"/>
        <item x="6"/>
        <item x="25"/>
        <item x="23"/>
        <item x="13"/>
        <item x="8"/>
        <item x="20"/>
        <item x="11"/>
        <item x="16"/>
        <item x="14"/>
        <item x="22"/>
        <item x="24"/>
        <item x="15"/>
        <item x="0"/>
        <item x="5"/>
        <item x="19"/>
        <item x="4"/>
        <item x="3"/>
        <item x="21"/>
        <item x="17"/>
        <item x="26"/>
        <item x="2"/>
        <item x="12"/>
        <item x="27"/>
        <item x="28"/>
        <item x="7"/>
        <item x="18"/>
        <item x="29"/>
        <item x="30"/>
      </items>
    </pivotField>
    <pivotField compact="0" outline="0" showAll="0" defaultSubtotal="0">
      <items count="7">
        <item x="1"/>
        <item m="1" x="6"/>
        <item x="3"/>
        <item x="4"/>
        <item x="0"/>
        <item x="2"/>
        <item x="5"/>
      </items>
      <extLst>
        <ext xmlns:x14="http://schemas.microsoft.com/office/spreadsheetml/2009/9/main" uri="{2946ED86-A175-432a-8AC1-64E0C546D7DE}">
          <x14:pivotField fillDownLabels="1"/>
        </ext>
      </extLst>
    </pivotField>
    <pivotField compact="0" outline="0" showAll="0" defaultSubtotal="0"/>
    <pivotField compact="0" outline="0" showAll="0" defaultSubtotal="0"/>
    <pivotField compact="0" outline="0" subtotalTop="0" showAll="0" defaultSubtotal="0"/>
    <pivotField axis="axisRow" compact="0" outline="0" showAll="0" sortType="ascending" defaultSubtotal="0">
      <items count="34">
        <item x="21"/>
        <item x="7"/>
        <item x="9"/>
        <item x="27"/>
        <item x="28"/>
        <item x="5"/>
        <item x="20"/>
        <item x="11"/>
        <item x="17"/>
        <item x="29"/>
        <item x="1"/>
        <item x="12"/>
        <item x="14"/>
        <item x="2"/>
        <item x="19"/>
        <item x="23"/>
        <item x="13"/>
        <item x="30"/>
        <item x="33"/>
        <item x="3"/>
        <item x="25"/>
        <item x="0"/>
        <item x="26"/>
        <item x="10"/>
        <item x="8"/>
        <item x="31"/>
        <item x="24"/>
        <item x="4"/>
        <item x="18"/>
        <item x="32"/>
        <item x="22"/>
        <item x="16"/>
        <item x="6"/>
        <item x="15"/>
      </items>
    </pivotField>
    <pivotField compact="0" outline="0" showAll="0" sortType="ascending" defaultSubtotal="0">
      <items count="23">
        <item x="14"/>
        <item x="7"/>
        <item x="18"/>
        <item x="19"/>
        <item x="5"/>
        <item x="1"/>
        <item x="11"/>
        <item x="2"/>
        <item x="10"/>
        <item x="22"/>
        <item x="3"/>
        <item x="0"/>
        <item x="17"/>
        <item x="9"/>
        <item x="8"/>
        <item x="20"/>
        <item x="16"/>
        <item x="4"/>
        <item x="21"/>
        <item x="15"/>
        <item x="13"/>
        <item x="6"/>
        <item x="12"/>
      </items>
    </pivotField>
    <pivotField compact="0" outline="0" showAll="0" defaultSubtotal="0">
      <items count="23">
        <item x="1"/>
        <item x="9"/>
        <item x="10"/>
        <item x="7"/>
        <item x="17"/>
        <item x="13"/>
        <item x="18"/>
        <item x="5"/>
        <item x="0"/>
        <item x="19"/>
        <item x="4"/>
        <item x="6"/>
        <item x="3"/>
        <item x="16"/>
        <item x="14"/>
        <item x="11"/>
        <item x="2"/>
        <item x="12"/>
        <item x="20"/>
        <item x="8"/>
        <item x="15"/>
        <item x="21"/>
        <item x="22"/>
      </items>
    </pivotField>
    <pivotField compact="0" outline="0" showAll="0" defaultSubtotal="0">
      <items count="14">
        <item sd="0" x="0"/>
        <item sd="0" x="1"/>
        <item sd="0" x="2"/>
        <item sd="0" x="3"/>
        <item sd="0" x="4"/>
        <item sd="0" x="5"/>
        <item sd="0" x="6"/>
        <item sd="0" x="7"/>
        <item sd="0" x="8"/>
        <item sd="0" x="9"/>
        <item sd="0" x="10"/>
        <item sd="0" x="11"/>
        <item sd="0" x="12"/>
        <item sd="0" x="13"/>
      </items>
    </pivotField>
    <pivotField compact="0" outline="0" showAll="0" defaultSubtotal="0">
      <items count="6">
        <item sd="0" x="1"/>
        <item sd="0" x="2"/>
        <item sd="0" x="3"/>
        <item sd="0" x="4"/>
        <item x="5"/>
        <item x="0"/>
      </items>
    </pivotField>
    <pivotField compact="0" outline="0" showAll="0" defaultSubtotal="0">
      <items count="4">
        <item sd="0" x="1"/>
        <item x="2"/>
        <item x="3"/>
        <item x="0"/>
      </items>
    </pivotField>
    <pivotField compact="0" outline="0" showAll="0" defaultSubtotal="0">
      <items count="14">
        <item sd="0" x="0"/>
        <item sd="0" x="1"/>
        <item sd="0" x="2"/>
        <item sd="0" x="3"/>
        <item sd="0" x="4"/>
        <item sd="0" x="5"/>
        <item sd="0" x="6"/>
        <item sd="0" x="7"/>
        <item sd="0" x="8"/>
        <item sd="0" x="9"/>
        <item sd="0" x="10"/>
        <item sd="0" x="11"/>
        <item sd="0" x="12"/>
        <item sd="0" x="13"/>
      </items>
    </pivotField>
    <pivotField compact="0" outline="0" showAll="0" defaultSubtotal="0">
      <items count="6">
        <item sd="0" x="1"/>
        <item sd="0" x="2"/>
        <item sd="0" x="3"/>
        <item sd="0" x="4"/>
        <item x="5"/>
        <item x="0"/>
      </items>
    </pivotField>
    <pivotField compact="0" outline="0" showAll="0" defaultSubtotal="0">
      <items count="4">
        <item sd="0" x="1"/>
        <item x="2"/>
        <item x="3"/>
        <item x="0"/>
      </items>
    </pivotField>
    <pivotField compact="0" outline="0" subtotalTop="0" showAll="0" defaultSubtotal="0">
      <items count="14">
        <item sd="0" x="0"/>
        <item sd="0" x="1"/>
        <item sd="0" x="2"/>
        <item sd="0" x="3"/>
        <item sd="0" x="4"/>
        <item sd="0" x="5"/>
        <item sd="0" x="6"/>
        <item sd="0" x="7"/>
        <item sd="0" x="8"/>
        <item sd="0" x="9"/>
        <item sd="0" x="10"/>
        <item sd="0" x="11"/>
        <item sd="0" x="12"/>
        <item sd="0" x="13"/>
      </items>
    </pivotField>
    <pivotField compact="0" outline="0" subtotalTop="0" showAll="0" defaultSubtotal="0">
      <items count="6">
        <item sd="0" x="1"/>
        <item sd="0" x="2"/>
        <item sd="0" x="3"/>
        <item sd="0" x="4"/>
        <item x="5"/>
        <item x="0"/>
      </items>
    </pivotField>
    <pivotField compact="0" outline="0" subtotalTop="0" showAll="0" defaultSubtotal="0">
      <items count="4">
        <item sd="0" x="1"/>
        <item x="2"/>
        <item x="3"/>
        <item x="0"/>
      </items>
    </pivotField>
    <pivotField compact="0" outline="0" subtotalTop="0" showAll="0" defaultSubtotal="0">
      <items count="14">
        <item sd="0" x="0"/>
        <item sd="0" x="1"/>
        <item sd="0" x="2"/>
        <item sd="0" x="3"/>
        <item sd="0" x="4"/>
        <item sd="0" x="5"/>
        <item sd="0" x="6"/>
        <item sd="0" x="7"/>
        <item sd="0" x="8"/>
        <item sd="0" x="9"/>
        <item sd="0" x="10"/>
        <item sd="0" x="11"/>
        <item sd="0" x="12"/>
        <item sd="0" x="13"/>
      </items>
    </pivotField>
    <pivotField compact="0" outline="0" subtotalTop="0" showAll="0" defaultSubtotal="0">
      <items count="6">
        <item sd="0" x="1"/>
        <item sd="0" x="2"/>
        <item sd="0" x="3"/>
        <item sd="0" x="4"/>
        <item x="5"/>
        <item x="0"/>
      </items>
    </pivotField>
    <pivotField compact="0" outline="0" subtotalTop="0" showAll="0" defaultSubtotal="0">
      <items count="4">
        <item sd="0" x="1"/>
        <item x="2"/>
        <item x="3"/>
        <item x="0"/>
      </items>
    </pivotField>
  </pivotFields>
  <rowFields count="1">
    <field x="20"/>
  </rowFields>
  <rowItems count="3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t="grand">
      <x/>
    </i>
  </rowItems>
  <colItems count="1">
    <i/>
  </colItems>
  <dataFields count="1">
    <dataField name="Count" fld="15" subtotal="count" baseField="0" baseItem="0"/>
  </dataFields>
  <formats count="28">
    <format dxfId="491">
      <pivotArea type="origin" dataOnly="0" labelOnly="1" outline="0" fieldPosition="0"/>
    </format>
    <format dxfId="490">
      <pivotArea field="16" type="button" dataOnly="0" labelOnly="1" outline="0"/>
    </format>
    <format dxfId="489">
      <pivotArea field="2" type="button" dataOnly="0" labelOnly="1" outline="0"/>
    </format>
    <format dxfId="488">
      <pivotArea type="topRight" dataOnly="0" labelOnly="1" outline="0" fieldPosition="0"/>
    </format>
    <format dxfId="487">
      <pivotArea field="21" type="button" dataOnly="0" labelOnly="1" outline="0"/>
    </format>
    <format dxfId="486">
      <pivotArea field="22" type="button" dataOnly="0" labelOnly="1" outline="0"/>
    </format>
    <format dxfId="485">
      <pivotArea grandRow="1" outline="0" collapsedLevelsAreSubtotals="1" fieldPosition="0"/>
    </format>
    <format dxfId="484">
      <pivotArea dataOnly="0" labelOnly="1" grandRow="1" outline="0" fieldPosition="0"/>
    </format>
    <format dxfId="483">
      <pivotArea type="all" dataOnly="0" outline="0" fieldPosition="0"/>
    </format>
    <format dxfId="482">
      <pivotArea outline="0" collapsedLevelsAreSubtotals="1" fieldPosition="0"/>
    </format>
    <format dxfId="481">
      <pivotArea type="origin" dataOnly="0" labelOnly="1" outline="0" fieldPosition="0"/>
    </format>
    <format dxfId="480">
      <pivotArea field="16" type="button" dataOnly="0" labelOnly="1" outline="0"/>
    </format>
    <format dxfId="479">
      <pivotArea field="2" type="button" dataOnly="0" labelOnly="1" outline="0"/>
    </format>
    <format dxfId="478">
      <pivotArea type="topRight" dataOnly="0" labelOnly="1" outline="0" fieldPosition="0"/>
    </format>
    <format dxfId="477">
      <pivotArea field="21" type="button" dataOnly="0" labelOnly="1" outline="0"/>
    </format>
    <format dxfId="476">
      <pivotArea field="22" type="button" dataOnly="0" labelOnly="1" outline="0"/>
    </format>
    <format dxfId="475">
      <pivotArea dataOnly="0" labelOnly="1" grandRow="1" outline="0" fieldPosition="0"/>
    </format>
    <format dxfId="474">
      <pivotArea dataOnly="0" labelOnly="1" grandCol="1" outline="0" fieldPosition="0"/>
    </format>
    <format dxfId="473">
      <pivotArea dataOnly="0" labelOnly="1" grandCol="1" outline="0" fieldPosition="0"/>
    </format>
    <format dxfId="472">
      <pivotArea field="20" type="button" dataOnly="0" labelOnly="1" outline="0" axis="axisRow" fieldPosition="0"/>
    </format>
    <format dxfId="471">
      <pivotArea grandCol="1" outline="0" collapsedLevelsAreSubtotals="1" fieldPosition="0"/>
    </format>
    <format dxfId="470">
      <pivotArea dataOnly="0" labelOnly="1" grandRow="1" outline="0" fieldPosition="0"/>
    </format>
    <format dxfId="469">
      <pivotArea field="21" type="button" dataOnly="0" labelOnly="1" outline="0"/>
    </format>
    <format dxfId="468">
      <pivotArea field="21" type="button" dataOnly="0" labelOnly="1" outline="0"/>
    </format>
    <format dxfId="467">
      <pivotArea outline="0" fieldPosition="0">
        <references count="1">
          <reference field="20" count="0" selected="0"/>
        </references>
      </pivotArea>
    </format>
    <format dxfId="466">
      <pivotArea grandRow="1" outline="0" collapsedLevelsAreSubtotals="1" fieldPosition="0"/>
    </format>
    <format dxfId="465">
      <pivotArea dataOnly="0" labelOnly="1" outline="0" fieldPosition="0">
        <references count="1">
          <reference field="20" count="0"/>
        </references>
      </pivotArea>
    </format>
    <format dxfId="464">
      <pivotArea dataOnly="0" labelOnly="1" outline="0" fieldPosition="0">
        <references count="1">
          <reference field="2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7215C7D-E9B3-4C4B-A23C-91EA968DFECD}" name="PivotTable2" cacheId="5" applyNumberFormats="0" applyBorderFormats="0" applyFontFormats="0" applyPatternFormats="0" applyAlignmentFormats="0" applyWidthHeightFormats="1" dataCaption="Values" updatedVersion="8" minRefreshableVersion="3" showDrill="0" colGrandTotals="0" itemPrintTitles="1" createdVersion="8" indent="0" compact="0" compactData="0" multipleFieldFilters="0">
  <location ref="A21:E35" firstHeaderRow="1" firstDataRow="2" firstDataCol="1"/>
  <pivotFields count="3">
    <pivotField axis="axisCol" compact="0" outline="0" showAll="0" insertBlankRow="1" sumSubtotal="1">
      <items count="5">
        <item x="2"/>
        <item x="0"/>
        <item x="1"/>
        <item x="3"/>
        <item t="sum"/>
      </items>
    </pivotField>
    <pivotField name="Month" axis="axisRow" compact="0" outline="0" showAll="0" defaultSubtotal="0">
      <items count="12">
        <item x="0"/>
        <item x="4"/>
        <item x="11"/>
        <item x="10"/>
        <item x="5"/>
        <item x="1"/>
        <item x="2"/>
        <item x="7"/>
        <item x="3"/>
        <item x="6"/>
        <item x="8"/>
        <item x="9"/>
      </items>
    </pivotField>
    <pivotField dataField="1" compact="0" outline="0" showAll="0" defaultSubtotal="0"/>
  </pivotFields>
  <rowFields count="1">
    <field x="1"/>
  </rowFields>
  <rowItems count="13">
    <i>
      <x/>
    </i>
    <i>
      <x v="1"/>
    </i>
    <i>
      <x v="2"/>
    </i>
    <i>
      <x v="3"/>
    </i>
    <i>
      <x v="4"/>
    </i>
    <i>
      <x v="5"/>
    </i>
    <i>
      <x v="6"/>
    </i>
    <i>
      <x v="7"/>
    </i>
    <i>
      <x v="8"/>
    </i>
    <i>
      <x v="9"/>
    </i>
    <i>
      <x v="10"/>
    </i>
    <i>
      <x v="11"/>
    </i>
    <i t="grand">
      <x/>
    </i>
  </rowItems>
  <colFields count="1">
    <field x="0"/>
  </colFields>
  <colItems count="4">
    <i>
      <x/>
    </i>
    <i>
      <x v="1"/>
    </i>
    <i>
      <x v="2"/>
    </i>
    <i>
      <x v="3"/>
    </i>
  </colItems>
  <dataFields count="1">
    <dataField name="Document Received" fld="2" baseField="0" baseItem="0"/>
  </dataFields>
  <formats count="64">
    <format dxfId="555">
      <pivotArea field="0" type="button" dataOnly="0" labelOnly="1" outline="0" axis="axisCol" fieldPosition="0"/>
    </format>
    <format dxfId="554">
      <pivotArea field="1" type="button" dataOnly="0" labelOnly="1" outline="0" axis="axisRow" fieldPosition="0"/>
    </format>
    <format dxfId="553">
      <pivotArea dataOnly="0" labelOnly="1" outline="0" axis="axisValues" fieldPosition="0"/>
    </format>
    <format dxfId="552">
      <pivotArea field="0" type="button" dataOnly="0" labelOnly="1" outline="0" axis="axisCol" fieldPosition="0"/>
    </format>
    <format dxfId="551">
      <pivotArea field="1" type="button" dataOnly="0" labelOnly="1" outline="0" axis="axisRow" fieldPosition="0"/>
    </format>
    <format dxfId="550">
      <pivotArea dataOnly="0" labelOnly="1" outline="0" axis="axisValues" fieldPosition="0"/>
    </format>
    <format dxfId="549">
      <pivotArea type="origin" dataOnly="0" labelOnly="1" outline="0" fieldPosition="0"/>
    </format>
    <format dxfId="548">
      <pivotArea field="0" type="button" dataOnly="0" labelOnly="1" outline="0" axis="axisCol" fieldPosition="0"/>
    </format>
    <format dxfId="547">
      <pivotArea type="topRight" dataOnly="0" labelOnly="1" outline="0" fieldPosition="0"/>
    </format>
    <format dxfId="546">
      <pivotArea field="1" type="button" dataOnly="0" labelOnly="1" outline="0" axis="axisRow" fieldPosition="0"/>
    </format>
    <format dxfId="545">
      <pivotArea dataOnly="0" labelOnly="1" outline="0" fieldPosition="0">
        <references count="1">
          <reference field="0" count="0"/>
        </references>
      </pivotArea>
    </format>
    <format dxfId="544">
      <pivotArea type="origin" dataOnly="0" labelOnly="1" outline="0" fieldPosition="0"/>
    </format>
    <format dxfId="543">
      <pivotArea field="0" type="button" dataOnly="0" labelOnly="1" outline="0" axis="axisCol" fieldPosition="0"/>
    </format>
    <format dxfId="542">
      <pivotArea type="topRight" dataOnly="0" labelOnly="1" outline="0" fieldPosition="0"/>
    </format>
    <format dxfId="541">
      <pivotArea field="1" type="button" dataOnly="0" labelOnly="1" outline="0" axis="axisRow" fieldPosition="0"/>
    </format>
    <format dxfId="540">
      <pivotArea dataOnly="0" labelOnly="1" outline="0" fieldPosition="0">
        <references count="1">
          <reference field="0" count="0"/>
        </references>
      </pivotArea>
    </format>
    <format dxfId="539">
      <pivotArea type="origin" dataOnly="0" labelOnly="1" outline="0" fieldPosition="0"/>
    </format>
    <format dxfId="538">
      <pivotArea field="0" type="button" dataOnly="0" labelOnly="1" outline="0" axis="axisCol" fieldPosition="0"/>
    </format>
    <format dxfId="537">
      <pivotArea type="topRight" dataOnly="0" labelOnly="1" outline="0" fieldPosition="0"/>
    </format>
    <format dxfId="536">
      <pivotArea field="1" type="button" dataOnly="0" labelOnly="1" outline="0" axis="axisRow" fieldPosition="0"/>
    </format>
    <format dxfId="535">
      <pivotArea dataOnly="0" labelOnly="1" outline="0" fieldPosition="0">
        <references count="1">
          <reference field="0" count="0"/>
        </references>
      </pivotArea>
    </format>
    <format dxfId="534">
      <pivotArea dataOnly="0" grandRow="1" outline="0" fieldPosition="0"/>
    </format>
    <format dxfId="533">
      <pivotArea dataOnly="0" grandRow="1" outline="0" fieldPosition="0"/>
    </format>
    <format dxfId="532">
      <pivotArea dataOnly="0" grandRow="1" outline="0" fieldPosition="0"/>
    </format>
    <format dxfId="531">
      <pivotArea outline="0" fieldPosition="0">
        <references count="1">
          <reference field="1" count="0" selected="0"/>
        </references>
      </pivotArea>
    </format>
    <format dxfId="530">
      <pivotArea outline="0" fieldPosition="0">
        <references count="1">
          <reference field="1" count="1" selected="0">
            <x v="0"/>
          </reference>
        </references>
      </pivotArea>
    </format>
    <format dxfId="529">
      <pivotArea outline="0" fieldPosition="0">
        <references count="1">
          <reference field="1" count="1" selected="0">
            <x v="1"/>
          </reference>
        </references>
      </pivotArea>
    </format>
    <format dxfId="528">
      <pivotArea outline="0" fieldPosition="0">
        <references count="1">
          <reference field="1" count="1" selected="0">
            <x v="2"/>
          </reference>
        </references>
      </pivotArea>
    </format>
    <format dxfId="527">
      <pivotArea outline="0" fieldPosition="0">
        <references count="1">
          <reference field="1" count="1" selected="0">
            <x v="3"/>
          </reference>
        </references>
      </pivotArea>
    </format>
    <format dxfId="526">
      <pivotArea outline="0" fieldPosition="0">
        <references count="1">
          <reference field="1" count="1" selected="0">
            <x v="4"/>
          </reference>
        </references>
      </pivotArea>
    </format>
    <format dxfId="525">
      <pivotArea outline="0" fieldPosition="0">
        <references count="1">
          <reference field="1" count="1" selected="0">
            <x v="5"/>
          </reference>
        </references>
      </pivotArea>
    </format>
    <format dxfId="524">
      <pivotArea field="1" type="button" dataOnly="0" labelOnly="1" outline="0" axis="axisRow" fieldPosition="0"/>
    </format>
    <format dxfId="523">
      <pivotArea dataOnly="0" labelOnly="1" outline="0" fieldPosition="0">
        <references count="1">
          <reference field="0" count="0"/>
        </references>
      </pivotArea>
    </format>
    <format dxfId="522">
      <pivotArea type="all" dataOnly="0" outline="0" fieldPosition="0"/>
    </format>
    <format dxfId="521">
      <pivotArea outline="0" collapsedLevelsAreSubtotals="1" fieldPosition="0"/>
    </format>
    <format dxfId="520">
      <pivotArea type="origin" dataOnly="0" labelOnly="1" outline="0" fieldPosition="0"/>
    </format>
    <format dxfId="519">
      <pivotArea field="0" type="button" dataOnly="0" labelOnly="1" outline="0" axis="axisCol" fieldPosition="0"/>
    </format>
    <format dxfId="518">
      <pivotArea type="topRight" dataOnly="0" labelOnly="1" outline="0" fieldPosition="0"/>
    </format>
    <format dxfId="517">
      <pivotArea field="1" type="button" dataOnly="0" labelOnly="1" outline="0" axis="axisRow" fieldPosition="0"/>
    </format>
    <format dxfId="516">
      <pivotArea dataOnly="0" labelOnly="1" outline="0" fieldPosition="0">
        <references count="1">
          <reference field="1" count="0"/>
        </references>
      </pivotArea>
    </format>
    <format dxfId="515">
      <pivotArea dataOnly="0" labelOnly="1" grandRow="1" outline="0" fieldPosition="0"/>
    </format>
    <format dxfId="514">
      <pivotArea dataOnly="0" labelOnly="1" outline="0" fieldPosition="0">
        <references count="1">
          <reference field="0" count="0"/>
        </references>
      </pivotArea>
    </format>
    <format dxfId="513">
      <pivotArea type="origin" dataOnly="0" labelOnly="1" outline="0" fieldPosition="0"/>
    </format>
    <format dxfId="512">
      <pivotArea field="0" type="button" dataOnly="0" labelOnly="1" outline="0" axis="axisCol" fieldPosition="0"/>
    </format>
    <format dxfId="511">
      <pivotArea type="topRight" dataOnly="0" labelOnly="1" outline="0" fieldPosition="0"/>
    </format>
    <format dxfId="510">
      <pivotArea field="1" type="button" dataOnly="0" labelOnly="1" outline="0" axis="axisRow" fieldPosition="0"/>
    </format>
    <format dxfId="509">
      <pivotArea dataOnly="0" labelOnly="1" outline="0" fieldPosition="0">
        <references count="1">
          <reference field="0" count="0"/>
        </references>
      </pivotArea>
    </format>
    <format dxfId="508">
      <pivotArea grandRow="1" outline="0" collapsedLevelsAreSubtotals="1" fieldPosition="0"/>
    </format>
    <format dxfId="507">
      <pivotArea dataOnly="0" labelOnly="1" grandRow="1" outline="0" fieldPosition="0"/>
    </format>
    <format dxfId="506">
      <pivotArea type="origin" dataOnly="0" labelOnly="1" outline="0" fieldPosition="0"/>
    </format>
    <format dxfId="505">
      <pivotArea field="0" type="button" dataOnly="0" labelOnly="1" outline="0" axis="axisCol" fieldPosition="0"/>
    </format>
    <format dxfId="504">
      <pivotArea type="topRight" dataOnly="0" labelOnly="1" outline="0" fieldPosition="0"/>
    </format>
    <format dxfId="503">
      <pivotArea field="1" type="button" dataOnly="0" labelOnly="1" outline="0" axis="axisRow" fieldPosition="0"/>
    </format>
    <format dxfId="502">
      <pivotArea dataOnly="0" labelOnly="1" outline="0" fieldPosition="0">
        <references count="1">
          <reference field="0" count="0"/>
        </references>
      </pivotArea>
    </format>
    <format dxfId="501">
      <pivotArea field="0" type="button" dataOnly="0" labelOnly="1" outline="0" axis="axisCol" fieldPosition="0"/>
    </format>
    <format dxfId="500">
      <pivotArea type="topRight" dataOnly="0" labelOnly="1" outline="0" offset="A1" fieldPosition="0"/>
    </format>
    <format dxfId="499">
      <pivotArea type="topRight" dataOnly="0" labelOnly="1" outline="0" offset="B1" fieldPosition="0"/>
    </format>
    <format dxfId="498">
      <pivotArea dataOnly="0" labelOnly="1" outline="0" fieldPosition="0">
        <references count="1">
          <reference field="0" count="1">
            <x v="2"/>
          </reference>
        </references>
      </pivotArea>
    </format>
    <format dxfId="497">
      <pivotArea field="1" type="button" dataOnly="0" labelOnly="1" outline="0" axis="axisRow" fieldPosition="0"/>
    </format>
    <format dxfId="496">
      <pivotArea dataOnly="0" labelOnly="1" grandRow="1" outline="0" fieldPosition="0"/>
    </format>
    <format dxfId="495">
      <pivotArea field="0" grandRow="1" outline="0" axis="axisCol" fieldPosition="0">
        <references count="1">
          <reference field="0" count="1" selected="0">
            <x v="0"/>
          </reference>
        </references>
      </pivotArea>
    </format>
    <format dxfId="494">
      <pivotArea field="0" grandRow="1" outline="0" axis="axisCol" fieldPosition="0">
        <references count="1">
          <reference field="0" count="1" selected="0">
            <x v="2"/>
          </reference>
        </references>
      </pivotArea>
    </format>
    <format dxfId="493">
      <pivotArea field="0" grandRow="1" outline="0" axis="axisCol" fieldPosition="0">
        <references count="1">
          <reference field="0" count="1" selected="0">
            <x v="1"/>
          </reference>
        </references>
      </pivotArea>
    </format>
    <format dxfId="492">
      <pivotArea field="0" grandRow="1" outline="0" axis="axisCol" fieldPosition="0">
        <references count="1">
          <reference field="0" count="1" selected="0">
            <x v="3"/>
          </reference>
        </references>
      </pivotArea>
    </format>
  </formats>
  <conditionalFormats count="1">
    <conditionalFormat priority="6">
      <pivotAreas count="12">
        <pivotArea type="data" outline="0" collapsedLevelsAreSubtotals="1" fieldPosition="0">
          <references count="2">
            <reference field="4294967294" count="1" selected="0">
              <x v="0"/>
            </reference>
            <reference field="1" count="1" selected="0">
              <x v="0"/>
            </reference>
          </references>
        </pivotArea>
        <pivotArea type="data" outline="0" collapsedLevelsAreSubtotals="1" fieldPosition="0">
          <references count="2">
            <reference field="4294967294" count="1" selected="0">
              <x v="0"/>
            </reference>
            <reference field="1" count="1" selected="0">
              <x v="1"/>
            </reference>
          </references>
        </pivotArea>
        <pivotArea type="data" outline="0" collapsedLevelsAreSubtotals="1" fieldPosition="0">
          <references count="2">
            <reference field="4294967294" count="1" selected="0">
              <x v="0"/>
            </reference>
            <reference field="1" count="1" selected="0">
              <x v="2"/>
            </reference>
          </references>
        </pivotArea>
        <pivotArea type="data" outline="0" collapsedLevelsAreSubtotals="1" fieldPosition="0">
          <references count="2">
            <reference field="4294967294" count="1" selected="0">
              <x v="0"/>
            </reference>
            <reference field="1" count="1" selected="0">
              <x v="3"/>
            </reference>
          </references>
        </pivotArea>
        <pivotArea type="data" outline="0" collapsedLevelsAreSubtotals="1" fieldPosition="0">
          <references count="2">
            <reference field="4294967294" count="1" selected="0">
              <x v="0"/>
            </reference>
            <reference field="1" count="1" selected="0">
              <x v="4"/>
            </reference>
          </references>
        </pivotArea>
        <pivotArea type="data" outline="0" collapsedLevelsAreSubtotals="1" fieldPosition="0">
          <references count="2">
            <reference field="4294967294" count="1" selected="0">
              <x v="0"/>
            </reference>
            <reference field="1" count="1" selected="0">
              <x v="5"/>
            </reference>
          </references>
        </pivotArea>
        <pivotArea type="data" outline="0" collapsedLevelsAreSubtotals="1" fieldPosition="0">
          <references count="2">
            <reference field="4294967294" count="1" selected="0">
              <x v="0"/>
            </reference>
            <reference field="1" count="1" selected="0">
              <x v="6"/>
            </reference>
          </references>
        </pivotArea>
        <pivotArea type="data" outline="0" collapsedLevelsAreSubtotals="1" fieldPosition="0">
          <references count="2">
            <reference field="4294967294" count="1" selected="0">
              <x v="0"/>
            </reference>
            <reference field="1" count="1" selected="0">
              <x v="7"/>
            </reference>
          </references>
        </pivotArea>
        <pivotArea type="data" outline="0" collapsedLevelsAreSubtotals="1" fieldPosition="0">
          <references count="2">
            <reference field="4294967294" count="1" selected="0">
              <x v="0"/>
            </reference>
            <reference field="1" count="1" selected="0">
              <x v="8"/>
            </reference>
          </references>
        </pivotArea>
        <pivotArea type="data" outline="0" collapsedLevelsAreSubtotals="1" fieldPosition="0">
          <references count="2">
            <reference field="4294967294" count="1" selected="0">
              <x v="0"/>
            </reference>
            <reference field="1" count="1" selected="0">
              <x v="9"/>
            </reference>
          </references>
        </pivotArea>
        <pivotArea type="data" outline="0" collapsedLevelsAreSubtotals="1" fieldPosition="0">
          <references count="2">
            <reference field="4294967294" count="1" selected="0">
              <x v="0"/>
            </reference>
            <reference field="1" count="1" selected="0">
              <x v="10"/>
            </reference>
          </references>
        </pivotArea>
        <pivotArea type="data" outline="0" collapsedLevelsAreSubtotals="1" fieldPosition="0">
          <references count="2">
            <reference field="4294967294" count="1" selected="0">
              <x v="0"/>
            </reference>
            <reference field="1" count="1" selected="0">
              <x v="11"/>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559B4FA-09A5-4C5A-A6F3-4F05251856B5}" name="PivotTable7" cacheId="31" applyNumberFormats="0" applyBorderFormats="0" applyFontFormats="0" applyPatternFormats="0" applyAlignmentFormats="0" applyWidthHeightFormats="1" dataCaption="Values" missingCaption="0" updatedVersion="8" minRefreshableVersion="3" showDrill="0" rowGrandTotals="0" colGrandTotals="0" itemPrintTitles="1" createdVersion="8" indent="0" compact="0" compactData="0" multipleFieldFilters="0">
  <location ref="H12:M12" firstHeaderRow="1" firstDataRow="1" firstDataCol="5"/>
  <pivotFields count="15">
    <pivotField axis="axisRow" compact="0" outline="0" showAll="0" defaultSubtotal="0">
      <items count="530">
        <item m="1" x="368"/>
        <item m="1" x="354"/>
        <item m="1" x="523"/>
        <item m="1" x="468"/>
        <item m="1" x="493"/>
        <item m="1" x="519"/>
        <item m="1" x="518"/>
        <item m="1" x="522"/>
        <item x="4"/>
        <item m="1" x="384"/>
        <item m="1" x="386"/>
        <item x="158"/>
        <item m="1" x="525"/>
        <item m="1" x="521"/>
        <item m="1" x="520"/>
        <item x="131"/>
        <item x="2"/>
        <item x="3"/>
        <item x="0"/>
        <item x="1"/>
        <item m="1" x="499"/>
        <item m="1" x="508"/>
        <item m="1" x="495"/>
        <item m="1" x="501"/>
        <item m="1" x="502"/>
        <item m="1" x="498"/>
        <item m="1" x="497"/>
        <item m="1" x="494"/>
        <item m="1" x="500"/>
        <item m="1" x="496"/>
        <item m="1" x="329"/>
        <item x="50"/>
        <item x="36"/>
        <item x="32"/>
        <item x="30"/>
        <item x="34"/>
        <item x="29"/>
        <item x="48"/>
        <item x="47"/>
        <item x="28"/>
        <item x="52"/>
        <item x="33"/>
        <item x="60"/>
        <item x="73"/>
        <item x="46"/>
        <item x="53"/>
        <item x="38"/>
        <item x="41"/>
        <item x="57"/>
        <item x="56"/>
        <item x="37"/>
        <item x="44"/>
        <item x="39"/>
        <item x="35"/>
        <item x="31"/>
        <item x="54"/>
        <item x="40"/>
        <item x="42"/>
        <item x="45"/>
        <item x="51"/>
        <item x="43"/>
        <item x="63"/>
        <item x="49"/>
        <item x="8"/>
        <item x="82"/>
        <item x="5"/>
        <item x="92"/>
        <item x="6"/>
        <item x="91"/>
        <item x="88"/>
        <item x="90"/>
        <item x="89"/>
        <item x="87"/>
        <item x="58"/>
        <item x="66"/>
        <item x="59"/>
        <item x="55"/>
        <item x="62"/>
        <item x="61"/>
        <item x="7"/>
        <item x="79"/>
        <item x="65"/>
        <item x="68"/>
        <item x="78"/>
        <item x="67"/>
        <item x="69"/>
        <item x="93"/>
        <item x="64"/>
        <item x="12"/>
        <item x="16"/>
        <item x="10"/>
        <item x="13"/>
        <item x="15"/>
        <item x="11"/>
        <item x="25"/>
        <item x="24"/>
        <item x="80"/>
        <item x="9"/>
        <item x="27"/>
        <item x="83"/>
        <item x="84"/>
        <item x="85"/>
        <item x="17"/>
        <item x="86"/>
        <item x="26"/>
        <item x="23"/>
        <item x="22"/>
        <item x="14"/>
        <item x="20"/>
        <item x="99"/>
        <item x="21"/>
        <item x="19"/>
        <item x="76"/>
        <item x="18"/>
        <item x="96"/>
        <item x="75"/>
        <item x="81"/>
        <item x="72"/>
        <item x="71"/>
        <item x="95"/>
        <item x="74"/>
        <item x="70"/>
        <item x="97"/>
        <item x="98"/>
        <item x="77"/>
        <item x="101"/>
        <item x="100"/>
        <item x="94"/>
        <item x="103"/>
        <item x="109"/>
        <item x="105"/>
        <item x="102"/>
        <item x="106"/>
        <item x="111"/>
        <item m="1" x="529"/>
        <item m="1" x="505"/>
        <item m="1" x="391"/>
        <item m="1" x="511"/>
        <item m="1" x="509"/>
        <item m="1" x="524"/>
        <item x="140"/>
        <item m="1" x="513"/>
        <item x="148"/>
        <item x="138"/>
        <item m="1" x="474"/>
        <item m="1" x="515"/>
        <item m="1" x="387"/>
        <item m="1" x="517"/>
        <item m="1" x="489"/>
        <item m="1" x="514"/>
        <item x="112"/>
        <item m="1" x="528"/>
        <item x="116"/>
        <item x="145"/>
        <item x="115"/>
        <item m="1" x="526"/>
        <item m="1" x="220"/>
        <item m="1" x="516"/>
        <item m="1" x="527"/>
        <item m="1" x="506"/>
        <item m="1" x="507"/>
        <item x="171"/>
        <item m="1" x="512"/>
        <item x="114"/>
        <item m="1" x="475"/>
        <item m="1" x="510"/>
        <item m="1" x="324"/>
        <item x="143"/>
        <item m="1" x="479"/>
        <item m="1" x="406"/>
        <item x="113"/>
        <item m="1" x="472"/>
        <item x="118"/>
        <item x="104"/>
        <item m="1" x="480"/>
        <item x="117"/>
        <item m="1" x="369"/>
        <item m="1" x="473"/>
        <item m="1" x="271"/>
        <item m="1" x="385"/>
        <item m="1" x="476"/>
        <item x="107"/>
        <item m="1" x="363"/>
        <item m="1" x="482"/>
        <item m="1" x="376"/>
        <item m="1" x="444"/>
        <item m="1" x="373"/>
        <item m="1" x="481"/>
        <item m="1" x="430"/>
        <item m="1" x="451"/>
        <item m="1" x="286"/>
        <item x="153"/>
        <item m="1" x="492"/>
        <item m="1" x="467"/>
        <item m="1" x="486"/>
        <item m="1" x="355"/>
        <item m="1" x="375"/>
        <item m="1" x="390"/>
        <item m="1" x="392"/>
        <item m="1" x="393"/>
        <item m="1" x="394"/>
        <item m="1" x="395"/>
        <item m="1" x="396"/>
        <item m="1" x="397"/>
        <item m="1" x="398"/>
        <item m="1" x="399"/>
        <item m="1" x="400"/>
        <item m="1" x="401"/>
        <item m="1" x="402"/>
        <item m="1" x="403"/>
        <item m="1" x="404"/>
        <item m="1" x="405"/>
        <item m="1" x="407"/>
        <item m="1" x="408"/>
        <item m="1" x="219"/>
        <item m="1" x="409"/>
        <item m="1" x="410"/>
        <item m="1" x="299"/>
        <item m="1" x="411"/>
        <item m="1" x="412"/>
        <item m="1" x="413"/>
        <item m="1" x="414"/>
        <item m="1" x="415"/>
        <item m="1" x="417"/>
        <item m="1" x="418"/>
        <item m="1" x="419"/>
        <item x="120"/>
        <item m="1" x="504"/>
        <item m="1" x="488"/>
        <item m="1" x="416"/>
        <item m="1" x="503"/>
        <item x="124"/>
        <item m="1" x="490"/>
        <item m="1" x="478"/>
        <item m="1" x="431"/>
        <item m="1" x="484"/>
        <item m="1" x="285"/>
        <item m="1" x="469"/>
        <item m="1" x="440"/>
        <item m="1" x="290"/>
        <item x="123"/>
        <item m="1" x="491"/>
        <item m="1" x="487"/>
        <item x="127"/>
        <item m="1" x="420"/>
        <item m="1" x="477"/>
        <item m="1" x="483"/>
        <item m="1" x="485"/>
        <item x="126"/>
        <item x="128"/>
        <item m="1" x="448"/>
        <item m="1" x="445"/>
        <item m="1" x="446"/>
        <item m="1" x="317"/>
        <item m="1" x="432"/>
        <item m="1" x="356"/>
        <item m="1" x="459"/>
        <item m="1" x="426"/>
        <item x="144"/>
        <item x="130"/>
        <item m="1" x="255"/>
        <item m="1" x="352"/>
        <item x="108"/>
        <item m="1" x="454"/>
        <item m="1" x="470"/>
        <item m="1" x="429"/>
        <item m="1" x="434"/>
        <item m="1" x="435"/>
        <item m="1" x="382"/>
        <item m="1" x="436"/>
        <item m="1" x="439"/>
        <item m="1" x="441"/>
        <item m="1" x="361"/>
        <item m="1" x="450"/>
        <item m="1" x="365"/>
        <item m="1" x="422"/>
        <item m="1" x="427"/>
        <item m="1" x="471"/>
        <item m="1" x="460"/>
        <item m="1" x="464"/>
        <item m="1" x="327"/>
        <item m="1" x="447"/>
        <item m="1" x="449"/>
        <item m="1" x="457"/>
        <item x="134"/>
        <item x="122"/>
        <item m="1" x="328"/>
        <item m="1" x="388"/>
        <item m="1" x="456"/>
        <item m="1" x="458"/>
        <item m="1" x="453"/>
        <item m="1" x="463"/>
        <item m="1" x="338"/>
        <item m="1" x="339"/>
        <item m="1" x="462"/>
        <item m="1" x="423"/>
        <item m="1" x="301"/>
        <item m="1" x="455"/>
        <item m="1" x="461"/>
        <item m="1" x="452"/>
        <item m="1" x="383"/>
        <item m="1" x="424"/>
        <item m="1" x="425"/>
        <item m="1" x="428"/>
        <item m="1" x="330"/>
        <item x="141"/>
        <item x="132"/>
        <item m="1" x="340"/>
        <item m="1" x="341"/>
        <item m="1" x="437"/>
        <item m="1" x="251"/>
        <item m="1" x="443"/>
        <item x="119"/>
        <item x="121"/>
        <item x="137"/>
        <item m="1" x="326"/>
        <item m="1" x="337"/>
        <item x="133"/>
        <item m="1" x="421"/>
        <item m="1" x="433"/>
        <item m="1" x="438"/>
        <item m="1" x="442"/>
        <item m="1" x="465"/>
        <item m="1" x="466"/>
        <item x="154"/>
        <item m="1" x="374"/>
        <item x="135"/>
        <item m="1" x="335"/>
        <item m="1" x="331"/>
        <item m="1" x="323"/>
        <item m="1" x="332"/>
        <item m="1" x="235"/>
        <item m="1" x="325"/>
        <item m="1" x="333"/>
        <item m="1" x="342"/>
        <item m="1" x="343"/>
        <item x="136"/>
        <item m="1" x="350"/>
        <item x="139"/>
        <item m="1" x="300"/>
        <item m="1" x="336"/>
        <item x="110"/>
        <item m="1" x="348"/>
        <item m="1" x="380"/>
        <item m="1" x="381"/>
        <item m="1" x="334"/>
        <item m="1" x="349"/>
        <item m="1" x="353"/>
        <item m="1" x="344"/>
        <item m="1" x="389"/>
        <item m="1" x="345"/>
        <item m="1" x="379"/>
        <item m="1" x="346"/>
        <item x="190"/>
        <item m="1" x="351"/>
        <item m="1" x="357"/>
        <item m="1" x="359"/>
        <item x="125"/>
        <item m="1" x="358"/>
        <item m="1" x="370"/>
        <item m="1" x="297"/>
        <item x="150"/>
        <item m="1" x="287"/>
        <item x="129"/>
        <item m="1" x="360"/>
        <item m="1" x="211"/>
        <item m="1" x="378"/>
        <item m="1" x="377"/>
        <item m="1" x="362"/>
        <item m="1" x="207"/>
        <item m="1" x="217"/>
        <item m="1" x="364"/>
        <item m="1" x="366"/>
        <item m="1" x="367"/>
        <item m="1" x="372"/>
        <item m="1" x="303"/>
        <item m="1" x="371"/>
        <item m="1" x="347"/>
        <item m="1" x="260"/>
        <item x="152"/>
        <item m="1" x="318"/>
        <item x="147"/>
        <item m="1" x="320"/>
        <item x="142"/>
        <item m="1" x="322"/>
        <item m="1" x="236"/>
        <item x="191"/>
        <item m="1" x="319"/>
        <item m="1" x="312"/>
        <item m="1" x="309"/>
        <item m="1" x="316"/>
        <item m="1" x="307"/>
        <item m="1" x="308"/>
        <item m="1" x="310"/>
        <item m="1" x="311"/>
        <item m="1" x="313"/>
        <item m="1" x="321"/>
        <item x="161"/>
        <item x="157"/>
        <item x="162"/>
        <item m="1" x="304"/>
        <item x="155"/>
        <item x="159"/>
        <item m="1" x="315"/>
        <item m="1" x="314"/>
        <item x="156"/>
        <item x="165"/>
        <item x="166"/>
        <item x="149"/>
        <item x="164"/>
        <item m="1" x="305"/>
        <item x="169"/>
        <item x="201"/>
        <item x="167"/>
        <item m="1" x="244"/>
        <item x="160"/>
        <item x="146"/>
        <item m="1" x="306"/>
        <item m="1" x="302"/>
        <item m="1" x="280"/>
        <item x="163"/>
        <item m="1" x="218"/>
        <item m="1" x="298"/>
        <item m="1" x="288"/>
        <item m="1" x="263"/>
        <item x="168"/>
        <item m="1" x="221"/>
        <item x="170"/>
        <item m="1" x="289"/>
        <item m="1" x="294"/>
        <item m="1" x="268"/>
        <item m="1" x="283"/>
        <item x="172"/>
        <item m="1" x="269"/>
        <item m="1" x="295"/>
        <item m="1" x="293"/>
        <item m="1" x="240"/>
        <item m="1" x="223"/>
        <item m="1" x="292"/>
        <item x="173"/>
        <item m="1" x="262"/>
        <item m="1" x="222"/>
        <item m="1" x="224"/>
        <item x="174"/>
        <item m="1" x="296"/>
        <item m="1" x="284"/>
        <item m="1" x="225"/>
        <item m="1" x="270"/>
        <item m="1" x="272"/>
        <item x="176"/>
        <item m="1" x="291"/>
        <item m="1" x="226"/>
        <item m="1" x="282"/>
        <item x="175"/>
        <item m="1" x="227"/>
        <item x="195"/>
        <item x="177"/>
        <item x="178"/>
        <item x="179"/>
        <item m="1" x="267"/>
        <item m="1" x="281"/>
        <item m="1" x="279"/>
        <item m="1" x="258"/>
        <item m="1" x="256"/>
        <item x="181"/>
        <item x="183"/>
        <item m="1" x="257"/>
        <item x="182"/>
        <item m="1" x="259"/>
        <item m="1" x="273"/>
        <item m="1" x="275"/>
        <item m="1" x="278"/>
        <item m="1" x="228"/>
        <item m="1" x="277"/>
        <item m="1" x="274"/>
        <item x="187"/>
        <item x="186"/>
        <item x="185"/>
        <item m="1" x="276"/>
        <item x="184"/>
        <item x="188"/>
        <item m="1" x="229"/>
        <item x="189"/>
        <item x="198"/>
        <item m="1" x="208"/>
        <item x="180"/>
        <item m="1" x="265"/>
        <item m="1" x="254"/>
        <item m="1" x="261"/>
        <item m="1" x="264"/>
        <item m="1" x="266"/>
        <item m="1" x="242"/>
        <item m="1" x="216"/>
        <item m="1" x="238"/>
        <item m="1" x="237"/>
        <item m="1" x="245"/>
        <item m="1" x="241"/>
        <item x="197"/>
        <item x="192"/>
        <item x="193"/>
        <item m="1" x="253"/>
        <item m="1" x="246"/>
        <item m="1" x="248"/>
        <item m="1" x="243"/>
        <item x="194"/>
        <item m="1" x="239"/>
        <item m="1" x="252"/>
        <item x="196"/>
        <item m="1" x="247"/>
        <item m="1" x="230"/>
        <item m="1" x="231"/>
        <item m="1" x="232"/>
        <item x="199"/>
        <item m="1" x="212"/>
        <item x="202"/>
        <item m="1" x="233"/>
        <item m="1" x="213"/>
        <item m="1" x="234"/>
        <item m="1" x="249"/>
        <item m="1" x="214"/>
        <item m="1" x="250"/>
        <item x="204"/>
        <item x="151"/>
        <item x="200"/>
        <item m="1" x="215"/>
        <item m="1" x="209"/>
        <item m="1" x="210"/>
        <item x="206"/>
        <item x="203"/>
        <item x="205"/>
      </items>
      <extLst>
        <ext xmlns:x14="http://schemas.microsoft.com/office/spreadsheetml/2009/9/main" uri="{2946ED86-A175-432a-8AC1-64E0C546D7DE}">
          <x14:pivotField fillDownLabels="1"/>
        </ext>
      </extLst>
    </pivotField>
    <pivotField compact="0" numFmtId="14" outline="0" showAll="0" defaultSubtotal="0"/>
    <pivotField name="No" axis="axisRow" compact="0" outline="0" showAll="0" defaultSubtotal="0">
      <items count="25">
        <item x="1"/>
        <item x="5"/>
        <item x="7"/>
        <item x="2"/>
        <item m="1" x="24"/>
        <item x="3"/>
        <item x="8"/>
        <item x="9"/>
        <item x="0"/>
        <item x="4"/>
        <item x="6"/>
        <item x="10"/>
        <item x="13"/>
        <item m="1" x="23"/>
        <item m="1" x="22"/>
        <item m="1" x="21"/>
        <item m="1" x="20"/>
        <item x="11"/>
        <item x="12"/>
        <item m="1" x="19"/>
        <item m="1" x="18"/>
        <item x="14"/>
        <item m="1" x="17"/>
        <item x="15"/>
        <item m="1" x="16"/>
      </items>
    </pivotField>
    <pivotField compact="0" outline="0" showAll="0" defaultSubtotal="0"/>
    <pivotField name="Banks" axis="axisRow" compact="0" outline="0" showAll="0" defaultSubtotal="0">
      <items count="8">
        <item x="4"/>
        <item x="0"/>
        <item x="3"/>
        <item x="5"/>
        <item x="1"/>
        <item x="2"/>
        <item x="6"/>
        <item m="1" x="7"/>
      </items>
      <extLst>
        <ext xmlns:x14="http://schemas.microsoft.com/office/spreadsheetml/2009/9/main" uri="{2946ED86-A175-432a-8AC1-64E0C546D7DE}">
          <x14:pivotField fillDownLabels="1"/>
        </ext>
      </extLst>
    </pivotField>
    <pivotField compact="0" outline="0" showAll="0" defaultSubtotal="0"/>
    <pivotField axis="axisRow" compact="0" outline="0" showAll="0" defaultSubtotal="0">
      <items count="363">
        <item x="69"/>
        <item x="54"/>
        <item x="0"/>
        <item x="84"/>
        <item x="50"/>
        <item x="2"/>
        <item x="31"/>
        <item x="53"/>
        <item x="20"/>
        <item x="28"/>
        <item x="39"/>
        <item m="1" x="177"/>
        <item x="19"/>
        <item m="1" x="354"/>
        <item x="36"/>
        <item x="51"/>
        <item x="9"/>
        <item x="60"/>
        <item x="15"/>
        <item x="63"/>
        <item x="11"/>
        <item x="40"/>
        <item x="49"/>
        <item x="64"/>
        <item x="76"/>
        <item x="17"/>
        <item m="1" x="252"/>
        <item m="1" x="341"/>
        <item x="75"/>
        <item x="42"/>
        <item x="18"/>
        <item x="57"/>
        <item x="62"/>
        <item x="21"/>
        <item x="83"/>
        <item m="1" x="342"/>
        <item x="71"/>
        <item x="33"/>
        <item x="48"/>
        <item x="56"/>
        <item x="8"/>
        <item x="32"/>
        <item x="137"/>
        <item x="5"/>
        <item m="1" x="359"/>
        <item x="7"/>
        <item x="47"/>
        <item x="27"/>
        <item x="61"/>
        <item x="3"/>
        <item x="35"/>
        <item x="81"/>
        <item x="52"/>
        <item x="38"/>
        <item x="45"/>
        <item x="150"/>
        <item x="74"/>
        <item x="73"/>
        <item x="41"/>
        <item x="13"/>
        <item m="1" x="325"/>
        <item x="46"/>
        <item m="1" x="195"/>
        <item x="1"/>
        <item x="29"/>
        <item x="22"/>
        <item x="44"/>
        <item x="66"/>
        <item x="14"/>
        <item m="1" x="339"/>
        <item x="72"/>
        <item x="37"/>
        <item m="1" x="332"/>
        <item x="10"/>
        <item x="25"/>
        <item x="55"/>
        <item m="1" x="356"/>
        <item x="24"/>
        <item x="58"/>
        <item x="59"/>
        <item x="30"/>
        <item x="77"/>
        <item x="80"/>
        <item x="4"/>
        <item x="70"/>
        <item x="79"/>
        <item x="26"/>
        <item m="1" x="349"/>
        <item m="1" x="209"/>
        <item m="1" x="340"/>
        <item m="1" x="362"/>
        <item m="1" x="346"/>
        <item x="128"/>
        <item m="1" x="343"/>
        <item m="1" x="355"/>
        <item x="6"/>
        <item x="68"/>
        <item x="23"/>
        <item x="16"/>
        <item m="1" x="278"/>
        <item m="1" x="344"/>
        <item x="67"/>
        <item x="43"/>
        <item x="78"/>
        <item x="65"/>
        <item x="34"/>
        <item m="1" x="264"/>
        <item m="1" x="357"/>
        <item m="1" x="358"/>
        <item x="110"/>
        <item x="118"/>
        <item x="109"/>
        <item x="93"/>
        <item m="1" x="351"/>
        <item x="114"/>
        <item m="1" x="353"/>
        <item m="1" x="335"/>
        <item x="96"/>
        <item x="87"/>
        <item m="1" x="361"/>
        <item x="90"/>
        <item x="115"/>
        <item x="89"/>
        <item m="1" x="298"/>
        <item m="1" x="163"/>
        <item m="1" x="352"/>
        <item m="1" x="360"/>
        <item m="1" x="350"/>
        <item m="1" x="287"/>
        <item x="88"/>
        <item x="82"/>
        <item m="1" x="228"/>
        <item x="113"/>
        <item m="1" x="162"/>
        <item m="1" x="329"/>
        <item x="92"/>
        <item x="91"/>
        <item m="1" x="265"/>
        <item m="1" x="348"/>
        <item m="1" x="197"/>
        <item m="1" x="260"/>
        <item x="85"/>
        <item m="1" x="259"/>
        <item m="1" x="331"/>
        <item m="1" x="269"/>
        <item m="1" x="251"/>
        <item x="147"/>
        <item m="1" x="330"/>
        <item m="1" x="299"/>
        <item m="1" x="315"/>
        <item m="1" x="196"/>
        <item x="123"/>
        <item m="1" x="338"/>
        <item m="1" x="333"/>
        <item m="1" x="253"/>
        <item m="1" x="268"/>
        <item m="1" x="277"/>
        <item m="1" x="279"/>
        <item m="1" x="280"/>
        <item m="1" x="347"/>
        <item m="1" x="281"/>
        <item m="1" x="282"/>
        <item m="1" x="283"/>
        <item m="1" x="284"/>
        <item m="1" x="190"/>
        <item m="1" x="285"/>
        <item x="132"/>
        <item m="1" x="286"/>
        <item m="1" x="288"/>
        <item m="1" x="289"/>
        <item m="1" x="290"/>
        <item m="1" x="292"/>
        <item x="94"/>
        <item x="12"/>
        <item m="1" x="345"/>
        <item m="1" x="188"/>
        <item m="1" x="291"/>
        <item x="97"/>
        <item m="1" x="336"/>
        <item m="1" x="164"/>
        <item m="1" x="326"/>
        <item m="1" x="308"/>
        <item m="1" x="204"/>
        <item m="1" x="337"/>
        <item m="1" x="334"/>
        <item x="100"/>
        <item m="1" x="293"/>
        <item m="1" x="176"/>
        <item m="1" x="203"/>
        <item x="99"/>
        <item x="101"/>
        <item m="1" x="311"/>
        <item m="1" x="312"/>
        <item m="1" x="223"/>
        <item m="1" x="300"/>
        <item m="1" x="254"/>
        <item m="1" x="320"/>
        <item m="1" x="297"/>
        <item x="103"/>
        <item m="1" x="187"/>
        <item m="1" x="318"/>
        <item m="1" x="327"/>
        <item m="1" x="302"/>
        <item m="1" x="303"/>
        <item m="1" x="274"/>
        <item m="1" x="304"/>
        <item m="1" x="307"/>
        <item m="1" x="309"/>
        <item m="1" x="314"/>
        <item m="1" x="261"/>
        <item m="1" x="328"/>
        <item m="1" x="321"/>
        <item m="1" x="231"/>
        <item m="1" x="313"/>
        <item m="1" x="319"/>
        <item x="105"/>
        <item m="1" x="232"/>
        <item m="1" x="276"/>
        <item m="1" x="317"/>
        <item m="1" x="240"/>
        <item m="1" x="241"/>
        <item m="1" x="323"/>
        <item m="1" x="295"/>
        <item m="1" x="210"/>
        <item m="1" x="322"/>
        <item m="1" x="316"/>
        <item m="1" x="275"/>
        <item m="1" x="296"/>
        <item m="1" x="168"/>
        <item x="111"/>
        <item x="104"/>
        <item m="1" x="242"/>
        <item m="1" x="243"/>
        <item m="1" x="305"/>
        <item m="1" x="183"/>
        <item m="1" x="184"/>
        <item x="95"/>
        <item x="108"/>
        <item m="1" x="230"/>
        <item m="1" x="239"/>
        <item m="1" x="294"/>
        <item m="1" x="301"/>
        <item m="1" x="306"/>
        <item m="1" x="310"/>
        <item m="1" x="324"/>
        <item x="124"/>
        <item m="1" x="267"/>
        <item x="106"/>
        <item m="1" x="237"/>
        <item m="1" x="233"/>
        <item x="152"/>
        <item m="1" x="234"/>
        <item m="1" x="171"/>
        <item m="1" x="229"/>
        <item m="1" x="235"/>
        <item m="1" x="244"/>
        <item m="1" x="245"/>
        <item x="107"/>
        <item m="1" x="249"/>
        <item m="1" x="238"/>
        <item x="86"/>
        <item m="1" x="159"/>
        <item m="1" x="272"/>
        <item m="1" x="273"/>
        <item m="1" x="236"/>
        <item x="154"/>
        <item m="1" x="246"/>
        <item m="1" x="214"/>
        <item m="1" x="247"/>
        <item m="1" x="156"/>
        <item m="1" x="248"/>
        <item m="1" x="250"/>
        <item m="1" x="255"/>
        <item m="1" x="257"/>
        <item x="98"/>
        <item m="1" x="256"/>
        <item m="1" x="266"/>
        <item m="1" x="208"/>
        <item x="120"/>
        <item m="1" x="160"/>
        <item x="102"/>
        <item x="129"/>
        <item m="1" x="271"/>
        <item m="1" x="270"/>
        <item m="1" x="258"/>
        <item m="1" x="262"/>
        <item m="1" x="263"/>
        <item m="1" x="212"/>
        <item m="1" x="185"/>
        <item x="122"/>
        <item m="1" x="175"/>
        <item x="117"/>
        <item m="1" x="225"/>
        <item x="112"/>
        <item m="1" x="227"/>
        <item m="1" x="172"/>
        <item x="148"/>
        <item m="1" x="224"/>
        <item m="1" x="217"/>
        <item m="1" x="215"/>
        <item m="1" x="216"/>
        <item m="1" x="218"/>
        <item m="1" x="219"/>
        <item m="1" x="220"/>
        <item m="1" x="226"/>
        <item x="130"/>
        <item x="127"/>
        <item x="131"/>
        <item x="125"/>
        <item m="1" x="222"/>
        <item m="1" x="221"/>
        <item x="126"/>
        <item x="134"/>
        <item x="119"/>
        <item x="133"/>
        <item m="1" x="213"/>
        <item x="135"/>
        <item m="1" x="178"/>
        <item x="116"/>
        <item m="1" x="211"/>
        <item m="1" x="192"/>
        <item x="136"/>
        <item m="1" x="180"/>
        <item m="1" x="202"/>
        <item m="1" x="207"/>
        <item m="1" x="206"/>
        <item m="1" x="205"/>
        <item m="1" x="165"/>
        <item m="1" x="166"/>
        <item m="1" x="158"/>
        <item x="139"/>
        <item m="1" x="194"/>
        <item m="1" x="167"/>
        <item x="138"/>
        <item x="140"/>
        <item x="141"/>
        <item x="142"/>
        <item m="1" x="201"/>
        <item x="143"/>
        <item x="144"/>
        <item m="1" x="189"/>
        <item m="1" x="198"/>
        <item m="1" x="199"/>
        <item m="1" x="200"/>
        <item x="145"/>
        <item x="146"/>
        <item m="1" x="193"/>
        <item m="1" x="186"/>
        <item m="1" x="191"/>
        <item m="1" x="174"/>
        <item m="1" x="173"/>
        <item m="1" x="179"/>
        <item x="151"/>
        <item x="149"/>
        <item m="1" x="181"/>
        <item m="1" x="169"/>
        <item x="153"/>
        <item m="1" x="170"/>
        <item m="1" x="182"/>
        <item m="1" x="161"/>
        <item x="121"/>
        <item m="1" x="157"/>
        <item x="155"/>
      </items>
    </pivotField>
    <pivotField compact="0" outline="0" showAll="0" defaultSubtotal="0"/>
    <pivotField compact="0" outline="0" showAll="0" defaultSubtotal="0"/>
    <pivotField compact="0" outline="0" showAll="0" defaultSubtotal="0"/>
    <pivotField axis="axisRow" compact="0" outline="0" showAll="0" defaultSubtotal="0">
      <items count="6">
        <item h="1" x="1"/>
        <item m="1" x="3"/>
        <item h="1" x="0"/>
        <item m="1" x="4"/>
        <item h="1" m="1" x="5"/>
        <item h="1" x="2"/>
      </items>
    </pivotField>
    <pivotField dataField="1" compact="0" numFmtId="164" outline="0" showAll="0" defaultSubtotal="0"/>
    <pivotField compact="0" numFmtId="164" outline="0" showAll="0" defaultSubtotal="0"/>
    <pivotField compact="0" numFmtId="164" outline="0" showAll="0" defaultSubtotal="0"/>
    <pivotField compact="0" numFmtId="14" outline="0" showAll="0" defaultSubtotal="0"/>
  </pivotFields>
  <rowFields count="5">
    <field x="4"/>
    <field x="0"/>
    <field x="2"/>
    <field x="6"/>
    <field x="10"/>
  </rowFields>
  <colItems count="1">
    <i/>
  </colItems>
  <dataFields count="1">
    <dataField name="Invoice Amt" fld="11" baseField="6" baseItem="90" numFmtId="164"/>
  </dataFields>
  <formats count="217">
    <format dxfId="772">
      <pivotArea type="all" dataOnly="0" outline="0" fieldPosition="0"/>
    </format>
    <format dxfId="771">
      <pivotArea outline="0" collapsedLevelsAreSubtotals="1" fieldPosition="0"/>
    </format>
    <format dxfId="770">
      <pivotArea type="origin" dataOnly="0" labelOnly="1" outline="0" fieldPosition="0"/>
    </format>
    <format dxfId="769">
      <pivotArea field="10" type="button" dataOnly="0" labelOnly="1" outline="0" axis="axisRow" fieldPosition="4"/>
    </format>
    <format dxfId="768">
      <pivotArea type="topRight" dataOnly="0" labelOnly="1" outline="0" fieldPosition="0"/>
    </format>
    <format dxfId="767">
      <pivotArea dataOnly="0" labelOnly="1" outline="0" fieldPosition="0">
        <references count="1">
          <reference field="4" count="3">
            <x v="3"/>
            <x v="4"/>
            <x v="5"/>
          </reference>
        </references>
      </pivotArea>
    </format>
    <format dxfId="766">
      <pivotArea dataOnly="0" labelOnly="1" grandRow="1" outline="0" fieldPosition="0"/>
    </format>
    <format dxfId="765">
      <pivotArea field="4" type="button" dataOnly="0" labelOnly="1" outline="0" axis="axisRow" fieldPosition="0"/>
    </format>
    <format dxfId="764">
      <pivotArea dataOnly="0" labelOnly="1" outline="0" fieldPosition="0">
        <references count="1">
          <reference field="10" count="0"/>
        </references>
      </pivotArea>
    </format>
    <format dxfId="763">
      <pivotArea dataOnly="0" labelOnly="1" grandCol="1" outline="0" fieldPosition="0"/>
    </format>
    <format dxfId="762">
      <pivotArea outline="0" fieldPosition="0">
        <references count="1">
          <reference field="4" count="3" selected="0">
            <x v="3"/>
            <x v="4"/>
            <x v="5"/>
          </reference>
        </references>
      </pivotArea>
    </format>
    <format dxfId="761">
      <pivotArea dataOnly="0" labelOnly="1" outline="0" fieldPosition="0">
        <references count="1">
          <reference field="4" count="3">
            <x v="3"/>
            <x v="4"/>
            <x v="5"/>
          </reference>
        </references>
      </pivotArea>
    </format>
    <format dxfId="760">
      <pivotArea outline="0" fieldPosition="0">
        <references count="1">
          <reference field="4" count="3" selected="0">
            <x v="3"/>
            <x v="4"/>
            <x v="5"/>
          </reference>
        </references>
      </pivotArea>
    </format>
    <format dxfId="759">
      <pivotArea dataOnly="0" labelOnly="1" outline="0" fieldPosition="0">
        <references count="1">
          <reference field="4" count="3">
            <x v="3"/>
            <x v="4"/>
            <x v="5"/>
          </reference>
        </references>
      </pivotArea>
    </format>
    <format dxfId="758">
      <pivotArea dataOnly="0" outline="0" fieldPosition="0">
        <references count="1">
          <reference field="4" count="3">
            <x v="3"/>
            <x v="4"/>
            <x v="5"/>
          </reference>
        </references>
      </pivotArea>
    </format>
    <format dxfId="757">
      <pivotArea outline="0" fieldPosition="0">
        <references count="1">
          <reference field="4" count="3" selected="0">
            <x v="3"/>
            <x v="4"/>
            <x v="5"/>
          </reference>
        </references>
      </pivotArea>
    </format>
    <format dxfId="756">
      <pivotArea outline="0" collapsedLevelsAreSubtotals="1" fieldPosition="0"/>
    </format>
    <format dxfId="755">
      <pivotArea outline="0" fieldPosition="0">
        <references count="1">
          <reference field="4" count="3" selected="0">
            <x v="3"/>
            <x v="4"/>
            <x v="5"/>
          </reference>
        </references>
      </pivotArea>
    </format>
    <format dxfId="754">
      <pivotArea dataOnly="0" labelOnly="1" outline="0" fieldPosition="0">
        <references count="3">
          <reference field="0" count="1" selected="0">
            <x v="134"/>
          </reference>
          <reference field="4" count="1" selected="0">
            <x v="3"/>
          </reference>
          <reference field="6" count="1">
            <x v="90"/>
          </reference>
        </references>
      </pivotArea>
    </format>
    <format dxfId="753">
      <pivotArea dataOnly="0" labelOnly="1" outline="0" fieldPosition="0">
        <references count="2">
          <reference field="0" count="1">
            <x v="134"/>
          </reference>
          <reference field="4" count="1" selected="0">
            <x v="3"/>
          </reference>
        </references>
      </pivotArea>
    </format>
    <format dxfId="752">
      <pivotArea outline="0" collapsedLevelsAreSubtotals="1" fieldPosition="0"/>
    </format>
    <format dxfId="751">
      <pivotArea dataOnly="0" labelOnly="1" outline="0" fieldPosition="0">
        <references count="1">
          <reference field="4" count="1">
            <x v="3"/>
          </reference>
        </references>
      </pivotArea>
    </format>
    <format dxfId="750">
      <pivotArea dataOnly="0" labelOnly="1" outline="0" fieldPosition="0">
        <references count="2">
          <reference field="0" count="1">
            <x v="134"/>
          </reference>
          <reference field="4" count="1" selected="0">
            <x v="3"/>
          </reference>
        </references>
      </pivotArea>
    </format>
    <format dxfId="749">
      <pivotArea dataOnly="0" labelOnly="1" outline="0" fieldPosition="0">
        <references count="3">
          <reference field="0" count="1" selected="0">
            <x v="134"/>
          </reference>
          <reference field="4" count="1" selected="0">
            <x v="3"/>
          </reference>
          <reference field="6" count="1">
            <x v="90"/>
          </reference>
        </references>
      </pivotArea>
    </format>
    <format dxfId="748">
      <pivotArea outline="0" collapsedLevelsAreSubtotals="1" fieldPosition="0"/>
    </format>
    <format dxfId="747">
      <pivotArea dataOnly="0" labelOnly="1" outline="0" fieldPosition="0">
        <references count="1">
          <reference field="4" count="1">
            <x v="3"/>
          </reference>
        </references>
      </pivotArea>
    </format>
    <format dxfId="746">
      <pivotArea dataOnly="0" labelOnly="1" outline="0" fieldPosition="0">
        <references count="2">
          <reference field="0" count="1">
            <x v="134"/>
          </reference>
          <reference field="4" count="1" selected="0">
            <x v="3"/>
          </reference>
        </references>
      </pivotArea>
    </format>
    <format dxfId="745">
      <pivotArea dataOnly="0" labelOnly="1" outline="0" fieldPosition="0">
        <references count="3">
          <reference field="0" count="1" selected="0">
            <x v="134"/>
          </reference>
          <reference field="4" count="1" selected="0">
            <x v="3"/>
          </reference>
          <reference field="6" count="1">
            <x v="90"/>
          </reference>
        </references>
      </pivotArea>
    </format>
    <format dxfId="744">
      <pivotArea outline="0" collapsedLevelsAreSubtotals="1" fieldPosition="0"/>
    </format>
    <format dxfId="743">
      <pivotArea outline="0" collapsedLevelsAreSubtotals="1" fieldPosition="0"/>
    </format>
    <format dxfId="742">
      <pivotArea dataOnly="0" labelOnly="1" outline="0" fieldPosition="0">
        <references count="1">
          <reference field="4" count="1">
            <x v="0"/>
          </reference>
        </references>
      </pivotArea>
    </format>
    <format dxfId="741">
      <pivotArea dataOnly="0" labelOnly="1" outline="0" fieldPosition="0">
        <references count="2">
          <reference field="0" count="1">
            <x v="151"/>
          </reference>
          <reference field="4" count="1" selected="0">
            <x v="0"/>
          </reference>
        </references>
      </pivotArea>
    </format>
    <format dxfId="740">
      <pivotArea dataOnly="0" labelOnly="1" outline="0" fieldPosition="0">
        <references count="3">
          <reference field="0" count="1" selected="0">
            <x v="151"/>
          </reference>
          <reference field="4" count="1" selected="0">
            <x v="0"/>
          </reference>
          <reference field="6" count="1">
            <x v="119"/>
          </reference>
        </references>
      </pivotArea>
    </format>
    <format dxfId="739">
      <pivotArea outline="0" collapsedLevelsAreSubtotals="1" fieldPosition="0"/>
    </format>
    <format dxfId="738">
      <pivotArea dataOnly="0" labelOnly="1" outline="0" fieldPosition="0">
        <references count="1">
          <reference field="4" count="1">
            <x v="0"/>
          </reference>
        </references>
      </pivotArea>
    </format>
    <format dxfId="737">
      <pivotArea dataOnly="0" labelOnly="1" outline="0" fieldPosition="0">
        <references count="2">
          <reference field="0" count="1">
            <x v="151"/>
          </reference>
          <reference field="4" count="1" selected="0">
            <x v="0"/>
          </reference>
        </references>
      </pivotArea>
    </format>
    <format dxfId="736">
      <pivotArea dataOnly="0" labelOnly="1" outline="0" fieldPosition="0">
        <references count="3">
          <reference field="0" count="1" selected="0">
            <x v="151"/>
          </reference>
          <reference field="4" count="1" selected="0">
            <x v="0"/>
          </reference>
          <reference field="6" count="1">
            <x v="119"/>
          </reference>
        </references>
      </pivotArea>
    </format>
    <format dxfId="735">
      <pivotArea dataOnly="0" labelOnly="1" outline="0" fieldPosition="0">
        <references count="4">
          <reference field="0" count="1" selected="0">
            <x v="151"/>
          </reference>
          <reference field="4" count="1" selected="0">
            <x v="0"/>
          </reference>
          <reference field="6" count="1" selected="0">
            <x v="119"/>
          </reference>
          <reference field="10" count="0"/>
        </references>
      </pivotArea>
    </format>
    <format dxfId="734">
      <pivotArea dataOnly="0" labelOnly="1" outline="0" fieldPosition="0">
        <references count="4">
          <reference field="0" count="1" selected="0">
            <x v="151"/>
          </reference>
          <reference field="4" count="1" selected="0">
            <x v="0"/>
          </reference>
          <reference field="6" count="1" selected="0">
            <x v="119"/>
          </reference>
          <reference field="10" count="0"/>
        </references>
      </pivotArea>
    </format>
    <format dxfId="733">
      <pivotArea type="all" dataOnly="0" outline="0" fieldPosition="0"/>
    </format>
    <format dxfId="732">
      <pivotArea outline="0" collapsedLevelsAreSubtotals="1" fieldPosition="0"/>
    </format>
    <format dxfId="731">
      <pivotArea field="4" type="button" dataOnly="0" labelOnly="1" outline="0" axis="axisRow" fieldPosition="0"/>
    </format>
    <format dxfId="730">
      <pivotArea field="0" type="button" dataOnly="0" labelOnly="1" outline="0" axis="axisRow" fieldPosition="1"/>
    </format>
    <format dxfId="729">
      <pivotArea field="6" type="button" dataOnly="0" labelOnly="1" outline="0" axis="axisRow" fieldPosition="3"/>
    </format>
    <format dxfId="728">
      <pivotArea field="10" type="button" dataOnly="0" labelOnly="1" outline="0" axis="axisRow" fieldPosition="4"/>
    </format>
    <format dxfId="727">
      <pivotArea dataOnly="0" labelOnly="1" outline="0" fieldPosition="0">
        <references count="1">
          <reference field="4" count="1">
            <x v="0"/>
          </reference>
        </references>
      </pivotArea>
    </format>
    <format dxfId="726">
      <pivotArea dataOnly="0" labelOnly="1" outline="0" fieldPosition="0">
        <references count="2">
          <reference field="0" count="1">
            <x v="151"/>
          </reference>
          <reference field="4" count="1" selected="0">
            <x v="0"/>
          </reference>
        </references>
      </pivotArea>
    </format>
    <format dxfId="725">
      <pivotArea dataOnly="0" labelOnly="1" outline="0" fieldPosition="0">
        <references count="3">
          <reference field="0" count="1" selected="0">
            <x v="151"/>
          </reference>
          <reference field="4" count="1" selected="0">
            <x v="0"/>
          </reference>
          <reference field="6" count="1">
            <x v="119"/>
          </reference>
        </references>
      </pivotArea>
    </format>
    <format dxfId="724">
      <pivotArea dataOnly="0" labelOnly="1" outline="0" fieldPosition="0">
        <references count="4">
          <reference field="0" count="1" selected="0">
            <x v="151"/>
          </reference>
          <reference field="4" count="1" selected="0">
            <x v="0"/>
          </reference>
          <reference field="6" count="1" selected="0">
            <x v="119"/>
          </reference>
          <reference field="10" count="0"/>
        </references>
      </pivotArea>
    </format>
    <format dxfId="723">
      <pivotArea dataOnly="0" labelOnly="1" outline="0" axis="axisValues" fieldPosition="0"/>
    </format>
    <format dxfId="722">
      <pivotArea dataOnly="0" labelOnly="1" outline="0" fieldPosition="0">
        <references count="3">
          <reference field="0" count="1" selected="0">
            <x v="151"/>
          </reference>
          <reference field="4" count="1" selected="0">
            <x v="0"/>
          </reference>
          <reference field="6" count="1">
            <x v="119"/>
          </reference>
        </references>
      </pivotArea>
    </format>
    <format dxfId="721">
      <pivotArea dataOnly="0" labelOnly="1" outline="0" fieldPosition="0">
        <references count="2">
          <reference field="0" count="1">
            <x v="171"/>
          </reference>
          <reference field="4" count="1" selected="0">
            <x v="5"/>
          </reference>
        </references>
      </pivotArea>
    </format>
    <format dxfId="720">
      <pivotArea dataOnly="0" labelOnly="1" outline="0" fieldPosition="0">
        <references count="3">
          <reference field="0" count="1" selected="0">
            <x v="171"/>
          </reference>
          <reference field="4" count="1" selected="0">
            <x v="5"/>
          </reference>
          <reference field="6" count="1">
            <x v="134"/>
          </reference>
        </references>
      </pivotArea>
    </format>
    <format dxfId="719">
      <pivotArea dataOnly="0" labelOnly="1" outline="0" fieldPosition="0">
        <references count="4">
          <reference field="0" count="1" selected="0">
            <x v="171"/>
          </reference>
          <reference field="4" count="1" selected="0">
            <x v="5"/>
          </reference>
          <reference field="6" count="1" selected="0">
            <x v="134"/>
          </reference>
          <reference field="10" count="0"/>
        </references>
      </pivotArea>
    </format>
    <format dxfId="718">
      <pivotArea dataOnly="0" labelOnly="1" outline="0" fieldPosition="0">
        <references count="2">
          <reference field="0" count="1">
            <x v="171"/>
          </reference>
          <reference field="4" count="1" selected="0">
            <x v="5"/>
          </reference>
        </references>
      </pivotArea>
    </format>
    <format dxfId="717">
      <pivotArea dataOnly="0" labelOnly="1" outline="0" fieldPosition="0">
        <references count="3">
          <reference field="0" count="1" selected="0">
            <x v="171"/>
          </reference>
          <reference field="4" count="1" selected="0">
            <x v="5"/>
          </reference>
          <reference field="6" count="1">
            <x v="134"/>
          </reference>
        </references>
      </pivotArea>
    </format>
    <format dxfId="716">
      <pivotArea dataOnly="0" labelOnly="1" outline="0" fieldPosition="0">
        <references count="4">
          <reference field="0" count="1" selected="0">
            <x v="171"/>
          </reference>
          <reference field="4" count="1" selected="0">
            <x v="5"/>
          </reference>
          <reference field="6" count="1" selected="0">
            <x v="134"/>
          </reference>
          <reference field="10" count="0"/>
        </references>
      </pivotArea>
    </format>
    <format dxfId="715">
      <pivotArea dataOnly="0" labelOnly="1" outline="0" fieldPosition="0">
        <references count="2">
          <reference field="0" count="1">
            <x v="171"/>
          </reference>
          <reference field="4" count="1" selected="0">
            <x v="5"/>
          </reference>
        </references>
      </pivotArea>
    </format>
    <format dxfId="714">
      <pivotArea dataOnly="0" labelOnly="1" outline="0" fieldPosition="0">
        <references count="3">
          <reference field="0" count="1" selected="0">
            <x v="171"/>
          </reference>
          <reference field="4" count="1" selected="0">
            <x v="5"/>
          </reference>
          <reference field="6" count="1">
            <x v="134"/>
          </reference>
        </references>
      </pivotArea>
    </format>
    <format dxfId="713">
      <pivotArea dataOnly="0" labelOnly="1" outline="0" fieldPosition="0">
        <references count="4">
          <reference field="0" count="1" selected="0">
            <x v="171"/>
          </reference>
          <reference field="4" count="1" selected="0">
            <x v="5"/>
          </reference>
          <reference field="6" count="1" selected="0">
            <x v="134"/>
          </reference>
          <reference field="10" count="0"/>
        </references>
      </pivotArea>
    </format>
    <format dxfId="712">
      <pivotArea dataOnly="0" labelOnly="1" outline="0" fieldPosition="0">
        <references count="3">
          <reference field="0" count="1" selected="0">
            <x v="171"/>
          </reference>
          <reference field="4" count="1" selected="0">
            <x v="5"/>
          </reference>
          <reference field="6" count="1">
            <x v="134"/>
          </reference>
        </references>
      </pivotArea>
    </format>
    <format dxfId="711">
      <pivotArea dataOnly="0" labelOnly="1" outline="0" fieldPosition="0">
        <references count="2">
          <reference field="0" count="1">
            <x v="178"/>
          </reference>
          <reference field="4" count="1" selected="0">
            <x v="3"/>
          </reference>
        </references>
      </pivotArea>
    </format>
    <format dxfId="710">
      <pivotArea dataOnly="0" labelOnly="1" outline="0" fieldPosition="0">
        <references count="3">
          <reference field="0" count="1" selected="0">
            <x v="178"/>
          </reference>
          <reference field="4" count="1" selected="0">
            <x v="3"/>
          </reference>
          <reference field="6" count="1">
            <x v="139"/>
          </reference>
        </references>
      </pivotArea>
    </format>
    <format dxfId="709">
      <pivotArea dataOnly="0" labelOnly="1" outline="0" fieldPosition="0">
        <references count="4">
          <reference field="0" count="1" selected="0">
            <x v="178"/>
          </reference>
          <reference field="4" count="1" selected="0">
            <x v="3"/>
          </reference>
          <reference field="6" count="1" selected="0">
            <x v="139"/>
          </reference>
          <reference field="10" count="0"/>
        </references>
      </pivotArea>
    </format>
    <format dxfId="708">
      <pivotArea type="all" dataOnly="0" outline="0" fieldPosition="0"/>
    </format>
    <format dxfId="707">
      <pivotArea field="4" type="button" dataOnly="0" labelOnly="1" outline="0" axis="axisRow" fieldPosition="0"/>
    </format>
    <format dxfId="706">
      <pivotArea field="0" type="button" dataOnly="0" labelOnly="1" outline="0" axis="axisRow" fieldPosition="1"/>
    </format>
    <format dxfId="705">
      <pivotArea field="6" type="button" dataOnly="0" labelOnly="1" outline="0" axis="axisRow" fieldPosition="3"/>
    </format>
    <format dxfId="704">
      <pivotArea field="10" type="button" dataOnly="0" labelOnly="1" outline="0" axis="axisRow" fieldPosition="4"/>
    </format>
    <format dxfId="703">
      <pivotArea dataOnly="0" labelOnly="1" outline="0" axis="axisValues" fieldPosition="0"/>
    </format>
    <format dxfId="702">
      <pivotArea outline="0" fieldPosition="0">
        <references count="1">
          <reference field="4" count="1" selected="0">
            <x v="5"/>
          </reference>
        </references>
      </pivotArea>
    </format>
    <format dxfId="701">
      <pivotArea dataOnly="0" labelOnly="1" outline="0" fieldPosition="0">
        <references count="1">
          <reference field="4" count="1">
            <x v="5"/>
          </reference>
        </references>
      </pivotArea>
    </format>
    <format dxfId="700">
      <pivotArea dataOnly="0" labelOnly="1" outline="0" fieldPosition="0">
        <references count="2">
          <reference field="0" count="1">
            <x v="171"/>
          </reference>
          <reference field="4" count="1" selected="0">
            <x v="5"/>
          </reference>
        </references>
      </pivotArea>
    </format>
    <format dxfId="699">
      <pivotArea dataOnly="0" labelOnly="1" outline="0" fieldPosition="0">
        <references count="3">
          <reference field="0" count="1" selected="0">
            <x v="171"/>
          </reference>
          <reference field="4" count="1" selected="0">
            <x v="5"/>
          </reference>
          <reference field="6" count="1">
            <x v="134"/>
          </reference>
        </references>
      </pivotArea>
    </format>
    <format dxfId="698">
      <pivotArea dataOnly="0" labelOnly="1" outline="0" fieldPosition="0">
        <references count="4">
          <reference field="0" count="1" selected="0">
            <x v="171"/>
          </reference>
          <reference field="4" count="1" selected="0">
            <x v="5"/>
          </reference>
          <reference field="6" count="1" selected="0">
            <x v="134"/>
          </reference>
          <reference field="10" count="1">
            <x v="3"/>
          </reference>
        </references>
      </pivotArea>
    </format>
    <format dxfId="697">
      <pivotArea outline="0" fieldPosition="0">
        <references count="4">
          <reference field="0" count="1" selected="0">
            <x v="277"/>
          </reference>
          <reference field="4" count="1" selected="0">
            <x v="1"/>
          </reference>
          <reference field="6" count="1" selected="0">
            <x v="210"/>
          </reference>
          <reference field="10" count="1" selected="0">
            <x v="1"/>
          </reference>
        </references>
      </pivotArea>
    </format>
    <format dxfId="696">
      <pivotArea outline="0" collapsedLevelsAreSubtotals="1" fieldPosition="0"/>
    </format>
    <format dxfId="695">
      <pivotArea dataOnly="0" labelOnly="1" outline="0" fieldPosition="0">
        <references count="1">
          <reference field="4" count="2">
            <x v="1"/>
            <x v="5"/>
          </reference>
        </references>
      </pivotArea>
    </format>
    <format dxfId="694">
      <pivotArea dataOnly="0" labelOnly="1" outline="0" fieldPosition="0">
        <references count="2">
          <reference field="0" count="1">
            <x v="277"/>
          </reference>
          <reference field="4" count="1" selected="0">
            <x v="1"/>
          </reference>
        </references>
      </pivotArea>
    </format>
    <format dxfId="693">
      <pivotArea dataOnly="0" labelOnly="1" outline="0" fieldPosition="0">
        <references count="2">
          <reference field="0" count="1">
            <x v="171"/>
          </reference>
          <reference field="4" count="1" selected="0">
            <x v="5"/>
          </reference>
        </references>
      </pivotArea>
    </format>
    <format dxfId="692">
      <pivotArea dataOnly="0" labelOnly="1" outline="0" fieldPosition="0">
        <references count="3">
          <reference field="0" count="1" selected="0">
            <x v="277"/>
          </reference>
          <reference field="4" count="1" selected="0">
            <x v="1"/>
          </reference>
          <reference field="6" count="1">
            <x v="210"/>
          </reference>
        </references>
      </pivotArea>
    </format>
    <format dxfId="691">
      <pivotArea dataOnly="0" labelOnly="1" outline="0" fieldPosition="0">
        <references count="3">
          <reference field="0" count="1" selected="0">
            <x v="171"/>
          </reference>
          <reference field="4" count="1" selected="0">
            <x v="5"/>
          </reference>
          <reference field="6" count="1">
            <x v="134"/>
          </reference>
        </references>
      </pivotArea>
    </format>
    <format dxfId="690">
      <pivotArea dataOnly="0" labelOnly="1" outline="0" fieldPosition="0">
        <references count="4">
          <reference field="0" count="1" selected="0">
            <x v="277"/>
          </reference>
          <reference field="4" count="1" selected="0">
            <x v="1"/>
          </reference>
          <reference field="6" count="1" selected="0">
            <x v="210"/>
          </reference>
          <reference field="10" count="1">
            <x v="1"/>
          </reference>
        </references>
      </pivotArea>
    </format>
    <format dxfId="689">
      <pivotArea dataOnly="0" labelOnly="1" outline="0" fieldPosition="0">
        <references count="4">
          <reference field="0" count="1" selected="0">
            <x v="171"/>
          </reference>
          <reference field="4" count="1" selected="0">
            <x v="5"/>
          </reference>
          <reference field="6" count="1" selected="0">
            <x v="134"/>
          </reference>
          <reference field="10" count="1">
            <x v="3"/>
          </reference>
        </references>
      </pivotArea>
    </format>
    <format dxfId="688">
      <pivotArea outline="0" collapsedLevelsAreSubtotals="1" fieldPosition="0"/>
    </format>
    <format dxfId="687">
      <pivotArea dataOnly="0" labelOnly="1" outline="0" fieldPosition="0">
        <references count="1">
          <reference field="4" count="2">
            <x v="1"/>
            <x v="5"/>
          </reference>
        </references>
      </pivotArea>
    </format>
    <format dxfId="686">
      <pivotArea dataOnly="0" labelOnly="1" outline="0" fieldPosition="0">
        <references count="2">
          <reference field="0" count="1">
            <x v="277"/>
          </reference>
          <reference field="4" count="1" selected="0">
            <x v="1"/>
          </reference>
        </references>
      </pivotArea>
    </format>
    <format dxfId="685">
      <pivotArea dataOnly="0" labelOnly="1" outline="0" fieldPosition="0">
        <references count="2">
          <reference field="0" count="1">
            <x v="171"/>
          </reference>
          <reference field="4" count="1" selected="0">
            <x v="5"/>
          </reference>
        </references>
      </pivotArea>
    </format>
    <format dxfId="684">
      <pivotArea dataOnly="0" labelOnly="1" outline="0" fieldPosition="0">
        <references count="3">
          <reference field="0" count="1" selected="0">
            <x v="277"/>
          </reference>
          <reference field="4" count="1" selected="0">
            <x v="1"/>
          </reference>
          <reference field="6" count="1">
            <x v="210"/>
          </reference>
        </references>
      </pivotArea>
    </format>
    <format dxfId="683">
      <pivotArea dataOnly="0" labelOnly="1" outline="0" fieldPosition="0">
        <references count="3">
          <reference field="0" count="1" selected="0">
            <x v="171"/>
          </reference>
          <reference field="4" count="1" selected="0">
            <x v="5"/>
          </reference>
          <reference field="6" count="1">
            <x v="134"/>
          </reference>
        </references>
      </pivotArea>
    </format>
    <format dxfId="682">
      <pivotArea dataOnly="0" labelOnly="1" outline="0" fieldPosition="0">
        <references count="4">
          <reference field="0" count="1" selected="0">
            <x v="277"/>
          </reference>
          <reference field="4" count="1" selected="0">
            <x v="1"/>
          </reference>
          <reference field="6" count="1" selected="0">
            <x v="210"/>
          </reference>
          <reference field="10" count="1">
            <x v="1"/>
          </reference>
        </references>
      </pivotArea>
    </format>
    <format dxfId="681">
      <pivotArea dataOnly="0" labelOnly="1" outline="0" fieldPosition="0">
        <references count="4">
          <reference field="0" count="1" selected="0">
            <x v="171"/>
          </reference>
          <reference field="4" count="1" selected="0">
            <x v="5"/>
          </reference>
          <reference field="6" count="1" selected="0">
            <x v="134"/>
          </reference>
          <reference field="10" count="1">
            <x v="3"/>
          </reference>
        </references>
      </pivotArea>
    </format>
    <format dxfId="680">
      <pivotArea outline="0" collapsedLevelsAreSubtotals="1" fieldPosition="0"/>
    </format>
    <format dxfId="679">
      <pivotArea dataOnly="0" labelOnly="1" outline="0" fieldPosition="0">
        <references count="1">
          <reference field="4" count="2">
            <x v="1"/>
            <x v="5"/>
          </reference>
        </references>
      </pivotArea>
    </format>
    <format dxfId="678">
      <pivotArea dataOnly="0" labelOnly="1" outline="0" fieldPosition="0">
        <references count="2">
          <reference field="0" count="1">
            <x v="277"/>
          </reference>
          <reference field="4" count="1" selected="0">
            <x v="1"/>
          </reference>
        </references>
      </pivotArea>
    </format>
    <format dxfId="677">
      <pivotArea dataOnly="0" labelOnly="1" outline="0" fieldPosition="0">
        <references count="2">
          <reference field="0" count="1">
            <x v="171"/>
          </reference>
          <reference field="4" count="1" selected="0">
            <x v="5"/>
          </reference>
        </references>
      </pivotArea>
    </format>
    <format dxfId="676">
      <pivotArea dataOnly="0" labelOnly="1" outline="0" fieldPosition="0">
        <references count="3">
          <reference field="0" count="1" selected="0">
            <x v="277"/>
          </reference>
          <reference field="4" count="1" selected="0">
            <x v="1"/>
          </reference>
          <reference field="6" count="1">
            <x v="210"/>
          </reference>
        </references>
      </pivotArea>
    </format>
    <format dxfId="675">
      <pivotArea dataOnly="0" labelOnly="1" outline="0" fieldPosition="0">
        <references count="3">
          <reference field="0" count="1" selected="0">
            <x v="171"/>
          </reference>
          <reference field="4" count="1" selected="0">
            <x v="5"/>
          </reference>
          <reference field="6" count="1">
            <x v="134"/>
          </reference>
        </references>
      </pivotArea>
    </format>
    <format dxfId="674">
      <pivotArea dataOnly="0" labelOnly="1" outline="0" fieldPosition="0">
        <references count="4">
          <reference field="0" count="1" selected="0">
            <x v="277"/>
          </reference>
          <reference field="4" count="1" selected="0">
            <x v="1"/>
          </reference>
          <reference field="6" count="1" selected="0">
            <x v="210"/>
          </reference>
          <reference field="10" count="1">
            <x v="1"/>
          </reference>
        </references>
      </pivotArea>
    </format>
    <format dxfId="673">
      <pivotArea dataOnly="0" labelOnly="1" outline="0" fieldPosition="0">
        <references count="4">
          <reference field="0" count="1" selected="0">
            <x v="171"/>
          </reference>
          <reference field="4" count="1" selected="0">
            <x v="5"/>
          </reference>
          <reference field="6" count="1" selected="0">
            <x v="134"/>
          </reference>
          <reference field="10" count="1">
            <x v="3"/>
          </reference>
        </references>
      </pivotArea>
    </format>
    <format dxfId="672">
      <pivotArea outline="0" collapsedLevelsAreSubtotals="1" fieldPosition="0"/>
    </format>
    <format dxfId="671">
      <pivotArea dataOnly="0" labelOnly="1" outline="0" fieldPosition="0">
        <references count="1">
          <reference field="4" count="2">
            <x v="1"/>
            <x v="5"/>
          </reference>
        </references>
      </pivotArea>
    </format>
    <format dxfId="670">
      <pivotArea dataOnly="0" labelOnly="1" outline="0" fieldPosition="0">
        <references count="2">
          <reference field="0" count="1">
            <x v="277"/>
          </reference>
          <reference field="4" count="1" selected="0">
            <x v="1"/>
          </reference>
        </references>
      </pivotArea>
    </format>
    <format dxfId="669">
      <pivotArea dataOnly="0" labelOnly="1" outline="0" fieldPosition="0">
        <references count="2">
          <reference field="0" count="1">
            <x v="171"/>
          </reference>
          <reference field="4" count="1" selected="0">
            <x v="5"/>
          </reference>
        </references>
      </pivotArea>
    </format>
    <format dxfId="668">
      <pivotArea dataOnly="0" labelOnly="1" outline="0" fieldPosition="0">
        <references count="3">
          <reference field="0" count="1" selected="0">
            <x v="277"/>
          </reference>
          <reference field="4" count="1" selected="0">
            <x v="1"/>
          </reference>
          <reference field="6" count="1">
            <x v="210"/>
          </reference>
        </references>
      </pivotArea>
    </format>
    <format dxfId="667">
      <pivotArea dataOnly="0" labelOnly="1" outline="0" fieldPosition="0">
        <references count="3">
          <reference field="0" count="1" selected="0">
            <x v="171"/>
          </reference>
          <reference field="4" count="1" selected="0">
            <x v="5"/>
          </reference>
          <reference field="6" count="1">
            <x v="134"/>
          </reference>
        </references>
      </pivotArea>
    </format>
    <format dxfId="666">
      <pivotArea dataOnly="0" labelOnly="1" outline="0" fieldPosition="0">
        <references count="4">
          <reference field="0" count="1" selected="0">
            <x v="277"/>
          </reference>
          <reference field="4" count="1" selected="0">
            <x v="1"/>
          </reference>
          <reference field="6" count="1" selected="0">
            <x v="210"/>
          </reference>
          <reference field="10" count="1">
            <x v="1"/>
          </reference>
        </references>
      </pivotArea>
    </format>
    <format dxfId="665">
      <pivotArea dataOnly="0" labelOnly="1" outline="0" fieldPosition="0">
        <references count="4">
          <reference field="0" count="1" selected="0">
            <x v="171"/>
          </reference>
          <reference field="4" count="1" selected="0">
            <x v="5"/>
          </reference>
          <reference field="6" count="1" selected="0">
            <x v="134"/>
          </reference>
          <reference field="10" count="1">
            <x v="3"/>
          </reference>
        </references>
      </pivotArea>
    </format>
    <format dxfId="664">
      <pivotArea dataOnly="0" labelOnly="1" outline="0" fieldPosition="0">
        <references count="3">
          <reference field="0" count="1" selected="0">
            <x v="277"/>
          </reference>
          <reference field="2" count="1">
            <x v="0"/>
          </reference>
          <reference field="4" count="1" selected="0">
            <x v="1"/>
          </reference>
        </references>
      </pivotArea>
    </format>
    <format dxfId="663">
      <pivotArea dataOnly="0" labelOnly="1" outline="0" fieldPosition="0">
        <references count="3">
          <reference field="0" count="1" selected="0">
            <x v="171"/>
          </reference>
          <reference field="2" count="1">
            <x v="4"/>
          </reference>
          <reference field="4" count="1" selected="0">
            <x v="5"/>
          </reference>
        </references>
      </pivotArea>
    </format>
    <format dxfId="662">
      <pivotArea dataOnly="0" labelOnly="1" outline="0" fieldPosition="0">
        <references count="3">
          <reference field="0" count="1" selected="0">
            <x v="277"/>
          </reference>
          <reference field="2" count="1">
            <x v="0"/>
          </reference>
          <reference field="4" count="1" selected="0">
            <x v="1"/>
          </reference>
        </references>
      </pivotArea>
    </format>
    <format dxfId="661">
      <pivotArea dataOnly="0" labelOnly="1" outline="0" fieldPosition="0">
        <references count="3">
          <reference field="0" count="1" selected="0">
            <x v="171"/>
          </reference>
          <reference field="2" count="1">
            <x v="4"/>
          </reference>
          <reference field="4" count="1" selected="0">
            <x v="5"/>
          </reference>
        </references>
      </pivotArea>
    </format>
    <format dxfId="660">
      <pivotArea outline="0" collapsedLevelsAreSubtotals="1" fieldPosition="0"/>
    </format>
    <format dxfId="659">
      <pivotArea dataOnly="0" labelOnly="1" outline="0" fieldPosition="0">
        <references count="1">
          <reference field="4" count="1">
            <x v="3"/>
          </reference>
        </references>
      </pivotArea>
    </format>
    <format dxfId="658">
      <pivotArea dataOnly="0" labelOnly="1" outline="0" fieldPosition="0">
        <references count="2">
          <reference field="0" count="1">
            <x v="331"/>
          </reference>
          <reference field="4" count="1" selected="0">
            <x v="3"/>
          </reference>
        </references>
      </pivotArea>
    </format>
    <format dxfId="657">
      <pivotArea dataOnly="0" labelOnly="1" outline="0" fieldPosition="0">
        <references count="3">
          <reference field="0" count="1" selected="0">
            <x v="331"/>
          </reference>
          <reference field="2" count="1">
            <x v="0"/>
          </reference>
          <reference field="4" count="1" selected="0">
            <x v="3"/>
          </reference>
        </references>
      </pivotArea>
    </format>
    <format dxfId="656">
      <pivotArea dataOnly="0" labelOnly="1" outline="0" fieldPosition="0">
        <references count="4">
          <reference field="0" count="1" selected="0">
            <x v="331"/>
          </reference>
          <reference field="2" count="1" selected="0">
            <x v="0"/>
          </reference>
          <reference field="4" count="1" selected="0">
            <x v="3"/>
          </reference>
          <reference field="6" count="1">
            <x v="252"/>
          </reference>
        </references>
      </pivotArea>
    </format>
    <format dxfId="655">
      <pivotArea dataOnly="0" labelOnly="1" outline="0" fieldPosition="0">
        <references count="5">
          <reference field="0" count="1" selected="0">
            <x v="331"/>
          </reference>
          <reference field="2" count="1" selected="0">
            <x v="0"/>
          </reference>
          <reference field="4" count="1" selected="0">
            <x v="3"/>
          </reference>
          <reference field="6" count="1" selected="0">
            <x v="252"/>
          </reference>
          <reference field="10" count="0"/>
        </references>
      </pivotArea>
    </format>
    <format dxfId="654">
      <pivotArea outline="0" collapsedLevelsAreSubtotals="1" fieldPosition="0"/>
    </format>
    <format dxfId="653">
      <pivotArea dataOnly="0" labelOnly="1" outline="0" fieldPosition="0">
        <references count="1">
          <reference field="4" count="1">
            <x v="3"/>
          </reference>
        </references>
      </pivotArea>
    </format>
    <format dxfId="652">
      <pivotArea dataOnly="0" labelOnly="1" outline="0" fieldPosition="0">
        <references count="2">
          <reference field="0" count="1">
            <x v="331"/>
          </reference>
          <reference field="4" count="1" selected="0">
            <x v="3"/>
          </reference>
        </references>
      </pivotArea>
    </format>
    <format dxfId="651">
      <pivotArea dataOnly="0" labelOnly="1" outline="0" fieldPosition="0">
        <references count="3">
          <reference field="0" count="1" selected="0">
            <x v="331"/>
          </reference>
          <reference field="2" count="1">
            <x v="0"/>
          </reference>
          <reference field="4" count="1" selected="0">
            <x v="3"/>
          </reference>
        </references>
      </pivotArea>
    </format>
    <format dxfId="650">
      <pivotArea dataOnly="0" labelOnly="1" outline="0" fieldPosition="0">
        <references count="4">
          <reference field="0" count="1" selected="0">
            <x v="331"/>
          </reference>
          <reference field="2" count="1" selected="0">
            <x v="0"/>
          </reference>
          <reference field="4" count="1" selected="0">
            <x v="3"/>
          </reference>
          <reference field="6" count="1">
            <x v="252"/>
          </reference>
        </references>
      </pivotArea>
    </format>
    <format dxfId="649">
      <pivotArea dataOnly="0" labelOnly="1" outline="0" fieldPosition="0">
        <references count="5">
          <reference field="0" count="1" selected="0">
            <x v="331"/>
          </reference>
          <reference field="2" count="1" selected="0">
            <x v="0"/>
          </reference>
          <reference field="4" count="1" selected="0">
            <x v="3"/>
          </reference>
          <reference field="6" count="1" selected="0">
            <x v="252"/>
          </reference>
          <reference field="10" count="0"/>
        </references>
      </pivotArea>
    </format>
    <format dxfId="648">
      <pivotArea dataOnly="0" labelOnly="1" outline="0" fieldPosition="0">
        <references count="2">
          <reference field="0" count="1">
            <x v="178"/>
          </reference>
          <reference field="4" count="1" selected="0">
            <x v="3"/>
          </reference>
        </references>
      </pivotArea>
    </format>
    <format dxfId="647">
      <pivotArea dataOnly="0" labelOnly="1" outline="0" fieldPosition="0">
        <references count="3">
          <reference field="0" count="1" selected="0">
            <x v="178"/>
          </reference>
          <reference field="2" count="1">
            <x v="13"/>
          </reference>
          <reference field="4" count="1" selected="0">
            <x v="3"/>
          </reference>
        </references>
      </pivotArea>
    </format>
    <format dxfId="646">
      <pivotArea dataOnly="0" labelOnly="1" outline="0" fieldPosition="0">
        <references count="4">
          <reference field="0" count="1" selected="0">
            <x v="178"/>
          </reference>
          <reference field="2" count="1" selected="0">
            <x v="13"/>
          </reference>
          <reference field="4" count="1" selected="0">
            <x v="3"/>
          </reference>
          <reference field="6" count="1">
            <x v="139"/>
          </reference>
        </references>
      </pivotArea>
    </format>
    <format dxfId="645">
      <pivotArea dataOnly="0" labelOnly="1" outline="0" fieldPosition="0">
        <references count="5">
          <reference field="0" count="1" selected="0">
            <x v="178"/>
          </reference>
          <reference field="2" count="1" selected="0">
            <x v="13"/>
          </reference>
          <reference field="4" count="1" selected="0">
            <x v="3"/>
          </reference>
          <reference field="6" count="1" selected="0">
            <x v="139"/>
          </reference>
          <reference field="10" count="0"/>
        </references>
      </pivotArea>
    </format>
    <format dxfId="644">
      <pivotArea outline="0" collapsedLevelsAreSubtotals="1" fieldPosition="0"/>
    </format>
    <format dxfId="643">
      <pivotArea dataOnly="0" labelOnly="1" outline="0" fieldPosition="0">
        <references count="1">
          <reference field="4" count="1">
            <x v="0"/>
          </reference>
        </references>
      </pivotArea>
    </format>
    <format dxfId="642">
      <pivotArea dataOnly="0" labelOnly="1" outline="0" fieldPosition="0">
        <references count="2">
          <reference field="0" count="1">
            <x v="349"/>
          </reference>
          <reference field="4" count="1" selected="0">
            <x v="0"/>
          </reference>
        </references>
      </pivotArea>
    </format>
    <format dxfId="641">
      <pivotArea dataOnly="0" labelOnly="1" outline="0" fieldPosition="0">
        <references count="3">
          <reference field="0" count="1" selected="0">
            <x v="349"/>
          </reference>
          <reference field="2" count="1">
            <x v="0"/>
          </reference>
          <reference field="4" count="1" selected="0">
            <x v="0"/>
          </reference>
        </references>
      </pivotArea>
    </format>
    <format dxfId="640">
      <pivotArea dataOnly="0" labelOnly="1" outline="0" fieldPosition="0">
        <references count="4">
          <reference field="0" count="1" selected="0">
            <x v="349"/>
          </reference>
          <reference field="2" count="1" selected="0">
            <x v="0"/>
          </reference>
          <reference field="4" count="1" selected="0">
            <x v="0"/>
          </reference>
          <reference field="6" count="1">
            <x v="267"/>
          </reference>
        </references>
      </pivotArea>
    </format>
    <format dxfId="639">
      <pivotArea dataOnly="0" labelOnly="1" outline="0" fieldPosition="0">
        <references count="5">
          <reference field="0" count="1" selected="0">
            <x v="349"/>
          </reference>
          <reference field="2" count="1" selected="0">
            <x v="0"/>
          </reference>
          <reference field="4" count="1" selected="0">
            <x v="0"/>
          </reference>
          <reference field="6" count="1" selected="0">
            <x v="267"/>
          </reference>
          <reference field="10" count="0"/>
        </references>
      </pivotArea>
    </format>
    <format dxfId="638">
      <pivotArea outline="0" collapsedLevelsAreSubtotals="1" fieldPosition="0"/>
    </format>
    <format dxfId="637">
      <pivotArea dataOnly="0" labelOnly="1" outline="0" fieldPosition="0">
        <references count="1">
          <reference field="4" count="1">
            <x v="0"/>
          </reference>
        </references>
      </pivotArea>
    </format>
    <format dxfId="636">
      <pivotArea dataOnly="0" labelOnly="1" outline="0" fieldPosition="0">
        <references count="2">
          <reference field="0" count="1">
            <x v="349"/>
          </reference>
          <reference field="4" count="1" selected="0">
            <x v="0"/>
          </reference>
        </references>
      </pivotArea>
    </format>
    <format dxfId="635">
      <pivotArea dataOnly="0" labelOnly="1" outline="0" fieldPosition="0">
        <references count="3">
          <reference field="0" count="1" selected="0">
            <x v="349"/>
          </reference>
          <reference field="2" count="1">
            <x v="0"/>
          </reference>
          <reference field="4" count="1" selected="0">
            <x v="0"/>
          </reference>
        </references>
      </pivotArea>
    </format>
    <format dxfId="634">
      <pivotArea dataOnly="0" labelOnly="1" outline="0" fieldPosition="0">
        <references count="4">
          <reference field="0" count="1" selected="0">
            <x v="349"/>
          </reference>
          <reference field="2" count="1" selected="0">
            <x v="0"/>
          </reference>
          <reference field="4" count="1" selected="0">
            <x v="0"/>
          </reference>
          <reference field="6" count="1">
            <x v="267"/>
          </reference>
        </references>
      </pivotArea>
    </format>
    <format dxfId="633">
      <pivotArea dataOnly="0" labelOnly="1" outline="0" fieldPosition="0">
        <references count="5">
          <reference field="0" count="1" selected="0">
            <x v="349"/>
          </reference>
          <reference field="2" count="1" selected="0">
            <x v="0"/>
          </reference>
          <reference field="4" count="1" selected="0">
            <x v="0"/>
          </reference>
          <reference field="6" count="1" selected="0">
            <x v="267"/>
          </reference>
          <reference field="10" count="0"/>
        </references>
      </pivotArea>
    </format>
    <format dxfId="632">
      <pivotArea outline="0" collapsedLevelsAreSubtotals="1" fieldPosition="0"/>
    </format>
    <format dxfId="631">
      <pivotArea dataOnly="0" labelOnly="1" outline="0" fieldPosition="0">
        <references count="1">
          <reference field="4" count="1">
            <x v="5"/>
          </reference>
        </references>
      </pivotArea>
    </format>
    <format dxfId="630">
      <pivotArea dataOnly="0" labelOnly="1" outline="0" fieldPosition="0">
        <references count="2">
          <reference field="0" count="1">
            <x v="365"/>
          </reference>
          <reference field="4" count="1" selected="0">
            <x v="5"/>
          </reference>
        </references>
      </pivotArea>
    </format>
    <format dxfId="629">
      <pivotArea dataOnly="0" labelOnly="1" outline="0" fieldPosition="0">
        <references count="3">
          <reference field="0" count="1" selected="0">
            <x v="365"/>
          </reference>
          <reference field="2" count="1">
            <x v="0"/>
          </reference>
          <reference field="4" count="1" selected="0">
            <x v="5"/>
          </reference>
        </references>
      </pivotArea>
    </format>
    <format dxfId="628">
      <pivotArea dataOnly="0" labelOnly="1" outline="0" fieldPosition="0">
        <references count="4">
          <reference field="0" count="1" selected="0">
            <x v="365"/>
          </reference>
          <reference field="2" count="1" selected="0">
            <x v="0"/>
          </reference>
          <reference field="4" count="1" selected="0">
            <x v="5"/>
          </reference>
          <reference field="6" count="1">
            <x v="267"/>
          </reference>
        </references>
      </pivotArea>
    </format>
    <format dxfId="627">
      <pivotArea dataOnly="0" labelOnly="1" outline="0" fieldPosition="0">
        <references count="5">
          <reference field="0" count="1" selected="0">
            <x v="365"/>
          </reference>
          <reference field="2" count="1" selected="0">
            <x v="0"/>
          </reference>
          <reference field="4" count="1" selected="0">
            <x v="5"/>
          </reference>
          <reference field="6" count="1" selected="0">
            <x v="267"/>
          </reference>
          <reference field="10" count="0"/>
        </references>
      </pivotArea>
    </format>
    <format dxfId="626">
      <pivotArea outline="0" collapsedLevelsAreSubtotals="1" fieldPosition="0"/>
    </format>
    <format dxfId="625">
      <pivotArea dataOnly="0" labelOnly="1" outline="0" fieldPosition="0">
        <references count="1">
          <reference field="4" count="1">
            <x v="5"/>
          </reference>
        </references>
      </pivotArea>
    </format>
    <format dxfId="624">
      <pivotArea dataOnly="0" labelOnly="1" outline="0" fieldPosition="0">
        <references count="2">
          <reference field="0" count="1">
            <x v="365"/>
          </reference>
          <reference field="4" count="1" selected="0">
            <x v="5"/>
          </reference>
        </references>
      </pivotArea>
    </format>
    <format dxfId="623">
      <pivotArea dataOnly="0" labelOnly="1" outline="0" fieldPosition="0">
        <references count="3">
          <reference field="0" count="1" selected="0">
            <x v="365"/>
          </reference>
          <reference field="2" count="1">
            <x v="0"/>
          </reference>
          <reference field="4" count="1" selected="0">
            <x v="5"/>
          </reference>
        </references>
      </pivotArea>
    </format>
    <format dxfId="622">
      <pivotArea dataOnly="0" labelOnly="1" outline="0" fieldPosition="0">
        <references count="4">
          <reference field="0" count="1" selected="0">
            <x v="365"/>
          </reference>
          <reference field="2" count="1" selected="0">
            <x v="0"/>
          </reference>
          <reference field="4" count="1" selected="0">
            <x v="5"/>
          </reference>
          <reference field="6" count="1">
            <x v="267"/>
          </reference>
        </references>
      </pivotArea>
    </format>
    <format dxfId="621">
      <pivotArea dataOnly="0" labelOnly="1" outline="0" fieldPosition="0">
        <references count="5">
          <reference field="0" count="1" selected="0">
            <x v="365"/>
          </reference>
          <reference field="2" count="1" selected="0">
            <x v="0"/>
          </reference>
          <reference field="4" count="1" selected="0">
            <x v="5"/>
          </reference>
          <reference field="6" count="1" selected="0">
            <x v="267"/>
          </reference>
          <reference field="10" count="0"/>
        </references>
      </pivotArea>
    </format>
    <format dxfId="620">
      <pivotArea dataOnly="0" labelOnly="1" outline="0" fieldPosition="0">
        <references count="1">
          <reference field="4" count="1">
            <x v="5"/>
          </reference>
        </references>
      </pivotArea>
    </format>
    <format dxfId="619">
      <pivotArea dataOnly="0" labelOnly="1" outline="0" fieldPosition="0">
        <references count="2">
          <reference field="0" count="1">
            <x v="365"/>
          </reference>
          <reference field="4" count="1" selected="0">
            <x v="5"/>
          </reference>
        </references>
      </pivotArea>
    </format>
    <format dxfId="618">
      <pivotArea dataOnly="0" labelOnly="1" outline="0" fieldPosition="0">
        <references count="3">
          <reference field="0" count="1" selected="0">
            <x v="365"/>
          </reference>
          <reference field="2" count="1">
            <x v="0"/>
          </reference>
          <reference field="4" count="1" selected="0">
            <x v="5"/>
          </reference>
        </references>
      </pivotArea>
    </format>
    <format dxfId="617">
      <pivotArea dataOnly="0" labelOnly="1" outline="0" fieldPosition="0">
        <references count="4">
          <reference field="0" count="1" selected="0">
            <x v="365"/>
          </reference>
          <reference field="2" count="1" selected="0">
            <x v="0"/>
          </reference>
          <reference field="4" count="1" selected="0">
            <x v="5"/>
          </reference>
          <reference field="6" count="1">
            <x v="267"/>
          </reference>
        </references>
      </pivotArea>
    </format>
    <format dxfId="616">
      <pivotArea dataOnly="0" labelOnly="1" outline="0" fieldPosition="0">
        <references count="3">
          <reference field="0" count="1" selected="0">
            <x v="178"/>
          </reference>
          <reference field="2" count="1">
            <x v="14"/>
          </reference>
          <reference field="4" count="1" selected="0">
            <x v="3"/>
          </reference>
        </references>
      </pivotArea>
    </format>
    <format dxfId="615">
      <pivotArea dataOnly="0" labelOnly="1" outline="0" fieldPosition="0">
        <references count="4">
          <reference field="0" count="1" selected="0">
            <x v="178"/>
          </reference>
          <reference field="2" count="1" selected="0">
            <x v="14"/>
          </reference>
          <reference field="4" count="1" selected="0">
            <x v="3"/>
          </reference>
          <reference field="6" count="1">
            <x v="139"/>
          </reference>
        </references>
      </pivotArea>
    </format>
    <format dxfId="614">
      <pivotArea dataOnly="0" labelOnly="1" outline="0" fieldPosition="0">
        <references count="5">
          <reference field="0" count="1" selected="0">
            <x v="178"/>
          </reference>
          <reference field="2" count="1" selected="0">
            <x v="14"/>
          </reference>
          <reference field="4" count="1" selected="0">
            <x v="3"/>
          </reference>
          <reference field="6" count="1" selected="0">
            <x v="139"/>
          </reference>
          <reference field="10" count="0"/>
        </references>
      </pivotArea>
    </format>
    <format dxfId="613">
      <pivotArea dataOnly="0" labelOnly="1" outline="0" fieldPosition="0">
        <references count="3">
          <reference field="0" count="1" selected="0">
            <x v="178"/>
          </reference>
          <reference field="2" count="1">
            <x v="14"/>
          </reference>
          <reference field="4" count="1" selected="0">
            <x v="3"/>
          </reference>
        </references>
      </pivotArea>
    </format>
    <format dxfId="612">
      <pivotArea dataOnly="0" labelOnly="1" outline="0" fieldPosition="0">
        <references count="4">
          <reference field="0" count="1" selected="0">
            <x v="178"/>
          </reference>
          <reference field="2" count="1" selected="0">
            <x v="14"/>
          </reference>
          <reference field="4" count="1" selected="0">
            <x v="3"/>
          </reference>
          <reference field="6" count="1">
            <x v="139"/>
          </reference>
        </references>
      </pivotArea>
    </format>
    <format dxfId="611">
      <pivotArea dataOnly="0" labelOnly="1" outline="0" fieldPosition="0">
        <references count="5">
          <reference field="0" count="1" selected="0">
            <x v="178"/>
          </reference>
          <reference field="2" count="1" selected="0">
            <x v="14"/>
          </reference>
          <reference field="4" count="1" selected="0">
            <x v="3"/>
          </reference>
          <reference field="6" count="1" selected="0">
            <x v="139"/>
          </reference>
          <reference field="10" count="0"/>
        </references>
      </pivotArea>
    </format>
    <format dxfId="610">
      <pivotArea dataOnly="0" labelOnly="1" outline="0" fieldPosition="0">
        <references count="3">
          <reference field="0" count="1" selected="0">
            <x v="331"/>
          </reference>
          <reference field="2" count="1">
            <x v="5"/>
          </reference>
          <reference field="4" count="1" selected="0">
            <x v="3"/>
          </reference>
        </references>
      </pivotArea>
    </format>
    <format dxfId="609">
      <pivotArea dataOnly="0" labelOnly="1" outline="0" fieldPosition="0">
        <references count="4">
          <reference field="0" count="1" selected="0">
            <x v="331"/>
          </reference>
          <reference field="2" count="1" selected="0">
            <x v="5"/>
          </reference>
          <reference field="4" count="1" selected="0">
            <x v="3"/>
          </reference>
          <reference field="6" count="1">
            <x v="252"/>
          </reference>
        </references>
      </pivotArea>
    </format>
    <format dxfId="608">
      <pivotArea dataOnly="0" labelOnly="1" outline="0" fieldPosition="0">
        <references count="5">
          <reference field="0" count="1" selected="0">
            <x v="331"/>
          </reference>
          <reference field="2" count="1" selected="0">
            <x v="5"/>
          </reference>
          <reference field="4" count="1" selected="0">
            <x v="3"/>
          </reference>
          <reference field="6" count="1" selected="0">
            <x v="252"/>
          </reference>
          <reference field="10" count="0"/>
        </references>
      </pivotArea>
    </format>
    <format dxfId="607">
      <pivotArea dataOnly="0" labelOnly="1" outline="0" fieldPosition="0">
        <references count="3">
          <reference field="0" count="1" selected="0">
            <x v="331"/>
          </reference>
          <reference field="2" count="1">
            <x v="5"/>
          </reference>
          <reference field="4" count="1" selected="0">
            <x v="3"/>
          </reference>
        </references>
      </pivotArea>
    </format>
    <format dxfId="606">
      <pivotArea dataOnly="0" labelOnly="1" outline="0" fieldPosition="0">
        <references count="4">
          <reference field="0" count="1" selected="0">
            <x v="331"/>
          </reference>
          <reference field="2" count="1" selected="0">
            <x v="5"/>
          </reference>
          <reference field="4" count="1" selected="0">
            <x v="3"/>
          </reference>
          <reference field="6" count="1">
            <x v="252"/>
          </reference>
        </references>
      </pivotArea>
    </format>
    <format dxfId="605">
      <pivotArea dataOnly="0" labelOnly="1" outline="0" fieldPosition="0">
        <references count="5">
          <reference field="0" count="1" selected="0">
            <x v="331"/>
          </reference>
          <reference field="2" count="1" selected="0">
            <x v="5"/>
          </reference>
          <reference field="4" count="1" selected="0">
            <x v="3"/>
          </reference>
          <reference field="6" count="1" selected="0">
            <x v="252"/>
          </reference>
          <reference field="10" count="0"/>
        </references>
      </pivotArea>
    </format>
    <format dxfId="604">
      <pivotArea outline="0" collapsedLevelsAreSubtotals="1" fieldPosition="0"/>
    </format>
    <format dxfId="603">
      <pivotArea dataOnly="0" labelOnly="1" outline="0" fieldPosition="0">
        <references count="1">
          <reference field="4" count="1">
            <x v="3"/>
          </reference>
        </references>
      </pivotArea>
    </format>
    <format dxfId="602">
      <pivotArea dataOnly="0" labelOnly="1" outline="0" fieldPosition="0">
        <references count="2">
          <reference field="0" count="1">
            <x v="331"/>
          </reference>
          <reference field="4" count="1" selected="0">
            <x v="3"/>
          </reference>
        </references>
      </pivotArea>
    </format>
    <format dxfId="601">
      <pivotArea dataOnly="0" labelOnly="1" outline="0" fieldPosition="0">
        <references count="3">
          <reference field="0" count="1" selected="0">
            <x v="331"/>
          </reference>
          <reference field="2" count="1">
            <x v="5"/>
          </reference>
          <reference field="4" count="1" selected="0">
            <x v="3"/>
          </reference>
        </references>
      </pivotArea>
    </format>
    <format dxfId="600">
      <pivotArea dataOnly="0" labelOnly="1" outline="0" fieldPosition="0">
        <references count="4">
          <reference field="0" count="1" selected="0">
            <x v="331"/>
          </reference>
          <reference field="2" count="1" selected="0">
            <x v="5"/>
          </reference>
          <reference field="4" count="1" selected="0">
            <x v="3"/>
          </reference>
          <reference field="6" count="1">
            <x v="252"/>
          </reference>
        </references>
      </pivotArea>
    </format>
    <format dxfId="599">
      <pivotArea dataOnly="0" labelOnly="1" outline="0" fieldPosition="0">
        <references count="5">
          <reference field="0" count="1" selected="0">
            <x v="331"/>
          </reference>
          <reference field="2" count="1" selected="0">
            <x v="5"/>
          </reference>
          <reference field="4" count="1" selected="0">
            <x v="3"/>
          </reference>
          <reference field="6" count="1" selected="0">
            <x v="252"/>
          </reference>
          <reference field="10" count="0"/>
        </references>
      </pivotArea>
    </format>
    <format dxfId="598">
      <pivotArea outline="0" collapsedLevelsAreSubtotals="1" fieldPosition="0"/>
    </format>
    <format dxfId="597">
      <pivotArea dataOnly="0" labelOnly="1" outline="0" fieldPosition="0">
        <references count="1">
          <reference field="4" count="1">
            <x v="3"/>
          </reference>
        </references>
      </pivotArea>
    </format>
    <format dxfId="596">
      <pivotArea dataOnly="0" labelOnly="1" outline="0" fieldPosition="0">
        <references count="2">
          <reference field="0" count="1">
            <x v="331"/>
          </reference>
          <reference field="4" count="1" selected="0">
            <x v="3"/>
          </reference>
        </references>
      </pivotArea>
    </format>
    <format dxfId="595">
      <pivotArea dataOnly="0" labelOnly="1" outline="0" fieldPosition="0">
        <references count="3">
          <reference field="0" count="1" selected="0">
            <x v="331"/>
          </reference>
          <reference field="2" count="1">
            <x v="5"/>
          </reference>
          <reference field="4" count="1" selected="0">
            <x v="3"/>
          </reference>
        </references>
      </pivotArea>
    </format>
    <format dxfId="594">
      <pivotArea dataOnly="0" labelOnly="1" outline="0" fieldPosition="0">
        <references count="4">
          <reference field="0" count="1" selected="0">
            <x v="331"/>
          </reference>
          <reference field="2" count="1" selected="0">
            <x v="5"/>
          </reference>
          <reference field="4" count="1" selected="0">
            <x v="3"/>
          </reference>
          <reference field="6" count="1">
            <x v="252"/>
          </reference>
        </references>
      </pivotArea>
    </format>
    <format dxfId="593">
      <pivotArea dataOnly="0" labelOnly="1" outline="0" fieldPosition="0">
        <references count="5">
          <reference field="0" count="1" selected="0">
            <x v="331"/>
          </reference>
          <reference field="2" count="1" selected="0">
            <x v="5"/>
          </reference>
          <reference field="4" count="1" selected="0">
            <x v="3"/>
          </reference>
          <reference field="6" count="1" selected="0">
            <x v="252"/>
          </reference>
          <reference field="10" count="0"/>
        </references>
      </pivotArea>
    </format>
    <format dxfId="592">
      <pivotArea dataOnly="0" labelOnly="1" outline="0" fieldPosition="0">
        <references count="3">
          <reference field="0" count="1" selected="0">
            <x v="331"/>
          </reference>
          <reference field="2" count="1">
            <x v="8"/>
          </reference>
          <reference field="4" count="1" selected="0">
            <x v="3"/>
          </reference>
        </references>
      </pivotArea>
    </format>
    <format dxfId="591">
      <pivotArea dataOnly="0" labelOnly="1" outline="0" fieldPosition="0">
        <references count="4">
          <reference field="0" count="1" selected="0">
            <x v="331"/>
          </reference>
          <reference field="2" count="1" selected="0">
            <x v="8"/>
          </reference>
          <reference field="4" count="1" selected="0">
            <x v="3"/>
          </reference>
          <reference field="6" count="1">
            <x v="252"/>
          </reference>
        </references>
      </pivotArea>
    </format>
    <format dxfId="590">
      <pivotArea dataOnly="0" labelOnly="1" outline="0" fieldPosition="0">
        <references count="5">
          <reference field="0" count="1" selected="0">
            <x v="331"/>
          </reference>
          <reference field="2" count="1" selected="0">
            <x v="8"/>
          </reference>
          <reference field="4" count="1" selected="0">
            <x v="3"/>
          </reference>
          <reference field="6" count="1" selected="0">
            <x v="252"/>
          </reference>
          <reference field="10" count="0"/>
        </references>
      </pivotArea>
    </format>
    <format dxfId="589">
      <pivotArea outline="0" collapsedLevelsAreSubtotals="1" fieldPosition="0"/>
    </format>
    <format dxfId="588">
      <pivotArea dataOnly="0" labelOnly="1" outline="0" fieldPosition="0">
        <references count="1">
          <reference field="4" count="1">
            <x v="5"/>
          </reference>
        </references>
      </pivotArea>
    </format>
    <format dxfId="587">
      <pivotArea dataOnly="0" labelOnly="1" outline="0" fieldPosition="0">
        <references count="2">
          <reference field="0" count="1">
            <x v="365"/>
          </reference>
          <reference field="4" count="1" selected="0">
            <x v="5"/>
          </reference>
        </references>
      </pivotArea>
    </format>
    <format dxfId="586">
      <pivotArea dataOnly="0" labelOnly="1" outline="0" fieldPosition="0">
        <references count="3">
          <reference field="0" count="1" selected="0">
            <x v="365"/>
          </reference>
          <reference field="2" count="1">
            <x v="5"/>
          </reference>
          <reference field="4" count="1" selected="0">
            <x v="5"/>
          </reference>
        </references>
      </pivotArea>
    </format>
    <format dxfId="585">
      <pivotArea dataOnly="0" labelOnly="1" outline="0" fieldPosition="0">
        <references count="4">
          <reference field="0" count="1" selected="0">
            <x v="365"/>
          </reference>
          <reference field="2" count="1" selected="0">
            <x v="5"/>
          </reference>
          <reference field="4" count="1" selected="0">
            <x v="5"/>
          </reference>
          <reference field="6" count="1">
            <x v="267"/>
          </reference>
        </references>
      </pivotArea>
    </format>
    <format dxfId="584">
      <pivotArea dataOnly="0" labelOnly="1" outline="0" fieldPosition="0">
        <references count="5">
          <reference field="0" count="1" selected="0">
            <x v="365"/>
          </reference>
          <reference field="2" count="1" selected="0">
            <x v="5"/>
          </reference>
          <reference field="4" count="1" selected="0">
            <x v="5"/>
          </reference>
          <reference field="6" count="1" selected="0">
            <x v="267"/>
          </reference>
          <reference field="10" count="0"/>
        </references>
      </pivotArea>
    </format>
    <format dxfId="583">
      <pivotArea outline="0" collapsedLevelsAreSubtotals="1" fieldPosition="0"/>
    </format>
    <format dxfId="582">
      <pivotArea dataOnly="0" labelOnly="1" outline="0" fieldPosition="0">
        <references count="1">
          <reference field="4" count="1">
            <x v="5"/>
          </reference>
        </references>
      </pivotArea>
    </format>
    <format dxfId="581">
      <pivotArea dataOnly="0" labelOnly="1" outline="0" fieldPosition="0">
        <references count="2">
          <reference field="0" count="1">
            <x v="365"/>
          </reference>
          <reference field="4" count="1" selected="0">
            <x v="5"/>
          </reference>
        </references>
      </pivotArea>
    </format>
    <format dxfId="580">
      <pivotArea dataOnly="0" labelOnly="1" outline="0" fieldPosition="0">
        <references count="3">
          <reference field="0" count="1" selected="0">
            <x v="365"/>
          </reference>
          <reference field="2" count="1">
            <x v="5"/>
          </reference>
          <reference field="4" count="1" selected="0">
            <x v="5"/>
          </reference>
        </references>
      </pivotArea>
    </format>
    <format dxfId="579">
      <pivotArea dataOnly="0" labelOnly="1" outline="0" fieldPosition="0">
        <references count="4">
          <reference field="0" count="1" selected="0">
            <x v="365"/>
          </reference>
          <reference field="2" count="1" selected="0">
            <x v="5"/>
          </reference>
          <reference field="4" count="1" selected="0">
            <x v="5"/>
          </reference>
          <reference field="6" count="1">
            <x v="267"/>
          </reference>
        </references>
      </pivotArea>
    </format>
    <format dxfId="578">
      <pivotArea dataOnly="0" labelOnly="1" outline="0" fieldPosition="0">
        <references count="5">
          <reference field="0" count="1" selected="0">
            <x v="365"/>
          </reference>
          <reference field="2" count="1" selected="0">
            <x v="5"/>
          </reference>
          <reference field="4" count="1" selected="0">
            <x v="5"/>
          </reference>
          <reference field="6" count="1" selected="0">
            <x v="267"/>
          </reference>
          <reference field="10" count="0"/>
        </references>
      </pivotArea>
    </format>
    <format dxfId="577">
      <pivotArea dataOnly="0" labelOnly="1" outline="0" fieldPosition="0">
        <references count="3">
          <reference field="0" count="1" selected="0">
            <x v="331"/>
          </reference>
          <reference field="2" count="1">
            <x v="9"/>
          </reference>
          <reference field="4" count="1" selected="0">
            <x v="3"/>
          </reference>
        </references>
      </pivotArea>
    </format>
    <format dxfId="576">
      <pivotArea dataOnly="0" labelOnly="1" outline="0" fieldPosition="0">
        <references count="4">
          <reference field="0" count="1" selected="0">
            <x v="331"/>
          </reference>
          <reference field="2" count="1" selected="0">
            <x v="9"/>
          </reference>
          <reference field="4" count="1" selected="0">
            <x v="3"/>
          </reference>
          <reference field="6" count="1">
            <x v="252"/>
          </reference>
        </references>
      </pivotArea>
    </format>
    <format dxfId="575">
      <pivotArea dataOnly="0" labelOnly="1" outline="0" fieldPosition="0">
        <references count="5">
          <reference field="0" count="1" selected="0">
            <x v="331"/>
          </reference>
          <reference field="2" count="1" selected="0">
            <x v="9"/>
          </reference>
          <reference field="4" count="1" selected="0">
            <x v="3"/>
          </reference>
          <reference field="6" count="1" selected="0">
            <x v="252"/>
          </reference>
          <reference field="10" count="0"/>
        </references>
      </pivotArea>
    </format>
    <format dxfId="574">
      <pivotArea dataOnly="0" labelOnly="1" outline="0" fieldPosition="0">
        <references count="1">
          <reference field="4" count="1">
            <x v="0"/>
          </reference>
        </references>
      </pivotArea>
    </format>
    <format dxfId="573">
      <pivotArea dataOnly="0" labelOnly="1" outline="0" fieldPosition="0">
        <references count="2">
          <reference field="0" count="1">
            <x v="431"/>
          </reference>
          <reference field="4" count="1" selected="0">
            <x v="0"/>
          </reference>
        </references>
      </pivotArea>
    </format>
    <format dxfId="572">
      <pivotArea dataOnly="0" labelOnly="1" outline="0" fieldPosition="0">
        <references count="3">
          <reference field="0" count="1" selected="0">
            <x v="431"/>
          </reference>
          <reference field="2" count="1">
            <x v="0"/>
          </reference>
          <reference field="4" count="1" selected="0">
            <x v="0"/>
          </reference>
        </references>
      </pivotArea>
    </format>
    <format dxfId="571">
      <pivotArea dataOnly="0" labelOnly="1" outline="0" fieldPosition="0">
        <references count="4">
          <reference field="0" count="1" selected="0">
            <x v="431"/>
          </reference>
          <reference field="2" count="1" selected="0">
            <x v="0"/>
          </reference>
          <reference field="4" count="1" selected="0">
            <x v="0"/>
          </reference>
          <reference field="6" count="1">
            <x v="323"/>
          </reference>
        </references>
      </pivotArea>
    </format>
    <format dxfId="570">
      <pivotArea dataOnly="0" labelOnly="1" outline="0" fieldPosition="0">
        <references count="5">
          <reference field="0" count="1" selected="0">
            <x v="431"/>
          </reference>
          <reference field="2" count="1" selected="0">
            <x v="0"/>
          </reference>
          <reference field="4" count="1" selected="0">
            <x v="0"/>
          </reference>
          <reference field="6" count="1" selected="0">
            <x v="323"/>
          </reference>
          <reference field="10" count="1">
            <x v="1"/>
          </reference>
        </references>
      </pivotArea>
    </format>
    <format dxfId="569">
      <pivotArea dataOnly="0" labelOnly="1" outline="0" fieldPosition="0">
        <references count="1">
          <reference field="4" count="1">
            <x v="0"/>
          </reference>
        </references>
      </pivotArea>
    </format>
    <format dxfId="568">
      <pivotArea dataOnly="0" labelOnly="1" outline="0" fieldPosition="0">
        <references count="2">
          <reference field="0" count="2">
            <x v="178"/>
            <x v="450"/>
          </reference>
          <reference field="4" count="1" selected="0">
            <x v="3"/>
          </reference>
        </references>
      </pivotArea>
    </format>
    <format dxfId="567">
      <pivotArea dataOnly="0" labelOnly="1" outline="0" fieldPosition="0">
        <references count="3">
          <reference field="0" count="1" selected="0">
            <x v="178"/>
          </reference>
          <reference field="2" count="1">
            <x v="19"/>
          </reference>
          <reference field="4" count="1" selected="0">
            <x v="3"/>
          </reference>
        </references>
      </pivotArea>
    </format>
    <format dxfId="566">
      <pivotArea dataOnly="0" labelOnly="1" outline="0" fieldPosition="0">
        <references count="3">
          <reference field="0" count="1" selected="0">
            <x v="450"/>
          </reference>
          <reference field="2" count="2">
            <x v="0"/>
            <x v="5"/>
          </reference>
          <reference field="4" count="1" selected="0">
            <x v="3"/>
          </reference>
        </references>
      </pivotArea>
    </format>
    <format dxfId="565">
      <pivotArea dataOnly="0" labelOnly="1" outline="0" fieldPosition="0">
        <references count="4">
          <reference field="0" count="1" selected="0">
            <x v="178"/>
          </reference>
          <reference field="2" count="1" selected="0">
            <x v="19"/>
          </reference>
          <reference field="4" count="1" selected="0">
            <x v="3"/>
          </reference>
          <reference field="6" count="1">
            <x v="139"/>
          </reference>
        </references>
      </pivotArea>
    </format>
    <format dxfId="564">
      <pivotArea dataOnly="0" labelOnly="1" outline="0" fieldPosition="0">
        <references count="4">
          <reference field="0" count="1" selected="0">
            <x v="450"/>
          </reference>
          <reference field="2" count="1" selected="0">
            <x v="0"/>
          </reference>
          <reference field="4" count="1" selected="0">
            <x v="3"/>
          </reference>
          <reference field="6" count="1">
            <x v="331"/>
          </reference>
        </references>
      </pivotArea>
    </format>
    <format dxfId="563">
      <pivotArea dataOnly="0" labelOnly="1" outline="0" fieldPosition="0">
        <references count="5">
          <reference field="0" count="1" selected="0">
            <x v="178"/>
          </reference>
          <reference field="2" count="1" selected="0">
            <x v="19"/>
          </reference>
          <reference field="4" count="1" selected="0">
            <x v="3"/>
          </reference>
          <reference field="6" count="1" selected="0">
            <x v="139"/>
          </reference>
          <reference field="10" count="1">
            <x v="1"/>
          </reference>
        </references>
      </pivotArea>
    </format>
    <format dxfId="562">
      <pivotArea dataOnly="0" labelOnly="1" outline="0" fieldPosition="0">
        <references count="5">
          <reference field="0" count="1" selected="0">
            <x v="450"/>
          </reference>
          <reference field="2" count="1" selected="0">
            <x v="0"/>
          </reference>
          <reference field="4" count="1" selected="0">
            <x v="3"/>
          </reference>
          <reference field="6" count="1" selected="0">
            <x v="331"/>
          </reference>
          <reference field="10" count="1">
            <x v="3"/>
          </reference>
        </references>
      </pivotArea>
    </format>
    <format dxfId="561">
      <pivotArea dataOnly="0" labelOnly="1" outline="0" fieldPosition="0">
        <references count="5">
          <reference field="0" count="1" selected="0">
            <x v="450"/>
          </reference>
          <reference field="2" count="1" selected="0">
            <x v="5"/>
          </reference>
          <reference field="4" count="1" selected="0">
            <x v="3"/>
          </reference>
          <reference field="6" count="1" selected="0">
            <x v="331"/>
          </reference>
          <reference field="10" count="1">
            <x v="3"/>
          </reference>
        </references>
      </pivotArea>
    </format>
    <format dxfId="560">
      <pivotArea dataOnly="0" labelOnly="1" outline="0" fieldPosition="0">
        <references count="2">
          <reference field="0" count="1">
            <x v="178"/>
          </reference>
          <reference field="4" count="1" selected="0">
            <x v="3"/>
          </reference>
        </references>
      </pivotArea>
    </format>
    <format dxfId="559">
      <pivotArea dataOnly="0" labelOnly="1" outline="0" fieldPosition="0">
        <references count="3">
          <reference field="0" count="1" selected="0">
            <x v="178"/>
          </reference>
          <reference field="2" count="1">
            <x v="19"/>
          </reference>
          <reference field="4" count="1" selected="0">
            <x v="3"/>
          </reference>
        </references>
      </pivotArea>
    </format>
    <format dxfId="558">
      <pivotArea dataOnly="0" labelOnly="1" outline="0" fieldPosition="0">
        <references count="4">
          <reference field="0" count="1" selected="0">
            <x v="178"/>
          </reference>
          <reference field="2" count="1" selected="0">
            <x v="19"/>
          </reference>
          <reference field="4" count="1" selected="0">
            <x v="3"/>
          </reference>
          <reference field="6" count="1">
            <x v="139"/>
          </reference>
        </references>
      </pivotArea>
    </format>
    <format dxfId="557">
      <pivotArea dataOnly="0" labelOnly="1" outline="0" fieldPosition="0">
        <references count="5">
          <reference field="0" count="1" selected="0">
            <x v="178"/>
          </reference>
          <reference field="2" count="1" selected="0">
            <x v="19"/>
          </reference>
          <reference field="4" count="1" selected="0">
            <x v="3"/>
          </reference>
          <reference field="6" count="1" selected="0">
            <x v="139"/>
          </reference>
          <reference field="10" count="1">
            <x v="1"/>
          </reference>
        </references>
      </pivotArea>
    </format>
    <format dxfId="556">
      <pivotArea dataOnly="0" labelOnly="1" outline="0" offset="IV256" fieldPosition="0">
        <references count="4">
          <reference field="0" count="1" selected="0">
            <x v="450"/>
          </reference>
          <reference field="2" count="1" selected="0">
            <x v="0"/>
          </reference>
          <reference field="4" count="1" selected="0">
            <x v="3"/>
          </reference>
          <reference field="6" count="1">
            <x v="33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9DA8CCF-3302-4DEE-B487-025962394F8A}" name="PivotTable8" cacheId="3" applyNumberFormats="0" applyBorderFormats="0" applyFontFormats="0" applyPatternFormats="0" applyAlignmentFormats="0" applyWidthHeightFormats="1" dataCaption="Values" updatedVersion="8" minRefreshableVersion="3" showDrill="0" rowGrandTotals="0" colGrandTotals="0" itemPrintTitles="1" createdVersion="8" indent="0" compact="0" compactData="0" multipleFieldFilters="0">
  <location ref="H3:M4" firstHeaderRow="1" firstDataRow="1" firstDataCol="5"/>
  <pivotFields count="14">
    <pivotField axis="axisRow" compact="0" outline="0" showAll="0" defaultSubtotal="0">
      <items count="18">
        <item m="1" x="9"/>
        <item m="1" x="12"/>
        <item m="1" x="17"/>
        <item m="1" x="16"/>
        <item m="1" x="15"/>
        <item m="1" x="14"/>
        <item m="1" x="13"/>
        <item m="1" x="11"/>
        <item m="1" x="10"/>
        <item x="0"/>
        <item m="1" x="8"/>
        <item m="1" x="3"/>
        <item m="1" x="7"/>
        <item m="1" x="5"/>
        <item m="1" x="6"/>
        <item m="1" x="4"/>
        <item m="1" x="2"/>
        <item m="1" x="1"/>
      </items>
    </pivotField>
    <pivotField compact="0" numFmtId="14" outline="0" showAll="0" defaultSubtotal="0"/>
    <pivotField compact="0" outline="0" showAll="0" defaultSubtotal="0"/>
    <pivotField axis="axisRow" compact="0" outline="0" showAll="0" defaultSubtotal="0">
      <items count="11">
        <item m="1" x="9"/>
        <item m="1" x="5"/>
        <item m="1" x="10"/>
        <item m="1" x="3"/>
        <item m="1" x="8"/>
        <item m="1" x="7"/>
        <item x="0"/>
        <item m="1" x="6"/>
        <item m="1" x="4"/>
        <item m="1" x="2"/>
        <item m="1" x="1"/>
      </items>
    </pivotField>
    <pivotField axis="axisRow" compact="0" outline="0" showAll="0" defaultSubtotal="0">
      <items count="4">
        <item m="1" x="2"/>
        <item m="1" x="3"/>
        <item x="0"/>
        <item m="1"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axis="axisRow" compact="0" numFmtId="14" outline="0" showAll="0" defaultSubtotal="0">
      <items count="1">
        <item x="0"/>
      </items>
    </pivotField>
    <pivotField axis="axisRow" compact="0" outline="0" showAll="0" defaultSubtotal="0">
      <items count="7">
        <item m="1" x="1"/>
        <item m="1" x="2"/>
        <item m="1" x="3"/>
        <item m="1" x="6"/>
        <item m="1" x="4"/>
        <item x="0"/>
        <item m="1" x="5"/>
      </items>
    </pivotField>
    <pivotField compact="0" outline="0" showAll="0" defaultSubtotal="0"/>
  </pivotFields>
  <rowFields count="5">
    <field x="12"/>
    <field x="0"/>
    <field x="3"/>
    <field x="11"/>
    <field x="4"/>
  </rowFields>
  <rowItems count="1">
    <i>
      <x v="5"/>
      <x v="9"/>
      <x v="6"/>
      <x/>
      <x v="2"/>
    </i>
  </rowItems>
  <colItems count="1">
    <i/>
  </colItems>
  <dataFields count="1">
    <dataField name="Overdrawn Amount" fld="10" baseField="11" baseItem="0" numFmtId="40"/>
  </dataFields>
  <formats count="21">
    <format dxfId="793">
      <pivotArea field="12" type="button" dataOnly="0" labelOnly="1" outline="0" axis="axisRow" fieldPosition="0"/>
    </format>
    <format dxfId="792">
      <pivotArea field="0" type="button" dataOnly="0" labelOnly="1" outline="0" axis="axisRow" fieldPosition="1"/>
    </format>
    <format dxfId="791">
      <pivotArea dataOnly="0" labelOnly="1" outline="0" axis="axisValues" fieldPosition="0"/>
    </format>
    <format dxfId="790">
      <pivotArea field="11" type="button" dataOnly="0" labelOnly="1" outline="0" axis="axisRow" fieldPosition="3"/>
    </format>
    <format dxfId="789">
      <pivotArea type="all" dataOnly="0" outline="0" fieldPosition="0"/>
    </format>
    <format dxfId="788">
      <pivotArea outline="0" collapsedLevelsAreSubtotals="1" fieldPosition="0"/>
    </format>
    <format dxfId="787">
      <pivotArea field="12" type="button" dataOnly="0" labelOnly="1" outline="0" axis="axisRow" fieldPosition="0"/>
    </format>
    <format dxfId="786">
      <pivotArea field="0" type="button" dataOnly="0" labelOnly="1" outline="0" axis="axisRow" fieldPosition="1"/>
    </format>
    <format dxfId="785">
      <pivotArea field="11" type="button" dataOnly="0" labelOnly="1" outline="0" axis="axisRow" fieldPosition="3"/>
    </format>
    <format dxfId="784">
      <pivotArea dataOnly="0" labelOnly="1" outline="0" fieldPosition="0">
        <references count="1">
          <reference field="12" count="0"/>
        </references>
      </pivotArea>
    </format>
    <format dxfId="783">
      <pivotArea dataOnly="0" labelOnly="1" outline="0" fieldPosition="0">
        <references count="2">
          <reference field="0" count="0"/>
          <reference field="12" count="0" selected="0"/>
        </references>
      </pivotArea>
    </format>
    <format dxfId="782">
      <pivotArea dataOnly="0" labelOnly="1" outline="0" fieldPosition="0">
        <references count="3">
          <reference field="0" count="0" selected="0"/>
          <reference field="11" count="0"/>
          <reference field="12" count="0" selected="0"/>
        </references>
      </pivotArea>
    </format>
    <format dxfId="781">
      <pivotArea dataOnly="0" labelOnly="1" outline="0" axis="axisValues" fieldPosition="0"/>
    </format>
    <format dxfId="780">
      <pivotArea field="3" type="button" dataOnly="0" labelOnly="1" outline="0" axis="axisRow" fieldPosition="2"/>
    </format>
    <format dxfId="779">
      <pivotArea field="12" type="button" dataOnly="0" labelOnly="1" outline="0" axis="axisRow" fieldPosition="0"/>
    </format>
    <format dxfId="778">
      <pivotArea field="0" type="button" dataOnly="0" labelOnly="1" outline="0" axis="axisRow" fieldPosition="1"/>
    </format>
    <format dxfId="777">
      <pivotArea field="3" type="button" dataOnly="0" labelOnly="1" outline="0" axis="axisRow" fieldPosition="2"/>
    </format>
    <format dxfId="776">
      <pivotArea field="11" type="button" dataOnly="0" labelOnly="1" outline="0" axis="axisRow" fieldPosition="3"/>
    </format>
    <format dxfId="775">
      <pivotArea dataOnly="0" labelOnly="1" outline="0" axis="axisValues" fieldPosition="0"/>
    </format>
    <format dxfId="774">
      <pivotArea outline="0" fieldPosition="0">
        <references count="1">
          <reference field="4294967294" count="1">
            <x v="0"/>
          </reference>
        </references>
      </pivotArea>
    </format>
    <format dxfId="773">
      <pivotArea field="4" type="button" dataOnly="0" labelOnly="1" outline="0" axis="axisRow" fieldPosition="4"/>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B6193C3-6AB1-4130-B695-7F4A2B2441F8}" name="PivotTable11" cacheId="9" applyNumberFormats="0" applyBorderFormats="0" applyFontFormats="0" applyPatternFormats="0" applyAlignmentFormats="0" applyWidthHeightFormats="1" dataCaption="Values" updatedVersion="8" minRefreshableVersion="3" itemPrintTitles="1" createdVersion="8" indent="0" outline="1" outlineData="1" multipleFieldFilters="0" fieldListSortAscending="1">
  <location ref="O17:P17" firstHeaderRow="0" firstDataRow="1" firstDataCol="1"/>
  <pivotFields count="28">
    <pivotField dataField="1" showAll="0"/>
    <pivotField showAll="0"/>
    <pivotField showAll="0"/>
    <pivotField showAll="0"/>
    <pivotField showAll="0"/>
    <pivotField axis="axisRow" showAll="0">
      <items count="4">
        <item m="1" x="0"/>
        <item m="1" x="2"/>
        <item m="1" x="1"/>
        <item t="default"/>
      </items>
    </pivotField>
    <pivotField showAll="0"/>
    <pivotField showAll="0"/>
    <pivotField showAll="0"/>
    <pivotField axis="axisRow" showAll="0">
      <items count="2">
        <item m="1" x="0"/>
        <item t="default"/>
      </items>
    </pivotField>
    <pivotField axis="axisRow" showAll="0">
      <items count="4">
        <item m="1" x="0"/>
        <item m="1" x="1"/>
        <item m="1" x="2"/>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s>
  <rowFields count="3">
    <field x="9"/>
    <field x="10"/>
    <field x="5"/>
  </rowFields>
  <colFields count="1">
    <field x="-2"/>
  </colFields>
  <dataFields count="2">
    <dataField name="Count" fld="0" subtotal="count" baseField="0" baseItem="0"/>
    <dataField name="Invoice Amt (SAR)" fld="18" baseField="5" baseItem="0" numFmtId="4"/>
  </dataFields>
  <formats count="78">
    <format dxfId="871">
      <pivotArea collapsedLevelsAreSubtotals="1" fieldPosition="0">
        <references count="1">
          <reference field="5" count="1">
            <x v="0"/>
          </reference>
        </references>
      </pivotArea>
    </format>
    <format dxfId="870">
      <pivotArea collapsedLevelsAreSubtotals="1" fieldPosition="0">
        <references count="2">
          <reference field="5" count="1" selected="0">
            <x v="0"/>
          </reference>
          <reference field="10" count="2">
            <x v="0"/>
            <x v="1"/>
          </reference>
        </references>
      </pivotArea>
    </format>
    <format dxfId="869">
      <pivotArea collapsedLevelsAreSubtotals="1" fieldPosition="0">
        <references count="1">
          <reference field="5" count="1">
            <x v="1"/>
          </reference>
        </references>
      </pivotArea>
    </format>
    <format dxfId="868">
      <pivotArea collapsedLevelsAreSubtotals="1" fieldPosition="0">
        <references count="2">
          <reference field="5" count="1" selected="0">
            <x v="1"/>
          </reference>
          <reference field="10" count="1">
            <x v="2"/>
          </reference>
        </references>
      </pivotArea>
    </format>
    <format dxfId="867">
      <pivotArea collapsedLevelsAreSubtotals="1" fieldPosition="0">
        <references count="1">
          <reference field="5" count="1">
            <x v="2"/>
          </reference>
        </references>
      </pivotArea>
    </format>
    <format dxfId="866">
      <pivotArea collapsedLevelsAreSubtotals="1" fieldPosition="0">
        <references count="2">
          <reference field="5" count="1" selected="0">
            <x v="2"/>
          </reference>
          <reference field="10" count="1">
            <x v="1"/>
          </reference>
        </references>
      </pivotArea>
    </format>
    <format dxfId="865">
      <pivotArea dataOnly="0" labelOnly="1" fieldPosition="0">
        <references count="1">
          <reference field="5" count="0"/>
        </references>
      </pivotArea>
    </format>
    <format dxfId="864">
      <pivotArea dataOnly="0" labelOnly="1" fieldPosition="0">
        <references count="2">
          <reference field="5" count="1" selected="0">
            <x v="0"/>
          </reference>
          <reference field="10" count="2">
            <x v="0"/>
            <x v="1"/>
          </reference>
        </references>
      </pivotArea>
    </format>
    <format dxfId="863">
      <pivotArea dataOnly="0" labelOnly="1" fieldPosition="0">
        <references count="2">
          <reference field="5" count="1" selected="0">
            <x v="1"/>
          </reference>
          <reference field="10" count="1">
            <x v="2"/>
          </reference>
        </references>
      </pivotArea>
    </format>
    <format dxfId="862">
      <pivotArea dataOnly="0" labelOnly="1" fieldPosition="0">
        <references count="2">
          <reference field="5" count="1" selected="0">
            <x v="2"/>
          </reference>
          <reference field="10" count="1">
            <x v="1"/>
          </reference>
        </references>
      </pivotArea>
    </format>
    <format dxfId="861">
      <pivotArea collapsedLevelsAreSubtotals="1" fieldPosition="0">
        <references count="1">
          <reference field="5" count="1">
            <x v="0"/>
          </reference>
        </references>
      </pivotArea>
    </format>
    <format dxfId="860">
      <pivotArea collapsedLevelsAreSubtotals="1" fieldPosition="0">
        <references count="2">
          <reference field="5" count="1" selected="0">
            <x v="0"/>
          </reference>
          <reference field="10" count="2">
            <x v="0"/>
            <x v="1"/>
          </reference>
        </references>
      </pivotArea>
    </format>
    <format dxfId="859">
      <pivotArea collapsedLevelsAreSubtotals="1" fieldPosition="0">
        <references count="1">
          <reference field="5" count="1">
            <x v="1"/>
          </reference>
        </references>
      </pivotArea>
    </format>
    <format dxfId="858">
      <pivotArea collapsedLevelsAreSubtotals="1" fieldPosition="0">
        <references count="1">
          <reference field="5" count="1">
            <x v="2"/>
          </reference>
        </references>
      </pivotArea>
    </format>
    <format dxfId="857">
      <pivotArea field="5" type="button" dataOnly="0" labelOnly="1" outline="0" axis="axisRow" fieldPosition="2"/>
    </format>
    <format dxfId="856">
      <pivotArea dataOnly="0" labelOnly="1" outline="0" axis="axisValues" fieldPosition="0"/>
    </format>
    <format dxfId="855">
      <pivotArea field="5" type="button" dataOnly="0" labelOnly="1" outline="0" axis="axisRow" fieldPosition="2"/>
    </format>
    <format dxfId="854">
      <pivotArea dataOnly="0" labelOnly="1" outline="0" axis="axisValues" fieldPosition="0"/>
    </format>
    <format dxfId="853">
      <pivotArea dataOnly="0" grandRow="1" fieldPosition="0"/>
    </format>
    <format dxfId="852">
      <pivotArea dataOnly="0" grandRow="1" fieldPosition="0"/>
    </format>
    <format dxfId="851">
      <pivotArea grandRow="1" outline="0" collapsedLevelsAreSubtotals="1" fieldPosition="0"/>
    </format>
    <format dxfId="850">
      <pivotArea collapsedLevelsAreSubtotals="1" fieldPosition="0">
        <references count="1">
          <reference field="10" count="1">
            <x v="0"/>
          </reference>
        </references>
      </pivotArea>
    </format>
    <format dxfId="849">
      <pivotArea collapsedLevelsAreSubtotals="1" fieldPosition="0">
        <references count="2">
          <reference field="5" count="1">
            <x v="0"/>
          </reference>
          <reference field="10" count="1" selected="0">
            <x v="0"/>
          </reference>
        </references>
      </pivotArea>
    </format>
    <format dxfId="848">
      <pivotArea collapsedLevelsAreSubtotals="1" fieldPosition="0">
        <references count="1">
          <reference field="10" count="1">
            <x v="1"/>
          </reference>
        </references>
      </pivotArea>
    </format>
    <format dxfId="847">
      <pivotArea collapsedLevelsAreSubtotals="1" fieldPosition="0">
        <references count="2">
          <reference field="5" count="2">
            <x v="0"/>
            <x v="2"/>
          </reference>
          <reference field="10" count="1" selected="0">
            <x v="1"/>
          </reference>
        </references>
      </pivotArea>
    </format>
    <format dxfId="846">
      <pivotArea collapsedLevelsAreSubtotals="1" fieldPosition="0">
        <references count="1">
          <reference field="10" count="1">
            <x v="2"/>
          </reference>
        </references>
      </pivotArea>
    </format>
    <format dxfId="845">
      <pivotArea collapsedLevelsAreSubtotals="1" fieldPosition="0">
        <references count="2">
          <reference field="5" count="1">
            <x v="1"/>
          </reference>
          <reference field="10" count="1" selected="0">
            <x v="2"/>
          </reference>
        </references>
      </pivotArea>
    </format>
    <format dxfId="844">
      <pivotArea dataOnly="0" labelOnly="1" fieldPosition="0">
        <references count="1">
          <reference field="10" count="0"/>
        </references>
      </pivotArea>
    </format>
    <format dxfId="843">
      <pivotArea dataOnly="0" labelOnly="1" fieldPosition="0">
        <references count="2">
          <reference field="5" count="1">
            <x v="0"/>
          </reference>
          <reference field="10" count="1" selected="0">
            <x v="0"/>
          </reference>
        </references>
      </pivotArea>
    </format>
    <format dxfId="842">
      <pivotArea dataOnly="0" labelOnly="1" fieldPosition="0">
        <references count="2">
          <reference field="5" count="2">
            <x v="0"/>
            <x v="2"/>
          </reference>
          <reference field="10" count="1" selected="0">
            <x v="1"/>
          </reference>
        </references>
      </pivotArea>
    </format>
    <format dxfId="841">
      <pivotArea dataOnly="0" labelOnly="1" fieldPosition="0">
        <references count="2">
          <reference field="5" count="1">
            <x v="1"/>
          </reference>
          <reference field="10" count="1" selected="0">
            <x v="2"/>
          </reference>
        </references>
      </pivotArea>
    </format>
    <format dxfId="840">
      <pivotArea collapsedLevelsAreSubtotals="1" fieldPosition="0">
        <references count="1">
          <reference field="10" count="1">
            <x v="0"/>
          </reference>
        </references>
      </pivotArea>
    </format>
    <format dxfId="839">
      <pivotArea collapsedLevelsAreSubtotals="1" fieldPosition="0">
        <references count="2">
          <reference field="5" count="1">
            <x v="0"/>
          </reference>
          <reference field="10" count="1" selected="0">
            <x v="0"/>
          </reference>
        </references>
      </pivotArea>
    </format>
    <format dxfId="838">
      <pivotArea collapsedLevelsAreSubtotals="1" fieldPosition="0">
        <references count="1">
          <reference field="10" count="1">
            <x v="1"/>
          </reference>
        </references>
      </pivotArea>
    </format>
    <format dxfId="837">
      <pivotArea collapsedLevelsAreSubtotals="1" fieldPosition="0">
        <references count="2">
          <reference field="5" count="2">
            <x v="0"/>
            <x v="2"/>
          </reference>
          <reference field="10" count="1" selected="0">
            <x v="1"/>
          </reference>
        </references>
      </pivotArea>
    </format>
    <format dxfId="836">
      <pivotArea collapsedLevelsAreSubtotals="1" fieldPosition="0">
        <references count="1">
          <reference field="10" count="1">
            <x v="2"/>
          </reference>
        </references>
      </pivotArea>
    </format>
    <format dxfId="835">
      <pivotArea collapsedLevelsAreSubtotals="1" fieldPosition="0">
        <references count="2">
          <reference field="5" count="1">
            <x v="1"/>
          </reference>
          <reference field="10" count="1" selected="0">
            <x v="2"/>
          </reference>
        </references>
      </pivotArea>
    </format>
    <format dxfId="834">
      <pivotArea dataOnly="0" labelOnly="1" fieldPosition="0">
        <references count="1">
          <reference field="10" count="0"/>
        </references>
      </pivotArea>
    </format>
    <format dxfId="833">
      <pivotArea dataOnly="0" labelOnly="1" fieldPosition="0">
        <references count="2">
          <reference field="5" count="1">
            <x v="0"/>
          </reference>
          <reference field="10" count="1" selected="0">
            <x v="0"/>
          </reference>
        </references>
      </pivotArea>
    </format>
    <format dxfId="832">
      <pivotArea dataOnly="0" labelOnly="1" fieldPosition="0">
        <references count="2">
          <reference field="5" count="2">
            <x v="0"/>
            <x v="2"/>
          </reference>
          <reference field="10" count="1" selected="0">
            <x v="1"/>
          </reference>
        </references>
      </pivotArea>
    </format>
    <format dxfId="831">
      <pivotArea dataOnly="0" labelOnly="1" fieldPosition="0">
        <references count="2">
          <reference field="5" count="1">
            <x v="1"/>
          </reference>
          <reference field="10" count="1" selected="0">
            <x v="2"/>
          </reference>
        </references>
      </pivotArea>
    </format>
    <format dxfId="830">
      <pivotArea dataOnly="0" labelOnly="1" fieldPosition="0">
        <references count="1">
          <reference field="10" count="0"/>
        </references>
      </pivotArea>
    </format>
    <format dxfId="829">
      <pivotArea dataOnly="0" labelOnly="1" fieldPosition="0">
        <references count="2">
          <reference field="5" count="1">
            <x v="0"/>
          </reference>
          <reference field="10" count="1" selected="0">
            <x v="0"/>
          </reference>
        </references>
      </pivotArea>
    </format>
    <format dxfId="828">
      <pivotArea dataOnly="0" labelOnly="1" fieldPosition="0">
        <references count="2">
          <reference field="5" count="2">
            <x v="0"/>
            <x v="2"/>
          </reference>
          <reference field="10" count="1" selected="0">
            <x v="1"/>
          </reference>
        </references>
      </pivotArea>
    </format>
    <format dxfId="827">
      <pivotArea dataOnly="0" labelOnly="1" fieldPosition="0">
        <references count="2">
          <reference field="5" count="1">
            <x v="1"/>
          </reference>
          <reference field="10" count="1" selected="0">
            <x v="2"/>
          </reference>
        </references>
      </pivotArea>
    </format>
    <format dxfId="826">
      <pivotArea dataOnly="0" labelOnly="1" outline="0" fieldPosition="0">
        <references count="1">
          <reference field="4294967294" count="1">
            <x v="0"/>
          </reference>
        </references>
      </pivotArea>
    </format>
    <format dxfId="825">
      <pivotArea dataOnly="0" labelOnly="1" outline="0" fieldPosition="0">
        <references count="1">
          <reference field="4294967294" count="1">
            <x v="0"/>
          </reference>
        </references>
      </pivotArea>
    </format>
    <format dxfId="824">
      <pivotArea dataOnly="0" labelOnly="1" outline="0" fieldPosition="0">
        <references count="1">
          <reference field="4294967294" count="1">
            <x v="1"/>
          </reference>
        </references>
      </pivotArea>
    </format>
    <format dxfId="823">
      <pivotArea dataOnly="0" labelOnly="1" outline="0" fieldPosition="0">
        <references count="1">
          <reference field="4294967294" count="1">
            <x v="1"/>
          </reference>
        </references>
      </pivotArea>
    </format>
    <format dxfId="822">
      <pivotArea dataOnly="0" labelOnly="1" outline="0" fieldPosition="0">
        <references count="1">
          <reference field="4294967294" count="1">
            <x v="1"/>
          </reference>
        </references>
      </pivotArea>
    </format>
    <format dxfId="821">
      <pivotArea outline="0" fieldPosition="0">
        <references count="1">
          <reference field="4294967294" count="1">
            <x v="1"/>
          </reference>
        </references>
      </pivotArea>
    </format>
    <format dxfId="820">
      <pivotArea field="10" type="button" dataOnly="0" labelOnly="1" outline="0" axis="axisRow" fieldPosition="1"/>
    </format>
    <format dxfId="819">
      <pivotArea dataOnly="0" labelOnly="1" outline="0" fieldPosition="0">
        <references count="1">
          <reference field="4294967294" count="2">
            <x v="0"/>
            <x v="1"/>
          </reference>
        </references>
      </pivotArea>
    </format>
    <format dxfId="818">
      <pivotArea dataOnly="0" labelOnly="1" outline="0" fieldPosition="0">
        <references count="1">
          <reference field="4294967294" count="1">
            <x v="0"/>
          </reference>
        </references>
      </pivotArea>
    </format>
    <format dxfId="817">
      <pivotArea collapsedLevelsAreSubtotals="1" fieldPosition="0">
        <references count="2">
          <reference field="4294967294" count="1" selected="0">
            <x v="1"/>
          </reference>
          <reference field="10" count="1">
            <x v="0"/>
          </reference>
        </references>
      </pivotArea>
    </format>
    <format dxfId="816">
      <pivotArea collapsedLevelsAreSubtotals="1" fieldPosition="0">
        <references count="3">
          <reference field="4294967294" count="1" selected="0">
            <x v="1"/>
          </reference>
          <reference field="5" count="1">
            <x v="0"/>
          </reference>
          <reference field="10" count="1" selected="0">
            <x v="0"/>
          </reference>
        </references>
      </pivotArea>
    </format>
    <format dxfId="815">
      <pivotArea collapsedLevelsAreSubtotals="1" fieldPosition="0">
        <references count="2">
          <reference field="4294967294" count="1" selected="0">
            <x v="1"/>
          </reference>
          <reference field="10" count="1">
            <x v="1"/>
          </reference>
        </references>
      </pivotArea>
    </format>
    <format dxfId="814">
      <pivotArea collapsedLevelsAreSubtotals="1" fieldPosition="0">
        <references count="3">
          <reference field="4294967294" count="1" selected="0">
            <x v="1"/>
          </reference>
          <reference field="5" count="2">
            <x v="0"/>
            <x v="2"/>
          </reference>
          <reference field="10" count="1" selected="0">
            <x v="1"/>
          </reference>
        </references>
      </pivotArea>
    </format>
    <format dxfId="813">
      <pivotArea collapsedLevelsAreSubtotals="1" fieldPosition="0">
        <references count="2">
          <reference field="4294967294" count="1" selected="0">
            <x v="1"/>
          </reference>
          <reference field="10" count="1">
            <x v="2"/>
          </reference>
        </references>
      </pivotArea>
    </format>
    <format dxfId="812">
      <pivotArea collapsedLevelsAreSubtotals="1" fieldPosition="0">
        <references count="3">
          <reference field="4294967294" count="1" selected="0">
            <x v="1"/>
          </reference>
          <reference field="5" count="1">
            <x v="1"/>
          </reference>
          <reference field="10" count="1" selected="0">
            <x v="2"/>
          </reference>
        </references>
      </pivotArea>
    </format>
    <format dxfId="811">
      <pivotArea collapsedLevelsAreSubtotals="1" fieldPosition="0">
        <references count="2">
          <reference field="4294967294" count="1" selected="0">
            <x v="1"/>
          </reference>
          <reference field="10" count="1">
            <x v="0"/>
          </reference>
        </references>
      </pivotArea>
    </format>
    <format dxfId="810">
      <pivotArea collapsedLevelsAreSubtotals="1" fieldPosition="0">
        <references count="2">
          <reference field="4294967294" count="1" selected="0">
            <x v="1"/>
          </reference>
          <reference field="10" count="1">
            <x v="1"/>
          </reference>
        </references>
      </pivotArea>
    </format>
    <format dxfId="809">
      <pivotArea collapsedLevelsAreSubtotals="1" fieldPosition="0">
        <references count="2">
          <reference field="4294967294" count="1" selected="0">
            <x v="1"/>
          </reference>
          <reference field="10" count="1">
            <x v="2"/>
          </reference>
        </references>
      </pivotArea>
    </format>
    <format dxfId="808">
      <pivotArea collapsedLevelsAreSubtotals="1" fieldPosition="0">
        <references count="2">
          <reference field="4294967294" count="1" selected="0">
            <x v="0"/>
          </reference>
          <reference field="10" count="1">
            <x v="0"/>
          </reference>
        </references>
      </pivotArea>
    </format>
    <format dxfId="807">
      <pivotArea collapsedLevelsAreSubtotals="1" fieldPosition="0">
        <references count="2">
          <reference field="4294967294" count="1" selected="0">
            <x v="0"/>
          </reference>
          <reference field="10" count="1">
            <x v="1"/>
          </reference>
        </references>
      </pivotArea>
    </format>
    <format dxfId="806">
      <pivotArea collapsedLevelsAreSubtotals="1" fieldPosition="0">
        <references count="2">
          <reference field="4294967294" count="1" selected="0">
            <x v="0"/>
          </reference>
          <reference field="10" count="1">
            <x v="2"/>
          </reference>
        </references>
      </pivotArea>
    </format>
    <format dxfId="805">
      <pivotArea field="10" grandRow="1" outline="0" collapsedLevelsAreSubtotals="1" axis="axisRow" fieldPosition="1">
        <references count="1">
          <reference field="4294967294" count="1" selected="0">
            <x v="1"/>
          </reference>
        </references>
      </pivotArea>
    </format>
    <format dxfId="804">
      <pivotArea collapsedLevelsAreSubtotals="1" fieldPosition="0">
        <references count="1">
          <reference field="9" count="0"/>
        </references>
      </pivotArea>
    </format>
    <format dxfId="803">
      <pivotArea dataOnly="0" labelOnly="1" fieldPosition="0">
        <references count="1">
          <reference field="9" count="0"/>
        </references>
      </pivotArea>
    </format>
    <format dxfId="802">
      <pivotArea collapsedLevelsAreSubtotals="1" fieldPosition="0">
        <references count="1">
          <reference field="9" count="0"/>
        </references>
      </pivotArea>
    </format>
    <format dxfId="801">
      <pivotArea dataOnly="0" labelOnly="1" fieldPosition="0">
        <references count="1">
          <reference field="9" count="0"/>
        </references>
      </pivotArea>
    </format>
    <format dxfId="800">
      <pivotArea collapsedLevelsAreSubtotals="1" fieldPosition="0">
        <references count="1">
          <reference field="9" count="0"/>
        </references>
      </pivotArea>
    </format>
    <format dxfId="799">
      <pivotArea dataOnly="0" labelOnly="1" fieldPosition="0">
        <references count="1">
          <reference field="9" count="0"/>
        </references>
      </pivotArea>
    </format>
    <format dxfId="798">
      <pivotArea collapsedLevelsAreSubtotals="1" fieldPosition="0">
        <references count="2">
          <reference field="4294967294" count="1" selected="0">
            <x v="0"/>
          </reference>
          <reference field="9" count="0"/>
        </references>
      </pivotArea>
    </format>
    <format dxfId="797">
      <pivotArea field="9" type="button" dataOnly="0" labelOnly="1" outline="0" axis="axisRow" fieldPosition="0"/>
    </format>
    <format dxfId="796">
      <pivotArea dataOnly="0" labelOnly="1" outline="0" fieldPosition="0">
        <references count="1">
          <reference field="4294967294" count="2">
            <x v="0"/>
            <x v="1"/>
          </reference>
        </references>
      </pivotArea>
    </format>
    <format dxfId="795">
      <pivotArea grandRow="1" outline="0" collapsedLevelsAreSubtotals="1" fieldPosition="0"/>
    </format>
    <format dxfId="794">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EEBA035C-2F97-44F9-994F-17AE0D3BA4B6}" name="PivotTable10"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Project " fieldListSortAscending="1">
  <location ref="O5:Q11" firstHeaderRow="0" firstDataRow="1" firstDataCol="1" rowPageCount="1" colPageCount="1"/>
  <pivotFields count="11">
    <pivotField showAll="0"/>
    <pivotField axis="axisPage" showAll="0">
      <items count="6">
        <item x="3"/>
        <item x="0"/>
        <item x="4"/>
        <item x="1"/>
        <item x="2"/>
        <item t="default"/>
      </items>
    </pivotField>
    <pivotField showAll="0"/>
    <pivotField showAll="0" countASubtotal="1"/>
    <pivotField showAll="0"/>
    <pivotField axis="axisRow" showAll="0">
      <items count="14">
        <item x="4"/>
        <item m="1" x="11"/>
        <item m="1" x="10"/>
        <item x="5"/>
        <item x="1"/>
        <item x="6"/>
        <item x="8"/>
        <item x="0"/>
        <item m="1" x="12"/>
        <item x="7"/>
        <item m="1" x="9"/>
        <item x="3"/>
        <item x="2"/>
        <item t="default"/>
      </items>
    </pivotField>
    <pivotField showAll="0"/>
    <pivotField showAll="0"/>
    <pivotField dataField="1" showAll="0"/>
    <pivotField showAll="0"/>
    <pivotField showAll="0"/>
  </pivotFields>
  <rowFields count="1">
    <field x="5"/>
  </rowFields>
  <rowItems count="6">
    <i>
      <x v="3"/>
    </i>
    <i>
      <x v="4"/>
    </i>
    <i>
      <x v="5"/>
    </i>
    <i>
      <x v="9"/>
    </i>
    <i>
      <x v="11"/>
    </i>
    <i t="grand">
      <x/>
    </i>
  </rowItems>
  <colFields count="1">
    <field x="-2"/>
  </colFields>
  <colItems count="2">
    <i>
      <x/>
    </i>
    <i i="1">
      <x v="1"/>
    </i>
  </colItems>
  <pageFields count="1">
    <pageField fld="1" item="2" hier="-1"/>
  </pageFields>
  <dataFields count="2">
    <dataField name=" Amount (SAR)" fld="8" baseField="5" baseItem="0" numFmtId="4"/>
    <dataField name="Count of LC" fld="8" subtotal="count" baseField="5" baseItem="0"/>
  </dataFields>
  <formats count="41">
    <format dxfId="912">
      <pivotArea field="1" type="button" dataOnly="0" labelOnly="1" outline="0" axis="axisPage" fieldPosition="0"/>
    </format>
    <format dxfId="911">
      <pivotArea field="1" type="button" dataOnly="0" labelOnly="1" outline="0" axis="axisPage" fieldPosition="0"/>
    </format>
    <format dxfId="910">
      <pivotArea field="5" type="button" dataOnly="0" labelOnly="1" outline="0" axis="axisRow" fieldPosition="0"/>
    </format>
    <format dxfId="909">
      <pivotArea dataOnly="0" labelOnly="1" outline="0" fieldPosition="0">
        <references count="1">
          <reference field="4294967294" count="2">
            <x v="0"/>
            <x v="1"/>
          </reference>
        </references>
      </pivotArea>
    </format>
    <format dxfId="908">
      <pivotArea field="5" type="button" dataOnly="0" labelOnly="1" outline="0" axis="axisRow" fieldPosition="0"/>
    </format>
    <format dxfId="907">
      <pivotArea dataOnly="0" labelOnly="1" outline="0" fieldPosition="0">
        <references count="1">
          <reference field="4294967294" count="2">
            <x v="0"/>
            <x v="1"/>
          </reference>
        </references>
      </pivotArea>
    </format>
    <format dxfId="906">
      <pivotArea grandRow="1" outline="0" collapsedLevelsAreSubtotals="1" fieldPosition="0"/>
    </format>
    <format dxfId="905">
      <pivotArea dataOnly="0" labelOnly="1" grandRow="1" outline="0" fieldPosition="0"/>
    </format>
    <format dxfId="904">
      <pivotArea grandRow="1" outline="0" collapsedLevelsAreSubtotals="1" fieldPosition="0"/>
    </format>
    <format dxfId="903">
      <pivotArea dataOnly="0" labelOnly="1" grandRow="1" outline="0" fieldPosition="0"/>
    </format>
    <format dxfId="902">
      <pivotArea collapsedLevelsAreSubtotals="1" fieldPosition="0">
        <references count="1">
          <reference field="5" count="3">
            <x v="0"/>
            <x v="4"/>
            <x v="5"/>
          </reference>
        </references>
      </pivotArea>
    </format>
    <format dxfId="901">
      <pivotArea dataOnly="0" labelOnly="1" fieldPosition="0">
        <references count="1">
          <reference field="5" count="3">
            <x v="0"/>
            <x v="4"/>
            <x v="5"/>
          </reference>
        </references>
      </pivotArea>
    </format>
    <format dxfId="900">
      <pivotArea collapsedLevelsAreSubtotals="1" fieldPosition="0">
        <references count="1">
          <reference field="5" count="3">
            <x v="0"/>
            <x v="4"/>
            <x v="5"/>
          </reference>
        </references>
      </pivotArea>
    </format>
    <format dxfId="899">
      <pivotArea outline="0" fieldPosition="0">
        <references count="1">
          <reference field="4294967294" count="1">
            <x v="0"/>
          </reference>
        </references>
      </pivotArea>
    </format>
    <format dxfId="898">
      <pivotArea grandRow="1" outline="0" collapsedLevelsAreSubtotals="1" fieldPosition="0"/>
    </format>
    <format dxfId="897">
      <pivotArea collapsedLevelsAreSubtotals="1" fieldPosition="0">
        <references count="1">
          <reference field="5" count="2">
            <x v="0"/>
            <x v="5"/>
          </reference>
        </references>
      </pivotArea>
    </format>
    <format dxfId="896">
      <pivotArea dataOnly="0" labelOnly="1" fieldPosition="0">
        <references count="1">
          <reference field="5" count="2">
            <x v="0"/>
            <x v="5"/>
          </reference>
        </references>
      </pivotArea>
    </format>
    <format dxfId="895">
      <pivotArea collapsedLevelsAreSubtotals="1" fieldPosition="0">
        <references count="1">
          <reference field="5" count="1">
            <x v="3"/>
          </reference>
        </references>
      </pivotArea>
    </format>
    <format dxfId="894">
      <pivotArea dataOnly="0" labelOnly="1" fieldPosition="0">
        <references count="1">
          <reference field="5" count="1">
            <x v="3"/>
          </reference>
        </references>
      </pivotArea>
    </format>
    <format dxfId="893">
      <pivotArea collapsedLevelsAreSubtotals="1" fieldPosition="0">
        <references count="1">
          <reference field="5" count="3">
            <x v="3"/>
            <x v="5"/>
            <x v="7"/>
          </reference>
        </references>
      </pivotArea>
    </format>
    <format dxfId="892">
      <pivotArea dataOnly="0" labelOnly="1" fieldPosition="0">
        <references count="1">
          <reference field="5" count="3">
            <x v="3"/>
            <x v="5"/>
            <x v="7"/>
          </reference>
        </references>
      </pivotArea>
    </format>
    <format dxfId="891">
      <pivotArea collapsedLevelsAreSubtotals="1" fieldPosition="0">
        <references count="1">
          <reference field="5" count="3">
            <x v="3"/>
            <x v="5"/>
            <x v="7"/>
          </reference>
        </references>
      </pivotArea>
    </format>
    <format dxfId="890">
      <pivotArea dataOnly="0" labelOnly="1" fieldPosition="0">
        <references count="1">
          <reference field="5" count="3">
            <x v="3"/>
            <x v="5"/>
            <x v="7"/>
          </reference>
        </references>
      </pivotArea>
    </format>
    <format dxfId="889">
      <pivotArea collapsedLevelsAreSubtotals="1" fieldPosition="0">
        <references count="1">
          <reference field="5" count="2">
            <x v="2"/>
            <x v="4"/>
          </reference>
        </references>
      </pivotArea>
    </format>
    <format dxfId="888">
      <pivotArea dataOnly="0" labelOnly="1" fieldPosition="0">
        <references count="1">
          <reference field="5" count="2">
            <x v="2"/>
            <x v="4"/>
          </reference>
        </references>
      </pivotArea>
    </format>
    <format dxfId="887">
      <pivotArea collapsedLevelsAreSubtotals="1" fieldPosition="0">
        <references count="1">
          <reference field="5" count="2">
            <x v="2"/>
            <x v="4"/>
          </reference>
        </references>
      </pivotArea>
    </format>
    <format dxfId="886">
      <pivotArea dataOnly="0" labelOnly="1" fieldPosition="0">
        <references count="1">
          <reference field="5" count="2">
            <x v="2"/>
            <x v="4"/>
          </reference>
        </references>
      </pivotArea>
    </format>
    <format dxfId="885">
      <pivotArea collapsedLevelsAreSubtotals="1" fieldPosition="0">
        <references count="1">
          <reference field="5" count="2">
            <x v="2"/>
            <x v="9"/>
          </reference>
        </references>
      </pivotArea>
    </format>
    <format dxfId="884">
      <pivotArea dataOnly="0" labelOnly="1" fieldPosition="0">
        <references count="1">
          <reference field="5" count="2">
            <x v="2"/>
            <x v="9"/>
          </reference>
        </references>
      </pivotArea>
    </format>
    <format dxfId="883">
      <pivotArea collapsedLevelsAreSubtotals="1" fieldPosition="0">
        <references count="1">
          <reference field="5" count="2">
            <x v="2"/>
            <x v="9"/>
          </reference>
        </references>
      </pivotArea>
    </format>
    <format dxfId="882">
      <pivotArea dataOnly="0" labelOnly="1" fieldPosition="0">
        <references count="1">
          <reference field="5" count="2">
            <x v="2"/>
            <x v="9"/>
          </reference>
        </references>
      </pivotArea>
    </format>
    <format dxfId="881">
      <pivotArea collapsedLevelsAreSubtotals="1" fieldPosition="0">
        <references count="1">
          <reference field="5" count="1">
            <x v="6"/>
          </reference>
        </references>
      </pivotArea>
    </format>
    <format dxfId="880">
      <pivotArea dataOnly="0" labelOnly="1" fieldPosition="0">
        <references count="1">
          <reference field="5" count="1">
            <x v="6"/>
          </reference>
        </references>
      </pivotArea>
    </format>
    <format dxfId="879">
      <pivotArea collapsedLevelsAreSubtotals="1" fieldPosition="0">
        <references count="1">
          <reference field="5" count="1">
            <x v="6"/>
          </reference>
        </references>
      </pivotArea>
    </format>
    <format dxfId="878">
      <pivotArea dataOnly="0" labelOnly="1" fieldPosition="0">
        <references count="1">
          <reference field="5" count="1">
            <x v="6"/>
          </reference>
        </references>
      </pivotArea>
    </format>
    <format dxfId="877">
      <pivotArea collapsedLevelsAreSubtotals="1" fieldPosition="0">
        <references count="1">
          <reference field="5" count="1">
            <x v="10"/>
          </reference>
        </references>
      </pivotArea>
    </format>
    <format dxfId="876">
      <pivotArea dataOnly="0" labelOnly="1" fieldPosition="0">
        <references count="1">
          <reference field="5" count="1">
            <x v="10"/>
          </reference>
        </references>
      </pivotArea>
    </format>
    <format dxfId="875">
      <pivotArea collapsedLevelsAreSubtotals="1" fieldPosition="0">
        <references count="1">
          <reference field="5" count="0"/>
        </references>
      </pivotArea>
    </format>
    <format dxfId="874">
      <pivotArea dataOnly="0" labelOnly="1" fieldPosition="0">
        <references count="1">
          <reference field="5" count="0"/>
        </references>
      </pivotArea>
    </format>
    <format dxfId="873">
      <pivotArea collapsedLevelsAreSubtotals="1" fieldPosition="0">
        <references count="1">
          <reference field="5" count="0"/>
        </references>
      </pivotArea>
    </format>
    <format dxfId="872">
      <pivotArea dataOnly="0" labelOnly="1" fieldPosition="0">
        <references count="1">
          <reference field="5"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796BFC3A-2B4D-4ECA-A8D0-9036EC070ACD}" name="PivotTable4" cacheId="15" applyNumberFormats="0" applyBorderFormats="0" applyFontFormats="0" applyPatternFormats="0" applyAlignmentFormats="0" applyWidthHeightFormats="1" dataCaption="Values" updatedVersion="8" minRefreshableVersion="3" showDrill="0" useAutoFormatting="1" rowGrandTotals="0" colGrandTotals="0" itemPrintTitles="1" createdVersion="8" indent="0" compact="0" compactData="0" multipleFieldFilters="0" fieldListSortAscending="1">
  <location ref="H25:Q26" firstHeaderRow="0" firstDataRow="1" firstDataCol="8"/>
  <pivotFields count="10">
    <pivotField axis="axisRow" compact="0" outline="0" showAll="0" defaultSubtotal="0">
      <items count="271">
        <item m="1" x="48"/>
        <item m="1" x="183"/>
        <item m="1" x="95"/>
        <item m="1" x="91"/>
        <item m="1" x="182"/>
        <item m="1" x="184"/>
        <item m="1" x="260"/>
        <item m="1" x="86"/>
        <item m="1" x="185"/>
        <item m="1" x="259"/>
        <item m="1" x="82"/>
        <item m="1" x="85"/>
        <item m="1" x="49"/>
        <item m="1" x="270"/>
        <item m="1" x="90"/>
        <item m="1" x="245"/>
        <item m="1" x="96"/>
        <item m="1" x="186"/>
        <item m="1" x="261"/>
        <item m="1" x="97"/>
        <item m="1" x="83"/>
        <item m="1" x="267"/>
        <item m="1" x="266"/>
        <item m="1" x="73"/>
        <item m="1" x="75"/>
        <item m="1" x="74"/>
        <item m="1" x="71"/>
        <item m="1" x="236"/>
        <item m="1" x="72"/>
        <item m="1" x="237"/>
        <item m="1" x="168"/>
        <item m="1" x="255"/>
        <item m="1" x="105"/>
        <item m="1" x="258"/>
        <item m="1" x="257"/>
        <item m="1" x="263"/>
        <item m="1" x="233"/>
        <item m="1" x="227"/>
        <item m="1" x="247"/>
        <item m="1" x="173"/>
        <item m="1" x="106"/>
        <item m="1" x="252"/>
        <item m="1" x="78"/>
        <item m="1" x="253"/>
        <item m="1" x="77"/>
        <item m="1" x="251"/>
        <item m="1" x="254"/>
        <item m="1" x="172"/>
        <item m="1" x="80"/>
        <item m="1" x="81"/>
        <item m="1" x="268"/>
        <item m="1" x="250"/>
        <item m="1" x="269"/>
        <item x="1"/>
        <item m="1" x="232"/>
        <item m="1" x="249"/>
        <item m="1" x="143"/>
        <item m="1" x="264"/>
        <item m="1" x="144"/>
        <item m="1" x="262"/>
        <item m="1" x="265"/>
        <item m="1" x="243"/>
        <item m="1" x="244"/>
        <item m="1" x="256"/>
        <item m="1" x="248"/>
        <item m="1" x="246"/>
        <item m="1" x="242"/>
        <item m="1" x="240"/>
        <item m="1" x="241"/>
        <item m="1" x="234"/>
        <item m="1" x="230"/>
        <item m="1" x="114"/>
        <item m="1" x="53"/>
        <item m="1" x="50"/>
        <item m="1" x="238"/>
        <item m="1" x="100"/>
        <item m="1" x="70"/>
        <item m="1" x="239"/>
        <item m="1" x="235"/>
        <item m="1" x="224"/>
        <item m="1" x="231"/>
        <item m="1" x="229"/>
        <item m="1" x="214"/>
        <item m="1" x="215"/>
        <item m="1" x="221"/>
        <item m="1" x="228"/>
        <item m="1" x="213"/>
        <item m="1" x="220"/>
        <item m="1" x="225"/>
        <item m="1" x="217"/>
        <item m="1" x="218"/>
        <item m="1" x="226"/>
        <item m="1" x="212"/>
        <item m="1" x="222"/>
        <item m="1" x="223"/>
        <item m="1" x="219"/>
        <item m="1" x="195"/>
        <item m="1" x="216"/>
        <item m="1" x="19"/>
        <item m="1" x="18"/>
        <item m="1" x="209"/>
        <item m="1" x="64"/>
        <item m="1" x="210"/>
        <item m="1" x="211"/>
        <item m="1" x="208"/>
        <item m="1" x="180"/>
        <item m="1" x="66"/>
        <item m="1" x="206"/>
        <item m="1" x="207"/>
        <item m="1" x="193"/>
        <item m="1" x="205"/>
        <item m="1" x="204"/>
        <item m="1" x="191"/>
        <item m="1" x="31"/>
        <item m="1" x="32"/>
        <item m="1" x="13"/>
        <item m="1" x="203"/>
        <item m="1" x="201"/>
        <item m="1" x="181"/>
        <item m="1" x="198"/>
        <item m="1" x="163"/>
        <item m="1" x="202"/>
        <item m="1" x="171"/>
        <item m="1" x="149"/>
        <item m="1" x="128"/>
        <item m="1" x="199"/>
        <item m="1" x="200"/>
        <item m="1" x="196"/>
        <item m="1" x="189"/>
        <item m="1" x="190"/>
        <item m="1" x="197"/>
        <item m="1" x="120"/>
        <item m="1" x="187"/>
        <item m="1" x="192"/>
        <item m="1" x="194"/>
        <item m="1" x="174"/>
        <item m="1" x="76"/>
        <item m="1" x="79"/>
        <item m="1" x="84"/>
        <item m="1" x="188"/>
        <item m="1" x="102"/>
        <item m="1" x="103"/>
        <item m="1" x="166"/>
        <item m="1" x="169"/>
        <item m="1" x="164"/>
        <item m="1" x="177"/>
        <item m="1" x="176"/>
        <item m="1" x="179"/>
        <item m="1" x="178"/>
        <item m="1" x="175"/>
        <item m="1" x="165"/>
        <item m="1" x="161"/>
        <item m="1" x="170"/>
        <item m="1" x="156"/>
        <item m="1" x="157"/>
        <item m="1" x="158"/>
        <item m="1" x="159"/>
        <item m="1" x="167"/>
        <item m="1" x="155"/>
        <item m="1" x="160"/>
        <item x="4"/>
        <item m="1" x="162"/>
        <item m="1" x="150"/>
        <item m="1" x="152"/>
        <item m="1" x="151"/>
        <item m="1" x="153"/>
        <item m="1" x="140"/>
        <item m="1" x="135"/>
        <item m="1" x="131"/>
        <item m="1" x="145"/>
        <item m="1" x="146"/>
        <item x="3"/>
        <item m="1" x="154"/>
        <item m="1" x="137"/>
        <item m="1" x="147"/>
        <item m="1" x="148"/>
        <item m="1" x="141"/>
        <item m="1" x="142"/>
        <item m="1" x="130"/>
        <item m="1" x="136"/>
        <item m="1" x="17"/>
        <item m="1" x="16"/>
        <item m="1" x="15"/>
        <item m="1" x="118"/>
        <item m="1" x="134"/>
        <item m="1" x="138"/>
        <item m="1" x="139"/>
        <item m="1" x="58"/>
        <item m="1" x="126"/>
        <item m="1" x="132"/>
        <item m="1" x="133"/>
        <item m="1" x="125"/>
        <item m="1" x="41"/>
        <item m="1" x="124"/>
        <item m="1" x="117"/>
        <item m="1" x="121"/>
        <item m="1" x="127"/>
        <item m="1" x="129"/>
        <item m="1" x="123"/>
        <item m="1" x="122"/>
        <item m="1" x="52"/>
        <item m="1" x="51"/>
        <item m="1" x="98"/>
        <item m="1" x="119"/>
        <item m="1" x="115"/>
        <item m="1" x="113"/>
        <item m="1" x="116"/>
        <item m="1" x="112"/>
        <item m="1" x="110"/>
        <item m="1" x="108"/>
        <item m="1" x="111"/>
        <item m="1" x="14"/>
        <item m="1" x="88"/>
        <item m="1" x="89"/>
        <item m="1" x="92"/>
        <item m="1" x="109"/>
        <item m="1" x="93"/>
        <item m="1" x="94"/>
        <item m="1" x="87"/>
        <item m="1" x="23"/>
        <item m="1" x="24"/>
        <item m="1" x="20"/>
        <item m="1" x="107"/>
        <item m="1" x="65"/>
        <item m="1" x="104"/>
        <item m="1" x="101"/>
        <item m="1" x="67"/>
        <item m="1" x="68"/>
        <item m="1" x="69"/>
        <item m="1" x="37"/>
        <item m="1" x="99"/>
        <item m="1" x="63"/>
        <item m="1" x="8"/>
        <item m="1" x="62"/>
        <item m="1" x="60"/>
        <item m="1" x="61"/>
        <item m="1" x="45"/>
        <item m="1" x="43"/>
        <item m="1" x="46"/>
        <item m="1" x="42"/>
        <item m="1" x="44"/>
        <item m="1" x="57"/>
        <item m="1" x="59"/>
        <item m="1" x="55"/>
        <item m="1" x="33"/>
        <item m="1" x="47"/>
        <item m="1" x="54"/>
        <item x="7"/>
        <item m="1" x="56"/>
        <item m="1" x="36"/>
        <item m="1" x="38"/>
        <item m="1" x="39"/>
        <item m="1" x="40"/>
        <item x="6"/>
        <item m="1" x="35"/>
        <item m="1" x="30"/>
        <item m="1" x="34"/>
        <item m="1" x="25"/>
        <item m="1" x="26"/>
        <item m="1" x="27"/>
        <item m="1" x="28"/>
        <item m="1" x="29"/>
        <item m="1" x="10"/>
        <item x="0"/>
        <item m="1" x="21"/>
        <item m="1" x="22"/>
        <item m="1" x="12"/>
        <item m="1" x="9"/>
        <item x="5"/>
        <item m="1" x="11"/>
        <item x="2"/>
      </items>
    </pivotField>
    <pivotField axis="axisRow" compact="0" outline="0" showAll="0" defaultSubtotal="0">
      <items count="11">
        <item m="1" x="9"/>
        <item x="6"/>
        <item x="7"/>
        <item x="5"/>
        <item x="3"/>
        <item x="0"/>
        <item x="2"/>
        <item x="4"/>
        <item x="1"/>
        <item m="1" x="8"/>
        <item m="1" x="10"/>
      </items>
      <extLst>
        <ext xmlns:x14="http://schemas.microsoft.com/office/spreadsheetml/2009/9/main" uri="{2946ED86-A175-432a-8AC1-64E0C546D7DE}">
          <x14:pivotField fillDownLabels="1"/>
        </ext>
      </extLst>
    </pivotField>
    <pivotField axis="axisRow" compact="0" outline="0" showAll="0" defaultSubtotal="0">
      <items count="12">
        <item h="1" x="6"/>
        <item h="1" x="0"/>
        <item h="1" x="1"/>
        <item h="1" x="4"/>
        <item h="1" x="5"/>
        <item h="1" x="3"/>
        <item h="1" m="1" x="11"/>
        <item h="1" x="2"/>
        <item h="1" m="1" x="8"/>
        <item h="1" m="1" x="9"/>
        <item h="1" m="1" x="10"/>
        <item x="7"/>
      </items>
    </pivotField>
    <pivotField axis="axisRow" compact="0" outline="0" showAll="0" defaultSubtotal="0">
      <items count="254">
        <item m="1" x="150"/>
        <item m="1" x="189"/>
        <item m="1" x="221"/>
        <item m="1" x="194"/>
        <item m="1" x="241"/>
        <item m="1" x="230"/>
        <item m="1" x="247"/>
        <item m="1" x="43"/>
        <item m="1" x="81"/>
        <item m="1" x="188"/>
        <item m="1" x="229"/>
        <item m="1" x="125"/>
        <item m="1" x="250"/>
        <item m="1" x="72"/>
        <item m="1" x="173"/>
        <item m="1" x="116"/>
        <item m="1" x="132"/>
        <item m="1" x="141"/>
        <item m="1" x="240"/>
        <item m="1" x="212"/>
        <item m="1" x="234"/>
        <item m="1" x="133"/>
        <item m="1" x="126"/>
        <item m="1" x="253"/>
        <item m="1" x="245"/>
        <item m="1" x="248"/>
        <item m="1" x="117"/>
        <item m="1" x="136"/>
        <item m="1" x="128"/>
        <item m="1" x="122"/>
        <item m="1" x="98"/>
        <item m="1" x="252"/>
        <item m="1" x="251"/>
        <item m="1" x="200"/>
        <item m="1" x="197"/>
        <item m="1" x="242"/>
        <item m="1" x="129"/>
        <item m="1" x="55"/>
        <item m="1" x="59"/>
        <item m="1" x="168"/>
        <item m="1" x="231"/>
        <item m="1" x="243"/>
        <item x="29"/>
        <item m="1" x="140"/>
        <item m="1" x="38"/>
        <item m="1" x="130"/>
        <item m="1" x="185"/>
        <item m="1" x="246"/>
        <item m="1" x="167"/>
        <item x="30"/>
        <item m="1" x="76"/>
        <item m="1" x="57"/>
        <item x="10"/>
        <item x="11"/>
        <item m="1" x="177"/>
        <item m="1" x="118"/>
        <item m="1" x="232"/>
        <item m="1" x="119"/>
        <item m="1" x="50"/>
        <item x="28"/>
        <item m="1" x="233"/>
        <item m="1" x="135"/>
        <item m="1" x="120"/>
        <item m="1" x="92"/>
        <item m="1" x="213"/>
        <item m="1" x="124"/>
        <item m="1" x="48"/>
        <item m="1" x="108"/>
        <item m="1" x="142"/>
        <item m="1" x="172"/>
        <item m="1" x="227"/>
        <item m="1" x="244"/>
        <item m="1" x="146"/>
        <item m="1" x="249"/>
        <item m="1" x="216"/>
        <item m="1" x="239"/>
        <item m="1" x="180"/>
        <item m="1" x="222"/>
        <item m="1" x="134"/>
        <item m="1" x="219"/>
        <item m="1" x="144"/>
        <item m="1" x="138"/>
        <item m="1" x="131"/>
        <item m="1" x="165"/>
        <item m="1" x="218"/>
        <item m="1" x="110"/>
        <item m="1" x="51"/>
        <item m="1" x="237"/>
        <item m="1" x="45"/>
        <item m="1" x="44"/>
        <item m="1" x="238"/>
        <item m="1" x="235"/>
        <item m="1" x="236"/>
        <item m="1" x="228"/>
        <item m="1" x="196"/>
        <item m="1" x="143"/>
        <item x="23"/>
        <item m="1" x="139"/>
        <item m="1" x="163"/>
        <item m="1" x="184"/>
        <item m="1" x="181"/>
        <item m="1" x="183"/>
        <item m="1" x="91"/>
        <item m="1" x="159"/>
        <item m="1" x="224"/>
        <item m="1" x="225"/>
        <item m="1" x="226"/>
        <item m="1" x="206"/>
        <item m="1" x="34"/>
        <item m="1" x="121"/>
        <item m="1" x="193"/>
        <item m="1" x="166"/>
        <item m="1" x="209"/>
        <item m="1" x="220"/>
        <item m="1" x="223"/>
        <item m="1" x="217"/>
        <item m="1" x="47"/>
        <item m="1" x="46"/>
        <item m="1" x="88"/>
        <item m="1" x="83"/>
        <item m="1" x="214"/>
        <item m="1" x="215"/>
        <item m="1" x="102"/>
        <item m="1" x="187"/>
        <item m="1" x="195"/>
        <item m="1" x="179"/>
        <item m="1" x="203"/>
        <item m="1" x="201"/>
        <item x="5"/>
        <item m="1" x="49"/>
        <item m="1" x="211"/>
        <item m="1" x="204"/>
        <item m="1" x="207"/>
        <item m="1" x="94"/>
        <item m="1" x="152"/>
        <item m="1" x="210"/>
        <item m="1" x="191"/>
        <item m="1" x="192"/>
        <item m="1" x="199"/>
        <item m="1" x="198"/>
        <item m="1" x="111"/>
        <item x="31"/>
        <item m="1" x="53"/>
        <item m="1" x="52"/>
        <item m="1" x="202"/>
        <item m="1" x="205"/>
        <item m="1" x="208"/>
        <item m="1" x="190"/>
        <item m="1" x="123"/>
        <item m="1" x="127"/>
        <item m="1" x="84"/>
        <item m="1" x="186"/>
        <item x="3"/>
        <item m="1" x="39"/>
        <item m="1" x="41"/>
        <item m="1" x="182"/>
        <item x="1"/>
        <item m="1" x="178"/>
        <item m="1" x="155"/>
        <item m="1" x="175"/>
        <item m="1" x="105"/>
        <item m="1" x="74"/>
        <item m="1" x="176"/>
        <item m="1" x="80"/>
        <item m="1" x="86"/>
        <item m="1" x="169"/>
        <item m="1" x="174"/>
        <item m="1" x="157"/>
        <item m="1" x="171"/>
        <item m="1" x="69"/>
        <item m="1" x="164"/>
        <item m="1" x="170"/>
        <item m="1" x="154"/>
        <item m="1" x="158"/>
        <item m="1" x="161"/>
        <item m="1" x="62"/>
        <item m="1" x="162"/>
        <item m="1" x="160"/>
        <item m="1" x="156"/>
        <item m="1" x="151"/>
        <item m="1" x="96"/>
        <item m="1" x="60"/>
        <item x="4"/>
        <item m="1" x="95"/>
        <item m="1" x="149"/>
        <item m="1" x="153"/>
        <item m="1" x="115"/>
        <item m="1" x="54"/>
        <item m="1" x="90"/>
        <item m="1" x="148"/>
        <item m="1" x="104"/>
        <item m="1" x="58"/>
        <item m="1" x="37"/>
        <item m="1" x="147"/>
        <item m="1" x="56"/>
        <item x="6"/>
        <item x="7"/>
        <item x="8"/>
        <item x="9"/>
        <item x="12"/>
        <item x="13"/>
        <item m="1" x="137"/>
        <item x="15"/>
        <item m="1" x="145"/>
        <item m="1" x="106"/>
        <item x="14"/>
        <item m="1" x="112"/>
        <item x="2"/>
        <item m="1" x="114"/>
        <item m="1" x="40"/>
        <item m="1" x="113"/>
        <item m="1" x="100"/>
        <item m="1" x="107"/>
        <item m="1" x="73"/>
        <item m="1" x="109"/>
        <item m="1" x="101"/>
        <item m="1" x="64"/>
        <item m="1" x="103"/>
        <item m="1" x="93"/>
        <item m="1" x="99"/>
        <item x="16"/>
        <item x="17"/>
        <item m="1" x="97"/>
        <item m="1" x="61"/>
        <item m="1" x="65"/>
        <item m="1" x="85"/>
        <item m="1" x="66"/>
        <item m="1" x="75"/>
        <item m="1" x="67"/>
        <item m="1" x="77"/>
        <item m="1" x="70"/>
        <item m="1" x="78"/>
        <item m="1" x="79"/>
        <item m="1" x="87"/>
        <item m="1" x="89"/>
        <item m="1" x="71"/>
        <item m="1" x="68"/>
        <item m="1" x="42"/>
        <item m="1" x="82"/>
        <item x="32"/>
        <item m="1" x="63"/>
        <item x="18"/>
        <item x="33"/>
        <item m="1" x="35"/>
        <item x="0"/>
        <item x="19"/>
        <item x="20"/>
        <item x="21"/>
        <item x="22"/>
        <item x="24"/>
        <item m="1" x="36"/>
        <item x="26"/>
        <item x="27"/>
        <item x="25"/>
      </items>
      <extLst>
        <ext xmlns:x14="http://schemas.microsoft.com/office/spreadsheetml/2009/9/main" uri="{2946ED86-A175-432a-8AC1-64E0C546D7DE}">
          <x14:pivotField fillDownLabels="1"/>
        </ext>
      </extLst>
    </pivotField>
    <pivotField axis="axisRow" compact="0" outline="0" showAll="0" defaultSubtotal="0">
      <items count="60">
        <item m="1" x="17"/>
        <item x="5"/>
        <item m="1" x="24"/>
        <item m="1" x="32"/>
        <item x="12"/>
        <item x="6"/>
        <item m="1" x="50"/>
        <item x="10"/>
        <item m="1" x="56"/>
        <item x="9"/>
        <item x="13"/>
        <item m="1" x="35"/>
        <item m="1" x="33"/>
        <item x="1"/>
        <item x="11"/>
        <item x="0"/>
        <item m="1" x="18"/>
        <item m="1" x="53"/>
        <item m="1" x="59"/>
        <item m="1" x="43"/>
        <item x="8"/>
        <item m="1" x="57"/>
        <item m="1" x="39"/>
        <item m="1" x="20"/>
        <item m="1" x="47"/>
        <item m="1" x="46"/>
        <item m="1" x="30"/>
        <item m="1" x="58"/>
        <item m="1" x="31"/>
        <item m="1" x="28"/>
        <item m="1" x="48"/>
        <item m="1" x="52"/>
        <item m="1" x="19"/>
        <item m="1" x="49"/>
        <item m="1" x="41"/>
        <item m="1" x="45"/>
        <item m="1" x="55"/>
        <item m="1" x="36"/>
        <item m="1" x="34"/>
        <item m="1" x="54"/>
        <item m="1" x="37"/>
        <item m="1" x="51"/>
        <item m="1" x="40"/>
        <item x="3"/>
        <item m="1" x="25"/>
        <item x="14"/>
        <item x="4"/>
        <item m="1" x="42"/>
        <item m="1" x="44"/>
        <item m="1" x="29"/>
        <item m="1" x="38"/>
        <item m="1" x="22"/>
        <item m="1" x="26"/>
        <item x="2"/>
        <item x="7"/>
        <item m="1" x="27"/>
        <item m="1" x="21"/>
        <item m="1" x="23"/>
        <item x="16"/>
        <item x="15"/>
      </items>
    </pivotField>
    <pivotField axis="axisRow" compact="0" outline="0" showAll="0" defaultSubtotal="0">
      <items count="5">
        <item x="1"/>
        <item x="0"/>
        <item m="1" x="3"/>
        <item m="1" x="4"/>
        <item x="2"/>
      </items>
    </pivotField>
    <pivotField dataField="1" compact="0" outline="0" showAll="0" defaultSubtotal="0"/>
    <pivotField dataField="1" compact="0" outline="0" showAll="0" defaultSubtotal="0"/>
    <pivotField axis="axisRow" compact="0" outline="0" showAll="0" defaultSubtotal="0">
      <items count="663">
        <item m="1" x="29"/>
        <item m="1" x="589"/>
        <item m="1" x="661"/>
        <item m="1" x="454"/>
        <item m="1" x="649"/>
        <item m="1" x="656"/>
        <item m="1" x="660"/>
        <item m="1" x="640"/>
        <item m="1" x="606"/>
        <item m="1" x="646"/>
        <item m="1" x="657"/>
        <item m="1" x="662"/>
        <item m="1" x="439"/>
        <item m="1" x="659"/>
        <item m="1" x="654"/>
        <item m="1" x="611"/>
        <item m="1" x="658"/>
        <item m="1" x="632"/>
        <item m="1" x="19"/>
        <item m="1" x="642"/>
        <item m="1" x="647"/>
        <item m="1" x="629"/>
        <item m="1" x="655"/>
        <item m="1" x="178"/>
        <item m="1" x="651"/>
        <item m="1" x="653"/>
        <item m="1" x="652"/>
        <item m="1" x="645"/>
        <item m="1" x="650"/>
        <item m="1" x="638"/>
        <item m="1" x="643"/>
        <item m="1" x="648"/>
        <item m="1" x="446"/>
        <item m="1" x="623"/>
        <item m="1" x="584"/>
        <item m="1" x="644"/>
        <item m="1" x="581"/>
        <item m="1" x="636"/>
        <item m="1" x="637"/>
        <item m="1" x="515"/>
        <item m="1" x="245"/>
        <item m="1" x="633"/>
        <item m="1" x="276"/>
        <item m="1" x="641"/>
        <item m="1" x="630"/>
        <item m="1" x="476"/>
        <item m="1" x="639"/>
        <item m="1" x="616"/>
        <item m="1" x="626"/>
        <item m="1" x="615"/>
        <item m="1" x="634"/>
        <item m="1" x="635"/>
        <item m="1" x="631"/>
        <item m="1" x="625"/>
        <item m="1" x="627"/>
        <item m="1" x="628"/>
        <item m="1" x="614"/>
        <item m="1" x="624"/>
        <item m="1" x="622"/>
        <item m="1" x="619"/>
        <item m="1" x="621"/>
        <item m="1" x="617"/>
        <item m="1" x="620"/>
        <item m="1" x="610"/>
        <item m="1" x="618"/>
        <item m="1" x="613"/>
        <item m="1" x="605"/>
        <item m="1" x="594"/>
        <item m="1" x="608"/>
        <item m="1" x="544"/>
        <item m="1" x="612"/>
        <item m="1" x="607"/>
        <item m="1" x="609"/>
        <item m="1" x="563"/>
        <item m="1" x="602"/>
        <item m="1" x="577"/>
        <item m="1" x="604"/>
        <item m="1" x="579"/>
        <item m="1" x="603"/>
        <item m="1" x="569"/>
        <item m="1" x="601"/>
        <item m="1" x="596"/>
        <item m="1" x="599"/>
        <item m="1" x="600"/>
        <item m="1" x="597"/>
        <item m="1" x="598"/>
        <item m="1" x="592"/>
        <item m="1" x="595"/>
        <item m="1" x="582"/>
        <item m="1" x="572"/>
        <item m="1" x="591"/>
        <item m="1" x="583"/>
        <item m="1" x="593"/>
        <item m="1" x="590"/>
        <item m="1" x="586"/>
        <item m="1" x="588"/>
        <item m="1" x="571"/>
        <item m="1" x="575"/>
        <item m="1" x="587"/>
        <item m="1" x="578"/>
        <item m="1" x="585"/>
        <item m="1" x="555"/>
        <item m="1" x="580"/>
        <item m="1" x="576"/>
        <item m="1" x="227"/>
        <item m="1" x="573"/>
        <item m="1" x="574"/>
        <item m="1" x="557"/>
        <item m="1" x="570"/>
        <item m="1" x="566"/>
        <item m="1" x="567"/>
        <item m="1" x="568"/>
        <item m="1" x="565"/>
        <item m="1" x="562"/>
        <item m="1" x="564"/>
        <item m="1" x="556"/>
        <item m="1" x="561"/>
        <item m="1" x="559"/>
        <item m="1" x="558"/>
        <item m="1" x="560"/>
        <item m="1" x="354"/>
        <item m="1" x="545"/>
        <item m="1" x="554"/>
        <item m="1" x="539"/>
        <item m="1" x="553"/>
        <item m="1" x="550"/>
        <item m="1" x="537"/>
        <item m="1" x="551"/>
        <item m="1" x="549"/>
        <item m="1" x="552"/>
        <item m="1" x="546"/>
        <item m="1" x="548"/>
        <item m="1" x="542"/>
        <item m="1" x="547"/>
        <item m="1" x="533"/>
        <item m="1" x="536"/>
        <item m="1" x="526"/>
        <item m="1" x="541"/>
        <item m="1" x="540"/>
        <item m="1" x="543"/>
        <item m="1" x="538"/>
        <item m="1" x="521"/>
        <item m="1" x="535"/>
        <item m="1" x="532"/>
        <item m="1" x="528"/>
        <item m="1" x="530"/>
        <item m="1" x="525"/>
        <item m="1" x="534"/>
        <item m="1" x="470"/>
        <item m="1" x="531"/>
        <item m="1" x="507"/>
        <item m="1" x="529"/>
        <item m="1" x="527"/>
        <item m="1" x="524"/>
        <item m="1" x="520"/>
        <item m="1" x="522"/>
        <item m="1" x="523"/>
        <item m="1" x="504"/>
        <item m="1" x="456"/>
        <item m="1" x="518"/>
        <item m="1" x="519"/>
        <item m="1" x="517"/>
        <item m="1" x="516"/>
        <item m="1" x="512"/>
        <item m="1" x="513"/>
        <item m="1" x="511"/>
        <item m="1" x="514"/>
        <item m="1" x="505"/>
        <item m="1" x="506"/>
        <item m="1" x="475"/>
        <item m="1" x="509"/>
        <item m="1" x="510"/>
        <item m="1" x="508"/>
        <item m="1" x="487"/>
        <item m="1" x="488"/>
        <item m="1" x="502"/>
        <item m="1" x="503"/>
        <item m="1" x="499"/>
        <item m="1" x="500"/>
        <item m="1" x="493"/>
        <item m="1" x="489"/>
        <item m="1" x="428"/>
        <item m="1" x="486"/>
        <item m="1" x="501"/>
        <item m="1" x="497"/>
        <item m="1" x="498"/>
        <item m="1" x="494"/>
        <item m="1" x="344"/>
        <item m="1" x="404"/>
        <item m="1" x="496"/>
        <item m="1" x="63"/>
        <item m="1" x="495"/>
        <item m="1" x="485"/>
        <item m="1" x="490"/>
        <item m="1" x="491"/>
        <item m="1" x="492"/>
        <item m="1" x="479"/>
        <item m="1" x="468"/>
        <item m="1" x="483"/>
        <item m="1" x="484"/>
        <item m="1" x="473"/>
        <item m="1" x="482"/>
        <item m="1" x="481"/>
        <item m="1" x="480"/>
        <item m="1" x="477"/>
        <item m="1" x="474"/>
        <item m="1" x="465"/>
        <item m="1" x="478"/>
        <item m="1" x="448"/>
        <item m="1" x="466"/>
        <item m="1" x="472"/>
        <item m="1" x="213"/>
        <item m="1" x="459"/>
        <item m="1" x="469"/>
        <item m="1" x="471"/>
        <item m="1" x="467"/>
        <item m="1" x="457"/>
        <item m="1" x="458"/>
        <item m="1" x="464"/>
        <item m="1" x="445"/>
        <item m="1" x="219"/>
        <item m="1" x="460"/>
        <item m="1" x="453"/>
        <item m="1" x="463"/>
        <item m="1" x="461"/>
        <item m="1" x="462"/>
        <item m="1" x="452"/>
        <item m="1" x="320"/>
        <item m="1" x="455"/>
        <item m="1" x="253"/>
        <item m="1" x="451"/>
        <item m="1" x="447"/>
        <item m="1" x="396"/>
        <item m="1" x="431"/>
        <item m="1" x="424"/>
        <item m="1" x="449"/>
        <item m="1" x="36"/>
        <item m="1" x="450"/>
        <item m="1" x="438"/>
        <item m="1" x="427"/>
        <item m="1" x="442"/>
        <item m="1" x="443"/>
        <item m="1" x="432"/>
        <item m="1" x="435"/>
        <item m="1" x="436"/>
        <item m="1" x="437"/>
        <item m="1" x="441"/>
        <item m="1" x="444"/>
        <item m="1" x="157"/>
        <item m="1" x="434"/>
        <item m="1" x="336"/>
        <item m="1" x="440"/>
        <item m="1" x="416"/>
        <item m="1" x="417"/>
        <item m="1" x="433"/>
        <item m="1" x="413"/>
        <item m="1" x="429"/>
        <item m="1" x="430"/>
        <item m="1" x="409"/>
        <item m="1" x="426"/>
        <item m="1" x="403"/>
        <item m="1" x="343"/>
        <item x="10"/>
        <item m="1" x="415"/>
        <item m="1" x="371"/>
        <item m="1" x="423"/>
        <item m="1" x="419"/>
        <item m="1" x="397"/>
        <item m="1" x="412"/>
        <item m="1" x="425"/>
        <item m="1" x="421"/>
        <item m="1" x="422"/>
        <item m="1" x="414"/>
        <item m="1" x="418"/>
        <item m="1" x="410"/>
        <item m="1" x="420"/>
        <item m="1" x="398"/>
        <item m="1" x="399"/>
        <item m="1" x="411"/>
        <item m="1" x="380"/>
        <item m="1" x="400"/>
        <item m="1" x="408"/>
        <item m="1" x="407"/>
        <item m="1" x="237"/>
        <item m="1" x="406"/>
        <item m="1" x="394"/>
        <item m="1" x="405"/>
        <item m="1" x="101"/>
        <item m="1" x="401"/>
        <item m="1" x="402"/>
        <item m="1" x="395"/>
        <item m="1" x="393"/>
        <item m="1" x="383"/>
        <item m="1" x="368"/>
        <item m="1" x="203"/>
        <item m="1" x="392"/>
        <item m="1" x="381"/>
        <item m="1" x="391"/>
        <item m="1" x="390"/>
        <item m="1" x="387"/>
        <item m="1" x="389"/>
        <item m="1" x="384"/>
        <item m="1" x="385"/>
        <item m="1" x="386"/>
        <item m="1" x="388"/>
        <item m="1" x="382"/>
        <item m="1" x="361"/>
        <item m="1" x="369"/>
        <item m="1" x="379"/>
        <item m="1" x="360"/>
        <item m="1" x="378"/>
        <item m="1" x="365"/>
        <item m="1" x="372"/>
        <item m="1" x="377"/>
        <item m="1" x="375"/>
        <item m="1" x="374"/>
        <item m="1" x="376"/>
        <item m="1" x="373"/>
        <item m="1" x="370"/>
        <item m="1" x="363"/>
        <item m="1" x="366"/>
        <item m="1" x="362"/>
        <item m="1" x="353"/>
        <item m="1" x="364"/>
        <item m="1" x="367"/>
        <item m="1" x="355"/>
        <item m="1" x="359"/>
        <item m="1" x="342"/>
        <item m="1" x="358"/>
        <item m="1" x="356"/>
        <item m="1" x="347"/>
        <item m="1" x="357"/>
        <item m="1" x="349"/>
        <item m="1" x="350"/>
        <item m="1" x="341"/>
        <item m="1" x="266"/>
        <item m="1" x="305"/>
        <item m="1" x="33"/>
        <item m="1" x="345"/>
        <item m="1" x="348"/>
        <item m="1" x="351"/>
        <item m="1" x="269"/>
        <item m="1" x="346"/>
        <item m="1" x="352"/>
        <item m="1" x="274"/>
        <item m="1" x="331"/>
        <item m="1" x="337"/>
        <item m="1" x="340"/>
        <item m="1" x="339"/>
        <item m="1" x="335"/>
        <item m="1" x="329"/>
        <item m="1" x="338"/>
        <item m="1" x="297"/>
        <item m="1" x="334"/>
        <item m="1" x="326"/>
        <item m="1" x="332"/>
        <item m="1" x="308"/>
        <item m="1" x="333"/>
        <item m="1" x="321"/>
        <item m="1" x="327"/>
        <item m="1" x="330"/>
        <item m="1" x="328"/>
        <item m="1" x="325"/>
        <item m="1" x="315"/>
        <item m="1" x="306"/>
        <item m="1" x="324"/>
        <item m="1" x="317"/>
        <item m="1" x="318"/>
        <item m="1" x="319"/>
        <item m="1" x="322"/>
        <item m="1" x="323"/>
        <item m="1" x="312"/>
        <item m="1" x="292"/>
        <item m="1" x="307"/>
        <item m="1" x="125"/>
        <item m="1" x="313"/>
        <item m="1" x="316"/>
        <item m="1" x="314"/>
        <item m="1" x="311"/>
        <item m="1" x="296"/>
        <item m="1" x="54"/>
        <item m="1" x="299"/>
        <item m="1" x="268"/>
        <item m="1" x="309"/>
        <item m="1" x="310"/>
        <item m="1" x="300"/>
        <item m="1" x="301"/>
        <item m="1" x="279"/>
        <item m="1" x="302"/>
        <item m="1" x="303"/>
        <item m="1" x="304"/>
        <item m="1" x="295"/>
        <item m="1" x="298"/>
        <item m="1" x="294"/>
        <item m="1" x="267"/>
        <item m="1" x="228"/>
        <item m="1" x="290"/>
        <item m="1" x="293"/>
        <item m="1" x="288"/>
        <item m="1" x="289"/>
        <item m="1" x="291"/>
        <item m="1" x="285"/>
        <item m="1" x="286"/>
        <item m="1" x="284"/>
        <item m="1" x="280"/>
        <item m="1" x="281"/>
        <item m="1" x="287"/>
        <item m="1" x="283"/>
        <item m="1" x="250"/>
        <item m="1" x="275"/>
        <item m="1" x="251"/>
        <item m="1" x="270"/>
        <item m="1" x="282"/>
        <item m="1" x="277"/>
        <item m="1" x="278"/>
        <item m="1" x="273"/>
        <item m="1" x="244"/>
        <item m="1" x="271"/>
        <item m="1" x="210"/>
        <item m="1" x="261"/>
        <item m="1" x="272"/>
        <item m="1" x="263"/>
        <item m="1" x="264"/>
        <item m="1" x="265"/>
        <item m="1" x="214"/>
        <item m="1" x="260"/>
        <item m="1" x="256"/>
        <item m="1" x="239"/>
        <item m="1" x="262"/>
        <item m="1" x="243"/>
        <item m="1" x="259"/>
        <item m="1" x="182"/>
        <item m="1" x="252"/>
        <item m="1" x="257"/>
        <item m="1" x="258"/>
        <item m="1" x="249"/>
        <item m="1" x="255"/>
        <item m="1" x="241"/>
        <item m="1" x="254"/>
        <item m="1" x="246"/>
        <item m="1" x="248"/>
        <item m="1" x="247"/>
        <item m="1" x="240"/>
        <item m="1" x="202"/>
        <item m="1" x="242"/>
        <item m="1" x="235"/>
        <item m="1" x="226"/>
        <item m="1" x="238"/>
        <item m="1" x="215"/>
        <item m="1" x="234"/>
        <item m="1" x="236"/>
        <item m="1" x="231"/>
        <item m="1" x="233"/>
        <item m="1" x="225"/>
        <item m="1" x="104"/>
        <item m="1" x="232"/>
        <item m="1" x="168"/>
        <item m="1" x="223"/>
        <item m="1" x="229"/>
        <item m="1" x="230"/>
        <item m="1" x="224"/>
        <item m="1" x="222"/>
        <item m="1" x="110"/>
        <item m="1" x="220"/>
        <item m="1" x="221"/>
        <item m="1" x="135"/>
        <item m="1" x="217"/>
        <item m="1" x="218"/>
        <item m="1" x="116"/>
        <item m="1" x="216"/>
        <item m="1" x="212"/>
        <item m="1" x="204"/>
        <item m="1" x="207"/>
        <item x="6"/>
        <item m="1" x="149"/>
        <item m="1" x="208"/>
        <item m="1" x="211"/>
        <item m="1" x="67"/>
        <item m="1" x="209"/>
        <item m="1" x="206"/>
        <item m="1" x="179"/>
        <item m="1" x="205"/>
        <item m="1" x="186"/>
        <item m="1" x="187"/>
        <item m="1" x="188"/>
        <item m="1" x="189"/>
        <item m="1" x="190"/>
        <item m="1" x="161"/>
        <item m="1" x="197"/>
        <item m="1" x="158"/>
        <item m="1" x="198"/>
        <item m="1" x="37"/>
        <item m="1" x="200"/>
        <item m="1" x="201"/>
        <item m="1" x="20"/>
        <item m="1" x="185"/>
        <item x="1"/>
        <item m="1" x="195"/>
        <item m="1" x="196"/>
        <item m="1" x="199"/>
        <item m="1" x="191"/>
        <item m="1" x="192"/>
        <item m="1" x="193"/>
        <item m="1" x="194"/>
        <item m="1" x="184"/>
        <item m="1" x="172"/>
        <item m="1" x="177"/>
        <item m="1" x="169"/>
        <item m="1" x="173"/>
        <item m="1" x="174"/>
        <item m="1" x="175"/>
        <item m="1" x="176"/>
        <item m="1" x="183"/>
        <item m="1" x="180"/>
        <item m="1" x="181"/>
        <item m="1" x="170"/>
        <item m="1" x="171"/>
        <item m="1" x="160"/>
        <item m="1" x="146"/>
        <item m="1" x="162"/>
        <item m="1" x="49"/>
        <item m="1" x="137"/>
        <item m="1" x="167"/>
        <item m="1" x="164"/>
        <item m="1" x="165"/>
        <item m="1" x="166"/>
        <item m="1" x="163"/>
        <item m="1" x="155"/>
        <item m="1" x="127"/>
        <item m="1" x="156"/>
        <item m="1" x="159"/>
        <item m="1" x="154"/>
        <item m="1" x="151"/>
        <item m="1" x="150"/>
        <item m="1" x="145"/>
        <item m="1" x="46"/>
        <item m="1" x="152"/>
        <item m="1" x="139"/>
        <item m="1" x="153"/>
        <item m="1" x="142"/>
        <item m="1" x="148"/>
        <item m="1" x="147"/>
        <item m="1" x="138"/>
        <item m="1" x="78"/>
        <item m="1" x="143"/>
        <item m="1" x="144"/>
        <item m="1" x="141"/>
        <item m="1" x="140"/>
        <item m="1" x="122"/>
        <item m="1" x="136"/>
        <item m="1" x="114"/>
        <item m="1" x="69"/>
        <item m="1" x="133"/>
        <item m="1" x="134"/>
        <item m="1" x="132"/>
        <item m="1" x="130"/>
        <item m="1" x="131"/>
        <item m="1" x="90"/>
        <item m="1" x="129"/>
        <item m="1" x="123"/>
        <item m="1" x="120"/>
        <item m="1" x="128"/>
        <item x="7"/>
        <item m="1" x="126"/>
        <item m="1" x="121"/>
        <item m="1" x="119"/>
        <item m="1" x="105"/>
        <item m="1" x="124"/>
        <item m="1" x="109"/>
        <item m="1" x="86"/>
        <item m="1" x="118"/>
        <item m="1" x="115"/>
        <item x="16"/>
        <item m="1" x="108"/>
        <item m="1" x="74"/>
        <item m="1" x="87"/>
        <item m="1" x="112"/>
        <item m="1" x="106"/>
        <item m="1" x="117"/>
        <item m="1" x="107"/>
        <item m="1" x="111"/>
        <item m="1" x="91"/>
        <item m="1" x="95"/>
        <item m="1" x="113"/>
        <item m="1" x="71"/>
        <item m="1" x="92"/>
        <item m="1" x="103"/>
        <item m="1" x="102"/>
        <item x="8"/>
        <item m="1" x="100"/>
        <item m="1" x="97"/>
        <item m="1" x="96"/>
        <item m="1" x="98"/>
        <item m="1" x="79"/>
        <item m="1" x="99"/>
        <item m="1" x="85"/>
        <item m="1" x="88"/>
        <item m="1" x="93"/>
        <item m="1" x="94"/>
        <item m="1" x="61"/>
        <item m="1" x="89"/>
        <item m="1" x="84"/>
        <item m="1" x="39"/>
        <item m="1" x="82"/>
        <item m="1" x="83"/>
        <item m="1" x="80"/>
        <item m="1" x="76"/>
        <item x="15"/>
        <item m="1" x="81"/>
        <item m="1" x="77"/>
        <item m="1" x="75"/>
        <item m="1" x="72"/>
        <item m="1" x="73"/>
        <item x="17"/>
        <item m="1" x="70"/>
        <item m="1" x="62"/>
        <item m="1" x="68"/>
        <item m="1" x="65"/>
        <item x="14"/>
        <item m="1" x="66"/>
        <item m="1" x="51"/>
        <item m="1" x="64"/>
        <item m="1" x="58"/>
        <item m="1" x="52"/>
        <item m="1" x="45"/>
        <item m="1" x="56"/>
        <item m="1" x="59"/>
        <item m="1" x="60"/>
        <item m="1" x="55"/>
        <item m="1" x="57"/>
        <item m="1" x="50"/>
        <item m="1" x="41"/>
        <item m="1" x="53"/>
        <item m="1" x="43"/>
        <item m="1" x="44"/>
        <item m="1" x="48"/>
        <item x="2"/>
        <item m="1" x="42"/>
        <item m="1" x="47"/>
        <item m="1" x="40"/>
        <item x="9"/>
        <item x="0"/>
        <item m="1" x="21"/>
        <item m="1" x="23"/>
        <item x="18"/>
        <item m="1" x="26"/>
        <item m="1" x="38"/>
        <item m="1" x="35"/>
        <item m="1" x="25"/>
        <item m="1" x="34"/>
        <item m="1" x="32"/>
        <item m="1" x="27"/>
        <item m="1" x="31"/>
        <item m="1" x="30"/>
        <item m="1" x="24"/>
        <item m="1" x="28"/>
        <item x="3"/>
        <item x="5"/>
        <item x="11"/>
        <item x="12"/>
        <item m="1" x="22"/>
        <item x="4"/>
        <item x="13"/>
      </items>
      <extLst>
        <ext xmlns:x14="http://schemas.microsoft.com/office/spreadsheetml/2009/9/main" uri="{2946ED86-A175-432a-8AC1-64E0C546D7DE}">
          <x14:pivotField fillDownLabels="1"/>
        </ext>
      </extLst>
    </pivotField>
    <pivotField axis="axisRow" compact="0" outline="0" showAll="0" sortType="descending" defaultSubtotal="0">
      <items count="3">
        <item x="0"/>
        <item x="2"/>
        <item x="1"/>
      </items>
    </pivotField>
  </pivotFields>
  <rowFields count="8">
    <field x="9"/>
    <field x="1"/>
    <field x="8"/>
    <field x="3"/>
    <field x="0"/>
    <field x="2"/>
    <field x="4"/>
    <field x="5"/>
  </rowFields>
  <rowItems count="1">
    <i>
      <x v="1"/>
      <x v="8"/>
      <x v="613"/>
      <x v="239"/>
      <x v="53"/>
      <x v="11"/>
      <x v="59"/>
      <x v="1"/>
    </i>
  </rowItems>
  <colFields count="1">
    <field x="-2"/>
  </colFields>
  <colItems count="2">
    <i>
      <x/>
    </i>
    <i i="1">
      <x v="1"/>
    </i>
  </colItems>
  <dataFields count="2">
    <dataField name="Sum of Amount (FCY)" fld="6" baseField="5" baseItem="1" numFmtId="4"/>
    <dataField name="Sum of Amount (SAR)" fld="7" baseField="5" baseItem="1" numFmtId="4"/>
  </dataFields>
  <formats count="262">
    <format dxfId="1174">
      <pivotArea type="all" dataOnly="0" outline="0" fieldPosition="0"/>
    </format>
    <format dxfId="1173">
      <pivotArea outline="0" collapsedLevelsAreSubtotals="1" fieldPosition="0"/>
    </format>
    <format dxfId="1172">
      <pivotArea field="9" type="button" dataOnly="0" labelOnly="1" outline="0" axis="axisRow" fieldPosition="0"/>
    </format>
    <format dxfId="1171">
      <pivotArea field="1" type="button" dataOnly="0" labelOnly="1" outline="0" axis="axisRow" fieldPosition="1"/>
    </format>
    <format dxfId="1170">
      <pivotArea field="8" type="button" dataOnly="0" labelOnly="1" outline="0" axis="axisRow" fieldPosition="2"/>
    </format>
    <format dxfId="1169">
      <pivotArea field="3" type="button" dataOnly="0" labelOnly="1" outline="0" axis="axisRow" fieldPosition="3"/>
    </format>
    <format dxfId="1168">
      <pivotArea field="0" type="button" dataOnly="0" labelOnly="1" outline="0" axis="axisRow" fieldPosition="4"/>
    </format>
    <format dxfId="1167">
      <pivotArea field="2" type="button" dataOnly="0" labelOnly="1" outline="0" axis="axisRow" fieldPosition="5"/>
    </format>
    <format dxfId="1166">
      <pivotArea field="4" type="button" dataOnly="0" labelOnly="1" outline="0" axis="axisRow" fieldPosition="6"/>
    </format>
    <format dxfId="1165">
      <pivotArea field="5" type="button" dataOnly="0" labelOnly="1" outline="0" axis="axisRow" fieldPosition="7"/>
    </format>
    <format dxfId="1164">
      <pivotArea dataOnly="0" labelOnly="1" outline="0" fieldPosition="0">
        <references count="1">
          <reference field="9" count="0"/>
        </references>
      </pivotArea>
    </format>
    <format dxfId="1163">
      <pivotArea dataOnly="0" labelOnly="1" outline="0" fieldPosition="0">
        <references count="2">
          <reference field="1" count="3">
            <x v="0"/>
            <x v="1"/>
            <x v="3"/>
          </reference>
          <reference field="9" count="1" selected="0">
            <x v="2"/>
          </reference>
        </references>
      </pivotArea>
    </format>
    <format dxfId="1162">
      <pivotArea dataOnly="0" labelOnly="1" outline="0" fieldPosition="0">
        <references count="2">
          <reference field="1" count="2">
            <x v="2"/>
            <x v="7"/>
          </reference>
          <reference field="9" count="1" selected="0">
            <x v="1"/>
          </reference>
        </references>
      </pivotArea>
    </format>
    <format dxfId="1161">
      <pivotArea dataOnly="0" labelOnly="1" outline="0" fieldPosition="0">
        <references count="2">
          <reference field="1" count="5">
            <x v="4"/>
            <x v="5"/>
            <x v="6"/>
            <x v="7"/>
            <x v="8"/>
          </reference>
          <reference field="9" count="1" selected="0">
            <x v="0"/>
          </reference>
        </references>
      </pivotArea>
    </format>
    <format dxfId="1160">
      <pivotArea dataOnly="0" labelOnly="1" outline="0" fieldPosition="0">
        <references count="3">
          <reference field="1" count="1" selected="0">
            <x v="0"/>
          </reference>
          <reference field="8" count="3">
            <x v="0"/>
            <x v="9"/>
            <x v="12"/>
          </reference>
          <reference field="9" count="1" selected="0">
            <x v="2"/>
          </reference>
        </references>
      </pivotArea>
    </format>
    <format dxfId="1159">
      <pivotArea dataOnly="0" labelOnly="1" outline="0" fieldPosition="0">
        <references count="3">
          <reference field="1" count="1" selected="0">
            <x v="1"/>
          </reference>
          <reference field="8" count="2">
            <x v="14"/>
            <x v="17"/>
          </reference>
          <reference field="9" count="1" selected="0">
            <x v="2"/>
          </reference>
        </references>
      </pivotArea>
    </format>
    <format dxfId="1158">
      <pivotArea dataOnly="0" labelOnly="1" outline="0" fieldPosition="0">
        <references count="3">
          <reference field="1" count="1" selected="0">
            <x v="3"/>
          </reference>
          <reference field="8" count="1">
            <x v="18"/>
          </reference>
          <reference field="9" count="1" selected="0">
            <x v="2"/>
          </reference>
        </references>
      </pivotArea>
    </format>
    <format dxfId="1157">
      <pivotArea dataOnly="0" labelOnly="1" outline="0" fieldPosition="0">
        <references count="3">
          <reference field="1" count="1" selected="0">
            <x v="2"/>
          </reference>
          <reference field="8" count="1">
            <x v="5"/>
          </reference>
          <reference field="9" count="1" selected="0">
            <x v="1"/>
          </reference>
        </references>
      </pivotArea>
    </format>
    <format dxfId="1156">
      <pivotArea dataOnly="0" labelOnly="1" outline="0" fieldPosition="0">
        <references count="3">
          <reference field="1" count="1" selected="0">
            <x v="7"/>
          </reference>
          <reference field="8" count="2">
            <x v="3"/>
            <x v="4"/>
          </reference>
          <reference field="9" count="1" selected="0">
            <x v="1"/>
          </reference>
        </references>
      </pivotArea>
    </format>
    <format dxfId="1155">
      <pivotArea dataOnly="0" labelOnly="1" outline="0" fieldPosition="0">
        <references count="3">
          <reference field="1" count="1" selected="0">
            <x v="4"/>
          </reference>
          <reference field="8" count="1">
            <x v="8"/>
          </reference>
          <reference field="9" count="1" selected="0">
            <x v="0"/>
          </reference>
        </references>
      </pivotArea>
    </format>
    <format dxfId="1154">
      <pivotArea dataOnly="0" labelOnly="1" outline="0" fieldPosition="0">
        <references count="3">
          <reference field="1" count="1" selected="0">
            <x v="5"/>
          </reference>
          <reference field="8" count="4">
            <x v="7"/>
            <x v="10"/>
            <x v="15"/>
            <x v="16"/>
          </reference>
          <reference field="9" count="1" selected="0">
            <x v="0"/>
          </reference>
        </references>
      </pivotArea>
    </format>
    <format dxfId="1153">
      <pivotArea dataOnly="0" labelOnly="1" outline="0" fieldPosition="0">
        <references count="3">
          <reference field="1" count="1" selected="0">
            <x v="6"/>
          </reference>
          <reference field="8" count="1">
            <x v="6"/>
          </reference>
          <reference field="9" count="1" selected="0">
            <x v="0"/>
          </reference>
        </references>
      </pivotArea>
    </format>
    <format dxfId="1152">
      <pivotArea dataOnly="0" labelOnly="1" outline="0" fieldPosition="0">
        <references count="3">
          <reference field="1" count="1" selected="0">
            <x v="7"/>
          </reference>
          <reference field="8" count="3">
            <x v="1"/>
            <x v="2"/>
            <x v="11"/>
          </reference>
          <reference field="9" count="1" selected="0">
            <x v="0"/>
          </reference>
        </references>
      </pivotArea>
    </format>
    <format dxfId="1151">
      <pivotArea dataOnly="0" labelOnly="1" outline="0" fieldPosition="0">
        <references count="3">
          <reference field="1" count="1" selected="0">
            <x v="8"/>
          </reference>
          <reference field="8" count="2">
            <x v="13"/>
            <x v="17"/>
          </reference>
          <reference field="9" count="1" selected="0">
            <x v="0"/>
          </reference>
        </references>
      </pivotArea>
    </format>
    <format dxfId="1150">
      <pivotArea dataOnly="0" labelOnly="1" outline="0" fieldPosition="0">
        <references count="4">
          <reference field="1" count="1" selected="0">
            <x v="0"/>
          </reference>
          <reference field="3" count="1">
            <x v="22"/>
          </reference>
          <reference field="8" count="1" selected="0">
            <x v="0"/>
          </reference>
          <reference field="9" count="1" selected="0">
            <x v="2"/>
          </reference>
        </references>
      </pivotArea>
    </format>
    <format dxfId="1149">
      <pivotArea dataOnly="0" labelOnly="1" outline="0" fieldPosition="0">
        <references count="4">
          <reference field="1" count="1" selected="0">
            <x v="0"/>
          </reference>
          <reference field="3" count="1">
            <x v="59"/>
          </reference>
          <reference field="8" count="1" selected="0">
            <x v="9"/>
          </reference>
          <reference field="9" count="1" selected="0">
            <x v="2"/>
          </reference>
        </references>
      </pivotArea>
    </format>
    <format dxfId="1148">
      <pivotArea dataOnly="0" labelOnly="1" outline="0" fieldPosition="0">
        <references count="4">
          <reference field="1" count="1" selected="0">
            <x v="0"/>
          </reference>
          <reference field="3" count="1">
            <x v="24"/>
          </reference>
          <reference field="8" count="1" selected="0">
            <x v="12"/>
          </reference>
          <reference field="9" count="1" selected="0">
            <x v="2"/>
          </reference>
        </references>
      </pivotArea>
    </format>
    <format dxfId="1147">
      <pivotArea dataOnly="0" labelOnly="1" outline="0" fieldPosition="0">
        <references count="4">
          <reference field="1" count="1" selected="0">
            <x v="1"/>
          </reference>
          <reference field="3" count="1">
            <x v="32"/>
          </reference>
          <reference field="8" count="1" selected="0">
            <x v="14"/>
          </reference>
          <reference field="9" count="1" selected="0">
            <x v="2"/>
          </reference>
        </references>
      </pivotArea>
    </format>
    <format dxfId="1146">
      <pivotArea dataOnly="0" labelOnly="1" outline="0" fieldPosition="0">
        <references count="4">
          <reference field="1" count="1" selected="0">
            <x v="1"/>
          </reference>
          <reference field="3" count="2">
            <x v="18"/>
            <x v="23"/>
          </reference>
          <reference field="8" count="1" selected="0">
            <x v="17"/>
          </reference>
          <reference field="9" count="1" selected="0">
            <x v="2"/>
          </reference>
        </references>
      </pivotArea>
    </format>
    <format dxfId="1145">
      <pivotArea dataOnly="0" labelOnly="1" outline="0" fieldPosition="0">
        <references count="4">
          <reference field="1" count="1" selected="0">
            <x v="3"/>
          </reference>
          <reference field="3" count="2">
            <x v="14"/>
            <x v="25"/>
          </reference>
          <reference field="8" count="1" selected="0">
            <x v="18"/>
          </reference>
          <reference field="9" count="1" selected="0">
            <x v="2"/>
          </reference>
        </references>
      </pivotArea>
    </format>
    <format dxfId="1144">
      <pivotArea dataOnly="0" labelOnly="1" outline="0" fieldPosition="0">
        <references count="4">
          <reference field="1" count="1" selected="0">
            <x v="2"/>
          </reference>
          <reference field="3" count="1">
            <x v="37"/>
          </reference>
          <reference field="8" count="1" selected="0">
            <x v="5"/>
          </reference>
          <reference field="9" count="1" selected="0">
            <x v="1"/>
          </reference>
        </references>
      </pivotArea>
    </format>
    <format dxfId="1143">
      <pivotArea dataOnly="0" labelOnly="1" outline="0" fieldPosition="0">
        <references count="4">
          <reference field="1" count="1" selected="0">
            <x v="7"/>
          </reference>
          <reference field="3" count="1">
            <x v="51"/>
          </reference>
          <reference field="8" count="1" selected="0">
            <x v="3"/>
          </reference>
          <reference field="9" count="1" selected="0">
            <x v="1"/>
          </reference>
        </references>
      </pivotArea>
    </format>
    <format dxfId="1142">
      <pivotArea dataOnly="0" labelOnly="1" outline="0" fieldPosition="0">
        <references count="4">
          <reference field="1" count="1" selected="0">
            <x v="4"/>
          </reference>
          <reference field="3" count="1">
            <x v="38"/>
          </reference>
          <reference field="8" count="1" selected="0">
            <x v="8"/>
          </reference>
          <reference field="9" count="1" selected="0">
            <x v="0"/>
          </reference>
        </references>
      </pivotArea>
    </format>
    <format dxfId="1141">
      <pivotArea dataOnly="0" labelOnly="1" outline="0" fieldPosition="0">
        <references count="4">
          <reference field="1" count="1" selected="0">
            <x v="5"/>
          </reference>
          <reference field="3" count="1">
            <x v="33"/>
          </reference>
          <reference field="8" count="1" selected="0">
            <x v="7"/>
          </reference>
          <reference field="9" count="1" selected="0">
            <x v="0"/>
          </reference>
        </references>
      </pivotArea>
    </format>
    <format dxfId="1140">
      <pivotArea dataOnly="0" labelOnly="1" outline="0" fieldPosition="0">
        <references count="4">
          <reference field="1" count="1" selected="0">
            <x v="5"/>
          </reference>
          <reference field="3" count="19">
            <x v="1"/>
            <x v="2"/>
            <x v="4"/>
            <x v="6"/>
            <x v="9"/>
            <x v="10"/>
            <x v="12"/>
            <x v="15"/>
            <x v="26"/>
            <x v="29"/>
            <x v="42"/>
            <x v="44"/>
            <x v="46"/>
            <x v="47"/>
            <x v="55"/>
            <x v="57"/>
            <x v="62"/>
            <x v="63"/>
            <x v="65"/>
          </reference>
          <reference field="8" count="1" selected="0">
            <x v="10"/>
          </reference>
          <reference field="9" count="1" selected="0">
            <x v="0"/>
          </reference>
        </references>
      </pivotArea>
    </format>
    <format dxfId="1139">
      <pivotArea dataOnly="0" labelOnly="1" outline="0" fieldPosition="0">
        <references count="4">
          <reference field="1" count="1" selected="0">
            <x v="5"/>
          </reference>
          <reference field="3" count="19">
            <x v="0"/>
            <x v="8"/>
            <x v="11"/>
            <x v="13"/>
            <x v="16"/>
            <x v="17"/>
            <x v="21"/>
            <x v="22"/>
            <x v="27"/>
            <x v="28"/>
            <x v="34"/>
            <x v="36"/>
            <x v="39"/>
            <x v="45"/>
            <x v="50"/>
            <x v="52"/>
            <x v="61"/>
            <x v="66"/>
            <x v="67"/>
          </reference>
          <reference field="8" count="1" selected="0">
            <x v="15"/>
          </reference>
          <reference field="9" count="1" selected="0">
            <x v="0"/>
          </reference>
        </references>
      </pivotArea>
    </format>
    <format dxfId="1138">
      <pivotArea dataOnly="0" labelOnly="1" outline="0" fieldPosition="0">
        <references count="4">
          <reference field="1" count="1" selected="0">
            <x v="5"/>
          </reference>
          <reference field="3" count="1">
            <x v="49"/>
          </reference>
          <reference field="8" count="1" selected="0">
            <x v="16"/>
          </reference>
          <reference field="9" count="1" selected="0">
            <x v="0"/>
          </reference>
        </references>
      </pivotArea>
    </format>
    <format dxfId="1137">
      <pivotArea dataOnly="0" labelOnly="1" outline="0" fieldPosition="0">
        <references count="4">
          <reference field="1" count="1" selected="0">
            <x v="6"/>
          </reference>
          <reference field="3" count="1">
            <x v="19"/>
          </reference>
          <reference field="8" count="1" selected="0">
            <x v="6"/>
          </reference>
          <reference field="9" count="1" selected="0">
            <x v="0"/>
          </reference>
        </references>
      </pivotArea>
    </format>
    <format dxfId="1136">
      <pivotArea dataOnly="0" labelOnly="1" outline="0" fieldPosition="0">
        <references count="4">
          <reference field="1" count="1" selected="0">
            <x v="7"/>
          </reference>
          <reference field="3" count="7">
            <x v="5"/>
            <x v="20"/>
            <x v="40"/>
            <x v="53"/>
            <x v="54"/>
            <x v="56"/>
            <x v="60"/>
          </reference>
          <reference field="8" count="1" selected="0">
            <x v="1"/>
          </reference>
          <reference field="9" count="1" selected="0">
            <x v="0"/>
          </reference>
        </references>
      </pivotArea>
    </format>
    <format dxfId="1135">
      <pivotArea dataOnly="0" labelOnly="1" outline="0" fieldPosition="0">
        <references count="4">
          <reference field="1" count="1" selected="0">
            <x v="7"/>
          </reference>
          <reference field="3" count="1">
            <x v="31"/>
          </reference>
          <reference field="8" count="1" selected="0">
            <x v="2"/>
          </reference>
          <reference field="9" count="1" selected="0">
            <x v="0"/>
          </reference>
        </references>
      </pivotArea>
    </format>
    <format dxfId="1134">
      <pivotArea dataOnly="0" labelOnly="1" outline="0" fieldPosition="0">
        <references count="4">
          <reference field="1" count="1" selected="0">
            <x v="7"/>
          </reference>
          <reference field="3" count="10">
            <x v="3"/>
            <x v="7"/>
            <x v="27"/>
            <x v="35"/>
            <x v="41"/>
            <x v="48"/>
            <x v="52"/>
            <x v="58"/>
            <x v="64"/>
            <x v="68"/>
          </reference>
          <reference field="8" count="1" selected="0">
            <x v="11"/>
          </reference>
          <reference field="9" count="1" selected="0">
            <x v="0"/>
          </reference>
        </references>
      </pivotArea>
    </format>
    <format dxfId="1133">
      <pivotArea dataOnly="0" labelOnly="1" outline="0" fieldPosition="0">
        <references count="4">
          <reference field="1" count="1" selected="0">
            <x v="8"/>
          </reference>
          <reference field="3" count="1">
            <x v="43"/>
          </reference>
          <reference field="8" count="1" selected="0">
            <x v="13"/>
          </reference>
          <reference field="9" count="1" selected="0">
            <x v="0"/>
          </reference>
        </references>
      </pivotArea>
    </format>
    <format dxfId="1132">
      <pivotArea dataOnly="0" labelOnly="1" outline="0" fieldPosition="0">
        <references count="4">
          <reference field="1" count="1" selected="0">
            <x v="8"/>
          </reference>
          <reference field="3" count="1">
            <x v="30"/>
          </reference>
          <reference field="8" count="1" selected="0">
            <x v="17"/>
          </reference>
          <reference field="9" count="1" selected="0">
            <x v="0"/>
          </reference>
        </references>
      </pivotArea>
    </format>
    <format dxfId="1131">
      <pivotArea dataOnly="0" labelOnly="1" outline="0" fieldPosition="0">
        <references count="5">
          <reference field="0" count="1">
            <x v="21"/>
          </reference>
          <reference field="1" count="1" selected="0">
            <x v="0"/>
          </reference>
          <reference field="3" count="1" selected="0">
            <x v="22"/>
          </reference>
          <reference field="8" count="1" selected="0">
            <x v="0"/>
          </reference>
          <reference field="9" count="1" selected="0">
            <x v="2"/>
          </reference>
        </references>
      </pivotArea>
    </format>
    <format dxfId="1130">
      <pivotArea dataOnly="0" labelOnly="1" outline="0" fieldPosition="0">
        <references count="5">
          <reference field="0" count="1">
            <x v="12"/>
          </reference>
          <reference field="1" count="1" selected="0">
            <x v="0"/>
          </reference>
          <reference field="3" count="1" selected="0">
            <x v="59"/>
          </reference>
          <reference field="8" count="1" selected="0">
            <x v="9"/>
          </reference>
          <reference field="9" count="1" selected="0">
            <x v="2"/>
          </reference>
        </references>
      </pivotArea>
    </format>
    <format dxfId="1129">
      <pivotArea dataOnly="0" labelOnly="1" outline="0" fieldPosition="0">
        <references count="5">
          <reference field="0" count="1">
            <x v="51"/>
          </reference>
          <reference field="1" count="1" selected="0">
            <x v="0"/>
          </reference>
          <reference field="3" count="1" selected="0">
            <x v="24"/>
          </reference>
          <reference field="8" count="1" selected="0">
            <x v="12"/>
          </reference>
          <reference field="9" count="1" selected="0">
            <x v="2"/>
          </reference>
        </references>
      </pivotArea>
    </format>
    <format dxfId="1128">
      <pivotArea dataOnly="0" labelOnly="1" outline="0" fieldPosition="0">
        <references count="5">
          <reference field="0" count="1">
            <x v="50"/>
          </reference>
          <reference field="1" count="1" selected="0">
            <x v="1"/>
          </reference>
          <reference field="3" count="1" selected="0">
            <x v="32"/>
          </reference>
          <reference field="8" count="1" selected="0">
            <x v="14"/>
          </reference>
          <reference field="9" count="1" selected="0">
            <x v="2"/>
          </reference>
        </references>
      </pivotArea>
    </format>
    <format dxfId="1127">
      <pivotArea dataOnly="0" labelOnly="1" outline="0" fieldPosition="0">
        <references count="5">
          <reference field="0" count="1">
            <x v="33"/>
          </reference>
          <reference field="1" count="1" selected="0">
            <x v="1"/>
          </reference>
          <reference field="3" count="1" selected="0">
            <x v="18"/>
          </reference>
          <reference field="8" count="1" selected="0">
            <x v="17"/>
          </reference>
          <reference field="9" count="1" selected="0">
            <x v="2"/>
          </reference>
        </references>
      </pivotArea>
    </format>
    <format dxfId="1126">
      <pivotArea dataOnly="0" labelOnly="1" outline="0" fieldPosition="0">
        <references count="5">
          <reference field="0" count="1">
            <x v="13"/>
          </reference>
          <reference field="1" count="1" selected="0">
            <x v="1"/>
          </reference>
          <reference field="3" count="1" selected="0">
            <x v="23"/>
          </reference>
          <reference field="8" count="1" selected="0">
            <x v="17"/>
          </reference>
          <reference field="9" count="1" selected="0">
            <x v="2"/>
          </reference>
        </references>
      </pivotArea>
    </format>
    <format dxfId="1125">
      <pivotArea dataOnly="0" labelOnly="1" outline="0" fieldPosition="0">
        <references count="5">
          <reference field="0" count="1">
            <x v="36"/>
          </reference>
          <reference field="1" count="1" selected="0">
            <x v="3"/>
          </reference>
          <reference field="3" count="1" selected="0">
            <x v="14"/>
          </reference>
          <reference field="8" count="1" selected="0">
            <x v="18"/>
          </reference>
          <reference field="9" count="1" selected="0">
            <x v="2"/>
          </reference>
        </references>
      </pivotArea>
    </format>
    <format dxfId="1124">
      <pivotArea dataOnly="0" labelOnly="1" outline="0" fieldPosition="0">
        <references count="5">
          <reference field="0" count="1">
            <x v="31"/>
          </reference>
          <reference field="1" count="1" selected="0">
            <x v="3"/>
          </reference>
          <reference field="3" count="1" selected="0">
            <x v="25"/>
          </reference>
          <reference field="8" count="1" selected="0">
            <x v="18"/>
          </reference>
          <reference field="9" count="1" selected="0">
            <x v="2"/>
          </reference>
        </references>
      </pivotArea>
    </format>
    <format dxfId="1123">
      <pivotArea dataOnly="0" labelOnly="1" outline="0" fieldPosition="0">
        <references count="5">
          <reference field="0" count="1">
            <x v="0"/>
          </reference>
          <reference field="1" count="1" selected="0">
            <x v="2"/>
          </reference>
          <reference field="3" count="1" selected="0">
            <x v="37"/>
          </reference>
          <reference field="8" count="1" selected="0">
            <x v="5"/>
          </reference>
          <reference field="9" count="1" selected="0">
            <x v="1"/>
          </reference>
        </references>
      </pivotArea>
    </format>
    <format dxfId="1122">
      <pivotArea dataOnly="0" labelOnly="1" outline="0" fieldPosition="0">
        <references count="5">
          <reference field="0" count="1">
            <x v="53"/>
          </reference>
          <reference field="1" count="1" selected="0">
            <x v="7"/>
          </reference>
          <reference field="3" count="1" selected="0">
            <x v="51"/>
          </reference>
          <reference field="8" count="1" selected="0">
            <x v="3"/>
          </reference>
          <reference field="9" count="1" selected="0">
            <x v="1"/>
          </reference>
        </references>
      </pivotArea>
    </format>
    <format dxfId="1121">
      <pivotArea dataOnly="0" labelOnly="1" outline="0" fieldPosition="0">
        <references count="5">
          <reference field="0" count="1">
            <x v="37"/>
          </reference>
          <reference field="1" count="1" selected="0">
            <x v="4"/>
          </reference>
          <reference field="3" count="1" selected="0">
            <x v="38"/>
          </reference>
          <reference field="8" count="1" selected="0">
            <x v="8"/>
          </reference>
          <reference field="9" count="1" selected="0">
            <x v="0"/>
          </reference>
        </references>
      </pivotArea>
    </format>
    <format dxfId="1120">
      <pivotArea dataOnly="0" labelOnly="1" outline="0" fieldPosition="0">
        <references count="5">
          <reference field="0" count="1">
            <x v="34"/>
          </reference>
          <reference field="1" count="1" selected="0">
            <x v="5"/>
          </reference>
          <reference field="3" count="1" selected="0">
            <x v="33"/>
          </reference>
          <reference field="8" count="1" selected="0">
            <x v="7"/>
          </reference>
          <reference field="9" count="1" selected="0">
            <x v="0"/>
          </reference>
        </references>
      </pivotArea>
    </format>
    <format dxfId="1119">
      <pivotArea dataOnly="0" labelOnly="1" outline="0" fieldPosition="0">
        <references count="5">
          <reference field="0" count="1">
            <x v="39"/>
          </reference>
          <reference field="1" count="1" selected="0">
            <x v="5"/>
          </reference>
          <reference field="3" count="1" selected="0">
            <x v="1"/>
          </reference>
          <reference field="8" count="1" selected="0">
            <x v="10"/>
          </reference>
          <reference field="9" count="1" selected="0">
            <x v="0"/>
          </reference>
        </references>
      </pivotArea>
    </format>
    <format dxfId="1118">
      <pivotArea dataOnly="0" labelOnly="1" outline="0" fieldPosition="0">
        <references count="5">
          <reference field="0" count="1">
            <x v="46"/>
          </reference>
          <reference field="1" count="1" selected="0">
            <x v="5"/>
          </reference>
          <reference field="3" count="1" selected="0">
            <x v="2"/>
          </reference>
          <reference field="8" count="1" selected="0">
            <x v="10"/>
          </reference>
          <reference field="9" count="1" selected="0">
            <x v="0"/>
          </reference>
        </references>
      </pivotArea>
    </format>
    <format dxfId="1117">
      <pivotArea dataOnly="0" labelOnly="1" outline="0" fieldPosition="0">
        <references count="5">
          <reference field="0" count="1">
            <x v="38"/>
          </reference>
          <reference field="1" count="1" selected="0">
            <x v="5"/>
          </reference>
          <reference field="3" count="1" selected="0">
            <x v="4"/>
          </reference>
          <reference field="8" count="1" selected="0">
            <x v="10"/>
          </reference>
          <reference field="9" count="1" selected="0">
            <x v="0"/>
          </reference>
        </references>
      </pivotArea>
    </format>
    <format dxfId="1116">
      <pivotArea dataOnly="0" labelOnly="1" outline="0" fieldPosition="0">
        <references count="5">
          <reference field="0" count="2">
            <x v="41"/>
            <x v="43"/>
          </reference>
          <reference field="1" count="1" selected="0">
            <x v="5"/>
          </reference>
          <reference field="3" count="1" selected="0">
            <x v="6"/>
          </reference>
          <reference field="8" count="1" selected="0">
            <x v="10"/>
          </reference>
          <reference field="9" count="1" selected="0">
            <x v="0"/>
          </reference>
        </references>
      </pivotArea>
    </format>
    <format dxfId="1115">
      <pivotArea dataOnly="0" labelOnly="1" outline="0" fieldPosition="0">
        <references count="5">
          <reference field="0" count="1">
            <x v="47"/>
          </reference>
          <reference field="1" count="1" selected="0">
            <x v="5"/>
          </reference>
          <reference field="3" count="1" selected="0">
            <x v="9"/>
          </reference>
          <reference field="8" count="1" selected="0">
            <x v="10"/>
          </reference>
          <reference field="9" count="1" selected="0">
            <x v="0"/>
          </reference>
        </references>
      </pivotArea>
    </format>
    <format dxfId="1114">
      <pivotArea dataOnly="0" labelOnly="1" outline="0" fieldPosition="0">
        <references count="5">
          <reference field="0" count="1">
            <x v="29"/>
          </reference>
          <reference field="1" count="1" selected="0">
            <x v="5"/>
          </reference>
          <reference field="3" count="1" selected="0">
            <x v="10"/>
          </reference>
          <reference field="8" count="1" selected="0">
            <x v="10"/>
          </reference>
          <reference field="9" count="1" selected="0">
            <x v="0"/>
          </reference>
        </references>
      </pivotArea>
    </format>
    <format dxfId="1113">
      <pivotArea dataOnly="0" labelOnly="1" outline="0" fieldPosition="0">
        <references count="5">
          <reference field="0" count="1">
            <x v="22"/>
          </reference>
          <reference field="1" count="1" selected="0">
            <x v="5"/>
          </reference>
          <reference field="3" count="1" selected="0">
            <x v="12"/>
          </reference>
          <reference field="8" count="1" selected="0">
            <x v="10"/>
          </reference>
          <reference field="9" count="1" selected="0">
            <x v="0"/>
          </reference>
        </references>
      </pivotArea>
    </format>
    <format dxfId="1112">
      <pivotArea dataOnly="0" labelOnly="1" outline="0" fieldPosition="0">
        <references count="5">
          <reference field="0" count="1">
            <x v="26"/>
          </reference>
          <reference field="1" count="1" selected="0">
            <x v="5"/>
          </reference>
          <reference field="3" count="1" selected="0">
            <x v="15"/>
          </reference>
          <reference field="8" count="1" selected="0">
            <x v="10"/>
          </reference>
          <reference field="9" count="1" selected="0">
            <x v="0"/>
          </reference>
        </references>
      </pivotArea>
    </format>
    <format dxfId="1111">
      <pivotArea dataOnly="0" labelOnly="1" outline="0" fieldPosition="0">
        <references count="5">
          <reference field="0" count="1">
            <x v="28"/>
          </reference>
          <reference field="1" count="1" selected="0">
            <x v="5"/>
          </reference>
          <reference field="3" count="1" selected="0">
            <x v="26"/>
          </reference>
          <reference field="8" count="1" selected="0">
            <x v="10"/>
          </reference>
          <reference field="9" count="1" selected="0">
            <x v="0"/>
          </reference>
        </references>
      </pivotArea>
    </format>
    <format dxfId="1110">
      <pivotArea dataOnly="0" labelOnly="1" outline="0" fieldPosition="0">
        <references count="5">
          <reference field="0" count="1">
            <x v="44"/>
          </reference>
          <reference field="1" count="1" selected="0">
            <x v="5"/>
          </reference>
          <reference field="3" count="1" selected="0">
            <x v="29"/>
          </reference>
          <reference field="8" count="1" selected="0">
            <x v="10"/>
          </reference>
          <reference field="9" count="1" selected="0">
            <x v="0"/>
          </reference>
        </references>
      </pivotArea>
    </format>
    <format dxfId="1109">
      <pivotArea dataOnly="0" labelOnly="1" outline="0" fieldPosition="0">
        <references count="5">
          <reference field="0" count="1">
            <x v="42"/>
          </reference>
          <reference field="1" count="1" selected="0">
            <x v="5"/>
          </reference>
          <reference field="3" count="1" selected="0">
            <x v="42"/>
          </reference>
          <reference field="8" count="1" selected="0">
            <x v="10"/>
          </reference>
          <reference field="9" count="1" selected="0">
            <x v="0"/>
          </reference>
        </references>
      </pivotArea>
    </format>
    <format dxfId="1108">
      <pivotArea dataOnly="0" labelOnly="1" outline="0" fieldPosition="0">
        <references count="5">
          <reference field="0" count="1">
            <x v="27"/>
          </reference>
          <reference field="1" count="1" selected="0">
            <x v="5"/>
          </reference>
          <reference field="3" count="1" selected="0">
            <x v="44"/>
          </reference>
          <reference field="8" count="1" selected="0">
            <x v="10"/>
          </reference>
          <reference field="9" count="1" selected="0">
            <x v="0"/>
          </reference>
        </references>
      </pivotArea>
    </format>
    <format dxfId="1107">
      <pivotArea dataOnly="0" labelOnly="1" outline="0" fieldPosition="0">
        <references count="5">
          <reference field="0" count="1">
            <x v="30"/>
          </reference>
          <reference field="1" count="1" selected="0">
            <x v="5"/>
          </reference>
          <reference field="3" count="1" selected="0">
            <x v="46"/>
          </reference>
          <reference field="8" count="1" selected="0">
            <x v="10"/>
          </reference>
          <reference field="9" count="1" selected="0">
            <x v="0"/>
          </reference>
        </references>
      </pivotArea>
    </format>
    <format dxfId="1106">
      <pivotArea dataOnly="0" labelOnly="1" outline="0" fieldPosition="0">
        <references count="5">
          <reference field="0" count="1">
            <x v="45"/>
          </reference>
          <reference field="1" count="1" selected="0">
            <x v="5"/>
          </reference>
          <reference field="3" count="1" selected="0">
            <x v="47"/>
          </reference>
          <reference field="8" count="1" selected="0">
            <x v="10"/>
          </reference>
          <reference field="9" count="1" selected="0">
            <x v="0"/>
          </reference>
        </references>
      </pivotArea>
    </format>
    <format dxfId="1105">
      <pivotArea dataOnly="0" labelOnly="1" outline="0" fieldPosition="0">
        <references count="5">
          <reference field="0" count="1">
            <x v="23"/>
          </reference>
          <reference field="1" count="1" selected="0">
            <x v="5"/>
          </reference>
          <reference field="3" count="1" selected="0">
            <x v="55"/>
          </reference>
          <reference field="8" count="1" selected="0">
            <x v="10"/>
          </reference>
          <reference field="9" count="1" selected="0">
            <x v="0"/>
          </reference>
        </references>
      </pivotArea>
    </format>
    <format dxfId="1104">
      <pivotArea dataOnly="0" labelOnly="1" outline="0" fieldPosition="0">
        <references count="5">
          <reference field="0" count="1">
            <x v="25"/>
          </reference>
          <reference field="1" count="1" selected="0">
            <x v="5"/>
          </reference>
          <reference field="3" count="1" selected="0">
            <x v="57"/>
          </reference>
          <reference field="8" count="1" selected="0">
            <x v="10"/>
          </reference>
          <reference field="9" count="1" selected="0">
            <x v="0"/>
          </reference>
        </references>
      </pivotArea>
    </format>
    <format dxfId="1103">
      <pivotArea dataOnly="0" labelOnly="1" outline="0" fieldPosition="0">
        <references count="5">
          <reference field="0" count="1">
            <x v="24"/>
          </reference>
          <reference field="1" count="1" selected="0">
            <x v="5"/>
          </reference>
          <reference field="3" count="1" selected="0">
            <x v="62"/>
          </reference>
          <reference field="8" count="1" selected="0">
            <x v="10"/>
          </reference>
          <reference field="9" count="1" selected="0">
            <x v="0"/>
          </reference>
        </references>
      </pivotArea>
    </format>
    <format dxfId="1102">
      <pivotArea dataOnly="0" labelOnly="1" outline="0" fieldPosition="0">
        <references count="5">
          <reference field="0" count="2">
            <x v="40"/>
            <x v="48"/>
          </reference>
          <reference field="1" count="1" selected="0">
            <x v="5"/>
          </reference>
          <reference field="3" count="1" selected="0">
            <x v="63"/>
          </reference>
          <reference field="8" count="1" selected="0">
            <x v="10"/>
          </reference>
          <reference field="9" count="1" selected="0">
            <x v="0"/>
          </reference>
        </references>
      </pivotArea>
    </format>
    <format dxfId="1101">
      <pivotArea dataOnly="0" labelOnly="1" outline="0" fieldPosition="0">
        <references count="5">
          <reference field="0" count="1">
            <x v="49"/>
          </reference>
          <reference field="1" count="1" selected="0">
            <x v="5"/>
          </reference>
          <reference field="3" count="1" selected="0">
            <x v="65"/>
          </reference>
          <reference field="8" count="1" selected="0">
            <x v="10"/>
          </reference>
          <reference field="9" count="1" selected="0">
            <x v="0"/>
          </reference>
        </references>
      </pivotArea>
    </format>
    <format dxfId="1100">
      <pivotArea dataOnly="0" labelOnly="1" outline="0" fieldPosition="0">
        <references count="5">
          <reference field="0" count="1">
            <x v="8"/>
          </reference>
          <reference field="1" count="1" selected="0">
            <x v="5"/>
          </reference>
          <reference field="3" count="1" selected="0">
            <x v="0"/>
          </reference>
          <reference field="8" count="1" selected="0">
            <x v="15"/>
          </reference>
          <reference field="9" count="1" selected="0">
            <x v="0"/>
          </reference>
        </references>
      </pivotArea>
    </format>
    <format dxfId="1099">
      <pivotArea dataOnly="0" labelOnly="1" outline="0" fieldPosition="0">
        <references count="5">
          <reference field="0" count="1">
            <x v="5"/>
          </reference>
          <reference field="1" count="1" selected="0">
            <x v="5"/>
          </reference>
          <reference field="3" count="1" selected="0">
            <x v="8"/>
          </reference>
          <reference field="8" count="1" selected="0">
            <x v="15"/>
          </reference>
          <reference field="9" count="1" selected="0">
            <x v="0"/>
          </reference>
        </references>
      </pivotArea>
    </format>
    <format dxfId="1098">
      <pivotArea dataOnly="0" labelOnly="1" outline="0" fieldPosition="0">
        <references count="5">
          <reference field="0" count="1">
            <x v="10"/>
          </reference>
          <reference field="1" count="1" selected="0">
            <x v="5"/>
          </reference>
          <reference field="3" count="1" selected="0">
            <x v="11"/>
          </reference>
          <reference field="8" count="1" selected="0">
            <x v="15"/>
          </reference>
          <reference field="9" count="1" selected="0">
            <x v="0"/>
          </reference>
        </references>
      </pivotArea>
    </format>
    <format dxfId="1097">
      <pivotArea dataOnly="0" labelOnly="1" outline="0" fieldPosition="0">
        <references count="5">
          <reference field="0" count="1">
            <x v="18"/>
          </reference>
          <reference field="1" count="1" selected="0">
            <x v="5"/>
          </reference>
          <reference field="3" count="1" selected="0">
            <x v="13"/>
          </reference>
          <reference field="8" count="1" selected="0">
            <x v="15"/>
          </reference>
          <reference field="9" count="1" selected="0">
            <x v="0"/>
          </reference>
        </references>
      </pivotArea>
    </format>
    <format dxfId="1096">
      <pivotArea dataOnly="0" labelOnly="1" outline="0" fieldPosition="0">
        <references count="5">
          <reference field="0" count="1">
            <x v="14"/>
          </reference>
          <reference field="1" count="1" selected="0">
            <x v="5"/>
          </reference>
          <reference field="3" count="1" selected="0">
            <x v="16"/>
          </reference>
          <reference field="8" count="1" selected="0">
            <x v="15"/>
          </reference>
          <reference field="9" count="1" selected="0">
            <x v="0"/>
          </reference>
        </references>
      </pivotArea>
    </format>
    <format dxfId="1095">
      <pivotArea dataOnly="0" labelOnly="1" outline="0" fieldPosition="0">
        <references count="5">
          <reference field="0" count="1">
            <x v="32"/>
          </reference>
          <reference field="1" count="1" selected="0">
            <x v="5"/>
          </reference>
          <reference field="3" count="1" selected="0">
            <x v="17"/>
          </reference>
          <reference field="8" count="1" selected="0">
            <x v="15"/>
          </reference>
          <reference field="9" count="1" selected="0">
            <x v="0"/>
          </reference>
        </references>
      </pivotArea>
    </format>
    <format dxfId="1094">
      <pivotArea dataOnly="0" labelOnly="1" outline="0" fieldPosition="0">
        <references count="5">
          <reference field="0" count="2">
            <x v="3"/>
            <x v="17"/>
          </reference>
          <reference field="1" count="1" selected="0">
            <x v="5"/>
          </reference>
          <reference field="3" count="1" selected="0">
            <x v="21"/>
          </reference>
          <reference field="8" count="1" selected="0">
            <x v="15"/>
          </reference>
          <reference field="9" count="1" selected="0">
            <x v="0"/>
          </reference>
        </references>
      </pivotArea>
    </format>
    <format dxfId="1093">
      <pivotArea dataOnly="0" labelOnly="1" outline="0" fieldPosition="0">
        <references count="5">
          <reference field="0" count="1">
            <x v="20"/>
          </reference>
          <reference field="1" count="1" selected="0">
            <x v="5"/>
          </reference>
          <reference field="3" count="1" selected="0">
            <x v="22"/>
          </reference>
          <reference field="8" count="1" selected="0">
            <x v="15"/>
          </reference>
          <reference field="9" count="1" selected="0">
            <x v="0"/>
          </reference>
        </references>
      </pivotArea>
    </format>
    <format dxfId="1092">
      <pivotArea dataOnly="0" labelOnly="1" outline="0" fieldPosition="0">
        <references count="5">
          <reference field="0" count="1">
            <x v="35"/>
          </reference>
          <reference field="1" count="1" selected="0">
            <x v="5"/>
          </reference>
          <reference field="3" count="1" selected="0">
            <x v="27"/>
          </reference>
          <reference field="8" count="1" selected="0">
            <x v="15"/>
          </reference>
          <reference field="9" count="1" selected="0">
            <x v="0"/>
          </reference>
        </references>
      </pivotArea>
    </format>
    <format dxfId="1091">
      <pivotArea dataOnly="0" labelOnly="1" outline="0" fieldPosition="0">
        <references count="5">
          <reference field="0" count="1">
            <x v="11"/>
          </reference>
          <reference field="1" count="1" selected="0">
            <x v="5"/>
          </reference>
          <reference field="3" count="1" selected="0">
            <x v="28"/>
          </reference>
          <reference field="8" count="1" selected="0">
            <x v="15"/>
          </reference>
          <reference field="9" count="1" selected="0">
            <x v="0"/>
          </reference>
        </references>
      </pivotArea>
    </format>
    <format dxfId="1090">
      <pivotArea dataOnly="0" labelOnly="1" outline="0" fieldPosition="0">
        <references count="5">
          <reference field="0" count="1">
            <x v="1"/>
          </reference>
          <reference field="1" count="1" selected="0">
            <x v="5"/>
          </reference>
          <reference field="3" count="1" selected="0">
            <x v="34"/>
          </reference>
          <reference field="8" count="1" selected="0">
            <x v="15"/>
          </reference>
          <reference field="9" count="1" selected="0">
            <x v="0"/>
          </reference>
        </references>
      </pivotArea>
    </format>
    <format dxfId="1089">
      <pivotArea dataOnly="0" labelOnly="1" outline="0" fieldPosition="0">
        <references count="5">
          <reference field="0" count="1">
            <x v="7"/>
          </reference>
          <reference field="1" count="1" selected="0">
            <x v="5"/>
          </reference>
          <reference field="3" count="1" selected="0">
            <x v="36"/>
          </reference>
          <reference field="8" count="1" selected="0">
            <x v="15"/>
          </reference>
          <reference field="9" count="1" selected="0">
            <x v="0"/>
          </reference>
        </references>
      </pivotArea>
    </format>
    <format dxfId="1088">
      <pivotArea dataOnly="0" labelOnly="1" outline="0" fieldPosition="0">
        <references count="5">
          <reference field="0" count="1">
            <x v="4"/>
          </reference>
          <reference field="1" count="1" selected="0">
            <x v="5"/>
          </reference>
          <reference field="3" count="1" selected="0">
            <x v="39"/>
          </reference>
          <reference field="8" count="1" selected="0">
            <x v="15"/>
          </reference>
          <reference field="9" count="1" selected="0">
            <x v="0"/>
          </reference>
        </references>
      </pivotArea>
    </format>
    <format dxfId="1087">
      <pivotArea dataOnly="0" labelOnly="1" outline="0" fieldPosition="0">
        <references count="5">
          <reference field="0" count="1">
            <x v="15"/>
          </reference>
          <reference field="1" count="1" selected="0">
            <x v="5"/>
          </reference>
          <reference field="3" count="1" selected="0">
            <x v="45"/>
          </reference>
          <reference field="8" count="1" selected="0">
            <x v="15"/>
          </reference>
          <reference field="9" count="1" selected="0">
            <x v="0"/>
          </reference>
        </references>
      </pivotArea>
    </format>
    <format dxfId="1086">
      <pivotArea dataOnly="0" labelOnly="1" outline="0" fieldPosition="0">
        <references count="5">
          <reference field="0" count="1">
            <x v="2"/>
          </reference>
          <reference field="1" count="1" selected="0">
            <x v="5"/>
          </reference>
          <reference field="3" count="1" selected="0">
            <x v="50"/>
          </reference>
          <reference field="8" count="1" selected="0">
            <x v="15"/>
          </reference>
          <reference field="9" count="1" selected="0">
            <x v="0"/>
          </reference>
        </references>
      </pivotArea>
    </format>
    <format dxfId="1085">
      <pivotArea dataOnly="0" labelOnly="1" outline="0" fieldPosition="0">
        <references count="5">
          <reference field="0" count="1">
            <x v="6"/>
          </reference>
          <reference field="1" count="1" selected="0">
            <x v="5"/>
          </reference>
          <reference field="3" count="1" selected="0">
            <x v="52"/>
          </reference>
          <reference field="8" count="1" selected="0">
            <x v="15"/>
          </reference>
          <reference field="9" count="1" selected="0">
            <x v="0"/>
          </reference>
        </references>
      </pivotArea>
    </format>
    <format dxfId="1084">
      <pivotArea dataOnly="0" labelOnly="1" outline="0" fieldPosition="0">
        <references count="5">
          <reference field="0" count="1">
            <x v="16"/>
          </reference>
          <reference field="1" count="1" selected="0">
            <x v="5"/>
          </reference>
          <reference field="3" count="1" selected="0">
            <x v="61"/>
          </reference>
          <reference field="8" count="1" selected="0">
            <x v="15"/>
          </reference>
          <reference field="9" count="1" selected="0">
            <x v="0"/>
          </reference>
        </references>
      </pivotArea>
    </format>
    <format dxfId="1083">
      <pivotArea dataOnly="0" labelOnly="1" outline="0" fieldPosition="0">
        <references count="5">
          <reference field="0" count="1">
            <x v="9"/>
          </reference>
          <reference field="1" count="1" selected="0">
            <x v="5"/>
          </reference>
          <reference field="3" count="1" selected="0">
            <x v="66"/>
          </reference>
          <reference field="8" count="1" selected="0">
            <x v="15"/>
          </reference>
          <reference field="9" count="1" selected="0">
            <x v="0"/>
          </reference>
        </references>
      </pivotArea>
    </format>
    <format dxfId="1082">
      <pivotArea dataOnly="0" labelOnly="1" outline="0" fieldPosition="0">
        <references count="5">
          <reference field="0" count="1">
            <x v="19"/>
          </reference>
          <reference field="1" count="1" selected="0">
            <x v="5"/>
          </reference>
          <reference field="3" count="1" selected="0">
            <x v="67"/>
          </reference>
          <reference field="8" count="1" selected="0">
            <x v="15"/>
          </reference>
          <reference field="9" count="1" selected="0">
            <x v="0"/>
          </reference>
        </references>
      </pivotArea>
    </format>
    <format dxfId="1081">
      <pivotArea dataOnly="0" labelOnly="1" outline="0" fieldPosition="0">
        <references count="5">
          <reference field="0" count="1">
            <x v="52"/>
          </reference>
          <reference field="1" count="1" selected="0">
            <x v="5"/>
          </reference>
          <reference field="3" count="1" selected="0">
            <x v="49"/>
          </reference>
          <reference field="8" count="1" selected="0">
            <x v="16"/>
          </reference>
          <reference field="9" count="1" selected="0">
            <x v="0"/>
          </reference>
        </references>
      </pivotArea>
    </format>
    <format dxfId="1080">
      <pivotArea dataOnly="0" labelOnly="1" outline="0" fieldPosition="0">
        <references count="5">
          <reference field="0" count="1">
            <x v="53"/>
          </reference>
          <reference field="1" count="1" selected="0">
            <x v="6"/>
          </reference>
          <reference field="3" count="1" selected="0">
            <x v="19"/>
          </reference>
          <reference field="8" count="1" selected="0">
            <x v="6"/>
          </reference>
          <reference field="9" count="1" selected="0">
            <x v="0"/>
          </reference>
        </references>
      </pivotArea>
    </format>
    <format dxfId="1079">
      <pivotArea dataOnly="0" labelOnly="1" outline="0" fieldPosition="0">
        <references count="6">
          <reference field="0" count="1" selected="0">
            <x v="21"/>
          </reference>
          <reference field="1" count="1" selected="0">
            <x v="0"/>
          </reference>
          <reference field="2" count="1">
            <x v="3"/>
          </reference>
          <reference field="3" count="1" selected="0">
            <x v="22"/>
          </reference>
          <reference field="8" count="1" selected="0">
            <x v="0"/>
          </reference>
          <reference field="9" count="1" selected="0">
            <x v="2"/>
          </reference>
        </references>
      </pivotArea>
    </format>
    <format dxfId="1078">
      <pivotArea dataOnly="0" labelOnly="1" outline="0" fieldPosition="0">
        <references count="6">
          <reference field="0" count="1" selected="0">
            <x v="51"/>
          </reference>
          <reference field="1" count="1" selected="0">
            <x v="0"/>
          </reference>
          <reference field="2" count="1">
            <x v="0"/>
          </reference>
          <reference field="3" count="1" selected="0">
            <x v="24"/>
          </reference>
          <reference field="8" count="1" selected="0">
            <x v="12"/>
          </reference>
          <reference field="9" count="1" selected="0">
            <x v="2"/>
          </reference>
        </references>
      </pivotArea>
    </format>
    <format dxfId="1077">
      <pivotArea dataOnly="0" labelOnly="1" outline="0" fieldPosition="0">
        <references count="6">
          <reference field="0" count="1" selected="0">
            <x v="33"/>
          </reference>
          <reference field="1" count="1" selected="0">
            <x v="1"/>
          </reference>
          <reference field="2" count="1">
            <x v="4"/>
          </reference>
          <reference field="3" count="1" selected="0">
            <x v="18"/>
          </reference>
          <reference field="8" count="1" selected="0">
            <x v="17"/>
          </reference>
          <reference field="9" count="1" selected="0">
            <x v="2"/>
          </reference>
        </references>
      </pivotArea>
    </format>
    <format dxfId="1076">
      <pivotArea dataOnly="0" labelOnly="1" outline="0" fieldPosition="0">
        <references count="6">
          <reference field="0" count="1" selected="0">
            <x v="13"/>
          </reference>
          <reference field="1" count="1" selected="0">
            <x v="1"/>
          </reference>
          <reference field="2" count="1">
            <x v="3"/>
          </reference>
          <reference field="3" count="1" selected="0">
            <x v="23"/>
          </reference>
          <reference field="8" count="1" selected="0">
            <x v="17"/>
          </reference>
          <reference field="9" count="1" selected="0">
            <x v="2"/>
          </reference>
        </references>
      </pivotArea>
    </format>
    <format dxfId="1075">
      <pivotArea dataOnly="0" labelOnly="1" outline="0" fieldPosition="0">
        <references count="6">
          <reference field="0" count="1" selected="0">
            <x v="36"/>
          </reference>
          <reference field="1" count="1" selected="0">
            <x v="3"/>
          </reference>
          <reference field="2" count="1">
            <x v="2"/>
          </reference>
          <reference field="3" count="1" selected="0">
            <x v="14"/>
          </reference>
          <reference field="8" count="1" selected="0">
            <x v="18"/>
          </reference>
          <reference field="9" count="1" selected="0">
            <x v="2"/>
          </reference>
        </references>
      </pivotArea>
    </format>
    <format dxfId="1074">
      <pivotArea dataOnly="0" labelOnly="1" outline="0" fieldPosition="0">
        <references count="6">
          <reference field="0" count="1" selected="0">
            <x v="31"/>
          </reference>
          <reference field="1" count="1" selected="0">
            <x v="3"/>
          </reference>
          <reference field="2" count="1">
            <x v="1"/>
          </reference>
          <reference field="3" count="1" selected="0">
            <x v="25"/>
          </reference>
          <reference field="8" count="1" selected="0">
            <x v="18"/>
          </reference>
          <reference field="9" count="1" selected="0">
            <x v="2"/>
          </reference>
        </references>
      </pivotArea>
    </format>
    <format dxfId="1073">
      <pivotArea dataOnly="0" labelOnly="1" outline="0" fieldPosition="0">
        <references count="6">
          <reference field="0" count="1" selected="0">
            <x v="0"/>
          </reference>
          <reference field="1" count="1" selected="0">
            <x v="2"/>
          </reference>
          <reference field="2" count="1">
            <x v="4"/>
          </reference>
          <reference field="3" count="1" selected="0">
            <x v="37"/>
          </reference>
          <reference field="8" count="1" selected="0">
            <x v="5"/>
          </reference>
          <reference field="9" count="1" selected="0">
            <x v="1"/>
          </reference>
        </references>
      </pivotArea>
    </format>
    <format dxfId="1072">
      <pivotArea dataOnly="0" labelOnly="1" outline="0" fieldPosition="0">
        <references count="6">
          <reference field="0" count="1" selected="0">
            <x v="53"/>
          </reference>
          <reference field="1" count="1" selected="0">
            <x v="7"/>
          </reference>
          <reference field="2" count="1">
            <x v="3"/>
          </reference>
          <reference field="3" count="1" selected="0">
            <x v="51"/>
          </reference>
          <reference field="8" count="1" selected="0">
            <x v="3"/>
          </reference>
          <reference field="9" count="1" selected="0">
            <x v="1"/>
          </reference>
        </references>
      </pivotArea>
    </format>
    <format dxfId="1071">
      <pivotArea dataOnly="0" labelOnly="1" outline="0" fieldPosition="0">
        <references count="6">
          <reference field="0" count="1" selected="0">
            <x v="37"/>
          </reference>
          <reference field="1" count="1" selected="0">
            <x v="4"/>
          </reference>
          <reference field="2" count="1">
            <x v="2"/>
          </reference>
          <reference field="3" count="1" selected="0">
            <x v="38"/>
          </reference>
          <reference field="8" count="1" selected="0">
            <x v="8"/>
          </reference>
          <reference field="9" count="1" selected="0">
            <x v="0"/>
          </reference>
        </references>
      </pivotArea>
    </format>
    <format dxfId="1070">
      <pivotArea dataOnly="0" labelOnly="1" outline="0" fieldPosition="0">
        <references count="6">
          <reference field="0" count="1" selected="0">
            <x v="34"/>
          </reference>
          <reference field="1" count="1" selected="0">
            <x v="5"/>
          </reference>
          <reference field="2" count="1">
            <x v="4"/>
          </reference>
          <reference field="3" count="1" selected="0">
            <x v="33"/>
          </reference>
          <reference field="8" count="1" selected="0">
            <x v="7"/>
          </reference>
          <reference field="9" count="1" selected="0">
            <x v="0"/>
          </reference>
        </references>
      </pivotArea>
    </format>
    <format dxfId="1069">
      <pivotArea dataOnly="0" labelOnly="1" outline="0" fieldPosition="0">
        <references count="6">
          <reference field="0" count="1" selected="0">
            <x v="39"/>
          </reference>
          <reference field="1" count="1" selected="0">
            <x v="5"/>
          </reference>
          <reference field="2" count="1">
            <x v="0"/>
          </reference>
          <reference field="3" count="1" selected="0">
            <x v="1"/>
          </reference>
          <reference field="8" count="1" selected="0">
            <x v="10"/>
          </reference>
          <reference field="9" count="1" selected="0">
            <x v="0"/>
          </reference>
        </references>
      </pivotArea>
    </format>
    <format dxfId="1068">
      <pivotArea dataOnly="0" labelOnly="1" outline="0" fieldPosition="0">
        <references count="6">
          <reference field="0" count="1" selected="0">
            <x v="29"/>
          </reference>
          <reference field="1" count="1" selected="0">
            <x v="5"/>
          </reference>
          <reference field="2" count="1">
            <x v="1"/>
          </reference>
          <reference field="3" count="1" selected="0">
            <x v="10"/>
          </reference>
          <reference field="8" count="1" selected="0">
            <x v="10"/>
          </reference>
          <reference field="9" count="1" selected="0">
            <x v="0"/>
          </reference>
        </references>
      </pivotArea>
    </format>
    <format dxfId="1067">
      <pivotArea dataOnly="0" labelOnly="1" outline="0" fieldPosition="0">
        <references count="6">
          <reference field="0" count="1" selected="0">
            <x v="44"/>
          </reference>
          <reference field="1" count="1" selected="0">
            <x v="5"/>
          </reference>
          <reference field="2" count="1">
            <x v="0"/>
          </reference>
          <reference field="3" count="1" selected="0">
            <x v="29"/>
          </reference>
          <reference field="8" count="1" selected="0">
            <x v="10"/>
          </reference>
          <reference field="9" count="1" selected="0">
            <x v="0"/>
          </reference>
        </references>
      </pivotArea>
    </format>
    <format dxfId="1066">
      <pivotArea dataOnly="0" labelOnly="1" outline="0" fieldPosition="0">
        <references count="6">
          <reference field="0" count="1" selected="0">
            <x v="27"/>
          </reference>
          <reference field="1" count="1" selected="0">
            <x v="5"/>
          </reference>
          <reference field="2" count="1">
            <x v="1"/>
          </reference>
          <reference field="3" count="1" selected="0">
            <x v="44"/>
          </reference>
          <reference field="8" count="1" selected="0">
            <x v="10"/>
          </reference>
          <reference field="9" count="1" selected="0">
            <x v="0"/>
          </reference>
        </references>
      </pivotArea>
    </format>
    <format dxfId="1065">
      <pivotArea dataOnly="0" labelOnly="1" outline="0" fieldPosition="0">
        <references count="6">
          <reference field="0" count="1" selected="0">
            <x v="45"/>
          </reference>
          <reference field="1" count="1" selected="0">
            <x v="5"/>
          </reference>
          <reference field="2" count="1">
            <x v="0"/>
          </reference>
          <reference field="3" count="1" selected="0">
            <x v="47"/>
          </reference>
          <reference field="8" count="1" selected="0">
            <x v="10"/>
          </reference>
          <reference field="9" count="1" selected="0">
            <x v="0"/>
          </reference>
        </references>
      </pivotArea>
    </format>
    <format dxfId="1064">
      <pivotArea dataOnly="0" labelOnly="1" outline="0" fieldPosition="0">
        <references count="6">
          <reference field="0" count="1" selected="0">
            <x v="23"/>
          </reference>
          <reference field="1" count="1" selected="0">
            <x v="5"/>
          </reference>
          <reference field="2" count="1">
            <x v="1"/>
          </reference>
          <reference field="3" count="1" selected="0">
            <x v="55"/>
          </reference>
          <reference field="8" count="1" selected="0">
            <x v="10"/>
          </reference>
          <reference field="9" count="1" selected="0">
            <x v="0"/>
          </reference>
        </references>
      </pivotArea>
    </format>
    <format dxfId="1063">
      <pivotArea dataOnly="0" labelOnly="1" outline="0" fieldPosition="0">
        <references count="6">
          <reference field="0" count="1" selected="0">
            <x v="40"/>
          </reference>
          <reference field="1" count="1" selected="0">
            <x v="5"/>
          </reference>
          <reference field="2" count="1">
            <x v="0"/>
          </reference>
          <reference field="3" count="1" selected="0">
            <x v="63"/>
          </reference>
          <reference field="8" count="1" selected="0">
            <x v="10"/>
          </reference>
          <reference field="9" count="1" selected="0">
            <x v="0"/>
          </reference>
        </references>
      </pivotArea>
    </format>
    <format dxfId="1062">
      <pivotArea dataOnly="0" labelOnly="1" outline="0" fieldPosition="0">
        <references count="6">
          <reference field="0" count="1" selected="0">
            <x v="8"/>
          </reference>
          <reference field="1" count="1" selected="0">
            <x v="5"/>
          </reference>
          <reference field="2" count="1">
            <x v="3"/>
          </reference>
          <reference field="3" count="1" selected="0">
            <x v="0"/>
          </reference>
          <reference field="8" count="1" selected="0">
            <x v="15"/>
          </reference>
          <reference field="9" count="1" selected="0">
            <x v="0"/>
          </reference>
        </references>
      </pivotArea>
    </format>
    <format dxfId="1061">
      <pivotArea dataOnly="0" labelOnly="1" outline="0" fieldPosition="0">
        <references count="6">
          <reference field="0" count="1" selected="0">
            <x v="32"/>
          </reference>
          <reference field="1" count="1" selected="0">
            <x v="5"/>
          </reference>
          <reference field="2" count="1">
            <x v="4"/>
          </reference>
          <reference field="3" count="1" selected="0">
            <x v="17"/>
          </reference>
          <reference field="8" count="1" selected="0">
            <x v="15"/>
          </reference>
          <reference field="9" count="1" selected="0">
            <x v="0"/>
          </reference>
        </references>
      </pivotArea>
    </format>
    <format dxfId="1060">
      <pivotArea dataOnly="0" labelOnly="1" outline="0" fieldPosition="0">
        <references count="6">
          <reference field="0" count="1" selected="0">
            <x v="3"/>
          </reference>
          <reference field="1" count="1" selected="0">
            <x v="5"/>
          </reference>
          <reference field="2" count="1">
            <x v="3"/>
          </reference>
          <reference field="3" count="1" selected="0">
            <x v="21"/>
          </reference>
          <reference field="8" count="1" selected="0">
            <x v="15"/>
          </reference>
          <reference field="9" count="1" selected="0">
            <x v="0"/>
          </reference>
        </references>
      </pivotArea>
    </format>
    <format dxfId="1059">
      <pivotArea dataOnly="0" labelOnly="1" outline="0" fieldPosition="0">
        <references count="6">
          <reference field="0" count="1" selected="0">
            <x v="35"/>
          </reference>
          <reference field="1" count="1" selected="0">
            <x v="5"/>
          </reference>
          <reference field="2" count="1">
            <x v="4"/>
          </reference>
          <reference field="3" count="1" selected="0">
            <x v="27"/>
          </reference>
          <reference field="8" count="1" selected="0">
            <x v="15"/>
          </reference>
          <reference field="9" count="1" selected="0">
            <x v="0"/>
          </reference>
        </references>
      </pivotArea>
    </format>
    <format dxfId="1058">
      <pivotArea dataOnly="0" labelOnly="1" outline="0" fieldPosition="0">
        <references count="6">
          <reference field="0" count="1" selected="0">
            <x v="11"/>
          </reference>
          <reference field="1" count="1" selected="0">
            <x v="5"/>
          </reference>
          <reference field="2" count="1">
            <x v="3"/>
          </reference>
          <reference field="3" count="1" selected="0">
            <x v="28"/>
          </reference>
          <reference field="8" count="1" selected="0">
            <x v="15"/>
          </reference>
          <reference field="9" count="1" selected="0">
            <x v="0"/>
          </reference>
        </references>
      </pivotArea>
    </format>
    <format dxfId="1057">
      <pivotArea dataOnly="0" labelOnly="1" outline="0" fieldPosition="0">
        <references count="6">
          <reference field="0" count="1" selected="0">
            <x v="52"/>
          </reference>
          <reference field="1" count="1" selected="0">
            <x v="5"/>
          </reference>
          <reference field="2" count="1">
            <x v="0"/>
          </reference>
          <reference field="3" count="1" selected="0">
            <x v="49"/>
          </reference>
          <reference field="8" count="1" selected="0">
            <x v="16"/>
          </reference>
          <reference field="9" count="1" selected="0">
            <x v="0"/>
          </reference>
        </references>
      </pivotArea>
    </format>
    <format dxfId="1056">
      <pivotArea dataOnly="0" labelOnly="1" outline="0" fieldPosition="0">
        <references count="6">
          <reference field="0" count="1" selected="0">
            <x v="53"/>
          </reference>
          <reference field="1" count="1" selected="0">
            <x v="6"/>
          </reference>
          <reference field="2" count="1">
            <x v="4"/>
          </reference>
          <reference field="3" count="1" selected="0">
            <x v="19"/>
          </reference>
          <reference field="8" count="1" selected="0">
            <x v="6"/>
          </reference>
          <reference field="9" count="1" selected="0">
            <x v="0"/>
          </reference>
        </references>
      </pivotArea>
    </format>
    <format dxfId="1055">
      <pivotArea dataOnly="0" labelOnly="1" outline="0" fieldPosition="0">
        <references count="6">
          <reference field="0" count="1" selected="0">
            <x v="53"/>
          </reference>
          <reference field="1" count="1" selected="0">
            <x v="7"/>
          </reference>
          <reference field="2" count="1">
            <x v="3"/>
          </reference>
          <reference field="3" count="1" selected="0">
            <x v="31"/>
          </reference>
          <reference field="8" count="1" selected="0">
            <x v="2"/>
          </reference>
          <reference field="9" count="1" selected="0">
            <x v="0"/>
          </reference>
        </references>
      </pivotArea>
    </format>
    <format dxfId="1054">
      <pivotArea dataOnly="0" labelOnly="1" outline="0" fieldPosition="0">
        <references count="6">
          <reference field="0" count="1" selected="0">
            <x v="53"/>
          </reference>
          <reference field="1" count="1" selected="0">
            <x v="7"/>
          </reference>
          <reference field="2" count="1">
            <x v="2"/>
          </reference>
          <reference field="3" count="1" selected="0">
            <x v="3"/>
          </reference>
          <reference field="8" count="1" selected="0">
            <x v="11"/>
          </reference>
          <reference field="9" count="1" selected="0">
            <x v="0"/>
          </reference>
        </references>
      </pivotArea>
    </format>
    <format dxfId="1053">
      <pivotArea dataOnly="0" labelOnly="1" outline="0" fieldPosition="0">
        <references count="6">
          <reference field="0" count="1" selected="0">
            <x v="53"/>
          </reference>
          <reference field="1" count="1" selected="0">
            <x v="8"/>
          </reference>
          <reference field="2" count="1">
            <x v="3"/>
          </reference>
          <reference field="3" count="1" selected="0">
            <x v="43"/>
          </reference>
          <reference field="8" count="1" selected="0">
            <x v="13"/>
          </reference>
          <reference field="9" count="1" selected="0">
            <x v="0"/>
          </reference>
        </references>
      </pivotArea>
    </format>
    <format dxfId="1052">
      <pivotArea dataOnly="0" labelOnly="1" outline="0" fieldPosition="0">
        <references count="6">
          <reference field="0" count="1" selected="0">
            <x v="53"/>
          </reference>
          <reference field="1" count="1" selected="0">
            <x v="8"/>
          </reference>
          <reference field="2" count="1">
            <x v="1"/>
          </reference>
          <reference field="3" count="1" selected="0">
            <x v="30"/>
          </reference>
          <reference field="8" count="1" selected="0">
            <x v="17"/>
          </reference>
          <reference field="9" count="1" selected="0">
            <x v="0"/>
          </reference>
        </references>
      </pivotArea>
    </format>
    <format dxfId="1051">
      <pivotArea dataOnly="0" labelOnly="1" outline="0" fieldPosition="0">
        <references count="7">
          <reference field="0" count="1" selected="0">
            <x v="21"/>
          </reference>
          <reference field="1" count="1" selected="0">
            <x v="0"/>
          </reference>
          <reference field="2" count="1" selected="0">
            <x v="3"/>
          </reference>
          <reference field="3" count="1" selected="0">
            <x v="22"/>
          </reference>
          <reference field="4" count="1">
            <x v="4"/>
          </reference>
          <reference field="8" count="1" selected="0">
            <x v="0"/>
          </reference>
          <reference field="9" count="1" selected="0">
            <x v="2"/>
          </reference>
        </references>
      </pivotArea>
    </format>
    <format dxfId="1050">
      <pivotArea dataOnly="0" labelOnly="1" outline="0" fieldPosition="0">
        <references count="7">
          <reference field="0" count="1" selected="0">
            <x v="12"/>
          </reference>
          <reference field="1" count="1" selected="0">
            <x v="0"/>
          </reference>
          <reference field="2" count="1" selected="0">
            <x v="3"/>
          </reference>
          <reference field="3" count="1" selected="0">
            <x v="59"/>
          </reference>
          <reference field="4" count="1">
            <x v="9"/>
          </reference>
          <reference field="8" count="1" selected="0">
            <x v="9"/>
          </reference>
          <reference field="9" count="1" selected="0">
            <x v="2"/>
          </reference>
        </references>
      </pivotArea>
    </format>
    <format dxfId="1049">
      <pivotArea dataOnly="0" labelOnly="1" outline="0" fieldPosition="0">
        <references count="7">
          <reference field="0" count="1" selected="0">
            <x v="51"/>
          </reference>
          <reference field="1" count="1" selected="0">
            <x v="0"/>
          </reference>
          <reference field="2" count="1" selected="0">
            <x v="0"/>
          </reference>
          <reference field="3" count="1" selected="0">
            <x v="24"/>
          </reference>
          <reference field="4" count="1">
            <x v="3"/>
          </reference>
          <reference field="8" count="1" selected="0">
            <x v="12"/>
          </reference>
          <reference field="9" count="1" selected="0">
            <x v="2"/>
          </reference>
        </references>
      </pivotArea>
    </format>
    <format dxfId="1048">
      <pivotArea dataOnly="0" labelOnly="1" outline="0" fieldPosition="0">
        <references count="7">
          <reference field="0" count="1" selected="0">
            <x v="50"/>
          </reference>
          <reference field="1" count="1" selected="0">
            <x v="1"/>
          </reference>
          <reference field="2" count="1" selected="0">
            <x v="0"/>
          </reference>
          <reference field="3" count="1" selected="0">
            <x v="32"/>
          </reference>
          <reference field="4" count="1">
            <x v="10"/>
          </reference>
          <reference field="8" count="1" selected="0">
            <x v="14"/>
          </reference>
          <reference field="9" count="1" selected="0">
            <x v="2"/>
          </reference>
        </references>
      </pivotArea>
    </format>
    <format dxfId="1047">
      <pivotArea dataOnly="0" labelOnly="1" outline="0" fieldPosition="0">
        <references count="7">
          <reference field="0" count="1" selected="0">
            <x v="33"/>
          </reference>
          <reference field="1" count="1" selected="0">
            <x v="1"/>
          </reference>
          <reference field="2" count="1" selected="0">
            <x v="4"/>
          </reference>
          <reference field="3" count="1" selected="0">
            <x v="18"/>
          </reference>
          <reference field="4" count="1">
            <x v="16"/>
          </reference>
          <reference field="8" count="1" selected="0">
            <x v="17"/>
          </reference>
          <reference field="9" count="1" selected="0">
            <x v="2"/>
          </reference>
        </references>
      </pivotArea>
    </format>
    <format dxfId="1046">
      <pivotArea dataOnly="0" labelOnly="1" outline="0" fieldPosition="0">
        <references count="7">
          <reference field="0" count="1" selected="0">
            <x v="13"/>
          </reference>
          <reference field="1" count="1" selected="0">
            <x v="1"/>
          </reference>
          <reference field="2" count="1" selected="0">
            <x v="3"/>
          </reference>
          <reference field="3" count="1" selected="0">
            <x v="23"/>
          </reference>
          <reference field="4" count="1">
            <x v="4"/>
          </reference>
          <reference field="8" count="1" selected="0">
            <x v="17"/>
          </reference>
          <reference field="9" count="1" selected="0">
            <x v="2"/>
          </reference>
        </references>
      </pivotArea>
    </format>
    <format dxfId="1045">
      <pivotArea dataOnly="0" labelOnly="1" outline="0" fieldPosition="0">
        <references count="7">
          <reference field="0" count="1" selected="0">
            <x v="36"/>
          </reference>
          <reference field="1" count="1" selected="0">
            <x v="3"/>
          </reference>
          <reference field="2" count="1" selected="0">
            <x v="2"/>
          </reference>
          <reference field="3" count="1" selected="0">
            <x v="14"/>
          </reference>
          <reference field="4" count="1">
            <x v="12"/>
          </reference>
          <reference field="8" count="1" selected="0">
            <x v="18"/>
          </reference>
          <reference field="9" count="1" selected="0">
            <x v="2"/>
          </reference>
        </references>
      </pivotArea>
    </format>
    <format dxfId="1044">
      <pivotArea dataOnly="0" labelOnly="1" outline="0" fieldPosition="0">
        <references count="7">
          <reference field="0" count="1" selected="0">
            <x v="31"/>
          </reference>
          <reference field="1" count="1" selected="0">
            <x v="3"/>
          </reference>
          <reference field="2" count="1" selected="0">
            <x v="1"/>
          </reference>
          <reference field="3" count="1" selected="0">
            <x v="25"/>
          </reference>
          <reference field="4" count="1">
            <x v="7"/>
          </reference>
          <reference field="8" count="1" selected="0">
            <x v="18"/>
          </reference>
          <reference field="9" count="1" selected="0">
            <x v="2"/>
          </reference>
        </references>
      </pivotArea>
    </format>
    <format dxfId="1043">
      <pivotArea dataOnly="0" labelOnly="1" outline="0" fieldPosition="0">
        <references count="7">
          <reference field="0" count="1" selected="0">
            <x v="0"/>
          </reference>
          <reference field="1" count="1" selected="0">
            <x v="2"/>
          </reference>
          <reference field="2" count="1" selected="0">
            <x v="4"/>
          </reference>
          <reference field="3" count="1" selected="0">
            <x v="37"/>
          </reference>
          <reference field="4" count="1">
            <x v="0"/>
          </reference>
          <reference field="8" count="1" selected="0">
            <x v="5"/>
          </reference>
          <reference field="9" count="1" selected="0">
            <x v="1"/>
          </reference>
        </references>
      </pivotArea>
    </format>
    <format dxfId="1042">
      <pivotArea dataOnly="0" labelOnly="1" outline="0" fieldPosition="0">
        <references count="7">
          <reference field="0" count="1" selected="0">
            <x v="53"/>
          </reference>
          <reference field="1" count="1" selected="0">
            <x v="7"/>
          </reference>
          <reference field="2" count="1" selected="0">
            <x v="3"/>
          </reference>
          <reference field="3" count="1" selected="0">
            <x v="51"/>
          </reference>
          <reference field="4" count="1">
            <x v="6"/>
          </reference>
          <reference field="8" count="1" selected="0">
            <x v="3"/>
          </reference>
          <reference field="9" count="1" selected="0">
            <x v="1"/>
          </reference>
        </references>
      </pivotArea>
    </format>
    <format dxfId="1041">
      <pivotArea dataOnly="0" labelOnly="1" outline="0" fieldPosition="0">
        <references count="7">
          <reference field="0" count="1" selected="0">
            <x v="37"/>
          </reference>
          <reference field="1" count="1" selected="0">
            <x v="4"/>
          </reference>
          <reference field="2" count="1" selected="0">
            <x v="2"/>
          </reference>
          <reference field="3" count="1" selected="0">
            <x v="38"/>
          </reference>
          <reference field="4" count="1">
            <x v="13"/>
          </reference>
          <reference field="8" count="1" selected="0">
            <x v="8"/>
          </reference>
          <reference field="9" count="1" selected="0">
            <x v="0"/>
          </reference>
        </references>
      </pivotArea>
    </format>
    <format dxfId="1040">
      <pivotArea dataOnly="0" labelOnly="1" outline="0" fieldPosition="0">
        <references count="7">
          <reference field="0" count="1" selected="0">
            <x v="34"/>
          </reference>
          <reference field="1" count="1" selected="0">
            <x v="5"/>
          </reference>
          <reference field="2" count="1" selected="0">
            <x v="4"/>
          </reference>
          <reference field="3" count="1" selected="0">
            <x v="33"/>
          </reference>
          <reference field="4" count="1">
            <x v="14"/>
          </reference>
          <reference field="8" count="1" selected="0">
            <x v="7"/>
          </reference>
          <reference field="9" count="1" selected="0">
            <x v="0"/>
          </reference>
        </references>
      </pivotArea>
    </format>
    <format dxfId="1039">
      <pivotArea dataOnly="0" labelOnly="1" outline="0" fieldPosition="0">
        <references count="7">
          <reference field="0" count="1" selected="0">
            <x v="39"/>
          </reference>
          <reference field="1" count="1" selected="0">
            <x v="5"/>
          </reference>
          <reference field="2" count="1" selected="0">
            <x v="0"/>
          </reference>
          <reference field="3" count="1" selected="0">
            <x v="1"/>
          </reference>
          <reference field="4" count="1">
            <x v="3"/>
          </reference>
          <reference field="8" count="1" selected="0">
            <x v="10"/>
          </reference>
          <reference field="9" count="1" selected="0">
            <x v="0"/>
          </reference>
        </references>
      </pivotArea>
    </format>
    <format dxfId="1038">
      <pivotArea dataOnly="0" labelOnly="1" outline="0" fieldPosition="0">
        <references count="7">
          <reference field="0" count="1" selected="0">
            <x v="46"/>
          </reference>
          <reference field="1" count="1" selected="0">
            <x v="5"/>
          </reference>
          <reference field="2" count="1" selected="0">
            <x v="0"/>
          </reference>
          <reference field="3" count="1" selected="0">
            <x v="2"/>
          </reference>
          <reference field="4" count="1">
            <x v="2"/>
          </reference>
          <reference field="8" count="1" selected="0">
            <x v="10"/>
          </reference>
          <reference field="9" count="1" selected="0">
            <x v="0"/>
          </reference>
        </references>
      </pivotArea>
    </format>
    <format dxfId="1037">
      <pivotArea dataOnly="0" labelOnly="1" outline="0" fieldPosition="0">
        <references count="7">
          <reference field="0" count="1" selected="0">
            <x v="38"/>
          </reference>
          <reference field="1" count="1" selected="0">
            <x v="5"/>
          </reference>
          <reference field="2" count="1" selected="0">
            <x v="0"/>
          </reference>
          <reference field="3" count="1" selected="0">
            <x v="4"/>
          </reference>
          <reference field="4" count="1">
            <x v="3"/>
          </reference>
          <reference field="8" count="1" selected="0">
            <x v="10"/>
          </reference>
          <reference field="9" count="1" selected="0">
            <x v="0"/>
          </reference>
        </references>
      </pivotArea>
    </format>
    <format dxfId="1036">
      <pivotArea dataOnly="0" labelOnly="1" outline="0" fieldPosition="0">
        <references count="7">
          <reference field="0" count="1" selected="0">
            <x v="47"/>
          </reference>
          <reference field="1" count="1" selected="0">
            <x v="5"/>
          </reference>
          <reference field="2" count="1" selected="0">
            <x v="0"/>
          </reference>
          <reference field="3" count="1" selected="0">
            <x v="9"/>
          </reference>
          <reference field="4" count="1">
            <x v="2"/>
          </reference>
          <reference field="8" count="1" selected="0">
            <x v="10"/>
          </reference>
          <reference field="9" count="1" selected="0">
            <x v="0"/>
          </reference>
        </references>
      </pivotArea>
    </format>
    <format dxfId="1035">
      <pivotArea dataOnly="0" labelOnly="1" outline="0" fieldPosition="0">
        <references count="7">
          <reference field="0" count="1" selected="0">
            <x v="29"/>
          </reference>
          <reference field="1" count="1" selected="0">
            <x v="5"/>
          </reference>
          <reference field="2" count="1" selected="0">
            <x v="1"/>
          </reference>
          <reference field="3" count="1" selected="0">
            <x v="10"/>
          </reference>
          <reference field="4" count="1">
            <x v="7"/>
          </reference>
          <reference field="8" count="1" selected="0">
            <x v="10"/>
          </reference>
          <reference field="9" count="1" selected="0">
            <x v="0"/>
          </reference>
        </references>
      </pivotArea>
    </format>
    <format dxfId="1034">
      <pivotArea dataOnly="0" labelOnly="1" outline="0" fieldPosition="0">
        <references count="7">
          <reference field="0" count="1" selected="0">
            <x v="44"/>
          </reference>
          <reference field="1" count="1" selected="0">
            <x v="5"/>
          </reference>
          <reference field="2" count="1" selected="0">
            <x v="0"/>
          </reference>
          <reference field="3" count="1" selected="0">
            <x v="29"/>
          </reference>
          <reference field="4" count="1">
            <x v="3"/>
          </reference>
          <reference field="8" count="1" selected="0">
            <x v="10"/>
          </reference>
          <reference field="9" count="1" selected="0">
            <x v="0"/>
          </reference>
        </references>
      </pivotArea>
    </format>
    <format dxfId="1033">
      <pivotArea dataOnly="0" labelOnly="1" outline="0" fieldPosition="0">
        <references count="7">
          <reference field="0" count="1" selected="0">
            <x v="27"/>
          </reference>
          <reference field="1" count="1" selected="0">
            <x v="5"/>
          </reference>
          <reference field="2" count="1" selected="0">
            <x v="1"/>
          </reference>
          <reference field="3" count="1" selected="0">
            <x v="44"/>
          </reference>
          <reference field="4" count="1">
            <x v="7"/>
          </reference>
          <reference field="8" count="1" selected="0">
            <x v="10"/>
          </reference>
          <reference field="9" count="1" selected="0">
            <x v="0"/>
          </reference>
        </references>
      </pivotArea>
    </format>
    <format dxfId="1032">
      <pivotArea dataOnly="0" labelOnly="1" outline="0" fieldPosition="0">
        <references count="7">
          <reference field="0" count="1" selected="0">
            <x v="45"/>
          </reference>
          <reference field="1" count="1" selected="0">
            <x v="5"/>
          </reference>
          <reference field="2" count="1" selected="0">
            <x v="0"/>
          </reference>
          <reference field="3" count="1" selected="0">
            <x v="47"/>
          </reference>
          <reference field="4" count="1">
            <x v="3"/>
          </reference>
          <reference field="8" count="1" selected="0">
            <x v="10"/>
          </reference>
          <reference field="9" count="1" selected="0">
            <x v="0"/>
          </reference>
        </references>
      </pivotArea>
    </format>
    <format dxfId="1031">
      <pivotArea dataOnly="0" labelOnly="1" outline="0" fieldPosition="0">
        <references count="7">
          <reference field="0" count="1" selected="0">
            <x v="23"/>
          </reference>
          <reference field="1" count="1" selected="0">
            <x v="5"/>
          </reference>
          <reference field="2" count="1" selected="0">
            <x v="1"/>
          </reference>
          <reference field="3" count="1" selected="0">
            <x v="55"/>
          </reference>
          <reference field="4" count="1">
            <x v="7"/>
          </reference>
          <reference field="8" count="1" selected="0">
            <x v="10"/>
          </reference>
          <reference field="9" count="1" selected="0">
            <x v="0"/>
          </reference>
        </references>
      </pivotArea>
    </format>
    <format dxfId="1030">
      <pivotArea dataOnly="0" labelOnly="1" outline="0" fieldPosition="0">
        <references count="7">
          <reference field="0" count="1" selected="0">
            <x v="40"/>
          </reference>
          <reference field="1" count="1" selected="0">
            <x v="5"/>
          </reference>
          <reference field="2" count="1" selected="0">
            <x v="0"/>
          </reference>
          <reference field="3" count="1" selected="0">
            <x v="63"/>
          </reference>
          <reference field="4" count="1">
            <x v="2"/>
          </reference>
          <reference field="8" count="1" selected="0">
            <x v="10"/>
          </reference>
          <reference field="9" count="1" selected="0">
            <x v="0"/>
          </reference>
        </references>
      </pivotArea>
    </format>
    <format dxfId="1029">
      <pivotArea dataOnly="0" labelOnly="1" outline="0" fieldPosition="0">
        <references count="7">
          <reference field="0" count="1" selected="0">
            <x v="8"/>
          </reference>
          <reference field="1" count="1" selected="0">
            <x v="5"/>
          </reference>
          <reference field="2" count="1" selected="0">
            <x v="3"/>
          </reference>
          <reference field="3" count="1" selected="0">
            <x v="0"/>
          </reference>
          <reference field="4" count="1">
            <x v="1"/>
          </reference>
          <reference field="8" count="1" selected="0">
            <x v="15"/>
          </reference>
          <reference field="9" count="1" selected="0">
            <x v="0"/>
          </reference>
        </references>
      </pivotArea>
    </format>
    <format dxfId="1028">
      <pivotArea dataOnly="0" labelOnly="1" outline="0" fieldPosition="0">
        <references count="7">
          <reference field="0" count="1" selected="0">
            <x v="5"/>
          </reference>
          <reference field="1" count="1" selected="0">
            <x v="5"/>
          </reference>
          <reference field="2" count="1" selected="0">
            <x v="3"/>
          </reference>
          <reference field="3" count="1" selected="0">
            <x v="8"/>
          </reference>
          <reference field="4" count="1">
            <x v="4"/>
          </reference>
          <reference field="8" count="1" selected="0">
            <x v="15"/>
          </reference>
          <reference field="9" count="1" selected="0">
            <x v="0"/>
          </reference>
        </references>
      </pivotArea>
    </format>
    <format dxfId="1027">
      <pivotArea dataOnly="0" labelOnly="1" outline="0" fieldPosition="0">
        <references count="7">
          <reference field="0" count="1" selected="0">
            <x v="10"/>
          </reference>
          <reference field="1" count="1" selected="0">
            <x v="5"/>
          </reference>
          <reference field="2" count="1" selected="0">
            <x v="3"/>
          </reference>
          <reference field="3" count="1" selected="0">
            <x v="11"/>
          </reference>
          <reference field="4" count="1">
            <x v="1"/>
          </reference>
          <reference field="8" count="1" selected="0">
            <x v="15"/>
          </reference>
          <reference field="9" count="1" selected="0">
            <x v="0"/>
          </reference>
        </references>
      </pivotArea>
    </format>
    <format dxfId="1026">
      <pivotArea dataOnly="0" labelOnly="1" outline="0" fieldPosition="0">
        <references count="7">
          <reference field="0" count="1" selected="0">
            <x v="18"/>
          </reference>
          <reference field="1" count="1" selected="0">
            <x v="5"/>
          </reference>
          <reference field="2" count="1" selected="0">
            <x v="3"/>
          </reference>
          <reference field="3" count="1" selected="0">
            <x v="13"/>
          </reference>
          <reference field="4" count="1">
            <x v="4"/>
          </reference>
          <reference field="8" count="1" selected="0">
            <x v="15"/>
          </reference>
          <reference field="9" count="1" selected="0">
            <x v="0"/>
          </reference>
        </references>
      </pivotArea>
    </format>
    <format dxfId="1025">
      <pivotArea dataOnly="0" labelOnly="1" outline="0" fieldPosition="0">
        <references count="7">
          <reference field="0" count="1" selected="0">
            <x v="32"/>
          </reference>
          <reference field="1" count="1" selected="0">
            <x v="5"/>
          </reference>
          <reference field="2" count="1" selected="0">
            <x v="4"/>
          </reference>
          <reference field="3" count="1" selected="0">
            <x v="17"/>
          </reference>
          <reference field="4" count="1">
            <x v="2"/>
          </reference>
          <reference field="8" count="1" selected="0">
            <x v="15"/>
          </reference>
          <reference field="9" count="1" selected="0">
            <x v="0"/>
          </reference>
        </references>
      </pivotArea>
    </format>
    <format dxfId="1024">
      <pivotArea dataOnly="0" labelOnly="1" outline="0" fieldPosition="0">
        <references count="7">
          <reference field="0" count="1" selected="0">
            <x v="3"/>
          </reference>
          <reference field="1" count="1" selected="0">
            <x v="5"/>
          </reference>
          <reference field="2" count="1" selected="0">
            <x v="3"/>
          </reference>
          <reference field="3" count="1" selected="0">
            <x v="21"/>
          </reference>
          <reference field="4" count="1">
            <x v="4"/>
          </reference>
          <reference field="8" count="1" selected="0">
            <x v="15"/>
          </reference>
          <reference field="9" count="1" selected="0">
            <x v="0"/>
          </reference>
        </references>
      </pivotArea>
    </format>
    <format dxfId="1023">
      <pivotArea dataOnly="0" labelOnly="1" outline="0" fieldPosition="0">
        <references count="7">
          <reference field="0" count="1" selected="0">
            <x v="35"/>
          </reference>
          <reference field="1" count="1" selected="0">
            <x v="5"/>
          </reference>
          <reference field="2" count="1" selected="0">
            <x v="4"/>
          </reference>
          <reference field="3" count="1" selected="0">
            <x v="27"/>
          </reference>
          <reference field="4" count="1">
            <x v="3"/>
          </reference>
          <reference field="8" count="1" selected="0">
            <x v="15"/>
          </reference>
          <reference field="9" count="1" selected="0">
            <x v="0"/>
          </reference>
        </references>
      </pivotArea>
    </format>
    <format dxfId="1022">
      <pivotArea dataOnly="0" labelOnly="1" outline="0" fieldPosition="0">
        <references count="7">
          <reference field="0" count="1" selected="0">
            <x v="11"/>
          </reference>
          <reference field="1" count="1" selected="0">
            <x v="5"/>
          </reference>
          <reference field="2" count="1" selected="0">
            <x v="3"/>
          </reference>
          <reference field="3" count="1" selected="0">
            <x v="28"/>
          </reference>
          <reference field="4" count="1">
            <x v="1"/>
          </reference>
          <reference field="8" count="1" selected="0">
            <x v="15"/>
          </reference>
          <reference field="9" count="1" selected="0">
            <x v="0"/>
          </reference>
        </references>
      </pivotArea>
    </format>
    <format dxfId="1021">
      <pivotArea dataOnly="0" labelOnly="1" outline="0" fieldPosition="0">
        <references count="7">
          <reference field="0" count="1" selected="0">
            <x v="1"/>
          </reference>
          <reference field="1" count="1" selected="0">
            <x v="5"/>
          </reference>
          <reference field="2" count="1" selected="0">
            <x v="3"/>
          </reference>
          <reference field="3" count="1" selected="0">
            <x v="34"/>
          </reference>
          <reference field="4" count="1">
            <x v="4"/>
          </reference>
          <reference field="8" count="1" selected="0">
            <x v="15"/>
          </reference>
          <reference field="9" count="1" selected="0">
            <x v="0"/>
          </reference>
        </references>
      </pivotArea>
    </format>
    <format dxfId="1020">
      <pivotArea dataOnly="0" labelOnly="1" outline="0" fieldPosition="0">
        <references count="7">
          <reference field="0" count="1" selected="0">
            <x v="7"/>
          </reference>
          <reference field="1" count="1" selected="0">
            <x v="5"/>
          </reference>
          <reference field="2" count="1" selected="0">
            <x v="3"/>
          </reference>
          <reference field="3" count="1" selected="0">
            <x v="36"/>
          </reference>
          <reference field="4" count="1">
            <x v="1"/>
          </reference>
          <reference field="8" count="1" selected="0">
            <x v="15"/>
          </reference>
          <reference field="9" count="1" selected="0">
            <x v="0"/>
          </reference>
        </references>
      </pivotArea>
    </format>
    <format dxfId="1019">
      <pivotArea dataOnly="0" labelOnly="1" outline="0" fieldPosition="0">
        <references count="7">
          <reference field="0" count="1" selected="0">
            <x v="4"/>
          </reference>
          <reference field="1" count="1" selected="0">
            <x v="5"/>
          </reference>
          <reference field="2" count="1" selected="0">
            <x v="3"/>
          </reference>
          <reference field="3" count="1" selected="0">
            <x v="39"/>
          </reference>
          <reference field="4" count="1">
            <x v="4"/>
          </reference>
          <reference field="8" count="1" selected="0">
            <x v="15"/>
          </reference>
          <reference field="9" count="1" selected="0">
            <x v="0"/>
          </reference>
        </references>
      </pivotArea>
    </format>
    <format dxfId="1018">
      <pivotArea dataOnly="0" labelOnly="1" outline="0" fieldPosition="0">
        <references count="7">
          <reference field="0" count="1" selected="0">
            <x v="6"/>
          </reference>
          <reference field="1" count="1" selected="0">
            <x v="5"/>
          </reference>
          <reference field="2" count="1" selected="0">
            <x v="3"/>
          </reference>
          <reference field="3" count="1" selected="0">
            <x v="52"/>
          </reference>
          <reference field="4" count="1">
            <x v="1"/>
          </reference>
          <reference field="8" count="1" selected="0">
            <x v="15"/>
          </reference>
          <reference field="9" count="1" selected="0">
            <x v="0"/>
          </reference>
        </references>
      </pivotArea>
    </format>
    <format dxfId="1017">
      <pivotArea dataOnly="0" labelOnly="1" outline="0" fieldPosition="0">
        <references count="7">
          <reference field="0" count="1" selected="0">
            <x v="16"/>
          </reference>
          <reference field="1" count="1" selected="0">
            <x v="5"/>
          </reference>
          <reference field="2" count="1" selected="0">
            <x v="3"/>
          </reference>
          <reference field="3" count="1" selected="0">
            <x v="61"/>
          </reference>
          <reference field="4" count="1">
            <x v="4"/>
          </reference>
          <reference field="8" count="1" selected="0">
            <x v="15"/>
          </reference>
          <reference field="9" count="1" selected="0">
            <x v="0"/>
          </reference>
        </references>
      </pivotArea>
    </format>
    <format dxfId="1016">
      <pivotArea dataOnly="0" labelOnly="1" outline="0" fieldPosition="0">
        <references count="7">
          <reference field="0" count="1" selected="0">
            <x v="9"/>
          </reference>
          <reference field="1" count="1" selected="0">
            <x v="5"/>
          </reference>
          <reference field="2" count="1" selected="0">
            <x v="3"/>
          </reference>
          <reference field="3" count="1" selected="0">
            <x v="66"/>
          </reference>
          <reference field="4" count="1">
            <x v="1"/>
          </reference>
          <reference field="8" count="1" selected="0">
            <x v="15"/>
          </reference>
          <reference field="9" count="1" selected="0">
            <x v="0"/>
          </reference>
        </references>
      </pivotArea>
    </format>
    <format dxfId="1015">
      <pivotArea dataOnly="0" labelOnly="1" outline="0" fieldPosition="0">
        <references count="7">
          <reference field="0" count="1" selected="0">
            <x v="19"/>
          </reference>
          <reference field="1" count="1" selected="0">
            <x v="5"/>
          </reference>
          <reference field="2" count="1" selected="0">
            <x v="3"/>
          </reference>
          <reference field="3" count="1" selected="0">
            <x v="67"/>
          </reference>
          <reference field="4" count="1">
            <x v="4"/>
          </reference>
          <reference field="8" count="1" selected="0">
            <x v="15"/>
          </reference>
          <reference field="9" count="1" selected="0">
            <x v="0"/>
          </reference>
        </references>
      </pivotArea>
    </format>
    <format dxfId="1014">
      <pivotArea dataOnly="0" labelOnly="1" outline="0" fieldPosition="0">
        <references count="7">
          <reference field="0" count="1" selected="0">
            <x v="52"/>
          </reference>
          <reference field="1" count="1" selected="0">
            <x v="5"/>
          </reference>
          <reference field="2" count="1" selected="0">
            <x v="0"/>
          </reference>
          <reference field="3" count="1" selected="0">
            <x v="49"/>
          </reference>
          <reference field="4" count="1">
            <x v="10"/>
          </reference>
          <reference field="8" count="1" selected="0">
            <x v="16"/>
          </reference>
          <reference field="9" count="1" selected="0">
            <x v="0"/>
          </reference>
        </references>
      </pivotArea>
    </format>
    <format dxfId="1013">
      <pivotArea dataOnly="0" labelOnly="1" outline="0" fieldPosition="0">
        <references count="7">
          <reference field="0" count="1" selected="0">
            <x v="53"/>
          </reference>
          <reference field="1" count="1" selected="0">
            <x v="6"/>
          </reference>
          <reference field="2" count="1" selected="0">
            <x v="4"/>
          </reference>
          <reference field="3" count="1" selected="0">
            <x v="19"/>
          </reference>
          <reference field="4" count="1">
            <x v="8"/>
          </reference>
          <reference field="8" count="1" selected="0">
            <x v="6"/>
          </reference>
          <reference field="9" count="1" selected="0">
            <x v="0"/>
          </reference>
        </references>
      </pivotArea>
    </format>
    <format dxfId="1012">
      <pivotArea dataOnly="0" labelOnly="1" outline="0" fieldPosition="0">
        <references count="7">
          <reference field="0" count="1" selected="0">
            <x v="53"/>
          </reference>
          <reference field="1" count="1" selected="0">
            <x v="7"/>
          </reference>
          <reference field="2" count="1" selected="0">
            <x v="4"/>
          </reference>
          <reference field="3" count="1" selected="0">
            <x v="5"/>
          </reference>
          <reference field="4" count="1">
            <x v="16"/>
          </reference>
          <reference field="8" count="1" selected="0">
            <x v="1"/>
          </reference>
          <reference field="9" count="1" selected="0">
            <x v="0"/>
          </reference>
        </references>
      </pivotArea>
    </format>
    <format dxfId="1011">
      <pivotArea dataOnly="0" labelOnly="1" outline="0" fieldPosition="0">
        <references count="7">
          <reference field="0" count="1" selected="0">
            <x v="53"/>
          </reference>
          <reference field="1" count="1" selected="0">
            <x v="7"/>
          </reference>
          <reference field="2" count="1" selected="0">
            <x v="3"/>
          </reference>
          <reference field="3" count="1" selected="0">
            <x v="31"/>
          </reference>
          <reference field="4" count="1">
            <x v="11"/>
          </reference>
          <reference field="8" count="1" selected="0">
            <x v="2"/>
          </reference>
          <reference field="9" count="1" selected="0">
            <x v="0"/>
          </reference>
        </references>
      </pivotArea>
    </format>
    <format dxfId="1010">
      <pivotArea dataOnly="0" labelOnly="1" outline="0" fieldPosition="0">
        <references count="7">
          <reference field="0" count="1" selected="0">
            <x v="53"/>
          </reference>
          <reference field="1" count="1" selected="0">
            <x v="7"/>
          </reference>
          <reference field="2" count="1" selected="0">
            <x v="2"/>
          </reference>
          <reference field="3" count="1" selected="0">
            <x v="3"/>
          </reference>
          <reference field="4" count="1">
            <x v="5"/>
          </reference>
          <reference field="8" count="1" selected="0">
            <x v="11"/>
          </reference>
          <reference field="9" count="1" selected="0">
            <x v="0"/>
          </reference>
        </references>
      </pivotArea>
    </format>
    <format dxfId="1009">
      <pivotArea dataOnly="0" labelOnly="1" outline="0" fieldPosition="0">
        <references count="7">
          <reference field="0" count="1" selected="0">
            <x v="53"/>
          </reference>
          <reference field="1" count="1" selected="0">
            <x v="8"/>
          </reference>
          <reference field="2" count="1" selected="0">
            <x v="3"/>
          </reference>
          <reference field="3" count="1" selected="0">
            <x v="43"/>
          </reference>
          <reference field="4" count="1">
            <x v="4"/>
          </reference>
          <reference field="8" count="1" selected="0">
            <x v="13"/>
          </reference>
          <reference field="9" count="1" selected="0">
            <x v="0"/>
          </reference>
        </references>
      </pivotArea>
    </format>
    <format dxfId="1008">
      <pivotArea dataOnly="0" labelOnly="1" outline="0" fieldPosition="0">
        <references count="7">
          <reference field="0" count="1" selected="0">
            <x v="53"/>
          </reference>
          <reference field="1" count="1" selected="0">
            <x v="8"/>
          </reference>
          <reference field="2" count="1" selected="0">
            <x v="1"/>
          </reference>
          <reference field="3" count="1" selected="0">
            <x v="30"/>
          </reference>
          <reference field="4" count="1">
            <x v="15"/>
          </reference>
          <reference field="8" count="1" selected="0">
            <x v="17"/>
          </reference>
          <reference field="9" count="1" selected="0">
            <x v="0"/>
          </reference>
        </references>
      </pivotArea>
    </format>
    <format dxfId="1007">
      <pivotArea dataOnly="0" labelOnly="1" outline="0" fieldPosition="0">
        <references count="8">
          <reference field="0" count="1" selected="0">
            <x v="21"/>
          </reference>
          <reference field="1" count="1" selected="0">
            <x v="0"/>
          </reference>
          <reference field="2" count="1" selected="0">
            <x v="3"/>
          </reference>
          <reference field="3" count="1" selected="0">
            <x v="22"/>
          </reference>
          <reference field="4" count="1" selected="0">
            <x v="4"/>
          </reference>
          <reference field="5" count="1">
            <x v="1"/>
          </reference>
          <reference field="8" count="1" selected="0">
            <x v="0"/>
          </reference>
          <reference field="9" count="1" selected="0">
            <x v="2"/>
          </reference>
        </references>
      </pivotArea>
    </format>
    <format dxfId="1006">
      <pivotArea dataOnly="0" labelOnly="1" outline="0" fieldPosition="0">
        <references count="8">
          <reference field="0" count="1" selected="0">
            <x v="12"/>
          </reference>
          <reference field="1" count="1" selected="0">
            <x v="0"/>
          </reference>
          <reference field="2" count="1" selected="0">
            <x v="3"/>
          </reference>
          <reference field="3" count="1" selected="0">
            <x v="59"/>
          </reference>
          <reference field="4" count="1" selected="0">
            <x v="9"/>
          </reference>
          <reference field="5" count="1">
            <x v="1"/>
          </reference>
          <reference field="8" count="1" selected="0">
            <x v="9"/>
          </reference>
          <reference field="9" count="1" selected="0">
            <x v="2"/>
          </reference>
        </references>
      </pivotArea>
    </format>
    <format dxfId="1005">
      <pivotArea dataOnly="0" labelOnly="1" outline="0" fieldPosition="0">
        <references count="8">
          <reference field="0" count="1" selected="0">
            <x v="51"/>
          </reference>
          <reference field="1" count="1" selected="0">
            <x v="0"/>
          </reference>
          <reference field="2" count="1" selected="0">
            <x v="0"/>
          </reference>
          <reference field="3" count="1" selected="0">
            <x v="24"/>
          </reference>
          <reference field="4" count="1" selected="0">
            <x v="3"/>
          </reference>
          <reference field="5" count="1">
            <x v="1"/>
          </reference>
          <reference field="8" count="1" selected="0">
            <x v="12"/>
          </reference>
          <reference field="9" count="1" selected="0">
            <x v="2"/>
          </reference>
        </references>
      </pivotArea>
    </format>
    <format dxfId="1004">
      <pivotArea dataOnly="0" labelOnly="1" outline="0" fieldPosition="0">
        <references count="8">
          <reference field="0" count="1" selected="0">
            <x v="50"/>
          </reference>
          <reference field="1" count="1" selected="0">
            <x v="1"/>
          </reference>
          <reference field="2" count="1" selected="0">
            <x v="0"/>
          </reference>
          <reference field="3" count="1" selected="0">
            <x v="32"/>
          </reference>
          <reference field="4" count="1" selected="0">
            <x v="10"/>
          </reference>
          <reference field="5" count="1">
            <x v="1"/>
          </reference>
          <reference field="8" count="1" selected="0">
            <x v="14"/>
          </reference>
          <reference field="9" count="1" selected="0">
            <x v="2"/>
          </reference>
        </references>
      </pivotArea>
    </format>
    <format dxfId="1003">
      <pivotArea dataOnly="0" labelOnly="1" outline="0" fieldPosition="0">
        <references count="8">
          <reference field="0" count="1" selected="0">
            <x v="33"/>
          </reference>
          <reference field="1" count="1" selected="0">
            <x v="1"/>
          </reference>
          <reference field="2" count="1" selected="0">
            <x v="4"/>
          </reference>
          <reference field="3" count="1" selected="0">
            <x v="18"/>
          </reference>
          <reference field="4" count="1" selected="0">
            <x v="16"/>
          </reference>
          <reference field="5" count="1">
            <x v="0"/>
          </reference>
          <reference field="8" count="1" selected="0">
            <x v="17"/>
          </reference>
          <reference field="9" count="1" selected="0">
            <x v="2"/>
          </reference>
        </references>
      </pivotArea>
    </format>
    <format dxfId="1002">
      <pivotArea dataOnly="0" labelOnly="1" outline="0" fieldPosition="0">
        <references count="8">
          <reference field="0" count="1" selected="0">
            <x v="13"/>
          </reference>
          <reference field="1" count="1" selected="0">
            <x v="1"/>
          </reference>
          <reference field="2" count="1" selected="0">
            <x v="3"/>
          </reference>
          <reference field="3" count="1" selected="0">
            <x v="23"/>
          </reference>
          <reference field="4" count="1" selected="0">
            <x v="4"/>
          </reference>
          <reference field="5" count="1">
            <x v="1"/>
          </reference>
          <reference field="8" count="1" selected="0">
            <x v="17"/>
          </reference>
          <reference field="9" count="1" selected="0">
            <x v="2"/>
          </reference>
        </references>
      </pivotArea>
    </format>
    <format dxfId="1001">
      <pivotArea dataOnly="0" labelOnly="1" outline="0" fieldPosition="0">
        <references count="8">
          <reference field="0" count="1" selected="0">
            <x v="36"/>
          </reference>
          <reference field="1" count="1" selected="0">
            <x v="3"/>
          </reference>
          <reference field="2" count="1" selected="0">
            <x v="2"/>
          </reference>
          <reference field="3" count="1" selected="0">
            <x v="14"/>
          </reference>
          <reference field="4" count="1" selected="0">
            <x v="12"/>
          </reference>
          <reference field="5" count="1">
            <x v="0"/>
          </reference>
          <reference field="8" count="1" selected="0">
            <x v="18"/>
          </reference>
          <reference field="9" count="1" selected="0">
            <x v="2"/>
          </reference>
        </references>
      </pivotArea>
    </format>
    <format dxfId="1000">
      <pivotArea dataOnly="0" labelOnly="1" outline="0" fieldPosition="0">
        <references count="8">
          <reference field="0" count="1" selected="0">
            <x v="31"/>
          </reference>
          <reference field="1" count="1" selected="0">
            <x v="3"/>
          </reference>
          <reference field="2" count="1" selected="0">
            <x v="1"/>
          </reference>
          <reference field="3" count="1" selected="0">
            <x v="25"/>
          </reference>
          <reference field="4" count="1" selected="0">
            <x v="7"/>
          </reference>
          <reference field="5" count="1">
            <x v="1"/>
          </reference>
          <reference field="8" count="1" selected="0">
            <x v="18"/>
          </reference>
          <reference field="9" count="1" selected="0">
            <x v="2"/>
          </reference>
        </references>
      </pivotArea>
    </format>
    <format dxfId="999">
      <pivotArea dataOnly="0" labelOnly="1" outline="0" fieldPosition="0">
        <references count="8">
          <reference field="0" count="1" selected="0">
            <x v="0"/>
          </reference>
          <reference field="1" count="1" selected="0">
            <x v="2"/>
          </reference>
          <reference field="2" count="1" selected="0">
            <x v="4"/>
          </reference>
          <reference field="3" count="1" selected="0">
            <x v="37"/>
          </reference>
          <reference field="4" count="1" selected="0">
            <x v="0"/>
          </reference>
          <reference field="5" count="1">
            <x v="1"/>
          </reference>
          <reference field="8" count="1" selected="0">
            <x v="5"/>
          </reference>
          <reference field="9" count="1" selected="0">
            <x v="1"/>
          </reference>
        </references>
      </pivotArea>
    </format>
    <format dxfId="998">
      <pivotArea dataOnly="0" labelOnly="1" outline="0" fieldPosition="0">
        <references count="8">
          <reference field="0" count="1" selected="0">
            <x v="53"/>
          </reference>
          <reference field="1" count="1" selected="0">
            <x v="7"/>
          </reference>
          <reference field="2" count="1" selected="0">
            <x v="3"/>
          </reference>
          <reference field="3" count="1" selected="0">
            <x v="51"/>
          </reference>
          <reference field="4" count="1" selected="0">
            <x v="6"/>
          </reference>
          <reference field="5" count="1">
            <x v="1"/>
          </reference>
          <reference field="8" count="1" selected="0">
            <x v="3"/>
          </reference>
          <reference field="9" count="1" selected="0">
            <x v="1"/>
          </reference>
        </references>
      </pivotArea>
    </format>
    <format dxfId="997">
      <pivotArea dataOnly="0" labelOnly="1" outline="0" fieldPosition="0">
        <references count="8">
          <reference field="0" count="1" selected="0">
            <x v="53"/>
          </reference>
          <reference field="1" count="1" selected="0">
            <x v="7"/>
          </reference>
          <reference field="2" count="1" selected="0">
            <x v="3"/>
          </reference>
          <reference field="3" count="1" selected="0">
            <x v="51"/>
          </reference>
          <reference field="4" count="1" selected="0">
            <x v="6"/>
          </reference>
          <reference field="5" count="1">
            <x v="1"/>
          </reference>
          <reference field="8" count="1" selected="0">
            <x v="4"/>
          </reference>
          <reference field="9" count="1" selected="0">
            <x v="1"/>
          </reference>
        </references>
      </pivotArea>
    </format>
    <format dxfId="996">
      <pivotArea dataOnly="0" labelOnly="1" outline="0" fieldPosition="0">
        <references count="8">
          <reference field="0" count="1" selected="0">
            <x v="37"/>
          </reference>
          <reference field="1" count="1" selected="0">
            <x v="4"/>
          </reference>
          <reference field="2" count="1" selected="0">
            <x v="2"/>
          </reference>
          <reference field="3" count="1" selected="0">
            <x v="38"/>
          </reference>
          <reference field="4" count="1" selected="0">
            <x v="13"/>
          </reference>
          <reference field="5" count="1">
            <x v="2"/>
          </reference>
          <reference field="8" count="1" selected="0">
            <x v="8"/>
          </reference>
          <reference field="9" count="1" selected="0">
            <x v="0"/>
          </reference>
        </references>
      </pivotArea>
    </format>
    <format dxfId="995">
      <pivotArea dataOnly="0" labelOnly="1" outline="0" fieldPosition="0">
        <references count="8">
          <reference field="0" count="1" selected="0">
            <x v="34"/>
          </reference>
          <reference field="1" count="1" selected="0">
            <x v="5"/>
          </reference>
          <reference field="2" count="1" selected="0">
            <x v="4"/>
          </reference>
          <reference field="3" count="1" selected="0">
            <x v="33"/>
          </reference>
          <reference field="4" count="1" selected="0">
            <x v="14"/>
          </reference>
          <reference field="5" count="1">
            <x v="1"/>
          </reference>
          <reference field="8" count="1" selected="0">
            <x v="7"/>
          </reference>
          <reference field="9" count="1" selected="0">
            <x v="0"/>
          </reference>
        </references>
      </pivotArea>
    </format>
    <format dxfId="994">
      <pivotArea dataOnly="0" labelOnly="1" outline="0" fieldPosition="0">
        <references count="8">
          <reference field="0" count="1" selected="0">
            <x v="39"/>
          </reference>
          <reference field="1" count="1" selected="0">
            <x v="5"/>
          </reference>
          <reference field="2" count="1" selected="0">
            <x v="0"/>
          </reference>
          <reference field="3" count="1" selected="0">
            <x v="1"/>
          </reference>
          <reference field="4" count="1" selected="0">
            <x v="3"/>
          </reference>
          <reference field="5" count="1">
            <x v="1"/>
          </reference>
          <reference field="8" count="1" selected="0">
            <x v="10"/>
          </reference>
          <reference field="9" count="1" selected="0">
            <x v="0"/>
          </reference>
        </references>
      </pivotArea>
    </format>
    <format dxfId="993">
      <pivotArea dataOnly="0" labelOnly="1" outline="0" fieldPosition="0">
        <references count="8">
          <reference field="0" count="1" selected="0">
            <x v="46"/>
          </reference>
          <reference field="1" count="1" selected="0">
            <x v="5"/>
          </reference>
          <reference field="2" count="1" selected="0">
            <x v="0"/>
          </reference>
          <reference field="3" count="1" selected="0">
            <x v="2"/>
          </reference>
          <reference field="4" count="1" selected="0">
            <x v="2"/>
          </reference>
          <reference field="5" count="1">
            <x v="1"/>
          </reference>
          <reference field="8" count="1" selected="0">
            <x v="10"/>
          </reference>
          <reference field="9" count="1" selected="0">
            <x v="0"/>
          </reference>
        </references>
      </pivotArea>
    </format>
    <format dxfId="992">
      <pivotArea dataOnly="0" labelOnly="1" outline="0" fieldPosition="0">
        <references count="8">
          <reference field="0" count="1" selected="0">
            <x v="38"/>
          </reference>
          <reference field="1" count="1" selected="0">
            <x v="5"/>
          </reference>
          <reference field="2" count="1" selected="0">
            <x v="0"/>
          </reference>
          <reference field="3" count="1" selected="0">
            <x v="4"/>
          </reference>
          <reference field="4" count="1" selected="0">
            <x v="3"/>
          </reference>
          <reference field="5" count="1">
            <x v="1"/>
          </reference>
          <reference field="8" count="1" selected="0">
            <x v="10"/>
          </reference>
          <reference field="9" count="1" selected="0">
            <x v="0"/>
          </reference>
        </references>
      </pivotArea>
    </format>
    <format dxfId="991">
      <pivotArea dataOnly="0" labelOnly="1" outline="0" fieldPosition="0">
        <references count="8">
          <reference field="0" count="1" selected="0">
            <x v="41"/>
          </reference>
          <reference field="1" count="1" selected="0">
            <x v="5"/>
          </reference>
          <reference field="2" count="1" selected="0">
            <x v="0"/>
          </reference>
          <reference field="3" count="1" selected="0">
            <x v="6"/>
          </reference>
          <reference field="4" count="1" selected="0">
            <x v="3"/>
          </reference>
          <reference field="5" count="1">
            <x v="1"/>
          </reference>
          <reference field="8" count="1" selected="0">
            <x v="10"/>
          </reference>
          <reference field="9" count="1" selected="0">
            <x v="0"/>
          </reference>
        </references>
      </pivotArea>
    </format>
    <format dxfId="990">
      <pivotArea dataOnly="0" labelOnly="1" outline="0" fieldPosition="0">
        <references count="8">
          <reference field="0" count="1" selected="0">
            <x v="43"/>
          </reference>
          <reference field="1" count="1" selected="0">
            <x v="5"/>
          </reference>
          <reference field="2" count="1" selected="0">
            <x v="0"/>
          </reference>
          <reference field="3" count="1" selected="0">
            <x v="6"/>
          </reference>
          <reference field="4" count="1" selected="0">
            <x v="3"/>
          </reference>
          <reference field="5" count="1">
            <x v="1"/>
          </reference>
          <reference field="8" count="1" selected="0">
            <x v="10"/>
          </reference>
          <reference field="9" count="1" selected="0">
            <x v="0"/>
          </reference>
        </references>
      </pivotArea>
    </format>
    <format dxfId="989">
      <pivotArea dataOnly="0" labelOnly="1" outline="0" fieldPosition="0">
        <references count="8">
          <reference field="0" count="1" selected="0">
            <x v="47"/>
          </reference>
          <reference field="1" count="1" selected="0">
            <x v="5"/>
          </reference>
          <reference field="2" count="1" selected="0">
            <x v="0"/>
          </reference>
          <reference field="3" count="1" selected="0">
            <x v="9"/>
          </reference>
          <reference field="4" count="1" selected="0">
            <x v="2"/>
          </reference>
          <reference field="5" count="1">
            <x v="1"/>
          </reference>
          <reference field="8" count="1" selected="0">
            <x v="10"/>
          </reference>
          <reference field="9" count="1" selected="0">
            <x v="0"/>
          </reference>
        </references>
      </pivotArea>
    </format>
    <format dxfId="988">
      <pivotArea dataOnly="0" labelOnly="1" outline="0" fieldPosition="0">
        <references count="8">
          <reference field="0" count="1" selected="0">
            <x v="29"/>
          </reference>
          <reference field="1" count="1" selected="0">
            <x v="5"/>
          </reference>
          <reference field="2" count="1" selected="0">
            <x v="1"/>
          </reference>
          <reference field="3" count="1" selected="0">
            <x v="10"/>
          </reference>
          <reference field="4" count="1" selected="0">
            <x v="7"/>
          </reference>
          <reference field="5" count="1">
            <x v="1"/>
          </reference>
          <reference field="8" count="1" selected="0">
            <x v="10"/>
          </reference>
          <reference field="9" count="1" selected="0">
            <x v="0"/>
          </reference>
        </references>
      </pivotArea>
    </format>
    <format dxfId="987">
      <pivotArea dataOnly="0" labelOnly="1" outline="0" fieldPosition="0">
        <references count="8">
          <reference field="0" count="1" selected="0">
            <x v="22"/>
          </reference>
          <reference field="1" count="1" selected="0">
            <x v="5"/>
          </reference>
          <reference field="2" count="1" selected="0">
            <x v="1"/>
          </reference>
          <reference field="3" count="1" selected="0">
            <x v="12"/>
          </reference>
          <reference field="4" count="1" selected="0">
            <x v="7"/>
          </reference>
          <reference field="5" count="1">
            <x v="1"/>
          </reference>
          <reference field="8" count="1" selected="0">
            <x v="10"/>
          </reference>
          <reference field="9" count="1" selected="0">
            <x v="0"/>
          </reference>
        </references>
      </pivotArea>
    </format>
    <format dxfId="986">
      <pivotArea dataOnly="0" labelOnly="1" outline="0" fieldPosition="0">
        <references count="8">
          <reference field="0" count="1" selected="0">
            <x v="26"/>
          </reference>
          <reference field="1" count="1" selected="0">
            <x v="5"/>
          </reference>
          <reference field="2" count="1" selected="0">
            <x v="1"/>
          </reference>
          <reference field="3" count="1" selected="0">
            <x v="15"/>
          </reference>
          <reference field="4" count="1" selected="0">
            <x v="7"/>
          </reference>
          <reference field="5" count="1">
            <x v="1"/>
          </reference>
          <reference field="8" count="1" selected="0">
            <x v="10"/>
          </reference>
          <reference field="9" count="1" selected="0">
            <x v="0"/>
          </reference>
        </references>
      </pivotArea>
    </format>
    <format dxfId="985">
      <pivotArea dataOnly="0" labelOnly="1" outline="0" fieldPosition="0">
        <references count="8">
          <reference field="0" count="1" selected="0">
            <x v="28"/>
          </reference>
          <reference field="1" count="1" selected="0">
            <x v="5"/>
          </reference>
          <reference field="2" count="1" selected="0">
            <x v="1"/>
          </reference>
          <reference field="3" count="1" selected="0">
            <x v="26"/>
          </reference>
          <reference field="4" count="1" selected="0">
            <x v="7"/>
          </reference>
          <reference field="5" count="1">
            <x v="1"/>
          </reference>
          <reference field="8" count="1" selected="0">
            <x v="10"/>
          </reference>
          <reference field="9" count="1" selected="0">
            <x v="0"/>
          </reference>
        </references>
      </pivotArea>
    </format>
    <format dxfId="984">
      <pivotArea dataOnly="0" labelOnly="1" outline="0" fieldPosition="0">
        <references count="8">
          <reference field="0" count="1" selected="0">
            <x v="44"/>
          </reference>
          <reference field="1" count="1" selected="0">
            <x v="5"/>
          </reference>
          <reference field="2" count="1" selected="0">
            <x v="0"/>
          </reference>
          <reference field="3" count="1" selected="0">
            <x v="29"/>
          </reference>
          <reference field="4" count="1" selected="0">
            <x v="3"/>
          </reference>
          <reference field="5" count="1">
            <x v="1"/>
          </reference>
          <reference field="8" count="1" selected="0">
            <x v="10"/>
          </reference>
          <reference field="9" count="1" selected="0">
            <x v="0"/>
          </reference>
        </references>
      </pivotArea>
    </format>
    <format dxfId="983">
      <pivotArea dataOnly="0" labelOnly="1" outline="0" fieldPosition="0">
        <references count="8">
          <reference field="0" count="1" selected="0">
            <x v="42"/>
          </reference>
          <reference field="1" count="1" selected="0">
            <x v="5"/>
          </reference>
          <reference field="2" count="1" selected="0">
            <x v="0"/>
          </reference>
          <reference field="3" count="1" selected="0">
            <x v="42"/>
          </reference>
          <reference field="4" count="1" selected="0">
            <x v="3"/>
          </reference>
          <reference field="5" count="1">
            <x v="1"/>
          </reference>
          <reference field="8" count="1" selected="0">
            <x v="10"/>
          </reference>
          <reference field="9" count="1" selected="0">
            <x v="0"/>
          </reference>
        </references>
      </pivotArea>
    </format>
    <format dxfId="982">
      <pivotArea dataOnly="0" labelOnly="1" outline="0" fieldPosition="0">
        <references count="8">
          <reference field="0" count="1" selected="0">
            <x v="27"/>
          </reference>
          <reference field="1" count="1" selected="0">
            <x v="5"/>
          </reference>
          <reference field="2" count="1" selected="0">
            <x v="1"/>
          </reference>
          <reference field="3" count="1" selected="0">
            <x v="44"/>
          </reference>
          <reference field="4" count="1" selected="0">
            <x v="7"/>
          </reference>
          <reference field="5" count="1">
            <x v="1"/>
          </reference>
          <reference field="8" count="1" selected="0">
            <x v="10"/>
          </reference>
          <reference field="9" count="1" selected="0">
            <x v="0"/>
          </reference>
        </references>
      </pivotArea>
    </format>
    <format dxfId="981">
      <pivotArea dataOnly="0" labelOnly="1" outline="0" fieldPosition="0">
        <references count="8">
          <reference field="0" count="1" selected="0">
            <x v="30"/>
          </reference>
          <reference field="1" count="1" selected="0">
            <x v="5"/>
          </reference>
          <reference field="2" count="1" selected="0">
            <x v="1"/>
          </reference>
          <reference field="3" count="1" selected="0">
            <x v="46"/>
          </reference>
          <reference field="4" count="1" selected="0">
            <x v="7"/>
          </reference>
          <reference field="5" count="1">
            <x v="1"/>
          </reference>
          <reference field="8" count="1" selected="0">
            <x v="10"/>
          </reference>
          <reference field="9" count="1" selected="0">
            <x v="0"/>
          </reference>
        </references>
      </pivotArea>
    </format>
    <format dxfId="980">
      <pivotArea dataOnly="0" labelOnly="1" outline="0" fieldPosition="0">
        <references count="8">
          <reference field="0" count="1" selected="0">
            <x v="45"/>
          </reference>
          <reference field="1" count="1" selected="0">
            <x v="5"/>
          </reference>
          <reference field="2" count="1" selected="0">
            <x v="0"/>
          </reference>
          <reference field="3" count="1" selected="0">
            <x v="47"/>
          </reference>
          <reference field="4" count="1" selected="0">
            <x v="3"/>
          </reference>
          <reference field="5" count="1">
            <x v="1"/>
          </reference>
          <reference field="8" count="1" selected="0">
            <x v="10"/>
          </reference>
          <reference field="9" count="1" selected="0">
            <x v="0"/>
          </reference>
        </references>
      </pivotArea>
    </format>
    <format dxfId="979">
      <pivotArea dataOnly="0" labelOnly="1" outline="0" fieldPosition="0">
        <references count="8">
          <reference field="0" count="1" selected="0">
            <x v="23"/>
          </reference>
          <reference field="1" count="1" selected="0">
            <x v="5"/>
          </reference>
          <reference field="2" count="1" selected="0">
            <x v="1"/>
          </reference>
          <reference field="3" count="1" selected="0">
            <x v="55"/>
          </reference>
          <reference field="4" count="1" selected="0">
            <x v="7"/>
          </reference>
          <reference field="5" count="1">
            <x v="1"/>
          </reference>
          <reference field="8" count="1" selected="0">
            <x v="10"/>
          </reference>
          <reference field="9" count="1" selected="0">
            <x v="0"/>
          </reference>
        </references>
      </pivotArea>
    </format>
    <format dxfId="978">
      <pivotArea dataOnly="0" labelOnly="1" outline="0" fieldPosition="0">
        <references count="8">
          <reference field="0" count="1" selected="0">
            <x v="25"/>
          </reference>
          <reference field="1" count="1" selected="0">
            <x v="5"/>
          </reference>
          <reference field="2" count="1" selected="0">
            <x v="1"/>
          </reference>
          <reference field="3" count="1" selected="0">
            <x v="57"/>
          </reference>
          <reference field="4" count="1" selected="0">
            <x v="7"/>
          </reference>
          <reference field="5" count="1">
            <x v="1"/>
          </reference>
          <reference field="8" count="1" selected="0">
            <x v="10"/>
          </reference>
          <reference field="9" count="1" selected="0">
            <x v="0"/>
          </reference>
        </references>
      </pivotArea>
    </format>
    <format dxfId="977">
      <pivotArea dataOnly="0" labelOnly="1" outline="0" fieldPosition="0">
        <references count="8">
          <reference field="0" count="1" selected="0">
            <x v="24"/>
          </reference>
          <reference field="1" count="1" selected="0">
            <x v="5"/>
          </reference>
          <reference field="2" count="1" selected="0">
            <x v="1"/>
          </reference>
          <reference field="3" count="1" selected="0">
            <x v="62"/>
          </reference>
          <reference field="4" count="1" selected="0">
            <x v="7"/>
          </reference>
          <reference field="5" count="1">
            <x v="1"/>
          </reference>
          <reference field="8" count="1" selected="0">
            <x v="10"/>
          </reference>
          <reference field="9" count="1" selected="0">
            <x v="0"/>
          </reference>
        </references>
      </pivotArea>
    </format>
    <format dxfId="976">
      <pivotArea dataOnly="0" labelOnly="1" outline="0" fieldPosition="0">
        <references count="8">
          <reference field="0" count="1" selected="0">
            <x v="40"/>
          </reference>
          <reference field="1" count="1" selected="0">
            <x v="5"/>
          </reference>
          <reference field="2" count="1" selected="0">
            <x v="0"/>
          </reference>
          <reference field="3" count="1" selected="0">
            <x v="63"/>
          </reference>
          <reference field="4" count="1" selected="0">
            <x v="2"/>
          </reference>
          <reference field="5" count="1">
            <x v="1"/>
          </reference>
          <reference field="8" count="1" selected="0">
            <x v="10"/>
          </reference>
          <reference field="9" count="1" selected="0">
            <x v="0"/>
          </reference>
        </references>
      </pivotArea>
    </format>
    <format dxfId="975">
      <pivotArea dataOnly="0" labelOnly="1" outline="0" fieldPosition="0">
        <references count="8">
          <reference field="0" count="1" selected="0">
            <x v="48"/>
          </reference>
          <reference field="1" count="1" selected="0">
            <x v="5"/>
          </reference>
          <reference field="2" count="1" selected="0">
            <x v="0"/>
          </reference>
          <reference field="3" count="1" selected="0">
            <x v="63"/>
          </reference>
          <reference field="4" count="1" selected="0">
            <x v="2"/>
          </reference>
          <reference field="5" count="1">
            <x v="1"/>
          </reference>
          <reference field="8" count="1" selected="0">
            <x v="10"/>
          </reference>
          <reference field="9" count="1" selected="0">
            <x v="0"/>
          </reference>
        </references>
      </pivotArea>
    </format>
    <format dxfId="974">
      <pivotArea dataOnly="0" labelOnly="1" outline="0" fieldPosition="0">
        <references count="8">
          <reference field="0" count="1" selected="0">
            <x v="49"/>
          </reference>
          <reference field="1" count="1" selected="0">
            <x v="5"/>
          </reference>
          <reference field="2" count="1" selected="0">
            <x v="0"/>
          </reference>
          <reference field="3" count="1" selected="0">
            <x v="65"/>
          </reference>
          <reference field="4" count="1" selected="0">
            <x v="2"/>
          </reference>
          <reference field="5" count="1">
            <x v="1"/>
          </reference>
          <reference field="8" count="1" selected="0">
            <x v="10"/>
          </reference>
          <reference field="9" count="1" selected="0">
            <x v="0"/>
          </reference>
        </references>
      </pivotArea>
    </format>
    <format dxfId="973">
      <pivotArea dataOnly="0" labelOnly="1" outline="0" fieldPosition="0">
        <references count="8">
          <reference field="0" count="1" selected="0">
            <x v="8"/>
          </reference>
          <reference field="1" count="1" selected="0">
            <x v="5"/>
          </reference>
          <reference field="2" count="1" selected="0">
            <x v="3"/>
          </reference>
          <reference field="3" count="1" selected="0">
            <x v="0"/>
          </reference>
          <reference field="4" count="1" selected="0">
            <x v="1"/>
          </reference>
          <reference field="5" count="1">
            <x v="1"/>
          </reference>
          <reference field="8" count="1" selected="0">
            <x v="15"/>
          </reference>
          <reference field="9" count="1" selected="0">
            <x v="0"/>
          </reference>
        </references>
      </pivotArea>
    </format>
    <format dxfId="972">
      <pivotArea dataOnly="0" labelOnly="1" outline="0" fieldPosition="0">
        <references count="8">
          <reference field="0" count="1" selected="0">
            <x v="5"/>
          </reference>
          <reference field="1" count="1" selected="0">
            <x v="5"/>
          </reference>
          <reference field="2" count="1" selected="0">
            <x v="3"/>
          </reference>
          <reference field="3" count="1" selected="0">
            <x v="8"/>
          </reference>
          <reference field="4" count="1" selected="0">
            <x v="4"/>
          </reference>
          <reference field="5" count="1">
            <x v="1"/>
          </reference>
          <reference field="8" count="1" selected="0">
            <x v="15"/>
          </reference>
          <reference field="9" count="1" selected="0">
            <x v="0"/>
          </reference>
        </references>
      </pivotArea>
    </format>
    <format dxfId="971">
      <pivotArea dataOnly="0" labelOnly="1" outline="0" fieldPosition="0">
        <references count="8">
          <reference field="0" count="1" selected="0">
            <x v="10"/>
          </reference>
          <reference field="1" count="1" selected="0">
            <x v="5"/>
          </reference>
          <reference field="2" count="1" selected="0">
            <x v="3"/>
          </reference>
          <reference field="3" count="1" selected="0">
            <x v="11"/>
          </reference>
          <reference field="4" count="1" selected="0">
            <x v="1"/>
          </reference>
          <reference field="5" count="1">
            <x v="1"/>
          </reference>
          <reference field="8" count="1" selected="0">
            <x v="15"/>
          </reference>
          <reference field="9" count="1" selected="0">
            <x v="0"/>
          </reference>
        </references>
      </pivotArea>
    </format>
    <format dxfId="970">
      <pivotArea dataOnly="0" labelOnly="1" outline="0" fieldPosition="0">
        <references count="8">
          <reference field="0" count="1" selected="0">
            <x v="18"/>
          </reference>
          <reference field="1" count="1" selected="0">
            <x v="5"/>
          </reference>
          <reference field="2" count="1" selected="0">
            <x v="3"/>
          </reference>
          <reference field="3" count="1" selected="0">
            <x v="13"/>
          </reference>
          <reference field="4" count="1" selected="0">
            <x v="4"/>
          </reference>
          <reference field="5" count="1">
            <x v="1"/>
          </reference>
          <reference field="8" count="1" selected="0">
            <x v="15"/>
          </reference>
          <reference field="9" count="1" selected="0">
            <x v="0"/>
          </reference>
        </references>
      </pivotArea>
    </format>
    <format dxfId="969">
      <pivotArea dataOnly="0" labelOnly="1" outline="0" fieldPosition="0">
        <references count="8">
          <reference field="0" count="1" selected="0">
            <x v="14"/>
          </reference>
          <reference field="1" count="1" selected="0">
            <x v="5"/>
          </reference>
          <reference field="2" count="1" selected="0">
            <x v="3"/>
          </reference>
          <reference field="3" count="1" selected="0">
            <x v="16"/>
          </reference>
          <reference field="4" count="1" selected="0">
            <x v="4"/>
          </reference>
          <reference field="5" count="1">
            <x v="1"/>
          </reference>
          <reference field="8" count="1" selected="0">
            <x v="15"/>
          </reference>
          <reference field="9" count="1" selected="0">
            <x v="0"/>
          </reference>
        </references>
      </pivotArea>
    </format>
    <format dxfId="968">
      <pivotArea dataOnly="0" labelOnly="1" outline="0" fieldPosition="0">
        <references count="8">
          <reference field="0" count="1" selected="0">
            <x v="32"/>
          </reference>
          <reference field="1" count="1" selected="0">
            <x v="5"/>
          </reference>
          <reference field="2" count="1" selected="0">
            <x v="4"/>
          </reference>
          <reference field="3" count="1" selected="0">
            <x v="17"/>
          </reference>
          <reference field="4" count="1" selected="0">
            <x v="2"/>
          </reference>
          <reference field="5" count="1">
            <x v="1"/>
          </reference>
          <reference field="8" count="1" selected="0">
            <x v="15"/>
          </reference>
          <reference field="9" count="1" selected="0">
            <x v="0"/>
          </reference>
        </references>
      </pivotArea>
    </format>
    <format dxfId="967">
      <pivotArea dataOnly="0" labelOnly="1" outline="0" fieldPosition="0">
        <references count="8">
          <reference field="0" count="1" selected="0">
            <x v="3"/>
          </reference>
          <reference field="1" count="1" selected="0">
            <x v="5"/>
          </reference>
          <reference field="2" count="1" selected="0">
            <x v="3"/>
          </reference>
          <reference field="3" count="1" selected="0">
            <x v="21"/>
          </reference>
          <reference field="4" count="1" selected="0">
            <x v="4"/>
          </reference>
          <reference field="5" count="1">
            <x v="1"/>
          </reference>
          <reference field="8" count="1" selected="0">
            <x v="15"/>
          </reference>
          <reference field="9" count="1" selected="0">
            <x v="0"/>
          </reference>
        </references>
      </pivotArea>
    </format>
    <format dxfId="966">
      <pivotArea dataOnly="0" labelOnly="1" outline="0" fieldPosition="0">
        <references count="8">
          <reference field="0" count="1" selected="0">
            <x v="17"/>
          </reference>
          <reference field="1" count="1" selected="0">
            <x v="5"/>
          </reference>
          <reference field="2" count="1" selected="0">
            <x v="3"/>
          </reference>
          <reference field="3" count="1" selected="0">
            <x v="21"/>
          </reference>
          <reference field="4" count="1" selected="0">
            <x v="4"/>
          </reference>
          <reference field="5" count="1">
            <x v="1"/>
          </reference>
          <reference field="8" count="1" selected="0">
            <x v="15"/>
          </reference>
          <reference field="9" count="1" selected="0">
            <x v="0"/>
          </reference>
        </references>
      </pivotArea>
    </format>
    <format dxfId="965">
      <pivotArea dataOnly="0" labelOnly="1" outline="0" fieldPosition="0">
        <references count="8">
          <reference field="0" count="1" selected="0">
            <x v="20"/>
          </reference>
          <reference field="1" count="1" selected="0">
            <x v="5"/>
          </reference>
          <reference field="2" count="1" selected="0">
            <x v="3"/>
          </reference>
          <reference field="3" count="1" selected="0">
            <x v="22"/>
          </reference>
          <reference field="4" count="1" selected="0">
            <x v="4"/>
          </reference>
          <reference field="5" count="1">
            <x v="1"/>
          </reference>
          <reference field="8" count="1" selected="0">
            <x v="15"/>
          </reference>
          <reference field="9" count="1" selected="0">
            <x v="0"/>
          </reference>
        </references>
      </pivotArea>
    </format>
    <format dxfId="964">
      <pivotArea dataOnly="0" labelOnly="1" outline="0" fieldPosition="0">
        <references count="8">
          <reference field="0" count="1" selected="0">
            <x v="35"/>
          </reference>
          <reference field="1" count="1" selected="0">
            <x v="5"/>
          </reference>
          <reference field="2" count="1" selected="0">
            <x v="4"/>
          </reference>
          <reference field="3" count="1" selected="0">
            <x v="27"/>
          </reference>
          <reference field="4" count="1" selected="0">
            <x v="3"/>
          </reference>
          <reference field="5" count="1">
            <x v="1"/>
          </reference>
          <reference field="8" count="1" selected="0">
            <x v="15"/>
          </reference>
          <reference field="9" count="1" selected="0">
            <x v="0"/>
          </reference>
        </references>
      </pivotArea>
    </format>
    <format dxfId="963">
      <pivotArea dataOnly="0" labelOnly="1" outline="0" fieldPosition="0">
        <references count="8">
          <reference field="0" count="1" selected="0">
            <x v="11"/>
          </reference>
          <reference field="1" count="1" selected="0">
            <x v="5"/>
          </reference>
          <reference field="2" count="1" selected="0">
            <x v="3"/>
          </reference>
          <reference field="3" count="1" selected="0">
            <x v="28"/>
          </reference>
          <reference field="4" count="1" selected="0">
            <x v="1"/>
          </reference>
          <reference field="5" count="1">
            <x v="1"/>
          </reference>
          <reference field="8" count="1" selected="0">
            <x v="15"/>
          </reference>
          <reference field="9" count="1" selected="0">
            <x v="0"/>
          </reference>
        </references>
      </pivotArea>
    </format>
    <format dxfId="962">
      <pivotArea dataOnly="0" labelOnly="1" outline="0" fieldPosition="0">
        <references count="8">
          <reference field="0" count="1" selected="0">
            <x v="1"/>
          </reference>
          <reference field="1" count="1" selected="0">
            <x v="5"/>
          </reference>
          <reference field="2" count="1" selected="0">
            <x v="3"/>
          </reference>
          <reference field="3" count="1" selected="0">
            <x v="34"/>
          </reference>
          <reference field="4" count="1" selected="0">
            <x v="4"/>
          </reference>
          <reference field="5" count="1">
            <x v="1"/>
          </reference>
          <reference field="8" count="1" selected="0">
            <x v="15"/>
          </reference>
          <reference field="9" count="1" selected="0">
            <x v="0"/>
          </reference>
        </references>
      </pivotArea>
    </format>
    <format dxfId="961">
      <pivotArea dataOnly="0" labelOnly="1" outline="0" fieldPosition="0">
        <references count="8">
          <reference field="0" count="1" selected="0">
            <x v="7"/>
          </reference>
          <reference field="1" count="1" selected="0">
            <x v="5"/>
          </reference>
          <reference field="2" count="1" selected="0">
            <x v="3"/>
          </reference>
          <reference field="3" count="1" selected="0">
            <x v="36"/>
          </reference>
          <reference field="4" count="1" selected="0">
            <x v="1"/>
          </reference>
          <reference field="5" count="1">
            <x v="1"/>
          </reference>
          <reference field="8" count="1" selected="0">
            <x v="15"/>
          </reference>
          <reference field="9" count="1" selected="0">
            <x v="0"/>
          </reference>
        </references>
      </pivotArea>
    </format>
    <format dxfId="960">
      <pivotArea dataOnly="0" labelOnly="1" outline="0" fieldPosition="0">
        <references count="8">
          <reference field="0" count="1" selected="0">
            <x v="4"/>
          </reference>
          <reference field="1" count="1" selected="0">
            <x v="5"/>
          </reference>
          <reference field="2" count="1" selected="0">
            <x v="3"/>
          </reference>
          <reference field="3" count="1" selected="0">
            <x v="39"/>
          </reference>
          <reference field="4" count="1" selected="0">
            <x v="4"/>
          </reference>
          <reference field="5" count="1">
            <x v="1"/>
          </reference>
          <reference field="8" count="1" selected="0">
            <x v="15"/>
          </reference>
          <reference field="9" count="1" selected="0">
            <x v="0"/>
          </reference>
        </references>
      </pivotArea>
    </format>
    <format dxfId="959">
      <pivotArea dataOnly="0" labelOnly="1" outline="0" fieldPosition="0">
        <references count="8">
          <reference field="0" count="1" selected="0">
            <x v="15"/>
          </reference>
          <reference field="1" count="1" selected="0">
            <x v="5"/>
          </reference>
          <reference field="2" count="1" selected="0">
            <x v="3"/>
          </reference>
          <reference field="3" count="1" selected="0">
            <x v="45"/>
          </reference>
          <reference field="4" count="1" selected="0">
            <x v="4"/>
          </reference>
          <reference field="5" count="1">
            <x v="1"/>
          </reference>
          <reference field="8" count="1" selected="0">
            <x v="15"/>
          </reference>
          <reference field="9" count="1" selected="0">
            <x v="0"/>
          </reference>
        </references>
      </pivotArea>
    </format>
    <format dxfId="958">
      <pivotArea dataOnly="0" labelOnly="1" outline="0" fieldPosition="0">
        <references count="8">
          <reference field="0" count="1" selected="0">
            <x v="2"/>
          </reference>
          <reference field="1" count="1" selected="0">
            <x v="5"/>
          </reference>
          <reference field="2" count="1" selected="0">
            <x v="3"/>
          </reference>
          <reference field="3" count="1" selected="0">
            <x v="50"/>
          </reference>
          <reference field="4" count="1" selected="0">
            <x v="4"/>
          </reference>
          <reference field="5" count="1">
            <x v="1"/>
          </reference>
          <reference field="8" count="1" selected="0">
            <x v="15"/>
          </reference>
          <reference field="9" count="1" selected="0">
            <x v="0"/>
          </reference>
        </references>
      </pivotArea>
    </format>
    <format dxfId="957">
      <pivotArea dataOnly="0" labelOnly="1" outline="0" fieldPosition="0">
        <references count="8">
          <reference field="0" count="1" selected="0">
            <x v="6"/>
          </reference>
          <reference field="1" count="1" selected="0">
            <x v="5"/>
          </reference>
          <reference field="2" count="1" selected="0">
            <x v="3"/>
          </reference>
          <reference field="3" count="1" selected="0">
            <x v="52"/>
          </reference>
          <reference field="4" count="1" selected="0">
            <x v="1"/>
          </reference>
          <reference field="5" count="1">
            <x v="1"/>
          </reference>
          <reference field="8" count="1" selected="0">
            <x v="15"/>
          </reference>
          <reference field="9" count="1" selected="0">
            <x v="0"/>
          </reference>
        </references>
      </pivotArea>
    </format>
    <format dxfId="956">
      <pivotArea dataOnly="0" labelOnly="1" outline="0" fieldPosition="0">
        <references count="8">
          <reference field="0" count="1" selected="0">
            <x v="16"/>
          </reference>
          <reference field="1" count="1" selected="0">
            <x v="5"/>
          </reference>
          <reference field="2" count="1" selected="0">
            <x v="3"/>
          </reference>
          <reference field="3" count="1" selected="0">
            <x v="61"/>
          </reference>
          <reference field="4" count="1" selected="0">
            <x v="4"/>
          </reference>
          <reference field="5" count="1">
            <x v="1"/>
          </reference>
          <reference field="8" count="1" selected="0">
            <x v="15"/>
          </reference>
          <reference field="9" count="1" selected="0">
            <x v="0"/>
          </reference>
        </references>
      </pivotArea>
    </format>
    <format dxfId="955">
      <pivotArea dataOnly="0" labelOnly="1" outline="0" fieldPosition="0">
        <references count="8">
          <reference field="0" count="1" selected="0">
            <x v="9"/>
          </reference>
          <reference field="1" count="1" selected="0">
            <x v="5"/>
          </reference>
          <reference field="2" count="1" selected="0">
            <x v="3"/>
          </reference>
          <reference field="3" count="1" selected="0">
            <x v="66"/>
          </reference>
          <reference field="4" count="1" selected="0">
            <x v="1"/>
          </reference>
          <reference field="5" count="1">
            <x v="1"/>
          </reference>
          <reference field="8" count="1" selected="0">
            <x v="15"/>
          </reference>
          <reference field="9" count="1" selected="0">
            <x v="0"/>
          </reference>
        </references>
      </pivotArea>
    </format>
    <format dxfId="954">
      <pivotArea dataOnly="0" labelOnly="1" outline="0" fieldPosition="0">
        <references count="8">
          <reference field="0" count="1" selected="0">
            <x v="19"/>
          </reference>
          <reference field="1" count="1" selected="0">
            <x v="5"/>
          </reference>
          <reference field="2" count="1" selected="0">
            <x v="3"/>
          </reference>
          <reference field="3" count="1" selected="0">
            <x v="67"/>
          </reference>
          <reference field="4" count="1" selected="0">
            <x v="4"/>
          </reference>
          <reference field="5" count="1">
            <x v="1"/>
          </reference>
          <reference field="8" count="1" selected="0">
            <x v="15"/>
          </reference>
          <reference field="9" count="1" selected="0">
            <x v="0"/>
          </reference>
        </references>
      </pivotArea>
    </format>
    <format dxfId="953">
      <pivotArea dataOnly="0" labelOnly="1" outline="0" fieldPosition="0">
        <references count="8">
          <reference field="0" count="1" selected="0">
            <x v="52"/>
          </reference>
          <reference field="1" count="1" selected="0">
            <x v="5"/>
          </reference>
          <reference field="2" count="1" selected="0">
            <x v="0"/>
          </reference>
          <reference field="3" count="1" selected="0">
            <x v="49"/>
          </reference>
          <reference field="4" count="1" selected="0">
            <x v="10"/>
          </reference>
          <reference field="5" count="1">
            <x v="0"/>
          </reference>
          <reference field="8" count="1" selected="0">
            <x v="16"/>
          </reference>
          <reference field="9" count="1" selected="0">
            <x v="0"/>
          </reference>
        </references>
      </pivotArea>
    </format>
    <format dxfId="952">
      <pivotArea dataOnly="0" labelOnly="1" outline="0" fieldPosition="0">
        <references count="8">
          <reference field="0" count="1" selected="0">
            <x v="53"/>
          </reference>
          <reference field="1" count="1" selected="0">
            <x v="6"/>
          </reference>
          <reference field="2" count="1" selected="0">
            <x v="4"/>
          </reference>
          <reference field="3" count="1" selected="0">
            <x v="19"/>
          </reference>
          <reference field="4" count="1" selected="0">
            <x v="8"/>
          </reference>
          <reference field="5" count="1">
            <x v="1"/>
          </reference>
          <reference field="8" count="1" selected="0">
            <x v="6"/>
          </reference>
          <reference field="9" count="1" selected="0">
            <x v="0"/>
          </reference>
        </references>
      </pivotArea>
    </format>
    <format dxfId="951">
      <pivotArea dataOnly="0" labelOnly="1" outline="0" fieldPosition="0">
        <references count="8">
          <reference field="0" count="1" selected="0">
            <x v="53"/>
          </reference>
          <reference field="1" count="1" selected="0">
            <x v="7"/>
          </reference>
          <reference field="2" count="1" selected="0">
            <x v="4"/>
          </reference>
          <reference field="3" count="1" selected="0">
            <x v="5"/>
          </reference>
          <reference field="4" count="1" selected="0">
            <x v="16"/>
          </reference>
          <reference field="5" count="1">
            <x v="1"/>
          </reference>
          <reference field="8" count="1" selected="0">
            <x v="1"/>
          </reference>
          <reference field="9" count="1" selected="0">
            <x v="0"/>
          </reference>
        </references>
      </pivotArea>
    </format>
    <format dxfId="950">
      <pivotArea dataOnly="0" labelOnly="1" outline="0" fieldPosition="0">
        <references count="8">
          <reference field="0" count="1" selected="0">
            <x v="53"/>
          </reference>
          <reference field="1" count="1" selected="0">
            <x v="7"/>
          </reference>
          <reference field="2" count="1" selected="0">
            <x v="4"/>
          </reference>
          <reference field="3" count="1" selected="0">
            <x v="20"/>
          </reference>
          <reference field="4" count="1" selected="0">
            <x v="16"/>
          </reference>
          <reference field="5" count="1">
            <x v="1"/>
          </reference>
          <reference field="8" count="1" selected="0">
            <x v="1"/>
          </reference>
          <reference field="9" count="1" selected="0">
            <x v="0"/>
          </reference>
        </references>
      </pivotArea>
    </format>
    <format dxfId="949">
      <pivotArea dataOnly="0" labelOnly="1" outline="0" fieldPosition="0">
        <references count="8">
          <reference field="0" count="1" selected="0">
            <x v="53"/>
          </reference>
          <reference field="1" count="1" selected="0">
            <x v="7"/>
          </reference>
          <reference field="2" count="1" selected="0">
            <x v="4"/>
          </reference>
          <reference field="3" count="1" selected="0">
            <x v="40"/>
          </reference>
          <reference field="4" count="1" selected="0">
            <x v="16"/>
          </reference>
          <reference field="5" count="1">
            <x v="1"/>
          </reference>
          <reference field="8" count="1" selected="0">
            <x v="1"/>
          </reference>
          <reference field="9" count="1" selected="0">
            <x v="0"/>
          </reference>
        </references>
      </pivotArea>
    </format>
    <format dxfId="948">
      <pivotArea dataOnly="0" labelOnly="1" outline="0" fieldPosition="0">
        <references count="8">
          <reference field="0" count="1" selected="0">
            <x v="53"/>
          </reference>
          <reference field="1" count="1" selected="0">
            <x v="7"/>
          </reference>
          <reference field="2" count="1" selected="0">
            <x v="4"/>
          </reference>
          <reference field="3" count="1" selected="0">
            <x v="53"/>
          </reference>
          <reference field="4" count="1" selected="0">
            <x v="16"/>
          </reference>
          <reference field="5" count="1">
            <x v="1"/>
          </reference>
          <reference field="8" count="1" selected="0">
            <x v="1"/>
          </reference>
          <reference field="9" count="1" selected="0">
            <x v="0"/>
          </reference>
        </references>
      </pivotArea>
    </format>
    <format dxfId="947">
      <pivotArea dataOnly="0" labelOnly="1" outline="0" fieldPosition="0">
        <references count="8">
          <reference field="0" count="1" selected="0">
            <x v="53"/>
          </reference>
          <reference field="1" count="1" selected="0">
            <x v="7"/>
          </reference>
          <reference field="2" count="1" selected="0">
            <x v="4"/>
          </reference>
          <reference field="3" count="1" selected="0">
            <x v="54"/>
          </reference>
          <reference field="4" count="1" selected="0">
            <x v="16"/>
          </reference>
          <reference field="5" count="1">
            <x v="1"/>
          </reference>
          <reference field="8" count="1" selected="0">
            <x v="1"/>
          </reference>
          <reference field="9" count="1" selected="0">
            <x v="0"/>
          </reference>
        </references>
      </pivotArea>
    </format>
    <format dxfId="946">
      <pivotArea dataOnly="0" labelOnly="1" outline="0" fieldPosition="0">
        <references count="8">
          <reference field="0" count="1" selected="0">
            <x v="53"/>
          </reference>
          <reference field="1" count="1" selected="0">
            <x v="7"/>
          </reference>
          <reference field="2" count="1" selected="0">
            <x v="4"/>
          </reference>
          <reference field="3" count="1" selected="0">
            <x v="56"/>
          </reference>
          <reference field="4" count="1" selected="0">
            <x v="16"/>
          </reference>
          <reference field="5" count="1">
            <x v="1"/>
          </reference>
          <reference field="8" count="1" selected="0">
            <x v="1"/>
          </reference>
          <reference field="9" count="1" selected="0">
            <x v="0"/>
          </reference>
        </references>
      </pivotArea>
    </format>
    <format dxfId="945">
      <pivotArea dataOnly="0" labelOnly="1" outline="0" fieldPosition="0">
        <references count="8">
          <reference field="0" count="1" selected="0">
            <x v="53"/>
          </reference>
          <reference field="1" count="1" selected="0">
            <x v="7"/>
          </reference>
          <reference field="2" count="1" selected="0">
            <x v="4"/>
          </reference>
          <reference field="3" count="1" selected="0">
            <x v="60"/>
          </reference>
          <reference field="4" count="1" selected="0">
            <x v="16"/>
          </reference>
          <reference field="5" count="1">
            <x v="1"/>
          </reference>
          <reference field="8" count="1" selected="0">
            <x v="1"/>
          </reference>
          <reference field="9" count="1" selected="0">
            <x v="0"/>
          </reference>
        </references>
      </pivotArea>
    </format>
    <format dxfId="944">
      <pivotArea dataOnly="0" labelOnly="1" outline="0" fieldPosition="0">
        <references count="8">
          <reference field="0" count="1" selected="0">
            <x v="53"/>
          </reference>
          <reference field="1" count="1" selected="0">
            <x v="7"/>
          </reference>
          <reference field="2" count="1" selected="0">
            <x v="3"/>
          </reference>
          <reference field="3" count="1" selected="0">
            <x v="31"/>
          </reference>
          <reference field="4" count="1" selected="0">
            <x v="11"/>
          </reference>
          <reference field="5" count="1">
            <x v="1"/>
          </reference>
          <reference field="8" count="1" selected="0">
            <x v="2"/>
          </reference>
          <reference field="9" count="1" selected="0">
            <x v="0"/>
          </reference>
        </references>
      </pivotArea>
    </format>
    <format dxfId="943">
      <pivotArea dataOnly="0" labelOnly="1" outline="0" fieldPosition="0">
        <references count="8">
          <reference field="0" count="1" selected="0">
            <x v="53"/>
          </reference>
          <reference field="1" count="1" selected="0">
            <x v="7"/>
          </reference>
          <reference field="2" count="1" selected="0">
            <x v="2"/>
          </reference>
          <reference field="3" count="1" selected="0">
            <x v="3"/>
          </reference>
          <reference field="4" count="1" selected="0">
            <x v="5"/>
          </reference>
          <reference field="5" count="1">
            <x v="1"/>
          </reference>
          <reference field="8" count="1" selected="0">
            <x v="11"/>
          </reference>
          <reference field="9" count="1" selected="0">
            <x v="0"/>
          </reference>
        </references>
      </pivotArea>
    </format>
    <format dxfId="942">
      <pivotArea dataOnly="0" labelOnly="1" outline="0" fieldPosition="0">
        <references count="8">
          <reference field="0" count="1" selected="0">
            <x v="53"/>
          </reference>
          <reference field="1" count="1" selected="0">
            <x v="7"/>
          </reference>
          <reference field="2" count="1" selected="0">
            <x v="2"/>
          </reference>
          <reference field="3" count="1" selected="0">
            <x v="7"/>
          </reference>
          <reference field="4" count="1" selected="0">
            <x v="5"/>
          </reference>
          <reference field="5" count="1">
            <x v="1"/>
          </reference>
          <reference field="8" count="1" selected="0">
            <x v="11"/>
          </reference>
          <reference field="9" count="1" selected="0">
            <x v="0"/>
          </reference>
        </references>
      </pivotArea>
    </format>
    <format dxfId="941">
      <pivotArea dataOnly="0" labelOnly="1" outline="0" fieldPosition="0">
        <references count="8">
          <reference field="0" count="1" selected="0">
            <x v="53"/>
          </reference>
          <reference field="1" count="1" selected="0">
            <x v="7"/>
          </reference>
          <reference field="2" count="1" selected="0">
            <x v="2"/>
          </reference>
          <reference field="3" count="1" selected="0">
            <x v="27"/>
          </reference>
          <reference field="4" count="1" selected="0">
            <x v="5"/>
          </reference>
          <reference field="5" count="1">
            <x v="1"/>
          </reference>
          <reference field="8" count="1" selected="0">
            <x v="11"/>
          </reference>
          <reference field="9" count="1" selected="0">
            <x v="0"/>
          </reference>
        </references>
      </pivotArea>
    </format>
    <format dxfId="940">
      <pivotArea dataOnly="0" labelOnly="1" outline="0" fieldPosition="0">
        <references count="8">
          <reference field="0" count="1" selected="0">
            <x v="53"/>
          </reference>
          <reference field="1" count="1" selected="0">
            <x v="7"/>
          </reference>
          <reference field="2" count="1" selected="0">
            <x v="2"/>
          </reference>
          <reference field="3" count="1" selected="0">
            <x v="35"/>
          </reference>
          <reference field="4" count="1" selected="0">
            <x v="5"/>
          </reference>
          <reference field="5" count="1">
            <x v="1"/>
          </reference>
          <reference field="8" count="1" selected="0">
            <x v="11"/>
          </reference>
          <reference field="9" count="1" selected="0">
            <x v="0"/>
          </reference>
        </references>
      </pivotArea>
    </format>
    <format dxfId="939">
      <pivotArea dataOnly="0" labelOnly="1" outline="0" fieldPosition="0">
        <references count="8">
          <reference field="0" count="1" selected="0">
            <x v="53"/>
          </reference>
          <reference field="1" count="1" selected="0">
            <x v="7"/>
          </reference>
          <reference field="2" count="1" selected="0">
            <x v="2"/>
          </reference>
          <reference field="3" count="1" selected="0">
            <x v="41"/>
          </reference>
          <reference field="4" count="1" selected="0">
            <x v="5"/>
          </reference>
          <reference field="5" count="1">
            <x v="1"/>
          </reference>
          <reference field="8" count="1" selected="0">
            <x v="11"/>
          </reference>
          <reference field="9" count="1" selected="0">
            <x v="0"/>
          </reference>
        </references>
      </pivotArea>
    </format>
    <format dxfId="938">
      <pivotArea dataOnly="0" labelOnly="1" outline="0" fieldPosition="0">
        <references count="8">
          <reference field="0" count="1" selected="0">
            <x v="53"/>
          </reference>
          <reference field="1" count="1" selected="0">
            <x v="7"/>
          </reference>
          <reference field="2" count="1" selected="0">
            <x v="2"/>
          </reference>
          <reference field="3" count="1" selected="0">
            <x v="48"/>
          </reference>
          <reference field="4" count="1" selected="0">
            <x v="5"/>
          </reference>
          <reference field="5" count="1">
            <x v="1"/>
          </reference>
          <reference field="8" count="1" selected="0">
            <x v="11"/>
          </reference>
          <reference field="9" count="1" selected="0">
            <x v="0"/>
          </reference>
        </references>
      </pivotArea>
    </format>
    <format dxfId="937">
      <pivotArea dataOnly="0" labelOnly="1" outline="0" fieldPosition="0">
        <references count="8">
          <reference field="0" count="1" selected="0">
            <x v="53"/>
          </reference>
          <reference field="1" count="1" selected="0">
            <x v="7"/>
          </reference>
          <reference field="2" count="1" selected="0">
            <x v="2"/>
          </reference>
          <reference field="3" count="1" selected="0">
            <x v="52"/>
          </reference>
          <reference field="4" count="1" selected="0">
            <x v="5"/>
          </reference>
          <reference field="5" count="1">
            <x v="1"/>
          </reference>
          <reference field="8" count="1" selected="0">
            <x v="11"/>
          </reference>
          <reference field="9" count="1" selected="0">
            <x v="0"/>
          </reference>
        </references>
      </pivotArea>
    </format>
    <format dxfId="936">
      <pivotArea dataOnly="0" labelOnly="1" outline="0" fieldPosition="0">
        <references count="8">
          <reference field="0" count="1" selected="0">
            <x v="53"/>
          </reference>
          <reference field="1" count="1" selected="0">
            <x v="7"/>
          </reference>
          <reference field="2" count="1" selected="0">
            <x v="2"/>
          </reference>
          <reference field="3" count="1" selected="0">
            <x v="58"/>
          </reference>
          <reference field="4" count="1" selected="0">
            <x v="5"/>
          </reference>
          <reference field="5" count="1">
            <x v="1"/>
          </reference>
          <reference field="8" count="1" selected="0">
            <x v="11"/>
          </reference>
          <reference field="9" count="1" selected="0">
            <x v="0"/>
          </reference>
        </references>
      </pivotArea>
    </format>
    <format dxfId="935">
      <pivotArea dataOnly="0" labelOnly="1" outline="0" fieldPosition="0">
        <references count="8">
          <reference field="0" count="1" selected="0">
            <x v="53"/>
          </reference>
          <reference field="1" count="1" selected="0">
            <x v="7"/>
          </reference>
          <reference field="2" count="1" selected="0">
            <x v="2"/>
          </reference>
          <reference field="3" count="1" selected="0">
            <x v="64"/>
          </reference>
          <reference field="4" count="1" selected="0">
            <x v="5"/>
          </reference>
          <reference field="5" count="1">
            <x v="1"/>
          </reference>
          <reference field="8" count="1" selected="0">
            <x v="11"/>
          </reference>
          <reference field="9" count="1" selected="0">
            <x v="0"/>
          </reference>
        </references>
      </pivotArea>
    </format>
    <format dxfId="934">
      <pivotArea dataOnly="0" labelOnly="1" outline="0" fieldPosition="0">
        <references count="8">
          <reference field="0" count="1" selected="0">
            <x v="53"/>
          </reference>
          <reference field="1" count="1" selected="0">
            <x v="7"/>
          </reference>
          <reference field="2" count="1" selected="0">
            <x v="2"/>
          </reference>
          <reference field="3" count="1" selected="0">
            <x v="68"/>
          </reference>
          <reference field="4" count="1" selected="0">
            <x v="5"/>
          </reference>
          <reference field="5" count="1">
            <x v="1"/>
          </reference>
          <reference field="8" count="1" selected="0">
            <x v="11"/>
          </reference>
          <reference field="9" count="1" selected="0">
            <x v="0"/>
          </reference>
        </references>
      </pivotArea>
    </format>
    <format dxfId="933">
      <pivotArea dataOnly="0" labelOnly="1" outline="0" fieldPosition="0">
        <references count="8">
          <reference field="0" count="1" selected="0">
            <x v="53"/>
          </reference>
          <reference field="1" count="1" selected="0">
            <x v="8"/>
          </reference>
          <reference field="2" count="1" selected="0">
            <x v="3"/>
          </reference>
          <reference field="3" count="1" selected="0">
            <x v="43"/>
          </reference>
          <reference field="4" count="1" selected="0">
            <x v="4"/>
          </reference>
          <reference field="5" count="1">
            <x v="1"/>
          </reference>
          <reference field="8" count="1" selected="0">
            <x v="13"/>
          </reference>
          <reference field="9" count="1" selected="0">
            <x v="0"/>
          </reference>
        </references>
      </pivotArea>
    </format>
    <format dxfId="932">
      <pivotArea dataOnly="0" labelOnly="1" outline="0" fieldPosition="0">
        <references count="8">
          <reference field="0" count="1" selected="0">
            <x v="53"/>
          </reference>
          <reference field="1" count="1" selected="0">
            <x v="8"/>
          </reference>
          <reference field="2" count="1" selected="0">
            <x v="1"/>
          </reference>
          <reference field="3" count="1" selected="0">
            <x v="30"/>
          </reference>
          <reference field="4" count="1" selected="0">
            <x v="15"/>
          </reference>
          <reference field="5" count="1">
            <x v="1"/>
          </reference>
          <reference field="8" count="1" selected="0">
            <x v="17"/>
          </reference>
          <reference field="9" count="1" selected="0">
            <x v="0"/>
          </reference>
        </references>
      </pivotArea>
    </format>
    <format dxfId="931">
      <pivotArea dataOnly="0" labelOnly="1" outline="0" fieldPosition="0">
        <references count="1">
          <reference field="4294967294" count="2">
            <x v="0"/>
            <x v="1"/>
          </reference>
        </references>
      </pivotArea>
    </format>
    <format dxfId="930">
      <pivotArea field="9" type="button" dataOnly="0" labelOnly="1" outline="0" axis="axisRow" fieldPosition="0"/>
    </format>
    <format dxfId="929">
      <pivotArea field="1" type="button" dataOnly="0" labelOnly="1" outline="0" axis="axisRow" fieldPosition="1"/>
    </format>
    <format dxfId="928">
      <pivotArea field="8" type="button" dataOnly="0" labelOnly="1" outline="0" axis="axisRow" fieldPosition="2"/>
    </format>
    <format dxfId="927">
      <pivotArea field="3" type="button" dataOnly="0" labelOnly="1" outline="0" axis="axisRow" fieldPosition="3"/>
    </format>
    <format dxfId="926">
      <pivotArea field="0" type="button" dataOnly="0" labelOnly="1" outline="0" axis="axisRow" fieldPosition="4"/>
    </format>
    <format dxfId="925">
      <pivotArea field="2" type="button" dataOnly="0" labelOnly="1" outline="0" axis="axisRow" fieldPosition="5"/>
    </format>
    <format dxfId="924">
      <pivotArea field="4" type="button" dataOnly="0" labelOnly="1" outline="0" axis="axisRow" fieldPosition="6"/>
    </format>
    <format dxfId="923">
      <pivotArea field="5" type="button" dataOnly="0" labelOnly="1" outline="0" axis="axisRow" fieldPosition="7"/>
    </format>
    <format dxfId="922">
      <pivotArea dataOnly="0" labelOnly="1" outline="0" fieldPosition="0">
        <references count="1">
          <reference field="4294967294" count="2">
            <x v="0"/>
            <x v="1"/>
          </reference>
        </references>
      </pivotArea>
    </format>
    <format dxfId="921">
      <pivotArea field="9" type="button" dataOnly="0" labelOnly="1" outline="0" axis="axisRow" fieldPosition="0"/>
    </format>
    <format dxfId="920">
      <pivotArea field="1" type="button" dataOnly="0" labelOnly="1" outline="0" axis="axisRow" fieldPosition="1"/>
    </format>
    <format dxfId="919">
      <pivotArea field="8" type="button" dataOnly="0" labelOnly="1" outline="0" axis="axisRow" fieldPosition="2"/>
    </format>
    <format dxfId="918">
      <pivotArea field="3" type="button" dataOnly="0" labelOnly="1" outline="0" axis="axisRow" fieldPosition="3"/>
    </format>
    <format dxfId="917">
      <pivotArea field="0" type="button" dataOnly="0" labelOnly="1" outline="0" axis="axisRow" fieldPosition="4"/>
    </format>
    <format dxfId="916">
      <pivotArea field="2" type="button" dataOnly="0" labelOnly="1" outline="0" axis="axisRow" fieldPosition="5"/>
    </format>
    <format dxfId="915">
      <pivotArea field="4" type="button" dataOnly="0" labelOnly="1" outline="0" axis="axisRow" fieldPosition="6"/>
    </format>
    <format dxfId="914">
      <pivotArea field="5" type="button" dataOnly="0" labelOnly="1" outline="0" axis="axisRow" fieldPosition="7"/>
    </format>
    <format dxfId="913">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2E19BEEA-8F32-473C-AA58-9A0855FAD7DE}" name="PivotTable1" cacheId="11" applyNumberFormats="0" applyBorderFormats="0" applyFontFormats="0" applyPatternFormats="0" applyAlignmentFormats="0" applyWidthHeightFormats="1" dataCaption="Values" updatedVersion="8" minRefreshableVersion="3" showDrill="0" colGrandTotals="0" itemPrintTitles="1" createdVersion="8" indent="0" compact="0" compactData="0" multipleFieldFilters="0">
  <location ref="A3:E17" firstHeaderRow="1" firstDataRow="2" firstDataCol="1"/>
  <pivotFields count="4">
    <pivotField axis="axisCol" compact="0" outline="0" showAll="0" insertBlankRow="1" sumSubtotal="1">
      <items count="6">
        <item h="1" x="4"/>
        <item x="0"/>
        <item x="2"/>
        <item x="1"/>
        <item x="3"/>
        <item t="sum"/>
      </items>
    </pivotField>
    <pivotField name="Month" axis="axisRow" compact="0" outline="0" showAll="0" defaultSubtotal="0">
      <items count="12">
        <item x="5"/>
        <item x="7"/>
        <item x="6"/>
        <item x="10"/>
        <item x="8"/>
        <item x="9"/>
        <item x="1"/>
        <item x="2"/>
        <item x="3"/>
        <item x="11"/>
        <item x="0"/>
        <item x="4"/>
      </items>
    </pivotField>
    <pivotField dataField="1" compact="0" outline="0" showAll="0" defaultSubtotal="0"/>
    <pivotField compact="0" outline="0" subtotalTop="0" showAll="0" defaultSubtotal="0"/>
  </pivotFields>
  <rowFields count="1">
    <field x="1"/>
  </rowFields>
  <rowItems count="13">
    <i>
      <x/>
    </i>
    <i>
      <x v="1"/>
    </i>
    <i>
      <x v="2"/>
    </i>
    <i>
      <x v="3"/>
    </i>
    <i>
      <x v="4"/>
    </i>
    <i>
      <x v="5"/>
    </i>
    <i>
      <x v="6"/>
    </i>
    <i>
      <x v="7"/>
    </i>
    <i>
      <x v="8"/>
    </i>
    <i>
      <x v="9"/>
    </i>
    <i>
      <x v="10"/>
    </i>
    <i>
      <x v="11"/>
    </i>
    <i t="grand">
      <x/>
    </i>
  </rowItems>
  <colFields count="1">
    <field x="0"/>
  </colFields>
  <colItems count="4">
    <i>
      <x v="1"/>
    </i>
    <i>
      <x v="2"/>
    </i>
    <i>
      <x v="3"/>
    </i>
    <i>
      <x v="4"/>
    </i>
  </colItems>
  <dataFields count="1">
    <dataField name="Total LC Issued" fld="2" baseField="0" baseItem="0"/>
  </dataFields>
  <formats count="59">
    <format dxfId="1233">
      <pivotArea field="0" type="button" dataOnly="0" labelOnly="1" outline="0" axis="axisCol" fieldPosition="0"/>
    </format>
    <format dxfId="1232">
      <pivotArea field="1" type="button" dataOnly="0" labelOnly="1" outline="0" axis="axisRow" fieldPosition="0"/>
    </format>
    <format dxfId="1231">
      <pivotArea dataOnly="0" labelOnly="1" outline="0" axis="axisValues" fieldPosition="0"/>
    </format>
    <format dxfId="1230">
      <pivotArea field="0" type="button" dataOnly="0" labelOnly="1" outline="0" axis="axisCol" fieldPosition="0"/>
    </format>
    <format dxfId="1229">
      <pivotArea field="1" type="button" dataOnly="0" labelOnly="1" outline="0" axis="axisRow" fieldPosition="0"/>
    </format>
    <format dxfId="1228">
      <pivotArea dataOnly="0" labelOnly="1" outline="0" axis="axisValues" fieldPosition="0"/>
    </format>
    <format dxfId="1227">
      <pivotArea field="0" type="button" dataOnly="0" labelOnly="1" outline="0" axis="axisCol" fieldPosition="0"/>
    </format>
    <format dxfId="1226">
      <pivotArea field="1" type="button" dataOnly="0" labelOnly="1" outline="0" axis="axisRow" fieldPosition="0"/>
    </format>
    <format dxfId="1225">
      <pivotArea dataOnly="0" labelOnly="1" outline="0" axis="axisValues" fieldPosition="0"/>
    </format>
    <format dxfId="1224">
      <pivotArea type="origin" dataOnly="0" labelOnly="1" outline="0" fieldPosition="0"/>
    </format>
    <format dxfId="1223">
      <pivotArea field="0" type="button" dataOnly="0" labelOnly="1" outline="0" axis="axisCol" fieldPosition="0"/>
    </format>
    <format dxfId="1222">
      <pivotArea type="topRight" dataOnly="0" labelOnly="1" outline="0" fieldPosition="0"/>
    </format>
    <format dxfId="1221">
      <pivotArea field="1" type="button" dataOnly="0" labelOnly="1" outline="0" axis="axisRow" fieldPosition="0"/>
    </format>
    <format dxfId="1220">
      <pivotArea dataOnly="0" labelOnly="1" outline="0" fieldPosition="0">
        <references count="1">
          <reference field="0" count="0"/>
        </references>
      </pivotArea>
    </format>
    <format dxfId="1219">
      <pivotArea type="origin" dataOnly="0" labelOnly="1" outline="0" fieldPosition="0"/>
    </format>
    <format dxfId="1218">
      <pivotArea field="0" type="button" dataOnly="0" labelOnly="1" outline="0" axis="axisCol" fieldPosition="0"/>
    </format>
    <format dxfId="1217">
      <pivotArea type="topRight" dataOnly="0" labelOnly="1" outline="0" fieldPosition="0"/>
    </format>
    <format dxfId="1216">
      <pivotArea field="1" type="button" dataOnly="0" labelOnly="1" outline="0" axis="axisRow" fieldPosition="0"/>
    </format>
    <format dxfId="1215">
      <pivotArea dataOnly="0" labelOnly="1" outline="0" fieldPosition="0">
        <references count="1">
          <reference field="0" count="0"/>
        </references>
      </pivotArea>
    </format>
    <format dxfId="1214">
      <pivotArea type="origin" dataOnly="0" labelOnly="1" outline="0" fieldPosition="0"/>
    </format>
    <format dxfId="1213">
      <pivotArea field="0" type="button" dataOnly="0" labelOnly="1" outline="0" axis="axisCol" fieldPosition="0"/>
    </format>
    <format dxfId="1212">
      <pivotArea type="topRight" dataOnly="0" labelOnly="1" outline="0" fieldPosition="0"/>
    </format>
    <format dxfId="1211">
      <pivotArea field="1" type="button" dataOnly="0" labelOnly="1" outline="0" axis="axisRow" fieldPosition="0"/>
    </format>
    <format dxfId="1210">
      <pivotArea dataOnly="0" labelOnly="1" outline="0" fieldPosition="0">
        <references count="1">
          <reference field="0" count="0"/>
        </references>
      </pivotArea>
    </format>
    <format dxfId="1209">
      <pivotArea grandRow="1" outline="0" collapsedLevelsAreSubtotals="1" fieldPosition="0"/>
    </format>
    <format dxfId="1208">
      <pivotArea dataOnly="0" labelOnly="1" grandRow="1" outline="0" fieldPosition="0"/>
    </format>
    <format dxfId="1207">
      <pivotArea grandRow="1" outline="0" collapsedLevelsAreSubtotals="1" fieldPosition="0"/>
    </format>
    <format dxfId="1206">
      <pivotArea dataOnly="0" labelOnly="1" grandRow="1" outline="0" fieldPosition="0"/>
    </format>
    <format dxfId="1205">
      <pivotArea outline="0" fieldPosition="0">
        <references count="1">
          <reference field="1" count="0" selected="0"/>
        </references>
      </pivotArea>
    </format>
    <format dxfId="1204">
      <pivotArea dataOnly="0" labelOnly="1" outline="0" fieldPosition="0">
        <references count="1">
          <reference field="1" count="0"/>
        </references>
      </pivotArea>
    </format>
    <format dxfId="1203">
      <pivotArea field="1" type="button" dataOnly="0" labelOnly="1" outline="0" axis="axisRow" fieldPosition="0"/>
    </format>
    <format dxfId="1202">
      <pivotArea dataOnly="0" labelOnly="1" outline="0" fieldPosition="0">
        <references count="1">
          <reference field="0" count="0"/>
        </references>
      </pivotArea>
    </format>
    <format dxfId="1201">
      <pivotArea type="origin" dataOnly="0" labelOnly="1" outline="0" fieldPosition="0"/>
    </format>
    <format dxfId="1200">
      <pivotArea field="0" type="button" dataOnly="0" labelOnly="1" outline="0" axis="axisCol" fieldPosition="0"/>
    </format>
    <format dxfId="1199">
      <pivotArea type="topRight" dataOnly="0" labelOnly="1" outline="0" fieldPosition="0"/>
    </format>
    <format dxfId="1198">
      <pivotArea field="1" type="button" dataOnly="0" labelOnly="1" outline="0" axis="axisRow" fieldPosition="0"/>
    </format>
    <format dxfId="1197">
      <pivotArea dataOnly="0" labelOnly="1" outline="0" fieldPosition="0">
        <references count="1">
          <reference field="0" count="0"/>
        </references>
      </pivotArea>
    </format>
    <format dxfId="1196">
      <pivotArea grandRow="1" outline="0" collapsedLevelsAreSubtotals="1" fieldPosition="0"/>
    </format>
    <format dxfId="1195">
      <pivotArea dataOnly="0" labelOnly="1" grandRow="1" outline="0" fieldPosition="0"/>
    </format>
    <format dxfId="1194">
      <pivotArea type="origin" dataOnly="0" labelOnly="1" outline="0" fieldPosition="0"/>
    </format>
    <format dxfId="1193">
      <pivotArea field="0" type="button" dataOnly="0" labelOnly="1" outline="0" axis="axisCol" fieldPosition="0"/>
    </format>
    <format dxfId="1192">
      <pivotArea type="topRight" dataOnly="0" labelOnly="1" outline="0" fieldPosition="0"/>
    </format>
    <format dxfId="1191">
      <pivotArea field="1" type="button" dataOnly="0" labelOnly="1" outline="0" axis="axisRow" fieldPosition="0"/>
    </format>
    <format dxfId="1190">
      <pivotArea dataOnly="0" labelOnly="1" outline="0" fieldPosition="0">
        <references count="1">
          <reference field="0" count="0"/>
        </references>
      </pivotArea>
    </format>
    <format dxfId="1189">
      <pivotArea type="topRight" dataOnly="0" labelOnly="1" outline="0" offset="B1" fieldPosition="0"/>
    </format>
    <format dxfId="1188">
      <pivotArea dataOnly="0" labelOnly="1" outline="0" fieldPosition="0">
        <references count="1">
          <reference field="0" count="1">
            <x v="3"/>
          </reference>
        </references>
      </pivotArea>
    </format>
    <format dxfId="1187">
      <pivotArea type="topRight" dataOnly="0" labelOnly="1" outline="0" offset="A1" fieldPosition="0"/>
    </format>
    <format dxfId="1186">
      <pivotArea dataOnly="0" labelOnly="1" outline="0" fieldPosition="0">
        <references count="1">
          <reference field="0" count="1">
            <x v="2"/>
          </reference>
        </references>
      </pivotArea>
    </format>
    <format dxfId="1185">
      <pivotArea field="0" type="button" dataOnly="0" labelOnly="1" outline="0" axis="axisCol" fieldPosition="0"/>
    </format>
    <format dxfId="1184">
      <pivotArea dataOnly="0" labelOnly="1" outline="0" fieldPosition="0">
        <references count="1">
          <reference field="0" count="1">
            <x v="1"/>
          </reference>
        </references>
      </pivotArea>
    </format>
    <format dxfId="1183">
      <pivotArea type="origin" dataOnly="0" labelOnly="1" outline="0" fieldPosition="0"/>
    </format>
    <format dxfId="1182">
      <pivotArea field="1" type="button" dataOnly="0" labelOnly="1" outline="0" axis="axisRow" fieldPosition="0"/>
    </format>
    <format dxfId="1181">
      <pivotArea grandRow="1" outline="0" collapsedLevelsAreSubtotals="1" fieldPosition="0"/>
    </format>
    <format dxfId="1180">
      <pivotArea dataOnly="0" labelOnly="1" grandRow="1" outline="0" fieldPosition="0"/>
    </format>
    <format dxfId="1179">
      <pivotArea dataOnly="0" labelOnly="1" grandRow="1" outline="0" fieldPosition="0"/>
    </format>
    <format dxfId="1178">
      <pivotArea field="0" grandRow="1" outline="0" axis="axisCol" fieldPosition="0">
        <references count="1">
          <reference field="0" count="1" selected="0">
            <x v="1"/>
          </reference>
        </references>
      </pivotArea>
    </format>
    <format dxfId="1177">
      <pivotArea field="0" grandRow="1" outline="0" axis="axisCol" fieldPosition="0">
        <references count="1">
          <reference field="0" count="1" selected="0">
            <x v="2"/>
          </reference>
        </references>
      </pivotArea>
    </format>
    <format dxfId="1176">
      <pivotArea type="topRight" dataOnly="0" labelOnly="1" outline="0" offset="B1" fieldPosition="0"/>
    </format>
    <format dxfId="1175">
      <pivotArea dataOnly="0" labelOnly="1" outline="0" fieldPosition="0">
        <references count="1">
          <reference field="0" count="1">
            <x v="3"/>
          </reference>
        </references>
      </pivotArea>
    </format>
  </formats>
  <conditionalFormats count="1">
    <conditionalFormat priority="8">
      <pivotAreas count="1">
        <pivotArea type="data" outline="0" collapsedLevelsAreSubtotals="1" fieldPosition="0">
          <references count="2">
            <reference field="4294967294" count="1" selected="0">
              <x v="0"/>
            </reference>
            <reference field="1" count="12" selected="0">
              <x v="0"/>
              <x v="1"/>
              <x v="2"/>
              <x v="3"/>
              <x v="4"/>
              <x v="5"/>
              <x v="6"/>
              <x v="7"/>
              <x v="8"/>
              <x v="9"/>
              <x v="10"/>
              <x v="11"/>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461BC04D-82C2-46F8-ACA3-D41FB8E141B6}" name="PivotTable1" cacheId="2" applyNumberFormats="0" applyBorderFormats="0" applyFontFormats="0" applyPatternFormats="0" applyAlignmentFormats="0" applyWidthHeightFormats="1" dataCaption="Values" updatedVersion="8" minRefreshableVersion="3" showDrill="0" useAutoFormatting="1" itemPrintTitles="1" createdVersion="8" indent="0" compact="0" compactData="0" multipleFieldFilters="0">
  <location ref="B8:J21" firstHeaderRow="0" firstDataRow="1" firstDataCol="7" rowPageCount="2" colPageCount="1"/>
  <pivotFields count="18">
    <pivotField axis="axisRow" compact="0" outline="0" showAll="0" defaultSubtotal="0">
      <items count="9">
        <item x="1"/>
        <item x="4"/>
        <item x="5"/>
        <item x="0"/>
        <item x="3"/>
        <item x="2"/>
        <item x="6"/>
        <item x="7"/>
        <item x="8"/>
      </items>
      <extLst>
        <ext xmlns:x14="http://schemas.microsoft.com/office/spreadsheetml/2009/9/main" uri="{2946ED86-A175-432a-8AC1-64E0C546D7DE}">
          <x14:pivotField fillDownLabels="1"/>
        </ext>
      </extLst>
    </pivotField>
    <pivotField axis="axisPage" compact="0" outline="0" showAll="0" defaultSubtotal="0">
      <items count="179">
        <item x="4"/>
        <item x="5"/>
        <item x="6"/>
        <item x="7"/>
        <item x="0"/>
        <item x="1"/>
        <item x="2"/>
        <item x="8"/>
        <item x="3"/>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s>
    </pivotField>
    <pivotField axis="axisRow" compact="0" outline="0" showAll="0" defaultSubtotal="0">
      <items count="24">
        <item x="9"/>
        <item x="0"/>
        <item x="2"/>
        <item x="4"/>
        <item x="10"/>
        <item x="11"/>
        <item x="1"/>
        <item x="6"/>
        <item x="5"/>
        <item x="12"/>
        <item x="3"/>
        <item x="7"/>
        <item x="8"/>
        <item x="13"/>
        <item x="14"/>
        <item x="15"/>
        <item x="16"/>
        <item x="17"/>
        <item x="18"/>
        <item x="19"/>
        <item x="20"/>
        <item x="21"/>
        <item x="22"/>
        <item x="23"/>
      </items>
      <extLst>
        <ext xmlns:x14="http://schemas.microsoft.com/office/spreadsheetml/2009/9/main" uri="{2946ED86-A175-432a-8AC1-64E0C546D7DE}">
          <x14:pivotField fillDownLabels="1"/>
        </ext>
      </extLst>
    </pivotField>
    <pivotField compact="0" outline="0" showAll="0" defaultSubtotal="0"/>
    <pivotField axis="axisRow" compact="0" outline="0" showAll="0" defaultSubtotal="0">
      <items count="569">
        <item x="118"/>
        <item x="116"/>
        <item x="117"/>
        <item x="50"/>
        <item x="161"/>
        <item x="55"/>
        <item x="52"/>
        <item x="63"/>
        <item x="54"/>
        <item x="53"/>
        <item x="48"/>
        <item x="45"/>
        <item x="143"/>
        <item x="59"/>
        <item x="105"/>
        <item x="106"/>
        <item x="199"/>
        <item x="159"/>
        <item x="57"/>
        <item x="197"/>
        <item x="162"/>
        <item x="60"/>
        <item x="150"/>
        <item x="158"/>
        <item x="164"/>
        <item x="142"/>
        <item x="47"/>
        <item x="140"/>
        <item x="138"/>
        <item x="129"/>
        <item x="44"/>
        <item x="51"/>
        <item x="194"/>
        <item x="160"/>
        <item x="198"/>
        <item x="56"/>
        <item x="179"/>
        <item x="163"/>
        <item x="195"/>
        <item x="43"/>
        <item x="62"/>
        <item x="193"/>
        <item x="46"/>
        <item x="114"/>
        <item x="180"/>
        <item x="200"/>
        <item x="58"/>
        <item x="97"/>
        <item x="61"/>
        <item x="137"/>
        <item x="151"/>
        <item x="124"/>
        <item x="165"/>
        <item x="196"/>
        <item x="49"/>
        <item x="101"/>
        <item x="102"/>
        <item x="104"/>
        <item x="166"/>
        <item x="98"/>
        <item x="82"/>
        <item x="167"/>
        <item x="69"/>
        <item x="75"/>
        <item x="73"/>
        <item x="79"/>
        <item x="85"/>
        <item x="81"/>
        <item x="110"/>
        <item x="168"/>
        <item x="83"/>
        <item x="78"/>
        <item x="86"/>
        <item x="169"/>
        <item x="72"/>
        <item x="70"/>
        <item x="76"/>
        <item x="74"/>
        <item x="80"/>
        <item x="77"/>
        <item x="71"/>
        <item x="84"/>
        <item x="99"/>
        <item x="91"/>
        <item x="115"/>
        <item x="145"/>
        <item x="144"/>
        <item x="146"/>
        <item x="109"/>
        <item x="152"/>
        <item x="66"/>
        <item x="130"/>
        <item x="65"/>
        <item x="67"/>
        <item x="68"/>
        <item x="103"/>
        <item x="128"/>
        <item x="136"/>
        <item x="37"/>
        <item x="157"/>
        <item x="135"/>
        <item x="149"/>
        <item x="156"/>
        <item x="39"/>
        <item x="40"/>
        <item x="41"/>
        <item x="134"/>
        <item x="42"/>
        <item x="38"/>
        <item x="192"/>
        <item x="96"/>
        <item x="155"/>
        <item x="0"/>
        <item x="95"/>
        <item x="10"/>
        <item x="12"/>
        <item x="4"/>
        <item x="8"/>
        <item x="7"/>
        <item x="5"/>
        <item x="6"/>
        <item x="148"/>
        <item x="9"/>
        <item x="1"/>
        <item x="113"/>
        <item x="191"/>
        <item x="154"/>
        <item x="2"/>
        <item x="112"/>
        <item x="3"/>
        <item x="11"/>
        <item x="182"/>
        <item x="181"/>
        <item x="170"/>
        <item x="171"/>
        <item x="172"/>
        <item x="173"/>
        <item x="64"/>
        <item x="18"/>
        <item x="87"/>
        <item x="19"/>
        <item x="88"/>
        <item x="20"/>
        <item x="29"/>
        <item x="16"/>
        <item x="139"/>
        <item x="92"/>
        <item x="13"/>
        <item x="22"/>
        <item x="126"/>
        <item x="26"/>
        <item x="119"/>
        <item x="23"/>
        <item x="120"/>
        <item x="131"/>
        <item x="174"/>
        <item x="132"/>
        <item x="32"/>
        <item x="133"/>
        <item x="107"/>
        <item x="175"/>
        <item x="121"/>
        <item x="122"/>
        <item x="33"/>
        <item x="30"/>
        <item x="176"/>
        <item x="27"/>
        <item x="183"/>
        <item x="108"/>
        <item x="184"/>
        <item x="100"/>
        <item x="17"/>
        <item x="125"/>
        <item x="123"/>
        <item x="177"/>
        <item x="24"/>
        <item x="25"/>
        <item x="185"/>
        <item x="93"/>
        <item x="31"/>
        <item x="94"/>
        <item x="127"/>
        <item x="178"/>
        <item x="89"/>
        <item x="153"/>
        <item x="21"/>
        <item x="186"/>
        <item x="34"/>
        <item x="187"/>
        <item x="14"/>
        <item x="188"/>
        <item x="28"/>
        <item x="15"/>
        <item x="35"/>
        <item x="189"/>
        <item x="147"/>
        <item x="190"/>
        <item x="141"/>
        <item x="36"/>
        <item x="111"/>
        <item x="90"/>
        <item x="201"/>
        <item x="202"/>
        <item x="203"/>
        <item x="204"/>
        <item x="205"/>
        <item x="206"/>
        <item x="207"/>
        <item x="208"/>
        <item x="209"/>
        <item x="210"/>
        <item x="211"/>
        <item x="212"/>
        <item x="213"/>
        <item x="214"/>
        <item x="215"/>
        <item x="216"/>
        <item x="217"/>
        <item x="218"/>
        <item x="219"/>
        <item x="220"/>
        <item x="221"/>
        <item x="222"/>
        <item x="223"/>
        <item x="224"/>
        <item x="516"/>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m="1" x="565"/>
        <item m="1" x="566"/>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m="1" x="568"/>
        <item x="369"/>
        <item x="370"/>
        <item x="371"/>
        <item x="368"/>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m="1" x="567"/>
        <item x="427"/>
        <item x="428"/>
        <item x="429"/>
        <item x="430"/>
        <item x="431"/>
        <item x="432"/>
        <item x="433"/>
        <item x="434"/>
        <item x="435"/>
        <item x="436"/>
        <item x="437"/>
        <item x="438"/>
        <item x="439"/>
        <item x="440"/>
        <item x="441"/>
        <item x="442"/>
        <item x="443"/>
        <item x="444"/>
        <item m="1" x="564"/>
        <item x="446"/>
        <item x="447"/>
        <item x="448"/>
        <item x="449"/>
        <item x="450"/>
        <item x="451"/>
        <item x="453"/>
        <item x="454"/>
        <item x="455"/>
        <item x="456"/>
        <item x="457"/>
        <item m="1" x="562"/>
        <item x="458"/>
        <item x="459"/>
        <item x="460"/>
        <item x="461"/>
        <item x="462"/>
        <item x="463"/>
        <item x="464"/>
        <item x="465"/>
        <item x="466"/>
        <item x="467"/>
        <item x="468"/>
        <item x="469"/>
        <item x="470"/>
        <item x="471"/>
        <item x="472"/>
        <item x="473"/>
        <item x="474"/>
        <item x="475"/>
        <item x="476"/>
        <item x="481"/>
        <item x="477"/>
        <item x="478"/>
        <item x="452"/>
        <item x="479"/>
        <item x="480"/>
        <item x="482"/>
        <item x="483"/>
        <item x="484"/>
        <item x="485"/>
        <item x="486"/>
        <item x="487"/>
        <item x="488"/>
        <item x="489"/>
        <item x="490"/>
        <item x="491"/>
        <item x="492"/>
        <item x="493"/>
        <item x="494"/>
        <item x="495"/>
        <item x="496"/>
        <item x="497"/>
        <item x="498"/>
        <item x="499"/>
        <item x="500"/>
        <item x="501"/>
        <item x="445"/>
        <item x="502"/>
        <item x="503"/>
        <item x="504"/>
        <item x="505"/>
        <item x="506"/>
        <item x="507"/>
        <item x="508"/>
        <item x="509"/>
        <item x="510"/>
        <item x="511"/>
        <item x="512"/>
        <item x="513"/>
        <item x="514"/>
        <item x="515"/>
        <item x="517"/>
        <item x="518"/>
        <item x="519"/>
        <item x="329"/>
        <item x="330"/>
        <item x="426"/>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m="1" x="563"/>
        <item x="552"/>
        <item x="553"/>
        <item x="554"/>
        <item x="555"/>
        <item x="556"/>
        <item x="557"/>
        <item x="558"/>
        <item x="559"/>
        <item x="560"/>
        <item x="56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
        <item x="0"/>
        <item x="1"/>
        <item x="2"/>
        <item x="3"/>
      </items>
      <extLst>
        <ext xmlns:x14="http://schemas.microsoft.com/office/spreadsheetml/2009/9/main" uri="{2946ED86-A175-432a-8AC1-64E0C546D7DE}">
          <x14:pivotField fillDownLabels="1"/>
        </ext>
      </extLst>
    </pivotField>
    <pivotField dataField="1" compact="0" outline="0" showAll="0" defaultSubtotal="0"/>
    <pivotField dataField="1" compact="0" outline="0" showAll="0" defaultSubtotal="0"/>
    <pivotField name="Description" axis="axisRow" compact="0" outline="0" showAll="0" defaultSubtotal="0">
      <items count="54">
        <item x="0"/>
        <item x="2"/>
        <item x="5"/>
        <item x="7"/>
        <item x="4"/>
        <item x="3"/>
        <item x="1"/>
        <item x="6"/>
        <item x="8"/>
        <item x="9"/>
        <item x="10"/>
        <item x="11"/>
        <item x="12"/>
        <item x="13"/>
        <item x="14"/>
        <item x="15"/>
        <item x="16"/>
        <item x="17"/>
        <item x="18"/>
        <item x="19"/>
        <item x="20"/>
        <item x="21"/>
        <item x="22"/>
        <item x="23"/>
        <item x="24"/>
        <item x="25"/>
        <item x="26"/>
        <item x="29"/>
        <item x="27"/>
        <item x="28"/>
        <item x="30"/>
        <item x="31"/>
        <item x="32"/>
        <item x="33"/>
        <item x="34"/>
        <item x="35"/>
        <item x="36"/>
        <item x="37"/>
        <item x="38"/>
        <item x="39"/>
        <item x="40"/>
        <item x="41"/>
        <item x="42"/>
        <item x="43"/>
        <item x="44"/>
        <item x="45"/>
        <item x="46"/>
        <item x="47"/>
        <item x="48"/>
        <item x="49"/>
        <item x="50"/>
        <item x="51"/>
        <item x="52"/>
        <item x="53"/>
      </items>
      <extLst>
        <ext xmlns:x14="http://schemas.microsoft.com/office/spreadsheetml/2009/9/main" uri="{2946ED86-A175-432a-8AC1-64E0C546D7DE}">
          <x14:pivotField fillDownLabels="1"/>
        </ext>
      </extLst>
    </pivotField>
    <pivotField compact="0" outline="0" showAll="0" defaultSubtotal="0"/>
    <pivotField compact="0" outline="0" subtotalTop="0" showAll="0" defaultSubtotal="0"/>
    <pivotField axis="axisPage" compact="0" outline="0" showAll="0" defaultSubtotal="0">
      <items count="18">
        <item x="3"/>
        <item x="2"/>
        <item x="0"/>
        <item x="4"/>
        <item x="6"/>
        <item x="7"/>
        <item x="9"/>
        <item x="10"/>
        <item x="5"/>
        <item x="8"/>
        <item x="12"/>
        <item x="13"/>
        <item x="14"/>
        <item x="11"/>
        <item x="15"/>
        <item x="1"/>
        <item x="16"/>
        <item x="17"/>
      </items>
      <extLst>
        <ext xmlns:x14="http://schemas.microsoft.com/office/spreadsheetml/2009/9/main" uri="{2946ED86-A175-432a-8AC1-64E0C546D7DE}">
          <x14:pivotField fillDownLabels="1"/>
        </ext>
      </extLst>
    </pivotField>
    <pivotField axis="axisRow" compact="0" outline="0" showAll="0" defaultSubtotal="0">
      <items count="25">
        <item x="1"/>
        <item x="8"/>
        <item x="4"/>
        <item x="6"/>
        <item x="5"/>
        <item x="0"/>
        <item x="9"/>
        <item x="3"/>
        <item x="11"/>
        <item x="7"/>
        <item x="10"/>
        <item x="12"/>
        <item x="14"/>
        <item x="13"/>
        <item x="19"/>
        <item x="22"/>
        <item x="2"/>
        <item x="15"/>
        <item x="17"/>
        <item x="18"/>
        <item x="21"/>
        <item x="23"/>
        <item x="16"/>
        <item x="24"/>
        <item x="20"/>
      </items>
      <extLst>
        <ext xmlns:x14="http://schemas.microsoft.com/office/spreadsheetml/2009/9/main" uri="{2946ED86-A175-432a-8AC1-64E0C546D7DE}">
          <x14:pivotField fillDownLabels="1"/>
        </ext>
      </extLst>
    </pivotField>
    <pivotField axis="axisRow" compact="0" outline="0" showAll="0" defaultSubtotal="0">
      <items count="37">
        <item x="5"/>
        <item x="0"/>
        <item x="6"/>
        <item x="11"/>
        <item x="10"/>
        <item x="9"/>
        <item x="3"/>
        <item x="17"/>
        <item x="7"/>
        <item x="13"/>
        <item x="8"/>
        <item x="19"/>
        <item x="21"/>
        <item m="1" x="36"/>
        <item m="1" x="33"/>
        <item m="1" x="34"/>
        <item x="27"/>
        <item x="28"/>
        <item x="29"/>
        <item m="1" x="31"/>
        <item m="1" x="32"/>
        <item m="1" x="35"/>
        <item m="1" x="30"/>
        <item x="1"/>
        <item x="2"/>
        <item x="4"/>
        <item x="12"/>
        <item x="14"/>
        <item x="15"/>
        <item x="16"/>
        <item x="18"/>
        <item x="20"/>
        <item x="22"/>
        <item x="23"/>
        <item x="24"/>
        <item x="25"/>
        <item x="26"/>
      </items>
      <extLst>
        <ext xmlns:x14="http://schemas.microsoft.com/office/spreadsheetml/2009/9/main" uri="{2946ED86-A175-432a-8AC1-64E0C546D7DE}">
          <x14:pivotField fillDownLabels="1"/>
        </ext>
      </extLst>
    </pivotField>
    <pivotField compact="0" outline="0" subtotalTop="0" showAll="0" defaultSubtotal="0"/>
    <pivotField compact="0" outline="0" subtotalTop="0" showAll="0" defaultSubtotal="0"/>
    <pivotField compact="0" outline="0" subtotalTop="0" showAll="0" defaultSubtotal="0"/>
  </pivotFields>
  <rowFields count="7">
    <field x="0"/>
    <field x="2"/>
    <field x="4"/>
    <field x="13"/>
    <field x="14"/>
    <field x="9"/>
    <field x="6"/>
  </rowFields>
  <rowItems count="13">
    <i>
      <x v="2"/>
      <x/>
      <x v="72"/>
      <x v="10"/>
      <x v="16"/>
      <x v="1"/>
      <x/>
    </i>
    <i r="5">
      <x v="6"/>
      <x/>
    </i>
    <i r="2">
      <x v="84"/>
      <x v="10"/>
      <x v="16"/>
      <x v="4"/>
      <x/>
    </i>
    <i>
      <x v="4"/>
      <x v="7"/>
      <x v="51"/>
      <x v="6"/>
      <x v="16"/>
      <x v="4"/>
      <x/>
    </i>
    <i r="2">
      <x v="258"/>
      <x v="6"/>
      <x v="16"/>
      <x v="4"/>
      <x/>
    </i>
    <i r="2">
      <x v="401"/>
      <x v="6"/>
      <x v="16"/>
      <x v="8"/>
      <x/>
    </i>
    <i r="2">
      <x v="402"/>
      <x v="6"/>
      <x v="16"/>
      <x v="8"/>
      <x/>
    </i>
    <i r="2">
      <x v="403"/>
      <x v="6"/>
      <x v="16"/>
      <x v="8"/>
      <x/>
    </i>
    <i r="2">
      <x v="404"/>
      <x v="6"/>
      <x v="16"/>
      <x v="8"/>
      <x/>
    </i>
    <i r="2">
      <x v="405"/>
      <x v="6"/>
      <x v="16"/>
      <x v="8"/>
      <x/>
    </i>
    <i r="2">
      <x v="406"/>
      <x v="6"/>
      <x v="16"/>
      <x v="8"/>
      <x/>
    </i>
    <i r="2">
      <x v="407"/>
      <x v="6"/>
      <x v="16"/>
      <x v="8"/>
      <x/>
    </i>
    <i t="grand">
      <x/>
    </i>
  </rowItems>
  <colFields count="1">
    <field x="-2"/>
  </colFields>
  <colItems count="2">
    <i>
      <x/>
    </i>
    <i i="1">
      <x v="1"/>
    </i>
  </colItems>
  <pageFields count="2">
    <pageField fld="1" item="86" hier="-1"/>
    <pageField fld="12" hier="-1"/>
  </pageFields>
  <dataFields count="2">
    <dataField name="Debits" fld="7" baseField="0" baseItem="0"/>
    <dataField name="Credits" fld="8" baseField="0" baseItem="0"/>
  </dataFields>
  <formats count="82">
    <format dxfId="86">
      <pivotArea outline="0" collapsedLevelsAreSubtotals="1" fieldPosition="0"/>
    </format>
    <format dxfId="85">
      <pivotArea type="all" dataOnly="0" outline="0" fieldPosition="0"/>
    </format>
    <format dxfId="84">
      <pivotArea outline="0" collapsedLevelsAreSubtotals="1" fieldPosition="0"/>
    </format>
    <format dxfId="83">
      <pivotArea field="0" type="button" dataOnly="0" labelOnly="1" outline="0" axis="axisRow" fieldPosition="0"/>
    </format>
    <format dxfId="82">
      <pivotArea field="2" type="button" dataOnly="0" labelOnly="1" outline="0" axis="axisRow" fieldPosition="1"/>
    </format>
    <format dxfId="81">
      <pivotArea field="4" type="button" dataOnly="0" labelOnly="1" outline="0" axis="axisRow" fieldPosition="2"/>
    </format>
    <format dxfId="80">
      <pivotArea field="12" type="button" dataOnly="0" labelOnly="1" outline="0" axis="axisPage" fieldPosition="1"/>
    </format>
    <format dxfId="79">
      <pivotArea field="14" type="button" dataOnly="0" labelOnly="1" outline="0" axis="axisRow" fieldPosition="4"/>
    </format>
    <format dxfId="78">
      <pivotArea field="13" type="button" dataOnly="0" labelOnly="1" outline="0" axis="axisRow" fieldPosition="3"/>
    </format>
    <format dxfId="77">
      <pivotArea field="9" type="button" dataOnly="0" labelOnly="1" outline="0" axis="axisRow" fieldPosition="5"/>
    </format>
    <format dxfId="76">
      <pivotArea field="6" type="button" dataOnly="0" labelOnly="1" outline="0" axis="axisRow" fieldPosition="6"/>
    </format>
    <format dxfId="75">
      <pivotArea dataOnly="0" labelOnly="1" outline="0" fieldPosition="0">
        <references count="1">
          <reference field="0" count="4">
            <x v="0"/>
            <x v="1"/>
            <x v="2"/>
            <x v="5"/>
          </reference>
        </references>
      </pivotArea>
    </format>
    <format dxfId="74">
      <pivotArea dataOnly="0" labelOnly="1" outline="0" fieldPosition="0">
        <references count="2">
          <reference field="0" count="1" selected="0">
            <x v="0"/>
          </reference>
          <reference field="2" count="1">
            <x v="10"/>
          </reference>
        </references>
      </pivotArea>
    </format>
    <format dxfId="73">
      <pivotArea dataOnly="0" labelOnly="1" outline="0" fieldPosition="0">
        <references count="2">
          <reference field="0" count="1" selected="0">
            <x v="1"/>
          </reference>
          <reference field="2" count="2">
            <x v="11"/>
            <x v="12"/>
          </reference>
        </references>
      </pivotArea>
    </format>
    <format dxfId="72">
      <pivotArea dataOnly="0" labelOnly="1" outline="0" fieldPosition="0">
        <references count="2">
          <reference field="0" count="1" selected="0">
            <x v="2"/>
          </reference>
          <reference field="2" count="1">
            <x v="0"/>
          </reference>
        </references>
      </pivotArea>
    </format>
    <format dxfId="71">
      <pivotArea dataOnly="0" labelOnly="1" outline="0" fieldPosition="0">
        <references count="2">
          <reference field="0" count="1" selected="0">
            <x v="5"/>
          </reference>
          <reference field="2" count="1">
            <x v="3"/>
          </reference>
        </references>
      </pivotArea>
    </format>
    <format dxfId="70">
      <pivotArea dataOnly="0" labelOnly="1" outline="0" fieldPosition="0">
        <references count="3">
          <reference field="0" count="1" selected="0">
            <x v="0"/>
          </reference>
          <reference field="2" count="1" selected="0">
            <x v="10"/>
          </reference>
          <reference field="4" count="4">
            <x v="138"/>
            <x v="140"/>
            <x v="142"/>
            <x v="185"/>
          </reference>
        </references>
      </pivotArea>
    </format>
    <format dxfId="69">
      <pivotArea dataOnly="0" labelOnly="1" outline="0" fieldPosition="0">
        <references count="3">
          <reference field="0" count="1" selected="0">
            <x v="1"/>
          </reference>
          <reference field="2" count="1" selected="0">
            <x v="11"/>
          </reference>
          <reference field="4" count="1">
            <x v="92"/>
          </reference>
        </references>
      </pivotArea>
    </format>
    <format dxfId="68">
      <pivotArea dataOnly="0" labelOnly="1" outline="0" fieldPosition="0">
        <references count="3">
          <reference field="0" count="1" selected="0">
            <x v="1"/>
          </reference>
          <reference field="2" count="1" selected="0">
            <x v="12"/>
          </reference>
          <reference field="4" count="2">
            <x v="90"/>
            <x v="93"/>
          </reference>
        </references>
      </pivotArea>
    </format>
    <format dxfId="67">
      <pivotArea dataOnly="0" labelOnly="1" outline="0" fieldPosition="0">
        <references count="3">
          <reference field="0" count="1" selected="0">
            <x v="2"/>
          </reference>
          <reference field="2" count="1" selected="0">
            <x v="0"/>
          </reference>
          <reference field="4" count="3">
            <x v="62"/>
            <x v="75"/>
            <x v="80"/>
          </reference>
        </references>
      </pivotArea>
    </format>
    <format dxfId="66">
      <pivotArea dataOnly="0" labelOnly="1" outline="0" fieldPosition="0">
        <references count="3">
          <reference field="0" count="1" selected="0">
            <x v="5"/>
          </reference>
          <reference field="2" count="1" selected="0">
            <x v="3"/>
          </reference>
          <reference field="4" count="1">
            <x v="98"/>
          </reference>
        </references>
      </pivotArea>
    </format>
    <format dxfId="65">
      <pivotArea dataOnly="0" labelOnly="1" outline="0" fieldPosition="0">
        <references count="4">
          <reference field="0" count="1" selected="0">
            <x v="0"/>
          </reference>
          <reference field="2" count="1" selected="0">
            <x v="10"/>
          </reference>
          <reference field="4" count="1" selected="0">
            <x v="138"/>
          </reference>
          <reference field="12" count="1">
            <x v="0"/>
          </reference>
        </references>
      </pivotArea>
    </format>
    <format dxfId="64">
      <pivotArea dataOnly="0" labelOnly="1" outline="0" fieldPosition="0">
        <references count="4">
          <reference field="0" count="1" selected="0">
            <x v="1"/>
          </reference>
          <reference field="2" count="1" selected="0">
            <x v="12"/>
          </reference>
          <reference field="4" count="1" selected="0">
            <x v="93"/>
          </reference>
          <reference field="12" count="1">
            <x v="2"/>
          </reference>
        </references>
      </pivotArea>
    </format>
    <format dxfId="63">
      <pivotArea dataOnly="0" labelOnly="1" outline="0" fieldPosition="0">
        <references count="4">
          <reference field="0" count="1" selected="0">
            <x v="2"/>
          </reference>
          <reference field="2" count="1" selected="0">
            <x v="0"/>
          </reference>
          <reference field="4" count="1" selected="0">
            <x v="62"/>
          </reference>
          <reference field="12" count="1">
            <x v="0"/>
          </reference>
        </references>
      </pivotArea>
    </format>
    <format dxfId="62">
      <pivotArea dataOnly="0" labelOnly="1" outline="0" fieldPosition="0">
        <references count="4">
          <reference field="0" count="1" selected="0">
            <x v="2"/>
          </reference>
          <reference field="2" count="1" selected="0">
            <x v="0"/>
          </reference>
          <reference field="4" count="1" selected="0">
            <x v="80"/>
          </reference>
          <reference field="12" count="1">
            <x v="2"/>
          </reference>
        </references>
      </pivotArea>
    </format>
    <format dxfId="61">
      <pivotArea dataOnly="0" labelOnly="1" outline="0" fieldPosition="0">
        <references count="4">
          <reference field="0" count="1" selected="0">
            <x v="5"/>
          </reference>
          <reference field="2" count="1" selected="0">
            <x v="3"/>
          </reference>
          <reference field="4" count="1" selected="0">
            <x v="98"/>
          </reference>
          <reference field="12" count="1">
            <x v="0"/>
          </reference>
        </references>
      </pivotArea>
    </format>
    <format dxfId="60">
      <pivotArea dataOnly="0" labelOnly="1" outline="0" fieldPosition="0">
        <references count="5">
          <reference field="0" count="1" selected="0">
            <x v="0"/>
          </reference>
          <reference field="2" count="1" selected="0">
            <x v="10"/>
          </reference>
          <reference field="4" count="1" selected="0">
            <x v="138"/>
          </reference>
          <reference field="12" count="1" selected="0">
            <x v="0"/>
          </reference>
          <reference field="14" count="1">
            <x v="2"/>
          </reference>
        </references>
      </pivotArea>
    </format>
    <format dxfId="59">
      <pivotArea dataOnly="0" labelOnly="1" outline="0" fieldPosition="0">
        <references count="5">
          <reference field="0" count="1" selected="0">
            <x v="0"/>
          </reference>
          <reference field="2" count="1" selected="0">
            <x v="10"/>
          </reference>
          <reference field="4" count="1" selected="0">
            <x v="185"/>
          </reference>
          <reference field="12" count="1" selected="0">
            <x v="0"/>
          </reference>
          <reference field="14" count="1">
            <x v="8"/>
          </reference>
        </references>
      </pivotArea>
    </format>
    <format dxfId="58">
      <pivotArea dataOnly="0" labelOnly="1" outline="0" fieldPosition="0">
        <references count="5">
          <reference field="0" count="1" selected="0">
            <x v="1"/>
          </reference>
          <reference field="2" count="1" selected="0">
            <x v="12"/>
          </reference>
          <reference field="4" count="1" selected="0">
            <x v="93"/>
          </reference>
          <reference field="12" count="1" selected="0">
            <x v="2"/>
          </reference>
          <reference field="14" count="1">
            <x v="10"/>
          </reference>
        </references>
      </pivotArea>
    </format>
    <format dxfId="57">
      <pivotArea dataOnly="0" labelOnly="1" outline="0" fieldPosition="0">
        <references count="5">
          <reference field="0" count="1" selected="0">
            <x v="2"/>
          </reference>
          <reference field="2" count="1" selected="0">
            <x v="0"/>
          </reference>
          <reference field="4" count="1" selected="0">
            <x v="62"/>
          </reference>
          <reference field="12" count="1" selected="0">
            <x v="0"/>
          </reference>
          <reference field="14" count="1">
            <x v="9"/>
          </reference>
        </references>
      </pivotArea>
    </format>
    <format dxfId="56">
      <pivotArea dataOnly="0" labelOnly="1" outline="0" fieldPosition="0">
        <references count="5">
          <reference field="0" count="1" selected="0">
            <x v="5"/>
          </reference>
          <reference field="2" count="1" selected="0">
            <x v="3"/>
          </reference>
          <reference field="4" count="1" selected="0">
            <x v="98"/>
          </reference>
          <reference field="12" count="1" selected="0">
            <x v="0"/>
          </reference>
          <reference field="14" count="1">
            <x v="2"/>
          </reference>
        </references>
      </pivotArea>
    </format>
    <format dxfId="55">
      <pivotArea dataOnly="0" labelOnly="1" outline="0" fieldPosition="0">
        <references count="6">
          <reference field="0" count="1" selected="0">
            <x v="0"/>
          </reference>
          <reference field="2" count="1" selected="0">
            <x v="10"/>
          </reference>
          <reference field="4" count="1" selected="0">
            <x v="138"/>
          </reference>
          <reference field="12" count="1" selected="0">
            <x v="0"/>
          </reference>
          <reference field="13" count="1">
            <x v="4"/>
          </reference>
          <reference field="14" count="1" selected="0">
            <x v="2"/>
          </reference>
        </references>
      </pivotArea>
    </format>
    <format dxfId="54">
      <pivotArea dataOnly="0" labelOnly="1" outline="0" fieldPosition="0">
        <references count="6">
          <reference field="0" count="1" selected="0">
            <x v="0"/>
          </reference>
          <reference field="2" count="1" selected="0">
            <x v="10"/>
          </reference>
          <reference field="4" count="1" selected="0">
            <x v="185"/>
          </reference>
          <reference field="12" count="1" selected="0">
            <x v="0"/>
          </reference>
          <reference field="13" count="1">
            <x v="3"/>
          </reference>
          <reference field="14" count="1" selected="0">
            <x v="8"/>
          </reference>
        </references>
      </pivotArea>
    </format>
    <format dxfId="53">
      <pivotArea dataOnly="0" labelOnly="1" outline="0" fieldPosition="0">
        <references count="6">
          <reference field="0" count="1" selected="0">
            <x v="1"/>
          </reference>
          <reference field="2" count="1" selected="0">
            <x v="12"/>
          </reference>
          <reference field="4" count="1" selected="0">
            <x v="93"/>
          </reference>
          <reference field="12" count="1" selected="0">
            <x v="2"/>
          </reference>
          <reference field="13" count="1">
            <x v="9"/>
          </reference>
          <reference field="14" count="1" selected="0">
            <x v="10"/>
          </reference>
        </references>
      </pivotArea>
    </format>
    <format dxfId="52">
      <pivotArea dataOnly="0" labelOnly="1" outline="0" fieldPosition="0">
        <references count="6">
          <reference field="0" count="1" selected="0">
            <x v="2"/>
          </reference>
          <reference field="2" count="1" selected="0">
            <x v="0"/>
          </reference>
          <reference field="4" count="1" selected="0">
            <x v="62"/>
          </reference>
          <reference field="12" count="1" selected="0">
            <x v="0"/>
          </reference>
          <reference field="13" count="1">
            <x v="10"/>
          </reference>
          <reference field="14" count="1" selected="0">
            <x v="9"/>
          </reference>
        </references>
      </pivotArea>
    </format>
    <format dxfId="51">
      <pivotArea dataOnly="0" labelOnly="1" outline="0" fieldPosition="0">
        <references count="6">
          <reference field="0" count="1" selected="0">
            <x v="5"/>
          </reference>
          <reference field="2" count="1" selected="0">
            <x v="3"/>
          </reference>
          <reference field="4" count="1" selected="0">
            <x v="98"/>
          </reference>
          <reference field="12" count="1" selected="0">
            <x v="0"/>
          </reference>
          <reference field="13" count="1">
            <x v="4"/>
          </reference>
          <reference field="14" count="1" selected="0">
            <x v="2"/>
          </reference>
        </references>
      </pivotArea>
    </format>
    <format dxfId="50">
      <pivotArea dataOnly="0" labelOnly="1" outline="0" fieldPosition="0">
        <references count="7">
          <reference field="0" count="1" selected="0">
            <x v="0"/>
          </reference>
          <reference field="2" count="1" selected="0">
            <x v="10"/>
          </reference>
          <reference field="4" count="1" selected="0">
            <x v="138"/>
          </reference>
          <reference field="9" count="3">
            <x v="4"/>
            <x v="5"/>
            <x v="6"/>
          </reference>
          <reference field="12" count="1" selected="0">
            <x v="0"/>
          </reference>
          <reference field="13" count="1" selected="0">
            <x v="4"/>
          </reference>
          <reference field="14" count="1" selected="0">
            <x v="2"/>
          </reference>
        </references>
      </pivotArea>
    </format>
    <format dxfId="49">
      <pivotArea dataOnly="0" labelOnly="1" outline="0" fieldPosition="0">
        <references count="7">
          <reference field="0" count="1" selected="0">
            <x v="0"/>
          </reference>
          <reference field="2" count="1" selected="0">
            <x v="10"/>
          </reference>
          <reference field="4" count="1" selected="0">
            <x v="140"/>
          </reference>
          <reference field="9" count="3">
            <x v="4"/>
            <x v="5"/>
            <x v="6"/>
          </reference>
          <reference field="12" count="1" selected="0">
            <x v="0"/>
          </reference>
          <reference field="13" count="1" selected="0">
            <x v="4"/>
          </reference>
          <reference field="14" count="1" selected="0">
            <x v="2"/>
          </reference>
        </references>
      </pivotArea>
    </format>
    <format dxfId="48">
      <pivotArea dataOnly="0" labelOnly="1" outline="0" fieldPosition="0">
        <references count="7">
          <reference field="0" count="1" selected="0">
            <x v="0"/>
          </reference>
          <reference field="2" count="1" selected="0">
            <x v="10"/>
          </reference>
          <reference field="4" count="1" selected="0">
            <x v="142"/>
          </reference>
          <reference field="9" count="3">
            <x v="4"/>
            <x v="5"/>
            <x v="6"/>
          </reference>
          <reference field="12" count="1" selected="0">
            <x v="0"/>
          </reference>
          <reference field="13" count="1" selected="0">
            <x v="4"/>
          </reference>
          <reference field="14" count="1" selected="0">
            <x v="2"/>
          </reference>
        </references>
      </pivotArea>
    </format>
    <format dxfId="47">
      <pivotArea dataOnly="0" labelOnly="1" outline="0" fieldPosition="0">
        <references count="7">
          <reference field="0" count="1" selected="0">
            <x v="0"/>
          </reference>
          <reference field="2" count="1" selected="0">
            <x v="10"/>
          </reference>
          <reference field="4" count="1" selected="0">
            <x v="185"/>
          </reference>
          <reference field="9" count="3">
            <x v="4"/>
            <x v="5"/>
            <x v="6"/>
          </reference>
          <reference field="12" count="1" selected="0">
            <x v="0"/>
          </reference>
          <reference field="13" count="1" selected="0">
            <x v="3"/>
          </reference>
          <reference field="14" count="1" selected="0">
            <x v="8"/>
          </reference>
        </references>
      </pivotArea>
    </format>
    <format dxfId="46">
      <pivotArea dataOnly="0" labelOnly="1" outline="0" fieldPosition="0">
        <references count="7">
          <reference field="0" count="1" selected="0">
            <x v="1"/>
          </reference>
          <reference field="2" count="1" selected="0">
            <x v="11"/>
          </reference>
          <reference field="4" count="1" selected="0">
            <x v="92"/>
          </reference>
          <reference field="9" count="1">
            <x v="0"/>
          </reference>
          <reference field="12" count="1" selected="0">
            <x v="0"/>
          </reference>
          <reference field="13" count="1" selected="0">
            <x v="3"/>
          </reference>
          <reference field="14" count="1" selected="0">
            <x v="8"/>
          </reference>
        </references>
      </pivotArea>
    </format>
    <format dxfId="45">
      <pivotArea dataOnly="0" labelOnly="1" outline="0" fieldPosition="0">
        <references count="7">
          <reference field="0" count="1" selected="0">
            <x v="5"/>
          </reference>
          <reference field="2" count="1" selected="0">
            <x v="3"/>
          </reference>
          <reference field="4" count="1" selected="0">
            <x v="98"/>
          </reference>
          <reference field="9" count="1">
            <x v="4"/>
          </reference>
          <reference field="12" count="1" selected="0">
            <x v="0"/>
          </reference>
          <reference field="13" count="1" selected="0">
            <x v="4"/>
          </reference>
          <reference field="14" count="1" selected="0">
            <x v="2"/>
          </reference>
        </references>
      </pivotArea>
    </format>
    <format dxfId="44">
      <pivotArea dataOnly="0" labelOnly="1" outline="0" fieldPosition="0">
        <references count="8">
          <reference field="0" count="1" selected="0">
            <x v="0"/>
          </reference>
          <reference field="2" count="1" selected="0">
            <x v="10"/>
          </reference>
          <reference field="4" count="1" selected="0">
            <x v="138"/>
          </reference>
          <reference field="6" count="1">
            <x v="0"/>
          </reference>
          <reference field="9" count="1" selected="0">
            <x v="4"/>
          </reference>
          <reference field="12" count="1" selected="0">
            <x v="0"/>
          </reference>
          <reference field="13" count="1" selected="0">
            <x v="4"/>
          </reference>
          <reference field="14" count="1" selected="0">
            <x v="2"/>
          </reference>
        </references>
      </pivotArea>
    </format>
    <format dxfId="43">
      <pivotArea dataOnly="0" labelOnly="1" outline="0" fieldPosition="0">
        <references count="8">
          <reference field="0" count="1" selected="0">
            <x v="0"/>
          </reference>
          <reference field="2" count="1" selected="0">
            <x v="10"/>
          </reference>
          <reference field="4" count="1" selected="0">
            <x v="138"/>
          </reference>
          <reference field="6" count="1">
            <x v="0"/>
          </reference>
          <reference field="9" count="1" selected="0">
            <x v="5"/>
          </reference>
          <reference field="12" count="1" selected="0">
            <x v="0"/>
          </reference>
          <reference field="13" count="1" selected="0">
            <x v="4"/>
          </reference>
          <reference field="14" count="1" selected="0">
            <x v="2"/>
          </reference>
        </references>
      </pivotArea>
    </format>
    <format dxfId="42">
      <pivotArea dataOnly="0" labelOnly="1" outline="0" fieldPosition="0">
        <references count="8">
          <reference field="0" count="1" selected="0">
            <x v="0"/>
          </reference>
          <reference field="2" count="1" selected="0">
            <x v="10"/>
          </reference>
          <reference field="4" count="1" selected="0">
            <x v="138"/>
          </reference>
          <reference field="6" count="1">
            <x v="0"/>
          </reference>
          <reference field="9" count="1" selected="0">
            <x v="6"/>
          </reference>
          <reference field="12" count="1" selected="0">
            <x v="0"/>
          </reference>
          <reference field="13" count="1" selected="0">
            <x v="4"/>
          </reference>
          <reference field="14" count="1" selected="0">
            <x v="2"/>
          </reference>
        </references>
      </pivotArea>
    </format>
    <format dxfId="41">
      <pivotArea dataOnly="0" labelOnly="1" outline="0" fieldPosition="0">
        <references count="8">
          <reference field="0" count="1" selected="0">
            <x v="0"/>
          </reference>
          <reference field="2" count="1" selected="0">
            <x v="10"/>
          </reference>
          <reference field="4" count="1" selected="0">
            <x v="140"/>
          </reference>
          <reference field="6" count="1">
            <x v="0"/>
          </reference>
          <reference field="9" count="1" selected="0">
            <x v="4"/>
          </reference>
          <reference field="12" count="1" selected="0">
            <x v="0"/>
          </reference>
          <reference field="13" count="1" selected="0">
            <x v="4"/>
          </reference>
          <reference field="14" count="1" selected="0">
            <x v="2"/>
          </reference>
        </references>
      </pivotArea>
    </format>
    <format dxfId="40">
      <pivotArea dataOnly="0" labelOnly="1" outline="0" fieldPosition="0">
        <references count="8">
          <reference field="0" count="1" selected="0">
            <x v="0"/>
          </reference>
          <reference field="2" count="1" selected="0">
            <x v="10"/>
          </reference>
          <reference field="4" count="1" selected="0">
            <x v="140"/>
          </reference>
          <reference field="6" count="1">
            <x v="0"/>
          </reference>
          <reference field="9" count="1" selected="0">
            <x v="5"/>
          </reference>
          <reference field="12" count="1" selected="0">
            <x v="0"/>
          </reference>
          <reference field="13" count="1" selected="0">
            <x v="4"/>
          </reference>
          <reference field="14" count="1" selected="0">
            <x v="2"/>
          </reference>
        </references>
      </pivotArea>
    </format>
    <format dxfId="39">
      <pivotArea dataOnly="0" labelOnly="1" outline="0" fieldPosition="0">
        <references count="8">
          <reference field="0" count="1" selected="0">
            <x v="0"/>
          </reference>
          <reference field="2" count="1" selected="0">
            <x v="10"/>
          </reference>
          <reference field="4" count="1" selected="0">
            <x v="140"/>
          </reference>
          <reference field="6" count="1">
            <x v="0"/>
          </reference>
          <reference field="9" count="1" selected="0">
            <x v="6"/>
          </reference>
          <reference field="12" count="1" selected="0">
            <x v="0"/>
          </reference>
          <reference field="13" count="1" selected="0">
            <x v="4"/>
          </reference>
          <reference field="14" count="1" selected="0">
            <x v="2"/>
          </reference>
        </references>
      </pivotArea>
    </format>
    <format dxfId="38">
      <pivotArea dataOnly="0" labelOnly="1" outline="0" fieldPosition="0">
        <references count="8">
          <reference field="0" count="1" selected="0">
            <x v="0"/>
          </reference>
          <reference field="2" count="1" selected="0">
            <x v="10"/>
          </reference>
          <reference field="4" count="1" selected="0">
            <x v="142"/>
          </reference>
          <reference field="6" count="1">
            <x v="0"/>
          </reference>
          <reference field="9" count="1" selected="0">
            <x v="4"/>
          </reference>
          <reference field="12" count="1" selected="0">
            <x v="0"/>
          </reference>
          <reference field="13" count="1" selected="0">
            <x v="4"/>
          </reference>
          <reference field="14" count="1" selected="0">
            <x v="2"/>
          </reference>
        </references>
      </pivotArea>
    </format>
    <format dxfId="37">
      <pivotArea dataOnly="0" labelOnly="1" outline="0" fieldPosition="0">
        <references count="8">
          <reference field="0" count="1" selected="0">
            <x v="0"/>
          </reference>
          <reference field="2" count="1" selected="0">
            <x v="10"/>
          </reference>
          <reference field="4" count="1" selected="0">
            <x v="142"/>
          </reference>
          <reference field="6" count="1">
            <x v="0"/>
          </reference>
          <reference field="9" count="1" selected="0">
            <x v="5"/>
          </reference>
          <reference field="12" count="1" selected="0">
            <x v="0"/>
          </reference>
          <reference field="13" count="1" selected="0">
            <x v="4"/>
          </reference>
          <reference field="14" count="1" selected="0">
            <x v="2"/>
          </reference>
        </references>
      </pivotArea>
    </format>
    <format dxfId="36">
      <pivotArea dataOnly="0" labelOnly="1" outline="0" fieldPosition="0">
        <references count="8">
          <reference field="0" count="1" selected="0">
            <x v="0"/>
          </reference>
          <reference field="2" count="1" selected="0">
            <x v="10"/>
          </reference>
          <reference field="4" count="1" selected="0">
            <x v="142"/>
          </reference>
          <reference field="6" count="1">
            <x v="0"/>
          </reference>
          <reference field="9" count="1" selected="0">
            <x v="6"/>
          </reference>
          <reference field="12" count="1" selected="0">
            <x v="0"/>
          </reference>
          <reference field="13" count="1" selected="0">
            <x v="4"/>
          </reference>
          <reference field="14" count="1" selected="0">
            <x v="2"/>
          </reference>
        </references>
      </pivotArea>
    </format>
    <format dxfId="35">
      <pivotArea dataOnly="0" labelOnly="1" outline="0" fieldPosition="0">
        <references count="8">
          <reference field="0" count="1" selected="0">
            <x v="0"/>
          </reference>
          <reference field="2" count="1" selected="0">
            <x v="10"/>
          </reference>
          <reference field="4" count="1" selected="0">
            <x v="185"/>
          </reference>
          <reference field="6" count="1">
            <x v="0"/>
          </reference>
          <reference field="9" count="1" selected="0">
            <x v="4"/>
          </reference>
          <reference field="12" count="1" selected="0">
            <x v="0"/>
          </reference>
          <reference field="13" count="1" selected="0">
            <x v="3"/>
          </reference>
          <reference field="14" count="1" selected="0">
            <x v="8"/>
          </reference>
        </references>
      </pivotArea>
    </format>
    <format dxfId="34">
      <pivotArea dataOnly="0" labelOnly="1" outline="0" fieldPosition="0">
        <references count="8">
          <reference field="0" count="1" selected="0">
            <x v="0"/>
          </reference>
          <reference field="2" count="1" selected="0">
            <x v="10"/>
          </reference>
          <reference field="4" count="1" selected="0">
            <x v="185"/>
          </reference>
          <reference field="6" count="1">
            <x v="0"/>
          </reference>
          <reference field="9" count="1" selected="0">
            <x v="5"/>
          </reference>
          <reference field="12" count="1" selected="0">
            <x v="0"/>
          </reference>
          <reference field="13" count="1" selected="0">
            <x v="3"/>
          </reference>
          <reference field="14" count="1" selected="0">
            <x v="8"/>
          </reference>
        </references>
      </pivotArea>
    </format>
    <format dxfId="33">
      <pivotArea dataOnly="0" labelOnly="1" outline="0" fieldPosition="0">
        <references count="8">
          <reference field="0" count="1" selected="0">
            <x v="0"/>
          </reference>
          <reference field="2" count="1" selected="0">
            <x v="10"/>
          </reference>
          <reference field="4" count="1" selected="0">
            <x v="185"/>
          </reference>
          <reference field="6" count="1">
            <x v="0"/>
          </reference>
          <reference field="9" count="1" selected="0">
            <x v="6"/>
          </reference>
          <reference field="12" count="1" selected="0">
            <x v="0"/>
          </reference>
          <reference field="13" count="1" selected="0">
            <x v="3"/>
          </reference>
          <reference field="14" count="1" selected="0">
            <x v="8"/>
          </reference>
        </references>
      </pivotArea>
    </format>
    <format dxfId="32">
      <pivotArea dataOnly="0" labelOnly="1" outline="0" fieldPosition="0">
        <references count="8">
          <reference field="0" count="1" selected="0">
            <x v="1"/>
          </reference>
          <reference field="2" count="1" selected="0">
            <x v="11"/>
          </reference>
          <reference field="4" count="1" selected="0">
            <x v="92"/>
          </reference>
          <reference field="6" count="1">
            <x v="0"/>
          </reference>
          <reference field="9" count="1" selected="0">
            <x v="0"/>
          </reference>
          <reference field="12" count="1" selected="0">
            <x v="0"/>
          </reference>
          <reference field="13" count="1" selected="0">
            <x v="3"/>
          </reference>
          <reference field="14" count="1" selected="0">
            <x v="8"/>
          </reference>
        </references>
      </pivotArea>
    </format>
    <format dxfId="31">
      <pivotArea dataOnly="0" labelOnly="1" outline="0" fieldPosition="0">
        <references count="8">
          <reference field="0" count="1" selected="0">
            <x v="1"/>
          </reference>
          <reference field="2" count="1" selected="0">
            <x v="12"/>
          </reference>
          <reference field="4" count="1" selected="0">
            <x v="90"/>
          </reference>
          <reference field="6" count="1">
            <x v="0"/>
          </reference>
          <reference field="9" count="1" selected="0">
            <x v="0"/>
          </reference>
          <reference field="12" count="1" selected="0">
            <x v="0"/>
          </reference>
          <reference field="13" count="1" selected="0">
            <x v="3"/>
          </reference>
          <reference field="14" count="1" selected="0">
            <x v="8"/>
          </reference>
        </references>
      </pivotArea>
    </format>
    <format dxfId="30">
      <pivotArea dataOnly="0" labelOnly="1" outline="0" fieldPosition="0">
        <references count="8">
          <reference field="0" count="1" selected="0">
            <x v="1"/>
          </reference>
          <reference field="2" count="1" selected="0">
            <x v="12"/>
          </reference>
          <reference field="4" count="1" selected="0">
            <x v="93"/>
          </reference>
          <reference field="6" count="1">
            <x v="0"/>
          </reference>
          <reference field="9" count="1" selected="0">
            <x v="0"/>
          </reference>
          <reference field="12" count="1" selected="0">
            <x v="2"/>
          </reference>
          <reference field="13" count="1" selected="0">
            <x v="9"/>
          </reference>
          <reference field="14" count="1" selected="0">
            <x v="10"/>
          </reference>
        </references>
      </pivotArea>
    </format>
    <format dxfId="29">
      <pivotArea dataOnly="0" labelOnly="1" outline="0" fieldPosition="0">
        <references count="8">
          <reference field="0" count="1" selected="0">
            <x v="2"/>
          </reference>
          <reference field="2" count="1" selected="0">
            <x v="0"/>
          </reference>
          <reference field="4" count="1" selected="0">
            <x v="62"/>
          </reference>
          <reference field="6" count="1">
            <x v="0"/>
          </reference>
          <reference field="9" count="1" selected="0">
            <x v="0"/>
          </reference>
          <reference field="12" count="1" selected="0">
            <x v="0"/>
          </reference>
          <reference field="13" count="1" selected="0">
            <x v="10"/>
          </reference>
          <reference field="14" count="1" selected="0">
            <x v="9"/>
          </reference>
        </references>
      </pivotArea>
    </format>
    <format dxfId="28">
      <pivotArea dataOnly="0" labelOnly="1" outline="0" fieldPosition="0">
        <references count="8">
          <reference field="0" count="1" selected="0">
            <x v="2"/>
          </reference>
          <reference field="2" count="1" selected="0">
            <x v="0"/>
          </reference>
          <reference field="4" count="1" selected="0">
            <x v="75"/>
          </reference>
          <reference field="6" count="1">
            <x v="0"/>
          </reference>
          <reference field="9" count="1" selected="0">
            <x v="0"/>
          </reference>
          <reference field="12" count="1" selected="0">
            <x v="0"/>
          </reference>
          <reference field="13" count="1" selected="0">
            <x v="10"/>
          </reference>
          <reference field="14" count="1" selected="0">
            <x v="9"/>
          </reference>
        </references>
      </pivotArea>
    </format>
    <format dxfId="27">
      <pivotArea dataOnly="0" labelOnly="1" outline="0" fieldPosition="0">
        <references count="8">
          <reference field="0" count="1" selected="0">
            <x v="2"/>
          </reference>
          <reference field="2" count="1" selected="0">
            <x v="0"/>
          </reference>
          <reference field="4" count="1" selected="0">
            <x v="80"/>
          </reference>
          <reference field="6" count="1">
            <x v="0"/>
          </reference>
          <reference field="9" count="1" selected="0">
            <x v="0"/>
          </reference>
          <reference field="12" count="1" selected="0">
            <x v="2"/>
          </reference>
          <reference field="13" count="1" selected="0">
            <x v="10"/>
          </reference>
          <reference field="14" count="1" selected="0">
            <x v="9"/>
          </reference>
        </references>
      </pivotArea>
    </format>
    <format dxfId="26">
      <pivotArea dataOnly="0" labelOnly="1" outline="0" fieldPosition="0">
        <references count="8">
          <reference field="0" count="1" selected="0">
            <x v="5"/>
          </reference>
          <reference field="2" count="1" selected="0">
            <x v="3"/>
          </reference>
          <reference field="4" count="1" selected="0">
            <x v="98"/>
          </reference>
          <reference field="6" count="1">
            <x v="0"/>
          </reference>
          <reference field="9" count="1" selected="0">
            <x v="4"/>
          </reference>
          <reference field="12" count="1" selected="0">
            <x v="0"/>
          </reference>
          <reference field="13" count="1" selected="0">
            <x v="4"/>
          </reference>
          <reference field="14" count="1" selected="0">
            <x v="2"/>
          </reference>
        </references>
      </pivotArea>
    </format>
    <format dxfId="25">
      <pivotArea dataOnly="0" labelOnly="1" outline="0" fieldPosition="0">
        <references count="1">
          <reference field="4294967294" count="2">
            <x v="0"/>
            <x v="1"/>
          </reference>
        </references>
      </pivotArea>
    </format>
    <format dxfId="24">
      <pivotArea field="0" type="button" dataOnly="0" labelOnly="1" outline="0" axis="axisRow" fieldPosition="0"/>
    </format>
    <format dxfId="23">
      <pivotArea field="2" type="button" dataOnly="0" labelOnly="1" outline="0" axis="axisRow" fieldPosition="1"/>
    </format>
    <format dxfId="22">
      <pivotArea field="4" type="button" dataOnly="0" labelOnly="1" outline="0" axis="axisRow" fieldPosition="2"/>
    </format>
    <format dxfId="21">
      <pivotArea field="13" type="button" dataOnly="0" labelOnly="1" outline="0" axis="axisRow" fieldPosition="3"/>
    </format>
    <format dxfId="20">
      <pivotArea field="14" type="button" dataOnly="0" labelOnly="1" outline="0" axis="axisRow" fieldPosition="4"/>
    </format>
    <format dxfId="19">
      <pivotArea field="9" type="button" dataOnly="0" labelOnly="1" outline="0" axis="axisRow" fieldPosition="5"/>
    </format>
    <format dxfId="18">
      <pivotArea field="6" type="button" dataOnly="0" labelOnly="1" outline="0" axis="axisRow" fieldPosition="6"/>
    </format>
    <format dxfId="17">
      <pivotArea dataOnly="0" labelOnly="1" outline="0" fieldPosition="0">
        <references count="1">
          <reference field="4294967294" count="2">
            <x v="0"/>
            <x v="1"/>
          </reference>
        </references>
      </pivotArea>
    </format>
    <format dxfId="16">
      <pivotArea field="0" type="button" dataOnly="0" labelOnly="1" outline="0" axis="axisRow" fieldPosition="0"/>
    </format>
    <format dxfId="15">
      <pivotArea field="2" type="button" dataOnly="0" labelOnly="1" outline="0" axis="axisRow" fieldPosition="1"/>
    </format>
    <format dxfId="14">
      <pivotArea field="4" type="button" dataOnly="0" labelOnly="1" outline="0" axis="axisRow" fieldPosition="2"/>
    </format>
    <format dxfId="13">
      <pivotArea field="13" type="button" dataOnly="0" labelOnly="1" outline="0" axis="axisRow" fieldPosition="3"/>
    </format>
    <format dxfId="12">
      <pivotArea field="14" type="button" dataOnly="0" labelOnly="1" outline="0" axis="axisRow" fieldPosition="4"/>
    </format>
    <format dxfId="11">
      <pivotArea field="9" type="button" dataOnly="0" labelOnly="1" outline="0" axis="axisRow" fieldPosition="5"/>
    </format>
    <format dxfId="10">
      <pivotArea field="6" type="button" dataOnly="0" labelOnly="1" outline="0" axis="axisRow" fieldPosition="6"/>
    </format>
    <format dxfId="9">
      <pivotArea dataOnly="0" labelOnly="1" outline="0" fieldPosition="0">
        <references count="1">
          <reference field="4294967294" count="2">
            <x v="0"/>
            <x v="1"/>
          </reference>
        </references>
      </pivotArea>
    </format>
    <format dxfId="8">
      <pivotArea field="0" grandRow="1" outline="0" axis="axisRow" fieldPosition="0">
        <references count="1">
          <reference field="4294967294" count="1" selected="0">
            <x v="0"/>
          </reference>
        </references>
      </pivotArea>
    </format>
    <format dxfId="7">
      <pivotArea grandRow="1" outline="0" collapsedLevelsAreSubtotals="1" fieldPosition="0"/>
    </format>
    <format dxfId="6">
      <pivotArea dataOnly="0" labelOnly="1" grandRow="1" outline="0" fieldPosition="0"/>
    </format>
    <format dxfId="5">
      <pivotArea dataOnly="0" labelOnly="1" grandRow="1" outline="0"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1" xr16:uid="{7D6A7976-CB75-45E5-8073-6ADE06586F0F}" autoFormatId="16" applyNumberFormats="0" applyBorderFormats="0" applyFontFormats="0" applyPatternFormats="0" applyAlignmentFormats="0" applyWidthHeightFormats="0">
  <queryTableRefresh nextId="30">
    <queryTableFields count="23">
      <queryTableField id="1" name="LC Number" tableColumnId="1"/>
      <queryTableField id="2" name="Date Recd" tableColumnId="2"/>
      <queryTableField id="3" name="Presentation No" tableColumnId="3"/>
      <queryTableField id="24" name="Project Director" tableColumnId="13"/>
      <queryTableField id="4" name="Clean / Disc" tableColumnId="4"/>
      <queryTableField id="5" name="Bank" tableColumnId="5"/>
      <queryTableField id="6" name="Facility Space" tableColumnId="6"/>
      <queryTableField id="7" name="Lines" tableColumnId="7"/>
      <queryTableField id="8" name="Beneficiary" tableColumnId="8"/>
      <queryTableField id="9" name="Group Company" tableColumnId="9"/>
      <queryTableField id="10" name="Project" tableColumnId="10"/>
      <queryTableField id="11" name="Project Code" tableColumnId="11"/>
      <queryTableField id="12" name="Curr" tableColumnId="12"/>
      <queryTableField id="14" name="Status" tableColumnId="14"/>
      <queryTableField id="15" name="Docs Received" tableColumnId="15"/>
      <queryTableField id="16" name="Invoice Amt (FCY)" tableColumnId="16"/>
      <queryTableField id="17" name="Rate" tableColumnId="17"/>
      <queryTableField id="18" name=" Invoice Amt (SAR)" tableColumnId="18"/>
      <queryTableField id="19" name="Due Date" tableColumnId="19"/>
      <queryTableField id="20" name="Payment Terms" tableColumnId="20"/>
      <queryTableField id="21" name="Funds Utilize" tableColumnId="21"/>
      <queryTableField id="22" name="Recovered" tableColumnId="22"/>
      <queryTableField id="23" name="Remarks" tableColumnId="2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7" xr16:uid="{66BB0478-7FC7-4349-92B7-4DF47A636EEF}" autoFormatId="16" applyNumberFormats="0" applyBorderFormats="0" applyFontFormats="0" applyPatternFormats="0" applyAlignmentFormats="0" applyWidthHeightFormats="0">
  <queryTableRefresh nextId="32">
    <queryTableFields count="21">
      <queryTableField id="1" name="LC Number" tableColumnId="1"/>
      <queryTableField id="2" name="Date Recd" tableColumnId="2"/>
      <queryTableField id="3" name="Presentation No" tableColumnId="3"/>
      <queryTableField id="26" name="Project Director" tableColumnId="11"/>
      <queryTableField id="4" name="Clean / Disc" tableColumnId="4"/>
      <queryTableField id="5" name="Bank" tableColumnId="5"/>
      <queryTableField id="22" name="Facility Space" tableColumnId="22"/>
      <queryTableField id="6" name="Lines" tableColumnId="6"/>
      <queryTableField id="7" name="Beneficiary" tableColumnId="7"/>
      <queryTableField id="8" name="Group Company" tableColumnId="8"/>
      <queryTableField id="9" name="Project" tableColumnId="9"/>
      <queryTableField id="24" name="Project Code" tableColumnId="23"/>
      <queryTableField id="10" name="Curr" tableColumnId="10"/>
      <queryTableField id="12" name="Status" tableColumnId="12"/>
      <queryTableField id="14" name="Invoice Amt (FCY)" tableColumnId="14"/>
      <queryTableField id="15" name="Rate" tableColumnId="15"/>
      <queryTableField id="16" name=" Invoice Amt (SAR)" tableColumnId="16"/>
      <queryTableField id="17" name="Due Date" tableColumnId="17"/>
      <queryTableField id="18" name="Payment Terms" tableColumnId="18"/>
      <queryTableField id="19" name="Funds Utilize" tableColumnId="19"/>
      <queryTableField id="21" name="Remarks" tableColumnId="2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6" xr16:uid="{F75F6429-DB17-44B3-97D6-8BC5E93B6D41}" autoFormatId="16" applyNumberFormats="0" applyBorderFormats="0" applyFontFormats="0" applyPatternFormats="0" applyAlignmentFormats="0" applyWidthHeightFormats="0">
  <queryTableRefresh nextId="30">
    <queryTableFields count="15">
      <queryTableField id="1" name="LC Number" tableColumnId="1"/>
      <queryTableField id="2" name="Date Recd" tableColumnId="2"/>
      <queryTableField id="3" name="Presentation No" tableColumnId="3"/>
      <queryTableField id="4" name="Clean / Disc" tableColumnId="4"/>
      <queryTableField id="5" name="Bank" tableColumnId="5"/>
      <queryTableField id="7" name="Lines" tableColumnId="7"/>
      <queryTableField id="8" name="Beneficiary" tableColumnId="8"/>
      <queryTableField id="9" name="Group Company" tableColumnId="9"/>
      <queryTableField id="10" name="Project" tableColumnId="10"/>
      <queryTableField id="11" name="Project Code" tableColumnId="11"/>
      <queryTableField id="12" name="Curr" tableColumnId="12"/>
      <queryTableField id="16" name="Invoice Amt (FCY)" tableColumnId="16"/>
      <queryTableField id="17" name="Rate" tableColumnId="17"/>
      <queryTableField id="18" name=" Invoice Amt (SAR)" tableColumnId="18"/>
      <queryTableField id="19" name="Due Date" tableColumnId="19"/>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20" xr16:uid="{B8044545-FEC6-426C-BA95-6C297D5FB39B}" autoFormatId="16" applyNumberFormats="0" applyBorderFormats="0" applyFontFormats="0" applyPatternFormats="0" applyAlignmentFormats="0" applyWidthHeightFormats="0">
  <queryTableRefresh nextId="15">
    <queryTableFields count="14">
      <queryTableField id="1" name="LC Number" tableColumnId="1"/>
      <queryTableField id="2" name="Issue Date." tableColumnId="2"/>
      <queryTableField id="3" name="Beneficiary" tableColumnId="3"/>
      <queryTableField id="4" name="Project" tableColumnId="4"/>
      <queryTableField id="5" name="Curr" tableColumnId="5"/>
      <queryTableField id="6" name="LC Amt(FCY)" tableColumnId="6"/>
      <queryTableField id="7" name="Rate" tableColumnId="7"/>
      <queryTableField id="8" name="LC Amt(SAR)" tableColumnId="8"/>
      <queryTableField id="9" name="LC Settled" tableColumnId="9"/>
      <queryTableField id="10" name="Pending Settlement" tableColumnId="10"/>
      <queryTableField id="11" name="LC Balance" tableColumnId="11"/>
      <queryTableField id="12" name="Expiry Date" tableColumnId="12"/>
      <queryTableField id="13" name="Bank" tableColumnId="13"/>
      <queryTableField id="14" name="Lines" tableColumnId="1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7" xr16:uid="{93FDE718-95AD-4295-8F7D-1A42164528E1}" autoFormatId="16" applyNumberFormats="0" applyBorderFormats="0" applyFontFormats="0" applyPatternFormats="0" applyAlignmentFormats="0" applyWidthHeightFormats="0">
  <queryTableRefresh nextId="24">
    <queryTableFields count="18">
      <queryTableField id="1" name="LC Number" tableColumnId="1"/>
      <queryTableField id="2" name="Final Expiry Date" tableColumnId="2"/>
      <queryTableField id="3" name="Beneficiary" tableColumnId="3"/>
      <queryTableField id="14" name="LC Balance" tableColumnId="14"/>
      <queryTableField id="18" name="Bank" tableColumnId="18"/>
      <queryTableField id="4" name="Facility Space" tableColumnId="4"/>
      <queryTableField id="19" name="Lines" tableColumnId="19"/>
      <queryTableField id="5" name="Group Company" tableColumnId="5"/>
      <queryTableField id="6" name="Project" tableColumnId="6"/>
      <queryTableField id="8" name="Project Code" tableColumnId="8"/>
      <queryTableField id="7" name="Curr" tableColumnId="7"/>
      <queryTableField id="9" name="LC Amt(FCY)" tableColumnId="9"/>
      <queryTableField id="10" name="Rate" tableColumnId="10"/>
      <queryTableField id="11" name="LC Settled" tableColumnId="11"/>
      <queryTableField id="12" name="Balance After Settlement" tableColumnId="12"/>
      <queryTableField id="13" name="Pending Settlement" tableColumnId="13"/>
      <queryTableField id="15" name="Amt Recd. for Sign" tableColumnId="15"/>
      <queryTableField id="17" name="Expiry Date" tableColumnId="1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21" xr16:uid="{CBBDBAED-0204-475F-84BD-F003A0C10FE5}" autoFormatId="16" applyNumberFormats="0" applyBorderFormats="0" applyFontFormats="0" applyPatternFormats="0" applyAlignmentFormats="0" applyWidthHeightFormats="0">
  <queryTableRefresh nextId="52">
    <queryTableFields count="30">
      <queryTableField id="1" name="LC Number" tableColumnId="1"/>
      <queryTableField id="2" name="Issue Date." tableColumnId="2"/>
      <queryTableField id="3" name="Project Director" tableColumnId="3"/>
      <queryTableField id="4" name="Status" tableColumnId="4"/>
      <queryTableField id="5" name="Beneficiary" tableColumnId="5"/>
      <queryTableField id="6" name="Facility Space" tableColumnId="6"/>
      <queryTableField id="7" name="Group Company" tableColumnId="7"/>
      <queryTableField id="8" name="Project" tableColumnId="8"/>
      <queryTableField id="9" name="Curr" tableColumnId="9"/>
      <queryTableField id="10" name="Project Code" tableColumnId="10"/>
      <queryTableField id="11" name="LC Amt(FCY)" tableColumnId="11"/>
      <queryTableField id="12" name="Rate" tableColumnId="12"/>
      <queryTableField id="13" name="LC Amt(SAR)" tableColumnId="13"/>
      <queryTableField id="14" name="LC Settled" tableColumnId="14"/>
      <queryTableField id="44" name="Balance After Settlement" tableColumnId="28"/>
      <queryTableField id="15" name="Pending Settlement" tableColumnId="15"/>
      <queryTableField id="16" name="LC Balance" tableColumnId="16"/>
      <queryTableField id="42" name="Amt Recd. for Sign" tableColumnId="31"/>
      <queryTableField id="48" name="Due Dates" tableColumnId="29"/>
      <queryTableField id="17" name="Expiry Date" tableColumnId="17"/>
      <queryTableField id="18" name="Last Ship Date" tableColumnId="18"/>
      <queryTableField id="19" name="Cash Margin" tableColumnId="19"/>
      <queryTableField id="20" name="Cash-Fund Utilized" tableColumnId="20"/>
      <queryTableField id="21" name="Cash-Recovered" tableColumnId="21"/>
      <queryTableField id="22" name="Increase Amount in SAR" tableColumnId="22"/>
      <queryTableField id="23" name="Remarks" tableColumnId="23"/>
      <queryTableField id="24" name="Bank" tableColumnId="24"/>
      <queryTableField id="25" name="Lines" tableColumnId="25"/>
      <queryTableField id="26" name="Payment Terms" tableColumnId="26"/>
      <queryTableField id="27" name="Active/Cancelled" tableColumnId="27"/>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headers="0" connectionId="1" xr16:uid="{780EC787-DD62-4586-B146-820979907BDE}" autoFormatId="16" applyNumberFormats="0" applyBorderFormats="0" applyFontFormats="0" applyPatternFormats="0" applyAlignmentFormats="0" applyWidthHeightFormats="0">
  <queryTableRefresh headersInLastRefresh="0" nextId="3">
    <queryTableFields count="1">
      <queryTableField id="2" name="Alinma_Loans" tableColumnId="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headers="0" connectionId="33" xr16:uid="{35A3D6A9-0D0E-4BAC-B934-D44B9004D895}" autoFormatId="16" applyNumberFormats="0" applyBorderFormats="0" applyFontFormats="0" applyPatternFormats="0" applyAlignmentFormats="0" applyWidthHeightFormats="0">
  <queryTableRefresh headersInLastRefresh="0" nextId="2">
    <queryTableFields count="1">
      <queryTableField id="1" name="SNB_Loans"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5" xr16:uid="{9F14BE16-F15F-42AF-9D24-15747D5837CD}" autoFormatId="16" applyNumberFormats="0" applyBorderFormats="0" applyFontFormats="0" applyPatternFormats="0" applyAlignmentFormats="0" applyWidthHeightFormats="0">
  <queryTableRefresh nextId="8">
    <queryTableFields count="5">
      <queryTableField id="1" name="LC/LG Number" tableColumnId="1"/>
      <queryTableField id="5" name="Beneficiary" tableColumnId="5"/>
      <queryTableField id="2" name="Group Company" tableColumnId="2"/>
      <queryTableField id="3" name="Project" tableColumnId="3"/>
      <queryTableField id="4" name="Project Code" tableColumnId="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k10" xr10:uid="{30343E5C-D184-4EBA-980B-1707A74A0CC7}" sourceName="Bank">
  <pivotTables>
    <pivotTable tabId="18" name="PivotTable4"/>
  </pivotTables>
  <data>
    <tabular pivotCacheId="1872264462">
      <items count="12">
        <i x="6"/>
        <i x="2"/>
        <i x="0"/>
        <i x="3"/>
        <i x="7" s="1"/>
        <i x="1"/>
        <i x="4"/>
        <i x="5"/>
        <i x="11" nd="1"/>
        <i x="9" nd="1"/>
        <i x="10" nd="1"/>
        <i x="8"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1" xr10:uid="{3ED758DD-1031-4B16-8EA1-5EF3FE5990F7}" sourceName="Type">
  <pivotTables>
    <pivotTable tabId="18" name="PivotTable4"/>
  </pivotTables>
  <data>
    <tabular pivotCacheId="1872264462">
      <items count="3">
        <i x="2" s="1"/>
        <i x="1" s="1" nd="1"/>
        <i x="0"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k" xr10:uid="{FD0B46E6-27A3-4A9A-822A-4413114C7A7B}" sourceName="Bank">
  <extLst>
    <x:ext xmlns:x15="http://schemas.microsoft.com/office/spreadsheetml/2010/11/main" uri="{2F2917AC-EB37-4324-AD4E-5DD8C200BD13}">
      <x15:tableSlicerCache tableId="3" column="5"/>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k1" xr10:uid="{3C1017D0-F451-41B9-887A-F43B1266E65D}" sourceName="Bank">
  <extLst>
    <x:ext xmlns:x15="http://schemas.microsoft.com/office/spreadsheetml/2010/11/main" uri="{2F2917AC-EB37-4324-AD4E-5DD8C200BD13}">
      <x15:tableSlicerCache tableId="4" column="5"/>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k2" xr10:uid="{357AD442-316D-44CD-9429-11C70C42444F}" sourceName="Bank">
  <extLst>
    <x:ext xmlns:x15="http://schemas.microsoft.com/office/spreadsheetml/2010/11/main" uri="{2F2917AC-EB37-4324-AD4E-5DD8C200BD13}">
      <x15:tableSlicerCache tableId="1" column="3"/>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k3" xr10:uid="{13D812DE-A199-4009-93AA-029336CAFE89}" sourceName="Bank">
  <extLst>
    <x:ext xmlns:x15="http://schemas.microsoft.com/office/spreadsheetml/2010/11/main" uri="{2F2917AC-EB37-4324-AD4E-5DD8C200BD13}">
      <x15:tableSlicerCache tableId="2" column="17"/>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k4" xr10:uid="{03A3A430-6455-4C33-B88B-95FDD4C2D313}" sourceName="Bank">
  <extLst>
    <x:ext xmlns:x15="http://schemas.microsoft.com/office/spreadsheetml/2010/11/main" uri="{2F2917AC-EB37-4324-AD4E-5DD8C200BD13}">
      <x15:tableSlicerCache tableId="5" column="5"/>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ines" xr10:uid="{C444FC7E-39F4-4975-BABF-00904961EEEC}" sourceName="Lines">
  <extLst>
    <x:ext xmlns:x15="http://schemas.microsoft.com/office/spreadsheetml/2010/11/main" uri="{2F2917AC-EB37-4324-AD4E-5DD8C200BD13}">
      <x15:tableSlicerCache tableId="2" column="19"/>
    </x:ex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_Cancelled" xr10:uid="{AD92DD22-38E7-408C-B068-B703B17A1084}" sourceName="Active/Cancelled">
  <extLst>
    <x:ext xmlns:x15="http://schemas.microsoft.com/office/spreadsheetml/2010/11/main" uri="{2F2917AC-EB37-4324-AD4E-5DD8C200BD13}">
      <x15:tableSlicerCache tableId="1" column="2"/>
    </x:ex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 xr10:uid="{2D5119E7-6330-4413-8D5B-FA4F6C5A49CA}" sourceName="Project">
  <extLst>
    <x:ext xmlns:x15="http://schemas.microsoft.com/office/spreadsheetml/2010/11/main" uri="{2F2917AC-EB37-4324-AD4E-5DD8C200BD13}">
      <x15:tableSlicerCache tableId="2" column="14"/>
    </x:ex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1" xr10:uid="{DCC0CA0C-7832-4AD9-8C0E-DFE1C1C6B6EB}" sourceName="Project">
  <extLst>
    <x:ext xmlns:x15="http://schemas.microsoft.com/office/spreadsheetml/2010/11/main" uri="{2F2917AC-EB37-4324-AD4E-5DD8C200BD13}">
      <x15:tableSlicerCache tableId="1" column="6"/>
    </x:ex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1" xr10:uid="{7279D750-B3D9-4971-8876-DC43E4CDD342}" sourceName="Status">
  <extLst>
    <x:ext xmlns:x15="http://schemas.microsoft.com/office/spreadsheetml/2010/11/main" uri="{2F2917AC-EB37-4324-AD4E-5DD8C200BD13}">
      <x15:tableSlicerCache tableId="6" column="4"/>
    </x:ex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2" xr10:uid="{2CCFF5BD-2EA7-46F8-A076-6DB60F0611C0}" sourceName="Project">
  <extLst>
    <x:ext xmlns:x15="http://schemas.microsoft.com/office/spreadsheetml/2010/11/main" uri="{2F2917AC-EB37-4324-AD4E-5DD8C200BD13}">
      <x15:tableSlicerCache tableId="6" column="8"/>
    </x:ex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k5" xr10:uid="{7AB01CB0-FFC8-403C-9F54-443E0E6371B7}" sourceName="Bank">
  <extLst>
    <x:ext xmlns:x15="http://schemas.microsoft.com/office/spreadsheetml/2010/11/main" uri="{2F2917AC-EB37-4324-AD4E-5DD8C200BD13}">
      <x15:tableSlicerCache tableId="6" column="24"/>
    </x:ex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rr" xr10:uid="{F9CAE303-F8BC-41A8-9F94-2C71D067E122}" sourceName="Curr">
  <extLst>
    <x:ext xmlns:x15="http://schemas.microsoft.com/office/spreadsheetml/2010/11/main" uri="{2F2917AC-EB37-4324-AD4E-5DD8C200BD13}">
      <x15:tableSlicerCache tableId="5" column="12"/>
    </x:ex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tive_Cancelled1" xr10:uid="{C7F73CE8-7E28-4699-85C3-141988AF6D3B}" sourceName="Active/Cancelled">
  <extLst>
    <x:ext xmlns:x15="http://schemas.microsoft.com/office/spreadsheetml/2010/11/main" uri="{2F2917AC-EB37-4324-AD4E-5DD8C200BD13}">
      <x15:tableSlicerCache tableId="6" column="27"/>
    </x:ex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k6" xr10:uid="{682CD1C9-9205-4488-9C81-79EABD851E87}" sourceName="Bank">
  <extLst>
    <x:ext xmlns:x15="http://schemas.microsoft.com/office/spreadsheetml/2010/11/main" uri="{2F2917AC-EB37-4324-AD4E-5DD8C200BD13}">
      <x15:tableSlicerCache tableId="12" column="18"/>
    </x:ex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3" xr10:uid="{F9E1E46D-B36C-41EF-BC01-03C1A26AE5F3}" sourceName="Project">
  <extLst>
    <x:ext xmlns:x15="http://schemas.microsoft.com/office/spreadsheetml/2010/11/main" uri="{2F2917AC-EB37-4324-AD4E-5DD8C200BD13}">
      <x15:tableSlicerCache tableId="3" column="9"/>
    </x:ex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k8" xr10:uid="{587C1556-CE7C-4ADE-AEF1-0F63B878FB62}" sourceName="Bank">
  <extLst>
    <x:ext xmlns:x15="http://schemas.microsoft.com/office/spreadsheetml/2010/11/main" uri="{2F2917AC-EB37-4324-AD4E-5DD8C200BD13}">
      <x15:tableSlicerCache tableId="8" column="9"/>
    </x:ex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52800CB0-ACDB-4C4C-BBC1-D6F57C839D20}" sourceName="Status">
  <extLst>
    <x:ext xmlns:x15="http://schemas.microsoft.com/office/spreadsheetml/2010/11/main" uri="{2F2917AC-EB37-4324-AD4E-5DD8C200BD13}">
      <x15:tableSlicerCache tableId="2" column="6"/>
    </x:ex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ank9" xr10:uid="{97DC8382-37A1-4AEF-85AC-54F813567700}" sourceName="Bank">
  <extLst>
    <x:ext xmlns:x15="http://schemas.microsoft.com/office/spreadsheetml/2010/11/main" uri="{2F2917AC-EB37-4324-AD4E-5DD8C200BD13}">
      <x15:tableSlicerCache tableId="10" column="1"/>
    </x:ex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2" xr10:uid="{2E0EA173-EA94-42AB-A889-3426110B1B15}" sourceName="Status">
  <extLst>
    <x:ext xmlns:x15="http://schemas.microsoft.com/office/spreadsheetml/2010/11/main" uri="{2F2917AC-EB37-4324-AD4E-5DD8C200BD13}">
      <x15:tableSlicerCache tableId="10" column="11"/>
    </x:ex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_Company" xr10:uid="{AC4C0382-80CB-4B7A-A4A8-7A63C20E8A10}" sourceName="Group Company">
  <extLst>
    <x:ext xmlns:x15="http://schemas.microsoft.com/office/spreadsheetml/2010/11/main" uri="{2F2917AC-EB37-4324-AD4E-5DD8C200BD13}">
      <x15:tableSlicerCache tableId="1" column="5"/>
    </x:ex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roup_Company1" xr10:uid="{CD6126C3-7652-4FEF-82B2-8ED6695CB14E}" sourceName="Group Company">
  <extLst>
    <x:ext xmlns:x15="http://schemas.microsoft.com/office/spreadsheetml/2010/11/main" uri="{2F2917AC-EB37-4324-AD4E-5DD8C200BD13}">
      <x15:tableSlicerCache tableId="6" column="7"/>
    </x:ext>
    <x:ext xmlns:x15="http://schemas.microsoft.com/office/spreadsheetml/2010/11/main" uri="{470722E0-AACD-4C17-9CDC-17EF765DBC7E}">
      <x15:slicerCacheHideItemsWithNoData/>
    </x:ext>
  </extLst>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E3CC0D1A-EEE9-4B97-AB8A-50D126D5FE3C}" sourceName="Type">
  <extLst>
    <x:ext xmlns:x15="http://schemas.microsoft.com/office/spreadsheetml/2010/11/main" uri="{2F2917AC-EB37-4324-AD4E-5DD8C200BD13}">
      <x15:tableSlicerCache tableId="8" column="7"/>
    </x:ext>
    <x:ext xmlns:x15="http://schemas.microsoft.com/office/spreadsheetml/2010/11/main" uri="{470722E0-AACD-4C17-9CDC-17EF765DBC7E}">
      <x15:slicerCacheHideItemsWithNoData/>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17D85F40-381F-44FA-A935-703436351143}" sourceName="Month">
  <extLst>
    <x:ext xmlns:x15="http://schemas.microsoft.com/office/spreadsheetml/2010/11/main" uri="{2F2917AC-EB37-4324-AD4E-5DD8C200BD13}">
      <x15:tableSlicerCache tableId="10" column="17"/>
    </x:ext>
    <x:ext xmlns:x15="http://schemas.microsoft.com/office/spreadsheetml/2010/11/main" uri="{470722E0-AACD-4C17-9CDC-17EF765DBC7E}">
      <x15:slicerCacheHideItemsWithNoData/>
    </x:ext>
  </extLst>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206AFB9C-14E8-4863-B00E-ADB5062AE662}" sourceName="Year">
  <extLst>
    <x:ext xmlns:x15="http://schemas.microsoft.com/office/spreadsheetml/2010/11/main" uri="{2F2917AC-EB37-4324-AD4E-5DD8C200BD13}">
      <x15:tableSlicerCache tableId="10" column="18"/>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nk 2" xr10:uid="{CFC06A73-ABB8-4A33-A6F6-068EAA5A29B5}" cache="Slicer_Bank2" caption="Bank" columnCount="3" showCaption="0" style="MBL Style" rowHeight="234950"/>
  <slicer name="Active/Cancelled" xr10:uid="{EFAFA134-3492-49AC-9167-E09EC2A9A45E}" cache="Slicer_Active_Cancelled" caption="Active/Cancelled" showCaption="0" style="MBL Style" rowHeight="234950"/>
  <slicer name="Project 1" xr10:uid="{CC44678E-D7A7-41B5-8BBB-582563858C1D}" cache="Slicer_Project1" caption="Project" columnCount="6" showCaption="0" style="MBL Style" rowHeight="234950"/>
  <slicer name="Group Company" xr10:uid="{F43F60F4-3213-48B4-B90C-0780E8F58E82}" cache="Slicer_Group_Company" caption="Group Company" columnCount="4" showCaption="0" style="MBL Styl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nk 3" xr10:uid="{EA1A7AE0-E51C-4F34-AB9F-B6128044CF35}" cache="Slicer_Bank3" caption="Bank" columnCount="3" showCaption="0" style="MBL Style" rowHeight="234950"/>
  <slicer name="Lines" xr10:uid="{69C0F407-5751-4BE8-9DDB-CECC9EE4B35C}" cache="Slicer_Lines" caption="Lines" showCaption="0" style="MBL Style" rowHeight="234950"/>
  <slicer name="Project" xr10:uid="{BE6620C7-B470-4AF2-B227-300C9BBC6B42}" cache="Slicer_Project" caption="Project" columnCount="3" showCaption="0" style="MBL Style" rowHeight="234950"/>
  <slicer name="Status" xr10:uid="{9F19B95C-030A-4EE5-A6FA-7EFF3444E756}" cache="Slicer_Status" caption="Status" columnCount="3" showCaption="0" style="MBL Style"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nk 8" xr10:uid="{0B0FFC75-18F1-4B6E-9521-8215223036ED}" cache="Slicer_Bank8" caption="Bank" columnCount="3" showCaption="0" style="MBL Style" rowHeight="241300"/>
  <slicer name="Type" xr10:uid="{2BD5CC17-F21C-416F-BDE6-0288F4BB8183}" cache="Slicer_Type" caption="Type" columnCount="3" showCaption="0" style="MBL Style"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nk 1" xr10:uid="{3DD61BE6-41D5-4E97-9E1C-3CBD030FE90F}" cache="Slicer_Bank1" caption="Bank" columnCount="4" showCaption="0" style="MBL Style"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nk" xr10:uid="{7721ACA6-A9EF-49B9-87F5-E225BC709315}" cache="Slicer_Bank" caption="Bank" columnCount="3" showCaption="0" style="MBL Style" rowHeight="234950"/>
  <slicer name="Project 3" xr10:uid="{A51A0908-F4D4-42AF-8735-D1482D8D962D}" cache="Slicer_Project3" caption="Project" startItem="4" columnCount="4" showCaption="0" style="MBL Style"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nk 4" xr10:uid="{FEC0FABF-1720-4C13-85DE-F7CEAF587D6E}" cache="Slicer_Bank4" caption="Bank" columnCount="3" showCaption="0" style="MBL Style" rowHeight="234950"/>
  <slicer name="Curr" xr10:uid="{F23588B5-60D2-406E-B414-D5A963C9203C}" cache="Slicer_Curr" caption="Curr" columnCount="3" showCaption="0" style="MBL Style" rowHeight="234950"/>
</slicers>
</file>

<file path=xl/slicers/slicer7.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nk 6" xr10:uid="{2A0D63E5-0B25-4326-B1D2-EC93D9638ADA}" cache="Slicer_Bank6" caption="Bank" columnCount="3" showCaption="0" style="MBL Style" rowHeight="234950"/>
</slicers>
</file>

<file path=xl/slicers/slicer8.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1" xr10:uid="{CD176DAB-42B8-4E02-8A39-5F8933F29306}" cache="Slicer_Status1" caption="Status" columnCount="2" showCaption="0" style="MBL Style" rowHeight="234950"/>
  <slicer name="Project 2" xr10:uid="{B486E854-4AB8-4537-9A73-44399EFBDCC0}" cache="Slicer_Project2" caption="Project" columnCount="6" showCaption="0" style="MBL Style" rowHeight="234950"/>
  <slicer name="Bank 5" xr10:uid="{5CACDFE4-AB00-49C6-B57C-DB2DE0745378}" cache="Slicer_Bank5" caption="Bank" columnCount="3" showCaption="0" style="MBL Style" rowHeight="234950"/>
  <slicer name="Active/Cancelled 1" xr10:uid="{A0F82C63-098B-481C-9979-B018D2B31EE7}" cache="Slicer_Active_Cancelled1" caption="Active/Cancelled" showCaption="0" style="MBL Style" rowHeight="234950"/>
  <slicer name="Group Company1" xr10:uid="{B17A7374-5F2B-43F4-AB6E-D2093B33244F}" cache="Slicer_Group_Company1" caption="Group Company" columnCount="3" showCaption="0" style="MBL Style" rowHeight="241300"/>
</slicers>
</file>

<file path=xl/slicers/slicer9.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nk 10" xr10:uid="{688F84BD-4267-421E-8B2F-441A4866F23F}" cache="Slicer_Bank10" caption="Bank" showCaption="0" style="MBL Style" rowHeight="241300"/>
  <slicer name="Type 1" xr10:uid="{6255EA1B-AA6A-4E3E-A6D0-55F74D8BA31E}" cache="Slicer_Type1" caption="Type" showCaption="0" style="MBL Style" rowHeight="241300"/>
</slicers>
</file>

<file path=xl/slicers/slicer10.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ank 9" xr10:uid="{13EAFA73-D9B3-4211-AD69-C0568A541889}" cache="Slicer_Bank9" caption="Bank" columnCount="3" showCaption="0" style="MBL Style" rowHeight="241300"/>
  <slicer name="Status 2" xr10:uid="{BC209C3B-66B8-4EC1-93DC-ECF3997CB846}" cache="Slicer_Status2" caption="Status" columnCount="3" showCaption="0" style="MBL Style" rowHeight="241300"/>
  <slicer name="Month" xr10:uid="{B4525344-B242-4EBD-8328-9419137CBF01}" cache="Slicer_Month" caption="Month" columnCount="3" showCaption="0" style="MBL Style" rowHeight="241300"/>
  <slicer name="Year" xr10:uid="{F221F623-EB4D-4DAB-94DE-E36F1C2E0924}" cache="Slicer_Year" caption="Year" columnCount="2" showCaption="0" style="MBL Style" rowHeight="2413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70CAB2-6F5F-41EB-8F04-B6FEFF3472DC}" name="Main_Issuance" displayName="Main_Issuance" ref="A4:AC960" totalsRowShown="0" headerRowDxfId="5148" dataDxfId="5146" headerRowBorderDxfId="5147" tableBorderDxfId="5145">
  <autoFilter ref="A4:AC960" xr:uid="{4A70CAB2-6F5F-41EB-8F04-B6FEFF3472DC}">
    <filterColumn colId="3">
      <filters>
        <filter val="Ready for Submission"/>
      </filters>
    </filterColumn>
  </autoFilter>
  <sortState xmlns:xlrd2="http://schemas.microsoft.com/office/spreadsheetml/2017/richdata2" ref="A5:AC899">
    <sortCondition ref="G4:G899"/>
  </sortState>
  <tableColumns count="29">
    <tableColumn id="1" xr3:uid="{1A24B7EB-F27B-4AC9-BE03-DD1A7F2C36CD}" name="LC Number" dataDxfId="5144" totalsRowDxfId="5143"/>
    <tableColumn id="9" xr3:uid="{BE9CED34-E82A-470C-886E-7D49063A47A8}" name="Issue Date." dataDxfId="5142" totalsRowDxfId="5141"/>
    <tableColumn id="18" xr3:uid="{2B30CF4D-382E-4DB5-9062-4308233D11C3}" name="Project Director" dataDxfId="5140" totalsRowDxfId="5139"/>
    <tableColumn id="13" xr3:uid="{10DA256D-6B7C-4CF1-B3D5-192071E34552}" name="Status" dataDxfId="5138" totalsRowDxfId="5137"/>
    <tableColumn id="3" xr3:uid="{3EAB2E42-4708-4F89-93E5-045F55247146}" name="Bank" dataDxfId="5136" totalsRowDxfId="5135"/>
    <tableColumn id="19" xr3:uid="{BCD37BDE-8E6F-4797-B25E-F4F919260968}" name="Facility Space" dataDxfId="5134" totalsRowDxfId="5133"/>
    <tableColumn id="4" xr3:uid="{7C7C7421-3783-4113-B2E2-1ECA0C4C15F1}" name="Beneficiary" dataDxfId="5132" totalsRowDxfId="5131"/>
    <tableColumn id="5" xr3:uid="{510C76CB-4990-404F-ACDB-EB0261FCAF64}" name="Group Company" dataDxfId="5130" totalsRowDxfId="5129"/>
    <tableColumn id="6" xr3:uid="{D07FE991-2E57-4112-86F2-5DF5B01DBD9B}" name="Project" dataDxfId="5128" totalsRowDxfId="5127"/>
    <tableColumn id="24" xr3:uid="{B68E9DBE-D79B-48D6-B3D0-FA523644AFD7}" name="Project Code" dataDxfId="5126" totalsRowDxfId="5125"/>
    <tableColumn id="7" xr3:uid="{71ADBBA2-FC5F-4655-AABF-592B1FA2151B}" name="Curr" dataDxfId="5124" totalsRowDxfId="5123"/>
    <tableColumn id="16" xr3:uid="{CB15ECCD-B058-403E-B7EE-44D627A3BBE2}" name="LC Amt(FCY)" dataDxfId="5122" totalsRowDxfId="5121"/>
    <tableColumn id="17" xr3:uid="{EAECB569-A272-423C-9B21-322057E8077E}" name="Rate" dataDxfId="5120" totalsRowDxfId="5119" dataCellStyle="Comma"/>
    <tableColumn id="8" xr3:uid="{4D9757E5-7747-4968-8187-07CEF34C099E}" name="LC Amt(SAR)" dataDxfId="5118" totalsRowDxfId="5117" dataCellStyle="Comma">
      <calculatedColumnFormula>Main_Issuance[[#This Row],[LC Amt(FCY)]]*Main_Issuance[[#This Row],[Rate]]</calculatedColumnFormula>
    </tableColumn>
    <tableColumn id="10" xr3:uid="{C2E715BB-F936-4DA8-A25D-5CA361F3E365}" name="Expiry Date" dataDxfId="5116" totalsRowDxfId="5115"/>
    <tableColumn id="11" xr3:uid="{D89DC519-2C60-44B6-BDC0-BBBF812BF836}" name="Last Ship Date" dataDxfId="5114" totalsRowDxfId="5113"/>
    <tableColumn id="15" xr3:uid="{33B84D03-842D-42EA-95A7-5824404AD70E}" name="Lines" dataDxfId="5112" totalsRowDxfId="5111"/>
    <tableColumn id="12" xr3:uid="{4A7BF7F7-8759-4FEE-A4BD-600CDBB3B02A}" name="Payment Terms" dataDxfId="5110" totalsRowDxfId="5109"/>
    <tableColumn id="22" xr3:uid="{DEA0B9C7-89DA-42F6-8F70-4BC0999549CE}" name="Cash Margin" dataDxfId="5108" totalsRowDxfId="5107" dataCellStyle="Comma"/>
    <tableColumn id="20" xr3:uid="{BAE956BA-1FCC-4D38-B9FD-1EC364B9F379}" name="Cash-Fund Utilized" dataDxfId="5106" totalsRowDxfId="5105" dataCellStyle="Comma"/>
    <tableColumn id="21" xr3:uid="{173DFC92-33AA-44C3-A425-A77A298EB51F}" name="Cash-Recovered" dataDxfId="5104" totalsRowDxfId="5103" dataCellStyle="Comma"/>
    <tableColumn id="23" xr3:uid="{8BCAF30D-BFD3-4EB0-8B8D-34ADD02167E5}" name="Increase Amount in SAR" dataDxfId="5102" totalsRowDxfId="5101" dataCellStyle="Comma"/>
    <tableColumn id="14" xr3:uid="{C41378D3-17B0-4B2A-AD77-8E321F15D30D}" name="Remarks" dataDxfId="5100" totalsRowDxfId="5099"/>
    <tableColumn id="2" xr3:uid="{7658BF26-FDE8-4C4C-B34B-4CA710D206B5}" name="Active/Cancelled" dataDxfId="5098" totalsRowDxfId="5097">
      <calculatedColumnFormula>IF(AND((Main_Issuance[[#This Row],[Expiry Date]]+31)&gt;TODAY(),Main_Issuance[[#This Row],[Status]]&lt;&gt;"Cancelled"),"Active","Cancelled")</calculatedColumnFormula>
    </tableColumn>
    <tableColumn id="28" xr3:uid="{D90B9F0E-8D05-47B4-A5BC-AA3E7ACF2311}" name="New Start Date" dataDxfId="5096" totalsRowDxfId="5095"/>
    <tableColumn id="25" xr3:uid="{D6B577E7-346E-4DE4-8C10-15755C0D6EB8}" name="New Expiry Date" dataDxfId="5094" totalsRowDxfId="5093"/>
    <tableColumn id="29" xr3:uid="{2D5AF871-D6A0-414A-A40B-C6E8DE842C72}" name="Calculate" dataDxfId="5092" totalsRowDxfId="5091" dataCellStyle="Comma"/>
    <tableColumn id="26" xr3:uid="{E7856BEC-685C-4956-9807-6823A44EE0B7}" name="Issuance Charges" dataDxfId="5090" dataCellStyle="Comma">
      <calculatedColumnFormula array="1">Iss_Tariff(Main_Issuance[[#This Row],[Bank]],Main_Issuance[[#This Row],[LC Amt(SAR)]],Main_Issuance[[#This Row],[Issue Date.]],Main_Issuance[[#This Row],[Expiry Date]],Main_Issuance[[#This Row],[Calculate]])</calculatedColumnFormula>
    </tableColumn>
    <tableColumn id="27" xr3:uid="{F54F00EF-C6A7-41E7-B949-FF018E6A4E99}" name="Amendment Charges" dataDxfId="5089" totalsRowDxfId="5088" dataCellStyle="Comma"/>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FF1DD0-8648-4FB3-A327-87B445CC2E26}" name="Main_Presentation" displayName="Main_Presentation" ref="A4:AB1617" totalsRowShown="0" headerRowDxfId="1767" dataDxfId="1766" tableBorderDxfId="1765">
  <autoFilter ref="A4:AB1617" xr:uid="{13FF1DD0-8648-4FB3-A327-87B445CC2E26}">
    <filterColumn colId="1">
      <dynamicFilter type="yesterday" val="46196" maxVal="46197"/>
    </filterColumn>
    <filterColumn colId="14">
      <filters>
        <filter val="Accep. Received from Project"/>
        <filter val="Accep. Submitted to Bank"/>
        <filter val="Completed"/>
        <filter val="Disc. Document"/>
        <filter val="Disc. Submitted to Project"/>
        <filter val="Pending Settlement"/>
      </filters>
    </filterColumn>
  </autoFilter>
  <sortState xmlns:xlrd2="http://schemas.microsoft.com/office/spreadsheetml/2017/richdata2" ref="A5:AB785">
    <sortCondition ref="F4:F785"/>
  </sortState>
  <tableColumns count="28">
    <tableColumn id="3" xr3:uid="{D3DF9658-C1F6-4EE5-9987-4F61BD4EF267}" name="LC Number" dataDxfId="1764" totalsRowDxfId="1763" dataCellStyle="Normal 3"/>
    <tableColumn id="1" xr3:uid="{A52CA9BF-AF59-4356-B2BA-F85E8233F39D}" name="Date Recd" dataDxfId="1762" totalsRowDxfId="1761" dataCellStyle="Normal 3"/>
    <tableColumn id="13" xr3:uid="{5DBD4579-4C9F-4FF4-8314-AE13C34495DB}" name="Presentation No" dataDxfId="1760" totalsRowDxfId="1759" dataCellStyle="Normal 3"/>
    <tableColumn id="22" xr3:uid="{EF588CDF-5DCF-4B94-9F11-27DEC4366FFE}" name="Project Director" dataDxfId="1758" totalsRowDxfId="1757" dataCellStyle="Normal 3">
      <calculatedColumnFormula>VLOOKUP(Main_Presentation[[#This Row],[LC Number]],Main_Issuance[],3,0)</calculatedColumnFormula>
    </tableColumn>
    <tableColumn id="5" xr3:uid="{8C781FBC-D115-4607-8F6D-E9DEF357B263}" name="Clean / Disc" dataDxfId="1756" totalsRowDxfId="1755"/>
    <tableColumn id="17" xr3:uid="{A518A244-994E-48E2-AB98-9E0BAFC7FB63}" name="Bank" dataDxfId="1754" totalsRowDxfId="1753">
      <calculatedColumnFormula>VLOOKUP(Main_Presentation[[#This Row],[LC Number]],Main_Issuance[],5,0)</calculatedColumnFormula>
    </tableColumn>
    <tableColumn id="24" xr3:uid="{7A38E3F1-1843-4461-ABBB-7377C2E35D77}" name="Facility Space" dataDxfId="1752" totalsRowDxfId="1751">
      <calculatedColumnFormula>VLOOKUP(Main_Presentation[[#This Row],[LC Number]],Main_Issuance[],6,0)</calculatedColumnFormula>
    </tableColumn>
    <tableColumn id="19" xr3:uid="{4BC0FD53-83F4-4A25-815C-98B2F31C41C4}" name="Lines" dataDxfId="1750" totalsRowDxfId="1749">
      <calculatedColumnFormula>VLOOKUP(Main_Presentation[[#This Row],[LC Number]],Main_Issuance[],17,0)</calculatedColumnFormula>
    </tableColumn>
    <tableColumn id="4" xr3:uid="{2561DDDA-9A66-4A7D-B399-8DF3E5DD3256}" name="Beneficiary" dataDxfId="1748" totalsRowDxfId="1747">
      <calculatedColumnFormula>VLOOKUP(Main_Presentation[[#This Row],[LC Number]],Main_Issuance[],7,0)</calculatedColumnFormula>
    </tableColumn>
    <tableColumn id="10" xr3:uid="{EE6BE0EA-A80E-46A9-B511-74BC936C6250}" name="Group Company" dataDxfId="1746" totalsRowDxfId="1745">
      <calculatedColumnFormula>VLOOKUP(Main_Presentation[[#This Row],[LC Number]],Main_Issuance[],8,0)</calculatedColumnFormula>
    </tableColumn>
    <tableColumn id="14" xr3:uid="{3B74C407-92EF-40C8-91F9-6DDD7B86A34A}" name="Project" dataDxfId="1744" totalsRowDxfId="1743">
      <calculatedColumnFormula>VLOOKUP(Main_Presentation[[#This Row],[LC Number]],Main_Issuance[],9,0)</calculatedColumnFormula>
    </tableColumn>
    <tableColumn id="25" xr3:uid="{7B7F4C5B-60FF-4EF9-A71E-1CA11F4CCA82}" name="Project Code" dataDxfId="1742" totalsRowDxfId="1741">
      <calculatedColumnFormula>VLOOKUP(Main_Presentation[[#This Row],[LC Number]],Main_Issuance[],10,0)</calculatedColumnFormula>
    </tableColumn>
    <tableColumn id="11" xr3:uid="{FD6EB427-CA21-4033-8496-D66F5B85AF1A}" name="Curr" dataDxfId="1740" totalsRowDxfId="1739">
      <calculatedColumnFormula>VLOOKUP(Main_Presentation[[#This Row],[LC Number]],Main_Issuance[],11,0)</calculatedColumnFormula>
    </tableColumn>
    <tableColumn id="15" xr3:uid="{45B35213-45B1-4137-AB50-4B4E6655D3C4}" name="LC Amount" dataDxfId="1738" totalsRowDxfId="1737" dataCellStyle="Comma">
      <calculatedColumnFormula>VLOOKUP(Main_Presentation[[#This Row],[LC Number]],Main_Issuance[],12,0)</calculatedColumnFormula>
    </tableColumn>
    <tableColumn id="6" xr3:uid="{3FFF3D8C-A6F5-4467-B9FF-0AE6B4064659}" name="Status" dataDxfId="1736" totalsRowDxfId="1735"/>
    <tableColumn id="20" xr3:uid="{D3F25DB8-170A-4AC9-A986-F67C82224DF5}" name="Docs Received" dataDxfId="1734" totalsRowDxfId="1733"/>
    <tableColumn id="2" xr3:uid="{70ECDE06-26B4-41DA-8EEC-74C631DA7EFC}" name="Invoice Amt (FCY)" dataDxfId="1732" totalsRowDxfId="1731" dataCellStyle="Comma"/>
    <tableColumn id="12" xr3:uid="{C0BD1051-9B32-49EF-8B34-39360EA46C01}" name="Rate" dataDxfId="1730" totalsRowDxfId="1729" dataCellStyle="Comma"/>
    <tableColumn id="7" xr3:uid="{7F5CB379-BE91-4189-B69C-03ACDE57D352}" name=" Invoice Amt (SAR)" dataDxfId="1728" totalsRowDxfId="1727" dataCellStyle="Comma">
      <calculatedColumnFormula>Main_Presentation[[#This Row],[Invoice Amt (FCY)]]*Main_Presentation[[#This Row],[Rate]]</calculatedColumnFormula>
    </tableColumn>
    <tableColumn id="8" xr3:uid="{8B5E61C3-B655-4384-BDA4-7FE48E1F665A}" name="Due Date" dataDxfId="1726" totalsRowDxfId="1725" dataCellStyle="Normal 3"/>
    <tableColumn id="18" xr3:uid="{581FC429-7E1B-4609-A15B-971A11CD68FE}" name="Payment Terms" dataDxfId="1724" totalsRowDxfId="1723" dataCellStyle="Normal 3">
      <calculatedColumnFormula>VLOOKUP(Main_Presentation[[#This Row],[LC Number]],Main_Issuance[],18,0)</calculatedColumnFormula>
    </tableColumn>
    <tableColumn id="16" xr3:uid="{2913CDCA-A91C-48CC-94B1-1145853EB2C3}" name="Funds Utilize" dataDxfId="1722" totalsRowDxfId="1721" dataCellStyle="Normal 3"/>
    <tableColumn id="21" xr3:uid="{AD1D5C30-5DA4-4BC2-AA22-C8A890E44F75}" name="Recovered" dataDxfId="1720" totalsRowDxfId="1719" dataCellStyle="Comma"/>
    <tableColumn id="9" xr3:uid="{AC0ED680-34AB-4782-BAB8-158851EB25B9}" name="Remarks" dataDxfId="1718" totalsRowDxfId="1717"/>
    <tableColumn id="23" xr3:uid="{A3A814DC-7FDD-476B-8919-01F2CAEE7321}" name="Days" dataDxfId="1716" totalsRowDxfId="1715">
      <calculatedColumnFormula>TRIM(LEFT(Main_Presentation[[#This Row],[Payment Terms]],3))</calculatedColumnFormula>
    </tableColumn>
    <tableColumn id="26" xr3:uid="{2E918920-59C8-4253-BA15-8DE38EC7BF8B}" name="Tariff" dataDxfId="1714" totalsRowDxfId="1713"/>
    <tableColumn id="27" xr3:uid="{A8F93BD1-9E7A-4091-A772-611BFD555FB6}" name="Settlement Charges" dataDxfId="1712" totalsRowDxfId="1711" dataCellStyle="Comma"/>
    <tableColumn id="28" xr3:uid="{143183B5-7F77-411C-82A5-53A78408A731}" name="Other Charges" dataDxfId="1710" totalsRowDxfId="1709"/>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9BAEFFC-3EC1-48B1-9DF8-C042CA004234}" name="Guarantees" displayName="Guarantees" ref="A4:R169" totalsRowShown="0" headerRowDxfId="6015" dataDxfId="6013" headerRowBorderDxfId="6014" tableBorderDxfId="6012" totalsRowBorderDxfId="6011">
  <autoFilter ref="A4:R169" xr:uid="{09BAEFFC-3EC1-48B1-9DF8-C042CA004234}">
    <filterColumn colId="4">
      <customFilters and="1">
        <customFilter operator="notEqual" val="Completed"/>
        <customFilter operator="notEqual" val="Cancelled"/>
      </customFilters>
    </filterColumn>
  </autoFilter>
  <sortState xmlns:xlrd2="http://schemas.microsoft.com/office/spreadsheetml/2017/richdata2" ref="A5:R46">
    <sortCondition ref="F4:F46"/>
  </sortState>
  <tableColumns count="18">
    <tableColumn id="1" xr3:uid="{5E144E2A-428A-4A24-AB0A-AF2EE786C46A}" name="LG Number" dataDxfId="6010"/>
    <tableColumn id="12" xr3:uid="{384F66A0-8ABC-4F6C-883A-B6FA8560D63C}" name="Issue Date" dataDxfId="6009" dataCellStyle="Normal 3"/>
    <tableColumn id="9" xr3:uid="{41DC206B-65B1-42EB-91AC-0B45511EE7F9}" name="Bank" dataDxfId="6008"/>
    <tableColumn id="7" xr3:uid="{FE14895B-07ED-4478-8629-4C96695F26C4}" name="Type" dataDxfId="6007"/>
    <tableColumn id="10" xr3:uid="{7951BEFC-063D-4B24-8B02-20548923D67E}" name="Status" dataDxfId="6006"/>
    <tableColumn id="2" xr3:uid="{E6F3D39A-521A-44BA-B72F-45E585075CD2}" name="Beneficiary" dataDxfId="6005"/>
    <tableColumn id="4" xr3:uid="{70C0D6EC-532E-47F0-B2BC-332E19E5482F}" name="Curr" dataDxfId="6004"/>
    <tableColumn id="5" xr3:uid="{2685F3EF-C5C2-4877-81D0-1FC4CE4957C8}" name="Amount" dataDxfId="6003" dataCellStyle="Comma"/>
    <tableColumn id="13" xr3:uid="{53702844-E77F-4F42-A5FE-AC0F921977C6}" name="Percentage" dataDxfId="6002" dataCellStyle="Comma"/>
    <tableColumn id="17" xr3:uid="{1915C5FB-1867-4D93-ADD8-64F91B34922C}" name="Cancel Adv" dataDxfId="6001" dataCellStyle="Comma"/>
    <tableColumn id="3" xr3:uid="{E3EADE08-F444-4812-B16C-7EA5A01FA191}" name="Expiry Date" dataDxfId="6000" dataCellStyle="Comma"/>
    <tableColumn id="8" xr3:uid="{2BCACA8E-9111-4627-8431-82412DA91AC3}" name="Purpose" dataDxfId="5999" dataCellStyle="Comma"/>
    <tableColumn id="11" xr3:uid="{62BCAE3C-915F-491D-9B57-E6A2CFB18516}" name="Remarks" dataDxfId="5998"/>
    <tableColumn id="18" xr3:uid="{28649BDD-5F33-4609-83B4-466D259F14D3}" name="For Pickup" dataDxfId="5997"/>
    <tableColumn id="16" xr3:uid="{355AB341-D777-41D4-8419-0E003E7343AD}" name="Group Company" dataDxfId="5996"/>
    <tableColumn id="6" xr3:uid="{EFF67662-98AA-458D-8E26-B094EF0FB240}" name="Project" dataDxfId="5995"/>
    <tableColumn id="14" xr3:uid="{1EFF587F-A6BC-4219-B2BB-85858FD27461}" name="Project Code" dataDxfId="5994"/>
    <tableColumn id="15" xr3:uid="{F9F9D95F-9653-4974-8C45-D1EFC5327F8B}" name="Issuance Charges" dataDxfId="5993" dataCellStyle="Comma">
      <calculatedColumnFormula array="1">Guarantee_Tariff(Guarantees[[#This Row],[Bank]],Guarantees[[#This Row],[Type]],Guarantees[[#This Row],[Amount]],Guarantees[[#This Row],[Issue Date]],Guarantees[[#This Row],[Expiry Date]])</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C985492-D684-4106-9B0B-42CB05DFC5D3}" name="Presentation_Settled" displayName="Presentation_Settled" ref="A4:W1520" tableType="queryTable" totalsRowShown="0" headerRowDxfId="1706" dataDxfId="1705">
  <autoFilter ref="A4:W1520" xr:uid="{DC985492-D684-4106-9B0B-42CB05DFC5D3}"/>
  <tableColumns count="23">
    <tableColumn id="1" xr3:uid="{5C80A3A6-D611-4F2E-9CFA-D0BA6E6EAAE2}" uniqueName="1" name="LC Number" queryTableFieldId="1" dataDxfId="1704"/>
    <tableColumn id="2" xr3:uid="{04166968-41AA-4F28-BAB3-216F91D101F5}" uniqueName="2" name="Date Recd" queryTableFieldId="2" dataDxfId="1703"/>
    <tableColumn id="3" xr3:uid="{9470F25E-038E-43F1-A8D6-B27B736CE15A}" uniqueName="3" name="Presentation No" queryTableFieldId="3" dataDxfId="1702"/>
    <tableColumn id="13" xr3:uid="{EFB23800-0956-4BF3-BF6D-A8DCBFF689BC}" uniqueName="13" name="Project Director" queryTableFieldId="24" dataDxfId="1701"/>
    <tableColumn id="4" xr3:uid="{C67B6D22-525E-4A77-B833-B49A5076A0D6}" uniqueName="4" name="Clean / Disc" queryTableFieldId="4" dataDxfId="1700"/>
    <tableColumn id="5" xr3:uid="{747BB255-C125-4BE3-971B-F9A558129578}" uniqueName="5" name="Bank" queryTableFieldId="5" dataDxfId="1699"/>
    <tableColumn id="6" xr3:uid="{A0B4DCD5-E19F-44A9-A9E3-980D911EA2D7}" uniqueName="6" name="Facility Space" queryTableFieldId="6" dataDxfId="1698"/>
    <tableColumn id="7" xr3:uid="{F4C3659F-17B2-43F2-B29D-8C02ACC0BEF3}" uniqueName="7" name="Lines" queryTableFieldId="7" dataDxfId="1697"/>
    <tableColumn id="8" xr3:uid="{4D63839C-24E8-4AD3-A5D6-08391DF27512}" uniqueName="8" name="Beneficiary" queryTableFieldId="8" dataDxfId="1696"/>
    <tableColumn id="9" xr3:uid="{52A32ACF-9720-4F92-A847-C040C11CA1DC}" uniqueName="9" name="Group Company" queryTableFieldId="9" dataDxfId="1695"/>
    <tableColumn id="10" xr3:uid="{8A6F0C62-B6B6-4037-A985-EF00928515A2}" uniqueName="10" name="Project" queryTableFieldId="10" dataDxfId="1694"/>
    <tableColumn id="11" xr3:uid="{2784D20B-BA44-42B3-8ECE-23B20C3DDE3A}" uniqueName="11" name="Project Code" queryTableFieldId="11" dataDxfId="1693"/>
    <tableColumn id="12" xr3:uid="{DB115116-A284-4D2F-95E0-7093EA3D81AA}" uniqueName="12" name="Curr" queryTableFieldId="12" dataDxfId="1692"/>
    <tableColumn id="14" xr3:uid="{CEDB3C55-5FC2-4229-9098-FE19321954BC}" uniqueName="14" name="Status" queryTableFieldId="14" dataDxfId="1691"/>
    <tableColumn id="15" xr3:uid="{A1406C02-0F60-4935-ABBD-3352479DBAA2}" uniqueName="15" name="Docs Received" queryTableFieldId="15" dataDxfId="1690"/>
    <tableColumn id="16" xr3:uid="{6F86D48E-E0C1-49C6-A8EA-294EACCC0F75}" uniqueName="16" name="Invoice Amt (FCY)" queryTableFieldId="16" dataDxfId="1689" dataCellStyle="Comma"/>
    <tableColumn id="17" xr3:uid="{573D52FC-C09C-4E3E-BDF9-399CF4CD0D58}" uniqueName="17" name="Rate" queryTableFieldId="17" dataDxfId="1688" dataCellStyle="Comma"/>
    <tableColumn id="18" xr3:uid="{67A8ED9C-5FFF-437E-BB1B-27946254269E}" uniqueName="18" name=" Invoice Amt (SAR)" queryTableFieldId="18" dataDxfId="1687" dataCellStyle="Comma"/>
    <tableColumn id="19" xr3:uid="{A168B4AF-745B-499C-B661-12012008848E}" uniqueName="19" name="Due Date" queryTableFieldId="19" dataDxfId="1686"/>
    <tableColumn id="20" xr3:uid="{01289476-7C15-4829-BAC3-0ED058760FC5}" uniqueName="20" name="Payment Terms" queryTableFieldId="20" dataDxfId="1685"/>
    <tableColumn id="21" xr3:uid="{9330935E-68B2-48F5-8D37-381560EA7D67}" uniqueName="21" name="Funds Utilize" queryTableFieldId="21" dataDxfId="1684"/>
    <tableColumn id="22" xr3:uid="{CE8C27F6-C8CD-4F6B-B294-BB415108C34E}" uniqueName="22" name="Recovered" queryTableFieldId="22" dataDxfId="1683"/>
    <tableColumn id="23" xr3:uid="{A95A7FB1-3E96-4705-BB79-CD69756CD42D}" uniqueName="23" name="Remarks" queryTableFieldId="23" dataDxfId="1682"/>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48B46CC-7055-4740-A339-B3D98D7A6C99}" name="Due_Dates" displayName="Due_Dates" ref="A4:U64" tableType="queryTable" totalsRowShown="0" headerRowDxfId="1679" dataDxfId="1678">
  <autoFilter ref="A4:U64" xr:uid="{248B46CC-7055-4740-A339-B3D98D7A6C99}"/>
  <tableColumns count="21">
    <tableColumn id="1" xr3:uid="{EC0DED0D-EA16-424A-9386-EED70C2D21BB}" uniqueName="1" name="LC Number" queryTableFieldId="1" dataDxfId="1677"/>
    <tableColumn id="2" xr3:uid="{9BA874B1-CD7D-402A-9B45-C7E5EAB8AA72}" uniqueName="2" name="Date Recd" queryTableFieldId="2" dataDxfId="1676"/>
    <tableColumn id="3" xr3:uid="{4F3DA73D-1B21-41DD-B916-6B357E9FBDEF}" uniqueName="3" name="Presentation No" queryTableFieldId="3" dataDxfId="1675"/>
    <tableColumn id="11" xr3:uid="{AB6764EC-2960-46F1-A91F-185D657FBCCD}" uniqueName="11" name="Project Director" queryTableFieldId="26" dataDxfId="1674"/>
    <tableColumn id="4" xr3:uid="{88391E6C-8DDA-4F16-B51D-72A804198D8E}" uniqueName="4" name="Clean / Disc" queryTableFieldId="4" dataDxfId="1673"/>
    <tableColumn id="5" xr3:uid="{84BD3A68-8D10-433E-8BDA-05848BF50AE5}" uniqueName="5" name="Bank" queryTableFieldId="5" dataDxfId="1672"/>
    <tableColumn id="22" xr3:uid="{ECD056D6-1FAB-4521-88E9-0826E279E412}" uniqueName="22" name="Facility Space" queryTableFieldId="22" dataDxfId="1671"/>
    <tableColumn id="6" xr3:uid="{C83B262A-54D4-4F68-AF61-035A5DD9185E}" uniqueName="6" name="Lines" queryTableFieldId="6" dataDxfId="1670"/>
    <tableColumn id="7" xr3:uid="{FF5D0DC5-6195-4E41-87EA-F252602BAF8E}" uniqueName="7" name="Beneficiary" queryTableFieldId="7" dataDxfId="1669"/>
    <tableColumn id="8" xr3:uid="{18B99087-C01E-4E48-AE1A-D0BF4A95C747}" uniqueName="8" name="Group Company" queryTableFieldId="8" dataDxfId="1668"/>
    <tableColumn id="9" xr3:uid="{373AD0DB-14C4-4D82-9A1F-91192FD9F0F6}" uniqueName="9" name="Project" queryTableFieldId="9" dataDxfId="1667"/>
    <tableColumn id="23" xr3:uid="{C4834547-4A99-4789-89C8-DE57CFFBBBF8}" uniqueName="23" name="Project Code" queryTableFieldId="24" dataDxfId="1666"/>
    <tableColumn id="10" xr3:uid="{51A86BA1-0698-4590-863A-F93D4EF0FFE1}" uniqueName="10" name="Curr" queryTableFieldId="10" dataDxfId="1665"/>
    <tableColumn id="12" xr3:uid="{44889219-11B2-4ED2-8A9E-918B9783701D}" uniqueName="12" name="Status" queryTableFieldId="12" dataDxfId="1664"/>
    <tableColumn id="14" xr3:uid="{9D908087-088D-438F-9872-8228812521AF}" uniqueName="14" name="Invoice Amt (FCY)" queryTableFieldId="14" dataDxfId="1663" dataCellStyle="Comma"/>
    <tableColumn id="15" xr3:uid="{D9400B55-6D0C-4A43-9768-071A9664088E}" uniqueName="15" name="Rate" queryTableFieldId="15" dataDxfId="1662" dataCellStyle="Comma"/>
    <tableColumn id="16" xr3:uid="{43A6B460-5B2C-446F-87F6-182B8F58F15D}" uniqueName="16" name=" Invoice Amt (SAR)" queryTableFieldId="16" dataDxfId="1661" dataCellStyle="Comma"/>
    <tableColumn id="17" xr3:uid="{7A7759A9-A679-4650-85E8-010AAEF1F05D}" uniqueName="17" name="Due Date" queryTableFieldId="17" dataDxfId="1660"/>
    <tableColumn id="18" xr3:uid="{F8270BA1-EBA4-47F2-BD59-264F5C9696D5}" uniqueName="18" name="Payment Terms" queryTableFieldId="18" dataDxfId="1659"/>
    <tableColumn id="19" xr3:uid="{497FF46F-9C02-44AD-91D7-F4EA91E24410}" uniqueName="19" name="Funds Utilize" queryTableFieldId="19" dataDxfId="1658"/>
    <tableColumn id="21" xr3:uid="{17AD4A70-30D7-4D17-B4FE-F20FE9A6002A}" uniqueName="21" name="Remarks" queryTableFieldId="21" dataDxfId="1657"/>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D93B881-CD2E-4727-A35A-82ECE939A8EE}" name="Document_Collection" displayName="Document_Collection" ref="A4:O309" tableType="queryTable" totalsRowShown="0" headerRowDxfId="1656" dataDxfId="1655">
  <autoFilter ref="A4:O309" xr:uid="{ED93B881-CD2E-4727-A35A-82ECE939A8EE}"/>
  <tableColumns count="15">
    <tableColumn id="1" xr3:uid="{2530BF92-F467-43EB-BBED-C2B48658DAEA}" uniqueName="1" name="LC Number" queryTableFieldId="1" dataDxfId="1654"/>
    <tableColumn id="2" xr3:uid="{1EB83A14-542E-4837-ACE8-AEF9D87A859D}" uniqueName="2" name="Date Recd" queryTableFieldId="2" dataDxfId="1653"/>
    <tableColumn id="3" xr3:uid="{D43E352C-CA8C-41D4-B81A-DF09CCC79582}" uniqueName="3" name="Presentation No" queryTableFieldId="3" dataDxfId="1652"/>
    <tableColumn id="4" xr3:uid="{256184B0-D0A3-4EFD-98DD-C830D825FF7D}" uniqueName="4" name="Clean / Disc" queryTableFieldId="4" dataDxfId="1651"/>
    <tableColumn id="5" xr3:uid="{91A2A358-C551-4B16-9ADC-7077F81CD770}" uniqueName="5" name="Bank" queryTableFieldId="5" dataDxfId="1650"/>
    <tableColumn id="7" xr3:uid="{69772433-A284-4110-9DA2-918C24182BDB}" uniqueName="7" name="Lines" queryTableFieldId="7" dataDxfId="1649"/>
    <tableColumn id="8" xr3:uid="{ADD8E0F0-6054-4431-962D-3F185C05D28F}" uniqueName="8" name="Beneficiary" queryTableFieldId="8" dataDxfId="1648"/>
    <tableColumn id="9" xr3:uid="{1F261AFF-8E80-4B2E-B06F-1CDD9A304B10}" uniqueName="9" name="Group Company" queryTableFieldId="9" dataDxfId="1647"/>
    <tableColumn id="10" xr3:uid="{BD858C08-045A-4995-B4FE-7CAC5A9114B6}" uniqueName="10" name="Project" queryTableFieldId="10" dataDxfId="1646"/>
    <tableColumn id="11" xr3:uid="{78D05186-6FDE-4171-9B48-6A36E554DA7A}" uniqueName="11" name="Project Code" queryTableFieldId="11" dataDxfId="1645"/>
    <tableColumn id="12" xr3:uid="{794AFBB5-3376-4FE7-AF8D-461CB3028107}" uniqueName="12" name="Curr" queryTableFieldId="12" dataDxfId="1644"/>
    <tableColumn id="16" xr3:uid="{628AFBB8-38C5-4A3F-9E6C-7EDDAF38FEFE}" uniqueName="16" name="Invoice Amt (FCY)" queryTableFieldId="16" dataDxfId="1643" dataCellStyle="Comma"/>
    <tableColumn id="17" xr3:uid="{E3F0809B-05F5-4BDA-8ADD-564BDAC6E936}" uniqueName="17" name="Rate" queryTableFieldId="17" dataDxfId="1642" dataCellStyle="Comma"/>
    <tableColumn id="18" xr3:uid="{1FDF6A3B-6094-4B06-9557-F85119D4E684}" uniqueName="18" name=" Invoice Amt (SAR)" queryTableFieldId="18" dataDxfId="1641" dataCellStyle="Comma"/>
    <tableColumn id="19" xr3:uid="{3968A9CF-DD6E-4CBD-B867-82069C2356F2}" uniqueName="19" name="Due Date" queryTableFieldId="19" dataDxfId="1640"/>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FFFCDEA-75D0-4529-A55E-47D8986C9CA2}" name="LC_Overdrawn" displayName="LC_Overdrawn" ref="A4:N5" tableType="queryTable" insertRow="1" totalsRowShown="0" headerRowDxfId="1639" dataDxfId="1637" headerRowBorderDxfId="1638" tableBorderDxfId="1636" totalsRowBorderDxfId="1635">
  <autoFilter ref="A4:N5" xr:uid="{AFFFCDEA-75D0-4529-A55E-47D8986C9CA2}"/>
  <tableColumns count="14">
    <tableColumn id="1" xr3:uid="{6183A330-FC37-4C73-959A-7000DA4702F0}" uniqueName="1" name="LC Number" queryTableFieldId="1" dataDxfId="1634"/>
    <tableColumn id="2" xr3:uid="{AFADFAE4-1BBC-44E9-A426-F8B8C7DF028A}" uniqueName="2" name="Issue Date." queryTableFieldId="2" dataDxfId="1633"/>
    <tableColumn id="3" xr3:uid="{BE416561-FD44-4BC5-BC4D-69885EDAFCE6}" uniqueName="3" name="Beneficiary" queryTableFieldId="3" dataDxfId="1632"/>
    <tableColumn id="4" xr3:uid="{A11B9AF9-C049-44E8-9B58-4A409EDA82E1}" uniqueName="4" name="Project" queryTableFieldId="4" dataDxfId="1631"/>
    <tableColumn id="5" xr3:uid="{359ED0C3-D215-45AD-AE62-CE212E667012}" uniqueName="5" name="Curr" queryTableFieldId="5" dataDxfId="1630"/>
    <tableColumn id="6" xr3:uid="{410C2D00-8BBF-425D-BD57-EFB230AB89CB}" uniqueName="6" name="LC Amt(FCY)" queryTableFieldId="6" dataDxfId="1629"/>
    <tableColumn id="7" xr3:uid="{092DCDCB-4730-4AD1-91EA-45381E58E64F}" uniqueName="7" name="Rate" queryTableFieldId="7" dataDxfId="1628"/>
    <tableColumn id="8" xr3:uid="{429E8B12-A535-45E8-B31F-98BD049E6677}" uniqueName="8" name="LC Amt(SAR)" queryTableFieldId="8" dataDxfId="1627"/>
    <tableColumn id="9" xr3:uid="{DFB8AC59-E28E-49A0-9C88-C604D7CBB005}" uniqueName="9" name="LC Settled" queryTableFieldId="9" dataDxfId="1626"/>
    <tableColumn id="10" xr3:uid="{46DF0DDB-BFCF-49A6-BF09-D8D3AA785E1F}" uniqueName="10" name="Pending Settlement" queryTableFieldId="10" dataDxfId="1625"/>
    <tableColumn id="11" xr3:uid="{3E9BBDC8-328D-40A7-8C4B-97B35EFA2EF9}" uniqueName="11" name="LC Balance" queryTableFieldId="11" dataDxfId="1624"/>
    <tableColumn id="12" xr3:uid="{FAC7112F-4D98-428E-85AC-892EF2B66829}" uniqueName="12" name="Expiry Date" queryTableFieldId="12" dataDxfId="1623"/>
    <tableColumn id="13" xr3:uid="{564FD6D6-8BD1-441A-B9B8-26F39230F151}" uniqueName="13" name="Bank" queryTableFieldId="13" dataDxfId="1622"/>
    <tableColumn id="14" xr3:uid="{78E127CC-C4F5-4D1A-82CA-95C231C53C55}" uniqueName="14" name="Lines" queryTableFieldId="14" dataDxfId="1621"/>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F876C1B-9BB0-4195-B068-491922B572E0}" name="LC_Cancellation_data_1" displayName="LC_Cancellation_data_1" ref="A4:R206" tableType="queryTable" totalsRowShown="0" headerRowDxfId="1620" dataDxfId="1619">
  <autoFilter ref="A4:R206" xr:uid="{DF876C1B-9BB0-4195-B068-491922B572E0}">
    <filterColumn colId="4">
      <filters>
        <filter val="Riyad"/>
      </filters>
    </filterColumn>
  </autoFilter>
  <tableColumns count="18">
    <tableColumn id="1" xr3:uid="{5B1DD098-2F7B-4A6D-9CFA-F05A8969977D}" uniqueName="1" name="LC Number" queryTableFieldId="1" dataDxfId="1618"/>
    <tableColumn id="2" xr3:uid="{451A4677-8897-4548-B7DC-D6B1B9CE76EF}" uniqueName="2" name="Final Expiry Date" queryTableFieldId="2" dataDxfId="1617"/>
    <tableColumn id="3" xr3:uid="{B1FDE76A-C8C8-4BE5-801A-55E9E8831721}" uniqueName="3" name="Beneficiary" queryTableFieldId="3" dataDxfId="1616"/>
    <tableColumn id="14" xr3:uid="{487AFDF6-9948-4B5B-92B4-3D3B44D35AAF}" uniqueName="14" name="LC Balance" queryTableFieldId="14" dataDxfId="1615" dataCellStyle="Comma"/>
    <tableColumn id="18" xr3:uid="{8FABDFD7-8313-4856-9379-D44DBAC7D54F}" uniqueName="18" name="Bank" queryTableFieldId="18" dataDxfId="1614"/>
    <tableColumn id="4" xr3:uid="{0D2B6EB5-7D2C-4EAE-96A9-2E9E3F648C45}" uniqueName="4" name="Facility Space" queryTableFieldId="4" dataDxfId="1613"/>
    <tableColumn id="19" xr3:uid="{1056C193-3D8D-4131-8D0C-2EF5B0C78371}" uniqueName="19" name="Lines" queryTableFieldId="19" dataDxfId="1612"/>
    <tableColumn id="5" xr3:uid="{9D614F22-9166-476D-9AA7-AFF326EEC7AD}" uniqueName="5" name="Group Company" queryTableFieldId="5" dataDxfId="1611"/>
    <tableColumn id="6" xr3:uid="{4BF7E586-388A-4D1F-9472-4AFC3B91CF65}" uniqueName="6" name="Project" queryTableFieldId="6" dataDxfId="1610"/>
    <tableColumn id="8" xr3:uid="{E6B34633-43A0-4D79-A211-740C93E616D2}" uniqueName="8" name="Project Code" queryTableFieldId="8" dataDxfId="1609"/>
    <tableColumn id="7" xr3:uid="{5F1023B7-8A99-4E96-8510-19CEB5706645}" uniqueName="7" name="Curr" queryTableFieldId="7" dataDxfId="1608"/>
    <tableColumn id="9" xr3:uid="{8CFDAE4D-90F9-43D2-B3C2-2733BB9B0A68}" uniqueName="9" name="LC Amt(FCY)" queryTableFieldId="9" dataDxfId="1607" dataCellStyle="Comma"/>
    <tableColumn id="10" xr3:uid="{FAF3E2A9-305C-48A8-8CC6-484077FA5973}" uniqueName="10" name="Rate" queryTableFieldId="10" dataDxfId="1606" dataCellStyle="Comma"/>
    <tableColumn id="11" xr3:uid="{80DCEBAD-9D90-44EC-A1E4-416D61C11199}" uniqueName="11" name="LC Settled" queryTableFieldId="11" dataDxfId="1605" dataCellStyle="Comma"/>
    <tableColumn id="12" xr3:uid="{BFF459F8-AB90-4110-891F-14EE768DC6E2}" uniqueName="12" name="Balance After Settlement" queryTableFieldId="12" dataDxfId="1604" dataCellStyle="Comma"/>
    <tableColumn id="13" xr3:uid="{94F378C5-31BD-4AC6-89C8-DA768D0A727C}" uniqueName="13" name="Pending Settlement" queryTableFieldId="13" dataDxfId="1603" dataCellStyle="Comma"/>
    <tableColumn id="15" xr3:uid="{FE9FB750-04C6-4F3C-BC2B-5E70135A0987}" uniqueName="15" name="Amt Recd. for Sign" queryTableFieldId="15" dataDxfId="1602" dataCellStyle="Comma"/>
    <tableColumn id="17" xr3:uid="{397F3A87-5EBD-4575-838C-5A1124163878}" uniqueName="17" name="Expiry Date" queryTableFieldId="17" dataDxfId="1601"/>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CFFCB3-D252-40AF-8293-4A4FB0DF987A}" name="LC_Summary" displayName="LC_Summary" ref="A4:AD935" tableType="queryTable" totalsRowShown="0" headerRowDxfId="1598" dataDxfId="1597">
  <autoFilter ref="A4:AD935" xr:uid="{68CFFCB3-D252-40AF-8293-4A4FB0DF987A}">
    <filterColumn colId="0">
      <customFilters>
        <customFilter val="*ILC-0840-26-9073*"/>
      </customFilters>
    </filterColumn>
  </autoFilter>
  <sortState xmlns:xlrd2="http://schemas.microsoft.com/office/spreadsheetml/2017/richdata2" ref="A5:AD935">
    <sortCondition ref="E4:E935"/>
  </sortState>
  <tableColumns count="30">
    <tableColumn id="1" xr3:uid="{81166819-9AF6-43D2-AF72-C5F553358193}" uniqueName="1" name="LC Number" queryTableFieldId="1" dataDxfId="1596"/>
    <tableColumn id="2" xr3:uid="{660F3476-D669-4980-89A9-C2A41447E600}" uniqueName="2" name="Issue Date." queryTableFieldId="2" dataDxfId="1595"/>
    <tableColumn id="3" xr3:uid="{82863B44-EA4A-4422-A58B-03EBD8CCA592}" uniqueName="3" name="Project Director" queryTableFieldId="3" dataDxfId="1594"/>
    <tableColumn id="4" xr3:uid="{A221750C-40A9-4E78-A036-459824C2BBA6}" uniqueName="4" name="Status" queryTableFieldId="4" dataDxfId="1593"/>
    <tableColumn id="5" xr3:uid="{8FC35D9B-8FE5-461A-B1E2-5FE3758F6EBA}" uniqueName="5" name="Beneficiary" queryTableFieldId="5" dataDxfId="1592"/>
    <tableColumn id="6" xr3:uid="{25187A88-C547-4FDB-8284-3F4520FFA61F}" uniqueName="6" name="Facility Space" queryTableFieldId="6" dataDxfId="1591"/>
    <tableColumn id="7" xr3:uid="{E02F6835-40D0-43F3-B825-E58936587957}" uniqueName="7" name="Group Company" queryTableFieldId="7" dataDxfId="1590"/>
    <tableColumn id="8" xr3:uid="{DA0F60B2-52DC-4823-9B77-AC90000BAE7F}" uniqueName="8" name="Project" queryTableFieldId="8" dataDxfId="1589"/>
    <tableColumn id="9" xr3:uid="{C3C40964-BAFE-48F5-8801-1FF7319B68DA}" uniqueName="9" name="Curr" queryTableFieldId="9" dataDxfId="1588"/>
    <tableColumn id="10" xr3:uid="{D7326F8C-BBAE-4C30-902F-9666D04B9B63}" uniqueName="10" name="Project Code" queryTableFieldId="10" dataDxfId="1587"/>
    <tableColumn id="11" xr3:uid="{C16B9E6E-6D53-4A81-A753-CBC77F58161F}" uniqueName="11" name="LC Amt(FCY)" queryTableFieldId="11" dataDxfId="1586" dataCellStyle="Comma"/>
    <tableColumn id="12" xr3:uid="{17D1B6E0-5202-47B2-90A1-2DBD7BB56CB0}" uniqueName="12" name="Rate" queryTableFieldId="12" dataDxfId="1585" dataCellStyle="Comma"/>
    <tableColumn id="13" xr3:uid="{3418C2DD-9DFD-46BB-B49A-8C89BF36CAD3}" uniqueName="13" name="LC Amt(SAR)" queryTableFieldId="13" dataDxfId="1584" dataCellStyle="Comma"/>
    <tableColumn id="14" xr3:uid="{050D40FC-F976-49B4-887B-4299A5FFA40B}" uniqueName="14" name="LC Settled" queryTableFieldId="14" dataDxfId="1583" dataCellStyle="Comma"/>
    <tableColumn id="28" xr3:uid="{12020322-3880-42EB-8DFE-25D9AED88E63}" uniqueName="28" name="Balance After Settlement" queryTableFieldId="44" dataDxfId="1582" dataCellStyle="Comma"/>
    <tableColumn id="15" xr3:uid="{989082FE-71B3-4636-860B-2A0B22BFDA3B}" uniqueName="15" name="Pending Settlement" queryTableFieldId="15" dataDxfId="1581" dataCellStyle="Comma"/>
    <tableColumn id="16" xr3:uid="{9104924F-59EF-4620-83BE-A109F385001A}" uniqueName="16" name="LC Balance" queryTableFieldId="16" dataDxfId="1580" dataCellStyle="Comma"/>
    <tableColumn id="31" xr3:uid="{23F93AAF-4AF8-4648-A224-2C072ECB7FAB}" uniqueName="31" name="Amt Recd. for Sign" queryTableFieldId="42" dataDxfId="1579" dataCellStyle="Comma"/>
    <tableColumn id="29" xr3:uid="{7DE334C8-25B6-479C-A7EE-715E47FE57CD}" uniqueName="29" name="Due Dates" queryTableFieldId="48" dataDxfId="1578" dataCellStyle="Comma"/>
    <tableColumn id="17" xr3:uid="{CA083D97-E04B-4DC5-8336-0688B824FC53}" uniqueName="17" name="Expiry Date" queryTableFieldId="17" dataDxfId="1577"/>
    <tableColumn id="18" xr3:uid="{A04454F4-FA66-4CC7-8708-9B5BBE947DF6}" uniqueName="18" name="Last Ship Date" queryTableFieldId="18" dataDxfId="1576"/>
    <tableColumn id="19" xr3:uid="{78A41116-A590-4DF9-8CEC-9B9D3917D1D0}" uniqueName="19" name="Cash Margin" queryTableFieldId="19" dataDxfId="1575"/>
    <tableColumn id="20" xr3:uid="{07E3A6FE-6B95-44AE-8DF1-A4A01B7F675D}" uniqueName="20" name="Cash-Fund Utilized" queryTableFieldId="20" dataDxfId="1574"/>
    <tableColumn id="21" xr3:uid="{993F419D-C981-4A99-A771-19040E05BFE5}" uniqueName="21" name="Cash-Recovered" queryTableFieldId="21" dataDxfId="1573"/>
    <tableColumn id="22" xr3:uid="{0796E96B-A713-4239-B7C3-432D37A99FF2}" uniqueName="22" name="Increase Amount in SAR" queryTableFieldId="22" dataDxfId="1572"/>
    <tableColumn id="23" xr3:uid="{70C9256D-32EE-4FE3-BB29-7787162102F9}" uniqueName="23" name="Remarks" queryTableFieldId="23" dataDxfId="1571"/>
    <tableColumn id="24" xr3:uid="{508A1083-50B3-4256-AF3E-452140E9075F}" uniqueName="24" name="Bank" queryTableFieldId="24" dataDxfId="1570"/>
    <tableColumn id="25" xr3:uid="{5B5D70B1-E1C7-4CC7-814C-9B69576D6443}" uniqueName="25" name="Lines" queryTableFieldId="25" dataDxfId="1569"/>
    <tableColumn id="26" xr3:uid="{4C220851-1EE0-4E04-B8D1-E9FE21EBF575}" uniqueName="26" name="Payment Terms" queryTableFieldId="26" dataDxfId="1568"/>
    <tableColumn id="27" xr3:uid="{18850004-D4DB-400E-A94B-7290F34024F1}" uniqueName="27" name="Active/Cancelled" queryTableFieldId="27" dataDxfId="1567"/>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2D52C12-EE8D-4EDD-9658-661288440FAC}" name="Table10" displayName="Table10" ref="M5:X16" totalsRowShown="0" headerRowDxfId="1253" tableBorderDxfId="1252">
  <autoFilter ref="M5:X16" xr:uid="{42D52C12-EE8D-4EDD-9658-661288440FAC}"/>
  <tableColumns count="12">
    <tableColumn id="1" xr3:uid="{34DB5AA5-2465-47DD-9811-CDEE16ECBB99}" name="LC Number" dataDxfId="1251" dataCellStyle="Normal 3"/>
    <tableColumn id="2" xr3:uid="{213A8E11-A2F4-4DA4-B4A3-7A616BE55E46}" name="Amount" dataDxfId="1250" dataCellStyle="Comma">
      <calculatedColumnFormula>227656*3.75</calculatedColumnFormula>
    </tableColumn>
    <tableColumn id="10" xr3:uid="{92B38D34-B552-4F63-9ADB-7DD33FA12643}" name="Start Date" dataDxfId="1249" dataCellStyle="Normal 3"/>
    <tableColumn id="3" xr3:uid="{58682D64-2F97-4DFF-B3DE-985FF175BEEE}" name="Recd. For Sign" dataDxfId="1248" dataCellStyle="Comma">
      <calculatedColumnFormula>SUMIFS(Main_Presentation[[#All],[ Invoice Amt (SAR)]],Main_Presentation[[#All],[LC Number]],'Facility Space'!M6,Main_Presentation[[#All],[Status]],'Facility Space'!$M$4)</calculatedColumnFormula>
    </tableColumn>
    <tableColumn id="4" xr3:uid="{7C574614-B056-4A55-85BC-0047EA952360}" name="Beneficiary" dataDxfId="1247">
      <calculatedColumnFormula>VLOOKUP(M6,LC_Summary[],5,0)</calculatedColumnFormula>
    </tableColumn>
    <tableColumn id="5" xr3:uid="{F6E4015C-1005-49C3-9326-F61C94825027}" name="LC Balance" dataDxfId="1246" dataCellStyle="Comma">
      <calculatedColumnFormula>VLOOKUP(M6,LC_Summary[],17,0)-N6-Table10[[#This Row],[Recd. For Sign]]</calculatedColumnFormula>
    </tableColumn>
    <tableColumn id="6" xr3:uid="{8749D5F6-30C8-4C73-95A4-BF3D091BB787}" name="LC Expiry" dataDxfId="1245" dataCellStyle="Comma">
      <calculatedColumnFormula>VLOOKUP(M6,LC_Summary[],20,0)</calculatedColumnFormula>
    </tableColumn>
    <tableColumn id="8" xr3:uid="{AAB71191-4600-4901-8269-1B8EE6F02FE0}" name="Days Remaining" dataDxfId="1244" dataCellStyle="Comma">
      <calculatedColumnFormula>Table10[[#This Row],[LC Expiry]]-TODAY()</calculatedColumnFormula>
    </tableColumn>
    <tableColumn id="7" xr3:uid="{C715C480-FC31-48BF-901C-03E32B851979}" name="LC Status" dataDxfId="1243" dataCellStyle="Comma">
      <calculatedColumnFormula>VLOOKUP(M6,LC_Summary[],30,0)</calculatedColumnFormula>
    </tableColumn>
    <tableColumn id="11" xr3:uid="{F2E7DA9D-DBDF-4656-8405-B9BE9BE81C76}" name="Days" dataDxfId="1242" dataCellStyle="Normal 3"/>
    <tableColumn id="12" xr3:uid="{1AE83F66-03DC-4C60-827C-DEC32C095D43}" name="Maturity" dataDxfId="1241" dataCellStyle="Normal 3"/>
    <tableColumn id="9" xr3:uid="{8DA6A9D4-00CF-4E56-A06A-B0427372A2D9}" name="Tenor" dataDxfId="1240" dataCellStyle="Normal 3">
      <calculatedColumnFormula>VLOOKUP(M6,LC_Summary[],29,0)</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4A48854-C434-4F04-8BE1-DCEE7EDECFE5}" name="Alinma_Loans" displayName="Alinma_Loans" ref="AT12" tableType="queryTable" headerRowCount="0" totalsRowShown="0" headerRowDxfId="1239" dataDxfId="1238" headerRowCellStyle="Comma" dataCellStyle="Comma">
  <tableColumns count="1">
    <tableColumn id="1" xr3:uid="{61BCF28E-357E-4029-B9BE-9F1DFF1F1FB0}" uniqueName="1" name="Alinma_Loans" queryTableFieldId="2" dataCellStyle="Comma"/>
  </tableColumns>
  <tableStyleInfo name="TableStyleMedium7" showFirstColumn="0" showLastColumn="0" showRowStripes="0"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E9F8EEB-B9BA-4E1B-8A08-BC085D096F0E}" name="SNB_Loans" displayName="SNB_Loans" ref="AU12" tableType="queryTable" headerRowCount="0" totalsRowShown="0" dataDxfId="1237" dataCellStyle="Comma">
  <tableColumns count="1">
    <tableColumn id="1" xr3:uid="{E37145BB-DDD9-4E6D-8612-D1E022E0FB6C}" uniqueName="1" name="SNB_Loans" queryTableFieldId="1" dataDxfId="1236" dataCellStyle="Comma"/>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01574D4-5F3E-47A5-88D7-202601B0F503}" name="Advices" displayName="Advices" ref="A4:R2929" totalsRowShown="0" headerRowDxfId="106" tableBorderDxfId="105">
  <autoFilter ref="A4:R2929" xr:uid="{701574D4-5F3E-47A5-88D7-202601B0F503}">
    <filterColumn colId="0">
      <filters>
        <filter val="Alinma"/>
      </filters>
    </filterColumn>
  </autoFilter>
  <tableColumns count="18">
    <tableColumn id="1" xr3:uid="{1560AB0B-299D-423E-80DC-55188509ACA6}" name="Bank" dataDxfId="104"/>
    <tableColumn id="2" xr3:uid="{D42CC0CB-5B30-4C27-9F38-3B62EF7C3EAB}" name="Transaction Date" dataDxfId="103"/>
    <tableColumn id="3" xr3:uid="{DE523730-0097-4026-B329-C80AB5DB0AC0}" name="Account No" dataDxfId="102"/>
    <tableColumn id="4" xr3:uid="{B0401CD4-FDDC-49F7-A9A2-B73F7237F520}" name="Transaction Details" dataDxfId="101"/>
    <tableColumn id="5" xr3:uid="{8BCF7D61-235A-43F5-BBC1-2C706F441FA0}" name="LC Number" dataDxfId="100"/>
    <tableColumn id="6" xr3:uid="{659E13D1-AAD9-4146-95DB-E44922A92CAC}" name="Full Reference" dataDxfId="99"/>
    <tableColumn id="7" xr3:uid="{4FAADF0B-902A-41E5-8A8F-5A548BE9B9E3}" name="Curr" dataDxfId="98"/>
    <tableColumn id="8" xr3:uid="{24E2B769-726D-4DE5-AA64-6E67A6B38D05}" name="Debit" dataDxfId="97" dataCellStyle="Comma"/>
    <tableColumn id="9" xr3:uid="{89B0431F-2D14-45FD-B346-63DC646FE599}" name="Credit" dataDxfId="96" dataCellStyle="Comma"/>
    <tableColumn id="10" xr3:uid="{73B564B1-59D4-41CF-A2EB-C8EEC309B264}" name="Reln-Charges" dataDxfId="95"/>
    <tableColumn id="11" xr3:uid="{305F25B9-D2FA-4A2C-B448-4E255028AE50}" name="Status" dataDxfId="94"/>
    <tableColumn id="12" xr3:uid="{63B5EDBC-7B97-4B74-9C08-E4D8A3060C04}" name="Beneficiary" dataDxfId="93">
      <calculatedColumnFormula>VLOOKUP(Advices[[#This Row],[LC Number]],'Combine_List'!A:D,2,0)</calculatedColumnFormula>
    </tableColumn>
    <tableColumn id="13" xr3:uid="{CCACD5AF-1343-4EED-9BF0-2C22ACB6DDDD}" name="Group Company" dataDxfId="92">
      <calculatedColumnFormula>VLOOKUP(Advices[[#This Row],[LC Number]],'Combine_List'!A:D,3,0)</calculatedColumnFormula>
    </tableColumn>
    <tableColumn id="14" xr3:uid="{840A178C-DB91-409D-851B-296698966F3B}" name="Project" dataDxfId="91">
      <calculatedColumnFormula>VLOOKUP(Advices[[#This Row],[LC Number]],'Combine_List'!A:D,4,0)</calculatedColumnFormula>
    </tableColumn>
    <tableColumn id="15" xr3:uid="{B39722E2-149A-4E8B-8666-1E2930C40860}" name="Project Code" dataDxfId="90"/>
    <tableColumn id="17" xr3:uid="{70D3C76B-FFD2-4D10-95B4-0623C9F47B14}" name="Month" dataDxfId="89">
      <calculatedColumnFormula>MONTH(Advices[[#This Row],[Transaction Date]])</calculatedColumnFormula>
    </tableColumn>
    <tableColumn id="18" xr3:uid="{B0E27934-6EF1-4B93-8E1E-86C6E3140653}" name="Year" dataDxfId="88">
      <calculatedColumnFormula>YEAR(Advices[[#This Row],[Transaction Date]])</calculatedColumnFormula>
    </tableColumn>
    <tableColumn id="16" xr3:uid="{837D50EA-826D-4BBE-8186-451F5AE0BD5C}" name="Remarks" dataDxfId="87"/>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B9D2335-C39D-4B55-B3C1-73FA0BE62A3E}" name="Combine_List" displayName="Combine_List" ref="A1:E1122" tableType="queryTable" totalsRowShown="0" headerRowDxfId="4">
  <autoFilter ref="A1:E1122" xr:uid="{0B9D2335-C39D-4B55-B3C1-73FA0BE62A3E}"/>
  <tableColumns count="5">
    <tableColumn id="1" xr3:uid="{BC7ECED9-1BE3-44D2-A575-47203008C754}" uniqueName="1" name="LC/LG Number" queryTableFieldId="1" dataDxfId="3"/>
    <tableColumn id="5" xr3:uid="{DB3FB6F8-CC2A-4BBD-BC75-415222AFC3C8}" uniqueName="5" name="Beneficiary" queryTableFieldId="5" dataDxfId="2"/>
    <tableColumn id="2" xr3:uid="{FFD1A5AD-1519-4E4F-9678-51A8AEE2310A}" uniqueName="2" name="Group Company" queryTableFieldId="2" dataDxfId="1"/>
    <tableColumn id="3" xr3:uid="{773D4860-0F1B-4B8C-8857-35EE641B0CA2}" uniqueName="3" name="Project" queryTableFieldId="3"/>
    <tableColumn id="4" xr3:uid="{E00EF8BF-F267-401B-9496-666799799FC4}" uniqueName="4" name="Project Code" queryTableFieldId="4"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table" Target="../tables/table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trlProp" Target="../ctrlProps/ctrlProp17.xml"/><Relationship Id="rId3" Type="http://schemas.openxmlformats.org/officeDocument/2006/relationships/vmlDrawing" Target="../drawings/vmlDrawing2.vml"/><Relationship Id="rId7" Type="http://schemas.openxmlformats.org/officeDocument/2006/relationships/ctrlProp" Target="../ctrlProps/ctrlProp11.xml"/><Relationship Id="rId12" Type="http://schemas.openxmlformats.org/officeDocument/2006/relationships/ctrlProp" Target="../ctrlProps/ctrlProp16.xml"/><Relationship Id="rId17" Type="http://schemas.openxmlformats.org/officeDocument/2006/relationships/comments" Target="../comments2.xml"/><Relationship Id="rId2" Type="http://schemas.openxmlformats.org/officeDocument/2006/relationships/drawing" Target="../drawings/drawing2.xml"/><Relationship Id="rId16" Type="http://schemas.microsoft.com/office/2007/relationships/slicer" Target="../slicers/slicer2.xml"/><Relationship Id="rId1" Type="http://schemas.openxmlformats.org/officeDocument/2006/relationships/printerSettings" Target="../printerSettings/printerSettings2.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ctrlProp" Target="../ctrlProps/ctrlProp9.xml"/><Relationship Id="rId15" Type="http://schemas.openxmlformats.org/officeDocument/2006/relationships/table" Target="../tables/table2.xml"/><Relationship Id="rId10" Type="http://schemas.openxmlformats.org/officeDocument/2006/relationships/ctrlProp" Target="../ctrlProps/ctrlProp14.xml"/><Relationship Id="rId4" Type="http://schemas.openxmlformats.org/officeDocument/2006/relationships/ctrlProp" Target="../ctrlProps/ctrlProp8.xml"/><Relationship Id="rId9" Type="http://schemas.openxmlformats.org/officeDocument/2006/relationships/ctrlProp" Target="../ctrlProps/ctrlProp13.xml"/><Relationship Id="rId14" Type="http://schemas.openxmlformats.org/officeDocument/2006/relationships/ctrlProp" Target="../ctrlProps/ctrlProp18.xml"/></Relationships>
</file>

<file path=xl/worksheets/_rels/sheet3.xml.rels><?xml version="1.0" encoding="UTF-8" standalone="yes"?>
<Relationships xmlns="http://schemas.openxmlformats.org/package/2006/relationships"><Relationship Id="rId8" Type="http://schemas.microsoft.com/office/2007/relationships/slicer" Target="../slicers/slicer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microsoft.com/office/2007/relationships/slicer" Target="../slicers/slicer4.xml"/><Relationship Id="rId5" Type="http://schemas.openxmlformats.org/officeDocument/2006/relationships/table" Target="../tables/table4.xml"/><Relationship Id="rId4"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microsoft.com/office/2007/relationships/slicer" Target="../slicers/slicer5.xml"/><Relationship Id="rId5" Type="http://schemas.openxmlformats.org/officeDocument/2006/relationships/table" Target="../tables/table5.xml"/><Relationship Id="rId4" Type="http://schemas.openxmlformats.org/officeDocument/2006/relationships/ctrlProp" Target="../ctrlProps/ctrlProp2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6.vml"/><Relationship Id="rId1" Type="http://schemas.openxmlformats.org/officeDocument/2006/relationships/drawing" Target="../drawings/drawing6.xml"/><Relationship Id="rId6" Type="http://schemas.microsoft.com/office/2007/relationships/slicer" Target="../slicers/slicer6.xml"/><Relationship Id="rId5" Type="http://schemas.openxmlformats.org/officeDocument/2006/relationships/table" Target="../tables/table6.xml"/><Relationship Id="rId4" Type="http://schemas.openxmlformats.org/officeDocument/2006/relationships/ctrlProp" Target="../ctrlProps/ctrlProp2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table" Target="../tables/table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microsoft.com/office/2007/relationships/slicer" Target="../slicers/slicer7.xml"/><Relationship Id="rId5" Type="http://schemas.openxmlformats.org/officeDocument/2006/relationships/table" Target="../tables/table8.xml"/><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8" Type="http://schemas.microsoft.com/office/2007/relationships/slicer" Target="../slicers/slicer8.xml"/><Relationship Id="rId3" Type="http://schemas.openxmlformats.org/officeDocument/2006/relationships/vmlDrawing" Target="../drawings/vmlDrawing9.vml"/><Relationship Id="rId7" Type="http://schemas.openxmlformats.org/officeDocument/2006/relationships/table" Target="../tables/table9.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8" Type="http://schemas.openxmlformats.org/officeDocument/2006/relationships/drawing" Target="../drawings/drawing10.xml"/><Relationship Id="rId13" Type="http://schemas.openxmlformats.org/officeDocument/2006/relationships/table" Target="../tables/table12.xml"/><Relationship Id="rId3" Type="http://schemas.openxmlformats.org/officeDocument/2006/relationships/pivotTable" Target="../pivotTables/pivotTable3.xml"/><Relationship Id="rId7" Type="http://schemas.openxmlformats.org/officeDocument/2006/relationships/printerSettings" Target="../printerSettings/printerSettings8.bin"/><Relationship Id="rId12" Type="http://schemas.openxmlformats.org/officeDocument/2006/relationships/table" Target="../tables/table1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table" Target="../tables/table10.xml"/><Relationship Id="rId5" Type="http://schemas.openxmlformats.org/officeDocument/2006/relationships/pivotTable" Target="../pivotTables/pivotTable5.xml"/><Relationship Id="rId10" Type="http://schemas.openxmlformats.org/officeDocument/2006/relationships/ctrlProp" Target="../ctrlProps/ctrlProp31.xml"/><Relationship Id="rId4" Type="http://schemas.openxmlformats.org/officeDocument/2006/relationships/pivotTable" Target="../pivotTables/pivotTable4.xml"/><Relationship Id="rId9" Type="http://schemas.openxmlformats.org/officeDocument/2006/relationships/vmlDrawing" Target="../drawings/vmlDrawing10.vml"/><Relationship Id="rId1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8" Type="http://schemas.openxmlformats.org/officeDocument/2006/relationships/pivotTable" Target="../pivotTables/pivotTable14.xml"/><Relationship Id="rId13" Type="http://schemas.microsoft.com/office/2007/relationships/slicer" Target="../slicers/slicer9.xml"/><Relationship Id="rId3" Type="http://schemas.openxmlformats.org/officeDocument/2006/relationships/pivotTable" Target="../pivotTables/pivotTable9.xml"/><Relationship Id="rId7" Type="http://schemas.openxmlformats.org/officeDocument/2006/relationships/pivotTable" Target="../pivotTables/pivotTable13.xml"/><Relationship Id="rId12" Type="http://schemas.openxmlformats.org/officeDocument/2006/relationships/drawing" Target="../drawings/drawing11.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11" Type="http://schemas.openxmlformats.org/officeDocument/2006/relationships/printerSettings" Target="../printerSettings/printerSettings9.bin"/><Relationship Id="rId5" Type="http://schemas.openxmlformats.org/officeDocument/2006/relationships/pivotTable" Target="../pivotTables/pivotTable11.xml"/><Relationship Id="rId10" Type="http://schemas.openxmlformats.org/officeDocument/2006/relationships/pivotTable" Target="../pivotTables/pivotTable16.xml"/><Relationship Id="rId4" Type="http://schemas.openxmlformats.org/officeDocument/2006/relationships/pivotTable" Target="../pivotTables/pivotTable10.xml"/><Relationship Id="rId9" Type="http://schemas.openxmlformats.org/officeDocument/2006/relationships/pivotTable" Target="../pivotTables/pivotTable1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7" Type="http://schemas.microsoft.com/office/2007/relationships/slicer" Target="../slicers/slicer10.x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table" Target="../tables/table13.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7.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D8D3F-F4FB-4049-883C-7A5B9F6190F2}">
  <sheetPr codeName="Sheet1">
    <tabColor rgb="FF00B050"/>
  </sheetPr>
  <dimension ref="A1:AC960"/>
  <sheetViews>
    <sheetView showGridLines="0" tabSelected="1" zoomScaleNormal="100" workbookViewId="0">
      <selection activeCell="G979" sqref="G979"/>
    </sheetView>
  </sheetViews>
  <sheetFormatPr defaultColWidth="8.7109375" defaultRowHeight="15" x14ac:dyDescent="0.25"/>
  <cols>
    <col min="1" max="1" width="17.85546875" customWidth="1"/>
    <col min="2" max="2" width="15.7109375" customWidth="1"/>
    <col min="3" max="3" width="25.5703125" customWidth="1"/>
    <col min="4" max="4" width="21.28515625" customWidth="1"/>
    <col min="5" max="5" width="15.5703125" customWidth="1"/>
    <col min="6" max="6" width="18" customWidth="1"/>
    <col min="7" max="7" width="65" customWidth="1"/>
    <col min="8" max="8" width="19.7109375" customWidth="1"/>
    <col min="9" max="9" width="20" customWidth="1"/>
    <col min="10" max="10" width="16.7109375" customWidth="1"/>
    <col min="11" max="11" width="9.28515625" customWidth="1"/>
    <col min="12" max="12" width="17.140625" customWidth="1"/>
    <col min="13" max="13" width="10" bestFit="1" customWidth="1"/>
    <col min="14" max="14" width="16.7109375" customWidth="1"/>
    <col min="15" max="15" width="15.28515625" customWidth="1"/>
    <col min="16" max="16" width="18.140625" customWidth="1"/>
    <col min="17" max="17" width="10.140625" customWidth="1"/>
    <col min="18" max="18" width="40.42578125" customWidth="1"/>
    <col min="19" max="19" width="16.28515625" customWidth="1"/>
    <col min="20" max="20" width="17" customWidth="1"/>
    <col min="21" max="21" width="21.140625" customWidth="1"/>
    <col min="22" max="22" width="26.7109375" customWidth="1"/>
    <col min="23" max="23" width="32.7109375" customWidth="1"/>
    <col min="24" max="24" width="26.7109375" customWidth="1"/>
    <col min="25" max="25" width="22.28515625" customWidth="1"/>
    <col min="26" max="27" width="22" bestFit="1" customWidth="1"/>
    <col min="28" max="28" width="21.5703125" bestFit="1" customWidth="1"/>
    <col min="29" max="29" width="25.5703125" bestFit="1" customWidth="1"/>
    <col min="30" max="30" width="49.28515625" customWidth="1"/>
    <col min="31" max="31" width="21" bestFit="1" customWidth="1"/>
  </cols>
  <sheetData>
    <row r="1" spans="1:29" ht="69" customHeight="1" thickBot="1" x14ac:dyDescent="0.3">
      <c r="G1" t="s">
        <v>1298</v>
      </c>
    </row>
    <row r="2" spans="1:29" ht="19.5" customHeight="1" thickBot="1" x14ac:dyDescent="0.3">
      <c r="A2" t="s">
        <v>707</v>
      </c>
      <c r="V2" s="206" t="s">
        <v>1099</v>
      </c>
      <c r="W2" s="206" t="s">
        <v>1100</v>
      </c>
      <c r="X2" s="206" t="s">
        <v>1101</v>
      </c>
      <c r="Y2" s="207" t="s">
        <v>1357</v>
      </c>
      <c r="Z2" s="625" t="s">
        <v>3268</v>
      </c>
      <c r="AA2" s="626"/>
    </row>
    <row r="3" spans="1:29" ht="21" customHeight="1" thickBot="1" x14ac:dyDescent="0.4">
      <c r="C3" s="204"/>
      <c r="E3" s="205" t="s">
        <v>1111</v>
      </c>
      <c r="F3" s="205"/>
      <c r="G3" s="205"/>
      <c r="H3" s="205"/>
      <c r="I3" s="205"/>
      <c r="J3" s="205"/>
      <c r="L3" s="204"/>
      <c r="O3" s="204"/>
      <c r="R3" s="204"/>
      <c r="U3" s="204"/>
      <c r="V3" s="206"/>
      <c r="W3" s="206" t="s">
        <v>1102</v>
      </c>
      <c r="X3" s="206" t="s">
        <v>1103</v>
      </c>
      <c r="Y3" s="208" t="s">
        <v>1387</v>
      </c>
      <c r="Z3" s="209"/>
      <c r="AA3" s="209"/>
      <c r="AB3" s="210"/>
    </row>
    <row r="4" spans="1:29" ht="15.75" x14ac:dyDescent="0.25">
      <c r="A4" s="2" t="s">
        <v>0</v>
      </c>
      <c r="B4" s="3" t="s">
        <v>1</v>
      </c>
      <c r="C4" s="3" t="s">
        <v>841</v>
      </c>
      <c r="D4" s="3" t="s">
        <v>2</v>
      </c>
      <c r="E4" s="3" t="s">
        <v>850</v>
      </c>
      <c r="F4" s="3" t="s">
        <v>3</v>
      </c>
      <c r="G4" s="3" t="s">
        <v>4</v>
      </c>
      <c r="H4" s="3" t="s">
        <v>5</v>
      </c>
      <c r="I4" s="3" t="s">
        <v>6</v>
      </c>
      <c r="J4" s="3" t="s">
        <v>846</v>
      </c>
      <c r="K4" s="3" t="s">
        <v>7</v>
      </c>
      <c r="L4" s="3" t="s">
        <v>8</v>
      </c>
      <c r="M4" s="3" t="s">
        <v>9</v>
      </c>
      <c r="N4" s="3" t="s">
        <v>10</v>
      </c>
      <c r="O4" s="3" t="s">
        <v>13</v>
      </c>
      <c r="P4" s="3" t="s">
        <v>14</v>
      </c>
      <c r="Q4" s="4" t="s">
        <v>15</v>
      </c>
      <c r="R4" s="4" t="s">
        <v>16</v>
      </c>
      <c r="S4" s="3" t="s">
        <v>11</v>
      </c>
      <c r="T4" s="3" t="s">
        <v>914</v>
      </c>
      <c r="U4" s="3" t="s">
        <v>915</v>
      </c>
      <c r="V4" s="5" t="s">
        <v>844</v>
      </c>
      <c r="W4" s="6" t="s">
        <v>17</v>
      </c>
      <c r="X4" s="3" t="s">
        <v>18</v>
      </c>
      <c r="Y4" s="3" t="s">
        <v>4259</v>
      </c>
      <c r="Z4" s="3" t="s">
        <v>4013</v>
      </c>
      <c r="AA4" s="3" t="s">
        <v>4260</v>
      </c>
      <c r="AB4" s="3" t="s">
        <v>1162</v>
      </c>
      <c r="AC4" s="3" t="s">
        <v>1163</v>
      </c>
    </row>
    <row r="5" spans="1:29" ht="15.75" hidden="1" x14ac:dyDescent="0.25">
      <c r="A5" s="57" t="s">
        <v>46</v>
      </c>
      <c r="B5" s="58">
        <v>45245</v>
      </c>
      <c r="C5" s="58" t="s">
        <v>441</v>
      </c>
      <c r="D5" s="19" t="s">
        <v>20</v>
      </c>
      <c r="E5" s="19" t="s">
        <v>21</v>
      </c>
      <c r="F5" s="19" t="s">
        <v>22</v>
      </c>
      <c r="G5" s="19" t="s">
        <v>47</v>
      </c>
      <c r="H5" s="59" t="s">
        <v>24</v>
      </c>
      <c r="I5" s="59" t="s">
        <v>22</v>
      </c>
      <c r="J5" s="59">
        <v>1020055</v>
      </c>
      <c r="K5" s="19" t="s">
        <v>26</v>
      </c>
      <c r="L5" s="60">
        <v>2161425</v>
      </c>
      <c r="M5" s="60">
        <v>1</v>
      </c>
      <c r="N5" s="61">
        <f>Main_Issuance[[#This Row],[LC Amt(FCY)]]*Main_Issuance[[#This Row],[Rate]]</f>
        <v>2161425</v>
      </c>
      <c r="O5" s="58">
        <v>45443</v>
      </c>
      <c r="P5" s="58">
        <v>45443</v>
      </c>
      <c r="Q5" s="58" t="s">
        <v>27</v>
      </c>
      <c r="R5" s="19" t="s">
        <v>28</v>
      </c>
      <c r="S5" s="61"/>
      <c r="T5" s="61"/>
      <c r="U5" s="61"/>
      <c r="V5" s="62">
        <v>0</v>
      </c>
      <c r="W5" s="19"/>
      <c r="X5" s="63" t="str">
        <f ca="1">IF(AND((Main_Issuance[[#This Row],[Expiry Date]]+31)&gt;TODAY(),Main_Issuance[[#This Row],[Status]]&lt;&gt;"Cancelled"),"Active","Cancelled")</f>
        <v>Cancelled</v>
      </c>
      <c r="Y5" s="409"/>
      <c r="Z5" s="408"/>
      <c r="AA5" s="408" t="s">
        <v>378</v>
      </c>
      <c r="AB5" s="83" cm="1">
        <f t="array" ref="AB5">Iss_Tariff(Main_Issuance[[#This Row],[Bank]],Main_Issuance[[#This Row],[LC Amt(SAR)]],Main_Issuance[[#This Row],[Issue Date.]],Main_Issuance[[#This Row],[Expiry Date]],Main_Issuance[[#This Row],[Calculate]])</f>
        <v>0</v>
      </c>
      <c r="AC5" s="83"/>
    </row>
    <row r="6" spans="1:29" ht="15.75" hidden="1" x14ac:dyDescent="0.25">
      <c r="A6" s="57" t="s">
        <v>137</v>
      </c>
      <c r="B6" s="58">
        <v>45125</v>
      </c>
      <c r="C6" s="58" t="s">
        <v>441</v>
      </c>
      <c r="D6" s="19" t="s">
        <v>20</v>
      </c>
      <c r="E6" s="19" t="s">
        <v>21</v>
      </c>
      <c r="F6" s="19" t="s">
        <v>22</v>
      </c>
      <c r="G6" s="19" t="s">
        <v>138</v>
      </c>
      <c r="H6" s="59" t="s">
        <v>24</v>
      </c>
      <c r="I6" s="59" t="s">
        <v>22</v>
      </c>
      <c r="J6" s="59">
        <v>1020055</v>
      </c>
      <c r="K6" s="19" t="s">
        <v>26</v>
      </c>
      <c r="L6" s="60">
        <v>514625</v>
      </c>
      <c r="M6" s="60">
        <v>1</v>
      </c>
      <c r="N6" s="61">
        <f>Main_Issuance[[#This Row],[LC Amt(FCY)]]*Main_Issuance[[#This Row],[Rate]]</f>
        <v>514625</v>
      </c>
      <c r="O6" s="58">
        <v>45215</v>
      </c>
      <c r="P6" s="58">
        <v>45215</v>
      </c>
      <c r="Q6" s="58" t="s">
        <v>27</v>
      </c>
      <c r="R6" s="19" t="s">
        <v>28</v>
      </c>
      <c r="S6" s="61"/>
      <c r="T6" s="61"/>
      <c r="U6" s="61"/>
      <c r="V6" s="62">
        <v>0</v>
      </c>
      <c r="W6" s="19"/>
      <c r="X6" s="63" t="str">
        <f ca="1">IF(AND((Main_Issuance[[#This Row],[Expiry Date]]+31)&gt;TODAY(),Main_Issuance[[#This Row],[Status]]&lt;&gt;"Cancelled"),"Active","Cancelled")</f>
        <v>Cancelled</v>
      </c>
      <c r="Y6" s="409"/>
      <c r="Z6" s="408"/>
      <c r="AA6" s="408" t="s">
        <v>378</v>
      </c>
      <c r="AB6" s="83" cm="1">
        <f t="array" ref="AB6">Iss_Tariff(Main_Issuance[[#This Row],[Bank]],Main_Issuance[[#This Row],[LC Amt(SAR)]],Main_Issuance[[#This Row],[Issue Date.]],Main_Issuance[[#This Row],[Expiry Date]],Main_Issuance[[#This Row],[Calculate]])</f>
        <v>0</v>
      </c>
      <c r="AC6" s="83"/>
    </row>
    <row r="7" spans="1:29" ht="15.75" hidden="1" x14ac:dyDescent="0.25">
      <c r="A7" s="114" t="s">
        <v>1742</v>
      </c>
      <c r="B7" s="77">
        <v>45883</v>
      </c>
      <c r="C7" s="77" t="s">
        <v>1727</v>
      </c>
      <c r="D7" s="115" t="s">
        <v>20</v>
      </c>
      <c r="E7" s="115" t="s">
        <v>62</v>
      </c>
      <c r="F7" s="115" t="s">
        <v>70</v>
      </c>
      <c r="G7" s="115" t="s">
        <v>1707</v>
      </c>
      <c r="H7" s="113" t="s">
        <v>869</v>
      </c>
      <c r="I7" s="115" t="s">
        <v>1762</v>
      </c>
      <c r="J7" s="115"/>
      <c r="K7" s="115" t="s">
        <v>26</v>
      </c>
      <c r="L7" s="60">
        <v>551681.93000000005</v>
      </c>
      <c r="M7" s="60">
        <v>1</v>
      </c>
      <c r="N7" s="60">
        <f>Main_Issuance[[#This Row],[LC Amt(FCY)]]*Main_Issuance[[#This Row],[Rate]]</f>
        <v>551681.93000000005</v>
      </c>
      <c r="O7" s="77">
        <v>45930</v>
      </c>
      <c r="P7" s="77">
        <v>45915</v>
      </c>
      <c r="Q7" s="77" t="s">
        <v>70</v>
      </c>
      <c r="R7" s="115" t="s">
        <v>208</v>
      </c>
      <c r="S7" s="82"/>
      <c r="T7" s="82"/>
      <c r="U7" s="82"/>
      <c r="V7" s="97"/>
      <c r="W7" s="115" t="s">
        <v>2861</v>
      </c>
      <c r="X7" s="120" t="str">
        <f ca="1">IF(AND((Main_Issuance[[#This Row],[Expiry Date]]+31)&gt;TODAY(),Main_Issuance[[#This Row],[Status]]&lt;&gt;"Cancelled"),"Active","Cancelled")</f>
        <v>Cancelled</v>
      </c>
      <c r="Y7" s="410"/>
      <c r="Z7" s="408"/>
      <c r="AA7" s="408" t="s">
        <v>378</v>
      </c>
      <c r="AB7" s="83" cm="1">
        <f t="array" ref="AB7">Iss_Tariff(Main_Issuance[[#This Row],[Bank]],Main_Issuance[[#This Row],[LC Amt(SAR)]],Main_Issuance[[#This Row],[Issue Date.]],Main_Issuance[[#This Row],[Expiry Date]],Main_Issuance[[#This Row],[Calculate]])</f>
        <v>0</v>
      </c>
      <c r="AC7" s="83"/>
    </row>
    <row r="8" spans="1:29" ht="15.75" hidden="1" x14ac:dyDescent="0.25">
      <c r="A8" s="114" t="s">
        <v>375</v>
      </c>
      <c r="B8" s="77">
        <v>45545</v>
      </c>
      <c r="C8" s="77" t="s">
        <v>509</v>
      </c>
      <c r="D8" s="115" t="s">
        <v>20</v>
      </c>
      <c r="E8" s="115" t="s">
        <v>62</v>
      </c>
      <c r="F8" s="115" t="s">
        <v>70</v>
      </c>
      <c r="G8" s="115" t="s">
        <v>376</v>
      </c>
      <c r="H8" s="113" t="s">
        <v>72</v>
      </c>
      <c r="I8" s="115" t="s">
        <v>304</v>
      </c>
      <c r="J8" s="115">
        <v>1020098</v>
      </c>
      <c r="K8" s="115" t="s">
        <v>26</v>
      </c>
      <c r="L8" s="60">
        <v>8247656.25</v>
      </c>
      <c r="M8" s="60">
        <v>1</v>
      </c>
      <c r="N8" s="60">
        <f>Main_Issuance[[#This Row],[LC Amt(FCY)]]*Main_Issuance[[#This Row],[Rate]]</f>
        <v>8247656.25</v>
      </c>
      <c r="O8" s="77">
        <v>45716</v>
      </c>
      <c r="P8" s="77">
        <v>45698</v>
      </c>
      <c r="Q8" s="77" t="s">
        <v>70</v>
      </c>
      <c r="R8" s="115" t="s">
        <v>379</v>
      </c>
      <c r="S8" s="82">
        <v>2679704.7400000002</v>
      </c>
      <c r="T8" s="82" t="s">
        <v>377</v>
      </c>
      <c r="U8" s="82" t="s">
        <v>857</v>
      </c>
      <c r="V8" s="97">
        <v>0</v>
      </c>
      <c r="W8" s="115"/>
      <c r="X8" s="120" t="str">
        <f ca="1">IF(AND((Main_Issuance[[#This Row],[Expiry Date]]+31)&gt;TODAY(),Main_Issuance[[#This Row],[Status]]&lt;&gt;"Cancelled"),"Active","Cancelled")</f>
        <v>Cancelled</v>
      </c>
      <c r="Y8" s="410"/>
      <c r="Z8" s="408"/>
      <c r="AA8" s="408" t="s">
        <v>378</v>
      </c>
      <c r="AB8" s="83" cm="1">
        <f t="array" ref="AB8">Iss_Tariff(Main_Issuance[[#This Row],[Bank]],Main_Issuance[[#This Row],[LC Amt(SAR)]],Main_Issuance[[#This Row],[Issue Date.]],Main_Issuance[[#This Row],[Expiry Date]],Main_Issuance[[#This Row],[Calculate]])</f>
        <v>0</v>
      </c>
      <c r="AC8" s="83"/>
    </row>
    <row r="9" spans="1:29" ht="15.75" hidden="1" x14ac:dyDescent="0.25">
      <c r="A9" s="114" t="s">
        <v>464</v>
      </c>
      <c r="B9" s="77">
        <v>45609</v>
      </c>
      <c r="C9" s="77" t="s">
        <v>509</v>
      </c>
      <c r="D9" s="115" t="s">
        <v>20</v>
      </c>
      <c r="E9" s="115" t="s">
        <v>373</v>
      </c>
      <c r="F9" s="115" t="s">
        <v>63</v>
      </c>
      <c r="G9" s="115" t="s">
        <v>465</v>
      </c>
      <c r="H9" s="113" t="s">
        <v>72</v>
      </c>
      <c r="I9" s="115" t="s">
        <v>304</v>
      </c>
      <c r="J9" s="115">
        <v>1020098</v>
      </c>
      <c r="K9" s="115" t="s">
        <v>26</v>
      </c>
      <c r="L9" s="60">
        <v>10000000</v>
      </c>
      <c r="M9" s="60">
        <v>1</v>
      </c>
      <c r="N9" s="60">
        <f>Main_Issuance[[#This Row],[LC Amt(FCY)]]*Main_Issuance[[#This Row],[Rate]]</f>
        <v>10000000</v>
      </c>
      <c r="O9" s="77">
        <v>45688</v>
      </c>
      <c r="P9" s="77">
        <v>45661</v>
      </c>
      <c r="Q9" s="77" t="s">
        <v>27</v>
      </c>
      <c r="R9" s="115" t="s">
        <v>305</v>
      </c>
      <c r="S9" s="82"/>
      <c r="T9" s="82"/>
      <c r="U9" s="82"/>
      <c r="V9" s="97">
        <v>0</v>
      </c>
      <c r="W9" s="115"/>
      <c r="X9" s="120" t="str">
        <f ca="1">IF(AND((Main_Issuance[[#This Row],[Expiry Date]]+31)&gt;TODAY(),Main_Issuance[[#This Row],[Status]]&lt;&gt;"Cancelled"),"Active","Cancelled")</f>
        <v>Cancelled</v>
      </c>
      <c r="Y9" s="410"/>
      <c r="Z9" s="408"/>
      <c r="AA9" s="408" t="s">
        <v>378</v>
      </c>
      <c r="AB9" s="83" cm="1">
        <f t="array" ref="AB9">Iss_Tariff(Main_Issuance[[#This Row],[Bank]],Main_Issuance[[#This Row],[LC Amt(SAR)]],Main_Issuance[[#This Row],[Issue Date.]],Main_Issuance[[#This Row],[Expiry Date]],Main_Issuance[[#This Row],[Calculate]])</f>
        <v>0</v>
      </c>
      <c r="AC9" s="83"/>
    </row>
    <row r="10" spans="1:29" ht="15.75" hidden="1" x14ac:dyDescent="0.25">
      <c r="A10" s="114" t="s">
        <v>555</v>
      </c>
      <c r="B10" s="77">
        <v>45629</v>
      </c>
      <c r="C10" s="77" t="s">
        <v>509</v>
      </c>
      <c r="D10" s="115" t="s">
        <v>20</v>
      </c>
      <c r="E10" s="115" t="s">
        <v>373</v>
      </c>
      <c r="F10" s="115" t="s">
        <v>483</v>
      </c>
      <c r="G10" s="115" t="s">
        <v>465</v>
      </c>
      <c r="H10" s="113" t="s">
        <v>72</v>
      </c>
      <c r="I10" s="115" t="s">
        <v>304</v>
      </c>
      <c r="J10" s="115">
        <v>1020098</v>
      </c>
      <c r="K10" s="115" t="s">
        <v>26</v>
      </c>
      <c r="L10" s="60">
        <f>30000000+20000000</f>
        <v>50000000</v>
      </c>
      <c r="M10" s="60">
        <v>1</v>
      </c>
      <c r="N10" s="60">
        <f>Main_Issuance[[#This Row],[LC Amt(FCY)]]*Main_Issuance[[#This Row],[Rate]]</f>
        <v>50000000</v>
      </c>
      <c r="O10" s="77">
        <v>45747</v>
      </c>
      <c r="P10" s="77">
        <v>45720</v>
      </c>
      <c r="Q10" s="77" t="s">
        <v>27</v>
      </c>
      <c r="R10" s="115" t="s">
        <v>305</v>
      </c>
      <c r="S10" s="82"/>
      <c r="T10" s="82"/>
      <c r="U10" s="82"/>
      <c r="V10" s="97">
        <v>0</v>
      </c>
      <c r="W10" s="115"/>
      <c r="X10" s="120" t="str">
        <f ca="1">IF(AND((Main_Issuance[[#This Row],[Expiry Date]]+31)&gt;TODAY(),Main_Issuance[[#This Row],[Status]]&lt;&gt;"Cancelled"),"Active","Cancelled")</f>
        <v>Cancelled</v>
      </c>
      <c r="Y10" s="410"/>
      <c r="Z10" s="408"/>
      <c r="AA10" s="408" t="s">
        <v>378</v>
      </c>
      <c r="AB10" s="83" cm="1">
        <f t="array" ref="AB10">Iss_Tariff(Main_Issuance[[#This Row],[Bank]],Main_Issuance[[#This Row],[LC Amt(SAR)]],Main_Issuance[[#This Row],[Issue Date.]],Main_Issuance[[#This Row],[Expiry Date]],Main_Issuance[[#This Row],[Calculate]])</f>
        <v>0</v>
      </c>
      <c r="AC10" s="83"/>
    </row>
    <row r="11" spans="1:29" ht="15.75" hidden="1" x14ac:dyDescent="0.25">
      <c r="A11" s="114" t="s">
        <v>691</v>
      </c>
      <c r="B11" s="77">
        <v>45685</v>
      </c>
      <c r="C11" s="77" t="s">
        <v>509</v>
      </c>
      <c r="D11" s="115" t="s">
        <v>20</v>
      </c>
      <c r="E11" s="115" t="s">
        <v>95</v>
      </c>
      <c r="F11" s="115" t="s">
        <v>96</v>
      </c>
      <c r="G11" s="115" t="s">
        <v>465</v>
      </c>
      <c r="H11" s="113" t="s">
        <v>72</v>
      </c>
      <c r="I11" s="115" t="s">
        <v>304</v>
      </c>
      <c r="J11" s="115">
        <v>1020098</v>
      </c>
      <c r="K11" s="115" t="s">
        <v>26</v>
      </c>
      <c r="L11" s="60">
        <v>30000000</v>
      </c>
      <c r="M11" s="60">
        <v>1</v>
      </c>
      <c r="N11" s="60">
        <f>Main_Issuance[[#This Row],[LC Amt(FCY)]]*Main_Issuance[[#This Row],[Rate]]</f>
        <v>30000000</v>
      </c>
      <c r="O11" s="77">
        <v>45747</v>
      </c>
      <c r="P11" s="77">
        <v>45720</v>
      </c>
      <c r="Q11" s="77" t="s">
        <v>27</v>
      </c>
      <c r="R11" s="115" t="s">
        <v>305</v>
      </c>
      <c r="S11" s="82"/>
      <c r="T11" s="82"/>
      <c r="U11" s="82"/>
      <c r="V11" s="97">
        <v>0</v>
      </c>
      <c r="W11" s="115"/>
      <c r="X11" s="120" t="str">
        <f ca="1">IF(AND((Main_Issuance[[#This Row],[Expiry Date]]+31)&gt;TODAY(),Main_Issuance[[#This Row],[Status]]&lt;&gt;"Cancelled"),"Active","Cancelled")</f>
        <v>Cancelled</v>
      </c>
      <c r="Y11" s="410"/>
      <c r="Z11" s="408"/>
      <c r="AA11" s="408" t="s">
        <v>378</v>
      </c>
      <c r="AB11" s="83" cm="1">
        <f t="array" ref="AB11">Iss_Tariff(Main_Issuance[[#This Row],[Bank]],Main_Issuance[[#This Row],[LC Amt(SAR)]],Main_Issuance[[#This Row],[Issue Date.]],Main_Issuance[[#This Row],[Expiry Date]],Main_Issuance[[#This Row],[Calculate]])</f>
        <v>0</v>
      </c>
      <c r="AC11" s="83"/>
    </row>
    <row r="12" spans="1:29" ht="15.75" hidden="1" x14ac:dyDescent="0.25">
      <c r="A12" s="115" t="s">
        <v>1783</v>
      </c>
      <c r="B12" s="77">
        <v>45889</v>
      </c>
      <c r="C12" s="77" t="s">
        <v>1727</v>
      </c>
      <c r="D12" s="115" t="s">
        <v>20</v>
      </c>
      <c r="E12" s="115" t="s">
        <v>62</v>
      </c>
      <c r="F12" s="115" t="s">
        <v>70</v>
      </c>
      <c r="G12" s="115" t="s">
        <v>1709</v>
      </c>
      <c r="H12" s="113" t="s">
        <v>869</v>
      </c>
      <c r="I12" s="115" t="s">
        <v>1762</v>
      </c>
      <c r="J12" s="115"/>
      <c r="K12" s="115" t="s">
        <v>26</v>
      </c>
      <c r="L12" s="60">
        <v>377983</v>
      </c>
      <c r="M12" s="60">
        <v>1</v>
      </c>
      <c r="N12" s="60">
        <f>Main_Issuance[[#This Row],[LC Amt(FCY)]]*Main_Issuance[[#This Row],[Rate]]</f>
        <v>377983</v>
      </c>
      <c r="O12" s="77">
        <v>45930</v>
      </c>
      <c r="P12" s="77">
        <v>45915</v>
      </c>
      <c r="Q12" s="77" t="s">
        <v>70</v>
      </c>
      <c r="R12" s="115" t="s">
        <v>208</v>
      </c>
      <c r="S12" s="82"/>
      <c r="T12" s="82"/>
      <c r="U12" s="82"/>
      <c r="V12" s="97"/>
      <c r="W12" s="115" t="s">
        <v>2863</v>
      </c>
      <c r="X12" s="77" t="str">
        <f ca="1">IF(AND((Main_Issuance[[#This Row],[Expiry Date]]+31)&gt;TODAY(),Main_Issuance[[#This Row],[Status]]&lt;&gt;"Cancelled"),"Active","Cancelled")</f>
        <v>Cancelled</v>
      </c>
      <c r="Y12" s="410"/>
      <c r="Z12" s="408"/>
      <c r="AA12" s="408" t="s">
        <v>378</v>
      </c>
      <c r="AB12" s="83" cm="1">
        <f t="array" ref="AB12">Iss_Tariff(Main_Issuance[[#This Row],[Bank]],Main_Issuance[[#This Row],[LC Amt(SAR)]],Main_Issuance[[#This Row],[Issue Date.]],Main_Issuance[[#This Row],[Expiry Date]],Main_Issuance[[#This Row],[Calculate]])</f>
        <v>0</v>
      </c>
      <c r="AC12" s="83"/>
    </row>
    <row r="13" spans="1:29" ht="15.75" hidden="1" x14ac:dyDescent="0.25">
      <c r="A13" s="114" t="s">
        <v>1664</v>
      </c>
      <c r="B13" s="77">
        <v>45869</v>
      </c>
      <c r="C13" s="77" t="s">
        <v>1119</v>
      </c>
      <c r="D13" s="115" t="s">
        <v>20</v>
      </c>
      <c r="E13" s="115" t="s">
        <v>366</v>
      </c>
      <c r="F13" s="115" t="s">
        <v>367</v>
      </c>
      <c r="G13" s="115" t="s">
        <v>1623</v>
      </c>
      <c r="H13" s="113" t="s">
        <v>24</v>
      </c>
      <c r="I13" s="115" t="s">
        <v>367</v>
      </c>
      <c r="J13" s="115">
        <v>1020091</v>
      </c>
      <c r="K13" s="115" t="s">
        <v>26</v>
      </c>
      <c r="L13" s="60">
        <v>1000000</v>
      </c>
      <c r="M13" s="60">
        <v>1</v>
      </c>
      <c r="N13" s="60">
        <f>Main_Issuance[[#This Row],[LC Amt(FCY)]]*Main_Issuance[[#This Row],[Rate]]</f>
        <v>1000000</v>
      </c>
      <c r="O13" s="77">
        <v>46142</v>
      </c>
      <c r="P13" s="77">
        <v>46142</v>
      </c>
      <c r="Q13" s="77" t="s">
        <v>27</v>
      </c>
      <c r="R13" s="115" t="s">
        <v>1624</v>
      </c>
      <c r="S13" s="82"/>
      <c r="T13" s="82"/>
      <c r="U13" s="82"/>
      <c r="V13" s="97">
        <v>0</v>
      </c>
      <c r="W13" s="115"/>
      <c r="X13" s="120" t="str">
        <f ca="1">IF(AND((Main_Issuance[[#This Row],[Expiry Date]]+31)&gt;TODAY(),Main_Issuance[[#This Row],[Status]]&lt;&gt;"Cancelled"),"Active","Cancelled")</f>
        <v>Cancelled</v>
      </c>
      <c r="Y13" s="410"/>
      <c r="Z13" s="408"/>
      <c r="AA13" s="408" t="s">
        <v>857</v>
      </c>
      <c r="AB13" s="83" cm="1">
        <f t="array" ref="AB13">Iss_Tariff(Main_Issuance[[#This Row],[Bank]],Main_Issuance[[#This Row],[LC Amt(SAR)]],Main_Issuance[[#This Row],[Issue Date.]],Main_Issuance[[#This Row],[Expiry Date]],Main_Issuance[[#This Row],[Calculate]])</f>
        <v>5836.25</v>
      </c>
      <c r="AC13" s="83"/>
    </row>
    <row r="14" spans="1:29" ht="15.75" hidden="1" x14ac:dyDescent="0.25">
      <c r="A14" s="114" t="s">
        <v>788</v>
      </c>
      <c r="B14" s="77">
        <v>45741</v>
      </c>
      <c r="C14" s="77" t="s">
        <v>1864</v>
      </c>
      <c r="D14" s="115" t="s">
        <v>20</v>
      </c>
      <c r="E14" s="115" t="s">
        <v>366</v>
      </c>
      <c r="F14" s="115" t="s">
        <v>710</v>
      </c>
      <c r="G14" s="115" t="s">
        <v>789</v>
      </c>
      <c r="H14" s="59" t="s">
        <v>3221</v>
      </c>
      <c r="I14" s="115" t="s">
        <v>81</v>
      </c>
      <c r="J14" s="115">
        <v>1020070</v>
      </c>
      <c r="K14" s="115" t="s">
        <v>26</v>
      </c>
      <c r="L14" s="60">
        <v>4000000</v>
      </c>
      <c r="M14" s="60">
        <v>1</v>
      </c>
      <c r="N14" s="60">
        <f>Main_Issuance[[#This Row],[LC Amt(FCY)]]*Main_Issuance[[#This Row],[Rate]]</f>
        <v>4000000</v>
      </c>
      <c r="O14" s="77">
        <v>45808</v>
      </c>
      <c r="P14" s="77">
        <v>45777</v>
      </c>
      <c r="Q14" s="77" t="s">
        <v>27</v>
      </c>
      <c r="R14" s="115" t="s">
        <v>208</v>
      </c>
      <c r="S14" s="82"/>
      <c r="T14" s="82"/>
      <c r="U14" s="82"/>
      <c r="V14" s="97">
        <v>0</v>
      </c>
      <c r="W14" s="115"/>
      <c r="X14" s="120" t="str">
        <f ca="1">IF(AND((Main_Issuance[[#This Row],[Expiry Date]]+31)&gt;TODAY(),Main_Issuance[[#This Row],[Status]]&lt;&gt;"Cancelled"),"Active","Cancelled")</f>
        <v>Cancelled</v>
      </c>
      <c r="Y14" s="410"/>
      <c r="Z14" s="408"/>
      <c r="AA14" s="408" t="s">
        <v>378</v>
      </c>
      <c r="AB14" s="83" cm="1">
        <f t="array" ref="AB14">Iss_Tariff(Main_Issuance[[#This Row],[Bank]],Main_Issuance[[#This Row],[LC Amt(SAR)]],Main_Issuance[[#This Row],[Issue Date.]],Main_Issuance[[#This Row],[Expiry Date]],Main_Issuance[[#This Row],[Calculate]])</f>
        <v>0</v>
      </c>
      <c r="AC14" s="83"/>
    </row>
    <row r="15" spans="1:29" ht="15.75" hidden="1" x14ac:dyDescent="0.25">
      <c r="A15" s="114" t="s">
        <v>1807</v>
      </c>
      <c r="B15" s="77">
        <v>45895</v>
      </c>
      <c r="C15" s="77" t="s">
        <v>1181</v>
      </c>
      <c r="D15" s="115" t="s">
        <v>20</v>
      </c>
      <c r="E15" s="115" t="s">
        <v>366</v>
      </c>
      <c r="F15" s="115" t="s">
        <v>710</v>
      </c>
      <c r="G15" s="115" t="s">
        <v>1757</v>
      </c>
      <c r="H15" s="113" t="s">
        <v>1791</v>
      </c>
      <c r="I15" s="115" t="s">
        <v>81</v>
      </c>
      <c r="J15" s="115">
        <v>1020070</v>
      </c>
      <c r="K15" s="115" t="s">
        <v>26</v>
      </c>
      <c r="L15" s="60">
        <v>500000</v>
      </c>
      <c r="M15" s="60">
        <v>1</v>
      </c>
      <c r="N15" s="60">
        <f>Main_Issuance[[#This Row],[LC Amt(FCY)]]*Main_Issuance[[#This Row],[Rate]]</f>
        <v>500000</v>
      </c>
      <c r="O15" s="77">
        <v>45961</v>
      </c>
      <c r="P15" s="77">
        <v>45961</v>
      </c>
      <c r="Q15" s="77" t="s">
        <v>27</v>
      </c>
      <c r="R15" s="115" t="s">
        <v>408</v>
      </c>
      <c r="S15" s="82"/>
      <c r="T15" s="82"/>
      <c r="U15" s="82"/>
      <c r="V15" s="97">
        <v>0</v>
      </c>
      <c r="W15" s="115"/>
      <c r="X15" s="120" t="str">
        <f ca="1">IF(AND((Main_Issuance[[#This Row],[Expiry Date]]+31)&gt;TODAY(),Main_Issuance[[#This Row],[Status]]&lt;&gt;"Cancelled"),"Active","Cancelled")</f>
        <v>Cancelled</v>
      </c>
      <c r="Y15" s="410"/>
      <c r="Z15" s="408"/>
      <c r="AA15" s="408" t="s">
        <v>378</v>
      </c>
      <c r="AB15" s="83" cm="1">
        <f t="array" ref="AB15">Iss_Tariff(Main_Issuance[[#This Row],[Bank]],Main_Issuance[[#This Row],[LC Amt(SAR)]],Main_Issuance[[#This Row],[Issue Date.]],Main_Issuance[[#This Row],[Expiry Date]],Main_Issuance[[#This Row],[Calculate]])</f>
        <v>0</v>
      </c>
      <c r="AC15" s="83"/>
    </row>
    <row r="16" spans="1:29" ht="15.75" hidden="1" x14ac:dyDescent="0.25">
      <c r="A16" s="114" t="s">
        <v>398</v>
      </c>
      <c r="B16" s="77">
        <v>45551</v>
      </c>
      <c r="C16" s="77" t="s">
        <v>441</v>
      </c>
      <c r="D16" s="115" t="s">
        <v>20</v>
      </c>
      <c r="E16" s="115" t="s">
        <v>95</v>
      </c>
      <c r="F16" s="115" t="s">
        <v>96</v>
      </c>
      <c r="G16" s="115" t="s">
        <v>399</v>
      </c>
      <c r="H16" s="113" t="s">
        <v>24</v>
      </c>
      <c r="I16" s="115" t="s">
        <v>22</v>
      </c>
      <c r="J16" s="115">
        <v>1020055</v>
      </c>
      <c r="K16" s="115" t="s">
        <v>26</v>
      </c>
      <c r="L16" s="60">
        <v>482012.43</v>
      </c>
      <c r="M16" s="60">
        <v>1</v>
      </c>
      <c r="N16" s="60">
        <f>Main_Issuance[[#This Row],[LC Amt(FCY)]]*Main_Issuance[[#This Row],[Rate]]</f>
        <v>482012.43</v>
      </c>
      <c r="O16" s="77">
        <v>45716</v>
      </c>
      <c r="P16" s="77">
        <v>45661</v>
      </c>
      <c r="Q16" s="77" t="s">
        <v>27</v>
      </c>
      <c r="R16" s="115" t="s">
        <v>311</v>
      </c>
      <c r="S16" s="82"/>
      <c r="T16" s="82"/>
      <c r="U16" s="82"/>
      <c r="V16" s="97">
        <v>0</v>
      </c>
      <c r="W16" s="115" t="s">
        <v>400</v>
      </c>
      <c r="X16" s="120" t="str">
        <f ca="1">IF(AND((Main_Issuance[[#This Row],[Expiry Date]]+31)&gt;TODAY(),Main_Issuance[[#This Row],[Status]]&lt;&gt;"Cancelled"),"Active","Cancelled")</f>
        <v>Cancelled</v>
      </c>
      <c r="Y16" s="410"/>
      <c r="Z16" s="408"/>
      <c r="AA16" s="408" t="s">
        <v>378</v>
      </c>
      <c r="AB16" s="83" cm="1">
        <f t="array" ref="AB16">Iss_Tariff(Main_Issuance[[#This Row],[Bank]],Main_Issuance[[#This Row],[LC Amt(SAR)]],Main_Issuance[[#This Row],[Issue Date.]],Main_Issuance[[#This Row],[Expiry Date]],Main_Issuance[[#This Row],[Calculate]])</f>
        <v>0</v>
      </c>
      <c r="AC16" s="83"/>
    </row>
    <row r="17" spans="1:29" ht="15.75" hidden="1" x14ac:dyDescent="0.25">
      <c r="A17" s="114" t="s">
        <v>643</v>
      </c>
      <c r="B17" s="77">
        <v>45693</v>
      </c>
      <c r="C17" s="77" t="s">
        <v>441</v>
      </c>
      <c r="D17" s="115" t="s">
        <v>20</v>
      </c>
      <c r="E17" s="115" t="s">
        <v>95</v>
      </c>
      <c r="F17" s="115" t="s">
        <v>96</v>
      </c>
      <c r="G17" s="115" t="s">
        <v>644</v>
      </c>
      <c r="H17" s="113" t="s">
        <v>24</v>
      </c>
      <c r="I17" s="115" t="s">
        <v>22</v>
      </c>
      <c r="J17" s="115">
        <v>1020055</v>
      </c>
      <c r="K17" s="115" t="s">
        <v>26</v>
      </c>
      <c r="L17" s="60">
        <v>476785.75</v>
      </c>
      <c r="M17" s="60">
        <v>1</v>
      </c>
      <c r="N17" s="60">
        <f>Main_Issuance[[#This Row],[LC Amt(FCY)]]*Main_Issuance[[#This Row],[Rate]]</f>
        <v>476785.75</v>
      </c>
      <c r="O17" s="77">
        <v>45777</v>
      </c>
      <c r="P17" s="77">
        <v>45777</v>
      </c>
      <c r="Q17" s="77" t="s">
        <v>27</v>
      </c>
      <c r="R17" s="115" t="s">
        <v>311</v>
      </c>
      <c r="S17" s="82"/>
      <c r="T17" s="82"/>
      <c r="U17" s="82"/>
      <c r="V17" s="97">
        <v>0</v>
      </c>
      <c r="W17" s="115" t="s">
        <v>625</v>
      </c>
      <c r="X17" s="120" t="str">
        <f ca="1">IF(AND((Main_Issuance[[#This Row],[Expiry Date]]+31)&gt;TODAY(),Main_Issuance[[#This Row],[Status]]&lt;&gt;"Cancelled"),"Active","Cancelled")</f>
        <v>Cancelled</v>
      </c>
      <c r="Y17" s="410"/>
      <c r="Z17" s="408"/>
      <c r="AA17" s="408" t="s">
        <v>378</v>
      </c>
      <c r="AB17" s="83" cm="1">
        <f t="array" ref="AB17">Iss_Tariff(Main_Issuance[[#This Row],[Bank]],Main_Issuance[[#This Row],[LC Amt(SAR)]],Main_Issuance[[#This Row],[Issue Date.]],Main_Issuance[[#This Row],[Expiry Date]],Main_Issuance[[#This Row],[Calculate]])</f>
        <v>0</v>
      </c>
      <c r="AC17" s="83"/>
    </row>
    <row r="18" spans="1:29" ht="15.75" hidden="1" x14ac:dyDescent="0.25">
      <c r="A18" s="114" t="s">
        <v>815</v>
      </c>
      <c r="B18" s="77">
        <v>45739</v>
      </c>
      <c r="C18" s="77" t="s">
        <v>441</v>
      </c>
      <c r="D18" s="115" t="s">
        <v>20</v>
      </c>
      <c r="E18" s="115" t="s">
        <v>21</v>
      </c>
      <c r="F18" s="115" t="s">
        <v>22</v>
      </c>
      <c r="G18" s="115" t="s">
        <v>644</v>
      </c>
      <c r="H18" s="113" t="s">
        <v>24</v>
      </c>
      <c r="I18" s="115" t="s">
        <v>22</v>
      </c>
      <c r="J18" s="115">
        <v>1020055</v>
      </c>
      <c r="K18" s="115" t="s">
        <v>26</v>
      </c>
      <c r="L18" s="60">
        <v>450984.51</v>
      </c>
      <c r="M18" s="60">
        <v>1</v>
      </c>
      <c r="N18" s="60">
        <f>Main_Issuance[[#This Row],[LC Amt(FCY)]]*Main_Issuance[[#This Row],[Rate]]</f>
        <v>450984.51</v>
      </c>
      <c r="O18" s="77">
        <v>46105</v>
      </c>
      <c r="P18" s="77">
        <v>46105</v>
      </c>
      <c r="Q18" s="77" t="s">
        <v>27</v>
      </c>
      <c r="R18" s="115" t="s">
        <v>311</v>
      </c>
      <c r="S18" s="82"/>
      <c r="T18" s="82"/>
      <c r="U18" s="82"/>
      <c r="V18" s="97">
        <v>0</v>
      </c>
      <c r="W18" s="115"/>
      <c r="X18" s="120" t="str">
        <f ca="1">IF(AND((Main_Issuance[[#This Row],[Expiry Date]]+31)&gt;TODAY(),Main_Issuance[[#This Row],[Status]]&lt;&gt;"Cancelled"),"Active","Cancelled")</f>
        <v>Cancelled</v>
      </c>
      <c r="Y18" s="410"/>
      <c r="Z18" s="408"/>
      <c r="AA18" s="408" t="s">
        <v>857</v>
      </c>
      <c r="AB18" s="83" cm="1">
        <f t="array" ref="AB18">Iss_Tariff(Main_Issuance[[#This Row],[Bank]],Main_Issuance[[#This Row],[LC Amt(SAR)]],Main_Issuance[[#This Row],[Issue Date.]],Main_Issuance[[#This Row],[Expiry Date]],Main_Issuance[[#This Row],[Calculate]])</f>
        <v>4946.1499999999996</v>
      </c>
      <c r="AC18" s="83"/>
    </row>
    <row r="19" spans="1:29" ht="15.75" hidden="1" x14ac:dyDescent="0.25">
      <c r="A19" s="114" t="s">
        <v>1273</v>
      </c>
      <c r="B19" s="77">
        <v>45784</v>
      </c>
      <c r="C19" s="77" t="s">
        <v>441</v>
      </c>
      <c r="D19" s="115" t="s">
        <v>20</v>
      </c>
      <c r="E19" s="115" t="s">
        <v>373</v>
      </c>
      <c r="F19" s="115" t="s">
        <v>70</v>
      </c>
      <c r="G19" s="115" t="s">
        <v>1249</v>
      </c>
      <c r="H19" s="113" t="s">
        <v>24</v>
      </c>
      <c r="I19" s="115" t="s">
        <v>407</v>
      </c>
      <c r="J19" s="115">
        <v>1020100</v>
      </c>
      <c r="K19" s="115" t="s">
        <v>26</v>
      </c>
      <c r="L19" s="60">
        <v>275000</v>
      </c>
      <c r="M19" s="60">
        <v>1</v>
      </c>
      <c r="N19" s="60">
        <f>Main_Issuance[[#This Row],[LC Amt(FCY)]]*Main_Issuance[[#This Row],[Rate]]</f>
        <v>275000</v>
      </c>
      <c r="O19" s="77">
        <v>46022</v>
      </c>
      <c r="P19" s="77">
        <v>46022</v>
      </c>
      <c r="Q19" s="77" t="s">
        <v>70</v>
      </c>
      <c r="R19" s="115" t="s">
        <v>621</v>
      </c>
      <c r="S19" s="82"/>
      <c r="T19" s="82"/>
      <c r="U19" s="82">
        <v>21522.68</v>
      </c>
      <c r="V19" s="97">
        <v>0</v>
      </c>
      <c r="W19" s="115"/>
      <c r="X19" s="120" t="str">
        <f ca="1">IF(AND((Main_Issuance[[#This Row],[Expiry Date]]+31)&gt;TODAY(),Main_Issuance[[#This Row],[Status]]&lt;&gt;"Cancelled"),"Active","Cancelled")</f>
        <v>Cancelled</v>
      </c>
      <c r="Y19" s="410"/>
      <c r="Z19" s="408"/>
      <c r="AA19" s="408" t="s">
        <v>378</v>
      </c>
      <c r="AB19" s="83" cm="1">
        <f t="array" ref="AB19">Iss_Tariff(Main_Issuance[[#This Row],[Bank]],Main_Issuance[[#This Row],[LC Amt(SAR)]],Main_Issuance[[#This Row],[Issue Date.]],Main_Issuance[[#This Row],[Expiry Date]],Main_Issuance[[#This Row],[Calculate]])</f>
        <v>0</v>
      </c>
      <c r="AC19" s="83"/>
    </row>
    <row r="20" spans="1:29" ht="15.75" hidden="1" x14ac:dyDescent="0.25">
      <c r="A20" s="114" t="s">
        <v>1489</v>
      </c>
      <c r="B20" s="77">
        <v>45831</v>
      </c>
      <c r="C20" s="77" t="s">
        <v>441</v>
      </c>
      <c r="D20" s="115" t="s">
        <v>20</v>
      </c>
      <c r="E20" s="115" t="s">
        <v>21</v>
      </c>
      <c r="F20" s="115" t="s">
        <v>22</v>
      </c>
      <c r="G20" s="115" t="s">
        <v>1375</v>
      </c>
      <c r="H20" s="113" t="s">
        <v>24</v>
      </c>
      <c r="I20" s="115" t="s">
        <v>407</v>
      </c>
      <c r="J20" s="115">
        <v>1020100</v>
      </c>
      <c r="K20" s="115" t="s">
        <v>26</v>
      </c>
      <c r="L20" s="60">
        <v>300000</v>
      </c>
      <c r="M20" s="60">
        <v>1</v>
      </c>
      <c r="N20" s="60">
        <f>Main_Issuance[[#This Row],[LC Amt(FCY)]]*Main_Issuance[[#This Row],[Rate]]</f>
        <v>300000</v>
      </c>
      <c r="O20" s="77">
        <v>46081</v>
      </c>
      <c r="P20" s="77">
        <v>46081</v>
      </c>
      <c r="Q20" s="77" t="s">
        <v>27</v>
      </c>
      <c r="R20" s="115" t="s">
        <v>1624</v>
      </c>
      <c r="S20" s="82"/>
      <c r="T20" s="82"/>
      <c r="U20" s="82"/>
      <c r="V20" s="97">
        <v>0</v>
      </c>
      <c r="W20" s="115"/>
      <c r="X20" s="120" t="str">
        <f ca="1">IF(AND((Main_Issuance[[#This Row],[Expiry Date]]+31)&gt;TODAY(),Main_Issuance[[#This Row],[Status]]&lt;&gt;"Cancelled"),"Active","Cancelled")</f>
        <v>Cancelled</v>
      </c>
      <c r="Y20" s="410"/>
      <c r="Z20" s="408"/>
      <c r="AA20" s="408" t="s">
        <v>857</v>
      </c>
      <c r="AB20" s="83" cm="1">
        <f t="array" ref="AB20">Iss_Tariff(Main_Issuance[[#This Row],[Bank]],Main_Issuance[[#This Row],[LC Amt(SAR)]],Main_Issuance[[#This Row],[Issue Date.]],Main_Issuance[[#This Row],[Expiry Date]],Main_Issuance[[#This Row],[Calculate]])</f>
        <v>3033.7</v>
      </c>
      <c r="AC20" s="83"/>
    </row>
    <row r="21" spans="1:29" ht="15.75" hidden="1" x14ac:dyDescent="0.25">
      <c r="A21" s="114" t="s">
        <v>1650</v>
      </c>
      <c r="B21" s="77">
        <v>45869</v>
      </c>
      <c r="C21" s="77" t="s">
        <v>1119</v>
      </c>
      <c r="D21" s="115" t="s">
        <v>20</v>
      </c>
      <c r="E21" s="115" t="s">
        <v>366</v>
      </c>
      <c r="F21" s="115" t="s">
        <v>367</v>
      </c>
      <c r="G21" s="115" t="s">
        <v>1631</v>
      </c>
      <c r="H21" s="113" t="s">
        <v>24</v>
      </c>
      <c r="I21" s="115" t="s">
        <v>367</v>
      </c>
      <c r="J21" s="115">
        <v>1020091</v>
      </c>
      <c r="K21" s="115" t="s">
        <v>26</v>
      </c>
      <c r="L21" s="60">
        <v>2000000</v>
      </c>
      <c r="M21" s="60">
        <v>1</v>
      </c>
      <c r="N21" s="60">
        <f>Main_Issuance[[#This Row],[LC Amt(FCY)]]*Main_Issuance[[#This Row],[Rate]]</f>
        <v>2000000</v>
      </c>
      <c r="O21" s="77">
        <v>45961</v>
      </c>
      <c r="P21" s="77">
        <v>45961</v>
      </c>
      <c r="Q21" s="77" t="s">
        <v>27</v>
      </c>
      <c r="R21" s="115" t="s">
        <v>1624</v>
      </c>
      <c r="S21" s="82"/>
      <c r="T21" s="82"/>
      <c r="U21" s="82"/>
      <c r="V21" s="97">
        <v>0</v>
      </c>
      <c r="W21" s="115"/>
      <c r="X21" s="120" t="str">
        <f ca="1">IF(AND((Main_Issuance[[#This Row],[Expiry Date]]+31)&gt;TODAY(),Main_Issuance[[#This Row],[Status]]&lt;&gt;"Cancelled"),"Active","Cancelled")</f>
        <v>Cancelled</v>
      </c>
      <c r="Y21" s="410"/>
      <c r="Z21" s="408"/>
      <c r="AA21" s="408" t="s">
        <v>378</v>
      </c>
      <c r="AB21" s="83" cm="1">
        <f t="array" ref="AB21">Iss_Tariff(Main_Issuance[[#This Row],[Bank]],Main_Issuance[[#This Row],[LC Amt(SAR)]],Main_Issuance[[#This Row],[Issue Date.]],Main_Issuance[[#This Row],[Expiry Date]],Main_Issuance[[#This Row],[Calculate]])</f>
        <v>0</v>
      </c>
      <c r="AC21" s="83"/>
    </row>
    <row r="22" spans="1:29" ht="15.75" hidden="1" x14ac:dyDescent="0.25">
      <c r="A22" s="114" t="s">
        <v>3901</v>
      </c>
      <c r="B22" s="77">
        <v>46050</v>
      </c>
      <c r="C22" s="77" t="s">
        <v>441</v>
      </c>
      <c r="D22" s="115" t="s">
        <v>20</v>
      </c>
      <c r="E22" s="115" t="s">
        <v>366</v>
      </c>
      <c r="F22" s="115" t="s">
        <v>710</v>
      </c>
      <c r="G22" s="115" t="s">
        <v>3294</v>
      </c>
      <c r="H22" s="115" t="s">
        <v>24</v>
      </c>
      <c r="I22" s="115" t="s">
        <v>710</v>
      </c>
      <c r="J22" s="113">
        <v>1020088</v>
      </c>
      <c r="K22" s="115" t="s">
        <v>26</v>
      </c>
      <c r="L22" s="119">
        <v>500000</v>
      </c>
      <c r="M22" s="82">
        <v>1</v>
      </c>
      <c r="N22" s="82">
        <f>Main_Issuance[[#This Row],[LC Amt(FCY)]]*Main_Issuance[[#This Row],[Rate]]</f>
        <v>500000</v>
      </c>
      <c r="O22" s="77">
        <v>46142</v>
      </c>
      <c r="P22" s="77">
        <v>46142</v>
      </c>
      <c r="Q22" s="77" t="s">
        <v>27</v>
      </c>
      <c r="R22" s="115" t="s">
        <v>1904</v>
      </c>
      <c r="S22" s="82"/>
      <c r="T22" s="82"/>
      <c r="U22" s="82"/>
      <c r="V22" s="97">
        <v>0</v>
      </c>
      <c r="W22" s="115"/>
      <c r="X22" s="120" t="str">
        <f ca="1">IF(AND((Main_Issuance[[#This Row],[Expiry Date]]+31)&gt;TODAY(),Main_Issuance[[#This Row],[Status]]&lt;&gt;"Cancelled"),"Active","Cancelled")</f>
        <v>Cancelled</v>
      </c>
      <c r="Y22" s="409"/>
      <c r="Z22" s="408"/>
      <c r="AA22" s="408" t="s">
        <v>857</v>
      </c>
      <c r="AB22" s="83" cm="1">
        <f t="array" ref="AB22">Iss_Tariff(Main_Issuance[[#This Row],[Bank]],Main_Issuance[[#This Row],[LC Amt(SAR)]],Main_Issuance[[#This Row],[Issue Date.]],Main_Issuance[[#This Row],[Expiry Date]],Main_Issuance[[#This Row],[Calculate]])</f>
        <v>2961.25</v>
      </c>
      <c r="AC22" s="83"/>
    </row>
    <row r="23" spans="1:29" ht="15.75" hidden="1" x14ac:dyDescent="0.25">
      <c r="A23" s="114" t="s">
        <v>1311</v>
      </c>
      <c r="B23" s="77">
        <v>45788</v>
      </c>
      <c r="C23" s="77" t="s">
        <v>441</v>
      </c>
      <c r="D23" s="115" t="s">
        <v>20</v>
      </c>
      <c r="E23" s="115" t="s">
        <v>21</v>
      </c>
      <c r="F23" s="115" t="s">
        <v>22</v>
      </c>
      <c r="G23" s="115" t="s">
        <v>1268</v>
      </c>
      <c r="H23" s="113" t="s">
        <v>24</v>
      </c>
      <c r="I23" s="115" t="s">
        <v>22</v>
      </c>
      <c r="J23" s="115">
        <v>1020055</v>
      </c>
      <c r="K23" s="115" t="s">
        <v>26</v>
      </c>
      <c r="L23" s="60">
        <v>78117.13</v>
      </c>
      <c r="M23" s="60">
        <v>1</v>
      </c>
      <c r="N23" s="60">
        <f>Main_Issuance[[#This Row],[LC Amt(FCY)]]*Main_Issuance[[#This Row],[Rate]]</f>
        <v>78117.13</v>
      </c>
      <c r="O23" s="77">
        <v>45961</v>
      </c>
      <c r="P23" s="77">
        <v>45961</v>
      </c>
      <c r="Q23" s="77" t="s">
        <v>27</v>
      </c>
      <c r="R23" s="115" t="s">
        <v>621</v>
      </c>
      <c r="S23" s="82"/>
      <c r="T23" s="82"/>
      <c r="U23" s="82"/>
      <c r="V23" s="97">
        <v>0</v>
      </c>
      <c r="W23" s="115" t="s">
        <v>1846</v>
      </c>
      <c r="X23" s="120" t="str">
        <f ca="1">IF(AND((Main_Issuance[[#This Row],[Expiry Date]]+31)&gt;TODAY(),Main_Issuance[[#This Row],[Status]]&lt;&gt;"Cancelled"),"Active","Cancelled")</f>
        <v>Cancelled</v>
      </c>
      <c r="Y23" s="410"/>
      <c r="Z23" s="408"/>
      <c r="AA23" s="408" t="s">
        <v>378</v>
      </c>
      <c r="AB23" s="83" cm="1">
        <f t="array" ref="AB23">Iss_Tariff(Main_Issuance[[#This Row],[Bank]],Main_Issuance[[#This Row],[LC Amt(SAR)]],Main_Issuance[[#This Row],[Issue Date.]],Main_Issuance[[#This Row],[Expiry Date]],Main_Issuance[[#This Row],[Calculate]])</f>
        <v>0</v>
      </c>
      <c r="AC23" s="83"/>
    </row>
    <row r="24" spans="1:29" ht="15.75" hidden="1" x14ac:dyDescent="0.25">
      <c r="A24" s="114" t="s">
        <v>1348</v>
      </c>
      <c r="B24" s="77">
        <v>45792</v>
      </c>
      <c r="C24" s="77" t="s">
        <v>441</v>
      </c>
      <c r="D24" s="115" t="s">
        <v>20</v>
      </c>
      <c r="E24" s="115" t="s">
        <v>21</v>
      </c>
      <c r="F24" s="115" t="s">
        <v>22</v>
      </c>
      <c r="G24" s="115" t="s">
        <v>1268</v>
      </c>
      <c r="H24" s="113" t="s">
        <v>24</v>
      </c>
      <c r="I24" s="115" t="s">
        <v>22</v>
      </c>
      <c r="J24" s="115">
        <v>1020055</v>
      </c>
      <c r="K24" s="115" t="s">
        <v>26</v>
      </c>
      <c r="L24" s="60">
        <v>202604.9</v>
      </c>
      <c r="M24" s="60">
        <v>1</v>
      </c>
      <c r="N24" s="60">
        <f>Main_Issuance[[#This Row],[LC Amt(FCY)]]*Main_Issuance[[#This Row],[Rate]]</f>
        <v>202604.9</v>
      </c>
      <c r="O24" s="77">
        <v>45900</v>
      </c>
      <c r="P24" s="77">
        <v>45900</v>
      </c>
      <c r="Q24" s="77" t="s">
        <v>27</v>
      </c>
      <c r="R24" s="115" t="s">
        <v>621</v>
      </c>
      <c r="S24" s="82"/>
      <c r="T24" s="82"/>
      <c r="U24" s="82"/>
      <c r="V24" s="97">
        <v>0</v>
      </c>
      <c r="W24" s="115"/>
      <c r="X24" s="120" t="str">
        <f ca="1">IF(AND((Main_Issuance[[#This Row],[Expiry Date]]+31)&gt;TODAY(),Main_Issuance[[#This Row],[Status]]&lt;&gt;"Cancelled"),"Active","Cancelled")</f>
        <v>Cancelled</v>
      </c>
      <c r="Y24" s="410"/>
      <c r="Z24" s="408"/>
      <c r="AA24" s="408" t="s">
        <v>378</v>
      </c>
      <c r="AB24" s="83" cm="1">
        <f t="array" ref="AB24">Iss_Tariff(Main_Issuance[[#This Row],[Bank]],Main_Issuance[[#This Row],[LC Amt(SAR)]],Main_Issuance[[#This Row],[Issue Date.]],Main_Issuance[[#This Row],[Expiry Date]],Main_Issuance[[#This Row],[Calculate]])</f>
        <v>0</v>
      </c>
      <c r="AC24" s="83"/>
    </row>
    <row r="25" spans="1:29" ht="15.75" hidden="1" x14ac:dyDescent="0.25">
      <c r="A25" s="114" t="s">
        <v>1670</v>
      </c>
      <c r="B25" s="77">
        <v>45872</v>
      </c>
      <c r="C25" s="77" t="s">
        <v>1119</v>
      </c>
      <c r="D25" s="115" t="s">
        <v>20</v>
      </c>
      <c r="E25" s="115" t="s">
        <v>366</v>
      </c>
      <c r="F25" s="115" t="s">
        <v>367</v>
      </c>
      <c r="G25" s="115" t="s">
        <v>1627</v>
      </c>
      <c r="H25" s="113" t="s">
        <v>24</v>
      </c>
      <c r="I25" s="115" t="s">
        <v>367</v>
      </c>
      <c r="J25" s="115">
        <v>1020091</v>
      </c>
      <c r="K25" s="115" t="s">
        <v>26</v>
      </c>
      <c r="L25" s="60">
        <v>500000</v>
      </c>
      <c r="M25" s="60">
        <v>1</v>
      </c>
      <c r="N25" s="60">
        <f>Main_Issuance[[#This Row],[LC Amt(FCY)]]*Main_Issuance[[#This Row],[Rate]]</f>
        <v>500000</v>
      </c>
      <c r="O25" s="77">
        <v>46022</v>
      </c>
      <c r="P25" s="77">
        <v>46022</v>
      </c>
      <c r="Q25" s="77" t="s">
        <v>27</v>
      </c>
      <c r="R25" s="115" t="s">
        <v>1624</v>
      </c>
      <c r="S25" s="82"/>
      <c r="T25" s="82"/>
      <c r="U25" s="82"/>
      <c r="V25" s="97">
        <v>0</v>
      </c>
      <c r="W25" s="115"/>
      <c r="X25" s="120" t="str">
        <f ca="1">IF(AND((Main_Issuance[[#This Row],[Expiry Date]]+31)&gt;TODAY(),Main_Issuance[[#This Row],[Status]]&lt;&gt;"Cancelled"),"Active","Cancelled")</f>
        <v>Cancelled</v>
      </c>
      <c r="Y25" s="410"/>
      <c r="Z25" s="408"/>
      <c r="AA25" s="408" t="s">
        <v>378</v>
      </c>
      <c r="AB25" s="83" cm="1">
        <f t="array" ref="AB25">Iss_Tariff(Main_Issuance[[#This Row],[Bank]],Main_Issuance[[#This Row],[LC Amt(SAR)]],Main_Issuance[[#This Row],[Issue Date.]],Main_Issuance[[#This Row],[Expiry Date]],Main_Issuance[[#This Row],[Calculate]])</f>
        <v>0</v>
      </c>
      <c r="AC25" s="83"/>
    </row>
    <row r="26" spans="1:29" ht="15.75" hidden="1" x14ac:dyDescent="0.25">
      <c r="A26" s="114" t="s">
        <v>3326</v>
      </c>
      <c r="B26" s="77">
        <v>46023</v>
      </c>
      <c r="C26" s="77" t="s">
        <v>1537</v>
      </c>
      <c r="D26" s="115" t="s">
        <v>20</v>
      </c>
      <c r="E26" s="115" t="s">
        <v>62</v>
      </c>
      <c r="F26" s="115" t="s">
        <v>483</v>
      </c>
      <c r="G26" s="115" t="s">
        <v>1627</v>
      </c>
      <c r="H26" s="113" t="s">
        <v>24</v>
      </c>
      <c r="I26" s="78" t="s">
        <v>483</v>
      </c>
      <c r="J26" s="113">
        <v>1020096</v>
      </c>
      <c r="K26" s="115" t="s">
        <v>26</v>
      </c>
      <c r="L26" s="119">
        <v>500000</v>
      </c>
      <c r="M26" s="82">
        <v>1</v>
      </c>
      <c r="N26" s="82">
        <f>Main_Issuance[[#This Row],[LC Amt(FCY)]]*Main_Issuance[[#This Row],[Rate]]</f>
        <v>500000</v>
      </c>
      <c r="O26" s="77">
        <v>46142</v>
      </c>
      <c r="P26" s="77">
        <v>46142</v>
      </c>
      <c r="Q26" s="77" t="s">
        <v>27</v>
      </c>
      <c r="R26" s="115" t="s">
        <v>3229</v>
      </c>
      <c r="S26" s="82"/>
      <c r="T26" s="82"/>
      <c r="U26" s="82"/>
      <c r="V26" s="97">
        <v>0</v>
      </c>
      <c r="W26" s="115"/>
      <c r="X26" s="120" t="str">
        <f ca="1">IF(AND((Main_Issuance[[#This Row],[Expiry Date]]+31)&gt;TODAY(),Main_Issuance[[#This Row],[Status]]&lt;&gt;"Cancelled"),"Active","Cancelled")</f>
        <v>Cancelled</v>
      </c>
      <c r="Y26" s="409"/>
      <c r="Z26" s="408"/>
      <c r="AA26" s="408" t="s">
        <v>857</v>
      </c>
      <c r="AB26" s="83" cm="1">
        <f t="array" ref="AB26">Iss_Tariff(Main_Issuance[[#This Row],[Bank]],Main_Issuance[[#This Row],[LC Amt(SAR)]],Main_Issuance[[#This Row],[Issue Date.]],Main_Issuance[[#This Row],[Expiry Date]],Main_Issuance[[#This Row],[Calculate]])</f>
        <v>4082.5</v>
      </c>
      <c r="AC26" s="83"/>
    </row>
    <row r="27" spans="1:29" ht="15.75" hidden="1" x14ac:dyDescent="0.25">
      <c r="A27" s="114" t="s">
        <v>2618</v>
      </c>
      <c r="B27" s="77">
        <v>45973</v>
      </c>
      <c r="C27" s="77" t="s">
        <v>441</v>
      </c>
      <c r="D27" s="115" t="s">
        <v>20</v>
      </c>
      <c r="E27" s="115" t="s">
        <v>21</v>
      </c>
      <c r="F27" s="115" t="s">
        <v>22</v>
      </c>
      <c r="G27" s="115" t="s">
        <v>2563</v>
      </c>
      <c r="H27" s="113" t="s">
        <v>24</v>
      </c>
      <c r="I27" s="79" t="s">
        <v>22</v>
      </c>
      <c r="J27" s="113">
        <v>1020055</v>
      </c>
      <c r="K27" s="115" t="s">
        <v>26</v>
      </c>
      <c r="L27" s="119">
        <v>3487033.23</v>
      </c>
      <c r="M27" s="82">
        <v>1</v>
      </c>
      <c r="N27" s="82">
        <f>Main_Issuance[[#This Row],[LC Amt(FCY)]]*Main_Issuance[[#This Row],[Rate]]</f>
        <v>3487033.23</v>
      </c>
      <c r="O27" s="77">
        <v>46203</v>
      </c>
      <c r="P27" s="77">
        <v>46203</v>
      </c>
      <c r="Q27" s="77" t="s">
        <v>27</v>
      </c>
      <c r="R27" s="115" t="s">
        <v>1904</v>
      </c>
      <c r="S27" s="82"/>
      <c r="T27" s="82"/>
      <c r="U27" s="82"/>
      <c r="V27" s="97">
        <v>0</v>
      </c>
      <c r="W27" s="115"/>
      <c r="X27" s="120" t="str">
        <f ca="1">IF(AND((Main_Issuance[[#This Row],[Expiry Date]]+31)&gt;TODAY(),Main_Issuance[[#This Row],[Status]]&lt;&gt;"Cancelled"),"Active","Cancelled")</f>
        <v>Active</v>
      </c>
      <c r="Y27" s="409"/>
      <c r="Z27" s="408"/>
      <c r="AA27" s="408" t="s">
        <v>857</v>
      </c>
      <c r="AB27" s="83" cm="1">
        <f t="array" ref="AB27">Iss_Tariff(Main_Issuance[[#This Row],[Bank]],Main_Issuance[[#This Row],[LC Amt(SAR)]],Main_Issuance[[#This Row],[Issue Date.]],Main_Issuance[[#This Row],[Expiry Date]],Main_Issuance[[#This Row],[Calculate]])</f>
        <v>18924.400000000001</v>
      </c>
      <c r="AC27" s="83"/>
    </row>
    <row r="28" spans="1:29" ht="15.75" hidden="1" x14ac:dyDescent="0.25">
      <c r="A28" s="115" t="s">
        <v>506</v>
      </c>
      <c r="B28" s="77">
        <v>45622</v>
      </c>
      <c r="C28" s="77" t="s">
        <v>509</v>
      </c>
      <c r="D28" s="115" t="s">
        <v>20</v>
      </c>
      <c r="E28" s="115" t="s">
        <v>373</v>
      </c>
      <c r="F28" s="115" t="s">
        <v>483</v>
      </c>
      <c r="G28" s="115" t="s">
        <v>507</v>
      </c>
      <c r="H28" s="113" t="s">
        <v>72</v>
      </c>
      <c r="I28" s="115" t="s">
        <v>407</v>
      </c>
      <c r="J28" s="115">
        <v>1020100</v>
      </c>
      <c r="K28" s="115" t="s">
        <v>26</v>
      </c>
      <c r="L28" s="60">
        <f>10000000+1166675</f>
        <v>11166675</v>
      </c>
      <c r="M28" s="60">
        <v>1</v>
      </c>
      <c r="N28" s="60">
        <f>Main_Issuance[[#This Row],[LC Amt(FCY)]]*Main_Issuance[[#This Row],[Rate]]</f>
        <v>11166675</v>
      </c>
      <c r="O28" s="77">
        <v>45808</v>
      </c>
      <c r="P28" s="77">
        <v>45781</v>
      </c>
      <c r="Q28" s="77" t="s">
        <v>27</v>
      </c>
      <c r="R28" s="115" t="s">
        <v>425</v>
      </c>
      <c r="S28" s="82"/>
      <c r="T28" s="82"/>
      <c r="U28" s="82"/>
      <c r="V28" s="97">
        <v>0</v>
      </c>
      <c r="W28" s="115"/>
      <c r="X28" s="77" t="str">
        <f ca="1">IF(AND((Main_Issuance[[#This Row],[Expiry Date]]+31)&gt;TODAY(),Main_Issuance[[#This Row],[Status]]&lt;&gt;"Cancelled"),"Active","Cancelled")</f>
        <v>Cancelled</v>
      </c>
      <c r="Y28" s="410"/>
      <c r="Z28" s="408"/>
      <c r="AA28" s="408" t="s">
        <v>378</v>
      </c>
      <c r="AB28" s="83" cm="1">
        <f t="array" ref="AB28">Iss_Tariff(Main_Issuance[[#This Row],[Bank]],Main_Issuance[[#This Row],[LC Amt(SAR)]],Main_Issuance[[#This Row],[Issue Date.]],Main_Issuance[[#This Row],[Expiry Date]],Main_Issuance[[#This Row],[Calculate]])</f>
        <v>0</v>
      </c>
      <c r="AC28" s="83"/>
    </row>
    <row r="29" spans="1:29" ht="15.75" hidden="1" x14ac:dyDescent="0.25">
      <c r="A29" s="114" t="s">
        <v>1441</v>
      </c>
      <c r="B29" s="77">
        <v>45810</v>
      </c>
      <c r="C29" s="77" t="s">
        <v>441</v>
      </c>
      <c r="D29" s="115" t="s">
        <v>20</v>
      </c>
      <c r="E29" s="115" t="s">
        <v>366</v>
      </c>
      <c r="F29" s="115" t="s">
        <v>710</v>
      </c>
      <c r="G29" s="115" t="s">
        <v>1378</v>
      </c>
      <c r="H29" s="113" t="s">
        <v>24</v>
      </c>
      <c r="I29" s="115" t="s">
        <v>710</v>
      </c>
      <c r="J29" s="115">
        <v>1020088</v>
      </c>
      <c r="K29" s="115" t="s">
        <v>26</v>
      </c>
      <c r="L29" s="60">
        <v>500000</v>
      </c>
      <c r="M29" s="60">
        <v>1</v>
      </c>
      <c r="N29" s="60">
        <f>Main_Issuance[[#This Row],[LC Amt(FCY)]]*Main_Issuance[[#This Row],[Rate]]</f>
        <v>500000</v>
      </c>
      <c r="O29" s="77">
        <v>45961</v>
      </c>
      <c r="P29" s="77">
        <v>45961</v>
      </c>
      <c r="Q29" s="77" t="s">
        <v>27</v>
      </c>
      <c r="R29" s="115" t="s">
        <v>621</v>
      </c>
      <c r="S29" s="82"/>
      <c r="T29" s="82"/>
      <c r="U29" s="82"/>
      <c r="V29" s="97">
        <v>0</v>
      </c>
      <c r="W29" s="115"/>
      <c r="X29" s="120" t="str">
        <f ca="1">IF(AND((Main_Issuance[[#This Row],[Expiry Date]]+31)&gt;TODAY(),Main_Issuance[[#This Row],[Status]]&lt;&gt;"Cancelled"),"Active","Cancelled")</f>
        <v>Cancelled</v>
      </c>
      <c r="Y29" s="410"/>
      <c r="Z29" s="408"/>
      <c r="AA29" s="408" t="s">
        <v>378</v>
      </c>
      <c r="AB29" s="83" cm="1">
        <f t="array" ref="AB29">Iss_Tariff(Main_Issuance[[#This Row],[Bank]],Main_Issuance[[#This Row],[LC Amt(SAR)]],Main_Issuance[[#This Row],[Issue Date.]],Main_Issuance[[#This Row],[Expiry Date]],Main_Issuance[[#This Row],[Calculate]])</f>
        <v>0</v>
      </c>
      <c r="AC29" s="83"/>
    </row>
    <row r="30" spans="1:29" ht="15.75" hidden="1" x14ac:dyDescent="0.25">
      <c r="A30" s="114" t="s">
        <v>2903</v>
      </c>
      <c r="B30" s="77">
        <v>45992</v>
      </c>
      <c r="C30" s="77" t="s">
        <v>441</v>
      </c>
      <c r="D30" s="115" t="s">
        <v>20</v>
      </c>
      <c r="E30" s="115" t="s">
        <v>366</v>
      </c>
      <c r="F30" s="115" t="s">
        <v>710</v>
      </c>
      <c r="G30" s="115" t="s">
        <v>1378</v>
      </c>
      <c r="H30" s="115" t="s">
        <v>24</v>
      </c>
      <c r="I30" s="115" t="s">
        <v>710</v>
      </c>
      <c r="J30" s="113">
        <v>1020088</v>
      </c>
      <c r="K30" s="115" t="s">
        <v>26</v>
      </c>
      <c r="L30" s="119">
        <v>800000</v>
      </c>
      <c r="M30" s="82">
        <v>1</v>
      </c>
      <c r="N30" s="82">
        <f>Main_Issuance[[#This Row],[LC Amt(FCY)]]*Main_Issuance[[#This Row],[Rate]]</f>
        <v>800000</v>
      </c>
      <c r="O30" s="77">
        <v>46081</v>
      </c>
      <c r="P30" s="77">
        <v>46081</v>
      </c>
      <c r="Q30" s="77" t="s">
        <v>27</v>
      </c>
      <c r="R30" s="115" t="s">
        <v>621</v>
      </c>
      <c r="S30" s="82"/>
      <c r="T30" s="82"/>
      <c r="U30" s="82"/>
      <c r="V30" s="97">
        <v>0</v>
      </c>
      <c r="W30" s="115"/>
      <c r="X30" s="120" t="str">
        <f ca="1">IF(AND((Main_Issuance[[#This Row],[Expiry Date]]+31)&gt;TODAY(),Main_Issuance[[#This Row],[Status]]&lt;&gt;"Cancelled"),"Active","Cancelled")</f>
        <v>Cancelled</v>
      </c>
      <c r="Y30" s="409"/>
      <c r="Z30" s="408"/>
      <c r="AA30" s="408" t="s">
        <v>857</v>
      </c>
      <c r="AB30" s="83" cm="1">
        <f t="array" ref="AB30">Iss_Tariff(Main_Issuance[[#This Row],[Bank]],Main_Issuance[[#This Row],[LC Amt(SAR)]],Main_Issuance[[#This Row],[Issue Date.]],Main_Issuance[[#This Row],[Expiry Date]],Main_Issuance[[#This Row],[Calculate]])</f>
        <v>4686.25</v>
      </c>
      <c r="AC30" s="83"/>
    </row>
    <row r="31" spans="1:29" ht="15.75" hidden="1" x14ac:dyDescent="0.25">
      <c r="A31" s="114" t="s">
        <v>4250</v>
      </c>
      <c r="B31" s="77">
        <v>46086</v>
      </c>
      <c r="C31" s="77" t="s">
        <v>441</v>
      </c>
      <c r="D31" s="115" t="s">
        <v>20</v>
      </c>
      <c r="E31" s="115" t="s">
        <v>366</v>
      </c>
      <c r="F31" s="115" t="s">
        <v>710</v>
      </c>
      <c r="G31" s="115" t="s">
        <v>1378</v>
      </c>
      <c r="H31" s="115" t="s">
        <v>24</v>
      </c>
      <c r="I31" s="115" t="s">
        <v>710</v>
      </c>
      <c r="J31" s="113">
        <v>1020088</v>
      </c>
      <c r="K31" s="115" t="s">
        <v>26</v>
      </c>
      <c r="L31" s="119">
        <v>600000</v>
      </c>
      <c r="M31" s="82">
        <v>1</v>
      </c>
      <c r="N31" s="82">
        <f>Main_Issuance[[#This Row],[LC Amt(FCY)]]*Main_Issuance[[#This Row],[Rate]]</f>
        <v>600000</v>
      </c>
      <c r="O31" s="77">
        <v>46265</v>
      </c>
      <c r="P31" s="77">
        <v>46265</v>
      </c>
      <c r="Q31" s="77" t="s">
        <v>27</v>
      </c>
      <c r="R31" s="115" t="s">
        <v>1904</v>
      </c>
      <c r="S31" s="82"/>
      <c r="T31" s="82"/>
      <c r="U31" s="82"/>
      <c r="V31" s="97">
        <v>0</v>
      </c>
      <c r="W31" s="115"/>
      <c r="X31" s="120" t="str">
        <f ca="1">IF(AND((Main_Issuance[[#This Row],[Expiry Date]]+31)&gt;TODAY(),Main_Issuance[[#This Row],[Status]]&lt;&gt;"Cancelled"),"Active","Cancelled")</f>
        <v>Active</v>
      </c>
      <c r="Y31" s="409"/>
      <c r="Z31" s="408"/>
      <c r="AA31" s="408" t="s">
        <v>857</v>
      </c>
      <c r="AB31" s="83" cm="1">
        <f t="array" ref="AB31">Iss_Tariff(Main_Issuance[[#This Row],[Bank]],Main_Issuance[[#This Row],[LC Amt(SAR)]],Main_Issuance[[#This Row],[Issue Date.]],Main_Issuance[[#This Row],[Expiry Date]],Main_Issuance[[#This Row],[Calculate]])</f>
        <v>3536.25</v>
      </c>
      <c r="AC31" s="83"/>
    </row>
    <row r="32" spans="1:29" ht="15.75" hidden="1" x14ac:dyDescent="0.25">
      <c r="A32" s="114" t="s">
        <v>4558</v>
      </c>
      <c r="B32" s="424">
        <v>46118</v>
      </c>
      <c r="C32" s="424" t="s">
        <v>441</v>
      </c>
      <c r="D32" s="115" t="s">
        <v>20</v>
      </c>
      <c r="E32" s="115" t="s">
        <v>366</v>
      </c>
      <c r="F32" s="115" t="s">
        <v>710</v>
      </c>
      <c r="G32" s="115" t="s">
        <v>4504</v>
      </c>
      <c r="H32" s="113" t="s">
        <v>24</v>
      </c>
      <c r="I32" s="115" t="s">
        <v>710</v>
      </c>
      <c r="J32" s="113">
        <v>1020088</v>
      </c>
      <c r="K32" s="115" t="s">
        <v>26</v>
      </c>
      <c r="L32" s="119">
        <v>175000</v>
      </c>
      <c r="M32" s="82">
        <v>1</v>
      </c>
      <c r="N32" s="82">
        <f>Main_Issuance[[#This Row],[LC Amt(FCY)]]*Main_Issuance[[#This Row],[Rate]]</f>
        <v>175000</v>
      </c>
      <c r="O32" s="424">
        <v>46203</v>
      </c>
      <c r="P32" s="424">
        <v>46203</v>
      </c>
      <c r="Q32" s="424" t="s">
        <v>27</v>
      </c>
      <c r="R32" s="115" t="s">
        <v>4493</v>
      </c>
      <c r="S32" s="82"/>
      <c r="T32" s="82"/>
      <c r="U32" s="82"/>
      <c r="V32" s="97">
        <v>0</v>
      </c>
      <c r="W32" s="115"/>
      <c r="X32" s="437" t="str">
        <f ca="1">IF(AND((Main_Issuance[[#This Row],[Expiry Date]]+31)&gt;TODAY(),Main_Issuance[[#This Row],[Status]]&lt;&gt;"Cancelled"),"Active","Cancelled")</f>
        <v>Active</v>
      </c>
      <c r="Y32" s="96"/>
      <c r="Z32" s="424"/>
      <c r="AA32" s="443" t="s">
        <v>857</v>
      </c>
      <c r="AB32" s="83" cm="1">
        <f t="array" ref="AB32">Iss_Tariff(Main_Issuance[[#This Row],[Bank]],Main_Issuance[[#This Row],[LC Amt(SAR)]],Main_Issuance[[#This Row],[Issue Date.]],Main_Issuance[[#This Row],[Expiry Date]],Main_Issuance[[#This Row],[Calculate]],,125)</f>
        <v>1236.25</v>
      </c>
      <c r="AC32" s="83"/>
    </row>
    <row r="33" spans="1:29" ht="15.75" hidden="1" x14ac:dyDescent="0.25">
      <c r="A33" s="114" t="s">
        <v>1332</v>
      </c>
      <c r="B33" s="77">
        <v>45789</v>
      </c>
      <c r="C33" s="77" t="s">
        <v>441</v>
      </c>
      <c r="D33" s="115" t="s">
        <v>20</v>
      </c>
      <c r="E33" s="115" t="s">
        <v>21</v>
      </c>
      <c r="F33" s="115" t="s">
        <v>22</v>
      </c>
      <c r="G33" s="115" t="s">
        <v>1269</v>
      </c>
      <c r="H33" s="113" t="s">
        <v>24</v>
      </c>
      <c r="I33" s="115" t="s">
        <v>22</v>
      </c>
      <c r="J33" s="115">
        <v>1020055</v>
      </c>
      <c r="K33" s="115" t="s">
        <v>26</v>
      </c>
      <c r="L33" s="60">
        <v>253537.11</v>
      </c>
      <c r="M33" s="60">
        <v>1</v>
      </c>
      <c r="N33" s="60">
        <f>Main_Issuance[[#This Row],[LC Amt(FCY)]]*Main_Issuance[[#This Row],[Rate]]</f>
        <v>253537.11</v>
      </c>
      <c r="O33" s="77">
        <v>45961</v>
      </c>
      <c r="P33" s="77">
        <v>45961</v>
      </c>
      <c r="Q33" s="77" t="s">
        <v>27</v>
      </c>
      <c r="R33" s="115" t="s">
        <v>621</v>
      </c>
      <c r="S33" s="82"/>
      <c r="T33" s="82"/>
      <c r="U33" s="82"/>
      <c r="V33" s="97">
        <v>0</v>
      </c>
      <c r="W33" s="115" t="s">
        <v>1846</v>
      </c>
      <c r="X33" s="120" t="str">
        <f ca="1">IF(AND((Main_Issuance[[#This Row],[Expiry Date]]+31)&gt;TODAY(),Main_Issuance[[#This Row],[Status]]&lt;&gt;"Cancelled"),"Active","Cancelled")</f>
        <v>Cancelled</v>
      </c>
      <c r="Y33" s="410"/>
      <c r="Z33" s="408"/>
      <c r="AA33" s="408" t="s">
        <v>378</v>
      </c>
      <c r="AB33" s="83" cm="1">
        <f t="array" ref="AB33">Iss_Tariff(Main_Issuance[[#This Row],[Bank]],Main_Issuance[[#This Row],[LC Amt(SAR)]],Main_Issuance[[#This Row],[Issue Date.]],Main_Issuance[[#This Row],[Expiry Date]],Main_Issuance[[#This Row],[Calculate]])</f>
        <v>0</v>
      </c>
      <c r="AC33" s="83"/>
    </row>
    <row r="34" spans="1:29" ht="15.75" hidden="1" x14ac:dyDescent="0.25">
      <c r="A34" s="114" t="s">
        <v>1293</v>
      </c>
      <c r="B34" s="77">
        <v>45785</v>
      </c>
      <c r="C34" s="77" t="s">
        <v>441</v>
      </c>
      <c r="D34" s="115" t="s">
        <v>20</v>
      </c>
      <c r="E34" s="115" t="s">
        <v>373</v>
      </c>
      <c r="F34" s="115" t="s">
        <v>70</v>
      </c>
      <c r="G34" s="115" t="s">
        <v>1244</v>
      </c>
      <c r="H34" s="113" t="s">
        <v>24</v>
      </c>
      <c r="I34" s="115" t="s">
        <v>407</v>
      </c>
      <c r="J34" s="115">
        <v>1020100</v>
      </c>
      <c r="K34" s="115" t="s">
        <v>26</v>
      </c>
      <c r="L34" s="60">
        <v>200000</v>
      </c>
      <c r="M34" s="60">
        <v>1</v>
      </c>
      <c r="N34" s="60">
        <f>Main_Issuance[[#This Row],[LC Amt(FCY)]]*Main_Issuance[[#This Row],[Rate]]</f>
        <v>200000</v>
      </c>
      <c r="O34" s="77">
        <v>45930</v>
      </c>
      <c r="P34" s="77">
        <v>45930</v>
      </c>
      <c r="Q34" s="77" t="s">
        <v>70</v>
      </c>
      <c r="R34" s="115" t="s">
        <v>621</v>
      </c>
      <c r="S34" s="82"/>
      <c r="T34" s="82"/>
      <c r="U34" s="82"/>
      <c r="V34" s="97">
        <v>0</v>
      </c>
      <c r="W34" s="115"/>
      <c r="X34" s="120" t="str">
        <f ca="1">IF(AND((Main_Issuance[[#This Row],[Expiry Date]]+31)&gt;TODAY(),Main_Issuance[[#This Row],[Status]]&lt;&gt;"Cancelled"),"Active","Cancelled")</f>
        <v>Cancelled</v>
      </c>
      <c r="Y34" s="410"/>
      <c r="Z34" s="408"/>
      <c r="AA34" s="408" t="s">
        <v>378</v>
      </c>
      <c r="AB34" s="83" cm="1">
        <f t="array" ref="AB34">Iss_Tariff(Main_Issuance[[#This Row],[Bank]],Main_Issuance[[#This Row],[LC Amt(SAR)]],Main_Issuance[[#This Row],[Issue Date.]],Main_Issuance[[#This Row],[Expiry Date]],Main_Issuance[[#This Row],[Calculate]])</f>
        <v>0</v>
      </c>
      <c r="AC34" s="83"/>
    </row>
    <row r="35" spans="1:29" ht="15.75" hidden="1" x14ac:dyDescent="0.25">
      <c r="A35" s="114" t="s">
        <v>4561</v>
      </c>
      <c r="B35" s="424">
        <v>46118</v>
      </c>
      <c r="C35" s="424" t="s">
        <v>441</v>
      </c>
      <c r="D35" s="115" t="s">
        <v>20</v>
      </c>
      <c r="E35" s="115" t="s">
        <v>366</v>
      </c>
      <c r="F35" s="115" t="s">
        <v>710</v>
      </c>
      <c r="G35" s="115" t="s">
        <v>4495</v>
      </c>
      <c r="H35" s="113" t="s">
        <v>24</v>
      </c>
      <c r="I35" s="115" t="s">
        <v>710</v>
      </c>
      <c r="J35" s="113">
        <v>1020088</v>
      </c>
      <c r="K35" s="115" t="s">
        <v>26</v>
      </c>
      <c r="L35" s="119">
        <v>125000</v>
      </c>
      <c r="M35" s="82">
        <v>1</v>
      </c>
      <c r="N35" s="82">
        <f>Main_Issuance[[#This Row],[LC Amt(FCY)]]*Main_Issuance[[#This Row],[Rate]]</f>
        <v>125000</v>
      </c>
      <c r="O35" s="424">
        <v>46203</v>
      </c>
      <c r="P35" s="424">
        <v>46203</v>
      </c>
      <c r="Q35" s="424" t="s">
        <v>27</v>
      </c>
      <c r="R35" s="115" t="s">
        <v>4493</v>
      </c>
      <c r="S35" s="82"/>
      <c r="T35" s="82"/>
      <c r="U35" s="82"/>
      <c r="V35" s="97">
        <v>0</v>
      </c>
      <c r="W35" s="115"/>
      <c r="X35" s="437" t="str">
        <f ca="1">IF(AND((Main_Issuance[[#This Row],[Expiry Date]]+31)&gt;TODAY(),Main_Issuance[[#This Row],[Status]]&lt;&gt;"Cancelled"),"Active","Cancelled")</f>
        <v>Active</v>
      </c>
      <c r="Y35" s="96"/>
      <c r="Z35" s="424"/>
      <c r="AA35" s="443" t="s">
        <v>857</v>
      </c>
      <c r="AB35" s="83" cm="1">
        <f t="array" ref="AB35">Iss_Tariff(Main_Issuance[[#This Row],[Bank]],Main_Issuance[[#This Row],[LC Amt(SAR)]],Main_Issuance[[#This Row],[Issue Date.]],Main_Issuance[[#This Row],[Expiry Date]],Main_Issuance[[#This Row],[Calculate]],,125)</f>
        <v>948.75</v>
      </c>
      <c r="AC35" s="83"/>
    </row>
    <row r="36" spans="1:29" ht="15.75" hidden="1" x14ac:dyDescent="0.25">
      <c r="A36" s="114" t="s">
        <v>1446</v>
      </c>
      <c r="B36" s="77">
        <v>45811</v>
      </c>
      <c r="C36" s="77" t="s">
        <v>509</v>
      </c>
      <c r="D36" s="115" t="s">
        <v>20</v>
      </c>
      <c r="E36" s="115" t="s">
        <v>95</v>
      </c>
      <c r="F36" s="115" t="s">
        <v>96</v>
      </c>
      <c r="G36" s="115" t="s">
        <v>1337</v>
      </c>
      <c r="H36" s="113" t="s">
        <v>72</v>
      </c>
      <c r="I36" s="115" t="s">
        <v>511</v>
      </c>
      <c r="J36" s="115">
        <v>1020107</v>
      </c>
      <c r="K36" s="115" t="s">
        <v>26</v>
      </c>
      <c r="L36" s="60">
        <f>3458740+1280180</f>
        <v>4738920</v>
      </c>
      <c r="M36" s="60">
        <v>1</v>
      </c>
      <c r="N36" s="60">
        <f>Main_Issuance[[#This Row],[LC Amt(FCY)]]*Main_Issuance[[#This Row],[Rate]]</f>
        <v>4738920</v>
      </c>
      <c r="O36" s="77">
        <v>46142</v>
      </c>
      <c r="P36" s="77">
        <v>46122</v>
      </c>
      <c r="Q36" s="77" t="s">
        <v>27</v>
      </c>
      <c r="R36" s="115" t="s">
        <v>1338</v>
      </c>
      <c r="S36" s="82"/>
      <c r="T36" s="82"/>
      <c r="U36" s="82"/>
      <c r="V36" s="97">
        <v>0</v>
      </c>
      <c r="W36" s="115"/>
      <c r="X36" s="120" t="str">
        <f ca="1">IF(AND((Main_Issuance[[#This Row],[Expiry Date]]+31)&gt;TODAY(),Main_Issuance[[#This Row],[Status]]&lt;&gt;"Cancelled"),"Active","Cancelled")</f>
        <v>Cancelled</v>
      </c>
      <c r="Y36" s="410"/>
      <c r="Z36" s="408"/>
      <c r="AA36" s="408" t="s">
        <v>857</v>
      </c>
      <c r="AB36" s="83" cm="1">
        <f t="array" ref="AB36">Iss_Tariff(Main_Issuance[[#This Row],[Bank]],Main_Issuance[[#This Row],[LC Amt(SAR)]],Main_Issuance[[#This Row],[Issue Date.]],Main_Issuance[[#This Row],[Expiry Date]],Main_Issuance[[#This Row],[Calculate]])</f>
        <v>25438</v>
      </c>
      <c r="AC36" s="83"/>
    </row>
    <row r="37" spans="1:29" ht="15.75" hidden="1" x14ac:dyDescent="0.25">
      <c r="A37" s="114" t="s">
        <v>1767</v>
      </c>
      <c r="B37" s="77">
        <v>45887</v>
      </c>
      <c r="C37" s="77" t="s">
        <v>509</v>
      </c>
      <c r="D37" s="115" t="s">
        <v>20</v>
      </c>
      <c r="E37" s="115" t="s">
        <v>21</v>
      </c>
      <c r="F37" s="115" t="s">
        <v>22</v>
      </c>
      <c r="G37" s="115" t="s">
        <v>1337</v>
      </c>
      <c r="H37" s="113" t="s">
        <v>72</v>
      </c>
      <c r="I37" s="115" t="s">
        <v>511</v>
      </c>
      <c r="J37" s="115">
        <v>1020107</v>
      </c>
      <c r="K37" s="115" t="s">
        <v>26</v>
      </c>
      <c r="L37" s="60">
        <f>1729600+1280000</f>
        <v>3009600</v>
      </c>
      <c r="M37" s="60">
        <v>1</v>
      </c>
      <c r="N37" s="60">
        <f>Main_Issuance[[#This Row],[LC Amt(FCY)]]*Main_Issuance[[#This Row],[Rate]]</f>
        <v>3009600</v>
      </c>
      <c r="O37" s="77">
        <v>46252</v>
      </c>
      <c r="P37" s="77">
        <v>46252</v>
      </c>
      <c r="Q37" s="77" t="s">
        <v>27</v>
      </c>
      <c r="R37" s="115" t="s">
        <v>1338</v>
      </c>
      <c r="S37" s="82"/>
      <c r="T37" s="82"/>
      <c r="U37" s="82"/>
      <c r="V37" s="97">
        <v>0</v>
      </c>
      <c r="W37" s="115"/>
      <c r="X37" s="120" t="str">
        <f ca="1">IF(AND((Main_Issuance[[#This Row],[Expiry Date]]+31)&gt;TODAY(),Main_Issuance[[#This Row],[Status]]&lt;&gt;"Cancelled"),"Active","Cancelled")</f>
        <v>Active</v>
      </c>
      <c r="Y37" s="410"/>
      <c r="Z37" s="408"/>
      <c r="AA37" s="408" t="s">
        <v>857</v>
      </c>
      <c r="AB37" s="83" cm="1">
        <f t="array" ref="AB37">Iss_Tariff(Main_Issuance[[#This Row],[Bank]],Main_Issuance[[#This Row],[LC Amt(SAR)]],Main_Issuance[[#This Row],[Issue Date.]],Main_Issuance[[#This Row],[Expiry Date]],Main_Issuance[[#This Row],[Calculate]])</f>
        <v>25174.65</v>
      </c>
      <c r="AC37" s="83"/>
    </row>
    <row r="38" spans="1:29" ht="15.75" hidden="1" x14ac:dyDescent="0.25">
      <c r="A38" s="114" t="s">
        <v>4545</v>
      </c>
      <c r="B38" s="77">
        <v>46009</v>
      </c>
      <c r="C38" s="77" t="s">
        <v>4231</v>
      </c>
      <c r="D38" s="115" t="s">
        <v>20</v>
      </c>
      <c r="E38" s="115" t="s">
        <v>1073</v>
      </c>
      <c r="F38" s="115" t="s">
        <v>882</v>
      </c>
      <c r="G38" s="115" t="s">
        <v>2924</v>
      </c>
      <c r="H38" s="113" t="s">
        <v>72</v>
      </c>
      <c r="I38" s="113" t="s">
        <v>882</v>
      </c>
      <c r="J38" s="113">
        <v>1020108</v>
      </c>
      <c r="K38" s="115" t="s">
        <v>26</v>
      </c>
      <c r="L38" s="119">
        <v>11573945</v>
      </c>
      <c r="M38" s="82">
        <v>1</v>
      </c>
      <c r="N38" s="82">
        <f>Main_Issuance[[#This Row],[LC Amt(FCY)]]*Main_Issuance[[#This Row],[Rate]]</f>
        <v>11573945</v>
      </c>
      <c r="O38" s="77">
        <v>46081</v>
      </c>
      <c r="P38" s="77">
        <v>46081</v>
      </c>
      <c r="Q38" s="77" t="s">
        <v>27</v>
      </c>
      <c r="R38" s="115" t="s">
        <v>425</v>
      </c>
      <c r="S38" s="82"/>
      <c r="T38" s="82"/>
      <c r="U38" s="82"/>
      <c r="V38" s="97">
        <v>0</v>
      </c>
      <c r="W38" s="115"/>
      <c r="X38" s="120" t="str">
        <f ca="1">IF(AND((Main_Issuance[[#This Row],[Expiry Date]]+31)&gt;TODAY(),Main_Issuance[[#This Row],[Status]]&lt;&gt;"Cancelled"),"Active","Cancelled")</f>
        <v>Cancelled</v>
      </c>
      <c r="Y38" s="409"/>
      <c r="Z38" s="408"/>
      <c r="AA38" s="408" t="s">
        <v>857</v>
      </c>
      <c r="AB38" s="83" cm="1">
        <f t="array" ref="AB38">Iss_Tariff(Main_Issuance[[#This Row],[Bank]],Main_Issuance[[#This Row],[LC Amt(SAR)]],Main_Issuance[[#This Row],[Issue Date.]],Main_Issuance[[#This Row],[Expiry Date]],Main_Issuance[[#This Row],[Calculate]])</f>
        <v>18649.55</v>
      </c>
      <c r="AC38" s="83"/>
    </row>
    <row r="39" spans="1:29" ht="15.75" hidden="1" x14ac:dyDescent="0.25">
      <c r="A39" s="114" t="s">
        <v>1516</v>
      </c>
      <c r="B39" s="77">
        <v>45834</v>
      </c>
      <c r="C39" s="77" t="s">
        <v>441</v>
      </c>
      <c r="D39" s="115" t="s">
        <v>20</v>
      </c>
      <c r="E39" s="115" t="s">
        <v>21</v>
      </c>
      <c r="F39" s="115" t="s">
        <v>22</v>
      </c>
      <c r="G39" s="115" t="s">
        <v>1461</v>
      </c>
      <c r="H39" s="113" t="s">
        <v>24</v>
      </c>
      <c r="I39" s="115" t="s">
        <v>407</v>
      </c>
      <c r="J39" s="115">
        <v>1020100</v>
      </c>
      <c r="K39" s="115" t="s">
        <v>26</v>
      </c>
      <c r="L39" s="60">
        <v>870662</v>
      </c>
      <c r="M39" s="60">
        <v>1</v>
      </c>
      <c r="N39" s="60">
        <f>Main_Issuance[[#This Row],[LC Amt(FCY)]]*Main_Issuance[[#This Row],[Rate]]</f>
        <v>870662</v>
      </c>
      <c r="O39" s="77">
        <v>45900</v>
      </c>
      <c r="P39" s="77">
        <v>45900</v>
      </c>
      <c r="Q39" s="77" t="s">
        <v>27</v>
      </c>
      <c r="R39" s="115" t="s">
        <v>621</v>
      </c>
      <c r="S39" s="82"/>
      <c r="T39" s="82"/>
      <c r="U39" s="82"/>
      <c r="V39" s="97">
        <v>0</v>
      </c>
      <c r="W39" s="115"/>
      <c r="X39" s="120" t="str">
        <f ca="1">IF(AND((Main_Issuance[[#This Row],[Expiry Date]]+31)&gt;TODAY(),Main_Issuance[[#This Row],[Status]]&lt;&gt;"Cancelled"),"Active","Cancelled")</f>
        <v>Cancelled</v>
      </c>
      <c r="Y39" s="410"/>
      <c r="Z39" s="408"/>
      <c r="AA39" s="408" t="s">
        <v>378</v>
      </c>
      <c r="AB39" s="83" cm="1">
        <f t="array" ref="AB39">Iss_Tariff(Main_Issuance[[#This Row],[Bank]],Main_Issuance[[#This Row],[LC Amt(SAR)]],Main_Issuance[[#This Row],[Issue Date.]],Main_Issuance[[#This Row],[Expiry Date]],Main_Issuance[[#This Row],[Calculate]])</f>
        <v>0</v>
      </c>
      <c r="AC39" s="83"/>
    </row>
    <row r="40" spans="1:29" ht="15.75" hidden="1" x14ac:dyDescent="0.25">
      <c r="A40" s="115" t="s">
        <v>440</v>
      </c>
      <c r="B40" s="77">
        <v>45559</v>
      </c>
      <c r="C40" s="77" t="s">
        <v>441</v>
      </c>
      <c r="D40" s="115" t="s">
        <v>20</v>
      </c>
      <c r="E40" s="115" t="s">
        <v>95</v>
      </c>
      <c r="F40" s="115" t="s">
        <v>96</v>
      </c>
      <c r="G40" s="115" t="s">
        <v>442</v>
      </c>
      <c r="H40" s="113" t="s">
        <v>24</v>
      </c>
      <c r="I40" s="115" t="s">
        <v>22</v>
      </c>
      <c r="J40" s="115">
        <v>1020055</v>
      </c>
      <c r="K40" s="115" t="s">
        <v>26</v>
      </c>
      <c r="L40" s="60">
        <v>1001635.3025</v>
      </c>
      <c r="M40" s="60">
        <v>1</v>
      </c>
      <c r="N40" s="60">
        <f>Main_Issuance[[#This Row],[LC Amt(FCY)]]*Main_Issuance[[#This Row],[Rate]]</f>
        <v>1001635.3025</v>
      </c>
      <c r="O40" s="77">
        <v>45777</v>
      </c>
      <c r="P40" s="77">
        <v>45751</v>
      </c>
      <c r="Q40" s="77" t="s">
        <v>27</v>
      </c>
      <c r="R40" s="115" t="s">
        <v>311</v>
      </c>
      <c r="S40" s="82"/>
      <c r="T40" s="82"/>
      <c r="U40" s="82"/>
      <c r="V40" s="97">
        <v>0</v>
      </c>
      <c r="W40" s="115" t="s">
        <v>443</v>
      </c>
      <c r="X40" s="77" t="str">
        <f ca="1">IF(AND((Main_Issuance[[#This Row],[Expiry Date]]+31)&gt;TODAY(),Main_Issuance[[#This Row],[Status]]&lt;&gt;"Cancelled"),"Active","Cancelled")</f>
        <v>Cancelled</v>
      </c>
      <c r="Y40" s="410"/>
      <c r="Z40" s="408"/>
      <c r="AA40" s="408" t="s">
        <v>378</v>
      </c>
      <c r="AB40" s="97" cm="1">
        <f t="array" ref="AB40">Iss_Tariff(Main_Issuance[[#This Row],[Bank]],Main_Issuance[[#This Row],[LC Amt(SAR)]],Main_Issuance[[#This Row],[Issue Date.]],Main_Issuance[[#This Row],[Expiry Date]],Main_Issuance[[#This Row],[Calculate]])</f>
        <v>0</v>
      </c>
      <c r="AC40" s="97"/>
    </row>
    <row r="41" spans="1:29" ht="15.75" hidden="1" x14ac:dyDescent="0.25">
      <c r="A41" s="147" t="s">
        <v>651</v>
      </c>
      <c r="B41" s="148">
        <v>45680</v>
      </c>
      <c r="C41" s="148" t="s">
        <v>441</v>
      </c>
      <c r="D41" s="124" t="s">
        <v>20</v>
      </c>
      <c r="E41" s="124" t="s">
        <v>21</v>
      </c>
      <c r="F41" s="124" t="s">
        <v>22</v>
      </c>
      <c r="G41" s="124" t="s">
        <v>442</v>
      </c>
      <c r="H41" s="149" t="s">
        <v>24</v>
      </c>
      <c r="I41" s="124" t="s">
        <v>22</v>
      </c>
      <c r="J41" s="124">
        <v>1020055</v>
      </c>
      <c r="K41" s="124" t="s">
        <v>26</v>
      </c>
      <c r="L41" s="301">
        <v>750000</v>
      </c>
      <c r="M41" s="301">
        <v>1</v>
      </c>
      <c r="N41" s="301">
        <f>Main_Issuance[[#This Row],[LC Amt(FCY)]]*Main_Issuance[[#This Row],[Rate]]</f>
        <v>750000</v>
      </c>
      <c r="O41" s="148">
        <v>46045</v>
      </c>
      <c r="P41" s="148">
        <v>46045</v>
      </c>
      <c r="Q41" s="148" t="s">
        <v>27</v>
      </c>
      <c r="R41" s="124" t="s">
        <v>311</v>
      </c>
      <c r="S41" s="127"/>
      <c r="T41" s="127"/>
      <c r="U41" s="127"/>
      <c r="V41" s="429">
        <v>0</v>
      </c>
      <c r="W41" s="124"/>
      <c r="X41" s="192" t="str">
        <f ca="1">IF(AND((Main_Issuance[[#This Row],[Expiry Date]]+31)&gt;TODAY(),Main_Issuance[[#This Row],[Status]]&lt;&gt;"Cancelled"),"Active","Cancelled")</f>
        <v>Cancelled</v>
      </c>
      <c r="Y41" s="413"/>
      <c r="Z41" s="408"/>
      <c r="AA41" s="408" t="s">
        <v>378</v>
      </c>
      <c r="AB41" s="83" cm="1">
        <f t="array" ref="AB41">Iss_Tariff(Main_Issuance[[#This Row],[Bank]],Main_Issuance[[#This Row],[LC Amt(SAR)]],Main_Issuance[[#This Row],[Issue Date.]],Main_Issuance[[#This Row],[Expiry Date]],Main_Issuance[[#This Row],[Calculate]])</f>
        <v>0</v>
      </c>
      <c r="AC41" s="83"/>
    </row>
    <row r="42" spans="1:29" ht="15.75" hidden="1" x14ac:dyDescent="0.25">
      <c r="A42" s="114" t="s">
        <v>5084</v>
      </c>
      <c r="B42" s="424">
        <v>46140</v>
      </c>
      <c r="C42" s="424" t="s">
        <v>1259</v>
      </c>
      <c r="D42" s="115" t="s">
        <v>20</v>
      </c>
      <c r="E42" s="115" t="s">
        <v>95</v>
      </c>
      <c r="F42" s="115" t="s">
        <v>96</v>
      </c>
      <c r="G42" s="115" t="s">
        <v>5027</v>
      </c>
      <c r="H42" s="113" t="s">
        <v>1791</v>
      </c>
      <c r="I42" s="115" t="s">
        <v>328</v>
      </c>
      <c r="J42" s="115">
        <v>1020097</v>
      </c>
      <c r="K42" s="115" t="s">
        <v>26</v>
      </c>
      <c r="L42" s="119">
        <f>1000000+5000000</f>
        <v>6000000</v>
      </c>
      <c r="M42" s="82">
        <v>1</v>
      </c>
      <c r="N42" s="82">
        <f>Main_Issuance[[#This Row],[LC Amt(FCY)]]*Main_Issuance[[#This Row],[Rate]]</f>
        <v>6000000</v>
      </c>
      <c r="O42" s="424">
        <v>46325</v>
      </c>
      <c r="P42" s="424">
        <v>46325</v>
      </c>
      <c r="Q42" s="424" t="s">
        <v>27</v>
      </c>
      <c r="R42" s="115" t="s">
        <v>3729</v>
      </c>
      <c r="S42" s="82"/>
      <c r="T42" s="82"/>
      <c r="U42" s="82"/>
      <c r="V42" s="97">
        <v>0</v>
      </c>
      <c r="W42" s="115"/>
      <c r="X42" s="437" t="str">
        <f ca="1">IF(AND((Main_Issuance[[#This Row],[Expiry Date]]+31)&gt;TODAY(),Main_Issuance[[#This Row],[Status]]&lt;&gt;"Cancelled"),"Active","Cancelled")</f>
        <v>Active</v>
      </c>
      <c r="Y42" s="96"/>
      <c r="Z42" s="424"/>
      <c r="AA42" s="443" t="s">
        <v>857</v>
      </c>
      <c r="AB42" s="83" cm="1">
        <f t="array" ref="AB42">Iss_Tariff(Main_Issuance[[#This Row],[Bank]],Main_Issuance[[#This Row],[LC Amt(SAR)]],Main_Issuance[[#This Row],[Issue Date.]],Main_Issuance[[#This Row],[Expiry Date]],Main_Issuance[[#This Row],[Calculate]],1)</f>
        <v>20585</v>
      </c>
      <c r="AC42" s="83"/>
    </row>
    <row r="43" spans="1:29" ht="15.75" hidden="1" x14ac:dyDescent="0.25">
      <c r="A43" s="114" t="s">
        <v>302</v>
      </c>
      <c r="B43" s="77">
        <v>45537</v>
      </c>
      <c r="C43" s="77" t="s">
        <v>509</v>
      </c>
      <c r="D43" s="115" t="s">
        <v>20</v>
      </c>
      <c r="E43" s="115" t="s">
        <v>21</v>
      </c>
      <c r="F43" s="115" t="s">
        <v>22</v>
      </c>
      <c r="G43" s="115" t="s">
        <v>303</v>
      </c>
      <c r="H43" s="113" t="s">
        <v>72</v>
      </c>
      <c r="I43" s="115" t="s">
        <v>304</v>
      </c>
      <c r="J43" s="115">
        <v>1020098</v>
      </c>
      <c r="K43" s="115" t="s">
        <v>26</v>
      </c>
      <c r="L43" s="60">
        <v>3059710.07</v>
      </c>
      <c r="M43" s="60">
        <v>1</v>
      </c>
      <c r="N43" s="60">
        <f>Main_Issuance[[#This Row],[LC Amt(FCY)]]*Main_Issuance[[#This Row],[Rate]]</f>
        <v>3059710.07</v>
      </c>
      <c r="O43" s="77">
        <v>45731</v>
      </c>
      <c r="P43" s="77">
        <v>45716</v>
      </c>
      <c r="Q43" s="77" t="s">
        <v>27</v>
      </c>
      <c r="R43" s="115" t="s">
        <v>305</v>
      </c>
      <c r="S43" s="82"/>
      <c r="T43" s="82"/>
      <c r="U43" s="82"/>
      <c r="V43" s="97">
        <v>0</v>
      </c>
      <c r="W43" s="115"/>
      <c r="X43" s="120" t="str">
        <f ca="1">IF(AND((Main_Issuance[[#This Row],[Expiry Date]]+31)&gt;TODAY(),Main_Issuance[[#This Row],[Status]]&lt;&gt;"Cancelled"),"Active","Cancelled")</f>
        <v>Cancelled</v>
      </c>
      <c r="Y43" s="410"/>
      <c r="Z43" s="408"/>
      <c r="AA43" s="408" t="s">
        <v>378</v>
      </c>
      <c r="AB43" s="83" cm="1">
        <f t="array" ref="AB43">Iss_Tariff(Main_Issuance[[#This Row],[Bank]],Main_Issuance[[#This Row],[LC Amt(SAR)]],Main_Issuance[[#This Row],[Issue Date.]],Main_Issuance[[#This Row],[Expiry Date]],Main_Issuance[[#This Row],[Calculate]])</f>
        <v>0</v>
      </c>
      <c r="AC43" s="83"/>
    </row>
    <row r="44" spans="1:29" ht="15.75" hidden="1" x14ac:dyDescent="0.25">
      <c r="A44" s="114" t="s">
        <v>372</v>
      </c>
      <c r="B44" s="77">
        <v>45519</v>
      </c>
      <c r="C44" s="77" t="s">
        <v>509</v>
      </c>
      <c r="D44" s="115" t="s">
        <v>20</v>
      </c>
      <c r="E44" s="115" t="s">
        <v>373</v>
      </c>
      <c r="F44" s="115" t="s">
        <v>63</v>
      </c>
      <c r="G44" s="115" t="s">
        <v>303</v>
      </c>
      <c r="H44" s="113" t="s">
        <v>72</v>
      </c>
      <c r="I44" s="115" t="s">
        <v>304</v>
      </c>
      <c r="J44" s="115">
        <v>1020098</v>
      </c>
      <c r="K44" s="115" t="s">
        <v>26</v>
      </c>
      <c r="L44" s="60">
        <v>1792213.13</v>
      </c>
      <c r="M44" s="60">
        <v>1</v>
      </c>
      <c r="N44" s="60">
        <f>Main_Issuance[[#This Row],[LC Amt(FCY)]]*Main_Issuance[[#This Row],[Rate]]</f>
        <v>1792213.13</v>
      </c>
      <c r="O44" s="77">
        <v>45519</v>
      </c>
      <c r="P44" s="77">
        <v>45519</v>
      </c>
      <c r="Q44" s="77" t="s">
        <v>27</v>
      </c>
      <c r="R44" s="115"/>
      <c r="S44" s="82"/>
      <c r="T44" s="82"/>
      <c r="U44" s="82"/>
      <c r="V44" s="97">
        <v>0</v>
      </c>
      <c r="W44" s="115" t="s">
        <v>374</v>
      </c>
      <c r="X44" s="120" t="str">
        <f ca="1">IF(AND((Main_Issuance[[#This Row],[Expiry Date]]+31)&gt;TODAY(),Main_Issuance[[#This Row],[Status]]&lt;&gt;"Cancelled"),"Active","Cancelled")</f>
        <v>Cancelled</v>
      </c>
      <c r="Y44" s="410"/>
      <c r="Z44" s="408"/>
      <c r="AA44" s="408" t="s">
        <v>378</v>
      </c>
      <c r="AB44" s="83" cm="1">
        <f t="array" ref="AB44">Iss_Tariff(Main_Issuance[[#This Row],[Bank]],Main_Issuance[[#This Row],[LC Amt(SAR)]],Main_Issuance[[#This Row],[Issue Date.]],Main_Issuance[[#This Row],[Expiry Date]],Main_Issuance[[#This Row],[Calculate]])</f>
        <v>0</v>
      </c>
      <c r="AC44" s="83"/>
    </row>
    <row r="45" spans="1:29" ht="15.75" hidden="1" x14ac:dyDescent="0.25">
      <c r="A45" s="114" t="s">
        <v>503</v>
      </c>
      <c r="B45" s="77">
        <v>45609</v>
      </c>
      <c r="C45" s="77" t="s">
        <v>509</v>
      </c>
      <c r="D45" s="115" t="s">
        <v>20</v>
      </c>
      <c r="E45" s="115" t="s">
        <v>373</v>
      </c>
      <c r="F45" s="115" t="s">
        <v>63</v>
      </c>
      <c r="G45" s="115" t="s">
        <v>303</v>
      </c>
      <c r="H45" s="113" t="s">
        <v>72</v>
      </c>
      <c r="I45" s="115" t="s">
        <v>304</v>
      </c>
      <c r="J45" s="115">
        <v>1020098</v>
      </c>
      <c r="K45" s="115" t="s">
        <v>26</v>
      </c>
      <c r="L45" s="60">
        <v>2868897.74</v>
      </c>
      <c r="M45" s="60">
        <v>1</v>
      </c>
      <c r="N45" s="60">
        <f>Main_Issuance[[#This Row],[LC Amt(FCY)]]*Main_Issuance[[#This Row],[Rate]]</f>
        <v>2868897.74</v>
      </c>
      <c r="O45" s="77">
        <v>45731</v>
      </c>
      <c r="P45" s="77">
        <v>45661</v>
      </c>
      <c r="Q45" s="77" t="s">
        <v>27</v>
      </c>
      <c r="R45" s="115" t="s">
        <v>305</v>
      </c>
      <c r="S45" s="82"/>
      <c r="T45" s="82"/>
      <c r="U45" s="82"/>
      <c r="V45" s="97">
        <v>0</v>
      </c>
      <c r="W45" s="115"/>
      <c r="X45" s="120" t="str">
        <f ca="1">IF(AND((Main_Issuance[[#This Row],[Expiry Date]]+31)&gt;TODAY(),Main_Issuance[[#This Row],[Status]]&lt;&gt;"Cancelled"),"Active","Cancelled")</f>
        <v>Cancelled</v>
      </c>
      <c r="Y45" s="410"/>
      <c r="Z45" s="408"/>
      <c r="AA45" s="408" t="s">
        <v>378</v>
      </c>
      <c r="AB45" s="83" cm="1">
        <f t="array" ref="AB45">Iss_Tariff(Main_Issuance[[#This Row],[Bank]],Main_Issuance[[#This Row],[LC Amt(SAR)]],Main_Issuance[[#This Row],[Issue Date.]],Main_Issuance[[#This Row],[Expiry Date]],Main_Issuance[[#This Row],[Calculate]])</f>
        <v>0</v>
      </c>
      <c r="AC45" s="83"/>
    </row>
    <row r="46" spans="1:29" ht="15.75" hidden="1" x14ac:dyDescent="0.25">
      <c r="A46" s="114" t="s">
        <v>579</v>
      </c>
      <c r="B46" s="77">
        <v>45638</v>
      </c>
      <c r="C46" s="77" t="s">
        <v>509</v>
      </c>
      <c r="D46" s="115" t="s">
        <v>20</v>
      </c>
      <c r="E46" s="115" t="s">
        <v>373</v>
      </c>
      <c r="F46" s="115" t="s">
        <v>483</v>
      </c>
      <c r="G46" s="115" t="s">
        <v>303</v>
      </c>
      <c r="H46" s="113" t="s">
        <v>72</v>
      </c>
      <c r="I46" s="115" t="s">
        <v>304</v>
      </c>
      <c r="J46" s="115">
        <v>1020098</v>
      </c>
      <c r="K46" s="115" t="s">
        <v>26</v>
      </c>
      <c r="L46" s="60">
        <v>2974166.33</v>
      </c>
      <c r="M46" s="60">
        <v>1</v>
      </c>
      <c r="N46" s="60">
        <f>Main_Issuance[[#This Row],[LC Amt(FCY)]]*Main_Issuance[[#This Row],[Rate]]</f>
        <v>2974166.33</v>
      </c>
      <c r="O46" s="77">
        <v>45762</v>
      </c>
      <c r="P46" s="77">
        <v>45762</v>
      </c>
      <c r="Q46" s="77" t="s">
        <v>27</v>
      </c>
      <c r="R46" s="115" t="s">
        <v>305</v>
      </c>
      <c r="S46" s="82"/>
      <c r="T46" s="82"/>
      <c r="U46" s="82"/>
      <c r="V46" s="97">
        <v>0</v>
      </c>
      <c r="W46" s="115"/>
      <c r="X46" s="120" t="str">
        <f ca="1">IF(AND((Main_Issuance[[#This Row],[Expiry Date]]+31)&gt;TODAY(),Main_Issuance[[#This Row],[Status]]&lt;&gt;"Cancelled"),"Active","Cancelled")</f>
        <v>Cancelled</v>
      </c>
      <c r="Y46" s="410"/>
      <c r="Z46" s="408"/>
      <c r="AA46" s="408" t="s">
        <v>378</v>
      </c>
      <c r="AB46" s="83" cm="1">
        <f t="array" ref="AB46">Iss_Tariff(Main_Issuance[[#This Row],[Bank]],Main_Issuance[[#This Row],[LC Amt(SAR)]],Main_Issuance[[#This Row],[Issue Date.]],Main_Issuance[[#This Row],[Expiry Date]],Main_Issuance[[#This Row],[Calculate]])</f>
        <v>0</v>
      </c>
      <c r="AC46" s="83"/>
    </row>
    <row r="47" spans="1:29" ht="15.75" hidden="1" x14ac:dyDescent="0.25">
      <c r="A47" s="114" t="s">
        <v>727</v>
      </c>
      <c r="B47" s="77">
        <v>45714</v>
      </c>
      <c r="C47" s="77" t="s">
        <v>509</v>
      </c>
      <c r="D47" s="115" t="s">
        <v>20</v>
      </c>
      <c r="E47" s="115" t="s">
        <v>373</v>
      </c>
      <c r="F47" s="115" t="s">
        <v>483</v>
      </c>
      <c r="G47" s="115" t="s">
        <v>303</v>
      </c>
      <c r="H47" s="113" t="s">
        <v>72</v>
      </c>
      <c r="I47" s="115" t="s">
        <v>304</v>
      </c>
      <c r="J47" s="115">
        <v>1020098</v>
      </c>
      <c r="K47" s="115" t="s">
        <v>26</v>
      </c>
      <c r="L47" s="60">
        <v>2835037.61</v>
      </c>
      <c r="M47" s="60">
        <v>1</v>
      </c>
      <c r="N47" s="60">
        <f>Main_Issuance[[#This Row],[LC Amt(FCY)]]*Main_Issuance[[#This Row],[Rate]]</f>
        <v>2835037.61</v>
      </c>
      <c r="O47" s="77">
        <v>45792</v>
      </c>
      <c r="P47" s="77">
        <v>45767</v>
      </c>
      <c r="Q47" s="77" t="s">
        <v>27</v>
      </c>
      <c r="R47" s="115" t="s">
        <v>305</v>
      </c>
      <c r="S47" s="82"/>
      <c r="T47" s="82"/>
      <c r="U47" s="82"/>
      <c r="V47" s="97">
        <v>0</v>
      </c>
      <c r="W47" s="115"/>
      <c r="X47" s="120" t="str">
        <f ca="1">IF(AND((Main_Issuance[[#This Row],[Expiry Date]]+31)&gt;TODAY(),Main_Issuance[[#This Row],[Status]]&lt;&gt;"Cancelled"),"Active","Cancelled")</f>
        <v>Cancelled</v>
      </c>
      <c r="Y47" s="410"/>
      <c r="Z47" s="408"/>
      <c r="AA47" s="408" t="s">
        <v>378</v>
      </c>
      <c r="AB47" s="83" cm="1">
        <f t="array" ref="AB47">Iss_Tariff(Main_Issuance[[#This Row],[Bank]],Main_Issuance[[#This Row],[LC Amt(SAR)]],Main_Issuance[[#This Row],[Issue Date.]],Main_Issuance[[#This Row],[Expiry Date]],Main_Issuance[[#This Row],[Calculate]])</f>
        <v>0</v>
      </c>
      <c r="AC47" s="83"/>
    </row>
    <row r="48" spans="1:29" ht="15.75" hidden="1" x14ac:dyDescent="0.25">
      <c r="A48" s="114" t="s">
        <v>1810</v>
      </c>
      <c r="B48" s="77">
        <v>45895</v>
      </c>
      <c r="C48" s="77" t="s">
        <v>3566</v>
      </c>
      <c r="D48" s="115" t="s">
        <v>20</v>
      </c>
      <c r="E48" s="115" t="s">
        <v>612</v>
      </c>
      <c r="F48" s="115" t="s">
        <v>613</v>
      </c>
      <c r="G48" s="115" t="s">
        <v>1549</v>
      </c>
      <c r="H48" s="113" t="s">
        <v>72</v>
      </c>
      <c r="I48" s="115" t="s">
        <v>613</v>
      </c>
      <c r="J48" s="115">
        <v>1020106</v>
      </c>
      <c r="K48" s="115" t="s">
        <v>26</v>
      </c>
      <c r="L48" s="60">
        <v>10000000</v>
      </c>
      <c r="M48" s="60">
        <v>1</v>
      </c>
      <c r="N48" s="60">
        <f>Main_Issuance[[#This Row],[LC Amt(FCY)]]*Main_Issuance[[#This Row],[Rate]]</f>
        <v>10000000</v>
      </c>
      <c r="O48" s="77">
        <v>46387</v>
      </c>
      <c r="P48" s="77">
        <v>46387</v>
      </c>
      <c r="Q48" s="77" t="s">
        <v>27</v>
      </c>
      <c r="R48" s="115" t="s">
        <v>425</v>
      </c>
      <c r="S48" s="82"/>
      <c r="T48" s="82"/>
      <c r="U48" s="82"/>
      <c r="V48" s="97">
        <v>0</v>
      </c>
      <c r="W48" s="115"/>
      <c r="X48" s="120" t="str">
        <f ca="1">IF(AND((Main_Issuance[[#This Row],[Expiry Date]]+31)&gt;TODAY(),Main_Issuance[[#This Row],[Status]]&lt;&gt;"Cancelled"),"Active","Cancelled")</f>
        <v>Active</v>
      </c>
      <c r="Y48" s="410"/>
      <c r="Z48" s="408"/>
      <c r="AA48" s="408" t="s">
        <v>857</v>
      </c>
      <c r="AB48" s="83" cm="1">
        <f t="array" ref="AB48">Iss_Tariff(Main_Issuance[[#This Row],[Bank]],Main_Issuance[[#This Row],[LC Amt(SAR)]],Main_Issuance[[#This Row],[Issue Date.]],Main_Issuance[[#This Row],[Expiry Date]],Main_Issuance[[#This Row],[Calculate]])</f>
        <v>210450</v>
      </c>
      <c r="AC48" s="83"/>
    </row>
    <row r="49" spans="1:29" ht="15.75" hidden="1" x14ac:dyDescent="0.25">
      <c r="A49" s="114" t="s">
        <v>385</v>
      </c>
      <c r="B49" s="77">
        <v>45551</v>
      </c>
      <c r="C49" s="77" t="s">
        <v>441</v>
      </c>
      <c r="D49" s="115" t="s">
        <v>20</v>
      </c>
      <c r="E49" s="115" t="s">
        <v>95</v>
      </c>
      <c r="F49" s="115" t="s">
        <v>96</v>
      </c>
      <c r="G49" s="115" t="s">
        <v>386</v>
      </c>
      <c r="H49" s="113" t="s">
        <v>24</v>
      </c>
      <c r="I49" s="115" t="s">
        <v>22</v>
      </c>
      <c r="J49" s="115">
        <v>1020055</v>
      </c>
      <c r="K49" s="115" t="s">
        <v>26</v>
      </c>
      <c r="L49" s="60">
        <v>1083501.1399999999</v>
      </c>
      <c r="M49" s="60">
        <v>1</v>
      </c>
      <c r="N49" s="60">
        <f>Main_Issuance[[#This Row],[LC Amt(FCY)]]*Main_Issuance[[#This Row],[Rate]]</f>
        <v>1083501.1399999999</v>
      </c>
      <c r="O49" s="77">
        <v>45626</v>
      </c>
      <c r="P49" s="77">
        <v>45600</v>
      </c>
      <c r="Q49" s="77" t="s">
        <v>27</v>
      </c>
      <c r="R49" s="115" t="s">
        <v>311</v>
      </c>
      <c r="S49" s="82"/>
      <c r="T49" s="82"/>
      <c r="U49" s="82"/>
      <c r="V49" s="97">
        <v>0</v>
      </c>
      <c r="W49" s="115"/>
      <c r="X49" s="120" t="str">
        <f ca="1">IF(AND((Main_Issuance[[#This Row],[Expiry Date]]+31)&gt;TODAY(),Main_Issuance[[#This Row],[Status]]&lt;&gt;"Cancelled"),"Active","Cancelled")</f>
        <v>Cancelled</v>
      </c>
      <c r="Y49" s="410"/>
      <c r="Z49" s="408"/>
      <c r="AA49" s="408" t="s">
        <v>378</v>
      </c>
      <c r="AB49" s="83" cm="1">
        <f t="array" ref="AB49">Iss_Tariff(Main_Issuance[[#This Row],[Bank]],Main_Issuance[[#This Row],[LC Amt(SAR)]],Main_Issuance[[#This Row],[Issue Date.]],Main_Issuance[[#This Row],[Expiry Date]],Main_Issuance[[#This Row],[Calculate]])</f>
        <v>0</v>
      </c>
      <c r="AC49" s="83"/>
    </row>
    <row r="50" spans="1:29" ht="15.75" hidden="1" x14ac:dyDescent="0.25">
      <c r="A50" s="114" t="s">
        <v>309</v>
      </c>
      <c r="B50" s="77">
        <v>45283</v>
      </c>
      <c r="C50" s="77" t="s">
        <v>1181</v>
      </c>
      <c r="D50" s="115" t="s">
        <v>20</v>
      </c>
      <c r="E50" s="115" t="s">
        <v>62</v>
      </c>
      <c r="F50" s="115" t="s">
        <v>63</v>
      </c>
      <c r="G50" s="115" t="s">
        <v>310</v>
      </c>
      <c r="H50" s="113" t="s">
        <v>80</v>
      </c>
      <c r="I50" s="115" t="s">
        <v>81</v>
      </c>
      <c r="J50" s="115">
        <v>1020070</v>
      </c>
      <c r="K50" s="115" t="s">
        <v>26</v>
      </c>
      <c r="L50" s="60">
        <v>1409150.2</v>
      </c>
      <c r="M50" s="60">
        <v>1</v>
      </c>
      <c r="N50" s="60">
        <f>Main_Issuance[[#This Row],[LC Amt(FCY)]]*Main_Issuance[[#This Row],[Rate]]</f>
        <v>1409150.2</v>
      </c>
      <c r="O50" s="77">
        <v>45672</v>
      </c>
      <c r="P50" s="77">
        <v>45658</v>
      </c>
      <c r="Q50" s="77" t="s">
        <v>27</v>
      </c>
      <c r="R50" s="115" t="s">
        <v>311</v>
      </c>
      <c r="S50" s="82"/>
      <c r="T50" s="82"/>
      <c r="U50" s="82"/>
      <c r="V50" s="97">
        <v>0</v>
      </c>
      <c r="W50" s="115"/>
      <c r="X50" s="120" t="str">
        <f ca="1">IF(AND((Main_Issuance[[#This Row],[Expiry Date]]+31)&gt;TODAY(),Main_Issuance[[#This Row],[Status]]&lt;&gt;"Cancelled"),"Active","Cancelled")</f>
        <v>Cancelled</v>
      </c>
      <c r="Y50" s="410"/>
      <c r="Z50" s="408"/>
      <c r="AA50" s="408" t="s">
        <v>378</v>
      </c>
      <c r="AB50" s="83" cm="1">
        <f t="array" ref="AB50">Iss_Tariff(Main_Issuance[[#This Row],[Bank]],Main_Issuance[[#This Row],[LC Amt(SAR)]],Main_Issuance[[#This Row],[Issue Date.]],Main_Issuance[[#This Row],[Expiry Date]],Main_Issuance[[#This Row],[Calculate]])</f>
        <v>0</v>
      </c>
      <c r="AC50" s="83"/>
    </row>
    <row r="51" spans="1:29" ht="15.75" hidden="1" x14ac:dyDescent="0.25">
      <c r="A51" s="114" t="s">
        <v>726</v>
      </c>
      <c r="B51" s="77">
        <v>45283</v>
      </c>
      <c r="C51" s="77" t="s">
        <v>1181</v>
      </c>
      <c r="D51" s="115" t="s">
        <v>20</v>
      </c>
      <c r="E51" s="115" t="s">
        <v>62</v>
      </c>
      <c r="F51" s="115" t="s">
        <v>70</v>
      </c>
      <c r="G51" s="115" t="s">
        <v>310</v>
      </c>
      <c r="H51" s="113" t="s">
        <v>80</v>
      </c>
      <c r="I51" s="115" t="s">
        <v>81</v>
      </c>
      <c r="J51" s="115">
        <v>1020070</v>
      </c>
      <c r="K51" s="115" t="s">
        <v>26</v>
      </c>
      <c r="L51" s="60">
        <v>1326959.55</v>
      </c>
      <c r="M51" s="60">
        <v>1</v>
      </c>
      <c r="N51" s="60">
        <f>Main_Issuance[[#This Row],[LC Amt(FCY)]]*Main_Issuance[[#This Row],[Rate]]</f>
        <v>1326959.55</v>
      </c>
      <c r="O51" s="77">
        <v>45672</v>
      </c>
      <c r="P51" s="77">
        <v>45658</v>
      </c>
      <c r="Q51" s="77" t="s">
        <v>70</v>
      </c>
      <c r="R51" s="115" t="s">
        <v>311</v>
      </c>
      <c r="S51" s="82"/>
      <c r="T51" s="82"/>
      <c r="U51" s="82"/>
      <c r="V51" s="97">
        <v>0</v>
      </c>
      <c r="W51" s="115"/>
      <c r="X51" s="120" t="str">
        <f ca="1">IF(AND((Main_Issuance[[#This Row],[Expiry Date]]+31)&gt;TODAY(),Main_Issuance[[#This Row],[Status]]&lt;&gt;"Cancelled"),"Active","Cancelled")</f>
        <v>Cancelled</v>
      </c>
      <c r="Y51" s="410"/>
      <c r="Z51" s="408"/>
      <c r="AA51" s="408" t="s">
        <v>378</v>
      </c>
      <c r="AB51" s="83" cm="1">
        <f t="array" ref="AB51">Iss_Tariff(Main_Issuance[[#This Row],[Bank]],Main_Issuance[[#This Row],[LC Amt(SAR)]],Main_Issuance[[#This Row],[Issue Date.]],Main_Issuance[[#This Row],[Expiry Date]],Main_Issuance[[#This Row],[Calculate]])</f>
        <v>0</v>
      </c>
      <c r="AC51" s="83"/>
    </row>
    <row r="52" spans="1:29" ht="15.75" hidden="1" x14ac:dyDescent="0.25">
      <c r="A52" s="114" t="s">
        <v>426</v>
      </c>
      <c r="B52" s="77">
        <v>45588</v>
      </c>
      <c r="C52" s="77" t="s">
        <v>441</v>
      </c>
      <c r="D52" s="115" t="s">
        <v>20</v>
      </c>
      <c r="E52" s="115" t="s">
        <v>95</v>
      </c>
      <c r="F52" s="115" t="s">
        <v>96</v>
      </c>
      <c r="G52" s="115" t="s">
        <v>427</v>
      </c>
      <c r="H52" s="113" t="s">
        <v>24</v>
      </c>
      <c r="I52" s="115" t="s">
        <v>22</v>
      </c>
      <c r="J52" s="115">
        <v>1020055</v>
      </c>
      <c r="K52" s="115" t="s">
        <v>26</v>
      </c>
      <c r="L52" s="60">
        <v>966000</v>
      </c>
      <c r="M52" s="60">
        <v>1</v>
      </c>
      <c r="N52" s="60">
        <f>Main_Issuance[[#This Row],[LC Amt(FCY)]]*Main_Issuance[[#This Row],[Rate]]</f>
        <v>966000</v>
      </c>
      <c r="O52" s="77">
        <v>45716</v>
      </c>
      <c r="P52" s="77">
        <v>45692</v>
      </c>
      <c r="Q52" s="77" t="s">
        <v>27</v>
      </c>
      <c r="R52" s="115" t="s">
        <v>311</v>
      </c>
      <c r="S52" s="82"/>
      <c r="T52" s="82"/>
      <c r="U52" s="82"/>
      <c r="V52" s="97">
        <v>0</v>
      </c>
      <c r="W52" s="115"/>
      <c r="X52" s="120" t="str">
        <f ca="1">IF(AND((Main_Issuance[[#This Row],[Expiry Date]]+31)&gt;TODAY(),Main_Issuance[[#This Row],[Status]]&lt;&gt;"Cancelled"),"Active","Cancelled")</f>
        <v>Cancelled</v>
      </c>
      <c r="Y52" s="410"/>
      <c r="Z52" s="408"/>
      <c r="AA52" s="408" t="s">
        <v>378</v>
      </c>
      <c r="AB52" s="83" cm="1">
        <f t="array" ref="AB52">Iss_Tariff(Main_Issuance[[#This Row],[Bank]],Main_Issuance[[#This Row],[LC Amt(SAR)]],Main_Issuance[[#This Row],[Issue Date.]],Main_Issuance[[#This Row],[Expiry Date]],Main_Issuance[[#This Row],[Calculate]])</f>
        <v>0</v>
      </c>
      <c r="AC52" s="83"/>
    </row>
    <row r="53" spans="1:29" ht="15.75" hidden="1" x14ac:dyDescent="0.25">
      <c r="A53" s="114" t="s">
        <v>564</v>
      </c>
      <c r="B53" s="77">
        <v>45638</v>
      </c>
      <c r="C53" s="77" t="s">
        <v>441</v>
      </c>
      <c r="D53" s="115" t="s">
        <v>20</v>
      </c>
      <c r="E53" s="115" t="s">
        <v>373</v>
      </c>
      <c r="F53" s="115" t="s">
        <v>483</v>
      </c>
      <c r="G53" s="115" t="s">
        <v>427</v>
      </c>
      <c r="H53" s="113" t="s">
        <v>24</v>
      </c>
      <c r="I53" s="115" t="s">
        <v>22</v>
      </c>
      <c r="J53" s="115">
        <v>1020055</v>
      </c>
      <c r="K53" s="115" t="s">
        <v>26</v>
      </c>
      <c r="L53" s="60">
        <v>2000000</v>
      </c>
      <c r="M53" s="60">
        <v>1</v>
      </c>
      <c r="N53" s="60">
        <f>Main_Issuance[[#This Row],[LC Amt(FCY)]]*Main_Issuance[[#This Row],[Rate]]</f>
        <v>2000000</v>
      </c>
      <c r="O53" s="77">
        <v>45747</v>
      </c>
      <c r="P53" s="77">
        <v>45747</v>
      </c>
      <c r="Q53" s="77" t="s">
        <v>27</v>
      </c>
      <c r="R53" s="115" t="s">
        <v>311</v>
      </c>
      <c r="S53" s="82"/>
      <c r="T53" s="82"/>
      <c r="U53" s="82"/>
      <c r="V53" s="97">
        <v>0</v>
      </c>
      <c r="W53" s="115"/>
      <c r="X53" s="120" t="str">
        <f ca="1">IF(AND((Main_Issuance[[#This Row],[Expiry Date]]+31)&gt;TODAY(),Main_Issuance[[#This Row],[Status]]&lt;&gt;"Cancelled"),"Active","Cancelled")</f>
        <v>Cancelled</v>
      </c>
      <c r="Y53" s="410"/>
      <c r="Z53" s="408"/>
      <c r="AA53" s="408" t="s">
        <v>378</v>
      </c>
      <c r="AB53" s="83" cm="1">
        <f t="array" ref="AB53">Iss_Tariff(Main_Issuance[[#This Row],[Bank]],Main_Issuance[[#This Row],[LC Amt(SAR)]],Main_Issuance[[#This Row],[Issue Date.]],Main_Issuance[[#This Row],[Expiry Date]],Main_Issuance[[#This Row],[Calculate]])</f>
        <v>0</v>
      </c>
      <c r="AC53" s="83"/>
    </row>
    <row r="54" spans="1:29" ht="15.75" hidden="1" x14ac:dyDescent="0.25">
      <c r="A54" s="114" t="s">
        <v>678</v>
      </c>
      <c r="B54" s="77">
        <v>45684</v>
      </c>
      <c r="C54" s="77" t="s">
        <v>509</v>
      </c>
      <c r="D54" s="115" t="s">
        <v>20</v>
      </c>
      <c r="E54" s="115" t="s">
        <v>95</v>
      </c>
      <c r="F54" s="115" t="s">
        <v>96</v>
      </c>
      <c r="G54" s="115" t="s">
        <v>679</v>
      </c>
      <c r="H54" s="113" t="s">
        <v>24</v>
      </c>
      <c r="I54" s="115" t="s">
        <v>407</v>
      </c>
      <c r="J54" s="115">
        <v>1020100</v>
      </c>
      <c r="K54" s="115" t="s">
        <v>26</v>
      </c>
      <c r="L54" s="60">
        <v>500000</v>
      </c>
      <c r="M54" s="60">
        <v>1</v>
      </c>
      <c r="N54" s="60">
        <f>Main_Issuance[[#This Row],[LC Amt(FCY)]]*Main_Issuance[[#This Row],[Rate]]</f>
        <v>500000</v>
      </c>
      <c r="O54" s="77">
        <v>45777</v>
      </c>
      <c r="P54" s="77">
        <v>45777</v>
      </c>
      <c r="Q54" s="77" t="s">
        <v>27</v>
      </c>
      <c r="R54" s="115" t="s">
        <v>311</v>
      </c>
      <c r="S54" s="82"/>
      <c r="T54" s="82"/>
      <c r="U54" s="82"/>
      <c r="V54" s="97">
        <v>0</v>
      </c>
      <c r="W54" s="115"/>
      <c r="X54" s="120" t="str">
        <f ca="1">IF(AND((Main_Issuance[[#This Row],[Expiry Date]]+31)&gt;TODAY(),Main_Issuance[[#This Row],[Status]]&lt;&gt;"Cancelled"),"Active","Cancelled")</f>
        <v>Cancelled</v>
      </c>
      <c r="Y54" s="410"/>
      <c r="Z54" s="408"/>
      <c r="AA54" s="408" t="s">
        <v>378</v>
      </c>
      <c r="AB54" s="83" cm="1">
        <f t="array" ref="AB54">Iss_Tariff(Main_Issuance[[#This Row],[Bank]],Main_Issuance[[#This Row],[LC Amt(SAR)]],Main_Issuance[[#This Row],[Issue Date.]],Main_Issuance[[#This Row],[Expiry Date]],Main_Issuance[[#This Row],[Calculate]])</f>
        <v>0</v>
      </c>
      <c r="AC54" s="83"/>
    </row>
    <row r="55" spans="1:29" ht="15.75" hidden="1" x14ac:dyDescent="0.25">
      <c r="A55" s="114" t="s">
        <v>132</v>
      </c>
      <c r="B55" s="77">
        <v>45126</v>
      </c>
      <c r="C55" s="77" t="s">
        <v>441</v>
      </c>
      <c r="D55" s="115" t="s">
        <v>20</v>
      </c>
      <c r="E55" s="115" t="s">
        <v>21</v>
      </c>
      <c r="F55" s="115" t="s">
        <v>22</v>
      </c>
      <c r="G55" s="115" t="s">
        <v>133</v>
      </c>
      <c r="H55" s="113" t="s">
        <v>24</v>
      </c>
      <c r="I55" s="115" t="s">
        <v>22</v>
      </c>
      <c r="J55" s="115">
        <v>1020055</v>
      </c>
      <c r="K55" s="115" t="s">
        <v>26</v>
      </c>
      <c r="L55" s="60">
        <v>1416451.76</v>
      </c>
      <c r="M55" s="60">
        <v>1</v>
      </c>
      <c r="N55" s="60">
        <f>Main_Issuance[[#This Row],[LC Amt(FCY)]]*Main_Issuance[[#This Row],[Rate]]</f>
        <v>1416451.76</v>
      </c>
      <c r="O55" s="77">
        <v>45215</v>
      </c>
      <c r="P55" s="77">
        <v>45215</v>
      </c>
      <c r="Q55" s="77" t="s">
        <v>27</v>
      </c>
      <c r="R55" s="115"/>
      <c r="S55" s="82"/>
      <c r="T55" s="82"/>
      <c r="U55" s="82"/>
      <c r="V55" s="97">
        <v>0</v>
      </c>
      <c r="W55" s="115"/>
      <c r="X55" s="120" t="str">
        <f ca="1">IF(AND((Main_Issuance[[#This Row],[Expiry Date]]+31)&gt;TODAY(),Main_Issuance[[#This Row],[Status]]&lt;&gt;"Cancelled"),"Active","Cancelled")</f>
        <v>Cancelled</v>
      </c>
      <c r="Y55" s="410"/>
      <c r="Z55" s="408"/>
      <c r="AA55" s="408" t="s">
        <v>378</v>
      </c>
      <c r="AB55" s="83" cm="1">
        <f t="array" ref="AB55">Iss_Tariff(Main_Issuance[[#This Row],[Bank]],Main_Issuance[[#This Row],[LC Amt(SAR)]],Main_Issuance[[#This Row],[Issue Date.]],Main_Issuance[[#This Row],[Expiry Date]],Main_Issuance[[#This Row],[Calculate]])</f>
        <v>0</v>
      </c>
      <c r="AC55" s="83"/>
    </row>
    <row r="56" spans="1:29" ht="15.75" hidden="1" x14ac:dyDescent="0.25">
      <c r="A56" s="114" t="s">
        <v>794</v>
      </c>
      <c r="B56" s="77">
        <v>45739</v>
      </c>
      <c r="C56" s="77" t="s">
        <v>441</v>
      </c>
      <c r="D56" s="115" t="s">
        <v>20</v>
      </c>
      <c r="E56" s="115" t="s">
        <v>21</v>
      </c>
      <c r="F56" s="115" t="s">
        <v>22</v>
      </c>
      <c r="G56" s="115" t="s">
        <v>795</v>
      </c>
      <c r="H56" s="113" t="s">
        <v>24</v>
      </c>
      <c r="I56" s="115" t="s">
        <v>22</v>
      </c>
      <c r="J56" s="115">
        <v>1020055</v>
      </c>
      <c r="K56" s="115" t="s">
        <v>26</v>
      </c>
      <c r="L56" s="60">
        <v>2626749.98</v>
      </c>
      <c r="M56" s="60">
        <v>1</v>
      </c>
      <c r="N56" s="60">
        <f>Main_Issuance[[#This Row],[LC Amt(FCY)]]*Main_Issuance[[#This Row],[Rate]]</f>
        <v>2626749.98</v>
      </c>
      <c r="O56" s="77">
        <v>45838</v>
      </c>
      <c r="P56" s="77">
        <v>45838</v>
      </c>
      <c r="Q56" s="77" t="s">
        <v>27</v>
      </c>
      <c r="R56" s="115" t="s">
        <v>311</v>
      </c>
      <c r="S56" s="82"/>
      <c r="T56" s="82"/>
      <c r="U56" s="82"/>
      <c r="V56" s="97">
        <v>0</v>
      </c>
      <c r="W56" s="115"/>
      <c r="X56" s="120" t="str">
        <f ca="1">IF(AND((Main_Issuance[[#This Row],[Expiry Date]]+31)&gt;TODAY(),Main_Issuance[[#This Row],[Status]]&lt;&gt;"Cancelled"),"Active","Cancelled")</f>
        <v>Cancelled</v>
      </c>
      <c r="Y56" s="410"/>
      <c r="Z56" s="408"/>
      <c r="AA56" s="408" t="s">
        <v>378</v>
      </c>
      <c r="AB56" s="83" cm="1">
        <f t="array" ref="AB56">Iss_Tariff(Main_Issuance[[#This Row],[Bank]],Main_Issuance[[#This Row],[LC Amt(SAR)]],Main_Issuance[[#This Row],[Issue Date.]],Main_Issuance[[#This Row],[Expiry Date]],Main_Issuance[[#This Row],[Calculate]])</f>
        <v>0</v>
      </c>
      <c r="AC56" s="83"/>
    </row>
    <row r="57" spans="1:29" ht="15.75" hidden="1" x14ac:dyDescent="0.25">
      <c r="A57" s="114" t="s">
        <v>565</v>
      </c>
      <c r="B57" s="77">
        <v>45641</v>
      </c>
      <c r="C57" s="77" t="s">
        <v>441</v>
      </c>
      <c r="D57" s="115" t="s">
        <v>20</v>
      </c>
      <c r="E57" s="115" t="s">
        <v>373</v>
      </c>
      <c r="F57" s="115" t="s">
        <v>483</v>
      </c>
      <c r="G57" s="115" t="s">
        <v>566</v>
      </c>
      <c r="H57" s="113" t="s">
        <v>24</v>
      </c>
      <c r="I57" s="115" t="s">
        <v>22</v>
      </c>
      <c r="J57" s="115">
        <v>1020055</v>
      </c>
      <c r="K57" s="115" t="s">
        <v>26</v>
      </c>
      <c r="L57" s="60">
        <v>500000</v>
      </c>
      <c r="M57" s="60">
        <v>1</v>
      </c>
      <c r="N57" s="60">
        <f>Main_Issuance[[#This Row],[LC Amt(FCY)]]*Main_Issuance[[#This Row],[Rate]]</f>
        <v>500000</v>
      </c>
      <c r="O57" s="77">
        <v>45747</v>
      </c>
      <c r="P57" s="77">
        <v>45747</v>
      </c>
      <c r="Q57" s="77" t="s">
        <v>27</v>
      </c>
      <c r="R57" s="115" t="s">
        <v>311</v>
      </c>
      <c r="S57" s="82"/>
      <c r="T57" s="82"/>
      <c r="U57" s="82"/>
      <c r="V57" s="97">
        <v>0</v>
      </c>
      <c r="W57" s="115"/>
      <c r="X57" s="120" t="str">
        <f ca="1">IF(AND((Main_Issuance[[#This Row],[Expiry Date]]+31)&gt;TODAY(),Main_Issuance[[#This Row],[Status]]&lt;&gt;"Cancelled"),"Active","Cancelled")</f>
        <v>Cancelled</v>
      </c>
      <c r="Y57" s="410"/>
      <c r="Z57" s="408"/>
      <c r="AA57" s="408" t="s">
        <v>378</v>
      </c>
      <c r="AB57" s="83" cm="1">
        <f t="array" ref="AB57">Iss_Tariff(Main_Issuance[[#This Row],[Bank]],Main_Issuance[[#This Row],[LC Amt(SAR)]],Main_Issuance[[#This Row],[Issue Date.]],Main_Issuance[[#This Row],[Expiry Date]],Main_Issuance[[#This Row],[Calculate]])</f>
        <v>0</v>
      </c>
      <c r="AC57" s="83"/>
    </row>
    <row r="58" spans="1:29" ht="15.75" hidden="1" x14ac:dyDescent="0.25">
      <c r="A58" s="114" t="s">
        <v>269</v>
      </c>
      <c r="B58" s="77">
        <v>45435</v>
      </c>
      <c r="C58" s="77" t="s">
        <v>441</v>
      </c>
      <c r="D58" s="115" t="s">
        <v>20</v>
      </c>
      <c r="E58" s="115" t="s">
        <v>21</v>
      </c>
      <c r="F58" s="115" t="s">
        <v>22</v>
      </c>
      <c r="G58" s="115" t="s">
        <v>270</v>
      </c>
      <c r="H58" s="113" t="s">
        <v>24</v>
      </c>
      <c r="I58" s="115" t="s">
        <v>22</v>
      </c>
      <c r="J58" s="115">
        <v>1020055</v>
      </c>
      <c r="K58" s="115" t="s">
        <v>26</v>
      </c>
      <c r="L58" s="60">
        <v>500000</v>
      </c>
      <c r="M58" s="60">
        <v>1</v>
      </c>
      <c r="N58" s="60">
        <f>Main_Issuance[[#This Row],[LC Amt(FCY)]]*Main_Issuance[[#This Row],[Rate]]</f>
        <v>500000</v>
      </c>
      <c r="O58" s="77">
        <v>45565</v>
      </c>
      <c r="P58" s="77">
        <v>45565</v>
      </c>
      <c r="Q58" s="77" t="s">
        <v>27</v>
      </c>
      <c r="R58" s="115"/>
      <c r="S58" s="82"/>
      <c r="T58" s="82"/>
      <c r="U58" s="82"/>
      <c r="V58" s="97">
        <v>0</v>
      </c>
      <c r="W58" s="115"/>
      <c r="X58" s="120" t="str">
        <f ca="1">IF(AND((Main_Issuance[[#This Row],[Expiry Date]]+31)&gt;TODAY(),Main_Issuance[[#This Row],[Status]]&lt;&gt;"Cancelled"),"Active","Cancelled")</f>
        <v>Cancelled</v>
      </c>
      <c r="Y58" s="410"/>
      <c r="Z58" s="408"/>
      <c r="AA58" s="408" t="s">
        <v>378</v>
      </c>
      <c r="AB58" s="83" cm="1">
        <f t="array" ref="AB58">Iss_Tariff(Main_Issuance[[#This Row],[Bank]],Main_Issuance[[#This Row],[LC Amt(SAR)]],Main_Issuance[[#This Row],[Issue Date.]],Main_Issuance[[#This Row],[Expiry Date]],Main_Issuance[[#This Row],[Calculate]])</f>
        <v>0</v>
      </c>
      <c r="AC58" s="83"/>
    </row>
    <row r="59" spans="1:29" ht="15.75" hidden="1" x14ac:dyDescent="0.25">
      <c r="A59" s="114" t="s">
        <v>333</v>
      </c>
      <c r="B59" s="77">
        <v>45519</v>
      </c>
      <c r="C59" s="77" t="s">
        <v>441</v>
      </c>
      <c r="D59" s="115" t="s">
        <v>20</v>
      </c>
      <c r="E59" s="115" t="s">
        <v>95</v>
      </c>
      <c r="F59" s="115" t="s">
        <v>96</v>
      </c>
      <c r="G59" s="115" t="s">
        <v>270</v>
      </c>
      <c r="H59" s="113" t="s">
        <v>24</v>
      </c>
      <c r="I59" s="115" t="s">
        <v>22</v>
      </c>
      <c r="J59" s="115">
        <v>1020055</v>
      </c>
      <c r="K59" s="115" t="s">
        <v>26</v>
      </c>
      <c r="L59" s="60">
        <v>580000</v>
      </c>
      <c r="M59" s="60">
        <v>1</v>
      </c>
      <c r="N59" s="60">
        <f>Main_Issuance[[#This Row],[LC Amt(FCY)]]*Main_Issuance[[#This Row],[Rate]]</f>
        <v>580000</v>
      </c>
      <c r="O59" s="77">
        <v>45626</v>
      </c>
      <c r="P59" s="77">
        <v>45626</v>
      </c>
      <c r="Q59" s="77" t="s">
        <v>27</v>
      </c>
      <c r="R59" s="115" t="s">
        <v>311</v>
      </c>
      <c r="S59" s="82"/>
      <c r="T59" s="82"/>
      <c r="U59" s="82"/>
      <c r="V59" s="97">
        <v>0</v>
      </c>
      <c r="W59" s="115"/>
      <c r="X59" s="120" t="str">
        <f ca="1">IF(AND((Main_Issuance[[#This Row],[Expiry Date]]+31)&gt;TODAY(),Main_Issuance[[#This Row],[Status]]&lt;&gt;"Cancelled"),"Active","Cancelled")</f>
        <v>Cancelled</v>
      </c>
      <c r="Y59" s="410"/>
      <c r="Z59" s="408"/>
      <c r="AA59" s="408" t="s">
        <v>378</v>
      </c>
      <c r="AB59" s="83" cm="1">
        <f t="array" ref="AB59">Iss_Tariff(Main_Issuance[[#This Row],[Bank]],Main_Issuance[[#This Row],[LC Amt(SAR)]],Main_Issuance[[#This Row],[Issue Date.]],Main_Issuance[[#This Row],[Expiry Date]],Main_Issuance[[#This Row],[Calculate]])</f>
        <v>0</v>
      </c>
      <c r="AC59" s="83"/>
    </row>
    <row r="60" spans="1:29" ht="15.75" hidden="1" x14ac:dyDescent="0.25">
      <c r="A60" s="114" t="s">
        <v>389</v>
      </c>
      <c r="B60" s="77">
        <v>45551</v>
      </c>
      <c r="C60" s="77" t="s">
        <v>441</v>
      </c>
      <c r="D60" s="115" t="s">
        <v>20</v>
      </c>
      <c r="E60" s="115" t="s">
        <v>95</v>
      </c>
      <c r="F60" s="115" t="s">
        <v>96</v>
      </c>
      <c r="G60" s="115" t="s">
        <v>270</v>
      </c>
      <c r="H60" s="113" t="s">
        <v>24</v>
      </c>
      <c r="I60" s="115" t="s">
        <v>22</v>
      </c>
      <c r="J60" s="115">
        <v>1020055</v>
      </c>
      <c r="K60" s="115" t="s">
        <v>26</v>
      </c>
      <c r="L60" s="60">
        <v>1050000</v>
      </c>
      <c r="M60" s="60">
        <v>1</v>
      </c>
      <c r="N60" s="60">
        <f>Main_Issuance[[#This Row],[LC Amt(FCY)]]*Main_Issuance[[#This Row],[Rate]]</f>
        <v>1050000</v>
      </c>
      <c r="O60" s="77">
        <v>45626</v>
      </c>
      <c r="P60" s="77">
        <v>45600</v>
      </c>
      <c r="Q60" s="77" t="s">
        <v>27</v>
      </c>
      <c r="R60" s="115" t="s">
        <v>311</v>
      </c>
      <c r="S60" s="82"/>
      <c r="T60" s="82"/>
      <c r="U60" s="82"/>
      <c r="V60" s="97">
        <v>0</v>
      </c>
      <c r="W60" s="115"/>
      <c r="X60" s="120" t="str">
        <f ca="1">IF(AND((Main_Issuance[[#This Row],[Expiry Date]]+31)&gt;TODAY(),Main_Issuance[[#This Row],[Status]]&lt;&gt;"Cancelled"),"Active","Cancelled")</f>
        <v>Cancelled</v>
      </c>
      <c r="Y60" s="410"/>
      <c r="Z60" s="408"/>
      <c r="AA60" s="408" t="s">
        <v>378</v>
      </c>
      <c r="AB60" s="83" cm="1">
        <f t="array" ref="AB60">Iss_Tariff(Main_Issuance[[#This Row],[Bank]],Main_Issuance[[#This Row],[LC Amt(SAR)]],Main_Issuance[[#This Row],[Issue Date.]],Main_Issuance[[#This Row],[Expiry Date]],Main_Issuance[[#This Row],[Calculate]])</f>
        <v>0</v>
      </c>
      <c r="AC60" s="83"/>
    </row>
    <row r="61" spans="1:29" ht="15.75" hidden="1" x14ac:dyDescent="0.25">
      <c r="A61" s="114" t="s">
        <v>516</v>
      </c>
      <c r="B61" s="77">
        <v>45624</v>
      </c>
      <c r="C61" s="77" t="s">
        <v>441</v>
      </c>
      <c r="D61" s="115" t="s">
        <v>20</v>
      </c>
      <c r="E61" s="115" t="s">
        <v>21</v>
      </c>
      <c r="F61" s="115" t="s">
        <v>22</v>
      </c>
      <c r="G61" s="115" t="s">
        <v>517</v>
      </c>
      <c r="H61" s="113" t="s">
        <v>24</v>
      </c>
      <c r="I61" s="115" t="s">
        <v>22</v>
      </c>
      <c r="J61" s="115">
        <v>1020055</v>
      </c>
      <c r="K61" s="115" t="s">
        <v>26</v>
      </c>
      <c r="L61" s="60">
        <v>1500000</v>
      </c>
      <c r="M61" s="60">
        <v>1</v>
      </c>
      <c r="N61" s="60">
        <f>Main_Issuance[[#This Row],[LC Amt(FCY)]]*Main_Issuance[[#This Row],[Rate]]</f>
        <v>1500000</v>
      </c>
      <c r="O61" s="77">
        <v>45716</v>
      </c>
      <c r="P61" s="77">
        <v>45716</v>
      </c>
      <c r="Q61" s="77" t="s">
        <v>27</v>
      </c>
      <c r="R61" s="115" t="s">
        <v>311</v>
      </c>
      <c r="S61" s="82"/>
      <c r="T61" s="82"/>
      <c r="U61" s="82"/>
      <c r="V61" s="97">
        <v>0</v>
      </c>
      <c r="W61" s="115"/>
      <c r="X61" s="120" t="str">
        <f ca="1">IF(AND((Main_Issuance[[#This Row],[Expiry Date]]+31)&gt;TODAY(),Main_Issuance[[#This Row],[Status]]&lt;&gt;"Cancelled"),"Active","Cancelled")</f>
        <v>Cancelled</v>
      </c>
      <c r="Y61" s="410"/>
      <c r="Z61" s="408"/>
      <c r="AA61" s="408" t="s">
        <v>378</v>
      </c>
      <c r="AB61" s="83" cm="1">
        <f t="array" ref="AB61">Iss_Tariff(Main_Issuance[[#This Row],[Bank]],Main_Issuance[[#This Row],[LC Amt(SAR)]],Main_Issuance[[#This Row],[Issue Date.]],Main_Issuance[[#This Row],[Expiry Date]],Main_Issuance[[#This Row],[Calculate]])</f>
        <v>0</v>
      </c>
      <c r="AC61" s="83"/>
    </row>
    <row r="62" spans="1:29" ht="15.75" hidden="1" x14ac:dyDescent="0.25">
      <c r="A62" s="114" t="s">
        <v>1419</v>
      </c>
      <c r="B62" s="77">
        <v>45809</v>
      </c>
      <c r="C62" s="77" t="s">
        <v>441</v>
      </c>
      <c r="D62" s="115" t="s">
        <v>20</v>
      </c>
      <c r="E62" s="115" t="s">
        <v>95</v>
      </c>
      <c r="F62" s="115" t="s">
        <v>96</v>
      </c>
      <c r="G62" s="115" t="s">
        <v>270</v>
      </c>
      <c r="H62" s="113" t="s">
        <v>24</v>
      </c>
      <c r="I62" s="115" t="s">
        <v>22</v>
      </c>
      <c r="J62" s="115">
        <v>1020055</v>
      </c>
      <c r="K62" s="115" t="s">
        <v>26</v>
      </c>
      <c r="L62" s="60">
        <v>1500000</v>
      </c>
      <c r="M62" s="60">
        <v>1</v>
      </c>
      <c r="N62" s="60">
        <f>Main_Issuance[[#This Row],[LC Amt(FCY)]]*Main_Issuance[[#This Row],[Rate]]</f>
        <v>1500000</v>
      </c>
      <c r="O62" s="77">
        <v>45900</v>
      </c>
      <c r="P62" s="77">
        <v>45900</v>
      </c>
      <c r="Q62" s="77" t="s">
        <v>27</v>
      </c>
      <c r="R62" s="115" t="s">
        <v>621</v>
      </c>
      <c r="S62" s="82"/>
      <c r="T62" s="82"/>
      <c r="U62" s="82"/>
      <c r="V62" s="97">
        <v>0</v>
      </c>
      <c r="W62" s="115"/>
      <c r="X62" s="120" t="str">
        <f ca="1">IF(AND((Main_Issuance[[#This Row],[Expiry Date]]+31)&gt;TODAY(),Main_Issuance[[#This Row],[Status]]&lt;&gt;"Cancelled"),"Active","Cancelled")</f>
        <v>Cancelled</v>
      </c>
      <c r="Y62" s="410"/>
      <c r="Z62" s="408"/>
      <c r="AA62" s="408" t="s">
        <v>378</v>
      </c>
      <c r="AB62" s="83" cm="1">
        <f t="array" ref="AB62">Iss_Tariff(Main_Issuance[[#This Row],[Bank]],Main_Issuance[[#This Row],[LC Amt(SAR)]],Main_Issuance[[#This Row],[Issue Date.]],Main_Issuance[[#This Row],[Expiry Date]],Main_Issuance[[#This Row],[Calculate]])</f>
        <v>0</v>
      </c>
      <c r="AC62" s="83"/>
    </row>
    <row r="63" spans="1:29" ht="15.75" hidden="1" x14ac:dyDescent="0.25">
      <c r="A63" s="114" t="s">
        <v>198</v>
      </c>
      <c r="B63" s="77">
        <v>45167</v>
      </c>
      <c r="C63" s="77" t="s">
        <v>441</v>
      </c>
      <c r="D63" s="115" t="s">
        <v>20</v>
      </c>
      <c r="E63" s="115" t="s">
        <v>21</v>
      </c>
      <c r="F63" s="115" t="s">
        <v>22</v>
      </c>
      <c r="G63" s="115" t="s">
        <v>199</v>
      </c>
      <c r="H63" s="113" t="s">
        <v>24</v>
      </c>
      <c r="I63" s="115" t="s">
        <v>22</v>
      </c>
      <c r="J63" s="115">
        <v>1020055</v>
      </c>
      <c r="K63" s="115" t="s">
        <v>26</v>
      </c>
      <c r="L63" s="60">
        <v>500000</v>
      </c>
      <c r="M63" s="60">
        <v>1</v>
      </c>
      <c r="N63" s="60">
        <f>Main_Issuance[[#This Row],[LC Amt(FCY)]]*Main_Issuance[[#This Row],[Rate]]</f>
        <v>500000</v>
      </c>
      <c r="O63" s="77">
        <v>45260</v>
      </c>
      <c r="P63" s="77">
        <v>45260</v>
      </c>
      <c r="Q63" s="77" t="s">
        <v>27</v>
      </c>
      <c r="R63" s="115" t="s">
        <v>35</v>
      </c>
      <c r="S63" s="82"/>
      <c r="T63" s="82"/>
      <c r="U63" s="82"/>
      <c r="V63" s="97">
        <v>0</v>
      </c>
      <c r="W63" s="115"/>
      <c r="X63" s="120" t="str">
        <f ca="1">IF(AND((Main_Issuance[[#This Row],[Expiry Date]]+31)&gt;TODAY(),Main_Issuance[[#This Row],[Status]]&lt;&gt;"Cancelled"),"Active","Cancelled")</f>
        <v>Cancelled</v>
      </c>
      <c r="Y63" s="410"/>
      <c r="Z63" s="408"/>
      <c r="AA63" s="408" t="s">
        <v>378</v>
      </c>
      <c r="AB63" s="83" cm="1">
        <f t="array" ref="AB63">Iss_Tariff(Main_Issuance[[#This Row],[Bank]],Main_Issuance[[#This Row],[LC Amt(SAR)]],Main_Issuance[[#This Row],[Issue Date.]],Main_Issuance[[#This Row],[Expiry Date]],Main_Issuance[[#This Row],[Calculate]])</f>
        <v>0</v>
      </c>
      <c r="AC63" s="83"/>
    </row>
    <row r="64" spans="1:29" ht="15.75" hidden="1" x14ac:dyDescent="0.25">
      <c r="A64" s="114" t="s">
        <v>238</v>
      </c>
      <c r="B64" s="77">
        <v>45272</v>
      </c>
      <c r="C64" s="77" t="s">
        <v>441</v>
      </c>
      <c r="D64" s="115" t="s">
        <v>20</v>
      </c>
      <c r="E64" s="115" t="s">
        <v>21</v>
      </c>
      <c r="F64" s="115" t="s">
        <v>22</v>
      </c>
      <c r="G64" s="115" t="s">
        <v>199</v>
      </c>
      <c r="H64" s="113" t="s">
        <v>24</v>
      </c>
      <c r="I64" s="115" t="s">
        <v>22</v>
      </c>
      <c r="J64" s="115">
        <v>1020055</v>
      </c>
      <c r="K64" s="115" t="s">
        <v>26</v>
      </c>
      <c r="L64" s="60">
        <v>1000000</v>
      </c>
      <c r="M64" s="60">
        <v>1</v>
      </c>
      <c r="N64" s="60">
        <f>Main_Issuance[[#This Row],[LC Amt(FCY)]]*Main_Issuance[[#This Row],[Rate]]</f>
        <v>1000000</v>
      </c>
      <c r="O64" s="77">
        <v>45350</v>
      </c>
      <c r="P64" s="77">
        <v>45350</v>
      </c>
      <c r="Q64" s="77" t="s">
        <v>27</v>
      </c>
      <c r="R64" s="115"/>
      <c r="S64" s="82"/>
      <c r="T64" s="82"/>
      <c r="U64" s="82"/>
      <c r="V64" s="97">
        <v>0</v>
      </c>
      <c r="W64" s="115"/>
      <c r="X64" s="120" t="str">
        <f ca="1">IF(AND((Main_Issuance[[#This Row],[Expiry Date]]+31)&gt;TODAY(),Main_Issuance[[#This Row],[Status]]&lt;&gt;"Cancelled"),"Active","Cancelled")</f>
        <v>Cancelled</v>
      </c>
      <c r="Y64" s="410"/>
      <c r="Z64" s="408"/>
      <c r="AA64" s="408" t="s">
        <v>378</v>
      </c>
      <c r="AB64" s="83" cm="1">
        <f t="array" ref="AB64">Iss_Tariff(Main_Issuance[[#This Row],[Bank]],Main_Issuance[[#This Row],[LC Amt(SAR)]],Main_Issuance[[#This Row],[Issue Date.]],Main_Issuance[[#This Row],[Expiry Date]],Main_Issuance[[#This Row],[Calculate]])</f>
        <v>0</v>
      </c>
      <c r="AC64" s="83"/>
    </row>
    <row r="65" spans="1:29" ht="15.75" hidden="1" x14ac:dyDescent="0.25">
      <c r="A65" s="114" t="s">
        <v>281</v>
      </c>
      <c r="B65" s="77">
        <v>45495</v>
      </c>
      <c r="C65" s="77" t="s">
        <v>441</v>
      </c>
      <c r="D65" s="115" t="s">
        <v>20</v>
      </c>
      <c r="E65" s="115" t="s">
        <v>21</v>
      </c>
      <c r="F65" s="115" t="s">
        <v>22</v>
      </c>
      <c r="G65" s="115" t="s">
        <v>282</v>
      </c>
      <c r="H65" s="113" t="s">
        <v>24</v>
      </c>
      <c r="I65" s="115" t="s">
        <v>22</v>
      </c>
      <c r="J65" s="115">
        <v>1020055</v>
      </c>
      <c r="K65" s="115" t="s">
        <v>26</v>
      </c>
      <c r="L65" s="60">
        <v>900000</v>
      </c>
      <c r="M65" s="60">
        <v>1</v>
      </c>
      <c r="N65" s="60">
        <f>Main_Issuance[[#This Row],[LC Amt(FCY)]]*Main_Issuance[[#This Row],[Rate]]</f>
        <v>900000</v>
      </c>
      <c r="O65" s="76">
        <v>45596</v>
      </c>
      <c r="P65" s="76">
        <v>45596</v>
      </c>
      <c r="Q65" s="77" t="s">
        <v>27</v>
      </c>
      <c r="R65" s="115"/>
      <c r="S65" s="82"/>
      <c r="T65" s="82"/>
      <c r="U65" s="82"/>
      <c r="V65" s="97">
        <v>0</v>
      </c>
      <c r="W65" s="115"/>
      <c r="X65" s="120" t="str">
        <f ca="1">IF(AND((Main_Issuance[[#This Row],[Expiry Date]]+31)&gt;TODAY(),Main_Issuance[[#This Row],[Status]]&lt;&gt;"Cancelled"),"Active","Cancelled")</f>
        <v>Cancelled</v>
      </c>
      <c r="Y65" s="410"/>
      <c r="Z65" s="408"/>
      <c r="AA65" s="408" t="s">
        <v>378</v>
      </c>
      <c r="AB65" s="83" cm="1">
        <f t="array" ref="AB65">Iss_Tariff(Main_Issuance[[#This Row],[Bank]],Main_Issuance[[#This Row],[LC Amt(SAR)]],Main_Issuance[[#This Row],[Issue Date.]],Main_Issuance[[#This Row],[Expiry Date]],Main_Issuance[[#This Row],[Calculate]])</f>
        <v>0</v>
      </c>
      <c r="AC65" s="83"/>
    </row>
    <row r="66" spans="1:29" ht="15.75" hidden="1" x14ac:dyDescent="0.25">
      <c r="A66" s="114" t="s">
        <v>352</v>
      </c>
      <c r="B66" s="77">
        <v>45533</v>
      </c>
      <c r="C66" s="77" t="s">
        <v>441</v>
      </c>
      <c r="D66" s="115" t="s">
        <v>20</v>
      </c>
      <c r="E66" s="115" t="s">
        <v>95</v>
      </c>
      <c r="F66" s="115" t="s">
        <v>96</v>
      </c>
      <c r="G66" s="115" t="s">
        <v>353</v>
      </c>
      <c r="H66" s="113" t="s">
        <v>24</v>
      </c>
      <c r="I66" s="115" t="s">
        <v>22</v>
      </c>
      <c r="J66" s="115">
        <v>1020055</v>
      </c>
      <c r="K66" s="115" t="s">
        <v>26</v>
      </c>
      <c r="L66" s="60">
        <v>375576.84</v>
      </c>
      <c r="M66" s="60">
        <v>1</v>
      </c>
      <c r="N66" s="60">
        <f>Main_Issuance[[#This Row],[LC Amt(FCY)]]*Main_Issuance[[#This Row],[Rate]]</f>
        <v>375576.84</v>
      </c>
      <c r="O66" s="77">
        <v>45626</v>
      </c>
      <c r="P66" s="77">
        <v>45626</v>
      </c>
      <c r="Q66" s="77" t="s">
        <v>27</v>
      </c>
      <c r="R66" s="115" t="s">
        <v>311</v>
      </c>
      <c r="S66" s="82"/>
      <c r="T66" s="82"/>
      <c r="U66" s="82"/>
      <c r="V66" s="97">
        <v>0</v>
      </c>
      <c r="W66" s="115"/>
      <c r="X66" s="120" t="str">
        <f ca="1">IF(AND((Main_Issuance[[#This Row],[Expiry Date]]+31)&gt;TODAY(),Main_Issuance[[#This Row],[Status]]&lt;&gt;"Cancelled"),"Active","Cancelled")</f>
        <v>Cancelled</v>
      </c>
      <c r="Y66" s="410"/>
      <c r="Z66" s="408"/>
      <c r="AA66" s="408" t="s">
        <v>378</v>
      </c>
      <c r="AB66" s="83" cm="1">
        <f t="array" ref="AB66">Iss_Tariff(Main_Issuance[[#This Row],[Bank]],Main_Issuance[[#This Row],[LC Amt(SAR)]],Main_Issuance[[#This Row],[Issue Date.]],Main_Issuance[[#This Row],[Expiry Date]],Main_Issuance[[#This Row],[Calculate]])</f>
        <v>0</v>
      </c>
      <c r="AC66" s="83"/>
    </row>
    <row r="67" spans="1:29" ht="15.75" hidden="1" x14ac:dyDescent="0.25">
      <c r="A67" s="114" t="s">
        <v>242</v>
      </c>
      <c r="B67" s="77">
        <v>45272</v>
      </c>
      <c r="C67" s="77" t="s">
        <v>441</v>
      </c>
      <c r="D67" s="115" t="s">
        <v>20</v>
      </c>
      <c r="E67" s="115" t="s">
        <v>21</v>
      </c>
      <c r="F67" s="115" t="s">
        <v>22</v>
      </c>
      <c r="G67" s="115" t="s">
        <v>243</v>
      </c>
      <c r="H67" s="113" t="s">
        <v>24</v>
      </c>
      <c r="I67" s="115" t="s">
        <v>22</v>
      </c>
      <c r="J67" s="115">
        <v>1020055</v>
      </c>
      <c r="K67" s="115" t="s">
        <v>26</v>
      </c>
      <c r="L67" s="60">
        <v>1001021.99</v>
      </c>
      <c r="M67" s="60">
        <v>1</v>
      </c>
      <c r="N67" s="60">
        <f>Main_Issuance[[#This Row],[LC Amt(FCY)]]*Main_Issuance[[#This Row],[Rate]]</f>
        <v>1001021.99</v>
      </c>
      <c r="O67" s="77">
        <v>45416</v>
      </c>
      <c r="P67" s="77">
        <v>45416</v>
      </c>
      <c r="Q67" s="77" t="s">
        <v>27</v>
      </c>
      <c r="R67" s="115"/>
      <c r="S67" s="82"/>
      <c r="T67" s="82"/>
      <c r="U67" s="82"/>
      <c r="V67" s="97">
        <v>0</v>
      </c>
      <c r="W67" s="115"/>
      <c r="X67" s="120" t="str">
        <f ca="1">IF(AND((Main_Issuance[[#This Row],[Expiry Date]]+31)&gt;TODAY(),Main_Issuance[[#This Row],[Status]]&lt;&gt;"Cancelled"),"Active","Cancelled")</f>
        <v>Cancelled</v>
      </c>
      <c r="Y67" s="410"/>
      <c r="Z67" s="408"/>
      <c r="AA67" s="408" t="s">
        <v>378</v>
      </c>
      <c r="AB67" s="83" cm="1">
        <f t="array" ref="AB67">Iss_Tariff(Main_Issuance[[#This Row],[Bank]],Main_Issuance[[#This Row],[LC Amt(SAR)]],Main_Issuance[[#This Row],[Issue Date.]],Main_Issuance[[#This Row],[Expiry Date]],Main_Issuance[[#This Row],[Calculate]])</f>
        <v>0</v>
      </c>
      <c r="AC67" s="83"/>
    </row>
    <row r="68" spans="1:29" ht="15.75" hidden="1" x14ac:dyDescent="0.25">
      <c r="A68" s="114" t="s">
        <v>476</v>
      </c>
      <c r="B68" s="77">
        <v>45610</v>
      </c>
      <c r="C68" s="77" t="s">
        <v>509</v>
      </c>
      <c r="D68" s="115" t="s">
        <v>20</v>
      </c>
      <c r="E68" s="115" t="s">
        <v>373</v>
      </c>
      <c r="F68" s="115" t="s">
        <v>63</v>
      </c>
      <c r="G68" s="115" t="s">
        <v>477</v>
      </c>
      <c r="H68" s="113" t="s">
        <v>24</v>
      </c>
      <c r="I68" s="115" t="s">
        <v>407</v>
      </c>
      <c r="J68" s="115">
        <v>1020100</v>
      </c>
      <c r="K68" s="115" t="s">
        <v>26</v>
      </c>
      <c r="L68" s="60">
        <v>1900000</v>
      </c>
      <c r="M68" s="60">
        <v>1</v>
      </c>
      <c r="N68" s="60">
        <f>Main_Issuance[[#This Row],[LC Amt(FCY)]]*Main_Issuance[[#This Row],[Rate]]</f>
        <v>1900000</v>
      </c>
      <c r="O68" s="77">
        <v>45688</v>
      </c>
      <c r="P68" s="77">
        <v>45661</v>
      </c>
      <c r="Q68" s="77" t="s">
        <v>27</v>
      </c>
      <c r="R68" s="115" t="s">
        <v>311</v>
      </c>
      <c r="S68" s="82"/>
      <c r="T68" s="82"/>
      <c r="U68" s="82"/>
      <c r="V68" s="97">
        <v>0</v>
      </c>
      <c r="W68" s="115"/>
      <c r="X68" s="120" t="str">
        <f ca="1">IF(AND((Main_Issuance[[#This Row],[Expiry Date]]+31)&gt;TODAY(),Main_Issuance[[#This Row],[Status]]&lt;&gt;"Cancelled"),"Active","Cancelled")</f>
        <v>Cancelled</v>
      </c>
      <c r="Y68" s="410"/>
      <c r="Z68" s="408"/>
      <c r="AA68" s="408" t="s">
        <v>378</v>
      </c>
      <c r="AB68" s="83" cm="1">
        <f t="array" ref="AB68">Iss_Tariff(Main_Issuance[[#This Row],[Bank]],Main_Issuance[[#This Row],[LC Amt(SAR)]],Main_Issuance[[#This Row],[Issue Date.]],Main_Issuance[[#This Row],[Expiry Date]],Main_Issuance[[#This Row],[Calculate]])</f>
        <v>0</v>
      </c>
      <c r="AC68" s="83"/>
    </row>
    <row r="69" spans="1:29" ht="15.75" hidden="1" x14ac:dyDescent="0.25">
      <c r="A69" s="114" t="s">
        <v>1429</v>
      </c>
      <c r="B69" s="77">
        <v>45804</v>
      </c>
      <c r="C69" s="77" t="s">
        <v>441</v>
      </c>
      <c r="D69" s="115" t="s">
        <v>20</v>
      </c>
      <c r="E69" s="115" t="s">
        <v>21</v>
      </c>
      <c r="F69" s="115" t="s">
        <v>22</v>
      </c>
      <c r="G69" s="115" t="s">
        <v>477</v>
      </c>
      <c r="H69" s="113" t="s">
        <v>24</v>
      </c>
      <c r="I69" s="115" t="s">
        <v>22</v>
      </c>
      <c r="J69" s="115">
        <v>1020055</v>
      </c>
      <c r="K69" s="115" t="s">
        <v>26</v>
      </c>
      <c r="L69" s="60">
        <v>286074</v>
      </c>
      <c r="M69" s="60">
        <v>1</v>
      </c>
      <c r="N69" s="60">
        <f>Main_Issuance[[#This Row],[LC Amt(FCY)]]*Main_Issuance[[#This Row],[Rate]]</f>
        <v>286074</v>
      </c>
      <c r="O69" s="77">
        <v>45900</v>
      </c>
      <c r="P69" s="77">
        <v>45900</v>
      </c>
      <c r="Q69" s="77" t="s">
        <v>27</v>
      </c>
      <c r="R69" s="115" t="s">
        <v>621</v>
      </c>
      <c r="S69" s="82"/>
      <c r="T69" s="82"/>
      <c r="U69" s="82"/>
      <c r="V69" s="97">
        <v>0</v>
      </c>
      <c r="W69" s="115"/>
      <c r="X69" s="120" t="str">
        <f ca="1">IF(AND((Main_Issuance[[#This Row],[Expiry Date]]+31)&gt;TODAY(),Main_Issuance[[#This Row],[Status]]&lt;&gt;"Cancelled"),"Active","Cancelled")</f>
        <v>Cancelled</v>
      </c>
      <c r="Y69" s="410"/>
      <c r="Z69" s="408"/>
      <c r="AA69" s="408" t="s">
        <v>378</v>
      </c>
      <c r="AB69" s="83" cm="1">
        <f t="array" ref="AB69">Iss_Tariff(Main_Issuance[[#This Row],[Bank]],Main_Issuance[[#This Row],[LC Amt(SAR)]],Main_Issuance[[#This Row],[Issue Date.]],Main_Issuance[[#This Row],[Expiry Date]],Main_Issuance[[#This Row],[Calculate]])</f>
        <v>0</v>
      </c>
      <c r="AC69" s="83"/>
    </row>
    <row r="70" spans="1:29" ht="15.75" hidden="1" x14ac:dyDescent="0.25">
      <c r="A70" s="114" t="s">
        <v>1442</v>
      </c>
      <c r="B70" s="77">
        <v>45810</v>
      </c>
      <c r="C70" s="77" t="s">
        <v>441</v>
      </c>
      <c r="D70" s="115" t="s">
        <v>20</v>
      </c>
      <c r="E70" s="115" t="s">
        <v>366</v>
      </c>
      <c r="F70" s="115" t="s">
        <v>710</v>
      </c>
      <c r="G70" s="115" t="s">
        <v>477</v>
      </c>
      <c r="H70" s="113" t="s">
        <v>24</v>
      </c>
      <c r="I70" s="115" t="s">
        <v>710</v>
      </c>
      <c r="J70" s="115">
        <v>1020088</v>
      </c>
      <c r="K70" s="115" t="s">
        <v>26</v>
      </c>
      <c r="L70" s="60">
        <v>800000</v>
      </c>
      <c r="M70" s="60">
        <v>1</v>
      </c>
      <c r="N70" s="60">
        <f>Main_Issuance[[#This Row],[LC Amt(FCY)]]*Main_Issuance[[#This Row],[Rate]]</f>
        <v>800000</v>
      </c>
      <c r="O70" s="77">
        <v>45900</v>
      </c>
      <c r="P70" s="77">
        <v>45900</v>
      </c>
      <c r="Q70" s="77" t="s">
        <v>27</v>
      </c>
      <c r="R70" s="115" t="s">
        <v>621</v>
      </c>
      <c r="S70" s="82"/>
      <c r="T70" s="82"/>
      <c r="U70" s="82"/>
      <c r="V70" s="97">
        <v>0</v>
      </c>
      <c r="W70" s="115"/>
      <c r="X70" s="120" t="str">
        <f ca="1">IF(AND((Main_Issuance[[#This Row],[Expiry Date]]+31)&gt;TODAY(),Main_Issuance[[#This Row],[Status]]&lt;&gt;"Cancelled"),"Active","Cancelled")</f>
        <v>Cancelled</v>
      </c>
      <c r="Y70" s="410"/>
      <c r="Z70" s="408"/>
      <c r="AA70" s="408" t="s">
        <v>378</v>
      </c>
      <c r="AB70" s="83" cm="1">
        <f t="array" ref="AB70">Iss_Tariff(Main_Issuance[[#This Row],[Bank]],Main_Issuance[[#This Row],[LC Amt(SAR)]],Main_Issuance[[#This Row],[Issue Date.]],Main_Issuance[[#This Row],[Expiry Date]],Main_Issuance[[#This Row],[Calculate]])</f>
        <v>0</v>
      </c>
      <c r="AC70" s="83"/>
    </row>
    <row r="71" spans="1:29" ht="15.75" hidden="1" x14ac:dyDescent="0.25">
      <c r="A71" s="114" t="s">
        <v>1604</v>
      </c>
      <c r="B71" s="77">
        <v>45862</v>
      </c>
      <c r="C71" s="77" t="s">
        <v>441</v>
      </c>
      <c r="D71" s="115" t="s">
        <v>20</v>
      </c>
      <c r="E71" s="115" t="s">
        <v>366</v>
      </c>
      <c r="F71" s="115" t="s">
        <v>710</v>
      </c>
      <c r="G71" s="115" t="s">
        <v>477</v>
      </c>
      <c r="H71" s="113" t="s">
        <v>24</v>
      </c>
      <c r="I71" s="115" t="s">
        <v>710</v>
      </c>
      <c r="J71" s="115">
        <v>1020088</v>
      </c>
      <c r="K71" s="115" t="s">
        <v>26</v>
      </c>
      <c r="L71" s="60">
        <v>500000</v>
      </c>
      <c r="M71" s="60">
        <v>1</v>
      </c>
      <c r="N71" s="60">
        <f>Main_Issuance[[#This Row],[LC Amt(FCY)]]*Main_Issuance[[#This Row],[Rate]]</f>
        <v>500000</v>
      </c>
      <c r="O71" s="77">
        <v>45961</v>
      </c>
      <c r="P71" s="77">
        <v>45961</v>
      </c>
      <c r="Q71" s="77" t="s">
        <v>27</v>
      </c>
      <c r="R71" s="115" t="s">
        <v>621</v>
      </c>
      <c r="S71" s="82"/>
      <c r="T71" s="82"/>
      <c r="U71" s="82"/>
      <c r="V71" s="97">
        <v>0</v>
      </c>
      <c r="W71" s="115"/>
      <c r="X71" s="120" t="str">
        <f ca="1">IF(AND((Main_Issuance[[#This Row],[Expiry Date]]+31)&gt;TODAY(),Main_Issuance[[#This Row],[Status]]&lt;&gt;"Cancelled"),"Active","Cancelled")</f>
        <v>Cancelled</v>
      </c>
      <c r="Y71" s="410"/>
      <c r="Z71" s="408"/>
      <c r="AA71" s="408" t="s">
        <v>378</v>
      </c>
      <c r="AB71" s="83" cm="1">
        <f t="array" ref="AB71">Iss_Tariff(Main_Issuance[[#This Row],[Bank]],Main_Issuance[[#This Row],[LC Amt(SAR)]],Main_Issuance[[#This Row],[Issue Date.]],Main_Issuance[[#This Row],[Expiry Date]],Main_Issuance[[#This Row],[Calculate]])</f>
        <v>0</v>
      </c>
      <c r="AC71" s="83"/>
    </row>
    <row r="72" spans="1:29" ht="15.75" hidden="1" x14ac:dyDescent="0.25">
      <c r="A72" s="115" t="s">
        <v>1906</v>
      </c>
      <c r="B72" s="77">
        <v>45930</v>
      </c>
      <c r="C72" s="77" t="s">
        <v>441</v>
      </c>
      <c r="D72" s="115" t="s">
        <v>20</v>
      </c>
      <c r="E72" s="115" t="s">
        <v>366</v>
      </c>
      <c r="F72" s="115" t="s">
        <v>710</v>
      </c>
      <c r="G72" s="124" t="s">
        <v>477</v>
      </c>
      <c r="H72" s="115" t="s">
        <v>24</v>
      </c>
      <c r="I72" s="115" t="s">
        <v>710</v>
      </c>
      <c r="J72" s="113">
        <v>1020088</v>
      </c>
      <c r="K72" s="115" t="s">
        <v>26</v>
      </c>
      <c r="L72" s="119">
        <v>1500000</v>
      </c>
      <c r="M72" s="82">
        <v>1</v>
      </c>
      <c r="N72" s="82">
        <f>Main_Issuance[[#This Row],[LC Amt(FCY)]]*Main_Issuance[[#This Row],[Rate]]</f>
        <v>1500000</v>
      </c>
      <c r="O72" s="77">
        <v>46022</v>
      </c>
      <c r="P72" s="77">
        <v>46022</v>
      </c>
      <c r="Q72" s="77" t="s">
        <v>27</v>
      </c>
      <c r="R72" s="115" t="s">
        <v>621</v>
      </c>
      <c r="S72" s="82"/>
      <c r="T72" s="82"/>
      <c r="U72" s="82"/>
      <c r="V72" s="97">
        <v>0</v>
      </c>
      <c r="W72" s="115"/>
      <c r="X72" s="77" t="str">
        <f ca="1">IF(AND((Main_Issuance[[#This Row],[Expiry Date]]+31)&gt;TODAY(),Main_Issuance[[#This Row],[Status]]&lt;&gt;"Cancelled"),"Active","Cancelled")</f>
        <v>Cancelled</v>
      </c>
      <c r="Y72" s="409"/>
      <c r="Z72" s="408"/>
      <c r="AA72" s="408" t="s">
        <v>378</v>
      </c>
      <c r="AB72" s="83" cm="1">
        <f t="array" ref="AB72">Iss_Tariff(Main_Issuance[[#This Row],[Bank]],Main_Issuance[[#This Row],[LC Amt(SAR)]],Main_Issuance[[#This Row],[Issue Date.]],Main_Issuance[[#This Row],[Expiry Date]],Main_Issuance[[#This Row],[Calculate]])</f>
        <v>0</v>
      </c>
      <c r="AC72" s="83"/>
    </row>
    <row r="73" spans="1:29" ht="15.75" hidden="1" x14ac:dyDescent="0.25">
      <c r="A73" s="114" t="s">
        <v>3894</v>
      </c>
      <c r="B73" s="77">
        <v>46050</v>
      </c>
      <c r="C73" s="77" t="s">
        <v>441</v>
      </c>
      <c r="D73" s="115" t="s">
        <v>20</v>
      </c>
      <c r="E73" s="115" t="s">
        <v>366</v>
      </c>
      <c r="F73" s="115" t="s">
        <v>710</v>
      </c>
      <c r="G73" s="115" t="s">
        <v>477</v>
      </c>
      <c r="H73" s="115" t="s">
        <v>24</v>
      </c>
      <c r="I73" s="115" t="s">
        <v>710</v>
      </c>
      <c r="J73" s="113">
        <v>1020088</v>
      </c>
      <c r="K73" s="115" t="s">
        <v>26</v>
      </c>
      <c r="L73" s="119">
        <v>2000000</v>
      </c>
      <c r="M73" s="82">
        <v>1</v>
      </c>
      <c r="N73" s="82">
        <f>Main_Issuance[[#This Row],[LC Amt(FCY)]]*Main_Issuance[[#This Row],[Rate]]</f>
        <v>2000000</v>
      </c>
      <c r="O73" s="77">
        <v>46142</v>
      </c>
      <c r="P73" s="77">
        <v>46142</v>
      </c>
      <c r="Q73" s="77" t="s">
        <v>27</v>
      </c>
      <c r="R73" s="115" t="s">
        <v>1904</v>
      </c>
      <c r="S73" s="82"/>
      <c r="T73" s="82"/>
      <c r="U73" s="82"/>
      <c r="V73" s="97">
        <v>0</v>
      </c>
      <c r="W73" s="115"/>
      <c r="X73" s="120" t="str">
        <f ca="1">IF(AND((Main_Issuance[[#This Row],[Expiry Date]]+31)&gt;TODAY(),Main_Issuance[[#This Row],[Status]]&lt;&gt;"Cancelled"),"Active","Cancelled")</f>
        <v>Cancelled</v>
      </c>
      <c r="Y73" s="409"/>
      <c r="Z73" s="408"/>
      <c r="AA73" s="408" t="s">
        <v>857</v>
      </c>
      <c r="AB73" s="83" cm="1">
        <f t="array" ref="AB73">Iss_Tariff(Main_Issuance[[#This Row],[Bank]],Main_Issuance[[#This Row],[LC Amt(SAR)]],Main_Issuance[[#This Row],[Issue Date.]],Main_Issuance[[#This Row],[Expiry Date]],Main_Issuance[[#This Row],[Calculate]])</f>
        <v>11586.25</v>
      </c>
      <c r="AC73" s="83"/>
    </row>
    <row r="74" spans="1:29" ht="15.75" hidden="1" x14ac:dyDescent="0.25">
      <c r="A74" s="114" t="s">
        <v>4563</v>
      </c>
      <c r="B74" s="424">
        <v>46118</v>
      </c>
      <c r="C74" s="424" t="s">
        <v>441</v>
      </c>
      <c r="D74" s="115" t="s">
        <v>20</v>
      </c>
      <c r="E74" s="115" t="s">
        <v>366</v>
      </c>
      <c r="F74" s="115" t="s">
        <v>710</v>
      </c>
      <c r="G74" s="115" t="s">
        <v>4496</v>
      </c>
      <c r="H74" s="113" t="s">
        <v>24</v>
      </c>
      <c r="I74" s="115" t="s">
        <v>710</v>
      </c>
      <c r="J74" s="113">
        <v>1020088</v>
      </c>
      <c r="K74" s="115" t="s">
        <v>26</v>
      </c>
      <c r="L74" s="119">
        <v>500000</v>
      </c>
      <c r="M74" s="82">
        <v>1</v>
      </c>
      <c r="N74" s="82">
        <f>Main_Issuance[[#This Row],[LC Amt(FCY)]]*Main_Issuance[[#This Row],[Rate]]</f>
        <v>500000</v>
      </c>
      <c r="O74" s="424">
        <v>46203</v>
      </c>
      <c r="P74" s="424">
        <v>46203</v>
      </c>
      <c r="Q74" s="424" t="s">
        <v>27</v>
      </c>
      <c r="R74" s="115" t="s">
        <v>4493</v>
      </c>
      <c r="S74" s="82"/>
      <c r="T74" s="82"/>
      <c r="U74" s="82"/>
      <c r="V74" s="97">
        <v>0</v>
      </c>
      <c r="W74" s="115"/>
      <c r="X74" s="437" t="str">
        <f ca="1">IF(AND((Main_Issuance[[#This Row],[Expiry Date]]+31)&gt;TODAY(),Main_Issuance[[#This Row],[Status]]&lt;&gt;"Cancelled"),"Active","Cancelled")</f>
        <v>Active</v>
      </c>
      <c r="Y74" s="96"/>
      <c r="Z74" s="424"/>
      <c r="AA74" s="443" t="s">
        <v>857</v>
      </c>
      <c r="AB74" s="83" cm="1">
        <f t="array" ref="AB74">Iss_Tariff(Main_Issuance[[#This Row],[Bank]],Main_Issuance[[#This Row],[LC Amt(SAR)]],Main_Issuance[[#This Row],[Issue Date.]],Main_Issuance[[#This Row],[Expiry Date]],Main_Issuance[[#This Row],[Calculate]],,125)</f>
        <v>3105</v>
      </c>
      <c r="AC74" s="83"/>
    </row>
    <row r="75" spans="1:29" ht="15.75" hidden="1" x14ac:dyDescent="0.25">
      <c r="A75" s="114" t="s">
        <v>767</v>
      </c>
      <c r="B75" s="77">
        <v>45734</v>
      </c>
      <c r="C75" s="77" t="s">
        <v>509</v>
      </c>
      <c r="D75" s="115" t="s">
        <v>20</v>
      </c>
      <c r="E75" s="115" t="s">
        <v>21</v>
      </c>
      <c r="F75" s="115" t="s">
        <v>22</v>
      </c>
      <c r="G75" s="115" t="s">
        <v>768</v>
      </c>
      <c r="H75" s="113" t="s">
        <v>24</v>
      </c>
      <c r="I75" s="115" t="s">
        <v>407</v>
      </c>
      <c r="J75" s="115">
        <v>1020100</v>
      </c>
      <c r="K75" s="115" t="s">
        <v>26</v>
      </c>
      <c r="L75" s="60">
        <v>500000</v>
      </c>
      <c r="M75" s="60">
        <v>1</v>
      </c>
      <c r="N75" s="60">
        <f>Main_Issuance[[#This Row],[LC Amt(FCY)]]*Main_Issuance[[#This Row],[Rate]]</f>
        <v>500000</v>
      </c>
      <c r="O75" s="77">
        <v>45838</v>
      </c>
      <c r="P75" s="77">
        <v>45838</v>
      </c>
      <c r="Q75" s="77" t="s">
        <v>27</v>
      </c>
      <c r="R75" s="115" t="s">
        <v>311</v>
      </c>
      <c r="S75" s="82"/>
      <c r="T75" s="82"/>
      <c r="U75" s="82"/>
      <c r="V75" s="97">
        <v>0</v>
      </c>
      <c r="W75" s="115"/>
      <c r="X75" s="120" t="str">
        <f ca="1">IF(AND((Main_Issuance[[#This Row],[Expiry Date]]+31)&gt;TODAY(),Main_Issuance[[#This Row],[Status]]&lt;&gt;"Cancelled"),"Active","Cancelled")</f>
        <v>Cancelled</v>
      </c>
      <c r="Y75" s="410"/>
      <c r="Z75" s="408"/>
      <c r="AA75" s="408" t="s">
        <v>378</v>
      </c>
      <c r="AB75" s="83" cm="1">
        <f t="array" ref="AB75">Iss_Tariff(Main_Issuance[[#This Row],[Bank]],Main_Issuance[[#This Row],[LC Amt(SAR)]],Main_Issuance[[#This Row],[Issue Date.]],Main_Issuance[[#This Row],[Expiry Date]],Main_Issuance[[#This Row],[Calculate]])</f>
        <v>0</v>
      </c>
      <c r="AC75" s="83"/>
    </row>
    <row r="76" spans="1:29" ht="15.75" hidden="1" x14ac:dyDescent="0.25">
      <c r="A76" s="114" t="s">
        <v>293</v>
      </c>
      <c r="B76" s="77">
        <v>45512</v>
      </c>
      <c r="C76" s="77" t="s">
        <v>441</v>
      </c>
      <c r="D76" s="115" t="s">
        <v>20</v>
      </c>
      <c r="E76" s="115" t="s">
        <v>21</v>
      </c>
      <c r="F76" s="115" t="s">
        <v>22</v>
      </c>
      <c r="G76" s="115" t="s">
        <v>294</v>
      </c>
      <c r="H76" s="113" t="s">
        <v>24</v>
      </c>
      <c r="I76" s="115" t="s">
        <v>22</v>
      </c>
      <c r="J76" s="115">
        <v>1020055</v>
      </c>
      <c r="K76" s="115" t="s">
        <v>26</v>
      </c>
      <c r="L76" s="60">
        <v>2575000</v>
      </c>
      <c r="M76" s="60">
        <v>1</v>
      </c>
      <c r="N76" s="60">
        <f>Main_Issuance[[#This Row],[LC Amt(FCY)]]*Main_Issuance[[#This Row],[Rate]]</f>
        <v>2575000</v>
      </c>
      <c r="O76" s="77">
        <v>45626</v>
      </c>
      <c r="P76" s="77">
        <v>45626</v>
      </c>
      <c r="Q76" s="77" t="s">
        <v>27</v>
      </c>
      <c r="R76" s="115" t="s">
        <v>295</v>
      </c>
      <c r="S76" s="82"/>
      <c r="T76" s="82"/>
      <c r="U76" s="82"/>
      <c r="V76" s="97">
        <v>0</v>
      </c>
      <c r="W76" s="115"/>
      <c r="X76" s="120" t="str">
        <f ca="1">IF(AND((Main_Issuance[[#This Row],[Expiry Date]]+31)&gt;TODAY(),Main_Issuance[[#This Row],[Status]]&lt;&gt;"Cancelled"),"Active","Cancelled")</f>
        <v>Cancelled</v>
      </c>
      <c r="Y76" s="410"/>
      <c r="Z76" s="408"/>
      <c r="AA76" s="408" t="s">
        <v>378</v>
      </c>
      <c r="AB76" s="83" cm="1">
        <f t="array" ref="AB76">Iss_Tariff(Main_Issuance[[#This Row],[Bank]],Main_Issuance[[#This Row],[LC Amt(SAR)]],Main_Issuance[[#This Row],[Issue Date.]],Main_Issuance[[#This Row],[Expiry Date]],Main_Issuance[[#This Row],[Calculate]])</f>
        <v>0</v>
      </c>
      <c r="AC76" s="83"/>
    </row>
    <row r="77" spans="1:29" ht="15.75" hidden="1" x14ac:dyDescent="0.25">
      <c r="A77" s="114" t="s">
        <v>340</v>
      </c>
      <c r="B77" s="77">
        <v>45519</v>
      </c>
      <c r="C77" s="77" t="s">
        <v>441</v>
      </c>
      <c r="D77" s="115" t="s">
        <v>20</v>
      </c>
      <c r="E77" s="115" t="s">
        <v>95</v>
      </c>
      <c r="F77" s="115" t="s">
        <v>96</v>
      </c>
      <c r="G77" s="115" t="s">
        <v>341</v>
      </c>
      <c r="H77" s="113" t="s">
        <v>24</v>
      </c>
      <c r="I77" s="115" t="s">
        <v>22</v>
      </c>
      <c r="J77" s="115">
        <v>1020055</v>
      </c>
      <c r="K77" s="115" t="s">
        <v>26</v>
      </c>
      <c r="L77" s="60">
        <v>1261625</v>
      </c>
      <c r="M77" s="60">
        <v>1</v>
      </c>
      <c r="N77" s="60">
        <f>Main_Issuance[[#This Row],[LC Amt(FCY)]]*Main_Issuance[[#This Row],[Rate]]</f>
        <v>1261625</v>
      </c>
      <c r="O77" s="77">
        <v>45626</v>
      </c>
      <c r="P77" s="77">
        <v>45626</v>
      </c>
      <c r="Q77" s="77" t="s">
        <v>27</v>
      </c>
      <c r="R77" s="115" t="s">
        <v>311</v>
      </c>
      <c r="S77" s="82"/>
      <c r="T77" s="82"/>
      <c r="U77" s="82"/>
      <c r="V77" s="97">
        <v>0</v>
      </c>
      <c r="W77" s="115"/>
      <c r="X77" s="120" t="str">
        <f ca="1">IF(AND((Main_Issuance[[#This Row],[Expiry Date]]+31)&gt;TODAY(),Main_Issuance[[#This Row],[Status]]&lt;&gt;"Cancelled"),"Active","Cancelled")</f>
        <v>Cancelled</v>
      </c>
      <c r="Y77" s="410"/>
      <c r="Z77" s="408"/>
      <c r="AA77" s="408" t="s">
        <v>378</v>
      </c>
      <c r="AB77" s="83" cm="1">
        <f t="array" ref="AB77">Iss_Tariff(Main_Issuance[[#This Row],[Bank]],Main_Issuance[[#This Row],[LC Amt(SAR)]],Main_Issuance[[#This Row],[Issue Date.]],Main_Issuance[[#This Row],[Expiry Date]],Main_Issuance[[#This Row],[Calculate]])</f>
        <v>0</v>
      </c>
      <c r="AC77" s="83"/>
    </row>
    <row r="78" spans="1:29" ht="15.75" hidden="1" x14ac:dyDescent="0.25">
      <c r="A78" s="114" t="s">
        <v>539</v>
      </c>
      <c r="B78" s="77">
        <v>45634</v>
      </c>
      <c r="C78" s="77" t="s">
        <v>509</v>
      </c>
      <c r="D78" s="115" t="s">
        <v>20</v>
      </c>
      <c r="E78" s="115" t="s">
        <v>95</v>
      </c>
      <c r="F78" s="115" t="s">
        <v>96</v>
      </c>
      <c r="G78" s="115" t="s">
        <v>540</v>
      </c>
      <c r="H78" s="113" t="s">
        <v>24</v>
      </c>
      <c r="I78" s="115" t="s">
        <v>407</v>
      </c>
      <c r="J78" s="115">
        <v>1020100</v>
      </c>
      <c r="K78" s="115" t="s">
        <v>26</v>
      </c>
      <c r="L78" s="60">
        <v>700000</v>
      </c>
      <c r="M78" s="60">
        <v>1</v>
      </c>
      <c r="N78" s="60">
        <f>Main_Issuance[[#This Row],[LC Amt(FCY)]]*Main_Issuance[[#This Row],[Rate]]</f>
        <v>700000</v>
      </c>
      <c r="O78" s="77">
        <v>45716</v>
      </c>
      <c r="P78" s="77">
        <v>45716</v>
      </c>
      <c r="Q78" s="77" t="s">
        <v>27</v>
      </c>
      <c r="R78" s="115" t="s">
        <v>311</v>
      </c>
      <c r="S78" s="82"/>
      <c r="T78" s="82"/>
      <c r="U78" s="82"/>
      <c r="V78" s="97">
        <v>0</v>
      </c>
      <c r="W78" s="115"/>
      <c r="X78" s="120" t="str">
        <f ca="1">IF(AND((Main_Issuance[[#This Row],[Expiry Date]]+31)&gt;TODAY(),Main_Issuance[[#This Row],[Status]]&lt;&gt;"Cancelled"),"Active","Cancelled")</f>
        <v>Cancelled</v>
      </c>
      <c r="Y78" s="410"/>
      <c r="Z78" s="408"/>
      <c r="AA78" s="408" t="s">
        <v>378</v>
      </c>
      <c r="AB78" s="83" cm="1">
        <f t="array" ref="AB78">Iss_Tariff(Main_Issuance[[#This Row],[Bank]],Main_Issuance[[#This Row],[LC Amt(SAR)]],Main_Issuance[[#This Row],[Issue Date.]],Main_Issuance[[#This Row],[Expiry Date]],Main_Issuance[[#This Row],[Calculate]])</f>
        <v>0</v>
      </c>
      <c r="AC78" s="83"/>
    </row>
    <row r="79" spans="1:29" ht="15.75" hidden="1" x14ac:dyDescent="0.25">
      <c r="A79" s="114" t="s">
        <v>561</v>
      </c>
      <c r="B79" s="77">
        <v>45638</v>
      </c>
      <c r="C79" s="77" t="s">
        <v>441</v>
      </c>
      <c r="D79" s="115" t="s">
        <v>20</v>
      </c>
      <c r="E79" s="115" t="s">
        <v>373</v>
      </c>
      <c r="F79" s="115" t="s">
        <v>483</v>
      </c>
      <c r="G79" s="115" t="s">
        <v>540</v>
      </c>
      <c r="H79" s="113" t="s">
        <v>24</v>
      </c>
      <c r="I79" s="115" t="s">
        <v>22</v>
      </c>
      <c r="J79" s="115">
        <v>1020055</v>
      </c>
      <c r="K79" s="115" t="s">
        <v>26</v>
      </c>
      <c r="L79" s="60">
        <v>530482.57999999996</v>
      </c>
      <c r="M79" s="60">
        <v>1</v>
      </c>
      <c r="N79" s="60">
        <f>Main_Issuance[[#This Row],[LC Amt(FCY)]]*Main_Issuance[[#This Row],[Rate]]</f>
        <v>530482.57999999996</v>
      </c>
      <c r="O79" s="77">
        <v>45747</v>
      </c>
      <c r="P79" s="77">
        <v>45747</v>
      </c>
      <c r="Q79" s="77" t="s">
        <v>27</v>
      </c>
      <c r="R79" s="115" t="s">
        <v>311</v>
      </c>
      <c r="S79" s="82"/>
      <c r="T79" s="82"/>
      <c r="U79" s="82"/>
      <c r="V79" s="97">
        <v>0</v>
      </c>
      <c r="W79" s="115"/>
      <c r="X79" s="120" t="str">
        <f ca="1">IF(AND((Main_Issuance[[#This Row],[Expiry Date]]+31)&gt;TODAY(),Main_Issuance[[#This Row],[Status]]&lt;&gt;"Cancelled"),"Active","Cancelled")</f>
        <v>Cancelled</v>
      </c>
      <c r="Y79" s="410"/>
      <c r="Z79" s="408"/>
      <c r="AA79" s="408" t="s">
        <v>378</v>
      </c>
      <c r="AB79" s="83" cm="1">
        <f t="array" ref="AB79">Iss_Tariff(Main_Issuance[[#This Row],[Bank]],Main_Issuance[[#This Row],[LC Amt(SAR)]],Main_Issuance[[#This Row],[Issue Date.]],Main_Issuance[[#This Row],[Expiry Date]],Main_Issuance[[#This Row],[Calculate]])</f>
        <v>0</v>
      </c>
      <c r="AC79" s="83"/>
    </row>
    <row r="80" spans="1:29" ht="15.75" hidden="1" x14ac:dyDescent="0.25">
      <c r="A80" s="114" t="s">
        <v>680</v>
      </c>
      <c r="B80" s="77">
        <v>45684</v>
      </c>
      <c r="C80" s="77" t="s">
        <v>509</v>
      </c>
      <c r="D80" s="115" t="s">
        <v>20</v>
      </c>
      <c r="E80" s="115" t="s">
        <v>95</v>
      </c>
      <c r="F80" s="115" t="s">
        <v>96</v>
      </c>
      <c r="G80" s="115" t="s">
        <v>540</v>
      </c>
      <c r="H80" s="113" t="s">
        <v>24</v>
      </c>
      <c r="I80" s="115" t="s">
        <v>407</v>
      </c>
      <c r="J80" s="115">
        <v>1020100</v>
      </c>
      <c r="K80" s="115" t="s">
        <v>26</v>
      </c>
      <c r="L80" s="60">
        <v>350000</v>
      </c>
      <c r="M80" s="60">
        <v>1</v>
      </c>
      <c r="N80" s="60">
        <f>Main_Issuance[[#This Row],[LC Amt(FCY)]]*Main_Issuance[[#This Row],[Rate]]</f>
        <v>350000</v>
      </c>
      <c r="O80" s="77">
        <v>45777</v>
      </c>
      <c r="P80" s="77">
        <v>45777</v>
      </c>
      <c r="Q80" s="77" t="s">
        <v>27</v>
      </c>
      <c r="R80" s="115" t="s">
        <v>311</v>
      </c>
      <c r="S80" s="82"/>
      <c r="T80" s="82"/>
      <c r="U80" s="82"/>
      <c r="V80" s="97">
        <v>0</v>
      </c>
      <c r="W80" s="115"/>
      <c r="X80" s="120" t="str">
        <f ca="1">IF(AND((Main_Issuance[[#This Row],[Expiry Date]]+31)&gt;TODAY(),Main_Issuance[[#This Row],[Status]]&lt;&gt;"Cancelled"),"Active","Cancelled")</f>
        <v>Cancelled</v>
      </c>
      <c r="Y80" s="410"/>
      <c r="Z80" s="408"/>
      <c r="AA80" s="408" t="s">
        <v>378</v>
      </c>
      <c r="AB80" s="83" cm="1">
        <f t="array" ref="AB80">Iss_Tariff(Main_Issuance[[#This Row],[Bank]],Main_Issuance[[#This Row],[LC Amt(SAR)]],Main_Issuance[[#This Row],[Issue Date.]],Main_Issuance[[#This Row],[Expiry Date]],Main_Issuance[[#This Row],[Calculate]])</f>
        <v>0</v>
      </c>
      <c r="AC80" s="83"/>
    </row>
    <row r="81" spans="1:29" ht="15.75" hidden="1" x14ac:dyDescent="0.25">
      <c r="A81" s="114" t="s">
        <v>586</v>
      </c>
      <c r="B81" s="77">
        <v>45664</v>
      </c>
      <c r="C81" s="77" t="s">
        <v>441</v>
      </c>
      <c r="D81" s="115" t="s">
        <v>20</v>
      </c>
      <c r="E81" s="115" t="s">
        <v>21</v>
      </c>
      <c r="F81" s="115" t="s">
        <v>22</v>
      </c>
      <c r="G81" s="115" t="s">
        <v>587</v>
      </c>
      <c r="H81" s="113" t="s">
        <v>24</v>
      </c>
      <c r="I81" s="115" t="s">
        <v>22</v>
      </c>
      <c r="J81" s="115">
        <v>1020055</v>
      </c>
      <c r="K81" s="115" t="s">
        <v>26</v>
      </c>
      <c r="L81" s="60">
        <v>1500000</v>
      </c>
      <c r="M81" s="60">
        <v>1</v>
      </c>
      <c r="N81" s="60">
        <f>Main_Issuance[[#This Row],[LC Amt(FCY)]]*Main_Issuance[[#This Row],[Rate]]</f>
        <v>1500000</v>
      </c>
      <c r="O81" s="77">
        <v>45747</v>
      </c>
      <c r="P81" s="77">
        <v>45747</v>
      </c>
      <c r="Q81" s="77" t="s">
        <v>27</v>
      </c>
      <c r="R81" s="115" t="s">
        <v>311</v>
      </c>
      <c r="S81" s="82"/>
      <c r="T81" s="82"/>
      <c r="U81" s="82"/>
      <c r="V81" s="97">
        <v>0</v>
      </c>
      <c r="W81" s="115"/>
      <c r="X81" s="120" t="str">
        <f ca="1">IF(AND((Main_Issuance[[#This Row],[Expiry Date]]+31)&gt;TODAY(),Main_Issuance[[#This Row],[Status]]&lt;&gt;"Cancelled"),"Active","Cancelled")</f>
        <v>Cancelled</v>
      </c>
      <c r="Y81" s="410"/>
      <c r="Z81" s="408"/>
      <c r="AA81" s="408" t="s">
        <v>378</v>
      </c>
      <c r="AB81" s="83" cm="1">
        <f t="array" ref="AB81">Iss_Tariff(Main_Issuance[[#This Row],[Bank]],Main_Issuance[[#This Row],[LC Amt(SAR)]],Main_Issuance[[#This Row],[Issue Date.]],Main_Issuance[[#This Row],[Expiry Date]],Main_Issuance[[#This Row],[Calculate]])</f>
        <v>0</v>
      </c>
      <c r="AC81" s="83"/>
    </row>
    <row r="82" spans="1:29" ht="15.75" hidden="1" x14ac:dyDescent="0.25">
      <c r="A82" s="114" t="s">
        <v>631</v>
      </c>
      <c r="B82" s="77">
        <v>45680</v>
      </c>
      <c r="C82" s="77" t="s">
        <v>441</v>
      </c>
      <c r="D82" s="115" t="s">
        <v>20</v>
      </c>
      <c r="E82" s="115" t="s">
        <v>21</v>
      </c>
      <c r="F82" s="115" t="s">
        <v>22</v>
      </c>
      <c r="G82" s="115" t="s">
        <v>587</v>
      </c>
      <c r="H82" s="113" t="s">
        <v>24</v>
      </c>
      <c r="I82" s="115" t="s">
        <v>22</v>
      </c>
      <c r="J82" s="115">
        <v>1020055</v>
      </c>
      <c r="K82" s="115" t="s">
        <v>26</v>
      </c>
      <c r="L82" s="60">
        <v>650000</v>
      </c>
      <c r="M82" s="60">
        <v>1</v>
      </c>
      <c r="N82" s="60">
        <f>Main_Issuance[[#This Row],[LC Amt(FCY)]]*Main_Issuance[[#This Row],[Rate]]</f>
        <v>650000</v>
      </c>
      <c r="O82" s="77">
        <v>45777</v>
      </c>
      <c r="P82" s="77">
        <v>45777</v>
      </c>
      <c r="Q82" s="77" t="s">
        <v>27</v>
      </c>
      <c r="R82" s="115" t="s">
        <v>311</v>
      </c>
      <c r="S82" s="82"/>
      <c r="T82" s="82"/>
      <c r="U82" s="82"/>
      <c r="V82" s="97">
        <v>0</v>
      </c>
      <c r="W82" s="115"/>
      <c r="X82" s="120" t="str">
        <f ca="1">IF(AND((Main_Issuance[[#This Row],[Expiry Date]]+31)&gt;TODAY(),Main_Issuance[[#This Row],[Status]]&lt;&gt;"Cancelled"),"Active","Cancelled")</f>
        <v>Cancelled</v>
      </c>
      <c r="Y82" s="410"/>
      <c r="Z82" s="408"/>
      <c r="AA82" s="408" t="s">
        <v>378</v>
      </c>
      <c r="AB82" s="83" cm="1">
        <f t="array" ref="AB82">Iss_Tariff(Main_Issuance[[#This Row],[Bank]],Main_Issuance[[#This Row],[LC Amt(SAR)]],Main_Issuance[[#This Row],[Issue Date.]],Main_Issuance[[#This Row],[Expiry Date]],Main_Issuance[[#This Row],[Calculate]])</f>
        <v>0</v>
      </c>
      <c r="AC82" s="83"/>
    </row>
    <row r="83" spans="1:29" ht="15.75" hidden="1" x14ac:dyDescent="0.25">
      <c r="A83" s="114" t="s">
        <v>1660</v>
      </c>
      <c r="B83" s="77">
        <v>45869</v>
      </c>
      <c r="C83" s="77" t="s">
        <v>441</v>
      </c>
      <c r="D83" s="115" t="s">
        <v>20</v>
      </c>
      <c r="E83" s="115" t="s">
        <v>21</v>
      </c>
      <c r="F83" s="115" t="s">
        <v>22</v>
      </c>
      <c r="G83" s="115" t="s">
        <v>587</v>
      </c>
      <c r="H83" s="113" t="s">
        <v>24</v>
      </c>
      <c r="I83" s="115" t="s">
        <v>22</v>
      </c>
      <c r="J83" s="115">
        <v>1020055</v>
      </c>
      <c r="K83" s="115" t="s">
        <v>26</v>
      </c>
      <c r="L83" s="60">
        <v>417625.03</v>
      </c>
      <c r="M83" s="60">
        <v>1</v>
      </c>
      <c r="N83" s="60">
        <f>Main_Issuance[[#This Row],[LC Amt(FCY)]]*Main_Issuance[[#This Row],[Rate]]</f>
        <v>417625.03</v>
      </c>
      <c r="O83" s="77">
        <v>45961</v>
      </c>
      <c r="P83" s="77">
        <v>45961</v>
      </c>
      <c r="Q83" s="77" t="s">
        <v>27</v>
      </c>
      <c r="R83" s="115" t="s">
        <v>621</v>
      </c>
      <c r="S83" s="82"/>
      <c r="T83" s="82"/>
      <c r="U83" s="82"/>
      <c r="V83" s="97">
        <v>0</v>
      </c>
      <c r="W83" s="115"/>
      <c r="X83" s="120" t="str">
        <f ca="1">IF(AND((Main_Issuance[[#This Row],[Expiry Date]]+31)&gt;TODAY(),Main_Issuance[[#This Row],[Status]]&lt;&gt;"Cancelled"),"Active","Cancelled")</f>
        <v>Cancelled</v>
      </c>
      <c r="Y83" s="410"/>
      <c r="Z83" s="408"/>
      <c r="AA83" s="408" t="s">
        <v>378</v>
      </c>
      <c r="AB83" s="83" cm="1">
        <f t="array" ref="AB83">Iss_Tariff(Main_Issuance[[#This Row],[Bank]],Main_Issuance[[#This Row],[LC Amt(SAR)]],Main_Issuance[[#This Row],[Issue Date.]],Main_Issuance[[#This Row],[Expiry Date]],Main_Issuance[[#This Row],[Calculate]])</f>
        <v>0</v>
      </c>
      <c r="AC83" s="83"/>
    </row>
    <row r="84" spans="1:29" ht="15.75" hidden="1" x14ac:dyDescent="0.25">
      <c r="A84" s="114" t="s">
        <v>2619</v>
      </c>
      <c r="B84" s="77">
        <v>45973</v>
      </c>
      <c r="C84" s="77" t="s">
        <v>441</v>
      </c>
      <c r="D84" s="115" t="s">
        <v>20</v>
      </c>
      <c r="E84" s="115" t="s">
        <v>21</v>
      </c>
      <c r="F84" s="115" t="s">
        <v>22</v>
      </c>
      <c r="G84" s="115" t="s">
        <v>587</v>
      </c>
      <c r="H84" s="113" t="s">
        <v>24</v>
      </c>
      <c r="I84" s="113" t="s">
        <v>22</v>
      </c>
      <c r="J84" s="113">
        <v>1020055</v>
      </c>
      <c r="K84" s="115" t="s">
        <v>26</v>
      </c>
      <c r="L84" s="119">
        <v>1252435.67</v>
      </c>
      <c r="M84" s="82">
        <v>1</v>
      </c>
      <c r="N84" s="82">
        <f>Main_Issuance[[#This Row],[LC Amt(FCY)]]*Main_Issuance[[#This Row],[Rate]]</f>
        <v>1252435.67</v>
      </c>
      <c r="O84" s="77">
        <v>46081</v>
      </c>
      <c r="P84" s="77">
        <v>46081</v>
      </c>
      <c r="Q84" s="77" t="s">
        <v>27</v>
      </c>
      <c r="R84" s="115" t="s">
        <v>1904</v>
      </c>
      <c r="S84" s="82"/>
      <c r="T84" s="82"/>
      <c r="U84" s="82"/>
      <c r="V84" s="97">
        <v>0</v>
      </c>
      <c r="W84" s="115"/>
      <c r="X84" s="120" t="str">
        <f ca="1">IF(AND((Main_Issuance[[#This Row],[Expiry Date]]+31)&gt;TODAY(),Main_Issuance[[#This Row],[Status]]&lt;&gt;"Cancelled"),"Active","Cancelled")</f>
        <v>Cancelled</v>
      </c>
      <c r="Y84" s="409"/>
      <c r="Z84" s="408"/>
      <c r="AA84" s="408" t="s">
        <v>857</v>
      </c>
      <c r="AB84" s="83" cm="1">
        <f t="array" ref="AB84">Iss_Tariff(Main_Issuance[[#This Row],[Bank]],Main_Issuance[[#This Row],[LC Amt(SAR)]],Main_Issuance[[#This Row],[Issue Date.]],Main_Issuance[[#This Row],[Expiry Date]],Main_Issuance[[#This Row],[Calculate]])</f>
        <v>4081.35</v>
      </c>
      <c r="AC84" s="83"/>
    </row>
    <row r="85" spans="1:29" ht="15.75" hidden="1" x14ac:dyDescent="0.25">
      <c r="A85" s="114" t="s">
        <v>40</v>
      </c>
      <c r="B85" s="77">
        <v>45222</v>
      </c>
      <c r="C85" s="77" t="s">
        <v>441</v>
      </c>
      <c r="D85" s="115" t="s">
        <v>20</v>
      </c>
      <c r="E85" s="115" t="s">
        <v>21</v>
      </c>
      <c r="F85" s="115" t="s">
        <v>22</v>
      </c>
      <c r="G85" s="115" t="s">
        <v>41</v>
      </c>
      <c r="H85" s="113" t="s">
        <v>24</v>
      </c>
      <c r="I85" s="115" t="s">
        <v>22</v>
      </c>
      <c r="J85" s="115">
        <v>1020055</v>
      </c>
      <c r="K85" s="115" t="s">
        <v>26</v>
      </c>
      <c r="L85" s="60">
        <v>3320000</v>
      </c>
      <c r="M85" s="60">
        <v>1</v>
      </c>
      <c r="N85" s="60">
        <f>Main_Issuance[[#This Row],[LC Amt(FCY)]]*Main_Issuance[[#This Row],[Rate]]</f>
        <v>3320000</v>
      </c>
      <c r="O85" s="77">
        <v>45474</v>
      </c>
      <c r="P85" s="77">
        <v>45474</v>
      </c>
      <c r="Q85" s="77" t="s">
        <v>27</v>
      </c>
      <c r="R85" s="115" t="s">
        <v>35</v>
      </c>
      <c r="S85" s="82"/>
      <c r="T85" s="82"/>
      <c r="U85" s="82"/>
      <c r="V85" s="97">
        <v>0</v>
      </c>
      <c r="W85" s="115"/>
      <c r="X85" s="120" t="str">
        <f ca="1">IF(AND((Main_Issuance[[#This Row],[Expiry Date]]+31)&gt;TODAY(),Main_Issuance[[#This Row],[Status]]&lt;&gt;"Cancelled"),"Active","Cancelled")</f>
        <v>Cancelled</v>
      </c>
      <c r="Y85" s="410"/>
      <c r="Z85" s="408"/>
      <c r="AA85" s="408" t="s">
        <v>378</v>
      </c>
      <c r="AB85" s="83" cm="1">
        <f t="array" ref="AB85">Iss_Tariff(Main_Issuance[[#This Row],[Bank]],Main_Issuance[[#This Row],[LC Amt(SAR)]],Main_Issuance[[#This Row],[Issue Date.]],Main_Issuance[[#This Row],[Expiry Date]],Main_Issuance[[#This Row],[Calculate]])</f>
        <v>0</v>
      </c>
      <c r="AC85" s="83"/>
    </row>
    <row r="86" spans="1:29" ht="15.75" hidden="1" x14ac:dyDescent="0.25">
      <c r="A86" s="114" t="s">
        <v>147</v>
      </c>
      <c r="B86" s="77">
        <v>45020</v>
      </c>
      <c r="C86" s="77" t="s">
        <v>1182</v>
      </c>
      <c r="D86" s="115" t="s">
        <v>20</v>
      </c>
      <c r="E86" s="115" t="s">
        <v>21</v>
      </c>
      <c r="F86" s="115" t="s">
        <v>22</v>
      </c>
      <c r="G86" s="115" t="s">
        <v>41</v>
      </c>
      <c r="H86" s="113" t="s">
        <v>24</v>
      </c>
      <c r="I86" s="115" t="s">
        <v>90</v>
      </c>
      <c r="J86" s="115">
        <v>1020001</v>
      </c>
      <c r="K86" s="115" t="s">
        <v>26</v>
      </c>
      <c r="L86" s="60">
        <v>2952344.02</v>
      </c>
      <c r="M86" s="60">
        <v>1</v>
      </c>
      <c r="N86" s="60">
        <f>Main_Issuance[[#This Row],[LC Amt(FCY)]]*Main_Issuance[[#This Row],[Rate]]</f>
        <v>2952344.02</v>
      </c>
      <c r="O86" s="77">
        <v>45199</v>
      </c>
      <c r="P86" s="77">
        <v>45199</v>
      </c>
      <c r="Q86" s="77" t="s">
        <v>27</v>
      </c>
      <c r="R86" s="115"/>
      <c r="S86" s="82"/>
      <c r="T86" s="82"/>
      <c r="U86" s="82"/>
      <c r="V86" s="97">
        <v>0</v>
      </c>
      <c r="W86" s="115"/>
      <c r="X86" s="120" t="str">
        <f ca="1">IF(AND((Main_Issuance[[#This Row],[Expiry Date]]+31)&gt;TODAY(),Main_Issuance[[#This Row],[Status]]&lt;&gt;"Cancelled"),"Active","Cancelled")</f>
        <v>Cancelled</v>
      </c>
      <c r="Y86" s="410"/>
      <c r="Z86" s="408"/>
      <c r="AA86" s="408" t="s">
        <v>378</v>
      </c>
      <c r="AB86" s="83" cm="1">
        <f t="array" ref="AB86">Iss_Tariff(Main_Issuance[[#This Row],[Bank]],Main_Issuance[[#This Row],[LC Amt(SAR)]],Main_Issuance[[#This Row],[Issue Date.]],Main_Issuance[[#This Row],[Expiry Date]],Main_Issuance[[#This Row],[Calculate]])</f>
        <v>0</v>
      </c>
      <c r="AC86" s="83"/>
    </row>
    <row r="87" spans="1:29" ht="15.75" hidden="1" x14ac:dyDescent="0.25">
      <c r="A87" s="114" t="s">
        <v>804</v>
      </c>
      <c r="B87" s="77">
        <v>45739</v>
      </c>
      <c r="C87" s="77" t="s">
        <v>441</v>
      </c>
      <c r="D87" s="115" t="s">
        <v>20</v>
      </c>
      <c r="E87" s="115" t="s">
        <v>21</v>
      </c>
      <c r="F87" s="115" t="s">
        <v>22</v>
      </c>
      <c r="G87" s="115" t="s">
        <v>805</v>
      </c>
      <c r="H87" s="113" t="s">
        <v>24</v>
      </c>
      <c r="I87" s="115" t="s">
        <v>22</v>
      </c>
      <c r="J87" s="115">
        <v>1020055</v>
      </c>
      <c r="K87" s="115" t="s">
        <v>26</v>
      </c>
      <c r="L87" s="60">
        <v>300000</v>
      </c>
      <c r="M87" s="60">
        <v>1</v>
      </c>
      <c r="N87" s="60">
        <f>Main_Issuance[[#This Row],[LC Amt(FCY)]]*Main_Issuance[[#This Row],[Rate]]</f>
        <v>300000</v>
      </c>
      <c r="O87" s="77">
        <v>45838</v>
      </c>
      <c r="P87" s="77">
        <v>45838</v>
      </c>
      <c r="Q87" s="77" t="s">
        <v>27</v>
      </c>
      <c r="R87" s="115" t="s">
        <v>311</v>
      </c>
      <c r="S87" s="82"/>
      <c r="T87" s="82"/>
      <c r="U87" s="82"/>
      <c r="V87" s="97">
        <v>0</v>
      </c>
      <c r="W87" s="115"/>
      <c r="X87" s="120" t="str">
        <f ca="1">IF(AND((Main_Issuance[[#This Row],[Expiry Date]]+31)&gt;TODAY(),Main_Issuance[[#This Row],[Status]]&lt;&gt;"Cancelled"),"Active","Cancelled")</f>
        <v>Cancelled</v>
      </c>
      <c r="Y87" s="410"/>
      <c r="Z87" s="408"/>
      <c r="AA87" s="408" t="s">
        <v>378</v>
      </c>
      <c r="AB87" s="83" cm="1">
        <f t="array" ref="AB87">Iss_Tariff(Main_Issuance[[#This Row],[Bank]],Main_Issuance[[#This Row],[LC Amt(SAR)]],Main_Issuance[[#This Row],[Issue Date.]],Main_Issuance[[#This Row],[Expiry Date]],Main_Issuance[[#This Row],[Calculate]])</f>
        <v>0</v>
      </c>
      <c r="AC87" s="83"/>
    </row>
    <row r="88" spans="1:29" ht="15.75" hidden="1" x14ac:dyDescent="0.25">
      <c r="A88" s="114" t="s">
        <v>1171</v>
      </c>
      <c r="B88" s="77">
        <v>45757</v>
      </c>
      <c r="C88" s="77" t="s">
        <v>441</v>
      </c>
      <c r="D88" s="115" t="s">
        <v>20</v>
      </c>
      <c r="E88" s="115" t="s">
        <v>366</v>
      </c>
      <c r="F88" s="115" t="s">
        <v>710</v>
      </c>
      <c r="G88" s="115" t="s">
        <v>838</v>
      </c>
      <c r="H88" s="113" t="s">
        <v>24</v>
      </c>
      <c r="I88" s="115" t="s">
        <v>710</v>
      </c>
      <c r="J88" s="115">
        <v>1020088</v>
      </c>
      <c r="K88" s="115" t="s">
        <v>26</v>
      </c>
      <c r="L88" s="60">
        <v>540000</v>
      </c>
      <c r="M88" s="60">
        <v>1</v>
      </c>
      <c r="N88" s="60">
        <f>Main_Issuance[[#This Row],[LC Amt(FCY)]]*Main_Issuance[[#This Row],[Rate]]</f>
        <v>540000</v>
      </c>
      <c r="O88" s="77">
        <v>45838</v>
      </c>
      <c r="P88" s="77">
        <v>45838</v>
      </c>
      <c r="Q88" s="77" t="s">
        <v>27</v>
      </c>
      <c r="R88" s="115" t="s">
        <v>311</v>
      </c>
      <c r="S88" s="82"/>
      <c r="T88" s="82"/>
      <c r="U88" s="82"/>
      <c r="V88" s="97">
        <v>0</v>
      </c>
      <c r="W88" s="115"/>
      <c r="X88" s="120" t="str">
        <f ca="1">IF(AND((Main_Issuance[[#This Row],[Expiry Date]]+31)&gt;TODAY(),Main_Issuance[[#This Row],[Status]]&lt;&gt;"Cancelled"),"Active","Cancelled")</f>
        <v>Cancelled</v>
      </c>
      <c r="Y88" s="410"/>
      <c r="Z88" s="408"/>
      <c r="AA88" s="408" t="s">
        <v>378</v>
      </c>
      <c r="AB88" s="83" cm="1">
        <f t="array" ref="AB88">Iss_Tariff(Main_Issuance[[#This Row],[Bank]],Main_Issuance[[#This Row],[LC Amt(SAR)]],Main_Issuance[[#This Row],[Issue Date.]],Main_Issuance[[#This Row],[Expiry Date]],Main_Issuance[[#This Row],[Calculate]])</f>
        <v>0</v>
      </c>
      <c r="AC88" s="83"/>
    </row>
    <row r="89" spans="1:29" ht="15.75" hidden="1" x14ac:dyDescent="0.25">
      <c r="A89" s="114" t="s">
        <v>4251</v>
      </c>
      <c r="B89" s="77">
        <v>46086</v>
      </c>
      <c r="C89" s="77" t="s">
        <v>441</v>
      </c>
      <c r="D89" s="115" t="s">
        <v>20</v>
      </c>
      <c r="E89" s="115" t="s">
        <v>366</v>
      </c>
      <c r="F89" s="115" t="s">
        <v>710</v>
      </c>
      <c r="G89" s="115" t="s">
        <v>4136</v>
      </c>
      <c r="H89" s="115" t="s">
        <v>24</v>
      </c>
      <c r="I89" s="115" t="s">
        <v>710</v>
      </c>
      <c r="J89" s="113">
        <v>1020088</v>
      </c>
      <c r="K89" s="115" t="s">
        <v>26</v>
      </c>
      <c r="L89" s="119">
        <v>1870380.07</v>
      </c>
      <c r="M89" s="82">
        <v>1</v>
      </c>
      <c r="N89" s="82">
        <f>Main_Issuance[[#This Row],[LC Amt(FCY)]]*Main_Issuance[[#This Row],[Rate]]</f>
        <v>1870380.07</v>
      </c>
      <c r="O89" s="77">
        <v>46265</v>
      </c>
      <c r="P89" s="77">
        <v>46265</v>
      </c>
      <c r="Q89" s="77" t="s">
        <v>27</v>
      </c>
      <c r="R89" s="115" t="s">
        <v>1904</v>
      </c>
      <c r="S89" s="82"/>
      <c r="T89" s="82"/>
      <c r="U89" s="82"/>
      <c r="V89" s="97">
        <v>0</v>
      </c>
      <c r="W89" s="115"/>
      <c r="X89" s="120" t="str">
        <f ca="1">IF(AND((Main_Issuance[[#This Row],[Expiry Date]]+31)&gt;TODAY(),Main_Issuance[[#This Row],[Status]]&lt;&gt;"Cancelled"),"Active","Cancelled")</f>
        <v>Active</v>
      </c>
      <c r="Y89" s="409"/>
      <c r="Z89" s="408"/>
      <c r="AA89" s="408" t="s">
        <v>857</v>
      </c>
      <c r="AB89" s="83" cm="1">
        <f t="array" ref="AB89">Iss_Tariff(Main_Issuance[[#This Row],[Bank]],Main_Issuance[[#This Row],[LC Amt(SAR)]],Main_Issuance[[#This Row],[Issue Date.]],Main_Issuance[[#This Row],[Expiry Date]],Main_Issuance[[#This Row],[Calculate]])</f>
        <v>10841.05</v>
      </c>
      <c r="AC89" s="83"/>
    </row>
    <row r="90" spans="1:29" ht="15.75" hidden="1" x14ac:dyDescent="0.25">
      <c r="A90" s="114" t="s">
        <v>247</v>
      </c>
      <c r="B90" s="77">
        <v>45292</v>
      </c>
      <c r="C90" s="77" t="s">
        <v>441</v>
      </c>
      <c r="D90" s="115" t="s">
        <v>20</v>
      </c>
      <c r="E90" s="115" t="s">
        <v>21</v>
      </c>
      <c r="F90" s="115" t="s">
        <v>22</v>
      </c>
      <c r="G90" s="115" t="s">
        <v>248</v>
      </c>
      <c r="H90" s="113" t="s">
        <v>24</v>
      </c>
      <c r="I90" s="115" t="s">
        <v>22</v>
      </c>
      <c r="J90" s="115">
        <v>1020055</v>
      </c>
      <c r="K90" s="115" t="s">
        <v>26</v>
      </c>
      <c r="L90" s="60">
        <v>1452474.33</v>
      </c>
      <c r="M90" s="60">
        <v>1</v>
      </c>
      <c r="N90" s="60">
        <f>Main_Issuance[[#This Row],[LC Amt(FCY)]]*Main_Issuance[[#This Row],[Rate]]</f>
        <v>1452474.33</v>
      </c>
      <c r="O90" s="77">
        <v>45442</v>
      </c>
      <c r="P90" s="77">
        <v>45442</v>
      </c>
      <c r="Q90" s="77" t="s">
        <v>27</v>
      </c>
      <c r="R90" s="115"/>
      <c r="S90" s="82"/>
      <c r="T90" s="82"/>
      <c r="U90" s="82"/>
      <c r="V90" s="97">
        <v>0</v>
      </c>
      <c r="W90" s="115"/>
      <c r="X90" s="120" t="str">
        <f ca="1">IF(AND((Main_Issuance[[#This Row],[Expiry Date]]+31)&gt;TODAY(),Main_Issuance[[#This Row],[Status]]&lt;&gt;"Cancelled"),"Active","Cancelled")</f>
        <v>Cancelled</v>
      </c>
      <c r="Y90" s="410"/>
      <c r="Z90" s="408"/>
      <c r="AA90" s="408" t="s">
        <v>378</v>
      </c>
      <c r="AB90" s="83" cm="1">
        <f t="array" ref="AB90">Iss_Tariff(Main_Issuance[[#This Row],[Bank]],Main_Issuance[[#This Row],[LC Amt(SAR)]],Main_Issuance[[#This Row],[Issue Date.]],Main_Issuance[[#This Row],[Expiry Date]],Main_Issuance[[#This Row],[Calculate]])</f>
        <v>0</v>
      </c>
      <c r="AC90" s="83"/>
    </row>
    <row r="91" spans="1:29" ht="15.75" hidden="1" x14ac:dyDescent="0.25">
      <c r="A91" s="114" t="s">
        <v>1862</v>
      </c>
      <c r="B91" s="77">
        <v>45911</v>
      </c>
      <c r="C91" s="77" t="s">
        <v>1537</v>
      </c>
      <c r="D91" s="115" t="s">
        <v>20</v>
      </c>
      <c r="E91" s="115" t="s">
        <v>62</v>
      </c>
      <c r="F91" s="115" t="s">
        <v>70</v>
      </c>
      <c r="G91" s="115" t="s">
        <v>1790</v>
      </c>
      <c r="H91" s="113" t="s">
        <v>24</v>
      </c>
      <c r="I91" s="115" t="s">
        <v>483</v>
      </c>
      <c r="J91" s="115">
        <v>1020096</v>
      </c>
      <c r="K91" s="115" t="s">
        <v>26</v>
      </c>
      <c r="L91" s="60">
        <v>250000</v>
      </c>
      <c r="M91" s="60">
        <v>1</v>
      </c>
      <c r="N91" s="60">
        <f>Main_Issuance[[#This Row],[LC Amt(FCY)]]*Main_Issuance[[#This Row],[Rate]]</f>
        <v>250000</v>
      </c>
      <c r="O91" s="77">
        <v>45991</v>
      </c>
      <c r="P91" s="77">
        <v>45991</v>
      </c>
      <c r="Q91" s="77" t="s">
        <v>70</v>
      </c>
      <c r="R91" s="115" t="s">
        <v>621</v>
      </c>
      <c r="S91" s="82"/>
      <c r="T91" s="82"/>
      <c r="U91" s="82"/>
      <c r="V91" s="97">
        <v>0</v>
      </c>
      <c r="W91" s="115"/>
      <c r="X91" s="120" t="str">
        <f ca="1">IF(AND((Main_Issuance[[#This Row],[Expiry Date]]+31)&gt;TODAY(),Main_Issuance[[#This Row],[Status]]&lt;&gt;"Cancelled"),"Active","Cancelled")</f>
        <v>Cancelled</v>
      </c>
      <c r="Y91" s="410"/>
      <c r="Z91" s="408"/>
      <c r="AA91" s="408" t="s">
        <v>378</v>
      </c>
      <c r="AB91" s="83" cm="1">
        <f t="array" ref="AB91">Iss_Tariff(Main_Issuance[[#This Row],[Bank]],Main_Issuance[[#This Row],[LC Amt(SAR)]],Main_Issuance[[#This Row],[Issue Date.]],Main_Issuance[[#This Row],[Expiry Date]],Main_Issuance[[#This Row],[Calculate]])</f>
        <v>0</v>
      </c>
      <c r="AC91" s="83"/>
    </row>
    <row r="92" spans="1:29" ht="15.75" hidden="1" x14ac:dyDescent="0.25">
      <c r="A92" s="114" t="s">
        <v>390</v>
      </c>
      <c r="B92" s="77">
        <v>45551</v>
      </c>
      <c r="C92" s="77" t="s">
        <v>441</v>
      </c>
      <c r="D92" s="115" t="s">
        <v>20</v>
      </c>
      <c r="E92" s="115" t="s">
        <v>95</v>
      </c>
      <c r="F92" s="115" t="s">
        <v>96</v>
      </c>
      <c r="G92" s="115" t="s">
        <v>391</v>
      </c>
      <c r="H92" s="113" t="s">
        <v>24</v>
      </c>
      <c r="I92" s="115" t="s">
        <v>22</v>
      </c>
      <c r="J92" s="115">
        <v>1020055</v>
      </c>
      <c r="K92" s="115" t="s">
        <v>26</v>
      </c>
      <c r="L92" s="60">
        <v>769558.85</v>
      </c>
      <c r="M92" s="60">
        <v>1</v>
      </c>
      <c r="N92" s="60">
        <f>Main_Issuance[[#This Row],[LC Amt(FCY)]]*Main_Issuance[[#This Row],[Rate]]</f>
        <v>769558.85</v>
      </c>
      <c r="O92" s="77">
        <v>45626</v>
      </c>
      <c r="P92" s="77">
        <v>45600</v>
      </c>
      <c r="Q92" s="77" t="s">
        <v>27</v>
      </c>
      <c r="R92" s="115" t="s">
        <v>311</v>
      </c>
      <c r="S92" s="82"/>
      <c r="T92" s="82"/>
      <c r="U92" s="82"/>
      <c r="V92" s="97">
        <v>0</v>
      </c>
      <c r="W92" s="115"/>
      <c r="X92" s="120" t="str">
        <f ca="1">IF(AND((Main_Issuance[[#This Row],[Expiry Date]]+31)&gt;TODAY(),Main_Issuance[[#This Row],[Status]]&lt;&gt;"Cancelled"),"Active","Cancelled")</f>
        <v>Cancelled</v>
      </c>
      <c r="Y92" s="410"/>
      <c r="Z92" s="408"/>
      <c r="AA92" s="408" t="s">
        <v>378</v>
      </c>
      <c r="AB92" s="83" cm="1">
        <f t="array" ref="AB92">Iss_Tariff(Main_Issuance[[#This Row],[Bank]],Main_Issuance[[#This Row],[LC Amt(SAR)]],Main_Issuance[[#This Row],[Issue Date.]],Main_Issuance[[#This Row],[Expiry Date]],Main_Issuance[[#This Row],[Calculate]])</f>
        <v>0</v>
      </c>
      <c r="AC92" s="83"/>
    </row>
    <row r="93" spans="1:29" ht="15.75" hidden="1" x14ac:dyDescent="0.25">
      <c r="A93" s="114" t="s">
        <v>1747</v>
      </c>
      <c r="B93" s="77">
        <v>45883</v>
      </c>
      <c r="C93" s="77" t="s">
        <v>1727</v>
      </c>
      <c r="D93" s="115" t="s">
        <v>20</v>
      </c>
      <c r="E93" s="115" t="s">
        <v>62</v>
      </c>
      <c r="F93" s="115" t="s">
        <v>70</v>
      </c>
      <c r="G93" s="115" t="s">
        <v>1708</v>
      </c>
      <c r="H93" s="113" t="s">
        <v>869</v>
      </c>
      <c r="I93" s="115" t="s">
        <v>1762</v>
      </c>
      <c r="J93" s="115"/>
      <c r="K93" s="115" t="s">
        <v>26</v>
      </c>
      <c r="L93" s="60">
        <v>500575.54</v>
      </c>
      <c r="M93" s="60">
        <v>1</v>
      </c>
      <c r="N93" s="60">
        <f>Main_Issuance[[#This Row],[LC Amt(FCY)]]*Main_Issuance[[#This Row],[Rate]]</f>
        <v>500575.54</v>
      </c>
      <c r="O93" s="77">
        <v>45930</v>
      </c>
      <c r="P93" s="77">
        <v>45915</v>
      </c>
      <c r="Q93" s="77" t="s">
        <v>70</v>
      </c>
      <c r="R93" s="115" t="s">
        <v>208</v>
      </c>
      <c r="S93" s="82"/>
      <c r="T93" s="82"/>
      <c r="U93" s="82"/>
      <c r="V93" s="97"/>
      <c r="W93" s="115"/>
      <c r="X93" s="120" t="str">
        <f ca="1">IF(AND((Main_Issuance[[#This Row],[Expiry Date]]+31)&gt;TODAY(),Main_Issuance[[#This Row],[Status]]&lt;&gt;"Cancelled"),"Active","Cancelled")</f>
        <v>Cancelled</v>
      </c>
      <c r="Y93" s="410"/>
      <c r="Z93" s="408"/>
      <c r="AA93" s="408" t="s">
        <v>378</v>
      </c>
      <c r="AB93" s="83" cm="1">
        <f t="array" ref="AB93">Iss_Tariff(Main_Issuance[[#This Row],[Bank]],Main_Issuance[[#This Row],[LC Amt(SAR)]],Main_Issuance[[#This Row],[Issue Date.]],Main_Issuance[[#This Row],[Expiry Date]],Main_Issuance[[#This Row],[Calculate]])</f>
        <v>0</v>
      </c>
      <c r="AC93" s="83"/>
    </row>
    <row r="94" spans="1:29" ht="15.75" hidden="1" x14ac:dyDescent="0.25">
      <c r="A94" s="115" t="s">
        <v>1167</v>
      </c>
      <c r="B94" s="77">
        <v>45757</v>
      </c>
      <c r="C94" s="77" t="s">
        <v>441</v>
      </c>
      <c r="D94" s="115" t="s">
        <v>20</v>
      </c>
      <c r="E94" s="115" t="s">
        <v>366</v>
      </c>
      <c r="F94" s="115" t="s">
        <v>710</v>
      </c>
      <c r="G94" s="115" t="s">
        <v>835</v>
      </c>
      <c r="H94" s="113" t="s">
        <v>24</v>
      </c>
      <c r="I94" s="115" t="s">
        <v>710</v>
      </c>
      <c r="J94" s="115">
        <v>1020088</v>
      </c>
      <c r="K94" s="115" t="s">
        <v>26</v>
      </c>
      <c r="L94" s="60">
        <v>4581071.46</v>
      </c>
      <c r="M94" s="60">
        <v>1</v>
      </c>
      <c r="N94" s="60">
        <f>Main_Issuance[[#This Row],[LC Amt(FCY)]]*Main_Issuance[[#This Row],[Rate]]</f>
        <v>4581071.46</v>
      </c>
      <c r="O94" s="77">
        <v>45838</v>
      </c>
      <c r="P94" s="77">
        <v>45838</v>
      </c>
      <c r="Q94" s="77" t="s">
        <v>27</v>
      </c>
      <c r="R94" s="115" t="s">
        <v>425</v>
      </c>
      <c r="S94" s="82"/>
      <c r="T94" s="82"/>
      <c r="U94" s="82"/>
      <c r="V94" s="97">
        <v>0</v>
      </c>
      <c r="W94" s="115"/>
      <c r="X94" s="77" t="str">
        <f ca="1">IF(AND((Main_Issuance[[#This Row],[Expiry Date]]+31)&gt;TODAY(),Main_Issuance[[#This Row],[Status]]&lt;&gt;"Cancelled"),"Active","Cancelled")</f>
        <v>Cancelled</v>
      </c>
      <c r="Y94" s="410"/>
      <c r="Z94" s="408"/>
      <c r="AA94" s="408" t="s">
        <v>378</v>
      </c>
      <c r="AB94" s="83" cm="1">
        <f t="array" ref="AB94">Iss_Tariff(Main_Issuance[[#This Row],[Bank]],Main_Issuance[[#This Row],[LC Amt(SAR)]],Main_Issuance[[#This Row],[Issue Date.]],Main_Issuance[[#This Row],[Expiry Date]],Main_Issuance[[#This Row],[Calculate]])</f>
        <v>0</v>
      </c>
      <c r="AC94" s="83"/>
    </row>
    <row r="95" spans="1:29" ht="15.75" hidden="1" x14ac:dyDescent="0.25">
      <c r="A95" s="114" t="s">
        <v>1518</v>
      </c>
      <c r="B95" s="77">
        <v>45834</v>
      </c>
      <c r="C95" s="77" t="s">
        <v>441</v>
      </c>
      <c r="D95" s="115" t="s">
        <v>20</v>
      </c>
      <c r="E95" s="115" t="s">
        <v>21</v>
      </c>
      <c r="F95" s="115" t="s">
        <v>22</v>
      </c>
      <c r="G95" s="115" t="s">
        <v>1464</v>
      </c>
      <c r="H95" s="113" t="s">
        <v>24</v>
      </c>
      <c r="I95" s="115" t="s">
        <v>407</v>
      </c>
      <c r="J95" s="115">
        <v>1020100</v>
      </c>
      <c r="K95" s="115" t="s">
        <v>26</v>
      </c>
      <c r="L95" s="60">
        <v>350461</v>
      </c>
      <c r="M95" s="60">
        <v>1</v>
      </c>
      <c r="N95" s="60">
        <f>Main_Issuance[[#This Row],[LC Amt(FCY)]]*Main_Issuance[[#This Row],[Rate]]</f>
        <v>350461</v>
      </c>
      <c r="O95" s="77">
        <v>45961</v>
      </c>
      <c r="P95" s="77">
        <v>45961</v>
      </c>
      <c r="Q95" s="77" t="s">
        <v>27</v>
      </c>
      <c r="R95" s="115" t="s">
        <v>621</v>
      </c>
      <c r="S95" s="82"/>
      <c r="T95" s="82"/>
      <c r="U95" s="82"/>
      <c r="V95" s="97">
        <v>0</v>
      </c>
      <c r="W95" s="115" t="s">
        <v>1846</v>
      </c>
      <c r="X95" s="120" t="str">
        <f ca="1">IF(AND((Main_Issuance[[#This Row],[Expiry Date]]+31)&gt;TODAY(),Main_Issuance[[#This Row],[Status]]&lt;&gt;"Cancelled"),"Active","Cancelled")</f>
        <v>Cancelled</v>
      </c>
      <c r="Y95" s="410"/>
      <c r="Z95" s="408"/>
      <c r="AA95" s="408" t="s">
        <v>378</v>
      </c>
      <c r="AB95" s="83" cm="1">
        <f t="array" ref="AB95">Iss_Tariff(Main_Issuance[[#This Row],[Bank]],Main_Issuance[[#This Row],[LC Amt(SAR)]],Main_Issuance[[#This Row],[Issue Date.]],Main_Issuance[[#This Row],[Expiry Date]],Main_Issuance[[#This Row],[Calculate]])</f>
        <v>0</v>
      </c>
      <c r="AC95" s="83"/>
    </row>
    <row r="96" spans="1:29" ht="15.75" hidden="1" x14ac:dyDescent="0.25">
      <c r="A96" s="114" t="s">
        <v>1808</v>
      </c>
      <c r="B96" s="77">
        <v>45895</v>
      </c>
      <c r="C96" s="77" t="s">
        <v>1181</v>
      </c>
      <c r="D96" s="115" t="s">
        <v>20</v>
      </c>
      <c r="E96" s="115" t="s">
        <v>366</v>
      </c>
      <c r="F96" s="115" t="s">
        <v>710</v>
      </c>
      <c r="G96" s="115" t="s">
        <v>1754</v>
      </c>
      <c r="H96" s="113" t="s">
        <v>1791</v>
      </c>
      <c r="I96" s="115" t="s">
        <v>81</v>
      </c>
      <c r="J96" s="115">
        <v>1020070</v>
      </c>
      <c r="K96" s="115" t="s">
        <v>26</v>
      </c>
      <c r="L96" s="60">
        <v>699367</v>
      </c>
      <c r="M96" s="60">
        <v>1</v>
      </c>
      <c r="N96" s="60">
        <f>Main_Issuance[[#This Row],[LC Amt(FCY)]]*Main_Issuance[[#This Row],[Rate]]</f>
        <v>699367</v>
      </c>
      <c r="O96" s="77">
        <v>45931</v>
      </c>
      <c r="P96" s="77">
        <v>45931</v>
      </c>
      <c r="Q96" s="77" t="s">
        <v>27</v>
      </c>
      <c r="R96" s="115" t="s">
        <v>1755</v>
      </c>
      <c r="S96" s="82"/>
      <c r="T96" s="82"/>
      <c r="U96" s="82"/>
      <c r="V96" s="97">
        <v>0</v>
      </c>
      <c r="W96" s="115"/>
      <c r="X96" s="120" t="str">
        <f ca="1">IF(AND((Main_Issuance[[#This Row],[Expiry Date]]+31)&gt;TODAY(),Main_Issuance[[#This Row],[Status]]&lt;&gt;"Cancelled"),"Active","Cancelled")</f>
        <v>Cancelled</v>
      </c>
      <c r="Y96" s="410"/>
      <c r="Z96" s="408"/>
      <c r="AA96" s="408" t="s">
        <v>378</v>
      </c>
      <c r="AB96" s="83" cm="1">
        <f t="array" ref="AB96">Iss_Tariff(Main_Issuance[[#This Row],[Bank]],Main_Issuance[[#This Row],[LC Amt(SAR)]],Main_Issuance[[#This Row],[Issue Date.]],Main_Issuance[[#This Row],[Expiry Date]],Main_Issuance[[#This Row],[Calculate]])</f>
        <v>0</v>
      </c>
      <c r="AC96" s="83"/>
    </row>
    <row r="97" spans="1:29" ht="15.75" hidden="1" x14ac:dyDescent="0.25">
      <c r="A97" s="114" t="s">
        <v>19</v>
      </c>
      <c r="B97" s="77">
        <v>45064</v>
      </c>
      <c r="C97" s="77" t="s">
        <v>1182</v>
      </c>
      <c r="D97" s="115" t="s">
        <v>20</v>
      </c>
      <c r="E97" s="115" t="s">
        <v>21</v>
      </c>
      <c r="F97" s="115" t="s">
        <v>22</v>
      </c>
      <c r="G97" s="115" t="s">
        <v>23</v>
      </c>
      <c r="H97" s="113" t="s">
        <v>24</v>
      </c>
      <c r="I97" s="115" t="s">
        <v>25</v>
      </c>
      <c r="J97" s="115">
        <v>1020052</v>
      </c>
      <c r="K97" s="115" t="s">
        <v>26</v>
      </c>
      <c r="L97" s="60">
        <v>2765061.4699999997</v>
      </c>
      <c r="M97" s="60">
        <v>1</v>
      </c>
      <c r="N97" s="60">
        <f>Main_Issuance[[#This Row],[LC Amt(FCY)]]*Main_Issuance[[#This Row],[Rate]]</f>
        <v>2765061.4699999997</v>
      </c>
      <c r="O97" s="77">
        <v>45503</v>
      </c>
      <c r="P97" s="77">
        <v>45503</v>
      </c>
      <c r="Q97" s="77" t="s">
        <v>27</v>
      </c>
      <c r="R97" s="115" t="s">
        <v>28</v>
      </c>
      <c r="S97" s="82"/>
      <c r="T97" s="82"/>
      <c r="U97" s="82"/>
      <c r="V97" s="97">
        <v>0</v>
      </c>
      <c r="W97" s="115"/>
      <c r="X97" s="120" t="str">
        <f ca="1">IF(AND((Main_Issuance[[#This Row],[Expiry Date]]+31)&gt;TODAY(),Main_Issuance[[#This Row],[Status]]&lt;&gt;"Cancelled"),"Active","Cancelled")</f>
        <v>Cancelled</v>
      </c>
      <c r="Y97" s="410"/>
      <c r="Z97" s="408"/>
      <c r="AA97" s="408" t="s">
        <v>378</v>
      </c>
      <c r="AB97" s="83" cm="1">
        <f t="array" ref="AB97">Iss_Tariff(Main_Issuance[[#This Row],[Bank]],Main_Issuance[[#This Row],[LC Amt(SAR)]],Main_Issuance[[#This Row],[Issue Date.]],Main_Issuance[[#This Row],[Expiry Date]],Main_Issuance[[#This Row],[Calculate]])</f>
        <v>0</v>
      </c>
      <c r="AC97" s="83"/>
    </row>
    <row r="98" spans="1:29" ht="15.75" hidden="1" x14ac:dyDescent="0.25">
      <c r="A98" s="114" t="s">
        <v>111</v>
      </c>
      <c r="B98" s="77">
        <v>45041</v>
      </c>
      <c r="C98" s="77" t="s">
        <v>441</v>
      </c>
      <c r="D98" s="115" t="s">
        <v>20</v>
      </c>
      <c r="E98" s="115" t="s">
        <v>21</v>
      </c>
      <c r="F98" s="115" t="s">
        <v>22</v>
      </c>
      <c r="G98" s="115" t="s">
        <v>23</v>
      </c>
      <c r="H98" s="113" t="s">
        <v>24</v>
      </c>
      <c r="I98" s="115" t="s">
        <v>22</v>
      </c>
      <c r="J98" s="115">
        <v>1020055</v>
      </c>
      <c r="K98" s="115" t="s">
        <v>26</v>
      </c>
      <c r="L98" s="60">
        <v>1725000</v>
      </c>
      <c r="M98" s="60">
        <v>1</v>
      </c>
      <c r="N98" s="60">
        <f>Main_Issuance[[#This Row],[LC Amt(FCY)]]*Main_Issuance[[#This Row],[Rate]]</f>
        <v>1725000</v>
      </c>
      <c r="O98" s="77">
        <v>45107</v>
      </c>
      <c r="P98" s="77">
        <v>45107</v>
      </c>
      <c r="Q98" s="77" t="s">
        <v>27</v>
      </c>
      <c r="R98" s="115"/>
      <c r="S98" s="82"/>
      <c r="T98" s="82"/>
      <c r="U98" s="82"/>
      <c r="V98" s="97">
        <v>0</v>
      </c>
      <c r="W98" s="115"/>
      <c r="X98" s="120" t="str">
        <f ca="1">IF(AND((Main_Issuance[[#This Row],[Expiry Date]]+31)&gt;TODAY(),Main_Issuance[[#This Row],[Status]]&lt;&gt;"Cancelled"),"Active","Cancelled")</f>
        <v>Cancelled</v>
      </c>
      <c r="Y98" s="410"/>
      <c r="Z98" s="408"/>
      <c r="AA98" s="408" t="s">
        <v>378</v>
      </c>
      <c r="AB98" s="83" cm="1">
        <f t="array" ref="AB98">Iss_Tariff(Main_Issuance[[#This Row],[Bank]],Main_Issuance[[#This Row],[LC Amt(SAR)]],Main_Issuance[[#This Row],[Issue Date.]],Main_Issuance[[#This Row],[Expiry Date]],Main_Issuance[[#This Row],[Calculate]])</f>
        <v>0</v>
      </c>
      <c r="AC98" s="83"/>
    </row>
    <row r="99" spans="1:29" ht="15.75" hidden="1" x14ac:dyDescent="0.25">
      <c r="A99" s="114" t="s">
        <v>116</v>
      </c>
      <c r="B99" s="77">
        <v>45060</v>
      </c>
      <c r="C99" s="77" t="s">
        <v>441</v>
      </c>
      <c r="D99" s="115" t="s">
        <v>20</v>
      </c>
      <c r="E99" s="115" t="s">
        <v>21</v>
      </c>
      <c r="F99" s="115" t="s">
        <v>22</v>
      </c>
      <c r="G99" s="115" t="s">
        <v>23</v>
      </c>
      <c r="H99" s="113" t="s">
        <v>24</v>
      </c>
      <c r="I99" s="115" t="s">
        <v>22</v>
      </c>
      <c r="J99" s="115">
        <v>1020055</v>
      </c>
      <c r="K99" s="115" t="s">
        <v>26</v>
      </c>
      <c r="L99" s="60">
        <v>2573125</v>
      </c>
      <c r="M99" s="60">
        <v>1</v>
      </c>
      <c r="N99" s="60">
        <f>Main_Issuance[[#This Row],[LC Amt(FCY)]]*Main_Issuance[[#This Row],[Rate]]</f>
        <v>2573125</v>
      </c>
      <c r="O99" s="77">
        <v>45199</v>
      </c>
      <c r="P99" s="77">
        <v>45199</v>
      </c>
      <c r="Q99" s="77" t="s">
        <v>27</v>
      </c>
      <c r="R99" s="115" t="s">
        <v>117</v>
      </c>
      <c r="S99" s="82"/>
      <c r="T99" s="82"/>
      <c r="U99" s="82"/>
      <c r="V99" s="97">
        <v>0</v>
      </c>
      <c r="W99" s="115"/>
      <c r="X99" s="120" t="str">
        <f ca="1">IF(AND((Main_Issuance[[#This Row],[Expiry Date]]+31)&gt;TODAY(),Main_Issuance[[#This Row],[Status]]&lt;&gt;"Cancelled"),"Active","Cancelled")</f>
        <v>Cancelled</v>
      </c>
      <c r="Y99" s="410"/>
      <c r="Z99" s="408"/>
      <c r="AA99" s="408" t="s">
        <v>378</v>
      </c>
      <c r="AB99" s="83" cm="1">
        <f t="array" ref="AB99">Iss_Tariff(Main_Issuance[[#This Row],[Bank]],Main_Issuance[[#This Row],[LC Amt(SAR)]],Main_Issuance[[#This Row],[Issue Date.]],Main_Issuance[[#This Row],[Expiry Date]],Main_Issuance[[#This Row],[Calculate]])</f>
        <v>0</v>
      </c>
      <c r="AC99" s="83"/>
    </row>
    <row r="100" spans="1:29" ht="15.75" hidden="1" x14ac:dyDescent="0.25">
      <c r="A100" s="114" t="s">
        <v>122</v>
      </c>
      <c r="B100" s="77">
        <v>45125</v>
      </c>
      <c r="C100" s="77" t="s">
        <v>441</v>
      </c>
      <c r="D100" s="115" t="s">
        <v>20</v>
      </c>
      <c r="E100" s="115" t="s">
        <v>21</v>
      </c>
      <c r="F100" s="115" t="s">
        <v>22</v>
      </c>
      <c r="G100" s="115" t="s">
        <v>23</v>
      </c>
      <c r="H100" s="113" t="s">
        <v>24</v>
      </c>
      <c r="I100" s="115" t="s">
        <v>22</v>
      </c>
      <c r="J100" s="115">
        <v>1020055</v>
      </c>
      <c r="K100" s="115" t="s">
        <v>26</v>
      </c>
      <c r="L100" s="60">
        <v>2504099.35</v>
      </c>
      <c r="M100" s="60">
        <v>1</v>
      </c>
      <c r="N100" s="60">
        <f>Main_Issuance[[#This Row],[LC Amt(FCY)]]*Main_Issuance[[#This Row],[Rate]]</f>
        <v>2504099.35</v>
      </c>
      <c r="O100" s="77">
        <v>45215</v>
      </c>
      <c r="P100" s="77">
        <v>45215</v>
      </c>
      <c r="Q100" s="77" t="s">
        <v>27</v>
      </c>
      <c r="R100" s="115" t="s">
        <v>117</v>
      </c>
      <c r="S100" s="82"/>
      <c r="T100" s="82"/>
      <c r="U100" s="82"/>
      <c r="V100" s="97">
        <v>0</v>
      </c>
      <c r="W100" s="115"/>
      <c r="X100" s="120" t="str">
        <f ca="1">IF(AND((Main_Issuance[[#This Row],[Expiry Date]]+31)&gt;TODAY(),Main_Issuance[[#This Row],[Status]]&lt;&gt;"Cancelled"),"Active","Cancelled")</f>
        <v>Cancelled</v>
      </c>
      <c r="Y100" s="410"/>
      <c r="Z100" s="408"/>
      <c r="AA100" s="408" t="s">
        <v>378</v>
      </c>
      <c r="AB100" s="83" cm="1">
        <f t="array" ref="AB100">Iss_Tariff(Main_Issuance[[#This Row],[Bank]],Main_Issuance[[#This Row],[LC Amt(SAR)]],Main_Issuance[[#This Row],[Issue Date.]],Main_Issuance[[#This Row],[Expiry Date]],Main_Issuance[[#This Row],[Calculate]])</f>
        <v>0</v>
      </c>
      <c r="AC100" s="83"/>
    </row>
    <row r="101" spans="1:29" ht="15.75" hidden="1" x14ac:dyDescent="0.25">
      <c r="A101" s="114" t="s">
        <v>134</v>
      </c>
      <c r="B101" s="77">
        <v>45064</v>
      </c>
      <c r="C101" s="77" t="s">
        <v>1182</v>
      </c>
      <c r="D101" s="115" t="s">
        <v>20</v>
      </c>
      <c r="E101" s="115" t="s">
        <v>21</v>
      </c>
      <c r="F101" s="115" t="s">
        <v>22</v>
      </c>
      <c r="G101" s="115" t="s">
        <v>23</v>
      </c>
      <c r="H101" s="113" t="s">
        <v>24</v>
      </c>
      <c r="I101" s="115" t="s">
        <v>25</v>
      </c>
      <c r="J101" s="115">
        <v>1020052</v>
      </c>
      <c r="K101" s="115" t="s">
        <v>26</v>
      </c>
      <c r="L101" s="60">
        <v>542698.80000000005</v>
      </c>
      <c r="M101" s="60">
        <v>1</v>
      </c>
      <c r="N101" s="60">
        <f>Main_Issuance[[#This Row],[LC Amt(FCY)]]*Main_Issuance[[#This Row],[Rate]]</f>
        <v>542698.80000000005</v>
      </c>
      <c r="O101" s="77">
        <v>45199</v>
      </c>
      <c r="P101" s="77">
        <v>45199</v>
      </c>
      <c r="Q101" s="77" t="s">
        <v>27</v>
      </c>
      <c r="R101" s="115" t="s">
        <v>28</v>
      </c>
      <c r="S101" s="82"/>
      <c r="T101" s="82"/>
      <c r="U101" s="82"/>
      <c r="V101" s="97">
        <v>0</v>
      </c>
      <c r="W101" s="115"/>
      <c r="X101" s="120" t="str">
        <f ca="1">IF(AND((Main_Issuance[[#This Row],[Expiry Date]]+31)&gt;TODAY(),Main_Issuance[[#This Row],[Status]]&lt;&gt;"Cancelled"),"Active","Cancelled")</f>
        <v>Cancelled</v>
      </c>
      <c r="Y101" s="410"/>
      <c r="Z101" s="408"/>
      <c r="AA101" s="408" t="s">
        <v>378</v>
      </c>
      <c r="AB101" s="83" cm="1">
        <f t="array" ref="AB101">Iss_Tariff(Main_Issuance[[#This Row],[Bank]],Main_Issuance[[#This Row],[LC Amt(SAR)]],Main_Issuance[[#This Row],[Issue Date.]],Main_Issuance[[#This Row],[Expiry Date]],Main_Issuance[[#This Row],[Calculate]])</f>
        <v>0</v>
      </c>
      <c r="AC101" s="83"/>
    </row>
    <row r="102" spans="1:29" ht="15.75" hidden="1" x14ac:dyDescent="0.25">
      <c r="A102" s="114" t="s">
        <v>175</v>
      </c>
      <c r="B102" s="77">
        <v>45064</v>
      </c>
      <c r="C102" s="77" t="s">
        <v>1182</v>
      </c>
      <c r="D102" s="115" t="s">
        <v>20</v>
      </c>
      <c r="E102" s="115" t="s">
        <v>21</v>
      </c>
      <c r="F102" s="115" t="s">
        <v>22</v>
      </c>
      <c r="G102" s="115" t="s">
        <v>23</v>
      </c>
      <c r="H102" s="113" t="s">
        <v>24</v>
      </c>
      <c r="I102" s="115" t="s">
        <v>25</v>
      </c>
      <c r="J102" s="115">
        <v>1020052</v>
      </c>
      <c r="K102" s="115" t="s">
        <v>26</v>
      </c>
      <c r="L102" s="60">
        <v>1851500</v>
      </c>
      <c r="M102" s="60">
        <v>1</v>
      </c>
      <c r="N102" s="60">
        <f>Main_Issuance[[#This Row],[LC Amt(FCY)]]*Main_Issuance[[#This Row],[Rate]]</f>
        <v>1851500</v>
      </c>
      <c r="O102" s="77">
        <v>45199</v>
      </c>
      <c r="P102" s="77">
        <v>45199</v>
      </c>
      <c r="Q102" s="77" t="s">
        <v>27</v>
      </c>
      <c r="R102" s="115"/>
      <c r="S102" s="82"/>
      <c r="T102" s="82"/>
      <c r="U102" s="82"/>
      <c r="V102" s="97">
        <v>0</v>
      </c>
      <c r="W102" s="115"/>
      <c r="X102" s="120" t="str">
        <f ca="1">IF(AND((Main_Issuance[[#This Row],[Expiry Date]]+31)&gt;TODAY(),Main_Issuance[[#This Row],[Status]]&lt;&gt;"Cancelled"),"Active","Cancelled")</f>
        <v>Cancelled</v>
      </c>
      <c r="Y102" s="410"/>
      <c r="Z102" s="408"/>
      <c r="AA102" s="408" t="s">
        <v>378</v>
      </c>
      <c r="AB102" s="83" cm="1">
        <f t="array" ref="AB102">Iss_Tariff(Main_Issuance[[#This Row],[Bank]],Main_Issuance[[#This Row],[LC Amt(SAR)]],Main_Issuance[[#This Row],[Issue Date.]],Main_Issuance[[#This Row],[Expiry Date]],Main_Issuance[[#This Row],[Calculate]])</f>
        <v>0</v>
      </c>
      <c r="AC102" s="83"/>
    </row>
    <row r="103" spans="1:29" ht="15.75" hidden="1" x14ac:dyDescent="0.25">
      <c r="A103" s="114" t="s">
        <v>216</v>
      </c>
      <c r="B103" s="77">
        <v>45020</v>
      </c>
      <c r="C103" s="77" t="s">
        <v>1182</v>
      </c>
      <c r="D103" s="115" t="s">
        <v>20</v>
      </c>
      <c r="E103" s="115" t="s">
        <v>21</v>
      </c>
      <c r="F103" s="115" t="s">
        <v>22</v>
      </c>
      <c r="G103" s="115" t="s">
        <v>23</v>
      </c>
      <c r="H103" s="113" t="s">
        <v>24</v>
      </c>
      <c r="I103" s="115" t="s">
        <v>90</v>
      </c>
      <c r="J103" s="115">
        <v>1020001</v>
      </c>
      <c r="K103" s="115" t="s">
        <v>26</v>
      </c>
      <c r="L103" s="60">
        <v>8771831.4199999999</v>
      </c>
      <c r="M103" s="60">
        <v>1</v>
      </c>
      <c r="N103" s="60">
        <f>Main_Issuance[[#This Row],[LC Amt(FCY)]]*Main_Issuance[[#This Row],[Rate]]</f>
        <v>8771831.4199999999</v>
      </c>
      <c r="O103" s="77">
        <v>45291</v>
      </c>
      <c r="P103" s="77">
        <v>45291</v>
      </c>
      <c r="Q103" s="77" t="s">
        <v>27</v>
      </c>
      <c r="R103" s="115"/>
      <c r="S103" s="82"/>
      <c r="T103" s="82"/>
      <c r="U103" s="82"/>
      <c r="V103" s="97">
        <v>0</v>
      </c>
      <c r="W103" s="115"/>
      <c r="X103" s="120" t="str">
        <f ca="1">IF(AND((Main_Issuance[[#This Row],[Expiry Date]]+31)&gt;TODAY(),Main_Issuance[[#This Row],[Status]]&lt;&gt;"Cancelled"),"Active","Cancelled")</f>
        <v>Cancelled</v>
      </c>
      <c r="Y103" s="410"/>
      <c r="Z103" s="408"/>
      <c r="AA103" s="408" t="s">
        <v>378</v>
      </c>
      <c r="AB103" s="83" cm="1">
        <f t="array" ref="AB103">Iss_Tariff(Main_Issuance[[#This Row],[Bank]],Main_Issuance[[#This Row],[LC Amt(SAR)]],Main_Issuance[[#This Row],[Issue Date.]],Main_Issuance[[#This Row],[Expiry Date]],Main_Issuance[[#This Row],[Calculate]])</f>
        <v>0</v>
      </c>
      <c r="AC103" s="83"/>
    </row>
    <row r="104" spans="1:29" ht="15.75" hidden="1" x14ac:dyDescent="0.25">
      <c r="A104" s="114" t="s">
        <v>217</v>
      </c>
      <c r="B104" s="77">
        <v>45020</v>
      </c>
      <c r="C104" s="77" t="s">
        <v>1182</v>
      </c>
      <c r="D104" s="115" t="s">
        <v>20</v>
      </c>
      <c r="E104" s="115" t="s">
        <v>21</v>
      </c>
      <c r="F104" s="115" t="s">
        <v>22</v>
      </c>
      <c r="G104" s="115" t="s">
        <v>23</v>
      </c>
      <c r="H104" s="113" t="s">
        <v>24</v>
      </c>
      <c r="I104" s="115" t="s">
        <v>90</v>
      </c>
      <c r="J104" s="115">
        <v>1020001</v>
      </c>
      <c r="K104" s="115" t="s">
        <v>26</v>
      </c>
      <c r="L104" s="60">
        <v>2248483.8399999999</v>
      </c>
      <c r="M104" s="60">
        <v>1</v>
      </c>
      <c r="N104" s="60">
        <f>Main_Issuance[[#This Row],[LC Amt(FCY)]]*Main_Issuance[[#This Row],[Rate]]</f>
        <v>2248483.8399999999</v>
      </c>
      <c r="O104" s="77">
        <v>45199</v>
      </c>
      <c r="P104" s="77">
        <v>45199</v>
      </c>
      <c r="Q104" s="77" t="s">
        <v>27</v>
      </c>
      <c r="R104" s="115"/>
      <c r="S104" s="82"/>
      <c r="T104" s="82"/>
      <c r="U104" s="82"/>
      <c r="V104" s="97">
        <v>0</v>
      </c>
      <c r="W104" s="115"/>
      <c r="X104" s="120" t="str">
        <f ca="1">IF(AND((Main_Issuance[[#This Row],[Expiry Date]]+31)&gt;TODAY(),Main_Issuance[[#This Row],[Status]]&lt;&gt;"Cancelled"),"Active","Cancelled")</f>
        <v>Cancelled</v>
      </c>
      <c r="Y104" s="410"/>
      <c r="Z104" s="408"/>
      <c r="AA104" s="408" t="s">
        <v>378</v>
      </c>
      <c r="AB104" s="83" cm="1">
        <f t="array" ref="AB104">Iss_Tariff(Main_Issuance[[#This Row],[Bank]],Main_Issuance[[#This Row],[LC Amt(SAR)]],Main_Issuance[[#This Row],[Issue Date.]],Main_Issuance[[#This Row],[Expiry Date]],Main_Issuance[[#This Row],[Calculate]])</f>
        <v>0</v>
      </c>
      <c r="AC104" s="83"/>
    </row>
    <row r="105" spans="1:29" ht="15.75" hidden="1" x14ac:dyDescent="0.25">
      <c r="A105" s="114" t="s">
        <v>257</v>
      </c>
      <c r="B105" s="77">
        <v>45277</v>
      </c>
      <c r="C105" s="77" t="s">
        <v>441</v>
      </c>
      <c r="D105" s="115" t="s">
        <v>20</v>
      </c>
      <c r="E105" s="115" t="s">
        <v>21</v>
      </c>
      <c r="F105" s="115" t="s">
        <v>22</v>
      </c>
      <c r="G105" s="115" t="s">
        <v>23</v>
      </c>
      <c r="H105" s="113" t="s">
        <v>24</v>
      </c>
      <c r="I105" s="115" t="s">
        <v>22</v>
      </c>
      <c r="J105" s="115">
        <v>1020055</v>
      </c>
      <c r="K105" s="115" t="s">
        <v>26</v>
      </c>
      <c r="L105" s="60">
        <v>5725000</v>
      </c>
      <c r="M105" s="60">
        <v>1</v>
      </c>
      <c r="N105" s="60">
        <f>Main_Issuance[[#This Row],[LC Amt(FCY)]]*Main_Issuance[[#This Row],[Rate]]</f>
        <v>5725000</v>
      </c>
      <c r="O105" s="77">
        <v>45596</v>
      </c>
      <c r="P105" s="77">
        <v>45575</v>
      </c>
      <c r="Q105" s="77" t="s">
        <v>27</v>
      </c>
      <c r="R105" s="115" t="s">
        <v>117</v>
      </c>
      <c r="S105" s="82"/>
      <c r="T105" s="82"/>
      <c r="U105" s="82"/>
      <c r="V105" s="97">
        <v>0</v>
      </c>
      <c r="W105" s="115"/>
      <c r="X105" s="120" t="str">
        <f ca="1">IF(AND((Main_Issuance[[#This Row],[Expiry Date]]+31)&gt;TODAY(),Main_Issuance[[#This Row],[Status]]&lt;&gt;"Cancelled"),"Active","Cancelled")</f>
        <v>Cancelled</v>
      </c>
      <c r="Y105" s="410"/>
      <c r="Z105" s="408"/>
      <c r="AA105" s="408" t="s">
        <v>378</v>
      </c>
      <c r="AB105" s="83" cm="1">
        <f t="array" ref="AB105">Iss_Tariff(Main_Issuance[[#This Row],[Bank]],Main_Issuance[[#This Row],[LC Amt(SAR)]],Main_Issuance[[#This Row],[Issue Date.]],Main_Issuance[[#This Row],[Expiry Date]],Main_Issuance[[#This Row],[Calculate]])</f>
        <v>0</v>
      </c>
      <c r="AC105" s="83"/>
    </row>
    <row r="106" spans="1:29" ht="15.75" hidden="1" x14ac:dyDescent="0.25">
      <c r="A106" s="114" t="s">
        <v>139</v>
      </c>
      <c r="B106" s="77">
        <v>45015</v>
      </c>
      <c r="C106" s="77" t="s">
        <v>1182</v>
      </c>
      <c r="D106" s="115" t="s">
        <v>20</v>
      </c>
      <c r="E106" s="115" t="s">
        <v>21</v>
      </c>
      <c r="F106" s="115" t="s">
        <v>22</v>
      </c>
      <c r="G106" s="115" t="s">
        <v>140</v>
      </c>
      <c r="H106" s="113" t="s">
        <v>24</v>
      </c>
      <c r="I106" s="115" t="s">
        <v>25</v>
      </c>
      <c r="J106" s="115">
        <v>1020052</v>
      </c>
      <c r="K106" s="115" t="s">
        <v>26</v>
      </c>
      <c r="L106" s="60">
        <v>4613451</v>
      </c>
      <c r="M106" s="60">
        <v>1</v>
      </c>
      <c r="N106" s="60">
        <f>Main_Issuance[[#This Row],[LC Amt(FCY)]]*Main_Issuance[[#This Row],[Rate]]</f>
        <v>4613451</v>
      </c>
      <c r="O106" s="77">
        <v>45199</v>
      </c>
      <c r="P106" s="77">
        <v>45199</v>
      </c>
      <c r="Q106" s="77" t="s">
        <v>27</v>
      </c>
      <c r="R106" s="115"/>
      <c r="S106" s="82"/>
      <c r="T106" s="82"/>
      <c r="U106" s="82"/>
      <c r="V106" s="97">
        <v>0</v>
      </c>
      <c r="W106" s="115"/>
      <c r="X106" s="120" t="str">
        <f ca="1">IF(AND((Main_Issuance[[#This Row],[Expiry Date]]+31)&gt;TODAY(),Main_Issuance[[#This Row],[Status]]&lt;&gt;"Cancelled"),"Active","Cancelled")</f>
        <v>Cancelled</v>
      </c>
      <c r="Y106" s="410"/>
      <c r="Z106" s="408"/>
      <c r="AA106" s="408" t="s">
        <v>378</v>
      </c>
      <c r="AB106" s="83" cm="1">
        <f t="array" ref="AB106">Iss_Tariff(Main_Issuance[[#This Row],[Bank]],Main_Issuance[[#This Row],[LC Amt(SAR)]],Main_Issuance[[#This Row],[Issue Date.]],Main_Issuance[[#This Row],[Expiry Date]],Main_Issuance[[#This Row],[Calculate]])</f>
        <v>0</v>
      </c>
      <c r="AC106" s="83"/>
    </row>
    <row r="107" spans="1:29" ht="15.75" hidden="1" x14ac:dyDescent="0.25">
      <c r="A107" s="114" t="s">
        <v>438</v>
      </c>
      <c r="B107" s="77">
        <v>45588</v>
      </c>
      <c r="C107" s="77" t="s">
        <v>441</v>
      </c>
      <c r="D107" s="115" t="s">
        <v>20</v>
      </c>
      <c r="E107" s="115" t="s">
        <v>95</v>
      </c>
      <c r="F107" s="115" t="s">
        <v>96</v>
      </c>
      <c r="G107" s="115" t="s">
        <v>439</v>
      </c>
      <c r="H107" s="113" t="s">
        <v>24</v>
      </c>
      <c r="I107" s="115" t="s">
        <v>22</v>
      </c>
      <c r="J107" s="115">
        <v>1020055</v>
      </c>
      <c r="K107" s="115" t="s">
        <v>26</v>
      </c>
      <c r="L107" s="60">
        <v>1000000</v>
      </c>
      <c r="M107" s="60">
        <v>1</v>
      </c>
      <c r="N107" s="60">
        <f>Main_Issuance[[#This Row],[LC Amt(FCY)]]*Main_Issuance[[#This Row],[Rate]]</f>
        <v>1000000</v>
      </c>
      <c r="O107" s="77">
        <v>45657</v>
      </c>
      <c r="P107" s="77">
        <v>45630</v>
      </c>
      <c r="Q107" s="77" t="s">
        <v>27</v>
      </c>
      <c r="R107" s="115" t="s">
        <v>311</v>
      </c>
      <c r="S107" s="82"/>
      <c r="T107" s="82"/>
      <c r="U107" s="82"/>
      <c r="V107" s="97">
        <v>0</v>
      </c>
      <c r="W107" s="115"/>
      <c r="X107" s="120" t="str">
        <f ca="1">IF(AND((Main_Issuance[[#This Row],[Expiry Date]]+31)&gt;TODAY(),Main_Issuance[[#This Row],[Status]]&lt;&gt;"Cancelled"),"Active","Cancelled")</f>
        <v>Cancelled</v>
      </c>
      <c r="Y107" s="410"/>
      <c r="Z107" s="408"/>
      <c r="AA107" s="408" t="s">
        <v>378</v>
      </c>
      <c r="AB107" s="83" cm="1">
        <f t="array" ref="AB107">Iss_Tariff(Main_Issuance[[#This Row],[Bank]],Main_Issuance[[#This Row],[LC Amt(SAR)]],Main_Issuance[[#This Row],[Issue Date.]],Main_Issuance[[#This Row],[Expiry Date]],Main_Issuance[[#This Row],[Calculate]])</f>
        <v>0</v>
      </c>
      <c r="AC107" s="83"/>
    </row>
    <row r="108" spans="1:29" ht="15.75" hidden="1" x14ac:dyDescent="0.25">
      <c r="A108" s="114" t="s">
        <v>1777</v>
      </c>
      <c r="B108" s="77">
        <v>45888</v>
      </c>
      <c r="C108" s="77" t="s">
        <v>1727</v>
      </c>
      <c r="D108" s="115" t="s">
        <v>20</v>
      </c>
      <c r="E108" s="115" t="s">
        <v>62</v>
      </c>
      <c r="F108" s="115" t="s">
        <v>70</v>
      </c>
      <c r="G108" s="115" t="s">
        <v>1726</v>
      </c>
      <c r="H108" s="113" t="s">
        <v>869</v>
      </c>
      <c r="I108" s="115" t="s">
        <v>1762</v>
      </c>
      <c r="J108" s="115"/>
      <c r="K108" s="115" t="s">
        <v>26</v>
      </c>
      <c r="L108" s="60">
        <v>1000000</v>
      </c>
      <c r="M108" s="60">
        <v>1</v>
      </c>
      <c r="N108" s="60">
        <f>Main_Issuance[[#This Row],[LC Amt(FCY)]]*Main_Issuance[[#This Row],[Rate]]</f>
        <v>1000000</v>
      </c>
      <c r="O108" s="77">
        <v>45930</v>
      </c>
      <c r="P108" s="77">
        <v>45915</v>
      </c>
      <c r="Q108" s="77" t="s">
        <v>70</v>
      </c>
      <c r="R108" s="115" t="s">
        <v>208</v>
      </c>
      <c r="S108" s="82"/>
      <c r="T108" s="82"/>
      <c r="U108" s="82"/>
      <c r="V108" s="97"/>
      <c r="W108" s="115"/>
      <c r="X108" s="120" t="str">
        <f ca="1">IF(AND((Main_Issuance[[#This Row],[Expiry Date]]+31)&gt;TODAY(),Main_Issuance[[#This Row],[Status]]&lt;&gt;"Cancelled"),"Active","Cancelled")</f>
        <v>Cancelled</v>
      </c>
      <c r="Y108" s="410"/>
      <c r="Z108" s="408"/>
      <c r="AA108" s="408" t="s">
        <v>378</v>
      </c>
      <c r="AB108" s="83" cm="1">
        <f t="array" ref="AB108">Iss_Tariff(Main_Issuance[[#This Row],[Bank]],Main_Issuance[[#This Row],[LC Amt(SAR)]],Main_Issuance[[#This Row],[Issue Date.]],Main_Issuance[[#This Row],[Expiry Date]],Main_Issuance[[#This Row],[Calculate]])</f>
        <v>0</v>
      </c>
      <c r="AC108" s="83"/>
    </row>
    <row r="109" spans="1:29" ht="15.75" hidden="1" x14ac:dyDescent="0.25">
      <c r="A109" s="114" t="s">
        <v>551</v>
      </c>
      <c r="B109" s="77">
        <v>45634</v>
      </c>
      <c r="C109" s="77" t="s">
        <v>509</v>
      </c>
      <c r="D109" s="115" t="s">
        <v>20</v>
      </c>
      <c r="E109" s="115" t="s">
        <v>95</v>
      </c>
      <c r="F109" s="115" t="s">
        <v>96</v>
      </c>
      <c r="G109" s="115" t="s">
        <v>552</v>
      </c>
      <c r="H109" s="113" t="s">
        <v>24</v>
      </c>
      <c r="I109" s="115" t="s">
        <v>407</v>
      </c>
      <c r="J109" s="115">
        <v>1020100</v>
      </c>
      <c r="K109" s="115" t="s">
        <v>26</v>
      </c>
      <c r="L109" s="60">
        <v>108100</v>
      </c>
      <c r="M109" s="60">
        <v>1</v>
      </c>
      <c r="N109" s="60">
        <f>Main_Issuance[[#This Row],[LC Amt(FCY)]]*Main_Issuance[[#This Row],[Rate]]</f>
        <v>108100</v>
      </c>
      <c r="O109" s="77">
        <v>45716</v>
      </c>
      <c r="P109" s="77">
        <v>45716</v>
      </c>
      <c r="Q109" s="77" t="s">
        <v>27</v>
      </c>
      <c r="R109" s="115" t="s">
        <v>311</v>
      </c>
      <c r="S109" s="82"/>
      <c r="T109" s="82"/>
      <c r="U109" s="82"/>
      <c r="V109" s="97">
        <v>0</v>
      </c>
      <c r="W109" s="115"/>
      <c r="X109" s="120" t="str">
        <f ca="1">IF(AND((Main_Issuance[[#This Row],[Expiry Date]]+31)&gt;TODAY(),Main_Issuance[[#This Row],[Status]]&lt;&gt;"Cancelled"),"Active","Cancelled")</f>
        <v>Cancelled</v>
      </c>
      <c r="Y109" s="410"/>
      <c r="Z109" s="408"/>
      <c r="AA109" s="408" t="s">
        <v>378</v>
      </c>
      <c r="AB109" s="83" cm="1">
        <f t="array" ref="AB109">Iss_Tariff(Main_Issuance[[#This Row],[Bank]],Main_Issuance[[#This Row],[LC Amt(SAR)]],Main_Issuance[[#This Row],[Issue Date.]],Main_Issuance[[#This Row],[Expiry Date]],Main_Issuance[[#This Row],[Calculate]])</f>
        <v>0</v>
      </c>
      <c r="AC109" s="83"/>
    </row>
    <row r="110" spans="1:29" ht="15.75" hidden="1" x14ac:dyDescent="0.25">
      <c r="A110" s="114" t="s">
        <v>3785</v>
      </c>
      <c r="B110" s="76">
        <v>46042</v>
      </c>
      <c r="C110" s="77" t="s">
        <v>1259</v>
      </c>
      <c r="D110" s="115" t="s">
        <v>20</v>
      </c>
      <c r="E110" s="115" t="s">
        <v>95</v>
      </c>
      <c r="F110" s="115" t="s">
        <v>96</v>
      </c>
      <c r="G110" s="115" t="s">
        <v>3716</v>
      </c>
      <c r="H110" s="113" t="s">
        <v>1791</v>
      </c>
      <c r="I110" s="115" t="s">
        <v>328</v>
      </c>
      <c r="J110" s="115">
        <v>1020097</v>
      </c>
      <c r="K110" s="115" t="s">
        <v>26</v>
      </c>
      <c r="L110" s="119">
        <v>400000</v>
      </c>
      <c r="M110" s="82">
        <v>1</v>
      </c>
      <c r="N110" s="82">
        <f>Main_Issuance[[#This Row],[LC Amt(FCY)]]*Main_Issuance[[#This Row],[Rate]]</f>
        <v>400000</v>
      </c>
      <c r="O110" s="77">
        <v>46173</v>
      </c>
      <c r="P110" s="77">
        <v>46163</v>
      </c>
      <c r="Q110" s="77" t="s">
        <v>27</v>
      </c>
      <c r="R110" s="115" t="s">
        <v>3729</v>
      </c>
      <c r="S110" s="82"/>
      <c r="T110" s="82"/>
      <c r="U110" s="82"/>
      <c r="V110" s="97">
        <v>0</v>
      </c>
      <c r="W110" s="115"/>
      <c r="X110" s="120" t="str">
        <f ca="1">IF(AND((Main_Issuance[[#This Row],[Expiry Date]]+31)&gt;TODAY(),Main_Issuance[[#This Row],[Status]]&lt;&gt;"Cancelled"),"Active","Cancelled")</f>
        <v>Active</v>
      </c>
      <c r="Y110" s="409"/>
      <c r="Z110" s="408"/>
      <c r="AA110" s="408" t="s">
        <v>857</v>
      </c>
      <c r="AB110" s="83" cm="1">
        <f t="array" ref="AB110">Iss_Tariff(Main_Issuance[[#This Row],[Bank]],Main_Issuance[[#This Row],[LC Amt(SAR)]],Main_Issuance[[#This Row],[Issue Date.]],Main_Issuance[[#This Row],[Expiry Date]],Main_Issuance[[#This Row],[Calculate]])</f>
        <v>1227.05</v>
      </c>
      <c r="AC110" s="83"/>
    </row>
    <row r="111" spans="1:29" ht="15.75" hidden="1" x14ac:dyDescent="0.25">
      <c r="A111" s="114" t="s">
        <v>1619</v>
      </c>
      <c r="B111" s="77">
        <v>45866</v>
      </c>
      <c r="C111" s="77" t="s">
        <v>441</v>
      </c>
      <c r="D111" s="115" t="s">
        <v>20</v>
      </c>
      <c r="E111" s="115" t="s">
        <v>95</v>
      </c>
      <c r="F111" s="115" t="s">
        <v>96</v>
      </c>
      <c r="G111" s="115" t="s">
        <v>1570</v>
      </c>
      <c r="H111" s="113" t="s">
        <v>24</v>
      </c>
      <c r="I111" s="115" t="s">
        <v>407</v>
      </c>
      <c r="J111" s="115">
        <v>1020100</v>
      </c>
      <c r="K111" s="115" t="s">
        <v>26</v>
      </c>
      <c r="L111" s="60">
        <v>151075.5</v>
      </c>
      <c r="M111" s="60">
        <v>1</v>
      </c>
      <c r="N111" s="60">
        <f>Main_Issuance[[#This Row],[LC Amt(FCY)]]*Main_Issuance[[#This Row],[Rate]]</f>
        <v>151075.5</v>
      </c>
      <c r="O111" s="77">
        <v>46022</v>
      </c>
      <c r="P111" s="77">
        <v>46022</v>
      </c>
      <c r="Q111" s="77" t="s">
        <v>27</v>
      </c>
      <c r="R111" s="115" t="s">
        <v>621</v>
      </c>
      <c r="S111" s="82"/>
      <c r="T111" s="82"/>
      <c r="U111" s="82"/>
      <c r="V111" s="97">
        <v>0</v>
      </c>
      <c r="W111" s="115"/>
      <c r="X111" s="120" t="str">
        <f ca="1">IF(AND((Main_Issuance[[#This Row],[Expiry Date]]+31)&gt;TODAY(),Main_Issuance[[#This Row],[Status]]&lt;&gt;"Cancelled"),"Active","Cancelled")</f>
        <v>Cancelled</v>
      </c>
      <c r="Y111" s="410"/>
      <c r="Z111" s="408"/>
      <c r="AA111" s="408" t="s">
        <v>378</v>
      </c>
      <c r="AB111" s="83" cm="1">
        <f t="array" ref="AB111">Iss_Tariff(Main_Issuance[[#This Row],[Bank]],Main_Issuance[[#This Row],[LC Amt(SAR)]],Main_Issuance[[#This Row],[Issue Date.]],Main_Issuance[[#This Row],[Expiry Date]],Main_Issuance[[#This Row],[Calculate]])</f>
        <v>0</v>
      </c>
      <c r="AC111" s="83"/>
    </row>
    <row r="112" spans="1:29" ht="15.75" hidden="1" x14ac:dyDescent="0.25">
      <c r="A112" s="114" t="s">
        <v>1770</v>
      </c>
      <c r="B112" s="77">
        <v>45887</v>
      </c>
      <c r="C112" s="77" t="s">
        <v>441</v>
      </c>
      <c r="D112" s="115" t="s">
        <v>20</v>
      </c>
      <c r="E112" s="115" t="s">
        <v>366</v>
      </c>
      <c r="F112" s="115" t="s">
        <v>710</v>
      </c>
      <c r="G112" s="115" t="s">
        <v>1570</v>
      </c>
      <c r="H112" s="113" t="s">
        <v>24</v>
      </c>
      <c r="I112" s="115" t="s">
        <v>710</v>
      </c>
      <c r="J112" s="115">
        <v>1020088</v>
      </c>
      <c r="K112" s="115" t="s">
        <v>26</v>
      </c>
      <c r="L112" s="60">
        <v>300000</v>
      </c>
      <c r="M112" s="60">
        <v>1</v>
      </c>
      <c r="N112" s="60">
        <f>Main_Issuance[[#This Row],[LC Amt(FCY)]]*Main_Issuance[[#This Row],[Rate]]</f>
        <v>300000</v>
      </c>
      <c r="O112" s="77">
        <v>45991</v>
      </c>
      <c r="P112" s="77">
        <v>45991</v>
      </c>
      <c r="Q112" s="77" t="s">
        <v>27</v>
      </c>
      <c r="R112" s="115" t="s">
        <v>621</v>
      </c>
      <c r="S112" s="82"/>
      <c r="T112" s="82"/>
      <c r="U112" s="82"/>
      <c r="V112" s="97">
        <v>0</v>
      </c>
      <c r="W112" s="115"/>
      <c r="X112" s="120" t="str">
        <f ca="1">IF(AND((Main_Issuance[[#This Row],[Expiry Date]]+31)&gt;TODAY(),Main_Issuance[[#This Row],[Status]]&lt;&gt;"Cancelled"),"Active","Cancelled")</f>
        <v>Cancelled</v>
      </c>
      <c r="Y112" s="410"/>
      <c r="Z112" s="408"/>
      <c r="AA112" s="408" t="s">
        <v>378</v>
      </c>
      <c r="AB112" s="83" cm="1">
        <f t="array" ref="AB112">Iss_Tariff(Main_Issuance[[#This Row],[Bank]],Main_Issuance[[#This Row],[LC Amt(SAR)]],Main_Issuance[[#This Row],[Issue Date.]],Main_Issuance[[#This Row],[Expiry Date]],Main_Issuance[[#This Row],[Calculate]])</f>
        <v>0</v>
      </c>
      <c r="AC112" s="83"/>
    </row>
    <row r="113" spans="1:29" ht="15.75" hidden="1" x14ac:dyDescent="0.25">
      <c r="A113" s="114" t="s">
        <v>1398</v>
      </c>
      <c r="B113" s="77">
        <v>45804</v>
      </c>
      <c r="C113" s="77" t="s">
        <v>441</v>
      </c>
      <c r="D113" s="115" t="s">
        <v>20</v>
      </c>
      <c r="E113" s="115" t="s">
        <v>612</v>
      </c>
      <c r="F113" s="115" t="s">
        <v>613</v>
      </c>
      <c r="G113" s="115" t="s">
        <v>1389</v>
      </c>
      <c r="H113" s="113" t="s">
        <v>24</v>
      </c>
      <c r="I113" s="115" t="s">
        <v>613</v>
      </c>
      <c r="J113" s="115">
        <v>1020106</v>
      </c>
      <c r="K113" s="115" t="s">
        <v>26</v>
      </c>
      <c r="L113" s="60">
        <v>108757.8</v>
      </c>
      <c r="M113" s="60">
        <v>1</v>
      </c>
      <c r="N113" s="60">
        <f>Main_Issuance[[#This Row],[LC Amt(FCY)]]*Main_Issuance[[#This Row],[Rate]]</f>
        <v>108757.8</v>
      </c>
      <c r="O113" s="77">
        <v>45900</v>
      </c>
      <c r="P113" s="77">
        <v>45900</v>
      </c>
      <c r="Q113" s="77" t="s">
        <v>27</v>
      </c>
      <c r="R113" s="115" t="s">
        <v>311</v>
      </c>
      <c r="S113" s="82"/>
      <c r="T113" s="82"/>
      <c r="U113" s="82"/>
      <c r="V113" s="97">
        <v>0</v>
      </c>
      <c r="W113" s="115"/>
      <c r="X113" s="120" t="str">
        <f ca="1">IF(AND((Main_Issuance[[#This Row],[Expiry Date]]+31)&gt;TODAY(),Main_Issuance[[#This Row],[Status]]&lt;&gt;"Cancelled"),"Active","Cancelled")</f>
        <v>Cancelled</v>
      </c>
      <c r="Y113" s="410"/>
      <c r="Z113" s="408"/>
      <c r="AA113" s="408" t="s">
        <v>378</v>
      </c>
      <c r="AB113" s="83" cm="1">
        <f t="array" ref="AB113">Iss_Tariff(Main_Issuance[[#This Row],[Bank]],Main_Issuance[[#This Row],[LC Amt(SAR)]],Main_Issuance[[#This Row],[Issue Date.]],Main_Issuance[[#This Row],[Expiry Date]],Main_Issuance[[#This Row],[Calculate]])</f>
        <v>0</v>
      </c>
      <c r="AC113" s="83"/>
    </row>
    <row r="114" spans="1:29" ht="15.75" hidden="1" x14ac:dyDescent="0.25">
      <c r="A114" s="114" t="s">
        <v>3568</v>
      </c>
      <c r="B114" s="77">
        <v>46033</v>
      </c>
      <c r="C114" s="77" t="s">
        <v>441</v>
      </c>
      <c r="D114" s="115" t="s">
        <v>20</v>
      </c>
      <c r="E114" s="115" t="s">
        <v>612</v>
      </c>
      <c r="F114" s="115" t="s">
        <v>613</v>
      </c>
      <c r="G114" s="115" t="s">
        <v>3332</v>
      </c>
      <c r="H114" s="113" t="s">
        <v>24</v>
      </c>
      <c r="I114" s="115" t="s">
        <v>613</v>
      </c>
      <c r="J114" s="115">
        <v>1020106</v>
      </c>
      <c r="K114" s="115" t="s">
        <v>26</v>
      </c>
      <c r="L114" s="119">
        <v>209875</v>
      </c>
      <c r="M114" s="82">
        <v>1</v>
      </c>
      <c r="N114" s="82">
        <f>Main_Issuance[[#This Row],[LC Amt(FCY)]]*Main_Issuance[[#This Row],[Rate]]</f>
        <v>209875</v>
      </c>
      <c r="O114" s="77">
        <v>46112</v>
      </c>
      <c r="P114" s="77">
        <v>46112</v>
      </c>
      <c r="Q114" s="77" t="s">
        <v>27</v>
      </c>
      <c r="R114" s="115" t="s">
        <v>1904</v>
      </c>
      <c r="S114" s="82"/>
      <c r="T114" s="82"/>
      <c r="U114" s="82"/>
      <c r="V114" s="97">
        <v>0</v>
      </c>
      <c r="W114" s="115"/>
      <c r="X114" s="120" t="str">
        <f ca="1">IF(AND((Main_Issuance[[#This Row],[Expiry Date]]+31)&gt;TODAY(),Main_Issuance[[#This Row],[Status]]&lt;&gt;"Cancelled"),"Active","Cancelled")</f>
        <v>Cancelled</v>
      </c>
      <c r="Y114" s="409"/>
      <c r="Z114" s="408"/>
      <c r="AA114" s="408" t="s">
        <v>857</v>
      </c>
      <c r="AB114" s="83" cm="1">
        <f t="array" ref="AB114">Iss_Tariff(Main_Issuance[[#This Row],[Bank]],Main_Issuance[[#This Row],[LC Amt(SAR)]],Main_Issuance[[#This Row],[Issue Date.]],Main_Issuance[[#This Row],[Expiry Date]],Main_Issuance[[#This Row],[Calculate]])</f>
        <v>2410.4</v>
      </c>
      <c r="AC114" s="83"/>
    </row>
    <row r="115" spans="1:29" ht="15.75" hidden="1" x14ac:dyDescent="0.25">
      <c r="A115" s="114" t="s">
        <v>1608</v>
      </c>
      <c r="B115" s="77">
        <v>45862</v>
      </c>
      <c r="C115" s="77" t="s">
        <v>441</v>
      </c>
      <c r="D115" s="115" t="s">
        <v>20</v>
      </c>
      <c r="E115" s="115" t="s">
        <v>366</v>
      </c>
      <c r="F115" s="115" t="s">
        <v>710</v>
      </c>
      <c r="G115" s="115" t="s">
        <v>1579</v>
      </c>
      <c r="H115" s="113" t="s">
        <v>24</v>
      </c>
      <c r="I115" s="115" t="s">
        <v>710</v>
      </c>
      <c r="J115" s="115">
        <v>1020088</v>
      </c>
      <c r="K115" s="115" t="s">
        <v>26</v>
      </c>
      <c r="L115" s="60">
        <v>200000</v>
      </c>
      <c r="M115" s="60">
        <v>1</v>
      </c>
      <c r="N115" s="60">
        <f>Main_Issuance[[#This Row],[LC Amt(FCY)]]*Main_Issuance[[#This Row],[Rate]]</f>
        <v>200000</v>
      </c>
      <c r="O115" s="77">
        <v>45961</v>
      </c>
      <c r="P115" s="77">
        <v>45961</v>
      </c>
      <c r="Q115" s="77" t="s">
        <v>27</v>
      </c>
      <c r="R115" s="115" t="s">
        <v>621</v>
      </c>
      <c r="S115" s="82"/>
      <c r="T115" s="82"/>
      <c r="U115" s="82"/>
      <c r="V115" s="97">
        <v>0</v>
      </c>
      <c r="W115" s="115"/>
      <c r="X115" s="120" t="str">
        <f ca="1">IF(AND((Main_Issuance[[#This Row],[Expiry Date]]+31)&gt;TODAY(),Main_Issuance[[#This Row],[Status]]&lt;&gt;"Cancelled"),"Active","Cancelled")</f>
        <v>Cancelled</v>
      </c>
      <c r="Y115" s="410"/>
      <c r="Z115" s="408"/>
      <c r="AA115" s="408" t="s">
        <v>378</v>
      </c>
      <c r="AB115" s="83" cm="1">
        <f t="array" ref="AB115">Iss_Tariff(Main_Issuance[[#This Row],[Bank]],Main_Issuance[[#This Row],[LC Amt(SAR)]],Main_Issuance[[#This Row],[Issue Date.]],Main_Issuance[[#This Row],[Expiry Date]],Main_Issuance[[#This Row],[Calculate]])</f>
        <v>0</v>
      </c>
      <c r="AC115" s="83"/>
    </row>
    <row r="116" spans="1:29" ht="15.75" hidden="1" x14ac:dyDescent="0.25">
      <c r="A116" s="114" t="s">
        <v>719</v>
      </c>
      <c r="B116" s="77">
        <v>45715</v>
      </c>
      <c r="C116" s="77" t="s">
        <v>441</v>
      </c>
      <c r="D116" s="115" t="s">
        <v>20</v>
      </c>
      <c r="E116" s="115" t="s">
        <v>612</v>
      </c>
      <c r="F116" s="115" t="s">
        <v>613</v>
      </c>
      <c r="G116" s="115" t="s">
        <v>720</v>
      </c>
      <c r="H116" s="113" t="s">
        <v>24</v>
      </c>
      <c r="I116" s="115" t="s">
        <v>613</v>
      </c>
      <c r="J116" s="115">
        <v>1020106</v>
      </c>
      <c r="K116" s="115" t="s">
        <v>26</v>
      </c>
      <c r="L116" s="60">
        <v>316864.68</v>
      </c>
      <c r="M116" s="60">
        <v>1</v>
      </c>
      <c r="N116" s="60">
        <f>Main_Issuance[[#This Row],[LC Amt(FCY)]]*Main_Issuance[[#This Row],[Rate]]</f>
        <v>316864.68</v>
      </c>
      <c r="O116" s="77">
        <v>45930</v>
      </c>
      <c r="P116" s="77">
        <v>45930</v>
      </c>
      <c r="Q116" s="77" t="s">
        <v>27</v>
      </c>
      <c r="R116" s="115" t="s">
        <v>311</v>
      </c>
      <c r="S116" s="82"/>
      <c r="T116" s="82"/>
      <c r="U116" s="82"/>
      <c r="V116" s="97">
        <v>0</v>
      </c>
      <c r="W116" s="115" t="s">
        <v>1913</v>
      </c>
      <c r="X116" s="120" t="str">
        <f ca="1">IF(AND((Main_Issuance[[#This Row],[Expiry Date]]+31)&gt;TODAY(),Main_Issuance[[#This Row],[Status]]&lt;&gt;"Cancelled"),"Active","Cancelled")</f>
        <v>Cancelled</v>
      </c>
      <c r="Y116" s="410"/>
      <c r="Z116" s="408"/>
      <c r="AA116" s="408" t="s">
        <v>378</v>
      </c>
      <c r="AB116" s="83" cm="1">
        <f t="array" ref="AB116">Iss_Tariff(Main_Issuance[[#This Row],[Bank]],Main_Issuance[[#This Row],[LC Amt(SAR)]],Main_Issuance[[#This Row],[Issue Date.]],Main_Issuance[[#This Row],[Expiry Date]],Main_Issuance[[#This Row],[Calculate]])</f>
        <v>0</v>
      </c>
      <c r="AC116" s="83"/>
    </row>
    <row r="117" spans="1:29" ht="15.75" hidden="1" x14ac:dyDescent="0.25">
      <c r="A117" s="114" t="s">
        <v>450</v>
      </c>
      <c r="B117" s="77">
        <v>45616</v>
      </c>
      <c r="C117" s="77" t="s">
        <v>441</v>
      </c>
      <c r="D117" s="115" t="s">
        <v>20</v>
      </c>
      <c r="E117" s="115" t="s">
        <v>95</v>
      </c>
      <c r="F117" s="115" t="s">
        <v>96</v>
      </c>
      <c r="G117" s="115" t="s">
        <v>451</v>
      </c>
      <c r="H117" s="113" t="s">
        <v>24</v>
      </c>
      <c r="I117" s="115" t="s">
        <v>22</v>
      </c>
      <c r="J117" s="115">
        <v>1020055</v>
      </c>
      <c r="K117" s="115" t="s">
        <v>26</v>
      </c>
      <c r="L117" s="60">
        <v>491845.28749999998</v>
      </c>
      <c r="M117" s="60">
        <v>1</v>
      </c>
      <c r="N117" s="60">
        <f>Main_Issuance[[#This Row],[LC Amt(FCY)]]*Main_Issuance[[#This Row],[Rate]]</f>
        <v>491845.28749999998</v>
      </c>
      <c r="O117" s="77">
        <v>45716</v>
      </c>
      <c r="P117" s="77">
        <v>45692</v>
      </c>
      <c r="Q117" s="77" t="s">
        <v>27</v>
      </c>
      <c r="R117" s="115" t="s">
        <v>311</v>
      </c>
      <c r="S117" s="82"/>
      <c r="T117" s="82"/>
      <c r="U117" s="82"/>
      <c r="V117" s="97">
        <v>0</v>
      </c>
      <c r="W117" s="115"/>
      <c r="X117" s="120" t="str">
        <f ca="1">IF(AND((Main_Issuance[[#This Row],[Expiry Date]]+31)&gt;TODAY(),Main_Issuance[[#This Row],[Status]]&lt;&gt;"Cancelled"),"Active","Cancelled")</f>
        <v>Cancelled</v>
      </c>
      <c r="Y117" s="410"/>
      <c r="Z117" s="408"/>
      <c r="AA117" s="408" t="s">
        <v>378</v>
      </c>
      <c r="AB117" s="83" cm="1">
        <f t="array" ref="AB117">Iss_Tariff(Main_Issuance[[#This Row],[Bank]],Main_Issuance[[#This Row],[LC Amt(SAR)]],Main_Issuance[[#This Row],[Issue Date.]],Main_Issuance[[#This Row],[Expiry Date]],Main_Issuance[[#This Row],[Calculate]])</f>
        <v>0</v>
      </c>
      <c r="AC117" s="83"/>
    </row>
    <row r="118" spans="1:29" ht="15.75" hidden="1" x14ac:dyDescent="0.25">
      <c r="A118" s="114" t="s">
        <v>573</v>
      </c>
      <c r="B118" s="77">
        <v>45641</v>
      </c>
      <c r="C118" s="77" t="s">
        <v>441</v>
      </c>
      <c r="D118" s="115" t="s">
        <v>20</v>
      </c>
      <c r="E118" s="115" t="s">
        <v>373</v>
      </c>
      <c r="F118" s="115" t="s">
        <v>483</v>
      </c>
      <c r="G118" s="115" t="s">
        <v>574</v>
      </c>
      <c r="H118" s="113" t="s">
        <v>24</v>
      </c>
      <c r="I118" s="115" t="s">
        <v>22</v>
      </c>
      <c r="J118" s="115">
        <v>1020055</v>
      </c>
      <c r="K118" s="115" t="s">
        <v>26</v>
      </c>
      <c r="L118" s="60">
        <v>128535.5</v>
      </c>
      <c r="M118" s="60">
        <v>1</v>
      </c>
      <c r="N118" s="60">
        <f>Main_Issuance[[#This Row],[LC Amt(FCY)]]*Main_Issuance[[#This Row],[Rate]]</f>
        <v>128535.5</v>
      </c>
      <c r="O118" s="77">
        <v>45747</v>
      </c>
      <c r="P118" s="77">
        <v>45747</v>
      </c>
      <c r="Q118" s="77" t="s">
        <v>27</v>
      </c>
      <c r="R118" s="115" t="s">
        <v>311</v>
      </c>
      <c r="S118" s="82"/>
      <c r="T118" s="82"/>
      <c r="U118" s="82"/>
      <c r="V118" s="97">
        <v>0</v>
      </c>
      <c r="W118" s="115"/>
      <c r="X118" s="120" t="str">
        <f ca="1">IF(AND((Main_Issuance[[#This Row],[Expiry Date]]+31)&gt;TODAY(),Main_Issuance[[#This Row],[Status]]&lt;&gt;"Cancelled"),"Active","Cancelled")</f>
        <v>Cancelled</v>
      </c>
      <c r="Y118" s="410"/>
      <c r="Z118" s="408"/>
      <c r="AA118" s="408" t="s">
        <v>378</v>
      </c>
      <c r="AB118" s="83" cm="1">
        <f t="array" ref="AB118">Iss_Tariff(Main_Issuance[[#This Row],[Bank]],Main_Issuance[[#This Row],[LC Amt(SAR)]],Main_Issuance[[#This Row],[Issue Date.]],Main_Issuance[[#This Row],[Expiry Date]],Main_Issuance[[#This Row],[Calculate]])</f>
        <v>0</v>
      </c>
      <c r="AC118" s="83"/>
    </row>
    <row r="119" spans="1:29" ht="15.75" hidden="1" x14ac:dyDescent="0.25">
      <c r="A119" s="114" t="s">
        <v>1287</v>
      </c>
      <c r="B119" s="77">
        <v>45785</v>
      </c>
      <c r="C119" s="77" t="s">
        <v>1259</v>
      </c>
      <c r="D119" s="115" t="s">
        <v>20</v>
      </c>
      <c r="E119" s="115" t="s">
        <v>373</v>
      </c>
      <c r="F119" s="115" t="s">
        <v>70</v>
      </c>
      <c r="G119" s="115" t="s">
        <v>1261</v>
      </c>
      <c r="H119" s="113" t="s">
        <v>72</v>
      </c>
      <c r="I119" s="115" t="s">
        <v>328</v>
      </c>
      <c r="J119" s="115">
        <v>1020097</v>
      </c>
      <c r="K119" s="115" t="s">
        <v>26</v>
      </c>
      <c r="L119" s="60">
        <v>6439356</v>
      </c>
      <c r="M119" s="60">
        <v>1</v>
      </c>
      <c r="N119" s="60">
        <f>Main_Issuance[[#This Row],[LC Amt(FCY)]]*Main_Issuance[[#This Row],[Rate]]</f>
        <v>6439356</v>
      </c>
      <c r="O119" s="77">
        <v>45900</v>
      </c>
      <c r="P119" s="77">
        <v>45900</v>
      </c>
      <c r="Q119" s="77" t="s">
        <v>70</v>
      </c>
      <c r="R119" s="115" t="s">
        <v>621</v>
      </c>
      <c r="S119" s="82"/>
      <c r="T119" s="82"/>
      <c r="U119" s="82"/>
      <c r="V119" s="97">
        <v>0</v>
      </c>
      <c r="W119" s="115"/>
      <c r="X119" s="120" t="str">
        <f ca="1">IF(AND((Main_Issuance[[#This Row],[Expiry Date]]+31)&gt;TODAY(),Main_Issuance[[#This Row],[Status]]&lt;&gt;"Cancelled"),"Active","Cancelled")</f>
        <v>Cancelled</v>
      </c>
      <c r="Y119" s="410"/>
      <c r="Z119" s="408"/>
      <c r="AA119" s="408" t="s">
        <v>378</v>
      </c>
      <c r="AB119" s="83" cm="1">
        <f t="array" ref="AB119">Iss_Tariff(Main_Issuance[[#This Row],[Bank]],Main_Issuance[[#This Row],[LC Amt(SAR)]],Main_Issuance[[#This Row],[Issue Date.]],Main_Issuance[[#This Row],[Expiry Date]],Main_Issuance[[#This Row],[Calculate]])</f>
        <v>0</v>
      </c>
      <c r="AC119" s="83"/>
    </row>
    <row r="120" spans="1:29" ht="15.75" hidden="1" x14ac:dyDescent="0.25">
      <c r="A120" s="114" t="s">
        <v>1550</v>
      </c>
      <c r="B120" s="77">
        <v>45852</v>
      </c>
      <c r="C120" s="77" t="s">
        <v>1537</v>
      </c>
      <c r="D120" s="115" t="s">
        <v>20</v>
      </c>
      <c r="E120" s="115" t="s">
        <v>95</v>
      </c>
      <c r="F120" s="115" t="s">
        <v>96</v>
      </c>
      <c r="G120" s="115" t="s">
        <v>1261</v>
      </c>
      <c r="H120" s="113" t="s">
        <v>72</v>
      </c>
      <c r="I120" s="115" t="s">
        <v>483</v>
      </c>
      <c r="J120" s="115">
        <v>1020096</v>
      </c>
      <c r="K120" s="115" t="s">
        <v>26</v>
      </c>
      <c r="L120" s="60">
        <f>9484337.5+7950000</f>
        <v>17434337.5</v>
      </c>
      <c r="M120" s="60">
        <v>1</v>
      </c>
      <c r="N120" s="60">
        <f>Main_Issuance[[#This Row],[LC Amt(FCY)]]*Main_Issuance[[#This Row],[Rate]]</f>
        <v>17434337.5</v>
      </c>
      <c r="O120" s="77">
        <v>46022</v>
      </c>
      <c r="P120" s="77">
        <v>45991</v>
      </c>
      <c r="Q120" s="77" t="s">
        <v>27</v>
      </c>
      <c r="R120" s="115" t="s">
        <v>311</v>
      </c>
      <c r="S120" s="82"/>
      <c r="T120" s="82"/>
      <c r="U120" s="82"/>
      <c r="V120" s="97">
        <v>0</v>
      </c>
      <c r="W120" s="115"/>
      <c r="X120" s="120" t="str">
        <f ca="1">IF(AND((Main_Issuance[[#This Row],[Expiry Date]]+31)&gt;TODAY(),Main_Issuance[[#This Row],[Status]]&lt;&gt;"Cancelled"),"Active","Cancelled")</f>
        <v>Cancelled</v>
      </c>
      <c r="Y120" s="410"/>
      <c r="Z120" s="408"/>
      <c r="AA120" s="408" t="s">
        <v>378</v>
      </c>
      <c r="AB120" s="83" cm="1">
        <f t="array" ref="AB120">Iss_Tariff(Main_Issuance[[#This Row],[Bank]],Main_Issuance[[#This Row],[LC Amt(SAR)]],Main_Issuance[[#This Row],[Issue Date.]],Main_Issuance[[#This Row],[Expiry Date]],Main_Issuance[[#This Row],[Calculate]])</f>
        <v>0</v>
      </c>
      <c r="AC120" s="83"/>
    </row>
    <row r="121" spans="1:29" ht="15.75" hidden="1" x14ac:dyDescent="0.25">
      <c r="A121" s="114" t="s">
        <v>547</v>
      </c>
      <c r="B121" s="77">
        <v>45634</v>
      </c>
      <c r="C121" s="77" t="s">
        <v>509</v>
      </c>
      <c r="D121" s="115" t="s">
        <v>20</v>
      </c>
      <c r="E121" s="115" t="s">
        <v>95</v>
      </c>
      <c r="F121" s="115" t="s">
        <v>96</v>
      </c>
      <c r="G121" s="115" t="s">
        <v>548</v>
      </c>
      <c r="H121" s="113" t="s">
        <v>24</v>
      </c>
      <c r="I121" s="115" t="s">
        <v>407</v>
      </c>
      <c r="J121" s="115">
        <v>1020100</v>
      </c>
      <c r="K121" s="115" t="s">
        <v>26</v>
      </c>
      <c r="L121" s="60">
        <v>169050</v>
      </c>
      <c r="M121" s="60">
        <v>1</v>
      </c>
      <c r="N121" s="60">
        <f>Main_Issuance[[#This Row],[LC Amt(FCY)]]*Main_Issuance[[#This Row],[Rate]]</f>
        <v>169050</v>
      </c>
      <c r="O121" s="77">
        <v>45716</v>
      </c>
      <c r="P121" s="77">
        <v>45716</v>
      </c>
      <c r="Q121" s="77" t="s">
        <v>27</v>
      </c>
      <c r="R121" s="115" t="s">
        <v>311</v>
      </c>
      <c r="S121" s="82"/>
      <c r="T121" s="82"/>
      <c r="U121" s="82"/>
      <c r="V121" s="97">
        <v>0</v>
      </c>
      <c r="W121" s="115"/>
      <c r="X121" s="120" t="str">
        <f ca="1">IF(AND((Main_Issuance[[#This Row],[Expiry Date]]+31)&gt;TODAY(),Main_Issuance[[#This Row],[Status]]&lt;&gt;"Cancelled"),"Active","Cancelled")</f>
        <v>Cancelled</v>
      </c>
      <c r="Y121" s="410"/>
      <c r="Z121" s="408"/>
      <c r="AA121" s="408" t="s">
        <v>378</v>
      </c>
      <c r="AB121" s="83" cm="1">
        <f t="array" ref="AB121">Iss_Tariff(Main_Issuance[[#This Row],[Bank]],Main_Issuance[[#This Row],[LC Amt(SAR)]],Main_Issuance[[#This Row],[Issue Date.]],Main_Issuance[[#This Row],[Expiry Date]],Main_Issuance[[#This Row],[Calculate]])</f>
        <v>0</v>
      </c>
      <c r="AC121" s="83"/>
    </row>
    <row r="122" spans="1:29" ht="15.75" hidden="1" x14ac:dyDescent="0.25">
      <c r="A122" s="114" t="s">
        <v>343</v>
      </c>
      <c r="B122" s="77">
        <v>45533</v>
      </c>
      <c r="C122" s="77" t="s">
        <v>441</v>
      </c>
      <c r="D122" s="115" t="s">
        <v>20</v>
      </c>
      <c r="E122" s="115" t="s">
        <v>95</v>
      </c>
      <c r="F122" s="115" t="s">
        <v>96</v>
      </c>
      <c r="G122" s="115" t="s">
        <v>344</v>
      </c>
      <c r="H122" s="113" t="s">
        <v>24</v>
      </c>
      <c r="I122" s="115" t="s">
        <v>22</v>
      </c>
      <c r="J122" s="115">
        <v>1020055</v>
      </c>
      <c r="K122" s="115" t="s">
        <v>26</v>
      </c>
      <c r="L122" s="60">
        <v>883722.5</v>
      </c>
      <c r="M122" s="60">
        <v>1</v>
      </c>
      <c r="N122" s="60">
        <f>Main_Issuance[[#This Row],[LC Amt(FCY)]]*Main_Issuance[[#This Row],[Rate]]</f>
        <v>883722.5</v>
      </c>
      <c r="O122" s="77">
        <v>45626</v>
      </c>
      <c r="P122" s="77">
        <v>45626</v>
      </c>
      <c r="Q122" s="77" t="s">
        <v>27</v>
      </c>
      <c r="R122" s="115"/>
      <c r="S122" s="82"/>
      <c r="T122" s="82"/>
      <c r="U122" s="82"/>
      <c r="V122" s="97">
        <v>0</v>
      </c>
      <c r="W122" s="115"/>
      <c r="X122" s="120" t="str">
        <f ca="1">IF(AND((Main_Issuance[[#This Row],[Expiry Date]]+31)&gt;TODAY(),Main_Issuance[[#This Row],[Status]]&lt;&gt;"Cancelled"),"Active","Cancelled")</f>
        <v>Cancelled</v>
      </c>
      <c r="Y122" s="410"/>
      <c r="Z122" s="408"/>
      <c r="AA122" s="408" t="s">
        <v>378</v>
      </c>
      <c r="AB122" s="83" cm="1">
        <f t="array" ref="AB122">Iss_Tariff(Main_Issuance[[#This Row],[Bank]],Main_Issuance[[#This Row],[LC Amt(SAR)]],Main_Issuance[[#This Row],[Issue Date.]],Main_Issuance[[#This Row],[Expiry Date]],Main_Issuance[[#This Row],[Calculate]])</f>
        <v>0</v>
      </c>
      <c r="AC122" s="83"/>
    </row>
    <row r="123" spans="1:29" ht="15.75" hidden="1" x14ac:dyDescent="0.25">
      <c r="A123" s="114" t="s">
        <v>606</v>
      </c>
      <c r="B123" s="77">
        <v>45664</v>
      </c>
      <c r="C123" s="77" t="s">
        <v>441</v>
      </c>
      <c r="D123" s="115" t="s">
        <v>20</v>
      </c>
      <c r="E123" s="115" t="s">
        <v>373</v>
      </c>
      <c r="F123" s="115" t="s">
        <v>63</v>
      </c>
      <c r="G123" s="115" t="s">
        <v>607</v>
      </c>
      <c r="H123" s="113" t="s">
        <v>24</v>
      </c>
      <c r="I123" s="115" t="s">
        <v>22</v>
      </c>
      <c r="J123" s="115">
        <v>1020055</v>
      </c>
      <c r="K123" s="115" t="s">
        <v>26</v>
      </c>
      <c r="L123" s="60">
        <v>436052.14</v>
      </c>
      <c r="M123" s="60">
        <v>1</v>
      </c>
      <c r="N123" s="60">
        <f>Main_Issuance[[#This Row],[LC Amt(FCY)]]*Main_Issuance[[#This Row],[Rate]]</f>
        <v>436052.14</v>
      </c>
      <c r="O123" s="77">
        <v>45747</v>
      </c>
      <c r="P123" s="77">
        <v>45747</v>
      </c>
      <c r="Q123" s="77" t="s">
        <v>27</v>
      </c>
      <c r="R123" s="115" t="s">
        <v>311</v>
      </c>
      <c r="S123" s="82"/>
      <c r="T123" s="82"/>
      <c r="U123" s="82"/>
      <c r="V123" s="97">
        <v>0</v>
      </c>
      <c r="W123" s="115"/>
      <c r="X123" s="120" t="str">
        <f ca="1">IF(AND((Main_Issuance[[#This Row],[Expiry Date]]+31)&gt;TODAY(),Main_Issuance[[#This Row],[Status]]&lt;&gt;"Cancelled"),"Active","Cancelled")</f>
        <v>Cancelled</v>
      </c>
      <c r="Y123" s="410"/>
      <c r="Z123" s="408"/>
      <c r="AA123" s="408" t="s">
        <v>378</v>
      </c>
      <c r="AB123" s="83" cm="1">
        <f t="array" ref="AB123">Iss_Tariff(Main_Issuance[[#This Row],[Bank]],Main_Issuance[[#This Row],[LC Amt(SAR)]],Main_Issuance[[#This Row],[Issue Date.]],Main_Issuance[[#This Row],[Expiry Date]],Main_Issuance[[#This Row],[Calculate]])</f>
        <v>0</v>
      </c>
      <c r="AC123" s="83"/>
    </row>
    <row r="124" spans="1:29" ht="15.75" hidden="1" x14ac:dyDescent="0.25">
      <c r="A124" s="114" t="s">
        <v>763</v>
      </c>
      <c r="B124" s="77">
        <v>45734</v>
      </c>
      <c r="C124" s="77" t="s">
        <v>509</v>
      </c>
      <c r="D124" s="115" t="s">
        <v>20</v>
      </c>
      <c r="E124" s="115" t="s">
        <v>21</v>
      </c>
      <c r="F124" s="115" t="s">
        <v>22</v>
      </c>
      <c r="G124" s="115" t="s">
        <v>764</v>
      </c>
      <c r="H124" s="113" t="s">
        <v>24</v>
      </c>
      <c r="I124" s="115" t="s">
        <v>407</v>
      </c>
      <c r="J124" s="115">
        <v>1020100</v>
      </c>
      <c r="K124" s="115" t="s">
        <v>26</v>
      </c>
      <c r="L124" s="60">
        <v>500000</v>
      </c>
      <c r="M124" s="60">
        <v>1</v>
      </c>
      <c r="N124" s="60">
        <f>Main_Issuance[[#This Row],[LC Amt(FCY)]]*Main_Issuance[[#This Row],[Rate]]</f>
        <v>500000</v>
      </c>
      <c r="O124" s="77">
        <v>45838</v>
      </c>
      <c r="P124" s="77">
        <v>45838</v>
      </c>
      <c r="Q124" s="77" t="s">
        <v>27</v>
      </c>
      <c r="R124" s="115" t="s">
        <v>311</v>
      </c>
      <c r="S124" s="82"/>
      <c r="T124" s="82"/>
      <c r="U124" s="82"/>
      <c r="V124" s="97">
        <v>0</v>
      </c>
      <c r="W124" s="115"/>
      <c r="X124" s="120" t="str">
        <f ca="1">IF(AND((Main_Issuance[[#This Row],[Expiry Date]]+31)&gt;TODAY(),Main_Issuance[[#This Row],[Status]]&lt;&gt;"Cancelled"),"Active","Cancelled")</f>
        <v>Cancelled</v>
      </c>
      <c r="Y124" s="410"/>
      <c r="Z124" s="408"/>
      <c r="AA124" s="408" t="s">
        <v>378</v>
      </c>
      <c r="AB124" s="83" cm="1">
        <f t="array" ref="AB124">Iss_Tariff(Main_Issuance[[#This Row],[Bank]],Main_Issuance[[#This Row],[LC Amt(SAR)]],Main_Issuance[[#This Row],[Issue Date.]],Main_Issuance[[#This Row],[Expiry Date]],Main_Issuance[[#This Row],[Calculate]])</f>
        <v>0</v>
      </c>
      <c r="AC124" s="83"/>
    </row>
    <row r="125" spans="1:29" ht="15.75" hidden="1" x14ac:dyDescent="0.25">
      <c r="A125" s="114" t="s">
        <v>1172</v>
      </c>
      <c r="B125" s="77">
        <v>45757</v>
      </c>
      <c r="C125" s="77" t="s">
        <v>441</v>
      </c>
      <c r="D125" s="115" t="s">
        <v>20</v>
      </c>
      <c r="E125" s="115" t="s">
        <v>366</v>
      </c>
      <c r="F125" s="115" t="s">
        <v>710</v>
      </c>
      <c r="G125" s="115" t="s">
        <v>764</v>
      </c>
      <c r="H125" s="113" t="s">
        <v>24</v>
      </c>
      <c r="I125" s="115" t="s">
        <v>710</v>
      </c>
      <c r="J125" s="115">
        <v>1020088</v>
      </c>
      <c r="K125" s="115" t="s">
        <v>26</v>
      </c>
      <c r="L125" s="60">
        <v>600000</v>
      </c>
      <c r="M125" s="60">
        <v>1</v>
      </c>
      <c r="N125" s="60">
        <f>Main_Issuance[[#This Row],[LC Amt(FCY)]]*Main_Issuance[[#This Row],[Rate]]</f>
        <v>600000</v>
      </c>
      <c r="O125" s="77">
        <v>45838</v>
      </c>
      <c r="P125" s="77">
        <v>45838</v>
      </c>
      <c r="Q125" s="77" t="s">
        <v>27</v>
      </c>
      <c r="R125" s="115" t="s">
        <v>311</v>
      </c>
      <c r="S125" s="82"/>
      <c r="T125" s="82"/>
      <c r="U125" s="82"/>
      <c r="V125" s="97">
        <v>0</v>
      </c>
      <c r="W125" s="115"/>
      <c r="X125" s="120" t="str">
        <f ca="1">IF(AND((Main_Issuance[[#This Row],[Expiry Date]]+31)&gt;TODAY(),Main_Issuance[[#This Row],[Status]]&lt;&gt;"Cancelled"),"Active","Cancelled")</f>
        <v>Cancelled</v>
      </c>
      <c r="Y125" s="410"/>
      <c r="Z125" s="408"/>
      <c r="AA125" s="408" t="s">
        <v>378</v>
      </c>
      <c r="AB125" s="83" cm="1">
        <f t="array" ref="AB125">Iss_Tariff(Main_Issuance[[#This Row],[Bank]],Main_Issuance[[#This Row],[LC Amt(SAR)]],Main_Issuance[[#This Row],[Issue Date.]],Main_Issuance[[#This Row],[Expiry Date]],Main_Issuance[[#This Row],[Calculate]])</f>
        <v>0</v>
      </c>
      <c r="AC125" s="83"/>
    </row>
    <row r="126" spans="1:29" ht="15.75" hidden="1" x14ac:dyDescent="0.25">
      <c r="A126" s="114" t="s">
        <v>1352</v>
      </c>
      <c r="B126" s="77">
        <v>45792</v>
      </c>
      <c r="C126" s="77" t="s">
        <v>441</v>
      </c>
      <c r="D126" s="115" t="s">
        <v>20</v>
      </c>
      <c r="E126" s="115" t="s">
        <v>21</v>
      </c>
      <c r="F126" s="115" t="s">
        <v>22</v>
      </c>
      <c r="G126" s="115" t="s">
        <v>764</v>
      </c>
      <c r="H126" s="113" t="s">
        <v>24</v>
      </c>
      <c r="I126" s="115" t="s">
        <v>22</v>
      </c>
      <c r="J126" s="115">
        <v>1020055</v>
      </c>
      <c r="K126" s="115" t="s">
        <v>26</v>
      </c>
      <c r="L126" s="60">
        <v>382850</v>
      </c>
      <c r="M126" s="60">
        <v>1</v>
      </c>
      <c r="N126" s="60">
        <f>Main_Issuance[[#This Row],[LC Amt(FCY)]]*Main_Issuance[[#This Row],[Rate]]</f>
        <v>382850</v>
      </c>
      <c r="O126" s="77">
        <v>45900</v>
      </c>
      <c r="P126" s="77">
        <v>45900</v>
      </c>
      <c r="Q126" s="77" t="s">
        <v>27</v>
      </c>
      <c r="R126" s="115" t="s">
        <v>621</v>
      </c>
      <c r="S126" s="82"/>
      <c r="T126" s="82"/>
      <c r="U126" s="82"/>
      <c r="V126" s="97">
        <v>0</v>
      </c>
      <c r="W126" s="115"/>
      <c r="X126" s="120" t="str">
        <f ca="1">IF(AND((Main_Issuance[[#This Row],[Expiry Date]]+31)&gt;TODAY(),Main_Issuance[[#This Row],[Status]]&lt;&gt;"Cancelled"),"Active","Cancelled")</f>
        <v>Cancelled</v>
      </c>
      <c r="Y126" s="410"/>
      <c r="Z126" s="408"/>
      <c r="AA126" s="408" t="s">
        <v>378</v>
      </c>
      <c r="AB126" s="83" cm="1">
        <f t="array" ref="AB126">Iss_Tariff(Main_Issuance[[#This Row],[Bank]],Main_Issuance[[#This Row],[LC Amt(SAR)]],Main_Issuance[[#This Row],[Issue Date.]],Main_Issuance[[#This Row],[Expiry Date]],Main_Issuance[[#This Row],[Calculate]])</f>
        <v>0</v>
      </c>
      <c r="AC126" s="83"/>
    </row>
    <row r="127" spans="1:29" ht="15.75" hidden="1" x14ac:dyDescent="0.25">
      <c r="A127" s="114" t="s">
        <v>4274</v>
      </c>
      <c r="B127" s="77">
        <v>46089</v>
      </c>
      <c r="C127" s="77" t="s">
        <v>1259</v>
      </c>
      <c r="D127" s="115" t="s">
        <v>20</v>
      </c>
      <c r="E127" s="115" t="s">
        <v>95</v>
      </c>
      <c r="F127" s="115" t="s">
        <v>96</v>
      </c>
      <c r="G127" s="115" t="s">
        <v>4097</v>
      </c>
      <c r="H127" s="113" t="s">
        <v>1791</v>
      </c>
      <c r="I127" s="115" t="s">
        <v>328</v>
      </c>
      <c r="J127" s="115">
        <v>1020097</v>
      </c>
      <c r="K127" s="115" t="s">
        <v>26</v>
      </c>
      <c r="L127" s="119">
        <v>500000</v>
      </c>
      <c r="M127" s="82">
        <v>1</v>
      </c>
      <c r="N127" s="82">
        <f>Main_Issuance[[#This Row],[LC Amt(FCY)]]*Main_Issuance[[#This Row],[Rate]]</f>
        <v>500000</v>
      </c>
      <c r="O127" s="77">
        <v>46127</v>
      </c>
      <c r="P127" s="77">
        <v>46111</v>
      </c>
      <c r="Q127" s="77" t="s">
        <v>27</v>
      </c>
      <c r="R127" s="115" t="s">
        <v>1882</v>
      </c>
      <c r="S127" s="82"/>
      <c r="T127" s="82"/>
      <c r="U127" s="82"/>
      <c r="V127" s="97">
        <v>0</v>
      </c>
      <c r="W127" s="115"/>
      <c r="X127" s="120" t="str">
        <f ca="1">IF(AND((Main_Issuance[[#This Row],[Expiry Date]]+31)&gt;TODAY(),Main_Issuance[[#This Row],[Status]]&lt;&gt;"Cancelled"),"Active","Cancelled")</f>
        <v>Cancelled</v>
      </c>
      <c r="Y127" s="409"/>
      <c r="Z127" s="408"/>
      <c r="AA127" s="408" t="s">
        <v>857</v>
      </c>
      <c r="AB127" s="83" cm="1">
        <f t="array" ref="AB127">Iss_Tariff(Main_Issuance[[#This Row],[Bank]],Main_Issuance[[#This Row],[LC Amt(SAR)]],Main_Issuance[[#This Row],[Issue Date.]],Main_Issuance[[#This Row],[Expiry Date]],Main_Issuance[[#This Row],[Calculate]])</f>
        <v>1035</v>
      </c>
      <c r="AC127" s="83"/>
    </row>
    <row r="128" spans="1:29" ht="15.75" hidden="1" x14ac:dyDescent="0.25">
      <c r="A128" s="114" t="s">
        <v>162</v>
      </c>
      <c r="B128" s="77">
        <v>45125</v>
      </c>
      <c r="C128" s="77" t="s">
        <v>441</v>
      </c>
      <c r="D128" s="115" t="s">
        <v>20</v>
      </c>
      <c r="E128" s="115" t="s">
        <v>21</v>
      </c>
      <c r="F128" s="115" t="s">
        <v>22</v>
      </c>
      <c r="G128" s="115" t="s">
        <v>163</v>
      </c>
      <c r="H128" s="113" t="s">
        <v>24</v>
      </c>
      <c r="I128" s="115" t="s">
        <v>22</v>
      </c>
      <c r="J128" s="115">
        <v>1020055</v>
      </c>
      <c r="K128" s="115" t="s">
        <v>26</v>
      </c>
      <c r="L128" s="60">
        <v>1030466.4</v>
      </c>
      <c r="M128" s="60">
        <v>1</v>
      </c>
      <c r="N128" s="60">
        <f>Main_Issuance[[#This Row],[LC Amt(FCY)]]*Main_Issuance[[#This Row],[Rate]]</f>
        <v>1030466.4</v>
      </c>
      <c r="O128" s="77">
        <v>45260</v>
      </c>
      <c r="P128" s="77">
        <v>45260</v>
      </c>
      <c r="Q128" s="77" t="s">
        <v>27</v>
      </c>
      <c r="R128" s="115"/>
      <c r="S128" s="82"/>
      <c r="T128" s="82"/>
      <c r="U128" s="82"/>
      <c r="V128" s="97">
        <v>0</v>
      </c>
      <c r="W128" s="115"/>
      <c r="X128" s="120" t="str">
        <f ca="1">IF(AND((Main_Issuance[[#This Row],[Expiry Date]]+31)&gt;TODAY(),Main_Issuance[[#This Row],[Status]]&lt;&gt;"Cancelled"),"Active","Cancelled")</f>
        <v>Cancelled</v>
      </c>
      <c r="Y128" s="410"/>
      <c r="Z128" s="408"/>
      <c r="AA128" s="408" t="s">
        <v>378</v>
      </c>
      <c r="AB128" s="83" cm="1">
        <f t="array" ref="AB128">Iss_Tariff(Main_Issuance[[#This Row],[Bank]],Main_Issuance[[#This Row],[LC Amt(SAR)]],Main_Issuance[[#This Row],[Issue Date.]],Main_Issuance[[#This Row],[Expiry Date]],Main_Issuance[[#This Row],[Calculate]])</f>
        <v>0</v>
      </c>
      <c r="AC128" s="83"/>
    </row>
    <row r="129" spans="1:29" ht="15.75" hidden="1" x14ac:dyDescent="0.25">
      <c r="A129" s="114" t="s">
        <v>164</v>
      </c>
      <c r="B129" s="77">
        <v>45167</v>
      </c>
      <c r="C129" s="77" t="s">
        <v>441</v>
      </c>
      <c r="D129" s="115" t="s">
        <v>20</v>
      </c>
      <c r="E129" s="115" t="s">
        <v>21</v>
      </c>
      <c r="F129" s="115" t="s">
        <v>22</v>
      </c>
      <c r="G129" s="115" t="s">
        <v>163</v>
      </c>
      <c r="H129" s="113" t="s">
        <v>24</v>
      </c>
      <c r="I129" s="115" t="s">
        <v>22</v>
      </c>
      <c r="J129" s="115">
        <v>1020055</v>
      </c>
      <c r="K129" s="115" t="s">
        <v>26</v>
      </c>
      <c r="L129" s="60">
        <v>1223678.6599999999</v>
      </c>
      <c r="M129" s="60">
        <v>1</v>
      </c>
      <c r="N129" s="60">
        <f>Main_Issuance[[#This Row],[LC Amt(FCY)]]*Main_Issuance[[#This Row],[Rate]]</f>
        <v>1223678.6599999999</v>
      </c>
      <c r="O129" s="77">
        <v>45260</v>
      </c>
      <c r="P129" s="77">
        <v>45260</v>
      </c>
      <c r="Q129" s="77" t="s">
        <v>27</v>
      </c>
      <c r="R129" s="115" t="s">
        <v>35</v>
      </c>
      <c r="S129" s="82"/>
      <c r="T129" s="82"/>
      <c r="U129" s="82"/>
      <c r="V129" s="97">
        <v>0</v>
      </c>
      <c r="W129" s="115"/>
      <c r="X129" s="120" t="str">
        <f ca="1">IF(AND((Main_Issuance[[#This Row],[Expiry Date]]+31)&gt;TODAY(),Main_Issuance[[#This Row],[Status]]&lt;&gt;"Cancelled"),"Active","Cancelled")</f>
        <v>Cancelled</v>
      </c>
      <c r="Y129" s="410"/>
      <c r="Z129" s="408"/>
      <c r="AA129" s="408" t="s">
        <v>378</v>
      </c>
      <c r="AB129" s="83" cm="1">
        <f t="array" ref="AB129">Iss_Tariff(Main_Issuance[[#This Row],[Bank]],Main_Issuance[[#This Row],[LC Amt(SAR)]],Main_Issuance[[#This Row],[Issue Date.]],Main_Issuance[[#This Row],[Expiry Date]],Main_Issuance[[#This Row],[Calculate]])</f>
        <v>0</v>
      </c>
      <c r="AC129" s="83"/>
    </row>
    <row r="130" spans="1:29" ht="15.75" hidden="1" x14ac:dyDescent="0.25">
      <c r="A130" s="114" t="s">
        <v>1668</v>
      </c>
      <c r="B130" s="77">
        <v>45872</v>
      </c>
      <c r="C130" s="77" t="s">
        <v>441</v>
      </c>
      <c r="D130" s="115" t="s">
        <v>20</v>
      </c>
      <c r="E130" s="115" t="s">
        <v>21</v>
      </c>
      <c r="F130" s="115" t="s">
        <v>22</v>
      </c>
      <c r="G130" s="115" t="s">
        <v>1594</v>
      </c>
      <c r="H130" s="113" t="s">
        <v>24</v>
      </c>
      <c r="I130" s="115" t="s">
        <v>22</v>
      </c>
      <c r="J130" s="115">
        <v>1020055</v>
      </c>
      <c r="K130" s="115" t="s">
        <v>26</v>
      </c>
      <c r="L130" s="60">
        <v>150000</v>
      </c>
      <c r="M130" s="60">
        <v>1</v>
      </c>
      <c r="N130" s="60">
        <f>Main_Issuance[[#This Row],[LC Amt(FCY)]]*Main_Issuance[[#This Row],[Rate]]</f>
        <v>150000</v>
      </c>
      <c r="O130" s="77">
        <v>45961</v>
      </c>
      <c r="P130" s="77">
        <v>45961</v>
      </c>
      <c r="Q130" s="77" t="s">
        <v>27</v>
      </c>
      <c r="R130" s="115" t="s">
        <v>621</v>
      </c>
      <c r="S130" s="82"/>
      <c r="T130" s="82"/>
      <c r="U130" s="82"/>
      <c r="V130" s="97">
        <v>0</v>
      </c>
      <c r="W130" s="115"/>
      <c r="X130" s="120" t="str">
        <f ca="1">IF(AND((Main_Issuance[[#This Row],[Expiry Date]]+31)&gt;TODAY(),Main_Issuance[[#This Row],[Status]]&lt;&gt;"Cancelled"),"Active","Cancelled")</f>
        <v>Cancelled</v>
      </c>
      <c r="Y130" s="410"/>
      <c r="Z130" s="408"/>
      <c r="AA130" s="408" t="s">
        <v>378</v>
      </c>
      <c r="AB130" s="83" cm="1">
        <f t="array" ref="AB130">Iss_Tariff(Main_Issuance[[#This Row],[Bank]],Main_Issuance[[#This Row],[LC Amt(SAR)]],Main_Issuance[[#This Row],[Issue Date.]],Main_Issuance[[#This Row],[Expiry Date]],Main_Issuance[[#This Row],[Calculate]])</f>
        <v>0</v>
      </c>
      <c r="AC130" s="83"/>
    </row>
    <row r="131" spans="1:29" ht="15.75" hidden="1" x14ac:dyDescent="0.25">
      <c r="A131" s="114" t="s">
        <v>33</v>
      </c>
      <c r="B131" s="77">
        <v>45147</v>
      </c>
      <c r="C131" s="77" t="s">
        <v>441</v>
      </c>
      <c r="D131" s="115" t="s">
        <v>20</v>
      </c>
      <c r="E131" s="115" t="s">
        <v>21</v>
      </c>
      <c r="F131" s="115" t="s">
        <v>22</v>
      </c>
      <c r="G131" s="115" t="s">
        <v>34</v>
      </c>
      <c r="H131" s="113" t="s">
        <v>24</v>
      </c>
      <c r="I131" s="115" t="s">
        <v>22</v>
      </c>
      <c r="J131" s="115">
        <v>1020055</v>
      </c>
      <c r="K131" s="115" t="s">
        <v>26</v>
      </c>
      <c r="L131" s="60">
        <v>951342.78</v>
      </c>
      <c r="M131" s="60">
        <v>1</v>
      </c>
      <c r="N131" s="60">
        <f>Main_Issuance[[#This Row],[LC Amt(FCY)]]*Main_Issuance[[#This Row],[Rate]]</f>
        <v>951342.78</v>
      </c>
      <c r="O131" s="77">
        <v>45442</v>
      </c>
      <c r="P131" s="77">
        <v>45442</v>
      </c>
      <c r="Q131" s="77" t="s">
        <v>27</v>
      </c>
      <c r="R131" s="115" t="s">
        <v>35</v>
      </c>
      <c r="S131" s="82"/>
      <c r="T131" s="82"/>
      <c r="U131" s="82"/>
      <c r="V131" s="97">
        <v>0</v>
      </c>
      <c r="W131" s="115"/>
      <c r="X131" s="120" t="str">
        <f ca="1">IF(AND((Main_Issuance[[#This Row],[Expiry Date]]+31)&gt;TODAY(),Main_Issuance[[#This Row],[Status]]&lt;&gt;"Cancelled"),"Active","Cancelled")</f>
        <v>Cancelled</v>
      </c>
      <c r="Y131" s="410"/>
      <c r="Z131" s="408"/>
      <c r="AA131" s="408" t="s">
        <v>378</v>
      </c>
      <c r="AB131" s="83" cm="1">
        <f t="array" ref="AB131">Iss_Tariff(Main_Issuance[[#This Row],[Bank]],Main_Issuance[[#This Row],[LC Amt(SAR)]],Main_Issuance[[#This Row],[Issue Date.]],Main_Issuance[[#This Row],[Expiry Date]],Main_Issuance[[#This Row],[Calculate]])</f>
        <v>0</v>
      </c>
      <c r="AC131" s="83"/>
    </row>
    <row r="132" spans="1:29" ht="15.75" hidden="1" x14ac:dyDescent="0.25">
      <c r="A132" s="114" t="s">
        <v>634</v>
      </c>
      <c r="B132" s="77">
        <v>45694</v>
      </c>
      <c r="C132" s="77" t="s">
        <v>441</v>
      </c>
      <c r="D132" s="115" t="s">
        <v>20</v>
      </c>
      <c r="E132" s="115" t="s">
        <v>95</v>
      </c>
      <c r="F132" s="115" t="s">
        <v>96</v>
      </c>
      <c r="G132" s="115" t="s">
        <v>635</v>
      </c>
      <c r="H132" s="113" t="s">
        <v>24</v>
      </c>
      <c r="I132" s="115" t="s">
        <v>22</v>
      </c>
      <c r="J132" s="115">
        <v>1020055</v>
      </c>
      <c r="K132" s="115" t="s">
        <v>26</v>
      </c>
      <c r="L132" s="60">
        <v>500000</v>
      </c>
      <c r="M132" s="60">
        <v>1</v>
      </c>
      <c r="N132" s="60">
        <f>Main_Issuance[[#This Row],[LC Amt(FCY)]]*Main_Issuance[[#This Row],[Rate]]</f>
        <v>500000</v>
      </c>
      <c r="O132" s="77">
        <v>45777</v>
      </c>
      <c r="P132" s="77">
        <v>45777</v>
      </c>
      <c r="Q132" s="77" t="s">
        <v>27</v>
      </c>
      <c r="R132" s="115" t="s">
        <v>311</v>
      </c>
      <c r="S132" s="82"/>
      <c r="T132" s="82"/>
      <c r="U132" s="82"/>
      <c r="V132" s="97">
        <v>0</v>
      </c>
      <c r="W132" s="115" t="s">
        <v>636</v>
      </c>
      <c r="X132" s="120" t="str">
        <f ca="1">IF(AND((Main_Issuance[[#This Row],[Expiry Date]]+31)&gt;TODAY(),Main_Issuance[[#This Row],[Status]]&lt;&gt;"Cancelled"),"Active","Cancelled")</f>
        <v>Cancelled</v>
      </c>
      <c r="Y132" s="410"/>
      <c r="Z132" s="408"/>
      <c r="AA132" s="408" t="s">
        <v>378</v>
      </c>
      <c r="AB132" s="83" cm="1">
        <f t="array" ref="AB132">Iss_Tariff(Main_Issuance[[#This Row],[Bank]],Main_Issuance[[#This Row],[LC Amt(SAR)]],Main_Issuance[[#This Row],[Issue Date.]],Main_Issuance[[#This Row],[Expiry Date]],Main_Issuance[[#This Row],[Calculate]])</f>
        <v>0</v>
      </c>
      <c r="AC132" s="83"/>
    </row>
    <row r="133" spans="1:29" ht="15.75" hidden="1" x14ac:dyDescent="0.25">
      <c r="A133" s="114" t="s">
        <v>1312</v>
      </c>
      <c r="B133" s="77">
        <v>45788</v>
      </c>
      <c r="C133" s="77" t="s">
        <v>441</v>
      </c>
      <c r="D133" s="115" t="s">
        <v>20</v>
      </c>
      <c r="E133" s="115" t="s">
        <v>21</v>
      </c>
      <c r="F133" s="115" t="s">
        <v>22</v>
      </c>
      <c r="G133" s="115" t="s">
        <v>1264</v>
      </c>
      <c r="H133" s="113" t="s">
        <v>24</v>
      </c>
      <c r="I133" s="115" t="s">
        <v>22</v>
      </c>
      <c r="J133" s="115">
        <v>1020055</v>
      </c>
      <c r="K133" s="115" t="s">
        <v>26</v>
      </c>
      <c r="L133" s="60">
        <v>624264.62</v>
      </c>
      <c r="M133" s="60">
        <v>1</v>
      </c>
      <c r="N133" s="60">
        <f>Main_Issuance[[#This Row],[LC Amt(FCY)]]*Main_Issuance[[#This Row],[Rate]]</f>
        <v>624264.62</v>
      </c>
      <c r="O133" s="77">
        <v>46081</v>
      </c>
      <c r="P133" s="77">
        <v>46081</v>
      </c>
      <c r="Q133" s="77" t="s">
        <v>27</v>
      </c>
      <c r="R133" s="115" t="s">
        <v>1629</v>
      </c>
      <c r="S133" s="82"/>
      <c r="T133" s="82"/>
      <c r="U133" s="82"/>
      <c r="V133" s="97">
        <v>0</v>
      </c>
      <c r="W133" s="115"/>
      <c r="X133" s="120" t="str">
        <f ca="1">IF(AND((Main_Issuance[[#This Row],[Expiry Date]]+31)&gt;TODAY(),Main_Issuance[[#This Row],[Status]]&lt;&gt;"Cancelled"),"Active","Cancelled")</f>
        <v>Cancelled</v>
      </c>
      <c r="Y133" s="410"/>
      <c r="Z133" s="408"/>
      <c r="AA133" s="408" t="s">
        <v>857</v>
      </c>
      <c r="AB133" s="83" cm="1">
        <f t="array" ref="AB133">Iss_Tariff(Main_Issuance[[#This Row],[Bank]],Main_Issuance[[#This Row],[LC Amt(SAR)]],Main_Issuance[[#This Row],[Issue Date.]],Main_Issuance[[#This Row],[Expiry Date]],Main_Issuance[[#This Row],[Calculate]])</f>
        <v>5417.65</v>
      </c>
      <c r="AC133" s="83"/>
    </row>
    <row r="134" spans="1:29" ht="15.75" hidden="1" x14ac:dyDescent="0.25">
      <c r="A134" s="114" t="s">
        <v>1400</v>
      </c>
      <c r="B134" s="77">
        <v>45804</v>
      </c>
      <c r="C134" s="77" t="s">
        <v>441</v>
      </c>
      <c r="D134" s="115" t="s">
        <v>20</v>
      </c>
      <c r="E134" s="115" t="s">
        <v>21</v>
      </c>
      <c r="F134" s="115" t="s">
        <v>22</v>
      </c>
      <c r="G134" s="115" t="s">
        <v>1264</v>
      </c>
      <c r="H134" s="113" t="s">
        <v>24</v>
      </c>
      <c r="I134" s="115" t="s">
        <v>22</v>
      </c>
      <c r="J134" s="115">
        <v>1020055</v>
      </c>
      <c r="K134" s="115" t="s">
        <v>26</v>
      </c>
      <c r="L134" s="60">
        <v>350000</v>
      </c>
      <c r="M134" s="60">
        <v>1</v>
      </c>
      <c r="N134" s="60">
        <f>Main_Issuance[[#This Row],[LC Amt(FCY)]]*Main_Issuance[[#This Row],[Rate]]</f>
        <v>350000</v>
      </c>
      <c r="O134" s="77">
        <v>46081</v>
      </c>
      <c r="P134" s="77">
        <v>46081</v>
      </c>
      <c r="Q134" s="77" t="s">
        <v>27</v>
      </c>
      <c r="R134" s="115" t="s">
        <v>1629</v>
      </c>
      <c r="S134" s="82"/>
      <c r="T134" s="82"/>
      <c r="U134" s="82"/>
      <c r="V134" s="97">
        <v>0</v>
      </c>
      <c r="W134" s="115"/>
      <c r="X134" s="120" t="str">
        <f ca="1">IF(AND((Main_Issuance[[#This Row],[Expiry Date]]+31)&gt;TODAY(),Main_Issuance[[#This Row],[Status]]&lt;&gt;"Cancelled"),"Active","Cancelled")</f>
        <v>Cancelled</v>
      </c>
      <c r="Y134" s="410"/>
      <c r="Z134" s="408"/>
      <c r="AA134" s="408" t="s">
        <v>857</v>
      </c>
      <c r="AB134" s="83" cm="1">
        <f t="array" ref="AB134">Iss_Tariff(Main_Issuance[[#This Row],[Bank]],Main_Issuance[[#This Row],[LC Amt(SAR)]],Main_Issuance[[#This Row],[Issue Date.]],Main_Issuance[[#This Row],[Expiry Date]],Main_Issuance[[#This Row],[Calculate]])</f>
        <v>3463.8</v>
      </c>
      <c r="AC134" s="83"/>
    </row>
    <row r="135" spans="1:29" ht="15.75" hidden="1" x14ac:dyDescent="0.25">
      <c r="A135" s="114" t="s">
        <v>489</v>
      </c>
      <c r="B135" s="77">
        <v>45610</v>
      </c>
      <c r="C135" s="77" t="s">
        <v>509</v>
      </c>
      <c r="D135" s="115" t="s">
        <v>20</v>
      </c>
      <c r="E135" s="115" t="s">
        <v>21</v>
      </c>
      <c r="F135" s="115" t="s">
        <v>22</v>
      </c>
      <c r="G135" s="115" t="s">
        <v>490</v>
      </c>
      <c r="H135" s="113" t="s">
        <v>72</v>
      </c>
      <c r="I135" s="115" t="s">
        <v>487</v>
      </c>
      <c r="J135" s="115">
        <v>1020060</v>
      </c>
      <c r="K135" s="115" t="s">
        <v>26</v>
      </c>
      <c r="L135" s="60">
        <v>1167116.6000000001</v>
      </c>
      <c r="M135" s="60">
        <v>1</v>
      </c>
      <c r="N135" s="60">
        <f>Main_Issuance[[#This Row],[LC Amt(FCY)]]*Main_Issuance[[#This Row],[Rate]]</f>
        <v>1167116.6000000001</v>
      </c>
      <c r="O135" s="77">
        <v>45688</v>
      </c>
      <c r="P135" s="77">
        <v>45661</v>
      </c>
      <c r="Q135" s="77" t="s">
        <v>27</v>
      </c>
      <c r="R135" s="115" t="s">
        <v>305</v>
      </c>
      <c r="S135" s="82"/>
      <c r="T135" s="82"/>
      <c r="U135" s="82"/>
      <c r="V135" s="97">
        <v>0</v>
      </c>
      <c r="W135" s="115"/>
      <c r="X135" s="120" t="str">
        <f ca="1">IF(AND((Main_Issuance[[#This Row],[Expiry Date]]+31)&gt;TODAY(),Main_Issuance[[#This Row],[Status]]&lt;&gt;"Cancelled"),"Active","Cancelled")</f>
        <v>Cancelled</v>
      </c>
      <c r="Y135" s="410"/>
      <c r="Z135" s="408"/>
      <c r="AA135" s="408" t="s">
        <v>378</v>
      </c>
      <c r="AB135" s="83" cm="1">
        <f t="array" ref="AB135">Iss_Tariff(Main_Issuance[[#This Row],[Bank]],Main_Issuance[[#This Row],[LC Amt(SAR)]],Main_Issuance[[#This Row],[Issue Date.]],Main_Issuance[[#This Row],[Expiry Date]],Main_Issuance[[#This Row],[Calculate]])</f>
        <v>0</v>
      </c>
      <c r="AC135" s="83"/>
    </row>
    <row r="136" spans="1:29" ht="15.75" hidden="1" x14ac:dyDescent="0.25">
      <c r="A136" s="114" t="s">
        <v>1615</v>
      </c>
      <c r="B136" s="77">
        <v>45865</v>
      </c>
      <c r="C136" s="77" t="s">
        <v>441</v>
      </c>
      <c r="D136" s="115" t="s">
        <v>20</v>
      </c>
      <c r="E136" s="115" t="s">
        <v>366</v>
      </c>
      <c r="F136" s="115" t="s">
        <v>710</v>
      </c>
      <c r="G136" s="115" t="s">
        <v>1576</v>
      </c>
      <c r="H136" s="113" t="s">
        <v>24</v>
      </c>
      <c r="I136" s="115" t="s">
        <v>710</v>
      </c>
      <c r="J136" s="115">
        <v>1020088</v>
      </c>
      <c r="K136" s="115" t="s">
        <v>26</v>
      </c>
      <c r="L136" s="60">
        <v>150000.01</v>
      </c>
      <c r="M136" s="60">
        <v>1</v>
      </c>
      <c r="N136" s="60">
        <f>Main_Issuance[[#This Row],[LC Amt(FCY)]]*Main_Issuance[[#This Row],[Rate]]</f>
        <v>150000.01</v>
      </c>
      <c r="O136" s="77">
        <v>45961</v>
      </c>
      <c r="P136" s="77">
        <v>45961</v>
      </c>
      <c r="Q136" s="77" t="s">
        <v>27</v>
      </c>
      <c r="R136" s="115" t="s">
        <v>621</v>
      </c>
      <c r="S136" s="82"/>
      <c r="T136" s="82"/>
      <c r="U136" s="82"/>
      <c r="V136" s="97">
        <v>0</v>
      </c>
      <c r="W136" s="115"/>
      <c r="X136" s="120" t="str">
        <f ca="1">IF(AND((Main_Issuance[[#This Row],[Expiry Date]]+31)&gt;TODAY(),Main_Issuance[[#This Row],[Status]]&lt;&gt;"Cancelled"),"Active","Cancelled")</f>
        <v>Cancelled</v>
      </c>
      <c r="Y136" s="410"/>
      <c r="Z136" s="408"/>
      <c r="AA136" s="408" t="s">
        <v>378</v>
      </c>
      <c r="AB136" s="83" cm="1">
        <f t="array" ref="AB136">Iss_Tariff(Main_Issuance[[#This Row],[Bank]],Main_Issuance[[#This Row],[LC Amt(SAR)]],Main_Issuance[[#This Row],[Issue Date.]],Main_Issuance[[#This Row],[Expiry Date]],Main_Issuance[[#This Row],[Calculate]])</f>
        <v>0</v>
      </c>
      <c r="AC136" s="83"/>
    </row>
    <row r="137" spans="1:29" ht="15.75" hidden="1" x14ac:dyDescent="0.25">
      <c r="A137" s="114" t="s">
        <v>581</v>
      </c>
      <c r="B137" s="77">
        <v>45645</v>
      </c>
      <c r="C137" s="77" t="s">
        <v>441</v>
      </c>
      <c r="D137" s="115" t="s">
        <v>20</v>
      </c>
      <c r="E137" s="115" t="s">
        <v>373</v>
      </c>
      <c r="F137" s="115" t="s">
        <v>483</v>
      </c>
      <c r="G137" s="115" t="s">
        <v>582</v>
      </c>
      <c r="H137" s="113" t="s">
        <v>24</v>
      </c>
      <c r="I137" s="115" t="s">
        <v>22</v>
      </c>
      <c r="J137" s="115">
        <v>1020055</v>
      </c>
      <c r="K137" s="115" t="s">
        <v>26</v>
      </c>
      <c r="L137" s="60">
        <v>1584497.6</v>
      </c>
      <c r="M137" s="60">
        <v>1</v>
      </c>
      <c r="N137" s="60">
        <f>Main_Issuance[[#This Row],[LC Amt(FCY)]]*Main_Issuance[[#This Row],[Rate]]</f>
        <v>1584497.6</v>
      </c>
      <c r="O137" s="77">
        <v>45808</v>
      </c>
      <c r="P137" s="77">
        <v>45747</v>
      </c>
      <c r="Q137" s="77" t="s">
        <v>27</v>
      </c>
      <c r="R137" s="115" t="s">
        <v>311</v>
      </c>
      <c r="S137" s="82"/>
      <c r="T137" s="82"/>
      <c r="U137" s="82"/>
      <c r="V137" s="97">
        <v>0</v>
      </c>
      <c r="W137" s="115"/>
      <c r="X137" s="120" t="str">
        <f ca="1">IF(AND((Main_Issuance[[#This Row],[Expiry Date]]+31)&gt;TODAY(),Main_Issuance[[#This Row],[Status]]&lt;&gt;"Cancelled"),"Active","Cancelled")</f>
        <v>Cancelled</v>
      </c>
      <c r="Y137" s="410"/>
      <c r="Z137" s="408"/>
      <c r="AA137" s="408" t="s">
        <v>378</v>
      </c>
      <c r="AB137" s="83" cm="1">
        <f t="array" ref="AB137">Iss_Tariff(Main_Issuance[[#This Row],[Bank]],Main_Issuance[[#This Row],[LC Amt(SAR)]],Main_Issuance[[#This Row],[Issue Date.]],Main_Issuance[[#This Row],[Expiry Date]],Main_Issuance[[#This Row],[Calculate]])</f>
        <v>0</v>
      </c>
      <c r="AC137" s="83"/>
    </row>
    <row r="138" spans="1:29" ht="15.75" hidden="1" x14ac:dyDescent="0.25">
      <c r="A138" s="114" t="s">
        <v>632</v>
      </c>
      <c r="B138" s="77">
        <v>45694</v>
      </c>
      <c r="C138" s="77" t="s">
        <v>441</v>
      </c>
      <c r="D138" s="115" t="s">
        <v>20</v>
      </c>
      <c r="E138" s="115" t="s">
        <v>95</v>
      </c>
      <c r="F138" s="115" t="s">
        <v>96</v>
      </c>
      <c r="G138" s="115" t="s">
        <v>582</v>
      </c>
      <c r="H138" s="113" t="s">
        <v>24</v>
      </c>
      <c r="I138" s="115" t="s">
        <v>22</v>
      </c>
      <c r="J138" s="115">
        <v>1020055</v>
      </c>
      <c r="K138" s="115" t="s">
        <v>26</v>
      </c>
      <c r="L138" s="60">
        <v>712597.7</v>
      </c>
      <c r="M138" s="60">
        <v>1</v>
      </c>
      <c r="N138" s="60">
        <f>Main_Issuance[[#This Row],[LC Amt(FCY)]]*Main_Issuance[[#This Row],[Rate]]</f>
        <v>712597.7</v>
      </c>
      <c r="O138" s="77">
        <v>45900</v>
      </c>
      <c r="P138" s="77">
        <v>45900</v>
      </c>
      <c r="Q138" s="77" t="s">
        <v>27</v>
      </c>
      <c r="R138" s="115" t="s">
        <v>311</v>
      </c>
      <c r="S138" s="82"/>
      <c r="T138" s="82"/>
      <c r="U138" s="82"/>
      <c r="V138" s="97">
        <v>0</v>
      </c>
      <c r="W138" s="115"/>
      <c r="X138" s="120" t="str">
        <f ca="1">IF(AND((Main_Issuance[[#This Row],[Expiry Date]]+31)&gt;TODAY(),Main_Issuance[[#This Row],[Status]]&lt;&gt;"Cancelled"),"Active","Cancelled")</f>
        <v>Cancelled</v>
      </c>
      <c r="Y138" s="410"/>
      <c r="Z138" s="408"/>
      <c r="AA138" s="408" t="s">
        <v>378</v>
      </c>
      <c r="AB138" s="83" cm="1">
        <f t="array" ref="AB138">Iss_Tariff(Main_Issuance[[#This Row],[Bank]],Main_Issuance[[#This Row],[LC Amt(SAR)]],Main_Issuance[[#This Row],[Issue Date.]],Main_Issuance[[#This Row],[Expiry Date]],Main_Issuance[[#This Row],[Calculate]])</f>
        <v>0</v>
      </c>
      <c r="AC138" s="83"/>
    </row>
    <row r="139" spans="1:29" ht="15.75" hidden="1" x14ac:dyDescent="0.25">
      <c r="A139" s="114" t="s">
        <v>544</v>
      </c>
      <c r="B139" s="76">
        <v>45634</v>
      </c>
      <c r="C139" s="77" t="s">
        <v>509</v>
      </c>
      <c r="D139" s="115" t="s">
        <v>20</v>
      </c>
      <c r="E139" s="115" t="s">
        <v>95</v>
      </c>
      <c r="F139" s="115" t="s">
        <v>96</v>
      </c>
      <c r="G139" s="115" t="s">
        <v>545</v>
      </c>
      <c r="H139" s="113" t="s">
        <v>24</v>
      </c>
      <c r="I139" s="115" t="s">
        <v>407</v>
      </c>
      <c r="J139" s="115">
        <v>1020100</v>
      </c>
      <c r="K139" s="115" t="s">
        <v>26</v>
      </c>
      <c r="L139" s="60">
        <v>400000</v>
      </c>
      <c r="M139" s="60">
        <v>1</v>
      </c>
      <c r="N139" s="60">
        <f>Main_Issuance[[#This Row],[LC Amt(FCY)]]*Main_Issuance[[#This Row],[Rate]]</f>
        <v>400000</v>
      </c>
      <c r="O139" s="77">
        <v>45777</v>
      </c>
      <c r="P139" s="77">
        <v>45751</v>
      </c>
      <c r="Q139" s="77" t="s">
        <v>27</v>
      </c>
      <c r="R139" s="115" t="s">
        <v>311</v>
      </c>
      <c r="S139" s="82"/>
      <c r="T139" s="82"/>
      <c r="U139" s="82"/>
      <c r="V139" s="97">
        <v>0</v>
      </c>
      <c r="W139" s="115" t="s">
        <v>443</v>
      </c>
      <c r="X139" s="120" t="str">
        <f ca="1">IF(AND((Main_Issuance[[#This Row],[Expiry Date]]+31)&gt;TODAY(),Main_Issuance[[#This Row],[Status]]&lt;&gt;"Cancelled"),"Active","Cancelled")</f>
        <v>Cancelled</v>
      </c>
      <c r="Y139" s="410"/>
      <c r="Z139" s="408"/>
      <c r="AA139" s="408" t="s">
        <v>378</v>
      </c>
      <c r="AB139" s="83" cm="1">
        <f t="array" ref="AB139">Iss_Tariff(Main_Issuance[[#This Row],[Bank]],Main_Issuance[[#This Row],[LC Amt(SAR)]],Main_Issuance[[#This Row],[Issue Date.]],Main_Issuance[[#This Row],[Expiry Date]],Main_Issuance[[#This Row],[Calculate]])</f>
        <v>0</v>
      </c>
      <c r="AC139" s="83"/>
    </row>
    <row r="140" spans="1:29" ht="15.75" hidden="1" x14ac:dyDescent="0.25">
      <c r="A140" s="114" t="s">
        <v>500</v>
      </c>
      <c r="B140" s="77">
        <v>45610</v>
      </c>
      <c r="C140" s="77" t="s">
        <v>509</v>
      </c>
      <c r="D140" s="115" t="s">
        <v>20</v>
      </c>
      <c r="E140" s="115" t="s">
        <v>21</v>
      </c>
      <c r="F140" s="115" t="s">
        <v>22</v>
      </c>
      <c r="G140" s="115" t="s">
        <v>501</v>
      </c>
      <c r="H140" s="113" t="s">
        <v>72</v>
      </c>
      <c r="I140" s="115" t="s">
        <v>487</v>
      </c>
      <c r="J140" s="115">
        <v>1020060</v>
      </c>
      <c r="K140" s="115" t="s">
        <v>26</v>
      </c>
      <c r="L140" s="60">
        <v>514797.5</v>
      </c>
      <c r="M140" s="60">
        <v>1</v>
      </c>
      <c r="N140" s="60">
        <f>Main_Issuance[[#This Row],[LC Amt(FCY)]]*Main_Issuance[[#This Row],[Rate]]</f>
        <v>514797.5</v>
      </c>
      <c r="O140" s="77">
        <v>45688</v>
      </c>
      <c r="P140" s="77">
        <v>45661</v>
      </c>
      <c r="Q140" s="77" t="s">
        <v>27</v>
      </c>
      <c r="R140" s="115" t="s">
        <v>305</v>
      </c>
      <c r="S140" s="82"/>
      <c r="T140" s="82"/>
      <c r="U140" s="82"/>
      <c r="V140" s="97">
        <v>0</v>
      </c>
      <c r="W140" s="115" t="s">
        <v>502</v>
      </c>
      <c r="X140" s="120" t="str">
        <f ca="1">IF(AND((Main_Issuance[[#This Row],[Expiry Date]]+31)&gt;TODAY(),Main_Issuance[[#This Row],[Status]]&lt;&gt;"Cancelled"),"Active","Cancelled")</f>
        <v>Cancelled</v>
      </c>
      <c r="Y140" s="410"/>
      <c r="Z140" s="408"/>
      <c r="AA140" s="408" t="s">
        <v>378</v>
      </c>
      <c r="AB140" s="83" cm="1">
        <f t="array" ref="AB140">Iss_Tariff(Main_Issuance[[#This Row],[Bank]],Main_Issuance[[#This Row],[LC Amt(SAR)]],Main_Issuance[[#This Row],[Issue Date.]],Main_Issuance[[#This Row],[Expiry Date]],Main_Issuance[[#This Row],[Calculate]])</f>
        <v>0</v>
      </c>
      <c r="AC140" s="83"/>
    </row>
    <row r="141" spans="1:29" ht="15.75" hidden="1" x14ac:dyDescent="0.25">
      <c r="A141" s="114" t="s">
        <v>176</v>
      </c>
      <c r="B141" s="77">
        <v>45167</v>
      </c>
      <c r="C141" s="77" t="s">
        <v>441</v>
      </c>
      <c r="D141" s="115" t="s">
        <v>20</v>
      </c>
      <c r="E141" s="115" t="s">
        <v>21</v>
      </c>
      <c r="F141" s="115" t="s">
        <v>22</v>
      </c>
      <c r="G141" s="115" t="s">
        <v>177</v>
      </c>
      <c r="H141" s="113" t="s">
        <v>24</v>
      </c>
      <c r="I141" s="115" t="s">
        <v>22</v>
      </c>
      <c r="J141" s="115">
        <v>1020055</v>
      </c>
      <c r="K141" s="115" t="s">
        <v>26</v>
      </c>
      <c r="L141" s="60">
        <v>6674535.2699999996</v>
      </c>
      <c r="M141" s="60">
        <v>1</v>
      </c>
      <c r="N141" s="60">
        <f>Main_Issuance[[#This Row],[LC Amt(FCY)]]*Main_Issuance[[#This Row],[Rate]]</f>
        <v>6674535.2699999996</v>
      </c>
      <c r="O141" s="77">
        <v>45260</v>
      </c>
      <c r="P141" s="77">
        <v>45260</v>
      </c>
      <c r="Q141" s="77" t="s">
        <v>27</v>
      </c>
      <c r="R141" s="115" t="s">
        <v>35</v>
      </c>
      <c r="S141" s="82"/>
      <c r="T141" s="82"/>
      <c r="U141" s="82"/>
      <c r="V141" s="97">
        <v>0</v>
      </c>
      <c r="W141" s="115"/>
      <c r="X141" s="120" t="str">
        <f ca="1">IF(AND((Main_Issuance[[#This Row],[Expiry Date]]+31)&gt;TODAY(),Main_Issuance[[#This Row],[Status]]&lt;&gt;"Cancelled"),"Active","Cancelled")</f>
        <v>Cancelled</v>
      </c>
      <c r="Y141" s="410"/>
      <c r="Z141" s="408"/>
      <c r="AA141" s="408" t="s">
        <v>378</v>
      </c>
      <c r="AB141" s="83" cm="1">
        <f t="array" ref="AB141">Iss_Tariff(Main_Issuance[[#This Row],[Bank]],Main_Issuance[[#This Row],[LC Amt(SAR)]],Main_Issuance[[#This Row],[Issue Date.]],Main_Issuance[[#This Row],[Expiry Date]],Main_Issuance[[#This Row],[Calculate]])</f>
        <v>0</v>
      </c>
      <c r="AC141" s="83"/>
    </row>
    <row r="142" spans="1:29" ht="15.75" hidden="1" x14ac:dyDescent="0.25">
      <c r="A142" s="114" t="s">
        <v>272</v>
      </c>
      <c r="B142" s="77">
        <v>45435</v>
      </c>
      <c r="C142" s="77" t="s">
        <v>441</v>
      </c>
      <c r="D142" s="115" t="s">
        <v>20</v>
      </c>
      <c r="E142" s="115" t="s">
        <v>21</v>
      </c>
      <c r="F142" s="115" t="s">
        <v>22</v>
      </c>
      <c r="G142" s="115" t="s">
        <v>177</v>
      </c>
      <c r="H142" s="113" t="s">
        <v>24</v>
      </c>
      <c r="I142" s="115" t="s">
        <v>22</v>
      </c>
      <c r="J142" s="115">
        <v>1020055</v>
      </c>
      <c r="K142" s="115" t="s">
        <v>26</v>
      </c>
      <c r="L142" s="60">
        <v>1500000</v>
      </c>
      <c r="M142" s="60">
        <v>1</v>
      </c>
      <c r="N142" s="60">
        <f>Main_Issuance[[#This Row],[LC Amt(FCY)]]*Main_Issuance[[#This Row],[Rate]]</f>
        <v>1500000</v>
      </c>
      <c r="O142" s="77">
        <v>45565</v>
      </c>
      <c r="P142" s="77">
        <v>45565</v>
      </c>
      <c r="Q142" s="77" t="s">
        <v>27</v>
      </c>
      <c r="R142" s="115"/>
      <c r="S142" s="82"/>
      <c r="T142" s="82"/>
      <c r="U142" s="82"/>
      <c r="V142" s="97">
        <v>0</v>
      </c>
      <c r="W142" s="115"/>
      <c r="X142" s="120" t="str">
        <f ca="1">IF(AND((Main_Issuance[[#This Row],[Expiry Date]]+31)&gt;TODAY(),Main_Issuance[[#This Row],[Status]]&lt;&gt;"Cancelled"),"Active","Cancelled")</f>
        <v>Cancelled</v>
      </c>
      <c r="Y142" s="410"/>
      <c r="Z142" s="408"/>
      <c r="AA142" s="408" t="s">
        <v>378</v>
      </c>
      <c r="AB142" s="83" cm="1">
        <f t="array" ref="AB142">Iss_Tariff(Main_Issuance[[#This Row],[Bank]],Main_Issuance[[#This Row],[LC Amt(SAR)]],Main_Issuance[[#This Row],[Issue Date.]],Main_Issuance[[#This Row],[Expiry Date]],Main_Issuance[[#This Row],[Calculate]])</f>
        <v>0</v>
      </c>
      <c r="AC142" s="83"/>
    </row>
    <row r="143" spans="1:29" ht="15.75" hidden="1" x14ac:dyDescent="0.25">
      <c r="A143" s="114" t="s">
        <v>342</v>
      </c>
      <c r="B143" s="77">
        <v>45519</v>
      </c>
      <c r="C143" s="77" t="s">
        <v>441</v>
      </c>
      <c r="D143" s="115" t="s">
        <v>20</v>
      </c>
      <c r="E143" s="115" t="s">
        <v>95</v>
      </c>
      <c r="F143" s="115" t="s">
        <v>96</v>
      </c>
      <c r="G143" s="115" t="s">
        <v>177</v>
      </c>
      <c r="H143" s="113" t="s">
        <v>24</v>
      </c>
      <c r="I143" s="115" t="s">
        <v>22</v>
      </c>
      <c r="J143" s="115">
        <v>1020055</v>
      </c>
      <c r="K143" s="115" t="s">
        <v>26</v>
      </c>
      <c r="L143" s="60">
        <v>1795147.53</v>
      </c>
      <c r="M143" s="60">
        <v>1</v>
      </c>
      <c r="N143" s="60">
        <f>Main_Issuance[[#This Row],[LC Amt(FCY)]]*Main_Issuance[[#This Row],[Rate]]</f>
        <v>1795147.53</v>
      </c>
      <c r="O143" s="77">
        <v>45626</v>
      </c>
      <c r="P143" s="77">
        <v>45626</v>
      </c>
      <c r="Q143" s="77" t="s">
        <v>27</v>
      </c>
      <c r="R143" s="115" t="s">
        <v>311</v>
      </c>
      <c r="S143" s="82"/>
      <c r="T143" s="82"/>
      <c r="U143" s="82"/>
      <c r="V143" s="97">
        <v>0</v>
      </c>
      <c r="W143" s="115"/>
      <c r="X143" s="120" t="str">
        <f ca="1">IF(AND((Main_Issuance[[#This Row],[Expiry Date]]+31)&gt;TODAY(),Main_Issuance[[#This Row],[Status]]&lt;&gt;"Cancelled"),"Active","Cancelled")</f>
        <v>Cancelled</v>
      </c>
      <c r="Y143" s="410"/>
      <c r="Z143" s="408"/>
      <c r="AA143" s="408" t="s">
        <v>378</v>
      </c>
      <c r="AB143" s="83" cm="1">
        <f t="array" ref="AB143">Iss_Tariff(Main_Issuance[[#This Row],[Bank]],Main_Issuance[[#This Row],[LC Amt(SAR)]],Main_Issuance[[#This Row],[Issue Date.]],Main_Issuance[[#This Row],[Expiry Date]],Main_Issuance[[#This Row],[Calculate]])</f>
        <v>0</v>
      </c>
      <c r="AC143" s="83"/>
    </row>
    <row r="144" spans="1:29" ht="15.75" hidden="1" x14ac:dyDescent="0.25">
      <c r="A144" s="114" t="s">
        <v>347</v>
      </c>
      <c r="B144" s="77">
        <v>45533</v>
      </c>
      <c r="C144" s="77" t="s">
        <v>441</v>
      </c>
      <c r="D144" s="115" t="s">
        <v>20</v>
      </c>
      <c r="E144" s="115" t="s">
        <v>95</v>
      </c>
      <c r="F144" s="115" t="s">
        <v>96</v>
      </c>
      <c r="G144" s="115" t="s">
        <v>177</v>
      </c>
      <c r="H144" s="113" t="s">
        <v>24</v>
      </c>
      <c r="I144" s="115" t="s">
        <v>22</v>
      </c>
      <c r="J144" s="115">
        <v>1020055</v>
      </c>
      <c r="K144" s="115" t="s">
        <v>26</v>
      </c>
      <c r="L144" s="60">
        <v>1650702.09</v>
      </c>
      <c r="M144" s="60">
        <v>1</v>
      </c>
      <c r="N144" s="60">
        <f>Main_Issuance[[#This Row],[LC Amt(FCY)]]*Main_Issuance[[#This Row],[Rate]]</f>
        <v>1650702.09</v>
      </c>
      <c r="O144" s="77">
        <v>45688</v>
      </c>
      <c r="P144" s="77">
        <v>45688</v>
      </c>
      <c r="Q144" s="77" t="s">
        <v>27</v>
      </c>
      <c r="R144" s="115" t="s">
        <v>311</v>
      </c>
      <c r="S144" s="82"/>
      <c r="T144" s="82"/>
      <c r="U144" s="82"/>
      <c r="V144" s="97">
        <v>0</v>
      </c>
      <c r="W144" s="115"/>
      <c r="X144" s="120" t="str">
        <f ca="1">IF(AND((Main_Issuance[[#This Row],[Expiry Date]]+31)&gt;TODAY(),Main_Issuance[[#This Row],[Status]]&lt;&gt;"Cancelled"),"Active","Cancelled")</f>
        <v>Cancelled</v>
      </c>
      <c r="Y144" s="410"/>
      <c r="Z144" s="408"/>
      <c r="AA144" s="408" t="s">
        <v>378</v>
      </c>
      <c r="AB144" s="83" cm="1">
        <f t="array" ref="AB144">Iss_Tariff(Main_Issuance[[#This Row],[Bank]],Main_Issuance[[#This Row],[LC Amt(SAR)]],Main_Issuance[[#This Row],[Issue Date.]],Main_Issuance[[#This Row],[Expiry Date]],Main_Issuance[[#This Row],[Calculate]])</f>
        <v>0</v>
      </c>
      <c r="AC144" s="83"/>
    </row>
    <row r="145" spans="1:29" ht="15.75" hidden="1" x14ac:dyDescent="0.25">
      <c r="A145" s="114" t="s">
        <v>1868</v>
      </c>
      <c r="B145" s="77">
        <v>45645</v>
      </c>
      <c r="C145" s="77" t="s">
        <v>441</v>
      </c>
      <c r="D145" s="115" t="s">
        <v>20</v>
      </c>
      <c r="E145" s="115" t="s">
        <v>373</v>
      </c>
      <c r="F145" s="115" t="s">
        <v>483</v>
      </c>
      <c r="G145" s="115" t="s">
        <v>177</v>
      </c>
      <c r="H145" s="113" t="s">
        <v>24</v>
      </c>
      <c r="I145" s="115" t="s">
        <v>22</v>
      </c>
      <c r="J145" s="115">
        <v>1020055</v>
      </c>
      <c r="K145" s="115" t="s">
        <v>26</v>
      </c>
      <c r="L145" s="60">
        <v>988870.39</v>
      </c>
      <c r="M145" s="60">
        <v>1</v>
      </c>
      <c r="N145" s="60">
        <f>Main_Issuance[[#This Row],[LC Amt(FCY)]]*Main_Issuance[[#This Row],[Rate]]</f>
        <v>988870.39</v>
      </c>
      <c r="O145" s="77">
        <v>45930</v>
      </c>
      <c r="P145" s="77">
        <v>45930</v>
      </c>
      <c r="Q145" s="77" t="s">
        <v>27</v>
      </c>
      <c r="R145" s="115" t="s">
        <v>311</v>
      </c>
      <c r="S145" s="82"/>
      <c r="T145" s="82"/>
      <c r="U145" s="82"/>
      <c r="V145" s="97">
        <v>0</v>
      </c>
      <c r="W145" s="115"/>
      <c r="X145" s="120" t="str">
        <f ca="1">IF(AND((Main_Issuance[[#This Row],[Expiry Date]]+31)&gt;TODAY(),Main_Issuance[[#This Row],[Status]]&lt;&gt;"Cancelled"),"Active","Cancelled")</f>
        <v>Cancelled</v>
      </c>
      <c r="Y145" s="410"/>
      <c r="Z145" s="408"/>
      <c r="AA145" s="408" t="s">
        <v>378</v>
      </c>
      <c r="AB145" s="83" cm="1">
        <f t="array" ref="AB145">Iss_Tariff(Main_Issuance[[#This Row],[Bank]],Main_Issuance[[#This Row],[LC Amt(SAR)]],Main_Issuance[[#This Row],[Issue Date.]],Main_Issuance[[#This Row],[Expiry Date]],Main_Issuance[[#This Row],[Calculate]])</f>
        <v>0</v>
      </c>
      <c r="AC145" s="83"/>
    </row>
    <row r="146" spans="1:29" ht="15.75" hidden="1" x14ac:dyDescent="0.25">
      <c r="A146" s="114" t="s">
        <v>721</v>
      </c>
      <c r="B146" s="77">
        <v>45715</v>
      </c>
      <c r="C146" s="77" t="s">
        <v>441</v>
      </c>
      <c r="D146" s="115" t="s">
        <v>20</v>
      </c>
      <c r="E146" s="115" t="s">
        <v>612</v>
      </c>
      <c r="F146" s="115" t="s">
        <v>613</v>
      </c>
      <c r="G146" s="115" t="s">
        <v>177</v>
      </c>
      <c r="H146" s="113" t="s">
        <v>24</v>
      </c>
      <c r="I146" s="78" t="s">
        <v>613</v>
      </c>
      <c r="J146" s="115">
        <v>1020106</v>
      </c>
      <c r="K146" s="115" t="s">
        <v>26</v>
      </c>
      <c r="L146" s="60">
        <v>2827275</v>
      </c>
      <c r="M146" s="60">
        <v>1</v>
      </c>
      <c r="N146" s="60">
        <f>Main_Issuance[[#This Row],[LC Amt(FCY)]]*Main_Issuance[[#This Row],[Rate]]</f>
        <v>2827275</v>
      </c>
      <c r="O146" s="58">
        <v>46022</v>
      </c>
      <c r="P146" s="58">
        <v>46022</v>
      </c>
      <c r="Q146" s="77" t="s">
        <v>27</v>
      </c>
      <c r="R146" s="115" t="s">
        <v>311</v>
      </c>
      <c r="S146" s="82"/>
      <c r="T146" s="82"/>
      <c r="U146" s="82"/>
      <c r="V146" s="97">
        <v>0</v>
      </c>
      <c r="W146" s="115"/>
      <c r="X146" s="120" t="str">
        <f ca="1">IF(AND((Main_Issuance[[#This Row],[Expiry Date]]+31)&gt;TODAY(),Main_Issuance[[#This Row],[Status]]&lt;&gt;"Cancelled"),"Active","Cancelled")</f>
        <v>Cancelled</v>
      </c>
      <c r="Y146" s="410"/>
      <c r="Z146" s="408"/>
      <c r="AA146" s="408" t="s">
        <v>378</v>
      </c>
      <c r="AB146" s="83" cm="1">
        <f t="array" ref="AB146">Iss_Tariff(Main_Issuance[[#This Row],[Bank]],Main_Issuance[[#This Row],[LC Amt(SAR)]],Main_Issuance[[#This Row],[Issue Date.]],Main_Issuance[[#This Row],[Expiry Date]],Main_Issuance[[#This Row],[Calculate]])</f>
        <v>0</v>
      </c>
      <c r="AC146" s="83"/>
    </row>
    <row r="147" spans="1:29" ht="15.75" hidden="1" x14ac:dyDescent="0.25">
      <c r="A147" s="114" t="s">
        <v>733</v>
      </c>
      <c r="B147" s="77">
        <v>45722</v>
      </c>
      <c r="C147" s="77" t="s">
        <v>441</v>
      </c>
      <c r="D147" s="115" t="s">
        <v>20</v>
      </c>
      <c r="E147" s="115" t="s">
        <v>612</v>
      </c>
      <c r="F147" s="115" t="s">
        <v>613</v>
      </c>
      <c r="G147" s="115" t="s">
        <v>177</v>
      </c>
      <c r="H147" s="113" t="s">
        <v>24</v>
      </c>
      <c r="I147" s="115" t="s">
        <v>613</v>
      </c>
      <c r="J147" s="115">
        <v>1020106</v>
      </c>
      <c r="K147" s="115" t="s">
        <v>26</v>
      </c>
      <c r="L147" s="60">
        <v>8002636.4299999997</v>
      </c>
      <c r="M147" s="60">
        <v>1</v>
      </c>
      <c r="N147" s="60">
        <f>Main_Issuance[[#This Row],[LC Amt(FCY)]]*Main_Issuance[[#This Row],[Rate]]</f>
        <v>8002636.4299999997</v>
      </c>
      <c r="O147" s="77">
        <v>45889</v>
      </c>
      <c r="P147" s="77">
        <v>45889</v>
      </c>
      <c r="Q147" s="77" t="s">
        <v>27</v>
      </c>
      <c r="R147" s="115" t="s">
        <v>311</v>
      </c>
      <c r="S147" s="82"/>
      <c r="T147" s="82"/>
      <c r="U147" s="82"/>
      <c r="V147" s="97">
        <v>0</v>
      </c>
      <c r="W147" s="115" t="s">
        <v>1684</v>
      </c>
      <c r="X147" s="120" t="str">
        <f ca="1">IF(AND((Main_Issuance[[#This Row],[Expiry Date]]+31)&gt;TODAY(),Main_Issuance[[#This Row],[Status]]&lt;&gt;"Cancelled"),"Active","Cancelled")</f>
        <v>Cancelled</v>
      </c>
      <c r="Y147" s="410"/>
      <c r="Z147" s="408"/>
      <c r="AA147" s="408" t="s">
        <v>378</v>
      </c>
      <c r="AB147" s="83" cm="1">
        <f t="array" ref="AB147">Iss_Tariff(Main_Issuance[[#This Row],[Bank]],Main_Issuance[[#This Row],[LC Amt(SAR)]],Main_Issuance[[#This Row],[Issue Date.]],Main_Issuance[[#This Row],[Expiry Date]],Main_Issuance[[#This Row],[Calculate]])</f>
        <v>0</v>
      </c>
      <c r="AC147" s="83"/>
    </row>
    <row r="148" spans="1:29" ht="15.75" hidden="1" x14ac:dyDescent="0.25">
      <c r="A148" s="114" t="s">
        <v>778</v>
      </c>
      <c r="B148" s="77">
        <v>45726</v>
      </c>
      <c r="C148" s="77" t="s">
        <v>441</v>
      </c>
      <c r="D148" s="115" t="s">
        <v>20</v>
      </c>
      <c r="E148" s="115" t="s">
        <v>366</v>
      </c>
      <c r="F148" s="115" t="s">
        <v>710</v>
      </c>
      <c r="G148" s="115" t="s">
        <v>779</v>
      </c>
      <c r="H148" s="113" t="s">
        <v>24</v>
      </c>
      <c r="I148" s="115" t="s">
        <v>710</v>
      </c>
      <c r="J148" s="115">
        <v>1020088</v>
      </c>
      <c r="K148" s="115" t="s">
        <v>26</v>
      </c>
      <c r="L148" s="60">
        <v>3000000</v>
      </c>
      <c r="M148" s="60">
        <v>1</v>
      </c>
      <c r="N148" s="60">
        <f>Main_Issuance[[#This Row],[LC Amt(FCY)]]*Main_Issuance[[#This Row],[Rate]]</f>
        <v>3000000</v>
      </c>
      <c r="O148" s="77">
        <v>45961</v>
      </c>
      <c r="P148" s="77">
        <v>45961</v>
      </c>
      <c r="Q148" s="77" t="s">
        <v>27</v>
      </c>
      <c r="R148" s="115" t="s">
        <v>311</v>
      </c>
      <c r="S148" s="82"/>
      <c r="T148" s="82"/>
      <c r="U148" s="82"/>
      <c r="V148" s="97">
        <v>0</v>
      </c>
      <c r="W148" s="115"/>
      <c r="X148" s="120" t="str">
        <f ca="1">IF(AND((Main_Issuance[[#This Row],[Expiry Date]]+31)&gt;TODAY(),Main_Issuance[[#This Row],[Status]]&lt;&gt;"Cancelled"),"Active","Cancelled")</f>
        <v>Cancelled</v>
      </c>
      <c r="Y148" s="410"/>
      <c r="Z148" s="408"/>
      <c r="AA148" s="408" t="s">
        <v>378</v>
      </c>
      <c r="AB148" s="83" cm="1">
        <f t="array" ref="AB148">Iss_Tariff(Main_Issuance[[#This Row],[Bank]],Main_Issuance[[#This Row],[LC Amt(SAR)]],Main_Issuance[[#This Row],[Issue Date.]],Main_Issuance[[#This Row],[Expiry Date]],Main_Issuance[[#This Row],[Calculate]])</f>
        <v>0</v>
      </c>
      <c r="AC148" s="83"/>
    </row>
    <row r="149" spans="1:29" ht="15.75" hidden="1" x14ac:dyDescent="0.25">
      <c r="A149" s="114" t="s">
        <v>1201</v>
      </c>
      <c r="B149" s="77">
        <v>45767</v>
      </c>
      <c r="C149" s="77" t="s">
        <v>441</v>
      </c>
      <c r="D149" s="115" t="s">
        <v>20</v>
      </c>
      <c r="E149" s="115" t="s">
        <v>95</v>
      </c>
      <c r="F149" s="115" t="s">
        <v>96</v>
      </c>
      <c r="G149" s="115" t="s">
        <v>177</v>
      </c>
      <c r="H149" s="113" t="s">
        <v>24</v>
      </c>
      <c r="I149" s="115" t="s">
        <v>22</v>
      </c>
      <c r="J149" s="115">
        <v>1020055</v>
      </c>
      <c r="K149" s="115" t="s">
        <v>26</v>
      </c>
      <c r="L149" s="60">
        <v>2330000.0099999998</v>
      </c>
      <c r="M149" s="60">
        <v>1</v>
      </c>
      <c r="N149" s="60">
        <f>Main_Issuance[[#This Row],[LC Amt(FCY)]]*Main_Issuance[[#This Row],[Rate]]</f>
        <v>2330000.0099999998</v>
      </c>
      <c r="O149" s="77">
        <v>45869</v>
      </c>
      <c r="P149" s="77">
        <v>45869</v>
      </c>
      <c r="Q149" s="77" t="s">
        <v>27</v>
      </c>
      <c r="R149" s="115" t="s">
        <v>311</v>
      </c>
      <c r="S149" s="82"/>
      <c r="T149" s="82"/>
      <c r="U149" s="82"/>
      <c r="V149" s="97">
        <v>0</v>
      </c>
      <c r="W149" s="115"/>
      <c r="X149" s="120" t="str">
        <f ca="1">IF(AND((Main_Issuance[[#This Row],[Expiry Date]]+31)&gt;TODAY(),Main_Issuance[[#This Row],[Status]]&lt;&gt;"Cancelled"),"Active","Cancelled")</f>
        <v>Cancelled</v>
      </c>
      <c r="Y149" s="410"/>
      <c r="Z149" s="408"/>
      <c r="AA149" s="408" t="s">
        <v>378</v>
      </c>
      <c r="AB149" s="83" cm="1">
        <f t="array" ref="AB149">Iss_Tariff(Main_Issuance[[#This Row],[Bank]],Main_Issuance[[#This Row],[LC Amt(SAR)]],Main_Issuance[[#This Row],[Issue Date.]],Main_Issuance[[#This Row],[Expiry Date]],Main_Issuance[[#This Row],[Calculate]])</f>
        <v>0</v>
      </c>
      <c r="AC149" s="83"/>
    </row>
    <row r="150" spans="1:29" ht="15.75" hidden="1" x14ac:dyDescent="0.25">
      <c r="A150" s="114" t="s">
        <v>1420</v>
      </c>
      <c r="B150" s="77">
        <v>45809</v>
      </c>
      <c r="C150" s="77" t="s">
        <v>441</v>
      </c>
      <c r="D150" s="115" t="s">
        <v>20</v>
      </c>
      <c r="E150" s="115" t="s">
        <v>95</v>
      </c>
      <c r="F150" s="115" t="s">
        <v>96</v>
      </c>
      <c r="G150" s="115" t="s">
        <v>177</v>
      </c>
      <c r="H150" s="113" t="s">
        <v>24</v>
      </c>
      <c r="I150" s="115" t="s">
        <v>22</v>
      </c>
      <c r="J150" s="115">
        <v>1020055</v>
      </c>
      <c r="K150" s="115" t="s">
        <v>26</v>
      </c>
      <c r="L150" s="60">
        <v>1539808.94</v>
      </c>
      <c r="M150" s="60">
        <v>1</v>
      </c>
      <c r="N150" s="60">
        <f>Main_Issuance[[#This Row],[LC Amt(FCY)]]*Main_Issuance[[#This Row],[Rate]]</f>
        <v>1539808.94</v>
      </c>
      <c r="O150" s="77">
        <v>46022</v>
      </c>
      <c r="P150" s="77">
        <v>46022</v>
      </c>
      <c r="Q150" s="77" t="s">
        <v>27</v>
      </c>
      <c r="R150" s="115" t="s">
        <v>621</v>
      </c>
      <c r="S150" s="82"/>
      <c r="T150" s="82"/>
      <c r="U150" s="82"/>
      <c r="V150" s="97">
        <v>0</v>
      </c>
      <c r="W150" s="115"/>
      <c r="X150" s="120" t="str">
        <f ca="1">IF(AND((Main_Issuance[[#This Row],[Expiry Date]]+31)&gt;TODAY(),Main_Issuance[[#This Row],[Status]]&lt;&gt;"Cancelled"),"Active","Cancelled")</f>
        <v>Cancelled</v>
      </c>
      <c r="Y150" s="410"/>
      <c r="Z150" s="408"/>
      <c r="AA150" s="408" t="s">
        <v>378</v>
      </c>
      <c r="AB150" s="83" cm="1">
        <f t="array" ref="AB150">Iss_Tariff(Main_Issuance[[#This Row],[Bank]],Main_Issuance[[#This Row],[LC Amt(SAR)]],Main_Issuance[[#This Row],[Issue Date.]],Main_Issuance[[#This Row],[Expiry Date]],Main_Issuance[[#This Row],[Calculate]])</f>
        <v>0</v>
      </c>
      <c r="AC150" s="83"/>
    </row>
    <row r="151" spans="1:29" ht="15.75" hidden="1" x14ac:dyDescent="0.25">
      <c r="A151" s="114" t="s">
        <v>1401</v>
      </c>
      <c r="B151" s="77">
        <v>45804</v>
      </c>
      <c r="C151" s="77" t="s">
        <v>441</v>
      </c>
      <c r="D151" s="115" t="s">
        <v>20</v>
      </c>
      <c r="E151" s="115" t="s">
        <v>21</v>
      </c>
      <c r="F151" s="115" t="s">
        <v>22</v>
      </c>
      <c r="G151" s="115" t="s">
        <v>177</v>
      </c>
      <c r="H151" s="113" t="s">
        <v>24</v>
      </c>
      <c r="I151" s="115" t="s">
        <v>22</v>
      </c>
      <c r="J151" s="115">
        <v>1020055</v>
      </c>
      <c r="K151" s="115" t="s">
        <v>26</v>
      </c>
      <c r="L151" s="60">
        <v>450000</v>
      </c>
      <c r="M151" s="60">
        <v>1</v>
      </c>
      <c r="N151" s="60">
        <f>Main_Issuance[[#This Row],[LC Amt(FCY)]]*Main_Issuance[[#This Row],[Rate]]</f>
        <v>450000</v>
      </c>
      <c r="O151" s="77">
        <v>45900</v>
      </c>
      <c r="P151" s="77">
        <v>45900</v>
      </c>
      <c r="Q151" s="77" t="s">
        <v>27</v>
      </c>
      <c r="R151" s="115" t="s">
        <v>621</v>
      </c>
      <c r="S151" s="82"/>
      <c r="T151" s="82"/>
      <c r="U151" s="82"/>
      <c r="V151" s="97">
        <v>0</v>
      </c>
      <c r="W151" s="115"/>
      <c r="X151" s="120" t="str">
        <f ca="1">IF(AND((Main_Issuance[[#This Row],[Expiry Date]]+31)&gt;TODAY(),Main_Issuance[[#This Row],[Status]]&lt;&gt;"Cancelled"),"Active","Cancelled")</f>
        <v>Cancelled</v>
      </c>
      <c r="Y151" s="410"/>
      <c r="Z151" s="408"/>
      <c r="AA151" s="408" t="s">
        <v>378</v>
      </c>
      <c r="AB151" s="83" cm="1">
        <f t="array" ref="AB151">Iss_Tariff(Main_Issuance[[#This Row],[Bank]],Main_Issuance[[#This Row],[LC Amt(SAR)]],Main_Issuance[[#This Row],[Issue Date.]],Main_Issuance[[#This Row],[Expiry Date]],Main_Issuance[[#This Row],[Calculate]])</f>
        <v>0</v>
      </c>
      <c r="AC151" s="83"/>
    </row>
    <row r="152" spans="1:29" ht="15.75" hidden="1" x14ac:dyDescent="0.25">
      <c r="A152" s="114" t="s">
        <v>1501</v>
      </c>
      <c r="B152" s="77">
        <v>45831</v>
      </c>
      <c r="C152" s="77" t="s">
        <v>441</v>
      </c>
      <c r="D152" s="115" t="s">
        <v>20</v>
      </c>
      <c r="E152" s="115" t="s">
        <v>21</v>
      </c>
      <c r="F152" s="115" t="s">
        <v>22</v>
      </c>
      <c r="G152" s="115" t="s">
        <v>177</v>
      </c>
      <c r="H152" s="113" t="s">
        <v>24</v>
      </c>
      <c r="I152" s="115" t="s">
        <v>407</v>
      </c>
      <c r="J152" s="115">
        <v>1020100</v>
      </c>
      <c r="K152" s="115" t="s">
        <v>26</v>
      </c>
      <c r="L152" s="60">
        <v>500000</v>
      </c>
      <c r="M152" s="60">
        <v>1</v>
      </c>
      <c r="N152" s="60">
        <f>Main_Issuance[[#This Row],[LC Amt(FCY)]]*Main_Issuance[[#This Row],[Rate]]</f>
        <v>500000</v>
      </c>
      <c r="O152" s="77">
        <v>45961</v>
      </c>
      <c r="P152" s="77">
        <v>45961</v>
      </c>
      <c r="Q152" s="77" t="s">
        <v>27</v>
      </c>
      <c r="R152" s="115" t="s">
        <v>621</v>
      </c>
      <c r="S152" s="82"/>
      <c r="T152" s="82"/>
      <c r="U152" s="82"/>
      <c r="V152" s="97">
        <v>0</v>
      </c>
      <c r="W152" s="115" t="s">
        <v>1846</v>
      </c>
      <c r="X152" s="120" t="str">
        <f ca="1">IF(AND((Main_Issuance[[#This Row],[Expiry Date]]+31)&gt;TODAY(),Main_Issuance[[#This Row],[Status]]&lt;&gt;"Cancelled"),"Active","Cancelled")</f>
        <v>Cancelled</v>
      </c>
      <c r="Y152" s="410"/>
      <c r="Z152" s="408"/>
      <c r="AA152" s="408" t="s">
        <v>378</v>
      </c>
      <c r="AB152" s="83" cm="1">
        <f t="array" ref="AB152">Iss_Tariff(Main_Issuance[[#This Row],[Bank]],Main_Issuance[[#This Row],[LC Amt(SAR)]],Main_Issuance[[#This Row],[Issue Date.]],Main_Issuance[[#This Row],[Expiry Date]],Main_Issuance[[#This Row],[Calculate]])</f>
        <v>0</v>
      </c>
      <c r="AC152" s="83"/>
    </row>
    <row r="153" spans="1:29" ht="15.75" hidden="1" x14ac:dyDescent="0.25">
      <c r="A153" s="114" t="s">
        <v>1569</v>
      </c>
      <c r="B153" s="77">
        <v>45858</v>
      </c>
      <c r="C153" s="77" t="s">
        <v>441</v>
      </c>
      <c r="D153" s="115" t="s">
        <v>20</v>
      </c>
      <c r="E153" s="115" t="s">
        <v>612</v>
      </c>
      <c r="F153" s="115" t="s">
        <v>613</v>
      </c>
      <c r="G153" s="115" t="s">
        <v>177</v>
      </c>
      <c r="H153" s="113" t="s">
        <v>24</v>
      </c>
      <c r="I153" s="115" t="s">
        <v>613</v>
      </c>
      <c r="J153" s="115">
        <v>1020106</v>
      </c>
      <c r="K153" s="115" t="s">
        <v>26</v>
      </c>
      <c r="L153" s="60">
        <v>4000010.22</v>
      </c>
      <c r="M153" s="60">
        <v>1</v>
      </c>
      <c r="N153" s="60">
        <f>Main_Issuance[[#This Row],[LC Amt(FCY)]]*Main_Issuance[[#This Row],[Rate]]</f>
        <v>4000010.22</v>
      </c>
      <c r="O153" s="58">
        <v>46022</v>
      </c>
      <c r="P153" s="58">
        <v>46022</v>
      </c>
      <c r="Q153" s="77" t="s">
        <v>27</v>
      </c>
      <c r="R153" s="115" t="s">
        <v>311</v>
      </c>
      <c r="S153" s="82"/>
      <c r="T153" s="82"/>
      <c r="U153" s="82"/>
      <c r="V153" s="97">
        <v>0</v>
      </c>
      <c r="W153" s="115" t="s">
        <v>1913</v>
      </c>
      <c r="X153" s="120" t="str">
        <f ca="1">IF(AND((Main_Issuance[[#This Row],[Expiry Date]]+31)&gt;TODAY(),Main_Issuance[[#This Row],[Status]]&lt;&gt;"Cancelled"),"Active","Cancelled")</f>
        <v>Cancelled</v>
      </c>
      <c r="Y153" s="410"/>
      <c r="Z153" s="408"/>
      <c r="AA153" s="408" t="s">
        <v>378</v>
      </c>
      <c r="AB153" s="83" cm="1">
        <f t="array" ref="AB153">Iss_Tariff(Main_Issuance[[#This Row],[Bank]],Main_Issuance[[#This Row],[LC Amt(SAR)]],Main_Issuance[[#This Row],[Issue Date.]],Main_Issuance[[#This Row],[Expiry Date]],Main_Issuance[[#This Row],[Calculate]])</f>
        <v>0</v>
      </c>
      <c r="AC153" s="83"/>
    </row>
    <row r="154" spans="1:29" ht="15.75" hidden="1" x14ac:dyDescent="0.25">
      <c r="A154" s="114" t="s">
        <v>1599</v>
      </c>
      <c r="B154" s="77">
        <v>45862</v>
      </c>
      <c r="C154" s="77" t="s">
        <v>441</v>
      </c>
      <c r="D154" s="115" t="s">
        <v>20</v>
      </c>
      <c r="E154" s="115" t="s">
        <v>366</v>
      </c>
      <c r="F154" s="115" t="s">
        <v>710</v>
      </c>
      <c r="G154" s="115" t="s">
        <v>177</v>
      </c>
      <c r="H154" s="113" t="s">
        <v>24</v>
      </c>
      <c r="I154" s="115" t="s">
        <v>710</v>
      </c>
      <c r="J154" s="115">
        <v>1020088</v>
      </c>
      <c r="K154" s="115" t="s">
        <v>26</v>
      </c>
      <c r="L154" s="60">
        <v>546393.94999999995</v>
      </c>
      <c r="M154" s="60">
        <v>1</v>
      </c>
      <c r="N154" s="60">
        <f>Main_Issuance[[#This Row],[LC Amt(FCY)]]*Main_Issuance[[#This Row],[Rate]]</f>
        <v>546393.94999999995</v>
      </c>
      <c r="O154" s="77">
        <v>45961</v>
      </c>
      <c r="P154" s="77">
        <v>45961</v>
      </c>
      <c r="Q154" s="77" t="s">
        <v>27</v>
      </c>
      <c r="R154" s="115" t="s">
        <v>621</v>
      </c>
      <c r="S154" s="82"/>
      <c r="T154" s="82"/>
      <c r="U154" s="82"/>
      <c r="V154" s="97">
        <v>0</v>
      </c>
      <c r="W154" s="115"/>
      <c r="X154" s="120" t="str">
        <f ca="1">IF(AND((Main_Issuance[[#This Row],[Expiry Date]]+31)&gt;TODAY(),Main_Issuance[[#This Row],[Status]]&lt;&gt;"Cancelled"),"Active","Cancelled")</f>
        <v>Cancelled</v>
      </c>
      <c r="Y154" s="410"/>
      <c r="Z154" s="408"/>
      <c r="AA154" s="408" t="s">
        <v>378</v>
      </c>
      <c r="AB154" s="83" cm="1">
        <f t="array" ref="AB154">Iss_Tariff(Main_Issuance[[#This Row],[Bank]],Main_Issuance[[#This Row],[LC Amt(SAR)]],Main_Issuance[[#This Row],[Issue Date.]],Main_Issuance[[#This Row],[Expiry Date]],Main_Issuance[[#This Row],[Calculate]])</f>
        <v>0</v>
      </c>
      <c r="AC154" s="83"/>
    </row>
    <row r="155" spans="1:29" ht="15.75" hidden="1" x14ac:dyDescent="0.25">
      <c r="A155" s="114" t="s">
        <v>1655</v>
      </c>
      <c r="B155" s="77">
        <v>45869</v>
      </c>
      <c r="C155" s="77" t="s">
        <v>441</v>
      </c>
      <c r="D155" s="19" t="s">
        <v>20</v>
      </c>
      <c r="E155" s="115" t="s">
        <v>21</v>
      </c>
      <c r="F155" s="115" t="s">
        <v>22</v>
      </c>
      <c r="G155" s="115" t="s">
        <v>177</v>
      </c>
      <c r="H155" s="113" t="s">
        <v>24</v>
      </c>
      <c r="I155" s="115" t="s">
        <v>22</v>
      </c>
      <c r="J155" s="115">
        <v>1020055</v>
      </c>
      <c r="K155" s="115" t="s">
        <v>26</v>
      </c>
      <c r="L155" s="60">
        <v>500000</v>
      </c>
      <c r="M155" s="60">
        <v>1</v>
      </c>
      <c r="N155" s="60">
        <f>Main_Issuance[[#This Row],[LC Amt(FCY)]]*Main_Issuance[[#This Row],[Rate]]</f>
        <v>500000</v>
      </c>
      <c r="O155" s="76">
        <v>46022</v>
      </c>
      <c r="P155" s="76">
        <v>46022</v>
      </c>
      <c r="Q155" s="77" t="s">
        <v>27</v>
      </c>
      <c r="R155" s="115" t="s">
        <v>621</v>
      </c>
      <c r="S155" s="82"/>
      <c r="T155" s="82"/>
      <c r="U155" s="82"/>
      <c r="V155" s="97">
        <v>0</v>
      </c>
      <c r="W155" s="115" t="s">
        <v>2397</v>
      </c>
      <c r="X155" s="120" t="str">
        <f ca="1">IF(AND((Main_Issuance[[#This Row],[Expiry Date]]+31)&gt;TODAY(),Main_Issuance[[#This Row],[Status]]&lt;&gt;"Cancelled"),"Active","Cancelled")</f>
        <v>Cancelled</v>
      </c>
      <c r="Y155" s="410"/>
      <c r="Z155" s="408"/>
      <c r="AA155" s="408" t="s">
        <v>378</v>
      </c>
      <c r="AB155" s="83" cm="1">
        <f t="array" ref="AB155">Iss_Tariff(Main_Issuance[[#This Row],[Bank]],Main_Issuance[[#This Row],[LC Amt(SAR)]],Main_Issuance[[#This Row],[Issue Date.]],Main_Issuance[[#This Row],[Expiry Date]],Main_Issuance[[#This Row],[Calculate]])</f>
        <v>0</v>
      </c>
      <c r="AC155" s="83"/>
    </row>
    <row r="156" spans="1:29" ht="15.75" hidden="1" x14ac:dyDescent="0.25">
      <c r="A156" s="114" t="s">
        <v>1735</v>
      </c>
      <c r="B156" s="77">
        <v>45882</v>
      </c>
      <c r="C156" s="77" t="s">
        <v>1119</v>
      </c>
      <c r="D156" s="115" t="s">
        <v>20</v>
      </c>
      <c r="E156" s="115" t="s">
        <v>366</v>
      </c>
      <c r="F156" s="115" t="s">
        <v>367</v>
      </c>
      <c r="G156" s="115" t="s">
        <v>177</v>
      </c>
      <c r="H156" s="113" t="s">
        <v>24</v>
      </c>
      <c r="I156" s="115" t="s">
        <v>367</v>
      </c>
      <c r="J156" s="115">
        <v>1020091</v>
      </c>
      <c r="K156" s="115" t="s">
        <v>26</v>
      </c>
      <c r="L156" s="60">
        <v>6250000</v>
      </c>
      <c r="M156" s="60">
        <v>1</v>
      </c>
      <c r="N156" s="60">
        <f>Main_Issuance[[#This Row],[LC Amt(FCY)]]*Main_Issuance[[#This Row],[Rate]]</f>
        <v>6250000</v>
      </c>
      <c r="O156" s="77">
        <v>45991</v>
      </c>
      <c r="P156" s="77">
        <v>45991</v>
      </c>
      <c r="Q156" s="77" t="s">
        <v>27</v>
      </c>
      <c r="R156" s="115" t="s">
        <v>1624</v>
      </c>
      <c r="S156" s="82"/>
      <c r="T156" s="82"/>
      <c r="U156" s="82"/>
      <c r="V156" s="97">
        <v>0</v>
      </c>
      <c r="W156" s="115"/>
      <c r="X156" s="120" t="str">
        <f ca="1">IF(AND((Main_Issuance[[#This Row],[Expiry Date]]+31)&gt;TODAY(),Main_Issuance[[#This Row],[Status]]&lt;&gt;"Cancelled"),"Active","Cancelled")</f>
        <v>Cancelled</v>
      </c>
      <c r="Y156" s="410"/>
      <c r="Z156" s="408"/>
      <c r="AA156" s="408" t="s">
        <v>378</v>
      </c>
      <c r="AB156" s="83" cm="1">
        <f t="array" ref="AB156">Iss_Tariff(Main_Issuance[[#This Row],[Bank]],Main_Issuance[[#This Row],[LC Amt(SAR)]],Main_Issuance[[#This Row],[Issue Date.]],Main_Issuance[[#This Row],[Expiry Date]],Main_Issuance[[#This Row],[Calculate]])</f>
        <v>0</v>
      </c>
      <c r="AC156" s="83"/>
    </row>
    <row r="157" spans="1:29" ht="15.75" hidden="1" x14ac:dyDescent="0.25">
      <c r="A157" s="114" t="s">
        <v>1814</v>
      </c>
      <c r="B157" s="77">
        <v>45895</v>
      </c>
      <c r="C157" s="77" t="s">
        <v>441</v>
      </c>
      <c r="D157" s="115" t="s">
        <v>20</v>
      </c>
      <c r="E157" s="115" t="s">
        <v>612</v>
      </c>
      <c r="F157" s="115" t="s">
        <v>613</v>
      </c>
      <c r="G157" s="115" t="s">
        <v>177</v>
      </c>
      <c r="H157" s="113" t="s">
        <v>24</v>
      </c>
      <c r="I157" s="115" t="s">
        <v>613</v>
      </c>
      <c r="J157" s="115">
        <v>1020106</v>
      </c>
      <c r="K157" s="115" t="s">
        <v>26</v>
      </c>
      <c r="L157" s="60">
        <v>1000000</v>
      </c>
      <c r="M157" s="60">
        <v>1</v>
      </c>
      <c r="N157" s="60">
        <f>Main_Issuance[[#This Row],[LC Amt(FCY)]]*Main_Issuance[[#This Row],[Rate]]</f>
        <v>1000000</v>
      </c>
      <c r="O157" s="77">
        <v>45991</v>
      </c>
      <c r="P157" s="77">
        <v>45991</v>
      </c>
      <c r="Q157" s="77" t="s">
        <v>27</v>
      </c>
      <c r="R157" s="115" t="s">
        <v>311</v>
      </c>
      <c r="S157" s="82"/>
      <c r="T157" s="82"/>
      <c r="U157" s="82"/>
      <c r="V157" s="97">
        <v>0</v>
      </c>
      <c r="W157" s="115"/>
      <c r="X157" s="120" t="str">
        <f ca="1">IF(AND((Main_Issuance[[#This Row],[Expiry Date]]+31)&gt;TODAY(),Main_Issuance[[#This Row],[Status]]&lt;&gt;"Cancelled"),"Active","Cancelled")</f>
        <v>Cancelled</v>
      </c>
      <c r="Y157" s="410"/>
      <c r="Z157" s="408"/>
      <c r="AA157" s="408" t="s">
        <v>378</v>
      </c>
      <c r="AB157" s="83" cm="1">
        <f t="array" ref="AB157">Iss_Tariff(Main_Issuance[[#This Row],[Bank]],Main_Issuance[[#This Row],[LC Amt(SAR)]],Main_Issuance[[#This Row],[Issue Date.]],Main_Issuance[[#This Row],[Expiry Date]],Main_Issuance[[#This Row],[Calculate]])</f>
        <v>0</v>
      </c>
      <c r="AC157" s="83"/>
    </row>
    <row r="158" spans="1:29" ht="15.75" hidden="1" x14ac:dyDescent="0.25">
      <c r="A158" s="147" t="s">
        <v>580</v>
      </c>
      <c r="B158" s="148">
        <v>45645</v>
      </c>
      <c r="C158" s="148" t="s">
        <v>441</v>
      </c>
      <c r="D158" s="124" t="s">
        <v>20</v>
      </c>
      <c r="E158" s="124" t="s">
        <v>373</v>
      </c>
      <c r="F158" s="124" t="s">
        <v>70</v>
      </c>
      <c r="G158" s="124" t="s">
        <v>177</v>
      </c>
      <c r="H158" s="124" t="s">
        <v>24</v>
      </c>
      <c r="I158" s="124" t="s">
        <v>22</v>
      </c>
      <c r="J158" s="113">
        <v>1020055</v>
      </c>
      <c r="K158" s="124" t="s">
        <v>26</v>
      </c>
      <c r="L158" s="60">
        <v>150129.60999999999</v>
      </c>
      <c r="M158" s="60">
        <v>1</v>
      </c>
      <c r="N158" s="60">
        <f>Main_Issuance[[#This Row],[LC Amt(FCY)]]*Main_Issuance[[#This Row],[Rate]]</f>
        <v>150129.60999999999</v>
      </c>
      <c r="O158" s="148">
        <v>45930</v>
      </c>
      <c r="P158" s="148">
        <v>45930</v>
      </c>
      <c r="Q158" s="58" t="s">
        <v>70</v>
      </c>
      <c r="R158" s="115" t="s">
        <v>311</v>
      </c>
      <c r="S158" s="127"/>
      <c r="T158" s="127"/>
      <c r="U158" s="127"/>
      <c r="V158" s="97">
        <v>0</v>
      </c>
      <c r="W158" s="115"/>
      <c r="X158" s="192" t="str">
        <f ca="1">IF(AND((Main_Issuance[[#This Row],[Expiry Date]]+31)&gt;TODAY(),Main_Issuance[[#This Row],[Status]]&lt;&gt;"Cancelled"),"Active","Cancelled")</f>
        <v>Cancelled</v>
      </c>
      <c r="Y158" s="411"/>
      <c r="Z158" s="408"/>
      <c r="AA158" s="408" t="s">
        <v>378</v>
      </c>
      <c r="AB158" s="83" cm="1">
        <f t="array" ref="AB158">Iss_Tariff(Main_Issuance[[#This Row],[Bank]],Main_Issuance[[#This Row],[LC Amt(SAR)]],Main_Issuance[[#This Row],[Issue Date.]],Main_Issuance[[#This Row],[Expiry Date]],Main_Issuance[[#This Row],[Calculate]])</f>
        <v>0</v>
      </c>
      <c r="AC158" s="83"/>
    </row>
    <row r="159" spans="1:29" ht="15.75" hidden="1" x14ac:dyDescent="0.25">
      <c r="A159" s="114" t="s">
        <v>2394</v>
      </c>
      <c r="B159" s="77">
        <v>45959</v>
      </c>
      <c r="C159" s="77" t="s">
        <v>3566</v>
      </c>
      <c r="D159" s="115" t="s">
        <v>20</v>
      </c>
      <c r="E159" s="115" t="s">
        <v>612</v>
      </c>
      <c r="F159" s="115" t="s">
        <v>613</v>
      </c>
      <c r="G159" s="115" t="s">
        <v>177</v>
      </c>
      <c r="H159" s="113" t="s">
        <v>24</v>
      </c>
      <c r="I159" s="115" t="s">
        <v>613</v>
      </c>
      <c r="J159" s="115">
        <v>1020106</v>
      </c>
      <c r="K159" s="115" t="s">
        <v>26</v>
      </c>
      <c r="L159" s="119">
        <v>2000000.93</v>
      </c>
      <c r="M159" s="82">
        <v>1</v>
      </c>
      <c r="N159" s="82">
        <f>Main_Issuance[[#This Row],[LC Amt(FCY)]]*Main_Issuance[[#This Row],[Rate]]</f>
        <v>2000000.93</v>
      </c>
      <c r="O159" s="77">
        <v>46022</v>
      </c>
      <c r="P159" s="77">
        <v>46022</v>
      </c>
      <c r="Q159" s="77" t="s">
        <v>27</v>
      </c>
      <c r="R159" s="115" t="s">
        <v>1904</v>
      </c>
      <c r="S159" s="82"/>
      <c r="T159" s="82"/>
      <c r="U159" s="82"/>
      <c r="V159" s="97">
        <v>0</v>
      </c>
      <c r="W159" s="115"/>
      <c r="X159" s="120" t="str">
        <f ca="1">IF(AND((Main_Issuance[[#This Row],[Expiry Date]]+31)&gt;TODAY(),Main_Issuance[[#This Row],[Status]]&lt;&gt;"Cancelled"),"Active","Cancelled")</f>
        <v>Cancelled</v>
      </c>
      <c r="Y159" s="409"/>
      <c r="Z159" s="408"/>
      <c r="AA159" s="408" t="s">
        <v>378</v>
      </c>
      <c r="AB159" s="83" cm="1">
        <f t="array" ref="AB159">Iss_Tariff(Main_Issuance[[#This Row],[Bank]],Main_Issuance[[#This Row],[LC Amt(SAR)]],Main_Issuance[[#This Row],[Issue Date.]],Main_Issuance[[#This Row],[Expiry Date]],Main_Issuance[[#This Row],[Calculate]])</f>
        <v>0</v>
      </c>
      <c r="AC159" s="83"/>
    </row>
    <row r="160" spans="1:29" ht="15.75" hidden="1" x14ac:dyDescent="0.25">
      <c r="A160" s="114" t="s">
        <v>3323</v>
      </c>
      <c r="B160" s="77">
        <v>46023</v>
      </c>
      <c r="C160" s="77" t="s">
        <v>1537</v>
      </c>
      <c r="D160" s="115" t="s">
        <v>20</v>
      </c>
      <c r="E160" s="115" t="s">
        <v>62</v>
      </c>
      <c r="F160" s="115" t="s">
        <v>483</v>
      </c>
      <c r="G160" s="115" t="s">
        <v>177</v>
      </c>
      <c r="H160" s="113" t="s">
        <v>24</v>
      </c>
      <c r="I160" s="115" t="s">
        <v>483</v>
      </c>
      <c r="J160" s="113">
        <v>1020096</v>
      </c>
      <c r="K160" s="115" t="s">
        <v>26</v>
      </c>
      <c r="L160" s="119">
        <v>1044853.45</v>
      </c>
      <c r="M160" s="82">
        <v>1</v>
      </c>
      <c r="N160" s="82">
        <f>Main_Issuance[[#This Row],[LC Amt(FCY)]]*Main_Issuance[[#This Row],[Rate]]</f>
        <v>1044853.45</v>
      </c>
      <c r="O160" s="77">
        <v>46296</v>
      </c>
      <c r="P160" s="77">
        <v>46296</v>
      </c>
      <c r="Q160" s="77" t="s">
        <v>27</v>
      </c>
      <c r="R160" s="115" t="s">
        <v>3229</v>
      </c>
      <c r="S160" s="82"/>
      <c r="T160" s="82"/>
      <c r="U160" s="82"/>
      <c r="V160" s="97">
        <v>0</v>
      </c>
      <c r="W160" s="115"/>
      <c r="X160" s="120" t="str">
        <f ca="1">IF(AND((Main_Issuance[[#This Row],[Expiry Date]]+31)&gt;TODAY(),Main_Issuance[[#This Row],[Status]]&lt;&gt;"Cancelled"),"Active","Cancelled")</f>
        <v>Active</v>
      </c>
      <c r="Y160" s="409"/>
      <c r="Z160" s="408"/>
      <c r="AA160" s="408" t="s">
        <v>857</v>
      </c>
      <c r="AB160" s="83" cm="1">
        <f t="array" ref="AB160">Iss_Tariff(Main_Issuance[[#This Row],[Bank]],Main_Issuance[[#This Row],[LC Amt(SAR)]],Main_Issuance[[#This Row],[Issue Date.]],Main_Issuance[[#This Row],[Expiry Date]],Main_Issuance[[#This Row],[Calculate]])</f>
        <v>16223.05</v>
      </c>
      <c r="AC160" s="83"/>
    </row>
    <row r="161" spans="1:29" ht="15.75" hidden="1" x14ac:dyDescent="0.25">
      <c r="A161" s="114" t="s">
        <v>3571</v>
      </c>
      <c r="B161" s="77">
        <v>46033</v>
      </c>
      <c r="C161" s="77" t="s">
        <v>441</v>
      </c>
      <c r="D161" s="115" t="s">
        <v>20</v>
      </c>
      <c r="E161" s="115" t="s">
        <v>612</v>
      </c>
      <c r="F161" s="115" t="s">
        <v>613</v>
      </c>
      <c r="G161" s="432" t="s">
        <v>779</v>
      </c>
      <c r="H161" s="113" t="s">
        <v>24</v>
      </c>
      <c r="I161" s="115" t="s">
        <v>613</v>
      </c>
      <c r="J161" s="115">
        <v>1020106</v>
      </c>
      <c r="K161" s="115" t="s">
        <v>26</v>
      </c>
      <c r="L161" s="119">
        <v>1500000</v>
      </c>
      <c r="M161" s="82">
        <v>1</v>
      </c>
      <c r="N161" s="82">
        <f>Main_Issuance[[#This Row],[LC Amt(FCY)]]*Main_Issuance[[#This Row],[Rate]]</f>
        <v>1500000</v>
      </c>
      <c r="O161" s="77">
        <v>46173</v>
      </c>
      <c r="P161" s="77">
        <v>46173</v>
      </c>
      <c r="Q161" s="77" t="s">
        <v>27</v>
      </c>
      <c r="R161" s="115" t="s">
        <v>1904</v>
      </c>
      <c r="S161" s="82"/>
      <c r="T161" s="82"/>
      <c r="U161" s="82"/>
      <c r="V161" s="97">
        <v>0</v>
      </c>
      <c r="W161" s="115"/>
      <c r="X161" s="120" t="str">
        <f ca="1">IF(AND((Main_Issuance[[#This Row],[Expiry Date]]+31)&gt;TODAY(),Main_Issuance[[#This Row],[Status]]&lt;&gt;"Cancelled"),"Active","Cancelled")</f>
        <v>Active</v>
      </c>
      <c r="Y161" s="409"/>
      <c r="Z161" s="408"/>
      <c r="AA161" s="408" t="s">
        <v>857</v>
      </c>
      <c r="AB161" s="83" cm="1">
        <f t="array" ref="AB161">Iss_Tariff(Main_Issuance[[#This Row],[Bank]],Main_Issuance[[#This Row],[LC Amt(SAR)]],Main_Issuance[[#This Row],[Issue Date.]],Main_Issuance[[#This Row],[Expiry Date]],Main_Issuance[[#This Row],[Calculate]])</f>
        <v>10493.75</v>
      </c>
      <c r="AC161" s="83"/>
    </row>
    <row r="162" spans="1:29" ht="15.75" hidden="1" x14ac:dyDescent="0.25">
      <c r="A162" s="114" t="s">
        <v>148</v>
      </c>
      <c r="B162" s="77">
        <v>45015</v>
      </c>
      <c r="C162" s="77" t="s">
        <v>1182</v>
      </c>
      <c r="D162" s="115" t="s">
        <v>20</v>
      </c>
      <c r="E162" s="115" t="s">
        <v>21</v>
      </c>
      <c r="F162" s="115" t="s">
        <v>22</v>
      </c>
      <c r="G162" s="115" t="s">
        <v>149</v>
      </c>
      <c r="H162" s="113" t="s">
        <v>24</v>
      </c>
      <c r="I162" s="115" t="s">
        <v>25</v>
      </c>
      <c r="J162" s="115">
        <v>1020052</v>
      </c>
      <c r="K162" s="115" t="s">
        <v>26</v>
      </c>
      <c r="L162" s="60">
        <v>4330900</v>
      </c>
      <c r="M162" s="60">
        <v>1</v>
      </c>
      <c r="N162" s="60">
        <f>Main_Issuance[[#This Row],[LC Amt(FCY)]]*Main_Issuance[[#This Row],[Rate]]</f>
        <v>4330900</v>
      </c>
      <c r="O162" s="77">
        <v>45138</v>
      </c>
      <c r="P162" s="77">
        <v>45138</v>
      </c>
      <c r="Q162" s="77" t="s">
        <v>27</v>
      </c>
      <c r="R162" s="115"/>
      <c r="S162" s="82"/>
      <c r="T162" s="82"/>
      <c r="U162" s="82"/>
      <c r="V162" s="97">
        <v>0</v>
      </c>
      <c r="W162" s="115"/>
      <c r="X162" s="120" t="str">
        <f ca="1">IF(AND((Main_Issuance[[#This Row],[Expiry Date]]+31)&gt;TODAY(),Main_Issuance[[#This Row],[Status]]&lt;&gt;"Cancelled"),"Active","Cancelled")</f>
        <v>Cancelled</v>
      </c>
      <c r="Y162" s="410"/>
      <c r="Z162" s="408"/>
      <c r="AA162" s="408" t="s">
        <v>378</v>
      </c>
      <c r="AB162" s="83" cm="1">
        <f t="array" ref="AB162">Iss_Tariff(Main_Issuance[[#This Row],[Bank]],Main_Issuance[[#This Row],[LC Amt(SAR)]],Main_Issuance[[#This Row],[Issue Date.]],Main_Issuance[[#This Row],[Expiry Date]],Main_Issuance[[#This Row],[Calculate]])</f>
        <v>0</v>
      </c>
      <c r="AC162" s="83"/>
    </row>
    <row r="163" spans="1:29" ht="15.75" hidden="1" x14ac:dyDescent="0.25">
      <c r="A163" s="114" t="s">
        <v>227</v>
      </c>
      <c r="B163" s="77">
        <v>45015</v>
      </c>
      <c r="C163" s="77" t="s">
        <v>1182</v>
      </c>
      <c r="D163" s="115" t="s">
        <v>20</v>
      </c>
      <c r="E163" s="115" t="s">
        <v>21</v>
      </c>
      <c r="F163" s="115" t="s">
        <v>22</v>
      </c>
      <c r="G163" s="115" t="s">
        <v>149</v>
      </c>
      <c r="H163" s="113" t="s">
        <v>24</v>
      </c>
      <c r="I163" s="115" t="s">
        <v>90</v>
      </c>
      <c r="J163" s="115">
        <v>1020001</v>
      </c>
      <c r="K163" s="115" t="s">
        <v>26</v>
      </c>
      <c r="L163" s="60">
        <v>5705150</v>
      </c>
      <c r="M163" s="60">
        <v>1</v>
      </c>
      <c r="N163" s="60">
        <f>Main_Issuance[[#This Row],[LC Amt(FCY)]]*Main_Issuance[[#This Row],[Rate]]</f>
        <v>5705150</v>
      </c>
      <c r="O163" s="77">
        <v>45260</v>
      </c>
      <c r="P163" s="77">
        <v>45260</v>
      </c>
      <c r="Q163" s="77" t="s">
        <v>27</v>
      </c>
      <c r="R163" s="115"/>
      <c r="S163" s="82"/>
      <c r="T163" s="82"/>
      <c r="U163" s="82"/>
      <c r="V163" s="97">
        <v>0</v>
      </c>
      <c r="W163" s="115"/>
      <c r="X163" s="120" t="str">
        <f ca="1">IF(AND((Main_Issuance[[#This Row],[Expiry Date]]+31)&gt;TODAY(),Main_Issuance[[#This Row],[Status]]&lt;&gt;"Cancelled"),"Active","Cancelled")</f>
        <v>Cancelled</v>
      </c>
      <c r="Y163" s="410"/>
      <c r="Z163" s="408"/>
      <c r="AA163" s="408" t="s">
        <v>378</v>
      </c>
      <c r="AB163" s="83" cm="1">
        <f t="array" ref="AB163">Iss_Tariff(Main_Issuance[[#This Row],[Bank]],Main_Issuance[[#This Row],[LC Amt(SAR)]],Main_Issuance[[#This Row],[Issue Date.]],Main_Issuance[[#This Row],[Expiry Date]],Main_Issuance[[#This Row],[Calculate]])</f>
        <v>0</v>
      </c>
      <c r="AC163" s="83"/>
    </row>
    <row r="164" spans="1:29" ht="15.75" hidden="1" x14ac:dyDescent="0.25">
      <c r="A164" s="114" t="s">
        <v>584</v>
      </c>
      <c r="B164" s="77">
        <v>45664</v>
      </c>
      <c r="C164" s="77" t="s">
        <v>441</v>
      </c>
      <c r="D164" s="115" t="s">
        <v>20</v>
      </c>
      <c r="E164" s="115" t="s">
        <v>21</v>
      </c>
      <c r="F164" s="115" t="s">
        <v>22</v>
      </c>
      <c r="G164" s="115" t="s">
        <v>585</v>
      </c>
      <c r="H164" s="113" t="s">
        <v>24</v>
      </c>
      <c r="I164" s="115" t="s">
        <v>22</v>
      </c>
      <c r="J164" s="115">
        <v>1020055</v>
      </c>
      <c r="K164" s="115" t="s">
        <v>26</v>
      </c>
      <c r="L164" s="60">
        <v>3000000</v>
      </c>
      <c r="M164" s="60">
        <v>1</v>
      </c>
      <c r="N164" s="60">
        <f>Main_Issuance[[#This Row],[LC Amt(FCY)]]*Main_Issuance[[#This Row],[Rate]]</f>
        <v>3000000</v>
      </c>
      <c r="O164" s="77">
        <v>45747</v>
      </c>
      <c r="P164" s="77">
        <v>45747</v>
      </c>
      <c r="Q164" s="77" t="s">
        <v>27</v>
      </c>
      <c r="R164" s="115" t="s">
        <v>311</v>
      </c>
      <c r="S164" s="82"/>
      <c r="T164" s="82"/>
      <c r="U164" s="82"/>
      <c r="V164" s="97">
        <v>0</v>
      </c>
      <c r="W164" s="115"/>
      <c r="X164" s="120" t="str">
        <f ca="1">IF(AND((Main_Issuance[[#This Row],[Expiry Date]]+31)&gt;TODAY(),Main_Issuance[[#This Row],[Status]]&lt;&gt;"Cancelled"),"Active","Cancelled")</f>
        <v>Cancelled</v>
      </c>
      <c r="Y164" s="410"/>
      <c r="Z164" s="408"/>
      <c r="AA164" s="408" t="s">
        <v>378</v>
      </c>
      <c r="AB164" s="83" cm="1">
        <f t="array" ref="AB164">Iss_Tariff(Main_Issuance[[#This Row],[Bank]],Main_Issuance[[#This Row],[LC Amt(SAR)]],Main_Issuance[[#This Row],[Issue Date.]],Main_Issuance[[#This Row],[Expiry Date]],Main_Issuance[[#This Row],[Calculate]])</f>
        <v>0</v>
      </c>
      <c r="AC164" s="83"/>
    </row>
    <row r="165" spans="1:29" ht="15.75" hidden="1" x14ac:dyDescent="0.25">
      <c r="A165" s="114" t="s">
        <v>652</v>
      </c>
      <c r="B165" s="77">
        <v>45680</v>
      </c>
      <c r="C165" s="77" t="s">
        <v>441</v>
      </c>
      <c r="D165" s="115" t="s">
        <v>20</v>
      </c>
      <c r="E165" s="115" t="s">
        <v>21</v>
      </c>
      <c r="F165" s="115" t="s">
        <v>22</v>
      </c>
      <c r="G165" s="115" t="s">
        <v>585</v>
      </c>
      <c r="H165" s="113" t="s">
        <v>24</v>
      </c>
      <c r="I165" s="115" t="s">
        <v>22</v>
      </c>
      <c r="J165" s="115">
        <v>1020055</v>
      </c>
      <c r="K165" s="115" t="s">
        <v>26</v>
      </c>
      <c r="L165" s="60">
        <v>1500000</v>
      </c>
      <c r="M165" s="60">
        <v>1</v>
      </c>
      <c r="N165" s="60">
        <f>Main_Issuance[[#This Row],[LC Amt(FCY)]]*Main_Issuance[[#This Row],[Rate]]</f>
        <v>1500000</v>
      </c>
      <c r="O165" s="77">
        <v>45777</v>
      </c>
      <c r="P165" s="77">
        <v>45777</v>
      </c>
      <c r="Q165" s="77" t="s">
        <v>27</v>
      </c>
      <c r="R165" s="115" t="s">
        <v>311</v>
      </c>
      <c r="S165" s="82"/>
      <c r="T165" s="82"/>
      <c r="U165" s="82"/>
      <c r="V165" s="97">
        <v>0</v>
      </c>
      <c r="W165" s="115"/>
      <c r="X165" s="120" t="str">
        <f ca="1">IF(AND((Main_Issuance[[#This Row],[Expiry Date]]+31)&gt;TODAY(),Main_Issuance[[#This Row],[Status]]&lt;&gt;"Cancelled"),"Active","Cancelled")</f>
        <v>Cancelled</v>
      </c>
      <c r="Y165" s="410"/>
      <c r="Z165" s="408"/>
      <c r="AA165" s="408" t="s">
        <v>378</v>
      </c>
      <c r="AB165" s="83" cm="1">
        <f t="array" ref="AB165">Iss_Tariff(Main_Issuance[[#This Row],[Bank]],Main_Issuance[[#This Row],[LC Amt(SAR)]],Main_Issuance[[#This Row],[Issue Date.]],Main_Issuance[[#This Row],[Expiry Date]],Main_Issuance[[#This Row],[Calculate]])</f>
        <v>0</v>
      </c>
      <c r="AC165" s="83"/>
    </row>
    <row r="166" spans="1:29" ht="15.75" hidden="1" x14ac:dyDescent="0.25">
      <c r="A166" s="114" t="s">
        <v>770</v>
      </c>
      <c r="B166" s="77">
        <v>45734</v>
      </c>
      <c r="C166" s="77" t="s">
        <v>509</v>
      </c>
      <c r="D166" s="115" t="s">
        <v>20</v>
      </c>
      <c r="E166" s="115" t="s">
        <v>21</v>
      </c>
      <c r="F166" s="115" t="s">
        <v>22</v>
      </c>
      <c r="G166" s="115" t="s">
        <v>585</v>
      </c>
      <c r="H166" s="113" t="s">
        <v>24</v>
      </c>
      <c r="I166" s="115" t="s">
        <v>407</v>
      </c>
      <c r="J166" s="115">
        <v>1020100</v>
      </c>
      <c r="K166" s="115" t="s">
        <v>26</v>
      </c>
      <c r="L166" s="60">
        <v>400000</v>
      </c>
      <c r="M166" s="60">
        <v>1</v>
      </c>
      <c r="N166" s="60">
        <f>Main_Issuance[[#This Row],[LC Amt(FCY)]]*Main_Issuance[[#This Row],[Rate]]</f>
        <v>400000</v>
      </c>
      <c r="O166" s="77">
        <v>45900</v>
      </c>
      <c r="P166" s="77">
        <v>45900</v>
      </c>
      <c r="Q166" s="77" t="s">
        <v>27</v>
      </c>
      <c r="R166" s="115" t="s">
        <v>311</v>
      </c>
      <c r="S166" s="82"/>
      <c r="T166" s="82"/>
      <c r="U166" s="82"/>
      <c r="V166" s="97">
        <v>0</v>
      </c>
      <c r="W166" s="115" t="s">
        <v>1527</v>
      </c>
      <c r="X166" s="120" t="str">
        <f ca="1">IF(AND((Main_Issuance[[#This Row],[Expiry Date]]+31)&gt;TODAY(),Main_Issuance[[#This Row],[Status]]&lt;&gt;"Cancelled"),"Active","Cancelled")</f>
        <v>Cancelled</v>
      </c>
      <c r="Y166" s="410"/>
      <c r="Z166" s="408"/>
      <c r="AA166" s="408" t="s">
        <v>378</v>
      </c>
      <c r="AB166" s="83" cm="1">
        <f t="array" ref="AB166">Iss_Tariff(Main_Issuance[[#This Row],[Bank]],Main_Issuance[[#This Row],[LC Amt(SAR)]],Main_Issuance[[#This Row],[Issue Date.]],Main_Issuance[[#This Row],[Expiry Date]],Main_Issuance[[#This Row],[Calculate]])</f>
        <v>0</v>
      </c>
      <c r="AC166" s="83"/>
    </row>
    <row r="167" spans="1:29" ht="15.75" hidden="1" x14ac:dyDescent="0.25">
      <c r="A167" s="114" t="s">
        <v>1170</v>
      </c>
      <c r="B167" s="77">
        <v>45757</v>
      </c>
      <c r="C167" s="77" t="s">
        <v>441</v>
      </c>
      <c r="D167" s="115" t="s">
        <v>20</v>
      </c>
      <c r="E167" s="115" t="s">
        <v>366</v>
      </c>
      <c r="F167" s="115" t="s">
        <v>710</v>
      </c>
      <c r="G167" s="115" t="s">
        <v>585</v>
      </c>
      <c r="H167" s="113" t="s">
        <v>24</v>
      </c>
      <c r="I167" s="115" t="s">
        <v>710</v>
      </c>
      <c r="J167" s="115">
        <v>1020088</v>
      </c>
      <c r="K167" s="115" t="s">
        <v>26</v>
      </c>
      <c r="L167" s="60">
        <v>1095964</v>
      </c>
      <c r="M167" s="60">
        <v>1</v>
      </c>
      <c r="N167" s="60">
        <f>Main_Issuance[[#This Row],[LC Amt(FCY)]]*Main_Issuance[[#This Row],[Rate]]</f>
        <v>1095964</v>
      </c>
      <c r="O167" s="77">
        <v>45838</v>
      </c>
      <c r="P167" s="77">
        <v>45838</v>
      </c>
      <c r="Q167" s="77" t="s">
        <v>27</v>
      </c>
      <c r="R167" s="115" t="s">
        <v>425</v>
      </c>
      <c r="S167" s="82"/>
      <c r="T167" s="82"/>
      <c r="U167" s="82"/>
      <c r="V167" s="97">
        <v>0</v>
      </c>
      <c r="W167" s="115"/>
      <c r="X167" s="120" t="str">
        <f ca="1">IF(AND((Main_Issuance[[#This Row],[Expiry Date]]+31)&gt;TODAY(),Main_Issuance[[#This Row],[Status]]&lt;&gt;"Cancelled"),"Active","Cancelled")</f>
        <v>Cancelled</v>
      </c>
      <c r="Y167" s="410"/>
      <c r="Z167" s="408"/>
      <c r="AA167" s="408" t="s">
        <v>378</v>
      </c>
      <c r="AB167" s="83" cm="1">
        <f t="array" ref="AB167">Iss_Tariff(Main_Issuance[[#This Row],[Bank]],Main_Issuance[[#This Row],[LC Amt(SAR)]],Main_Issuance[[#This Row],[Issue Date.]],Main_Issuance[[#This Row],[Expiry Date]],Main_Issuance[[#This Row],[Calculate]])</f>
        <v>0</v>
      </c>
      <c r="AC167" s="83"/>
    </row>
    <row r="168" spans="1:29" ht="15.75" hidden="1" x14ac:dyDescent="0.25">
      <c r="A168" s="114" t="s">
        <v>224</v>
      </c>
      <c r="B168" s="77">
        <v>45245</v>
      </c>
      <c r="C168" s="77" t="s">
        <v>441</v>
      </c>
      <c r="D168" s="115" t="s">
        <v>20</v>
      </c>
      <c r="E168" s="115" t="s">
        <v>21</v>
      </c>
      <c r="F168" s="115" t="s">
        <v>22</v>
      </c>
      <c r="G168" s="115" t="s">
        <v>225</v>
      </c>
      <c r="H168" s="113" t="s">
        <v>24</v>
      </c>
      <c r="I168" s="115" t="s">
        <v>22</v>
      </c>
      <c r="J168" s="115">
        <v>1020055</v>
      </c>
      <c r="K168" s="115" t="s">
        <v>26</v>
      </c>
      <c r="L168" s="60">
        <v>1960000</v>
      </c>
      <c r="M168" s="60">
        <v>1</v>
      </c>
      <c r="N168" s="60">
        <f>Main_Issuance[[#This Row],[LC Amt(FCY)]]*Main_Issuance[[#This Row],[Rate]]</f>
        <v>1960000</v>
      </c>
      <c r="O168" s="77">
        <v>45322</v>
      </c>
      <c r="P168" s="77">
        <v>45322</v>
      </c>
      <c r="Q168" s="77" t="s">
        <v>27</v>
      </c>
      <c r="R168" s="115"/>
      <c r="S168" s="82"/>
      <c r="T168" s="82"/>
      <c r="U168" s="82"/>
      <c r="V168" s="97">
        <v>0</v>
      </c>
      <c r="W168" s="115"/>
      <c r="X168" s="120" t="str">
        <f ca="1">IF(AND((Main_Issuance[[#This Row],[Expiry Date]]+31)&gt;TODAY(),Main_Issuance[[#This Row],[Status]]&lt;&gt;"Cancelled"),"Active","Cancelled")</f>
        <v>Cancelled</v>
      </c>
      <c r="Y168" s="410"/>
      <c r="Z168" s="408"/>
      <c r="AA168" s="408" t="s">
        <v>378</v>
      </c>
      <c r="AB168" s="83" cm="1">
        <f t="array" ref="AB168">Iss_Tariff(Main_Issuance[[#This Row],[Bank]],Main_Issuance[[#This Row],[LC Amt(SAR)]],Main_Issuance[[#This Row],[Issue Date.]],Main_Issuance[[#This Row],[Expiry Date]],Main_Issuance[[#This Row],[Calculate]])</f>
        <v>0</v>
      </c>
      <c r="AC168" s="83"/>
    </row>
    <row r="169" spans="1:29" ht="15.75" hidden="1" x14ac:dyDescent="0.25">
      <c r="A169" s="114" t="s">
        <v>745</v>
      </c>
      <c r="B169" s="77">
        <v>45743</v>
      </c>
      <c r="C169" s="77" t="s">
        <v>1864</v>
      </c>
      <c r="D169" s="115" t="s">
        <v>20</v>
      </c>
      <c r="E169" s="115" t="s">
        <v>366</v>
      </c>
      <c r="F169" s="115" t="s">
        <v>710</v>
      </c>
      <c r="G169" s="115" t="s">
        <v>746</v>
      </c>
      <c r="H169" s="59" t="s">
        <v>3221</v>
      </c>
      <c r="I169" s="115" t="s">
        <v>81</v>
      </c>
      <c r="J169" s="115">
        <v>1020070</v>
      </c>
      <c r="K169" s="115" t="s">
        <v>26</v>
      </c>
      <c r="L169" s="60">
        <v>3262947</v>
      </c>
      <c r="M169" s="60">
        <v>1</v>
      </c>
      <c r="N169" s="60">
        <f>Main_Issuance[[#This Row],[LC Amt(FCY)]]*Main_Issuance[[#This Row],[Rate]]</f>
        <v>3262947</v>
      </c>
      <c r="O169" s="77">
        <v>45808</v>
      </c>
      <c r="P169" s="77">
        <v>45777</v>
      </c>
      <c r="Q169" s="77" t="s">
        <v>27</v>
      </c>
      <c r="R169" s="115" t="s">
        <v>208</v>
      </c>
      <c r="S169" s="82"/>
      <c r="T169" s="82"/>
      <c r="U169" s="82"/>
      <c r="V169" s="97">
        <v>0</v>
      </c>
      <c r="W169" s="115"/>
      <c r="X169" s="120" t="str">
        <f ca="1">IF(AND((Main_Issuance[[#This Row],[Expiry Date]]+31)&gt;TODAY(),Main_Issuance[[#This Row],[Status]]&lt;&gt;"Cancelled"),"Active","Cancelled")</f>
        <v>Cancelled</v>
      </c>
      <c r="Y169" s="410"/>
      <c r="Z169" s="408"/>
      <c r="AA169" s="408" t="s">
        <v>378</v>
      </c>
      <c r="AB169" s="83" cm="1">
        <f t="array" ref="AB169">Iss_Tariff(Main_Issuance[[#This Row],[Bank]],Main_Issuance[[#This Row],[LC Amt(SAR)]],Main_Issuance[[#This Row],[Issue Date.]],Main_Issuance[[#This Row],[Expiry Date]],Main_Issuance[[#This Row],[Calculate]])</f>
        <v>0</v>
      </c>
      <c r="AC169" s="83"/>
    </row>
    <row r="170" spans="1:29" ht="15.75" hidden="1" x14ac:dyDescent="0.25">
      <c r="A170" s="114" t="s">
        <v>323</v>
      </c>
      <c r="B170" s="77">
        <v>45456</v>
      </c>
      <c r="C170" s="77" t="s">
        <v>1185</v>
      </c>
      <c r="D170" s="115" t="s">
        <v>20</v>
      </c>
      <c r="E170" s="115" t="s">
        <v>95</v>
      </c>
      <c r="F170" s="115" t="s">
        <v>96</v>
      </c>
      <c r="G170" s="115" t="s">
        <v>324</v>
      </c>
      <c r="H170" s="113" t="s">
        <v>72</v>
      </c>
      <c r="I170" s="115" t="s">
        <v>325</v>
      </c>
      <c r="J170" s="115">
        <v>1020068</v>
      </c>
      <c r="K170" s="115" t="s">
        <v>67</v>
      </c>
      <c r="L170" s="60">
        <v>217790.5</v>
      </c>
      <c r="M170" s="60">
        <v>4.3951000000000002</v>
      </c>
      <c r="N170" s="60">
        <f>Main_Issuance[[#This Row],[LC Amt(FCY)]]*Main_Issuance[[#This Row],[Rate]]</f>
        <v>957211.02655000007</v>
      </c>
      <c r="O170" s="76">
        <v>45565</v>
      </c>
      <c r="P170" s="76">
        <v>45565</v>
      </c>
      <c r="Q170" s="77" t="s">
        <v>27</v>
      </c>
      <c r="R170" s="115" t="s">
        <v>208</v>
      </c>
      <c r="S170" s="82"/>
      <c r="T170" s="82"/>
      <c r="U170" s="82"/>
      <c r="V170" s="97">
        <v>0</v>
      </c>
      <c r="W170" s="115"/>
      <c r="X170" s="120" t="str">
        <f ca="1">IF(AND((Main_Issuance[[#This Row],[Expiry Date]]+31)&gt;TODAY(),Main_Issuance[[#This Row],[Status]]&lt;&gt;"Cancelled"),"Active","Cancelled")</f>
        <v>Cancelled</v>
      </c>
      <c r="Y170" s="410"/>
      <c r="Z170" s="408"/>
      <c r="AA170" s="408" t="s">
        <v>378</v>
      </c>
      <c r="AB170" s="83" cm="1">
        <f t="array" ref="AB170">Iss_Tariff(Main_Issuance[[#This Row],[Bank]],Main_Issuance[[#This Row],[LC Amt(SAR)]],Main_Issuance[[#This Row],[Issue Date.]],Main_Issuance[[#This Row],[Expiry Date]],Main_Issuance[[#This Row],[Calculate]])</f>
        <v>0</v>
      </c>
      <c r="AC170" s="83"/>
    </row>
    <row r="171" spans="1:29" ht="15.75" hidden="1" x14ac:dyDescent="0.25">
      <c r="A171" s="114" t="s">
        <v>1601</v>
      </c>
      <c r="B171" s="77">
        <v>45862</v>
      </c>
      <c r="C171" s="77" t="s">
        <v>441</v>
      </c>
      <c r="D171" s="115" t="s">
        <v>20</v>
      </c>
      <c r="E171" s="115" t="s">
        <v>366</v>
      </c>
      <c r="F171" s="115" t="s">
        <v>710</v>
      </c>
      <c r="G171" s="115" t="s">
        <v>1574</v>
      </c>
      <c r="H171" s="113" t="s">
        <v>24</v>
      </c>
      <c r="I171" s="115" t="s">
        <v>710</v>
      </c>
      <c r="J171" s="115">
        <v>1020088</v>
      </c>
      <c r="K171" s="115" t="s">
        <v>26</v>
      </c>
      <c r="L171" s="60">
        <v>400000.94</v>
      </c>
      <c r="M171" s="60">
        <v>1</v>
      </c>
      <c r="N171" s="60">
        <f>Main_Issuance[[#This Row],[LC Amt(FCY)]]*Main_Issuance[[#This Row],[Rate]]</f>
        <v>400000.94</v>
      </c>
      <c r="O171" s="77">
        <v>46142</v>
      </c>
      <c r="P171" s="77">
        <v>46142</v>
      </c>
      <c r="Q171" s="77" t="s">
        <v>27</v>
      </c>
      <c r="R171" s="115" t="s">
        <v>621</v>
      </c>
      <c r="S171" s="82"/>
      <c r="T171" s="82"/>
      <c r="U171" s="82"/>
      <c r="V171" s="97">
        <v>0</v>
      </c>
      <c r="W171" s="115"/>
      <c r="X171" s="120" t="str">
        <f ca="1">IF(AND((Main_Issuance[[#This Row],[Expiry Date]]+31)&gt;TODAY(),Main_Issuance[[#This Row],[Status]]&lt;&gt;"Cancelled"),"Active","Cancelled")</f>
        <v>Cancelled</v>
      </c>
      <c r="Y171" s="410"/>
      <c r="Z171" s="408"/>
      <c r="AA171" s="408" t="s">
        <v>857</v>
      </c>
      <c r="AB171" s="83" cm="1">
        <f t="array" ref="AB171">Iss_Tariff(Main_Issuance[[#This Row],[Bank]],Main_Issuance[[#This Row],[LC Amt(SAR)]],Main_Issuance[[#This Row],[Issue Date.]],Main_Issuance[[#This Row],[Expiry Date]],Main_Issuance[[#This Row],[Calculate]])</f>
        <v>2386.25</v>
      </c>
      <c r="AC171" s="83"/>
    </row>
    <row r="172" spans="1:29" ht="15.75" hidden="1" x14ac:dyDescent="0.25">
      <c r="A172" s="114" t="s">
        <v>380</v>
      </c>
      <c r="B172" s="77">
        <v>45551</v>
      </c>
      <c r="C172" s="77" t="s">
        <v>441</v>
      </c>
      <c r="D172" s="115" t="s">
        <v>20</v>
      </c>
      <c r="E172" s="115" t="s">
        <v>95</v>
      </c>
      <c r="F172" s="115" t="s">
        <v>96</v>
      </c>
      <c r="G172" s="115" t="s">
        <v>381</v>
      </c>
      <c r="H172" s="113" t="s">
        <v>24</v>
      </c>
      <c r="I172" s="115" t="s">
        <v>22</v>
      </c>
      <c r="J172" s="115">
        <v>1020055</v>
      </c>
      <c r="K172" s="115" t="s">
        <v>26</v>
      </c>
      <c r="L172" s="60">
        <v>500000</v>
      </c>
      <c r="M172" s="60">
        <v>1</v>
      </c>
      <c r="N172" s="60">
        <f>Main_Issuance[[#This Row],[LC Amt(FCY)]]*Main_Issuance[[#This Row],[Rate]]</f>
        <v>500000</v>
      </c>
      <c r="O172" s="77">
        <v>45688</v>
      </c>
      <c r="P172" s="77">
        <v>45661</v>
      </c>
      <c r="Q172" s="77" t="s">
        <v>27</v>
      </c>
      <c r="R172" s="115" t="s">
        <v>311</v>
      </c>
      <c r="S172" s="82"/>
      <c r="T172" s="82"/>
      <c r="U172" s="82"/>
      <c r="V172" s="97">
        <v>0</v>
      </c>
      <c r="W172" s="115"/>
      <c r="X172" s="120" t="str">
        <f ca="1">IF(AND((Main_Issuance[[#This Row],[Expiry Date]]+31)&gt;TODAY(),Main_Issuance[[#This Row],[Status]]&lt;&gt;"Cancelled"),"Active","Cancelled")</f>
        <v>Cancelled</v>
      </c>
      <c r="Y172" s="410"/>
      <c r="Z172" s="408"/>
      <c r="AA172" s="408" t="s">
        <v>378</v>
      </c>
      <c r="AB172" s="83" cm="1">
        <f t="array" ref="AB172">Iss_Tariff(Main_Issuance[[#This Row],[Bank]],Main_Issuance[[#This Row],[LC Amt(SAR)]],Main_Issuance[[#This Row],[Issue Date.]],Main_Issuance[[#This Row],[Expiry Date]],Main_Issuance[[#This Row],[Calculate]])</f>
        <v>0</v>
      </c>
      <c r="AC172" s="83"/>
    </row>
    <row r="173" spans="1:29" ht="15.75" hidden="1" x14ac:dyDescent="0.25">
      <c r="A173" s="114" t="s">
        <v>114</v>
      </c>
      <c r="B173" s="77">
        <v>45041</v>
      </c>
      <c r="C173" s="77" t="s">
        <v>441</v>
      </c>
      <c r="D173" s="115" t="s">
        <v>20</v>
      </c>
      <c r="E173" s="115" t="s">
        <v>21</v>
      </c>
      <c r="F173" s="115" t="s">
        <v>22</v>
      </c>
      <c r="G173" s="115" t="s">
        <v>115</v>
      </c>
      <c r="H173" s="113" t="s">
        <v>24</v>
      </c>
      <c r="I173" s="115" t="s">
        <v>22</v>
      </c>
      <c r="J173" s="115">
        <v>1020055</v>
      </c>
      <c r="K173" s="115" t="s">
        <v>26</v>
      </c>
      <c r="L173" s="60">
        <v>1603107.56</v>
      </c>
      <c r="M173" s="60">
        <v>1</v>
      </c>
      <c r="N173" s="60">
        <f>Main_Issuance[[#This Row],[LC Amt(FCY)]]*Main_Issuance[[#This Row],[Rate]]</f>
        <v>1603107.56</v>
      </c>
      <c r="O173" s="77">
        <v>45107</v>
      </c>
      <c r="P173" s="77">
        <v>45107</v>
      </c>
      <c r="Q173" s="77" t="s">
        <v>27</v>
      </c>
      <c r="R173" s="115"/>
      <c r="S173" s="82"/>
      <c r="T173" s="82"/>
      <c r="U173" s="82"/>
      <c r="V173" s="97">
        <v>0</v>
      </c>
      <c r="W173" s="115"/>
      <c r="X173" s="120" t="str">
        <f ca="1">IF(AND((Main_Issuance[[#This Row],[Expiry Date]]+31)&gt;TODAY(),Main_Issuance[[#This Row],[Status]]&lt;&gt;"Cancelled"),"Active","Cancelled")</f>
        <v>Cancelled</v>
      </c>
      <c r="Y173" s="410"/>
      <c r="Z173" s="408"/>
      <c r="AA173" s="408" t="s">
        <v>378</v>
      </c>
      <c r="AB173" s="83" cm="1">
        <f t="array" ref="AB173">Iss_Tariff(Main_Issuance[[#This Row],[Bank]],Main_Issuance[[#This Row],[LC Amt(SAR)]],Main_Issuance[[#This Row],[Issue Date.]],Main_Issuance[[#This Row],[Expiry Date]],Main_Issuance[[#This Row],[Calculate]])</f>
        <v>0</v>
      </c>
      <c r="AC173" s="83"/>
    </row>
    <row r="174" spans="1:29" ht="15.75" hidden="1" x14ac:dyDescent="0.25">
      <c r="A174" s="114" t="s">
        <v>222</v>
      </c>
      <c r="B174" s="77">
        <v>45168</v>
      </c>
      <c r="C174" s="77" t="s">
        <v>441</v>
      </c>
      <c r="D174" s="115" t="s">
        <v>20</v>
      </c>
      <c r="E174" s="115" t="s">
        <v>21</v>
      </c>
      <c r="F174" s="115" t="s">
        <v>22</v>
      </c>
      <c r="G174" s="115" t="s">
        <v>115</v>
      </c>
      <c r="H174" s="113" t="s">
        <v>24</v>
      </c>
      <c r="I174" s="115" t="s">
        <v>22</v>
      </c>
      <c r="J174" s="115">
        <v>1020055</v>
      </c>
      <c r="K174" s="115" t="s">
        <v>26</v>
      </c>
      <c r="L174" s="60">
        <v>1000000</v>
      </c>
      <c r="M174" s="60">
        <v>1</v>
      </c>
      <c r="N174" s="60">
        <f>Main_Issuance[[#This Row],[LC Amt(FCY)]]*Main_Issuance[[#This Row],[Rate]]</f>
        <v>1000000</v>
      </c>
      <c r="O174" s="77">
        <v>45260</v>
      </c>
      <c r="P174" s="77">
        <v>45260</v>
      </c>
      <c r="Q174" s="77" t="s">
        <v>27</v>
      </c>
      <c r="R174" s="115"/>
      <c r="S174" s="82"/>
      <c r="T174" s="82"/>
      <c r="U174" s="82"/>
      <c r="V174" s="97">
        <v>0</v>
      </c>
      <c r="W174" s="115"/>
      <c r="X174" s="120" t="str">
        <f ca="1">IF(AND((Main_Issuance[[#This Row],[Expiry Date]]+31)&gt;TODAY(),Main_Issuance[[#This Row],[Status]]&lt;&gt;"Cancelled"),"Active","Cancelled")</f>
        <v>Cancelled</v>
      </c>
      <c r="Y174" s="410"/>
      <c r="Z174" s="408"/>
      <c r="AA174" s="408" t="s">
        <v>378</v>
      </c>
      <c r="AB174" s="83" cm="1">
        <f t="array" ref="AB174">Iss_Tariff(Main_Issuance[[#This Row],[Bank]],Main_Issuance[[#This Row],[LC Amt(SAR)]],Main_Issuance[[#This Row],[Issue Date.]],Main_Issuance[[#This Row],[Expiry Date]],Main_Issuance[[#This Row],[Calculate]])</f>
        <v>0</v>
      </c>
      <c r="AC174" s="83"/>
    </row>
    <row r="175" spans="1:29" ht="15.75" hidden="1" x14ac:dyDescent="0.25">
      <c r="A175" s="114" t="s">
        <v>1659</v>
      </c>
      <c r="B175" s="77">
        <v>45869</v>
      </c>
      <c r="C175" s="77" t="s">
        <v>441</v>
      </c>
      <c r="D175" s="19" t="s">
        <v>20</v>
      </c>
      <c r="E175" s="115" t="s">
        <v>21</v>
      </c>
      <c r="F175" s="115" t="s">
        <v>22</v>
      </c>
      <c r="G175" s="115" t="s">
        <v>115</v>
      </c>
      <c r="H175" s="113" t="s">
        <v>24</v>
      </c>
      <c r="I175" s="115" t="s">
        <v>22</v>
      </c>
      <c r="J175" s="115">
        <v>1020055</v>
      </c>
      <c r="K175" s="115" t="s">
        <v>26</v>
      </c>
      <c r="L175" s="60">
        <v>250000</v>
      </c>
      <c r="M175" s="60">
        <v>1</v>
      </c>
      <c r="N175" s="60">
        <f>Main_Issuance[[#This Row],[LC Amt(FCY)]]*Main_Issuance[[#This Row],[Rate]]</f>
        <v>250000</v>
      </c>
      <c r="O175" s="77">
        <v>46022</v>
      </c>
      <c r="P175" s="77">
        <v>46022</v>
      </c>
      <c r="Q175" s="77" t="s">
        <v>27</v>
      </c>
      <c r="R175" s="115" t="s">
        <v>621</v>
      </c>
      <c r="S175" s="82"/>
      <c r="T175" s="82"/>
      <c r="U175" s="82"/>
      <c r="V175" s="97">
        <v>0</v>
      </c>
      <c r="W175" s="115"/>
      <c r="X175" s="120" t="str">
        <f ca="1">IF(AND((Main_Issuance[[#This Row],[Expiry Date]]+31)&gt;TODAY(),Main_Issuance[[#This Row],[Status]]&lt;&gt;"Cancelled"),"Active","Cancelled")</f>
        <v>Cancelled</v>
      </c>
      <c r="Y175" s="410"/>
      <c r="Z175" s="408"/>
      <c r="AA175" s="408" t="s">
        <v>378</v>
      </c>
      <c r="AB175" s="83" cm="1">
        <f t="array" ref="AB175">Iss_Tariff(Main_Issuance[[#This Row],[Bank]],Main_Issuance[[#This Row],[LC Amt(SAR)]],Main_Issuance[[#This Row],[Issue Date.]],Main_Issuance[[#This Row],[Expiry Date]],Main_Issuance[[#This Row],[Calculate]])</f>
        <v>0</v>
      </c>
      <c r="AC175" s="83"/>
    </row>
    <row r="176" spans="1:29" ht="15.75" hidden="1" x14ac:dyDescent="0.25">
      <c r="A176" s="114" t="s">
        <v>556</v>
      </c>
      <c r="B176" s="77">
        <v>45638</v>
      </c>
      <c r="C176" s="77" t="s">
        <v>441</v>
      </c>
      <c r="D176" s="115" t="s">
        <v>20</v>
      </c>
      <c r="E176" s="115" t="s">
        <v>373</v>
      </c>
      <c r="F176" s="115" t="s">
        <v>483</v>
      </c>
      <c r="G176" s="115" t="s">
        <v>557</v>
      </c>
      <c r="H176" s="113" t="s">
        <v>24</v>
      </c>
      <c r="I176" s="115" t="s">
        <v>22</v>
      </c>
      <c r="J176" s="115">
        <v>1020055</v>
      </c>
      <c r="K176" s="115" t="s">
        <v>26</v>
      </c>
      <c r="L176" s="60">
        <v>1500000</v>
      </c>
      <c r="M176" s="60">
        <v>1</v>
      </c>
      <c r="N176" s="60">
        <f>Main_Issuance[[#This Row],[LC Amt(FCY)]]*Main_Issuance[[#This Row],[Rate]]</f>
        <v>1500000</v>
      </c>
      <c r="O176" s="77">
        <v>45747</v>
      </c>
      <c r="P176" s="77">
        <v>45747</v>
      </c>
      <c r="Q176" s="77" t="s">
        <v>27</v>
      </c>
      <c r="R176" s="115" t="s">
        <v>311</v>
      </c>
      <c r="S176" s="82"/>
      <c r="T176" s="82"/>
      <c r="U176" s="82"/>
      <c r="V176" s="97">
        <v>0</v>
      </c>
      <c r="W176" s="115"/>
      <c r="X176" s="120" t="str">
        <f ca="1">IF(AND((Main_Issuance[[#This Row],[Expiry Date]]+31)&gt;TODAY(),Main_Issuance[[#This Row],[Status]]&lt;&gt;"Cancelled"),"Active","Cancelled")</f>
        <v>Cancelled</v>
      </c>
      <c r="Y176" s="410"/>
      <c r="Z176" s="408"/>
      <c r="AA176" s="408" t="s">
        <v>378</v>
      </c>
      <c r="AB176" s="83" cm="1">
        <f t="array" ref="AB176">Iss_Tariff(Main_Issuance[[#This Row],[Bank]],Main_Issuance[[#This Row],[LC Amt(SAR)]],Main_Issuance[[#This Row],[Issue Date.]],Main_Issuance[[#This Row],[Expiry Date]],Main_Issuance[[#This Row],[Calculate]])</f>
        <v>0</v>
      </c>
      <c r="AC176" s="83"/>
    </row>
    <row r="177" spans="1:29" ht="15.75" hidden="1" x14ac:dyDescent="0.25">
      <c r="A177" s="114" t="s">
        <v>803</v>
      </c>
      <c r="B177" s="77">
        <v>45739</v>
      </c>
      <c r="C177" s="77" t="s">
        <v>441</v>
      </c>
      <c r="D177" s="115" t="s">
        <v>20</v>
      </c>
      <c r="E177" s="115" t="s">
        <v>21</v>
      </c>
      <c r="F177" s="115" t="s">
        <v>22</v>
      </c>
      <c r="G177" s="115" t="s">
        <v>557</v>
      </c>
      <c r="H177" s="113" t="s">
        <v>24</v>
      </c>
      <c r="I177" s="115" t="s">
        <v>22</v>
      </c>
      <c r="J177" s="115">
        <v>1020055</v>
      </c>
      <c r="K177" s="115" t="s">
        <v>26</v>
      </c>
      <c r="L177" s="60">
        <v>300000.5</v>
      </c>
      <c r="M177" s="60">
        <v>1</v>
      </c>
      <c r="N177" s="60">
        <f>Main_Issuance[[#This Row],[LC Amt(FCY)]]*Main_Issuance[[#This Row],[Rate]]</f>
        <v>300000.5</v>
      </c>
      <c r="O177" s="77">
        <v>45838</v>
      </c>
      <c r="P177" s="77">
        <v>45838</v>
      </c>
      <c r="Q177" s="77" t="s">
        <v>27</v>
      </c>
      <c r="R177" s="115" t="s">
        <v>311</v>
      </c>
      <c r="S177" s="82"/>
      <c r="T177" s="82"/>
      <c r="U177" s="82"/>
      <c r="V177" s="97">
        <v>0</v>
      </c>
      <c r="W177" s="115"/>
      <c r="X177" s="120" t="str">
        <f ca="1">IF(AND((Main_Issuance[[#This Row],[Expiry Date]]+31)&gt;TODAY(),Main_Issuance[[#This Row],[Status]]&lt;&gt;"Cancelled"),"Active","Cancelled")</f>
        <v>Cancelled</v>
      </c>
      <c r="Y177" s="410"/>
      <c r="Z177" s="408"/>
      <c r="AA177" s="408" t="s">
        <v>378</v>
      </c>
      <c r="AB177" s="83" cm="1">
        <f t="array" ref="AB177">Iss_Tariff(Main_Issuance[[#This Row],[Bank]],Main_Issuance[[#This Row],[LC Amt(SAR)]],Main_Issuance[[#This Row],[Issue Date.]],Main_Issuance[[#This Row],[Expiry Date]],Main_Issuance[[#This Row],[Calculate]])</f>
        <v>0</v>
      </c>
      <c r="AC177" s="83"/>
    </row>
    <row r="178" spans="1:29" ht="15.75" hidden="1" x14ac:dyDescent="0.25">
      <c r="A178" s="114" t="s">
        <v>1354</v>
      </c>
      <c r="B178" s="77">
        <v>45792</v>
      </c>
      <c r="C178" s="77" t="s">
        <v>441</v>
      </c>
      <c r="D178" s="115" t="s">
        <v>20</v>
      </c>
      <c r="E178" s="115" t="s">
        <v>21</v>
      </c>
      <c r="F178" s="115" t="s">
        <v>22</v>
      </c>
      <c r="G178" s="115" t="s">
        <v>1322</v>
      </c>
      <c r="H178" s="113" t="s">
        <v>24</v>
      </c>
      <c r="I178" s="115" t="s">
        <v>22</v>
      </c>
      <c r="J178" s="115">
        <v>1020055</v>
      </c>
      <c r="K178" s="115" t="s">
        <v>26</v>
      </c>
      <c r="L178" s="60">
        <v>221169.27</v>
      </c>
      <c r="M178" s="60">
        <v>1</v>
      </c>
      <c r="N178" s="60">
        <f>Main_Issuance[[#This Row],[LC Amt(FCY)]]*Main_Issuance[[#This Row],[Rate]]</f>
        <v>221169.27</v>
      </c>
      <c r="O178" s="77">
        <v>45961</v>
      </c>
      <c r="P178" s="77">
        <v>45961</v>
      </c>
      <c r="Q178" s="77" t="s">
        <v>27</v>
      </c>
      <c r="R178" s="115" t="s">
        <v>621</v>
      </c>
      <c r="S178" s="82"/>
      <c r="T178" s="82"/>
      <c r="U178" s="82"/>
      <c r="V178" s="97">
        <v>0</v>
      </c>
      <c r="W178" s="115" t="s">
        <v>1846</v>
      </c>
      <c r="X178" s="120" t="str">
        <f ca="1">IF(AND((Main_Issuance[[#This Row],[Expiry Date]]+31)&gt;TODAY(),Main_Issuance[[#This Row],[Status]]&lt;&gt;"Cancelled"),"Active","Cancelled")</f>
        <v>Cancelled</v>
      </c>
      <c r="Y178" s="410"/>
      <c r="Z178" s="408"/>
      <c r="AA178" s="408" t="s">
        <v>378</v>
      </c>
      <c r="AB178" s="83" cm="1">
        <f t="array" ref="AB178">Iss_Tariff(Main_Issuance[[#This Row],[Bank]],Main_Issuance[[#This Row],[LC Amt(SAR)]],Main_Issuance[[#This Row],[Issue Date.]],Main_Issuance[[#This Row],[Expiry Date]],Main_Issuance[[#This Row],[Calculate]])</f>
        <v>0</v>
      </c>
      <c r="AC178" s="83"/>
    </row>
    <row r="179" spans="1:29" ht="15.75" hidden="1" x14ac:dyDescent="0.25">
      <c r="A179" s="114" t="s">
        <v>1433</v>
      </c>
      <c r="B179" s="77">
        <v>45810</v>
      </c>
      <c r="C179" s="77" t="s">
        <v>441</v>
      </c>
      <c r="D179" s="115" t="s">
        <v>20</v>
      </c>
      <c r="E179" s="115" t="s">
        <v>366</v>
      </c>
      <c r="F179" s="115" t="s">
        <v>710</v>
      </c>
      <c r="G179" s="115" t="s">
        <v>1322</v>
      </c>
      <c r="H179" s="113" t="s">
        <v>24</v>
      </c>
      <c r="I179" s="115" t="s">
        <v>710</v>
      </c>
      <c r="J179" s="115">
        <v>1020088</v>
      </c>
      <c r="K179" s="115" t="s">
        <v>26</v>
      </c>
      <c r="L179" s="60">
        <v>650000</v>
      </c>
      <c r="M179" s="60">
        <v>1</v>
      </c>
      <c r="N179" s="60">
        <f>Main_Issuance[[#This Row],[LC Amt(FCY)]]*Main_Issuance[[#This Row],[Rate]]</f>
        <v>650000</v>
      </c>
      <c r="O179" s="77">
        <v>45900</v>
      </c>
      <c r="P179" s="77">
        <v>45900</v>
      </c>
      <c r="Q179" s="77" t="s">
        <v>27</v>
      </c>
      <c r="R179" s="115" t="s">
        <v>621</v>
      </c>
      <c r="S179" s="82"/>
      <c r="T179" s="82"/>
      <c r="U179" s="82"/>
      <c r="V179" s="97">
        <v>0</v>
      </c>
      <c r="W179" s="115"/>
      <c r="X179" s="120" t="str">
        <f ca="1">IF(AND((Main_Issuance[[#This Row],[Expiry Date]]+31)&gt;TODAY(),Main_Issuance[[#This Row],[Status]]&lt;&gt;"Cancelled"),"Active","Cancelled")</f>
        <v>Cancelled</v>
      </c>
      <c r="Y179" s="410"/>
      <c r="Z179" s="408"/>
      <c r="AA179" s="408" t="s">
        <v>378</v>
      </c>
      <c r="AB179" s="83" cm="1">
        <f t="array" ref="AB179">Iss_Tariff(Main_Issuance[[#This Row],[Bank]],Main_Issuance[[#This Row],[LC Amt(SAR)]],Main_Issuance[[#This Row],[Issue Date.]],Main_Issuance[[#This Row],[Expiry Date]],Main_Issuance[[#This Row],[Calculate]])</f>
        <v>0</v>
      </c>
      <c r="AC179" s="83"/>
    </row>
    <row r="180" spans="1:29" ht="15.75" hidden="1" x14ac:dyDescent="0.25">
      <c r="A180" s="114" t="s">
        <v>4556</v>
      </c>
      <c r="B180" s="424">
        <v>46118</v>
      </c>
      <c r="C180" s="424" t="s">
        <v>441</v>
      </c>
      <c r="D180" s="115" t="s">
        <v>20</v>
      </c>
      <c r="E180" s="115" t="s">
        <v>366</v>
      </c>
      <c r="F180" s="115" t="s">
        <v>710</v>
      </c>
      <c r="G180" s="115" t="s">
        <v>4497</v>
      </c>
      <c r="H180" s="113" t="s">
        <v>24</v>
      </c>
      <c r="I180" s="115" t="s">
        <v>710</v>
      </c>
      <c r="J180" s="113">
        <v>1020088</v>
      </c>
      <c r="K180" s="115" t="s">
        <v>26</v>
      </c>
      <c r="L180" s="119">
        <v>450000</v>
      </c>
      <c r="M180" s="82">
        <v>1</v>
      </c>
      <c r="N180" s="82">
        <f>Main_Issuance[[#This Row],[LC Amt(FCY)]]*Main_Issuance[[#This Row],[Rate]]</f>
        <v>450000</v>
      </c>
      <c r="O180" s="424">
        <v>46203</v>
      </c>
      <c r="P180" s="424">
        <v>46203</v>
      </c>
      <c r="Q180" s="424" t="s">
        <v>27</v>
      </c>
      <c r="R180" s="115" t="s">
        <v>4493</v>
      </c>
      <c r="S180" s="82"/>
      <c r="T180" s="82"/>
      <c r="U180" s="82"/>
      <c r="V180" s="97">
        <v>0</v>
      </c>
      <c r="W180" s="115"/>
      <c r="X180" s="437" t="str">
        <f ca="1">IF(AND((Main_Issuance[[#This Row],[Expiry Date]]+31)&gt;TODAY(),Main_Issuance[[#This Row],[Status]]&lt;&gt;"Cancelled"),"Active","Cancelled")</f>
        <v>Active</v>
      </c>
      <c r="Y180" s="96"/>
      <c r="Z180" s="424"/>
      <c r="AA180" s="443" t="s">
        <v>857</v>
      </c>
      <c r="AB180" s="83" cm="1">
        <f t="array" ref="AB180">Iss_Tariff(Main_Issuance[[#This Row],[Bank]],Main_Issuance[[#This Row],[LC Amt(SAR)]],Main_Issuance[[#This Row],[Issue Date.]],Main_Issuance[[#This Row],[Expiry Date]],Main_Issuance[[#This Row],[Calculate]],,125)</f>
        <v>2817.5</v>
      </c>
      <c r="AC180" s="83"/>
    </row>
    <row r="181" spans="1:29" ht="15.75" hidden="1" x14ac:dyDescent="0.25">
      <c r="A181" s="114" t="s">
        <v>3731</v>
      </c>
      <c r="B181" s="148">
        <v>46040</v>
      </c>
      <c r="C181" s="77" t="s">
        <v>3222</v>
      </c>
      <c r="D181" s="124" t="s">
        <v>20</v>
      </c>
      <c r="E181" s="115" t="s">
        <v>366</v>
      </c>
      <c r="F181" s="115" t="s">
        <v>1450</v>
      </c>
      <c r="G181" s="115" t="s">
        <v>3267</v>
      </c>
      <c r="H181" s="149" t="s">
        <v>3782</v>
      </c>
      <c r="I181" s="78" t="s">
        <v>367</v>
      </c>
      <c r="J181" s="115">
        <v>1020091</v>
      </c>
      <c r="K181" s="115" t="s">
        <v>26</v>
      </c>
      <c r="L181" s="119">
        <v>1269458.03</v>
      </c>
      <c r="M181" s="82">
        <v>1</v>
      </c>
      <c r="N181" s="82">
        <f>Main_Issuance[[#This Row],[LC Amt(FCY)]]*Main_Issuance[[#This Row],[Rate]]</f>
        <v>1269458.03</v>
      </c>
      <c r="O181" s="77">
        <v>46174</v>
      </c>
      <c r="P181" s="77">
        <v>46152</v>
      </c>
      <c r="Q181" s="77" t="s">
        <v>27</v>
      </c>
      <c r="R181" s="115" t="s">
        <v>305</v>
      </c>
      <c r="S181" s="82"/>
      <c r="T181" s="82"/>
      <c r="U181" s="82"/>
      <c r="V181" s="97">
        <v>0</v>
      </c>
      <c r="W181" s="124"/>
      <c r="X181" s="120" t="str">
        <f ca="1">IF(AND((Main_Issuance[[#This Row],[Expiry Date]]+31)&gt;TODAY(),Main_Issuance[[#This Row],[Status]]&lt;&gt;"Cancelled"),"Active","Cancelled")</f>
        <v>Active</v>
      </c>
      <c r="Y181" s="409"/>
      <c r="Z181" s="408"/>
      <c r="AA181" s="408" t="s">
        <v>857</v>
      </c>
      <c r="AB181" s="83" cm="1">
        <f t="array" ref="AB181">Iss_Tariff(Main_Issuance[[#This Row],[Bank]],Main_Issuance[[#This Row],[LC Amt(SAR)]],Main_Issuance[[#This Row],[Issue Date.]],Main_Issuance[[#This Row],[Expiry Date]],Main_Issuance[[#This Row],[Calculate]])</f>
        <v>7385.3</v>
      </c>
      <c r="AC181" s="83"/>
    </row>
    <row r="182" spans="1:29" ht="15.75" hidden="1" x14ac:dyDescent="0.25">
      <c r="A182" s="114" t="s">
        <v>1649</v>
      </c>
      <c r="B182" s="77">
        <v>45869</v>
      </c>
      <c r="C182" s="77" t="s">
        <v>1119</v>
      </c>
      <c r="D182" s="115" t="s">
        <v>20</v>
      </c>
      <c r="E182" s="115" t="s">
        <v>366</v>
      </c>
      <c r="F182" s="115" t="s">
        <v>367</v>
      </c>
      <c r="G182" s="115" t="s">
        <v>1611</v>
      </c>
      <c r="H182" s="113" t="s">
        <v>24</v>
      </c>
      <c r="I182" s="115" t="s">
        <v>367</v>
      </c>
      <c r="J182" s="115">
        <v>1020091</v>
      </c>
      <c r="K182" s="115" t="s">
        <v>26</v>
      </c>
      <c r="L182" s="60">
        <v>2080350</v>
      </c>
      <c r="M182" s="60">
        <v>1</v>
      </c>
      <c r="N182" s="60">
        <f>Main_Issuance[[#This Row],[LC Amt(FCY)]]*Main_Issuance[[#This Row],[Rate]]</f>
        <v>2080350</v>
      </c>
      <c r="O182" s="77">
        <v>45961</v>
      </c>
      <c r="P182" s="77">
        <v>45961</v>
      </c>
      <c r="Q182" s="77" t="s">
        <v>27</v>
      </c>
      <c r="R182" s="115" t="s">
        <v>1629</v>
      </c>
      <c r="S182" s="82"/>
      <c r="T182" s="82"/>
      <c r="U182" s="82"/>
      <c r="V182" s="97">
        <v>0</v>
      </c>
      <c r="W182" s="115"/>
      <c r="X182" s="120" t="str">
        <f ca="1">IF(AND((Main_Issuance[[#This Row],[Expiry Date]]+31)&gt;TODAY(),Main_Issuance[[#This Row],[Status]]&lt;&gt;"Cancelled"),"Active","Cancelled")</f>
        <v>Cancelled</v>
      </c>
      <c r="Y182" s="410"/>
      <c r="Z182" s="408"/>
      <c r="AA182" s="408" t="s">
        <v>378</v>
      </c>
      <c r="AB182" s="83" cm="1">
        <f t="array" ref="AB182">Iss_Tariff(Main_Issuance[[#This Row],[Bank]],Main_Issuance[[#This Row],[LC Amt(SAR)]],Main_Issuance[[#This Row],[Issue Date.]],Main_Issuance[[#This Row],[Expiry Date]],Main_Issuance[[#This Row],[Calculate]])</f>
        <v>0</v>
      </c>
      <c r="AC182" s="83"/>
    </row>
    <row r="183" spans="1:29" ht="15.75" hidden="1" x14ac:dyDescent="0.25">
      <c r="A183" s="114" t="s">
        <v>3720</v>
      </c>
      <c r="B183" s="77">
        <v>46040</v>
      </c>
      <c r="C183" s="77" t="s">
        <v>1259</v>
      </c>
      <c r="D183" s="115" t="s">
        <v>20</v>
      </c>
      <c r="E183" s="115" t="s">
        <v>95</v>
      </c>
      <c r="F183" s="115" t="s">
        <v>96</v>
      </c>
      <c r="G183" s="115" t="s">
        <v>3619</v>
      </c>
      <c r="H183" s="113" t="s">
        <v>1791</v>
      </c>
      <c r="I183" s="115" t="s">
        <v>328</v>
      </c>
      <c r="J183" s="115">
        <v>1020097</v>
      </c>
      <c r="K183" s="115" t="s">
        <v>26</v>
      </c>
      <c r="L183" s="119">
        <v>800000</v>
      </c>
      <c r="M183" s="82">
        <v>1</v>
      </c>
      <c r="N183" s="82">
        <f>Main_Issuance[[#This Row],[LC Amt(FCY)]]*Main_Issuance[[#This Row],[Rate]]</f>
        <v>800000</v>
      </c>
      <c r="O183" s="77">
        <v>46081</v>
      </c>
      <c r="P183" s="77">
        <v>46060</v>
      </c>
      <c r="Q183" s="77" t="s">
        <v>27</v>
      </c>
      <c r="R183" s="115" t="s">
        <v>28</v>
      </c>
      <c r="S183" s="82"/>
      <c r="T183" s="82"/>
      <c r="U183" s="82"/>
      <c r="V183" s="97">
        <v>0</v>
      </c>
      <c r="W183" s="115"/>
      <c r="X183" s="120" t="str">
        <f ca="1">IF(AND((Main_Issuance[[#This Row],[Expiry Date]]+31)&gt;TODAY(),Main_Issuance[[#This Row],[Status]]&lt;&gt;"Cancelled"),"Active","Cancelled")</f>
        <v>Cancelled</v>
      </c>
      <c r="Y183" s="409"/>
      <c r="Z183" s="408"/>
      <c r="AA183" s="408" t="s">
        <v>857</v>
      </c>
      <c r="AB183" s="83" cm="1">
        <f t="array" ref="AB183">Iss_Tariff(Main_Issuance[[#This Row],[Bank]],Main_Issuance[[#This Row],[LC Amt(SAR)]],Main_Issuance[[#This Row],[Issue Date.]],Main_Issuance[[#This Row],[Expiry Date]],Main_Issuance[[#This Row],[Calculate]])</f>
        <v>1035</v>
      </c>
      <c r="AC183" s="83"/>
    </row>
    <row r="184" spans="1:29" ht="15.75" hidden="1" x14ac:dyDescent="0.25">
      <c r="A184" s="114" t="s">
        <v>160</v>
      </c>
      <c r="B184" s="77">
        <v>45147</v>
      </c>
      <c r="C184" s="77" t="s">
        <v>441</v>
      </c>
      <c r="D184" s="115" t="s">
        <v>20</v>
      </c>
      <c r="E184" s="115" t="s">
        <v>21</v>
      </c>
      <c r="F184" s="115" t="s">
        <v>22</v>
      </c>
      <c r="G184" s="115" t="s">
        <v>161</v>
      </c>
      <c r="H184" s="113" t="s">
        <v>24</v>
      </c>
      <c r="I184" s="115" t="s">
        <v>22</v>
      </c>
      <c r="J184" s="115">
        <v>1020055</v>
      </c>
      <c r="K184" s="115" t="s">
        <v>26</v>
      </c>
      <c r="L184" s="60">
        <v>400000</v>
      </c>
      <c r="M184" s="60">
        <v>1</v>
      </c>
      <c r="N184" s="60">
        <f>Main_Issuance[[#This Row],[LC Amt(FCY)]]*Main_Issuance[[#This Row],[Rate]]</f>
        <v>400000</v>
      </c>
      <c r="O184" s="77">
        <v>45230</v>
      </c>
      <c r="P184" s="77">
        <v>45230</v>
      </c>
      <c r="Q184" s="77" t="s">
        <v>27</v>
      </c>
      <c r="R184" s="115"/>
      <c r="S184" s="82"/>
      <c r="T184" s="82"/>
      <c r="U184" s="82"/>
      <c r="V184" s="97">
        <v>0</v>
      </c>
      <c r="W184" s="115"/>
      <c r="X184" s="120" t="str">
        <f ca="1">IF(AND((Main_Issuance[[#This Row],[Expiry Date]]+31)&gt;TODAY(),Main_Issuance[[#This Row],[Status]]&lt;&gt;"Cancelled"),"Active","Cancelled")</f>
        <v>Cancelled</v>
      </c>
      <c r="Y184" s="410"/>
      <c r="Z184" s="408"/>
      <c r="AA184" s="408" t="s">
        <v>378</v>
      </c>
      <c r="AB184" s="83" cm="1">
        <f t="array" ref="AB184">Iss_Tariff(Main_Issuance[[#This Row],[Bank]],Main_Issuance[[#This Row],[LC Amt(SAR)]],Main_Issuance[[#This Row],[Issue Date.]],Main_Issuance[[#This Row],[Expiry Date]],Main_Issuance[[#This Row],[Calculate]])</f>
        <v>0</v>
      </c>
      <c r="AC184" s="83"/>
    </row>
    <row r="185" spans="1:29" ht="15.75" hidden="1" x14ac:dyDescent="0.25">
      <c r="A185" s="114" t="s">
        <v>1196</v>
      </c>
      <c r="B185" s="77">
        <v>45761</v>
      </c>
      <c r="C185" s="77" t="s">
        <v>509</v>
      </c>
      <c r="D185" s="115" t="s">
        <v>20</v>
      </c>
      <c r="E185" s="115" t="s">
        <v>21</v>
      </c>
      <c r="F185" s="115" t="s">
        <v>22</v>
      </c>
      <c r="G185" s="115" t="s">
        <v>1109</v>
      </c>
      <c r="H185" s="113" t="s">
        <v>24</v>
      </c>
      <c r="I185" s="115" t="s">
        <v>407</v>
      </c>
      <c r="J185" s="115">
        <v>1020100</v>
      </c>
      <c r="K185" s="115" t="s">
        <v>26</v>
      </c>
      <c r="L185" s="60">
        <v>150000</v>
      </c>
      <c r="M185" s="60">
        <v>1</v>
      </c>
      <c r="N185" s="60">
        <f>Main_Issuance[[#This Row],[LC Amt(FCY)]]*Main_Issuance[[#This Row],[Rate]]</f>
        <v>150000</v>
      </c>
      <c r="O185" s="77">
        <v>45838</v>
      </c>
      <c r="P185" s="77">
        <v>45838</v>
      </c>
      <c r="Q185" s="77" t="s">
        <v>27</v>
      </c>
      <c r="R185" s="115" t="s">
        <v>311</v>
      </c>
      <c r="S185" s="82"/>
      <c r="T185" s="82"/>
      <c r="U185" s="82"/>
      <c r="V185" s="97">
        <v>0</v>
      </c>
      <c r="W185" s="115"/>
      <c r="X185" s="120" t="str">
        <f ca="1">IF(AND((Main_Issuance[[#This Row],[Expiry Date]]+31)&gt;TODAY(),Main_Issuance[[#This Row],[Status]]&lt;&gt;"Cancelled"),"Active","Cancelled")</f>
        <v>Cancelled</v>
      </c>
      <c r="Y185" s="410"/>
      <c r="Z185" s="408"/>
      <c r="AA185" s="408" t="s">
        <v>378</v>
      </c>
      <c r="AB185" s="83" cm="1">
        <f t="array" ref="AB185">Iss_Tariff(Main_Issuance[[#This Row],[Bank]],Main_Issuance[[#This Row],[LC Amt(SAR)]],Main_Issuance[[#This Row],[Issue Date.]],Main_Issuance[[#This Row],[Expiry Date]],Main_Issuance[[#This Row],[Calculate]])</f>
        <v>0</v>
      </c>
      <c r="AC185" s="83"/>
    </row>
    <row r="186" spans="1:29" ht="15.75" hidden="1" x14ac:dyDescent="0.25">
      <c r="A186" s="114" t="s">
        <v>1495</v>
      </c>
      <c r="B186" s="77">
        <v>45831</v>
      </c>
      <c r="C186" s="77" t="s">
        <v>441</v>
      </c>
      <c r="D186" s="115" t="s">
        <v>20</v>
      </c>
      <c r="E186" s="115" t="s">
        <v>21</v>
      </c>
      <c r="F186" s="115" t="s">
        <v>22</v>
      </c>
      <c r="G186" s="115" t="s">
        <v>1109</v>
      </c>
      <c r="H186" s="113" t="s">
        <v>24</v>
      </c>
      <c r="I186" s="115" t="s">
        <v>407</v>
      </c>
      <c r="J186" s="115">
        <v>1020100</v>
      </c>
      <c r="K186" s="115" t="s">
        <v>26</v>
      </c>
      <c r="L186" s="60">
        <v>400000</v>
      </c>
      <c r="M186" s="60">
        <v>1</v>
      </c>
      <c r="N186" s="60">
        <f>Main_Issuance[[#This Row],[LC Amt(FCY)]]*Main_Issuance[[#This Row],[Rate]]</f>
        <v>400000</v>
      </c>
      <c r="O186" s="77">
        <v>46142</v>
      </c>
      <c r="P186" s="77">
        <v>46142</v>
      </c>
      <c r="Q186" s="77" t="s">
        <v>27</v>
      </c>
      <c r="R186" s="115" t="s">
        <v>621</v>
      </c>
      <c r="S186" s="82"/>
      <c r="T186" s="82"/>
      <c r="U186" s="82"/>
      <c r="V186" s="97">
        <v>0</v>
      </c>
      <c r="W186" s="115" t="s">
        <v>4255</v>
      </c>
      <c r="X186" s="120" t="str">
        <f ca="1">IF(AND((Main_Issuance[[#This Row],[Expiry Date]]+31)&gt;TODAY(),Main_Issuance[[#This Row],[Status]]&lt;&gt;"Cancelled"),"Active","Cancelled")</f>
        <v>Cancelled</v>
      </c>
      <c r="Y186" s="410"/>
      <c r="Z186" s="408"/>
      <c r="AA186" s="408" t="s">
        <v>857</v>
      </c>
      <c r="AB186" s="83" cm="1">
        <f t="array" ref="AB186">Iss_Tariff(Main_Issuance[[#This Row],[Bank]],Main_Issuance[[#This Row],[LC Amt(SAR)]],Main_Issuance[[#This Row],[Issue Date.]],Main_Issuance[[#This Row],[Expiry Date]],Main_Issuance[[#This Row],[Calculate]])</f>
        <v>3967.5</v>
      </c>
      <c r="AC186" s="83"/>
    </row>
    <row r="187" spans="1:29" ht="15.75" hidden="1" x14ac:dyDescent="0.25">
      <c r="A187" s="114" t="s">
        <v>1656</v>
      </c>
      <c r="B187" s="77">
        <v>45869</v>
      </c>
      <c r="C187" s="77" t="s">
        <v>441</v>
      </c>
      <c r="D187" s="115" t="s">
        <v>20</v>
      </c>
      <c r="E187" s="115" t="s">
        <v>21</v>
      </c>
      <c r="F187" s="115" t="s">
        <v>22</v>
      </c>
      <c r="G187" s="115" t="s">
        <v>1109</v>
      </c>
      <c r="H187" s="113" t="s">
        <v>24</v>
      </c>
      <c r="I187" s="115" t="s">
        <v>22</v>
      </c>
      <c r="J187" s="115">
        <v>1020055</v>
      </c>
      <c r="K187" s="115" t="s">
        <v>26</v>
      </c>
      <c r="L187" s="60">
        <v>305000</v>
      </c>
      <c r="M187" s="60">
        <v>1</v>
      </c>
      <c r="N187" s="60">
        <f>Main_Issuance[[#This Row],[LC Amt(FCY)]]*Main_Issuance[[#This Row],[Rate]]</f>
        <v>305000</v>
      </c>
      <c r="O187" s="77">
        <v>45961</v>
      </c>
      <c r="P187" s="77">
        <v>45961</v>
      </c>
      <c r="Q187" s="77" t="s">
        <v>27</v>
      </c>
      <c r="R187" s="115" t="s">
        <v>621</v>
      </c>
      <c r="S187" s="82"/>
      <c r="T187" s="82"/>
      <c r="U187" s="82"/>
      <c r="V187" s="97">
        <v>0</v>
      </c>
      <c r="W187" s="115" t="s">
        <v>1621</v>
      </c>
      <c r="X187" s="120" t="str">
        <f ca="1">IF(AND((Main_Issuance[[#This Row],[Expiry Date]]+31)&gt;TODAY(),Main_Issuance[[#This Row],[Status]]&lt;&gt;"Cancelled"),"Active","Cancelled")</f>
        <v>Cancelled</v>
      </c>
      <c r="Y187" s="410"/>
      <c r="Z187" s="408"/>
      <c r="AA187" s="408" t="s">
        <v>378</v>
      </c>
      <c r="AB187" s="83" cm="1">
        <f t="array" ref="AB187">Iss_Tariff(Main_Issuance[[#This Row],[Bank]],Main_Issuance[[#This Row],[LC Amt(SAR)]],Main_Issuance[[#This Row],[Issue Date.]],Main_Issuance[[#This Row],[Expiry Date]],Main_Issuance[[#This Row],[Calculate]])</f>
        <v>0</v>
      </c>
      <c r="AC187" s="83"/>
    </row>
    <row r="188" spans="1:29" ht="15.75" hidden="1" x14ac:dyDescent="0.25">
      <c r="A188" s="114" t="s">
        <v>135</v>
      </c>
      <c r="B188" s="77">
        <v>45147</v>
      </c>
      <c r="C188" s="77" t="s">
        <v>441</v>
      </c>
      <c r="D188" s="115" t="s">
        <v>20</v>
      </c>
      <c r="E188" s="115" t="s">
        <v>21</v>
      </c>
      <c r="F188" s="115" t="s">
        <v>22</v>
      </c>
      <c r="G188" s="115" t="s">
        <v>136</v>
      </c>
      <c r="H188" s="113" t="s">
        <v>24</v>
      </c>
      <c r="I188" s="115" t="s">
        <v>22</v>
      </c>
      <c r="J188" s="115">
        <v>1020055</v>
      </c>
      <c r="K188" s="115" t="s">
        <v>26</v>
      </c>
      <c r="L188" s="60">
        <v>786746.67</v>
      </c>
      <c r="M188" s="60">
        <v>1</v>
      </c>
      <c r="N188" s="60">
        <f>Main_Issuance[[#This Row],[LC Amt(FCY)]]*Main_Issuance[[#This Row],[Rate]]</f>
        <v>786746.67</v>
      </c>
      <c r="O188" s="77">
        <v>45230</v>
      </c>
      <c r="P188" s="77">
        <v>45230</v>
      </c>
      <c r="Q188" s="77" t="s">
        <v>27</v>
      </c>
      <c r="R188" s="115"/>
      <c r="S188" s="82"/>
      <c r="T188" s="82"/>
      <c r="U188" s="82"/>
      <c r="V188" s="97">
        <v>0</v>
      </c>
      <c r="W188" s="115"/>
      <c r="X188" s="120" t="str">
        <f ca="1">IF(AND((Main_Issuance[[#This Row],[Expiry Date]]+31)&gt;TODAY(),Main_Issuance[[#This Row],[Status]]&lt;&gt;"Cancelled"),"Active","Cancelled")</f>
        <v>Cancelled</v>
      </c>
      <c r="Y188" s="410"/>
      <c r="Z188" s="408"/>
      <c r="AA188" s="408" t="s">
        <v>378</v>
      </c>
      <c r="AB188" s="83" cm="1">
        <f t="array" ref="AB188">Iss_Tariff(Main_Issuance[[#This Row],[Bank]],Main_Issuance[[#This Row],[LC Amt(SAR)]],Main_Issuance[[#This Row],[Issue Date.]],Main_Issuance[[#This Row],[Expiry Date]],Main_Issuance[[#This Row],[Calculate]])</f>
        <v>0</v>
      </c>
      <c r="AC188" s="83"/>
    </row>
    <row r="189" spans="1:29" ht="15.75" hidden="1" x14ac:dyDescent="0.25">
      <c r="A189" s="114" t="s">
        <v>1776</v>
      </c>
      <c r="B189" s="77">
        <v>45888</v>
      </c>
      <c r="C189" s="77" t="s">
        <v>1727</v>
      </c>
      <c r="D189" s="115" t="s">
        <v>20</v>
      </c>
      <c r="E189" s="115" t="s">
        <v>62</v>
      </c>
      <c r="F189" s="115" t="s">
        <v>70</v>
      </c>
      <c r="G189" s="115" t="s">
        <v>1710</v>
      </c>
      <c r="H189" s="113" t="s">
        <v>869</v>
      </c>
      <c r="I189" s="115" t="s">
        <v>1762</v>
      </c>
      <c r="J189" s="115"/>
      <c r="K189" s="115" t="s">
        <v>26</v>
      </c>
      <c r="L189" s="60">
        <v>510271</v>
      </c>
      <c r="M189" s="60">
        <v>1</v>
      </c>
      <c r="N189" s="60">
        <f>Main_Issuance[[#This Row],[LC Amt(FCY)]]*Main_Issuance[[#This Row],[Rate]]</f>
        <v>510271</v>
      </c>
      <c r="O189" s="77">
        <v>45930</v>
      </c>
      <c r="P189" s="77">
        <v>45915</v>
      </c>
      <c r="Q189" s="77" t="s">
        <v>70</v>
      </c>
      <c r="R189" s="115" t="s">
        <v>208</v>
      </c>
      <c r="S189" s="82"/>
      <c r="T189" s="82"/>
      <c r="U189" s="82"/>
      <c r="V189" s="97"/>
      <c r="W189" s="115"/>
      <c r="X189" s="120" t="str">
        <f ca="1">IF(AND((Main_Issuance[[#This Row],[Expiry Date]]+31)&gt;TODAY(),Main_Issuance[[#This Row],[Status]]&lt;&gt;"Cancelled"),"Active","Cancelled")</f>
        <v>Cancelled</v>
      </c>
      <c r="Y189" s="410"/>
      <c r="Z189" s="408"/>
      <c r="AA189" s="408" t="s">
        <v>378</v>
      </c>
      <c r="AB189" s="83" cm="1">
        <f t="array" ref="AB189">Iss_Tariff(Main_Issuance[[#This Row],[Bank]],Main_Issuance[[#This Row],[LC Amt(SAR)]],Main_Issuance[[#This Row],[Issue Date.]],Main_Issuance[[#This Row],[Expiry Date]],Main_Issuance[[#This Row],[Calculate]])</f>
        <v>0</v>
      </c>
      <c r="AC189" s="83"/>
    </row>
    <row r="190" spans="1:29" ht="15.75" hidden="1" x14ac:dyDescent="0.25">
      <c r="A190" s="114" t="s">
        <v>2562</v>
      </c>
      <c r="B190" s="77">
        <v>45967</v>
      </c>
      <c r="C190" s="77" t="s">
        <v>2801</v>
      </c>
      <c r="D190" s="115" t="s">
        <v>20</v>
      </c>
      <c r="E190" s="115" t="s">
        <v>95</v>
      </c>
      <c r="F190" s="115" t="s">
        <v>96</v>
      </c>
      <c r="G190" s="115" t="s">
        <v>2448</v>
      </c>
      <c r="H190" s="113" t="s">
        <v>3219</v>
      </c>
      <c r="I190" s="115" t="s">
        <v>328</v>
      </c>
      <c r="J190" s="115">
        <v>1020097</v>
      </c>
      <c r="K190" s="115" t="s">
        <v>26</v>
      </c>
      <c r="L190" s="119">
        <v>18703391.850000001</v>
      </c>
      <c r="M190" s="82">
        <v>1</v>
      </c>
      <c r="N190" s="82">
        <f>Main_Issuance[[#This Row],[LC Amt(FCY)]]*Main_Issuance[[#This Row],[Rate]]</f>
        <v>18703391.850000001</v>
      </c>
      <c r="O190" s="77">
        <v>46265</v>
      </c>
      <c r="P190" s="77">
        <v>46265</v>
      </c>
      <c r="Q190" s="77" t="s">
        <v>27</v>
      </c>
      <c r="R190" s="115" t="s">
        <v>311</v>
      </c>
      <c r="S190" s="82"/>
      <c r="T190" s="82"/>
      <c r="U190" s="82"/>
      <c r="V190" s="97">
        <v>0</v>
      </c>
      <c r="W190" s="115"/>
      <c r="X190" s="120" t="str">
        <f ca="1">IF(AND((Main_Issuance[[#This Row],[Expiry Date]]+31)&gt;TODAY(),Main_Issuance[[#This Row],[Status]]&lt;&gt;"Cancelled"),"Active","Cancelled")</f>
        <v>Active</v>
      </c>
      <c r="Y190" s="409"/>
      <c r="Z190" s="408"/>
      <c r="AA190" s="408" t="s">
        <v>857</v>
      </c>
      <c r="AB190" s="83" cm="1">
        <f t="array" ref="AB190">Iss_Tariff(Main_Issuance[[#This Row],[Bank]],Main_Issuance[[#This Row],[LC Amt(SAR)]],Main_Issuance[[#This Row],[Issue Date.]],Main_Issuance[[#This Row],[Expiry Date]],Main_Issuance[[#This Row],[Calculate]])</f>
        <v>90080.65</v>
      </c>
      <c r="AC190" s="83"/>
    </row>
    <row r="191" spans="1:29" ht="15.75" hidden="1" x14ac:dyDescent="0.25">
      <c r="A191" s="114" t="s">
        <v>2907</v>
      </c>
      <c r="B191" s="77">
        <v>45993</v>
      </c>
      <c r="C191" s="77" t="s">
        <v>2801</v>
      </c>
      <c r="D191" s="115" t="s">
        <v>20</v>
      </c>
      <c r="E191" s="115" t="s">
        <v>95</v>
      </c>
      <c r="F191" s="115" t="s">
        <v>96</v>
      </c>
      <c r="G191" s="115" t="s">
        <v>2448</v>
      </c>
      <c r="H191" s="113" t="s">
        <v>3219</v>
      </c>
      <c r="I191" s="115" t="s">
        <v>328</v>
      </c>
      <c r="J191" s="115">
        <v>1020097</v>
      </c>
      <c r="K191" s="115" t="s">
        <v>26</v>
      </c>
      <c r="L191" s="119">
        <v>999166</v>
      </c>
      <c r="M191" s="82">
        <v>1</v>
      </c>
      <c r="N191" s="82">
        <f>Main_Issuance[[#This Row],[LC Amt(FCY)]]*Main_Issuance[[#This Row],[Rate]]</f>
        <v>999166</v>
      </c>
      <c r="O191" s="77">
        <v>46081</v>
      </c>
      <c r="P191" s="77">
        <v>46081</v>
      </c>
      <c r="Q191" s="77" t="s">
        <v>27</v>
      </c>
      <c r="R191" s="115" t="s">
        <v>2790</v>
      </c>
      <c r="S191" s="82"/>
      <c r="T191" s="82"/>
      <c r="U191" s="82"/>
      <c r="V191" s="97">
        <v>0</v>
      </c>
      <c r="W191" s="115"/>
      <c r="X191" s="120" t="str">
        <f ca="1">IF(AND((Main_Issuance[[#This Row],[Expiry Date]]+31)&gt;TODAY(),Main_Issuance[[#This Row],[Status]]&lt;&gt;"Cancelled"),"Active","Cancelled")</f>
        <v>Cancelled</v>
      </c>
      <c r="Y191" s="409"/>
      <c r="Z191" s="408"/>
      <c r="AA191" s="408" t="s">
        <v>857</v>
      </c>
      <c r="AB191" s="83" cm="1">
        <f t="array" ref="AB191">Iss_Tariff(Main_Issuance[[#This Row],[Bank]],Main_Issuance[[#This Row],[LC Amt(SAR)]],Main_Issuance[[#This Row],[Issue Date.]],Main_Issuance[[#This Row],[Expiry Date]],Main_Issuance[[#This Row],[Calculate]])</f>
        <v>1896.35</v>
      </c>
      <c r="AC191" s="83"/>
    </row>
    <row r="192" spans="1:29" ht="15.75" hidden="1" x14ac:dyDescent="0.25">
      <c r="A192" s="114" t="s">
        <v>4679</v>
      </c>
      <c r="B192" s="424">
        <v>46124</v>
      </c>
      <c r="C192" s="424" t="s">
        <v>2801</v>
      </c>
      <c r="D192" s="115" t="s">
        <v>20</v>
      </c>
      <c r="E192" s="115" t="s">
        <v>95</v>
      </c>
      <c r="F192" s="115" t="s">
        <v>96</v>
      </c>
      <c r="G192" s="115" t="s">
        <v>2448</v>
      </c>
      <c r="H192" s="113" t="s">
        <v>5172</v>
      </c>
      <c r="I192" s="115" t="s">
        <v>328</v>
      </c>
      <c r="J192" s="115">
        <v>1020097</v>
      </c>
      <c r="K192" s="115" t="s">
        <v>26</v>
      </c>
      <c r="L192" s="119">
        <f>2500000+4300985+645147.75</f>
        <v>7446132.75</v>
      </c>
      <c r="M192" s="82">
        <v>1</v>
      </c>
      <c r="N192" s="435">
        <f>Main_Issuance[[#This Row],[LC Amt(FCY)]]*Main_Issuance[[#This Row],[Rate]]</f>
        <v>7446132.75</v>
      </c>
      <c r="O192" s="424">
        <v>46295</v>
      </c>
      <c r="P192" s="424">
        <v>46265</v>
      </c>
      <c r="Q192" s="424" t="s">
        <v>27</v>
      </c>
      <c r="R192" s="115" t="s">
        <v>3188</v>
      </c>
      <c r="S192" s="82"/>
      <c r="T192" s="82"/>
      <c r="U192" s="82"/>
      <c r="V192" s="97">
        <v>0</v>
      </c>
      <c r="W192" s="115"/>
      <c r="X192" s="439" t="str">
        <f ca="1">IF(AND((Main_Issuance[[#This Row],[Expiry Date]]+31)&gt;TODAY(),Main_Issuance[[#This Row],[Status]]&lt;&gt;"Cancelled"),"Active","Cancelled")</f>
        <v>Active</v>
      </c>
      <c r="Y192" s="96"/>
      <c r="Z192" s="424"/>
      <c r="AA192" s="77" t="s">
        <v>857</v>
      </c>
      <c r="AB192" s="83" cm="1">
        <f t="array" ref="AB192">Iss_Tariff(Main_Issuance[[#This Row],[Bank]],Main_Issuance[[#This Row],[LC Amt(SAR)]],Main_Issuance[[#This Row],[Issue Date.]],Main_Issuance[[#This Row],[Expiry Date]],Main_Issuance[[#This Row],[Calculate]])</f>
        <v>21867.25</v>
      </c>
      <c r="AC192" s="83"/>
    </row>
    <row r="193" spans="1:29" ht="15.75" hidden="1" x14ac:dyDescent="0.25">
      <c r="A193" s="114" t="s">
        <v>692</v>
      </c>
      <c r="B193" s="77">
        <v>45698</v>
      </c>
      <c r="C193" s="77" t="s">
        <v>441</v>
      </c>
      <c r="D193" s="115" t="s">
        <v>20</v>
      </c>
      <c r="E193" s="115" t="s">
        <v>612</v>
      </c>
      <c r="F193" s="115" t="s">
        <v>613</v>
      </c>
      <c r="G193" s="115" t="s">
        <v>693</v>
      </c>
      <c r="H193" s="113" t="s">
        <v>24</v>
      </c>
      <c r="I193" s="115" t="s">
        <v>613</v>
      </c>
      <c r="J193" s="115">
        <v>1020106</v>
      </c>
      <c r="K193" s="115" t="s">
        <v>26</v>
      </c>
      <c r="L193" s="60">
        <v>799251.9</v>
      </c>
      <c r="M193" s="60">
        <v>1</v>
      </c>
      <c r="N193" s="60">
        <f>Main_Issuance[[#This Row],[LC Amt(FCY)]]*Main_Issuance[[#This Row],[Rate]]</f>
        <v>799251.9</v>
      </c>
      <c r="O193" s="77">
        <v>45961</v>
      </c>
      <c r="P193" s="77">
        <v>45961</v>
      </c>
      <c r="Q193" s="77" t="s">
        <v>27</v>
      </c>
      <c r="R193" s="115" t="s">
        <v>311</v>
      </c>
      <c r="S193" s="82"/>
      <c r="T193" s="82"/>
      <c r="U193" s="82"/>
      <c r="V193" s="97">
        <v>0</v>
      </c>
      <c r="W193" s="115"/>
      <c r="X193" s="120" t="str">
        <f ca="1">IF(AND((Main_Issuance[[#This Row],[Expiry Date]]+31)&gt;TODAY(),Main_Issuance[[#This Row],[Status]]&lt;&gt;"Cancelled"),"Active","Cancelled")</f>
        <v>Cancelled</v>
      </c>
      <c r="Y193" s="410"/>
      <c r="Z193" s="408"/>
      <c r="AA193" s="408" t="s">
        <v>378</v>
      </c>
      <c r="AB193" s="83" cm="1">
        <f t="array" ref="AB193">Iss_Tariff(Main_Issuance[[#This Row],[Bank]],Main_Issuance[[#This Row],[LC Amt(SAR)]],Main_Issuance[[#This Row],[Issue Date.]],Main_Issuance[[#This Row],[Expiry Date]],Main_Issuance[[#This Row],[Calculate]])</f>
        <v>0</v>
      </c>
      <c r="AC193" s="83"/>
    </row>
    <row r="194" spans="1:29" ht="15.75" hidden="1" x14ac:dyDescent="0.25">
      <c r="A194" s="114" t="s">
        <v>1566</v>
      </c>
      <c r="B194" s="77">
        <v>45855</v>
      </c>
      <c r="C194" s="77" t="s">
        <v>441</v>
      </c>
      <c r="D194" s="115" t="s">
        <v>20</v>
      </c>
      <c r="E194" s="115" t="s">
        <v>612</v>
      </c>
      <c r="F194" s="115" t="s">
        <v>613</v>
      </c>
      <c r="G194" s="115" t="s">
        <v>693</v>
      </c>
      <c r="H194" s="113" t="s">
        <v>24</v>
      </c>
      <c r="I194" s="115" t="s">
        <v>613</v>
      </c>
      <c r="J194" s="115">
        <v>1020106</v>
      </c>
      <c r="K194" s="115" t="s">
        <v>26</v>
      </c>
      <c r="L194" s="60">
        <v>399623.8</v>
      </c>
      <c r="M194" s="60">
        <v>1</v>
      </c>
      <c r="N194" s="60">
        <f>Main_Issuance[[#This Row],[LC Amt(FCY)]]*Main_Issuance[[#This Row],[Rate]]</f>
        <v>399623.8</v>
      </c>
      <c r="O194" s="58">
        <v>46081</v>
      </c>
      <c r="P194" s="58">
        <v>46081</v>
      </c>
      <c r="Q194" s="77" t="s">
        <v>27</v>
      </c>
      <c r="R194" s="115" t="s">
        <v>311</v>
      </c>
      <c r="S194" s="82"/>
      <c r="T194" s="82"/>
      <c r="U194" s="82"/>
      <c r="V194" s="97">
        <v>0</v>
      </c>
      <c r="W194" s="115"/>
      <c r="X194" s="120" t="str">
        <f ca="1">IF(AND((Main_Issuance[[#This Row],[Expiry Date]]+31)&gt;TODAY(),Main_Issuance[[#This Row],[Status]]&lt;&gt;"Cancelled"),"Active","Cancelled")</f>
        <v>Cancelled</v>
      </c>
      <c r="Y194" s="410"/>
      <c r="Z194" s="408"/>
      <c r="AA194" s="408" t="s">
        <v>857</v>
      </c>
      <c r="AB194" s="83" cm="1">
        <f t="array" ref="AB194">Iss_Tariff(Main_Issuance[[#This Row],[Bank]],Main_Issuance[[#This Row],[LC Amt(SAR)]],Main_Issuance[[#This Row],[Issue Date.]],Main_Issuance[[#This Row],[Expiry Date]],Main_Issuance[[#This Row],[Calculate]])</f>
        <v>5470.55</v>
      </c>
      <c r="AC194" s="83"/>
    </row>
    <row r="195" spans="1:29" ht="15.75" hidden="1" x14ac:dyDescent="0.25">
      <c r="A195" s="114" t="s">
        <v>2287</v>
      </c>
      <c r="B195" s="77">
        <v>45951</v>
      </c>
      <c r="C195" s="77" t="s">
        <v>3566</v>
      </c>
      <c r="D195" s="115" t="s">
        <v>842</v>
      </c>
      <c r="E195" s="115" t="s">
        <v>612</v>
      </c>
      <c r="F195" s="115" t="s">
        <v>613</v>
      </c>
      <c r="G195" s="115" t="s">
        <v>1938</v>
      </c>
      <c r="H195" s="113" t="s">
        <v>72</v>
      </c>
      <c r="I195" s="115" t="s">
        <v>613</v>
      </c>
      <c r="J195" s="115">
        <v>1020106</v>
      </c>
      <c r="K195" s="115" t="s">
        <v>26</v>
      </c>
      <c r="L195" s="119">
        <v>16731764</v>
      </c>
      <c r="M195" s="82">
        <v>1</v>
      </c>
      <c r="N195" s="82">
        <f>Main_Issuance[[#This Row],[LC Amt(FCY)]]*Main_Issuance[[#This Row],[Rate]]</f>
        <v>16731764</v>
      </c>
      <c r="O195" s="77">
        <v>46199</v>
      </c>
      <c r="P195" s="77">
        <v>46199</v>
      </c>
      <c r="Q195" s="77" t="s">
        <v>27</v>
      </c>
      <c r="R195" s="115" t="s">
        <v>2790</v>
      </c>
      <c r="S195" s="82"/>
      <c r="T195" s="82"/>
      <c r="U195" s="82"/>
      <c r="V195" s="97">
        <v>0</v>
      </c>
      <c r="W195" s="115" t="s">
        <v>5653</v>
      </c>
      <c r="X195" s="120" t="str">
        <f ca="1">IF(AND((Main_Issuance[[#This Row],[Expiry Date]]+31)&gt;TODAY(),Main_Issuance[[#This Row],[Status]]&lt;&gt;"Cancelled"),"Active","Cancelled")</f>
        <v>Active</v>
      </c>
      <c r="Y195" s="409"/>
      <c r="Z195" s="408"/>
      <c r="AA195" s="408" t="s">
        <v>857</v>
      </c>
      <c r="AB195" s="83" cm="1">
        <f t="array" ref="AB195">Iss_Tariff(Main_Issuance[[#This Row],[Bank]],Main_Issuance[[#This Row],[LC Amt(SAR)]],Main_Issuance[[#This Row],[Issue Date.]],Main_Issuance[[#This Row],[Expiry Date]],Main_Issuance[[#This Row],[Calculate]])</f>
        <v>170282.8</v>
      </c>
      <c r="AC195" s="83"/>
    </row>
    <row r="196" spans="1:29" ht="15.75" hidden="1" x14ac:dyDescent="0.25">
      <c r="A196" s="114" t="s">
        <v>1674</v>
      </c>
      <c r="B196" s="77">
        <v>45872</v>
      </c>
      <c r="C196" s="77" t="s">
        <v>1119</v>
      </c>
      <c r="D196" s="115" t="s">
        <v>20</v>
      </c>
      <c r="E196" s="115" t="s">
        <v>366</v>
      </c>
      <c r="F196" s="115" t="s">
        <v>367</v>
      </c>
      <c r="G196" s="115" t="s">
        <v>1653</v>
      </c>
      <c r="H196" s="113" t="s">
        <v>24</v>
      </c>
      <c r="I196" s="115" t="s">
        <v>367</v>
      </c>
      <c r="J196" s="115">
        <v>1020091</v>
      </c>
      <c r="K196" s="115" t="s">
        <v>26</v>
      </c>
      <c r="L196" s="60">
        <v>1400000</v>
      </c>
      <c r="M196" s="60">
        <v>1</v>
      </c>
      <c r="N196" s="60">
        <f>Main_Issuance[[#This Row],[LC Amt(FCY)]]*Main_Issuance[[#This Row],[Rate]]</f>
        <v>1400000</v>
      </c>
      <c r="O196" s="77">
        <v>45961</v>
      </c>
      <c r="P196" s="77">
        <v>45961</v>
      </c>
      <c r="Q196" s="77" t="s">
        <v>27</v>
      </c>
      <c r="R196" s="115" t="s">
        <v>1629</v>
      </c>
      <c r="S196" s="82"/>
      <c r="T196" s="82"/>
      <c r="U196" s="82"/>
      <c r="V196" s="97">
        <v>0</v>
      </c>
      <c r="W196" s="115"/>
      <c r="X196" s="120" t="str">
        <f ca="1">IF(AND((Main_Issuance[[#This Row],[Expiry Date]]+31)&gt;TODAY(),Main_Issuance[[#This Row],[Status]]&lt;&gt;"Cancelled"),"Active","Cancelled")</f>
        <v>Cancelled</v>
      </c>
      <c r="Y196" s="410"/>
      <c r="Z196" s="408"/>
      <c r="AA196" s="408" t="s">
        <v>378</v>
      </c>
      <c r="AB196" s="83" cm="1">
        <f t="array" ref="AB196">Iss_Tariff(Main_Issuance[[#This Row],[Bank]],Main_Issuance[[#This Row],[LC Amt(SAR)]],Main_Issuance[[#This Row],[Issue Date.]],Main_Issuance[[#This Row],[Expiry Date]],Main_Issuance[[#This Row],[Calculate]])</f>
        <v>0</v>
      </c>
      <c r="AC196" s="83"/>
    </row>
    <row r="197" spans="1:29" ht="15.75" hidden="1" x14ac:dyDescent="0.25">
      <c r="A197" s="114" t="s">
        <v>1671</v>
      </c>
      <c r="B197" s="77">
        <v>45872</v>
      </c>
      <c r="C197" s="77" t="s">
        <v>1119</v>
      </c>
      <c r="D197" s="115" t="s">
        <v>20</v>
      </c>
      <c r="E197" s="115" t="s">
        <v>366</v>
      </c>
      <c r="F197" s="115" t="s">
        <v>367</v>
      </c>
      <c r="G197" s="115" t="s">
        <v>1634</v>
      </c>
      <c r="H197" s="113" t="s">
        <v>24</v>
      </c>
      <c r="I197" s="115" t="s">
        <v>367</v>
      </c>
      <c r="J197" s="115">
        <v>1020091</v>
      </c>
      <c r="K197" s="115" t="s">
        <v>26</v>
      </c>
      <c r="L197" s="60">
        <v>871119.25</v>
      </c>
      <c r="M197" s="60">
        <v>1</v>
      </c>
      <c r="N197" s="60">
        <f>Main_Issuance[[#This Row],[LC Amt(FCY)]]*Main_Issuance[[#This Row],[Rate]]</f>
        <v>871119.25</v>
      </c>
      <c r="O197" s="77">
        <v>45961</v>
      </c>
      <c r="P197" s="77">
        <v>45961</v>
      </c>
      <c r="Q197" s="77" t="s">
        <v>27</v>
      </c>
      <c r="R197" s="115" t="s">
        <v>1624</v>
      </c>
      <c r="S197" s="82"/>
      <c r="T197" s="82"/>
      <c r="U197" s="82"/>
      <c r="V197" s="97">
        <v>0</v>
      </c>
      <c r="W197" s="115"/>
      <c r="X197" s="120" t="str">
        <f ca="1">IF(AND((Main_Issuance[[#This Row],[Expiry Date]]+31)&gt;TODAY(),Main_Issuance[[#This Row],[Status]]&lt;&gt;"Cancelled"),"Active","Cancelled")</f>
        <v>Cancelled</v>
      </c>
      <c r="Y197" s="410"/>
      <c r="Z197" s="408"/>
      <c r="AA197" s="408" t="s">
        <v>378</v>
      </c>
      <c r="AB197" s="83" cm="1">
        <f t="array" ref="AB197">Iss_Tariff(Main_Issuance[[#This Row],[Bank]],Main_Issuance[[#This Row],[LC Amt(SAR)]],Main_Issuance[[#This Row],[Issue Date.]],Main_Issuance[[#This Row],[Expiry Date]],Main_Issuance[[#This Row],[Calculate]])</f>
        <v>0</v>
      </c>
      <c r="AC197" s="83"/>
    </row>
    <row r="198" spans="1:29" ht="15.75" hidden="1" x14ac:dyDescent="0.25">
      <c r="A198" s="114" t="s">
        <v>1901</v>
      </c>
      <c r="B198" s="77">
        <v>45929</v>
      </c>
      <c r="C198" s="77" t="s">
        <v>441</v>
      </c>
      <c r="D198" s="115" t="s">
        <v>20</v>
      </c>
      <c r="E198" s="115" t="s">
        <v>366</v>
      </c>
      <c r="F198" s="115" t="s">
        <v>710</v>
      </c>
      <c r="G198" s="124" t="s">
        <v>1634</v>
      </c>
      <c r="H198" s="115" t="s">
        <v>24</v>
      </c>
      <c r="I198" s="115" t="s">
        <v>710</v>
      </c>
      <c r="J198" s="113">
        <v>1020088</v>
      </c>
      <c r="K198" s="115" t="s">
        <v>26</v>
      </c>
      <c r="L198" s="119">
        <v>250000</v>
      </c>
      <c r="M198" s="82">
        <v>1</v>
      </c>
      <c r="N198" s="82">
        <f>Main_Issuance[[#This Row],[LC Amt(FCY)]]*Main_Issuance[[#This Row],[Rate]]</f>
        <v>250000</v>
      </c>
      <c r="O198" s="77">
        <v>46022</v>
      </c>
      <c r="P198" s="77">
        <v>46022</v>
      </c>
      <c r="Q198" s="77" t="s">
        <v>27</v>
      </c>
      <c r="R198" s="115" t="s">
        <v>621</v>
      </c>
      <c r="S198" s="82"/>
      <c r="T198" s="82"/>
      <c r="U198" s="82"/>
      <c r="V198" s="97">
        <v>0</v>
      </c>
      <c r="W198" s="115"/>
      <c r="X198" s="120" t="str">
        <f ca="1">IF(AND((Main_Issuance[[#This Row],[Expiry Date]]+31)&gt;TODAY(),Main_Issuance[[#This Row],[Status]]&lt;&gt;"Cancelled"),"Active","Cancelled")</f>
        <v>Cancelled</v>
      </c>
      <c r="Y198" s="409"/>
      <c r="Z198" s="408"/>
      <c r="AA198" s="408" t="s">
        <v>378</v>
      </c>
      <c r="AB198" s="83" cm="1">
        <f t="array" ref="AB198">Iss_Tariff(Main_Issuance[[#This Row],[Bank]],Main_Issuance[[#This Row],[LC Amt(SAR)]],Main_Issuance[[#This Row],[Issue Date.]],Main_Issuance[[#This Row],[Expiry Date]],Main_Issuance[[#This Row],[Calculate]])</f>
        <v>0</v>
      </c>
      <c r="AC198" s="83"/>
    </row>
    <row r="199" spans="1:29" ht="15.75" hidden="1" x14ac:dyDescent="0.25">
      <c r="A199" s="114" t="s">
        <v>1815</v>
      </c>
      <c r="B199" s="77">
        <v>45895</v>
      </c>
      <c r="C199" s="77" t="s">
        <v>1181</v>
      </c>
      <c r="D199" s="115" t="s">
        <v>20</v>
      </c>
      <c r="E199" s="115" t="s">
        <v>366</v>
      </c>
      <c r="F199" s="115" t="s">
        <v>710</v>
      </c>
      <c r="G199" s="115" t="s">
        <v>1766</v>
      </c>
      <c r="H199" s="113" t="s">
        <v>1791</v>
      </c>
      <c r="I199" s="115" t="s">
        <v>81</v>
      </c>
      <c r="J199" s="115">
        <v>1020070</v>
      </c>
      <c r="K199" s="115" t="s">
        <v>26</v>
      </c>
      <c r="L199" s="60">
        <v>686883</v>
      </c>
      <c r="M199" s="60">
        <v>1</v>
      </c>
      <c r="N199" s="60">
        <f>Main_Issuance[[#This Row],[LC Amt(FCY)]]*Main_Issuance[[#This Row],[Rate]]</f>
        <v>686883</v>
      </c>
      <c r="O199" s="77">
        <v>45961</v>
      </c>
      <c r="P199" s="77">
        <v>45939</v>
      </c>
      <c r="Q199" s="77" t="s">
        <v>27</v>
      </c>
      <c r="R199" s="115" t="s">
        <v>1761</v>
      </c>
      <c r="S199" s="82"/>
      <c r="T199" s="82"/>
      <c r="U199" s="82"/>
      <c r="V199" s="97">
        <v>0</v>
      </c>
      <c r="W199" s="115"/>
      <c r="X199" s="120" t="str">
        <f ca="1">IF(AND((Main_Issuance[[#This Row],[Expiry Date]]+31)&gt;TODAY(),Main_Issuance[[#This Row],[Status]]&lt;&gt;"Cancelled"),"Active","Cancelled")</f>
        <v>Cancelled</v>
      </c>
      <c r="Y199" s="410"/>
      <c r="Z199" s="408"/>
      <c r="AA199" s="408" t="s">
        <v>378</v>
      </c>
      <c r="AB199" s="83" cm="1">
        <f t="array" ref="AB199">Iss_Tariff(Main_Issuance[[#This Row],[Bank]],Main_Issuance[[#This Row],[LC Amt(SAR)]],Main_Issuance[[#This Row],[Issue Date.]],Main_Issuance[[#This Row],[Expiry Date]],Main_Issuance[[#This Row],[Calculate]])</f>
        <v>0</v>
      </c>
      <c r="AC199" s="83"/>
    </row>
    <row r="200" spans="1:29" ht="15.75" hidden="1" x14ac:dyDescent="0.25">
      <c r="A200" s="114" t="s">
        <v>1210</v>
      </c>
      <c r="B200" s="77">
        <v>45771</v>
      </c>
      <c r="C200" s="77" t="s">
        <v>509</v>
      </c>
      <c r="D200" s="115" t="s">
        <v>20</v>
      </c>
      <c r="E200" s="115" t="s">
        <v>21</v>
      </c>
      <c r="F200" s="115" t="s">
        <v>22</v>
      </c>
      <c r="G200" s="115" t="s">
        <v>773</v>
      </c>
      <c r="H200" s="113" t="s">
        <v>24</v>
      </c>
      <c r="I200" s="115" t="s">
        <v>407</v>
      </c>
      <c r="J200" s="115">
        <v>1020100</v>
      </c>
      <c r="K200" s="115" t="s">
        <v>26</v>
      </c>
      <c r="L200" s="60">
        <v>400000</v>
      </c>
      <c r="M200" s="60">
        <v>1</v>
      </c>
      <c r="N200" s="60">
        <f>Main_Issuance[[#This Row],[LC Amt(FCY)]]*Main_Issuance[[#This Row],[Rate]]</f>
        <v>400000</v>
      </c>
      <c r="O200" s="77">
        <v>45838</v>
      </c>
      <c r="P200" s="77">
        <v>45838</v>
      </c>
      <c r="Q200" s="77" t="s">
        <v>27</v>
      </c>
      <c r="R200" s="115" t="s">
        <v>311</v>
      </c>
      <c r="S200" s="82"/>
      <c r="T200" s="82"/>
      <c r="U200" s="82"/>
      <c r="V200" s="97">
        <v>0</v>
      </c>
      <c r="W200" s="115"/>
      <c r="X200" s="120" t="str">
        <f ca="1">IF(AND((Main_Issuance[[#This Row],[Expiry Date]]+31)&gt;TODAY(),Main_Issuance[[#This Row],[Status]]&lt;&gt;"Cancelled"),"Active","Cancelled")</f>
        <v>Cancelled</v>
      </c>
      <c r="Y200" s="410"/>
      <c r="Z200" s="408"/>
      <c r="AA200" s="408" t="s">
        <v>378</v>
      </c>
      <c r="AB200" s="83" cm="1">
        <f t="array" ref="AB200">Iss_Tariff(Main_Issuance[[#This Row],[Bank]],Main_Issuance[[#This Row],[LC Amt(SAR)]],Main_Issuance[[#This Row],[Issue Date.]],Main_Issuance[[#This Row],[Expiry Date]],Main_Issuance[[#This Row],[Calculate]])</f>
        <v>0</v>
      </c>
      <c r="AC200" s="83"/>
    </row>
    <row r="201" spans="1:29" ht="15.75" hidden="1" x14ac:dyDescent="0.25">
      <c r="A201" s="114" t="s">
        <v>797</v>
      </c>
      <c r="B201" s="77">
        <v>45739</v>
      </c>
      <c r="C201" s="77" t="s">
        <v>441</v>
      </c>
      <c r="D201" s="115" t="s">
        <v>20</v>
      </c>
      <c r="E201" s="115" t="s">
        <v>21</v>
      </c>
      <c r="F201" s="115" t="s">
        <v>22</v>
      </c>
      <c r="G201" s="115" t="s">
        <v>773</v>
      </c>
      <c r="H201" s="113" t="s">
        <v>24</v>
      </c>
      <c r="I201" s="115" t="s">
        <v>22</v>
      </c>
      <c r="J201" s="115">
        <v>1020055</v>
      </c>
      <c r="K201" s="115" t="s">
        <v>26</v>
      </c>
      <c r="L201" s="60">
        <v>404174.93</v>
      </c>
      <c r="M201" s="60">
        <v>1</v>
      </c>
      <c r="N201" s="60">
        <f>Main_Issuance[[#This Row],[LC Amt(FCY)]]*Main_Issuance[[#This Row],[Rate]]</f>
        <v>404174.93</v>
      </c>
      <c r="O201" s="77">
        <v>45838</v>
      </c>
      <c r="P201" s="77">
        <v>45838</v>
      </c>
      <c r="Q201" s="77" t="s">
        <v>27</v>
      </c>
      <c r="R201" s="115" t="s">
        <v>311</v>
      </c>
      <c r="S201" s="82"/>
      <c r="T201" s="82"/>
      <c r="U201" s="82"/>
      <c r="V201" s="97">
        <v>0</v>
      </c>
      <c r="W201" s="115"/>
      <c r="X201" s="120" t="str">
        <f ca="1">IF(AND((Main_Issuance[[#This Row],[Expiry Date]]+31)&gt;TODAY(),Main_Issuance[[#This Row],[Status]]&lt;&gt;"Cancelled"),"Active","Cancelled")</f>
        <v>Cancelled</v>
      </c>
      <c r="Y201" s="410"/>
      <c r="Z201" s="408"/>
      <c r="AA201" s="408" t="s">
        <v>378</v>
      </c>
      <c r="AB201" s="83" cm="1">
        <f t="array" ref="AB201">Iss_Tariff(Main_Issuance[[#This Row],[Bank]],Main_Issuance[[#This Row],[LC Amt(SAR)]],Main_Issuance[[#This Row],[Issue Date.]],Main_Issuance[[#This Row],[Expiry Date]],Main_Issuance[[#This Row],[Calculate]])</f>
        <v>0</v>
      </c>
      <c r="AC201" s="83"/>
    </row>
    <row r="202" spans="1:29" ht="15.75" hidden="1" x14ac:dyDescent="0.25">
      <c r="A202" s="114" t="s">
        <v>1424</v>
      </c>
      <c r="B202" s="77">
        <v>45809</v>
      </c>
      <c r="C202" s="77" t="s">
        <v>441</v>
      </c>
      <c r="D202" s="115" t="s">
        <v>20</v>
      </c>
      <c r="E202" s="115" t="s">
        <v>95</v>
      </c>
      <c r="F202" s="115" t="s">
        <v>96</v>
      </c>
      <c r="G202" s="115" t="s">
        <v>773</v>
      </c>
      <c r="H202" s="113" t="s">
        <v>24</v>
      </c>
      <c r="I202" s="115" t="s">
        <v>22</v>
      </c>
      <c r="J202" s="115">
        <v>1020055</v>
      </c>
      <c r="K202" s="115" t="s">
        <v>26</v>
      </c>
      <c r="L202" s="60">
        <v>734118.99</v>
      </c>
      <c r="M202" s="60">
        <v>1</v>
      </c>
      <c r="N202" s="60">
        <f>Main_Issuance[[#This Row],[LC Amt(FCY)]]*Main_Issuance[[#This Row],[Rate]]</f>
        <v>734118.99</v>
      </c>
      <c r="O202" s="77">
        <v>45961</v>
      </c>
      <c r="P202" s="77">
        <v>45961</v>
      </c>
      <c r="Q202" s="77" t="s">
        <v>27</v>
      </c>
      <c r="R202" s="115" t="s">
        <v>621</v>
      </c>
      <c r="S202" s="82"/>
      <c r="T202" s="82"/>
      <c r="U202" s="82"/>
      <c r="V202" s="97">
        <v>0</v>
      </c>
      <c r="W202" s="115"/>
      <c r="X202" s="120" t="str">
        <f ca="1">IF(AND((Main_Issuance[[#This Row],[Expiry Date]]+31)&gt;TODAY(),Main_Issuance[[#This Row],[Status]]&lt;&gt;"Cancelled"),"Active","Cancelled")</f>
        <v>Cancelled</v>
      </c>
      <c r="Y202" s="410"/>
      <c r="Z202" s="408"/>
      <c r="AA202" s="408" t="s">
        <v>378</v>
      </c>
      <c r="AB202" s="83" cm="1">
        <f t="array" ref="AB202">Iss_Tariff(Main_Issuance[[#This Row],[Bank]],Main_Issuance[[#This Row],[LC Amt(SAR)]],Main_Issuance[[#This Row],[Issue Date.]],Main_Issuance[[#This Row],[Expiry Date]],Main_Issuance[[#This Row],[Calculate]])</f>
        <v>0</v>
      </c>
      <c r="AC202" s="83"/>
    </row>
    <row r="203" spans="1:29" ht="15.75" hidden="1" x14ac:dyDescent="0.25">
      <c r="A203" s="114" t="s">
        <v>1439</v>
      </c>
      <c r="B203" s="77">
        <v>45810</v>
      </c>
      <c r="C203" s="77" t="s">
        <v>441</v>
      </c>
      <c r="D203" s="115" t="s">
        <v>20</v>
      </c>
      <c r="E203" s="115" t="s">
        <v>366</v>
      </c>
      <c r="F203" s="115" t="s">
        <v>710</v>
      </c>
      <c r="G203" s="115" t="s">
        <v>1382</v>
      </c>
      <c r="H203" s="113" t="s">
        <v>24</v>
      </c>
      <c r="I203" s="115" t="s">
        <v>710</v>
      </c>
      <c r="J203" s="115">
        <v>1020088</v>
      </c>
      <c r="K203" s="115" t="s">
        <v>26</v>
      </c>
      <c r="L203" s="60">
        <v>205760</v>
      </c>
      <c r="M203" s="60">
        <v>1</v>
      </c>
      <c r="N203" s="60">
        <f>Main_Issuance[[#This Row],[LC Amt(FCY)]]*Main_Issuance[[#This Row],[Rate]]</f>
        <v>205760</v>
      </c>
      <c r="O203" s="77">
        <v>45961</v>
      </c>
      <c r="P203" s="77">
        <v>45961</v>
      </c>
      <c r="Q203" s="77" t="s">
        <v>27</v>
      </c>
      <c r="R203" s="115" t="s">
        <v>621</v>
      </c>
      <c r="S203" s="82"/>
      <c r="T203" s="82"/>
      <c r="U203" s="82"/>
      <c r="V203" s="97">
        <v>0</v>
      </c>
      <c r="W203" s="115"/>
      <c r="X203" s="120" t="str">
        <f ca="1">IF(AND((Main_Issuance[[#This Row],[Expiry Date]]+31)&gt;TODAY(),Main_Issuance[[#This Row],[Status]]&lt;&gt;"Cancelled"),"Active","Cancelled")</f>
        <v>Cancelled</v>
      </c>
      <c r="Y203" s="410"/>
      <c r="Z203" s="408"/>
      <c r="AA203" s="408" t="s">
        <v>378</v>
      </c>
      <c r="AB203" s="83" cm="1">
        <f t="array" ref="AB203">Iss_Tariff(Main_Issuance[[#This Row],[Bank]],Main_Issuance[[#This Row],[LC Amt(SAR)]],Main_Issuance[[#This Row],[Issue Date.]],Main_Issuance[[#This Row],[Expiry Date]],Main_Issuance[[#This Row],[Calculate]])</f>
        <v>0</v>
      </c>
      <c r="AC203" s="83"/>
    </row>
    <row r="204" spans="1:29" ht="15.75" hidden="1" x14ac:dyDescent="0.25">
      <c r="A204" s="114" t="s">
        <v>1687</v>
      </c>
      <c r="B204" s="77">
        <v>45874</v>
      </c>
      <c r="C204" s="77" t="s">
        <v>1119</v>
      </c>
      <c r="D204" s="115" t="s">
        <v>20</v>
      </c>
      <c r="E204" s="115" t="s">
        <v>366</v>
      </c>
      <c r="F204" s="115" t="s">
        <v>367</v>
      </c>
      <c r="G204" s="115" t="s">
        <v>1645</v>
      </c>
      <c r="H204" s="113" t="s">
        <v>24</v>
      </c>
      <c r="I204" s="115" t="s">
        <v>367</v>
      </c>
      <c r="J204" s="115">
        <v>1020091</v>
      </c>
      <c r="K204" s="115" t="s">
        <v>26</v>
      </c>
      <c r="L204" s="60">
        <v>500000</v>
      </c>
      <c r="M204" s="60">
        <v>1</v>
      </c>
      <c r="N204" s="60">
        <f>Main_Issuance[[#This Row],[LC Amt(FCY)]]*Main_Issuance[[#This Row],[Rate]]</f>
        <v>500000</v>
      </c>
      <c r="O204" s="77">
        <v>46203</v>
      </c>
      <c r="P204" s="77">
        <v>46203</v>
      </c>
      <c r="Q204" s="77" t="s">
        <v>27</v>
      </c>
      <c r="R204" s="115" t="s">
        <v>1629</v>
      </c>
      <c r="S204" s="82"/>
      <c r="T204" s="82"/>
      <c r="U204" s="82"/>
      <c r="V204" s="97">
        <v>0</v>
      </c>
      <c r="W204" s="115"/>
      <c r="X204" s="120" t="str">
        <f ca="1">IF(AND((Main_Issuance[[#This Row],[Expiry Date]]+31)&gt;TODAY(),Main_Issuance[[#This Row],[Status]]&lt;&gt;"Cancelled"),"Active","Cancelled")</f>
        <v>Active</v>
      </c>
      <c r="Y204" s="410"/>
      <c r="Z204" s="408"/>
      <c r="AA204" s="408" t="s">
        <v>857</v>
      </c>
      <c r="AB204" s="83" cm="1">
        <f t="array" ref="AB204">Iss_Tariff(Main_Issuance[[#This Row],[Bank]],Main_Issuance[[#This Row],[LC Amt(SAR)]],Main_Issuance[[#This Row],[Issue Date.]],Main_Issuance[[#This Row],[Expiry Date]],Main_Issuance[[#This Row],[Calculate]])</f>
        <v>2961.25</v>
      </c>
      <c r="AC204" s="83"/>
    </row>
    <row r="205" spans="1:29" ht="15.75" hidden="1" x14ac:dyDescent="0.25">
      <c r="A205" s="114" t="s">
        <v>611</v>
      </c>
      <c r="B205" s="77">
        <v>45684</v>
      </c>
      <c r="C205" s="77" t="s">
        <v>441</v>
      </c>
      <c r="D205" s="115" t="s">
        <v>20</v>
      </c>
      <c r="E205" s="115" t="s">
        <v>612</v>
      </c>
      <c r="F205" s="115" t="s">
        <v>613</v>
      </c>
      <c r="G205" s="115" t="s">
        <v>614</v>
      </c>
      <c r="H205" s="113" t="s">
        <v>24</v>
      </c>
      <c r="I205" s="115" t="s">
        <v>613</v>
      </c>
      <c r="J205" s="115">
        <v>1020106</v>
      </c>
      <c r="K205" s="115" t="s">
        <v>26</v>
      </c>
      <c r="L205" s="60">
        <v>1798725.35</v>
      </c>
      <c r="M205" s="60">
        <v>1</v>
      </c>
      <c r="N205" s="60">
        <f>Main_Issuance[[#This Row],[LC Amt(FCY)]]*Main_Issuance[[#This Row],[Rate]]</f>
        <v>1798725.35</v>
      </c>
      <c r="O205" s="77">
        <v>46022</v>
      </c>
      <c r="P205" s="77">
        <v>46022</v>
      </c>
      <c r="Q205" s="77" t="s">
        <v>27</v>
      </c>
      <c r="R205" s="115" t="s">
        <v>311</v>
      </c>
      <c r="S205" s="82"/>
      <c r="T205" s="82"/>
      <c r="U205" s="82"/>
      <c r="V205" s="97">
        <v>0</v>
      </c>
      <c r="W205" s="115" t="s">
        <v>3276</v>
      </c>
      <c r="X205" s="120" t="str">
        <f ca="1">IF(AND((Main_Issuance[[#This Row],[Expiry Date]]+31)&gt;TODAY(),Main_Issuance[[#This Row],[Status]]&lt;&gt;"Cancelled"),"Active","Cancelled")</f>
        <v>Cancelled</v>
      </c>
      <c r="Y205" s="410"/>
      <c r="Z205" s="408"/>
      <c r="AA205" s="408" t="s">
        <v>378</v>
      </c>
      <c r="AB205" s="83" cm="1">
        <f t="array" ref="AB205">Iss_Tariff(Main_Issuance[[#This Row],[Bank]],Main_Issuance[[#This Row],[LC Amt(SAR)]],Main_Issuance[[#This Row],[Issue Date.]],Main_Issuance[[#This Row],[Expiry Date]],Main_Issuance[[#This Row],[Calculate]])</f>
        <v>0</v>
      </c>
      <c r="AC205" s="83"/>
    </row>
    <row r="206" spans="1:29" ht="15.75" hidden="1" x14ac:dyDescent="0.25">
      <c r="A206" s="114" t="s">
        <v>1811</v>
      </c>
      <c r="B206" s="77">
        <v>45895</v>
      </c>
      <c r="C206" s="77" t="s">
        <v>1181</v>
      </c>
      <c r="D206" s="115" t="s">
        <v>20</v>
      </c>
      <c r="E206" s="115" t="s">
        <v>366</v>
      </c>
      <c r="F206" s="115" t="s">
        <v>710</v>
      </c>
      <c r="G206" s="115" t="s">
        <v>1786</v>
      </c>
      <c r="H206" s="113" t="s">
        <v>1791</v>
      </c>
      <c r="I206" s="115" t="s">
        <v>81</v>
      </c>
      <c r="J206" s="115">
        <v>1020070</v>
      </c>
      <c r="K206" s="115" t="s">
        <v>26</v>
      </c>
      <c r="L206" s="60">
        <v>5193136.82</v>
      </c>
      <c r="M206" s="60">
        <v>1</v>
      </c>
      <c r="N206" s="60">
        <f>Main_Issuance[[#This Row],[LC Amt(FCY)]]*Main_Issuance[[#This Row],[Rate]]</f>
        <v>5193136.82</v>
      </c>
      <c r="O206" s="77">
        <v>46022</v>
      </c>
      <c r="P206" s="77">
        <v>46022</v>
      </c>
      <c r="Q206" s="77" t="s">
        <v>27</v>
      </c>
      <c r="R206" s="115" t="s">
        <v>1755</v>
      </c>
      <c r="S206" s="82"/>
      <c r="T206" s="82"/>
      <c r="U206" s="82"/>
      <c r="V206" s="97">
        <v>0</v>
      </c>
      <c r="W206" s="115"/>
      <c r="X206" s="120" t="str">
        <f ca="1">IF(AND((Main_Issuance[[#This Row],[Expiry Date]]+31)&gt;TODAY(),Main_Issuance[[#This Row],[Status]]&lt;&gt;"Cancelled"),"Active","Cancelled")</f>
        <v>Cancelled</v>
      </c>
      <c r="Y206" s="410"/>
      <c r="Z206" s="408"/>
      <c r="AA206" s="408" t="s">
        <v>378</v>
      </c>
      <c r="AB206" s="83" cm="1">
        <f t="array" ref="AB206">Iss_Tariff(Main_Issuance[[#This Row],[Bank]],Main_Issuance[[#This Row],[LC Amt(SAR)]],Main_Issuance[[#This Row],[Issue Date.]],Main_Issuance[[#This Row],[Expiry Date]],Main_Issuance[[#This Row],[Calculate]])</f>
        <v>0</v>
      </c>
      <c r="AC206" s="83"/>
    </row>
    <row r="207" spans="1:29" ht="15.75" hidden="1" x14ac:dyDescent="0.25">
      <c r="A207" s="114" t="s">
        <v>1530</v>
      </c>
      <c r="B207" s="77">
        <v>45839</v>
      </c>
      <c r="C207" s="77" t="s">
        <v>1878</v>
      </c>
      <c r="D207" s="115" t="s">
        <v>20</v>
      </c>
      <c r="E207" s="115" t="s">
        <v>366</v>
      </c>
      <c r="F207" s="115" t="s">
        <v>367</v>
      </c>
      <c r="G207" s="115" t="s">
        <v>1513</v>
      </c>
      <c r="H207" s="115" t="s">
        <v>3220</v>
      </c>
      <c r="I207" s="115" t="s">
        <v>367</v>
      </c>
      <c r="J207" s="115">
        <v>1020091</v>
      </c>
      <c r="K207" s="115" t="s">
        <v>26</v>
      </c>
      <c r="L207" s="60">
        <v>2500000</v>
      </c>
      <c r="M207" s="60">
        <v>1</v>
      </c>
      <c r="N207" s="60">
        <f>Main_Issuance[[#This Row],[LC Amt(FCY)]]*Main_Issuance[[#This Row],[Rate]]</f>
        <v>2500000</v>
      </c>
      <c r="O207" s="77">
        <v>45960</v>
      </c>
      <c r="P207" s="77">
        <v>45945</v>
      </c>
      <c r="Q207" s="77" t="s">
        <v>27</v>
      </c>
      <c r="R207" s="115" t="s">
        <v>311</v>
      </c>
      <c r="S207" s="82"/>
      <c r="T207" s="82"/>
      <c r="U207" s="82"/>
      <c r="V207" s="97">
        <v>0</v>
      </c>
      <c r="W207" s="115"/>
      <c r="X207" s="120" t="str">
        <f ca="1">IF(AND((Main_Issuance[[#This Row],[Expiry Date]]+31)&gt;TODAY(),Main_Issuance[[#This Row],[Status]]&lt;&gt;"Cancelled"),"Active","Cancelled")</f>
        <v>Cancelled</v>
      </c>
      <c r="Y207" s="410"/>
      <c r="Z207" s="408"/>
      <c r="AA207" s="408" t="s">
        <v>378</v>
      </c>
      <c r="AB207" s="83" cm="1">
        <f t="array" ref="AB207">Iss_Tariff(Main_Issuance[[#This Row],[Bank]],Main_Issuance[[#This Row],[LC Amt(SAR)]],Main_Issuance[[#This Row],[Issue Date.]],Main_Issuance[[#This Row],[Expiry Date]],Main_Issuance[[#This Row],[Calculate]])</f>
        <v>0</v>
      </c>
      <c r="AC207" s="83"/>
    </row>
    <row r="208" spans="1:29" ht="15.75" hidden="1" x14ac:dyDescent="0.25">
      <c r="A208" s="114" t="s">
        <v>782</v>
      </c>
      <c r="B208" s="77">
        <v>45743</v>
      </c>
      <c r="C208" s="77" t="s">
        <v>1864</v>
      </c>
      <c r="D208" s="115" t="s">
        <v>20</v>
      </c>
      <c r="E208" s="115" t="s">
        <v>366</v>
      </c>
      <c r="F208" s="115" t="s">
        <v>710</v>
      </c>
      <c r="G208" s="115" t="s">
        <v>783</v>
      </c>
      <c r="H208" s="59" t="s">
        <v>3221</v>
      </c>
      <c r="I208" s="115" t="s">
        <v>81</v>
      </c>
      <c r="J208" s="115">
        <v>1020070</v>
      </c>
      <c r="K208" s="115" t="s">
        <v>26</v>
      </c>
      <c r="L208" s="60">
        <v>1926250</v>
      </c>
      <c r="M208" s="60">
        <v>1</v>
      </c>
      <c r="N208" s="60">
        <f>Main_Issuance[[#This Row],[LC Amt(FCY)]]*Main_Issuance[[#This Row],[Rate]]</f>
        <v>1926250</v>
      </c>
      <c r="O208" s="77">
        <v>45808</v>
      </c>
      <c r="P208" s="77">
        <v>45777</v>
      </c>
      <c r="Q208" s="77" t="s">
        <v>27</v>
      </c>
      <c r="R208" s="115" t="s">
        <v>621</v>
      </c>
      <c r="S208" s="82"/>
      <c r="T208" s="82"/>
      <c r="U208" s="82"/>
      <c r="V208" s="97">
        <v>0</v>
      </c>
      <c r="W208" s="115"/>
      <c r="X208" s="120" t="str">
        <f ca="1">IF(AND((Main_Issuance[[#This Row],[Expiry Date]]+31)&gt;TODAY(),Main_Issuance[[#This Row],[Status]]&lt;&gt;"Cancelled"),"Active","Cancelled")</f>
        <v>Cancelled</v>
      </c>
      <c r="Y208" s="410"/>
      <c r="Z208" s="408"/>
      <c r="AA208" s="408" t="s">
        <v>378</v>
      </c>
      <c r="AB208" s="83" cm="1">
        <f t="array" ref="AB208">Iss_Tariff(Main_Issuance[[#This Row],[Bank]],Main_Issuance[[#This Row],[LC Amt(SAR)]],Main_Issuance[[#This Row],[Issue Date.]],Main_Issuance[[#This Row],[Expiry Date]],Main_Issuance[[#This Row],[Calculate]])</f>
        <v>0</v>
      </c>
      <c r="AC208" s="83"/>
    </row>
    <row r="209" spans="1:29" ht="15.75" hidden="1" x14ac:dyDescent="0.25">
      <c r="A209" s="114" t="s">
        <v>1444</v>
      </c>
      <c r="B209" s="77">
        <v>45810</v>
      </c>
      <c r="C209" s="77" t="s">
        <v>441</v>
      </c>
      <c r="D209" s="115" t="s">
        <v>20</v>
      </c>
      <c r="E209" s="115" t="s">
        <v>366</v>
      </c>
      <c r="F209" s="115" t="s">
        <v>710</v>
      </c>
      <c r="G209" s="115" t="s">
        <v>1383</v>
      </c>
      <c r="H209" s="113" t="s">
        <v>24</v>
      </c>
      <c r="I209" s="115" t="s">
        <v>710</v>
      </c>
      <c r="J209" s="115">
        <v>1020088</v>
      </c>
      <c r="K209" s="115" t="s">
        <v>26</v>
      </c>
      <c r="L209" s="60">
        <v>400000</v>
      </c>
      <c r="M209" s="60">
        <v>1</v>
      </c>
      <c r="N209" s="60">
        <f>Main_Issuance[[#This Row],[LC Amt(FCY)]]*Main_Issuance[[#This Row],[Rate]]</f>
        <v>400000</v>
      </c>
      <c r="O209" s="77">
        <v>45961</v>
      </c>
      <c r="P209" s="77">
        <v>45961</v>
      </c>
      <c r="Q209" s="77" t="s">
        <v>27</v>
      </c>
      <c r="R209" s="115" t="s">
        <v>621</v>
      </c>
      <c r="S209" s="82"/>
      <c r="T209" s="82"/>
      <c r="U209" s="82"/>
      <c r="V209" s="97">
        <v>0</v>
      </c>
      <c r="W209" s="115"/>
      <c r="X209" s="120" t="str">
        <f ca="1">IF(AND((Main_Issuance[[#This Row],[Expiry Date]]+31)&gt;TODAY(),Main_Issuance[[#This Row],[Status]]&lt;&gt;"Cancelled"),"Active","Cancelled")</f>
        <v>Cancelled</v>
      </c>
      <c r="Y209" s="410"/>
      <c r="Z209" s="408"/>
      <c r="AA209" s="408" t="s">
        <v>378</v>
      </c>
      <c r="AB209" s="83" cm="1">
        <f t="array" ref="AB209">Iss_Tariff(Main_Issuance[[#This Row],[Bank]],Main_Issuance[[#This Row],[LC Amt(SAR)]],Main_Issuance[[#This Row],[Issue Date.]],Main_Issuance[[#This Row],[Expiry Date]],Main_Issuance[[#This Row],[Calculate]])</f>
        <v>0</v>
      </c>
      <c r="AC209" s="83"/>
    </row>
    <row r="210" spans="1:29" ht="15.75" hidden="1" x14ac:dyDescent="0.25">
      <c r="A210" s="114" t="s">
        <v>1540</v>
      </c>
      <c r="B210" s="77">
        <v>45848</v>
      </c>
      <c r="C210" s="77" t="s">
        <v>1394</v>
      </c>
      <c r="D210" s="115" t="s">
        <v>20</v>
      </c>
      <c r="E210" s="115" t="s">
        <v>21</v>
      </c>
      <c r="F210" s="115" t="s">
        <v>22</v>
      </c>
      <c r="G210" s="115" t="s">
        <v>1483</v>
      </c>
      <c r="H210" s="113" t="s">
        <v>1791</v>
      </c>
      <c r="I210" s="115" t="s">
        <v>90</v>
      </c>
      <c r="J210" s="115">
        <v>1020001</v>
      </c>
      <c r="K210" s="115" t="s">
        <v>26</v>
      </c>
      <c r="L210" s="60">
        <v>1904115</v>
      </c>
      <c r="M210" s="60">
        <v>1</v>
      </c>
      <c r="N210" s="60">
        <f>Main_Issuance[[#This Row],[LC Amt(FCY)]]*Main_Issuance[[#This Row],[Rate]]</f>
        <v>1904115</v>
      </c>
      <c r="O210" s="77">
        <v>45900</v>
      </c>
      <c r="P210" s="77">
        <v>45838</v>
      </c>
      <c r="Q210" s="77" t="s">
        <v>27</v>
      </c>
      <c r="R210" s="115" t="s">
        <v>425</v>
      </c>
      <c r="S210" s="82"/>
      <c r="T210" s="82"/>
      <c r="U210" s="82"/>
      <c r="V210" s="97">
        <v>0</v>
      </c>
      <c r="W210" s="115"/>
      <c r="X210" s="120" t="str">
        <f ca="1">IF(AND((Main_Issuance[[#This Row],[Expiry Date]]+31)&gt;TODAY(),Main_Issuance[[#This Row],[Status]]&lt;&gt;"Cancelled"),"Active","Cancelled")</f>
        <v>Cancelled</v>
      </c>
      <c r="Y210" s="410"/>
      <c r="Z210" s="408"/>
      <c r="AA210" s="408" t="s">
        <v>378</v>
      </c>
      <c r="AB210" s="83" cm="1">
        <f t="array" ref="AB210">Iss_Tariff(Main_Issuance[[#This Row],[Bank]],Main_Issuance[[#This Row],[LC Amt(SAR)]],Main_Issuance[[#This Row],[Issue Date.]],Main_Issuance[[#This Row],[Expiry Date]],Main_Issuance[[#This Row],[Calculate]])</f>
        <v>0</v>
      </c>
      <c r="AC210" s="83"/>
    </row>
    <row r="211" spans="1:29" ht="15.75" hidden="1" x14ac:dyDescent="0.25">
      <c r="A211" s="114" t="s">
        <v>4736</v>
      </c>
      <c r="B211" s="424">
        <v>46127</v>
      </c>
      <c r="C211" s="424" t="s">
        <v>1394</v>
      </c>
      <c r="D211" s="115" t="s">
        <v>20</v>
      </c>
      <c r="E211" s="115" t="s">
        <v>21</v>
      </c>
      <c r="F211" s="115" t="s">
        <v>22</v>
      </c>
      <c r="G211" s="115" t="s">
        <v>1483</v>
      </c>
      <c r="H211" s="113" t="s">
        <v>80</v>
      </c>
      <c r="I211" s="115" t="s">
        <v>90</v>
      </c>
      <c r="J211" s="115">
        <v>1020001</v>
      </c>
      <c r="K211" s="115" t="s">
        <v>26</v>
      </c>
      <c r="L211" s="119">
        <v>5693645.4199999999</v>
      </c>
      <c r="M211" s="82">
        <v>1</v>
      </c>
      <c r="N211" s="82">
        <f>Main_Issuance[[#This Row],[LC Amt(FCY)]]*Main_Issuance[[#This Row],[Rate]]</f>
        <v>5693645.4199999999</v>
      </c>
      <c r="O211" s="424">
        <v>46193</v>
      </c>
      <c r="P211" s="424">
        <v>46193</v>
      </c>
      <c r="Q211" s="424" t="s">
        <v>27</v>
      </c>
      <c r="R211" s="115" t="s">
        <v>425</v>
      </c>
      <c r="S211" s="82"/>
      <c r="T211" s="82"/>
      <c r="U211" s="82"/>
      <c r="V211" s="97">
        <v>909438.01</v>
      </c>
      <c r="W211" s="115" t="s">
        <v>4781</v>
      </c>
      <c r="X211" s="437" t="str">
        <f ca="1">IF(AND((Main_Issuance[[#This Row],[Expiry Date]]+31)&gt;TODAY(),Main_Issuance[[#This Row],[Status]]&lt;&gt;"Cancelled"),"Active","Cancelled")</f>
        <v>Active</v>
      </c>
      <c r="Y211" s="96"/>
      <c r="Z211" s="424"/>
      <c r="AA211" s="443" t="s">
        <v>378</v>
      </c>
      <c r="AB211" s="83" cm="1">
        <f t="array" ref="AB211">Iss_Tariff(Main_Issuance[[#This Row],[Bank]],Main_Issuance[[#This Row],[LC Amt(SAR)]],Main_Issuance[[#This Row],[Issue Date.]],Main_Issuance[[#This Row],[Expiry Date]],Main_Issuance[[#This Row],[Calculate]])</f>
        <v>0</v>
      </c>
      <c r="AC211" s="83"/>
    </row>
    <row r="212" spans="1:29" ht="15.75" hidden="1" x14ac:dyDescent="0.25">
      <c r="A212" s="114" t="s">
        <v>1350</v>
      </c>
      <c r="B212" s="77">
        <v>45792</v>
      </c>
      <c r="C212" s="77" t="s">
        <v>441</v>
      </c>
      <c r="D212" s="19" t="s">
        <v>20</v>
      </c>
      <c r="E212" s="115" t="s">
        <v>21</v>
      </c>
      <c r="F212" s="115" t="s">
        <v>22</v>
      </c>
      <c r="G212" s="115" t="s">
        <v>1326</v>
      </c>
      <c r="H212" s="113" t="s">
        <v>24</v>
      </c>
      <c r="I212" s="115" t="s">
        <v>22</v>
      </c>
      <c r="J212" s="115">
        <v>1020055</v>
      </c>
      <c r="K212" s="115" t="s">
        <v>26</v>
      </c>
      <c r="L212" s="60">
        <v>235199.15</v>
      </c>
      <c r="M212" s="60">
        <v>1</v>
      </c>
      <c r="N212" s="60">
        <f>Main_Issuance[[#This Row],[LC Amt(FCY)]]*Main_Issuance[[#This Row],[Rate]]</f>
        <v>235199.15</v>
      </c>
      <c r="O212" s="77">
        <v>46022</v>
      </c>
      <c r="P212" s="77">
        <v>46022</v>
      </c>
      <c r="Q212" s="77" t="s">
        <v>27</v>
      </c>
      <c r="R212" s="115" t="s">
        <v>621</v>
      </c>
      <c r="S212" s="82"/>
      <c r="T212" s="82"/>
      <c r="U212" s="82"/>
      <c r="V212" s="97">
        <v>0</v>
      </c>
      <c r="W212" s="115"/>
      <c r="X212" s="120" t="str">
        <f ca="1">IF(AND((Main_Issuance[[#This Row],[Expiry Date]]+31)&gt;TODAY(),Main_Issuance[[#This Row],[Status]]&lt;&gt;"Cancelled"),"Active","Cancelled")</f>
        <v>Cancelled</v>
      </c>
      <c r="Y212" s="410"/>
      <c r="Z212" s="408"/>
      <c r="AA212" s="408" t="s">
        <v>378</v>
      </c>
      <c r="AB212" s="83" cm="1">
        <f t="array" ref="AB212">Iss_Tariff(Main_Issuance[[#This Row],[Bank]],Main_Issuance[[#This Row],[LC Amt(SAR)]],Main_Issuance[[#This Row],[Issue Date.]],Main_Issuance[[#This Row],[Expiry Date]],Main_Issuance[[#This Row],[Calculate]])</f>
        <v>0</v>
      </c>
      <c r="AC212" s="83"/>
    </row>
    <row r="213" spans="1:29" ht="15.75" hidden="1" x14ac:dyDescent="0.25">
      <c r="A213" s="114" t="s">
        <v>296</v>
      </c>
      <c r="B213" s="77">
        <v>45512</v>
      </c>
      <c r="C213" s="77" t="s">
        <v>441</v>
      </c>
      <c r="D213" s="115" t="s">
        <v>20</v>
      </c>
      <c r="E213" s="115" t="s">
        <v>21</v>
      </c>
      <c r="F213" s="115" t="s">
        <v>22</v>
      </c>
      <c r="G213" s="115" t="s">
        <v>297</v>
      </c>
      <c r="H213" s="113" t="s">
        <v>24</v>
      </c>
      <c r="I213" s="115" t="s">
        <v>22</v>
      </c>
      <c r="J213" s="115">
        <v>1020055</v>
      </c>
      <c r="K213" s="115" t="s">
        <v>191</v>
      </c>
      <c r="L213" s="60">
        <v>750000</v>
      </c>
      <c r="M213" s="60">
        <v>1.03</v>
      </c>
      <c r="N213" s="60">
        <f>Main_Issuance[[#This Row],[LC Amt(FCY)]]*Main_Issuance[[#This Row],[Rate]]</f>
        <v>772500</v>
      </c>
      <c r="O213" s="77">
        <v>45747</v>
      </c>
      <c r="P213" s="77">
        <v>45732</v>
      </c>
      <c r="Q213" s="77" t="s">
        <v>27</v>
      </c>
      <c r="R213" s="115" t="s">
        <v>295</v>
      </c>
      <c r="S213" s="82"/>
      <c r="T213" s="82"/>
      <c r="U213" s="82"/>
      <c r="V213" s="97">
        <v>0</v>
      </c>
      <c r="W213" s="115"/>
      <c r="X213" s="120" t="str">
        <f ca="1">IF(AND((Main_Issuance[[#This Row],[Expiry Date]]+31)&gt;TODAY(),Main_Issuance[[#This Row],[Status]]&lt;&gt;"Cancelled"),"Active","Cancelled")</f>
        <v>Cancelled</v>
      </c>
      <c r="Y213" s="410"/>
      <c r="Z213" s="408"/>
      <c r="AA213" s="408" t="s">
        <v>378</v>
      </c>
      <c r="AB213" s="83" cm="1">
        <f t="array" ref="AB213">Iss_Tariff(Main_Issuance[[#This Row],[Bank]],Main_Issuance[[#This Row],[LC Amt(SAR)]],Main_Issuance[[#This Row],[Issue Date.]],Main_Issuance[[#This Row],[Expiry Date]],Main_Issuance[[#This Row],[Calculate]])</f>
        <v>0</v>
      </c>
      <c r="AC213" s="83"/>
    </row>
    <row r="214" spans="1:29" ht="15.75" hidden="1" x14ac:dyDescent="0.25">
      <c r="A214" s="114" t="s">
        <v>189</v>
      </c>
      <c r="B214" s="77">
        <v>45222</v>
      </c>
      <c r="C214" s="77" t="s">
        <v>441</v>
      </c>
      <c r="D214" s="115" t="s">
        <v>20</v>
      </c>
      <c r="E214" s="115" t="s">
        <v>21</v>
      </c>
      <c r="F214" s="115" t="s">
        <v>22</v>
      </c>
      <c r="G214" s="115" t="s">
        <v>190</v>
      </c>
      <c r="H214" s="113" t="s">
        <v>24</v>
      </c>
      <c r="I214" s="115" t="s">
        <v>22</v>
      </c>
      <c r="J214" s="115">
        <v>1020055</v>
      </c>
      <c r="K214" s="115" t="s">
        <v>191</v>
      </c>
      <c r="L214" s="60">
        <v>1475299.7</v>
      </c>
      <c r="M214" s="60">
        <v>1.0249999999999999</v>
      </c>
      <c r="N214" s="60">
        <f>Main_Issuance[[#This Row],[LC Amt(FCY)]]*Main_Issuance[[#This Row],[Rate]]</f>
        <v>1512182.1924999999</v>
      </c>
      <c r="O214" s="77">
        <v>45322</v>
      </c>
      <c r="P214" s="77">
        <v>45322</v>
      </c>
      <c r="Q214" s="77" t="s">
        <v>27</v>
      </c>
      <c r="R214" s="115" t="s">
        <v>35</v>
      </c>
      <c r="S214" s="82"/>
      <c r="T214" s="82"/>
      <c r="U214" s="82"/>
      <c r="V214" s="97">
        <v>0</v>
      </c>
      <c r="W214" s="115"/>
      <c r="X214" s="120" t="str">
        <f ca="1">IF(AND((Main_Issuance[[#This Row],[Expiry Date]]+31)&gt;TODAY(),Main_Issuance[[#This Row],[Status]]&lt;&gt;"Cancelled"),"Active","Cancelled")</f>
        <v>Cancelled</v>
      </c>
      <c r="Y214" s="410"/>
      <c r="Z214" s="408"/>
      <c r="AA214" s="408" t="s">
        <v>378</v>
      </c>
      <c r="AB214" s="83" cm="1">
        <f t="array" ref="AB214">Iss_Tariff(Main_Issuance[[#This Row],[Bank]],Main_Issuance[[#This Row],[LC Amt(SAR)]],Main_Issuance[[#This Row],[Issue Date.]],Main_Issuance[[#This Row],[Expiry Date]],Main_Issuance[[#This Row],[Calculate]])</f>
        <v>0</v>
      </c>
      <c r="AC214" s="83"/>
    </row>
    <row r="215" spans="1:29" ht="15.75" hidden="1" x14ac:dyDescent="0.25">
      <c r="A215" s="114" t="s">
        <v>363</v>
      </c>
      <c r="B215" s="77">
        <v>45533</v>
      </c>
      <c r="C215" s="77" t="s">
        <v>441</v>
      </c>
      <c r="D215" s="115" t="s">
        <v>20</v>
      </c>
      <c r="E215" s="115" t="s">
        <v>95</v>
      </c>
      <c r="F215" s="115" t="s">
        <v>96</v>
      </c>
      <c r="G215" s="115" t="s">
        <v>364</v>
      </c>
      <c r="H215" s="113" t="s">
        <v>24</v>
      </c>
      <c r="I215" s="115" t="s">
        <v>22</v>
      </c>
      <c r="J215" s="115">
        <v>1020055</v>
      </c>
      <c r="K215" s="115" t="s">
        <v>191</v>
      </c>
      <c r="L215" s="60">
        <v>1363657</v>
      </c>
      <c r="M215" s="60">
        <v>1.0286999999999999</v>
      </c>
      <c r="N215" s="60">
        <f>Main_Issuance[[#This Row],[LC Amt(FCY)]]*Main_Issuance[[#This Row],[Rate]]</f>
        <v>1402793.9558999999</v>
      </c>
      <c r="O215" s="77">
        <v>45808</v>
      </c>
      <c r="P215" s="77">
        <v>45688</v>
      </c>
      <c r="Q215" s="77" t="s">
        <v>27</v>
      </c>
      <c r="R215" s="115" t="s">
        <v>311</v>
      </c>
      <c r="S215" s="82"/>
      <c r="T215" s="82"/>
      <c r="U215" s="82"/>
      <c r="V215" s="97">
        <v>0</v>
      </c>
      <c r="W215" s="115"/>
      <c r="X215" s="120" t="str">
        <f ca="1">IF(AND((Main_Issuance[[#This Row],[Expiry Date]]+31)&gt;TODAY(),Main_Issuance[[#This Row],[Status]]&lt;&gt;"Cancelled"),"Active","Cancelled")</f>
        <v>Cancelled</v>
      </c>
      <c r="Y215" s="410"/>
      <c r="Z215" s="408"/>
      <c r="AA215" s="408" t="s">
        <v>378</v>
      </c>
      <c r="AB215" s="83" cm="1">
        <f t="array" ref="AB215">Iss_Tariff(Main_Issuance[[#This Row],[Bank]],Main_Issuance[[#This Row],[LC Amt(SAR)]],Main_Issuance[[#This Row],[Issue Date.]],Main_Issuance[[#This Row],[Expiry Date]],Main_Issuance[[#This Row],[Calculate]])</f>
        <v>0</v>
      </c>
      <c r="AC215" s="83"/>
    </row>
    <row r="216" spans="1:29" ht="15.75" hidden="1" x14ac:dyDescent="0.25">
      <c r="A216" s="114" t="s">
        <v>3142</v>
      </c>
      <c r="B216" s="77">
        <v>46009</v>
      </c>
      <c r="C216" s="77" t="s">
        <v>2801</v>
      </c>
      <c r="D216" s="115" t="s">
        <v>20</v>
      </c>
      <c r="E216" s="115" t="s">
        <v>95</v>
      </c>
      <c r="F216" s="115" t="s">
        <v>96</v>
      </c>
      <c r="G216" s="115" t="s">
        <v>2925</v>
      </c>
      <c r="H216" s="113" t="s">
        <v>3219</v>
      </c>
      <c r="I216" s="115" t="s">
        <v>328</v>
      </c>
      <c r="J216" s="115">
        <v>1020097</v>
      </c>
      <c r="K216" s="115" t="s">
        <v>26</v>
      </c>
      <c r="L216" s="119">
        <v>2072033.2</v>
      </c>
      <c r="M216" s="82">
        <v>1</v>
      </c>
      <c r="N216" s="82">
        <f>Main_Issuance[[#This Row],[LC Amt(FCY)]]*Main_Issuance[[#This Row],[Rate]]</f>
        <v>2072033.2</v>
      </c>
      <c r="O216" s="77">
        <v>46295</v>
      </c>
      <c r="P216" s="77">
        <v>46295</v>
      </c>
      <c r="Q216" s="77" t="s">
        <v>27</v>
      </c>
      <c r="R216" s="115" t="s">
        <v>425</v>
      </c>
      <c r="S216" s="82"/>
      <c r="T216" s="82"/>
      <c r="U216" s="82"/>
      <c r="V216" s="97">
        <v>0</v>
      </c>
      <c r="W216" s="115"/>
      <c r="X216" s="120" t="str">
        <f ca="1">IF(AND((Main_Issuance[[#This Row],[Expiry Date]]+31)&gt;TODAY(),Main_Issuance[[#This Row],[Status]]&lt;&gt;"Cancelled"),"Active","Cancelled")</f>
        <v>Active</v>
      </c>
      <c r="Y216" s="409"/>
      <c r="Z216" s="408"/>
      <c r="AA216" s="408" t="s">
        <v>857</v>
      </c>
      <c r="AB216" s="83" cm="1">
        <f t="array" ref="AB216">Iss_Tariff(Main_Issuance[[#This Row],[Bank]],Main_Issuance[[#This Row],[LC Amt(SAR)]],Main_Issuance[[#This Row],[Issue Date.]],Main_Issuance[[#This Row],[Expiry Date]],Main_Issuance[[#This Row],[Calculate]])</f>
        <v>10387.950000000001</v>
      </c>
      <c r="AC216" s="83"/>
    </row>
    <row r="217" spans="1:29" ht="15.75" hidden="1" x14ac:dyDescent="0.25">
      <c r="A217" s="114" t="s">
        <v>88</v>
      </c>
      <c r="B217" s="77">
        <v>45371</v>
      </c>
      <c r="C217" s="77" t="s">
        <v>1182</v>
      </c>
      <c r="D217" s="115" t="s">
        <v>20</v>
      </c>
      <c r="E217" s="115" t="s">
        <v>62</v>
      </c>
      <c r="F217" s="115" t="s">
        <v>63</v>
      </c>
      <c r="G217" s="115" t="s">
        <v>89</v>
      </c>
      <c r="H217" s="113" t="s">
        <v>80</v>
      </c>
      <c r="I217" s="115" t="s">
        <v>90</v>
      </c>
      <c r="J217" s="115">
        <v>1020001</v>
      </c>
      <c r="K217" s="115" t="s">
        <v>26</v>
      </c>
      <c r="L217" s="60">
        <v>4339603.43</v>
      </c>
      <c r="M217" s="60">
        <v>1</v>
      </c>
      <c r="N217" s="60">
        <f>Main_Issuance[[#This Row],[LC Amt(FCY)]]*Main_Issuance[[#This Row],[Rate]]</f>
        <v>4339603.43</v>
      </c>
      <c r="O217" s="77">
        <v>45443</v>
      </c>
      <c r="P217" s="77">
        <v>45443</v>
      </c>
      <c r="Q217" s="77" t="s">
        <v>27</v>
      </c>
      <c r="R217" s="115"/>
      <c r="S217" s="82"/>
      <c r="T217" s="82"/>
      <c r="U217" s="82"/>
      <c r="V217" s="97">
        <v>0</v>
      </c>
      <c r="W217" s="115"/>
      <c r="X217" s="120" t="str">
        <f ca="1">IF(AND((Main_Issuance[[#This Row],[Expiry Date]]+31)&gt;TODAY(),Main_Issuance[[#This Row],[Status]]&lt;&gt;"Cancelled"),"Active","Cancelled")</f>
        <v>Cancelled</v>
      </c>
      <c r="Y217" s="410"/>
      <c r="Z217" s="408"/>
      <c r="AA217" s="408" t="s">
        <v>378</v>
      </c>
      <c r="AB217" s="83" cm="1">
        <f t="array" ref="AB217">Iss_Tariff(Main_Issuance[[#This Row],[Bank]],Main_Issuance[[#This Row],[LC Amt(SAR)]],Main_Issuance[[#This Row],[Issue Date.]],Main_Issuance[[#This Row],[Expiry Date]],Main_Issuance[[#This Row],[Calculate]])</f>
        <v>0</v>
      </c>
      <c r="AC217" s="83"/>
    </row>
    <row r="218" spans="1:29" ht="15.75" hidden="1" x14ac:dyDescent="0.25">
      <c r="A218" s="114" t="s">
        <v>312</v>
      </c>
      <c r="B218" s="77">
        <v>45375</v>
      </c>
      <c r="C218" s="77" t="s">
        <v>1182</v>
      </c>
      <c r="D218" s="115" t="s">
        <v>20</v>
      </c>
      <c r="E218" s="115" t="s">
        <v>62</v>
      </c>
      <c r="F218" s="115" t="s">
        <v>63</v>
      </c>
      <c r="G218" s="115" t="s">
        <v>89</v>
      </c>
      <c r="H218" s="113" t="s">
        <v>80</v>
      </c>
      <c r="I218" s="115" t="s">
        <v>90</v>
      </c>
      <c r="J218" s="115">
        <v>1020001</v>
      </c>
      <c r="K218" s="115" t="s">
        <v>26</v>
      </c>
      <c r="L218" s="60">
        <v>5540467.0099999998</v>
      </c>
      <c r="M218" s="60">
        <v>1</v>
      </c>
      <c r="N218" s="60">
        <f>Main_Issuance[[#This Row],[LC Amt(FCY)]]*Main_Issuance[[#This Row],[Rate]]</f>
        <v>5540467.0099999998</v>
      </c>
      <c r="O218" s="77">
        <v>45622</v>
      </c>
      <c r="P218" s="77">
        <v>45561</v>
      </c>
      <c r="Q218" s="77" t="s">
        <v>27</v>
      </c>
      <c r="R218" s="115"/>
      <c r="S218" s="82"/>
      <c r="T218" s="82"/>
      <c r="U218" s="82"/>
      <c r="V218" s="97">
        <v>0</v>
      </c>
      <c r="W218" s="115"/>
      <c r="X218" s="120" t="str">
        <f ca="1">IF(AND((Main_Issuance[[#This Row],[Expiry Date]]+31)&gt;TODAY(),Main_Issuance[[#This Row],[Status]]&lt;&gt;"Cancelled"),"Active","Cancelled")</f>
        <v>Cancelled</v>
      </c>
      <c r="Y218" s="410"/>
      <c r="Z218" s="408"/>
      <c r="AA218" s="408" t="s">
        <v>378</v>
      </c>
      <c r="AB218" s="83" cm="1">
        <f t="array" ref="AB218">Iss_Tariff(Main_Issuance[[#This Row],[Bank]],Main_Issuance[[#This Row],[LC Amt(SAR)]],Main_Issuance[[#This Row],[Issue Date.]],Main_Issuance[[#This Row],[Expiry Date]],Main_Issuance[[#This Row],[Calculate]])</f>
        <v>0</v>
      </c>
      <c r="AC218" s="83"/>
    </row>
    <row r="219" spans="1:29" ht="15.75" hidden="1" x14ac:dyDescent="0.25">
      <c r="A219" s="114" t="s">
        <v>725</v>
      </c>
      <c r="B219" s="77">
        <v>45375</v>
      </c>
      <c r="C219" s="77" t="s">
        <v>1182</v>
      </c>
      <c r="D219" s="115" t="s">
        <v>20</v>
      </c>
      <c r="E219" s="115" t="s">
        <v>62</v>
      </c>
      <c r="F219" s="115" t="s">
        <v>70</v>
      </c>
      <c r="G219" s="115" t="s">
        <v>89</v>
      </c>
      <c r="H219" s="113" t="s">
        <v>80</v>
      </c>
      <c r="I219" s="115" t="s">
        <v>90</v>
      </c>
      <c r="J219" s="115">
        <v>1020001</v>
      </c>
      <c r="K219" s="115" t="s">
        <v>26</v>
      </c>
      <c r="L219" s="60">
        <v>2878521.22</v>
      </c>
      <c r="M219" s="60">
        <v>1</v>
      </c>
      <c r="N219" s="60">
        <f>Main_Issuance[[#This Row],[LC Amt(FCY)]]*Main_Issuance[[#This Row],[Rate]]</f>
        <v>2878521.22</v>
      </c>
      <c r="O219" s="77">
        <v>45622</v>
      </c>
      <c r="P219" s="77">
        <v>45561</v>
      </c>
      <c r="Q219" s="77" t="s">
        <v>70</v>
      </c>
      <c r="R219" s="115"/>
      <c r="S219" s="82"/>
      <c r="T219" s="82"/>
      <c r="U219" s="82"/>
      <c r="V219" s="97">
        <v>0</v>
      </c>
      <c r="W219" s="115"/>
      <c r="X219" s="120" t="str">
        <f ca="1">IF(AND((Main_Issuance[[#This Row],[Expiry Date]]+31)&gt;TODAY(),Main_Issuance[[#This Row],[Status]]&lt;&gt;"Cancelled"),"Active","Cancelled")</f>
        <v>Cancelled</v>
      </c>
      <c r="Y219" s="410"/>
      <c r="Z219" s="408"/>
      <c r="AA219" s="408" t="s">
        <v>378</v>
      </c>
      <c r="AB219" s="83" cm="1">
        <f t="array" ref="AB219">Iss_Tariff(Main_Issuance[[#This Row],[Bank]],Main_Issuance[[#This Row],[LC Amt(SAR)]],Main_Issuance[[#This Row],[Issue Date.]],Main_Issuance[[#This Row],[Expiry Date]],Main_Issuance[[#This Row],[Calculate]])</f>
        <v>0</v>
      </c>
      <c r="AC219" s="83"/>
    </row>
    <row r="220" spans="1:29" ht="15.75" hidden="1" x14ac:dyDescent="0.25">
      <c r="A220" s="114" t="s">
        <v>1451</v>
      </c>
      <c r="B220" s="77">
        <v>45812</v>
      </c>
      <c r="C220" s="77" t="s">
        <v>1394</v>
      </c>
      <c r="D220" s="115" t="s">
        <v>20</v>
      </c>
      <c r="E220" s="115" t="s">
        <v>95</v>
      </c>
      <c r="F220" s="115" t="s">
        <v>96</v>
      </c>
      <c r="G220" s="115" t="s">
        <v>89</v>
      </c>
      <c r="H220" s="113" t="s">
        <v>80</v>
      </c>
      <c r="I220" s="115" t="s">
        <v>90</v>
      </c>
      <c r="J220" s="115">
        <v>1020001</v>
      </c>
      <c r="K220" s="115" t="s">
        <v>26</v>
      </c>
      <c r="L220" s="60">
        <v>8632232.3800000008</v>
      </c>
      <c r="M220" s="60">
        <v>1</v>
      </c>
      <c r="N220" s="60">
        <f>Main_Issuance[[#This Row],[LC Amt(FCY)]]*Main_Issuance[[#This Row],[Rate]]</f>
        <v>8632232.3800000008</v>
      </c>
      <c r="O220" s="77">
        <v>46016</v>
      </c>
      <c r="P220" s="77">
        <v>45955</v>
      </c>
      <c r="Q220" s="77" t="s">
        <v>27</v>
      </c>
      <c r="R220" s="115" t="s">
        <v>425</v>
      </c>
      <c r="S220" s="82"/>
      <c r="T220" s="82"/>
      <c r="U220" s="82"/>
      <c r="V220" s="97">
        <v>0</v>
      </c>
      <c r="W220" s="115"/>
      <c r="X220" s="120" t="str">
        <f ca="1">IF(AND((Main_Issuance[[#This Row],[Expiry Date]]+31)&gt;TODAY(),Main_Issuance[[#This Row],[Status]]&lt;&gt;"Cancelled"),"Active","Cancelled")</f>
        <v>Cancelled</v>
      </c>
      <c r="Y220" s="410"/>
      <c r="Z220" s="408"/>
      <c r="AA220" s="408" t="s">
        <v>378</v>
      </c>
      <c r="AB220" s="83" cm="1">
        <f t="array" ref="AB220">Iss_Tariff(Main_Issuance[[#This Row],[Bank]],Main_Issuance[[#This Row],[LC Amt(SAR)]],Main_Issuance[[#This Row],[Issue Date.]],Main_Issuance[[#This Row],[Expiry Date]],Main_Issuance[[#This Row],[Calculate]])</f>
        <v>0</v>
      </c>
      <c r="AC220" s="83"/>
    </row>
    <row r="221" spans="1:29" ht="15.75" hidden="1" x14ac:dyDescent="0.25">
      <c r="A221" s="114" t="s">
        <v>4735</v>
      </c>
      <c r="B221" s="424">
        <v>46127</v>
      </c>
      <c r="C221" s="424" t="s">
        <v>1394</v>
      </c>
      <c r="D221" s="115" t="s">
        <v>20</v>
      </c>
      <c r="E221" s="115" t="s">
        <v>21</v>
      </c>
      <c r="F221" s="115" t="s">
        <v>22</v>
      </c>
      <c r="G221" s="115" t="s">
        <v>89</v>
      </c>
      <c r="H221" s="113" t="s">
        <v>80</v>
      </c>
      <c r="I221" s="115" t="s">
        <v>90</v>
      </c>
      <c r="J221" s="115">
        <v>1020001</v>
      </c>
      <c r="K221" s="115" t="s">
        <v>26</v>
      </c>
      <c r="L221" s="119">
        <v>5120131</v>
      </c>
      <c r="M221" s="82">
        <v>1</v>
      </c>
      <c r="N221" s="82">
        <f>Main_Issuance[[#This Row],[LC Amt(FCY)]]*Main_Issuance[[#This Row],[Rate]]</f>
        <v>5120131</v>
      </c>
      <c r="O221" s="424">
        <v>46265</v>
      </c>
      <c r="P221" s="424">
        <v>45955</v>
      </c>
      <c r="Q221" s="424" t="s">
        <v>27</v>
      </c>
      <c r="R221" s="115" t="s">
        <v>425</v>
      </c>
      <c r="S221" s="82"/>
      <c r="T221" s="82"/>
      <c r="U221" s="82"/>
      <c r="V221" s="97">
        <v>3738069.89</v>
      </c>
      <c r="W221" s="115" t="s">
        <v>4781</v>
      </c>
      <c r="X221" s="437" t="str">
        <f ca="1">IF(AND((Main_Issuance[[#This Row],[Expiry Date]]+31)&gt;TODAY(),Main_Issuance[[#This Row],[Status]]&lt;&gt;"Cancelled"),"Active","Cancelled")</f>
        <v>Active</v>
      </c>
      <c r="Y221" s="96"/>
      <c r="Z221" s="424"/>
      <c r="AA221" s="443" t="s">
        <v>378</v>
      </c>
      <c r="AB221" s="83" cm="1">
        <f t="array" ref="AB221">Iss_Tariff(Main_Issuance[[#This Row],[Bank]],Main_Issuance[[#This Row],[LC Amt(SAR)]],Main_Issuance[[#This Row],[Issue Date.]],Main_Issuance[[#This Row],[Expiry Date]],Main_Issuance[[#This Row],[Calculate]])</f>
        <v>0</v>
      </c>
      <c r="AC221" s="83"/>
    </row>
    <row r="222" spans="1:29" ht="15.75" hidden="1" x14ac:dyDescent="0.25">
      <c r="A222" s="114" t="s">
        <v>575</v>
      </c>
      <c r="B222" s="77">
        <v>45641</v>
      </c>
      <c r="C222" s="77" t="s">
        <v>441</v>
      </c>
      <c r="D222" s="115" t="s">
        <v>20</v>
      </c>
      <c r="E222" s="115" t="s">
        <v>373</v>
      </c>
      <c r="F222" s="115" t="s">
        <v>483</v>
      </c>
      <c r="G222" s="115" t="s">
        <v>576</v>
      </c>
      <c r="H222" s="113" t="s">
        <v>24</v>
      </c>
      <c r="I222" s="115" t="s">
        <v>22</v>
      </c>
      <c r="J222" s="115">
        <v>1020055</v>
      </c>
      <c r="K222" s="115" t="s">
        <v>26</v>
      </c>
      <c r="L222" s="60">
        <v>1000475.49</v>
      </c>
      <c r="M222" s="60">
        <v>1</v>
      </c>
      <c r="N222" s="60">
        <f>Main_Issuance[[#This Row],[LC Amt(FCY)]]*Main_Issuance[[#This Row],[Rate]]</f>
        <v>1000475.49</v>
      </c>
      <c r="O222" s="77">
        <v>45747</v>
      </c>
      <c r="P222" s="77">
        <v>45747</v>
      </c>
      <c r="Q222" s="77" t="s">
        <v>27</v>
      </c>
      <c r="R222" s="115" t="s">
        <v>311</v>
      </c>
      <c r="S222" s="82"/>
      <c r="T222" s="82"/>
      <c r="U222" s="82"/>
      <c r="V222" s="97">
        <v>0</v>
      </c>
      <c r="W222" s="115"/>
      <c r="X222" s="120" t="str">
        <f ca="1">IF(AND((Main_Issuance[[#This Row],[Expiry Date]]+31)&gt;TODAY(),Main_Issuance[[#This Row],[Status]]&lt;&gt;"Cancelled"),"Active","Cancelled")</f>
        <v>Cancelled</v>
      </c>
      <c r="Y222" s="410"/>
      <c r="Z222" s="408"/>
      <c r="AA222" s="408" t="s">
        <v>378</v>
      </c>
      <c r="AB222" s="83" cm="1">
        <f t="array" ref="AB222">Iss_Tariff(Main_Issuance[[#This Row],[Bank]],Main_Issuance[[#This Row],[LC Amt(SAR)]],Main_Issuance[[#This Row],[Issue Date.]],Main_Issuance[[#This Row],[Expiry Date]],Main_Issuance[[#This Row],[Calculate]])</f>
        <v>0</v>
      </c>
      <c r="AC222" s="83"/>
    </row>
    <row r="223" spans="1:29" ht="15.75" hidden="1" x14ac:dyDescent="0.25">
      <c r="A223" s="114" t="s">
        <v>659</v>
      </c>
      <c r="B223" s="77">
        <v>45694</v>
      </c>
      <c r="C223" s="77" t="s">
        <v>441</v>
      </c>
      <c r="D223" s="115" t="s">
        <v>20</v>
      </c>
      <c r="E223" s="115" t="s">
        <v>95</v>
      </c>
      <c r="F223" s="115" t="s">
        <v>96</v>
      </c>
      <c r="G223" s="115" t="s">
        <v>660</v>
      </c>
      <c r="H223" s="113" t="s">
        <v>24</v>
      </c>
      <c r="I223" s="115" t="s">
        <v>22</v>
      </c>
      <c r="J223" s="115">
        <v>1020055</v>
      </c>
      <c r="K223" s="115" t="s">
        <v>26</v>
      </c>
      <c r="L223" s="60">
        <v>1000000</v>
      </c>
      <c r="M223" s="60">
        <v>1</v>
      </c>
      <c r="N223" s="60">
        <f>Main_Issuance[[#This Row],[LC Amt(FCY)]]*Main_Issuance[[#This Row],[Rate]]</f>
        <v>1000000</v>
      </c>
      <c r="O223" s="77">
        <v>45777</v>
      </c>
      <c r="P223" s="77">
        <v>45777</v>
      </c>
      <c r="Q223" s="77" t="s">
        <v>27</v>
      </c>
      <c r="R223" s="115" t="s">
        <v>311</v>
      </c>
      <c r="S223" s="82"/>
      <c r="T223" s="82"/>
      <c r="U223" s="82"/>
      <c r="V223" s="97">
        <v>0</v>
      </c>
      <c r="W223" s="115"/>
      <c r="X223" s="120" t="str">
        <f ca="1">IF(AND((Main_Issuance[[#This Row],[Expiry Date]]+31)&gt;TODAY(),Main_Issuance[[#This Row],[Status]]&lt;&gt;"Cancelled"),"Active","Cancelled")</f>
        <v>Cancelled</v>
      </c>
      <c r="Y223" s="410"/>
      <c r="Z223" s="408"/>
      <c r="AA223" s="408" t="s">
        <v>378</v>
      </c>
      <c r="AB223" s="83" cm="1">
        <f t="array" ref="AB223">Iss_Tariff(Main_Issuance[[#This Row],[Bank]],Main_Issuance[[#This Row],[LC Amt(SAR)]],Main_Issuance[[#This Row],[Issue Date.]],Main_Issuance[[#This Row],[Expiry Date]],Main_Issuance[[#This Row],[Calculate]])</f>
        <v>0</v>
      </c>
      <c r="AC223" s="83"/>
    </row>
    <row r="224" spans="1:29" ht="15.75" hidden="1" x14ac:dyDescent="0.25">
      <c r="A224" s="114" t="s">
        <v>1408</v>
      </c>
      <c r="B224" s="77">
        <v>45804</v>
      </c>
      <c r="C224" s="77" t="s">
        <v>441</v>
      </c>
      <c r="D224" s="115" t="s">
        <v>20</v>
      </c>
      <c r="E224" s="115" t="s">
        <v>21</v>
      </c>
      <c r="F224" s="115" t="s">
        <v>22</v>
      </c>
      <c r="G224" s="115" t="s">
        <v>1330</v>
      </c>
      <c r="H224" s="113" t="s">
        <v>24</v>
      </c>
      <c r="I224" s="115" t="s">
        <v>22</v>
      </c>
      <c r="J224" s="115">
        <v>1020055</v>
      </c>
      <c r="K224" s="115" t="s">
        <v>26</v>
      </c>
      <c r="L224" s="60">
        <v>300000</v>
      </c>
      <c r="M224" s="60">
        <v>1</v>
      </c>
      <c r="N224" s="60">
        <f>Main_Issuance[[#This Row],[LC Amt(FCY)]]*Main_Issuance[[#This Row],[Rate]]</f>
        <v>300000</v>
      </c>
      <c r="O224" s="77">
        <v>45900</v>
      </c>
      <c r="P224" s="77">
        <v>45900</v>
      </c>
      <c r="Q224" s="77" t="s">
        <v>27</v>
      </c>
      <c r="R224" s="115" t="s">
        <v>621</v>
      </c>
      <c r="S224" s="82"/>
      <c r="T224" s="82"/>
      <c r="U224" s="82"/>
      <c r="V224" s="97">
        <v>0</v>
      </c>
      <c r="W224" s="115"/>
      <c r="X224" s="120" t="str">
        <f ca="1">IF(AND((Main_Issuance[[#This Row],[Expiry Date]]+31)&gt;TODAY(),Main_Issuance[[#This Row],[Status]]&lt;&gt;"Cancelled"),"Active","Cancelled")</f>
        <v>Cancelled</v>
      </c>
      <c r="Y224" s="410"/>
      <c r="Z224" s="408"/>
      <c r="AA224" s="408" t="s">
        <v>378</v>
      </c>
      <c r="AB224" s="83" cm="1">
        <f t="array" ref="AB224">Iss_Tariff(Main_Issuance[[#This Row],[Bank]],Main_Issuance[[#This Row],[LC Amt(SAR)]],Main_Issuance[[#This Row],[Issue Date.]],Main_Issuance[[#This Row],[Expiry Date]],Main_Issuance[[#This Row],[Calculate]])</f>
        <v>0</v>
      </c>
      <c r="AC224" s="83"/>
    </row>
    <row r="225" spans="1:29" ht="15.75" hidden="1" x14ac:dyDescent="0.25">
      <c r="A225" s="114" t="s">
        <v>36</v>
      </c>
      <c r="B225" s="77">
        <v>45167</v>
      </c>
      <c r="C225" s="77" t="s">
        <v>441</v>
      </c>
      <c r="D225" s="115" t="s">
        <v>20</v>
      </c>
      <c r="E225" s="115" t="s">
        <v>21</v>
      </c>
      <c r="F225" s="115" t="s">
        <v>22</v>
      </c>
      <c r="G225" s="115" t="s">
        <v>37</v>
      </c>
      <c r="H225" s="113" t="s">
        <v>24</v>
      </c>
      <c r="I225" s="78" t="s">
        <v>22</v>
      </c>
      <c r="J225" s="115">
        <v>1020055</v>
      </c>
      <c r="K225" s="115" t="s">
        <v>26</v>
      </c>
      <c r="L225" s="60">
        <v>1500000</v>
      </c>
      <c r="M225" s="60">
        <v>1</v>
      </c>
      <c r="N225" s="60">
        <f>Main_Issuance[[#This Row],[LC Amt(FCY)]]*Main_Issuance[[#This Row],[Rate]]</f>
        <v>1500000</v>
      </c>
      <c r="O225" s="77">
        <v>45474</v>
      </c>
      <c r="P225" s="77">
        <v>45474</v>
      </c>
      <c r="Q225" s="77" t="s">
        <v>27</v>
      </c>
      <c r="R225" s="115" t="s">
        <v>35</v>
      </c>
      <c r="S225" s="82"/>
      <c r="T225" s="82"/>
      <c r="U225" s="82"/>
      <c r="V225" s="97">
        <v>0</v>
      </c>
      <c r="W225" s="115"/>
      <c r="X225" s="120" t="str">
        <f ca="1">IF(AND((Main_Issuance[[#This Row],[Expiry Date]]+31)&gt;TODAY(),Main_Issuance[[#This Row],[Status]]&lt;&gt;"Cancelled"),"Active","Cancelled")</f>
        <v>Cancelled</v>
      </c>
      <c r="Y225" s="410"/>
      <c r="Z225" s="408"/>
      <c r="AA225" s="408" t="s">
        <v>378</v>
      </c>
      <c r="AB225" s="83" cm="1">
        <f t="array" ref="AB225">Iss_Tariff(Main_Issuance[[#This Row],[Bank]],Main_Issuance[[#This Row],[LC Amt(SAR)]],Main_Issuance[[#This Row],[Issue Date.]],Main_Issuance[[#This Row],[Expiry Date]],Main_Issuance[[#This Row],[Calculate]])</f>
        <v>0</v>
      </c>
      <c r="AC225" s="83"/>
    </row>
    <row r="226" spans="1:29" ht="15.75" hidden="1" x14ac:dyDescent="0.25">
      <c r="A226" s="114" t="s">
        <v>597</v>
      </c>
      <c r="B226" s="77">
        <v>45664</v>
      </c>
      <c r="C226" s="77" t="s">
        <v>441</v>
      </c>
      <c r="D226" s="115" t="s">
        <v>20</v>
      </c>
      <c r="E226" s="115" t="s">
        <v>21</v>
      </c>
      <c r="F226" s="115" t="s">
        <v>22</v>
      </c>
      <c r="G226" s="115" t="s">
        <v>37</v>
      </c>
      <c r="H226" s="113" t="s">
        <v>24</v>
      </c>
      <c r="I226" s="115" t="s">
        <v>22</v>
      </c>
      <c r="J226" s="115">
        <v>1020055</v>
      </c>
      <c r="K226" s="115" t="s">
        <v>26</v>
      </c>
      <c r="L226" s="60">
        <v>500000</v>
      </c>
      <c r="M226" s="60">
        <v>1</v>
      </c>
      <c r="N226" s="60">
        <f>Main_Issuance[[#This Row],[LC Amt(FCY)]]*Main_Issuance[[#This Row],[Rate]]</f>
        <v>500000</v>
      </c>
      <c r="O226" s="77">
        <v>45747</v>
      </c>
      <c r="P226" s="77">
        <v>45747</v>
      </c>
      <c r="Q226" s="77" t="s">
        <v>27</v>
      </c>
      <c r="R226" s="115" t="s">
        <v>311</v>
      </c>
      <c r="S226" s="82"/>
      <c r="T226" s="82"/>
      <c r="U226" s="82"/>
      <c r="V226" s="97">
        <v>0</v>
      </c>
      <c r="W226" s="115"/>
      <c r="X226" s="120" t="str">
        <f ca="1">IF(AND((Main_Issuance[[#This Row],[Expiry Date]]+31)&gt;TODAY(),Main_Issuance[[#This Row],[Status]]&lt;&gt;"Cancelled"),"Active","Cancelled")</f>
        <v>Cancelled</v>
      </c>
      <c r="Y226" s="410"/>
      <c r="Z226" s="408"/>
      <c r="AA226" s="408" t="s">
        <v>378</v>
      </c>
      <c r="AB226" s="83" cm="1">
        <f t="array" ref="AB226">Iss_Tariff(Main_Issuance[[#This Row],[Bank]],Main_Issuance[[#This Row],[LC Amt(SAR)]],Main_Issuance[[#This Row],[Issue Date.]],Main_Issuance[[#This Row],[Expiry Date]],Main_Issuance[[#This Row],[Calculate]])</f>
        <v>0</v>
      </c>
      <c r="AC226" s="83"/>
    </row>
    <row r="227" spans="1:29" ht="15.75" hidden="1" x14ac:dyDescent="0.25">
      <c r="A227" s="114" t="s">
        <v>633</v>
      </c>
      <c r="B227" s="77">
        <v>45680</v>
      </c>
      <c r="C227" s="77" t="s">
        <v>441</v>
      </c>
      <c r="D227" s="115" t="s">
        <v>20</v>
      </c>
      <c r="E227" s="115" t="s">
        <v>21</v>
      </c>
      <c r="F227" s="115" t="s">
        <v>22</v>
      </c>
      <c r="G227" s="115" t="s">
        <v>37</v>
      </c>
      <c r="H227" s="113" t="s">
        <v>24</v>
      </c>
      <c r="I227" s="115" t="s">
        <v>22</v>
      </c>
      <c r="J227" s="115">
        <v>1020055</v>
      </c>
      <c r="K227" s="115" t="s">
        <v>26</v>
      </c>
      <c r="L227" s="60">
        <v>350000</v>
      </c>
      <c r="M227" s="60">
        <v>1</v>
      </c>
      <c r="N227" s="60">
        <f>Main_Issuance[[#This Row],[LC Amt(FCY)]]*Main_Issuance[[#This Row],[Rate]]</f>
        <v>350000</v>
      </c>
      <c r="O227" s="77">
        <v>45777</v>
      </c>
      <c r="P227" s="77">
        <v>45777</v>
      </c>
      <c r="Q227" s="77" t="s">
        <v>27</v>
      </c>
      <c r="R227" s="115" t="s">
        <v>311</v>
      </c>
      <c r="S227" s="82"/>
      <c r="T227" s="82"/>
      <c r="U227" s="82"/>
      <c r="V227" s="97">
        <v>0</v>
      </c>
      <c r="W227" s="115"/>
      <c r="X227" s="120" t="str">
        <f ca="1">IF(AND((Main_Issuance[[#This Row],[Expiry Date]]+31)&gt;TODAY(),Main_Issuance[[#This Row],[Status]]&lt;&gt;"Cancelled"),"Active","Cancelled")</f>
        <v>Cancelled</v>
      </c>
      <c r="Y227" s="410"/>
      <c r="Z227" s="408"/>
      <c r="AA227" s="408" t="s">
        <v>378</v>
      </c>
      <c r="AB227" s="83" cm="1">
        <f t="array" ref="AB227">Iss_Tariff(Main_Issuance[[#This Row],[Bank]],Main_Issuance[[#This Row],[LC Amt(SAR)]],Main_Issuance[[#This Row],[Issue Date.]],Main_Issuance[[#This Row],[Expiry Date]],Main_Issuance[[#This Row],[Calculate]])</f>
        <v>0</v>
      </c>
      <c r="AC227" s="83"/>
    </row>
    <row r="228" spans="1:29" ht="15.75" hidden="1" x14ac:dyDescent="0.25">
      <c r="A228" s="114" t="s">
        <v>1426</v>
      </c>
      <c r="B228" s="77">
        <v>45809</v>
      </c>
      <c r="C228" s="77" t="s">
        <v>441</v>
      </c>
      <c r="D228" s="115" t="s">
        <v>20</v>
      </c>
      <c r="E228" s="115" t="s">
        <v>95</v>
      </c>
      <c r="F228" s="115" t="s">
        <v>96</v>
      </c>
      <c r="G228" s="115" t="s">
        <v>1320</v>
      </c>
      <c r="H228" s="113" t="s">
        <v>24</v>
      </c>
      <c r="I228" s="115" t="s">
        <v>22</v>
      </c>
      <c r="J228" s="115">
        <v>1020055</v>
      </c>
      <c r="K228" s="115" t="s">
        <v>26</v>
      </c>
      <c r="L228" s="60">
        <v>1000000</v>
      </c>
      <c r="M228" s="60">
        <v>1</v>
      </c>
      <c r="N228" s="60">
        <f>Main_Issuance[[#This Row],[LC Amt(FCY)]]*Main_Issuance[[#This Row],[Rate]]</f>
        <v>1000000</v>
      </c>
      <c r="O228" s="77">
        <v>45961</v>
      </c>
      <c r="P228" s="77">
        <v>45961</v>
      </c>
      <c r="Q228" s="77" t="s">
        <v>27</v>
      </c>
      <c r="R228" s="115" t="s">
        <v>621</v>
      </c>
      <c r="S228" s="82"/>
      <c r="T228" s="82"/>
      <c r="U228" s="82"/>
      <c r="V228" s="97">
        <v>0</v>
      </c>
      <c r="W228" s="115"/>
      <c r="X228" s="120" t="str">
        <f ca="1">IF(AND((Main_Issuance[[#This Row],[Expiry Date]]+31)&gt;TODAY(),Main_Issuance[[#This Row],[Status]]&lt;&gt;"Cancelled"),"Active","Cancelled")</f>
        <v>Cancelled</v>
      </c>
      <c r="Y228" s="410"/>
      <c r="Z228" s="408"/>
      <c r="AA228" s="408" t="s">
        <v>378</v>
      </c>
      <c r="AB228" s="83" cm="1">
        <f t="array" ref="AB228">Iss_Tariff(Main_Issuance[[#This Row],[Bank]],Main_Issuance[[#This Row],[LC Amt(SAR)]],Main_Issuance[[#This Row],[Issue Date.]],Main_Issuance[[#This Row],[Expiry Date]],Main_Issuance[[#This Row],[Calculate]])</f>
        <v>0</v>
      </c>
      <c r="AC228" s="83"/>
    </row>
    <row r="229" spans="1:29" ht="15.75" hidden="1" x14ac:dyDescent="0.25">
      <c r="A229" s="114" t="s">
        <v>1432</v>
      </c>
      <c r="B229" s="77">
        <v>45810</v>
      </c>
      <c r="C229" s="77" t="s">
        <v>441</v>
      </c>
      <c r="D229" s="115" t="s">
        <v>20</v>
      </c>
      <c r="E229" s="115" t="s">
        <v>366</v>
      </c>
      <c r="F229" s="115" t="s">
        <v>710</v>
      </c>
      <c r="G229" s="115" t="s">
        <v>1385</v>
      </c>
      <c r="H229" s="113" t="s">
        <v>24</v>
      </c>
      <c r="I229" s="115" t="s">
        <v>710</v>
      </c>
      <c r="J229" s="115">
        <v>1020088</v>
      </c>
      <c r="K229" s="115" t="s">
        <v>26</v>
      </c>
      <c r="L229" s="60">
        <v>300000</v>
      </c>
      <c r="M229" s="60">
        <v>1</v>
      </c>
      <c r="N229" s="60">
        <f>Main_Issuance[[#This Row],[LC Amt(FCY)]]*Main_Issuance[[#This Row],[Rate]]</f>
        <v>300000</v>
      </c>
      <c r="O229" s="77">
        <v>45900</v>
      </c>
      <c r="P229" s="77">
        <v>45900</v>
      </c>
      <c r="Q229" s="77" t="s">
        <v>27</v>
      </c>
      <c r="R229" s="115" t="s">
        <v>621</v>
      </c>
      <c r="S229" s="82"/>
      <c r="T229" s="82"/>
      <c r="U229" s="82"/>
      <c r="V229" s="97">
        <v>0</v>
      </c>
      <c r="W229" s="115"/>
      <c r="X229" s="120" t="str">
        <f ca="1">IF(AND((Main_Issuance[[#This Row],[Expiry Date]]+31)&gt;TODAY(),Main_Issuance[[#This Row],[Status]]&lt;&gt;"Cancelled"),"Active","Cancelled")</f>
        <v>Cancelled</v>
      </c>
      <c r="Y229" s="410"/>
      <c r="Z229" s="408"/>
      <c r="AA229" s="408" t="s">
        <v>378</v>
      </c>
      <c r="AB229" s="83" cm="1">
        <f t="array" ref="AB229">Iss_Tariff(Main_Issuance[[#This Row],[Bank]],Main_Issuance[[#This Row],[LC Amt(SAR)]],Main_Issuance[[#This Row],[Issue Date.]],Main_Issuance[[#This Row],[Expiry Date]],Main_Issuance[[#This Row],[Calculate]])</f>
        <v>0</v>
      </c>
      <c r="AC229" s="83"/>
    </row>
    <row r="230" spans="1:29" ht="15.75" hidden="1" x14ac:dyDescent="0.25">
      <c r="A230" s="114" t="s">
        <v>1905</v>
      </c>
      <c r="B230" s="77">
        <v>45930</v>
      </c>
      <c r="C230" s="77" t="s">
        <v>441</v>
      </c>
      <c r="D230" s="115" t="s">
        <v>20</v>
      </c>
      <c r="E230" s="115" t="s">
        <v>366</v>
      </c>
      <c r="F230" s="115" t="s">
        <v>710</v>
      </c>
      <c r="G230" s="115" t="s">
        <v>1385</v>
      </c>
      <c r="H230" s="115" t="s">
        <v>24</v>
      </c>
      <c r="I230" s="115" t="s">
        <v>710</v>
      </c>
      <c r="J230" s="113">
        <v>1020088</v>
      </c>
      <c r="K230" s="115" t="s">
        <v>26</v>
      </c>
      <c r="L230" s="119">
        <v>500000</v>
      </c>
      <c r="M230" s="82">
        <v>1</v>
      </c>
      <c r="N230" s="82">
        <f>Main_Issuance[[#This Row],[LC Amt(FCY)]]*Main_Issuance[[#This Row],[Rate]]</f>
        <v>500000</v>
      </c>
      <c r="O230" s="77">
        <v>46081</v>
      </c>
      <c r="P230" s="77">
        <v>46081</v>
      </c>
      <c r="Q230" s="77" t="s">
        <v>27</v>
      </c>
      <c r="R230" s="115" t="s">
        <v>621</v>
      </c>
      <c r="S230" s="82"/>
      <c r="T230" s="82"/>
      <c r="U230" s="82"/>
      <c r="V230" s="83">
        <v>0</v>
      </c>
      <c r="W230" s="115"/>
      <c r="X230" s="120" t="str">
        <f ca="1">IF(AND((Main_Issuance[[#This Row],[Expiry Date]]+31)&gt;TODAY(),Main_Issuance[[#This Row],[Status]]&lt;&gt;"Cancelled"),"Active","Cancelled")</f>
        <v>Cancelled</v>
      </c>
      <c r="Y230" s="409"/>
      <c r="Z230" s="408"/>
      <c r="AA230" s="408" t="s">
        <v>857</v>
      </c>
      <c r="AB230" s="83" cm="1">
        <f t="array" ref="AB230">Iss_Tariff(Main_Issuance[[#This Row],[Bank]],Main_Issuance[[#This Row],[LC Amt(SAR)]],Main_Issuance[[#This Row],[Issue Date.]],Main_Issuance[[#This Row],[Expiry Date]],Main_Issuance[[#This Row],[Calculate]])</f>
        <v>2961.25</v>
      </c>
      <c r="AC230" s="83"/>
    </row>
    <row r="231" spans="1:29" ht="15.75" hidden="1" x14ac:dyDescent="0.25">
      <c r="A231" s="115" t="s">
        <v>3704</v>
      </c>
      <c r="B231" s="77">
        <v>46036</v>
      </c>
      <c r="C231" s="77" t="s">
        <v>441</v>
      </c>
      <c r="D231" s="115" t="s">
        <v>20</v>
      </c>
      <c r="E231" s="115" t="s">
        <v>366</v>
      </c>
      <c r="F231" s="115" t="s">
        <v>710</v>
      </c>
      <c r="G231" s="115" t="s">
        <v>1385</v>
      </c>
      <c r="H231" s="115" t="s">
        <v>24</v>
      </c>
      <c r="I231" s="115" t="s">
        <v>710</v>
      </c>
      <c r="J231" s="113">
        <v>1020088</v>
      </c>
      <c r="K231" s="115" t="s">
        <v>26</v>
      </c>
      <c r="L231" s="119">
        <v>900000</v>
      </c>
      <c r="M231" s="82">
        <v>1</v>
      </c>
      <c r="N231" s="82">
        <f>Main_Issuance[[#This Row],[LC Amt(FCY)]]*Main_Issuance[[#This Row],[Rate]]</f>
        <v>900000</v>
      </c>
      <c r="O231" s="77">
        <v>46203</v>
      </c>
      <c r="P231" s="77">
        <v>46203</v>
      </c>
      <c r="Q231" s="77" t="s">
        <v>27</v>
      </c>
      <c r="R231" s="115" t="s">
        <v>1904</v>
      </c>
      <c r="S231" s="82"/>
      <c r="T231" s="82"/>
      <c r="U231" s="82"/>
      <c r="V231" s="97">
        <v>0</v>
      </c>
      <c r="W231" s="115"/>
      <c r="X231" s="77" t="str">
        <f ca="1">IF(AND((Main_Issuance[[#This Row],[Expiry Date]]+31)&gt;TODAY(),Main_Issuance[[#This Row],[Status]]&lt;&gt;"Cancelled"),"Active","Cancelled")</f>
        <v>Active</v>
      </c>
      <c r="Y231" s="409"/>
      <c r="Z231" s="408"/>
      <c r="AA231" s="408" t="s">
        <v>857</v>
      </c>
      <c r="AB231" s="83" cm="1">
        <f t="array" ref="AB231">Iss_Tariff(Main_Issuance[[#This Row],[Bank]],Main_Issuance[[#This Row],[LC Amt(SAR)]],Main_Issuance[[#This Row],[Issue Date.]],Main_Issuance[[#This Row],[Expiry Date]],Main_Issuance[[#This Row],[Calculate]])</f>
        <v>5261.25</v>
      </c>
      <c r="AC231" s="83"/>
    </row>
    <row r="232" spans="1:29" ht="15.75" hidden="1" x14ac:dyDescent="0.25">
      <c r="A232" s="114" t="s">
        <v>474</v>
      </c>
      <c r="B232" s="77">
        <v>45684</v>
      </c>
      <c r="C232" s="77" t="s">
        <v>509</v>
      </c>
      <c r="D232" s="115" t="s">
        <v>20</v>
      </c>
      <c r="E232" s="115" t="s">
        <v>95</v>
      </c>
      <c r="F232" s="115" t="s">
        <v>96</v>
      </c>
      <c r="G232" s="115" t="s">
        <v>475</v>
      </c>
      <c r="H232" s="113" t="s">
        <v>24</v>
      </c>
      <c r="I232" s="115" t="s">
        <v>407</v>
      </c>
      <c r="J232" s="115">
        <v>1020100</v>
      </c>
      <c r="K232" s="115" t="s">
        <v>26</v>
      </c>
      <c r="L232" s="60">
        <v>600000</v>
      </c>
      <c r="M232" s="60">
        <v>1</v>
      </c>
      <c r="N232" s="60">
        <f>Main_Issuance[[#This Row],[LC Amt(FCY)]]*Main_Issuance[[#This Row],[Rate]]</f>
        <v>600000</v>
      </c>
      <c r="O232" s="77">
        <v>45747</v>
      </c>
      <c r="P232" s="77">
        <v>45720</v>
      </c>
      <c r="Q232" s="77" t="s">
        <v>27</v>
      </c>
      <c r="R232" s="115" t="s">
        <v>311</v>
      </c>
      <c r="S232" s="82"/>
      <c r="T232" s="82"/>
      <c r="U232" s="82"/>
      <c r="V232" s="97">
        <v>0</v>
      </c>
      <c r="W232" s="115"/>
      <c r="X232" s="120" t="str">
        <f ca="1">IF(AND((Main_Issuance[[#This Row],[Expiry Date]]+31)&gt;TODAY(),Main_Issuance[[#This Row],[Status]]&lt;&gt;"Cancelled"),"Active","Cancelled")</f>
        <v>Cancelled</v>
      </c>
      <c r="Y232" s="410"/>
      <c r="Z232" s="408"/>
      <c r="AA232" s="408" t="s">
        <v>378</v>
      </c>
      <c r="AB232" s="83" cm="1">
        <f t="array" ref="AB232">Iss_Tariff(Main_Issuance[[#This Row],[Bank]],Main_Issuance[[#This Row],[LC Amt(SAR)]],Main_Issuance[[#This Row],[Issue Date.]],Main_Issuance[[#This Row],[Expiry Date]],Main_Issuance[[#This Row],[Calculate]])</f>
        <v>0</v>
      </c>
      <c r="AC232" s="83"/>
    </row>
    <row r="233" spans="1:29" ht="15.75" hidden="1" x14ac:dyDescent="0.25">
      <c r="A233" s="114" t="s">
        <v>2624</v>
      </c>
      <c r="B233" s="77">
        <v>45911</v>
      </c>
      <c r="C233" s="77" t="s">
        <v>1537</v>
      </c>
      <c r="D233" s="115" t="s">
        <v>20</v>
      </c>
      <c r="E233" s="115" t="s">
        <v>62</v>
      </c>
      <c r="F233" s="115" t="s">
        <v>70</v>
      </c>
      <c r="G233" s="115" t="s">
        <v>1805</v>
      </c>
      <c r="H233" s="113" t="s">
        <v>24</v>
      </c>
      <c r="I233" s="115" t="s">
        <v>483</v>
      </c>
      <c r="J233" s="115">
        <v>1020096</v>
      </c>
      <c r="K233" s="115" t="s">
        <v>26</v>
      </c>
      <c r="L233" s="60">
        <f>400000-66939.46</f>
        <v>333060.53999999998</v>
      </c>
      <c r="M233" s="60">
        <v>1</v>
      </c>
      <c r="N233" s="60">
        <f>Main_Issuance[[#This Row],[LC Amt(FCY)]]*Main_Issuance[[#This Row],[Rate]]</f>
        <v>333060.53999999998</v>
      </c>
      <c r="O233" s="77">
        <v>45991</v>
      </c>
      <c r="P233" s="77">
        <v>45991</v>
      </c>
      <c r="Q233" s="77" t="s">
        <v>70</v>
      </c>
      <c r="R233" s="115" t="s">
        <v>621</v>
      </c>
      <c r="S233" s="82"/>
      <c r="T233" s="82"/>
      <c r="U233" s="82">
        <v>333060.53999999998</v>
      </c>
      <c r="V233" s="97">
        <v>0</v>
      </c>
      <c r="W233" s="115"/>
      <c r="X233" s="120" t="str">
        <f ca="1">IF(AND((Main_Issuance[[#This Row],[Expiry Date]]+31)&gt;TODAY(),Main_Issuance[[#This Row],[Status]]&lt;&gt;"Cancelled"),"Active","Cancelled")</f>
        <v>Cancelled</v>
      </c>
      <c r="Y233" s="410"/>
      <c r="Z233" s="408"/>
      <c r="AA233" s="408" t="s">
        <v>378</v>
      </c>
      <c r="AB233" s="83" cm="1">
        <f t="array" ref="AB233">Iss_Tariff(Main_Issuance[[#This Row],[Bank]],Main_Issuance[[#This Row],[LC Amt(SAR)]],Main_Issuance[[#This Row],[Issue Date.]],Main_Issuance[[#This Row],[Expiry Date]],Main_Issuance[[#This Row],[Calculate]])</f>
        <v>0</v>
      </c>
      <c r="AC233" s="83"/>
    </row>
    <row r="234" spans="1:29" ht="15.75" hidden="1" x14ac:dyDescent="0.25">
      <c r="A234" s="114" t="s">
        <v>1927</v>
      </c>
      <c r="B234" s="77">
        <v>45911</v>
      </c>
      <c r="C234" s="77" t="s">
        <v>1537</v>
      </c>
      <c r="D234" s="115" t="s">
        <v>20</v>
      </c>
      <c r="E234" s="115" t="s">
        <v>62</v>
      </c>
      <c r="F234" s="115" t="s">
        <v>483</v>
      </c>
      <c r="G234" s="115" t="s">
        <v>1805</v>
      </c>
      <c r="H234" s="113" t="s">
        <v>24</v>
      </c>
      <c r="I234" s="115" t="s">
        <v>483</v>
      </c>
      <c r="J234" s="115">
        <v>1020096</v>
      </c>
      <c r="K234" s="115" t="s">
        <v>26</v>
      </c>
      <c r="L234" s="119">
        <f>400000-333060.54</f>
        <v>66939.460000000021</v>
      </c>
      <c r="M234" s="82">
        <v>1</v>
      </c>
      <c r="N234" s="82">
        <f>Main_Issuance[[#This Row],[LC Amt(FCY)]]*Main_Issuance[[#This Row],[Rate]]</f>
        <v>66939.460000000021</v>
      </c>
      <c r="O234" s="77">
        <v>45991</v>
      </c>
      <c r="P234" s="77">
        <v>45991</v>
      </c>
      <c r="Q234" s="77" t="s">
        <v>27</v>
      </c>
      <c r="R234" s="115" t="s">
        <v>621</v>
      </c>
      <c r="S234" s="82"/>
      <c r="T234" s="82"/>
      <c r="U234" s="82"/>
      <c r="V234" s="97">
        <v>0</v>
      </c>
      <c r="W234" s="115"/>
      <c r="X234" s="120" t="str">
        <f ca="1">IF(AND((Main_Issuance[[#This Row],[Expiry Date]]+31)&gt;TODAY(),Main_Issuance[[#This Row],[Status]]&lt;&gt;"Cancelled"),"Active","Cancelled")</f>
        <v>Cancelled</v>
      </c>
      <c r="Y234" s="409"/>
      <c r="Z234" s="408"/>
      <c r="AA234" s="408" t="s">
        <v>378</v>
      </c>
      <c r="AB234" s="83" cm="1">
        <f t="array" ref="AB234">Iss_Tariff(Main_Issuance[[#This Row],[Bank]],Main_Issuance[[#This Row],[LC Amt(SAR)]],Main_Issuance[[#This Row],[Issue Date.]],Main_Issuance[[#This Row],[Expiry Date]],Main_Issuance[[#This Row],[Calculate]])</f>
        <v>0</v>
      </c>
      <c r="AC234" s="83"/>
    </row>
    <row r="235" spans="1:29" ht="15.75" hidden="1" x14ac:dyDescent="0.25">
      <c r="A235" s="114" t="s">
        <v>370</v>
      </c>
      <c r="B235" s="77">
        <v>45504</v>
      </c>
      <c r="C235" s="77" t="s">
        <v>1119</v>
      </c>
      <c r="D235" s="115" t="s">
        <v>20</v>
      </c>
      <c r="E235" s="115" t="s">
        <v>366</v>
      </c>
      <c r="F235" s="115" t="s">
        <v>367</v>
      </c>
      <c r="G235" s="115" t="s">
        <v>371</v>
      </c>
      <c r="H235" s="113" t="s">
        <v>72</v>
      </c>
      <c r="I235" s="115" t="s">
        <v>367</v>
      </c>
      <c r="J235" s="115">
        <v>1020091</v>
      </c>
      <c r="K235" s="115" t="s">
        <v>26</v>
      </c>
      <c r="L235" s="60">
        <f>60000000-1716600-28283400</f>
        <v>30000000</v>
      </c>
      <c r="M235" s="60">
        <v>1</v>
      </c>
      <c r="N235" s="60">
        <f>Main_Issuance[[#This Row],[LC Amt(FCY)]]*Main_Issuance[[#This Row],[Rate]]</f>
        <v>30000000</v>
      </c>
      <c r="O235" s="77">
        <v>45747</v>
      </c>
      <c r="P235" s="77">
        <v>45735</v>
      </c>
      <c r="Q235" s="77" t="s">
        <v>27</v>
      </c>
      <c r="R235" s="115" t="s">
        <v>208</v>
      </c>
      <c r="S235" s="82"/>
      <c r="T235" s="82"/>
      <c r="U235" s="82"/>
      <c r="V235" s="97">
        <v>0</v>
      </c>
      <c r="W235" s="115"/>
      <c r="X235" s="120" t="str">
        <f ca="1">IF(AND((Main_Issuance[[#This Row],[Expiry Date]]+31)&gt;TODAY(),Main_Issuance[[#This Row],[Status]]&lt;&gt;"Cancelled"),"Active","Cancelled")</f>
        <v>Cancelled</v>
      </c>
      <c r="Y235" s="410"/>
      <c r="Z235" s="408"/>
      <c r="AA235" s="408" t="s">
        <v>378</v>
      </c>
      <c r="AB235" s="83" cm="1">
        <f t="array" ref="AB235">Iss_Tariff(Main_Issuance[[#This Row],[Bank]],Main_Issuance[[#This Row],[LC Amt(SAR)]],Main_Issuance[[#This Row],[Issue Date.]],Main_Issuance[[#This Row],[Expiry Date]],Main_Issuance[[#This Row],[Calculate]])</f>
        <v>0</v>
      </c>
      <c r="AC235" s="83"/>
    </row>
    <row r="236" spans="1:29" ht="15.75" hidden="1" x14ac:dyDescent="0.25">
      <c r="A236" s="114" t="s">
        <v>103</v>
      </c>
      <c r="B236" s="77">
        <v>44938</v>
      </c>
      <c r="C236" s="77" t="s">
        <v>441</v>
      </c>
      <c r="D236" s="115" t="s">
        <v>20</v>
      </c>
      <c r="E236" s="115" t="s">
        <v>21</v>
      </c>
      <c r="F236" s="115" t="s">
        <v>22</v>
      </c>
      <c r="G236" s="115" t="s">
        <v>104</v>
      </c>
      <c r="H236" s="113" t="s">
        <v>72</v>
      </c>
      <c r="I236" s="115" t="s">
        <v>22</v>
      </c>
      <c r="J236" s="115">
        <v>1020055</v>
      </c>
      <c r="K236" s="115" t="s">
        <v>78</v>
      </c>
      <c r="L236" s="60">
        <v>2496892.84</v>
      </c>
      <c r="M236" s="60">
        <v>3.75</v>
      </c>
      <c r="N236" s="60">
        <f>Main_Issuance[[#This Row],[LC Amt(FCY)]]*Main_Issuance[[#This Row],[Rate]]</f>
        <v>9363348.1499999985</v>
      </c>
      <c r="O236" s="77">
        <v>45037</v>
      </c>
      <c r="P236" s="77">
        <v>45037</v>
      </c>
      <c r="Q236" s="77" t="s">
        <v>27</v>
      </c>
      <c r="R236" s="115"/>
      <c r="S236" s="82"/>
      <c r="T236" s="82"/>
      <c r="U236" s="82"/>
      <c r="V236" s="97">
        <v>0</v>
      </c>
      <c r="W236" s="115"/>
      <c r="X236" s="120" t="str">
        <f ca="1">IF(AND((Main_Issuance[[#This Row],[Expiry Date]]+31)&gt;TODAY(),Main_Issuance[[#This Row],[Status]]&lt;&gt;"Cancelled"),"Active","Cancelled")</f>
        <v>Cancelled</v>
      </c>
      <c r="Y236" s="410"/>
      <c r="Z236" s="408"/>
      <c r="AA236" s="408" t="s">
        <v>378</v>
      </c>
      <c r="AB236" s="83" cm="1">
        <f t="array" ref="AB236">Iss_Tariff(Main_Issuance[[#This Row],[Bank]],Main_Issuance[[#This Row],[LC Amt(SAR)]],Main_Issuance[[#This Row],[Issue Date.]],Main_Issuance[[#This Row],[Expiry Date]],Main_Issuance[[#This Row],[Calculate]])</f>
        <v>0</v>
      </c>
      <c r="AC236" s="83"/>
    </row>
    <row r="237" spans="1:29" ht="15.75" hidden="1" x14ac:dyDescent="0.25">
      <c r="A237" s="114" t="s">
        <v>61</v>
      </c>
      <c r="B237" s="77">
        <v>45161</v>
      </c>
      <c r="C237" s="77" t="s">
        <v>1186</v>
      </c>
      <c r="D237" s="115" t="s">
        <v>20</v>
      </c>
      <c r="E237" s="115" t="s">
        <v>62</v>
      </c>
      <c r="F237" s="115" t="s">
        <v>63</v>
      </c>
      <c r="G237" s="115" t="s">
        <v>64</v>
      </c>
      <c r="H237" s="113" t="s">
        <v>65</v>
      </c>
      <c r="I237" s="115" t="s">
        <v>66</v>
      </c>
      <c r="J237" s="115">
        <v>1020076</v>
      </c>
      <c r="K237" s="115" t="s">
        <v>67</v>
      </c>
      <c r="L237" s="60">
        <v>25798747</v>
      </c>
      <c r="M237" s="60">
        <v>4.2647402999999997</v>
      </c>
      <c r="N237" s="60">
        <f>Main_Issuance[[#This Row],[LC Amt(FCY)]]*Main_Issuance[[#This Row],[Rate]]</f>
        <v>110024956.02040409</v>
      </c>
      <c r="O237" s="77">
        <v>45535</v>
      </c>
      <c r="P237" s="77">
        <v>45535</v>
      </c>
      <c r="Q237" s="77" t="s">
        <v>27</v>
      </c>
      <c r="R237" s="115" t="s">
        <v>68</v>
      </c>
      <c r="S237" s="82"/>
      <c r="T237" s="82"/>
      <c r="U237" s="82"/>
      <c r="V237" s="97">
        <v>0</v>
      </c>
      <c r="W237" s="115"/>
      <c r="X237" s="120" t="str">
        <f ca="1">IF(AND((Main_Issuance[[#This Row],[Expiry Date]]+31)&gt;TODAY(),Main_Issuance[[#This Row],[Status]]&lt;&gt;"Cancelled"),"Active","Cancelled")</f>
        <v>Cancelled</v>
      </c>
      <c r="Y237" s="410"/>
      <c r="Z237" s="408"/>
      <c r="AA237" s="408" t="s">
        <v>378</v>
      </c>
      <c r="AB237" s="83" cm="1">
        <f t="array" ref="AB237">Iss_Tariff(Main_Issuance[[#This Row],[Bank]],Main_Issuance[[#This Row],[LC Amt(SAR)]],Main_Issuance[[#This Row],[Issue Date.]],Main_Issuance[[#This Row],[Expiry Date]],Main_Issuance[[#This Row],[Calculate]])</f>
        <v>0</v>
      </c>
      <c r="AC237" s="83"/>
    </row>
    <row r="238" spans="1:29" ht="15.75" hidden="1" x14ac:dyDescent="0.25">
      <c r="A238" s="114" t="s">
        <v>689</v>
      </c>
      <c r="B238" s="77">
        <v>45683</v>
      </c>
      <c r="C238" s="77" t="s">
        <v>1119</v>
      </c>
      <c r="D238" s="115" t="s">
        <v>20</v>
      </c>
      <c r="E238" s="115" t="s">
        <v>366</v>
      </c>
      <c r="F238" s="115" t="s">
        <v>367</v>
      </c>
      <c r="G238" s="115" t="s">
        <v>690</v>
      </c>
      <c r="H238" s="113" t="s">
        <v>72</v>
      </c>
      <c r="I238" s="115" t="s">
        <v>367</v>
      </c>
      <c r="J238" s="115">
        <v>1020091</v>
      </c>
      <c r="K238" s="115" t="s">
        <v>26</v>
      </c>
      <c r="L238" s="60">
        <v>15413737.5</v>
      </c>
      <c r="M238" s="60">
        <v>1</v>
      </c>
      <c r="N238" s="60">
        <f>Main_Issuance[[#This Row],[LC Amt(FCY)]]*Main_Issuance[[#This Row],[Rate]]</f>
        <v>15413737.5</v>
      </c>
      <c r="O238" s="77">
        <v>45915</v>
      </c>
      <c r="P238" s="77">
        <v>45899</v>
      </c>
      <c r="Q238" s="77" t="s">
        <v>27</v>
      </c>
      <c r="R238" s="115" t="s">
        <v>311</v>
      </c>
      <c r="S238" s="82"/>
      <c r="T238" s="82"/>
      <c r="U238" s="82"/>
      <c r="V238" s="97">
        <v>0</v>
      </c>
      <c r="W238" s="115"/>
      <c r="X238" s="120" t="str">
        <f ca="1">IF(AND((Main_Issuance[[#This Row],[Expiry Date]]+31)&gt;TODAY(),Main_Issuance[[#This Row],[Status]]&lt;&gt;"Cancelled"),"Active","Cancelled")</f>
        <v>Cancelled</v>
      </c>
      <c r="Y238" s="410"/>
      <c r="Z238" s="408"/>
      <c r="AA238" s="408" t="s">
        <v>378</v>
      </c>
      <c r="AB238" s="83" cm="1">
        <f t="array" ref="AB238">Iss_Tariff(Main_Issuance[[#This Row],[Bank]],Main_Issuance[[#This Row],[LC Amt(SAR)]],Main_Issuance[[#This Row],[Issue Date.]],Main_Issuance[[#This Row],[Expiry Date]],Main_Issuance[[#This Row],[Calculate]])</f>
        <v>0</v>
      </c>
      <c r="AC238" s="83"/>
    </row>
    <row r="239" spans="1:29" ht="15.75" hidden="1" x14ac:dyDescent="0.25">
      <c r="A239" s="114" t="s">
        <v>1746</v>
      </c>
      <c r="B239" s="77">
        <v>45883</v>
      </c>
      <c r="C239" s="77" t="s">
        <v>1727</v>
      </c>
      <c r="D239" s="115" t="s">
        <v>20</v>
      </c>
      <c r="E239" s="115" t="s">
        <v>62</v>
      </c>
      <c r="F239" s="115" t="s">
        <v>70</v>
      </c>
      <c r="G239" s="115" t="s">
        <v>1705</v>
      </c>
      <c r="H239" s="113" t="s">
        <v>869</v>
      </c>
      <c r="I239" s="115" t="s">
        <v>1762</v>
      </c>
      <c r="J239" s="115"/>
      <c r="K239" s="115" t="s">
        <v>26</v>
      </c>
      <c r="L239" s="60">
        <v>222582</v>
      </c>
      <c r="M239" s="60">
        <v>1</v>
      </c>
      <c r="N239" s="60">
        <f>Main_Issuance[[#This Row],[LC Amt(FCY)]]*Main_Issuance[[#This Row],[Rate]]</f>
        <v>222582</v>
      </c>
      <c r="O239" s="77">
        <v>45930</v>
      </c>
      <c r="P239" s="77">
        <v>45915</v>
      </c>
      <c r="Q239" s="77" t="s">
        <v>70</v>
      </c>
      <c r="R239" s="115" t="s">
        <v>208</v>
      </c>
      <c r="S239" s="82"/>
      <c r="T239" s="82"/>
      <c r="U239" s="82"/>
      <c r="V239" s="97"/>
      <c r="W239" s="115" t="s">
        <v>2864</v>
      </c>
      <c r="X239" s="120" t="str">
        <f ca="1">IF(AND((Main_Issuance[[#This Row],[Expiry Date]]+31)&gt;TODAY(),Main_Issuance[[#This Row],[Status]]&lt;&gt;"Cancelled"),"Active","Cancelled")</f>
        <v>Cancelled</v>
      </c>
      <c r="Y239" s="410"/>
      <c r="Z239" s="408"/>
      <c r="AA239" s="408" t="s">
        <v>378</v>
      </c>
      <c r="AB239" s="83" cm="1">
        <f t="array" ref="AB239">Iss_Tariff(Main_Issuance[[#This Row],[Bank]],Main_Issuance[[#This Row],[LC Amt(SAR)]],Main_Issuance[[#This Row],[Issue Date.]],Main_Issuance[[#This Row],[Expiry Date]],Main_Issuance[[#This Row],[Calculate]])</f>
        <v>0</v>
      </c>
      <c r="AC239" s="83"/>
    </row>
    <row r="240" spans="1:29" ht="15.75" hidden="1" x14ac:dyDescent="0.25">
      <c r="A240" s="114" t="s">
        <v>1486</v>
      </c>
      <c r="B240" s="77">
        <v>45831</v>
      </c>
      <c r="C240" s="77" t="s">
        <v>1878</v>
      </c>
      <c r="D240" s="115" t="s">
        <v>20</v>
      </c>
      <c r="E240" s="115" t="s">
        <v>366</v>
      </c>
      <c r="F240" s="115" t="s">
        <v>367</v>
      </c>
      <c r="G240" s="115" t="s">
        <v>1478</v>
      </c>
      <c r="H240" s="115" t="s">
        <v>3220</v>
      </c>
      <c r="I240" s="115" t="s">
        <v>367</v>
      </c>
      <c r="J240" s="115">
        <v>1020091</v>
      </c>
      <c r="K240" s="115" t="s">
        <v>26</v>
      </c>
      <c r="L240" s="119">
        <v>1150000</v>
      </c>
      <c r="M240" s="119">
        <v>1</v>
      </c>
      <c r="N240" s="119">
        <f>Main_Issuance[[#This Row],[LC Amt(FCY)]]*Main_Issuance[[#This Row],[Rate]]</f>
        <v>1150000</v>
      </c>
      <c r="O240" s="77">
        <v>45976</v>
      </c>
      <c r="P240" s="77">
        <v>45960</v>
      </c>
      <c r="Q240" s="77" t="s">
        <v>27</v>
      </c>
      <c r="R240" s="115" t="s">
        <v>311</v>
      </c>
      <c r="S240" s="82"/>
      <c r="T240" s="82"/>
      <c r="U240" s="82"/>
      <c r="V240" s="97">
        <v>0</v>
      </c>
      <c r="W240" s="115"/>
      <c r="X240" s="120" t="str">
        <f ca="1">IF(AND((Main_Issuance[[#This Row],[Expiry Date]]+31)&gt;TODAY(),Main_Issuance[[#This Row],[Status]]&lt;&gt;"Cancelled"),"Active","Cancelled")</f>
        <v>Cancelled</v>
      </c>
      <c r="Y240" s="410"/>
      <c r="Z240" s="408"/>
      <c r="AA240" s="408" t="s">
        <v>378</v>
      </c>
      <c r="AB240" s="83" cm="1">
        <f t="array" ref="AB240">Iss_Tariff(Main_Issuance[[#This Row],[Bank]],Main_Issuance[[#This Row],[LC Amt(SAR)]],Main_Issuance[[#This Row],[Issue Date.]],Main_Issuance[[#This Row],[Expiry Date]],Main_Issuance[[#This Row],[Calculate]])</f>
        <v>0</v>
      </c>
      <c r="AC240" s="83"/>
    </row>
    <row r="241" spans="1:29" ht="15.75" hidden="1" x14ac:dyDescent="0.25">
      <c r="A241" s="114" t="s">
        <v>1340</v>
      </c>
      <c r="B241" s="77">
        <v>45792</v>
      </c>
      <c r="C241" s="77" t="s">
        <v>441</v>
      </c>
      <c r="D241" s="115" t="s">
        <v>20</v>
      </c>
      <c r="E241" s="115" t="s">
        <v>21</v>
      </c>
      <c r="F241" s="115" t="s">
        <v>22</v>
      </c>
      <c r="G241" s="115" t="s">
        <v>1321</v>
      </c>
      <c r="H241" s="113" t="s">
        <v>24</v>
      </c>
      <c r="I241" s="115" t="s">
        <v>22</v>
      </c>
      <c r="J241" s="115">
        <v>1020055</v>
      </c>
      <c r="K241" s="115" t="s">
        <v>26</v>
      </c>
      <c r="L241" s="60">
        <v>167957.5</v>
      </c>
      <c r="M241" s="60">
        <v>1</v>
      </c>
      <c r="N241" s="60">
        <f>Main_Issuance[[#This Row],[LC Amt(FCY)]]*Main_Issuance[[#This Row],[Rate]]</f>
        <v>167957.5</v>
      </c>
      <c r="O241" s="77">
        <v>45900</v>
      </c>
      <c r="P241" s="77">
        <v>45900</v>
      </c>
      <c r="Q241" s="77" t="s">
        <v>27</v>
      </c>
      <c r="R241" s="115" t="s">
        <v>621</v>
      </c>
      <c r="S241" s="82"/>
      <c r="T241" s="82"/>
      <c r="U241" s="82"/>
      <c r="V241" s="97">
        <v>0</v>
      </c>
      <c r="W241" s="115"/>
      <c r="X241" s="120" t="str">
        <f ca="1">IF(AND((Main_Issuance[[#This Row],[Expiry Date]]+31)&gt;TODAY(),Main_Issuance[[#This Row],[Status]]&lt;&gt;"Cancelled"),"Active","Cancelled")</f>
        <v>Cancelled</v>
      </c>
      <c r="Y241" s="410"/>
      <c r="Z241" s="408"/>
      <c r="AA241" s="408" t="s">
        <v>378</v>
      </c>
      <c r="AB241" s="83" cm="1">
        <f t="array" ref="AB241">Iss_Tariff(Main_Issuance[[#This Row],[Bank]],Main_Issuance[[#This Row],[LC Amt(SAR)]],Main_Issuance[[#This Row],[Issue Date.]],Main_Issuance[[#This Row],[Expiry Date]],Main_Issuance[[#This Row],[Calculate]])</f>
        <v>0</v>
      </c>
      <c r="AC241" s="83"/>
    </row>
    <row r="242" spans="1:29" ht="15.75" hidden="1" x14ac:dyDescent="0.25">
      <c r="A242" s="114" t="s">
        <v>1297</v>
      </c>
      <c r="B242" s="77">
        <v>45788</v>
      </c>
      <c r="C242" s="77" t="s">
        <v>441</v>
      </c>
      <c r="D242" s="115" t="s">
        <v>20</v>
      </c>
      <c r="E242" s="115" t="s">
        <v>373</v>
      </c>
      <c r="F242" s="115" t="s">
        <v>70</v>
      </c>
      <c r="G242" s="115" t="s">
        <v>1532</v>
      </c>
      <c r="H242" s="113" t="s">
        <v>24</v>
      </c>
      <c r="I242" s="115" t="s">
        <v>407</v>
      </c>
      <c r="J242" s="115">
        <v>1020100</v>
      </c>
      <c r="K242" s="115" t="s">
        <v>26</v>
      </c>
      <c r="L242" s="60">
        <v>400000</v>
      </c>
      <c r="M242" s="60">
        <v>1</v>
      </c>
      <c r="N242" s="60">
        <f>Main_Issuance[[#This Row],[LC Amt(FCY)]]*Main_Issuance[[#This Row],[Rate]]</f>
        <v>400000</v>
      </c>
      <c r="O242" s="77">
        <v>45869</v>
      </c>
      <c r="P242" s="77">
        <v>45869</v>
      </c>
      <c r="Q242" s="77" t="s">
        <v>70</v>
      </c>
      <c r="R242" s="115" t="s">
        <v>621</v>
      </c>
      <c r="S242" s="82"/>
      <c r="T242" s="82"/>
      <c r="U242" s="82"/>
      <c r="V242" s="97">
        <v>0</v>
      </c>
      <c r="W242" s="115"/>
      <c r="X242" s="120" t="str">
        <f ca="1">IF(AND((Main_Issuance[[#This Row],[Expiry Date]]+31)&gt;TODAY(),Main_Issuance[[#This Row],[Status]]&lt;&gt;"Cancelled"),"Active","Cancelled")</f>
        <v>Cancelled</v>
      </c>
      <c r="Y242" s="410"/>
      <c r="Z242" s="408"/>
      <c r="AA242" s="408" t="s">
        <v>378</v>
      </c>
      <c r="AB242" s="83" cm="1">
        <f t="array" ref="AB242">Iss_Tariff(Main_Issuance[[#This Row],[Bank]],Main_Issuance[[#This Row],[LC Amt(SAR)]],Main_Issuance[[#This Row],[Issue Date.]],Main_Issuance[[#This Row],[Expiry Date]],Main_Issuance[[#This Row],[Calculate]])</f>
        <v>0</v>
      </c>
      <c r="AC242" s="83"/>
    </row>
    <row r="243" spans="1:29" ht="15.75" hidden="1" x14ac:dyDescent="0.25">
      <c r="A243" s="114" t="s">
        <v>306</v>
      </c>
      <c r="B243" s="77">
        <v>45168</v>
      </c>
      <c r="C243" s="77" t="s">
        <v>1118</v>
      </c>
      <c r="D243" s="19" t="s">
        <v>20</v>
      </c>
      <c r="E243" s="115" t="s">
        <v>62</v>
      </c>
      <c r="F243" s="115" t="s">
        <v>70</v>
      </c>
      <c r="G243" s="115" t="s">
        <v>307</v>
      </c>
      <c r="H243" s="113" t="s">
        <v>72</v>
      </c>
      <c r="I243" s="115" t="s">
        <v>213</v>
      </c>
      <c r="J243" s="115">
        <v>1020015</v>
      </c>
      <c r="K243" s="115" t="s">
        <v>67</v>
      </c>
      <c r="L243" s="60">
        <f>46147314*110%</f>
        <v>50762045.400000006</v>
      </c>
      <c r="M243" s="60">
        <v>4.1680000000000001</v>
      </c>
      <c r="N243" s="60">
        <f>Main_Issuance[[#This Row],[LC Amt(FCY)]]*Main_Issuance[[#This Row],[Rate]]</f>
        <v>211576205.22720003</v>
      </c>
      <c r="O243" s="58">
        <v>46203</v>
      </c>
      <c r="P243" s="77">
        <v>45762</v>
      </c>
      <c r="Q243" s="77" t="s">
        <v>70</v>
      </c>
      <c r="R243" s="115" t="s">
        <v>308</v>
      </c>
      <c r="S243" s="82"/>
      <c r="T243" s="82"/>
      <c r="U243" s="82">
        <v>118762.64</v>
      </c>
      <c r="V243" s="97">
        <v>0</v>
      </c>
      <c r="W243" s="115"/>
      <c r="X243" s="120" t="str">
        <f ca="1">IF(AND((Main_Issuance[[#This Row],[Expiry Date]]+31)&gt;TODAY(),Main_Issuance[[#This Row],[Status]]&lt;&gt;"Cancelled"),"Active","Cancelled")</f>
        <v>Active</v>
      </c>
      <c r="Y243" s="410"/>
      <c r="Z243" s="408"/>
      <c r="AA243" s="408" t="s">
        <v>857</v>
      </c>
      <c r="AB243" s="83" cm="1">
        <f t="array" ref="AB243">Iss_Tariff(Main_Issuance[[#This Row],[Bank]],Main_Issuance[[#This Row],[LC Amt(SAR)]],Main_Issuance[[#This Row],[Issue Date.]],Main_Issuance[[#This Row],[Expiry Date]],Main_Issuance[[#This Row],[Calculate]])</f>
        <v>12014665.25</v>
      </c>
      <c r="AC243" s="83"/>
    </row>
    <row r="244" spans="1:29" ht="15.75" hidden="1" x14ac:dyDescent="0.25">
      <c r="A244" s="114" t="s">
        <v>4551</v>
      </c>
      <c r="B244" s="424">
        <v>46118</v>
      </c>
      <c r="C244" s="424" t="s">
        <v>441</v>
      </c>
      <c r="D244" s="115" t="s">
        <v>20</v>
      </c>
      <c r="E244" s="115" t="s">
        <v>366</v>
      </c>
      <c r="F244" s="115" t="s">
        <v>710</v>
      </c>
      <c r="G244" s="115" t="s">
        <v>4543</v>
      </c>
      <c r="H244" s="113" t="s">
        <v>24</v>
      </c>
      <c r="I244" s="78" t="s">
        <v>710</v>
      </c>
      <c r="J244" s="113">
        <v>1020088</v>
      </c>
      <c r="K244" s="115" t="s">
        <v>26</v>
      </c>
      <c r="L244" s="119">
        <v>150000</v>
      </c>
      <c r="M244" s="82">
        <v>1</v>
      </c>
      <c r="N244" s="82">
        <f>Main_Issuance[[#This Row],[LC Amt(FCY)]]*Main_Issuance[[#This Row],[Rate]]</f>
        <v>150000</v>
      </c>
      <c r="O244" s="424">
        <v>46203</v>
      </c>
      <c r="P244" s="424">
        <v>46203</v>
      </c>
      <c r="Q244" s="424" t="s">
        <v>27</v>
      </c>
      <c r="R244" s="115" t="s">
        <v>4493</v>
      </c>
      <c r="S244" s="82"/>
      <c r="T244" s="82"/>
      <c r="U244" s="82"/>
      <c r="V244" s="97">
        <v>0</v>
      </c>
      <c r="W244" s="115"/>
      <c r="X244" s="437" t="str">
        <f ca="1">IF(AND((Main_Issuance[[#This Row],[Expiry Date]]+31)&gt;TODAY(),Main_Issuance[[#This Row],[Status]]&lt;&gt;"Cancelled"),"Active","Cancelled")</f>
        <v>Active</v>
      </c>
      <c r="Y244" s="96"/>
      <c r="Z244" s="424"/>
      <c r="AA244" s="443" t="s">
        <v>857</v>
      </c>
      <c r="AB244" s="83" cm="1">
        <f t="array" ref="AB244">Iss_Tariff(Main_Issuance[[#This Row],[Bank]],Main_Issuance[[#This Row],[LC Amt(SAR)]],Main_Issuance[[#This Row],[Issue Date.]],Main_Issuance[[#This Row],[Expiry Date]],Main_Issuance[[#This Row],[Calculate]])</f>
        <v>948.75</v>
      </c>
      <c r="AC244" s="83"/>
    </row>
    <row r="245" spans="1:29" ht="15.75" hidden="1" x14ac:dyDescent="0.25">
      <c r="A245" s="114" t="s">
        <v>1654</v>
      </c>
      <c r="B245" s="77">
        <v>45869</v>
      </c>
      <c r="C245" s="77" t="s">
        <v>441</v>
      </c>
      <c r="D245" s="115" t="s">
        <v>20</v>
      </c>
      <c r="E245" s="115" t="s">
        <v>21</v>
      </c>
      <c r="F245" s="115" t="s">
        <v>22</v>
      </c>
      <c r="G245" s="115" t="s">
        <v>1592</v>
      </c>
      <c r="H245" s="113" t="s">
        <v>24</v>
      </c>
      <c r="I245" s="115" t="s">
        <v>22</v>
      </c>
      <c r="J245" s="115">
        <v>1020055</v>
      </c>
      <c r="K245" s="115" t="s">
        <v>26</v>
      </c>
      <c r="L245" s="60">
        <v>311571.08</v>
      </c>
      <c r="M245" s="60">
        <v>1</v>
      </c>
      <c r="N245" s="60">
        <f>Main_Issuance[[#This Row],[LC Amt(FCY)]]*Main_Issuance[[#This Row],[Rate]]</f>
        <v>311571.08</v>
      </c>
      <c r="O245" s="77">
        <v>45961</v>
      </c>
      <c r="P245" s="77">
        <v>45961</v>
      </c>
      <c r="Q245" s="77" t="s">
        <v>27</v>
      </c>
      <c r="R245" s="115" t="s">
        <v>621</v>
      </c>
      <c r="S245" s="82"/>
      <c r="T245" s="82"/>
      <c r="U245" s="82"/>
      <c r="V245" s="97">
        <v>0</v>
      </c>
      <c r="W245" s="115"/>
      <c r="X245" s="120" t="str">
        <f ca="1">IF(AND((Main_Issuance[[#This Row],[Expiry Date]]+31)&gt;TODAY(),Main_Issuance[[#This Row],[Status]]&lt;&gt;"Cancelled"),"Active","Cancelled")</f>
        <v>Cancelled</v>
      </c>
      <c r="Y245" s="410"/>
      <c r="Z245" s="408"/>
      <c r="AA245" s="408" t="s">
        <v>378</v>
      </c>
      <c r="AB245" s="83" cm="1">
        <f t="array" ref="AB245">Iss_Tariff(Main_Issuance[[#This Row],[Bank]],Main_Issuance[[#This Row],[LC Amt(SAR)]],Main_Issuance[[#This Row],[Issue Date.]],Main_Issuance[[#This Row],[Expiry Date]],Main_Issuance[[#This Row],[Calculate]])</f>
        <v>0</v>
      </c>
      <c r="AC245" s="83"/>
    </row>
    <row r="246" spans="1:29" ht="15.75" hidden="1" x14ac:dyDescent="0.25">
      <c r="A246" s="114" t="s">
        <v>1648</v>
      </c>
      <c r="B246" s="77">
        <v>45869</v>
      </c>
      <c r="C246" s="77" t="s">
        <v>1119</v>
      </c>
      <c r="D246" s="115" t="s">
        <v>20</v>
      </c>
      <c r="E246" s="115" t="s">
        <v>366</v>
      </c>
      <c r="F246" s="115" t="s">
        <v>367</v>
      </c>
      <c r="G246" s="115" t="s">
        <v>1625</v>
      </c>
      <c r="H246" s="113" t="s">
        <v>24</v>
      </c>
      <c r="I246" s="115" t="s">
        <v>367</v>
      </c>
      <c r="J246" s="115">
        <v>1020091</v>
      </c>
      <c r="K246" s="115" t="s">
        <v>26</v>
      </c>
      <c r="L246" s="60">
        <v>4030520.1</v>
      </c>
      <c r="M246" s="60">
        <v>1</v>
      </c>
      <c r="N246" s="60">
        <f>Main_Issuance[[#This Row],[LC Amt(FCY)]]*Main_Issuance[[#This Row],[Rate]]</f>
        <v>4030520.1</v>
      </c>
      <c r="O246" s="77">
        <v>45961</v>
      </c>
      <c r="P246" s="77">
        <v>45961</v>
      </c>
      <c r="Q246" s="77" t="s">
        <v>27</v>
      </c>
      <c r="R246" s="115" t="s">
        <v>1626</v>
      </c>
      <c r="S246" s="82"/>
      <c r="T246" s="82"/>
      <c r="U246" s="82"/>
      <c r="V246" s="97">
        <v>0</v>
      </c>
      <c r="W246" s="115"/>
      <c r="X246" s="120" t="str">
        <f ca="1">IF(AND((Main_Issuance[[#This Row],[Expiry Date]]+31)&gt;TODAY(),Main_Issuance[[#This Row],[Status]]&lt;&gt;"Cancelled"),"Active","Cancelled")</f>
        <v>Cancelled</v>
      </c>
      <c r="Y246" s="410"/>
      <c r="Z246" s="408"/>
      <c r="AA246" s="408" t="s">
        <v>378</v>
      </c>
      <c r="AB246" s="83" cm="1">
        <f t="array" ref="AB246">Iss_Tariff(Main_Issuance[[#This Row],[Bank]],Main_Issuance[[#This Row],[LC Amt(SAR)]],Main_Issuance[[#This Row],[Issue Date.]],Main_Issuance[[#This Row],[Expiry Date]],Main_Issuance[[#This Row],[Calculate]])</f>
        <v>0</v>
      </c>
      <c r="AC246" s="83"/>
    </row>
    <row r="247" spans="1:29" ht="15.75" hidden="1" x14ac:dyDescent="0.25">
      <c r="A247" s="114" t="s">
        <v>1524</v>
      </c>
      <c r="B247" s="77">
        <v>45834</v>
      </c>
      <c r="C247" s="77" t="s">
        <v>441</v>
      </c>
      <c r="D247" s="115" t="s">
        <v>20</v>
      </c>
      <c r="E247" s="115" t="s">
        <v>21</v>
      </c>
      <c r="F247" s="115" t="s">
        <v>22</v>
      </c>
      <c r="G247" s="115" t="s">
        <v>1463</v>
      </c>
      <c r="H247" s="113" t="s">
        <v>24</v>
      </c>
      <c r="I247" s="115" t="s">
        <v>407</v>
      </c>
      <c r="J247" s="115">
        <v>1020100</v>
      </c>
      <c r="K247" s="115" t="s">
        <v>26</v>
      </c>
      <c r="L247" s="60">
        <v>204357</v>
      </c>
      <c r="M247" s="60">
        <v>1</v>
      </c>
      <c r="N247" s="60">
        <f>Main_Issuance[[#This Row],[LC Amt(FCY)]]*Main_Issuance[[#This Row],[Rate]]</f>
        <v>204357</v>
      </c>
      <c r="O247" s="77">
        <v>45961</v>
      </c>
      <c r="P247" s="77">
        <v>45961</v>
      </c>
      <c r="Q247" s="77" t="s">
        <v>27</v>
      </c>
      <c r="R247" s="115" t="s">
        <v>621</v>
      </c>
      <c r="S247" s="82"/>
      <c r="T247" s="82"/>
      <c r="U247" s="82"/>
      <c r="V247" s="97">
        <v>0</v>
      </c>
      <c r="W247" s="115"/>
      <c r="X247" s="120" t="str">
        <f ca="1">IF(AND((Main_Issuance[[#This Row],[Expiry Date]]+31)&gt;TODAY(),Main_Issuance[[#This Row],[Status]]&lt;&gt;"Cancelled"),"Active","Cancelled")</f>
        <v>Cancelled</v>
      </c>
      <c r="Y247" s="410"/>
      <c r="Z247" s="408"/>
      <c r="AA247" s="408" t="s">
        <v>378</v>
      </c>
      <c r="AB247" s="83" cm="1">
        <f t="array" ref="AB247">Iss_Tariff(Main_Issuance[[#This Row],[Bank]],Main_Issuance[[#This Row],[LC Amt(SAR)]],Main_Issuance[[#This Row],[Issue Date.]],Main_Issuance[[#This Row],[Expiry Date]],Main_Issuance[[#This Row],[Calculate]])</f>
        <v>0</v>
      </c>
      <c r="AC247" s="83"/>
    </row>
    <row r="248" spans="1:29" ht="15.75" hidden="1" x14ac:dyDescent="0.25">
      <c r="A248" s="114" t="s">
        <v>1690</v>
      </c>
      <c r="B248" s="77">
        <v>45875</v>
      </c>
      <c r="C248" s="77" t="s">
        <v>1119</v>
      </c>
      <c r="D248" s="115" t="s">
        <v>20</v>
      </c>
      <c r="E248" s="115" t="s">
        <v>366</v>
      </c>
      <c r="F248" s="115" t="s">
        <v>367</v>
      </c>
      <c r="G248" s="115" t="s">
        <v>1681</v>
      </c>
      <c r="H248" s="113" t="s">
        <v>24</v>
      </c>
      <c r="I248" s="115" t="s">
        <v>367</v>
      </c>
      <c r="J248" s="115">
        <v>1020091</v>
      </c>
      <c r="K248" s="115" t="s">
        <v>26</v>
      </c>
      <c r="L248" s="60">
        <v>850000</v>
      </c>
      <c r="M248" s="60">
        <v>1</v>
      </c>
      <c r="N248" s="60">
        <f>Main_Issuance[[#This Row],[LC Amt(FCY)]]*Main_Issuance[[#This Row],[Rate]]</f>
        <v>850000</v>
      </c>
      <c r="O248" s="77">
        <v>46022</v>
      </c>
      <c r="P248" s="77">
        <v>46022</v>
      </c>
      <c r="Q248" s="77" t="s">
        <v>27</v>
      </c>
      <c r="R248" s="115" t="s">
        <v>1629</v>
      </c>
      <c r="S248" s="82"/>
      <c r="T248" s="82"/>
      <c r="U248" s="82"/>
      <c r="V248" s="97">
        <v>0</v>
      </c>
      <c r="W248" s="115"/>
      <c r="X248" s="120" t="str">
        <f ca="1">IF(AND((Main_Issuance[[#This Row],[Expiry Date]]+31)&gt;TODAY(),Main_Issuance[[#This Row],[Status]]&lt;&gt;"Cancelled"),"Active","Cancelled")</f>
        <v>Cancelled</v>
      </c>
      <c r="Y248" s="410"/>
      <c r="Z248" s="408"/>
      <c r="AA248" s="408" t="s">
        <v>378</v>
      </c>
      <c r="AB248" s="83" cm="1">
        <f t="array" ref="AB248">Iss_Tariff(Main_Issuance[[#This Row],[Bank]],Main_Issuance[[#This Row],[LC Amt(SAR)]],Main_Issuance[[#This Row],[Issue Date.]],Main_Issuance[[#This Row],[Expiry Date]],Main_Issuance[[#This Row],[Calculate]])</f>
        <v>0</v>
      </c>
      <c r="AC248" s="83"/>
    </row>
    <row r="249" spans="1:29" ht="15.75" hidden="1" x14ac:dyDescent="0.25">
      <c r="A249" s="114" t="s">
        <v>1191</v>
      </c>
      <c r="B249" s="77">
        <v>45761</v>
      </c>
      <c r="C249" s="77" t="s">
        <v>509</v>
      </c>
      <c r="D249" s="115" t="s">
        <v>20</v>
      </c>
      <c r="E249" s="115" t="s">
        <v>21</v>
      </c>
      <c r="F249" s="115" t="s">
        <v>22</v>
      </c>
      <c r="G249" s="115" t="s">
        <v>781</v>
      </c>
      <c r="H249" s="113" t="s">
        <v>72</v>
      </c>
      <c r="I249" s="115" t="s">
        <v>511</v>
      </c>
      <c r="J249" s="115">
        <v>1020107</v>
      </c>
      <c r="K249" s="115" t="s">
        <v>26</v>
      </c>
      <c r="L249" s="60">
        <f>1035000+4198040.5</f>
        <v>5233040.5</v>
      </c>
      <c r="M249" s="60">
        <v>1</v>
      </c>
      <c r="N249" s="60">
        <f>Main_Issuance[[#This Row],[LC Amt(FCY)]]*Main_Issuance[[#This Row],[Rate]]</f>
        <v>5233040.5</v>
      </c>
      <c r="O249" s="77">
        <v>45960</v>
      </c>
      <c r="P249" s="77">
        <v>45945</v>
      </c>
      <c r="Q249" s="77" t="s">
        <v>27</v>
      </c>
      <c r="R249" s="115" t="s">
        <v>1886</v>
      </c>
      <c r="S249" s="82"/>
      <c r="T249" s="82"/>
      <c r="U249" s="82"/>
      <c r="V249" s="97">
        <v>0</v>
      </c>
      <c r="W249" s="115"/>
      <c r="X249" s="120" t="str">
        <f ca="1">IF(AND((Main_Issuance[[#This Row],[Expiry Date]]+31)&gt;TODAY(),Main_Issuance[[#This Row],[Status]]&lt;&gt;"Cancelled"),"Active","Cancelled")</f>
        <v>Cancelled</v>
      </c>
      <c r="Y249" s="410"/>
      <c r="Z249" s="408"/>
      <c r="AA249" s="408" t="s">
        <v>378</v>
      </c>
      <c r="AB249" s="83" cm="1">
        <f t="array" ref="AB249">Iss_Tariff(Main_Issuance[[#This Row],[Bank]],Main_Issuance[[#This Row],[LC Amt(SAR)]],Main_Issuance[[#This Row],[Issue Date.]],Main_Issuance[[#This Row],[Expiry Date]],Main_Issuance[[#This Row],[Calculate]])</f>
        <v>0</v>
      </c>
      <c r="AC249" s="83"/>
    </row>
    <row r="250" spans="1:29" ht="15.75" hidden="1" x14ac:dyDescent="0.25">
      <c r="A250" s="114" t="s">
        <v>4239</v>
      </c>
      <c r="B250" s="77">
        <v>46085</v>
      </c>
      <c r="C250" s="77" t="s">
        <v>509</v>
      </c>
      <c r="D250" s="115" t="s">
        <v>20</v>
      </c>
      <c r="E250" s="115" t="s">
        <v>21</v>
      </c>
      <c r="F250" s="115" t="s">
        <v>22</v>
      </c>
      <c r="G250" s="115" t="s">
        <v>781</v>
      </c>
      <c r="H250" s="113" t="s">
        <v>72</v>
      </c>
      <c r="I250" s="115" t="s">
        <v>511</v>
      </c>
      <c r="J250" s="115">
        <v>1020107</v>
      </c>
      <c r="K250" s="115" t="s">
        <v>26</v>
      </c>
      <c r="L250" s="119">
        <v>2495972.17</v>
      </c>
      <c r="M250" s="82">
        <v>1</v>
      </c>
      <c r="N250" s="82">
        <f>Main_Issuance[[#This Row],[LC Amt(FCY)]]*Main_Issuance[[#This Row],[Rate]]</f>
        <v>2495972.17</v>
      </c>
      <c r="O250" s="77">
        <v>46235</v>
      </c>
      <c r="P250" s="77">
        <v>46235</v>
      </c>
      <c r="Q250" s="77" t="s">
        <v>27</v>
      </c>
      <c r="R250" s="115" t="s">
        <v>305</v>
      </c>
      <c r="S250" s="82"/>
      <c r="T250" s="82"/>
      <c r="U250" s="82"/>
      <c r="V250" s="97">
        <v>0</v>
      </c>
      <c r="W250" s="115"/>
      <c r="X250" s="120" t="str">
        <f ca="1">IF(AND((Main_Issuance[[#This Row],[Expiry Date]]+31)&gt;TODAY(),Main_Issuance[[#This Row],[Status]]&lt;&gt;"Cancelled"),"Active","Cancelled")</f>
        <v>Active</v>
      </c>
      <c r="Y250" s="409"/>
      <c r="Z250" s="408"/>
      <c r="AA250" s="408" t="s">
        <v>857</v>
      </c>
      <c r="AB250" s="83" cm="1">
        <f t="array" ref="AB250">Iss_Tariff(Main_Issuance[[#This Row],[Bank]],Main_Issuance[[#This Row],[LC Amt(SAR)]],Main_Issuance[[#This Row],[Issue Date.]],Main_Issuance[[#This Row],[Expiry Date]],Main_Issuance[[#This Row],[Calculate]])</f>
        <v>8556</v>
      </c>
      <c r="AC250" s="83"/>
    </row>
    <row r="251" spans="1:29" ht="15.75" hidden="1" x14ac:dyDescent="0.25">
      <c r="A251" s="115" t="s">
        <v>1396</v>
      </c>
      <c r="B251" s="77">
        <v>45804</v>
      </c>
      <c r="C251" s="77" t="s">
        <v>441</v>
      </c>
      <c r="D251" s="115" t="s">
        <v>20</v>
      </c>
      <c r="E251" s="115" t="s">
        <v>612</v>
      </c>
      <c r="F251" s="115" t="s">
        <v>613</v>
      </c>
      <c r="G251" s="115" t="s">
        <v>1390</v>
      </c>
      <c r="H251" s="113" t="s">
        <v>24</v>
      </c>
      <c r="I251" s="115" t="s">
        <v>613</v>
      </c>
      <c r="J251" s="115">
        <v>1020106</v>
      </c>
      <c r="K251" s="115" t="s">
        <v>26</v>
      </c>
      <c r="L251" s="60">
        <v>312828.75</v>
      </c>
      <c r="M251" s="60">
        <v>1</v>
      </c>
      <c r="N251" s="60">
        <f>Main_Issuance[[#This Row],[LC Amt(FCY)]]*Main_Issuance[[#This Row],[Rate]]</f>
        <v>312828.75</v>
      </c>
      <c r="O251" s="58">
        <v>46203</v>
      </c>
      <c r="P251" s="58">
        <v>46203</v>
      </c>
      <c r="Q251" s="77" t="s">
        <v>27</v>
      </c>
      <c r="R251" s="115" t="s">
        <v>311</v>
      </c>
      <c r="S251" s="82"/>
      <c r="T251" s="82"/>
      <c r="U251" s="82"/>
      <c r="V251" s="97">
        <v>0</v>
      </c>
      <c r="W251" s="115"/>
      <c r="X251" s="77" t="str">
        <f ca="1">IF(AND((Main_Issuance[[#This Row],[Expiry Date]]+31)&gt;TODAY(),Main_Issuance[[#This Row],[Status]]&lt;&gt;"Cancelled"),"Active","Cancelled")</f>
        <v>Active</v>
      </c>
      <c r="Y251" s="410"/>
      <c r="Z251" s="408"/>
      <c r="AA251" s="408" t="s">
        <v>857</v>
      </c>
      <c r="AB251" s="83" cm="1">
        <f t="array" ref="AB251">Iss_Tariff(Main_Issuance[[#This Row],[Bank]],Main_Issuance[[#This Row],[LC Amt(SAR)]],Main_Issuance[[#This Row],[Issue Date.]],Main_Issuance[[#This Row],[Expiry Date]],Main_Issuance[[#This Row],[Calculate]])</f>
        <v>6833.3</v>
      </c>
      <c r="AC251" s="83"/>
    </row>
    <row r="252" spans="1:29" ht="15.75" hidden="1" x14ac:dyDescent="0.25">
      <c r="A252" s="114" t="s">
        <v>4565</v>
      </c>
      <c r="B252" s="424">
        <v>46118</v>
      </c>
      <c r="C252" s="424" t="s">
        <v>441</v>
      </c>
      <c r="D252" s="115" t="s">
        <v>20</v>
      </c>
      <c r="E252" s="115" t="s">
        <v>366</v>
      </c>
      <c r="F252" s="115" t="s">
        <v>710</v>
      </c>
      <c r="G252" s="115" t="s">
        <v>4500</v>
      </c>
      <c r="H252" s="113" t="s">
        <v>24</v>
      </c>
      <c r="I252" s="115" t="s">
        <v>710</v>
      </c>
      <c r="J252" s="113">
        <v>1020088</v>
      </c>
      <c r="K252" s="115" t="s">
        <v>26</v>
      </c>
      <c r="L252" s="119">
        <v>1000000</v>
      </c>
      <c r="M252" s="82">
        <v>1</v>
      </c>
      <c r="N252" s="82">
        <f>Main_Issuance[[#This Row],[LC Amt(FCY)]]*Main_Issuance[[#This Row],[Rate]]</f>
        <v>1000000</v>
      </c>
      <c r="O252" s="424">
        <v>46203</v>
      </c>
      <c r="P252" s="424">
        <v>46203</v>
      </c>
      <c r="Q252" s="424" t="s">
        <v>27</v>
      </c>
      <c r="R252" s="115" t="s">
        <v>4493</v>
      </c>
      <c r="S252" s="82"/>
      <c r="T252" s="82"/>
      <c r="U252" s="82"/>
      <c r="V252" s="97">
        <v>0</v>
      </c>
      <c r="W252" s="115"/>
      <c r="X252" s="437" t="str">
        <f ca="1">IF(AND((Main_Issuance[[#This Row],[Expiry Date]]+31)&gt;TODAY(),Main_Issuance[[#This Row],[Status]]&lt;&gt;"Cancelled"),"Active","Cancelled")</f>
        <v>Active</v>
      </c>
      <c r="Y252" s="96"/>
      <c r="Z252" s="424"/>
      <c r="AA252" s="443" t="s">
        <v>857</v>
      </c>
      <c r="AB252" s="83" cm="1">
        <f t="array" ref="AB252">Iss_Tariff(Main_Issuance[[#This Row],[Bank]],Main_Issuance[[#This Row],[LC Amt(SAR)]],Main_Issuance[[#This Row],[Issue Date.]],Main_Issuance[[#This Row],[Expiry Date]],Main_Issuance[[#This Row],[Calculate]],,125)</f>
        <v>5980</v>
      </c>
      <c r="AC252" s="83"/>
    </row>
    <row r="253" spans="1:29" ht="15.75" hidden="1" x14ac:dyDescent="0.25">
      <c r="A253" s="114" t="s">
        <v>3714</v>
      </c>
      <c r="B253" s="77">
        <v>46037</v>
      </c>
      <c r="C253" s="77" t="s">
        <v>441</v>
      </c>
      <c r="D253" s="115" t="s">
        <v>20</v>
      </c>
      <c r="E253" s="115" t="s">
        <v>366</v>
      </c>
      <c r="F253" s="115" t="s">
        <v>710</v>
      </c>
      <c r="G253" s="115" t="s">
        <v>3293</v>
      </c>
      <c r="H253" s="115" t="s">
        <v>24</v>
      </c>
      <c r="I253" s="115" t="s">
        <v>710</v>
      </c>
      <c r="J253" s="113">
        <v>1020088</v>
      </c>
      <c r="K253" s="115" t="s">
        <v>26</v>
      </c>
      <c r="L253" s="119">
        <v>1500000</v>
      </c>
      <c r="M253" s="82">
        <v>1</v>
      </c>
      <c r="N253" s="82">
        <f>Main_Issuance[[#This Row],[LC Amt(FCY)]]*Main_Issuance[[#This Row],[Rate]]</f>
        <v>1500000</v>
      </c>
      <c r="O253" s="77">
        <v>46203</v>
      </c>
      <c r="P253" s="77">
        <v>46203</v>
      </c>
      <c r="Q253" s="77" t="s">
        <v>27</v>
      </c>
      <c r="R253" s="115" t="s">
        <v>1904</v>
      </c>
      <c r="S253" s="82"/>
      <c r="T253" s="82"/>
      <c r="U253" s="82"/>
      <c r="V253" s="97">
        <v>0</v>
      </c>
      <c r="W253" s="115"/>
      <c r="X253" s="120" t="str">
        <f ca="1">IF(AND((Main_Issuance[[#This Row],[Expiry Date]]+31)&gt;TODAY(),Main_Issuance[[#This Row],[Status]]&lt;&gt;"Cancelled"),"Active","Cancelled")</f>
        <v>Active</v>
      </c>
      <c r="Y253" s="409"/>
      <c r="Z253" s="408"/>
      <c r="AA253" s="408" t="s">
        <v>857</v>
      </c>
      <c r="AB253" s="83" cm="1">
        <f t="array" ref="AB253">Iss_Tariff(Main_Issuance[[#This Row],[Bank]],Main_Issuance[[#This Row],[LC Amt(SAR)]],Main_Issuance[[#This Row],[Issue Date.]],Main_Issuance[[#This Row],[Expiry Date]],Main_Issuance[[#This Row],[Calculate]])</f>
        <v>8711.25</v>
      </c>
      <c r="AC253" s="83"/>
    </row>
    <row r="254" spans="1:29" ht="15.75" hidden="1" x14ac:dyDescent="0.25">
      <c r="A254" s="114" t="s">
        <v>1873</v>
      </c>
      <c r="B254" s="77">
        <v>45914</v>
      </c>
      <c r="C254" s="77" t="s">
        <v>441</v>
      </c>
      <c r="D254" s="115" t="s">
        <v>20</v>
      </c>
      <c r="E254" s="115" t="s">
        <v>366</v>
      </c>
      <c r="F254" s="115" t="s">
        <v>710</v>
      </c>
      <c r="G254" s="115" t="s">
        <v>1843</v>
      </c>
      <c r="H254" s="115" t="s">
        <v>24</v>
      </c>
      <c r="I254" s="115" t="s">
        <v>710</v>
      </c>
      <c r="J254" s="113">
        <v>1020088</v>
      </c>
      <c r="K254" s="115" t="s">
        <v>26</v>
      </c>
      <c r="L254" s="119">
        <v>1500000</v>
      </c>
      <c r="M254" s="82">
        <v>1</v>
      </c>
      <c r="N254" s="82">
        <f>Main_Issuance[[#This Row],[LC Amt(FCY)]]*Main_Issuance[[#This Row],[Rate]]</f>
        <v>1500000</v>
      </c>
      <c r="O254" s="77">
        <v>46203</v>
      </c>
      <c r="P254" s="77">
        <v>46203</v>
      </c>
      <c r="Q254" s="77" t="s">
        <v>27</v>
      </c>
      <c r="R254" s="115" t="s">
        <v>621</v>
      </c>
      <c r="S254" s="82"/>
      <c r="T254" s="82"/>
      <c r="U254" s="82"/>
      <c r="V254" s="97">
        <v>0</v>
      </c>
      <c r="W254" s="115"/>
      <c r="X254" s="120" t="str">
        <f ca="1">IF(AND((Main_Issuance[[#This Row],[Expiry Date]]+31)&gt;TODAY(),Main_Issuance[[#This Row],[Status]]&lt;&gt;"Cancelled"),"Active","Cancelled")</f>
        <v>Active</v>
      </c>
      <c r="Y254" s="409"/>
      <c r="Z254" s="408"/>
      <c r="AA254" s="408" t="s">
        <v>857</v>
      </c>
      <c r="AB254" s="83" cm="1">
        <f t="array" ref="AB254">Iss_Tariff(Main_Issuance[[#This Row],[Bank]],Main_Issuance[[#This Row],[LC Amt(SAR)]],Main_Issuance[[#This Row],[Issue Date.]],Main_Issuance[[#This Row],[Expiry Date]],Main_Issuance[[#This Row],[Calculate]])</f>
        <v>8711.25</v>
      </c>
      <c r="AC254" s="83"/>
    </row>
    <row r="255" spans="1:29" ht="15.75" hidden="1" x14ac:dyDescent="0.25">
      <c r="A255" s="114" t="s">
        <v>448</v>
      </c>
      <c r="B255" s="77">
        <v>45615</v>
      </c>
      <c r="C255" s="77" t="s">
        <v>441</v>
      </c>
      <c r="D255" s="115" t="s">
        <v>20</v>
      </c>
      <c r="E255" s="115" t="s">
        <v>95</v>
      </c>
      <c r="F255" s="115" t="s">
        <v>96</v>
      </c>
      <c r="G255" s="115" t="s">
        <v>449</v>
      </c>
      <c r="H255" s="113" t="s">
        <v>24</v>
      </c>
      <c r="I255" s="115" t="s">
        <v>22</v>
      </c>
      <c r="J255" s="115">
        <v>1020055</v>
      </c>
      <c r="K255" s="115" t="s">
        <v>26</v>
      </c>
      <c r="L255" s="60">
        <v>526225.01500000095</v>
      </c>
      <c r="M255" s="60">
        <v>1</v>
      </c>
      <c r="N255" s="60">
        <f>Main_Issuance[[#This Row],[LC Amt(FCY)]]*Main_Issuance[[#This Row],[Rate]]</f>
        <v>526225.01500000095</v>
      </c>
      <c r="O255" s="77">
        <v>45777</v>
      </c>
      <c r="P255" s="77">
        <v>45751</v>
      </c>
      <c r="Q255" s="77" t="s">
        <v>27</v>
      </c>
      <c r="R255" s="115" t="s">
        <v>311</v>
      </c>
      <c r="S255" s="82"/>
      <c r="T255" s="82"/>
      <c r="U255" s="82"/>
      <c r="V255" s="97">
        <v>0</v>
      </c>
      <c r="W255" s="115"/>
      <c r="X255" s="120" t="str">
        <f ca="1">IF(AND((Main_Issuance[[#This Row],[Expiry Date]]+31)&gt;TODAY(),Main_Issuance[[#This Row],[Status]]&lt;&gt;"Cancelled"),"Active","Cancelled")</f>
        <v>Cancelled</v>
      </c>
      <c r="Y255" s="410"/>
      <c r="Z255" s="408"/>
      <c r="AA255" s="408" t="s">
        <v>378</v>
      </c>
      <c r="AB255" s="83" cm="1">
        <f t="array" ref="AB255">Iss_Tariff(Main_Issuance[[#This Row],[Bank]],Main_Issuance[[#This Row],[LC Amt(SAR)]],Main_Issuance[[#This Row],[Issue Date.]],Main_Issuance[[#This Row],[Expiry Date]],Main_Issuance[[#This Row],[Calculate]])</f>
        <v>0</v>
      </c>
      <c r="AC255" s="83"/>
    </row>
    <row r="256" spans="1:29" ht="15.75" hidden="1" x14ac:dyDescent="0.25">
      <c r="A256" s="114" t="s">
        <v>481</v>
      </c>
      <c r="B256" s="77">
        <v>45596</v>
      </c>
      <c r="C256" s="77" t="s">
        <v>509</v>
      </c>
      <c r="D256" s="115" t="s">
        <v>20</v>
      </c>
      <c r="E256" s="115" t="s">
        <v>21</v>
      </c>
      <c r="F256" s="115" t="s">
        <v>22</v>
      </c>
      <c r="G256" s="115" t="s">
        <v>449</v>
      </c>
      <c r="H256" s="113" t="s">
        <v>24</v>
      </c>
      <c r="I256" s="115" t="s">
        <v>407</v>
      </c>
      <c r="J256" s="115">
        <v>1020100</v>
      </c>
      <c r="K256" s="115" t="s">
        <v>26</v>
      </c>
      <c r="L256" s="60">
        <v>900000</v>
      </c>
      <c r="M256" s="60">
        <v>1</v>
      </c>
      <c r="N256" s="60">
        <f>Main_Issuance[[#This Row],[LC Amt(FCY)]]*Main_Issuance[[#This Row],[Rate]]</f>
        <v>900000</v>
      </c>
      <c r="O256" s="77">
        <v>45838</v>
      </c>
      <c r="P256" s="77">
        <v>45760</v>
      </c>
      <c r="Q256" s="77" t="s">
        <v>27</v>
      </c>
      <c r="R256" s="115" t="s">
        <v>311</v>
      </c>
      <c r="S256" s="82"/>
      <c r="T256" s="82"/>
      <c r="U256" s="82"/>
      <c r="V256" s="97">
        <v>0</v>
      </c>
      <c r="W256" s="115"/>
      <c r="X256" s="120" t="str">
        <f ca="1">IF(AND((Main_Issuance[[#This Row],[Expiry Date]]+31)&gt;TODAY(),Main_Issuance[[#This Row],[Status]]&lt;&gt;"Cancelled"),"Active","Cancelled")</f>
        <v>Cancelled</v>
      </c>
      <c r="Y256" s="410"/>
      <c r="Z256" s="408"/>
      <c r="AA256" s="408" t="s">
        <v>378</v>
      </c>
      <c r="AB256" s="83" cm="1">
        <f t="array" ref="AB256">Iss_Tariff(Main_Issuance[[#This Row],[Bank]],Main_Issuance[[#This Row],[LC Amt(SAR)]],Main_Issuance[[#This Row],[Issue Date.]],Main_Issuance[[#This Row],[Expiry Date]],Main_Issuance[[#This Row],[Calculate]])</f>
        <v>0</v>
      </c>
      <c r="AC256" s="83"/>
    </row>
    <row r="257" spans="1:29" ht="15.75" hidden="1" x14ac:dyDescent="0.25">
      <c r="A257" s="114" t="s">
        <v>488</v>
      </c>
      <c r="B257" s="77">
        <v>45610</v>
      </c>
      <c r="C257" s="77" t="s">
        <v>509</v>
      </c>
      <c r="D257" s="115" t="s">
        <v>20</v>
      </c>
      <c r="E257" s="115" t="s">
        <v>21</v>
      </c>
      <c r="F257" s="115" t="s">
        <v>22</v>
      </c>
      <c r="G257" s="115" t="s">
        <v>449</v>
      </c>
      <c r="H257" s="113" t="s">
        <v>72</v>
      </c>
      <c r="I257" s="115" t="s">
        <v>487</v>
      </c>
      <c r="J257" s="115">
        <v>1020060</v>
      </c>
      <c r="K257" s="115" t="s">
        <v>26</v>
      </c>
      <c r="L257" s="60">
        <v>3259208.68</v>
      </c>
      <c r="M257" s="60">
        <v>1</v>
      </c>
      <c r="N257" s="60">
        <f>Main_Issuance[[#This Row],[LC Amt(FCY)]]*Main_Issuance[[#This Row],[Rate]]</f>
        <v>3259208.68</v>
      </c>
      <c r="O257" s="77">
        <v>45747</v>
      </c>
      <c r="P257" s="77">
        <v>45720</v>
      </c>
      <c r="Q257" s="77" t="s">
        <v>27</v>
      </c>
      <c r="R257" s="115" t="s">
        <v>305</v>
      </c>
      <c r="S257" s="82"/>
      <c r="T257" s="82"/>
      <c r="U257" s="82"/>
      <c r="V257" s="97">
        <v>0</v>
      </c>
      <c r="W257" s="115"/>
      <c r="X257" s="120" t="str">
        <f ca="1">IF(AND((Main_Issuance[[#This Row],[Expiry Date]]+31)&gt;TODAY(),Main_Issuance[[#This Row],[Status]]&lt;&gt;"Cancelled"),"Active","Cancelled")</f>
        <v>Cancelled</v>
      </c>
      <c r="Y257" s="410"/>
      <c r="Z257" s="408"/>
      <c r="AA257" s="408" t="s">
        <v>378</v>
      </c>
      <c r="AB257" s="83" cm="1">
        <f t="array" ref="AB257">Iss_Tariff(Main_Issuance[[#This Row],[Bank]],Main_Issuance[[#This Row],[LC Amt(SAR)]],Main_Issuance[[#This Row],[Issue Date.]],Main_Issuance[[#This Row],[Expiry Date]],Main_Issuance[[#This Row],[Calculate]])</f>
        <v>0</v>
      </c>
      <c r="AC257" s="83"/>
    </row>
    <row r="258" spans="1:29" ht="15.75" hidden="1" x14ac:dyDescent="0.25">
      <c r="A258" s="114" t="s">
        <v>1443</v>
      </c>
      <c r="B258" s="77">
        <v>45810</v>
      </c>
      <c r="C258" s="76" t="s">
        <v>441</v>
      </c>
      <c r="D258" s="115" t="s">
        <v>20</v>
      </c>
      <c r="E258" s="115" t="s">
        <v>366</v>
      </c>
      <c r="F258" s="115" t="s">
        <v>710</v>
      </c>
      <c r="G258" s="115" t="s">
        <v>449</v>
      </c>
      <c r="H258" s="113" t="s">
        <v>24</v>
      </c>
      <c r="I258" s="78" t="s">
        <v>710</v>
      </c>
      <c r="J258" s="115">
        <v>1020088</v>
      </c>
      <c r="K258" s="115" t="s">
        <v>26</v>
      </c>
      <c r="L258" s="60">
        <v>875313.5</v>
      </c>
      <c r="M258" s="60">
        <v>1</v>
      </c>
      <c r="N258" s="60">
        <f>Main_Issuance[[#This Row],[LC Amt(FCY)]]*Main_Issuance[[#This Row],[Rate]]</f>
        <v>875313.5</v>
      </c>
      <c r="O258" s="77">
        <v>45961</v>
      </c>
      <c r="P258" s="77">
        <v>45961</v>
      </c>
      <c r="Q258" s="77" t="s">
        <v>27</v>
      </c>
      <c r="R258" s="115" t="s">
        <v>621</v>
      </c>
      <c r="S258" s="82"/>
      <c r="T258" s="82"/>
      <c r="U258" s="82"/>
      <c r="V258" s="97">
        <v>0</v>
      </c>
      <c r="W258" s="115"/>
      <c r="X258" s="120" t="str">
        <f ca="1">IF(AND((Main_Issuance[[#This Row],[Expiry Date]]+31)&gt;TODAY(),Main_Issuance[[#This Row],[Status]]&lt;&gt;"Cancelled"),"Active","Cancelled")</f>
        <v>Cancelled</v>
      </c>
      <c r="Y258" s="410"/>
      <c r="Z258" s="408"/>
      <c r="AA258" s="408" t="s">
        <v>378</v>
      </c>
      <c r="AB258" s="83" cm="1">
        <f t="array" ref="AB258">Iss_Tariff(Main_Issuance[[#This Row],[Bank]],Main_Issuance[[#This Row],[LC Amt(SAR)]],Main_Issuance[[#This Row],[Issue Date.]],Main_Issuance[[#This Row],[Expiry Date]],Main_Issuance[[#This Row],[Calculate]])</f>
        <v>0</v>
      </c>
      <c r="AC258" s="83"/>
    </row>
    <row r="259" spans="1:29" ht="15.75" hidden="1" x14ac:dyDescent="0.25">
      <c r="A259" s="114" t="s">
        <v>1824</v>
      </c>
      <c r="B259" s="77">
        <v>45896</v>
      </c>
      <c r="C259" s="77" t="s">
        <v>509</v>
      </c>
      <c r="D259" s="115" t="s">
        <v>20</v>
      </c>
      <c r="E259" s="115" t="s">
        <v>21</v>
      </c>
      <c r="F259" s="115" t="s">
        <v>22</v>
      </c>
      <c r="G259" s="115" t="s">
        <v>449</v>
      </c>
      <c r="H259" s="113" t="s">
        <v>72</v>
      </c>
      <c r="I259" s="115" t="s">
        <v>487</v>
      </c>
      <c r="J259" s="115">
        <v>1020060</v>
      </c>
      <c r="K259" s="115" t="s">
        <v>26</v>
      </c>
      <c r="L259" s="60">
        <v>175153.65</v>
      </c>
      <c r="M259" s="60">
        <v>1</v>
      </c>
      <c r="N259" s="60">
        <f>Main_Issuance[[#This Row],[LC Amt(FCY)]]*Main_Issuance[[#This Row],[Rate]]</f>
        <v>175153.65</v>
      </c>
      <c r="O259" s="77">
        <v>45938</v>
      </c>
      <c r="P259" s="77">
        <v>45920</v>
      </c>
      <c r="Q259" s="77" t="s">
        <v>27</v>
      </c>
      <c r="R259" s="115" t="s">
        <v>311</v>
      </c>
      <c r="S259" s="82"/>
      <c r="T259" s="82"/>
      <c r="U259" s="82"/>
      <c r="V259" s="97">
        <v>0</v>
      </c>
      <c r="W259" s="115"/>
      <c r="X259" s="120" t="str">
        <f ca="1">IF(AND((Main_Issuance[[#This Row],[Expiry Date]]+31)&gt;TODAY(),Main_Issuance[[#This Row],[Status]]&lt;&gt;"Cancelled"),"Active","Cancelled")</f>
        <v>Cancelled</v>
      </c>
      <c r="Y259" s="410"/>
      <c r="Z259" s="408"/>
      <c r="AA259" s="408" t="s">
        <v>378</v>
      </c>
      <c r="AB259" s="83" cm="1">
        <f t="array" ref="AB259">Iss_Tariff(Main_Issuance[[#This Row],[Bank]],Main_Issuance[[#This Row],[LC Amt(SAR)]],Main_Issuance[[#This Row],[Issue Date.]],Main_Issuance[[#This Row],[Expiry Date]],Main_Issuance[[#This Row],[Calculate]])</f>
        <v>0</v>
      </c>
      <c r="AC259" s="83"/>
    </row>
    <row r="260" spans="1:29" ht="15.75" hidden="1" x14ac:dyDescent="0.25">
      <c r="A260" s="114" t="s">
        <v>403</v>
      </c>
      <c r="B260" s="77">
        <v>45551</v>
      </c>
      <c r="C260" s="77" t="s">
        <v>441</v>
      </c>
      <c r="D260" s="115" t="s">
        <v>20</v>
      </c>
      <c r="E260" s="115" t="s">
        <v>95</v>
      </c>
      <c r="F260" s="115" t="s">
        <v>96</v>
      </c>
      <c r="G260" s="115" t="s">
        <v>404</v>
      </c>
      <c r="H260" s="113" t="s">
        <v>24</v>
      </c>
      <c r="I260" s="115" t="s">
        <v>22</v>
      </c>
      <c r="J260" s="115">
        <v>1020055</v>
      </c>
      <c r="K260" s="115" t="s">
        <v>26</v>
      </c>
      <c r="L260" s="60">
        <v>500000</v>
      </c>
      <c r="M260" s="60">
        <v>1</v>
      </c>
      <c r="N260" s="60">
        <f>Main_Issuance[[#This Row],[LC Amt(FCY)]]*Main_Issuance[[#This Row],[Rate]]</f>
        <v>500000</v>
      </c>
      <c r="O260" s="77">
        <v>45626</v>
      </c>
      <c r="P260" s="77">
        <v>45600</v>
      </c>
      <c r="Q260" s="77" t="s">
        <v>27</v>
      </c>
      <c r="R260" s="115" t="s">
        <v>311</v>
      </c>
      <c r="S260" s="82"/>
      <c r="T260" s="82"/>
      <c r="U260" s="82"/>
      <c r="V260" s="97">
        <v>0</v>
      </c>
      <c r="W260" s="115"/>
      <c r="X260" s="120" t="str">
        <f ca="1">IF(AND((Main_Issuance[[#This Row],[Expiry Date]]+31)&gt;TODAY(),Main_Issuance[[#This Row],[Status]]&lt;&gt;"Cancelled"),"Active","Cancelled")</f>
        <v>Cancelled</v>
      </c>
      <c r="Y260" s="410"/>
      <c r="Z260" s="408"/>
      <c r="AA260" s="408" t="s">
        <v>378</v>
      </c>
      <c r="AB260" s="83" cm="1">
        <f t="array" ref="AB260">Iss_Tariff(Main_Issuance[[#This Row],[Bank]],Main_Issuance[[#This Row],[LC Amt(SAR)]],Main_Issuance[[#This Row],[Issue Date.]],Main_Issuance[[#This Row],[Expiry Date]],Main_Issuance[[#This Row],[Calculate]])</f>
        <v>0</v>
      </c>
      <c r="AC260" s="83"/>
    </row>
    <row r="261" spans="1:29" ht="15.75" hidden="1" x14ac:dyDescent="0.25">
      <c r="A261" s="114" t="s">
        <v>674</v>
      </c>
      <c r="B261" s="77">
        <v>45684</v>
      </c>
      <c r="C261" s="77" t="s">
        <v>509</v>
      </c>
      <c r="D261" s="115" t="s">
        <v>20</v>
      </c>
      <c r="E261" s="115" t="s">
        <v>95</v>
      </c>
      <c r="F261" s="115" t="s">
        <v>96</v>
      </c>
      <c r="G261" s="115" t="s">
        <v>675</v>
      </c>
      <c r="H261" s="113" t="s">
        <v>24</v>
      </c>
      <c r="I261" s="115" t="s">
        <v>407</v>
      </c>
      <c r="J261" s="115">
        <v>1020100</v>
      </c>
      <c r="K261" s="115" t="s">
        <v>26</v>
      </c>
      <c r="L261" s="60">
        <v>900000</v>
      </c>
      <c r="M261" s="60">
        <v>1</v>
      </c>
      <c r="N261" s="60">
        <f>Main_Issuance[[#This Row],[LC Amt(FCY)]]*Main_Issuance[[#This Row],[Rate]]</f>
        <v>900000</v>
      </c>
      <c r="O261" s="77">
        <v>46203</v>
      </c>
      <c r="P261" s="77">
        <v>46203</v>
      </c>
      <c r="Q261" s="77" t="s">
        <v>27</v>
      </c>
      <c r="R261" s="115" t="s">
        <v>311</v>
      </c>
      <c r="S261" s="82"/>
      <c r="T261" s="82"/>
      <c r="U261" s="82"/>
      <c r="V261" s="97">
        <v>0</v>
      </c>
      <c r="W261" s="115"/>
      <c r="X261" s="120" t="str">
        <f ca="1">IF(AND((Main_Issuance[[#This Row],[Expiry Date]]+31)&gt;TODAY(),Main_Issuance[[#This Row],[Status]]&lt;&gt;"Cancelled"),"Active","Cancelled")</f>
        <v>Active</v>
      </c>
      <c r="Y261" s="410"/>
      <c r="Z261" s="408"/>
      <c r="AA261" s="408" t="s">
        <v>857</v>
      </c>
      <c r="AB261" s="83" cm="1">
        <f t="array" ref="AB261">Iss_Tariff(Main_Issuance[[#This Row],[Bank]],Main_Issuance[[#This Row],[LC Amt(SAR)]],Main_Issuance[[#This Row],[Issue Date.]],Main_Issuance[[#This Row],[Expiry Date]],Main_Issuance[[#This Row],[Calculate]])</f>
        <v>7791.25</v>
      </c>
      <c r="AC261" s="83"/>
    </row>
    <row r="262" spans="1:29" ht="15.75" hidden="1" x14ac:dyDescent="0.25">
      <c r="A262" s="114" t="s">
        <v>428</v>
      </c>
      <c r="B262" s="77">
        <v>45579</v>
      </c>
      <c r="C262" s="77" t="s">
        <v>441</v>
      </c>
      <c r="D262" s="115" t="s">
        <v>20</v>
      </c>
      <c r="E262" s="115" t="s">
        <v>95</v>
      </c>
      <c r="F262" s="115" t="s">
        <v>96</v>
      </c>
      <c r="G262" s="115" t="s">
        <v>429</v>
      </c>
      <c r="H262" s="113" t="s">
        <v>24</v>
      </c>
      <c r="I262" s="115" t="s">
        <v>22</v>
      </c>
      <c r="J262" s="115">
        <v>1020055</v>
      </c>
      <c r="K262" s="115" t="s">
        <v>26</v>
      </c>
      <c r="L262" s="60">
        <v>933207.66</v>
      </c>
      <c r="M262" s="60">
        <v>1</v>
      </c>
      <c r="N262" s="60">
        <f>Main_Issuance[[#This Row],[LC Amt(FCY)]]*Main_Issuance[[#This Row],[Rate]]</f>
        <v>933207.66</v>
      </c>
      <c r="O262" s="77">
        <v>45657</v>
      </c>
      <c r="P262" s="77">
        <v>45630</v>
      </c>
      <c r="Q262" s="77" t="s">
        <v>27</v>
      </c>
      <c r="R262" s="115" t="s">
        <v>311</v>
      </c>
      <c r="S262" s="82"/>
      <c r="T262" s="82"/>
      <c r="U262" s="82"/>
      <c r="V262" s="97">
        <v>0</v>
      </c>
      <c r="W262" s="115"/>
      <c r="X262" s="120" t="str">
        <f ca="1">IF(AND((Main_Issuance[[#This Row],[Expiry Date]]+31)&gt;TODAY(),Main_Issuance[[#This Row],[Status]]&lt;&gt;"Cancelled"),"Active","Cancelled")</f>
        <v>Cancelled</v>
      </c>
      <c r="Y262" s="410"/>
      <c r="Z262" s="408"/>
      <c r="AA262" s="408" t="s">
        <v>378</v>
      </c>
      <c r="AB262" s="83" cm="1">
        <f t="array" ref="AB262">Iss_Tariff(Main_Issuance[[#This Row],[Bank]],Main_Issuance[[#This Row],[LC Amt(SAR)]],Main_Issuance[[#This Row],[Issue Date.]],Main_Issuance[[#This Row],[Expiry Date]],Main_Issuance[[#This Row],[Calculate]])</f>
        <v>0</v>
      </c>
      <c r="AC262" s="83"/>
    </row>
    <row r="263" spans="1:29" ht="15.75" hidden="1" x14ac:dyDescent="0.25">
      <c r="A263" s="114" t="s">
        <v>1283</v>
      </c>
      <c r="B263" s="77">
        <v>45785</v>
      </c>
      <c r="C263" s="77" t="s">
        <v>1259</v>
      </c>
      <c r="D263" s="115" t="s">
        <v>20</v>
      </c>
      <c r="E263" s="115" t="s">
        <v>373</v>
      </c>
      <c r="F263" s="115" t="s">
        <v>70</v>
      </c>
      <c r="G263" s="115" t="s">
        <v>1260</v>
      </c>
      <c r="H263" s="113" t="s">
        <v>72</v>
      </c>
      <c r="I263" s="115" t="s">
        <v>483</v>
      </c>
      <c r="J263" s="115">
        <v>1020096</v>
      </c>
      <c r="K263" s="115" t="s">
        <v>26</v>
      </c>
      <c r="L263" s="60">
        <v>10893375</v>
      </c>
      <c r="M263" s="60">
        <v>1</v>
      </c>
      <c r="N263" s="60">
        <f>Main_Issuance[[#This Row],[LC Amt(FCY)]]*Main_Issuance[[#This Row],[Rate]]</f>
        <v>10893375</v>
      </c>
      <c r="O263" s="77">
        <v>45900</v>
      </c>
      <c r="P263" s="77">
        <v>45900</v>
      </c>
      <c r="Q263" s="77" t="s">
        <v>70</v>
      </c>
      <c r="R263" s="115" t="s">
        <v>621</v>
      </c>
      <c r="S263" s="82"/>
      <c r="T263" s="82"/>
      <c r="U263" s="82"/>
      <c r="V263" s="97">
        <v>0</v>
      </c>
      <c r="W263" s="115"/>
      <c r="X263" s="120" t="str">
        <f ca="1">IF(AND((Main_Issuance[[#This Row],[Expiry Date]]+31)&gt;TODAY(),Main_Issuance[[#This Row],[Status]]&lt;&gt;"Cancelled"),"Active","Cancelled")</f>
        <v>Cancelled</v>
      </c>
      <c r="Y263" s="410"/>
      <c r="Z263" s="408"/>
      <c r="AA263" s="408" t="s">
        <v>378</v>
      </c>
      <c r="AB263" s="83" cm="1">
        <f t="array" ref="AB263">Iss_Tariff(Main_Issuance[[#This Row],[Bank]],Main_Issuance[[#This Row],[LC Amt(SAR)]],Main_Issuance[[#This Row],[Issue Date.]],Main_Issuance[[#This Row],[Expiry Date]],Main_Issuance[[#This Row],[Calculate]])</f>
        <v>0</v>
      </c>
      <c r="AC263" s="83"/>
    </row>
    <row r="264" spans="1:29" ht="15.75" hidden="1" x14ac:dyDescent="0.25">
      <c r="A264" s="114" t="s">
        <v>254</v>
      </c>
      <c r="B264" s="77">
        <v>45125</v>
      </c>
      <c r="C264" s="77" t="s">
        <v>1184</v>
      </c>
      <c r="D264" s="115" t="s">
        <v>20</v>
      </c>
      <c r="E264" s="115" t="s">
        <v>21</v>
      </c>
      <c r="F264" s="115" t="s">
        <v>22</v>
      </c>
      <c r="G264" s="115" t="s">
        <v>3623</v>
      </c>
      <c r="H264" s="113" t="s">
        <v>1791</v>
      </c>
      <c r="I264" s="115" t="s">
        <v>22</v>
      </c>
      <c r="J264" s="115">
        <v>1020055</v>
      </c>
      <c r="K264" s="115" t="s">
        <v>67</v>
      </c>
      <c r="L264" s="60">
        <f>7582985+600000</f>
        <v>8182985</v>
      </c>
      <c r="M264" s="60">
        <v>3.9586999999999999</v>
      </c>
      <c r="N264" s="60">
        <f>Main_Issuance[[#This Row],[LC Amt(FCY)]]*Main_Issuance[[#This Row],[Rate]]</f>
        <v>32393982.719499998</v>
      </c>
      <c r="O264" s="77">
        <v>45761</v>
      </c>
      <c r="P264" s="77">
        <v>45747</v>
      </c>
      <c r="Q264" s="77" t="s">
        <v>27</v>
      </c>
      <c r="R264" s="115" t="s">
        <v>255</v>
      </c>
      <c r="S264" s="82"/>
      <c r="T264" s="82"/>
      <c r="U264" s="82"/>
      <c r="V264" s="97">
        <v>0</v>
      </c>
      <c r="W264" s="115"/>
      <c r="X264" s="120" t="str">
        <f ca="1">IF(AND((Main_Issuance[[#This Row],[Expiry Date]]+31)&gt;TODAY(),Main_Issuance[[#This Row],[Status]]&lt;&gt;"Cancelled"),"Active","Cancelled")</f>
        <v>Cancelled</v>
      </c>
      <c r="Y264" s="410"/>
      <c r="Z264" s="408"/>
      <c r="AA264" s="408" t="s">
        <v>378</v>
      </c>
      <c r="AB264" s="83" cm="1">
        <f t="array" ref="AB264">Iss_Tariff(Main_Issuance[[#This Row],[Bank]],Main_Issuance[[#This Row],[LC Amt(SAR)]],Main_Issuance[[#This Row],[Issue Date.]],Main_Issuance[[#This Row],[Expiry Date]],Main_Issuance[[#This Row],[Calculate]])</f>
        <v>0</v>
      </c>
      <c r="AC264" s="83"/>
    </row>
    <row r="265" spans="1:29" ht="15.75" hidden="1" x14ac:dyDescent="0.25">
      <c r="A265" s="114" t="s">
        <v>707</v>
      </c>
      <c r="B265" s="77">
        <v>45727</v>
      </c>
      <c r="C265" s="77" t="s">
        <v>708</v>
      </c>
      <c r="D265" s="115" t="s">
        <v>20</v>
      </c>
      <c r="E265" s="115" t="s">
        <v>95</v>
      </c>
      <c r="F265" s="115" t="s">
        <v>96</v>
      </c>
      <c r="G265" s="115" t="s">
        <v>3623</v>
      </c>
      <c r="H265" s="113" t="s">
        <v>1791</v>
      </c>
      <c r="I265" s="115" t="s">
        <v>328</v>
      </c>
      <c r="J265" s="115">
        <v>1020097</v>
      </c>
      <c r="K265" s="115" t="s">
        <v>67</v>
      </c>
      <c r="L265" s="60">
        <f>10000000*105%</f>
        <v>10500000</v>
      </c>
      <c r="M265" s="60">
        <v>4.056</v>
      </c>
      <c r="N265" s="60">
        <f>Main_Issuance[[#This Row],[LC Amt(FCY)]]*Main_Issuance[[#This Row],[Rate]]</f>
        <v>42588000</v>
      </c>
      <c r="O265" s="77">
        <v>46408</v>
      </c>
      <c r="P265" s="77">
        <v>46365</v>
      </c>
      <c r="Q265" s="77" t="s">
        <v>27</v>
      </c>
      <c r="R265" s="115" t="s">
        <v>255</v>
      </c>
      <c r="S265" s="82"/>
      <c r="T265" s="82"/>
      <c r="U265" s="82"/>
      <c r="V265" s="97">
        <v>0</v>
      </c>
      <c r="W265" s="115" t="s">
        <v>5339</v>
      </c>
      <c r="X265" s="120" t="str">
        <f ca="1">IF(AND((Main_Issuance[[#This Row],[Expiry Date]]+31)&gt;TODAY(),Main_Issuance[[#This Row],[Status]]&lt;&gt;"Cancelled"),"Active","Cancelled")</f>
        <v>Active</v>
      </c>
      <c r="Y265" s="410"/>
      <c r="Z265" s="408"/>
      <c r="AA265" s="408" t="s">
        <v>857</v>
      </c>
      <c r="AB265" s="83" cm="1">
        <f t="array" ref="AB265">Iss_Tariff(Main_Issuance[[#This Row],[Bank]],Main_Issuance[[#This Row],[LC Amt(SAR)]],Main_Issuance[[#This Row],[Issue Date.]],Main_Issuance[[#This Row],[Expiry Date]],Main_Issuance[[#This Row],[Calculate]])</f>
        <v>469815.25</v>
      </c>
      <c r="AC265" s="83"/>
    </row>
    <row r="266" spans="1:29" ht="15.75" hidden="1" x14ac:dyDescent="0.25">
      <c r="A266" s="114" t="s">
        <v>1551</v>
      </c>
      <c r="B266" s="77">
        <v>45853</v>
      </c>
      <c r="C266" s="77" t="s">
        <v>1539</v>
      </c>
      <c r="D266" s="115" t="s">
        <v>20</v>
      </c>
      <c r="E266" s="115" t="s">
        <v>21</v>
      </c>
      <c r="F266" s="115" t="s">
        <v>22</v>
      </c>
      <c r="G266" s="115" t="s">
        <v>3623</v>
      </c>
      <c r="H266" s="113" t="s">
        <v>1791</v>
      </c>
      <c r="I266" s="115" t="s">
        <v>22</v>
      </c>
      <c r="J266" s="115">
        <v>1020055</v>
      </c>
      <c r="K266" s="115" t="s">
        <v>67</v>
      </c>
      <c r="L266" s="60">
        <v>240542.66</v>
      </c>
      <c r="M266" s="60">
        <v>4.3594999999999997</v>
      </c>
      <c r="N266" s="60">
        <f>Main_Issuance[[#This Row],[LC Amt(FCY)]]*Main_Issuance[[#This Row],[Rate]]</f>
        <v>1048645.72627</v>
      </c>
      <c r="O266" s="77">
        <v>46022</v>
      </c>
      <c r="P266" s="77">
        <v>46001</v>
      </c>
      <c r="Q266" s="77" t="s">
        <v>27</v>
      </c>
      <c r="R266" s="115" t="s">
        <v>705</v>
      </c>
      <c r="S266" s="82"/>
      <c r="T266" s="82"/>
      <c r="U266" s="82"/>
      <c r="V266" s="97">
        <v>0</v>
      </c>
      <c r="W266" s="115"/>
      <c r="X266" s="120" t="str">
        <f ca="1">IF(AND((Main_Issuance[[#This Row],[Expiry Date]]+31)&gt;TODAY(),Main_Issuance[[#This Row],[Status]]&lt;&gt;"Cancelled"),"Active","Cancelled")</f>
        <v>Cancelled</v>
      </c>
      <c r="Y266" s="410"/>
      <c r="Z266" s="408"/>
      <c r="AA266" s="408" t="s">
        <v>378</v>
      </c>
      <c r="AB266" s="83" cm="1">
        <f t="array" ref="AB266">Iss_Tariff(Main_Issuance[[#This Row],[Bank]],Main_Issuance[[#This Row],[LC Amt(SAR)]],Main_Issuance[[#This Row],[Issue Date.]],Main_Issuance[[#This Row],[Expiry Date]],Main_Issuance[[#This Row],[Calculate]])</f>
        <v>0</v>
      </c>
      <c r="AC266" s="83"/>
    </row>
    <row r="267" spans="1:29" ht="15.75" hidden="1" x14ac:dyDescent="0.25">
      <c r="A267" s="114" t="s">
        <v>3227</v>
      </c>
      <c r="B267" s="77">
        <v>46016</v>
      </c>
      <c r="C267" s="148" t="s">
        <v>831</v>
      </c>
      <c r="D267" s="115" t="s">
        <v>20</v>
      </c>
      <c r="E267" s="115" t="s">
        <v>21</v>
      </c>
      <c r="F267" s="115" t="s">
        <v>22</v>
      </c>
      <c r="G267" s="115" t="s">
        <v>3623</v>
      </c>
      <c r="H267" s="113" t="s">
        <v>80</v>
      </c>
      <c r="I267" s="115" t="s">
        <v>22</v>
      </c>
      <c r="J267" s="115">
        <v>1020055</v>
      </c>
      <c r="K267" s="115" t="s">
        <v>67</v>
      </c>
      <c r="L267" s="119">
        <v>1687320.39</v>
      </c>
      <c r="M267" s="82">
        <v>4.5</v>
      </c>
      <c r="N267" s="82">
        <f>Main_Issuance[[#This Row],[LC Amt(FCY)]]*Main_Issuance[[#This Row],[Rate]]</f>
        <v>7592941.7549999999</v>
      </c>
      <c r="O267" s="77">
        <v>46381</v>
      </c>
      <c r="P267" s="77">
        <v>46381</v>
      </c>
      <c r="Q267" s="77" t="s">
        <v>27</v>
      </c>
      <c r="R267" s="115" t="s">
        <v>425</v>
      </c>
      <c r="S267" s="82"/>
      <c r="T267" s="82"/>
      <c r="U267" s="82"/>
      <c r="V267" s="97">
        <v>0</v>
      </c>
      <c r="W267" s="115"/>
      <c r="X267" s="120" t="str">
        <f ca="1">IF(AND((Main_Issuance[[#This Row],[Expiry Date]]+31)&gt;TODAY(),Main_Issuance[[#This Row],[Status]]&lt;&gt;"Cancelled"),"Active","Cancelled")</f>
        <v>Active</v>
      </c>
      <c r="Y267" s="409"/>
      <c r="Z267" s="408"/>
      <c r="AA267" s="408" t="s">
        <v>857</v>
      </c>
      <c r="AB267" s="83" cm="1">
        <f t="array" ref="AB267">Iss_Tariff(Main_Issuance[[#This Row],[Bank]],Main_Issuance[[#This Row],[LC Amt(SAR)]],Main_Issuance[[#This Row],[Issue Date.]],Main_Issuance[[#This Row],[Expiry Date]],Main_Issuance[[#This Row],[Calculate]])</f>
        <v>61411.15</v>
      </c>
      <c r="AC267" s="83"/>
    </row>
    <row r="268" spans="1:29" ht="15.75" hidden="1" x14ac:dyDescent="0.25">
      <c r="A268" s="114" t="s">
        <v>4070</v>
      </c>
      <c r="B268" s="77">
        <v>46065</v>
      </c>
      <c r="C268" s="77" t="s">
        <v>831</v>
      </c>
      <c r="D268" s="115" t="s">
        <v>20</v>
      </c>
      <c r="E268" s="115" t="s">
        <v>95</v>
      </c>
      <c r="F268" s="115" t="s">
        <v>96</v>
      </c>
      <c r="G268" s="115" t="s">
        <v>3189</v>
      </c>
      <c r="H268" s="113" t="s">
        <v>80</v>
      </c>
      <c r="I268" s="115" t="s">
        <v>328</v>
      </c>
      <c r="J268" s="115">
        <v>1020097</v>
      </c>
      <c r="K268" s="115" t="s">
        <v>26</v>
      </c>
      <c r="L268" s="119">
        <v>5000000</v>
      </c>
      <c r="M268" s="82">
        <v>1</v>
      </c>
      <c r="N268" s="82">
        <f>Main_Issuance[[#This Row],[LC Amt(FCY)]]*Main_Issuance[[#This Row],[Rate]]</f>
        <v>5000000</v>
      </c>
      <c r="O268" s="77">
        <v>46138</v>
      </c>
      <c r="P268" s="77">
        <v>46113</v>
      </c>
      <c r="Q268" s="77" t="s">
        <v>27</v>
      </c>
      <c r="R268" s="115" t="s">
        <v>425</v>
      </c>
      <c r="S268" s="82"/>
      <c r="T268" s="82"/>
      <c r="U268" s="82"/>
      <c r="V268" s="97">
        <v>0</v>
      </c>
      <c r="W268" s="115"/>
      <c r="X268" s="120" t="str">
        <f ca="1">IF(AND((Main_Issuance[[#This Row],[Expiry Date]]+31)&gt;TODAY(),Main_Issuance[[#This Row],[Status]]&lt;&gt;"Cancelled"),"Active","Cancelled")</f>
        <v>Cancelled</v>
      </c>
      <c r="Y268" s="409"/>
      <c r="Z268" s="408"/>
      <c r="AA268" s="408" t="s">
        <v>857</v>
      </c>
      <c r="AB268" s="83" cm="1">
        <f t="array" ref="AB268">Iss_Tariff(Main_Issuance[[#This Row],[Bank]],Main_Issuance[[#This Row],[LC Amt(SAR)]],Main_Issuance[[#This Row],[Issue Date.]],Main_Issuance[[#This Row],[Expiry Date]],Main_Issuance[[#This Row],[Calculate]])</f>
        <v>5252.05</v>
      </c>
      <c r="AC268" s="83"/>
    </row>
    <row r="269" spans="1:29" ht="15.75" hidden="1" x14ac:dyDescent="0.25">
      <c r="A269" s="114" t="s">
        <v>661</v>
      </c>
      <c r="B269" s="77">
        <v>45693</v>
      </c>
      <c r="C269" s="77" t="s">
        <v>441</v>
      </c>
      <c r="D269" s="115" t="s">
        <v>20</v>
      </c>
      <c r="E269" s="115" t="s">
        <v>95</v>
      </c>
      <c r="F269" s="115" t="s">
        <v>96</v>
      </c>
      <c r="G269" s="115" t="s">
        <v>662</v>
      </c>
      <c r="H269" s="113" t="s">
        <v>24</v>
      </c>
      <c r="I269" s="115" t="s">
        <v>22</v>
      </c>
      <c r="J269" s="115">
        <v>1020055</v>
      </c>
      <c r="K269" s="115" t="s">
        <v>26</v>
      </c>
      <c r="L269" s="60">
        <v>1000000</v>
      </c>
      <c r="M269" s="60">
        <v>1</v>
      </c>
      <c r="N269" s="60">
        <f>Main_Issuance[[#This Row],[LC Amt(FCY)]]*Main_Issuance[[#This Row],[Rate]]</f>
        <v>1000000</v>
      </c>
      <c r="O269" s="77">
        <v>45777</v>
      </c>
      <c r="P269" s="77">
        <v>45777</v>
      </c>
      <c r="Q269" s="77" t="s">
        <v>27</v>
      </c>
      <c r="R269" s="115" t="s">
        <v>311</v>
      </c>
      <c r="S269" s="82"/>
      <c r="T269" s="82"/>
      <c r="U269" s="82"/>
      <c r="V269" s="97">
        <v>0</v>
      </c>
      <c r="W269" s="115"/>
      <c r="X269" s="120" t="str">
        <f ca="1">IF(AND((Main_Issuance[[#This Row],[Expiry Date]]+31)&gt;TODAY(),Main_Issuance[[#This Row],[Status]]&lt;&gt;"Cancelled"),"Active","Cancelled")</f>
        <v>Cancelled</v>
      </c>
      <c r="Y269" s="410"/>
      <c r="Z269" s="408"/>
      <c r="AA269" s="408" t="s">
        <v>378</v>
      </c>
      <c r="AB269" s="83" cm="1">
        <f t="array" ref="AB269">Iss_Tariff(Main_Issuance[[#This Row],[Bank]],Main_Issuance[[#This Row],[LC Amt(SAR)]],Main_Issuance[[#This Row],[Issue Date.]],Main_Issuance[[#This Row],[Expiry Date]],Main_Issuance[[#This Row],[Calculate]])</f>
        <v>0</v>
      </c>
      <c r="AC269" s="83"/>
    </row>
    <row r="270" spans="1:29" ht="15.75" hidden="1" x14ac:dyDescent="0.25">
      <c r="A270" s="114" t="s">
        <v>1405</v>
      </c>
      <c r="B270" s="77">
        <v>45804</v>
      </c>
      <c r="C270" s="77" t="s">
        <v>441</v>
      </c>
      <c r="D270" s="115" t="s">
        <v>20</v>
      </c>
      <c r="E270" s="115" t="s">
        <v>21</v>
      </c>
      <c r="F270" s="115" t="s">
        <v>22</v>
      </c>
      <c r="G270" s="115" t="s">
        <v>1358</v>
      </c>
      <c r="H270" s="113" t="s">
        <v>24</v>
      </c>
      <c r="I270" s="78" t="s">
        <v>22</v>
      </c>
      <c r="J270" s="115">
        <v>1020055</v>
      </c>
      <c r="K270" s="115" t="s">
        <v>26</v>
      </c>
      <c r="L270" s="60">
        <v>250000</v>
      </c>
      <c r="M270" s="60">
        <v>1</v>
      </c>
      <c r="N270" s="60">
        <f>Main_Issuance[[#This Row],[LC Amt(FCY)]]*Main_Issuance[[#This Row],[Rate]]</f>
        <v>250000</v>
      </c>
      <c r="O270" s="77">
        <v>45900</v>
      </c>
      <c r="P270" s="77">
        <v>45900</v>
      </c>
      <c r="Q270" s="77" t="s">
        <v>27</v>
      </c>
      <c r="R270" s="115" t="s">
        <v>621</v>
      </c>
      <c r="S270" s="82"/>
      <c r="T270" s="82"/>
      <c r="U270" s="82"/>
      <c r="V270" s="97">
        <v>0</v>
      </c>
      <c r="W270" s="115"/>
      <c r="X270" s="120" t="str">
        <f ca="1">IF(AND((Main_Issuance[[#This Row],[Expiry Date]]+31)&gt;TODAY(),Main_Issuance[[#This Row],[Status]]&lt;&gt;"Cancelled"),"Active","Cancelled")</f>
        <v>Cancelled</v>
      </c>
      <c r="Y270" s="410"/>
      <c r="Z270" s="408"/>
      <c r="AA270" s="408" t="s">
        <v>378</v>
      </c>
      <c r="AB270" s="83" cm="1">
        <f t="array" ref="AB270">Iss_Tariff(Main_Issuance[[#This Row],[Bank]],Main_Issuance[[#This Row],[LC Amt(SAR)]],Main_Issuance[[#This Row],[Issue Date.]],Main_Issuance[[#This Row],[Expiry Date]],Main_Issuance[[#This Row],[Calculate]])</f>
        <v>0</v>
      </c>
      <c r="AC270" s="83"/>
    </row>
    <row r="271" spans="1:29" ht="15.75" hidden="1" x14ac:dyDescent="0.25">
      <c r="A271" s="114" t="s">
        <v>2434</v>
      </c>
      <c r="B271" s="77">
        <v>45928</v>
      </c>
      <c r="C271" s="77" t="s">
        <v>441</v>
      </c>
      <c r="D271" s="115" t="s">
        <v>20</v>
      </c>
      <c r="E271" s="115" t="s">
        <v>366</v>
      </c>
      <c r="F271" s="115" t="s">
        <v>710</v>
      </c>
      <c r="G271" s="115" t="s">
        <v>1844</v>
      </c>
      <c r="H271" s="115" t="s">
        <v>24</v>
      </c>
      <c r="I271" s="115" t="s">
        <v>710</v>
      </c>
      <c r="J271" s="113">
        <v>1020088</v>
      </c>
      <c r="K271" s="115" t="s">
        <v>26</v>
      </c>
      <c r="L271" s="119">
        <v>1500000</v>
      </c>
      <c r="M271" s="82">
        <v>1</v>
      </c>
      <c r="N271" s="82">
        <f>Main_Issuance[[#This Row],[LC Amt(FCY)]]*Main_Issuance[[#This Row],[Rate]]</f>
        <v>1500000</v>
      </c>
      <c r="O271" s="77">
        <v>46022</v>
      </c>
      <c r="P271" s="77">
        <v>46022</v>
      </c>
      <c r="Q271" s="77" t="s">
        <v>27</v>
      </c>
      <c r="R271" s="115" t="s">
        <v>621</v>
      </c>
      <c r="S271" s="82"/>
      <c r="T271" s="82"/>
      <c r="U271" s="82"/>
      <c r="V271" s="97">
        <v>0</v>
      </c>
      <c r="W271" s="115"/>
      <c r="X271" s="120" t="str">
        <f ca="1">IF(AND((Main_Issuance[[#This Row],[Expiry Date]]+31)&gt;TODAY(),Main_Issuance[[#This Row],[Status]]&lt;&gt;"Cancelled"),"Active","Cancelled")</f>
        <v>Cancelled</v>
      </c>
      <c r="Y271" s="409"/>
      <c r="Z271" s="408"/>
      <c r="AA271" s="408" t="s">
        <v>378</v>
      </c>
      <c r="AB271" s="83" cm="1">
        <f t="array" ref="AB271">Iss_Tariff(Main_Issuance[[#This Row],[Bank]],Main_Issuance[[#This Row],[LC Amt(SAR)]],Main_Issuance[[#This Row],[Issue Date.]],Main_Issuance[[#This Row],[Expiry Date]],Main_Issuance[[#This Row],[Calculate]])</f>
        <v>0</v>
      </c>
      <c r="AC271" s="83"/>
    </row>
    <row r="272" spans="1:29" ht="15.75" hidden="1" x14ac:dyDescent="0.25">
      <c r="A272" s="114" t="s">
        <v>154</v>
      </c>
      <c r="B272" s="77">
        <v>45167</v>
      </c>
      <c r="C272" s="77" t="s">
        <v>441</v>
      </c>
      <c r="D272" s="115" t="s">
        <v>20</v>
      </c>
      <c r="E272" s="115" t="s">
        <v>21</v>
      </c>
      <c r="F272" s="115" t="s">
        <v>22</v>
      </c>
      <c r="G272" s="115" t="s">
        <v>155</v>
      </c>
      <c r="H272" s="113" t="s">
        <v>24</v>
      </c>
      <c r="I272" s="115" t="s">
        <v>22</v>
      </c>
      <c r="J272" s="115">
        <v>1020055</v>
      </c>
      <c r="K272" s="115" t="s">
        <v>26</v>
      </c>
      <c r="L272" s="60">
        <v>800000</v>
      </c>
      <c r="M272" s="60">
        <v>1</v>
      </c>
      <c r="N272" s="60">
        <f>Main_Issuance[[#This Row],[LC Amt(FCY)]]*Main_Issuance[[#This Row],[Rate]]</f>
        <v>800000</v>
      </c>
      <c r="O272" s="77">
        <v>45260</v>
      </c>
      <c r="P272" s="77">
        <v>45260</v>
      </c>
      <c r="Q272" s="77" t="s">
        <v>27</v>
      </c>
      <c r="R272" s="115" t="s">
        <v>35</v>
      </c>
      <c r="S272" s="82"/>
      <c r="T272" s="82"/>
      <c r="U272" s="82"/>
      <c r="V272" s="97">
        <v>0</v>
      </c>
      <c r="W272" s="115"/>
      <c r="X272" s="120" t="str">
        <f ca="1">IF(AND((Main_Issuance[[#This Row],[Expiry Date]]+31)&gt;TODAY(),Main_Issuance[[#This Row],[Status]]&lt;&gt;"Cancelled"),"Active","Cancelled")</f>
        <v>Cancelled</v>
      </c>
      <c r="Y272" s="410"/>
      <c r="Z272" s="408"/>
      <c r="AA272" s="408" t="s">
        <v>378</v>
      </c>
      <c r="AB272" s="83" cm="1">
        <f t="array" ref="AB272">Iss_Tariff(Main_Issuance[[#This Row],[Bank]],Main_Issuance[[#This Row],[LC Amt(SAR)]],Main_Issuance[[#This Row],[Issue Date.]],Main_Issuance[[#This Row],[Expiry Date]],Main_Issuance[[#This Row],[Calculate]])</f>
        <v>0</v>
      </c>
      <c r="AC272" s="83"/>
    </row>
    <row r="273" spans="1:29" ht="15.75" hidden="1" x14ac:dyDescent="0.25">
      <c r="A273" s="114" t="s">
        <v>256</v>
      </c>
      <c r="B273" s="77">
        <v>45271</v>
      </c>
      <c r="C273" s="77" t="s">
        <v>441</v>
      </c>
      <c r="D273" s="115" t="s">
        <v>20</v>
      </c>
      <c r="E273" s="115" t="s">
        <v>21</v>
      </c>
      <c r="F273" s="115" t="s">
        <v>22</v>
      </c>
      <c r="G273" s="115" t="s">
        <v>155</v>
      </c>
      <c r="H273" s="113" t="s">
        <v>24</v>
      </c>
      <c r="I273" s="115" t="s">
        <v>22</v>
      </c>
      <c r="J273" s="115">
        <v>1020055</v>
      </c>
      <c r="K273" s="115" t="s">
        <v>26</v>
      </c>
      <c r="L273" s="60">
        <v>1552500</v>
      </c>
      <c r="M273" s="60">
        <v>1</v>
      </c>
      <c r="N273" s="60">
        <f>Main_Issuance[[#This Row],[LC Amt(FCY)]]*Main_Issuance[[#This Row],[Rate]]</f>
        <v>1552500</v>
      </c>
      <c r="O273" s="77">
        <v>45565</v>
      </c>
      <c r="P273" s="77">
        <v>45544</v>
      </c>
      <c r="Q273" s="77" t="s">
        <v>27</v>
      </c>
      <c r="R273" s="115" t="s">
        <v>35</v>
      </c>
      <c r="S273" s="82"/>
      <c r="T273" s="82"/>
      <c r="U273" s="82"/>
      <c r="V273" s="97">
        <v>0</v>
      </c>
      <c r="W273" s="115"/>
      <c r="X273" s="120" t="str">
        <f ca="1">IF(AND((Main_Issuance[[#This Row],[Expiry Date]]+31)&gt;TODAY(),Main_Issuance[[#This Row],[Status]]&lt;&gt;"Cancelled"),"Active","Cancelled")</f>
        <v>Cancelled</v>
      </c>
      <c r="Y273" s="410"/>
      <c r="Z273" s="408"/>
      <c r="AA273" s="408" t="s">
        <v>378</v>
      </c>
      <c r="AB273" s="83" cm="1">
        <f t="array" ref="AB273">Iss_Tariff(Main_Issuance[[#This Row],[Bank]],Main_Issuance[[#This Row],[LC Amt(SAR)]],Main_Issuance[[#This Row],[Issue Date.]],Main_Issuance[[#This Row],[Expiry Date]],Main_Issuance[[#This Row],[Calculate]])</f>
        <v>0</v>
      </c>
      <c r="AC273" s="83"/>
    </row>
    <row r="274" spans="1:29" ht="15.75" hidden="1" x14ac:dyDescent="0.25">
      <c r="A274" s="114" t="s">
        <v>471</v>
      </c>
      <c r="B274" s="77">
        <v>45609</v>
      </c>
      <c r="C274" s="77" t="s">
        <v>509</v>
      </c>
      <c r="D274" s="115" t="s">
        <v>20</v>
      </c>
      <c r="E274" s="115" t="s">
        <v>373</v>
      </c>
      <c r="F274" s="115" t="s">
        <v>63</v>
      </c>
      <c r="G274" s="115" t="s">
        <v>155</v>
      </c>
      <c r="H274" s="113" t="s">
        <v>24</v>
      </c>
      <c r="I274" s="115" t="s">
        <v>407</v>
      </c>
      <c r="J274" s="115">
        <v>1020100</v>
      </c>
      <c r="K274" s="115" t="s">
        <v>26</v>
      </c>
      <c r="L274" s="60">
        <v>2500000</v>
      </c>
      <c r="M274" s="60">
        <v>1</v>
      </c>
      <c r="N274" s="60">
        <f>Main_Issuance[[#This Row],[LC Amt(FCY)]]*Main_Issuance[[#This Row],[Rate]]</f>
        <v>2500000</v>
      </c>
      <c r="O274" s="77">
        <v>45716</v>
      </c>
      <c r="P274" s="77">
        <v>45661</v>
      </c>
      <c r="Q274" s="77" t="s">
        <v>27</v>
      </c>
      <c r="R274" s="115" t="s">
        <v>311</v>
      </c>
      <c r="S274" s="82"/>
      <c r="T274" s="82"/>
      <c r="U274" s="82"/>
      <c r="V274" s="97">
        <v>0</v>
      </c>
      <c r="W274" s="115"/>
      <c r="X274" s="120" t="str">
        <f ca="1">IF(AND((Main_Issuance[[#This Row],[Expiry Date]]+31)&gt;TODAY(),Main_Issuance[[#This Row],[Status]]&lt;&gt;"Cancelled"),"Active","Cancelled")</f>
        <v>Cancelled</v>
      </c>
      <c r="Y274" s="410"/>
      <c r="Z274" s="408"/>
      <c r="AA274" s="408" t="s">
        <v>378</v>
      </c>
      <c r="AB274" s="83" cm="1">
        <f t="array" ref="AB274">Iss_Tariff(Main_Issuance[[#This Row],[Bank]],Main_Issuance[[#This Row],[LC Amt(SAR)]],Main_Issuance[[#This Row],[Issue Date.]],Main_Issuance[[#This Row],[Expiry Date]],Main_Issuance[[#This Row],[Calculate]])</f>
        <v>0</v>
      </c>
      <c r="AC274" s="83"/>
    </row>
    <row r="275" spans="1:29" ht="15.75" hidden="1" x14ac:dyDescent="0.25">
      <c r="A275" s="114" t="s">
        <v>546</v>
      </c>
      <c r="B275" s="77">
        <v>45634</v>
      </c>
      <c r="C275" s="77" t="s">
        <v>509</v>
      </c>
      <c r="D275" s="115" t="s">
        <v>20</v>
      </c>
      <c r="E275" s="115" t="s">
        <v>95</v>
      </c>
      <c r="F275" s="115" t="s">
        <v>96</v>
      </c>
      <c r="G275" s="115" t="s">
        <v>155</v>
      </c>
      <c r="H275" s="113" t="s">
        <v>24</v>
      </c>
      <c r="I275" s="115" t="s">
        <v>407</v>
      </c>
      <c r="J275" s="115">
        <v>1020100</v>
      </c>
      <c r="K275" s="115" t="s">
        <v>26</v>
      </c>
      <c r="L275" s="60">
        <v>522850</v>
      </c>
      <c r="M275" s="60">
        <v>1</v>
      </c>
      <c r="N275" s="60">
        <f>Main_Issuance[[#This Row],[LC Amt(FCY)]]*Main_Issuance[[#This Row],[Rate]]</f>
        <v>522850</v>
      </c>
      <c r="O275" s="77">
        <v>45716</v>
      </c>
      <c r="P275" s="77">
        <v>45716</v>
      </c>
      <c r="Q275" s="77" t="s">
        <v>27</v>
      </c>
      <c r="R275" s="115" t="s">
        <v>311</v>
      </c>
      <c r="S275" s="82"/>
      <c r="T275" s="82"/>
      <c r="U275" s="82"/>
      <c r="V275" s="97">
        <v>0</v>
      </c>
      <c r="W275" s="115"/>
      <c r="X275" s="120" t="str">
        <f ca="1">IF(AND((Main_Issuance[[#This Row],[Expiry Date]]+31)&gt;TODAY(),Main_Issuance[[#This Row],[Status]]&lt;&gt;"Cancelled"),"Active","Cancelled")</f>
        <v>Cancelled</v>
      </c>
      <c r="Y275" s="410"/>
      <c r="Z275" s="408"/>
      <c r="AA275" s="408" t="s">
        <v>378</v>
      </c>
      <c r="AB275" s="83" cm="1">
        <f t="array" ref="AB275">Iss_Tariff(Main_Issuance[[#This Row],[Bank]],Main_Issuance[[#This Row],[LC Amt(SAR)]],Main_Issuance[[#This Row],[Issue Date.]],Main_Issuance[[#This Row],[Expiry Date]],Main_Issuance[[#This Row],[Calculate]])</f>
        <v>0</v>
      </c>
      <c r="AC275" s="83"/>
    </row>
    <row r="276" spans="1:29" ht="15.75" hidden="1" x14ac:dyDescent="0.25">
      <c r="A276" s="114" t="s">
        <v>1867</v>
      </c>
      <c r="B276" s="77">
        <v>45663</v>
      </c>
      <c r="C276" s="77" t="s">
        <v>441</v>
      </c>
      <c r="D276" s="115" t="s">
        <v>20</v>
      </c>
      <c r="E276" s="115" t="s">
        <v>373</v>
      </c>
      <c r="F276" s="115" t="s">
        <v>63</v>
      </c>
      <c r="G276" s="115" t="s">
        <v>155</v>
      </c>
      <c r="H276" s="113" t="s">
        <v>24</v>
      </c>
      <c r="I276" s="115" t="s">
        <v>22</v>
      </c>
      <c r="J276" s="115">
        <v>1020055</v>
      </c>
      <c r="K276" s="115" t="s">
        <v>26</v>
      </c>
      <c r="L276" s="60">
        <f>1552467.08-822387.22-64094.5</f>
        <v>665985.3600000001</v>
      </c>
      <c r="M276" s="60">
        <v>1</v>
      </c>
      <c r="N276" s="60">
        <f>Main_Issuance[[#This Row],[LC Amt(FCY)]]*Main_Issuance[[#This Row],[Rate]]</f>
        <v>665985.3600000001</v>
      </c>
      <c r="O276" s="77">
        <v>45930</v>
      </c>
      <c r="P276" s="77">
        <v>45930</v>
      </c>
      <c r="Q276" s="77" t="s">
        <v>27</v>
      </c>
      <c r="R276" s="115" t="s">
        <v>311</v>
      </c>
      <c r="S276" s="82"/>
      <c r="T276" s="82"/>
      <c r="U276" s="82"/>
      <c r="V276" s="97">
        <v>0</v>
      </c>
      <c r="W276" s="115"/>
      <c r="X276" s="120" t="str">
        <f ca="1">IF(AND((Main_Issuance[[#This Row],[Expiry Date]]+31)&gt;TODAY(),Main_Issuance[[#This Row],[Status]]&lt;&gt;"Cancelled"),"Active","Cancelled")</f>
        <v>Cancelled</v>
      </c>
      <c r="Y276" s="410"/>
      <c r="Z276" s="408"/>
      <c r="AA276" s="408" t="s">
        <v>378</v>
      </c>
      <c r="AB276" s="83" cm="1">
        <f t="array" ref="AB276">Iss_Tariff(Main_Issuance[[#This Row],[Bank]],Main_Issuance[[#This Row],[LC Amt(SAR)]],Main_Issuance[[#This Row],[Issue Date.]],Main_Issuance[[#This Row],[Expiry Date]],Main_Issuance[[#This Row],[Calculate]])</f>
        <v>0</v>
      </c>
      <c r="AC276" s="83"/>
    </row>
    <row r="277" spans="1:29" ht="15.75" hidden="1" x14ac:dyDescent="0.25">
      <c r="A277" s="114" t="s">
        <v>682</v>
      </c>
      <c r="B277" s="77">
        <v>45684</v>
      </c>
      <c r="C277" s="77" t="s">
        <v>509</v>
      </c>
      <c r="D277" s="115" t="s">
        <v>20</v>
      </c>
      <c r="E277" s="115" t="s">
        <v>95</v>
      </c>
      <c r="F277" s="115" t="s">
        <v>96</v>
      </c>
      <c r="G277" s="115" t="s">
        <v>155</v>
      </c>
      <c r="H277" s="113" t="s">
        <v>24</v>
      </c>
      <c r="I277" s="115" t="s">
        <v>407</v>
      </c>
      <c r="J277" s="115">
        <v>1020100</v>
      </c>
      <c r="K277" s="115" t="s">
        <v>26</v>
      </c>
      <c r="L277" s="60">
        <v>800000</v>
      </c>
      <c r="M277" s="60">
        <v>1</v>
      </c>
      <c r="N277" s="60">
        <f>Main_Issuance[[#This Row],[LC Amt(FCY)]]*Main_Issuance[[#This Row],[Rate]]</f>
        <v>800000</v>
      </c>
      <c r="O277" s="77">
        <v>45838</v>
      </c>
      <c r="P277" s="77">
        <v>45777</v>
      </c>
      <c r="Q277" s="77" t="s">
        <v>27</v>
      </c>
      <c r="R277" s="115" t="s">
        <v>311</v>
      </c>
      <c r="S277" s="82"/>
      <c r="T277" s="82"/>
      <c r="U277" s="82"/>
      <c r="V277" s="97">
        <v>0</v>
      </c>
      <c r="W277" s="115"/>
      <c r="X277" s="120" t="str">
        <f ca="1">IF(AND((Main_Issuance[[#This Row],[Expiry Date]]+31)&gt;TODAY(),Main_Issuance[[#This Row],[Status]]&lt;&gt;"Cancelled"),"Active","Cancelled")</f>
        <v>Cancelled</v>
      </c>
      <c r="Y277" s="410"/>
      <c r="Z277" s="408"/>
      <c r="AA277" s="408" t="s">
        <v>378</v>
      </c>
      <c r="AB277" s="83" cm="1">
        <f t="array" ref="AB277">Iss_Tariff(Main_Issuance[[#This Row],[Bank]],Main_Issuance[[#This Row],[LC Amt(SAR)]],Main_Issuance[[#This Row],[Issue Date.]],Main_Issuance[[#This Row],[Expiry Date]],Main_Issuance[[#This Row],[Calculate]])</f>
        <v>0</v>
      </c>
      <c r="AC277" s="83"/>
    </row>
    <row r="278" spans="1:29" ht="15.75" hidden="1" x14ac:dyDescent="0.25">
      <c r="A278" s="114" t="s">
        <v>712</v>
      </c>
      <c r="B278" s="77">
        <v>45726</v>
      </c>
      <c r="C278" s="77" t="s">
        <v>441</v>
      </c>
      <c r="D278" s="115" t="s">
        <v>20</v>
      </c>
      <c r="E278" s="115" t="s">
        <v>366</v>
      </c>
      <c r="F278" s="115" t="s">
        <v>710</v>
      </c>
      <c r="G278" s="115" t="s">
        <v>155</v>
      </c>
      <c r="H278" s="113" t="s">
        <v>24</v>
      </c>
      <c r="I278" s="115" t="s">
        <v>710</v>
      </c>
      <c r="J278" s="115">
        <v>1020088</v>
      </c>
      <c r="K278" s="115" t="s">
        <v>26</v>
      </c>
      <c r="L278" s="60">
        <v>4952175</v>
      </c>
      <c r="M278" s="60">
        <v>1</v>
      </c>
      <c r="N278" s="60">
        <f>Main_Issuance[[#This Row],[LC Amt(FCY)]]*Main_Issuance[[#This Row],[Rate]]</f>
        <v>4952175</v>
      </c>
      <c r="O278" s="77">
        <v>45869</v>
      </c>
      <c r="P278" s="77">
        <v>45808</v>
      </c>
      <c r="Q278" s="77" t="s">
        <v>27</v>
      </c>
      <c r="R278" s="115" t="s">
        <v>311</v>
      </c>
      <c r="S278" s="82"/>
      <c r="T278" s="82"/>
      <c r="U278" s="82"/>
      <c r="V278" s="97">
        <v>0</v>
      </c>
      <c r="W278" s="115"/>
      <c r="X278" s="120" t="str">
        <f ca="1">IF(AND((Main_Issuance[[#This Row],[Expiry Date]]+31)&gt;TODAY(),Main_Issuance[[#This Row],[Status]]&lt;&gt;"Cancelled"),"Active","Cancelled")</f>
        <v>Cancelled</v>
      </c>
      <c r="Y278" s="410"/>
      <c r="Z278" s="408"/>
      <c r="AA278" s="408" t="s">
        <v>378</v>
      </c>
      <c r="AB278" s="83" cm="1">
        <f t="array" ref="AB278">Iss_Tariff(Main_Issuance[[#This Row],[Bank]],Main_Issuance[[#This Row],[LC Amt(SAR)]],Main_Issuance[[#This Row],[Issue Date.]],Main_Issuance[[#This Row],[Expiry Date]],Main_Issuance[[#This Row],[Calculate]])</f>
        <v>0</v>
      </c>
      <c r="AC278" s="83"/>
    </row>
    <row r="279" spans="1:29" ht="15.75" hidden="1" x14ac:dyDescent="0.25">
      <c r="A279" s="114" t="s">
        <v>834</v>
      </c>
      <c r="B279" s="77">
        <v>45743</v>
      </c>
      <c r="C279" s="77" t="s">
        <v>441</v>
      </c>
      <c r="D279" s="115" t="s">
        <v>20</v>
      </c>
      <c r="E279" s="115" t="s">
        <v>612</v>
      </c>
      <c r="F279" s="115" t="s">
        <v>613</v>
      </c>
      <c r="G279" s="115" t="s">
        <v>155</v>
      </c>
      <c r="H279" s="113" t="s">
        <v>24</v>
      </c>
      <c r="I279" s="115" t="s">
        <v>613</v>
      </c>
      <c r="J279" s="115">
        <v>1020106</v>
      </c>
      <c r="K279" s="115" t="s">
        <v>26</v>
      </c>
      <c r="L279" s="60">
        <v>205980.49</v>
      </c>
      <c r="M279" s="60">
        <v>1</v>
      </c>
      <c r="N279" s="60">
        <f>Main_Issuance[[#This Row],[LC Amt(FCY)]]*Main_Issuance[[#This Row],[Rate]]</f>
        <v>205980.49</v>
      </c>
      <c r="O279" s="77">
        <v>45900</v>
      </c>
      <c r="P279" s="77">
        <v>45900</v>
      </c>
      <c r="Q279" s="77" t="s">
        <v>27</v>
      </c>
      <c r="R279" s="115" t="s">
        <v>425</v>
      </c>
      <c r="S279" s="82"/>
      <c r="T279" s="82"/>
      <c r="U279" s="82"/>
      <c r="V279" s="97">
        <v>0</v>
      </c>
      <c r="W279" s="115"/>
      <c r="X279" s="120" t="str">
        <f ca="1">IF(AND((Main_Issuance[[#This Row],[Expiry Date]]+31)&gt;TODAY(),Main_Issuance[[#This Row],[Status]]&lt;&gt;"Cancelled"),"Active","Cancelled")</f>
        <v>Cancelled</v>
      </c>
      <c r="Y279" s="410"/>
      <c r="Z279" s="408"/>
      <c r="AA279" s="408" t="s">
        <v>378</v>
      </c>
      <c r="AB279" s="83" cm="1">
        <f t="array" ref="AB279">Iss_Tariff(Main_Issuance[[#This Row],[Bank]],Main_Issuance[[#This Row],[LC Amt(SAR)]],Main_Issuance[[#This Row],[Issue Date.]],Main_Issuance[[#This Row],[Expiry Date]],Main_Issuance[[#This Row],[Calculate]])</f>
        <v>0</v>
      </c>
      <c r="AC279" s="83"/>
    </row>
    <row r="280" spans="1:29" ht="15.75" hidden="1" x14ac:dyDescent="0.25">
      <c r="A280" s="114" t="s">
        <v>1231</v>
      </c>
      <c r="B280" s="77">
        <v>45775</v>
      </c>
      <c r="C280" s="77" t="s">
        <v>441</v>
      </c>
      <c r="D280" s="115" t="s">
        <v>20</v>
      </c>
      <c r="E280" s="115" t="s">
        <v>612</v>
      </c>
      <c r="F280" s="115" t="s">
        <v>613</v>
      </c>
      <c r="G280" s="115" t="s">
        <v>155</v>
      </c>
      <c r="H280" s="113" t="s">
        <v>24</v>
      </c>
      <c r="I280" s="115" t="s">
        <v>613</v>
      </c>
      <c r="J280" s="115">
        <v>1020106</v>
      </c>
      <c r="K280" s="115" t="s">
        <v>26</v>
      </c>
      <c r="L280" s="60">
        <v>440466.43</v>
      </c>
      <c r="M280" s="60">
        <v>1</v>
      </c>
      <c r="N280" s="60">
        <f>Main_Issuance[[#This Row],[LC Amt(FCY)]]*Main_Issuance[[#This Row],[Rate]]</f>
        <v>440466.43</v>
      </c>
      <c r="O280" s="77">
        <v>45930</v>
      </c>
      <c r="P280" s="77">
        <v>45930</v>
      </c>
      <c r="Q280" s="77" t="s">
        <v>27</v>
      </c>
      <c r="R280" s="115" t="s">
        <v>311</v>
      </c>
      <c r="S280" s="82"/>
      <c r="T280" s="82"/>
      <c r="U280" s="82"/>
      <c r="V280" s="97"/>
      <c r="W280" s="115"/>
      <c r="X280" s="120" t="str">
        <f ca="1">IF(AND((Main_Issuance[[#This Row],[Expiry Date]]+31)&gt;TODAY(),Main_Issuance[[#This Row],[Status]]&lt;&gt;"Cancelled"),"Active","Cancelled")</f>
        <v>Cancelled</v>
      </c>
      <c r="Y280" s="410"/>
      <c r="Z280" s="408"/>
      <c r="AA280" s="408" t="s">
        <v>378</v>
      </c>
      <c r="AB280" s="83" cm="1">
        <f t="array" ref="AB280">Iss_Tariff(Main_Issuance[[#This Row],[Bank]],Main_Issuance[[#This Row],[LC Amt(SAR)]],Main_Issuance[[#This Row],[Issue Date.]],Main_Issuance[[#This Row],[Expiry Date]],Main_Issuance[[#This Row],[Calculate]])</f>
        <v>0</v>
      </c>
      <c r="AC280" s="83"/>
    </row>
    <row r="281" spans="1:29" ht="15.75" hidden="1" x14ac:dyDescent="0.25">
      <c r="A281" s="147" t="s">
        <v>596</v>
      </c>
      <c r="B281" s="148">
        <v>45663</v>
      </c>
      <c r="C281" s="148" t="s">
        <v>441</v>
      </c>
      <c r="D281" s="124" t="s">
        <v>20</v>
      </c>
      <c r="E281" s="124" t="s">
        <v>373</v>
      </c>
      <c r="F281" s="124" t="s">
        <v>70</v>
      </c>
      <c r="G281" s="124" t="s">
        <v>155</v>
      </c>
      <c r="H281" s="124" t="s">
        <v>24</v>
      </c>
      <c r="I281" s="124" t="s">
        <v>22</v>
      </c>
      <c r="J281" s="113">
        <v>1020055</v>
      </c>
      <c r="K281" s="124" t="s">
        <v>26</v>
      </c>
      <c r="L281" s="60">
        <f>1552467.08-730079.86+64094.5</f>
        <v>886481.72000000009</v>
      </c>
      <c r="M281" s="60">
        <v>1</v>
      </c>
      <c r="N281" s="60">
        <f>Main_Issuance[[#This Row],[LC Amt(FCY)]]*Main_Issuance[[#This Row],[Rate]]</f>
        <v>886481.72000000009</v>
      </c>
      <c r="O281" s="148">
        <v>45930</v>
      </c>
      <c r="P281" s="148">
        <v>45930</v>
      </c>
      <c r="Q281" s="58" t="s">
        <v>70</v>
      </c>
      <c r="R281" s="115" t="s">
        <v>311</v>
      </c>
      <c r="S281" s="127"/>
      <c r="T281" s="127"/>
      <c r="U281" s="127">
        <f>758292+64094.5</f>
        <v>822386.5</v>
      </c>
      <c r="V281" s="97">
        <v>0</v>
      </c>
      <c r="W281" s="115"/>
      <c r="X281" s="192" t="str">
        <f ca="1">IF(AND((Main_Issuance[[#This Row],[Expiry Date]]+31)&gt;TODAY(),Main_Issuance[[#This Row],[Status]]&lt;&gt;"Cancelled"),"Active","Cancelled")</f>
        <v>Cancelled</v>
      </c>
      <c r="Y281" s="411"/>
      <c r="Z281" s="408"/>
      <c r="AA281" s="408" t="s">
        <v>378</v>
      </c>
      <c r="AB281" s="83" cm="1">
        <f t="array" ref="AB281">Iss_Tariff(Main_Issuance[[#This Row],[Bank]],Main_Issuance[[#This Row],[LC Amt(SAR)]],Main_Issuance[[#This Row],[Issue Date.]],Main_Issuance[[#This Row],[Expiry Date]],Main_Issuance[[#This Row],[Calculate]])</f>
        <v>0</v>
      </c>
      <c r="AC281" s="83"/>
    </row>
    <row r="282" spans="1:29" ht="15.75" hidden="1" x14ac:dyDescent="0.25">
      <c r="A282" s="114" t="s">
        <v>260</v>
      </c>
      <c r="B282" s="77">
        <v>45209</v>
      </c>
      <c r="C282" s="77" t="s">
        <v>1181</v>
      </c>
      <c r="D282" s="115" t="s">
        <v>20</v>
      </c>
      <c r="E282" s="115" t="s">
        <v>21</v>
      </c>
      <c r="F282" s="115" t="s">
        <v>22</v>
      </c>
      <c r="G282" s="115" t="s">
        <v>261</v>
      </c>
      <c r="H282" s="113" t="s">
        <v>80</v>
      </c>
      <c r="I282" s="115" t="s">
        <v>81</v>
      </c>
      <c r="J282" s="115">
        <v>1020070</v>
      </c>
      <c r="K282" s="115" t="s">
        <v>26</v>
      </c>
      <c r="L282" s="60">
        <v>707020</v>
      </c>
      <c r="M282" s="60">
        <v>1</v>
      </c>
      <c r="N282" s="60">
        <f>Main_Issuance[[#This Row],[LC Amt(FCY)]]*Main_Issuance[[#This Row],[Rate]]</f>
        <v>707020</v>
      </c>
      <c r="O282" s="77">
        <v>45566</v>
      </c>
      <c r="P282" s="77">
        <v>45566</v>
      </c>
      <c r="Q282" s="77" t="s">
        <v>70</v>
      </c>
      <c r="R282" s="115"/>
      <c r="S282" s="82"/>
      <c r="T282" s="82"/>
      <c r="U282" s="82"/>
      <c r="V282" s="97">
        <v>0</v>
      </c>
      <c r="W282" s="115"/>
      <c r="X282" s="120" t="str">
        <f ca="1">IF(AND((Main_Issuance[[#This Row],[Expiry Date]]+31)&gt;TODAY(),Main_Issuance[[#This Row],[Status]]&lt;&gt;"Cancelled"),"Active","Cancelled")</f>
        <v>Cancelled</v>
      </c>
      <c r="Y282" s="410"/>
      <c r="Z282" s="408"/>
      <c r="AA282" s="408" t="s">
        <v>378</v>
      </c>
      <c r="AB282" s="83" cm="1">
        <f t="array" ref="AB282">Iss_Tariff(Main_Issuance[[#This Row],[Bank]],Main_Issuance[[#This Row],[LC Amt(SAR)]],Main_Issuance[[#This Row],[Issue Date.]],Main_Issuance[[#This Row],[Expiry Date]],Main_Issuance[[#This Row],[Calculate]])</f>
        <v>0</v>
      </c>
      <c r="AC282" s="83"/>
    </row>
    <row r="283" spans="1:29" ht="15.75" hidden="1" x14ac:dyDescent="0.25">
      <c r="A283" s="114" t="s">
        <v>1294</v>
      </c>
      <c r="B283" s="77">
        <v>45785</v>
      </c>
      <c r="C283" s="77" t="s">
        <v>509</v>
      </c>
      <c r="D283" s="115" t="s">
        <v>20</v>
      </c>
      <c r="E283" s="115" t="s">
        <v>373</v>
      </c>
      <c r="F283" s="115" t="s">
        <v>70</v>
      </c>
      <c r="G283" s="115" t="s">
        <v>1252</v>
      </c>
      <c r="H283" s="113" t="s">
        <v>72</v>
      </c>
      <c r="I283" s="115" t="s">
        <v>511</v>
      </c>
      <c r="J283" s="115">
        <v>1020107</v>
      </c>
      <c r="K283" s="115" t="s">
        <v>26</v>
      </c>
      <c r="L283" s="60">
        <v>1964200</v>
      </c>
      <c r="M283" s="60">
        <v>1</v>
      </c>
      <c r="N283" s="60">
        <f>Main_Issuance[[#This Row],[LC Amt(FCY)]]*Main_Issuance[[#This Row],[Rate]]</f>
        <v>1964200</v>
      </c>
      <c r="O283" s="77">
        <v>46081</v>
      </c>
      <c r="P283" s="77">
        <v>46081</v>
      </c>
      <c r="Q283" s="77" t="s">
        <v>70</v>
      </c>
      <c r="R283" s="115" t="s">
        <v>621</v>
      </c>
      <c r="S283" s="82"/>
      <c r="T283" s="82"/>
      <c r="U283" s="82"/>
      <c r="V283" s="97">
        <v>0</v>
      </c>
      <c r="W283" s="115"/>
      <c r="X283" s="120" t="str">
        <f ca="1">IF(AND((Main_Issuance[[#This Row],[Expiry Date]]+31)&gt;TODAY(),Main_Issuance[[#This Row],[Status]]&lt;&gt;"Cancelled"),"Active","Cancelled")</f>
        <v>Cancelled</v>
      </c>
      <c r="Y283" s="410"/>
      <c r="Z283" s="408"/>
      <c r="AA283" s="408" t="s">
        <v>857</v>
      </c>
      <c r="AB283" s="83" cm="1">
        <f t="array" ref="AB283">Iss_Tariff(Main_Issuance[[#This Row],[Bank]],Main_Issuance[[#This Row],[LC Amt(SAR)]],Main_Issuance[[#This Row],[Issue Date.]],Main_Issuance[[#This Row],[Expiry Date]],Main_Issuance[[#This Row],[Calculate]])</f>
        <v>0</v>
      </c>
      <c r="AC283" s="83"/>
    </row>
    <row r="284" spans="1:29" ht="15.75" hidden="1" x14ac:dyDescent="0.25">
      <c r="A284" s="114" t="s">
        <v>1895</v>
      </c>
      <c r="B284" s="77">
        <v>45928</v>
      </c>
      <c r="C284" s="77" t="s">
        <v>509</v>
      </c>
      <c r="D284" s="115" t="s">
        <v>20</v>
      </c>
      <c r="E284" s="115" t="s">
        <v>21</v>
      </c>
      <c r="F284" s="115" t="s">
        <v>22</v>
      </c>
      <c r="G284" s="115" t="s">
        <v>1252</v>
      </c>
      <c r="H284" s="115" t="s">
        <v>72</v>
      </c>
      <c r="I284" s="115" t="s">
        <v>511</v>
      </c>
      <c r="J284" s="113">
        <v>1020107</v>
      </c>
      <c r="K284" s="115" t="s">
        <v>26</v>
      </c>
      <c r="L284" s="119">
        <f>165600+1908712.5</f>
        <v>2074312.5</v>
      </c>
      <c r="M284" s="82">
        <v>1</v>
      </c>
      <c r="N284" s="82">
        <f>Main_Issuance[[#This Row],[LC Amt(FCY)]]*Main_Issuance[[#This Row],[Rate]]</f>
        <v>2074312.5</v>
      </c>
      <c r="O284" s="77">
        <v>46201</v>
      </c>
      <c r="P284" s="77">
        <v>46201</v>
      </c>
      <c r="Q284" s="77" t="s">
        <v>27</v>
      </c>
      <c r="R284" s="115" t="s">
        <v>621</v>
      </c>
      <c r="S284" s="82"/>
      <c r="T284" s="82"/>
      <c r="U284" s="82"/>
      <c r="V284" s="97">
        <v>0</v>
      </c>
      <c r="W284" s="115" t="s">
        <v>4195</v>
      </c>
      <c r="X284" s="120" t="str">
        <f ca="1">IF(AND((Main_Issuance[[#This Row],[Expiry Date]]+31)&gt;TODAY(),Main_Issuance[[#This Row],[Status]]&lt;&gt;"Cancelled"),"Active","Cancelled")</f>
        <v>Active</v>
      </c>
      <c r="Y284" s="411"/>
      <c r="Z284" s="408"/>
      <c r="AA284" s="408" t="s">
        <v>857</v>
      </c>
      <c r="AB284" s="83" cm="1">
        <f t="array" ref="AB284">Iss_Tariff(Main_Issuance[[#This Row],[Bank]],Main_Issuance[[#This Row],[LC Amt(SAR)]],Main_Issuance[[#This Row],[Issue Date.]],Main_Issuance[[#This Row],[Expiry Date]],Main_Issuance[[#This Row],[Calculate]])</f>
        <v>13307.8</v>
      </c>
      <c r="AC284" s="83"/>
    </row>
    <row r="285" spans="1:29" ht="15.75" hidden="1" x14ac:dyDescent="0.25">
      <c r="A285" s="114" t="s">
        <v>3572</v>
      </c>
      <c r="B285" s="77">
        <v>46033</v>
      </c>
      <c r="C285" s="76" t="s">
        <v>1259</v>
      </c>
      <c r="D285" s="115" t="s">
        <v>20</v>
      </c>
      <c r="E285" s="115" t="s">
        <v>95</v>
      </c>
      <c r="F285" s="115" t="s">
        <v>96</v>
      </c>
      <c r="G285" s="115" t="s">
        <v>3288</v>
      </c>
      <c r="H285" s="113" t="s">
        <v>72</v>
      </c>
      <c r="I285" s="78" t="s">
        <v>328</v>
      </c>
      <c r="J285" s="115">
        <v>1020097</v>
      </c>
      <c r="K285" s="115" t="s">
        <v>26</v>
      </c>
      <c r="L285" s="119">
        <f>966000-342125</f>
        <v>623875</v>
      </c>
      <c r="M285" s="82">
        <v>1</v>
      </c>
      <c r="N285" s="82">
        <f>Main_Issuance[[#This Row],[LC Amt(FCY)]]*Main_Issuance[[#This Row],[Rate]]</f>
        <v>623875</v>
      </c>
      <c r="O285" s="77">
        <v>46112</v>
      </c>
      <c r="P285" s="77">
        <v>46112</v>
      </c>
      <c r="Q285" s="77" t="s">
        <v>27</v>
      </c>
      <c r="R285" s="115" t="s">
        <v>311</v>
      </c>
      <c r="S285" s="82"/>
      <c r="T285" s="82"/>
      <c r="U285" s="82"/>
      <c r="V285" s="97">
        <v>0</v>
      </c>
      <c r="W285" s="115"/>
      <c r="X285" s="120" t="str">
        <f ca="1">IF(AND((Main_Issuance[[#This Row],[Expiry Date]]+31)&gt;TODAY(),Main_Issuance[[#This Row],[Status]]&lt;&gt;"Cancelled"),"Active","Cancelled")</f>
        <v>Cancelled</v>
      </c>
      <c r="Y285" s="409"/>
      <c r="Z285" s="408"/>
      <c r="AA285" s="408" t="s">
        <v>857</v>
      </c>
      <c r="AB285" s="83" cm="1">
        <f t="array" ref="AB285">Iss_Tariff(Main_Issuance[[#This Row],[Bank]],Main_Issuance[[#This Row],[LC Amt(SAR)]],Main_Issuance[[#This Row],[Issue Date.]],Main_Issuance[[#This Row],[Expiry Date]],Main_Issuance[[#This Row],[Calculate]])</f>
        <v>1357</v>
      </c>
      <c r="AC285" s="83"/>
    </row>
    <row r="286" spans="1:29" ht="15.75" hidden="1" x14ac:dyDescent="0.25">
      <c r="A286" s="114" t="s">
        <v>747</v>
      </c>
      <c r="B286" s="77">
        <v>45741</v>
      </c>
      <c r="C286" s="77" t="s">
        <v>1864</v>
      </c>
      <c r="D286" s="115" t="s">
        <v>20</v>
      </c>
      <c r="E286" s="115" t="s">
        <v>366</v>
      </c>
      <c r="F286" s="115" t="s">
        <v>710</v>
      </c>
      <c r="G286" s="115" t="s">
        <v>748</v>
      </c>
      <c r="H286" s="59" t="s">
        <v>3221</v>
      </c>
      <c r="I286" s="115" t="s">
        <v>81</v>
      </c>
      <c r="J286" s="115">
        <v>1020070</v>
      </c>
      <c r="K286" s="115" t="s">
        <v>26</v>
      </c>
      <c r="L286" s="60">
        <v>1000000</v>
      </c>
      <c r="M286" s="60">
        <v>1</v>
      </c>
      <c r="N286" s="60">
        <f>Main_Issuance[[#This Row],[LC Amt(FCY)]]*Main_Issuance[[#This Row],[Rate]]</f>
        <v>1000000</v>
      </c>
      <c r="O286" s="77">
        <v>45808</v>
      </c>
      <c r="P286" s="77">
        <v>45777</v>
      </c>
      <c r="Q286" s="77" t="s">
        <v>27</v>
      </c>
      <c r="R286" s="115" t="s">
        <v>621</v>
      </c>
      <c r="S286" s="82"/>
      <c r="T286" s="82"/>
      <c r="U286" s="82"/>
      <c r="V286" s="97">
        <v>0</v>
      </c>
      <c r="W286" s="115"/>
      <c r="X286" s="120" t="str">
        <f ca="1">IF(AND((Main_Issuance[[#This Row],[Expiry Date]]+31)&gt;TODAY(),Main_Issuance[[#This Row],[Status]]&lt;&gt;"Cancelled"),"Active","Cancelled")</f>
        <v>Cancelled</v>
      </c>
      <c r="Y286" s="410"/>
      <c r="Z286" s="408"/>
      <c r="AA286" s="408" t="s">
        <v>378</v>
      </c>
      <c r="AB286" s="83" cm="1">
        <f t="array" ref="AB286">Iss_Tariff(Main_Issuance[[#This Row],[Bank]],Main_Issuance[[#This Row],[LC Amt(SAR)]],Main_Issuance[[#This Row],[Issue Date.]],Main_Issuance[[#This Row],[Expiry Date]],Main_Issuance[[#This Row],[Calculate]])</f>
        <v>0</v>
      </c>
      <c r="AC286" s="83"/>
    </row>
    <row r="287" spans="1:29" ht="15.75" hidden="1" x14ac:dyDescent="0.25">
      <c r="A287" s="114" t="s">
        <v>3723</v>
      </c>
      <c r="B287" s="77">
        <v>46040</v>
      </c>
      <c r="C287" s="77" t="s">
        <v>1259</v>
      </c>
      <c r="D287" s="115" t="s">
        <v>20</v>
      </c>
      <c r="E287" s="115" t="s">
        <v>95</v>
      </c>
      <c r="F287" s="115" t="s">
        <v>96</v>
      </c>
      <c r="G287" s="115" t="s">
        <v>3621</v>
      </c>
      <c r="H287" s="113" t="s">
        <v>1791</v>
      </c>
      <c r="I287" s="115" t="s">
        <v>328</v>
      </c>
      <c r="J287" s="115">
        <v>1020097</v>
      </c>
      <c r="K287" s="115" t="s">
        <v>26</v>
      </c>
      <c r="L287" s="119">
        <v>700000</v>
      </c>
      <c r="M287" s="82">
        <v>1</v>
      </c>
      <c r="N287" s="82">
        <f>Main_Issuance[[#This Row],[LC Amt(FCY)]]*Main_Issuance[[#This Row],[Rate]]</f>
        <v>700000</v>
      </c>
      <c r="O287" s="77">
        <v>46112</v>
      </c>
      <c r="P287" s="77">
        <v>46112</v>
      </c>
      <c r="Q287" s="77" t="s">
        <v>27</v>
      </c>
      <c r="R287" s="115" t="s">
        <v>3622</v>
      </c>
      <c r="S287" s="82"/>
      <c r="T287" s="82"/>
      <c r="U287" s="82"/>
      <c r="V287" s="97">
        <v>0</v>
      </c>
      <c r="W287" s="115"/>
      <c r="X287" s="120" t="str">
        <f ca="1">IF(AND((Main_Issuance[[#This Row],[Expiry Date]]+31)&gt;TODAY(),Main_Issuance[[#This Row],[Status]]&lt;&gt;"Cancelled"),"Active","Cancelled")</f>
        <v>Cancelled</v>
      </c>
      <c r="Y287" s="409"/>
      <c r="Z287" s="408"/>
      <c r="AA287" s="408" t="s">
        <v>857</v>
      </c>
      <c r="AB287" s="83" cm="1">
        <f t="array" ref="AB287">Iss_Tariff(Main_Issuance[[#This Row],[Bank]],Main_Issuance[[#This Row],[LC Amt(SAR)]],Main_Issuance[[#This Row],[Issue Date.]],Main_Issuance[[#This Row],[Expiry Date]],Main_Issuance[[#This Row],[Calculate]])</f>
        <v>1130.45</v>
      </c>
      <c r="AC287" s="83"/>
    </row>
    <row r="288" spans="1:29" ht="15.75" hidden="1" x14ac:dyDescent="0.25">
      <c r="A288" s="114" t="s">
        <v>1806</v>
      </c>
      <c r="B288" s="77">
        <v>45895</v>
      </c>
      <c r="C288" s="77" t="s">
        <v>1181</v>
      </c>
      <c r="D288" s="115" t="s">
        <v>20</v>
      </c>
      <c r="E288" s="115" t="s">
        <v>366</v>
      </c>
      <c r="F288" s="115" t="s">
        <v>710</v>
      </c>
      <c r="G288" s="115" t="s">
        <v>1756</v>
      </c>
      <c r="H288" s="113" t="s">
        <v>1791</v>
      </c>
      <c r="I288" s="115" t="s">
        <v>81</v>
      </c>
      <c r="J288" s="115">
        <v>1020070</v>
      </c>
      <c r="K288" s="115" t="s">
        <v>26</v>
      </c>
      <c r="L288" s="60">
        <v>304417</v>
      </c>
      <c r="M288" s="60">
        <v>1</v>
      </c>
      <c r="N288" s="60">
        <f>Main_Issuance[[#This Row],[LC Amt(FCY)]]*Main_Issuance[[#This Row],[Rate]]</f>
        <v>304417</v>
      </c>
      <c r="O288" s="77">
        <v>45961</v>
      </c>
      <c r="P288" s="77">
        <v>45961</v>
      </c>
      <c r="Q288" s="77" t="s">
        <v>27</v>
      </c>
      <c r="R288" s="115" t="s">
        <v>408</v>
      </c>
      <c r="S288" s="82"/>
      <c r="T288" s="82"/>
      <c r="U288" s="82"/>
      <c r="V288" s="97">
        <v>0</v>
      </c>
      <c r="W288" s="115"/>
      <c r="X288" s="120" t="str">
        <f ca="1">IF(AND((Main_Issuance[[#This Row],[Expiry Date]]+31)&gt;TODAY(),Main_Issuance[[#This Row],[Status]]&lt;&gt;"Cancelled"),"Active","Cancelled")</f>
        <v>Cancelled</v>
      </c>
      <c r="Y288" s="410"/>
      <c r="Z288" s="408"/>
      <c r="AA288" s="408" t="s">
        <v>378</v>
      </c>
      <c r="AB288" s="83" cm="1">
        <f t="array" ref="AB288">Iss_Tariff(Main_Issuance[[#This Row],[Bank]],Main_Issuance[[#This Row],[LC Amt(SAR)]],Main_Issuance[[#This Row],[Issue Date.]],Main_Issuance[[#This Row],[Expiry Date]],Main_Issuance[[#This Row],[Calculate]])</f>
        <v>0</v>
      </c>
      <c r="AC288" s="83"/>
    </row>
    <row r="289" spans="1:29" ht="15.75" hidden="1" x14ac:dyDescent="0.25">
      <c r="A289" s="114" t="s">
        <v>1609</v>
      </c>
      <c r="B289" s="77">
        <v>45862</v>
      </c>
      <c r="C289" s="77" t="s">
        <v>441</v>
      </c>
      <c r="D289" s="115" t="s">
        <v>20</v>
      </c>
      <c r="E289" s="115" t="s">
        <v>366</v>
      </c>
      <c r="F289" s="115" t="s">
        <v>710</v>
      </c>
      <c r="G289" s="115" t="s">
        <v>1573</v>
      </c>
      <c r="H289" s="113" t="s">
        <v>24</v>
      </c>
      <c r="I289" s="115" t="s">
        <v>710</v>
      </c>
      <c r="J289" s="115">
        <v>1020088</v>
      </c>
      <c r="K289" s="115" t="s">
        <v>26</v>
      </c>
      <c r="L289" s="60">
        <v>300000.01</v>
      </c>
      <c r="M289" s="60">
        <v>1</v>
      </c>
      <c r="N289" s="60">
        <f>Main_Issuance[[#This Row],[LC Amt(FCY)]]*Main_Issuance[[#This Row],[Rate]]</f>
        <v>300000.01</v>
      </c>
      <c r="O289" s="77">
        <v>46203</v>
      </c>
      <c r="P289" s="77">
        <v>46203</v>
      </c>
      <c r="Q289" s="77" t="s">
        <v>27</v>
      </c>
      <c r="R289" s="115" t="s">
        <v>621</v>
      </c>
      <c r="S289" s="82"/>
      <c r="T289" s="82"/>
      <c r="U289" s="82"/>
      <c r="V289" s="97">
        <v>0</v>
      </c>
      <c r="W289" s="115"/>
      <c r="X289" s="120" t="str">
        <f ca="1">IF(AND((Main_Issuance[[#This Row],[Expiry Date]]+31)&gt;TODAY(),Main_Issuance[[#This Row],[Status]]&lt;&gt;"Cancelled"),"Active","Cancelled")</f>
        <v>Active</v>
      </c>
      <c r="Y289" s="410"/>
      <c r="Z289" s="408"/>
      <c r="AA289" s="408" t="s">
        <v>857</v>
      </c>
      <c r="AB289" s="83" cm="1">
        <f t="array" ref="AB289">Iss_Tariff(Main_Issuance[[#This Row],[Bank]],Main_Issuance[[#This Row],[LC Amt(SAR)]],Main_Issuance[[#This Row],[Issue Date.]],Main_Issuance[[#This Row],[Expiry Date]],Main_Issuance[[#This Row],[Calculate]])</f>
        <v>1811.25</v>
      </c>
      <c r="AC289" s="83"/>
    </row>
    <row r="290" spans="1:29" ht="15.75" hidden="1" x14ac:dyDescent="0.25">
      <c r="A290" s="114" t="s">
        <v>1899</v>
      </c>
      <c r="B290" s="77">
        <v>45929</v>
      </c>
      <c r="C290" s="77" t="s">
        <v>441</v>
      </c>
      <c r="D290" s="115" t="s">
        <v>20</v>
      </c>
      <c r="E290" s="115" t="s">
        <v>366</v>
      </c>
      <c r="F290" s="115" t="s">
        <v>710</v>
      </c>
      <c r="G290" s="115" t="s">
        <v>1573</v>
      </c>
      <c r="H290" s="115" t="s">
        <v>24</v>
      </c>
      <c r="I290" s="115" t="s">
        <v>710</v>
      </c>
      <c r="J290" s="113">
        <v>1020088</v>
      </c>
      <c r="K290" s="115" t="s">
        <v>26</v>
      </c>
      <c r="L290" s="119">
        <v>400000</v>
      </c>
      <c r="M290" s="82">
        <v>1</v>
      </c>
      <c r="N290" s="82">
        <f>Main_Issuance[[#This Row],[LC Amt(FCY)]]*Main_Issuance[[#This Row],[Rate]]</f>
        <v>400000</v>
      </c>
      <c r="O290" s="77">
        <v>46142</v>
      </c>
      <c r="P290" s="77">
        <v>46142</v>
      </c>
      <c r="Q290" s="77" t="s">
        <v>27</v>
      </c>
      <c r="R290" s="115" t="s">
        <v>621</v>
      </c>
      <c r="S290" s="82"/>
      <c r="T290" s="82"/>
      <c r="U290" s="82"/>
      <c r="V290" s="97">
        <v>0</v>
      </c>
      <c r="W290" s="115"/>
      <c r="X290" s="120" t="str">
        <f ca="1">IF(AND((Main_Issuance[[#This Row],[Expiry Date]]+31)&gt;TODAY(),Main_Issuance[[#This Row],[Status]]&lt;&gt;"Cancelled"),"Active","Cancelled")</f>
        <v>Cancelled</v>
      </c>
      <c r="Y290" s="409"/>
      <c r="Z290" s="408"/>
      <c r="AA290" s="408" t="s">
        <v>857</v>
      </c>
      <c r="AB290" s="83" cm="1">
        <f t="array" ref="AB290">Iss_Tariff(Main_Issuance[[#This Row],[Bank]],Main_Issuance[[#This Row],[LC Amt(SAR)]],Main_Issuance[[#This Row],[Issue Date.]],Main_Issuance[[#This Row],[Expiry Date]],Main_Issuance[[#This Row],[Calculate]])</f>
        <v>2386.25</v>
      </c>
      <c r="AC290" s="83"/>
    </row>
    <row r="291" spans="1:29" ht="15.75" hidden="1" x14ac:dyDescent="0.25">
      <c r="A291" s="114" t="s">
        <v>3703</v>
      </c>
      <c r="B291" s="77">
        <v>46036</v>
      </c>
      <c r="C291" s="77" t="s">
        <v>441</v>
      </c>
      <c r="D291" s="115" t="s">
        <v>20</v>
      </c>
      <c r="E291" s="115" t="s">
        <v>366</v>
      </c>
      <c r="F291" s="115" t="s">
        <v>710</v>
      </c>
      <c r="G291" s="115" t="s">
        <v>1573</v>
      </c>
      <c r="H291" s="115" t="s">
        <v>24</v>
      </c>
      <c r="I291" s="115" t="s">
        <v>710</v>
      </c>
      <c r="J291" s="113">
        <v>1020088</v>
      </c>
      <c r="K291" s="115" t="s">
        <v>26</v>
      </c>
      <c r="L291" s="119">
        <v>500000</v>
      </c>
      <c r="M291" s="82">
        <v>1</v>
      </c>
      <c r="N291" s="82">
        <f>Main_Issuance[[#This Row],[LC Amt(FCY)]]*Main_Issuance[[#This Row],[Rate]]</f>
        <v>500000</v>
      </c>
      <c r="O291" s="77">
        <v>46203</v>
      </c>
      <c r="P291" s="77">
        <v>46203</v>
      </c>
      <c r="Q291" s="77" t="s">
        <v>27</v>
      </c>
      <c r="R291" s="115" t="s">
        <v>1904</v>
      </c>
      <c r="S291" s="82"/>
      <c r="T291" s="82"/>
      <c r="U291" s="82"/>
      <c r="V291" s="97">
        <v>0</v>
      </c>
      <c r="W291" s="115"/>
      <c r="X291" s="120" t="str">
        <f ca="1">IF(AND((Main_Issuance[[#This Row],[Expiry Date]]+31)&gt;TODAY(),Main_Issuance[[#This Row],[Status]]&lt;&gt;"Cancelled"),"Active","Cancelled")</f>
        <v>Active</v>
      </c>
      <c r="Y291" s="409"/>
      <c r="Z291" s="408"/>
      <c r="AA291" s="408" t="s">
        <v>857</v>
      </c>
      <c r="AB291" s="83" cm="1">
        <f t="array" ref="AB291">Iss_Tariff(Main_Issuance[[#This Row],[Bank]],Main_Issuance[[#This Row],[LC Amt(SAR)]],Main_Issuance[[#This Row],[Issue Date.]],Main_Issuance[[#This Row],[Expiry Date]],Main_Issuance[[#This Row],[Calculate]])</f>
        <v>2961.25</v>
      </c>
      <c r="AC291" s="83"/>
    </row>
    <row r="292" spans="1:29" ht="15.75" hidden="1" x14ac:dyDescent="0.25">
      <c r="A292" s="114" t="s">
        <v>1434</v>
      </c>
      <c r="B292" s="77">
        <v>45810</v>
      </c>
      <c r="C292" s="77" t="s">
        <v>441</v>
      </c>
      <c r="D292" s="115" t="s">
        <v>20</v>
      </c>
      <c r="E292" s="115" t="s">
        <v>366</v>
      </c>
      <c r="F292" s="115" t="s">
        <v>710</v>
      </c>
      <c r="G292" s="115" t="s">
        <v>1381</v>
      </c>
      <c r="H292" s="113" t="s">
        <v>24</v>
      </c>
      <c r="I292" s="115" t="s">
        <v>710</v>
      </c>
      <c r="J292" s="115">
        <v>1020088</v>
      </c>
      <c r="K292" s="115" t="s">
        <v>26</v>
      </c>
      <c r="L292" s="60">
        <v>800000</v>
      </c>
      <c r="M292" s="60">
        <v>1</v>
      </c>
      <c r="N292" s="60">
        <f>Main_Issuance[[#This Row],[LC Amt(FCY)]]*Main_Issuance[[#This Row],[Rate]]</f>
        <v>800000</v>
      </c>
      <c r="O292" s="77">
        <v>46022</v>
      </c>
      <c r="P292" s="77">
        <v>46022</v>
      </c>
      <c r="Q292" s="77" t="s">
        <v>27</v>
      </c>
      <c r="R292" s="115" t="s">
        <v>621</v>
      </c>
      <c r="S292" s="82"/>
      <c r="T292" s="82"/>
      <c r="U292" s="82"/>
      <c r="V292" s="97">
        <v>0</v>
      </c>
      <c r="W292" s="115"/>
      <c r="X292" s="120" t="str">
        <f ca="1">IF(AND((Main_Issuance[[#This Row],[Expiry Date]]+31)&gt;TODAY(),Main_Issuance[[#This Row],[Status]]&lt;&gt;"Cancelled"),"Active","Cancelled")</f>
        <v>Cancelled</v>
      </c>
      <c r="Y292" s="410"/>
      <c r="Z292" s="408"/>
      <c r="AA292" s="408" t="s">
        <v>378</v>
      </c>
      <c r="AB292" s="83" cm="1">
        <f t="array" ref="AB292">Iss_Tariff(Main_Issuance[[#This Row],[Bank]],Main_Issuance[[#This Row],[LC Amt(SAR)]],Main_Issuance[[#This Row],[Issue Date.]],Main_Issuance[[#This Row],[Expiry Date]],Main_Issuance[[#This Row],[Calculate]])</f>
        <v>0</v>
      </c>
      <c r="AC292" s="83"/>
    </row>
    <row r="293" spans="1:29" ht="15.75" hidden="1" x14ac:dyDescent="0.25">
      <c r="A293" s="114" t="s">
        <v>182</v>
      </c>
      <c r="B293" s="77">
        <v>45183</v>
      </c>
      <c r="C293" s="77" t="s">
        <v>1183</v>
      </c>
      <c r="D293" s="115" t="s">
        <v>20</v>
      </c>
      <c r="E293" s="115" t="s">
        <v>21</v>
      </c>
      <c r="F293" s="115" t="s">
        <v>22</v>
      </c>
      <c r="G293" s="115" t="s">
        <v>183</v>
      </c>
      <c r="H293" s="113" t="s">
        <v>72</v>
      </c>
      <c r="I293" s="115" t="s">
        <v>184</v>
      </c>
      <c r="J293" s="115">
        <v>1020003</v>
      </c>
      <c r="K293" s="115" t="s">
        <v>26</v>
      </c>
      <c r="L293" s="60">
        <v>385997</v>
      </c>
      <c r="M293" s="60">
        <v>1</v>
      </c>
      <c r="N293" s="60">
        <f>Main_Issuance[[#This Row],[LC Amt(FCY)]]*Main_Issuance[[#This Row],[Rate]]</f>
        <v>385997</v>
      </c>
      <c r="O293" s="77">
        <v>45260</v>
      </c>
      <c r="P293" s="77">
        <v>45260</v>
      </c>
      <c r="Q293" s="77" t="s">
        <v>70</v>
      </c>
      <c r="R293" s="115"/>
      <c r="S293" s="82"/>
      <c r="T293" s="82"/>
      <c r="U293" s="82"/>
      <c r="V293" s="97">
        <v>0</v>
      </c>
      <c r="W293" s="115"/>
      <c r="X293" s="120" t="str">
        <f ca="1">IF(AND((Main_Issuance[[#This Row],[Expiry Date]]+31)&gt;TODAY(),Main_Issuance[[#This Row],[Status]]&lt;&gt;"Cancelled"),"Active","Cancelled")</f>
        <v>Cancelled</v>
      </c>
      <c r="Y293" s="410"/>
      <c r="Z293" s="408"/>
      <c r="AA293" s="408" t="s">
        <v>378</v>
      </c>
      <c r="AB293" s="83" cm="1">
        <f t="array" ref="AB293">Iss_Tariff(Main_Issuance[[#This Row],[Bank]],Main_Issuance[[#This Row],[LC Amt(SAR)]],Main_Issuance[[#This Row],[Issue Date.]],Main_Issuance[[#This Row],[Expiry Date]],Main_Issuance[[#This Row],[Calculate]])</f>
        <v>0</v>
      </c>
      <c r="AC293" s="83"/>
    </row>
    <row r="294" spans="1:29" ht="15.75" hidden="1" x14ac:dyDescent="0.25">
      <c r="A294" s="114" t="s">
        <v>570</v>
      </c>
      <c r="B294" s="77">
        <v>45641</v>
      </c>
      <c r="C294" s="77" t="s">
        <v>441</v>
      </c>
      <c r="D294" s="115" t="s">
        <v>20</v>
      </c>
      <c r="E294" s="115" t="s">
        <v>373</v>
      </c>
      <c r="F294" s="115" t="s">
        <v>483</v>
      </c>
      <c r="G294" s="115" t="s">
        <v>571</v>
      </c>
      <c r="H294" s="113" t="s">
        <v>24</v>
      </c>
      <c r="I294" s="115" t="s">
        <v>22</v>
      </c>
      <c r="J294" s="115">
        <v>1020055</v>
      </c>
      <c r="K294" s="115" t="s">
        <v>26</v>
      </c>
      <c r="L294" s="60">
        <v>804752.18</v>
      </c>
      <c r="M294" s="60">
        <v>1</v>
      </c>
      <c r="N294" s="60">
        <f>Main_Issuance[[#This Row],[LC Amt(FCY)]]*Main_Issuance[[#This Row],[Rate]]</f>
        <v>804752.18</v>
      </c>
      <c r="O294" s="77">
        <v>45747</v>
      </c>
      <c r="P294" s="77">
        <v>45747</v>
      </c>
      <c r="Q294" s="77" t="s">
        <v>27</v>
      </c>
      <c r="R294" s="115" t="s">
        <v>311</v>
      </c>
      <c r="S294" s="82"/>
      <c r="T294" s="82"/>
      <c r="U294" s="82"/>
      <c r="V294" s="97">
        <v>0</v>
      </c>
      <c r="W294" s="115"/>
      <c r="X294" s="120" t="str">
        <f ca="1">IF(AND((Main_Issuance[[#This Row],[Expiry Date]]+31)&gt;TODAY(),Main_Issuance[[#This Row],[Status]]&lt;&gt;"Cancelled"),"Active","Cancelled")</f>
        <v>Cancelled</v>
      </c>
      <c r="Y294" s="410"/>
      <c r="Z294" s="408"/>
      <c r="AA294" s="408" t="s">
        <v>378</v>
      </c>
      <c r="AB294" s="83" cm="1">
        <f t="array" ref="AB294">Iss_Tariff(Main_Issuance[[#This Row],[Bank]],Main_Issuance[[#This Row],[LC Amt(SAR)]],Main_Issuance[[#This Row],[Issue Date.]],Main_Issuance[[#This Row],[Expiry Date]],Main_Issuance[[#This Row],[Calculate]])</f>
        <v>0</v>
      </c>
      <c r="AC294" s="83"/>
    </row>
    <row r="295" spans="1:29" ht="15.75" hidden="1" x14ac:dyDescent="0.25">
      <c r="A295" s="114" t="s">
        <v>4193</v>
      </c>
      <c r="B295" s="77">
        <v>46079</v>
      </c>
      <c r="C295" s="77" t="s">
        <v>1259</v>
      </c>
      <c r="D295" s="115" t="s">
        <v>20</v>
      </c>
      <c r="E295" s="115" t="s">
        <v>95</v>
      </c>
      <c r="F295" s="78" t="s">
        <v>96</v>
      </c>
      <c r="G295" s="115" t="s">
        <v>4072</v>
      </c>
      <c r="H295" s="113" t="s">
        <v>1791</v>
      </c>
      <c r="I295" s="115" t="s">
        <v>328</v>
      </c>
      <c r="J295" s="115">
        <v>1020097</v>
      </c>
      <c r="K295" s="115" t="s">
        <v>26</v>
      </c>
      <c r="L295" s="119">
        <v>274384</v>
      </c>
      <c r="M295" s="82">
        <v>1</v>
      </c>
      <c r="N295" s="82">
        <f>Main_Issuance[[#This Row],[LC Amt(FCY)]]*Main_Issuance[[#This Row],[Rate]]</f>
        <v>274384</v>
      </c>
      <c r="O295" s="77">
        <v>46174</v>
      </c>
      <c r="P295" s="77">
        <v>46157</v>
      </c>
      <c r="Q295" s="77" t="s">
        <v>27</v>
      </c>
      <c r="R295" s="115" t="s">
        <v>1882</v>
      </c>
      <c r="S295" s="82"/>
      <c r="T295" s="82"/>
      <c r="U295" s="82"/>
      <c r="V295" s="97">
        <v>0</v>
      </c>
      <c r="W295" s="115"/>
      <c r="X295" s="120" t="str">
        <f ca="1">IF(AND((Main_Issuance[[#This Row],[Expiry Date]]+31)&gt;TODAY(),Main_Issuance[[#This Row],[Status]]&lt;&gt;"Cancelled"),"Active","Cancelled")</f>
        <v>Active</v>
      </c>
      <c r="Y295" s="409"/>
      <c r="Z295" s="408"/>
      <c r="AA295" s="408" t="s">
        <v>857</v>
      </c>
      <c r="AB295" s="83" cm="1">
        <f t="array" ref="AB295">Iss_Tariff(Main_Issuance[[#This Row],[Bank]],Main_Issuance[[#This Row],[LC Amt(SAR)]],Main_Issuance[[#This Row],[Issue Date.]],Main_Issuance[[#This Row],[Expiry Date]],Main_Issuance[[#This Row],[Calculate]])</f>
        <v>1035</v>
      </c>
      <c r="AC295" s="83"/>
    </row>
    <row r="296" spans="1:29" ht="15.75" hidden="1" x14ac:dyDescent="0.25">
      <c r="A296" s="114" t="s">
        <v>123</v>
      </c>
      <c r="B296" s="77">
        <v>45064</v>
      </c>
      <c r="C296" s="77" t="s">
        <v>1182</v>
      </c>
      <c r="D296" s="115" t="s">
        <v>20</v>
      </c>
      <c r="E296" s="115" t="s">
        <v>21</v>
      </c>
      <c r="F296" s="115" t="s">
        <v>22</v>
      </c>
      <c r="G296" s="115" t="s">
        <v>124</v>
      </c>
      <c r="H296" s="113" t="s">
        <v>24</v>
      </c>
      <c r="I296" s="115" t="s">
        <v>25</v>
      </c>
      <c r="J296" s="115">
        <v>1020052</v>
      </c>
      <c r="K296" s="115" t="s">
        <v>26</v>
      </c>
      <c r="L296" s="60">
        <v>751946.18</v>
      </c>
      <c r="M296" s="60">
        <v>1</v>
      </c>
      <c r="N296" s="60">
        <f>Main_Issuance[[#This Row],[LC Amt(FCY)]]*Main_Issuance[[#This Row],[Rate]]</f>
        <v>751946.18</v>
      </c>
      <c r="O296" s="77">
        <v>45199</v>
      </c>
      <c r="P296" s="77">
        <v>45199</v>
      </c>
      <c r="Q296" s="77" t="s">
        <v>27</v>
      </c>
      <c r="R296" s="115" t="s">
        <v>35</v>
      </c>
      <c r="S296" s="82"/>
      <c r="T296" s="82"/>
      <c r="U296" s="82"/>
      <c r="V296" s="97">
        <v>0</v>
      </c>
      <c r="W296" s="115"/>
      <c r="X296" s="120" t="str">
        <f ca="1">IF(AND((Main_Issuance[[#This Row],[Expiry Date]]+31)&gt;TODAY(),Main_Issuance[[#This Row],[Status]]&lt;&gt;"Cancelled"),"Active","Cancelled")</f>
        <v>Cancelled</v>
      </c>
      <c r="Y296" s="410"/>
      <c r="Z296" s="408"/>
      <c r="AA296" s="408" t="s">
        <v>378</v>
      </c>
      <c r="AB296" s="83" cm="1">
        <f t="array" ref="AB296">Iss_Tariff(Main_Issuance[[#This Row],[Bank]],Main_Issuance[[#This Row],[LC Amt(SAR)]],Main_Issuance[[#This Row],[Issue Date.]],Main_Issuance[[#This Row],[Expiry Date]],Main_Issuance[[#This Row],[Calculate]])</f>
        <v>0</v>
      </c>
      <c r="AC296" s="83"/>
    </row>
    <row r="297" spans="1:29" ht="15.75" hidden="1" x14ac:dyDescent="0.25">
      <c r="A297" s="114" t="s">
        <v>2236</v>
      </c>
      <c r="B297" s="76">
        <v>45946</v>
      </c>
      <c r="C297" s="77" t="s">
        <v>441</v>
      </c>
      <c r="D297" s="115" t="s">
        <v>20</v>
      </c>
      <c r="E297" s="115" t="s">
        <v>366</v>
      </c>
      <c r="F297" s="115" t="s">
        <v>710</v>
      </c>
      <c r="G297" s="124" t="s">
        <v>1842</v>
      </c>
      <c r="H297" s="115" t="s">
        <v>24</v>
      </c>
      <c r="I297" s="115" t="s">
        <v>710</v>
      </c>
      <c r="J297" s="113">
        <v>1020088</v>
      </c>
      <c r="K297" s="115" t="s">
        <v>26</v>
      </c>
      <c r="L297" s="119">
        <v>558949</v>
      </c>
      <c r="M297" s="82">
        <v>1</v>
      </c>
      <c r="N297" s="82">
        <f>Main_Issuance[[#This Row],[LC Amt(FCY)]]*Main_Issuance[[#This Row],[Rate]]</f>
        <v>558949</v>
      </c>
      <c r="O297" s="77">
        <v>46203</v>
      </c>
      <c r="P297" s="77">
        <v>46203</v>
      </c>
      <c r="Q297" s="77" t="s">
        <v>27</v>
      </c>
      <c r="R297" s="115" t="s">
        <v>621</v>
      </c>
      <c r="S297" s="82"/>
      <c r="T297" s="82"/>
      <c r="U297" s="82"/>
      <c r="V297" s="97">
        <v>0</v>
      </c>
      <c r="W297" s="115"/>
      <c r="X297" s="120" t="str">
        <f ca="1">IF(AND((Main_Issuance[[#This Row],[Expiry Date]]+31)&gt;TODAY(),Main_Issuance[[#This Row],[Status]]&lt;&gt;"Cancelled"),"Active","Cancelled")</f>
        <v>Active</v>
      </c>
      <c r="Y297" s="409"/>
      <c r="Z297" s="408"/>
      <c r="AA297" s="408" t="s">
        <v>857</v>
      </c>
      <c r="AB297" s="83" cm="1">
        <f t="array" ref="AB297">Iss_Tariff(Main_Issuance[[#This Row],[Bank]],Main_Issuance[[#This Row],[LC Amt(SAR)]],Main_Issuance[[#This Row],[Issue Date.]],Main_Issuance[[#This Row],[Expiry Date]],Main_Issuance[[#This Row],[Calculate]])</f>
        <v>3300.5</v>
      </c>
      <c r="AC297" s="83"/>
    </row>
    <row r="298" spans="1:29" ht="15.75" hidden="1" x14ac:dyDescent="0.25">
      <c r="A298" s="114" t="s">
        <v>1745</v>
      </c>
      <c r="B298" s="77">
        <v>45883</v>
      </c>
      <c r="C298" s="77" t="s">
        <v>1727</v>
      </c>
      <c r="D298" s="115" t="s">
        <v>20</v>
      </c>
      <c r="E298" s="115" t="s">
        <v>62</v>
      </c>
      <c r="F298" s="115" t="s">
        <v>70</v>
      </c>
      <c r="G298" s="115" t="s">
        <v>1712</v>
      </c>
      <c r="H298" s="113" t="s">
        <v>869</v>
      </c>
      <c r="I298" s="115" t="s">
        <v>1762</v>
      </c>
      <c r="J298" s="115"/>
      <c r="K298" s="115" t="s">
        <v>26</v>
      </c>
      <c r="L298" s="60">
        <v>205442.15</v>
      </c>
      <c r="M298" s="60">
        <v>1</v>
      </c>
      <c r="N298" s="60">
        <f>Main_Issuance[[#This Row],[LC Amt(FCY)]]*Main_Issuance[[#This Row],[Rate]]</f>
        <v>205442.15</v>
      </c>
      <c r="O298" s="77">
        <v>45930</v>
      </c>
      <c r="P298" s="77">
        <v>45915</v>
      </c>
      <c r="Q298" s="77" t="s">
        <v>70</v>
      </c>
      <c r="R298" s="115" t="s">
        <v>208</v>
      </c>
      <c r="S298" s="82"/>
      <c r="T298" s="82"/>
      <c r="U298" s="82"/>
      <c r="V298" s="97"/>
      <c r="W298" s="115"/>
      <c r="X298" s="120" t="str">
        <f ca="1">IF(AND((Main_Issuance[[#This Row],[Expiry Date]]+31)&gt;TODAY(),Main_Issuance[[#This Row],[Status]]&lt;&gt;"Cancelled"),"Active","Cancelled")</f>
        <v>Cancelled</v>
      </c>
      <c r="Y298" s="410"/>
      <c r="Z298" s="408"/>
      <c r="AA298" s="408" t="s">
        <v>378</v>
      </c>
      <c r="AB298" s="83" cm="1">
        <f t="array" ref="AB298">Iss_Tariff(Main_Issuance[[#This Row],[Bank]],Main_Issuance[[#This Row],[LC Amt(SAR)]],Main_Issuance[[#This Row],[Issue Date.]],Main_Issuance[[#This Row],[Expiry Date]],Main_Issuance[[#This Row],[Calculate]])</f>
        <v>0</v>
      </c>
      <c r="AC298" s="83"/>
    </row>
    <row r="299" spans="1:29" ht="15.75" hidden="1" x14ac:dyDescent="0.25">
      <c r="A299" s="114" t="s">
        <v>1521</v>
      </c>
      <c r="B299" s="77">
        <v>45834</v>
      </c>
      <c r="C299" s="77" t="s">
        <v>441</v>
      </c>
      <c r="D299" s="115" t="s">
        <v>20</v>
      </c>
      <c r="E299" s="115" t="s">
        <v>21</v>
      </c>
      <c r="F299" s="115" t="s">
        <v>22</v>
      </c>
      <c r="G299" s="115" t="s">
        <v>1466</v>
      </c>
      <c r="H299" s="115" t="s">
        <v>24</v>
      </c>
      <c r="I299" s="115" t="s">
        <v>407</v>
      </c>
      <c r="J299" s="113">
        <v>1020100</v>
      </c>
      <c r="K299" s="115" t="s">
        <v>26</v>
      </c>
      <c r="L299" s="60">
        <v>214923</v>
      </c>
      <c r="M299" s="60">
        <v>1</v>
      </c>
      <c r="N299" s="60">
        <f>Main_Issuance[[#This Row],[LC Amt(FCY)]]*Main_Issuance[[#This Row],[Rate]]</f>
        <v>214923</v>
      </c>
      <c r="O299" s="77">
        <v>45900</v>
      </c>
      <c r="P299" s="77">
        <v>45900</v>
      </c>
      <c r="Q299" s="77" t="s">
        <v>27</v>
      </c>
      <c r="R299" s="115" t="s">
        <v>621</v>
      </c>
      <c r="S299" s="82"/>
      <c r="T299" s="82"/>
      <c r="U299" s="82"/>
      <c r="V299" s="97">
        <v>0</v>
      </c>
      <c r="W299" s="115"/>
      <c r="X299" s="120" t="str">
        <f ca="1">IF(AND((Main_Issuance[[#This Row],[Expiry Date]]+31)&gt;TODAY(),Main_Issuance[[#This Row],[Status]]&lt;&gt;"Cancelled"),"Active","Cancelled")</f>
        <v>Cancelled</v>
      </c>
      <c r="Y299" s="409"/>
      <c r="Z299" s="408"/>
      <c r="AA299" s="408" t="s">
        <v>378</v>
      </c>
      <c r="AB299" s="83" cm="1">
        <f t="array" ref="AB299">Iss_Tariff(Main_Issuance[[#This Row],[Bank]],Main_Issuance[[#This Row],[LC Amt(SAR)]],Main_Issuance[[#This Row],[Issue Date.]],Main_Issuance[[#This Row],[Expiry Date]],Main_Issuance[[#This Row],[Calculate]])</f>
        <v>0</v>
      </c>
      <c r="AC299" s="83"/>
    </row>
    <row r="300" spans="1:29" ht="15.75" hidden="1" x14ac:dyDescent="0.25">
      <c r="A300" s="114" t="s">
        <v>1421</v>
      </c>
      <c r="B300" s="77">
        <v>45809</v>
      </c>
      <c r="C300" s="77" t="s">
        <v>441</v>
      </c>
      <c r="D300" s="115" t="s">
        <v>20</v>
      </c>
      <c r="E300" s="115" t="s">
        <v>95</v>
      </c>
      <c r="F300" s="115" t="s">
        <v>96</v>
      </c>
      <c r="G300" s="115" t="s">
        <v>1324</v>
      </c>
      <c r="H300" s="115" t="s">
        <v>24</v>
      </c>
      <c r="I300" s="115" t="s">
        <v>22</v>
      </c>
      <c r="J300" s="115">
        <v>1020055</v>
      </c>
      <c r="K300" s="115" t="s">
        <v>26</v>
      </c>
      <c r="L300" s="60">
        <v>783377.8</v>
      </c>
      <c r="M300" s="60">
        <v>1</v>
      </c>
      <c r="N300" s="60">
        <f>Main_Issuance[[#This Row],[LC Amt(FCY)]]*Main_Issuance[[#This Row],[Rate]]</f>
        <v>783377.8</v>
      </c>
      <c r="O300" s="77">
        <v>45900</v>
      </c>
      <c r="P300" s="77">
        <v>45900</v>
      </c>
      <c r="Q300" s="77" t="s">
        <v>27</v>
      </c>
      <c r="R300" s="115" t="s">
        <v>621</v>
      </c>
      <c r="S300" s="82"/>
      <c r="T300" s="82"/>
      <c r="U300" s="82"/>
      <c r="V300" s="97">
        <v>0</v>
      </c>
      <c r="W300" s="115"/>
      <c r="X300" s="120" t="str">
        <f ca="1">IF(AND((Main_Issuance[[#This Row],[Expiry Date]]+31)&gt;TODAY(),Main_Issuance[[#This Row],[Status]]&lt;&gt;"Cancelled"),"Active","Cancelled")</f>
        <v>Cancelled</v>
      </c>
      <c r="Y300" s="409"/>
      <c r="Z300" s="408"/>
      <c r="AA300" s="408" t="s">
        <v>378</v>
      </c>
      <c r="AB300" s="83" cm="1">
        <f t="array" ref="AB300">Iss_Tariff(Main_Issuance[[#This Row],[Bank]],Main_Issuance[[#This Row],[LC Amt(SAR)]],Main_Issuance[[#This Row],[Issue Date.]],Main_Issuance[[#This Row],[Expiry Date]],Main_Issuance[[#This Row],[Calculate]])</f>
        <v>0</v>
      </c>
      <c r="AC300" s="83"/>
    </row>
    <row r="301" spans="1:29" ht="15.75" hidden="1" x14ac:dyDescent="0.25">
      <c r="A301" s="57" t="s">
        <v>250</v>
      </c>
      <c r="B301" s="58">
        <v>45046</v>
      </c>
      <c r="C301" s="58" t="s">
        <v>1118</v>
      </c>
      <c r="D301" s="19" t="s">
        <v>20</v>
      </c>
      <c r="E301" s="19" t="s">
        <v>21</v>
      </c>
      <c r="F301" s="19" t="s">
        <v>22</v>
      </c>
      <c r="G301" s="19" t="s">
        <v>251</v>
      </c>
      <c r="H301" s="59" t="s">
        <v>72</v>
      </c>
      <c r="I301" s="59" t="s">
        <v>213</v>
      </c>
      <c r="J301" s="59">
        <v>1020015</v>
      </c>
      <c r="K301" s="19" t="s">
        <v>67</v>
      </c>
      <c r="L301" s="60">
        <v>3740702.82</v>
      </c>
      <c r="M301" s="60">
        <v>4.1420000000000003</v>
      </c>
      <c r="N301" s="60">
        <f>Main_Issuance[[#This Row],[LC Amt(FCY)]]*Main_Issuance[[#This Row],[Rate]]</f>
        <v>15493991.08044</v>
      </c>
      <c r="O301" s="58">
        <v>45565</v>
      </c>
      <c r="P301" s="58">
        <v>45565</v>
      </c>
      <c r="Q301" s="58" t="s">
        <v>27</v>
      </c>
      <c r="R301" s="115" t="s">
        <v>252</v>
      </c>
      <c r="S301" s="61"/>
      <c r="T301" s="61"/>
      <c r="U301" s="61"/>
      <c r="V301" s="62">
        <v>0</v>
      </c>
      <c r="W301" s="115"/>
      <c r="X301" s="63" t="str">
        <f ca="1">IF(AND((Main_Issuance[[#This Row],[Expiry Date]]+31)&gt;TODAY(),Main_Issuance[[#This Row],[Status]]&lt;&gt;"Cancelled"),"Active","Cancelled")</f>
        <v>Cancelled</v>
      </c>
      <c r="Y301" s="409"/>
      <c r="Z301" s="408"/>
      <c r="AA301" s="408" t="s">
        <v>378</v>
      </c>
      <c r="AB301" s="83" cm="1">
        <f t="array" ref="AB301">Iss_Tariff(Main_Issuance[[#This Row],[Bank]],Main_Issuance[[#This Row],[LC Amt(SAR)]],Main_Issuance[[#This Row],[Issue Date.]],Main_Issuance[[#This Row],[Expiry Date]],Main_Issuance[[#This Row],[Calculate]])</f>
        <v>0</v>
      </c>
      <c r="AC301" s="83"/>
    </row>
    <row r="302" spans="1:29" ht="15.75" hidden="1" x14ac:dyDescent="0.25">
      <c r="A302" s="75" t="s">
        <v>1851</v>
      </c>
      <c r="B302" s="76">
        <v>45909</v>
      </c>
      <c r="C302" s="76" t="s">
        <v>1878</v>
      </c>
      <c r="D302" s="78" t="s">
        <v>20</v>
      </c>
      <c r="E302" s="78" t="s">
        <v>366</v>
      </c>
      <c r="F302" s="115" t="s">
        <v>367</v>
      </c>
      <c r="G302" s="78" t="s">
        <v>1826</v>
      </c>
      <c r="H302" s="78" t="s">
        <v>3220</v>
      </c>
      <c r="I302" s="78" t="s">
        <v>367</v>
      </c>
      <c r="J302" s="113">
        <v>1020091</v>
      </c>
      <c r="K302" s="78" t="s">
        <v>26</v>
      </c>
      <c r="L302" s="60">
        <f>3000000</f>
        <v>3000000</v>
      </c>
      <c r="M302" s="60">
        <v>1</v>
      </c>
      <c r="N302" s="60">
        <f>Main_Issuance[[#This Row],[LC Amt(FCY)]]*Main_Issuance[[#This Row],[Rate]]</f>
        <v>3000000</v>
      </c>
      <c r="O302" s="76">
        <v>45976</v>
      </c>
      <c r="P302" s="76">
        <v>45960</v>
      </c>
      <c r="Q302" s="76" t="s">
        <v>27</v>
      </c>
      <c r="R302" s="78" t="s">
        <v>1827</v>
      </c>
      <c r="S302" s="81"/>
      <c r="T302" s="82"/>
      <c r="U302" s="81"/>
      <c r="V302" s="83">
        <v>0</v>
      </c>
      <c r="W302" s="115"/>
      <c r="X302" s="76" t="str">
        <f ca="1">IF(AND((Main_Issuance[[#This Row],[Expiry Date]]+31)&gt;TODAY(),Main_Issuance[[#This Row],[Status]]&lt;&gt;"Cancelled"),"Active","Cancelled")</f>
        <v>Cancelled</v>
      </c>
      <c r="Y302" s="409"/>
      <c r="Z302" s="408"/>
      <c r="AA302" s="408" t="s">
        <v>378</v>
      </c>
      <c r="AB302" s="83" cm="1">
        <f t="array" ref="AB302">Iss_Tariff(Main_Issuance[[#This Row],[Bank]],Main_Issuance[[#This Row],[LC Amt(SAR)]],Main_Issuance[[#This Row],[Issue Date.]],Main_Issuance[[#This Row],[Expiry Date]],Main_Issuance[[#This Row],[Calculate]])</f>
        <v>0</v>
      </c>
      <c r="AC302" s="83"/>
    </row>
    <row r="303" spans="1:29" ht="15.75" hidden="1" x14ac:dyDescent="0.25">
      <c r="A303" s="75" t="s">
        <v>1793</v>
      </c>
      <c r="B303" s="76">
        <v>45893</v>
      </c>
      <c r="C303" s="76" t="s">
        <v>441</v>
      </c>
      <c r="D303" s="78" t="s">
        <v>20</v>
      </c>
      <c r="E303" s="78" t="s">
        <v>21</v>
      </c>
      <c r="F303" s="115" t="s">
        <v>22</v>
      </c>
      <c r="G303" s="123" t="s">
        <v>1587</v>
      </c>
      <c r="H303" s="78" t="s">
        <v>24</v>
      </c>
      <c r="I303" s="78" t="s">
        <v>22</v>
      </c>
      <c r="J303" s="113">
        <v>1020055</v>
      </c>
      <c r="K303" s="78" t="s">
        <v>26</v>
      </c>
      <c r="L303" s="60">
        <v>245149.44</v>
      </c>
      <c r="M303" s="60">
        <v>1</v>
      </c>
      <c r="N303" s="60">
        <f>Main_Issuance[[#This Row],[LC Amt(FCY)]]*Main_Issuance[[#This Row],[Rate]]</f>
        <v>245149.44</v>
      </c>
      <c r="O303" s="76">
        <v>45961</v>
      </c>
      <c r="P303" s="76">
        <v>45961</v>
      </c>
      <c r="Q303" s="76" t="s">
        <v>27</v>
      </c>
      <c r="R303" s="78" t="s">
        <v>621</v>
      </c>
      <c r="S303" s="81"/>
      <c r="T303" s="82"/>
      <c r="U303" s="81"/>
      <c r="V303" s="83">
        <v>0</v>
      </c>
      <c r="W303" s="115"/>
      <c r="X303" s="76" t="str">
        <f ca="1">IF(AND((Main_Issuance[[#This Row],[Expiry Date]]+31)&gt;TODAY(),Main_Issuance[[#This Row],[Status]]&lt;&gt;"Cancelled"),"Active","Cancelled")</f>
        <v>Cancelled</v>
      </c>
      <c r="Y303" s="409"/>
      <c r="Z303" s="408"/>
      <c r="AA303" s="408" t="s">
        <v>378</v>
      </c>
      <c r="AB303" s="83" cm="1">
        <f t="array" ref="AB303">Iss_Tariff(Main_Issuance[[#This Row],[Bank]],Main_Issuance[[#This Row],[LC Amt(SAR)]],Main_Issuance[[#This Row],[Issue Date.]],Main_Issuance[[#This Row],[Expiry Date]],Main_Issuance[[#This Row],[Calculate]])</f>
        <v>0</v>
      </c>
      <c r="AC303" s="83"/>
    </row>
    <row r="304" spans="1:29" ht="15.75" hidden="1" x14ac:dyDescent="0.25">
      <c r="A304" s="75" t="s">
        <v>1657</v>
      </c>
      <c r="B304" s="76">
        <v>45869</v>
      </c>
      <c r="C304" s="76" t="s">
        <v>441</v>
      </c>
      <c r="D304" s="78" t="s">
        <v>20</v>
      </c>
      <c r="E304" s="78" t="s">
        <v>21</v>
      </c>
      <c r="F304" s="115" t="s">
        <v>22</v>
      </c>
      <c r="G304" s="123" t="s">
        <v>1593</v>
      </c>
      <c r="H304" s="115" t="s">
        <v>24</v>
      </c>
      <c r="I304" s="78" t="s">
        <v>22</v>
      </c>
      <c r="J304" s="79">
        <v>1020055</v>
      </c>
      <c r="K304" s="78" t="s">
        <v>26</v>
      </c>
      <c r="L304" s="60">
        <v>304000.75</v>
      </c>
      <c r="M304" s="60">
        <v>1</v>
      </c>
      <c r="N304" s="60">
        <f>Main_Issuance[[#This Row],[LC Amt(FCY)]]*Main_Issuance[[#This Row],[Rate]]</f>
        <v>304000.75</v>
      </c>
      <c r="O304" s="77">
        <v>45961</v>
      </c>
      <c r="P304" s="77">
        <v>45961</v>
      </c>
      <c r="Q304" s="76" t="s">
        <v>27</v>
      </c>
      <c r="R304" s="115" t="s">
        <v>621</v>
      </c>
      <c r="S304" s="81"/>
      <c r="T304" s="82"/>
      <c r="U304" s="82"/>
      <c r="V304" s="83">
        <v>0</v>
      </c>
      <c r="W304" s="115"/>
      <c r="X304" s="76" t="str">
        <f ca="1">IF(AND((Main_Issuance[[#This Row],[Expiry Date]]+31)&gt;TODAY(),Main_Issuance[[#This Row],[Status]]&lt;&gt;"Cancelled"),"Active","Cancelled")</f>
        <v>Cancelled</v>
      </c>
      <c r="Y304" s="409"/>
      <c r="Z304" s="408"/>
      <c r="AA304" s="408" t="s">
        <v>378</v>
      </c>
      <c r="AB304" s="83" cm="1">
        <f t="array" ref="AB304">Iss_Tariff(Main_Issuance[[#This Row],[Bank]],Main_Issuance[[#This Row],[LC Amt(SAR)]],Main_Issuance[[#This Row],[Issue Date.]],Main_Issuance[[#This Row],[Expiry Date]],Main_Issuance[[#This Row],[Calculate]])</f>
        <v>0</v>
      </c>
      <c r="AC304" s="83"/>
    </row>
    <row r="305" spans="1:29" ht="15.75" hidden="1" x14ac:dyDescent="0.25">
      <c r="A305" s="70" t="s">
        <v>130</v>
      </c>
      <c r="B305" s="56">
        <v>45147</v>
      </c>
      <c r="C305" s="56" t="s">
        <v>441</v>
      </c>
      <c r="D305" s="69" t="s">
        <v>20</v>
      </c>
      <c r="E305" s="69" t="s">
        <v>21</v>
      </c>
      <c r="F305" s="19" t="s">
        <v>22</v>
      </c>
      <c r="G305" s="69" t="s">
        <v>131</v>
      </c>
      <c r="H305" s="59" t="s">
        <v>24</v>
      </c>
      <c r="I305" s="65" t="s">
        <v>22</v>
      </c>
      <c r="J305" s="65">
        <v>1020055</v>
      </c>
      <c r="K305" s="69" t="s">
        <v>26</v>
      </c>
      <c r="L305" s="60">
        <v>900000</v>
      </c>
      <c r="M305" s="60">
        <v>1</v>
      </c>
      <c r="N305" s="60">
        <f>Main_Issuance[[#This Row],[LC Amt(FCY)]]*Main_Issuance[[#This Row],[Rate]]</f>
        <v>900000</v>
      </c>
      <c r="O305" s="58">
        <v>45230</v>
      </c>
      <c r="P305" s="58">
        <v>45230</v>
      </c>
      <c r="Q305" s="56" t="s">
        <v>27</v>
      </c>
      <c r="R305" s="78"/>
      <c r="S305" s="71"/>
      <c r="T305" s="61"/>
      <c r="U305" s="61"/>
      <c r="V305" s="68">
        <v>0</v>
      </c>
      <c r="W305" s="115"/>
      <c r="X305" s="56" t="str">
        <f ca="1">IF(AND((Main_Issuance[[#This Row],[Expiry Date]]+31)&gt;TODAY(),Main_Issuance[[#This Row],[Status]]&lt;&gt;"Cancelled"),"Active","Cancelled")</f>
        <v>Cancelled</v>
      </c>
      <c r="Y305" s="409"/>
      <c r="Z305" s="408"/>
      <c r="AA305" s="408" t="s">
        <v>378</v>
      </c>
      <c r="AB305" s="83" cm="1">
        <f t="array" ref="AB305">Iss_Tariff(Main_Issuance[[#This Row],[Bank]],Main_Issuance[[#This Row],[LC Amt(SAR)]],Main_Issuance[[#This Row],[Issue Date.]],Main_Issuance[[#This Row],[Expiry Date]],Main_Issuance[[#This Row],[Calculate]])</f>
        <v>0</v>
      </c>
      <c r="AC305" s="83"/>
    </row>
    <row r="306" spans="1:29" ht="15.75" hidden="1" x14ac:dyDescent="0.25">
      <c r="A306" s="70" t="s">
        <v>241</v>
      </c>
      <c r="B306" s="56">
        <v>45315</v>
      </c>
      <c r="C306" s="56" t="s">
        <v>441</v>
      </c>
      <c r="D306" s="69" t="s">
        <v>20</v>
      </c>
      <c r="E306" s="69" t="s">
        <v>21</v>
      </c>
      <c r="F306" s="19" t="s">
        <v>22</v>
      </c>
      <c r="G306" s="69" t="s">
        <v>131</v>
      </c>
      <c r="H306" s="59" t="s">
        <v>24</v>
      </c>
      <c r="I306" s="65" t="s">
        <v>22</v>
      </c>
      <c r="J306" s="65">
        <v>1020055</v>
      </c>
      <c r="K306" s="69" t="s">
        <v>26</v>
      </c>
      <c r="L306" s="60">
        <v>1050000</v>
      </c>
      <c r="M306" s="60">
        <v>1</v>
      </c>
      <c r="N306" s="60">
        <f>Main_Issuance[[#This Row],[LC Amt(FCY)]]*Main_Issuance[[#This Row],[Rate]]</f>
        <v>1050000</v>
      </c>
      <c r="O306" s="58">
        <v>45382</v>
      </c>
      <c r="P306" s="58">
        <v>45382</v>
      </c>
      <c r="Q306" s="56" t="s">
        <v>27</v>
      </c>
      <c r="R306" s="78"/>
      <c r="S306" s="71"/>
      <c r="T306" s="61"/>
      <c r="U306" s="61"/>
      <c r="V306" s="68">
        <v>0</v>
      </c>
      <c r="W306" s="115"/>
      <c r="X306" s="56" t="str">
        <f ca="1">IF(AND((Main_Issuance[[#This Row],[Expiry Date]]+31)&gt;TODAY(),Main_Issuance[[#This Row],[Status]]&lt;&gt;"Cancelled"),"Active","Cancelled")</f>
        <v>Cancelled</v>
      </c>
      <c r="Y306" s="409"/>
      <c r="Z306" s="408"/>
      <c r="AA306" s="408" t="s">
        <v>378</v>
      </c>
      <c r="AB306" s="83" cm="1">
        <f t="array" ref="AB306">Iss_Tariff(Main_Issuance[[#This Row],[Bank]],Main_Issuance[[#This Row],[LC Amt(SAR)]],Main_Issuance[[#This Row],[Issue Date.]],Main_Issuance[[#This Row],[Expiry Date]],Main_Issuance[[#This Row],[Calculate]])</f>
        <v>0</v>
      </c>
      <c r="AC306" s="83"/>
    </row>
    <row r="307" spans="1:29" ht="15.75" hidden="1" x14ac:dyDescent="0.25">
      <c r="A307" s="70" t="s">
        <v>151</v>
      </c>
      <c r="B307" s="56">
        <v>45167</v>
      </c>
      <c r="C307" s="56" t="s">
        <v>441</v>
      </c>
      <c r="D307" s="69" t="s">
        <v>20</v>
      </c>
      <c r="E307" s="69" t="s">
        <v>21</v>
      </c>
      <c r="F307" s="19" t="s">
        <v>22</v>
      </c>
      <c r="G307" s="69" t="s">
        <v>152</v>
      </c>
      <c r="H307" s="59" t="s">
        <v>24</v>
      </c>
      <c r="I307" s="65" t="s">
        <v>22</v>
      </c>
      <c r="J307" s="65">
        <v>1020055</v>
      </c>
      <c r="K307" s="69" t="s">
        <v>26</v>
      </c>
      <c r="L307" s="60">
        <v>1000000</v>
      </c>
      <c r="M307" s="60">
        <v>1</v>
      </c>
      <c r="N307" s="60">
        <f>Main_Issuance[[#This Row],[LC Amt(FCY)]]*Main_Issuance[[#This Row],[Rate]]</f>
        <v>1000000</v>
      </c>
      <c r="O307" s="58">
        <v>45260</v>
      </c>
      <c r="P307" s="58">
        <v>45260</v>
      </c>
      <c r="Q307" s="56" t="s">
        <v>27</v>
      </c>
      <c r="R307" s="78" t="s">
        <v>35</v>
      </c>
      <c r="S307" s="71"/>
      <c r="T307" s="61"/>
      <c r="U307" s="61"/>
      <c r="V307" s="68">
        <v>0</v>
      </c>
      <c r="W307" s="115"/>
      <c r="X307" s="56" t="str">
        <f ca="1">IF(AND((Main_Issuance[[#This Row],[Expiry Date]]+31)&gt;TODAY(),Main_Issuance[[#This Row],[Status]]&lt;&gt;"Cancelled"),"Active","Cancelled")</f>
        <v>Cancelled</v>
      </c>
      <c r="Y307" s="409"/>
      <c r="Z307" s="408"/>
      <c r="AA307" s="408" t="s">
        <v>378</v>
      </c>
      <c r="AB307" s="83" cm="1">
        <f t="array" ref="AB307">Iss_Tariff(Main_Issuance[[#This Row],[Bank]],Main_Issuance[[#This Row],[LC Amt(SAR)]],Main_Issuance[[#This Row],[Issue Date.]],Main_Issuance[[#This Row],[Expiry Date]],Main_Issuance[[#This Row],[Calculate]])</f>
        <v>0</v>
      </c>
      <c r="AC307" s="83"/>
    </row>
    <row r="308" spans="1:29" ht="15.75" hidden="1" x14ac:dyDescent="0.25">
      <c r="A308" s="114" t="s">
        <v>1691</v>
      </c>
      <c r="B308" s="77">
        <v>45875</v>
      </c>
      <c r="C308" s="77" t="s">
        <v>1119</v>
      </c>
      <c r="D308" s="115" t="s">
        <v>20</v>
      </c>
      <c r="E308" s="115" t="s">
        <v>366</v>
      </c>
      <c r="F308" s="115" t="s">
        <v>367</v>
      </c>
      <c r="G308" s="115" t="s">
        <v>1679</v>
      </c>
      <c r="H308" s="115" t="s">
        <v>24</v>
      </c>
      <c r="I308" s="115" t="s">
        <v>367</v>
      </c>
      <c r="J308" s="113">
        <v>1020091</v>
      </c>
      <c r="K308" s="115" t="s">
        <v>26</v>
      </c>
      <c r="L308" s="60">
        <v>500000</v>
      </c>
      <c r="M308" s="60">
        <v>1</v>
      </c>
      <c r="N308" s="60">
        <f>Main_Issuance[[#This Row],[LC Amt(FCY)]]*Main_Issuance[[#This Row],[Rate]]</f>
        <v>500000</v>
      </c>
      <c r="O308" s="77">
        <v>45961</v>
      </c>
      <c r="P308" s="77">
        <v>45961</v>
      </c>
      <c r="Q308" s="77" t="s">
        <v>27</v>
      </c>
      <c r="R308" s="115" t="s">
        <v>1624</v>
      </c>
      <c r="S308" s="82"/>
      <c r="T308" s="82"/>
      <c r="U308" s="82"/>
      <c r="V308" s="97">
        <v>0</v>
      </c>
      <c r="W308" s="115"/>
      <c r="X308" s="120" t="str">
        <f ca="1">IF(AND((Main_Issuance[[#This Row],[Expiry Date]]+31)&gt;TODAY(),Main_Issuance[[#This Row],[Status]]&lt;&gt;"Cancelled"),"Active","Cancelled")</f>
        <v>Cancelled</v>
      </c>
      <c r="Y308" s="409"/>
      <c r="Z308" s="408"/>
      <c r="AA308" s="408" t="s">
        <v>378</v>
      </c>
      <c r="AB308" s="83" cm="1">
        <f t="array" ref="AB308">Iss_Tariff(Main_Issuance[[#This Row],[Bank]],Main_Issuance[[#This Row],[LC Amt(SAR)]],Main_Issuance[[#This Row],[Issue Date.]],Main_Issuance[[#This Row],[Expiry Date]],Main_Issuance[[#This Row],[Calculate]])</f>
        <v>0</v>
      </c>
      <c r="AC308" s="83"/>
    </row>
    <row r="309" spans="1:29" ht="15.75" hidden="1" x14ac:dyDescent="0.25">
      <c r="A309" s="57" t="s">
        <v>169</v>
      </c>
      <c r="B309" s="56">
        <v>45299</v>
      </c>
      <c r="C309" s="58" t="s">
        <v>441</v>
      </c>
      <c r="D309" s="19" t="s">
        <v>20</v>
      </c>
      <c r="E309" s="19" t="s">
        <v>21</v>
      </c>
      <c r="F309" s="19" t="s">
        <v>22</v>
      </c>
      <c r="G309" s="19" t="s">
        <v>170</v>
      </c>
      <c r="H309" s="59" t="s">
        <v>24</v>
      </c>
      <c r="I309" s="59" t="s">
        <v>22</v>
      </c>
      <c r="J309" s="59">
        <v>1020055</v>
      </c>
      <c r="K309" s="19" t="s">
        <v>26</v>
      </c>
      <c r="L309" s="60">
        <v>1399515.42</v>
      </c>
      <c r="M309" s="60">
        <v>1</v>
      </c>
      <c r="N309" s="60">
        <f>Main_Issuance[[#This Row],[LC Amt(FCY)]]*Main_Issuance[[#This Row],[Rate]]</f>
        <v>1399515.42</v>
      </c>
      <c r="O309" s="58">
        <v>45382</v>
      </c>
      <c r="P309" s="58">
        <v>45382</v>
      </c>
      <c r="Q309" s="58" t="s">
        <v>27</v>
      </c>
      <c r="R309" s="115" t="s">
        <v>35</v>
      </c>
      <c r="S309" s="61"/>
      <c r="T309" s="61"/>
      <c r="U309" s="61"/>
      <c r="V309" s="62">
        <v>0</v>
      </c>
      <c r="W309" s="115"/>
      <c r="X309" s="58" t="str">
        <f ca="1">IF(AND((Main_Issuance[[#This Row],[Expiry Date]]+31)&gt;TODAY(),Main_Issuance[[#This Row],[Status]]&lt;&gt;"Cancelled"),"Active","Cancelled")</f>
        <v>Cancelled</v>
      </c>
      <c r="Y309" s="409"/>
      <c r="Z309" s="408"/>
      <c r="AA309" s="408" t="s">
        <v>378</v>
      </c>
      <c r="AB309" s="83" cm="1">
        <f t="array" ref="AB309">Iss_Tariff(Main_Issuance[[#This Row],[Bank]],Main_Issuance[[#This Row],[LC Amt(SAR)]],Main_Issuance[[#This Row],[Issue Date.]],Main_Issuance[[#This Row],[Expiry Date]],Main_Issuance[[#This Row],[Calculate]])</f>
        <v>0</v>
      </c>
      <c r="AC309" s="83"/>
    </row>
    <row r="310" spans="1:29" ht="15.75" hidden="1" x14ac:dyDescent="0.25">
      <c r="A310" s="57" t="s">
        <v>92</v>
      </c>
      <c r="B310" s="58">
        <v>45453</v>
      </c>
      <c r="C310" s="58" t="s">
        <v>1181</v>
      </c>
      <c r="D310" s="19" t="s">
        <v>20</v>
      </c>
      <c r="E310" s="19" t="s">
        <v>62</v>
      </c>
      <c r="F310" s="19" t="s">
        <v>63</v>
      </c>
      <c r="G310" s="19" t="s">
        <v>93</v>
      </c>
      <c r="H310" s="59" t="s">
        <v>80</v>
      </c>
      <c r="I310" s="59" t="s">
        <v>81</v>
      </c>
      <c r="J310" s="59">
        <v>1020070</v>
      </c>
      <c r="K310" s="19" t="s">
        <v>26</v>
      </c>
      <c r="L310" s="60">
        <v>4783058.92</v>
      </c>
      <c r="M310" s="60">
        <v>1</v>
      </c>
      <c r="N310" s="60">
        <f>Main_Issuance[[#This Row],[LC Amt(FCY)]]*Main_Issuance[[#This Row],[Rate]]</f>
        <v>4783058.92</v>
      </c>
      <c r="O310" s="58">
        <v>45535</v>
      </c>
      <c r="P310" s="58">
        <v>45535</v>
      </c>
      <c r="Q310" s="58" t="s">
        <v>27</v>
      </c>
      <c r="R310" s="115"/>
      <c r="S310" s="61"/>
      <c r="T310" s="61"/>
      <c r="U310" s="61"/>
      <c r="V310" s="62">
        <v>0</v>
      </c>
      <c r="W310" s="115"/>
      <c r="X310" s="58" t="str">
        <f ca="1">IF(AND((Main_Issuance[[#This Row],[Expiry Date]]+31)&gt;TODAY(),Main_Issuance[[#This Row],[Status]]&lt;&gt;"Cancelled"),"Active","Cancelled")</f>
        <v>Cancelled</v>
      </c>
      <c r="Y310" s="409"/>
      <c r="Z310" s="408"/>
      <c r="AA310" s="408" t="s">
        <v>378</v>
      </c>
      <c r="AB310" s="83" cm="1">
        <f t="array" ref="AB310">Iss_Tariff(Main_Issuance[[#This Row],[Bank]],Main_Issuance[[#This Row],[LC Amt(SAR)]],Main_Issuance[[#This Row],[Issue Date.]],Main_Issuance[[#This Row],[Expiry Date]],Main_Issuance[[#This Row],[Calculate]])</f>
        <v>0</v>
      </c>
      <c r="AC310" s="83"/>
    </row>
    <row r="311" spans="1:29" ht="15.75" hidden="1" x14ac:dyDescent="0.25">
      <c r="A311" s="57" t="s">
        <v>244</v>
      </c>
      <c r="B311" s="58">
        <v>45283</v>
      </c>
      <c r="C311" s="58" t="s">
        <v>1181</v>
      </c>
      <c r="D311" s="19" t="s">
        <v>20</v>
      </c>
      <c r="E311" s="19" t="s">
        <v>62</v>
      </c>
      <c r="F311" s="19" t="s">
        <v>63</v>
      </c>
      <c r="G311" s="19" t="s">
        <v>93</v>
      </c>
      <c r="H311" s="59" t="s">
        <v>80</v>
      </c>
      <c r="I311" s="59" t="s">
        <v>81</v>
      </c>
      <c r="J311" s="59">
        <v>1020070</v>
      </c>
      <c r="K311" s="19" t="s">
        <v>26</v>
      </c>
      <c r="L311" s="60">
        <v>4783058.92</v>
      </c>
      <c r="M311" s="60">
        <v>1</v>
      </c>
      <c r="N311" s="60">
        <f>Main_Issuance[[#This Row],[LC Amt(FCY)]]*Main_Issuance[[#This Row],[Rate]]</f>
        <v>4783058.92</v>
      </c>
      <c r="O311" s="58">
        <v>45412</v>
      </c>
      <c r="P311" s="58">
        <v>45412</v>
      </c>
      <c r="Q311" s="58" t="s">
        <v>27</v>
      </c>
      <c r="R311" s="115"/>
      <c r="S311" s="61"/>
      <c r="T311" s="61"/>
      <c r="U311" s="61"/>
      <c r="V311" s="62">
        <v>0</v>
      </c>
      <c r="W311" s="115"/>
      <c r="X311" s="58" t="str">
        <f ca="1">IF(AND((Main_Issuance[[#This Row],[Expiry Date]]+31)&gt;TODAY(),Main_Issuance[[#This Row],[Status]]&lt;&gt;"Cancelled"),"Active","Cancelled")</f>
        <v>Cancelled</v>
      </c>
      <c r="Y311" s="409"/>
      <c r="Z311" s="408"/>
      <c r="AA311" s="408" t="s">
        <v>378</v>
      </c>
      <c r="AB311" s="83" cm="1">
        <f t="array" ref="AB311">Iss_Tariff(Main_Issuance[[#This Row],[Bank]],Main_Issuance[[#This Row],[LC Amt(SAR)]],Main_Issuance[[#This Row],[Issue Date.]],Main_Issuance[[#This Row],[Expiry Date]],Main_Issuance[[#This Row],[Calculate]])</f>
        <v>0</v>
      </c>
      <c r="AC311" s="83"/>
    </row>
    <row r="312" spans="1:29" ht="15.75" hidden="1" x14ac:dyDescent="0.25">
      <c r="A312" s="114" t="s">
        <v>1188</v>
      </c>
      <c r="B312" s="77">
        <v>45760</v>
      </c>
      <c r="C312" s="77" t="s">
        <v>441</v>
      </c>
      <c r="D312" s="115" t="s">
        <v>20</v>
      </c>
      <c r="E312" s="115" t="s">
        <v>366</v>
      </c>
      <c r="F312" s="115" t="s">
        <v>710</v>
      </c>
      <c r="G312" s="115" t="s">
        <v>836</v>
      </c>
      <c r="H312" s="115" t="s">
        <v>24</v>
      </c>
      <c r="I312" s="115" t="s">
        <v>710</v>
      </c>
      <c r="J312" s="59">
        <v>1020088</v>
      </c>
      <c r="K312" s="115" t="s">
        <v>26</v>
      </c>
      <c r="L312" s="60">
        <v>1995000</v>
      </c>
      <c r="M312" s="60">
        <v>1</v>
      </c>
      <c r="N312" s="60">
        <f>Main_Issuance[[#This Row],[LC Amt(FCY)]]*Main_Issuance[[#This Row],[Rate]]</f>
        <v>1995000</v>
      </c>
      <c r="O312" s="77">
        <v>46022</v>
      </c>
      <c r="P312" s="77">
        <v>46022</v>
      </c>
      <c r="Q312" s="77" t="s">
        <v>27</v>
      </c>
      <c r="R312" s="115" t="s">
        <v>311</v>
      </c>
      <c r="S312" s="82"/>
      <c r="T312" s="82"/>
      <c r="U312" s="82"/>
      <c r="V312" s="97">
        <v>0</v>
      </c>
      <c r="W312" s="115"/>
      <c r="X312" s="77" t="str">
        <f ca="1">IF(AND((Main_Issuance[[#This Row],[Expiry Date]]+31)&gt;TODAY(),Main_Issuance[[#This Row],[Status]]&lt;&gt;"Cancelled"),"Active","Cancelled")</f>
        <v>Cancelled</v>
      </c>
      <c r="Y312" s="409"/>
      <c r="Z312" s="408"/>
      <c r="AA312" s="408" t="s">
        <v>378</v>
      </c>
      <c r="AB312" s="83" cm="1">
        <f t="array" ref="AB312">Iss_Tariff(Main_Issuance[[#This Row],[Bank]],Main_Issuance[[#This Row],[LC Amt(SAR)]],Main_Issuance[[#This Row],[Issue Date.]],Main_Issuance[[#This Row],[Expiry Date]],Main_Issuance[[#This Row],[Calculate]])</f>
        <v>0</v>
      </c>
      <c r="AC312" s="83"/>
    </row>
    <row r="313" spans="1:29" ht="15.75" hidden="1" x14ac:dyDescent="0.25">
      <c r="A313" s="57" t="s">
        <v>202</v>
      </c>
      <c r="B313" s="58">
        <v>45147</v>
      </c>
      <c r="C313" s="58" t="s">
        <v>441</v>
      </c>
      <c r="D313" s="69" t="s">
        <v>20</v>
      </c>
      <c r="E313" s="19" t="s">
        <v>21</v>
      </c>
      <c r="F313" s="19" t="s">
        <v>22</v>
      </c>
      <c r="G313" s="19" t="s">
        <v>203</v>
      </c>
      <c r="H313" s="59" t="s">
        <v>24</v>
      </c>
      <c r="I313" s="59" t="s">
        <v>22</v>
      </c>
      <c r="J313" s="59">
        <v>1020055</v>
      </c>
      <c r="K313" s="19" t="s">
        <v>26</v>
      </c>
      <c r="L313" s="60">
        <v>905627.11</v>
      </c>
      <c r="M313" s="60">
        <v>1</v>
      </c>
      <c r="N313" s="60">
        <f>Main_Issuance[[#This Row],[LC Amt(FCY)]]*Main_Issuance[[#This Row],[Rate]]</f>
        <v>905627.11</v>
      </c>
      <c r="O313" s="56">
        <v>45230</v>
      </c>
      <c r="P313" s="56">
        <v>45230</v>
      </c>
      <c r="Q313" s="58" t="s">
        <v>27</v>
      </c>
      <c r="R313" s="115" t="s">
        <v>35</v>
      </c>
      <c r="S313" s="61"/>
      <c r="T313" s="61"/>
      <c r="U313" s="61"/>
      <c r="V313" s="62">
        <v>0</v>
      </c>
      <c r="W313" s="115"/>
      <c r="X313" s="58" t="str">
        <f ca="1">IF(AND((Main_Issuance[[#This Row],[Expiry Date]]+31)&gt;TODAY(),Main_Issuance[[#This Row],[Status]]&lt;&gt;"Cancelled"),"Active","Cancelled")</f>
        <v>Cancelled</v>
      </c>
      <c r="Y313" s="409"/>
      <c r="Z313" s="408"/>
      <c r="AA313" s="408" t="s">
        <v>378</v>
      </c>
      <c r="AB313" s="83" cm="1">
        <f t="array" ref="AB313">Iss_Tariff(Main_Issuance[[#This Row],[Bank]],Main_Issuance[[#This Row],[LC Amt(SAR)]],Main_Issuance[[#This Row],[Issue Date.]],Main_Issuance[[#This Row],[Expiry Date]],Main_Issuance[[#This Row],[Calculate]])</f>
        <v>0</v>
      </c>
      <c r="AC313" s="83"/>
    </row>
    <row r="314" spans="1:29" ht="15.75" hidden="1" x14ac:dyDescent="0.25">
      <c r="A314" s="114" t="s">
        <v>1445</v>
      </c>
      <c r="B314" s="76">
        <v>45810</v>
      </c>
      <c r="C314" s="77" t="s">
        <v>441</v>
      </c>
      <c r="D314" s="19" t="s">
        <v>20</v>
      </c>
      <c r="E314" s="115" t="s">
        <v>366</v>
      </c>
      <c r="F314" s="115" t="s">
        <v>710</v>
      </c>
      <c r="G314" s="115" t="s">
        <v>1386</v>
      </c>
      <c r="H314" s="115" t="s">
        <v>24</v>
      </c>
      <c r="I314" s="115" t="s">
        <v>710</v>
      </c>
      <c r="J314" s="113">
        <v>1020088</v>
      </c>
      <c r="K314" s="115" t="s">
        <v>26</v>
      </c>
      <c r="L314" s="60">
        <v>2000000</v>
      </c>
      <c r="M314" s="60">
        <v>1</v>
      </c>
      <c r="N314" s="60">
        <f>Main_Issuance[[#This Row],[LC Amt(FCY)]]*Main_Issuance[[#This Row],[Rate]]</f>
        <v>2000000</v>
      </c>
      <c r="O314" s="77">
        <v>45961</v>
      </c>
      <c r="P314" s="77">
        <v>45961</v>
      </c>
      <c r="Q314" s="77" t="s">
        <v>27</v>
      </c>
      <c r="R314" s="115" t="s">
        <v>621</v>
      </c>
      <c r="S314" s="82"/>
      <c r="T314" s="82"/>
      <c r="U314" s="82"/>
      <c r="V314" s="97">
        <v>0</v>
      </c>
      <c r="W314" s="115"/>
      <c r="X314" s="77" t="str">
        <f ca="1">IF(AND((Main_Issuance[[#This Row],[Expiry Date]]+31)&gt;TODAY(),Main_Issuance[[#This Row],[Status]]&lt;&gt;"Cancelled"),"Active","Cancelled")</f>
        <v>Cancelled</v>
      </c>
      <c r="Y314" s="409"/>
      <c r="Z314" s="408"/>
      <c r="AA314" s="408" t="s">
        <v>378</v>
      </c>
      <c r="AB314" s="83" cm="1">
        <f t="array" ref="AB314">Iss_Tariff(Main_Issuance[[#This Row],[Bank]],Main_Issuance[[#This Row],[LC Amt(SAR)]],Main_Issuance[[#This Row],[Issue Date.]],Main_Issuance[[#This Row],[Expiry Date]],Main_Issuance[[#This Row],[Calculate]])</f>
        <v>0</v>
      </c>
      <c r="AC314" s="83"/>
    </row>
    <row r="315" spans="1:29" ht="15.75" hidden="1" x14ac:dyDescent="0.25">
      <c r="A315" s="114" t="s">
        <v>2902</v>
      </c>
      <c r="B315" s="76">
        <v>45992</v>
      </c>
      <c r="C315" s="77" t="s">
        <v>441</v>
      </c>
      <c r="D315" s="115" t="s">
        <v>20</v>
      </c>
      <c r="E315" s="115" t="s">
        <v>366</v>
      </c>
      <c r="F315" s="115" t="s">
        <v>710</v>
      </c>
      <c r="G315" s="115" t="s">
        <v>1386</v>
      </c>
      <c r="H315" s="115" t="s">
        <v>24</v>
      </c>
      <c r="I315" s="115" t="s">
        <v>710</v>
      </c>
      <c r="J315" s="113">
        <v>1020088</v>
      </c>
      <c r="K315" s="115" t="s">
        <v>26</v>
      </c>
      <c r="L315" s="119">
        <v>628258.81000000006</v>
      </c>
      <c r="M315" s="82">
        <v>1</v>
      </c>
      <c r="N315" s="82">
        <f>Main_Issuance[[#This Row],[LC Amt(FCY)]]*Main_Issuance[[#This Row],[Rate]]</f>
        <v>628258.81000000006</v>
      </c>
      <c r="O315" s="77">
        <v>46203</v>
      </c>
      <c r="P315" s="77">
        <v>46203</v>
      </c>
      <c r="Q315" s="77" t="s">
        <v>27</v>
      </c>
      <c r="R315" s="115" t="s">
        <v>621</v>
      </c>
      <c r="S315" s="82"/>
      <c r="T315" s="82"/>
      <c r="U315" s="82"/>
      <c r="V315" s="97">
        <v>0</v>
      </c>
      <c r="W315" s="115"/>
      <c r="X315" s="77" t="str">
        <f ca="1">IF(AND((Main_Issuance[[#This Row],[Expiry Date]]+31)&gt;TODAY(),Main_Issuance[[#This Row],[Status]]&lt;&gt;"Cancelled"),"Active","Cancelled")</f>
        <v>Active</v>
      </c>
      <c r="Y315" s="409"/>
      <c r="Z315" s="408"/>
      <c r="AA315" s="408" t="s">
        <v>857</v>
      </c>
      <c r="AB315" s="83" cm="1">
        <f t="array" ref="AB315">Iss_Tariff(Main_Issuance[[#This Row],[Bank]],Main_Issuance[[#This Row],[LC Amt(SAR)]],Main_Issuance[[#This Row],[Issue Date.]],Main_Issuance[[#This Row],[Expiry Date]],Main_Issuance[[#This Row],[Calculate]])</f>
        <v>3698.4</v>
      </c>
      <c r="AC315" s="83"/>
    </row>
    <row r="316" spans="1:29" ht="15.75" hidden="1" x14ac:dyDescent="0.25">
      <c r="A316" s="114" t="s">
        <v>1869</v>
      </c>
      <c r="B316" s="77">
        <v>45914</v>
      </c>
      <c r="C316" s="77" t="s">
        <v>441</v>
      </c>
      <c r="D316" s="115" t="s">
        <v>20</v>
      </c>
      <c r="E316" s="115" t="s">
        <v>366</v>
      </c>
      <c r="F316" s="115" t="s">
        <v>710</v>
      </c>
      <c r="G316" s="124" t="s">
        <v>1837</v>
      </c>
      <c r="H316" s="115" t="s">
        <v>24</v>
      </c>
      <c r="I316" s="115" t="s">
        <v>710</v>
      </c>
      <c r="J316" s="113">
        <v>1020088</v>
      </c>
      <c r="K316" s="115" t="s">
        <v>26</v>
      </c>
      <c r="L316" s="119">
        <v>2500000</v>
      </c>
      <c r="M316" s="82">
        <v>1</v>
      </c>
      <c r="N316" s="82">
        <f>Main_Issuance[[#This Row],[LC Amt(FCY)]]*Main_Issuance[[#This Row],[Rate]]</f>
        <v>2500000</v>
      </c>
      <c r="O316" s="77">
        <v>46022</v>
      </c>
      <c r="P316" s="77">
        <v>46022</v>
      </c>
      <c r="Q316" s="77" t="s">
        <v>27</v>
      </c>
      <c r="R316" s="115" t="s">
        <v>621</v>
      </c>
      <c r="S316" s="82"/>
      <c r="T316" s="82"/>
      <c r="U316" s="82"/>
      <c r="V316" s="97">
        <v>0</v>
      </c>
      <c r="W316" s="115"/>
      <c r="X316" s="77" t="str">
        <f ca="1">IF(AND((Main_Issuance[[#This Row],[Expiry Date]]+31)&gt;TODAY(),Main_Issuance[[#This Row],[Status]]&lt;&gt;"Cancelled"),"Active","Cancelled")</f>
        <v>Cancelled</v>
      </c>
      <c r="Y316" s="409"/>
      <c r="Z316" s="408"/>
      <c r="AA316" s="408" t="s">
        <v>378</v>
      </c>
      <c r="AB316" s="83" cm="1">
        <f t="array" ref="AB316">Iss_Tariff(Main_Issuance[[#This Row],[Bank]],Main_Issuance[[#This Row],[LC Amt(SAR)]],Main_Issuance[[#This Row],[Issue Date.]],Main_Issuance[[#This Row],[Expiry Date]],Main_Issuance[[#This Row],[Calculate]])</f>
        <v>0</v>
      </c>
      <c r="AC316" s="83"/>
    </row>
    <row r="317" spans="1:29" ht="15.75" hidden="1" x14ac:dyDescent="0.25">
      <c r="A317" s="57" t="s">
        <v>562</v>
      </c>
      <c r="B317" s="56">
        <v>45643</v>
      </c>
      <c r="C317" s="58" t="s">
        <v>441</v>
      </c>
      <c r="D317" s="19" t="s">
        <v>20</v>
      </c>
      <c r="E317" s="19" t="s">
        <v>373</v>
      </c>
      <c r="F317" s="19" t="s">
        <v>483</v>
      </c>
      <c r="G317" s="19" t="s">
        <v>563</v>
      </c>
      <c r="H317" s="59" t="s">
        <v>24</v>
      </c>
      <c r="I317" s="59" t="s">
        <v>22</v>
      </c>
      <c r="J317" s="59">
        <v>1020055</v>
      </c>
      <c r="K317" s="19" t="s">
        <v>26</v>
      </c>
      <c r="L317" s="60">
        <v>593400</v>
      </c>
      <c r="M317" s="60">
        <v>1</v>
      </c>
      <c r="N317" s="60">
        <f>Main_Issuance[[#This Row],[LC Amt(FCY)]]*Main_Issuance[[#This Row],[Rate]]</f>
        <v>593400</v>
      </c>
      <c r="O317" s="58">
        <v>45747</v>
      </c>
      <c r="P317" s="58">
        <v>45747</v>
      </c>
      <c r="Q317" s="58" t="s">
        <v>27</v>
      </c>
      <c r="R317" s="78" t="s">
        <v>425</v>
      </c>
      <c r="S317" s="61"/>
      <c r="T317" s="61"/>
      <c r="U317" s="61"/>
      <c r="V317" s="68">
        <v>0</v>
      </c>
      <c r="W317" s="115"/>
      <c r="X317" s="58" t="str">
        <f ca="1">IF(AND((Main_Issuance[[#This Row],[Expiry Date]]+31)&gt;TODAY(),Main_Issuance[[#This Row],[Status]]&lt;&gt;"Cancelled"),"Active","Cancelled")</f>
        <v>Cancelled</v>
      </c>
      <c r="Y317" s="409"/>
      <c r="Z317" s="408"/>
      <c r="AA317" s="408" t="s">
        <v>378</v>
      </c>
      <c r="AB317" s="83" cm="1">
        <f t="array" ref="AB317">Iss_Tariff(Main_Issuance[[#This Row],[Bank]],Main_Issuance[[#This Row],[LC Amt(SAR)]],Main_Issuance[[#This Row],[Issue Date.]],Main_Issuance[[#This Row],[Expiry Date]],Main_Issuance[[#This Row],[Calculate]])</f>
        <v>0</v>
      </c>
      <c r="AC317" s="83"/>
    </row>
    <row r="318" spans="1:29" ht="15.75" hidden="1" x14ac:dyDescent="0.25">
      <c r="A318" s="57" t="s">
        <v>801</v>
      </c>
      <c r="B318" s="58">
        <v>45739</v>
      </c>
      <c r="C318" s="58" t="s">
        <v>441</v>
      </c>
      <c r="D318" s="19" t="s">
        <v>20</v>
      </c>
      <c r="E318" s="19" t="s">
        <v>21</v>
      </c>
      <c r="F318" s="19" t="s">
        <v>22</v>
      </c>
      <c r="G318" s="19" t="s">
        <v>802</v>
      </c>
      <c r="H318" s="19" t="s">
        <v>24</v>
      </c>
      <c r="I318" s="19" t="s">
        <v>22</v>
      </c>
      <c r="J318" s="59">
        <v>1020055</v>
      </c>
      <c r="K318" s="19" t="s">
        <v>26</v>
      </c>
      <c r="L318" s="60">
        <v>177325.35</v>
      </c>
      <c r="M318" s="60">
        <v>1</v>
      </c>
      <c r="N318" s="60">
        <f>Main_Issuance[[#This Row],[LC Amt(FCY)]]*Main_Issuance[[#This Row],[Rate]]</f>
        <v>177325.35</v>
      </c>
      <c r="O318" s="58">
        <v>45838</v>
      </c>
      <c r="P318" s="58">
        <v>45838</v>
      </c>
      <c r="Q318" s="58" t="s">
        <v>27</v>
      </c>
      <c r="R318" s="78" t="s">
        <v>311</v>
      </c>
      <c r="S318" s="61"/>
      <c r="T318" s="61"/>
      <c r="U318" s="61"/>
      <c r="V318" s="62">
        <v>0</v>
      </c>
      <c r="W318" s="115"/>
      <c r="X318" s="58" t="str">
        <f ca="1">IF(AND((Main_Issuance[[#This Row],[Expiry Date]]+31)&gt;TODAY(),Main_Issuance[[#This Row],[Status]]&lt;&gt;"Cancelled"),"Active","Cancelled")</f>
        <v>Cancelled</v>
      </c>
      <c r="Y318" s="409"/>
      <c r="Z318" s="408"/>
      <c r="AA318" s="408" t="s">
        <v>378</v>
      </c>
      <c r="AB318" s="83" cm="1">
        <f t="array" ref="AB318">Iss_Tariff(Main_Issuance[[#This Row],[Bank]],Main_Issuance[[#This Row],[LC Amt(SAR)]],Main_Issuance[[#This Row],[Issue Date.]],Main_Issuance[[#This Row],[Expiry Date]],Main_Issuance[[#This Row],[Calculate]])</f>
        <v>0</v>
      </c>
      <c r="AC318" s="83"/>
    </row>
    <row r="319" spans="1:29" ht="15.75" hidden="1" x14ac:dyDescent="0.25">
      <c r="A319" s="114" t="s">
        <v>1743</v>
      </c>
      <c r="B319" s="77">
        <v>45883</v>
      </c>
      <c r="C319" s="77" t="s">
        <v>1727</v>
      </c>
      <c r="D319" s="115" t="s">
        <v>20</v>
      </c>
      <c r="E319" s="115" t="s">
        <v>62</v>
      </c>
      <c r="F319" s="115" t="s">
        <v>70</v>
      </c>
      <c r="G319" s="115" t="s">
        <v>1725</v>
      </c>
      <c r="H319" s="113" t="s">
        <v>869</v>
      </c>
      <c r="I319" s="115" t="s">
        <v>1762</v>
      </c>
      <c r="J319" s="115"/>
      <c r="K319" s="115" t="s">
        <v>26</v>
      </c>
      <c r="L319" s="60">
        <v>273082</v>
      </c>
      <c r="M319" s="60">
        <v>1</v>
      </c>
      <c r="N319" s="60">
        <f>Main_Issuance[[#This Row],[LC Amt(FCY)]]*Main_Issuance[[#This Row],[Rate]]</f>
        <v>273082</v>
      </c>
      <c r="O319" s="77">
        <v>45930</v>
      </c>
      <c r="P319" s="77">
        <v>45915</v>
      </c>
      <c r="Q319" s="77" t="s">
        <v>70</v>
      </c>
      <c r="R319" s="78" t="s">
        <v>208</v>
      </c>
      <c r="S319" s="82"/>
      <c r="T319" s="82"/>
      <c r="U319" s="82"/>
      <c r="V319" s="97"/>
      <c r="W319" s="115" t="s">
        <v>2862</v>
      </c>
      <c r="X319" s="77" t="str">
        <f ca="1">IF(AND((Main_Issuance[[#This Row],[Expiry Date]]+31)&gt;TODAY(),Main_Issuance[[#This Row],[Status]]&lt;&gt;"Cancelled"),"Active","Cancelled")</f>
        <v>Cancelled</v>
      </c>
      <c r="Y319" s="410"/>
      <c r="Z319" s="408"/>
      <c r="AA319" s="408" t="s">
        <v>378</v>
      </c>
      <c r="AB319" s="83" cm="1">
        <f t="array" ref="AB319">Iss_Tariff(Main_Issuance[[#This Row],[Bank]],Main_Issuance[[#This Row],[LC Amt(SAR)]],Main_Issuance[[#This Row],[Issue Date.]],Main_Issuance[[#This Row],[Expiry Date]],Main_Issuance[[#This Row],[Calculate]])</f>
        <v>0</v>
      </c>
      <c r="AC319" s="83"/>
    </row>
    <row r="320" spans="1:29" ht="15.75" hidden="1" x14ac:dyDescent="0.25">
      <c r="A320" s="147" t="s">
        <v>1288</v>
      </c>
      <c r="B320" s="148">
        <v>45785</v>
      </c>
      <c r="C320" s="148" t="s">
        <v>441</v>
      </c>
      <c r="D320" s="124" t="s">
        <v>20</v>
      </c>
      <c r="E320" s="124" t="s">
        <v>373</v>
      </c>
      <c r="F320" s="124" t="s">
        <v>70</v>
      </c>
      <c r="G320" s="124" t="s">
        <v>1247</v>
      </c>
      <c r="H320" s="124" t="s">
        <v>24</v>
      </c>
      <c r="I320" s="124" t="s">
        <v>407</v>
      </c>
      <c r="J320" s="113">
        <v>1020100</v>
      </c>
      <c r="K320" s="124" t="s">
        <v>26</v>
      </c>
      <c r="L320" s="60">
        <v>250000</v>
      </c>
      <c r="M320" s="60">
        <v>1</v>
      </c>
      <c r="N320" s="60">
        <f>Main_Issuance[[#This Row],[LC Amt(FCY)]]*Main_Issuance[[#This Row],[Rate]]</f>
        <v>250000</v>
      </c>
      <c r="O320" s="122">
        <v>45869</v>
      </c>
      <c r="P320" s="122">
        <v>45869</v>
      </c>
      <c r="Q320" s="58" t="s">
        <v>70</v>
      </c>
      <c r="R320" s="78" t="s">
        <v>621</v>
      </c>
      <c r="S320" s="127"/>
      <c r="T320" s="127"/>
      <c r="U320" s="127"/>
      <c r="V320" s="97">
        <v>0</v>
      </c>
      <c r="W320" s="115"/>
      <c r="X320" s="148" t="str">
        <f ca="1">IF(AND((Main_Issuance[[#This Row],[Expiry Date]]+31)&gt;TODAY(),Main_Issuance[[#This Row],[Status]]&lt;&gt;"Cancelled"),"Active","Cancelled")</f>
        <v>Cancelled</v>
      </c>
      <c r="Y320" s="411"/>
      <c r="Z320" s="408"/>
      <c r="AA320" s="408" t="s">
        <v>378</v>
      </c>
      <c r="AB320" s="83" cm="1">
        <f t="array" ref="AB320">Iss_Tariff(Main_Issuance[[#This Row],[Bank]],Main_Issuance[[#This Row],[LC Amt(SAR)]],Main_Issuance[[#This Row],[Issue Date.]],Main_Issuance[[#This Row],[Expiry Date]],Main_Issuance[[#This Row],[Calculate]])</f>
        <v>0</v>
      </c>
      <c r="AC320" s="83"/>
    </row>
    <row r="321" spans="1:29" ht="15.75" hidden="1" x14ac:dyDescent="0.25">
      <c r="A321" s="114" t="s">
        <v>1885</v>
      </c>
      <c r="B321" s="76">
        <v>45922</v>
      </c>
      <c r="C321" s="77" t="s">
        <v>441</v>
      </c>
      <c r="D321" s="115" t="s">
        <v>20</v>
      </c>
      <c r="E321" s="115" t="s">
        <v>21</v>
      </c>
      <c r="F321" s="115" t="s">
        <v>22</v>
      </c>
      <c r="G321" s="124" t="s">
        <v>1863</v>
      </c>
      <c r="H321" s="115" t="s">
        <v>24</v>
      </c>
      <c r="I321" s="115" t="s">
        <v>22</v>
      </c>
      <c r="J321" s="113">
        <v>1020055</v>
      </c>
      <c r="K321" s="115" t="s">
        <v>26</v>
      </c>
      <c r="L321" s="119">
        <v>207933.08</v>
      </c>
      <c r="M321" s="119">
        <v>1</v>
      </c>
      <c r="N321" s="119">
        <f>Main_Issuance[[#This Row],[LC Amt(FCY)]]*Main_Issuance[[#This Row],[Rate]]</f>
        <v>207933.08</v>
      </c>
      <c r="O321" s="77">
        <v>46022</v>
      </c>
      <c r="P321" s="77">
        <v>46022</v>
      </c>
      <c r="Q321" s="77" t="s">
        <v>27</v>
      </c>
      <c r="R321" s="78" t="s">
        <v>621</v>
      </c>
      <c r="S321" s="82"/>
      <c r="T321" s="82"/>
      <c r="U321" s="82"/>
      <c r="V321" s="97">
        <v>0</v>
      </c>
      <c r="W321" s="115"/>
      <c r="X321" s="77" t="str">
        <f ca="1">IF(AND((Main_Issuance[[#This Row],[Expiry Date]]+31)&gt;TODAY(),Main_Issuance[[#This Row],[Status]]&lt;&gt;"Cancelled"),"Active","Cancelled")</f>
        <v>Cancelled</v>
      </c>
      <c r="Y321" s="409"/>
      <c r="Z321" s="408"/>
      <c r="AA321" s="408" t="s">
        <v>378</v>
      </c>
      <c r="AB321" s="83" cm="1">
        <f t="array" ref="AB321">Iss_Tariff(Main_Issuance[[#This Row],[Bank]],Main_Issuance[[#This Row],[LC Amt(SAR)]],Main_Issuance[[#This Row],[Issue Date.]],Main_Issuance[[#This Row],[Expiry Date]],Main_Issuance[[#This Row],[Calculate]])</f>
        <v>0</v>
      </c>
      <c r="AC321" s="83"/>
    </row>
    <row r="322" spans="1:29" ht="15.75" hidden="1" x14ac:dyDescent="0.25">
      <c r="A322" s="114" t="s">
        <v>1404</v>
      </c>
      <c r="B322" s="77">
        <v>45804</v>
      </c>
      <c r="C322" s="77" t="s">
        <v>441</v>
      </c>
      <c r="D322" s="115" t="s">
        <v>20</v>
      </c>
      <c r="E322" s="115" t="s">
        <v>21</v>
      </c>
      <c r="F322" s="115" t="s">
        <v>22</v>
      </c>
      <c r="G322" s="115" t="s">
        <v>1331</v>
      </c>
      <c r="H322" s="115" t="s">
        <v>24</v>
      </c>
      <c r="I322" s="115" t="s">
        <v>22</v>
      </c>
      <c r="J322" s="115">
        <v>1020055</v>
      </c>
      <c r="K322" s="115" t="s">
        <v>26</v>
      </c>
      <c r="L322" s="60">
        <v>197999.99</v>
      </c>
      <c r="M322" s="60">
        <v>1</v>
      </c>
      <c r="N322" s="60">
        <f>Main_Issuance[[#This Row],[LC Amt(FCY)]]*Main_Issuance[[#This Row],[Rate]]</f>
        <v>197999.99</v>
      </c>
      <c r="O322" s="77">
        <v>45900</v>
      </c>
      <c r="P322" s="77">
        <v>45900</v>
      </c>
      <c r="Q322" s="77" t="s">
        <v>27</v>
      </c>
      <c r="R322" s="78" t="s">
        <v>621</v>
      </c>
      <c r="S322" s="82"/>
      <c r="T322" s="82"/>
      <c r="U322" s="82"/>
      <c r="V322" s="97">
        <v>0</v>
      </c>
      <c r="W322" s="115"/>
      <c r="X322" s="77" t="str">
        <f ca="1">IF(AND((Main_Issuance[[#This Row],[Expiry Date]]+31)&gt;TODAY(),Main_Issuance[[#This Row],[Status]]&lt;&gt;"Cancelled"),"Active","Cancelled")</f>
        <v>Cancelled</v>
      </c>
      <c r="Y322" s="409"/>
      <c r="Z322" s="408"/>
      <c r="AA322" s="408" t="s">
        <v>378</v>
      </c>
      <c r="AB322" s="83" cm="1">
        <f t="array" ref="AB322">Iss_Tariff(Main_Issuance[[#This Row],[Bank]],Main_Issuance[[#This Row],[LC Amt(SAR)]],Main_Issuance[[#This Row],[Issue Date.]],Main_Issuance[[#This Row],[Expiry Date]],Main_Issuance[[#This Row],[Calculate]])</f>
        <v>0</v>
      </c>
      <c r="AC322" s="83"/>
    </row>
    <row r="323" spans="1:29" ht="15.75" hidden="1" x14ac:dyDescent="0.25">
      <c r="A323" s="114" t="s">
        <v>1428</v>
      </c>
      <c r="B323" s="77">
        <v>45804</v>
      </c>
      <c r="C323" s="77" t="s">
        <v>441</v>
      </c>
      <c r="D323" s="19" t="s">
        <v>20</v>
      </c>
      <c r="E323" s="115" t="s">
        <v>21</v>
      </c>
      <c r="F323" s="115" t="s">
        <v>22</v>
      </c>
      <c r="G323" s="115" t="s">
        <v>1363</v>
      </c>
      <c r="H323" s="115" t="s">
        <v>24</v>
      </c>
      <c r="I323" s="115" t="s">
        <v>22</v>
      </c>
      <c r="J323" s="115">
        <v>1020055</v>
      </c>
      <c r="K323" s="115" t="s">
        <v>26</v>
      </c>
      <c r="L323" s="60">
        <v>120438.35</v>
      </c>
      <c r="M323" s="60">
        <v>1</v>
      </c>
      <c r="N323" s="60">
        <f>Main_Issuance[[#This Row],[LC Amt(FCY)]]*Main_Issuance[[#This Row],[Rate]]</f>
        <v>120438.35</v>
      </c>
      <c r="O323" s="77">
        <v>46022</v>
      </c>
      <c r="P323" s="77">
        <v>46022</v>
      </c>
      <c r="Q323" s="77" t="s">
        <v>27</v>
      </c>
      <c r="R323" s="78" t="s">
        <v>621</v>
      </c>
      <c r="S323" s="82"/>
      <c r="T323" s="82"/>
      <c r="U323" s="82"/>
      <c r="V323" s="97">
        <v>0</v>
      </c>
      <c r="W323" s="115"/>
      <c r="X323" s="77" t="str">
        <f ca="1">IF(AND((Main_Issuance[[#This Row],[Expiry Date]]+31)&gt;TODAY(),Main_Issuance[[#This Row],[Status]]&lt;&gt;"Cancelled"),"Active","Cancelled")</f>
        <v>Cancelled</v>
      </c>
      <c r="Y323" s="409"/>
      <c r="Z323" s="408"/>
      <c r="AA323" s="408" t="s">
        <v>378</v>
      </c>
      <c r="AB323" s="83" cm="1">
        <f t="array" ref="AB323">Iss_Tariff(Main_Issuance[[#This Row],[Bank]],Main_Issuance[[#This Row],[LC Amt(SAR)]],Main_Issuance[[#This Row],[Issue Date.]],Main_Issuance[[#This Row],[Expiry Date]],Main_Issuance[[#This Row],[Calculate]])</f>
        <v>0</v>
      </c>
      <c r="AC323" s="83"/>
    </row>
    <row r="324" spans="1:29" ht="15.75" hidden="1" x14ac:dyDescent="0.25">
      <c r="A324" s="57" t="s">
        <v>418</v>
      </c>
      <c r="B324" s="58">
        <v>45572</v>
      </c>
      <c r="C324" s="58"/>
      <c r="D324" s="19" t="s">
        <v>20</v>
      </c>
      <c r="E324" s="19" t="s">
        <v>95</v>
      </c>
      <c r="F324" s="19" t="s">
        <v>96</v>
      </c>
      <c r="G324" s="19" t="s">
        <v>419</v>
      </c>
      <c r="H324" s="59" t="s">
        <v>24</v>
      </c>
      <c r="I324" s="59" t="s">
        <v>413</v>
      </c>
      <c r="J324" s="59"/>
      <c r="K324" s="19" t="s">
        <v>26</v>
      </c>
      <c r="L324" s="60">
        <v>2120837</v>
      </c>
      <c r="M324" s="60">
        <v>1</v>
      </c>
      <c r="N324" s="60">
        <f>Main_Issuance[[#This Row],[LC Amt(FCY)]]*Main_Issuance[[#This Row],[Rate]]</f>
        <v>2120837</v>
      </c>
      <c r="O324" s="58">
        <v>45657</v>
      </c>
      <c r="P324" s="58">
        <v>45630</v>
      </c>
      <c r="Q324" s="58" t="s">
        <v>27</v>
      </c>
      <c r="R324" s="78" t="s">
        <v>311</v>
      </c>
      <c r="S324" s="61"/>
      <c r="T324" s="61"/>
      <c r="U324" s="61"/>
      <c r="V324" s="62">
        <v>0</v>
      </c>
      <c r="W324" s="115"/>
      <c r="X324" s="58" t="str">
        <f ca="1">IF(AND((Main_Issuance[[#This Row],[Expiry Date]]+31)&gt;TODAY(),Main_Issuance[[#This Row],[Status]]&lt;&gt;"Cancelled"),"Active","Cancelled")</f>
        <v>Cancelled</v>
      </c>
      <c r="Y324" s="409"/>
      <c r="Z324" s="408"/>
      <c r="AA324" s="408" t="s">
        <v>378</v>
      </c>
      <c r="AB324" s="83" cm="1">
        <f t="array" ref="AB324">Iss_Tariff(Main_Issuance[[#This Row],[Bank]],Main_Issuance[[#This Row],[LC Amt(SAR)]],Main_Issuance[[#This Row],[Issue Date.]],Main_Issuance[[#This Row],[Expiry Date]],Main_Issuance[[#This Row],[Calculate]])</f>
        <v>0</v>
      </c>
      <c r="AC324" s="83"/>
    </row>
    <row r="325" spans="1:29" ht="15.75" hidden="1" x14ac:dyDescent="0.25">
      <c r="A325" s="114" t="s">
        <v>1492</v>
      </c>
      <c r="B325" s="77">
        <v>45831</v>
      </c>
      <c r="C325" s="77" t="s">
        <v>441</v>
      </c>
      <c r="D325" s="78" t="s">
        <v>20</v>
      </c>
      <c r="E325" s="115" t="s">
        <v>21</v>
      </c>
      <c r="F325" s="115" t="s">
        <v>22</v>
      </c>
      <c r="G325" s="115" t="s">
        <v>419</v>
      </c>
      <c r="H325" s="115" t="s">
        <v>24</v>
      </c>
      <c r="I325" s="115" t="s">
        <v>407</v>
      </c>
      <c r="J325" s="113">
        <v>1020100</v>
      </c>
      <c r="K325" s="115" t="s">
        <v>26</v>
      </c>
      <c r="L325" s="60">
        <v>80000</v>
      </c>
      <c r="M325" s="60">
        <v>1</v>
      </c>
      <c r="N325" s="60">
        <f>Main_Issuance[[#This Row],[LC Amt(FCY)]]*Main_Issuance[[#This Row],[Rate]]</f>
        <v>80000</v>
      </c>
      <c r="O325" s="76">
        <v>45900</v>
      </c>
      <c r="P325" s="76">
        <v>45900</v>
      </c>
      <c r="Q325" s="77" t="s">
        <v>27</v>
      </c>
      <c r="R325" s="78" t="s">
        <v>621</v>
      </c>
      <c r="S325" s="82"/>
      <c r="T325" s="82"/>
      <c r="U325" s="82"/>
      <c r="V325" s="97">
        <v>0</v>
      </c>
      <c r="W325" s="115"/>
      <c r="X325" s="77" t="str">
        <f ca="1">IF(AND((Main_Issuance[[#This Row],[Expiry Date]]+31)&gt;TODAY(),Main_Issuance[[#This Row],[Status]]&lt;&gt;"Cancelled"),"Active","Cancelled")</f>
        <v>Cancelled</v>
      </c>
      <c r="Y325" s="409"/>
      <c r="Z325" s="408"/>
      <c r="AA325" s="408" t="s">
        <v>378</v>
      </c>
      <c r="AB325" s="83" cm="1">
        <f t="array" ref="AB325">Iss_Tariff(Main_Issuance[[#This Row],[Bank]],Main_Issuance[[#This Row],[LC Amt(SAR)]],Main_Issuance[[#This Row],[Issue Date.]],Main_Issuance[[#This Row],[Expiry Date]],Main_Issuance[[#This Row],[Calculate]])</f>
        <v>0</v>
      </c>
      <c r="AC325" s="83"/>
    </row>
    <row r="326" spans="1:29" ht="15.75" hidden="1" x14ac:dyDescent="0.25">
      <c r="A326" s="114" t="s">
        <v>1680</v>
      </c>
      <c r="B326" s="77">
        <v>45872</v>
      </c>
      <c r="C326" s="77" t="s">
        <v>441</v>
      </c>
      <c r="D326" s="115" t="s">
        <v>20</v>
      </c>
      <c r="E326" s="115" t="s">
        <v>21</v>
      </c>
      <c r="F326" s="115" t="s">
        <v>22</v>
      </c>
      <c r="G326" s="124" t="s">
        <v>1595</v>
      </c>
      <c r="H326" s="115" t="s">
        <v>24</v>
      </c>
      <c r="I326" s="115" t="s">
        <v>22</v>
      </c>
      <c r="J326" s="113">
        <v>1020055</v>
      </c>
      <c r="K326" s="115" t="s">
        <v>26</v>
      </c>
      <c r="L326" s="60">
        <v>200000</v>
      </c>
      <c r="M326" s="60">
        <v>1</v>
      </c>
      <c r="N326" s="60">
        <f>Main_Issuance[[#This Row],[LC Amt(FCY)]]*Main_Issuance[[#This Row],[Rate]]</f>
        <v>200000</v>
      </c>
      <c r="O326" s="77">
        <v>45961</v>
      </c>
      <c r="P326" s="77">
        <v>45961</v>
      </c>
      <c r="Q326" s="77" t="s">
        <v>27</v>
      </c>
      <c r="R326" s="78" t="s">
        <v>621</v>
      </c>
      <c r="S326" s="82"/>
      <c r="T326" s="82"/>
      <c r="U326" s="82"/>
      <c r="V326" s="97">
        <v>0</v>
      </c>
      <c r="W326" s="115"/>
      <c r="X326" s="77" t="str">
        <f ca="1">IF(AND((Main_Issuance[[#This Row],[Expiry Date]]+31)&gt;TODAY(),Main_Issuance[[#This Row],[Status]]&lt;&gt;"Cancelled"),"Active","Cancelled")</f>
        <v>Cancelled</v>
      </c>
      <c r="Y326" s="409"/>
      <c r="Z326" s="408"/>
      <c r="AA326" s="408" t="s">
        <v>378</v>
      </c>
      <c r="AB326" s="83" cm="1">
        <f t="array" ref="AB326">Iss_Tariff(Main_Issuance[[#This Row],[Bank]],Main_Issuance[[#This Row],[LC Amt(SAR)]],Main_Issuance[[#This Row],[Issue Date.]],Main_Issuance[[#This Row],[Expiry Date]],Main_Issuance[[#This Row],[Calculate]])</f>
        <v>0</v>
      </c>
      <c r="AC326" s="83"/>
    </row>
    <row r="327" spans="1:29" ht="15.75" hidden="1" x14ac:dyDescent="0.25">
      <c r="A327" s="114" t="s">
        <v>3784</v>
      </c>
      <c r="B327" s="76">
        <v>46042</v>
      </c>
      <c r="C327" s="77" t="s">
        <v>1259</v>
      </c>
      <c r="D327" s="115" t="s">
        <v>20</v>
      </c>
      <c r="E327" s="115" t="s">
        <v>95</v>
      </c>
      <c r="F327" s="115" t="s">
        <v>96</v>
      </c>
      <c r="G327" s="115" t="s">
        <v>3717</v>
      </c>
      <c r="H327" s="113" t="s">
        <v>1791</v>
      </c>
      <c r="I327" s="115" t="s">
        <v>328</v>
      </c>
      <c r="J327" s="115">
        <v>1020097</v>
      </c>
      <c r="K327" s="115" t="s">
        <v>26</v>
      </c>
      <c r="L327" s="119">
        <v>500000</v>
      </c>
      <c r="M327" s="82">
        <v>1</v>
      </c>
      <c r="N327" s="82">
        <f>Main_Issuance[[#This Row],[LC Amt(FCY)]]*Main_Issuance[[#This Row],[Rate]]</f>
        <v>500000</v>
      </c>
      <c r="O327" s="77">
        <v>46127</v>
      </c>
      <c r="P327" s="77">
        <v>46096</v>
      </c>
      <c r="Q327" s="77" t="s">
        <v>27</v>
      </c>
      <c r="R327" s="78" t="s">
        <v>3729</v>
      </c>
      <c r="S327" s="82"/>
      <c r="T327" s="82"/>
      <c r="U327" s="82"/>
      <c r="V327" s="97">
        <v>0</v>
      </c>
      <c r="W327" s="115"/>
      <c r="X327" s="77" t="str">
        <f ca="1">IF(AND((Main_Issuance[[#This Row],[Expiry Date]]+31)&gt;TODAY(),Main_Issuance[[#This Row],[Status]]&lt;&gt;"Cancelled"),"Active","Cancelled")</f>
        <v>Cancelled</v>
      </c>
      <c r="Y327" s="409"/>
      <c r="Z327" s="408"/>
      <c r="AA327" s="408" t="s">
        <v>857</v>
      </c>
      <c r="AB327" s="83" cm="1">
        <f t="array" ref="AB327">Iss_Tariff(Main_Issuance[[#This Row],[Bank]],Main_Issuance[[#This Row],[LC Amt(SAR)]],Main_Issuance[[#This Row],[Issue Date.]],Main_Issuance[[#This Row],[Expiry Date]],Main_Issuance[[#This Row],[Calculate]])</f>
        <v>1178.75</v>
      </c>
      <c r="AC327" s="83"/>
    </row>
    <row r="328" spans="1:29" ht="15.75" hidden="1" x14ac:dyDescent="0.25">
      <c r="A328" s="66" t="s">
        <v>460</v>
      </c>
      <c r="B328" s="67">
        <v>45609</v>
      </c>
      <c r="C328" s="67" t="s">
        <v>441</v>
      </c>
      <c r="D328" s="64" t="s">
        <v>20</v>
      </c>
      <c r="E328" s="64" t="s">
        <v>373</v>
      </c>
      <c r="F328" s="64" t="s">
        <v>63</v>
      </c>
      <c r="G328" s="64" t="s">
        <v>1541</v>
      </c>
      <c r="H328" s="59" t="s">
        <v>72</v>
      </c>
      <c r="I328" s="59" t="s">
        <v>22</v>
      </c>
      <c r="J328" s="59">
        <v>1020055</v>
      </c>
      <c r="K328" s="19" t="s">
        <v>26</v>
      </c>
      <c r="L328" s="60">
        <v>18000000</v>
      </c>
      <c r="M328" s="60">
        <v>1</v>
      </c>
      <c r="N328" s="60">
        <f>Main_Issuance[[#This Row],[LC Amt(FCY)]]*Main_Issuance[[#This Row],[Rate]]</f>
        <v>18000000</v>
      </c>
      <c r="O328" s="58">
        <v>45808</v>
      </c>
      <c r="P328" s="58">
        <v>45781</v>
      </c>
      <c r="Q328" s="58" t="s">
        <v>27</v>
      </c>
      <c r="R328" s="78" t="s">
        <v>461</v>
      </c>
      <c r="S328" s="61"/>
      <c r="T328" s="61"/>
      <c r="U328" s="61"/>
      <c r="V328" s="62">
        <v>0</v>
      </c>
      <c r="W328" s="115"/>
      <c r="X328" s="58" t="str">
        <f ca="1">IF(AND((Main_Issuance[[#This Row],[Expiry Date]]+31)&gt;TODAY(),Main_Issuance[[#This Row],[Status]]&lt;&gt;"Cancelled"),"Active","Cancelled")</f>
        <v>Cancelled</v>
      </c>
      <c r="Y328" s="409"/>
      <c r="Z328" s="408"/>
      <c r="AA328" s="408" t="s">
        <v>378</v>
      </c>
      <c r="AB328" s="83" cm="1">
        <f t="array" ref="AB328">Iss_Tariff(Main_Issuance[[#This Row],[Bank]],Main_Issuance[[#This Row],[LC Amt(SAR)]],Main_Issuance[[#This Row],[Issue Date.]],Main_Issuance[[#This Row],[Expiry Date]],Main_Issuance[[#This Row],[Calculate]])</f>
        <v>0</v>
      </c>
      <c r="AC328" s="83"/>
    </row>
    <row r="329" spans="1:29" ht="15.75" hidden="1" x14ac:dyDescent="0.25">
      <c r="A329" s="114" t="s">
        <v>1555</v>
      </c>
      <c r="B329" s="77">
        <v>45854</v>
      </c>
      <c r="C329" s="77" t="s">
        <v>441</v>
      </c>
      <c r="D329" s="115" t="s">
        <v>20</v>
      </c>
      <c r="E329" s="115" t="s">
        <v>21</v>
      </c>
      <c r="F329" s="115" t="s">
        <v>22</v>
      </c>
      <c r="G329" s="124" t="s">
        <v>1541</v>
      </c>
      <c r="H329" s="113" t="s">
        <v>72</v>
      </c>
      <c r="I329" s="113" t="s">
        <v>22</v>
      </c>
      <c r="J329" s="113">
        <v>1020055</v>
      </c>
      <c r="K329" s="115" t="s">
        <v>26</v>
      </c>
      <c r="L329" s="60">
        <v>10095188.34</v>
      </c>
      <c r="M329" s="60">
        <v>1</v>
      </c>
      <c r="N329" s="60">
        <f>Main_Issuance[[#This Row],[LC Amt(FCY)]]*Main_Issuance[[#This Row],[Rate]]</f>
        <v>10095188.34</v>
      </c>
      <c r="O329" s="77">
        <v>45900</v>
      </c>
      <c r="P329" s="77">
        <v>45900</v>
      </c>
      <c r="Q329" s="77" t="s">
        <v>27</v>
      </c>
      <c r="R329" s="78" t="s">
        <v>461</v>
      </c>
      <c r="S329" s="82"/>
      <c r="T329" s="82"/>
      <c r="U329" s="82"/>
      <c r="V329" s="97">
        <v>0</v>
      </c>
      <c r="W329" s="115"/>
      <c r="X329" s="77" t="str">
        <f ca="1">IF(AND((Main_Issuance[[#This Row],[Expiry Date]]+31)&gt;TODAY(),Main_Issuance[[#This Row],[Status]]&lt;&gt;"Cancelled"),"Active","Cancelled")</f>
        <v>Cancelled</v>
      </c>
      <c r="Y329" s="409"/>
      <c r="Z329" s="408"/>
      <c r="AA329" s="408" t="s">
        <v>378</v>
      </c>
      <c r="AB329" s="83" cm="1">
        <f t="array" ref="AB329">Iss_Tariff(Main_Issuance[[#This Row],[Bank]],Main_Issuance[[#This Row],[LC Amt(SAR)]],Main_Issuance[[#This Row],[Issue Date.]],Main_Issuance[[#This Row],[Expiry Date]],Main_Issuance[[#This Row],[Calculate]])</f>
        <v>0</v>
      </c>
      <c r="AC329" s="83"/>
    </row>
    <row r="330" spans="1:29" ht="15.75" hidden="1" x14ac:dyDescent="0.25">
      <c r="A330" s="114" t="s">
        <v>3144</v>
      </c>
      <c r="B330" s="76">
        <v>46009</v>
      </c>
      <c r="C330" s="428" t="s">
        <v>4619</v>
      </c>
      <c r="D330" s="115" t="s">
        <v>20</v>
      </c>
      <c r="E330" s="115" t="s">
        <v>21</v>
      </c>
      <c r="F330" s="115" t="s">
        <v>22</v>
      </c>
      <c r="G330" s="115" t="s">
        <v>1541</v>
      </c>
      <c r="H330" s="113" t="s">
        <v>72</v>
      </c>
      <c r="I330" s="113" t="s">
        <v>22</v>
      </c>
      <c r="J330" s="113">
        <v>1020055</v>
      </c>
      <c r="K330" s="115" t="s">
        <v>26</v>
      </c>
      <c r="L330" s="119">
        <v>30000000</v>
      </c>
      <c r="M330" s="82">
        <v>1</v>
      </c>
      <c r="N330" s="82">
        <f>Main_Issuance[[#This Row],[LC Amt(FCY)]]*Main_Issuance[[#This Row],[Rate]]</f>
        <v>30000000</v>
      </c>
      <c r="O330" s="77">
        <v>46081</v>
      </c>
      <c r="P330" s="77">
        <v>46081</v>
      </c>
      <c r="Q330" s="77" t="s">
        <v>27</v>
      </c>
      <c r="R330" s="115" t="s">
        <v>311</v>
      </c>
      <c r="S330" s="82"/>
      <c r="T330" s="82"/>
      <c r="U330" s="82"/>
      <c r="V330" s="97">
        <v>0</v>
      </c>
      <c r="W330" s="115"/>
      <c r="X330" s="77" t="str">
        <f ca="1">IF(AND((Main_Issuance[[#This Row],[Expiry Date]]+31)&gt;TODAY(),Main_Issuance[[#This Row],[Status]]&lt;&gt;"Cancelled"),"Active","Cancelled")</f>
        <v>Cancelled</v>
      </c>
      <c r="Y330" s="409"/>
      <c r="Z330" s="408"/>
      <c r="AA330" s="408" t="s">
        <v>857</v>
      </c>
      <c r="AB330" s="83" cm="1">
        <f t="array" ref="AB330">Iss_Tariff(Main_Issuance[[#This Row],[Bank]],Main_Issuance[[#This Row],[LC Amt(SAR)]],Main_Issuance[[#This Row],[Issue Date.]],Main_Issuance[[#This Row],[Expiry Date]],Main_Issuance[[#This Row],[Calculate]])</f>
        <v>44505</v>
      </c>
      <c r="AC330" s="83"/>
    </row>
    <row r="331" spans="1:29" ht="15.75" hidden="1" x14ac:dyDescent="0.25">
      <c r="A331" s="114" t="s">
        <v>4630</v>
      </c>
      <c r="B331" s="423">
        <v>46121</v>
      </c>
      <c r="C331" s="424" t="s">
        <v>4619</v>
      </c>
      <c r="D331" s="115" t="s">
        <v>20</v>
      </c>
      <c r="E331" s="115" t="s">
        <v>21</v>
      </c>
      <c r="F331" s="115" t="s">
        <v>22</v>
      </c>
      <c r="G331" s="115" t="s">
        <v>1541</v>
      </c>
      <c r="H331" s="113" t="s">
        <v>72</v>
      </c>
      <c r="I331" s="113" t="s">
        <v>22</v>
      </c>
      <c r="J331" s="113">
        <v>1020055</v>
      </c>
      <c r="K331" s="115" t="s">
        <v>26</v>
      </c>
      <c r="L331" s="119">
        <v>20000000</v>
      </c>
      <c r="M331" s="82">
        <v>1</v>
      </c>
      <c r="N331" s="82">
        <f>Main_Issuance[[#This Row],[LC Amt(FCY)]]*Main_Issuance[[#This Row],[Rate]]</f>
        <v>20000000</v>
      </c>
      <c r="O331" s="424">
        <v>46326</v>
      </c>
      <c r="P331" s="424">
        <v>46326</v>
      </c>
      <c r="Q331" s="424" t="s">
        <v>27</v>
      </c>
      <c r="R331" s="78" t="s">
        <v>311</v>
      </c>
      <c r="S331" s="82"/>
      <c r="T331" s="82"/>
      <c r="U331" s="82"/>
      <c r="V331" s="97">
        <v>0</v>
      </c>
      <c r="W331" s="115"/>
      <c r="X331" s="424" t="str">
        <f ca="1">IF(AND((Main_Issuance[[#This Row],[Expiry Date]]+31)&gt;TODAY(),Main_Issuance[[#This Row],[Status]]&lt;&gt;"Cancelled"),"Active","Cancelled")</f>
        <v>Active</v>
      </c>
      <c r="Y331" s="96"/>
      <c r="Z331" s="424"/>
      <c r="AA331" s="77" t="s">
        <v>857</v>
      </c>
      <c r="AB331" s="83" cm="1">
        <f t="array" ref="AB331">Iss_Tariff(Main_Issuance[[#This Row],[Bank]],Main_Issuance[[#This Row],[LC Amt(SAR)]],Main_Issuance[[#This Row],[Issue Date.]],Main_Issuance[[#This Row],[Expiry Date]],Main_Issuance[[#This Row],[Calculate]])</f>
        <v>87630</v>
      </c>
      <c r="AC331" s="83"/>
    </row>
    <row r="332" spans="1:29" ht="15.75" hidden="1" x14ac:dyDescent="0.25">
      <c r="A332" s="57" t="s">
        <v>44</v>
      </c>
      <c r="B332" s="58">
        <v>45245</v>
      </c>
      <c r="C332" s="58" t="s">
        <v>441</v>
      </c>
      <c r="D332" s="19" t="s">
        <v>20</v>
      </c>
      <c r="E332" s="19" t="s">
        <v>21</v>
      </c>
      <c r="F332" s="19" t="s">
        <v>22</v>
      </c>
      <c r="G332" s="19" t="s">
        <v>45</v>
      </c>
      <c r="H332" s="59" t="s">
        <v>24</v>
      </c>
      <c r="I332" s="59" t="s">
        <v>22</v>
      </c>
      <c r="J332" s="59">
        <v>1020055</v>
      </c>
      <c r="K332" s="19" t="s">
        <v>26</v>
      </c>
      <c r="L332" s="60">
        <v>2000000</v>
      </c>
      <c r="M332" s="60">
        <v>1</v>
      </c>
      <c r="N332" s="60">
        <f>Main_Issuance[[#This Row],[LC Amt(FCY)]]*Main_Issuance[[#This Row],[Rate]]</f>
        <v>2000000</v>
      </c>
      <c r="O332" s="58">
        <v>45474</v>
      </c>
      <c r="P332" s="58">
        <v>45474</v>
      </c>
      <c r="Q332" s="58" t="s">
        <v>27</v>
      </c>
      <c r="R332" s="78" t="s">
        <v>35</v>
      </c>
      <c r="S332" s="61"/>
      <c r="T332" s="61"/>
      <c r="U332" s="61"/>
      <c r="V332" s="62">
        <v>0</v>
      </c>
      <c r="W332" s="115"/>
      <c r="X332" s="58" t="str">
        <f ca="1">IF(AND((Main_Issuance[[#This Row],[Expiry Date]]+31)&gt;TODAY(),Main_Issuance[[#This Row],[Status]]&lt;&gt;"Cancelled"),"Active","Cancelled")</f>
        <v>Cancelled</v>
      </c>
      <c r="Y332" s="409"/>
      <c r="Z332" s="408"/>
      <c r="AA332" s="408" t="s">
        <v>378</v>
      </c>
      <c r="AB332" s="83" cm="1">
        <f t="array" ref="AB332">Iss_Tariff(Main_Issuance[[#This Row],[Bank]],Main_Issuance[[#This Row],[LC Amt(SAR)]],Main_Issuance[[#This Row],[Issue Date.]],Main_Issuance[[#This Row],[Expiry Date]],Main_Issuance[[#This Row],[Calculate]])</f>
        <v>0</v>
      </c>
      <c r="AC332" s="83"/>
    </row>
    <row r="333" spans="1:29" ht="15.75" hidden="1" x14ac:dyDescent="0.25">
      <c r="A333" s="57" t="s">
        <v>287</v>
      </c>
      <c r="B333" s="58">
        <v>45505</v>
      </c>
      <c r="C333" s="58" t="s">
        <v>441</v>
      </c>
      <c r="D333" s="19" t="s">
        <v>20</v>
      </c>
      <c r="E333" s="19" t="s">
        <v>21</v>
      </c>
      <c r="F333" s="19" t="s">
        <v>22</v>
      </c>
      <c r="G333" s="19" t="s">
        <v>45</v>
      </c>
      <c r="H333" s="59" t="s">
        <v>24</v>
      </c>
      <c r="I333" s="59" t="s">
        <v>22</v>
      </c>
      <c r="J333" s="59">
        <v>1020055</v>
      </c>
      <c r="K333" s="19" t="s">
        <v>26</v>
      </c>
      <c r="L333" s="60">
        <v>1000000</v>
      </c>
      <c r="M333" s="60">
        <v>1</v>
      </c>
      <c r="N333" s="60">
        <f>Main_Issuance[[#This Row],[LC Amt(FCY)]]*Main_Issuance[[#This Row],[Rate]]</f>
        <v>1000000</v>
      </c>
      <c r="O333" s="56">
        <v>45596</v>
      </c>
      <c r="P333" s="56">
        <v>45596</v>
      </c>
      <c r="Q333" s="58" t="s">
        <v>27</v>
      </c>
      <c r="R333" s="78"/>
      <c r="S333" s="61"/>
      <c r="T333" s="61"/>
      <c r="U333" s="61"/>
      <c r="V333" s="62">
        <v>0</v>
      </c>
      <c r="W333" s="115"/>
      <c r="X333" s="58" t="str">
        <f ca="1">IF(AND((Main_Issuance[[#This Row],[Expiry Date]]+31)&gt;TODAY(),Main_Issuance[[#This Row],[Status]]&lt;&gt;"Cancelled"),"Active","Cancelled")</f>
        <v>Cancelled</v>
      </c>
      <c r="Y333" s="409"/>
      <c r="Z333" s="408"/>
      <c r="AA333" s="408" t="s">
        <v>378</v>
      </c>
      <c r="AB333" s="83" cm="1">
        <f t="array" ref="AB333">Iss_Tariff(Main_Issuance[[#This Row],[Bank]],Main_Issuance[[#This Row],[LC Amt(SAR)]],Main_Issuance[[#This Row],[Issue Date.]],Main_Issuance[[#This Row],[Expiry Date]],Main_Issuance[[#This Row],[Calculate]])</f>
        <v>0</v>
      </c>
      <c r="AC333" s="83"/>
    </row>
    <row r="334" spans="1:29" ht="15.75" hidden="1" x14ac:dyDescent="0.25">
      <c r="A334" s="57" t="s">
        <v>594</v>
      </c>
      <c r="B334" s="56">
        <v>45663</v>
      </c>
      <c r="C334" s="58" t="s">
        <v>441</v>
      </c>
      <c r="D334" s="19" t="s">
        <v>20</v>
      </c>
      <c r="E334" s="19" t="s">
        <v>373</v>
      </c>
      <c r="F334" s="19" t="s">
        <v>63</v>
      </c>
      <c r="G334" s="69" t="s">
        <v>595</v>
      </c>
      <c r="H334" s="59" t="s">
        <v>24</v>
      </c>
      <c r="I334" s="59" t="s">
        <v>22</v>
      </c>
      <c r="J334" s="59">
        <v>1020055</v>
      </c>
      <c r="K334" s="19" t="s">
        <v>26</v>
      </c>
      <c r="L334" s="60">
        <v>3000000</v>
      </c>
      <c r="M334" s="60">
        <v>1</v>
      </c>
      <c r="N334" s="60">
        <f>Main_Issuance[[#This Row],[LC Amt(FCY)]]*Main_Issuance[[#This Row],[Rate]]</f>
        <v>3000000</v>
      </c>
      <c r="O334" s="58">
        <v>45747</v>
      </c>
      <c r="P334" s="58">
        <v>45747</v>
      </c>
      <c r="Q334" s="58" t="s">
        <v>27</v>
      </c>
      <c r="R334" s="78" t="s">
        <v>311</v>
      </c>
      <c r="S334" s="61"/>
      <c r="T334" s="61"/>
      <c r="U334" s="61"/>
      <c r="V334" s="62">
        <v>0</v>
      </c>
      <c r="W334" s="115"/>
      <c r="X334" s="58" t="str">
        <f ca="1">IF(AND((Main_Issuance[[#This Row],[Expiry Date]]+31)&gt;TODAY(),Main_Issuance[[#This Row],[Status]]&lt;&gt;"Cancelled"),"Active","Cancelled")</f>
        <v>Cancelled</v>
      </c>
      <c r="Y334" s="409"/>
      <c r="Z334" s="408"/>
      <c r="AA334" s="408" t="s">
        <v>378</v>
      </c>
      <c r="AB334" s="83" cm="1">
        <f t="array" ref="AB334">Iss_Tariff(Main_Issuance[[#This Row],[Bank]],Main_Issuance[[#This Row],[LC Amt(SAR)]],Main_Issuance[[#This Row],[Issue Date.]],Main_Issuance[[#This Row],[Expiry Date]],Main_Issuance[[#This Row],[Calculate]])</f>
        <v>0</v>
      </c>
      <c r="AC334" s="83"/>
    </row>
    <row r="335" spans="1:29" ht="15.75" hidden="1" x14ac:dyDescent="0.25">
      <c r="A335" s="75" t="s">
        <v>1800</v>
      </c>
      <c r="B335" s="76">
        <v>45894</v>
      </c>
      <c r="C335" s="77" t="s">
        <v>1181</v>
      </c>
      <c r="D335" s="115" t="s">
        <v>20</v>
      </c>
      <c r="E335" s="115" t="s">
        <v>366</v>
      </c>
      <c r="F335" s="115" t="s">
        <v>710</v>
      </c>
      <c r="G335" s="78" t="s">
        <v>1758</v>
      </c>
      <c r="H335" s="79" t="s">
        <v>1791</v>
      </c>
      <c r="I335" s="79" t="s">
        <v>81</v>
      </c>
      <c r="J335" s="113">
        <v>1020070</v>
      </c>
      <c r="K335" s="78" t="s">
        <v>26</v>
      </c>
      <c r="L335" s="60">
        <v>3000000</v>
      </c>
      <c r="M335" s="60">
        <v>1</v>
      </c>
      <c r="N335" s="60">
        <f>Main_Issuance[[#This Row],[LC Amt(FCY)]]*Main_Issuance[[#This Row],[Rate]]</f>
        <v>3000000</v>
      </c>
      <c r="O335" s="77">
        <v>45961</v>
      </c>
      <c r="P335" s="77">
        <v>45961</v>
      </c>
      <c r="Q335" s="76" t="s">
        <v>27</v>
      </c>
      <c r="R335" s="78" t="s">
        <v>408</v>
      </c>
      <c r="S335" s="81"/>
      <c r="T335" s="82"/>
      <c r="U335" s="82"/>
      <c r="V335" s="97">
        <v>0</v>
      </c>
      <c r="W335" s="115"/>
      <c r="X335" s="76" t="str">
        <f ca="1">IF(AND((Main_Issuance[[#This Row],[Expiry Date]]+31)&gt;TODAY(),Main_Issuance[[#This Row],[Status]]&lt;&gt;"Cancelled"),"Active","Cancelled")</f>
        <v>Cancelled</v>
      </c>
      <c r="Y335" s="409"/>
      <c r="Z335" s="408"/>
      <c r="AA335" s="408" t="s">
        <v>378</v>
      </c>
      <c r="AB335" s="83" cm="1">
        <f t="array" ref="AB335">Iss_Tariff(Main_Issuance[[#This Row],[Bank]],Main_Issuance[[#This Row],[LC Amt(SAR)]],Main_Issuance[[#This Row],[Issue Date.]],Main_Issuance[[#This Row],[Expiry Date]],Main_Issuance[[#This Row],[Calculate]])</f>
        <v>0</v>
      </c>
      <c r="AC335" s="83"/>
    </row>
    <row r="336" spans="1:29" ht="15.75" hidden="1" x14ac:dyDescent="0.25">
      <c r="A336" s="70" t="s">
        <v>354</v>
      </c>
      <c r="B336" s="56">
        <v>45533</v>
      </c>
      <c r="C336" s="58" t="s">
        <v>441</v>
      </c>
      <c r="D336" s="19" t="s">
        <v>20</v>
      </c>
      <c r="E336" s="19" t="s">
        <v>95</v>
      </c>
      <c r="F336" s="19" t="s">
        <v>96</v>
      </c>
      <c r="G336" s="69" t="s">
        <v>355</v>
      </c>
      <c r="H336" s="65" t="s">
        <v>24</v>
      </c>
      <c r="I336" s="65" t="s">
        <v>22</v>
      </c>
      <c r="J336" s="59">
        <v>1020055</v>
      </c>
      <c r="K336" s="69" t="s">
        <v>26</v>
      </c>
      <c r="L336" s="60">
        <v>1000000</v>
      </c>
      <c r="M336" s="60">
        <v>1</v>
      </c>
      <c r="N336" s="60">
        <f>Main_Issuance[[#This Row],[LC Amt(FCY)]]*Main_Issuance[[#This Row],[Rate]]</f>
        <v>1000000</v>
      </c>
      <c r="O336" s="56">
        <v>45626</v>
      </c>
      <c r="P336" s="56">
        <v>45626</v>
      </c>
      <c r="Q336" s="56" t="s">
        <v>27</v>
      </c>
      <c r="R336" s="78"/>
      <c r="S336" s="71"/>
      <c r="T336" s="61"/>
      <c r="U336" s="71"/>
      <c r="V336" s="68">
        <v>0</v>
      </c>
      <c r="W336" s="115"/>
      <c r="X336" s="56" t="str">
        <f ca="1">IF(AND((Main_Issuance[[#This Row],[Expiry Date]]+31)&gt;TODAY(),Main_Issuance[[#This Row],[Status]]&lt;&gt;"Cancelled"),"Active","Cancelled")</f>
        <v>Cancelled</v>
      </c>
      <c r="Y336" s="409"/>
      <c r="Z336" s="408"/>
      <c r="AA336" s="408" t="s">
        <v>378</v>
      </c>
      <c r="AB336" s="83" cm="1">
        <f t="array" ref="AB336">Iss_Tariff(Main_Issuance[[#This Row],[Bank]],Main_Issuance[[#This Row],[LC Amt(SAR)]],Main_Issuance[[#This Row],[Issue Date.]],Main_Issuance[[#This Row],[Expiry Date]],Main_Issuance[[#This Row],[Calculate]])</f>
        <v>0</v>
      </c>
      <c r="AC336" s="83"/>
    </row>
    <row r="337" spans="1:29" ht="15.75" hidden="1" x14ac:dyDescent="0.25">
      <c r="A337" s="70" t="s">
        <v>383</v>
      </c>
      <c r="B337" s="56">
        <v>45551</v>
      </c>
      <c r="C337" s="58" t="s">
        <v>441</v>
      </c>
      <c r="D337" s="69" t="s">
        <v>20</v>
      </c>
      <c r="E337" s="69" t="s">
        <v>95</v>
      </c>
      <c r="F337" s="19" t="s">
        <v>96</v>
      </c>
      <c r="G337" s="69" t="s">
        <v>355</v>
      </c>
      <c r="H337" s="59" t="s">
        <v>24</v>
      </c>
      <c r="I337" s="65" t="s">
        <v>22</v>
      </c>
      <c r="J337" s="59">
        <v>1020055</v>
      </c>
      <c r="K337" s="69" t="s">
        <v>26</v>
      </c>
      <c r="L337" s="60">
        <v>2000000</v>
      </c>
      <c r="M337" s="60">
        <v>1</v>
      </c>
      <c r="N337" s="60">
        <f>Main_Issuance[[#This Row],[LC Amt(FCY)]]*Main_Issuance[[#This Row],[Rate]]</f>
        <v>2000000</v>
      </c>
      <c r="O337" s="56">
        <v>45626</v>
      </c>
      <c r="P337" s="56">
        <v>45600</v>
      </c>
      <c r="Q337" s="56" t="s">
        <v>27</v>
      </c>
      <c r="R337" s="78" t="s">
        <v>311</v>
      </c>
      <c r="S337" s="71"/>
      <c r="T337" s="61"/>
      <c r="U337" s="71"/>
      <c r="V337" s="62">
        <v>0</v>
      </c>
      <c r="W337" s="115"/>
      <c r="X337" s="56" t="str">
        <f ca="1">IF(AND((Main_Issuance[[#This Row],[Expiry Date]]+31)&gt;TODAY(),Main_Issuance[[#This Row],[Status]]&lt;&gt;"Cancelled"),"Active","Cancelled")</f>
        <v>Cancelled</v>
      </c>
      <c r="Y337" s="409"/>
      <c r="Z337" s="408"/>
      <c r="AA337" s="408" t="s">
        <v>378</v>
      </c>
      <c r="AB337" s="83" cm="1">
        <f t="array" ref="AB337">Iss_Tariff(Main_Issuance[[#This Row],[Bank]],Main_Issuance[[#This Row],[LC Amt(SAR)]],Main_Issuance[[#This Row],[Issue Date.]],Main_Issuance[[#This Row],[Expiry Date]],Main_Issuance[[#This Row],[Calculate]])</f>
        <v>0</v>
      </c>
      <c r="AC337" s="83"/>
    </row>
    <row r="338" spans="1:29" ht="15.75" hidden="1" x14ac:dyDescent="0.25">
      <c r="A338" s="70" t="s">
        <v>518</v>
      </c>
      <c r="B338" s="56">
        <v>45624</v>
      </c>
      <c r="C338" s="58" t="s">
        <v>441</v>
      </c>
      <c r="D338" s="69" t="s">
        <v>20</v>
      </c>
      <c r="E338" s="69" t="s">
        <v>21</v>
      </c>
      <c r="F338" s="19" t="s">
        <v>22</v>
      </c>
      <c r="G338" s="19" t="s">
        <v>519</v>
      </c>
      <c r="H338" s="65" t="s">
        <v>24</v>
      </c>
      <c r="I338" s="65" t="s">
        <v>22</v>
      </c>
      <c r="J338" s="59">
        <v>1020055</v>
      </c>
      <c r="K338" s="69" t="s">
        <v>26</v>
      </c>
      <c r="L338" s="60">
        <v>1000000</v>
      </c>
      <c r="M338" s="60">
        <v>1</v>
      </c>
      <c r="N338" s="60">
        <f>Main_Issuance[[#This Row],[LC Amt(FCY)]]*Main_Issuance[[#This Row],[Rate]]</f>
        <v>1000000</v>
      </c>
      <c r="O338" s="58">
        <v>45716</v>
      </c>
      <c r="P338" s="58">
        <v>45716</v>
      </c>
      <c r="Q338" s="56" t="s">
        <v>27</v>
      </c>
      <c r="R338" s="78" t="s">
        <v>311</v>
      </c>
      <c r="S338" s="71"/>
      <c r="T338" s="61"/>
      <c r="U338" s="61"/>
      <c r="V338" s="68">
        <v>0</v>
      </c>
      <c r="W338" s="115"/>
      <c r="X338" s="56" t="str">
        <f ca="1">IF(AND((Main_Issuance[[#This Row],[Expiry Date]]+31)&gt;TODAY(),Main_Issuance[[#This Row],[Status]]&lt;&gt;"Cancelled"),"Active","Cancelled")</f>
        <v>Cancelled</v>
      </c>
      <c r="Y338" s="409"/>
      <c r="Z338" s="408"/>
      <c r="AA338" s="408" t="s">
        <v>378</v>
      </c>
      <c r="AB338" s="83" cm="1">
        <f t="array" ref="AB338">Iss_Tariff(Main_Issuance[[#This Row],[Bank]],Main_Issuance[[#This Row],[LC Amt(SAR)]],Main_Issuance[[#This Row],[Issue Date.]],Main_Issuance[[#This Row],[Expiry Date]],Main_Issuance[[#This Row],[Calculate]])</f>
        <v>0</v>
      </c>
      <c r="AC338" s="83"/>
    </row>
    <row r="339" spans="1:29" ht="15.75" hidden="1" x14ac:dyDescent="0.25">
      <c r="A339" s="70" t="s">
        <v>630</v>
      </c>
      <c r="B339" s="56">
        <v>45694</v>
      </c>
      <c r="C339" s="58" t="s">
        <v>441</v>
      </c>
      <c r="D339" s="69" t="s">
        <v>20</v>
      </c>
      <c r="E339" s="69" t="s">
        <v>95</v>
      </c>
      <c r="F339" s="19" t="s">
        <v>96</v>
      </c>
      <c r="G339" s="69" t="s">
        <v>519</v>
      </c>
      <c r="H339" s="65" t="s">
        <v>24</v>
      </c>
      <c r="I339" s="65" t="s">
        <v>22</v>
      </c>
      <c r="J339" s="59">
        <v>1020055</v>
      </c>
      <c r="K339" s="69" t="s">
        <v>26</v>
      </c>
      <c r="L339" s="60">
        <v>3000000</v>
      </c>
      <c r="M339" s="60">
        <v>1</v>
      </c>
      <c r="N339" s="60">
        <f>Main_Issuance[[#This Row],[LC Amt(FCY)]]*Main_Issuance[[#This Row],[Rate]]</f>
        <v>3000000</v>
      </c>
      <c r="O339" s="58">
        <v>45777</v>
      </c>
      <c r="P339" s="58">
        <v>45777</v>
      </c>
      <c r="Q339" s="56" t="s">
        <v>27</v>
      </c>
      <c r="R339" s="78" t="s">
        <v>311</v>
      </c>
      <c r="S339" s="71"/>
      <c r="T339" s="61"/>
      <c r="U339" s="61"/>
      <c r="V339" s="68">
        <v>0</v>
      </c>
      <c r="W339" s="115"/>
      <c r="X339" s="56" t="str">
        <f ca="1">IF(AND((Main_Issuance[[#This Row],[Expiry Date]]+31)&gt;TODAY(),Main_Issuance[[#This Row],[Status]]&lt;&gt;"Cancelled"),"Active","Cancelled")</f>
        <v>Cancelled</v>
      </c>
      <c r="Y339" s="409"/>
      <c r="Z339" s="408"/>
      <c r="AA339" s="408" t="s">
        <v>378</v>
      </c>
      <c r="AB339" s="83" cm="1">
        <f t="array" ref="AB339">Iss_Tariff(Main_Issuance[[#This Row],[Bank]],Main_Issuance[[#This Row],[LC Amt(SAR)]],Main_Issuance[[#This Row],[Issue Date.]],Main_Issuance[[#This Row],[Expiry Date]],Main_Issuance[[#This Row],[Calculate]])</f>
        <v>0</v>
      </c>
      <c r="AC339" s="83"/>
    </row>
    <row r="340" spans="1:29" ht="15.75" hidden="1" x14ac:dyDescent="0.25">
      <c r="A340" s="75" t="s">
        <v>1422</v>
      </c>
      <c r="B340" s="76">
        <v>45809</v>
      </c>
      <c r="C340" s="77" t="s">
        <v>441</v>
      </c>
      <c r="D340" s="115" t="s">
        <v>20</v>
      </c>
      <c r="E340" s="78" t="s">
        <v>95</v>
      </c>
      <c r="F340" s="115" t="s">
        <v>96</v>
      </c>
      <c r="G340" s="115" t="s">
        <v>355</v>
      </c>
      <c r="H340" s="78" t="s">
        <v>24</v>
      </c>
      <c r="I340" s="78" t="s">
        <v>22</v>
      </c>
      <c r="J340" s="115">
        <v>1020055</v>
      </c>
      <c r="K340" s="78" t="s">
        <v>26</v>
      </c>
      <c r="L340" s="60">
        <v>2000000</v>
      </c>
      <c r="M340" s="60">
        <v>1</v>
      </c>
      <c r="N340" s="60">
        <f>Main_Issuance[[#This Row],[LC Amt(FCY)]]*Main_Issuance[[#This Row],[Rate]]</f>
        <v>2000000</v>
      </c>
      <c r="O340" s="77">
        <v>45900</v>
      </c>
      <c r="P340" s="77">
        <v>45900</v>
      </c>
      <c r="Q340" s="76" t="s">
        <v>27</v>
      </c>
      <c r="R340" s="78" t="s">
        <v>621</v>
      </c>
      <c r="S340" s="81"/>
      <c r="T340" s="82"/>
      <c r="U340" s="82"/>
      <c r="V340" s="97">
        <v>0</v>
      </c>
      <c r="W340" s="115"/>
      <c r="X340" s="76" t="str">
        <f ca="1">IF(AND((Main_Issuance[[#This Row],[Expiry Date]]+31)&gt;TODAY(),Main_Issuance[[#This Row],[Status]]&lt;&gt;"Cancelled"),"Active","Cancelled")</f>
        <v>Cancelled</v>
      </c>
      <c r="Y340" s="409"/>
      <c r="Z340" s="408"/>
      <c r="AA340" s="408" t="s">
        <v>378</v>
      </c>
      <c r="AB340" s="83" cm="1">
        <f t="array" ref="AB340">Iss_Tariff(Main_Issuance[[#This Row],[Bank]],Main_Issuance[[#This Row],[LC Amt(SAR)]],Main_Issuance[[#This Row],[Issue Date.]],Main_Issuance[[#This Row],[Expiry Date]],Main_Issuance[[#This Row],[Calculate]])</f>
        <v>0</v>
      </c>
      <c r="AC340" s="83"/>
    </row>
    <row r="341" spans="1:29" ht="15.75" hidden="1" x14ac:dyDescent="0.25">
      <c r="A341" s="75" t="s">
        <v>2917</v>
      </c>
      <c r="B341" s="76">
        <v>45994</v>
      </c>
      <c r="C341" s="77" t="s">
        <v>441</v>
      </c>
      <c r="D341" s="78" t="s">
        <v>20</v>
      </c>
      <c r="E341" s="78" t="s">
        <v>21</v>
      </c>
      <c r="F341" s="115" t="s">
        <v>22</v>
      </c>
      <c r="G341" s="115" t="s">
        <v>519</v>
      </c>
      <c r="H341" s="79" t="s">
        <v>24</v>
      </c>
      <c r="I341" s="79" t="s">
        <v>22</v>
      </c>
      <c r="J341" s="113">
        <v>1020055</v>
      </c>
      <c r="K341" s="78" t="s">
        <v>26</v>
      </c>
      <c r="L341" s="119">
        <v>4000000</v>
      </c>
      <c r="M341" s="82">
        <v>1</v>
      </c>
      <c r="N341" s="82">
        <f>Main_Issuance[[#This Row],[LC Amt(FCY)]]*Main_Issuance[[#This Row],[Rate]]</f>
        <v>4000000</v>
      </c>
      <c r="O341" s="77">
        <v>46081</v>
      </c>
      <c r="P341" s="77">
        <v>46081</v>
      </c>
      <c r="Q341" s="76" t="s">
        <v>27</v>
      </c>
      <c r="R341" s="78" t="s">
        <v>311</v>
      </c>
      <c r="S341" s="81"/>
      <c r="T341" s="82"/>
      <c r="U341" s="82"/>
      <c r="V341" s="83">
        <v>0</v>
      </c>
      <c r="W341" s="115"/>
      <c r="X341" s="76" t="str">
        <f ca="1">IF(AND((Main_Issuance[[#This Row],[Expiry Date]]+31)&gt;TODAY(),Main_Issuance[[#This Row],[Status]]&lt;&gt;"Cancelled"),"Active","Cancelled")</f>
        <v>Cancelled</v>
      </c>
      <c r="Y341" s="409"/>
      <c r="Z341" s="408"/>
      <c r="AA341" s="408" t="s">
        <v>857</v>
      </c>
      <c r="AB341" s="83" cm="1">
        <f t="array" ref="AB341">Iss_Tariff(Main_Issuance[[#This Row],[Bank]],Main_Issuance[[#This Row],[LC Amt(SAR)]],Main_Issuance[[#This Row],[Issue Date.]],Main_Issuance[[#This Row],[Expiry Date]],Main_Issuance[[#This Row],[Calculate]])</f>
        <v>7130</v>
      </c>
      <c r="AC341" s="83"/>
    </row>
    <row r="342" spans="1:29" ht="15.75" hidden="1" x14ac:dyDescent="0.25">
      <c r="A342" s="70" t="s">
        <v>436</v>
      </c>
      <c r="B342" s="56">
        <v>45588</v>
      </c>
      <c r="C342" s="58" t="s">
        <v>441</v>
      </c>
      <c r="D342" s="69" t="s">
        <v>20</v>
      </c>
      <c r="E342" s="69" t="s">
        <v>95</v>
      </c>
      <c r="F342" s="19" t="s">
        <v>96</v>
      </c>
      <c r="G342" s="69" t="s">
        <v>437</v>
      </c>
      <c r="H342" s="59" t="s">
        <v>24</v>
      </c>
      <c r="I342" s="65" t="s">
        <v>22</v>
      </c>
      <c r="J342" s="59">
        <v>1020055</v>
      </c>
      <c r="K342" s="69" t="s">
        <v>26</v>
      </c>
      <c r="L342" s="60">
        <v>1000000</v>
      </c>
      <c r="M342" s="60">
        <v>1</v>
      </c>
      <c r="N342" s="60">
        <f>Main_Issuance[[#This Row],[LC Amt(FCY)]]*Main_Issuance[[#This Row],[Rate]]</f>
        <v>1000000</v>
      </c>
      <c r="O342" s="58">
        <v>45657</v>
      </c>
      <c r="P342" s="58">
        <v>45630</v>
      </c>
      <c r="Q342" s="56" t="s">
        <v>27</v>
      </c>
      <c r="R342" s="78" t="s">
        <v>311</v>
      </c>
      <c r="S342" s="71"/>
      <c r="T342" s="61"/>
      <c r="U342" s="61"/>
      <c r="V342" s="68">
        <v>0</v>
      </c>
      <c r="W342" s="115"/>
      <c r="X342" s="56" t="str">
        <f ca="1">IF(AND((Main_Issuance[[#This Row],[Expiry Date]]+31)&gt;TODAY(),Main_Issuance[[#This Row],[Status]]&lt;&gt;"Cancelled"),"Active","Cancelled")</f>
        <v>Cancelled</v>
      </c>
      <c r="Y342" s="409"/>
      <c r="Z342" s="408"/>
      <c r="AA342" s="408" t="s">
        <v>378</v>
      </c>
      <c r="AB342" s="83" cm="1">
        <f t="array" ref="AB342">Iss_Tariff(Main_Issuance[[#This Row],[Bank]],Main_Issuance[[#This Row],[LC Amt(SAR)]],Main_Issuance[[#This Row],[Issue Date.]],Main_Issuance[[#This Row],[Expiry Date]],Main_Issuance[[#This Row],[Calculate]])</f>
        <v>0</v>
      </c>
      <c r="AC342" s="83"/>
    </row>
    <row r="343" spans="1:29" ht="15.75" hidden="1" x14ac:dyDescent="0.25">
      <c r="A343" s="70" t="s">
        <v>792</v>
      </c>
      <c r="B343" s="56">
        <v>45739</v>
      </c>
      <c r="C343" s="58" t="s">
        <v>441</v>
      </c>
      <c r="D343" s="69" t="s">
        <v>20</v>
      </c>
      <c r="E343" s="69" t="s">
        <v>21</v>
      </c>
      <c r="F343" s="19" t="s">
        <v>22</v>
      </c>
      <c r="G343" s="69" t="s">
        <v>437</v>
      </c>
      <c r="H343" s="69" t="s">
        <v>24</v>
      </c>
      <c r="I343" s="69" t="s">
        <v>22</v>
      </c>
      <c r="J343" s="59">
        <v>1020055</v>
      </c>
      <c r="K343" s="69" t="s">
        <v>26</v>
      </c>
      <c r="L343" s="60">
        <v>3000000</v>
      </c>
      <c r="M343" s="60">
        <v>1</v>
      </c>
      <c r="N343" s="60">
        <f>Main_Issuance[[#This Row],[LC Amt(FCY)]]*Main_Issuance[[#This Row],[Rate]]</f>
        <v>3000000</v>
      </c>
      <c r="O343" s="58">
        <v>45838</v>
      </c>
      <c r="P343" s="58">
        <v>45838</v>
      </c>
      <c r="Q343" s="56" t="s">
        <v>27</v>
      </c>
      <c r="R343" s="78" t="s">
        <v>311</v>
      </c>
      <c r="S343" s="71"/>
      <c r="T343" s="61"/>
      <c r="U343" s="61"/>
      <c r="V343" s="68">
        <v>0</v>
      </c>
      <c r="W343" s="115"/>
      <c r="X343" s="56" t="str">
        <f ca="1">IF(AND((Main_Issuance[[#This Row],[Expiry Date]]+31)&gt;TODAY(),Main_Issuance[[#This Row],[Status]]&lt;&gt;"Cancelled"),"Active","Cancelled")</f>
        <v>Cancelled</v>
      </c>
      <c r="Y343" s="409"/>
      <c r="Z343" s="408"/>
      <c r="AA343" s="408" t="s">
        <v>378</v>
      </c>
      <c r="AB343" s="83" cm="1">
        <f t="array" ref="AB343">Iss_Tariff(Main_Issuance[[#This Row],[Bank]],Main_Issuance[[#This Row],[LC Amt(SAR)]],Main_Issuance[[#This Row],[Issue Date.]],Main_Issuance[[#This Row],[Expiry Date]],Main_Issuance[[#This Row],[Calculate]])</f>
        <v>0</v>
      </c>
      <c r="AC343" s="83"/>
    </row>
    <row r="344" spans="1:29" ht="15.75" hidden="1" x14ac:dyDescent="0.25">
      <c r="A344" s="70" t="s">
        <v>709</v>
      </c>
      <c r="B344" s="56">
        <v>45714</v>
      </c>
      <c r="C344" s="58" t="s">
        <v>441</v>
      </c>
      <c r="D344" s="19" t="s">
        <v>20</v>
      </c>
      <c r="E344" s="69" t="s">
        <v>366</v>
      </c>
      <c r="F344" s="19" t="s">
        <v>710</v>
      </c>
      <c r="G344" s="19" t="s">
        <v>711</v>
      </c>
      <c r="H344" s="65" t="s">
        <v>24</v>
      </c>
      <c r="I344" s="65" t="s">
        <v>710</v>
      </c>
      <c r="J344" s="59">
        <v>1020088</v>
      </c>
      <c r="K344" s="69" t="s">
        <v>26</v>
      </c>
      <c r="L344" s="60">
        <v>6322470</v>
      </c>
      <c r="M344" s="60">
        <v>1</v>
      </c>
      <c r="N344" s="60">
        <f>Main_Issuance[[#This Row],[LC Amt(FCY)]]*Main_Issuance[[#This Row],[Rate]]</f>
        <v>6322470</v>
      </c>
      <c r="O344" s="58">
        <v>45808</v>
      </c>
      <c r="P344" s="58">
        <v>45808</v>
      </c>
      <c r="Q344" s="56" t="s">
        <v>27</v>
      </c>
      <c r="R344" s="78" t="s">
        <v>311</v>
      </c>
      <c r="S344" s="71"/>
      <c r="T344" s="61"/>
      <c r="U344" s="61"/>
      <c r="V344" s="68">
        <v>0</v>
      </c>
      <c r="W344" s="115"/>
      <c r="X344" s="56" t="str">
        <f ca="1">IF(AND((Main_Issuance[[#This Row],[Expiry Date]]+31)&gt;TODAY(),Main_Issuance[[#This Row],[Status]]&lt;&gt;"Cancelled"),"Active","Cancelled")</f>
        <v>Cancelled</v>
      </c>
      <c r="Y344" s="409"/>
      <c r="Z344" s="408"/>
      <c r="AA344" s="408" t="s">
        <v>378</v>
      </c>
      <c r="AB344" s="83" cm="1">
        <f t="array" ref="AB344">Iss_Tariff(Main_Issuance[[#This Row],[Bank]],Main_Issuance[[#This Row],[LC Amt(SAR)]],Main_Issuance[[#This Row],[Issue Date.]],Main_Issuance[[#This Row],[Expiry Date]],Main_Issuance[[#This Row],[Calculate]])</f>
        <v>0</v>
      </c>
      <c r="AC344" s="83"/>
    </row>
    <row r="345" spans="1:29" ht="15.75" hidden="1" x14ac:dyDescent="0.25">
      <c r="A345" s="75" t="s">
        <v>1750</v>
      </c>
      <c r="B345" s="76">
        <v>45883</v>
      </c>
      <c r="C345" s="77" t="s">
        <v>1727</v>
      </c>
      <c r="D345" s="115" t="s">
        <v>20</v>
      </c>
      <c r="E345" s="78" t="s">
        <v>62</v>
      </c>
      <c r="F345" s="115" t="s">
        <v>70</v>
      </c>
      <c r="G345" s="115" t="s">
        <v>1713</v>
      </c>
      <c r="H345" s="79" t="s">
        <v>869</v>
      </c>
      <c r="I345" s="78" t="s">
        <v>1762</v>
      </c>
      <c r="J345" s="115"/>
      <c r="K345" s="78" t="s">
        <v>26</v>
      </c>
      <c r="L345" s="60">
        <v>351509.38</v>
      </c>
      <c r="M345" s="60">
        <v>1</v>
      </c>
      <c r="N345" s="60">
        <f>Main_Issuance[[#This Row],[LC Amt(FCY)]]*Main_Issuance[[#This Row],[Rate]]</f>
        <v>351509.38</v>
      </c>
      <c r="O345" s="76">
        <v>45930</v>
      </c>
      <c r="P345" s="76">
        <v>45915</v>
      </c>
      <c r="Q345" s="76" t="s">
        <v>70</v>
      </c>
      <c r="R345" s="78" t="s">
        <v>208</v>
      </c>
      <c r="S345" s="81"/>
      <c r="T345" s="82"/>
      <c r="U345" s="82"/>
      <c r="V345" s="83"/>
      <c r="W345" s="115"/>
      <c r="X345" s="76" t="str">
        <f ca="1">IF(AND((Main_Issuance[[#This Row],[Expiry Date]]+31)&gt;TODAY(),Main_Issuance[[#This Row],[Status]]&lt;&gt;"Cancelled"),"Active","Cancelled")</f>
        <v>Cancelled</v>
      </c>
      <c r="Y345" s="410"/>
      <c r="Z345" s="408"/>
      <c r="AA345" s="408" t="s">
        <v>378</v>
      </c>
      <c r="AB345" s="83" cm="1">
        <f t="array" ref="AB345">Iss_Tariff(Main_Issuance[[#This Row],[Bank]],Main_Issuance[[#This Row],[LC Amt(SAR)]],Main_Issuance[[#This Row],[Issue Date.]],Main_Issuance[[#This Row],[Expiry Date]],Main_Issuance[[#This Row],[Calculate]])</f>
        <v>0</v>
      </c>
      <c r="AC345" s="83"/>
    </row>
    <row r="346" spans="1:29" ht="15.75" hidden="1" x14ac:dyDescent="0.25">
      <c r="A346" s="75" t="s">
        <v>1809</v>
      </c>
      <c r="B346" s="76">
        <v>45895</v>
      </c>
      <c r="C346" s="77" t="s">
        <v>441</v>
      </c>
      <c r="D346" s="78" t="s">
        <v>20</v>
      </c>
      <c r="E346" s="78" t="s">
        <v>612</v>
      </c>
      <c r="F346" s="115" t="s">
        <v>613</v>
      </c>
      <c r="G346" s="115" t="s">
        <v>1699</v>
      </c>
      <c r="H346" s="78" t="s">
        <v>24</v>
      </c>
      <c r="I346" s="78" t="s">
        <v>613</v>
      </c>
      <c r="J346" s="115">
        <v>1020106</v>
      </c>
      <c r="K346" s="78" t="s">
        <v>26</v>
      </c>
      <c r="L346" s="60">
        <v>70863</v>
      </c>
      <c r="M346" s="60">
        <v>1</v>
      </c>
      <c r="N346" s="60">
        <f>Main_Issuance[[#This Row],[LC Amt(FCY)]]*Main_Issuance[[#This Row],[Rate]]</f>
        <v>70863</v>
      </c>
      <c r="O346" s="77">
        <v>45991</v>
      </c>
      <c r="P346" s="77">
        <v>45991</v>
      </c>
      <c r="Q346" s="76" t="s">
        <v>27</v>
      </c>
      <c r="R346" s="78" t="s">
        <v>311</v>
      </c>
      <c r="S346" s="81"/>
      <c r="T346" s="82"/>
      <c r="U346" s="82"/>
      <c r="V346" s="83">
        <v>0</v>
      </c>
      <c r="W346" s="115"/>
      <c r="X346" s="76" t="str">
        <f ca="1">IF(AND((Main_Issuance[[#This Row],[Expiry Date]]+31)&gt;TODAY(),Main_Issuance[[#This Row],[Status]]&lt;&gt;"Cancelled"),"Active","Cancelled")</f>
        <v>Cancelled</v>
      </c>
      <c r="Y346" s="409"/>
      <c r="Z346" s="408"/>
      <c r="AA346" s="408" t="s">
        <v>378</v>
      </c>
      <c r="AB346" s="83" cm="1">
        <f t="array" ref="AB346">Iss_Tariff(Main_Issuance[[#This Row],[Bank]],Main_Issuance[[#This Row],[LC Amt(SAR)]],Main_Issuance[[#This Row],[Issue Date.]],Main_Issuance[[#This Row],[Expiry Date]],Main_Issuance[[#This Row],[Calculate]])</f>
        <v>0</v>
      </c>
      <c r="AC346" s="83"/>
    </row>
    <row r="347" spans="1:29" ht="15.75" hidden="1" x14ac:dyDescent="0.25">
      <c r="A347" s="75" t="s">
        <v>1560</v>
      </c>
      <c r="B347" s="76">
        <v>45855</v>
      </c>
      <c r="C347" s="77" t="s">
        <v>441</v>
      </c>
      <c r="D347" s="115" t="s">
        <v>20</v>
      </c>
      <c r="E347" s="78" t="s">
        <v>612</v>
      </c>
      <c r="F347" s="115" t="s">
        <v>613</v>
      </c>
      <c r="G347" s="115" t="s">
        <v>1548</v>
      </c>
      <c r="H347" s="113" t="s">
        <v>24</v>
      </c>
      <c r="I347" s="79" t="s">
        <v>613</v>
      </c>
      <c r="J347" s="115">
        <v>1020106</v>
      </c>
      <c r="K347" s="78" t="s">
        <v>26</v>
      </c>
      <c r="L347" s="60">
        <v>101623.2</v>
      </c>
      <c r="M347" s="60">
        <v>1</v>
      </c>
      <c r="N347" s="60">
        <f>Main_Issuance[[#This Row],[LC Amt(FCY)]]*Main_Issuance[[#This Row],[Rate]]</f>
        <v>101623.2</v>
      </c>
      <c r="O347" s="58">
        <v>46203</v>
      </c>
      <c r="P347" s="58">
        <v>46203</v>
      </c>
      <c r="Q347" s="76" t="s">
        <v>27</v>
      </c>
      <c r="R347" s="78" t="s">
        <v>311</v>
      </c>
      <c r="S347" s="81"/>
      <c r="T347" s="82"/>
      <c r="U347" s="82"/>
      <c r="V347" s="83">
        <v>0</v>
      </c>
      <c r="W347" s="115"/>
      <c r="X347" s="76" t="str">
        <f ca="1">IF(AND((Main_Issuance[[#This Row],[Expiry Date]]+31)&gt;TODAY(),Main_Issuance[[#This Row],[Status]]&lt;&gt;"Cancelled"),"Active","Cancelled")</f>
        <v>Active</v>
      </c>
      <c r="Y347" s="409"/>
      <c r="Z347" s="408"/>
      <c r="AA347" s="408" t="s">
        <v>857</v>
      </c>
      <c r="AB347" s="83" cm="1">
        <f t="array" ref="AB347">Iss_Tariff(Main_Issuance[[#This Row],[Bank]],Main_Issuance[[#This Row],[LC Amt(SAR)]],Main_Issuance[[#This Row],[Issue Date.]],Main_Issuance[[#This Row],[Expiry Date]],Main_Issuance[[#This Row],[Calculate]])</f>
        <v>3441.95</v>
      </c>
      <c r="AC347" s="83"/>
    </row>
    <row r="348" spans="1:29" ht="15.75" hidden="1" x14ac:dyDescent="0.25">
      <c r="A348" s="75" t="s">
        <v>1397</v>
      </c>
      <c r="B348" s="76">
        <v>45804</v>
      </c>
      <c r="C348" s="77" t="s">
        <v>441</v>
      </c>
      <c r="D348" s="69" t="s">
        <v>20</v>
      </c>
      <c r="E348" s="78" t="s">
        <v>612</v>
      </c>
      <c r="F348" s="115" t="s">
        <v>613</v>
      </c>
      <c r="G348" s="78" t="s">
        <v>1391</v>
      </c>
      <c r="H348" s="113" t="s">
        <v>24</v>
      </c>
      <c r="I348" s="79" t="s">
        <v>613</v>
      </c>
      <c r="J348" s="115">
        <v>1020106</v>
      </c>
      <c r="K348" s="78" t="s">
        <v>26</v>
      </c>
      <c r="L348" s="60">
        <v>552155.25</v>
      </c>
      <c r="M348" s="60">
        <v>1</v>
      </c>
      <c r="N348" s="60">
        <f>Main_Issuance[[#This Row],[LC Amt(FCY)]]*Main_Issuance[[#This Row],[Rate]]</f>
        <v>552155.25</v>
      </c>
      <c r="O348" s="76">
        <v>45961</v>
      </c>
      <c r="P348" s="76">
        <v>45961</v>
      </c>
      <c r="Q348" s="76" t="s">
        <v>27</v>
      </c>
      <c r="R348" s="78" t="s">
        <v>311</v>
      </c>
      <c r="S348" s="81"/>
      <c r="T348" s="82"/>
      <c r="U348" s="81"/>
      <c r="V348" s="83">
        <v>0</v>
      </c>
      <c r="W348" s="115"/>
      <c r="X348" s="76" t="str">
        <f ca="1">IF(AND((Main_Issuance[[#This Row],[Expiry Date]]+31)&gt;TODAY(),Main_Issuance[[#This Row],[Status]]&lt;&gt;"Cancelled"),"Active","Cancelled")</f>
        <v>Cancelled</v>
      </c>
      <c r="Y348" s="409"/>
      <c r="Z348" s="408"/>
      <c r="AA348" s="408" t="s">
        <v>378</v>
      </c>
      <c r="AB348" s="83" cm="1">
        <f t="array" ref="AB348">Iss_Tariff(Main_Issuance[[#This Row],[Bank]],Main_Issuance[[#This Row],[LC Amt(SAR)]],Main_Issuance[[#This Row],[Issue Date.]],Main_Issuance[[#This Row],[Expiry Date]],Main_Issuance[[#This Row],[Calculate]])</f>
        <v>0</v>
      </c>
      <c r="AC348" s="83"/>
    </row>
    <row r="349" spans="1:29" ht="15.75" hidden="1" x14ac:dyDescent="0.25">
      <c r="A349" s="75" t="s">
        <v>1752</v>
      </c>
      <c r="B349" s="76">
        <v>45883</v>
      </c>
      <c r="C349" s="77" t="s">
        <v>1727</v>
      </c>
      <c r="D349" s="78" t="s">
        <v>20</v>
      </c>
      <c r="E349" s="78" t="s">
        <v>62</v>
      </c>
      <c r="F349" s="115" t="s">
        <v>70</v>
      </c>
      <c r="G349" s="78" t="s">
        <v>1714</v>
      </c>
      <c r="H349" s="79" t="s">
        <v>869</v>
      </c>
      <c r="I349" s="78" t="s">
        <v>1762</v>
      </c>
      <c r="J349" s="115"/>
      <c r="K349" s="78" t="s">
        <v>26</v>
      </c>
      <c r="L349" s="60">
        <v>500339.7</v>
      </c>
      <c r="M349" s="60">
        <v>1</v>
      </c>
      <c r="N349" s="60">
        <f>Main_Issuance[[#This Row],[LC Amt(FCY)]]*Main_Issuance[[#This Row],[Rate]]</f>
        <v>500339.7</v>
      </c>
      <c r="O349" s="76">
        <v>45930</v>
      </c>
      <c r="P349" s="76">
        <v>45915</v>
      </c>
      <c r="Q349" s="76" t="s">
        <v>70</v>
      </c>
      <c r="R349" s="78" t="s">
        <v>208</v>
      </c>
      <c r="S349" s="81"/>
      <c r="T349" s="82"/>
      <c r="U349" s="81"/>
      <c r="V349" s="83"/>
      <c r="W349" s="115"/>
      <c r="X349" s="76" t="str">
        <f ca="1">IF(AND((Main_Issuance[[#This Row],[Expiry Date]]+31)&gt;TODAY(),Main_Issuance[[#This Row],[Status]]&lt;&gt;"Cancelled"),"Active","Cancelled")</f>
        <v>Cancelled</v>
      </c>
      <c r="Y349" s="410"/>
      <c r="Z349" s="408"/>
      <c r="AA349" s="408" t="s">
        <v>378</v>
      </c>
      <c r="AB349" s="83" cm="1">
        <f t="array" ref="AB349">Iss_Tariff(Main_Issuance[[#This Row],[Bank]],Main_Issuance[[#This Row],[LC Amt(SAR)]],Main_Issuance[[#This Row],[Issue Date.]],Main_Issuance[[#This Row],[Expiry Date]],Main_Issuance[[#This Row],[Calculate]])</f>
        <v>0</v>
      </c>
      <c r="AC349" s="83"/>
    </row>
    <row r="350" spans="1:29" ht="15.75" hidden="1" x14ac:dyDescent="0.25">
      <c r="A350" s="70" t="s">
        <v>167</v>
      </c>
      <c r="B350" s="56">
        <v>45209</v>
      </c>
      <c r="C350" s="58" t="s">
        <v>1181</v>
      </c>
      <c r="D350" s="69" t="s">
        <v>20</v>
      </c>
      <c r="E350" s="69" t="s">
        <v>21</v>
      </c>
      <c r="F350" s="19" t="s">
        <v>22</v>
      </c>
      <c r="G350" s="69" t="s">
        <v>168</v>
      </c>
      <c r="H350" s="65" t="s">
        <v>80</v>
      </c>
      <c r="I350" s="65" t="s">
        <v>81</v>
      </c>
      <c r="J350" s="59">
        <v>1020070</v>
      </c>
      <c r="K350" s="69" t="s">
        <v>26</v>
      </c>
      <c r="L350" s="60">
        <v>2500000</v>
      </c>
      <c r="M350" s="60">
        <v>1</v>
      </c>
      <c r="N350" s="60">
        <f>Main_Issuance[[#This Row],[LC Amt(FCY)]]*Main_Issuance[[#This Row],[Rate]]</f>
        <v>2500000</v>
      </c>
      <c r="O350" s="56">
        <v>45272</v>
      </c>
      <c r="P350" s="56">
        <v>45272</v>
      </c>
      <c r="Q350" s="56" t="s">
        <v>70</v>
      </c>
      <c r="R350" s="78"/>
      <c r="S350" s="71"/>
      <c r="T350" s="61"/>
      <c r="U350" s="71"/>
      <c r="V350" s="68">
        <v>0</v>
      </c>
      <c r="W350" s="115"/>
      <c r="X350" s="56" t="str">
        <f ca="1">IF(AND((Main_Issuance[[#This Row],[Expiry Date]]+31)&gt;TODAY(),Main_Issuance[[#This Row],[Status]]&lt;&gt;"Cancelled"),"Active","Cancelled")</f>
        <v>Cancelled</v>
      </c>
      <c r="Y350" s="409"/>
      <c r="Z350" s="408"/>
      <c r="AA350" s="408" t="s">
        <v>378</v>
      </c>
      <c r="AB350" s="83" cm="1">
        <f t="array" ref="AB350">Iss_Tariff(Main_Issuance[[#This Row],[Bank]],Main_Issuance[[#This Row],[LC Amt(SAR)]],Main_Issuance[[#This Row],[Issue Date.]],Main_Issuance[[#This Row],[Expiry Date]],Main_Issuance[[#This Row],[Calculate]])</f>
        <v>0</v>
      </c>
      <c r="AC350" s="83"/>
    </row>
    <row r="351" spans="1:29" ht="15.75" hidden="1" x14ac:dyDescent="0.25">
      <c r="A351" s="70" t="s">
        <v>54</v>
      </c>
      <c r="B351" s="56">
        <v>45292</v>
      </c>
      <c r="C351" s="58" t="s">
        <v>441</v>
      </c>
      <c r="D351" s="69" t="s">
        <v>20</v>
      </c>
      <c r="E351" s="69" t="s">
        <v>21</v>
      </c>
      <c r="F351" s="19" t="s">
        <v>22</v>
      </c>
      <c r="G351" s="69" t="s">
        <v>55</v>
      </c>
      <c r="H351" s="65" t="s">
        <v>24</v>
      </c>
      <c r="I351" s="65" t="s">
        <v>22</v>
      </c>
      <c r="J351" s="59">
        <v>1020055</v>
      </c>
      <c r="K351" s="69" t="s">
        <v>26</v>
      </c>
      <c r="L351" s="60">
        <v>1500000</v>
      </c>
      <c r="M351" s="60">
        <v>1</v>
      </c>
      <c r="N351" s="60">
        <f>Main_Issuance[[#This Row],[LC Amt(FCY)]]*Main_Issuance[[#This Row],[Rate]]</f>
        <v>1500000</v>
      </c>
      <c r="O351" s="56">
        <v>45442</v>
      </c>
      <c r="P351" s="56">
        <v>45442</v>
      </c>
      <c r="Q351" s="56" t="s">
        <v>27</v>
      </c>
      <c r="R351" s="78" t="s">
        <v>28</v>
      </c>
      <c r="S351" s="71"/>
      <c r="T351" s="61"/>
      <c r="U351" s="71"/>
      <c r="V351" s="68">
        <v>0</v>
      </c>
      <c r="W351" s="115"/>
      <c r="X351" s="56" t="str">
        <f ca="1">IF(AND((Main_Issuance[[#This Row],[Expiry Date]]+31)&gt;TODAY(),Main_Issuance[[#This Row],[Status]]&lt;&gt;"Cancelled"),"Active","Cancelled")</f>
        <v>Cancelled</v>
      </c>
      <c r="Y351" s="409"/>
      <c r="Z351" s="408"/>
      <c r="AA351" s="408" t="s">
        <v>378</v>
      </c>
      <c r="AB351" s="83" cm="1">
        <f t="array" ref="AB351">Iss_Tariff(Main_Issuance[[#This Row],[Bank]],Main_Issuance[[#This Row],[LC Amt(SAR)]],Main_Issuance[[#This Row],[Issue Date.]],Main_Issuance[[#This Row],[Expiry Date]],Main_Issuance[[#This Row],[Calculate]])</f>
        <v>0</v>
      </c>
      <c r="AC351" s="83"/>
    </row>
    <row r="352" spans="1:29" ht="15.75" hidden="1" x14ac:dyDescent="0.25">
      <c r="A352" s="70" t="s">
        <v>432</v>
      </c>
      <c r="B352" s="56">
        <v>45615</v>
      </c>
      <c r="C352" s="56" t="s">
        <v>441</v>
      </c>
      <c r="D352" s="69" t="s">
        <v>20</v>
      </c>
      <c r="E352" s="69" t="s">
        <v>95</v>
      </c>
      <c r="F352" s="69" t="s">
        <v>96</v>
      </c>
      <c r="G352" s="69" t="s">
        <v>433</v>
      </c>
      <c r="H352" s="65" t="s">
        <v>24</v>
      </c>
      <c r="I352" s="65" t="s">
        <v>22</v>
      </c>
      <c r="J352" s="65">
        <v>1020055</v>
      </c>
      <c r="K352" s="69" t="s">
        <v>26</v>
      </c>
      <c r="L352" s="60">
        <v>800000</v>
      </c>
      <c r="M352" s="60">
        <v>1</v>
      </c>
      <c r="N352" s="60">
        <f>Main_Issuance[[#This Row],[LC Amt(FCY)]]*Main_Issuance[[#This Row],[Rate]]</f>
        <v>800000</v>
      </c>
      <c r="O352" s="58">
        <v>45716</v>
      </c>
      <c r="P352" s="58">
        <v>45692</v>
      </c>
      <c r="Q352" s="56" t="s">
        <v>27</v>
      </c>
      <c r="R352" s="78" t="s">
        <v>311</v>
      </c>
      <c r="S352" s="71"/>
      <c r="T352" s="61"/>
      <c r="U352" s="71"/>
      <c r="V352" s="68">
        <v>0</v>
      </c>
      <c r="W352" s="115"/>
      <c r="X352" s="56" t="str">
        <f ca="1">IF(AND((Main_Issuance[[#This Row],[Expiry Date]]+31)&gt;TODAY(),Main_Issuance[[#This Row],[Status]]&lt;&gt;"Cancelled"),"Active","Cancelled")</f>
        <v>Cancelled</v>
      </c>
      <c r="Y352" s="409"/>
      <c r="Z352" s="408"/>
      <c r="AA352" s="408" t="s">
        <v>378</v>
      </c>
      <c r="AB352" s="83" cm="1">
        <f t="array" ref="AB352">Iss_Tariff(Main_Issuance[[#This Row],[Bank]],Main_Issuance[[#This Row],[LC Amt(SAR)]],Main_Issuance[[#This Row],[Issue Date.]],Main_Issuance[[#This Row],[Expiry Date]],Main_Issuance[[#This Row],[Calculate]])</f>
        <v>0</v>
      </c>
      <c r="AC352" s="83"/>
    </row>
    <row r="353" spans="1:29" ht="15.75" hidden="1" x14ac:dyDescent="0.25">
      <c r="A353" s="75" t="s">
        <v>1857</v>
      </c>
      <c r="B353" s="76">
        <v>45911</v>
      </c>
      <c r="C353" s="76" t="s">
        <v>1119</v>
      </c>
      <c r="D353" s="78" t="s">
        <v>20</v>
      </c>
      <c r="E353" s="78" t="s">
        <v>366</v>
      </c>
      <c r="F353" s="78" t="s">
        <v>367</v>
      </c>
      <c r="G353" s="78" t="s">
        <v>1841</v>
      </c>
      <c r="H353" s="78" t="s">
        <v>24</v>
      </c>
      <c r="I353" s="78" t="s">
        <v>367</v>
      </c>
      <c r="J353" s="79">
        <v>1020091</v>
      </c>
      <c r="K353" s="78" t="s">
        <v>26</v>
      </c>
      <c r="L353" s="119">
        <v>2000000</v>
      </c>
      <c r="M353" s="82">
        <v>1</v>
      </c>
      <c r="N353" s="82">
        <f>Main_Issuance[[#This Row],[LC Amt(FCY)]]*Main_Issuance[[#This Row],[Rate]]</f>
        <v>2000000</v>
      </c>
      <c r="O353" s="77">
        <v>46022</v>
      </c>
      <c r="P353" s="77">
        <v>46022</v>
      </c>
      <c r="Q353" s="76" t="s">
        <v>27</v>
      </c>
      <c r="R353" s="78" t="s">
        <v>1629</v>
      </c>
      <c r="S353" s="81"/>
      <c r="T353" s="82"/>
      <c r="U353" s="81"/>
      <c r="V353" s="83">
        <v>0</v>
      </c>
      <c r="W353" s="115"/>
      <c r="X353" s="76" t="str">
        <f ca="1">IF(AND((Main_Issuance[[#This Row],[Expiry Date]]+31)&gt;TODAY(),Main_Issuance[[#This Row],[Status]]&lt;&gt;"Cancelled"),"Active","Cancelled")</f>
        <v>Cancelled</v>
      </c>
      <c r="Y353" s="409"/>
      <c r="Z353" s="408"/>
      <c r="AA353" s="408" t="s">
        <v>378</v>
      </c>
      <c r="AB353" s="83" cm="1">
        <f t="array" ref="AB353">Iss_Tariff(Main_Issuance[[#This Row],[Bank]],Main_Issuance[[#This Row],[LC Amt(SAR)]],Main_Issuance[[#This Row],[Issue Date.]],Main_Issuance[[#This Row],[Expiry Date]],Main_Issuance[[#This Row],[Calculate]])</f>
        <v>0</v>
      </c>
      <c r="AC353" s="83"/>
    </row>
    <row r="354" spans="1:29" ht="15.75" hidden="1" x14ac:dyDescent="0.25">
      <c r="A354" s="70" t="s">
        <v>283</v>
      </c>
      <c r="B354" s="56">
        <v>45495</v>
      </c>
      <c r="C354" s="56" t="s">
        <v>441</v>
      </c>
      <c r="D354" s="69" t="s">
        <v>20</v>
      </c>
      <c r="E354" s="69" t="s">
        <v>21</v>
      </c>
      <c r="F354" s="69" t="s">
        <v>22</v>
      </c>
      <c r="G354" s="69" t="s">
        <v>284</v>
      </c>
      <c r="H354" s="65" t="s">
        <v>24</v>
      </c>
      <c r="I354" s="65" t="s">
        <v>22</v>
      </c>
      <c r="J354" s="65">
        <v>1020055</v>
      </c>
      <c r="K354" s="69" t="s">
        <v>26</v>
      </c>
      <c r="L354" s="60">
        <v>2920000</v>
      </c>
      <c r="M354" s="60">
        <v>1</v>
      </c>
      <c r="N354" s="60">
        <f>Main_Issuance[[#This Row],[LC Amt(FCY)]]*Main_Issuance[[#This Row],[Rate]]</f>
        <v>2920000</v>
      </c>
      <c r="O354" s="58">
        <v>45747</v>
      </c>
      <c r="P354" s="56">
        <v>45747</v>
      </c>
      <c r="Q354" s="56" t="s">
        <v>27</v>
      </c>
      <c r="R354" s="78"/>
      <c r="S354" s="71"/>
      <c r="T354" s="61"/>
      <c r="U354" s="71"/>
      <c r="V354" s="68">
        <v>0</v>
      </c>
      <c r="W354" s="115"/>
      <c r="X354" s="56" t="str">
        <f ca="1">IF(AND((Main_Issuance[[#This Row],[Expiry Date]]+31)&gt;TODAY(),Main_Issuance[[#This Row],[Status]]&lt;&gt;"Cancelled"),"Active","Cancelled")</f>
        <v>Cancelled</v>
      </c>
      <c r="Y354" s="409"/>
      <c r="Z354" s="408"/>
      <c r="AA354" s="408" t="s">
        <v>378</v>
      </c>
      <c r="AB354" s="83" cm="1">
        <f t="array" ref="AB354">Iss_Tariff(Main_Issuance[[#This Row],[Bank]],Main_Issuance[[#This Row],[LC Amt(SAR)]],Main_Issuance[[#This Row],[Issue Date.]],Main_Issuance[[#This Row],[Expiry Date]],Main_Issuance[[#This Row],[Calculate]])</f>
        <v>0</v>
      </c>
      <c r="AC354" s="83"/>
    </row>
    <row r="355" spans="1:29" ht="15.75" hidden="1" x14ac:dyDescent="0.25">
      <c r="A355" s="70" t="s">
        <v>405</v>
      </c>
      <c r="B355" s="56">
        <v>45554</v>
      </c>
      <c r="C355" s="56" t="s">
        <v>509</v>
      </c>
      <c r="D355" s="69" t="s">
        <v>20</v>
      </c>
      <c r="E355" s="69" t="s">
        <v>95</v>
      </c>
      <c r="F355" s="19" t="s">
        <v>96</v>
      </c>
      <c r="G355" s="69" t="s">
        <v>406</v>
      </c>
      <c r="H355" s="65" t="s">
        <v>24</v>
      </c>
      <c r="I355" s="65" t="s">
        <v>407</v>
      </c>
      <c r="J355" s="65">
        <v>1020100</v>
      </c>
      <c r="K355" s="69" t="s">
        <v>26</v>
      </c>
      <c r="L355" s="60">
        <v>6000000</v>
      </c>
      <c r="M355" s="60">
        <v>1</v>
      </c>
      <c r="N355" s="60">
        <f>Main_Issuance[[#This Row],[LC Amt(FCY)]]*Main_Issuance[[#This Row],[Rate]]</f>
        <v>6000000</v>
      </c>
      <c r="O355" s="58">
        <v>45657</v>
      </c>
      <c r="P355" s="58">
        <v>45657</v>
      </c>
      <c r="Q355" s="56" t="s">
        <v>27</v>
      </c>
      <c r="R355" s="78" t="s">
        <v>408</v>
      </c>
      <c r="S355" s="71"/>
      <c r="T355" s="61"/>
      <c r="U355" s="71"/>
      <c r="V355" s="68">
        <v>0</v>
      </c>
      <c r="W355" s="115"/>
      <c r="X355" s="56" t="str">
        <f ca="1">IF(AND((Main_Issuance[[#This Row],[Expiry Date]]+31)&gt;TODAY(),Main_Issuance[[#This Row],[Status]]&lt;&gt;"Cancelled"),"Active","Cancelled")</f>
        <v>Cancelled</v>
      </c>
      <c r="Y355" s="409"/>
      <c r="Z355" s="408"/>
      <c r="AA355" s="408" t="s">
        <v>378</v>
      </c>
      <c r="AB355" s="83" cm="1">
        <f t="array" ref="AB355">Iss_Tariff(Main_Issuance[[#This Row],[Bank]],Main_Issuance[[#This Row],[LC Amt(SAR)]],Main_Issuance[[#This Row],[Issue Date.]],Main_Issuance[[#This Row],[Expiry Date]],Main_Issuance[[#This Row],[Calculate]])</f>
        <v>0</v>
      </c>
      <c r="AC355" s="83"/>
    </row>
    <row r="356" spans="1:29" ht="15.75" hidden="1" x14ac:dyDescent="0.25">
      <c r="A356" s="70" t="s">
        <v>480</v>
      </c>
      <c r="B356" s="56">
        <v>45593</v>
      </c>
      <c r="C356" s="58" t="s">
        <v>509</v>
      </c>
      <c r="D356" s="19" t="s">
        <v>20</v>
      </c>
      <c r="E356" s="69" t="s">
        <v>21</v>
      </c>
      <c r="F356" s="19" t="s">
        <v>22</v>
      </c>
      <c r="G356" s="69" t="s">
        <v>406</v>
      </c>
      <c r="H356" s="65" t="s">
        <v>24</v>
      </c>
      <c r="I356" s="65" t="s">
        <v>407</v>
      </c>
      <c r="J356" s="59">
        <v>1020100</v>
      </c>
      <c r="K356" s="69" t="s">
        <v>26</v>
      </c>
      <c r="L356" s="60">
        <v>1400000</v>
      </c>
      <c r="M356" s="60">
        <v>1</v>
      </c>
      <c r="N356" s="60">
        <f>Main_Issuance[[#This Row],[LC Amt(FCY)]]*Main_Issuance[[#This Row],[Rate]]</f>
        <v>1400000</v>
      </c>
      <c r="O356" s="58">
        <v>45688</v>
      </c>
      <c r="P356" s="58">
        <v>45688</v>
      </c>
      <c r="Q356" s="56" t="s">
        <v>27</v>
      </c>
      <c r="R356" s="78" t="s">
        <v>311</v>
      </c>
      <c r="S356" s="71"/>
      <c r="T356" s="61"/>
      <c r="U356" s="71"/>
      <c r="V356" s="68">
        <v>0</v>
      </c>
      <c r="W356" s="115"/>
      <c r="X356" s="56" t="str">
        <f ca="1">IF(AND((Main_Issuance[[#This Row],[Expiry Date]]+31)&gt;TODAY(),Main_Issuance[[#This Row],[Status]]&lt;&gt;"Cancelled"),"Active","Cancelled")</f>
        <v>Cancelled</v>
      </c>
      <c r="Y356" s="409"/>
      <c r="Z356" s="408"/>
      <c r="AA356" s="408" t="s">
        <v>378</v>
      </c>
      <c r="AB356" s="83" cm="1">
        <f t="array" ref="AB356">Iss_Tariff(Main_Issuance[[#This Row],[Bank]],Main_Issuance[[#This Row],[LC Amt(SAR)]],Main_Issuance[[#This Row],[Issue Date.]],Main_Issuance[[#This Row],[Expiry Date]],Main_Issuance[[#This Row],[Calculate]])</f>
        <v>0</v>
      </c>
      <c r="AC356" s="83"/>
    </row>
    <row r="357" spans="1:29" ht="15.75" hidden="1" x14ac:dyDescent="0.25">
      <c r="A357" s="70" t="s">
        <v>673</v>
      </c>
      <c r="B357" s="56">
        <v>45684</v>
      </c>
      <c r="C357" s="58" t="s">
        <v>509</v>
      </c>
      <c r="D357" s="69" t="s">
        <v>20</v>
      </c>
      <c r="E357" s="69" t="s">
        <v>95</v>
      </c>
      <c r="F357" s="19" t="s">
        <v>96</v>
      </c>
      <c r="G357" s="69" t="s">
        <v>406</v>
      </c>
      <c r="H357" s="65" t="s">
        <v>24</v>
      </c>
      <c r="I357" s="65" t="s">
        <v>407</v>
      </c>
      <c r="J357" s="59">
        <v>1020100</v>
      </c>
      <c r="K357" s="69" t="s">
        <v>26</v>
      </c>
      <c r="L357" s="60">
        <v>900000</v>
      </c>
      <c r="M357" s="60">
        <v>1</v>
      </c>
      <c r="N357" s="60">
        <f>Main_Issuance[[#This Row],[LC Amt(FCY)]]*Main_Issuance[[#This Row],[Rate]]</f>
        <v>900000</v>
      </c>
      <c r="O357" s="56">
        <v>45777</v>
      </c>
      <c r="P357" s="56">
        <v>45777</v>
      </c>
      <c r="Q357" s="56" t="s">
        <v>27</v>
      </c>
      <c r="R357" s="78" t="s">
        <v>311</v>
      </c>
      <c r="S357" s="71"/>
      <c r="T357" s="61"/>
      <c r="U357" s="71"/>
      <c r="V357" s="68">
        <v>0</v>
      </c>
      <c r="W357" s="115"/>
      <c r="X357" s="56" t="str">
        <f ca="1">IF(AND((Main_Issuance[[#This Row],[Expiry Date]]+31)&gt;TODAY(),Main_Issuance[[#This Row],[Status]]&lt;&gt;"Cancelled"),"Active","Cancelled")</f>
        <v>Cancelled</v>
      </c>
      <c r="Y357" s="409"/>
      <c r="Z357" s="408"/>
      <c r="AA357" s="408" t="s">
        <v>378</v>
      </c>
      <c r="AB357" s="83" cm="1">
        <f t="array" ref="AB357">Iss_Tariff(Main_Issuance[[#This Row],[Bank]],Main_Issuance[[#This Row],[LC Amt(SAR)]],Main_Issuance[[#This Row],[Issue Date.]],Main_Issuance[[#This Row],[Expiry Date]],Main_Issuance[[#This Row],[Calculate]])</f>
        <v>0</v>
      </c>
      <c r="AC357" s="83"/>
    </row>
    <row r="358" spans="1:29" ht="15.75" hidden="1" x14ac:dyDescent="0.25">
      <c r="A358" s="70" t="s">
        <v>357</v>
      </c>
      <c r="B358" s="56">
        <v>45533</v>
      </c>
      <c r="C358" s="56" t="s">
        <v>441</v>
      </c>
      <c r="D358" s="69" t="s">
        <v>20</v>
      </c>
      <c r="E358" s="69" t="s">
        <v>95</v>
      </c>
      <c r="F358" s="19" t="s">
        <v>96</v>
      </c>
      <c r="G358" s="69" t="s">
        <v>358</v>
      </c>
      <c r="H358" s="65" t="s">
        <v>24</v>
      </c>
      <c r="I358" s="65" t="s">
        <v>22</v>
      </c>
      <c r="J358" s="59">
        <v>1020055</v>
      </c>
      <c r="K358" s="69" t="s">
        <v>26</v>
      </c>
      <c r="L358" s="60">
        <v>2000000</v>
      </c>
      <c r="M358" s="60">
        <v>1</v>
      </c>
      <c r="N358" s="60">
        <f>Main_Issuance[[#This Row],[LC Amt(FCY)]]*Main_Issuance[[#This Row],[Rate]]</f>
        <v>2000000</v>
      </c>
      <c r="O358" s="56">
        <v>45626</v>
      </c>
      <c r="P358" s="56">
        <v>45626</v>
      </c>
      <c r="Q358" s="56" t="s">
        <v>27</v>
      </c>
      <c r="R358" s="78" t="s">
        <v>311</v>
      </c>
      <c r="S358" s="71"/>
      <c r="T358" s="61"/>
      <c r="U358" s="71"/>
      <c r="V358" s="68">
        <v>0</v>
      </c>
      <c r="W358" s="115"/>
      <c r="X358" s="56" t="str">
        <f ca="1">IF(AND((Main_Issuance[[#This Row],[Expiry Date]]+31)&gt;TODAY(),Main_Issuance[[#This Row],[Status]]&lt;&gt;"Cancelled"),"Active","Cancelled")</f>
        <v>Cancelled</v>
      </c>
      <c r="Y358" s="409"/>
      <c r="Z358" s="408"/>
      <c r="AA358" s="408" t="s">
        <v>378</v>
      </c>
      <c r="AB358" s="83" cm="1">
        <f t="array" ref="AB358">Iss_Tariff(Main_Issuance[[#This Row],[Bank]],Main_Issuance[[#This Row],[LC Amt(SAR)]],Main_Issuance[[#This Row],[Issue Date.]],Main_Issuance[[#This Row],[Expiry Date]],Main_Issuance[[#This Row],[Calculate]])</f>
        <v>0</v>
      </c>
      <c r="AC358" s="83"/>
    </row>
    <row r="359" spans="1:29" ht="15.75" hidden="1" x14ac:dyDescent="0.25">
      <c r="A359" s="70" t="s">
        <v>520</v>
      </c>
      <c r="B359" s="56">
        <v>45624</v>
      </c>
      <c r="C359" s="56" t="s">
        <v>441</v>
      </c>
      <c r="D359" s="69" t="s">
        <v>20</v>
      </c>
      <c r="E359" s="69" t="s">
        <v>21</v>
      </c>
      <c r="F359" s="19" t="s">
        <v>22</v>
      </c>
      <c r="G359" s="69" t="s">
        <v>521</v>
      </c>
      <c r="H359" s="65" t="s">
        <v>24</v>
      </c>
      <c r="I359" s="59" t="s">
        <v>22</v>
      </c>
      <c r="J359" s="59">
        <v>1020055</v>
      </c>
      <c r="K359" s="69" t="s">
        <v>26</v>
      </c>
      <c r="L359" s="60">
        <v>1000000</v>
      </c>
      <c r="M359" s="60">
        <v>1</v>
      </c>
      <c r="N359" s="60">
        <f>Main_Issuance[[#This Row],[LC Amt(FCY)]]*Main_Issuance[[#This Row],[Rate]]</f>
        <v>1000000</v>
      </c>
      <c r="O359" s="56">
        <v>45716</v>
      </c>
      <c r="P359" s="56">
        <v>45716</v>
      </c>
      <c r="Q359" s="56" t="s">
        <v>27</v>
      </c>
      <c r="R359" s="78" t="s">
        <v>311</v>
      </c>
      <c r="S359" s="71"/>
      <c r="T359" s="61"/>
      <c r="U359" s="71"/>
      <c r="V359" s="68">
        <v>0</v>
      </c>
      <c r="W359" s="115"/>
      <c r="X359" s="56" t="str">
        <f ca="1">IF(AND((Main_Issuance[[#This Row],[Expiry Date]]+31)&gt;TODAY(),Main_Issuance[[#This Row],[Status]]&lt;&gt;"Cancelled"),"Active","Cancelled")</f>
        <v>Cancelled</v>
      </c>
      <c r="Y359" s="409"/>
      <c r="Z359" s="408"/>
      <c r="AA359" s="408" t="s">
        <v>378</v>
      </c>
      <c r="AB359" s="83" cm="1">
        <f t="array" ref="AB359">Iss_Tariff(Main_Issuance[[#This Row],[Bank]],Main_Issuance[[#This Row],[LC Amt(SAR)]],Main_Issuance[[#This Row],[Issue Date.]],Main_Issuance[[#This Row],[Expiry Date]],Main_Issuance[[#This Row],[Calculate]])</f>
        <v>0</v>
      </c>
      <c r="AC359" s="83"/>
    </row>
    <row r="360" spans="1:29" ht="15.75" hidden="1" x14ac:dyDescent="0.25">
      <c r="A360" s="57" t="s">
        <v>656</v>
      </c>
      <c r="B360" s="58">
        <v>45680</v>
      </c>
      <c r="C360" s="58" t="s">
        <v>441</v>
      </c>
      <c r="D360" s="19" t="s">
        <v>20</v>
      </c>
      <c r="E360" s="19" t="s">
        <v>21</v>
      </c>
      <c r="F360" s="19" t="s">
        <v>22</v>
      </c>
      <c r="G360" s="19" t="s">
        <v>521</v>
      </c>
      <c r="H360" s="59" t="s">
        <v>24</v>
      </c>
      <c r="I360" s="59" t="s">
        <v>22</v>
      </c>
      <c r="J360" s="59">
        <v>1020055</v>
      </c>
      <c r="K360" s="19" t="s">
        <v>26</v>
      </c>
      <c r="L360" s="60">
        <v>400000</v>
      </c>
      <c r="M360" s="60">
        <v>1</v>
      </c>
      <c r="N360" s="60">
        <f>Main_Issuance[[#This Row],[LC Amt(FCY)]]*Main_Issuance[[#This Row],[Rate]]</f>
        <v>400000</v>
      </c>
      <c r="O360" s="58">
        <v>45777</v>
      </c>
      <c r="P360" s="58">
        <v>45777</v>
      </c>
      <c r="Q360" s="58" t="s">
        <v>27</v>
      </c>
      <c r="R360" s="78" t="s">
        <v>311</v>
      </c>
      <c r="S360" s="61"/>
      <c r="T360" s="61"/>
      <c r="U360" s="61"/>
      <c r="V360" s="62">
        <v>0</v>
      </c>
      <c r="W360" s="115"/>
      <c r="X360" s="63" t="str">
        <f ca="1">IF(AND((Main_Issuance[[#This Row],[Expiry Date]]+31)&gt;TODAY(),Main_Issuance[[#This Row],[Status]]&lt;&gt;"Cancelled"),"Active","Cancelled")</f>
        <v>Cancelled</v>
      </c>
      <c r="Y360" s="409"/>
      <c r="Z360" s="408"/>
      <c r="AA360" s="408" t="s">
        <v>378</v>
      </c>
      <c r="AB360" s="83" cm="1">
        <f t="array" ref="AB360">Iss_Tariff(Main_Issuance[[#This Row],[Bank]],Main_Issuance[[#This Row],[LC Amt(SAR)]],Main_Issuance[[#This Row],[Issue Date.]],Main_Issuance[[#This Row],[Expiry Date]],Main_Issuance[[#This Row],[Calculate]])</f>
        <v>0</v>
      </c>
      <c r="AC360" s="83"/>
    </row>
    <row r="361" spans="1:29" ht="15.75" hidden="1" x14ac:dyDescent="0.25">
      <c r="A361" s="70" t="s">
        <v>751</v>
      </c>
      <c r="B361" s="56">
        <v>45734</v>
      </c>
      <c r="C361" s="56" t="s">
        <v>509</v>
      </c>
      <c r="D361" s="69" t="s">
        <v>20</v>
      </c>
      <c r="E361" s="69" t="s">
        <v>21</v>
      </c>
      <c r="F361" s="19" t="s">
        <v>22</v>
      </c>
      <c r="G361" s="19" t="s">
        <v>752</v>
      </c>
      <c r="H361" s="65" t="s">
        <v>24</v>
      </c>
      <c r="I361" s="65" t="s">
        <v>407</v>
      </c>
      <c r="J361" s="59">
        <v>1020100</v>
      </c>
      <c r="K361" s="69" t="s">
        <v>26</v>
      </c>
      <c r="L361" s="60">
        <v>1250000</v>
      </c>
      <c r="M361" s="60">
        <v>1</v>
      </c>
      <c r="N361" s="60">
        <f>Main_Issuance[[#This Row],[LC Amt(FCY)]]*Main_Issuance[[#This Row],[Rate]]</f>
        <v>1250000</v>
      </c>
      <c r="O361" s="56">
        <v>45838</v>
      </c>
      <c r="P361" s="56">
        <v>45838</v>
      </c>
      <c r="Q361" s="56" t="s">
        <v>27</v>
      </c>
      <c r="R361" s="78" t="s">
        <v>311</v>
      </c>
      <c r="S361" s="71"/>
      <c r="T361" s="61"/>
      <c r="U361" s="71"/>
      <c r="V361" s="68">
        <v>0</v>
      </c>
      <c r="W361" s="115"/>
      <c r="X361" s="56" t="str">
        <f ca="1">IF(AND((Main_Issuance[[#This Row],[Expiry Date]]+31)&gt;TODAY(),Main_Issuance[[#This Row],[Status]]&lt;&gt;"Cancelled"),"Active","Cancelled")</f>
        <v>Cancelled</v>
      </c>
      <c r="Y361" s="409"/>
      <c r="Z361" s="408"/>
      <c r="AA361" s="408" t="s">
        <v>378</v>
      </c>
      <c r="AB361" s="83" cm="1">
        <f t="array" ref="AB361">Iss_Tariff(Main_Issuance[[#This Row],[Bank]],Main_Issuance[[#This Row],[LC Amt(SAR)]],Main_Issuance[[#This Row],[Issue Date.]],Main_Issuance[[#This Row],[Expiry Date]],Main_Issuance[[#This Row],[Calculate]])</f>
        <v>0</v>
      </c>
      <c r="AC361" s="83"/>
    </row>
    <row r="362" spans="1:29" ht="15.75" hidden="1" x14ac:dyDescent="0.25">
      <c r="A362" s="75" t="s">
        <v>1328</v>
      </c>
      <c r="B362" s="76">
        <v>45789</v>
      </c>
      <c r="C362" s="76" t="s">
        <v>441</v>
      </c>
      <c r="D362" s="115" t="s">
        <v>20</v>
      </c>
      <c r="E362" s="78" t="s">
        <v>373</v>
      </c>
      <c r="F362" s="124" t="s">
        <v>70</v>
      </c>
      <c r="G362" s="78" t="s">
        <v>521</v>
      </c>
      <c r="H362" s="78" t="s">
        <v>24</v>
      </c>
      <c r="I362" s="78" t="s">
        <v>22</v>
      </c>
      <c r="J362" s="113">
        <v>1020055</v>
      </c>
      <c r="K362" s="78" t="s">
        <v>26</v>
      </c>
      <c r="L362" s="60">
        <v>4639392.95</v>
      </c>
      <c r="M362" s="60">
        <v>1</v>
      </c>
      <c r="N362" s="60">
        <f>Main_Issuance[[#This Row],[LC Amt(FCY)]]*Main_Issuance[[#This Row],[Rate]]</f>
        <v>4639392.95</v>
      </c>
      <c r="O362" s="76">
        <v>46022</v>
      </c>
      <c r="P362" s="76">
        <v>46022</v>
      </c>
      <c r="Q362" s="56" t="s">
        <v>70</v>
      </c>
      <c r="R362" s="78" t="s">
        <v>311</v>
      </c>
      <c r="S362" s="81"/>
      <c r="T362" s="82"/>
      <c r="U362" s="81"/>
      <c r="V362" s="83">
        <v>0</v>
      </c>
      <c r="W362" s="115" t="s">
        <v>1913</v>
      </c>
      <c r="X362" s="76" t="str">
        <f ca="1">IF(AND((Main_Issuance[[#This Row],[Expiry Date]]+31)&gt;TODAY(),Main_Issuance[[#This Row],[Status]]&lt;&gt;"Cancelled"),"Active","Cancelled")</f>
        <v>Cancelled</v>
      </c>
      <c r="Y362" s="409"/>
      <c r="Z362" s="408"/>
      <c r="AA362" s="408" t="s">
        <v>378</v>
      </c>
      <c r="AB362" s="83" cm="1">
        <f t="array" ref="AB362">Iss_Tariff(Main_Issuance[[#This Row],[Bank]],Main_Issuance[[#This Row],[LC Amt(SAR)]],Main_Issuance[[#This Row],[Issue Date.]],Main_Issuance[[#This Row],[Expiry Date]],Main_Issuance[[#This Row],[Calculate]])</f>
        <v>0</v>
      </c>
      <c r="AC362" s="83"/>
    </row>
    <row r="363" spans="1:29" ht="15.75" hidden="1" x14ac:dyDescent="0.25">
      <c r="A363" s="75" t="s">
        <v>1313</v>
      </c>
      <c r="B363" s="76">
        <v>45788</v>
      </c>
      <c r="C363" s="76" t="s">
        <v>441</v>
      </c>
      <c r="D363" s="69" t="s">
        <v>20</v>
      </c>
      <c r="E363" s="78" t="s">
        <v>21</v>
      </c>
      <c r="F363" s="115" t="s">
        <v>22</v>
      </c>
      <c r="G363" s="78" t="s">
        <v>752</v>
      </c>
      <c r="H363" s="78" t="s">
        <v>24</v>
      </c>
      <c r="I363" s="78" t="s">
        <v>22</v>
      </c>
      <c r="J363" s="115">
        <v>1020055</v>
      </c>
      <c r="K363" s="78" t="s">
        <v>26</v>
      </c>
      <c r="L363" s="60">
        <v>891914.65</v>
      </c>
      <c r="M363" s="60">
        <v>1</v>
      </c>
      <c r="N363" s="60">
        <f>Main_Issuance[[#This Row],[LC Amt(FCY)]]*Main_Issuance[[#This Row],[Rate]]</f>
        <v>891914.65</v>
      </c>
      <c r="O363" s="76">
        <v>45961</v>
      </c>
      <c r="P363" s="76">
        <v>45961</v>
      </c>
      <c r="Q363" s="76" t="s">
        <v>27</v>
      </c>
      <c r="R363" s="78" t="s">
        <v>621</v>
      </c>
      <c r="S363" s="81"/>
      <c r="T363" s="82"/>
      <c r="U363" s="81"/>
      <c r="V363" s="83">
        <v>0</v>
      </c>
      <c r="W363" s="115" t="s">
        <v>1846</v>
      </c>
      <c r="X363" s="76" t="str">
        <f ca="1">IF(AND((Main_Issuance[[#This Row],[Expiry Date]]+31)&gt;TODAY(),Main_Issuance[[#This Row],[Status]]&lt;&gt;"Cancelled"),"Active","Cancelled")</f>
        <v>Cancelled</v>
      </c>
      <c r="Y363" s="412"/>
      <c r="Z363" s="408"/>
      <c r="AA363" s="408" t="s">
        <v>378</v>
      </c>
      <c r="AB363" s="83" cm="1">
        <f t="array" ref="AB363">Iss_Tariff(Main_Issuance[[#This Row],[Bank]],Main_Issuance[[#This Row],[LC Amt(SAR)]],Main_Issuance[[#This Row],[Issue Date.]],Main_Issuance[[#This Row],[Expiry Date]],Main_Issuance[[#This Row],[Calculate]])</f>
        <v>0</v>
      </c>
      <c r="AC363" s="83"/>
    </row>
    <row r="364" spans="1:29" ht="15.75" hidden="1" x14ac:dyDescent="0.25">
      <c r="A364" s="75" t="s">
        <v>1425</v>
      </c>
      <c r="B364" s="76">
        <v>45809</v>
      </c>
      <c r="C364" s="76" t="s">
        <v>441</v>
      </c>
      <c r="D364" s="115" t="s">
        <v>20</v>
      </c>
      <c r="E364" s="78" t="s">
        <v>95</v>
      </c>
      <c r="F364" s="115" t="s">
        <v>96</v>
      </c>
      <c r="G364" s="78" t="s">
        <v>521</v>
      </c>
      <c r="H364" s="78" t="s">
        <v>24</v>
      </c>
      <c r="I364" s="78" t="s">
        <v>22</v>
      </c>
      <c r="J364" s="78">
        <v>1020055</v>
      </c>
      <c r="K364" s="78" t="s">
        <v>26</v>
      </c>
      <c r="L364" s="60">
        <v>400000</v>
      </c>
      <c r="M364" s="60">
        <v>1</v>
      </c>
      <c r="N364" s="60">
        <f>Main_Issuance[[#This Row],[LC Amt(FCY)]]*Main_Issuance[[#This Row],[Rate]]</f>
        <v>400000</v>
      </c>
      <c r="O364" s="76">
        <v>46081</v>
      </c>
      <c r="P364" s="76">
        <v>46081</v>
      </c>
      <c r="Q364" s="76" t="s">
        <v>27</v>
      </c>
      <c r="R364" s="78" t="s">
        <v>621</v>
      </c>
      <c r="S364" s="81"/>
      <c r="T364" s="82"/>
      <c r="U364" s="81"/>
      <c r="V364" s="83">
        <v>0</v>
      </c>
      <c r="W364" s="115"/>
      <c r="X364" s="76" t="str">
        <f ca="1">IF(AND((Main_Issuance[[#This Row],[Expiry Date]]+31)&gt;TODAY(),Main_Issuance[[#This Row],[Status]]&lt;&gt;"Cancelled"),"Active","Cancelled")</f>
        <v>Cancelled</v>
      </c>
      <c r="Y364" s="409"/>
      <c r="Z364" s="408"/>
      <c r="AA364" s="408" t="s">
        <v>857</v>
      </c>
      <c r="AB364" s="83" cm="1">
        <f t="array" ref="AB364">Iss_Tariff(Main_Issuance[[#This Row],[Bank]],Main_Issuance[[#This Row],[LC Amt(SAR)]],Main_Issuance[[#This Row],[Issue Date.]],Main_Issuance[[#This Row],[Expiry Date]],Main_Issuance[[#This Row],[Calculate]])</f>
        <v>2185</v>
      </c>
      <c r="AC364" s="83"/>
    </row>
    <row r="365" spans="1:29" ht="15.75" hidden="1" x14ac:dyDescent="0.25">
      <c r="A365" s="75" t="s">
        <v>1499</v>
      </c>
      <c r="B365" s="76">
        <v>45831</v>
      </c>
      <c r="C365" s="76" t="s">
        <v>441</v>
      </c>
      <c r="D365" s="115" t="s">
        <v>20</v>
      </c>
      <c r="E365" s="78" t="s">
        <v>21</v>
      </c>
      <c r="F365" s="115" t="s">
        <v>22</v>
      </c>
      <c r="G365" s="78" t="s">
        <v>521</v>
      </c>
      <c r="H365" s="78" t="s">
        <v>24</v>
      </c>
      <c r="I365" s="78" t="s">
        <v>407</v>
      </c>
      <c r="J365" s="79">
        <v>1020100</v>
      </c>
      <c r="K365" s="78" t="s">
        <v>26</v>
      </c>
      <c r="L365" s="60">
        <v>900000</v>
      </c>
      <c r="M365" s="60">
        <v>1</v>
      </c>
      <c r="N365" s="60">
        <f>Main_Issuance[[#This Row],[LC Amt(FCY)]]*Main_Issuance[[#This Row],[Rate]]</f>
        <v>900000</v>
      </c>
      <c r="O365" s="76">
        <v>45900</v>
      </c>
      <c r="P365" s="76">
        <v>45900</v>
      </c>
      <c r="Q365" s="76" t="s">
        <v>27</v>
      </c>
      <c r="R365" s="78" t="s">
        <v>621</v>
      </c>
      <c r="S365" s="81"/>
      <c r="T365" s="82"/>
      <c r="U365" s="81"/>
      <c r="V365" s="83">
        <v>0</v>
      </c>
      <c r="W365" s="115"/>
      <c r="X365" s="76" t="str">
        <f ca="1">IF(AND((Main_Issuance[[#This Row],[Expiry Date]]+31)&gt;TODAY(),Main_Issuance[[#This Row],[Status]]&lt;&gt;"Cancelled"),"Active","Cancelled")</f>
        <v>Cancelled</v>
      </c>
      <c r="Y365" s="409"/>
      <c r="Z365" s="408"/>
      <c r="AA365" s="408" t="s">
        <v>378</v>
      </c>
      <c r="AB365" s="83" cm="1">
        <f t="array" ref="AB365">Iss_Tariff(Main_Issuance[[#This Row],[Bank]],Main_Issuance[[#This Row],[LC Amt(SAR)]],Main_Issuance[[#This Row],[Issue Date.]],Main_Issuance[[#This Row],[Expiry Date]],Main_Issuance[[#This Row],[Calculate]])</f>
        <v>0</v>
      </c>
      <c r="AC365" s="83"/>
    </row>
    <row r="366" spans="1:29" ht="15.75" hidden="1" x14ac:dyDescent="0.25">
      <c r="A366" s="75" t="s">
        <v>1436</v>
      </c>
      <c r="B366" s="76">
        <v>45810</v>
      </c>
      <c r="C366" s="76" t="s">
        <v>441</v>
      </c>
      <c r="D366" s="19" t="s">
        <v>20</v>
      </c>
      <c r="E366" s="78" t="s">
        <v>366</v>
      </c>
      <c r="F366" s="115" t="s">
        <v>710</v>
      </c>
      <c r="G366" s="78" t="s">
        <v>521</v>
      </c>
      <c r="H366" s="78" t="s">
        <v>24</v>
      </c>
      <c r="I366" s="78" t="s">
        <v>710</v>
      </c>
      <c r="J366" s="79">
        <v>1020088</v>
      </c>
      <c r="K366" s="78" t="s">
        <v>26</v>
      </c>
      <c r="L366" s="60">
        <v>400000</v>
      </c>
      <c r="M366" s="60">
        <v>1</v>
      </c>
      <c r="N366" s="60">
        <f>Main_Issuance[[#This Row],[LC Amt(FCY)]]*Main_Issuance[[#This Row],[Rate]]</f>
        <v>400000</v>
      </c>
      <c r="O366" s="76">
        <v>45961</v>
      </c>
      <c r="P366" s="76">
        <v>45961</v>
      </c>
      <c r="Q366" s="76" t="s">
        <v>27</v>
      </c>
      <c r="R366" s="78" t="s">
        <v>621</v>
      </c>
      <c r="S366" s="81"/>
      <c r="T366" s="82"/>
      <c r="U366" s="81"/>
      <c r="V366" s="83">
        <v>0</v>
      </c>
      <c r="W366" s="115"/>
      <c r="X366" s="76" t="str">
        <f ca="1">IF(AND((Main_Issuance[[#This Row],[Expiry Date]]+31)&gt;TODAY(),Main_Issuance[[#This Row],[Status]]&lt;&gt;"Cancelled"),"Active","Cancelled")</f>
        <v>Cancelled</v>
      </c>
      <c r="Y366" s="409"/>
      <c r="Z366" s="408"/>
      <c r="AA366" s="408" t="s">
        <v>378</v>
      </c>
      <c r="AB366" s="83" cm="1">
        <f t="array" ref="AB366">Iss_Tariff(Main_Issuance[[#This Row],[Bank]],Main_Issuance[[#This Row],[LC Amt(SAR)]],Main_Issuance[[#This Row],[Issue Date.]],Main_Issuance[[#This Row],[Expiry Date]],Main_Issuance[[#This Row],[Calculate]])</f>
        <v>0</v>
      </c>
      <c r="AC366" s="83"/>
    </row>
    <row r="367" spans="1:29" ht="15.75" hidden="1" x14ac:dyDescent="0.25">
      <c r="A367" s="75" t="s">
        <v>1602</v>
      </c>
      <c r="B367" s="76">
        <v>45862</v>
      </c>
      <c r="C367" s="76" t="s">
        <v>441</v>
      </c>
      <c r="D367" s="115" t="s">
        <v>20</v>
      </c>
      <c r="E367" s="78" t="s">
        <v>366</v>
      </c>
      <c r="F367" s="115" t="s">
        <v>710</v>
      </c>
      <c r="G367" s="78" t="s">
        <v>521</v>
      </c>
      <c r="H367" s="78" t="s">
        <v>24</v>
      </c>
      <c r="I367" s="78" t="s">
        <v>710</v>
      </c>
      <c r="J367" s="79">
        <v>1020088</v>
      </c>
      <c r="K367" s="78" t="s">
        <v>26</v>
      </c>
      <c r="L367" s="60">
        <v>250000</v>
      </c>
      <c r="M367" s="60">
        <v>1</v>
      </c>
      <c r="N367" s="60">
        <f>Main_Issuance[[#This Row],[LC Amt(FCY)]]*Main_Issuance[[#This Row],[Rate]]</f>
        <v>250000</v>
      </c>
      <c r="O367" s="76">
        <v>45961</v>
      </c>
      <c r="P367" s="76">
        <v>45961</v>
      </c>
      <c r="Q367" s="76" t="s">
        <v>27</v>
      </c>
      <c r="R367" s="78" t="s">
        <v>621</v>
      </c>
      <c r="S367" s="81"/>
      <c r="T367" s="82"/>
      <c r="U367" s="81"/>
      <c r="V367" s="83">
        <v>0</v>
      </c>
      <c r="W367" s="115"/>
      <c r="X367" s="76" t="str">
        <f ca="1">IF(AND((Main_Issuance[[#This Row],[Expiry Date]]+31)&gt;TODAY(),Main_Issuance[[#This Row],[Status]]&lt;&gt;"Cancelled"),"Active","Cancelled")</f>
        <v>Cancelled</v>
      </c>
      <c r="Y367" s="409"/>
      <c r="Z367" s="408"/>
      <c r="AA367" s="408" t="s">
        <v>378</v>
      </c>
      <c r="AB367" s="83" cm="1">
        <f t="array" ref="AB367">Iss_Tariff(Main_Issuance[[#This Row],[Bank]],Main_Issuance[[#This Row],[LC Amt(SAR)]],Main_Issuance[[#This Row],[Issue Date.]],Main_Issuance[[#This Row],[Expiry Date]],Main_Issuance[[#This Row],[Calculate]])</f>
        <v>0</v>
      </c>
      <c r="AC367" s="83"/>
    </row>
    <row r="368" spans="1:29" ht="15.75" hidden="1" x14ac:dyDescent="0.25">
      <c r="A368" s="75" t="s">
        <v>1638</v>
      </c>
      <c r="B368" s="76">
        <v>45867</v>
      </c>
      <c r="C368" s="76" t="s">
        <v>1119</v>
      </c>
      <c r="D368" s="115" t="s">
        <v>20</v>
      </c>
      <c r="E368" s="78" t="s">
        <v>366</v>
      </c>
      <c r="F368" s="115" t="s">
        <v>367</v>
      </c>
      <c r="G368" s="78" t="s">
        <v>521</v>
      </c>
      <c r="H368" s="78" t="s">
        <v>24</v>
      </c>
      <c r="I368" s="78" t="s">
        <v>367</v>
      </c>
      <c r="J368" s="79">
        <v>1020091</v>
      </c>
      <c r="K368" s="78" t="s">
        <v>26</v>
      </c>
      <c r="L368" s="60">
        <v>20000000</v>
      </c>
      <c r="M368" s="60">
        <v>1</v>
      </c>
      <c r="N368" s="60">
        <f>Main_Issuance[[#This Row],[LC Amt(FCY)]]*Main_Issuance[[#This Row],[Rate]]</f>
        <v>20000000</v>
      </c>
      <c r="O368" s="76">
        <v>45961</v>
      </c>
      <c r="P368" s="76">
        <v>45961</v>
      </c>
      <c r="Q368" s="76" t="s">
        <v>27</v>
      </c>
      <c r="R368" s="78" t="s">
        <v>1624</v>
      </c>
      <c r="S368" s="81"/>
      <c r="T368" s="82"/>
      <c r="U368" s="81"/>
      <c r="V368" s="83">
        <v>0</v>
      </c>
      <c r="W368" s="115"/>
      <c r="X368" s="76" t="str">
        <f ca="1">IF(AND((Main_Issuance[[#This Row],[Expiry Date]]+31)&gt;TODAY(),Main_Issuance[[#This Row],[Status]]&lt;&gt;"Cancelled"),"Active","Cancelled")</f>
        <v>Cancelled</v>
      </c>
      <c r="Y368" s="409"/>
      <c r="Z368" s="408"/>
      <c r="AA368" s="408" t="s">
        <v>378</v>
      </c>
      <c r="AB368" s="83" cm="1">
        <f t="array" ref="AB368">Iss_Tariff(Main_Issuance[[#This Row],[Bank]],Main_Issuance[[#This Row],[LC Amt(SAR)]],Main_Issuance[[#This Row],[Issue Date.]],Main_Issuance[[#This Row],[Expiry Date]],Main_Issuance[[#This Row],[Calculate]])</f>
        <v>0</v>
      </c>
      <c r="AC368" s="83"/>
    </row>
    <row r="369" spans="1:29" ht="15.75" hidden="1" x14ac:dyDescent="0.25">
      <c r="A369" s="75" t="s">
        <v>1736</v>
      </c>
      <c r="B369" s="76">
        <v>45882</v>
      </c>
      <c r="C369" s="77" t="s">
        <v>1119</v>
      </c>
      <c r="D369" s="78" t="s">
        <v>20</v>
      </c>
      <c r="E369" s="78" t="s">
        <v>366</v>
      </c>
      <c r="F369" s="78" t="s">
        <v>367</v>
      </c>
      <c r="G369" s="78" t="s">
        <v>521</v>
      </c>
      <c r="H369" s="78" t="s">
        <v>24</v>
      </c>
      <c r="I369" s="78" t="s">
        <v>367</v>
      </c>
      <c r="J369" s="113">
        <v>1020091</v>
      </c>
      <c r="K369" s="78" t="s">
        <v>26</v>
      </c>
      <c r="L369" s="60">
        <f>10000000+5000000+25000000</f>
        <v>40000000</v>
      </c>
      <c r="M369" s="60">
        <v>1</v>
      </c>
      <c r="N369" s="60">
        <f>Main_Issuance[[#This Row],[LC Amt(FCY)]]*Main_Issuance[[#This Row],[Rate]]</f>
        <v>40000000</v>
      </c>
      <c r="O369" s="76">
        <v>45991</v>
      </c>
      <c r="P369" s="76">
        <v>45991</v>
      </c>
      <c r="Q369" s="76" t="s">
        <v>27</v>
      </c>
      <c r="R369" s="78" t="s">
        <v>1624</v>
      </c>
      <c r="S369" s="81"/>
      <c r="T369" s="81"/>
      <c r="U369" s="81"/>
      <c r="V369" s="83">
        <v>0</v>
      </c>
      <c r="W369" s="115"/>
      <c r="X369" s="76" t="str">
        <f ca="1">IF(AND((Main_Issuance[[#This Row],[Expiry Date]]+31)&gt;TODAY(),Main_Issuance[[#This Row],[Status]]&lt;&gt;"Cancelled"),"Active","Cancelled")</f>
        <v>Cancelled</v>
      </c>
      <c r="Y369" s="409"/>
      <c r="Z369" s="408"/>
      <c r="AA369" s="408" t="s">
        <v>378</v>
      </c>
      <c r="AB369" s="83" cm="1">
        <f t="array" ref="AB369">Iss_Tariff(Main_Issuance[[#This Row],[Bank]],Main_Issuance[[#This Row],[LC Amt(SAR)]],Main_Issuance[[#This Row],[Issue Date.]],Main_Issuance[[#This Row],[Expiry Date]],Main_Issuance[[#This Row],[Calculate]])</f>
        <v>0</v>
      </c>
      <c r="AC369" s="83"/>
    </row>
    <row r="370" spans="1:29" ht="15.75" hidden="1" x14ac:dyDescent="0.25">
      <c r="A370" s="75" t="s">
        <v>1816</v>
      </c>
      <c r="B370" s="76">
        <v>45895</v>
      </c>
      <c r="C370" s="77" t="s">
        <v>1181</v>
      </c>
      <c r="D370" s="78" t="s">
        <v>20</v>
      </c>
      <c r="E370" s="78" t="s">
        <v>366</v>
      </c>
      <c r="F370" s="115" t="s">
        <v>710</v>
      </c>
      <c r="G370" s="78" t="s">
        <v>521</v>
      </c>
      <c r="H370" s="79" t="s">
        <v>1791</v>
      </c>
      <c r="I370" s="79" t="s">
        <v>81</v>
      </c>
      <c r="J370" s="113">
        <v>1020070</v>
      </c>
      <c r="K370" s="78" t="s">
        <v>26</v>
      </c>
      <c r="L370" s="60">
        <v>809915</v>
      </c>
      <c r="M370" s="60">
        <v>1</v>
      </c>
      <c r="N370" s="60">
        <f>Main_Issuance[[#This Row],[LC Amt(FCY)]]*Main_Issuance[[#This Row],[Rate]]</f>
        <v>809915</v>
      </c>
      <c r="O370" s="76">
        <v>45991</v>
      </c>
      <c r="P370" s="76">
        <v>45991</v>
      </c>
      <c r="Q370" s="76" t="s">
        <v>27</v>
      </c>
      <c r="R370" s="78" t="s">
        <v>408</v>
      </c>
      <c r="S370" s="81"/>
      <c r="T370" s="82"/>
      <c r="U370" s="81"/>
      <c r="V370" s="83">
        <v>0</v>
      </c>
      <c r="W370" s="115"/>
      <c r="X370" s="76" t="str">
        <f ca="1">IF(AND((Main_Issuance[[#This Row],[Expiry Date]]+31)&gt;TODAY(),Main_Issuance[[#This Row],[Status]]&lt;&gt;"Cancelled"),"Active","Cancelled")</f>
        <v>Cancelled</v>
      </c>
      <c r="Y370" s="409"/>
      <c r="Z370" s="408"/>
      <c r="AA370" s="408" t="s">
        <v>378</v>
      </c>
      <c r="AB370" s="83" cm="1">
        <f t="array" ref="AB370">Iss_Tariff(Main_Issuance[[#This Row],[Bank]],Main_Issuance[[#This Row],[LC Amt(SAR)]],Main_Issuance[[#This Row],[Issue Date.]],Main_Issuance[[#This Row],[Expiry Date]],Main_Issuance[[#This Row],[Calculate]])</f>
        <v>0</v>
      </c>
      <c r="AC370" s="83"/>
    </row>
    <row r="371" spans="1:29" ht="15.75" hidden="1" x14ac:dyDescent="0.25">
      <c r="A371" s="75" t="s">
        <v>1912</v>
      </c>
      <c r="B371" s="76">
        <v>45932</v>
      </c>
      <c r="C371" s="76" t="s">
        <v>441</v>
      </c>
      <c r="D371" s="78" t="s">
        <v>20</v>
      </c>
      <c r="E371" s="78" t="s">
        <v>366</v>
      </c>
      <c r="F371" s="78" t="s">
        <v>710</v>
      </c>
      <c r="G371" s="78" t="s">
        <v>521</v>
      </c>
      <c r="H371" s="78" t="s">
        <v>24</v>
      </c>
      <c r="I371" s="78" t="s">
        <v>710</v>
      </c>
      <c r="J371" s="113">
        <v>1020088</v>
      </c>
      <c r="K371" s="78" t="s">
        <v>26</v>
      </c>
      <c r="L371" s="119">
        <v>600000</v>
      </c>
      <c r="M371" s="82">
        <v>1</v>
      </c>
      <c r="N371" s="82">
        <f>Main_Issuance[[#This Row],[LC Amt(FCY)]]*Main_Issuance[[#This Row],[Rate]]</f>
        <v>600000</v>
      </c>
      <c r="O371" s="76">
        <v>46022</v>
      </c>
      <c r="P371" s="76">
        <v>46022</v>
      </c>
      <c r="Q371" s="76" t="s">
        <v>27</v>
      </c>
      <c r="R371" s="78" t="s">
        <v>621</v>
      </c>
      <c r="S371" s="81"/>
      <c r="T371" s="82"/>
      <c r="U371" s="81"/>
      <c r="V371" s="83">
        <v>0</v>
      </c>
      <c r="W371" s="115"/>
      <c r="X371" s="76" t="str">
        <f ca="1">IF(AND((Main_Issuance[[#This Row],[Expiry Date]]+31)&gt;TODAY(),Main_Issuance[[#This Row],[Status]]&lt;&gt;"Cancelled"),"Active","Cancelled")</f>
        <v>Cancelled</v>
      </c>
      <c r="Y371" s="409"/>
      <c r="Z371" s="408"/>
      <c r="AA371" s="408" t="s">
        <v>378</v>
      </c>
      <c r="AB371" s="83" cm="1">
        <f t="array" ref="AB371">Iss_Tariff(Main_Issuance[[#This Row],[Bank]],Main_Issuance[[#This Row],[LC Amt(SAR)]],Main_Issuance[[#This Row],[Issue Date.]],Main_Issuance[[#This Row],[Expiry Date]],Main_Issuance[[#This Row],[Calculate]])</f>
        <v>0</v>
      </c>
      <c r="AC371" s="83"/>
    </row>
    <row r="372" spans="1:29" ht="15.75" hidden="1" x14ac:dyDescent="0.25">
      <c r="A372" s="75" t="s">
        <v>3783</v>
      </c>
      <c r="B372" s="76">
        <v>46042</v>
      </c>
      <c r="C372" s="77" t="s">
        <v>1259</v>
      </c>
      <c r="D372" s="78" t="s">
        <v>20</v>
      </c>
      <c r="E372" s="78" t="s">
        <v>95</v>
      </c>
      <c r="F372" s="78" t="s">
        <v>96</v>
      </c>
      <c r="G372" s="78" t="s">
        <v>521</v>
      </c>
      <c r="H372" s="79" t="s">
        <v>1791</v>
      </c>
      <c r="I372" s="78" t="s">
        <v>328</v>
      </c>
      <c r="J372" s="115">
        <v>1020097</v>
      </c>
      <c r="K372" s="78" t="s">
        <v>26</v>
      </c>
      <c r="L372" s="119">
        <v>3000000</v>
      </c>
      <c r="M372" s="82">
        <v>1</v>
      </c>
      <c r="N372" s="82">
        <f>Main_Issuance[[#This Row],[LC Amt(FCY)]]*Main_Issuance[[#This Row],[Rate]]</f>
        <v>3000000</v>
      </c>
      <c r="O372" s="76">
        <v>46081</v>
      </c>
      <c r="P372" s="76">
        <v>46081</v>
      </c>
      <c r="Q372" s="76" t="s">
        <v>27</v>
      </c>
      <c r="R372" s="78" t="s">
        <v>28</v>
      </c>
      <c r="S372" s="81"/>
      <c r="T372" s="82"/>
      <c r="U372" s="81"/>
      <c r="V372" s="83">
        <v>0</v>
      </c>
      <c r="W372" s="115"/>
      <c r="X372" s="76" t="str">
        <f ca="1">IF(AND((Main_Issuance[[#This Row],[Expiry Date]]+31)&gt;TODAY(),Main_Issuance[[#This Row],[Status]]&lt;&gt;"Cancelled"),"Active","Cancelled")</f>
        <v>Cancelled</v>
      </c>
      <c r="Y372" s="409"/>
      <c r="Z372" s="408"/>
      <c r="AA372" s="408" t="s">
        <v>857</v>
      </c>
      <c r="AB372" s="83" cm="1">
        <f t="array" ref="AB372">Iss_Tariff(Main_Issuance[[#This Row],[Bank]],Main_Issuance[[#This Row],[LC Amt(SAR)]],Main_Issuance[[#This Row],[Issue Date.]],Main_Issuance[[#This Row],[Expiry Date]],Main_Issuance[[#This Row],[Calculate]])</f>
        <v>1897.5</v>
      </c>
      <c r="AC372" s="83"/>
    </row>
    <row r="373" spans="1:29" ht="15.75" hidden="1" x14ac:dyDescent="0.25">
      <c r="A373" s="75" t="s">
        <v>3718</v>
      </c>
      <c r="B373" s="76">
        <v>46040</v>
      </c>
      <c r="C373" s="77" t="s">
        <v>1259</v>
      </c>
      <c r="D373" s="115" t="s">
        <v>20</v>
      </c>
      <c r="E373" s="78" t="s">
        <v>95</v>
      </c>
      <c r="F373" s="78" t="s">
        <v>96</v>
      </c>
      <c r="G373" s="78" t="s">
        <v>521</v>
      </c>
      <c r="H373" s="79" t="s">
        <v>1791</v>
      </c>
      <c r="I373" s="78" t="s">
        <v>328</v>
      </c>
      <c r="J373" s="115">
        <v>1020097</v>
      </c>
      <c r="K373" s="78" t="s">
        <v>26</v>
      </c>
      <c r="L373" s="119">
        <v>250000</v>
      </c>
      <c r="M373" s="82">
        <v>1</v>
      </c>
      <c r="N373" s="82">
        <f>Main_Issuance[[#This Row],[LC Amt(FCY)]]*Main_Issuance[[#This Row],[Rate]]</f>
        <v>250000</v>
      </c>
      <c r="O373" s="77">
        <v>46081</v>
      </c>
      <c r="P373" s="77">
        <v>46081</v>
      </c>
      <c r="Q373" s="76" t="s">
        <v>27</v>
      </c>
      <c r="R373" s="78" t="s">
        <v>28</v>
      </c>
      <c r="S373" s="81"/>
      <c r="T373" s="82"/>
      <c r="U373" s="81"/>
      <c r="V373" s="83">
        <v>0</v>
      </c>
      <c r="W373" s="115"/>
      <c r="X373" s="76" t="str">
        <f ca="1">IF(AND((Main_Issuance[[#This Row],[Expiry Date]]+31)&gt;TODAY(),Main_Issuance[[#This Row],[Status]]&lt;&gt;"Cancelled"),"Active","Cancelled")</f>
        <v>Cancelled</v>
      </c>
      <c r="Y373" s="409"/>
      <c r="Z373" s="408"/>
      <c r="AA373" s="408" t="s">
        <v>857</v>
      </c>
      <c r="AB373" s="83" cm="1">
        <f t="array" ref="AB373">Iss_Tariff(Main_Issuance[[#This Row],[Bank]],Main_Issuance[[#This Row],[LC Amt(SAR)]],Main_Issuance[[#This Row],[Issue Date.]],Main_Issuance[[#This Row],[Expiry Date]],Main_Issuance[[#This Row],[Calculate]])</f>
        <v>1035</v>
      </c>
      <c r="AC373" s="83"/>
    </row>
    <row r="374" spans="1:29" ht="15.75" hidden="1" x14ac:dyDescent="0.25">
      <c r="A374" s="75" t="s">
        <v>3722</v>
      </c>
      <c r="B374" s="76">
        <v>46040</v>
      </c>
      <c r="C374" s="76" t="s">
        <v>1259</v>
      </c>
      <c r="D374" s="78" t="s">
        <v>20</v>
      </c>
      <c r="E374" s="78" t="s">
        <v>95</v>
      </c>
      <c r="F374" s="78" t="s">
        <v>96</v>
      </c>
      <c r="G374" s="78" t="s">
        <v>521</v>
      </c>
      <c r="H374" s="79" t="s">
        <v>1791</v>
      </c>
      <c r="I374" s="78" t="s">
        <v>328</v>
      </c>
      <c r="J374" s="115">
        <v>1020097</v>
      </c>
      <c r="K374" s="78" t="s">
        <v>26</v>
      </c>
      <c r="L374" s="119">
        <v>350000</v>
      </c>
      <c r="M374" s="82">
        <v>1</v>
      </c>
      <c r="N374" s="82">
        <f>Main_Issuance[[#This Row],[LC Amt(FCY)]]*Main_Issuance[[#This Row],[Rate]]</f>
        <v>350000</v>
      </c>
      <c r="O374" s="76">
        <v>46112</v>
      </c>
      <c r="P374" s="76">
        <v>46112</v>
      </c>
      <c r="Q374" s="76" t="s">
        <v>27</v>
      </c>
      <c r="R374" s="78" t="s">
        <v>28</v>
      </c>
      <c r="S374" s="81"/>
      <c r="T374" s="81"/>
      <c r="U374" s="81"/>
      <c r="V374" s="83">
        <v>0</v>
      </c>
      <c r="W374" s="115"/>
      <c r="X374" s="76" t="str">
        <f ca="1">IF(AND((Main_Issuance[[#This Row],[Expiry Date]]+31)&gt;TODAY(),Main_Issuance[[#This Row],[Status]]&lt;&gt;"Cancelled"),"Active","Cancelled")</f>
        <v>Cancelled</v>
      </c>
      <c r="Y374" s="409"/>
      <c r="Z374" s="408"/>
      <c r="AA374" s="408" t="s">
        <v>857</v>
      </c>
      <c r="AB374" s="83" cm="1">
        <f t="array" ref="AB374">Iss_Tariff(Main_Issuance[[#This Row],[Bank]],Main_Issuance[[#This Row],[LC Amt(SAR)]],Main_Issuance[[#This Row],[Issue Date.]],Main_Issuance[[#This Row],[Expiry Date]],Main_Issuance[[#This Row],[Calculate]])</f>
        <v>1035</v>
      </c>
      <c r="AC374" s="83"/>
    </row>
    <row r="375" spans="1:29" ht="15.75" hidden="1" x14ac:dyDescent="0.25">
      <c r="A375" s="75" t="s">
        <v>3329</v>
      </c>
      <c r="B375" s="76">
        <v>46023</v>
      </c>
      <c r="C375" s="76" t="s">
        <v>1537</v>
      </c>
      <c r="D375" s="78" t="s">
        <v>20</v>
      </c>
      <c r="E375" s="78" t="s">
        <v>62</v>
      </c>
      <c r="F375" s="78" t="s">
        <v>483</v>
      </c>
      <c r="G375" s="78" t="s">
        <v>521</v>
      </c>
      <c r="H375" s="79" t="s">
        <v>24</v>
      </c>
      <c r="I375" s="78" t="s">
        <v>483</v>
      </c>
      <c r="J375" s="113">
        <v>1020096</v>
      </c>
      <c r="K375" s="78" t="s">
        <v>26</v>
      </c>
      <c r="L375" s="119">
        <v>1000000</v>
      </c>
      <c r="M375" s="82">
        <v>1</v>
      </c>
      <c r="N375" s="82">
        <f>Main_Issuance[[#This Row],[LC Amt(FCY)]]*Main_Issuance[[#This Row],[Rate]]</f>
        <v>1000000</v>
      </c>
      <c r="O375" s="76">
        <v>46142</v>
      </c>
      <c r="P375" s="76">
        <v>46142</v>
      </c>
      <c r="Q375" s="76" t="s">
        <v>27</v>
      </c>
      <c r="R375" s="78" t="s">
        <v>3229</v>
      </c>
      <c r="S375" s="81"/>
      <c r="T375" s="81"/>
      <c r="U375" s="81"/>
      <c r="V375" s="83">
        <v>0</v>
      </c>
      <c r="W375" s="115"/>
      <c r="X375" s="76" t="str">
        <f ca="1">IF(AND((Main_Issuance[[#This Row],[Expiry Date]]+31)&gt;TODAY(),Main_Issuance[[#This Row],[Status]]&lt;&gt;"Cancelled"),"Active","Cancelled")</f>
        <v>Cancelled</v>
      </c>
      <c r="Y375" s="409"/>
      <c r="Z375" s="408"/>
      <c r="AA375" s="408" t="s">
        <v>857</v>
      </c>
      <c r="AB375" s="83" cm="1">
        <f t="array" ref="AB375">Iss_Tariff(Main_Issuance[[#This Row],[Bank]],Main_Issuance[[#This Row],[LC Amt(SAR)]],Main_Issuance[[#This Row],[Issue Date.]],Main_Issuance[[#This Row],[Expiry Date]],Main_Issuance[[#This Row],[Calculate]])</f>
        <v>7062.15</v>
      </c>
      <c r="AC375" s="83"/>
    </row>
    <row r="376" spans="1:29" ht="15.75" hidden="1" x14ac:dyDescent="0.25">
      <c r="A376" s="75" t="s">
        <v>3897</v>
      </c>
      <c r="B376" s="76">
        <v>46050</v>
      </c>
      <c r="C376" s="76" t="s">
        <v>441</v>
      </c>
      <c r="D376" s="115" t="s">
        <v>20</v>
      </c>
      <c r="E376" s="78" t="s">
        <v>366</v>
      </c>
      <c r="F376" s="78" t="s">
        <v>710</v>
      </c>
      <c r="G376" s="78" t="s">
        <v>521</v>
      </c>
      <c r="H376" s="78" t="s">
        <v>24</v>
      </c>
      <c r="I376" s="78" t="s">
        <v>710</v>
      </c>
      <c r="J376" s="79">
        <v>1020088</v>
      </c>
      <c r="K376" s="78" t="s">
        <v>26</v>
      </c>
      <c r="L376" s="119">
        <v>1000000</v>
      </c>
      <c r="M376" s="82">
        <v>1</v>
      </c>
      <c r="N376" s="82">
        <f>Main_Issuance[[#This Row],[LC Amt(FCY)]]*Main_Issuance[[#This Row],[Rate]]</f>
        <v>1000000</v>
      </c>
      <c r="O376" s="76">
        <v>46142</v>
      </c>
      <c r="P376" s="76">
        <v>46142</v>
      </c>
      <c r="Q376" s="76" t="s">
        <v>27</v>
      </c>
      <c r="R376" s="78" t="s">
        <v>1904</v>
      </c>
      <c r="S376" s="81"/>
      <c r="T376" s="81"/>
      <c r="U376" s="81"/>
      <c r="V376" s="83">
        <v>0</v>
      </c>
      <c r="W376" s="115"/>
      <c r="X376" s="76" t="str">
        <f ca="1">IF(AND((Main_Issuance[[#This Row],[Expiry Date]]+31)&gt;TODAY(),Main_Issuance[[#This Row],[Status]]&lt;&gt;"Cancelled"),"Active","Cancelled")</f>
        <v>Cancelled</v>
      </c>
      <c r="Y376" s="409"/>
      <c r="Z376" s="408"/>
      <c r="AA376" s="408" t="s">
        <v>857</v>
      </c>
      <c r="AB376" s="83" cm="1">
        <f t="array" ref="AB376">Iss_Tariff(Main_Issuance[[#This Row],[Bank]],Main_Issuance[[#This Row],[LC Amt(SAR)]],Main_Issuance[[#This Row],[Issue Date.]],Main_Issuance[[#This Row],[Expiry Date]],Main_Issuance[[#This Row],[Calculate]])</f>
        <v>5836.25</v>
      </c>
      <c r="AC376" s="83"/>
    </row>
    <row r="377" spans="1:29" ht="15.75" hidden="1" x14ac:dyDescent="0.25">
      <c r="A377" s="75" t="s">
        <v>3948</v>
      </c>
      <c r="B377" s="76">
        <v>46057</v>
      </c>
      <c r="C377" s="76" t="s">
        <v>1537</v>
      </c>
      <c r="D377" s="115" t="s">
        <v>20</v>
      </c>
      <c r="E377" s="78" t="s">
        <v>62</v>
      </c>
      <c r="F377" s="78" t="s">
        <v>483</v>
      </c>
      <c r="G377" s="78" t="s">
        <v>521</v>
      </c>
      <c r="H377" s="79" t="s">
        <v>24</v>
      </c>
      <c r="I377" s="78" t="s">
        <v>483</v>
      </c>
      <c r="J377" s="79">
        <v>1020096</v>
      </c>
      <c r="K377" s="78" t="s">
        <v>26</v>
      </c>
      <c r="L377" s="119">
        <v>500000</v>
      </c>
      <c r="M377" s="82">
        <v>1</v>
      </c>
      <c r="N377" s="82">
        <f>Main_Issuance[[#This Row],[LC Amt(FCY)]]*Main_Issuance[[#This Row],[Rate]]</f>
        <v>500000</v>
      </c>
      <c r="O377" s="76">
        <v>46142</v>
      </c>
      <c r="P377" s="76">
        <v>46142</v>
      </c>
      <c r="Q377" s="76" t="s">
        <v>27</v>
      </c>
      <c r="R377" s="78" t="s">
        <v>3229</v>
      </c>
      <c r="S377" s="81"/>
      <c r="T377" s="81"/>
      <c r="U377" s="81"/>
      <c r="V377" s="83">
        <v>0</v>
      </c>
      <c r="W377" s="115"/>
      <c r="X377" s="76" t="str">
        <f ca="1">IF(AND((Main_Issuance[[#This Row],[Expiry Date]]+31)&gt;TODAY(),Main_Issuance[[#This Row],[Status]]&lt;&gt;"Cancelled"),"Active","Cancelled")</f>
        <v>Cancelled</v>
      </c>
      <c r="Y377" s="409"/>
      <c r="Z377" s="408"/>
      <c r="AA377" s="408" t="s">
        <v>857</v>
      </c>
      <c r="AB377" s="83" cm="1">
        <f t="array" ref="AB377">Iss_Tariff(Main_Issuance[[#This Row],[Bank]],Main_Issuance[[#This Row],[LC Amt(SAR)]],Main_Issuance[[#This Row],[Issue Date.]],Main_Issuance[[#This Row],[Expiry Date]],Main_Issuance[[#This Row],[Calculate]])</f>
        <v>3180.9</v>
      </c>
      <c r="AC377" s="83"/>
    </row>
    <row r="378" spans="1:29" ht="15.75" hidden="1" x14ac:dyDescent="0.25">
      <c r="A378" s="75" t="s">
        <v>4564</v>
      </c>
      <c r="B378" s="423">
        <v>46118</v>
      </c>
      <c r="C378" s="424" t="s">
        <v>441</v>
      </c>
      <c r="D378" s="115" t="s">
        <v>20</v>
      </c>
      <c r="E378" s="78" t="s">
        <v>366</v>
      </c>
      <c r="F378" s="78" t="s">
        <v>710</v>
      </c>
      <c r="G378" s="78" t="s">
        <v>521</v>
      </c>
      <c r="H378" s="79" t="s">
        <v>24</v>
      </c>
      <c r="I378" s="78" t="s">
        <v>710</v>
      </c>
      <c r="J378" s="113">
        <v>1020088</v>
      </c>
      <c r="K378" s="78" t="s">
        <v>26</v>
      </c>
      <c r="L378" s="119">
        <v>1000000</v>
      </c>
      <c r="M378" s="82">
        <v>1</v>
      </c>
      <c r="N378" s="82">
        <f>Main_Issuance[[#This Row],[LC Amt(FCY)]]*Main_Issuance[[#This Row],[Rate]]</f>
        <v>1000000</v>
      </c>
      <c r="O378" s="423">
        <v>46203</v>
      </c>
      <c r="P378" s="423">
        <v>46203</v>
      </c>
      <c r="Q378" s="423" t="s">
        <v>27</v>
      </c>
      <c r="R378" s="78" t="s">
        <v>4493</v>
      </c>
      <c r="S378" s="81"/>
      <c r="T378" s="81"/>
      <c r="U378" s="81"/>
      <c r="V378" s="83">
        <v>0</v>
      </c>
      <c r="W378" s="115"/>
      <c r="X378" s="423" t="str">
        <f ca="1">IF(AND((Main_Issuance[[#This Row],[Expiry Date]]+31)&gt;TODAY(),Main_Issuance[[#This Row],[Status]]&lt;&gt;"Cancelled"),"Active","Cancelled")</f>
        <v>Active</v>
      </c>
      <c r="Y378" s="96"/>
      <c r="Z378" s="424"/>
      <c r="AA378" s="443" t="s">
        <v>857</v>
      </c>
      <c r="AB378" s="83" cm="1">
        <f t="array" ref="AB378">Iss_Tariff(Main_Issuance[[#This Row],[Bank]],Main_Issuance[[#This Row],[LC Amt(SAR)]],Main_Issuance[[#This Row],[Issue Date.]],Main_Issuance[[#This Row],[Expiry Date]],Main_Issuance[[#This Row],[Calculate]])</f>
        <v>5836.25</v>
      </c>
      <c r="AC378" s="83"/>
    </row>
    <row r="379" spans="1:29" ht="15.75" hidden="1" x14ac:dyDescent="0.25">
      <c r="A379" s="75" t="s">
        <v>4680</v>
      </c>
      <c r="B379" s="423">
        <v>46124</v>
      </c>
      <c r="C379" s="423" t="s">
        <v>1259</v>
      </c>
      <c r="D379" s="78" t="s">
        <v>20</v>
      </c>
      <c r="E379" s="78" t="s">
        <v>95</v>
      </c>
      <c r="F379" s="78" t="s">
        <v>96</v>
      </c>
      <c r="G379" s="78" t="s">
        <v>521</v>
      </c>
      <c r="H379" s="79" t="s">
        <v>1791</v>
      </c>
      <c r="I379" s="78" t="s">
        <v>328</v>
      </c>
      <c r="J379" s="115">
        <v>1020097</v>
      </c>
      <c r="K379" s="78" t="s">
        <v>26</v>
      </c>
      <c r="L379" s="119">
        <v>2193076</v>
      </c>
      <c r="M379" s="82">
        <v>1</v>
      </c>
      <c r="N379" s="82">
        <f>Main_Issuance[[#This Row],[LC Amt(FCY)]]*Main_Issuance[[#This Row],[Rate]]</f>
        <v>2193076</v>
      </c>
      <c r="O379" s="423">
        <v>46172</v>
      </c>
      <c r="P379" s="423">
        <v>46172</v>
      </c>
      <c r="Q379" s="423" t="s">
        <v>27</v>
      </c>
      <c r="R379" s="78" t="s">
        <v>28</v>
      </c>
      <c r="S379" s="81"/>
      <c r="T379" s="81"/>
      <c r="U379" s="81"/>
      <c r="V379" s="83">
        <v>0</v>
      </c>
      <c r="W379" s="115" t="s">
        <v>4622</v>
      </c>
      <c r="X379" s="423" t="str">
        <f ca="1">IF(AND((Main_Issuance[[#This Row],[Expiry Date]]+31)&gt;TODAY(),Main_Issuance[[#This Row],[Status]]&lt;&gt;"Cancelled"),"Active","Cancelled")</f>
        <v>Active</v>
      </c>
      <c r="Y379" s="96"/>
      <c r="Z379" s="424"/>
      <c r="AA379" s="443" t="s">
        <v>857</v>
      </c>
      <c r="AB379" s="83" cm="1">
        <f t="array" ref="AB379">Iss_Tariff(Main_Issuance[[#This Row],[Bank]],Main_Issuance[[#This Row],[LC Amt(SAR)]],Main_Issuance[[#This Row],[Issue Date.]],Main_Issuance[[#This Row],[Expiry Date]],Main_Issuance[[#This Row],[Calculate]])</f>
        <v>2562.1999999999998</v>
      </c>
      <c r="AC379" s="83"/>
    </row>
    <row r="380" spans="1:29" ht="15.75" hidden="1" x14ac:dyDescent="0.25">
      <c r="A380" s="70" t="s">
        <v>38</v>
      </c>
      <c r="B380" s="56">
        <v>45167</v>
      </c>
      <c r="C380" s="56" t="s">
        <v>441</v>
      </c>
      <c r="D380" s="69" t="s">
        <v>20</v>
      </c>
      <c r="E380" s="69" t="s">
        <v>21</v>
      </c>
      <c r="F380" s="69" t="s">
        <v>22</v>
      </c>
      <c r="G380" s="69" t="s">
        <v>39</v>
      </c>
      <c r="H380" s="65" t="s">
        <v>24</v>
      </c>
      <c r="I380" s="65" t="s">
        <v>22</v>
      </c>
      <c r="J380" s="59">
        <v>1020055</v>
      </c>
      <c r="K380" s="69" t="s">
        <v>26</v>
      </c>
      <c r="L380" s="60">
        <v>3991924.87</v>
      </c>
      <c r="M380" s="60">
        <v>1</v>
      </c>
      <c r="N380" s="60">
        <f>Main_Issuance[[#This Row],[LC Amt(FCY)]]*Main_Issuance[[#This Row],[Rate]]</f>
        <v>3991924.87</v>
      </c>
      <c r="O380" s="56">
        <v>45474</v>
      </c>
      <c r="P380" s="56">
        <v>45474</v>
      </c>
      <c r="Q380" s="56" t="s">
        <v>27</v>
      </c>
      <c r="R380" s="78" t="s">
        <v>28</v>
      </c>
      <c r="S380" s="71"/>
      <c r="T380" s="71"/>
      <c r="U380" s="71"/>
      <c r="V380" s="68">
        <v>0</v>
      </c>
      <c r="W380" s="115"/>
      <c r="X380" s="56" t="str">
        <f ca="1">IF(AND((Main_Issuance[[#This Row],[Expiry Date]]+31)&gt;TODAY(),Main_Issuance[[#This Row],[Status]]&lt;&gt;"Cancelled"),"Active","Cancelled")</f>
        <v>Cancelled</v>
      </c>
      <c r="Y380" s="409"/>
      <c r="Z380" s="408"/>
      <c r="AA380" s="408" t="s">
        <v>378</v>
      </c>
      <c r="AB380" s="83" cm="1">
        <f t="array" ref="AB380">Iss_Tariff(Main_Issuance[[#This Row],[Bank]],Main_Issuance[[#This Row],[LC Amt(SAR)]],Main_Issuance[[#This Row],[Issue Date.]],Main_Issuance[[#This Row],[Expiry Date]],Main_Issuance[[#This Row],[Calculate]])</f>
        <v>0</v>
      </c>
      <c r="AC380" s="83"/>
    </row>
    <row r="381" spans="1:29" ht="15.75" hidden="1" x14ac:dyDescent="0.25">
      <c r="A381" s="70" t="s">
        <v>79</v>
      </c>
      <c r="B381" s="56">
        <v>45283</v>
      </c>
      <c r="C381" s="56" t="s">
        <v>1181</v>
      </c>
      <c r="D381" s="69" t="s">
        <v>20</v>
      </c>
      <c r="E381" s="69" t="s">
        <v>62</v>
      </c>
      <c r="F381" s="69" t="s">
        <v>63</v>
      </c>
      <c r="G381" s="69" t="s">
        <v>39</v>
      </c>
      <c r="H381" s="65" t="s">
        <v>80</v>
      </c>
      <c r="I381" s="65" t="s">
        <v>81</v>
      </c>
      <c r="J381" s="59">
        <v>1020070</v>
      </c>
      <c r="K381" s="69" t="s">
        <v>26</v>
      </c>
      <c r="L381" s="60">
        <v>7021761.2000000002</v>
      </c>
      <c r="M381" s="60">
        <v>1</v>
      </c>
      <c r="N381" s="60">
        <f>Main_Issuance[[#This Row],[LC Amt(FCY)]]*Main_Issuance[[#This Row],[Rate]]</f>
        <v>7021761.2000000002</v>
      </c>
      <c r="O381" s="56">
        <v>45473</v>
      </c>
      <c r="P381" s="56">
        <v>45473</v>
      </c>
      <c r="Q381" s="56" t="s">
        <v>27</v>
      </c>
      <c r="R381" s="78"/>
      <c r="S381" s="71"/>
      <c r="T381" s="71"/>
      <c r="U381" s="71"/>
      <c r="V381" s="68">
        <v>0</v>
      </c>
      <c r="W381" s="115"/>
      <c r="X381" s="56" t="str">
        <f ca="1">IF(AND((Main_Issuance[[#This Row],[Expiry Date]]+31)&gt;TODAY(),Main_Issuance[[#This Row],[Status]]&lt;&gt;"Cancelled"),"Active","Cancelled")</f>
        <v>Cancelled</v>
      </c>
      <c r="Y381" s="409"/>
      <c r="Z381" s="408"/>
      <c r="AA381" s="408" t="s">
        <v>378</v>
      </c>
      <c r="AB381" s="83" cm="1">
        <f t="array" ref="AB381">Iss_Tariff(Main_Issuance[[#This Row],[Bank]],Main_Issuance[[#This Row],[LC Amt(SAR)]],Main_Issuance[[#This Row],[Issue Date.]],Main_Issuance[[#This Row],[Expiry Date]],Main_Issuance[[#This Row],[Calculate]])</f>
        <v>0</v>
      </c>
      <c r="AC381" s="83"/>
    </row>
    <row r="382" spans="1:29" ht="15.75" hidden="1" x14ac:dyDescent="0.25">
      <c r="A382" s="19" t="s">
        <v>150</v>
      </c>
      <c r="B382" s="58">
        <v>45125</v>
      </c>
      <c r="C382" s="58" t="s">
        <v>441</v>
      </c>
      <c r="D382" s="19" t="s">
        <v>20</v>
      </c>
      <c r="E382" s="19" t="s">
        <v>21</v>
      </c>
      <c r="F382" s="19" t="s">
        <v>22</v>
      </c>
      <c r="G382" s="19" t="s">
        <v>39</v>
      </c>
      <c r="H382" s="59" t="s">
        <v>24</v>
      </c>
      <c r="I382" s="59" t="s">
        <v>22</v>
      </c>
      <c r="J382" s="59">
        <v>1020055</v>
      </c>
      <c r="K382" s="19" t="s">
        <v>26</v>
      </c>
      <c r="L382" s="60">
        <v>2836813.01</v>
      </c>
      <c r="M382" s="60">
        <v>1</v>
      </c>
      <c r="N382" s="60">
        <f>Main_Issuance[[#This Row],[LC Amt(FCY)]]*Main_Issuance[[#This Row],[Rate]]</f>
        <v>2836813.01</v>
      </c>
      <c r="O382" s="58">
        <v>45260</v>
      </c>
      <c r="P382" s="58">
        <v>45260</v>
      </c>
      <c r="Q382" s="58" t="s">
        <v>27</v>
      </c>
      <c r="R382" s="78"/>
      <c r="S382" s="61"/>
      <c r="T382" s="61"/>
      <c r="U382" s="61"/>
      <c r="V382" s="62">
        <v>0</v>
      </c>
      <c r="W382" s="115"/>
      <c r="X382" s="58" t="str">
        <f ca="1">IF(AND((Main_Issuance[[#This Row],[Expiry Date]]+31)&gt;TODAY(),Main_Issuance[[#This Row],[Status]]&lt;&gt;"Cancelled"),"Active","Cancelled")</f>
        <v>Cancelled</v>
      </c>
      <c r="Y382" s="409"/>
      <c r="Z382" s="408"/>
      <c r="AA382" s="408" t="s">
        <v>378</v>
      </c>
      <c r="AB382" s="83" cm="1">
        <f t="array" ref="AB382">Iss_Tariff(Main_Issuance[[#This Row],[Bank]],Main_Issuance[[#This Row],[LC Amt(SAR)]],Main_Issuance[[#This Row],[Issue Date.]],Main_Issuance[[#This Row],[Expiry Date]],Main_Issuance[[#This Row],[Calculate]])</f>
        <v>0</v>
      </c>
      <c r="AC382" s="83"/>
    </row>
    <row r="383" spans="1:29" ht="15.75" hidden="1" x14ac:dyDescent="0.25">
      <c r="A383" s="70" t="s">
        <v>153</v>
      </c>
      <c r="B383" s="56">
        <v>45125</v>
      </c>
      <c r="C383" s="56" t="s">
        <v>441</v>
      </c>
      <c r="D383" s="69" t="s">
        <v>20</v>
      </c>
      <c r="E383" s="69" t="s">
        <v>21</v>
      </c>
      <c r="F383" s="69" t="s">
        <v>22</v>
      </c>
      <c r="G383" s="69" t="s">
        <v>39</v>
      </c>
      <c r="H383" s="65" t="s">
        <v>24</v>
      </c>
      <c r="I383" s="65" t="s">
        <v>22</v>
      </c>
      <c r="J383" s="59">
        <v>1020055</v>
      </c>
      <c r="K383" s="69" t="s">
        <v>26</v>
      </c>
      <c r="L383" s="60">
        <v>752957.98</v>
      </c>
      <c r="M383" s="60">
        <v>1</v>
      </c>
      <c r="N383" s="60">
        <f>Main_Issuance[[#This Row],[LC Amt(FCY)]]*Main_Issuance[[#This Row],[Rate]]</f>
        <v>752957.98</v>
      </c>
      <c r="O383" s="56">
        <v>45260</v>
      </c>
      <c r="P383" s="56">
        <v>45260</v>
      </c>
      <c r="Q383" s="56" t="s">
        <v>27</v>
      </c>
      <c r="R383" s="78"/>
      <c r="S383" s="71"/>
      <c r="T383" s="71"/>
      <c r="U383" s="71"/>
      <c r="V383" s="68">
        <v>0</v>
      </c>
      <c r="W383" s="115"/>
      <c r="X383" s="56" t="str">
        <f ca="1">IF(AND((Main_Issuance[[#This Row],[Expiry Date]]+31)&gt;TODAY(),Main_Issuance[[#This Row],[Status]]&lt;&gt;"Cancelled"),"Active","Cancelled")</f>
        <v>Cancelled</v>
      </c>
      <c r="Y383" s="409"/>
      <c r="Z383" s="408"/>
      <c r="AA383" s="408" t="s">
        <v>378</v>
      </c>
      <c r="AB383" s="83" cm="1">
        <f t="array" ref="AB383">Iss_Tariff(Main_Issuance[[#This Row],[Bank]],Main_Issuance[[#This Row],[LC Amt(SAR)]],Main_Issuance[[#This Row],[Issue Date.]],Main_Issuance[[#This Row],[Expiry Date]],Main_Issuance[[#This Row],[Calculate]])</f>
        <v>0</v>
      </c>
      <c r="AC383" s="83"/>
    </row>
    <row r="384" spans="1:29" ht="15.75" hidden="1" x14ac:dyDescent="0.25">
      <c r="A384" s="70" t="s">
        <v>173</v>
      </c>
      <c r="B384" s="56">
        <v>45011</v>
      </c>
      <c r="C384" s="56" t="s">
        <v>1182</v>
      </c>
      <c r="D384" s="19" t="s">
        <v>20</v>
      </c>
      <c r="E384" s="69" t="s">
        <v>21</v>
      </c>
      <c r="F384" s="69" t="s">
        <v>22</v>
      </c>
      <c r="G384" s="69" t="s">
        <v>39</v>
      </c>
      <c r="H384" s="65" t="s">
        <v>24</v>
      </c>
      <c r="I384" s="65" t="s">
        <v>25</v>
      </c>
      <c r="J384" s="59">
        <v>1020052</v>
      </c>
      <c r="K384" s="69" t="s">
        <v>26</v>
      </c>
      <c r="L384" s="60">
        <v>853853.28</v>
      </c>
      <c r="M384" s="60">
        <v>1</v>
      </c>
      <c r="N384" s="60">
        <f>Main_Issuance[[#This Row],[LC Amt(FCY)]]*Main_Issuance[[#This Row],[Rate]]</f>
        <v>853853.28</v>
      </c>
      <c r="O384" s="58">
        <v>45291</v>
      </c>
      <c r="P384" s="58">
        <v>45291</v>
      </c>
      <c r="Q384" s="56" t="s">
        <v>27</v>
      </c>
      <c r="R384" s="78"/>
      <c r="S384" s="71"/>
      <c r="T384" s="71"/>
      <c r="U384" s="71"/>
      <c r="V384" s="68">
        <v>0</v>
      </c>
      <c r="W384" s="115"/>
      <c r="X384" s="56" t="str">
        <f ca="1">IF(AND((Main_Issuance[[#This Row],[Expiry Date]]+31)&gt;TODAY(),Main_Issuance[[#This Row],[Status]]&lt;&gt;"Cancelled"),"Active","Cancelled")</f>
        <v>Cancelled</v>
      </c>
      <c r="Y384" s="409"/>
      <c r="Z384" s="408"/>
      <c r="AA384" s="408" t="s">
        <v>378</v>
      </c>
      <c r="AB384" s="83" cm="1">
        <f t="array" ref="AB384">Iss_Tariff(Main_Issuance[[#This Row],[Bank]],Main_Issuance[[#This Row],[LC Amt(SAR)]],Main_Issuance[[#This Row],[Issue Date.]],Main_Issuance[[#This Row],[Expiry Date]],Main_Issuance[[#This Row],[Calculate]])</f>
        <v>0</v>
      </c>
      <c r="AC384" s="83"/>
    </row>
    <row r="385" spans="1:29" ht="15.75" hidden="1" x14ac:dyDescent="0.25">
      <c r="A385" s="70" t="s">
        <v>174</v>
      </c>
      <c r="B385" s="56">
        <v>45011</v>
      </c>
      <c r="C385" s="58" t="s">
        <v>1182</v>
      </c>
      <c r="D385" s="69" t="s">
        <v>20</v>
      </c>
      <c r="E385" s="69" t="s">
        <v>21</v>
      </c>
      <c r="F385" s="69" t="s">
        <v>22</v>
      </c>
      <c r="G385" s="69" t="s">
        <v>39</v>
      </c>
      <c r="H385" s="65" t="s">
        <v>24</v>
      </c>
      <c r="I385" s="65" t="s">
        <v>25</v>
      </c>
      <c r="J385" s="59">
        <v>1020052</v>
      </c>
      <c r="K385" s="69" t="s">
        <v>26</v>
      </c>
      <c r="L385" s="60">
        <v>1707750</v>
      </c>
      <c r="M385" s="60">
        <v>1</v>
      </c>
      <c r="N385" s="60">
        <f>Main_Issuance[[#This Row],[LC Amt(FCY)]]*Main_Issuance[[#This Row],[Rate]]</f>
        <v>1707750</v>
      </c>
      <c r="O385" s="56">
        <v>45291</v>
      </c>
      <c r="P385" s="56">
        <v>45291</v>
      </c>
      <c r="Q385" s="56" t="s">
        <v>27</v>
      </c>
      <c r="R385" s="78"/>
      <c r="S385" s="71"/>
      <c r="T385" s="71"/>
      <c r="U385" s="71"/>
      <c r="V385" s="68">
        <v>0</v>
      </c>
      <c r="W385" s="115"/>
      <c r="X385" s="56" t="str">
        <f ca="1">IF(AND((Main_Issuance[[#This Row],[Expiry Date]]+31)&gt;TODAY(),Main_Issuance[[#This Row],[Status]]&lt;&gt;"Cancelled"),"Active","Cancelled")</f>
        <v>Cancelled</v>
      </c>
      <c r="Y385" s="409"/>
      <c r="Z385" s="408"/>
      <c r="AA385" s="408" t="s">
        <v>378</v>
      </c>
      <c r="AB385" s="83" cm="1">
        <f t="array" ref="AB385">Iss_Tariff(Main_Issuance[[#This Row],[Bank]],Main_Issuance[[#This Row],[LC Amt(SAR)]],Main_Issuance[[#This Row],[Issue Date.]],Main_Issuance[[#This Row],[Expiry Date]],Main_Issuance[[#This Row],[Calculate]])</f>
        <v>0</v>
      </c>
      <c r="AC385" s="83"/>
    </row>
    <row r="386" spans="1:29" ht="15.75" hidden="1" x14ac:dyDescent="0.25">
      <c r="A386" s="19" t="s">
        <v>214</v>
      </c>
      <c r="B386" s="58">
        <v>45015</v>
      </c>
      <c r="C386" s="58" t="s">
        <v>1182</v>
      </c>
      <c r="D386" s="19" t="s">
        <v>20</v>
      </c>
      <c r="E386" s="19" t="s">
        <v>21</v>
      </c>
      <c r="F386" s="19" t="s">
        <v>22</v>
      </c>
      <c r="G386" s="19" t="s">
        <v>39</v>
      </c>
      <c r="H386" s="59" t="s">
        <v>24</v>
      </c>
      <c r="I386" s="59" t="s">
        <v>90</v>
      </c>
      <c r="J386" s="59">
        <v>1020001</v>
      </c>
      <c r="K386" s="19" t="s">
        <v>26</v>
      </c>
      <c r="L386" s="60">
        <v>9577116</v>
      </c>
      <c r="M386" s="60">
        <v>1</v>
      </c>
      <c r="N386" s="60">
        <f>Main_Issuance[[#This Row],[LC Amt(FCY)]]*Main_Issuance[[#This Row],[Rate]]</f>
        <v>9577116</v>
      </c>
      <c r="O386" s="58">
        <v>45230</v>
      </c>
      <c r="P386" s="58">
        <v>45138</v>
      </c>
      <c r="Q386" s="58" t="s">
        <v>27</v>
      </c>
      <c r="R386" s="78"/>
      <c r="S386" s="61"/>
      <c r="T386" s="61"/>
      <c r="U386" s="61"/>
      <c r="V386" s="62">
        <v>0</v>
      </c>
      <c r="W386" s="115"/>
      <c r="X386" s="58" t="str">
        <f ca="1">IF(AND((Main_Issuance[[#This Row],[Expiry Date]]+31)&gt;TODAY(),Main_Issuance[[#This Row],[Status]]&lt;&gt;"Cancelled"),"Active","Cancelled")</f>
        <v>Cancelled</v>
      </c>
      <c r="Y386" s="409"/>
      <c r="Z386" s="408"/>
      <c r="AA386" s="408" t="s">
        <v>378</v>
      </c>
      <c r="AB386" s="83" cm="1">
        <f t="array" ref="AB386">Iss_Tariff(Main_Issuance[[#This Row],[Bank]],Main_Issuance[[#This Row],[LC Amt(SAR)]],Main_Issuance[[#This Row],[Issue Date.]],Main_Issuance[[#This Row],[Expiry Date]],Main_Issuance[[#This Row],[Calculate]])</f>
        <v>0</v>
      </c>
      <c r="AC386" s="83"/>
    </row>
    <row r="387" spans="1:29" ht="15.75" hidden="1" x14ac:dyDescent="0.25">
      <c r="A387" s="70" t="s">
        <v>226</v>
      </c>
      <c r="B387" s="56">
        <v>45167</v>
      </c>
      <c r="C387" s="58" t="s">
        <v>1184</v>
      </c>
      <c r="D387" s="69" t="s">
        <v>20</v>
      </c>
      <c r="E387" s="69" t="s">
        <v>21</v>
      </c>
      <c r="F387" s="69" t="s">
        <v>22</v>
      </c>
      <c r="G387" s="69" t="s">
        <v>39</v>
      </c>
      <c r="H387" s="59" t="s">
        <v>80</v>
      </c>
      <c r="I387" s="65" t="s">
        <v>22</v>
      </c>
      <c r="J387" s="59">
        <v>1020055</v>
      </c>
      <c r="K387" s="69" t="s">
        <v>26</v>
      </c>
      <c r="L387" s="60">
        <v>4440950.5599999996</v>
      </c>
      <c r="M387" s="60">
        <v>1</v>
      </c>
      <c r="N387" s="60">
        <f>Main_Issuance[[#This Row],[LC Amt(FCY)]]*Main_Issuance[[#This Row],[Rate]]</f>
        <v>4440950.5599999996</v>
      </c>
      <c r="O387" s="56">
        <v>45260</v>
      </c>
      <c r="P387" s="56">
        <v>45260</v>
      </c>
      <c r="Q387" s="56" t="s">
        <v>27</v>
      </c>
      <c r="R387" s="78"/>
      <c r="S387" s="71"/>
      <c r="T387" s="71"/>
      <c r="U387" s="71"/>
      <c r="V387" s="68">
        <v>0</v>
      </c>
      <c r="W387" s="115"/>
      <c r="X387" s="56" t="str">
        <f ca="1">IF(AND((Main_Issuance[[#This Row],[Expiry Date]]+31)&gt;TODAY(),Main_Issuance[[#This Row],[Status]]&lt;&gt;"Cancelled"),"Active","Cancelled")</f>
        <v>Cancelled</v>
      </c>
      <c r="Y387" s="409"/>
      <c r="Z387" s="408"/>
      <c r="AA387" s="408" t="s">
        <v>378</v>
      </c>
      <c r="AB387" s="83" cm="1">
        <f t="array" ref="AB387">Iss_Tariff(Main_Issuance[[#This Row],[Bank]],Main_Issuance[[#This Row],[LC Amt(SAR)]],Main_Issuance[[#This Row],[Issue Date.]],Main_Issuance[[#This Row],[Expiry Date]],Main_Issuance[[#This Row],[Calculate]])</f>
        <v>0</v>
      </c>
      <c r="AC387" s="83"/>
    </row>
    <row r="388" spans="1:29" ht="15.75" hidden="1" x14ac:dyDescent="0.25">
      <c r="A388" s="57" t="s">
        <v>249</v>
      </c>
      <c r="B388" s="56">
        <v>45292</v>
      </c>
      <c r="C388" s="58" t="s">
        <v>1182</v>
      </c>
      <c r="D388" s="19" t="s">
        <v>20</v>
      </c>
      <c r="E388" s="69" t="s">
        <v>21</v>
      </c>
      <c r="F388" s="69" t="s">
        <v>22</v>
      </c>
      <c r="G388" s="19" t="s">
        <v>39</v>
      </c>
      <c r="H388" s="59" t="s">
        <v>24</v>
      </c>
      <c r="I388" s="59" t="s">
        <v>25</v>
      </c>
      <c r="J388" s="59">
        <v>1020052</v>
      </c>
      <c r="K388" s="19" t="s">
        <v>26</v>
      </c>
      <c r="L388" s="60">
        <v>4998187.67</v>
      </c>
      <c r="M388" s="60">
        <v>1</v>
      </c>
      <c r="N388" s="60">
        <f>Main_Issuance[[#This Row],[LC Amt(FCY)]]*Main_Issuance[[#This Row],[Rate]]</f>
        <v>4998187.67</v>
      </c>
      <c r="O388" s="58">
        <v>45291</v>
      </c>
      <c r="P388" s="58">
        <v>45291</v>
      </c>
      <c r="Q388" s="58" t="s">
        <v>27</v>
      </c>
      <c r="R388" s="78"/>
      <c r="S388" s="71"/>
      <c r="T388" s="71"/>
      <c r="U388" s="71"/>
      <c r="V388" s="68">
        <v>0</v>
      </c>
      <c r="W388" s="115"/>
      <c r="X388" s="58" t="str">
        <f ca="1">IF(AND((Main_Issuance[[#This Row],[Expiry Date]]+31)&gt;TODAY(),Main_Issuance[[#This Row],[Status]]&lt;&gt;"Cancelled"),"Active","Cancelled")</f>
        <v>Cancelled</v>
      </c>
      <c r="Y388" s="409"/>
      <c r="Z388" s="408"/>
      <c r="AA388" s="408" t="s">
        <v>378</v>
      </c>
      <c r="AB388" s="83" cm="1">
        <f t="array" ref="AB388">Iss_Tariff(Main_Issuance[[#This Row],[Bank]],Main_Issuance[[#This Row],[LC Amt(SAR)]],Main_Issuance[[#This Row],[Issue Date.]],Main_Issuance[[#This Row],[Expiry Date]],Main_Issuance[[#This Row],[Calculate]])</f>
        <v>0</v>
      </c>
      <c r="AC388" s="83"/>
    </row>
    <row r="389" spans="1:29" ht="15.75" hidden="1" x14ac:dyDescent="0.25">
      <c r="A389" s="57" t="s">
        <v>420</v>
      </c>
      <c r="B389" s="56">
        <v>45554</v>
      </c>
      <c r="C389" s="58" t="s">
        <v>1181</v>
      </c>
      <c r="D389" s="69" t="s">
        <v>20</v>
      </c>
      <c r="E389" s="69" t="s">
        <v>95</v>
      </c>
      <c r="F389" s="69" t="s">
        <v>96</v>
      </c>
      <c r="G389" s="19" t="s">
        <v>39</v>
      </c>
      <c r="H389" s="59" t="s">
        <v>80</v>
      </c>
      <c r="I389" s="59" t="s">
        <v>81</v>
      </c>
      <c r="J389" s="59">
        <v>1020070</v>
      </c>
      <c r="K389" s="19" t="s">
        <v>26</v>
      </c>
      <c r="L389" s="60">
        <v>3543660.2</v>
      </c>
      <c r="M389" s="60">
        <v>1</v>
      </c>
      <c r="N389" s="60">
        <f>Main_Issuance[[#This Row],[LC Amt(FCY)]]*Main_Issuance[[#This Row],[Rate]]</f>
        <v>3543660.2</v>
      </c>
      <c r="O389" s="56">
        <v>45657</v>
      </c>
      <c r="P389" s="56">
        <v>45657</v>
      </c>
      <c r="Q389" s="58" t="s">
        <v>27</v>
      </c>
      <c r="R389" s="78" t="s">
        <v>408</v>
      </c>
      <c r="S389" s="71"/>
      <c r="T389" s="71"/>
      <c r="U389" s="71"/>
      <c r="V389" s="68">
        <v>0</v>
      </c>
      <c r="W389" s="115"/>
      <c r="X389" s="58" t="str">
        <f ca="1">IF(AND((Main_Issuance[[#This Row],[Expiry Date]]+31)&gt;TODAY(),Main_Issuance[[#This Row],[Status]]&lt;&gt;"Cancelled"),"Active","Cancelled")</f>
        <v>Cancelled</v>
      </c>
      <c r="Y389" s="409"/>
      <c r="Z389" s="408"/>
      <c r="AA389" s="408" t="s">
        <v>378</v>
      </c>
      <c r="AB389" s="83" cm="1">
        <f t="array" ref="AB389">Iss_Tariff(Main_Issuance[[#This Row],[Bank]],Main_Issuance[[#This Row],[LC Amt(SAR)]],Main_Issuance[[#This Row],[Issue Date.]],Main_Issuance[[#This Row],[Expiry Date]],Main_Issuance[[#This Row],[Calculate]])</f>
        <v>0</v>
      </c>
      <c r="AC389" s="83"/>
    </row>
    <row r="390" spans="1:29" ht="15.75" hidden="1" x14ac:dyDescent="0.25">
      <c r="A390" s="114" t="s">
        <v>3953</v>
      </c>
      <c r="B390" s="76">
        <v>46057</v>
      </c>
      <c r="C390" s="77" t="s">
        <v>1537</v>
      </c>
      <c r="D390" s="78" t="s">
        <v>20</v>
      </c>
      <c r="E390" s="78" t="s">
        <v>62</v>
      </c>
      <c r="F390" s="78" t="s">
        <v>483</v>
      </c>
      <c r="G390" s="115" t="s">
        <v>3856</v>
      </c>
      <c r="H390" s="113" t="s">
        <v>24</v>
      </c>
      <c r="I390" s="115" t="s">
        <v>483</v>
      </c>
      <c r="J390" s="113">
        <v>1020096</v>
      </c>
      <c r="K390" s="115" t="s">
        <v>26</v>
      </c>
      <c r="L390" s="119">
        <v>500000</v>
      </c>
      <c r="M390" s="82">
        <v>1</v>
      </c>
      <c r="N390" s="82">
        <f>Main_Issuance[[#This Row],[LC Amt(FCY)]]*Main_Issuance[[#This Row],[Rate]]</f>
        <v>500000</v>
      </c>
      <c r="O390" s="76">
        <v>46142</v>
      </c>
      <c r="P390" s="76">
        <v>46142</v>
      </c>
      <c r="Q390" s="77" t="s">
        <v>27</v>
      </c>
      <c r="R390" s="78" t="s">
        <v>3229</v>
      </c>
      <c r="S390" s="81"/>
      <c r="T390" s="81"/>
      <c r="U390" s="81"/>
      <c r="V390" s="83">
        <v>0</v>
      </c>
      <c r="W390" s="115"/>
      <c r="X390" s="77" t="str">
        <f ca="1">IF(AND((Main_Issuance[[#This Row],[Expiry Date]]+31)&gt;TODAY(),Main_Issuance[[#This Row],[Status]]&lt;&gt;"Cancelled"),"Active","Cancelled")</f>
        <v>Cancelled</v>
      </c>
      <c r="Y390" s="409"/>
      <c r="Z390" s="408"/>
      <c r="AA390" s="408" t="s">
        <v>857</v>
      </c>
      <c r="AB390" s="83" cm="1">
        <f t="array" ref="AB390">Iss_Tariff(Main_Issuance[[#This Row],[Bank]],Main_Issuance[[#This Row],[LC Amt(SAR)]],Main_Issuance[[#This Row],[Issue Date.]],Main_Issuance[[#This Row],[Expiry Date]],Main_Issuance[[#This Row],[Calculate]])</f>
        <v>3180.9</v>
      </c>
      <c r="AC390" s="83"/>
    </row>
    <row r="391" spans="1:29" ht="15.75" hidden="1" x14ac:dyDescent="0.25">
      <c r="A391" s="114" t="s">
        <v>3721</v>
      </c>
      <c r="B391" s="76">
        <v>46040</v>
      </c>
      <c r="C391" s="77" t="s">
        <v>1259</v>
      </c>
      <c r="D391" s="78" t="s">
        <v>20</v>
      </c>
      <c r="E391" s="78" t="s">
        <v>95</v>
      </c>
      <c r="F391" s="78" t="s">
        <v>96</v>
      </c>
      <c r="G391" s="115" t="s">
        <v>3618</v>
      </c>
      <c r="H391" s="113" t="s">
        <v>1791</v>
      </c>
      <c r="I391" s="115" t="s">
        <v>328</v>
      </c>
      <c r="J391" s="115">
        <v>1020097</v>
      </c>
      <c r="K391" s="115" t="s">
        <v>26</v>
      </c>
      <c r="L391" s="119">
        <v>400000</v>
      </c>
      <c r="M391" s="82">
        <v>1</v>
      </c>
      <c r="N391" s="82">
        <f>Main_Issuance[[#This Row],[LC Amt(FCY)]]*Main_Issuance[[#This Row],[Rate]]</f>
        <v>400000</v>
      </c>
      <c r="O391" s="76">
        <v>46172</v>
      </c>
      <c r="P391" s="76">
        <v>46157</v>
      </c>
      <c r="Q391" s="77" t="s">
        <v>27</v>
      </c>
      <c r="R391" s="78" t="s">
        <v>28</v>
      </c>
      <c r="S391" s="81"/>
      <c r="T391" s="81"/>
      <c r="U391" s="81"/>
      <c r="V391" s="83">
        <v>0</v>
      </c>
      <c r="W391" s="115"/>
      <c r="X391" s="77" t="str">
        <f ca="1">IF(AND((Main_Issuance[[#This Row],[Expiry Date]]+31)&gt;TODAY(),Main_Issuance[[#This Row],[Status]]&lt;&gt;"Cancelled"),"Active","Cancelled")</f>
        <v>Active</v>
      </c>
      <c r="Y391" s="409"/>
      <c r="Z391" s="408"/>
      <c r="AA391" s="408" t="s">
        <v>857</v>
      </c>
      <c r="AB391" s="83" cm="1">
        <f t="array" ref="AB391">Iss_Tariff(Main_Issuance[[#This Row],[Bank]],Main_Issuance[[#This Row],[LC Amt(SAR)]],Main_Issuance[[#This Row],[Issue Date.]],Main_Issuance[[#This Row],[Expiry Date]],Main_Issuance[[#This Row],[Calculate]])</f>
        <v>1227.05</v>
      </c>
      <c r="AC391" s="83"/>
    </row>
    <row r="392" spans="1:29" ht="15.75" hidden="1" x14ac:dyDescent="0.25">
      <c r="A392" s="114" t="s">
        <v>1498</v>
      </c>
      <c r="B392" s="76">
        <v>45831</v>
      </c>
      <c r="C392" s="77" t="s">
        <v>441</v>
      </c>
      <c r="D392" s="78" t="s">
        <v>20</v>
      </c>
      <c r="E392" s="78" t="s">
        <v>21</v>
      </c>
      <c r="F392" s="115" t="s">
        <v>22</v>
      </c>
      <c r="G392" s="115" t="s">
        <v>1413</v>
      </c>
      <c r="H392" s="115" t="s">
        <v>24</v>
      </c>
      <c r="I392" s="115" t="s">
        <v>407</v>
      </c>
      <c r="J392" s="113">
        <v>1020100</v>
      </c>
      <c r="K392" s="115" t="s">
        <v>26</v>
      </c>
      <c r="L392" s="60">
        <v>94929.8</v>
      </c>
      <c r="M392" s="60">
        <v>1</v>
      </c>
      <c r="N392" s="60">
        <f>Main_Issuance[[#This Row],[LC Amt(FCY)]]*Main_Issuance[[#This Row],[Rate]]</f>
        <v>94929.8</v>
      </c>
      <c r="O392" s="76">
        <v>45900</v>
      </c>
      <c r="P392" s="76">
        <v>45900</v>
      </c>
      <c r="Q392" s="77" t="s">
        <v>27</v>
      </c>
      <c r="R392" s="78" t="s">
        <v>621</v>
      </c>
      <c r="S392" s="81"/>
      <c r="T392" s="81"/>
      <c r="U392" s="81"/>
      <c r="V392" s="83">
        <v>0</v>
      </c>
      <c r="W392" s="115"/>
      <c r="X392" s="77" t="str">
        <f ca="1">IF(AND((Main_Issuance[[#This Row],[Expiry Date]]+31)&gt;TODAY(),Main_Issuance[[#This Row],[Status]]&lt;&gt;"Cancelled"),"Active","Cancelled")</f>
        <v>Cancelled</v>
      </c>
      <c r="Y392" s="409"/>
      <c r="Z392" s="408"/>
      <c r="AA392" s="408" t="s">
        <v>378</v>
      </c>
      <c r="AB392" s="83" cm="1">
        <f t="array" ref="AB392">Iss_Tariff(Main_Issuance[[#This Row],[Bank]],Main_Issuance[[#This Row],[LC Amt(SAR)]],Main_Issuance[[#This Row],[Issue Date.]],Main_Issuance[[#This Row],[Expiry Date]],Main_Issuance[[#This Row],[Calculate]])</f>
        <v>0</v>
      </c>
      <c r="AC392" s="83"/>
    </row>
    <row r="393" spans="1:29" ht="15.75" hidden="1" x14ac:dyDescent="0.25">
      <c r="A393" s="114" t="s">
        <v>4553</v>
      </c>
      <c r="B393" s="423">
        <v>46118</v>
      </c>
      <c r="C393" s="424" t="s">
        <v>441</v>
      </c>
      <c r="D393" s="78" t="s">
        <v>20</v>
      </c>
      <c r="E393" s="78" t="s">
        <v>366</v>
      </c>
      <c r="F393" s="78" t="s">
        <v>710</v>
      </c>
      <c r="G393" s="115" t="s">
        <v>4503</v>
      </c>
      <c r="H393" s="113" t="s">
        <v>24</v>
      </c>
      <c r="I393" s="115" t="s">
        <v>710</v>
      </c>
      <c r="J393" s="113">
        <v>1020088</v>
      </c>
      <c r="K393" s="115" t="s">
        <v>26</v>
      </c>
      <c r="L393" s="119">
        <v>150000</v>
      </c>
      <c r="M393" s="82">
        <v>1</v>
      </c>
      <c r="N393" s="82">
        <f>Main_Issuance[[#This Row],[LC Amt(FCY)]]*Main_Issuance[[#This Row],[Rate]]</f>
        <v>150000</v>
      </c>
      <c r="O393" s="423">
        <v>46203</v>
      </c>
      <c r="P393" s="423">
        <v>46203</v>
      </c>
      <c r="Q393" s="424" t="s">
        <v>27</v>
      </c>
      <c r="R393" s="78" t="s">
        <v>4493</v>
      </c>
      <c r="S393" s="81"/>
      <c r="T393" s="81"/>
      <c r="U393" s="81"/>
      <c r="V393" s="83">
        <v>0</v>
      </c>
      <c r="W393" s="115"/>
      <c r="X393" s="424" t="str">
        <f ca="1">IF(AND((Main_Issuance[[#This Row],[Expiry Date]]+31)&gt;TODAY(),Main_Issuance[[#This Row],[Status]]&lt;&gt;"Cancelled"),"Active","Cancelled")</f>
        <v>Active</v>
      </c>
      <c r="Y393" s="96"/>
      <c r="Z393" s="424"/>
      <c r="AA393" s="443" t="s">
        <v>857</v>
      </c>
      <c r="AB393" s="83" cm="1">
        <f t="array" ref="AB393">Iss_Tariff(Main_Issuance[[#This Row],[Bank]],Main_Issuance[[#This Row],[LC Amt(SAR)]],Main_Issuance[[#This Row],[Issue Date.]],Main_Issuance[[#This Row],[Expiry Date]],Main_Issuance[[#This Row],[Calculate]],,125)</f>
        <v>1092.5</v>
      </c>
      <c r="AC393" s="83"/>
    </row>
    <row r="394" spans="1:29" ht="15.75" hidden="1" x14ac:dyDescent="0.25">
      <c r="A394" s="57" t="s">
        <v>715</v>
      </c>
      <c r="B394" s="56">
        <v>45726</v>
      </c>
      <c r="C394" s="58" t="s">
        <v>441</v>
      </c>
      <c r="D394" s="19" t="s">
        <v>20</v>
      </c>
      <c r="E394" s="69" t="s">
        <v>366</v>
      </c>
      <c r="F394" s="69" t="s">
        <v>710</v>
      </c>
      <c r="G394" s="19" t="s">
        <v>716</v>
      </c>
      <c r="H394" s="19" t="s">
        <v>24</v>
      </c>
      <c r="I394" s="19" t="s">
        <v>710</v>
      </c>
      <c r="J394" s="59">
        <v>1020088</v>
      </c>
      <c r="K394" s="19" t="s">
        <v>26</v>
      </c>
      <c r="L394" s="60">
        <v>4000000</v>
      </c>
      <c r="M394" s="60">
        <v>1</v>
      </c>
      <c r="N394" s="60">
        <f>Main_Issuance[[#This Row],[LC Amt(FCY)]]*Main_Issuance[[#This Row],[Rate]]</f>
        <v>4000000</v>
      </c>
      <c r="O394" s="56">
        <v>45808</v>
      </c>
      <c r="P394" s="56">
        <v>45808</v>
      </c>
      <c r="Q394" s="58" t="s">
        <v>27</v>
      </c>
      <c r="R394" s="78" t="s">
        <v>311</v>
      </c>
      <c r="S394" s="71"/>
      <c r="T394" s="71"/>
      <c r="U394" s="71"/>
      <c r="V394" s="68">
        <v>0</v>
      </c>
      <c r="W394" s="115"/>
      <c r="X394" s="58" t="str">
        <f ca="1">IF(AND((Main_Issuance[[#This Row],[Expiry Date]]+31)&gt;TODAY(),Main_Issuance[[#This Row],[Status]]&lt;&gt;"Cancelled"),"Active","Cancelled")</f>
        <v>Cancelled</v>
      </c>
      <c r="Y394" s="409"/>
      <c r="Z394" s="408"/>
      <c r="AA394" s="408" t="s">
        <v>378</v>
      </c>
      <c r="AB394" s="83" cm="1">
        <f t="array" ref="AB394">Iss_Tariff(Main_Issuance[[#This Row],[Bank]],Main_Issuance[[#This Row],[LC Amt(SAR)]],Main_Issuance[[#This Row],[Issue Date.]],Main_Issuance[[#This Row],[Expiry Date]],Main_Issuance[[#This Row],[Calculate]])</f>
        <v>0</v>
      </c>
      <c r="AC394" s="83"/>
    </row>
    <row r="395" spans="1:29" ht="15.75" hidden="1" x14ac:dyDescent="0.25">
      <c r="A395" s="57" t="s">
        <v>615</v>
      </c>
      <c r="B395" s="56">
        <v>45684</v>
      </c>
      <c r="C395" s="58" t="s">
        <v>441</v>
      </c>
      <c r="D395" s="19" t="s">
        <v>20</v>
      </c>
      <c r="E395" s="19" t="s">
        <v>612</v>
      </c>
      <c r="F395" s="19" t="s">
        <v>613</v>
      </c>
      <c r="G395" s="19" t="s">
        <v>616</v>
      </c>
      <c r="H395" s="59" t="s">
        <v>24</v>
      </c>
      <c r="I395" s="19" t="s">
        <v>613</v>
      </c>
      <c r="J395" s="115">
        <v>1020106</v>
      </c>
      <c r="K395" s="19" t="s">
        <v>26</v>
      </c>
      <c r="L395" s="60">
        <f>2053440+50535.95</f>
        <v>2103975.9500000002</v>
      </c>
      <c r="M395" s="60">
        <v>1</v>
      </c>
      <c r="N395" s="60">
        <f>Main_Issuance[[#This Row],[LC Amt(FCY)]]*Main_Issuance[[#This Row],[Rate]]</f>
        <v>2103975.9500000002</v>
      </c>
      <c r="O395" s="56">
        <v>45792</v>
      </c>
      <c r="P395" s="56">
        <v>45777</v>
      </c>
      <c r="Q395" s="58" t="s">
        <v>27</v>
      </c>
      <c r="R395" s="115" t="s">
        <v>311</v>
      </c>
      <c r="S395" s="71"/>
      <c r="T395" s="71"/>
      <c r="U395" s="71"/>
      <c r="V395" s="62"/>
      <c r="W395" s="115"/>
      <c r="X395" s="58" t="str">
        <f ca="1">IF(AND((Main_Issuance[[#This Row],[Expiry Date]]+31)&gt;TODAY(),Main_Issuance[[#This Row],[Status]]&lt;&gt;"Cancelled"),"Active","Cancelled")</f>
        <v>Cancelled</v>
      </c>
      <c r="Y395" s="409"/>
      <c r="Z395" s="408"/>
      <c r="AA395" s="408" t="s">
        <v>378</v>
      </c>
      <c r="AB395" s="83" cm="1">
        <f t="array" ref="AB395">Iss_Tariff(Main_Issuance[[#This Row],[Bank]],Main_Issuance[[#This Row],[LC Amt(SAR)]],Main_Issuance[[#This Row],[Issue Date.]],Main_Issuance[[#This Row],[Expiry Date]],Main_Issuance[[#This Row],[Calculate]])</f>
        <v>0</v>
      </c>
      <c r="AC395" s="83"/>
    </row>
    <row r="396" spans="1:29" ht="15.75" hidden="1" x14ac:dyDescent="0.25">
      <c r="A396" s="114" t="s">
        <v>1493</v>
      </c>
      <c r="B396" s="76">
        <v>45831</v>
      </c>
      <c r="C396" s="77" t="s">
        <v>441</v>
      </c>
      <c r="D396" s="78" t="s">
        <v>20</v>
      </c>
      <c r="E396" s="78" t="s">
        <v>21</v>
      </c>
      <c r="F396" s="78" t="s">
        <v>22</v>
      </c>
      <c r="G396" s="115" t="s">
        <v>1374</v>
      </c>
      <c r="H396" s="115" t="s">
        <v>24</v>
      </c>
      <c r="I396" s="115" t="s">
        <v>407</v>
      </c>
      <c r="J396" s="113">
        <v>1020100</v>
      </c>
      <c r="K396" s="115" t="s">
        <v>26</v>
      </c>
      <c r="L396" s="60">
        <v>500000</v>
      </c>
      <c r="M396" s="60">
        <v>1</v>
      </c>
      <c r="N396" s="60">
        <f>Main_Issuance[[#This Row],[LC Amt(FCY)]]*Main_Issuance[[#This Row],[Rate]]</f>
        <v>500000</v>
      </c>
      <c r="O396" s="76">
        <v>45900</v>
      </c>
      <c r="P396" s="76">
        <v>45900</v>
      </c>
      <c r="Q396" s="77" t="s">
        <v>27</v>
      </c>
      <c r="R396" s="78" t="s">
        <v>621</v>
      </c>
      <c r="S396" s="81"/>
      <c r="T396" s="81"/>
      <c r="U396" s="81"/>
      <c r="V396" s="83">
        <v>0</v>
      </c>
      <c r="W396" s="115"/>
      <c r="X396" s="77" t="str">
        <f ca="1">IF(AND((Main_Issuance[[#This Row],[Expiry Date]]+31)&gt;TODAY(),Main_Issuance[[#This Row],[Status]]&lt;&gt;"Cancelled"),"Active","Cancelled")</f>
        <v>Cancelled</v>
      </c>
      <c r="Y396" s="409"/>
      <c r="Z396" s="408"/>
      <c r="AA396" s="408" t="s">
        <v>378</v>
      </c>
      <c r="AB396" s="83" cm="1">
        <f t="array" ref="AB396">Iss_Tariff(Main_Issuance[[#This Row],[Bank]],Main_Issuance[[#This Row],[LC Amt(SAR)]],Main_Issuance[[#This Row],[Issue Date.]],Main_Issuance[[#This Row],[Expiry Date]],Main_Issuance[[#This Row],[Calculate]])</f>
        <v>0</v>
      </c>
      <c r="AC396" s="83"/>
    </row>
    <row r="397" spans="1:29" ht="15.75" hidden="1" x14ac:dyDescent="0.25">
      <c r="A397" s="114" t="s">
        <v>2904</v>
      </c>
      <c r="B397" s="76">
        <v>45992</v>
      </c>
      <c r="C397" s="77" t="s">
        <v>441</v>
      </c>
      <c r="D397" s="78" t="s">
        <v>20</v>
      </c>
      <c r="E397" s="115" t="s">
        <v>366</v>
      </c>
      <c r="F397" s="78" t="s">
        <v>710</v>
      </c>
      <c r="G397" s="115" t="s">
        <v>1374</v>
      </c>
      <c r="H397" s="115" t="s">
        <v>24</v>
      </c>
      <c r="I397" s="115" t="s">
        <v>710</v>
      </c>
      <c r="J397" s="113">
        <v>1020088</v>
      </c>
      <c r="K397" s="115" t="s">
        <v>26</v>
      </c>
      <c r="L397" s="119">
        <v>6908467.5099999998</v>
      </c>
      <c r="M397" s="82">
        <v>1</v>
      </c>
      <c r="N397" s="82">
        <f>Main_Issuance[[#This Row],[LC Amt(FCY)]]*Main_Issuance[[#This Row],[Rate]]</f>
        <v>6908467.5099999998</v>
      </c>
      <c r="O397" s="76">
        <v>46142</v>
      </c>
      <c r="P397" s="76">
        <v>46142</v>
      </c>
      <c r="Q397" s="77" t="s">
        <v>27</v>
      </c>
      <c r="R397" s="78" t="s">
        <v>621</v>
      </c>
      <c r="S397" s="81"/>
      <c r="T397" s="81"/>
      <c r="U397" s="81"/>
      <c r="V397" s="97">
        <v>0</v>
      </c>
      <c r="W397" s="115"/>
      <c r="X397" s="77" t="str">
        <f ca="1">IF(AND((Main_Issuance[[#This Row],[Expiry Date]]+31)&gt;TODAY(),Main_Issuance[[#This Row],[Status]]&lt;&gt;"Cancelled"),"Active","Cancelled")</f>
        <v>Cancelled</v>
      </c>
      <c r="Y397" s="409"/>
      <c r="Z397" s="408"/>
      <c r="AA397" s="408" t="s">
        <v>857</v>
      </c>
      <c r="AB397" s="83" cm="1">
        <f t="array" ref="AB397">Iss_Tariff(Main_Issuance[[#This Row],[Bank]],Main_Issuance[[#This Row],[LC Amt(SAR)]],Main_Issuance[[#This Row],[Issue Date.]],Main_Issuance[[#This Row],[Expiry Date]],Main_Issuance[[#This Row],[Calculate]])</f>
        <v>39809.550000000003</v>
      </c>
      <c r="AC397" s="83"/>
    </row>
    <row r="398" spans="1:29" ht="15.75" hidden="1" x14ac:dyDescent="0.25">
      <c r="A398" s="75" t="s">
        <v>4567</v>
      </c>
      <c r="B398" s="423">
        <v>46118</v>
      </c>
      <c r="C398" s="424" t="s">
        <v>441</v>
      </c>
      <c r="D398" s="78" t="s">
        <v>20</v>
      </c>
      <c r="E398" s="78" t="s">
        <v>366</v>
      </c>
      <c r="F398" s="78" t="s">
        <v>710</v>
      </c>
      <c r="G398" s="78" t="s">
        <v>4499</v>
      </c>
      <c r="H398" s="79" t="s">
        <v>24</v>
      </c>
      <c r="I398" s="78" t="s">
        <v>710</v>
      </c>
      <c r="J398" s="113">
        <v>1020088</v>
      </c>
      <c r="K398" s="78" t="s">
        <v>26</v>
      </c>
      <c r="L398" s="119">
        <v>1000000</v>
      </c>
      <c r="M398" s="82">
        <v>1</v>
      </c>
      <c r="N398" s="82">
        <f>Main_Issuance[[#This Row],[LC Amt(FCY)]]*Main_Issuance[[#This Row],[Rate]]</f>
        <v>1000000</v>
      </c>
      <c r="O398" s="424">
        <v>46203</v>
      </c>
      <c r="P398" s="424">
        <v>46203</v>
      </c>
      <c r="Q398" s="423" t="s">
        <v>27</v>
      </c>
      <c r="R398" s="78" t="s">
        <v>4493</v>
      </c>
      <c r="S398" s="81"/>
      <c r="T398" s="81"/>
      <c r="U398" s="81"/>
      <c r="V398" s="97">
        <v>0</v>
      </c>
      <c r="W398" s="115"/>
      <c r="X398" s="423" t="str">
        <f ca="1">IF(AND((Main_Issuance[[#This Row],[Expiry Date]]+31)&gt;TODAY(),Main_Issuance[[#This Row],[Status]]&lt;&gt;"Cancelled"),"Active","Cancelled")</f>
        <v>Active</v>
      </c>
      <c r="Y398" s="96"/>
      <c r="Z398" s="424"/>
      <c r="AA398" s="443" t="s">
        <v>857</v>
      </c>
      <c r="AB398" s="83" cm="1">
        <f t="array" ref="AB398">Iss_Tariff(Main_Issuance[[#This Row],[Bank]],Main_Issuance[[#This Row],[LC Amt(SAR)]],Main_Issuance[[#This Row],[Issue Date.]],Main_Issuance[[#This Row],[Expiry Date]],Main_Issuance[[#This Row],[Calculate]])</f>
        <v>5836.25</v>
      </c>
      <c r="AC398" s="83"/>
    </row>
    <row r="399" spans="1:29" ht="15.75" hidden="1" x14ac:dyDescent="0.25">
      <c r="A399" s="75" t="s">
        <v>1234</v>
      </c>
      <c r="B399" s="76">
        <v>45775</v>
      </c>
      <c r="C399" s="77" t="s">
        <v>441</v>
      </c>
      <c r="D399" s="115" t="s">
        <v>20</v>
      </c>
      <c r="E399" s="78" t="s">
        <v>612</v>
      </c>
      <c r="F399" s="78" t="s">
        <v>613</v>
      </c>
      <c r="G399" s="78" t="s">
        <v>840</v>
      </c>
      <c r="H399" s="79" t="s">
        <v>24</v>
      </c>
      <c r="I399" s="79" t="s">
        <v>613</v>
      </c>
      <c r="J399" s="115">
        <v>1020106</v>
      </c>
      <c r="K399" s="78" t="s">
        <v>26</v>
      </c>
      <c r="L399" s="60">
        <v>499955.6</v>
      </c>
      <c r="M399" s="60">
        <v>1</v>
      </c>
      <c r="N399" s="60">
        <f>Main_Issuance[[#This Row],[LC Amt(FCY)]]*Main_Issuance[[#This Row],[Rate]]</f>
        <v>499955.6</v>
      </c>
      <c r="O399" s="77">
        <v>45869</v>
      </c>
      <c r="P399" s="77">
        <v>45869</v>
      </c>
      <c r="Q399" s="76" t="s">
        <v>27</v>
      </c>
      <c r="R399" s="78" t="s">
        <v>311</v>
      </c>
      <c r="S399" s="81"/>
      <c r="T399" s="81"/>
      <c r="U399" s="81"/>
      <c r="V399" s="97"/>
      <c r="W399" s="115"/>
      <c r="X399" s="76" t="str">
        <f ca="1">IF(AND((Main_Issuance[[#This Row],[Expiry Date]]+31)&gt;TODAY(),Main_Issuance[[#This Row],[Status]]&lt;&gt;"Cancelled"),"Active","Cancelled")</f>
        <v>Cancelled</v>
      </c>
      <c r="Y399" s="409"/>
      <c r="Z399" s="408"/>
      <c r="AA399" s="408" t="s">
        <v>378</v>
      </c>
      <c r="AB399" s="83" cm="1">
        <f t="array" ref="AB399">Iss_Tariff(Main_Issuance[[#This Row],[Bank]],Main_Issuance[[#This Row],[LC Amt(SAR)]],Main_Issuance[[#This Row],[Issue Date.]],Main_Issuance[[#This Row],[Expiry Date]],Main_Issuance[[#This Row],[Calculate]])</f>
        <v>0</v>
      </c>
      <c r="AC399" s="83"/>
    </row>
    <row r="400" spans="1:29" ht="15.75" hidden="1" x14ac:dyDescent="0.25">
      <c r="A400" s="75" t="s">
        <v>1152</v>
      </c>
      <c r="B400" s="76">
        <v>45756</v>
      </c>
      <c r="C400" s="77" t="s">
        <v>441</v>
      </c>
      <c r="D400" s="19" t="s">
        <v>20</v>
      </c>
      <c r="E400" s="78" t="s">
        <v>612</v>
      </c>
      <c r="F400" s="78" t="s">
        <v>613</v>
      </c>
      <c r="G400" s="78" t="s">
        <v>840</v>
      </c>
      <c r="H400" s="78" t="s">
        <v>24</v>
      </c>
      <c r="I400" s="78" t="s">
        <v>613</v>
      </c>
      <c r="J400" s="115">
        <v>1020106</v>
      </c>
      <c r="K400" s="78" t="s">
        <v>26</v>
      </c>
      <c r="L400" s="60">
        <v>2139000</v>
      </c>
      <c r="M400" s="60">
        <v>1</v>
      </c>
      <c r="N400" s="60">
        <f>Main_Issuance[[#This Row],[LC Amt(FCY)]]*Main_Issuance[[#This Row],[Rate]]</f>
        <v>2139000</v>
      </c>
      <c r="O400" s="58">
        <v>45900</v>
      </c>
      <c r="P400" s="58">
        <v>45900</v>
      </c>
      <c r="Q400" s="76" t="s">
        <v>27</v>
      </c>
      <c r="R400" s="78" t="s">
        <v>311</v>
      </c>
      <c r="S400" s="81"/>
      <c r="T400" s="81"/>
      <c r="U400" s="81"/>
      <c r="V400" s="97">
        <v>0</v>
      </c>
      <c r="W400" s="115"/>
      <c r="X400" s="76" t="str">
        <f ca="1">IF(AND((Main_Issuance[[#This Row],[Expiry Date]]+31)&gt;TODAY(),Main_Issuance[[#This Row],[Status]]&lt;&gt;"Cancelled"),"Active","Cancelled")</f>
        <v>Cancelled</v>
      </c>
      <c r="Y400" s="409"/>
      <c r="Z400" s="408"/>
      <c r="AA400" s="408" t="s">
        <v>378</v>
      </c>
      <c r="AB400" s="83" cm="1">
        <f t="array" ref="AB400">Iss_Tariff(Main_Issuance[[#This Row],[Bank]],Main_Issuance[[#This Row],[LC Amt(SAR)]],Main_Issuance[[#This Row],[Issue Date.]],Main_Issuance[[#This Row],[Expiry Date]],Main_Issuance[[#This Row],[Calculate]])</f>
        <v>0</v>
      </c>
      <c r="AC400" s="83"/>
    </row>
    <row r="401" spans="1:29" ht="15.75" hidden="1" x14ac:dyDescent="0.25">
      <c r="A401" s="75" t="s">
        <v>1876</v>
      </c>
      <c r="B401" s="76">
        <v>45914</v>
      </c>
      <c r="C401" s="76" t="s">
        <v>441</v>
      </c>
      <c r="D401" s="115" t="s">
        <v>20</v>
      </c>
      <c r="E401" s="78" t="s">
        <v>366</v>
      </c>
      <c r="F401" s="115" t="s">
        <v>710</v>
      </c>
      <c r="G401" s="123" t="s">
        <v>1838</v>
      </c>
      <c r="H401" s="78" t="s">
        <v>24</v>
      </c>
      <c r="I401" s="78" t="s">
        <v>710</v>
      </c>
      <c r="J401" s="113">
        <v>1020088</v>
      </c>
      <c r="K401" s="78" t="s">
        <v>26</v>
      </c>
      <c r="L401" s="119">
        <v>5000000</v>
      </c>
      <c r="M401" s="82">
        <v>1</v>
      </c>
      <c r="N401" s="82">
        <f>Main_Issuance[[#This Row],[LC Amt(FCY)]]*Main_Issuance[[#This Row],[Rate]]</f>
        <v>5000000</v>
      </c>
      <c r="O401" s="77">
        <v>46022</v>
      </c>
      <c r="P401" s="77">
        <v>46022</v>
      </c>
      <c r="Q401" s="76" t="s">
        <v>27</v>
      </c>
      <c r="R401" s="78" t="s">
        <v>621</v>
      </c>
      <c r="S401" s="81"/>
      <c r="T401" s="81"/>
      <c r="U401" s="81"/>
      <c r="V401" s="83">
        <v>0</v>
      </c>
      <c r="W401" s="115"/>
      <c r="X401" s="76" t="str">
        <f ca="1">IF(AND((Main_Issuance[[#This Row],[Expiry Date]]+31)&gt;TODAY(),Main_Issuance[[#This Row],[Status]]&lt;&gt;"Cancelled"),"Active","Cancelled")</f>
        <v>Cancelled</v>
      </c>
      <c r="Y401" s="409"/>
      <c r="Z401" s="408"/>
      <c r="AA401" s="408" t="s">
        <v>378</v>
      </c>
      <c r="AB401" s="83" cm="1">
        <f t="array" ref="AB401">Iss_Tariff(Main_Issuance[[#This Row],[Bank]],Main_Issuance[[#This Row],[LC Amt(SAR)]],Main_Issuance[[#This Row],[Issue Date.]],Main_Issuance[[#This Row],[Expiry Date]],Main_Issuance[[#This Row],[Calculate]])</f>
        <v>0</v>
      </c>
      <c r="AC401" s="83"/>
    </row>
    <row r="402" spans="1:29" ht="15.75" hidden="1" x14ac:dyDescent="0.25">
      <c r="A402" s="70" t="s">
        <v>504</v>
      </c>
      <c r="B402" s="56">
        <v>45595</v>
      </c>
      <c r="C402" s="56" t="s">
        <v>441</v>
      </c>
      <c r="D402" s="69" t="s">
        <v>20</v>
      </c>
      <c r="E402" s="69" t="s">
        <v>95</v>
      </c>
      <c r="F402" s="19" t="s">
        <v>96</v>
      </c>
      <c r="G402" s="69" t="s">
        <v>505</v>
      </c>
      <c r="H402" s="65" t="s">
        <v>24</v>
      </c>
      <c r="I402" s="65" t="s">
        <v>25</v>
      </c>
      <c r="J402" s="59">
        <v>1020052</v>
      </c>
      <c r="K402" s="69" t="s">
        <v>26</v>
      </c>
      <c r="L402" s="60">
        <v>4626403.66</v>
      </c>
      <c r="M402" s="60">
        <v>1</v>
      </c>
      <c r="N402" s="60">
        <f>Main_Issuance[[#This Row],[LC Amt(FCY)]]*Main_Issuance[[#This Row],[Rate]]</f>
        <v>4626403.66</v>
      </c>
      <c r="O402" s="56">
        <v>45688</v>
      </c>
      <c r="P402" s="56">
        <v>45661</v>
      </c>
      <c r="Q402" s="56" t="s">
        <v>27</v>
      </c>
      <c r="R402" s="78" t="s">
        <v>311</v>
      </c>
      <c r="S402" s="71"/>
      <c r="T402" s="71"/>
      <c r="U402" s="71"/>
      <c r="V402" s="68">
        <v>0</v>
      </c>
      <c r="W402" s="115"/>
      <c r="X402" s="56" t="str">
        <f ca="1">IF(AND((Main_Issuance[[#This Row],[Expiry Date]]+31)&gt;TODAY(),Main_Issuance[[#This Row],[Status]]&lt;&gt;"Cancelled"),"Active","Cancelled")</f>
        <v>Cancelled</v>
      </c>
      <c r="Y402" s="409"/>
      <c r="Z402" s="408"/>
      <c r="AA402" s="408" t="s">
        <v>378</v>
      </c>
      <c r="AB402" s="83" cm="1">
        <f t="array" ref="AB402">Iss_Tariff(Main_Issuance[[#This Row],[Bank]],Main_Issuance[[#This Row],[LC Amt(SAR)]],Main_Issuance[[#This Row],[Issue Date.]],Main_Issuance[[#This Row],[Expiry Date]],Main_Issuance[[#This Row],[Calculate]])</f>
        <v>0</v>
      </c>
      <c r="AC402" s="83"/>
    </row>
    <row r="403" spans="1:29" ht="15.75" hidden="1" x14ac:dyDescent="0.25">
      <c r="A403" s="70" t="s">
        <v>394</v>
      </c>
      <c r="B403" s="56">
        <v>45551</v>
      </c>
      <c r="C403" s="58" t="s">
        <v>441</v>
      </c>
      <c r="D403" s="19" t="s">
        <v>20</v>
      </c>
      <c r="E403" s="69" t="s">
        <v>95</v>
      </c>
      <c r="F403" s="69" t="s">
        <v>96</v>
      </c>
      <c r="G403" s="69" t="s">
        <v>395</v>
      </c>
      <c r="H403" s="65" t="s">
        <v>24</v>
      </c>
      <c r="I403" s="65" t="s">
        <v>22</v>
      </c>
      <c r="J403" s="59">
        <v>1020055</v>
      </c>
      <c r="K403" s="69" t="s">
        <v>26</v>
      </c>
      <c r="L403" s="60">
        <v>686893.71</v>
      </c>
      <c r="M403" s="60">
        <v>1</v>
      </c>
      <c r="N403" s="60">
        <f>Main_Issuance[[#This Row],[LC Amt(FCY)]]*Main_Issuance[[#This Row],[Rate]]</f>
        <v>686893.71</v>
      </c>
      <c r="O403" s="56">
        <v>45626</v>
      </c>
      <c r="P403" s="56">
        <v>45600</v>
      </c>
      <c r="Q403" s="56" t="s">
        <v>27</v>
      </c>
      <c r="R403" s="78" t="s">
        <v>311</v>
      </c>
      <c r="S403" s="71"/>
      <c r="T403" s="71"/>
      <c r="U403" s="71"/>
      <c r="V403" s="68">
        <v>0</v>
      </c>
      <c r="W403" s="115"/>
      <c r="X403" s="56" t="str">
        <f ca="1">IF(AND((Main_Issuance[[#This Row],[Expiry Date]]+31)&gt;TODAY(),Main_Issuance[[#This Row],[Status]]&lt;&gt;"Cancelled"),"Active","Cancelled")</f>
        <v>Cancelled</v>
      </c>
      <c r="Y403" s="409"/>
      <c r="Z403" s="408"/>
      <c r="AA403" s="408" t="s">
        <v>378</v>
      </c>
      <c r="AB403" s="83" cm="1">
        <f t="array" ref="AB403">Iss_Tariff(Main_Issuance[[#This Row],[Bank]],Main_Issuance[[#This Row],[LC Amt(SAR)]],Main_Issuance[[#This Row],[Issue Date.]],Main_Issuance[[#This Row],[Expiry Date]],Main_Issuance[[#This Row],[Calculate]])</f>
        <v>0</v>
      </c>
      <c r="AC403" s="83"/>
    </row>
    <row r="404" spans="1:29" ht="15.75" hidden="1" x14ac:dyDescent="0.25">
      <c r="A404" s="75" t="s">
        <v>1346</v>
      </c>
      <c r="B404" s="76">
        <v>45792</v>
      </c>
      <c r="C404" s="76" t="s">
        <v>441</v>
      </c>
      <c r="D404" s="78" t="s">
        <v>20</v>
      </c>
      <c r="E404" s="78" t="s">
        <v>21</v>
      </c>
      <c r="F404" s="78" t="s">
        <v>22</v>
      </c>
      <c r="G404" s="78" t="s">
        <v>395</v>
      </c>
      <c r="H404" s="78" t="s">
        <v>24</v>
      </c>
      <c r="I404" s="78" t="s">
        <v>22</v>
      </c>
      <c r="J404" s="115">
        <v>1020055</v>
      </c>
      <c r="K404" s="78" t="s">
        <v>26</v>
      </c>
      <c r="L404" s="60">
        <v>391554.28</v>
      </c>
      <c r="M404" s="60">
        <v>1</v>
      </c>
      <c r="N404" s="60">
        <f>Main_Issuance[[#This Row],[LC Amt(FCY)]]*Main_Issuance[[#This Row],[Rate]]</f>
        <v>391554.28</v>
      </c>
      <c r="O404" s="76">
        <v>45900</v>
      </c>
      <c r="P404" s="76">
        <v>45900</v>
      </c>
      <c r="Q404" s="76" t="s">
        <v>27</v>
      </c>
      <c r="R404" s="78" t="s">
        <v>621</v>
      </c>
      <c r="S404" s="81"/>
      <c r="T404" s="81"/>
      <c r="U404" s="81"/>
      <c r="V404" s="83">
        <v>0</v>
      </c>
      <c r="W404" s="115"/>
      <c r="X404" s="76" t="str">
        <f ca="1">IF(AND((Main_Issuance[[#This Row],[Expiry Date]]+31)&gt;TODAY(),Main_Issuance[[#This Row],[Status]]&lt;&gt;"Cancelled"),"Active","Cancelled")</f>
        <v>Cancelled</v>
      </c>
      <c r="Y404" s="409"/>
      <c r="Z404" s="408"/>
      <c r="AA404" s="408" t="s">
        <v>378</v>
      </c>
      <c r="AB404" s="83" cm="1">
        <f t="array" ref="AB404">Iss_Tariff(Main_Issuance[[#This Row],[Bank]],Main_Issuance[[#This Row],[LC Amt(SAR)]],Main_Issuance[[#This Row],[Issue Date.]],Main_Issuance[[#This Row],[Expiry Date]],Main_Issuance[[#This Row],[Calculate]])</f>
        <v>0</v>
      </c>
      <c r="AC404" s="83"/>
    </row>
    <row r="405" spans="1:29" ht="15.75" hidden="1" x14ac:dyDescent="0.25">
      <c r="A405" s="70" t="s">
        <v>120</v>
      </c>
      <c r="B405" s="56">
        <v>45147</v>
      </c>
      <c r="C405" s="56" t="s">
        <v>441</v>
      </c>
      <c r="D405" s="69" t="s">
        <v>20</v>
      </c>
      <c r="E405" s="69" t="s">
        <v>21</v>
      </c>
      <c r="F405" s="69" t="s">
        <v>22</v>
      </c>
      <c r="G405" s="69" t="s">
        <v>121</v>
      </c>
      <c r="H405" s="65" t="s">
        <v>24</v>
      </c>
      <c r="I405" s="65" t="s">
        <v>22</v>
      </c>
      <c r="J405" s="59">
        <v>1020055</v>
      </c>
      <c r="K405" s="69" t="s">
        <v>26</v>
      </c>
      <c r="L405" s="60">
        <v>2200000</v>
      </c>
      <c r="M405" s="60">
        <v>1</v>
      </c>
      <c r="N405" s="60">
        <f>Main_Issuance[[#This Row],[LC Amt(FCY)]]*Main_Issuance[[#This Row],[Rate]]</f>
        <v>2200000</v>
      </c>
      <c r="O405" s="56">
        <v>45230</v>
      </c>
      <c r="P405" s="56">
        <v>45230</v>
      </c>
      <c r="Q405" s="56" t="s">
        <v>27</v>
      </c>
      <c r="R405" s="78" t="s">
        <v>117</v>
      </c>
      <c r="S405" s="71"/>
      <c r="T405" s="71"/>
      <c r="U405" s="71"/>
      <c r="V405" s="68">
        <v>0</v>
      </c>
      <c r="W405" s="115"/>
      <c r="X405" s="56" t="str">
        <f ca="1">IF(AND((Main_Issuance[[#This Row],[Expiry Date]]+31)&gt;TODAY(),Main_Issuance[[#This Row],[Status]]&lt;&gt;"Cancelled"),"Active","Cancelled")</f>
        <v>Cancelled</v>
      </c>
      <c r="Y405" s="409"/>
      <c r="Z405" s="408"/>
      <c r="AA405" s="408" t="s">
        <v>378</v>
      </c>
      <c r="AB405" s="83" cm="1">
        <f t="array" ref="AB405">Iss_Tariff(Main_Issuance[[#This Row],[Bank]],Main_Issuance[[#This Row],[LC Amt(SAR)]],Main_Issuance[[#This Row],[Issue Date.]],Main_Issuance[[#This Row],[Expiry Date]],Main_Issuance[[#This Row],[Calculate]])</f>
        <v>0</v>
      </c>
      <c r="AC405" s="83"/>
    </row>
    <row r="406" spans="1:29" ht="15.75" hidden="1" x14ac:dyDescent="0.25">
      <c r="A406" s="70" t="s">
        <v>271</v>
      </c>
      <c r="B406" s="56">
        <v>45435</v>
      </c>
      <c r="C406" s="56" t="s">
        <v>441</v>
      </c>
      <c r="D406" s="69" t="s">
        <v>20</v>
      </c>
      <c r="E406" s="69" t="s">
        <v>21</v>
      </c>
      <c r="F406" s="69" t="s">
        <v>22</v>
      </c>
      <c r="G406" s="69" t="s">
        <v>121</v>
      </c>
      <c r="H406" s="65" t="s">
        <v>24</v>
      </c>
      <c r="I406" s="65" t="s">
        <v>22</v>
      </c>
      <c r="J406" s="59">
        <v>1020055</v>
      </c>
      <c r="K406" s="69" t="s">
        <v>26</v>
      </c>
      <c r="L406" s="60">
        <v>700000</v>
      </c>
      <c r="M406" s="60">
        <v>1</v>
      </c>
      <c r="N406" s="60">
        <f>Main_Issuance[[#This Row],[LC Amt(FCY)]]*Main_Issuance[[#This Row],[Rate]]</f>
        <v>700000</v>
      </c>
      <c r="O406" s="56">
        <v>45565</v>
      </c>
      <c r="P406" s="56">
        <v>45565</v>
      </c>
      <c r="Q406" s="56" t="s">
        <v>27</v>
      </c>
      <c r="R406" s="78"/>
      <c r="S406" s="71"/>
      <c r="T406" s="71"/>
      <c r="U406" s="71"/>
      <c r="V406" s="68">
        <v>0</v>
      </c>
      <c r="W406" s="115"/>
      <c r="X406" s="56" t="str">
        <f ca="1">IF(AND((Main_Issuance[[#This Row],[Expiry Date]]+31)&gt;TODAY(),Main_Issuance[[#This Row],[Status]]&lt;&gt;"Cancelled"),"Active","Cancelled")</f>
        <v>Cancelled</v>
      </c>
      <c r="Y406" s="409"/>
      <c r="Z406" s="408"/>
      <c r="AA406" s="408" t="s">
        <v>378</v>
      </c>
      <c r="AB406" s="83" cm="1">
        <f t="array" ref="AB406">Iss_Tariff(Main_Issuance[[#This Row],[Bank]],Main_Issuance[[#This Row],[LC Amt(SAR)]],Main_Issuance[[#This Row],[Issue Date.]],Main_Issuance[[#This Row],[Expiry Date]],Main_Issuance[[#This Row],[Calculate]])</f>
        <v>0</v>
      </c>
      <c r="AC406" s="83"/>
    </row>
    <row r="407" spans="1:29" ht="15.75" hidden="1" x14ac:dyDescent="0.25">
      <c r="A407" s="70" t="s">
        <v>187</v>
      </c>
      <c r="B407" s="56">
        <v>45272</v>
      </c>
      <c r="C407" s="56" t="s">
        <v>441</v>
      </c>
      <c r="D407" s="69" t="s">
        <v>20</v>
      </c>
      <c r="E407" s="69" t="s">
        <v>21</v>
      </c>
      <c r="F407" s="69" t="s">
        <v>22</v>
      </c>
      <c r="G407" s="69" t="s">
        <v>188</v>
      </c>
      <c r="H407" s="65" t="s">
        <v>24</v>
      </c>
      <c r="I407" s="65" t="s">
        <v>22</v>
      </c>
      <c r="J407" s="59">
        <v>1020055</v>
      </c>
      <c r="K407" s="69" t="s">
        <v>26</v>
      </c>
      <c r="L407" s="60">
        <v>2000000</v>
      </c>
      <c r="M407" s="60">
        <v>1</v>
      </c>
      <c r="N407" s="60">
        <f>Main_Issuance[[#This Row],[LC Amt(FCY)]]*Main_Issuance[[#This Row],[Rate]]</f>
        <v>2000000</v>
      </c>
      <c r="O407" s="56">
        <v>45350</v>
      </c>
      <c r="P407" s="56">
        <v>45350</v>
      </c>
      <c r="Q407" s="56" t="s">
        <v>27</v>
      </c>
      <c r="R407" s="78" t="s">
        <v>117</v>
      </c>
      <c r="S407" s="71"/>
      <c r="T407" s="71"/>
      <c r="U407" s="71"/>
      <c r="V407" s="68">
        <v>0</v>
      </c>
      <c r="W407" s="115"/>
      <c r="X407" s="56" t="str">
        <f ca="1">IF(AND((Main_Issuance[[#This Row],[Expiry Date]]+31)&gt;TODAY(),Main_Issuance[[#This Row],[Status]]&lt;&gt;"Cancelled"),"Active","Cancelled")</f>
        <v>Cancelled</v>
      </c>
      <c r="Y407" s="409"/>
      <c r="Z407" s="408"/>
      <c r="AA407" s="408" t="s">
        <v>378</v>
      </c>
      <c r="AB407" s="83" cm="1">
        <f t="array" ref="AB407">Iss_Tariff(Main_Issuance[[#This Row],[Bank]],Main_Issuance[[#This Row],[LC Amt(SAR)]],Main_Issuance[[#This Row],[Issue Date.]],Main_Issuance[[#This Row],[Expiry Date]],Main_Issuance[[#This Row],[Calculate]])</f>
        <v>0</v>
      </c>
      <c r="AC407" s="83"/>
    </row>
    <row r="408" spans="1:29" ht="15.75" hidden="1" x14ac:dyDescent="0.25">
      <c r="A408" s="70" t="s">
        <v>387</v>
      </c>
      <c r="B408" s="56">
        <v>45551</v>
      </c>
      <c r="C408" s="56" t="s">
        <v>441</v>
      </c>
      <c r="D408" s="69" t="s">
        <v>20</v>
      </c>
      <c r="E408" s="69" t="s">
        <v>95</v>
      </c>
      <c r="F408" s="69" t="s">
        <v>96</v>
      </c>
      <c r="G408" s="69" t="s">
        <v>188</v>
      </c>
      <c r="H408" s="65" t="s">
        <v>24</v>
      </c>
      <c r="I408" s="65" t="s">
        <v>22</v>
      </c>
      <c r="J408" s="59">
        <v>1020055</v>
      </c>
      <c r="K408" s="69" t="s">
        <v>26</v>
      </c>
      <c r="L408" s="60">
        <v>1000000</v>
      </c>
      <c r="M408" s="60">
        <v>1</v>
      </c>
      <c r="N408" s="60">
        <f>Main_Issuance[[#This Row],[LC Amt(FCY)]]*Main_Issuance[[#This Row],[Rate]]</f>
        <v>1000000</v>
      </c>
      <c r="O408" s="56">
        <v>45626</v>
      </c>
      <c r="P408" s="56">
        <v>45600</v>
      </c>
      <c r="Q408" s="56" t="s">
        <v>27</v>
      </c>
      <c r="R408" s="78" t="s">
        <v>311</v>
      </c>
      <c r="S408" s="71"/>
      <c r="T408" s="71"/>
      <c r="U408" s="71"/>
      <c r="V408" s="68">
        <v>0</v>
      </c>
      <c r="W408" s="115"/>
      <c r="X408" s="56" t="str">
        <f ca="1">IF(AND((Main_Issuance[[#This Row],[Expiry Date]]+31)&gt;TODAY(),Main_Issuance[[#This Row],[Status]]&lt;&gt;"Cancelled"),"Active","Cancelled")</f>
        <v>Cancelled</v>
      </c>
      <c r="Y408" s="409"/>
      <c r="Z408" s="408"/>
      <c r="AA408" s="408" t="s">
        <v>378</v>
      </c>
      <c r="AB408" s="83" cm="1">
        <f t="array" ref="AB408">Iss_Tariff(Main_Issuance[[#This Row],[Bank]],Main_Issuance[[#This Row],[LC Amt(SAR)]],Main_Issuance[[#This Row],[Issue Date.]],Main_Issuance[[#This Row],[Expiry Date]],Main_Issuance[[#This Row],[Calculate]])</f>
        <v>0</v>
      </c>
      <c r="AC408" s="83"/>
    </row>
    <row r="409" spans="1:29" ht="15.75" hidden="1" x14ac:dyDescent="0.25">
      <c r="A409" s="70" t="s">
        <v>577</v>
      </c>
      <c r="B409" s="56">
        <v>45641</v>
      </c>
      <c r="C409" s="56" t="s">
        <v>441</v>
      </c>
      <c r="D409" s="69" t="s">
        <v>20</v>
      </c>
      <c r="E409" s="69" t="s">
        <v>373</v>
      </c>
      <c r="F409" s="69" t="s">
        <v>483</v>
      </c>
      <c r="G409" s="69" t="s">
        <v>578</v>
      </c>
      <c r="H409" s="65" t="s">
        <v>24</v>
      </c>
      <c r="I409" s="65" t="s">
        <v>22</v>
      </c>
      <c r="J409" s="59">
        <v>1020055</v>
      </c>
      <c r="K409" s="69" t="s">
        <v>26</v>
      </c>
      <c r="L409" s="60">
        <v>500000</v>
      </c>
      <c r="M409" s="60">
        <v>1</v>
      </c>
      <c r="N409" s="60">
        <f>Main_Issuance[[#This Row],[LC Amt(FCY)]]*Main_Issuance[[#This Row],[Rate]]</f>
        <v>500000</v>
      </c>
      <c r="O409" s="56">
        <v>45747</v>
      </c>
      <c r="P409" s="56">
        <v>45747</v>
      </c>
      <c r="Q409" s="56" t="s">
        <v>27</v>
      </c>
      <c r="R409" s="78" t="s">
        <v>311</v>
      </c>
      <c r="S409" s="71"/>
      <c r="T409" s="71"/>
      <c r="U409" s="71"/>
      <c r="V409" s="68">
        <v>0</v>
      </c>
      <c r="W409" s="115"/>
      <c r="X409" s="56" t="str">
        <f ca="1">IF(AND((Main_Issuance[[#This Row],[Expiry Date]]+31)&gt;TODAY(),Main_Issuance[[#This Row],[Status]]&lt;&gt;"Cancelled"),"Active","Cancelled")</f>
        <v>Cancelled</v>
      </c>
      <c r="Y409" s="409"/>
      <c r="Z409" s="408"/>
      <c r="AA409" s="408" t="s">
        <v>378</v>
      </c>
      <c r="AB409" s="83" cm="1">
        <f t="array" ref="AB409">Iss_Tariff(Main_Issuance[[#This Row],[Bank]],Main_Issuance[[#This Row],[LC Amt(SAR)]],Main_Issuance[[#This Row],[Issue Date.]],Main_Issuance[[#This Row],[Expiry Date]],Main_Issuance[[#This Row],[Calculate]])</f>
        <v>0</v>
      </c>
      <c r="AC409" s="83"/>
    </row>
    <row r="410" spans="1:29" ht="15.75" hidden="1" x14ac:dyDescent="0.25">
      <c r="A410" s="70" t="s">
        <v>639</v>
      </c>
      <c r="B410" s="56">
        <v>45680</v>
      </c>
      <c r="C410" s="56" t="s">
        <v>441</v>
      </c>
      <c r="D410" s="69" t="s">
        <v>20</v>
      </c>
      <c r="E410" s="69" t="s">
        <v>21</v>
      </c>
      <c r="F410" s="69" t="s">
        <v>22</v>
      </c>
      <c r="G410" s="69" t="s">
        <v>640</v>
      </c>
      <c r="H410" s="65" t="s">
        <v>24</v>
      </c>
      <c r="I410" s="65" t="s">
        <v>22</v>
      </c>
      <c r="J410" s="59">
        <v>1020055</v>
      </c>
      <c r="K410" s="69" t="s">
        <v>26</v>
      </c>
      <c r="L410" s="60">
        <v>493685.89</v>
      </c>
      <c r="M410" s="60">
        <v>1</v>
      </c>
      <c r="N410" s="60">
        <f>Main_Issuance[[#This Row],[LC Amt(FCY)]]*Main_Issuance[[#This Row],[Rate]]</f>
        <v>493685.89</v>
      </c>
      <c r="O410" s="56">
        <v>45777</v>
      </c>
      <c r="P410" s="56">
        <v>45777</v>
      </c>
      <c r="Q410" s="56" t="s">
        <v>27</v>
      </c>
      <c r="R410" s="78" t="s">
        <v>311</v>
      </c>
      <c r="S410" s="71"/>
      <c r="T410" s="71"/>
      <c r="U410" s="71"/>
      <c r="V410" s="68">
        <v>0</v>
      </c>
      <c r="W410" s="115"/>
      <c r="X410" s="56" t="str">
        <f ca="1">IF(AND((Main_Issuance[[#This Row],[Expiry Date]]+31)&gt;TODAY(),Main_Issuance[[#This Row],[Status]]&lt;&gt;"Cancelled"),"Active","Cancelled")</f>
        <v>Cancelled</v>
      </c>
      <c r="Y410" s="409"/>
      <c r="Z410" s="408"/>
      <c r="AA410" s="408" t="s">
        <v>378</v>
      </c>
      <c r="AB410" s="83" cm="1">
        <f t="array" ref="AB410">Iss_Tariff(Main_Issuance[[#This Row],[Bank]],Main_Issuance[[#This Row],[LC Amt(SAR)]],Main_Issuance[[#This Row],[Issue Date.]],Main_Issuance[[#This Row],[Expiry Date]],Main_Issuance[[#This Row],[Calculate]])</f>
        <v>0</v>
      </c>
      <c r="AC410" s="83"/>
    </row>
    <row r="411" spans="1:29" ht="15.75" hidden="1" x14ac:dyDescent="0.25">
      <c r="A411" s="75" t="s">
        <v>793</v>
      </c>
      <c r="B411" s="56">
        <v>45739</v>
      </c>
      <c r="C411" s="56" t="s">
        <v>441</v>
      </c>
      <c r="D411" s="69" t="s">
        <v>20</v>
      </c>
      <c r="E411" s="69" t="s">
        <v>21</v>
      </c>
      <c r="F411" s="69" t="s">
        <v>22</v>
      </c>
      <c r="G411" s="69" t="s">
        <v>640</v>
      </c>
      <c r="H411" s="69" t="s">
        <v>24</v>
      </c>
      <c r="I411" s="69" t="s">
        <v>22</v>
      </c>
      <c r="J411" s="59">
        <v>1020055</v>
      </c>
      <c r="K411" s="69" t="s">
        <v>26</v>
      </c>
      <c r="L411" s="60">
        <v>400000</v>
      </c>
      <c r="M411" s="60">
        <v>1</v>
      </c>
      <c r="N411" s="60">
        <f>Main_Issuance[[#This Row],[LC Amt(FCY)]]*Main_Issuance[[#This Row],[Rate]]</f>
        <v>400000</v>
      </c>
      <c r="O411" s="56">
        <v>45900</v>
      </c>
      <c r="P411" s="56">
        <v>45900</v>
      </c>
      <c r="Q411" s="56" t="s">
        <v>27</v>
      </c>
      <c r="R411" s="78" t="s">
        <v>311</v>
      </c>
      <c r="S411" s="71"/>
      <c r="T411" s="71"/>
      <c r="U411" s="71"/>
      <c r="V411" s="68">
        <v>0</v>
      </c>
      <c r="W411" s="115"/>
      <c r="X411" s="56" t="str">
        <f ca="1">IF(AND((Main_Issuance[[#This Row],[Expiry Date]]+31)&gt;TODAY(),Main_Issuance[[#This Row],[Status]]&lt;&gt;"Cancelled"),"Active","Cancelled")</f>
        <v>Cancelled</v>
      </c>
      <c r="Y411" s="409"/>
      <c r="Z411" s="408"/>
      <c r="AA411" s="408" t="s">
        <v>378</v>
      </c>
      <c r="AB411" s="83" cm="1">
        <f t="array" ref="AB411">Iss_Tariff(Main_Issuance[[#This Row],[Bank]],Main_Issuance[[#This Row],[LC Amt(SAR)]],Main_Issuance[[#This Row],[Issue Date.]],Main_Issuance[[#This Row],[Expiry Date]],Main_Issuance[[#This Row],[Calculate]])</f>
        <v>0</v>
      </c>
      <c r="AC411" s="83"/>
    </row>
    <row r="412" spans="1:29" ht="15.75" hidden="1" x14ac:dyDescent="0.25">
      <c r="A412" s="75" t="s">
        <v>1494</v>
      </c>
      <c r="B412" s="76">
        <v>45831</v>
      </c>
      <c r="C412" s="76" t="s">
        <v>441</v>
      </c>
      <c r="D412" s="78" t="s">
        <v>20</v>
      </c>
      <c r="E412" s="78" t="s">
        <v>21</v>
      </c>
      <c r="F412" s="78" t="s">
        <v>22</v>
      </c>
      <c r="G412" s="78" t="s">
        <v>640</v>
      </c>
      <c r="H412" s="78" t="s">
        <v>24</v>
      </c>
      <c r="I412" s="78" t="s">
        <v>407</v>
      </c>
      <c r="J412" s="113">
        <v>1020100</v>
      </c>
      <c r="K412" s="78" t="s">
        <v>26</v>
      </c>
      <c r="L412" s="60">
        <v>248951.85</v>
      </c>
      <c r="M412" s="60">
        <v>1</v>
      </c>
      <c r="N412" s="60">
        <f>Main_Issuance[[#This Row],[LC Amt(FCY)]]*Main_Issuance[[#This Row],[Rate]]</f>
        <v>248951.85</v>
      </c>
      <c r="O412" s="76">
        <v>45869</v>
      </c>
      <c r="P412" s="76">
        <v>45869</v>
      </c>
      <c r="Q412" s="76" t="s">
        <v>27</v>
      </c>
      <c r="R412" s="78" t="s">
        <v>621</v>
      </c>
      <c r="S412" s="81"/>
      <c r="T412" s="81"/>
      <c r="U412" s="81"/>
      <c r="V412" s="83"/>
      <c r="W412" s="115"/>
      <c r="X412" s="76" t="str">
        <f ca="1">IF(AND((Main_Issuance[[#This Row],[Expiry Date]]+31)&gt;TODAY(),Main_Issuance[[#This Row],[Status]]&lt;&gt;"Cancelled"),"Active","Cancelled")</f>
        <v>Cancelled</v>
      </c>
      <c r="Y412" s="409"/>
      <c r="Z412" s="408"/>
      <c r="AA412" s="408" t="s">
        <v>378</v>
      </c>
      <c r="AB412" s="83" cm="1">
        <f t="array" ref="AB412">Iss_Tariff(Main_Issuance[[#This Row],[Bank]],Main_Issuance[[#This Row],[LC Amt(SAR)]],Main_Issuance[[#This Row],[Issue Date.]],Main_Issuance[[#This Row],[Expiry Date]],Main_Issuance[[#This Row],[Calculate]])</f>
        <v>0</v>
      </c>
      <c r="AC412" s="83"/>
    </row>
    <row r="413" spans="1:29" ht="15.75" hidden="1" x14ac:dyDescent="0.25">
      <c r="A413" s="75" t="s">
        <v>1411</v>
      </c>
      <c r="B413" s="76">
        <v>45804</v>
      </c>
      <c r="C413" s="76" t="s">
        <v>441</v>
      </c>
      <c r="D413" s="78" t="s">
        <v>20</v>
      </c>
      <c r="E413" s="78" t="s">
        <v>21</v>
      </c>
      <c r="F413" s="78" t="s">
        <v>22</v>
      </c>
      <c r="G413" s="78" t="s">
        <v>1362</v>
      </c>
      <c r="H413" s="78" t="s">
        <v>24</v>
      </c>
      <c r="I413" s="78" t="s">
        <v>22</v>
      </c>
      <c r="J413" s="115">
        <v>1020055</v>
      </c>
      <c r="K413" s="78" t="s">
        <v>26</v>
      </c>
      <c r="L413" s="60">
        <v>249901.5</v>
      </c>
      <c r="M413" s="60">
        <v>1</v>
      </c>
      <c r="N413" s="60">
        <f>Main_Issuance[[#This Row],[LC Amt(FCY)]]*Main_Issuance[[#This Row],[Rate]]</f>
        <v>249901.5</v>
      </c>
      <c r="O413" s="76">
        <v>45900</v>
      </c>
      <c r="P413" s="76">
        <v>45900</v>
      </c>
      <c r="Q413" s="76" t="s">
        <v>27</v>
      </c>
      <c r="R413" s="78" t="s">
        <v>621</v>
      </c>
      <c r="S413" s="81"/>
      <c r="T413" s="81"/>
      <c r="U413" s="81"/>
      <c r="V413" s="83">
        <v>0</v>
      </c>
      <c r="W413" s="115"/>
      <c r="X413" s="76" t="str">
        <f ca="1">IF(AND((Main_Issuance[[#This Row],[Expiry Date]]+31)&gt;TODAY(),Main_Issuance[[#This Row],[Status]]&lt;&gt;"Cancelled"),"Active","Cancelled")</f>
        <v>Cancelled</v>
      </c>
      <c r="Y413" s="409"/>
      <c r="Z413" s="408"/>
      <c r="AA413" s="408" t="s">
        <v>378</v>
      </c>
      <c r="AB413" s="83" cm="1">
        <f t="array" ref="AB413">Iss_Tariff(Main_Issuance[[#This Row],[Bank]],Main_Issuance[[#This Row],[LC Amt(SAR)]],Main_Issuance[[#This Row],[Issue Date.]],Main_Issuance[[#This Row],[Expiry Date]],Main_Issuance[[#This Row],[Calculate]])</f>
        <v>0</v>
      </c>
      <c r="AC413" s="83"/>
    </row>
    <row r="414" spans="1:29" ht="15.75" hidden="1" x14ac:dyDescent="0.25">
      <c r="A414" s="75" t="s">
        <v>1517</v>
      </c>
      <c r="B414" s="76">
        <v>45834</v>
      </c>
      <c r="C414" s="76" t="s">
        <v>441</v>
      </c>
      <c r="D414" s="69" t="s">
        <v>20</v>
      </c>
      <c r="E414" s="78" t="s">
        <v>21</v>
      </c>
      <c r="F414" s="78" t="s">
        <v>22</v>
      </c>
      <c r="G414" s="78" t="s">
        <v>1462</v>
      </c>
      <c r="H414" s="78" t="s">
        <v>24</v>
      </c>
      <c r="I414" s="78" t="s">
        <v>407</v>
      </c>
      <c r="J414" s="113">
        <v>1020100</v>
      </c>
      <c r="K414" s="78" t="s">
        <v>26</v>
      </c>
      <c r="L414" s="60">
        <v>378574</v>
      </c>
      <c r="M414" s="60">
        <v>1</v>
      </c>
      <c r="N414" s="60">
        <f>Main_Issuance[[#This Row],[LC Amt(FCY)]]*Main_Issuance[[#This Row],[Rate]]</f>
        <v>378574</v>
      </c>
      <c r="O414" s="76">
        <v>45961</v>
      </c>
      <c r="P414" s="76">
        <v>45961</v>
      </c>
      <c r="Q414" s="76" t="s">
        <v>27</v>
      </c>
      <c r="R414" s="78" t="s">
        <v>621</v>
      </c>
      <c r="S414" s="81"/>
      <c r="T414" s="81"/>
      <c r="U414" s="81"/>
      <c r="V414" s="83">
        <v>0</v>
      </c>
      <c r="W414" s="115" t="s">
        <v>1846</v>
      </c>
      <c r="X414" s="76" t="str">
        <f ca="1">IF(AND((Main_Issuance[[#This Row],[Expiry Date]]+31)&gt;TODAY(),Main_Issuance[[#This Row],[Status]]&lt;&gt;"Cancelled"),"Active","Cancelled")</f>
        <v>Cancelled</v>
      </c>
      <c r="Y414" s="409"/>
      <c r="Z414" s="408"/>
      <c r="AA414" s="408" t="s">
        <v>378</v>
      </c>
      <c r="AB414" s="83" cm="1">
        <f t="array" ref="AB414">Iss_Tariff(Main_Issuance[[#This Row],[Bank]],Main_Issuance[[#This Row],[LC Amt(SAR)]],Main_Issuance[[#This Row],[Issue Date.]],Main_Issuance[[#This Row],[Expiry Date]],Main_Issuance[[#This Row],[Calculate]])</f>
        <v>0</v>
      </c>
      <c r="AC414" s="83"/>
    </row>
    <row r="415" spans="1:29" ht="15.75" hidden="1" x14ac:dyDescent="0.25">
      <c r="A415" s="70" t="s">
        <v>753</v>
      </c>
      <c r="B415" s="56">
        <v>45734</v>
      </c>
      <c r="C415" s="56" t="s">
        <v>509</v>
      </c>
      <c r="D415" s="69" t="s">
        <v>20</v>
      </c>
      <c r="E415" s="69" t="s">
        <v>21</v>
      </c>
      <c r="F415" s="69" t="s">
        <v>22</v>
      </c>
      <c r="G415" s="69" t="s">
        <v>754</v>
      </c>
      <c r="H415" s="65" t="s">
        <v>24</v>
      </c>
      <c r="I415" s="65" t="s">
        <v>407</v>
      </c>
      <c r="J415" s="59">
        <v>1020100</v>
      </c>
      <c r="K415" s="69" t="s">
        <v>26</v>
      </c>
      <c r="L415" s="60">
        <v>500000</v>
      </c>
      <c r="M415" s="60">
        <v>1</v>
      </c>
      <c r="N415" s="60">
        <f>Main_Issuance[[#This Row],[LC Amt(FCY)]]*Main_Issuance[[#This Row],[Rate]]</f>
        <v>500000</v>
      </c>
      <c r="O415" s="56">
        <v>45838</v>
      </c>
      <c r="P415" s="56">
        <v>45838</v>
      </c>
      <c r="Q415" s="56" t="s">
        <v>27</v>
      </c>
      <c r="R415" s="78" t="s">
        <v>311</v>
      </c>
      <c r="S415" s="71"/>
      <c r="T415" s="71"/>
      <c r="U415" s="71"/>
      <c r="V415" s="68">
        <v>0</v>
      </c>
      <c r="W415" s="115"/>
      <c r="X415" s="56" t="str">
        <f ca="1">IF(AND((Main_Issuance[[#This Row],[Expiry Date]]+31)&gt;TODAY(),Main_Issuance[[#This Row],[Status]]&lt;&gt;"Cancelled"),"Active","Cancelled")</f>
        <v>Cancelled</v>
      </c>
      <c r="Y415" s="409"/>
      <c r="Z415" s="408"/>
      <c r="AA415" s="408" t="s">
        <v>378</v>
      </c>
      <c r="AB415" s="83" cm="1">
        <f t="array" ref="AB415">Iss_Tariff(Main_Issuance[[#This Row],[Bank]],Main_Issuance[[#This Row],[LC Amt(SAR)]],Main_Issuance[[#This Row],[Issue Date.]],Main_Issuance[[#This Row],[Expiry Date]],Main_Issuance[[#This Row],[Calculate]])</f>
        <v>0</v>
      </c>
      <c r="AC415" s="83"/>
    </row>
    <row r="416" spans="1:29" ht="15.75" hidden="1" x14ac:dyDescent="0.25">
      <c r="A416" s="75" t="s">
        <v>1490</v>
      </c>
      <c r="B416" s="76">
        <v>45831</v>
      </c>
      <c r="C416" s="76" t="s">
        <v>441</v>
      </c>
      <c r="D416" s="69" t="s">
        <v>20</v>
      </c>
      <c r="E416" s="78" t="s">
        <v>21</v>
      </c>
      <c r="F416" s="78" t="s">
        <v>22</v>
      </c>
      <c r="G416" s="78" t="s">
        <v>1373</v>
      </c>
      <c r="H416" s="78" t="s">
        <v>24</v>
      </c>
      <c r="I416" s="78" t="s">
        <v>407</v>
      </c>
      <c r="J416" s="113">
        <v>1020100</v>
      </c>
      <c r="K416" s="78" t="s">
        <v>26</v>
      </c>
      <c r="L416" s="60">
        <v>400000</v>
      </c>
      <c r="M416" s="60">
        <v>1</v>
      </c>
      <c r="N416" s="60">
        <f>Main_Issuance[[#This Row],[LC Amt(FCY)]]*Main_Issuance[[#This Row],[Rate]]</f>
        <v>400000</v>
      </c>
      <c r="O416" s="76">
        <v>45961</v>
      </c>
      <c r="P416" s="76">
        <v>45961</v>
      </c>
      <c r="Q416" s="76" t="s">
        <v>27</v>
      </c>
      <c r="R416" s="78" t="s">
        <v>621</v>
      </c>
      <c r="S416" s="81"/>
      <c r="T416" s="81"/>
      <c r="U416" s="81"/>
      <c r="V416" s="83">
        <v>0</v>
      </c>
      <c r="W416" s="115"/>
      <c r="X416" s="76" t="str">
        <f ca="1">IF(AND((Main_Issuance[[#This Row],[Expiry Date]]+31)&gt;TODAY(),Main_Issuance[[#This Row],[Status]]&lt;&gt;"Cancelled"),"Active","Cancelled")</f>
        <v>Cancelled</v>
      </c>
      <c r="Y416" s="409"/>
      <c r="Z416" s="408"/>
      <c r="AA416" s="408" t="s">
        <v>378</v>
      </c>
      <c r="AB416" s="83" cm="1">
        <f t="array" ref="AB416">Iss_Tariff(Main_Issuance[[#This Row],[Bank]],Main_Issuance[[#This Row],[LC Amt(SAR)]],Main_Issuance[[#This Row],[Issue Date.]],Main_Issuance[[#This Row],[Expiry Date]],Main_Issuance[[#This Row],[Calculate]])</f>
        <v>0</v>
      </c>
      <c r="AC416" s="83"/>
    </row>
    <row r="417" spans="1:29" ht="15.75" hidden="1" x14ac:dyDescent="0.25">
      <c r="A417" s="70" t="s">
        <v>414</v>
      </c>
      <c r="B417" s="56">
        <v>45571</v>
      </c>
      <c r="C417" s="56"/>
      <c r="D417" s="69" t="s">
        <v>20</v>
      </c>
      <c r="E417" s="69" t="s">
        <v>95</v>
      </c>
      <c r="F417" s="69" t="s">
        <v>96</v>
      </c>
      <c r="G417" s="69" t="s">
        <v>415</v>
      </c>
      <c r="H417" s="65" t="s">
        <v>24</v>
      </c>
      <c r="I417" s="65" t="s">
        <v>413</v>
      </c>
      <c r="J417" s="59"/>
      <c r="K417" s="69" t="s">
        <v>26</v>
      </c>
      <c r="L417" s="60">
        <v>3055634</v>
      </c>
      <c r="M417" s="60">
        <v>1</v>
      </c>
      <c r="N417" s="60">
        <f>Main_Issuance[[#This Row],[LC Amt(FCY)]]*Main_Issuance[[#This Row],[Rate]]</f>
        <v>3055634</v>
      </c>
      <c r="O417" s="56">
        <v>45657</v>
      </c>
      <c r="P417" s="56">
        <v>45630</v>
      </c>
      <c r="Q417" s="56" t="s">
        <v>27</v>
      </c>
      <c r="R417" s="78" t="s">
        <v>311</v>
      </c>
      <c r="S417" s="71"/>
      <c r="T417" s="71"/>
      <c r="U417" s="71"/>
      <c r="V417" s="68">
        <v>0</v>
      </c>
      <c r="W417" s="115"/>
      <c r="X417" s="56" t="str">
        <f ca="1">IF(AND((Main_Issuance[[#This Row],[Expiry Date]]+31)&gt;TODAY(),Main_Issuance[[#This Row],[Status]]&lt;&gt;"Cancelled"),"Active","Cancelled")</f>
        <v>Cancelled</v>
      </c>
      <c r="Y417" s="409"/>
      <c r="Z417" s="408"/>
      <c r="AA417" s="408" t="s">
        <v>378</v>
      </c>
      <c r="AB417" s="83" cm="1">
        <f t="array" ref="AB417">Iss_Tariff(Main_Issuance[[#This Row],[Bank]],Main_Issuance[[#This Row],[LC Amt(SAR)]],Main_Issuance[[#This Row],[Issue Date.]],Main_Issuance[[#This Row],[Expiry Date]],Main_Issuance[[#This Row],[Calculate]])</f>
        <v>0</v>
      </c>
      <c r="AC417" s="83"/>
    </row>
    <row r="418" spans="1:29" ht="15.75" hidden="1" x14ac:dyDescent="0.25">
      <c r="A418" s="70" t="s">
        <v>667</v>
      </c>
      <c r="B418" s="56">
        <v>45694</v>
      </c>
      <c r="C418" s="56" t="s">
        <v>441</v>
      </c>
      <c r="D418" s="69" t="s">
        <v>20</v>
      </c>
      <c r="E418" s="69" t="s">
        <v>95</v>
      </c>
      <c r="F418" s="69" t="s">
        <v>96</v>
      </c>
      <c r="G418" s="69" t="s">
        <v>415</v>
      </c>
      <c r="H418" s="65" t="s">
        <v>24</v>
      </c>
      <c r="I418" s="65" t="s">
        <v>22</v>
      </c>
      <c r="J418" s="59">
        <v>1020055</v>
      </c>
      <c r="K418" s="69" t="s">
        <v>26</v>
      </c>
      <c r="L418" s="60">
        <v>1000000</v>
      </c>
      <c r="M418" s="60">
        <v>1</v>
      </c>
      <c r="N418" s="60">
        <f>Main_Issuance[[#This Row],[LC Amt(FCY)]]*Main_Issuance[[#This Row],[Rate]]</f>
        <v>1000000</v>
      </c>
      <c r="O418" s="56">
        <v>45777</v>
      </c>
      <c r="P418" s="56">
        <v>45777</v>
      </c>
      <c r="Q418" s="56" t="s">
        <v>27</v>
      </c>
      <c r="R418" s="78" t="s">
        <v>311</v>
      </c>
      <c r="S418" s="71"/>
      <c r="T418" s="71"/>
      <c r="U418" s="71"/>
      <c r="V418" s="68">
        <v>0</v>
      </c>
      <c r="W418" s="115"/>
      <c r="X418" s="56" t="str">
        <f ca="1">IF(AND((Main_Issuance[[#This Row],[Expiry Date]]+31)&gt;TODAY(),Main_Issuance[[#This Row],[Status]]&lt;&gt;"Cancelled"),"Active","Cancelled")</f>
        <v>Cancelled</v>
      </c>
      <c r="Y418" s="409"/>
      <c r="Z418" s="408"/>
      <c r="AA418" s="408" t="s">
        <v>378</v>
      </c>
      <c r="AB418" s="83" cm="1">
        <f t="array" ref="AB418">Iss_Tariff(Main_Issuance[[#This Row],[Bank]],Main_Issuance[[#This Row],[LC Amt(SAR)]],Main_Issuance[[#This Row],[Issue Date.]],Main_Issuance[[#This Row],[Expiry Date]],Main_Issuance[[#This Row],[Calculate]])</f>
        <v>0</v>
      </c>
      <c r="AC418" s="83"/>
    </row>
    <row r="419" spans="1:29" ht="15.75" hidden="1" x14ac:dyDescent="0.25">
      <c r="A419" s="75" t="s">
        <v>1526</v>
      </c>
      <c r="B419" s="76">
        <v>45834</v>
      </c>
      <c r="C419" s="76" t="s">
        <v>441</v>
      </c>
      <c r="D419" s="78" t="s">
        <v>20</v>
      </c>
      <c r="E419" s="78" t="s">
        <v>21</v>
      </c>
      <c r="F419" s="78" t="s">
        <v>22</v>
      </c>
      <c r="G419" s="78" t="s">
        <v>1467</v>
      </c>
      <c r="H419" s="78" t="s">
        <v>24</v>
      </c>
      <c r="I419" s="78" t="s">
        <v>407</v>
      </c>
      <c r="J419" s="113">
        <v>1020100</v>
      </c>
      <c r="K419" s="78" t="s">
        <v>26</v>
      </c>
      <c r="L419" s="60">
        <v>123144</v>
      </c>
      <c r="M419" s="60">
        <v>1</v>
      </c>
      <c r="N419" s="60">
        <f>Main_Issuance[[#This Row],[LC Amt(FCY)]]*Main_Issuance[[#This Row],[Rate]]</f>
        <v>123144</v>
      </c>
      <c r="O419" s="76">
        <v>45900</v>
      </c>
      <c r="P419" s="76">
        <v>45900</v>
      </c>
      <c r="Q419" s="76" t="s">
        <v>27</v>
      </c>
      <c r="R419" s="78" t="s">
        <v>621</v>
      </c>
      <c r="S419" s="81"/>
      <c r="T419" s="81"/>
      <c r="U419" s="81"/>
      <c r="V419" s="83">
        <v>0</v>
      </c>
      <c r="W419" s="115"/>
      <c r="X419" s="76" t="str">
        <f ca="1">IF(AND((Main_Issuance[[#This Row],[Expiry Date]]+31)&gt;TODAY(),Main_Issuance[[#This Row],[Status]]&lt;&gt;"Cancelled"),"Active","Cancelled")</f>
        <v>Cancelled</v>
      </c>
      <c r="Y419" s="409"/>
      <c r="Z419" s="408"/>
      <c r="AA419" s="408" t="s">
        <v>378</v>
      </c>
      <c r="AB419" s="83" cm="1">
        <f t="array" ref="AB419">Iss_Tariff(Main_Issuance[[#This Row],[Bank]],Main_Issuance[[#This Row],[LC Amt(SAR)]],Main_Issuance[[#This Row],[Issue Date.]],Main_Issuance[[#This Row],[Expiry Date]],Main_Issuance[[#This Row],[Calculate]])</f>
        <v>0</v>
      </c>
      <c r="AC419" s="83"/>
    </row>
    <row r="420" spans="1:29" ht="15.75" hidden="1" x14ac:dyDescent="0.25">
      <c r="A420" s="75" t="s">
        <v>1748</v>
      </c>
      <c r="B420" s="76">
        <v>45883</v>
      </c>
      <c r="C420" s="76" t="s">
        <v>1727</v>
      </c>
      <c r="D420" s="78" t="s">
        <v>20</v>
      </c>
      <c r="E420" s="78" t="s">
        <v>62</v>
      </c>
      <c r="F420" s="78" t="s">
        <v>70</v>
      </c>
      <c r="G420" s="78" t="s">
        <v>1715</v>
      </c>
      <c r="H420" s="79" t="s">
        <v>869</v>
      </c>
      <c r="I420" s="78" t="s">
        <v>1762</v>
      </c>
      <c r="J420" s="115"/>
      <c r="K420" s="78" t="s">
        <v>26</v>
      </c>
      <c r="L420" s="60">
        <v>425000</v>
      </c>
      <c r="M420" s="60">
        <v>1</v>
      </c>
      <c r="N420" s="60">
        <f>Main_Issuance[[#This Row],[LC Amt(FCY)]]*Main_Issuance[[#This Row],[Rate]]</f>
        <v>425000</v>
      </c>
      <c r="O420" s="76">
        <v>45930</v>
      </c>
      <c r="P420" s="76">
        <v>45915</v>
      </c>
      <c r="Q420" s="76" t="s">
        <v>70</v>
      </c>
      <c r="R420" s="78" t="s">
        <v>208</v>
      </c>
      <c r="S420" s="81"/>
      <c r="T420" s="81"/>
      <c r="U420" s="81"/>
      <c r="V420" s="83"/>
      <c r="W420" s="115"/>
      <c r="X420" s="76" t="str">
        <f ca="1">IF(AND((Main_Issuance[[#This Row],[Expiry Date]]+31)&gt;TODAY(),Main_Issuance[[#This Row],[Status]]&lt;&gt;"Cancelled"),"Active","Cancelled")</f>
        <v>Cancelled</v>
      </c>
      <c r="Y420" s="410"/>
      <c r="Z420" s="408"/>
      <c r="AA420" s="408" t="s">
        <v>378</v>
      </c>
      <c r="AB420" s="83" cm="1">
        <f t="array" ref="AB420">Iss_Tariff(Main_Issuance[[#This Row],[Bank]],Main_Issuance[[#This Row],[LC Amt(SAR)]],Main_Issuance[[#This Row],[Issue Date.]],Main_Issuance[[#This Row],[Expiry Date]],Main_Issuance[[#This Row],[Calculate]])</f>
        <v>0</v>
      </c>
      <c r="AC420" s="83"/>
    </row>
    <row r="421" spans="1:29" ht="15.75" hidden="1" x14ac:dyDescent="0.25">
      <c r="A421" s="75" t="s">
        <v>1689</v>
      </c>
      <c r="B421" s="76">
        <v>45875</v>
      </c>
      <c r="C421" s="76" t="s">
        <v>1119</v>
      </c>
      <c r="D421" s="115" t="s">
        <v>20</v>
      </c>
      <c r="E421" s="78" t="s">
        <v>366</v>
      </c>
      <c r="F421" s="78" t="s">
        <v>367</v>
      </c>
      <c r="G421" s="78" t="s">
        <v>1682</v>
      </c>
      <c r="H421" s="78" t="s">
        <v>24</v>
      </c>
      <c r="I421" s="78" t="s">
        <v>367</v>
      </c>
      <c r="J421" s="113">
        <v>1020091</v>
      </c>
      <c r="K421" s="78" t="s">
        <v>26</v>
      </c>
      <c r="L421" s="60">
        <v>550000.15</v>
      </c>
      <c r="M421" s="60">
        <v>1</v>
      </c>
      <c r="N421" s="60">
        <f>Main_Issuance[[#This Row],[LC Amt(FCY)]]*Main_Issuance[[#This Row],[Rate]]</f>
        <v>550000.15</v>
      </c>
      <c r="O421" s="76">
        <v>46203</v>
      </c>
      <c r="P421" s="76">
        <v>46203</v>
      </c>
      <c r="Q421" s="76" t="s">
        <v>27</v>
      </c>
      <c r="R421" s="78" t="s">
        <v>1683</v>
      </c>
      <c r="S421" s="81"/>
      <c r="T421" s="81"/>
      <c r="U421" s="81"/>
      <c r="V421" s="83">
        <v>0</v>
      </c>
      <c r="W421" s="115"/>
      <c r="X421" s="76" t="str">
        <f ca="1">IF(AND((Main_Issuance[[#This Row],[Expiry Date]]+31)&gt;TODAY(),Main_Issuance[[#This Row],[Status]]&lt;&gt;"Cancelled"),"Active","Cancelled")</f>
        <v>Active</v>
      </c>
      <c r="Y421" s="409"/>
      <c r="Z421" s="408"/>
      <c r="AA421" s="408" t="s">
        <v>857</v>
      </c>
      <c r="AB421" s="83" cm="1">
        <f t="array" ref="AB421">Iss_Tariff(Main_Issuance[[#This Row],[Bank]],Main_Issuance[[#This Row],[LC Amt(SAR)]],Main_Issuance[[#This Row],[Issue Date.]],Main_Issuance[[#This Row],[Expiry Date]],Main_Issuance[[#This Row],[Calculate]])</f>
        <v>3248.75</v>
      </c>
      <c r="AC421" s="83"/>
    </row>
    <row r="422" spans="1:29" ht="15.75" hidden="1" x14ac:dyDescent="0.25">
      <c r="A422" s="75" t="s">
        <v>1291</v>
      </c>
      <c r="B422" s="76">
        <v>45785</v>
      </c>
      <c r="C422" s="76" t="s">
        <v>509</v>
      </c>
      <c r="D422" s="78" t="s">
        <v>20</v>
      </c>
      <c r="E422" s="78" t="s">
        <v>373</v>
      </c>
      <c r="F422" s="123" t="s">
        <v>70</v>
      </c>
      <c r="G422" s="78" t="s">
        <v>1208</v>
      </c>
      <c r="H422" s="78" t="s">
        <v>72</v>
      </c>
      <c r="I422" s="78" t="s">
        <v>407</v>
      </c>
      <c r="J422" s="113">
        <v>1020100</v>
      </c>
      <c r="K422" s="78" t="s">
        <v>26</v>
      </c>
      <c r="L422" s="60">
        <v>5000000</v>
      </c>
      <c r="M422" s="60">
        <v>1</v>
      </c>
      <c r="N422" s="60">
        <f>Main_Issuance[[#This Row],[LC Amt(FCY)]]*Main_Issuance[[#This Row],[Rate]]</f>
        <v>5000000</v>
      </c>
      <c r="O422" s="76">
        <v>45884</v>
      </c>
      <c r="P422" s="76">
        <v>45807</v>
      </c>
      <c r="Q422" s="56" t="s">
        <v>70</v>
      </c>
      <c r="R422" s="78" t="s">
        <v>425</v>
      </c>
      <c r="S422" s="81"/>
      <c r="T422" s="81"/>
      <c r="U422" s="81"/>
      <c r="V422" s="83">
        <v>0</v>
      </c>
      <c r="W422" s="115"/>
      <c r="X422" s="76" t="str">
        <f ca="1">IF(AND((Main_Issuance[[#This Row],[Expiry Date]]+31)&gt;TODAY(),Main_Issuance[[#This Row],[Status]]&lt;&gt;"Cancelled"),"Active","Cancelled")</f>
        <v>Cancelled</v>
      </c>
      <c r="Y422" s="409"/>
      <c r="Z422" s="408"/>
      <c r="AA422" s="408" t="s">
        <v>378</v>
      </c>
      <c r="AB422" s="83" cm="1">
        <f t="array" ref="AB422">Iss_Tariff(Main_Issuance[[#This Row],[Bank]],Main_Issuance[[#This Row],[LC Amt(SAR)]],Main_Issuance[[#This Row],[Issue Date.]],Main_Issuance[[#This Row],[Expiry Date]],Main_Issuance[[#This Row],[Calculate]])</f>
        <v>0</v>
      </c>
      <c r="AC422" s="83"/>
    </row>
    <row r="423" spans="1:29" ht="15.75" hidden="1" x14ac:dyDescent="0.25">
      <c r="A423" s="75" t="s">
        <v>1418</v>
      </c>
      <c r="B423" s="76">
        <v>45809</v>
      </c>
      <c r="C423" s="76" t="s">
        <v>509</v>
      </c>
      <c r="D423" s="78" t="s">
        <v>20</v>
      </c>
      <c r="E423" s="78" t="s">
        <v>95</v>
      </c>
      <c r="F423" s="78" t="s">
        <v>96</v>
      </c>
      <c r="G423" s="78" t="s">
        <v>1208</v>
      </c>
      <c r="H423" s="78" t="s">
        <v>72</v>
      </c>
      <c r="I423" s="78" t="s">
        <v>407</v>
      </c>
      <c r="J423" s="113">
        <v>1020100</v>
      </c>
      <c r="K423" s="78" t="s">
        <v>26</v>
      </c>
      <c r="L423" s="60">
        <v>5000000</v>
      </c>
      <c r="M423" s="60">
        <v>1</v>
      </c>
      <c r="N423" s="60">
        <f>Main_Issuance[[#This Row],[LC Amt(FCY)]]*Main_Issuance[[#This Row],[Rate]]</f>
        <v>5000000</v>
      </c>
      <c r="O423" s="76">
        <v>45884</v>
      </c>
      <c r="P423" s="76">
        <v>45812</v>
      </c>
      <c r="Q423" s="76" t="s">
        <v>27</v>
      </c>
      <c r="R423" s="78" t="s">
        <v>425</v>
      </c>
      <c r="S423" s="81"/>
      <c r="T423" s="81"/>
      <c r="U423" s="81"/>
      <c r="V423" s="83"/>
      <c r="W423" s="115"/>
      <c r="X423" s="76" t="str">
        <f ca="1">IF(AND((Main_Issuance[[#This Row],[Expiry Date]]+31)&gt;TODAY(),Main_Issuance[[#This Row],[Status]]&lt;&gt;"Cancelled"),"Active","Cancelled")</f>
        <v>Cancelled</v>
      </c>
      <c r="Y423" s="409"/>
      <c r="Z423" s="408"/>
      <c r="AA423" s="408" t="s">
        <v>378</v>
      </c>
      <c r="AB423" s="83" cm="1">
        <f t="array" ref="AB423">Iss_Tariff(Main_Issuance[[#This Row],[Bank]],Main_Issuance[[#This Row],[LC Amt(SAR)]],Main_Issuance[[#This Row],[Issue Date.]],Main_Issuance[[#This Row],[Expiry Date]],Main_Issuance[[#This Row],[Calculate]])</f>
        <v>0</v>
      </c>
      <c r="AC423" s="83"/>
    </row>
    <row r="424" spans="1:29" ht="15.75" hidden="1" x14ac:dyDescent="0.25">
      <c r="A424" s="121" t="s">
        <v>1285</v>
      </c>
      <c r="B424" s="122">
        <v>45785</v>
      </c>
      <c r="C424" s="122" t="s">
        <v>831</v>
      </c>
      <c r="D424" s="123" t="s">
        <v>20</v>
      </c>
      <c r="E424" s="123" t="s">
        <v>21</v>
      </c>
      <c r="F424" s="123" t="s">
        <v>22</v>
      </c>
      <c r="G424" s="123" t="s">
        <v>833</v>
      </c>
      <c r="H424" s="65" t="s">
        <v>1791</v>
      </c>
      <c r="I424" s="123" t="s">
        <v>22</v>
      </c>
      <c r="J424" s="149">
        <v>1020055</v>
      </c>
      <c r="K424" s="123" t="s">
        <v>78</v>
      </c>
      <c r="L424" s="60">
        <f>272513.74+302.6</f>
        <v>272816.33999999997</v>
      </c>
      <c r="M424" s="60">
        <v>3.75</v>
      </c>
      <c r="N424" s="60">
        <f>Main_Issuance[[#This Row],[LC Amt(FCY)]]*Main_Issuance[[#This Row],[Rate]]</f>
        <v>1023061.2749999999</v>
      </c>
      <c r="O424" s="122">
        <v>45915</v>
      </c>
      <c r="P424" s="122">
        <v>45900</v>
      </c>
      <c r="Q424" s="122" t="s">
        <v>27</v>
      </c>
      <c r="R424" s="78" t="s">
        <v>311</v>
      </c>
      <c r="S424" s="126"/>
      <c r="T424" s="126"/>
      <c r="U424" s="126"/>
      <c r="V424" s="128"/>
      <c r="W424" s="115"/>
      <c r="X424" s="122" t="str">
        <f ca="1">IF(AND((Main_Issuance[[#This Row],[Expiry Date]]+31)&gt;TODAY(),Main_Issuance[[#This Row],[Status]]&lt;&gt;"Cancelled"),"Active","Cancelled")</f>
        <v>Cancelled</v>
      </c>
      <c r="Y424" s="411"/>
      <c r="Z424" s="408"/>
      <c r="AA424" s="408" t="s">
        <v>378</v>
      </c>
      <c r="AB424" s="83" cm="1">
        <f t="array" ref="AB424">Iss_Tariff(Main_Issuance[[#This Row],[Bank]],Main_Issuance[[#This Row],[LC Amt(SAR)]],Main_Issuance[[#This Row],[Issue Date.]],Main_Issuance[[#This Row],[Expiry Date]],Main_Issuance[[#This Row],[Calculate]])</f>
        <v>0</v>
      </c>
      <c r="AC424" s="83"/>
    </row>
    <row r="425" spans="1:29" ht="15.75" hidden="1" x14ac:dyDescent="0.25">
      <c r="A425" s="75" t="s">
        <v>1675</v>
      </c>
      <c r="B425" s="76">
        <v>45872</v>
      </c>
      <c r="C425" s="76" t="s">
        <v>1119</v>
      </c>
      <c r="D425" s="78" t="s">
        <v>20</v>
      </c>
      <c r="E425" s="78" t="s">
        <v>366</v>
      </c>
      <c r="F425" s="78" t="s">
        <v>367</v>
      </c>
      <c r="G425" s="78" t="s">
        <v>1612</v>
      </c>
      <c r="H425" s="78" t="s">
        <v>24</v>
      </c>
      <c r="I425" s="78" t="s">
        <v>367</v>
      </c>
      <c r="J425" s="113">
        <v>1020091</v>
      </c>
      <c r="K425" s="78" t="s">
        <v>26</v>
      </c>
      <c r="L425" s="60">
        <v>863207.81</v>
      </c>
      <c r="M425" s="60">
        <v>1</v>
      </c>
      <c r="N425" s="60">
        <f>Main_Issuance[[#This Row],[LC Amt(FCY)]]*Main_Issuance[[#This Row],[Rate]]</f>
        <v>863207.81</v>
      </c>
      <c r="O425" s="76">
        <v>45961</v>
      </c>
      <c r="P425" s="76">
        <v>45961</v>
      </c>
      <c r="Q425" s="76" t="s">
        <v>27</v>
      </c>
      <c r="R425" s="78" t="s">
        <v>1624</v>
      </c>
      <c r="S425" s="81"/>
      <c r="T425" s="81"/>
      <c r="U425" s="81"/>
      <c r="V425" s="83">
        <v>0</v>
      </c>
      <c r="W425" s="115"/>
      <c r="X425" s="76" t="str">
        <f ca="1">IF(AND((Main_Issuance[[#This Row],[Expiry Date]]+31)&gt;TODAY(),Main_Issuance[[#This Row],[Status]]&lt;&gt;"Cancelled"),"Active","Cancelled")</f>
        <v>Cancelled</v>
      </c>
      <c r="Y425" s="409"/>
      <c r="Z425" s="408"/>
      <c r="AA425" s="408" t="s">
        <v>378</v>
      </c>
      <c r="AB425" s="83" cm="1">
        <f t="array" ref="AB425">Iss_Tariff(Main_Issuance[[#This Row],[Bank]],Main_Issuance[[#This Row],[LC Amt(SAR)]],Main_Issuance[[#This Row],[Issue Date.]],Main_Issuance[[#This Row],[Expiry Date]],Main_Issuance[[#This Row],[Calculate]])</f>
        <v>0</v>
      </c>
      <c r="AC425" s="83"/>
    </row>
    <row r="426" spans="1:29" ht="15.75" hidden="1" x14ac:dyDescent="0.25">
      <c r="A426" s="75" t="s">
        <v>1812</v>
      </c>
      <c r="B426" s="76">
        <v>45895</v>
      </c>
      <c r="C426" s="76" t="s">
        <v>1181</v>
      </c>
      <c r="D426" s="78" t="s">
        <v>20</v>
      </c>
      <c r="E426" s="78" t="s">
        <v>366</v>
      </c>
      <c r="F426" s="78" t="s">
        <v>710</v>
      </c>
      <c r="G426" s="78" t="s">
        <v>1759</v>
      </c>
      <c r="H426" s="79" t="s">
        <v>1791</v>
      </c>
      <c r="I426" s="79" t="s">
        <v>81</v>
      </c>
      <c r="J426" s="113">
        <v>1020070</v>
      </c>
      <c r="K426" s="78" t="s">
        <v>26</v>
      </c>
      <c r="L426" s="60">
        <v>784558</v>
      </c>
      <c r="M426" s="60">
        <v>1</v>
      </c>
      <c r="N426" s="60">
        <f>Main_Issuance[[#This Row],[LC Amt(FCY)]]*Main_Issuance[[#This Row],[Rate]]</f>
        <v>784558</v>
      </c>
      <c r="O426" s="76">
        <v>45930</v>
      </c>
      <c r="P426" s="76">
        <v>45915</v>
      </c>
      <c r="Q426" s="76" t="s">
        <v>27</v>
      </c>
      <c r="R426" s="78" t="s">
        <v>408</v>
      </c>
      <c r="S426" s="81"/>
      <c r="T426" s="81"/>
      <c r="U426" s="81"/>
      <c r="V426" s="83">
        <v>0</v>
      </c>
      <c r="W426" s="115"/>
      <c r="X426" s="76" t="str">
        <f ca="1">IF(AND((Main_Issuance[[#This Row],[Expiry Date]]+31)&gt;TODAY(),Main_Issuance[[#This Row],[Status]]&lt;&gt;"Cancelled"),"Active","Cancelled")</f>
        <v>Cancelled</v>
      </c>
      <c r="Y426" s="409"/>
      <c r="Z426" s="408"/>
      <c r="AA426" s="408" t="s">
        <v>378</v>
      </c>
      <c r="AB426" s="83" cm="1">
        <f t="array" ref="AB426">Iss_Tariff(Main_Issuance[[#This Row],[Bank]],Main_Issuance[[#This Row],[LC Amt(SAR)]],Main_Issuance[[#This Row],[Issue Date.]],Main_Issuance[[#This Row],[Expiry Date]],Main_Issuance[[#This Row],[Calculate]])</f>
        <v>0</v>
      </c>
      <c r="AC426" s="83"/>
    </row>
    <row r="427" spans="1:29" ht="15.75" hidden="1" x14ac:dyDescent="0.25">
      <c r="A427" s="75" t="s">
        <v>1677</v>
      </c>
      <c r="B427" s="76">
        <v>45872</v>
      </c>
      <c r="C427" s="76" t="s">
        <v>1119</v>
      </c>
      <c r="D427" s="78" t="s">
        <v>20</v>
      </c>
      <c r="E427" s="78" t="s">
        <v>366</v>
      </c>
      <c r="F427" s="78" t="s">
        <v>367</v>
      </c>
      <c r="G427" s="78" t="s">
        <v>1676</v>
      </c>
      <c r="H427" s="78" t="s">
        <v>24</v>
      </c>
      <c r="I427" s="78" t="s">
        <v>367</v>
      </c>
      <c r="J427" s="113">
        <v>1020091</v>
      </c>
      <c r="K427" s="78" t="s">
        <v>26</v>
      </c>
      <c r="L427" s="60">
        <v>699476</v>
      </c>
      <c r="M427" s="60">
        <v>1</v>
      </c>
      <c r="N427" s="60">
        <f>Main_Issuance[[#This Row],[LC Amt(FCY)]]*Main_Issuance[[#This Row],[Rate]]</f>
        <v>699476</v>
      </c>
      <c r="O427" s="76">
        <v>46022</v>
      </c>
      <c r="P427" s="76">
        <v>46022</v>
      </c>
      <c r="Q427" s="76" t="s">
        <v>27</v>
      </c>
      <c r="R427" s="78" t="s">
        <v>1624</v>
      </c>
      <c r="S427" s="81"/>
      <c r="T427" s="81"/>
      <c r="U427" s="81"/>
      <c r="V427" s="83">
        <v>0</v>
      </c>
      <c r="W427" s="115"/>
      <c r="X427" s="76" t="str">
        <f ca="1">IF(AND((Main_Issuance[[#This Row],[Expiry Date]]+31)&gt;TODAY(),Main_Issuance[[#This Row],[Status]]&lt;&gt;"Cancelled"),"Active","Cancelled")</f>
        <v>Cancelled</v>
      </c>
      <c r="Y427" s="409"/>
      <c r="Z427" s="408"/>
      <c r="AA427" s="408" t="s">
        <v>378</v>
      </c>
      <c r="AB427" s="83" cm="1">
        <f t="array" ref="AB427">Iss_Tariff(Main_Issuance[[#This Row],[Bank]],Main_Issuance[[#This Row],[LC Amt(SAR)]],Main_Issuance[[#This Row],[Issue Date.]],Main_Issuance[[#This Row],[Expiry Date]],Main_Issuance[[#This Row],[Calculate]])</f>
        <v>0</v>
      </c>
      <c r="AC427" s="83"/>
    </row>
    <row r="428" spans="1:29" ht="15.75" hidden="1" x14ac:dyDescent="0.25">
      <c r="A428" s="70" t="s">
        <v>743</v>
      </c>
      <c r="B428" s="56">
        <v>45741</v>
      </c>
      <c r="C428" s="76" t="s">
        <v>1864</v>
      </c>
      <c r="D428" s="69" t="s">
        <v>20</v>
      </c>
      <c r="E428" s="69" t="s">
        <v>366</v>
      </c>
      <c r="F428" s="69" t="s">
        <v>710</v>
      </c>
      <c r="G428" s="69" t="s">
        <v>744</v>
      </c>
      <c r="H428" s="65" t="s">
        <v>3221</v>
      </c>
      <c r="I428" s="65" t="s">
        <v>81</v>
      </c>
      <c r="J428" s="59">
        <v>1020070</v>
      </c>
      <c r="K428" s="69" t="s">
        <v>26</v>
      </c>
      <c r="L428" s="60">
        <v>1500000</v>
      </c>
      <c r="M428" s="60">
        <v>1</v>
      </c>
      <c r="N428" s="60">
        <f>Main_Issuance[[#This Row],[LC Amt(FCY)]]*Main_Issuance[[#This Row],[Rate]]</f>
        <v>1500000</v>
      </c>
      <c r="O428" s="56">
        <v>45808</v>
      </c>
      <c r="P428" s="56">
        <v>45777</v>
      </c>
      <c r="Q428" s="56" t="s">
        <v>27</v>
      </c>
      <c r="R428" s="78" t="s">
        <v>208</v>
      </c>
      <c r="S428" s="71"/>
      <c r="T428" s="71"/>
      <c r="U428" s="71"/>
      <c r="V428" s="68">
        <v>0</v>
      </c>
      <c r="W428" s="115"/>
      <c r="X428" s="56" t="str">
        <f ca="1">IF(AND((Main_Issuance[[#This Row],[Expiry Date]]+31)&gt;TODAY(),Main_Issuance[[#This Row],[Status]]&lt;&gt;"Cancelled"),"Active","Cancelled")</f>
        <v>Cancelled</v>
      </c>
      <c r="Y428" s="409"/>
      <c r="Z428" s="408"/>
      <c r="AA428" s="408" t="s">
        <v>378</v>
      </c>
      <c r="AB428" s="83" cm="1">
        <f t="array" ref="AB428">Iss_Tariff(Main_Issuance[[#This Row],[Bank]],Main_Issuance[[#This Row],[LC Amt(SAR)]],Main_Issuance[[#This Row],[Issue Date.]],Main_Issuance[[#This Row],[Expiry Date]],Main_Issuance[[#This Row],[Calculate]])</f>
        <v>0</v>
      </c>
      <c r="AC428" s="83"/>
    </row>
    <row r="429" spans="1:29" ht="15.75" hidden="1" x14ac:dyDescent="0.25">
      <c r="A429" s="430" t="s">
        <v>508</v>
      </c>
      <c r="B429" s="188">
        <v>45609</v>
      </c>
      <c r="C429" s="188" t="s">
        <v>509</v>
      </c>
      <c r="D429" s="189" t="s">
        <v>20</v>
      </c>
      <c r="E429" s="189" t="s">
        <v>373</v>
      </c>
      <c r="F429" s="189" t="s">
        <v>63</v>
      </c>
      <c r="G429" s="189" t="s">
        <v>510</v>
      </c>
      <c r="H429" s="65" t="s">
        <v>72</v>
      </c>
      <c r="I429" s="65" t="s">
        <v>511</v>
      </c>
      <c r="J429" s="59">
        <v>1020107</v>
      </c>
      <c r="K429" s="69" t="s">
        <v>26</v>
      </c>
      <c r="L429" s="60">
        <v>4262455.25</v>
      </c>
      <c r="M429" s="60">
        <v>1</v>
      </c>
      <c r="N429" s="60">
        <f>Main_Issuance[[#This Row],[LC Amt(FCY)]]*Main_Issuance[[#This Row],[Rate]]</f>
        <v>4262455.25</v>
      </c>
      <c r="O429" s="56">
        <v>45688</v>
      </c>
      <c r="P429" s="56">
        <v>45661</v>
      </c>
      <c r="Q429" s="56" t="s">
        <v>27</v>
      </c>
      <c r="R429" s="78" t="s">
        <v>512</v>
      </c>
      <c r="S429" s="71"/>
      <c r="T429" s="71"/>
      <c r="U429" s="71"/>
      <c r="V429" s="68">
        <v>0</v>
      </c>
      <c r="W429" s="115"/>
      <c r="X429" s="56" t="str">
        <f ca="1">IF(AND((Main_Issuance[[#This Row],[Expiry Date]]+31)&gt;TODAY(),Main_Issuance[[#This Row],[Status]]&lt;&gt;"Cancelled"),"Active","Cancelled")</f>
        <v>Cancelled</v>
      </c>
      <c r="Y429" s="409"/>
      <c r="Z429" s="408"/>
      <c r="AA429" s="408" t="s">
        <v>378</v>
      </c>
      <c r="AB429" s="83" cm="1">
        <f t="array" ref="AB429">Iss_Tariff(Main_Issuance[[#This Row],[Bank]],Main_Issuance[[#This Row],[LC Amt(SAR)]],Main_Issuance[[#This Row],[Issue Date.]],Main_Issuance[[#This Row],[Expiry Date]],Main_Issuance[[#This Row],[Calculate]])</f>
        <v>0</v>
      </c>
      <c r="AC429" s="83"/>
    </row>
    <row r="430" spans="1:29" ht="15.75" hidden="1" x14ac:dyDescent="0.25">
      <c r="A430" s="75" t="s">
        <v>1887</v>
      </c>
      <c r="B430" s="76">
        <v>45924</v>
      </c>
      <c r="C430" s="76" t="s">
        <v>509</v>
      </c>
      <c r="D430" s="78" t="s">
        <v>20</v>
      </c>
      <c r="E430" s="78" t="s">
        <v>21</v>
      </c>
      <c r="F430" s="78" t="s">
        <v>22</v>
      </c>
      <c r="G430" s="78" t="s">
        <v>510</v>
      </c>
      <c r="H430" s="79" t="s">
        <v>72</v>
      </c>
      <c r="I430" s="79" t="s">
        <v>511</v>
      </c>
      <c r="J430" s="113">
        <v>1020107</v>
      </c>
      <c r="K430" s="78" t="s">
        <v>26</v>
      </c>
      <c r="L430" s="119">
        <v>5308039.3600000003</v>
      </c>
      <c r="M430" s="82">
        <v>1</v>
      </c>
      <c r="N430" s="82">
        <f>Main_Issuance[[#This Row],[LC Amt(FCY)]]*Main_Issuance[[#This Row],[Rate]]</f>
        <v>5308039.3600000003</v>
      </c>
      <c r="O430" s="76">
        <v>46194</v>
      </c>
      <c r="P430" s="76">
        <v>46173</v>
      </c>
      <c r="Q430" s="76" t="s">
        <v>27</v>
      </c>
      <c r="R430" s="78" t="s">
        <v>1882</v>
      </c>
      <c r="S430" s="81"/>
      <c r="T430" s="81"/>
      <c r="U430" s="81"/>
      <c r="V430" s="83">
        <v>0</v>
      </c>
      <c r="W430" s="115"/>
      <c r="X430" s="76" t="str">
        <f ca="1">IF(AND((Main_Issuance[[#This Row],[Expiry Date]]+31)&gt;TODAY(),Main_Issuance[[#This Row],[Status]]&lt;&gt;"Cancelled"),"Active","Cancelled")</f>
        <v>Active</v>
      </c>
      <c r="Y430" s="409"/>
      <c r="Z430" s="408"/>
      <c r="AA430" s="408" t="s">
        <v>857</v>
      </c>
      <c r="AB430" s="83" cm="1">
        <f t="array" ref="AB430">Iss_Tariff(Main_Issuance[[#This Row],[Bank]],Main_Issuance[[#This Row],[LC Amt(SAR)]],Main_Issuance[[#This Row],[Issue Date.]],Main_Issuance[[#This Row],[Expiry Date]],Main_Issuance[[#This Row],[Calculate]])</f>
        <v>31901</v>
      </c>
      <c r="AC430" s="83"/>
    </row>
    <row r="431" spans="1:29" ht="15.75" hidden="1" x14ac:dyDescent="0.25">
      <c r="A431" s="114" t="s">
        <v>1564</v>
      </c>
      <c r="B431" s="76">
        <v>45855</v>
      </c>
      <c r="C431" s="76" t="s">
        <v>441</v>
      </c>
      <c r="D431" s="78" t="s">
        <v>20</v>
      </c>
      <c r="E431" s="78" t="s">
        <v>612</v>
      </c>
      <c r="F431" s="78" t="s">
        <v>613</v>
      </c>
      <c r="G431" s="115" t="s">
        <v>1542</v>
      </c>
      <c r="H431" s="79" t="s">
        <v>24</v>
      </c>
      <c r="I431" s="79" t="s">
        <v>613</v>
      </c>
      <c r="J431" s="115">
        <v>1020106</v>
      </c>
      <c r="K431" s="78" t="s">
        <v>26</v>
      </c>
      <c r="L431" s="60">
        <v>300000</v>
      </c>
      <c r="M431" s="60">
        <v>1</v>
      </c>
      <c r="N431" s="60">
        <f>Main_Issuance[[#This Row],[LC Amt(FCY)]]*Main_Issuance[[#This Row],[Rate]]</f>
        <v>300000</v>
      </c>
      <c r="O431" s="76">
        <v>45930</v>
      </c>
      <c r="P431" s="76">
        <v>45930</v>
      </c>
      <c r="Q431" s="76" t="s">
        <v>27</v>
      </c>
      <c r="R431" s="78" t="s">
        <v>311</v>
      </c>
      <c r="S431" s="81"/>
      <c r="T431" s="81"/>
      <c r="U431" s="81"/>
      <c r="V431" s="83">
        <v>0</v>
      </c>
      <c r="W431" s="115"/>
      <c r="X431" s="77" t="str">
        <f ca="1">IF(AND((Main_Issuance[[#This Row],[Expiry Date]]+31)&gt;TODAY(),Main_Issuance[[#This Row],[Status]]&lt;&gt;"Cancelled"),"Active","Cancelled")</f>
        <v>Cancelled</v>
      </c>
      <c r="Y431" s="409"/>
      <c r="Z431" s="408"/>
      <c r="AA431" s="408" t="s">
        <v>378</v>
      </c>
      <c r="AB431" s="83" cm="1">
        <f t="array" ref="AB431">Iss_Tariff(Main_Issuance[[#This Row],[Bank]],Main_Issuance[[#This Row],[LC Amt(SAR)]],Main_Issuance[[#This Row],[Issue Date.]],Main_Issuance[[#This Row],[Expiry Date]],Main_Issuance[[#This Row],[Calculate]])</f>
        <v>0</v>
      </c>
      <c r="AC431" s="83"/>
    </row>
    <row r="432" spans="1:29" ht="15.75" hidden="1" x14ac:dyDescent="0.25">
      <c r="A432" s="75" t="s">
        <v>1399</v>
      </c>
      <c r="B432" s="76">
        <v>45804</v>
      </c>
      <c r="C432" s="76" t="s">
        <v>441</v>
      </c>
      <c r="D432" s="115" t="s">
        <v>20</v>
      </c>
      <c r="E432" s="78" t="s">
        <v>21</v>
      </c>
      <c r="F432" s="78" t="s">
        <v>22</v>
      </c>
      <c r="G432" s="78" t="s">
        <v>1270</v>
      </c>
      <c r="H432" s="78" t="s">
        <v>24</v>
      </c>
      <c r="I432" s="78" t="s">
        <v>22</v>
      </c>
      <c r="J432" s="115">
        <v>1020055</v>
      </c>
      <c r="K432" s="78" t="s">
        <v>26</v>
      </c>
      <c r="L432" s="60">
        <v>381276.62</v>
      </c>
      <c r="M432" s="60">
        <v>1</v>
      </c>
      <c r="N432" s="60">
        <f>Main_Issuance[[#This Row],[LC Amt(FCY)]]*Main_Issuance[[#This Row],[Rate]]</f>
        <v>381276.62</v>
      </c>
      <c r="O432" s="76">
        <v>46169</v>
      </c>
      <c r="P432" s="76">
        <v>46169</v>
      </c>
      <c r="Q432" s="76" t="s">
        <v>27</v>
      </c>
      <c r="R432" s="78" t="s">
        <v>621</v>
      </c>
      <c r="S432" s="81"/>
      <c r="T432" s="81"/>
      <c r="U432" s="81"/>
      <c r="V432" s="83">
        <v>0</v>
      </c>
      <c r="W432" s="115"/>
      <c r="X432" s="76" t="str">
        <f ca="1">IF(AND((Main_Issuance[[#This Row],[Expiry Date]]+31)&gt;TODAY(),Main_Issuance[[#This Row],[Status]]&lt;&gt;"Cancelled"),"Active","Cancelled")</f>
        <v>Active</v>
      </c>
      <c r="Y432" s="409"/>
      <c r="Z432" s="408"/>
      <c r="AA432" s="408" t="s">
        <v>857</v>
      </c>
      <c r="AB432" s="83" cm="1">
        <f t="array" ref="AB432">Iss_Tariff(Main_Issuance[[#This Row],[Bank]],Main_Issuance[[#This Row],[LC Amt(SAR)]],Main_Issuance[[#This Row],[Issue Date.]],Main_Issuance[[#This Row],[Expiry Date]],Main_Issuance[[#This Row],[Calculate]])</f>
        <v>4421.75</v>
      </c>
      <c r="AC432" s="83"/>
    </row>
    <row r="433" spans="1:29" ht="15.75" hidden="1" x14ac:dyDescent="0.25">
      <c r="A433" s="70" t="s">
        <v>326</v>
      </c>
      <c r="B433" s="56">
        <v>45519</v>
      </c>
      <c r="C433" s="56" t="s">
        <v>1187</v>
      </c>
      <c r="D433" s="69" t="s">
        <v>20</v>
      </c>
      <c r="E433" s="69" t="s">
        <v>95</v>
      </c>
      <c r="F433" s="19" t="s">
        <v>96</v>
      </c>
      <c r="G433" s="69" t="s">
        <v>327</v>
      </c>
      <c r="H433" s="59" t="s">
        <v>72</v>
      </c>
      <c r="I433" s="65" t="s">
        <v>328</v>
      </c>
      <c r="J433" s="59">
        <v>1020097</v>
      </c>
      <c r="K433" s="69" t="s">
        <v>67</v>
      </c>
      <c r="L433" s="60">
        <v>1497459.08</v>
      </c>
      <c r="M433" s="60">
        <v>4.2640440899999996</v>
      </c>
      <c r="N433" s="60">
        <f>Main_Issuance[[#This Row],[LC Amt(FCY)]]*Main_Issuance[[#This Row],[Rate]]</f>
        <v>6385231.5400908366</v>
      </c>
      <c r="O433" s="56">
        <v>45596</v>
      </c>
      <c r="P433" s="56">
        <v>45596</v>
      </c>
      <c r="Q433" s="56" t="s">
        <v>27</v>
      </c>
      <c r="R433" s="78" t="s">
        <v>329</v>
      </c>
      <c r="S433" s="71"/>
      <c r="T433" s="71"/>
      <c r="U433" s="71"/>
      <c r="V433" s="68">
        <v>0</v>
      </c>
      <c r="W433" s="115"/>
      <c r="X433" s="56" t="str">
        <f ca="1">IF(AND((Main_Issuance[[#This Row],[Expiry Date]]+31)&gt;TODAY(),Main_Issuance[[#This Row],[Status]]&lt;&gt;"Cancelled"),"Active","Cancelled")</f>
        <v>Cancelled</v>
      </c>
      <c r="Y433" s="409"/>
      <c r="Z433" s="408"/>
      <c r="AA433" s="408" t="s">
        <v>378</v>
      </c>
      <c r="AB433" s="83" cm="1">
        <f t="array" ref="AB433">Iss_Tariff(Main_Issuance[[#This Row],[Bank]],Main_Issuance[[#This Row],[LC Amt(SAR)]],Main_Issuance[[#This Row],[Issue Date.]],Main_Issuance[[#This Row],[Expiry Date]],Main_Issuance[[#This Row],[Calculate]])</f>
        <v>0</v>
      </c>
      <c r="AC433" s="83"/>
    </row>
    <row r="434" spans="1:29" ht="15.75" hidden="1" x14ac:dyDescent="0.25">
      <c r="A434" s="75" t="s">
        <v>1731</v>
      </c>
      <c r="B434" s="76">
        <v>45881</v>
      </c>
      <c r="C434" s="76" t="s">
        <v>1181</v>
      </c>
      <c r="D434" s="115" t="s">
        <v>20</v>
      </c>
      <c r="E434" s="78" t="s">
        <v>366</v>
      </c>
      <c r="F434" s="78" t="s">
        <v>710</v>
      </c>
      <c r="G434" s="78" t="s">
        <v>1482</v>
      </c>
      <c r="H434" s="113" t="s">
        <v>72</v>
      </c>
      <c r="I434" s="79" t="s">
        <v>81</v>
      </c>
      <c r="J434" s="113">
        <v>1020070</v>
      </c>
      <c r="K434" s="78" t="s">
        <v>191</v>
      </c>
      <c r="L434" s="60">
        <v>899226.33</v>
      </c>
      <c r="M434" s="60">
        <v>1.021495</v>
      </c>
      <c r="N434" s="60">
        <f>Main_Issuance[[#This Row],[LC Amt(FCY)]]*Main_Issuance[[#This Row],[Rate]]</f>
        <v>918555.19996334997</v>
      </c>
      <c r="O434" s="77">
        <v>46053</v>
      </c>
      <c r="P434" s="77">
        <v>46022</v>
      </c>
      <c r="Q434" s="76" t="s">
        <v>27</v>
      </c>
      <c r="R434" s="78" t="s">
        <v>461</v>
      </c>
      <c r="S434" s="81"/>
      <c r="T434" s="81"/>
      <c r="U434" s="81"/>
      <c r="V434" s="83">
        <v>0</v>
      </c>
      <c r="W434" s="115"/>
      <c r="X434" s="76" t="str">
        <f ca="1">IF(AND((Main_Issuance[[#This Row],[Expiry Date]]+31)&gt;TODAY(),Main_Issuance[[#This Row],[Status]]&lt;&gt;"Cancelled"),"Active","Cancelled")</f>
        <v>Cancelled</v>
      </c>
      <c r="Y434" s="409"/>
      <c r="Z434" s="408"/>
      <c r="AA434" s="408" t="s">
        <v>378</v>
      </c>
      <c r="AB434" s="83" cm="1">
        <f t="array" ref="AB434">Iss_Tariff(Main_Issuance[[#This Row],[Bank]],Main_Issuance[[#This Row],[LC Amt(SAR)]],Main_Issuance[[#This Row],[Issue Date.]],Main_Issuance[[#This Row],[Expiry Date]],Main_Issuance[[#This Row],[Calculate]])</f>
        <v>0</v>
      </c>
      <c r="AC434" s="83"/>
    </row>
    <row r="435" spans="1:29" ht="15.75" hidden="1" x14ac:dyDescent="0.25">
      <c r="A435" s="75" t="s">
        <v>3319</v>
      </c>
      <c r="B435" s="76">
        <v>46023</v>
      </c>
      <c r="C435" s="76" t="s">
        <v>3566</v>
      </c>
      <c r="D435" s="115" t="s">
        <v>20</v>
      </c>
      <c r="E435" s="78" t="s">
        <v>612</v>
      </c>
      <c r="F435" s="78" t="s">
        <v>613</v>
      </c>
      <c r="G435" s="78" t="s">
        <v>3187</v>
      </c>
      <c r="H435" s="113" t="s">
        <v>72</v>
      </c>
      <c r="I435" s="78" t="s">
        <v>613</v>
      </c>
      <c r="J435" s="115">
        <v>1020106</v>
      </c>
      <c r="K435" s="78" t="s">
        <v>26</v>
      </c>
      <c r="L435" s="119">
        <v>5802900</v>
      </c>
      <c r="M435" s="82">
        <v>1</v>
      </c>
      <c r="N435" s="82">
        <f>Main_Issuance[[#This Row],[LC Amt(FCY)]]*Main_Issuance[[#This Row],[Rate]]</f>
        <v>5802900</v>
      </c>
      <c r="O435" s="76">
        <v>46387</v>
      </c>
      <c r="P435" s="76">
        <v>46387</v>
      </c>
      <c r="Q435" s="76" t="s">
        <v>27</v>
      </c>
      <c r="R435" s="78" t="s">
        <v>3188</v>
      </c>
      <c r="S435" s="81"/>
      <c r="T435" s="81"/>
      <c r="U435" s="81"/>
      <c r="V435" s="83">
        <v>0</v>
      </c>
      <c r="W435" s="115"/>
      <c r="X435" s="76" t="str">
        <f ca="1">IF(AND((Main_Issuance[[#This Row],[Expiry Date]]+31)&gt;TODAY(),Main_Issuance[[#This Row],[Status]]&lt;&gt;"Cancelled"),"Active","Cancelled")</f>
        <v>Active</v>
      </c>
      <c r="Y435" s="409"/>
      <c r="Z435" s="408"/>
      <c r="AA435" s="408" t="s">
        <v>857</v>
      </c>
      <c r="AB435" s="83" cm="1">
        <f t="array" ref="AB435">Iss_Tariff(Main_Issuance[[#This Row],[Bank]],Main_Issuance[[#This Row],[LC Amt(SAR)]],Main_Issuance[[#This Row],[Issue Date.]],Main_Issuance[[#This Row],[Expiry Date]],Main_Issuance[[#This Row],[Calculate]])</f>
        <v>91360.6</v>
      </c>
      <c r="AC435" s="83"/>
    </row>
    <row r="436" spans="1:29" ht="15.75" hidden="1" x14ac:dyDescent="0.25">
      <c r="A436" s="75" t="s">
        <v>5312</v>
      </c>
      <c r="B436" s="423">
        <v>46160</v>
      </c>
      <c r="C436" s="423" t="s">
        <v>1184</v>
      </c>
      <c r="D436" s="78" t="s">
        <v>20</v>
      </c>
      <c r="E436" s="69" t="s">
        <v>21</v>
      </c>
      <c r="F436" s="69" t="s">
        <v>22</v>
      </c>
      <c r="G436" s="78" t="s">
        <v>3187</v>
      </c>
      <c r="H436" s="79" t="s">
        <v>72</v>
      </c>
      <c r="I436" s="78" t="s">
        <v>90</v>
      </c>
      <c r="J436" s="78">
        <v>1020001</v>
      </c>
      <c r="K436" s="78" t="s">
        <v>26</v>
      </c>
      <c r="L436" s="119">
        <v>2000000</v>
      </c>
      <c r="M436" s="82">
        <v>1</v>
      </c>
      <c r="N436" s="82">
        <f>Main_Issuance[[#This Row],[LC Amt(FCY)]]*Main_Issuance[[#This Row],[Rate]]</f>
        <v>2000000</v>
      </c>
      <c r="O436" s="424">
        <v>46265</v>
      </c>
      <c r="P436" s="424">
        <v>46265</v>
      </c>
      <c r="Q436" s="423" t="s">
        <v>27</v>
      </c>
      <c r="R436" s="78" t="s">
        <v>1925</v>
      </c>
      <c r="S436" s="81"/>
      <c r="T436" s="81"/>
      <c r="U436" s="81"/>
      <c r="V436" s="83">
        <v>0</v>
      </c>
      <c r="W436" s="115"/>
      <c r="X436" s="423" t="str">
        <f ca="1">IF(AND((Main_Issuance[[#This Row],[Expiry Date]]+31)&gt;TODAY(),Main_Issuance[[#This Row],[Status]]&lt;&gt;"Cancelled"),"Active","Cancelled")</f>
        <v>Active</v>
      </c>
      <c r="Y436" s="96"/>
      <c r="Z436" s="424"/>
      <c r="AA436" s="443" t="s">
        <v>857</v>
      </c>
      <c r="AB436" s="83" cm="1">
        <f t="array" ref="AB436">Iss_Tariff(Main_Issuance[[#This Row],[Bank]],Main_Issuance[[#This Row],[LC Amt(SAR)]],Main_Issuance[[#This Row],[Issue Date.]],Main_Issuance[[#This Row],[Expiry Date]],Main_Issuance[[#This Row],[Calculate]])</f>
        <v>5692.5</v>
      </c>
      <c r="AC436" s="83"/>
    </row>
    <row r="437" spans="1:29" ht="15.75" hidden="1" x14ac:dyDescent="0.25">
      <c r="A437" s="70" t="s">
        <v>211</v>
      </c>
      <c r="B437" s="56">
        <v>44999</v>
      </c>
      <c r="C437" s="56" t="s">
        <v>1118</v>
      </c>
      <c r="D437" s="69" t="s">
        <v>20</v>
      </c>
      <c r="E437" s="69" t="s">
        <v>21</v>
      </c>
      <c r="F437" s="69" t="s">
        <v>22</v>
      </c>
      <c r="G437" s="69" t="s">
        <v>212</v>
      </c>
      <c r="H437" s="65" t="s">
        <v>72</v>
      </c>
      <c r="I437" s="65" t="s">
        <v>213</v>
      </c>
      <c r="J437" s="59">
        <v>1020015</v>
      </c>
      <c r="K437" s="69" t="s">
        <v>26</v>
      </c>
      <c r="L437" s="60">
        <v>17700000</v>
      </c>
      <c r="M437" s="60">
        <v>1</v>
      </c>
      <c r="N437" s="60">
        <f>Main_Issuance[[#This Row],[LC Amt(FCY)]]*Main_Issuance[[#This Row],[Rate]]</f>
        <v>17700000</v>
      </c>
      <c r="O437" s="56">
        <v>45275</v>
      </c>
      <c r="P437" s="56">
        <v>45275</v>
      </c>
      <c r="Q437" s="56" t="s">
        <v>27</v>
      </c>
      <c r="R437" s="78"/>
      <c r="S437" s="71"/>
      <c r="T437" s="71"/>
      <c r="U437" s="71"/>
      <c r="V437" s="68">
        <v>0</v>
      </c>
      <c r="W437" s="115"/>
      <c r="X437" s="56" t="str">
        <f ca="1">IF(AND((Main_Issuance[[#This Row],[Expiry Date]]+31)&gt;TODAY(),Main_Issuance[[#This Row],[Status]]&lt;&gt;"Cancelled"),"Active","Cancelled")</f>
        <v>Cancelled</v>
      </c>
      <c r="Y437" s="409"/>
      <c r="Z437" s="408"/>
      <c r="AA437" s="408" t="s">
        <v>378</v>
      </c>
      <c r="AB437" s="83" cm="1">
        <f t="array" ref="AB437">Iss_Tariff(Main_Issuance[[#This Row],[Bank]],Main_Issuance[[#This Row],[LC Amt(SAR)]],Main_Issuance[[#This Row],[Issue Date.]],Main_Issuance[[#This Row],[Expiry Date]],Main_Issuance[[#This Row],[Calculate]])</f>
        <v>0</v>
      </c>
      <c r="AC437" s="83"/>
    </row>
    <row r="438" spans="1:29" ht="15.75" hidden="1" x14ac:dyDescent="0.25">
      <c r="A438" s="70" t="s">
        <v>359</v>
      </c>
      <c r="B438" s="56">
        <v>45533</v>
      </c>
      <c r="C438" s="56" t="s">
        <v>441</v>
      </c>
      <c r="D438" s="69" t="s">
        <v>20</v>
      </c>
      <c r="E438" s="69" t="s">
        <v>95</v>
      </c>
      <c r="F438" s="69" t="s">
        <v>96</v>
      </c>
      <c r="G438" s="69" t="s">
        <v>360</v>
      </c>
      <c r="H438" s="65" t="s">
        <v>24</v>
      </c>
      <c r="I438" s="65" t="s">
        <v>22</v>
      </c>
      <c r="J438" s="59">
        <v>1020055</v>
      </c>
      <c r="K438" s="69" t="s">
        <v>26</v>
      </c>
      <c r="L438" s="60">
        <v>507987.99</v>
      </c>
      <c r="M438" s="60">
        <v>1</v>
      </c>
      <c r="N438" s="60">
        <f>Main_Issuance[[#This Row],[LC Amt(FCY)]]*Main_Issuance[[#This Row],[Rate]]</f>
        <v>507987.99</v>
      </c>
      <c r="O438" s="56">
        <v>45626</v>
      </c>
      <c r="P438" s="56">
        <v>45626</v>
      </c>
      <c r="Q438" s="56" t="s">
        <v>27</v>
      </c>
      <c r="R438" s="78" t="s">
        <v>311</v>
      </c>
      <c r="S438" s="71"/>
      <c r="T438" s="71"/>
      <c r="U438" s="71"/>
      <c r="V438" s="68">
        <v>0</v>
      </c>
      <c r="W438" s="115"/>
      <c r="X438" s="56" t="str">
        <f ca="1">IF(AND((Main_Issuance[[#This Row],[Expiry Date]]+31)&gt;TODAY(),Main_Issuance[[#This Row],[Status]]&lt;&gt;"Cancelled"),"Active","Cancelled")</f>
        <v>Cancelled</v>
      </c>
      <c r="Y438" s="409"/>
      <c r="Z438" s="408"/>
      <c r="AA438" s="408" t="s">
        <v>378</v>
      </c>
      <c r="AB438" s="83" cm="1">
        <f t="array" ref="AB438">Iss_Tariff(Main_Issuance[[#This Row],[Bank]],Main_Issuance[[#This Row],[LC Amt(SAR)]],Main_Issuance[[#This Row],[Issue Date.]],Main_Issuance[[#This Row],[Expiry Date]],Main_Issuance[[#This Row],[Calculate]])</f>
        <v>0</v>
      </c>
      <c r="AC438" s="83"/>
    </row>
    <row r="439" spans="1:29" ht="15.75" hidden="1" x14ac:dyDescent="0.25">
      <c r="A439" s="115" t="s">
        <v>1314</v>
      </c>
      <c r="B439" s="77">
        <v>45788</v>
      </c>
      <c r="C439" s="77" t="s">
        <v>441</v>
      </c>
      <c r="D439" s="115" t="s">
        <v>20</v>
      </c>
      <c r="E439" s="115" t="s">
        <v>21</v>
      </c>
      <c r="F439" s="115" t="s">
        <v>22</v>
      </c>
      <c r="G439" s="115" t="s">
        <v>1263</v>
      </c>
      <c r="H439" s="115" t="s">
        <v>24</v>
      </c>
      <c r="I439" s="115" t="s">
        <v>22</v>
      </c>
      <c r="J439" s="115">
        <v>1020055</v>
      </c>
      <c r="K439" s="115" t="s">
        <v>26</v>
      </c>
      <c r="L439" s="60">
        <v>780320.25</v>
      </c>
      <c r="M439" s="60">
        <v>1</v>
      </c>
      <c r="N439" s="60">
        <f>Main_Issuance[[#This Row],[LC Amt(FCY)]]*Main_Issuance[[#This Row],[Rate]]</f>
        <v>780320.25</v>
      </c>
      <c r="O439" s="77">
        <v>45900</v>
      </c>
      <c r="P439" s="77">
        <v>45900</v>
      </c>
      <c r="Q439" s="77" t="s">
        <v>27</v>
      </c>
      <c r="R439" s="78" t="s">
        <v>621</v>
      </c>
      <c r="S439" s="82"/>
      <c r="T439" s="82"/>
      <c r="U439" s="82"/>
      <c r="V439" s="97">
        <v>0</v>
      </c>
      <c r="W439" s="115"/>
      <c r="X439" s="77" t="str">
        <f ca="1">IF(AND((Main_Issuance[[#This Row],[Expiry Date]]+31)&gt;TODAY(),Main_Issuance[[#This Row],[Status]]&lt;&gt;"Cancelled"),"Active","Cancelled")</f>
        <v>Cancelled</v>
      </c>
      <c r="Y439" s="412"/>
      <c r="Z439" s="408"/>
      <c r="AA439" s="408" t="s">
        <v>378</v>
      </c>
      <c r="AB439" s="83" cm="1">
        <f t="array" ref="AB439">Iss_Tariff(Main_Issuance[[#This Row],[Bank]],Main_Issuance[[#This Row],[LC Amt(SAR)]],Main_Issuance[[#This Row],[Issue Date.]],Main_Issuance[[#This Row],[Expiry Date]],Main_Issuance[[#This Row],[Calculate]])</f>
        <v>0</v>
      </c>
      <c r="AC439" s="83"/>
    </row>
    <row r="440" spans="1:29" ht="15.75" hidden="1" x14ac:dyDescent="0.25">
      <c r="A440" s="75" t="s">
        <v>1417</v>
      </c>
      <c r="B440" s="76">
        <v>45809</v>
      </c>
      <c r="C440" s="77" t="s">
        <v>441</v>
      </c>
      <c r="D440" s="69" t="s">
        <v>20</v>
      </c>
      <c r="E440" s="78" t="s">
        <v>95</v>
      </c>
      <c r="F440" s="78" t="s">
        <v>96</v>
      </c>
      <c r="G440" s="78" t="s">
        <v>1329</v>
      </c>
      <c r="H440" s="78" t="s">
        <v>24</v>
      </c>
      <c r="I440" s="78" t="s">
        <v>22</v>
      </c>
      <c r="J440" s="115">
        <v>1020055</v>
      </c>
      <c r="K440" s="78" t="s">
        <v>26</v>
      </c>
      <c r="L440" s="60">
        <v>524263.78</v>
      </c>
      <c r="M440" s="60">
        <v>1</v>
      </c>
      <c r="N440" s="60">
        <f>Main_Issuance[[#This Row],[LC Amt(FCY)]]*Main_Issuance[[#This Row],[Rate]]</f>
        <v>524263.78</v>
      </c>
      <c r="O440" s="76">
        <v>45961</v>
      </c>
      <c r="P440" s="76">
        <v>45961</v>
      </c>
      <c r="Q440" s="76" t="s">
        <v>27</v>
      </c>
      <c r="R440" s="78" t="s">
        <v>621</v>
      </c>
      <c r="S440" s="81"/>
      <c r="T440" s="81"/>
      <c r="U440" s="81"/>
      <c r="V440" s="83">
        <v>0</v>
      </c>
      <c r="W440" s="115"/>
      <c r="X440" s="76" t="str">
        <f ca="1">IF(AND((Main_Issuance[[#This Row],[Expiry Date]]+31)&gt;TODAY(),Main_Issuance[[#This Row],[Status]]&lt;&gt;"Cancelled"),"Active","Cancelled")</f>
        <v>Cancelled</v>
      </c>
      <c r="Y440" s="409"/>
      <c r="Z440" s="408"/>
      <c r="AA440" s="408" t="s">
        <v>378</v>
      </c>
      <c r="AB440" s="83" cm="1">
        <f t="array" ref="AB440">Iss_Tariff(Main_Issuance[[#This Row],[Bank]],Main_Issuance[[#This Row],[LC Amt(SAR)]],Main_Issuance[[#This Row],[Issue Date.]],Main_Issuance[[#This Row],[Expiry Date]],Main_Issuance[[#This Row],[Calculate]])</f>
        <v>0</v>
      </c>
      <c r="AC440" s="83"/>
    </row>
    <row r="441" spans="1:29" ht="15.75" hidden="1" x14ac:dyDescent="0.25">
      <c r="A441" s="75" t="s">
        <v>1488</v>
      </c>
      <c r="B441" s="76">
        <v>45831</v>
      </c>
      <c r="C441" s="76" t="s">
        <v>441</v>
      </c>
      <c r="D441" s="78" t="s">
        <v>20</v>
      </c>
      <c r="E441" s="78" t="s">
        <v>21</v>
      </c>
      <c r="F441" s="78" t="s">
        <v>22</v>
      </c>
      <c r="G441" s="78" t="s">
        <v>1329</v>
      </c>
      <c r="H441" s="78" t="s">
        <v>24</v>
      </c>
      <c r="I441" s="78" t="s">
        <v>407</v>
      </c>
      <c r="J441" s="113">
        <v>1020100</v>
      </c>
      <c r="K441" s="78" t="s">
        <v>26</v>
      </c>
      <c r="L441" s="60">
        <v>300000.01</v>
      </c>
      <c r="M441" s="60">
        <v>1</v>
      </c>
      <c r="N441" s="60">
        <f>Main_Issuance[[#This Row],[LC Amt(FCY)]]*Main_Issuance[[#This Row],[Rate]]</f>
        <v>300000.01</v>
      </c>
      <c r="O441" s="76">
        <v>45900</v>
      </c>
      <c r="P441" s="76">
        <v>45900</v>
      </c>
      <c r="Q441" s="76" t="s">
        <v>27</v>
      </c>
      <c r="R441" s="78" t="s">
        <v>621</v>
      </c>
      <c r="S441" s="81"/>
      <c r="T441" s="81"/>
      <c r="U441" s="81"/>
      <c r="V441" s="83">
        <v>0</v>
      </c>
      <c r="W441" s="115"/>
      <c r="X441" s="76" t="str">
        <f ca="1">IF(AND((Main_Issuance[[#This Row],[Expiry Date]]+31)&gt;TODAY(),Main_Issuance[[#This Row],[Status]]&lt;&gt;"Cancelled"),"Active","Cancelled")</f>
        <v>Cancelled</v>
      </c>
      <c r="Y441" s="409"/>
      <c r="Z441" s="408"/>
      <c r="AA441" s="408" t="s">
        <v>378</v>
      </c>
      <c r="AB441" s="83" cm="1">
        <f t="array" ref="AB441">Iss_Tariff(Main_Issuance[[#This Row],[Bank]],Main_Issuance[[#This Row],[LC Amt(SAR)]],Main_Issuance[[#This Row],[Issue Date.]],Main_Issuance[[#This Row],[Expiry Date]],Main_Issuance[[#This Row],[Calculate]])</f>
        <v>0</v>
      </c>
      <c r="AC441" s="83"/>
    </row>
    <row r="442" spans="1:29" ht="15.75" hidden="1" x14ac:dyDescent="0.25">
      <c r="A442" s="75" t="s">
        <v>2918</v>
      </c>
      <c r="B442" s="76">
        <v>45994</v>
      </c>
      <c r="C442" s="76" t="s">
        <v>441</v>
      </c>
      <c r="D442" s="78" t="s">
        <v>20</v>
      </c>
      <c r="E442" s="78" t="s">
        <v>21</v>
      </c>
      <c r="F442" s="78" t="s">
        <v>22</v>
      </c>
      <c r="G442" s="78" t="s">
        <v>1329</v>
      </c>
      <c r="H442" s="79" t="s">
        <v>24</v>
      </c>
      <c r="I442" s="79" t="s">
        <v>22</v>
      </c>
      <c r="J442" s="113">
        <v>1020055</v>
      </c>
      <c r="K442" s="78" t="s">
        <v>26</v>
      </c>
      <c r="L442" s="119">
        <v>2044458.32</v>
      </c>
      <c r="M442" s="82">
        <v>1</v>
      </c>
      <c r="N442" s="82">
        <f>Main_Issuance[[#This Row],[LC Amt(FCY)]]*Main_Issuance[[#This Row],[Rate]]</f>
        <v>2044458.32</v>
      </c>
      <c r="O442" s="76">
        <v>46081</v>
      </c>
      <c r="P442" s="76">
        <v>46081</v>
      </c>
      <c r="Q442" s="76" t="s">
        <v>27</v>
      </c>
      <c r="R442" s="78" t="s">
        <v>311</v>
      </c>
      <c r="S442" s="81"/>
      <c r="T442" s="81"/>
      <c r="U442" s="81"/>
      <c r="V442" s="83">
        <v>0</v>
      </c>
      <c r="W442" s="115"/>
      <c r="X442" s="76" t="str">
        <f ca="1">IF(AND((Main_Issuance[[#This Row],[Expiry Date]]+31)&gt;TODAY(),Main_Issuance[[#This Row],[Status]]&lt;&gt;"Cancelled"),"Active","Cancelled")</f>
        <v>Cancelled</v>
      </c>
      <c r="Y442" s="409"/>
      <c r="Z442" s="408"/>
      <c r="AA442" s="408" t="s">
        <v>857</v>
      </c>
      <c r="AB442" s="83" cm="1">
        <f t="array" ref="AB442">Iss_Tariff(Main_Issuance[[#This Row],[Bank]],Main_Issuance[[#This Row],[LC Amt(SAR)]],Main_Issuance[[#This Row],[Issue Date.]],Main_Issuance[[#This Row],[Expiry Date]],Main_Issuance[[#This Row],[Calculate]])</f>
        <v>4319.3999999999996</v>
      </c>
      <c r="AC442" s="83"/>
    </row>
    <row r="443" spans="1:29" ht="15.75" hidden="1" x14ac:dyDescent="0.25">
      <c r="A443" s="75" t="s">
        <v>4560</v>
      </c>
      <c r="B443" s="423">
        <v>46118</v>
      </c>
      <c r="C443" s="423" t="s">
        <v>441</v>
      </c>
      <c r="D443" s="78" t="s">
        <v>20</v>
      </c>
      <c r="E443" s="78" t="s">
        <v>366</v>
      </c>
      <c r="F443" s="78" t="s">
        <v>710</v>
      </c>
      <c r="G443" s="78" t="s">
        <v>1329</v>
      </c>
      <c r="H443" s="79" t="s">
        <v>24</v>
      </c>
      <c r="I443" s="78" t="s">
        <v>710</v>
      </c>
      <c r="J443" s="113">
        <v>1020088</v>
      </c>
      <c r="K443" s="78" t="s">
        <v>26</v>
      </c>
      <c r="L443" s="119">
        <v>500000</v>
      </c>
      <c r="M443" s="82">
        <v>1</v>
      </c>
      <c r="N443" s="82">
        <f>Main_Issuance[[#This Row],[LC Amt(FCY)]]*Main_Issuance[[#This Row],[Rate]]</f>
        <v>500000</v>
      </c>
      <c r="O443" s="423">
        <v>46203</v>
      </c>
      <c r="P443" s="423">
        <v>46203</v>
      </c>
      <c r="Q443" s="423" t="s">
        <v>27</v>
      </c>
      <c r="R443" s="78" t="s">
        <v>4493</v>
      </c>
      <c r="S443" s="81"/>
      <c r="T443" s="81"/>
      <c r="U443" s="81"/>
      <c r="V443" s="83">
        <v>0</v>
      </c>
      <c r="W443" s="115"/>
      <c r="X443" s="423" t="str">
        <f ca="1">IF(AND((Main_Issuance[[#This Row],[Expiry Date]]+31)&gt;TODAY(),Main_Issuance[[#This Row],[Status]]&lt;&gt;"Cancelled"),"Active","Cancelled")</f>
        <v>Active</v>
      </c>
      <c r="Y443" s="96"/>
      <c r="Z443" s="424"/>
      <c r="AA443" s="443" t="s">
        <v>857</v>
      </c>
      <c r="AB443" s="83" cm="1">
        <f t="array" ref="AB443">Iss_Tariff(Main_Issuance[[#This Row],[Bank]],Main_Issuance[[#This Row],[LC Amt(SAR)]],Main_Issuance[[#This Row],[Issue Date.]],Main_Issuance[[#This Row],[Expiry Date]],Main_Issuance[[#This Row],[Calculate]],,125)</f>
        <v>3105</v>
      </c>
      <c r="AC443" s="83"/>
    </row>
    <row r="444" spans="1:29" ht="15.75" hidden="1" x14ac:dyDescent="0.25">
      <c r="A444" s="70" t="s">
        <v>816</v>
      </c>
      <c r="B444" s="56">
        <v>45739</v>
      </c>
      <c r="C444" s="56" t="s">
        <v>441</v>
      </c>
      <c r="D444" s="69" t="s">
        <v>20</v>
      </c>
      <c r="E444" s="69" t="s">
        <v>21</v>
      </c>
      <c r="F444" s="69" t="s">
        <v>22</v>
      </c>
      <c r="G444" s="69" t="s">
        <v>817</v>
      </c>
      <c r="H444" s="69" t="s">
        <v>24</v>
      </c>
      <c r="I444" s="69" t="s">
        <v>22</v>
      </c>
      <c r="J444" s="65">
        <v>1020055</v>
      </c>
      <c r="K444" s="69" t="s">
        <v>26</v>
      </c>
      <c r="L444" s="60">
        <v>517624.02</v>
      </c>
      <c r="M444" s="60">
        <v>1</v>
      </c>
      <c r="N444" s="60">
        <f>Main_Issuance[[#This Row],[LC Amt(FCY)]]*Main_Issuance[[#This Row],[Rate]]</f>
        <v>517624.02</v>
      </c>
      <c r="O444" s="58">
        <v>45838</v>
      </c>
      <c r="P444" s="58">
        <v>45838</v>
      </c>
      <c r="Q444" s="56" t="s">
        <v>27</v>
      </c>
      <c r="R444" s="78" t="s">
        <v>311</v>
      </c>
      <c r="S444" s="71"/>
      <c r="T444" s="71"/>
      <c r="U444" s="71"/>
      <c r="V444" s="68">
        <v>0</v>
      </c>
      <c r="W444" s="115"/>
      <c r="X444" s="56" t="str">
        <f ca="1">IF(AND((Main_Issuance[[#This Row],[Expiry Date]]+31)&gt;TODAY(),Main_Issuance[[#This Row],[Status]]&lt;&gt;"Cancelled"),"Active","Cancelled")</f>
        <v>Cancelled</v>
      </c>
      <c r="Y444" s="409"/>
      <c r="Z444" s="408"/>
      <c r="AA444" s="408" t="s">
        <v>378</v>
      </c>
      <c r="AB444" s="83" cm="1">
        <f t="array" ref="AB444">Iss_Tariff(Main_Issuance[[#This Row],[Bank]],Main_Issuance[[#This Row],[LC Amt(SAR)]],Main_Issuance[[#This Row],[Issue Date.]],Main_Issuance[[#This Row],[Expiry Date]],Main_Issuance[[#This Row],[Calculate]])</f>
        <v>0</v>
      </c>
      <c r="AC444" s="83"/>
    </row>
    <row r="445" spans="1:29" ht="15.75" hidden="1" x14ac:dyDescent="0.25">
      <c r="A445" s="75" t="s">
        <v>2569</v>
      </c>
      <c r="B445" s="76">
        <v>45972</v>
      </c>
      <c r="C445" s="76" t="s">
        <v>1184</v>
      </c>
      <c r="D445" s="78" t="s">
        <v>20</v>
      </c>
      <c r="E445" s="78" t="s">
        <v>21</v>
      </c>
      <c r="F445" s="78" t="s">
        <v>22</v>
      </c>
      <c r="G445" s="78" t="s">
        <v>2561</v>
      </c>
      <c r="H445" s="79" t="s">
        <v>72</v>
      </c>
      <c r="I445" s="78" t="s">
        <v>90</v>
      </c>
      <c r="J445" s="78">
        <v>1020001</v>
      </c>
      <c r="K445" s="78" t="s">
        <v>26</v>
      </c>
      <c r="L445" s="119">
        <v>94000000</v>
      </c>
      <c r="M445" s="82">
        <v>1</v>
      </c>
      <c r="N445" s="82">
        <f>Main_Issuance[[#This Row],[LC Amt(FCY)]]*Main_Issuance[[#This Row],[Rate]]</f>
        <v>94000000</v>
      </c>
      <c r="O445" s="77">
        <v>46053</v>
      </c>
      <c r="P445" s="77">
        <v>46053</v>
      </c>
      <c r="Q445" s="76" t="s">
        <v>27</v>
      </c>
      <c r="R445" s="78" t="s">
        <v>1785</v>
      </c>
      <c r="S445" s="81"/>
      <c r="T445" s="81"/>
      <c r="U445" s="81"/>
      <c r="V445" s="83">
        <v>0</v>
      </c>
      <c r="W445" s="115"/>
      <c r="X445" s="76" t="str">
        <f ca="1">IF(AND((Main_Issuance[[#This Row],[Expiry Date]]+31)&gt;TODAY(),Main_Issuance[[#This Row],[Status]]&lt;&gt;"Cancelled"),"Active","Cancelled")</f>
        <v>Cancelled</v>
      </c>
      <c r="Y445" s="409"/>
      <c r="Z445" s="408"/>
      <c r="AA445" s="408" t="s">
        <v>378</v>
      </c>
      <c r="AB445" s="83" cm="1">
        <f t="array" ref="AB445">Iss_Tariff(Main_Issuance[[#This Row],[Bank]],Main_Issuance[[#This Row],[LC Amt(SAR)]],Main_Issuance[[#This Row],[Issue Date.]],Main_Issuance[[#This Row],[Expiry Date]],Main_Issuance[[#This Row],[Calculate]])</f>
        <v>0</v>
      </c>
      <c r="AC445" s="83"/>
    </row>
    <row r="446" spans="1:29" ht="15.75" hidden="1" x14ac:dyDescent="0.25">
      <c r="A446" s="75" t="s">
        <v>5192</v>
      </c>
      <c r="B446" s="423">
        <v>46148</v>
      </c>
      <c r="C446" s="423" t="s">
        <v>4231</v>
      </c>
      <c r="D446" s="78" t="s">
        <v>845</v>
      </c>
      <c r="E446" s="78" t="s">
        <v>1073</v>
      </c>
      <c r="F446" s="78" t="s">
        <v>70</v>
      </c>
      <c r="G446" s="78" t="s">
        <v>4782</v>
      </c>
      <c r="H446" s="79" t="s">
        <v>72</v>
      </c>
      <c r="I446" s="79" t="s">
        <v>882</v>
      </c>
      <c r="J446" s="79">
        <v>1020108</v>
      </c>
      <c r="K446" s="78" t="s">
        <v>78</v>
      </c>
      <c r="L446" s="119">
        <v>85618</v>
      </c>
      <c r="M446" s="82">
        <v>3.758</v>
      </c>
      <c r="N446" s="82">
        <f>Main_Issuance[[#This Row],[LC Amt(FCY)]]*Main_Issuance[[#This Row],[Rate]]</f>
        <v>321752.44400000002</v>
      </c>
      <c r="O446" s="423">
        <v>46247</v>
      </c>
      <c r="P446" s="423">
        <v>46247</v>
      </c>
      <c r="Q446" s="423" t="s">
        <v>70</v>
      </c>
      <c r="R446" s="78" t="s">
        <v>208</v>
      </c>
      <c r="S446" s="81"/>
      <c r="T446" s="81"/>
      <c r="U446" s="81"/>
      <c r="V446" s="83">
        <v>0</v>
      </c>
      <c r="W446" s="115" t="s">
        <v>5333</v>
      </c>
      <c r="X446" s="438" t="str">
        <f ca="1">IF(AND((Main_Issuance[[#This Row],[Expiry Date]]+31)&gt;TODAY(),Main_Issuance[[#This Row],[Status]]&lt;&gt;"Cancelled"),"Active","Cancelled")</f>
        <v>Cancelled</v>
      </c>
      <c r="Y446" s="96"/>
      <c r="Z446" s="424"/>
      <c r="AA446" s="443" t="s">
        <v>857</v>
      </c>
      <c r="AB446" s="83" cm="1">
        <f t="array" ref="AB446">Iss_Tariff(Main_Issuance[[#This Row],[Bank]],Main_Issuance[[#This Row],[LC Amt(SAR)]],Main_Issuance[[#This Row],[Issue Date.]],Main_Issuance[[#This Row],[Expiry Date]],Main_Issuance[[#This Row],[Calculate]])</f>
        <v>2587.5</v>
      </c>
      <c r="AC446" s="83"/>
    </row>
    <row r="447" spans="1:29" ht="15.75" hidden="1" x14ac:dyDescent="0.25">
      <c r="A447" s="70" t="s">
        <v>485</v>
      </c>
      <c r="B447" s="56">
        <v>45610</v>
      </c>
      <c r="C447" s="56" t="s">
        <v>509</v>
      </c>
      <c r="D447" s="69" t="s">
        <v>20</v>
      </c>
      <c r="E447" s="69" t="s">
        <v>21</v>
      </c>
      <c r="F447" s="69" t="s">
        <v>22</v>
      </c>
      <c r="G447" s="69" t="s">
        <v>486</v>
      </c>
      <c r="H447" s="65" t="s">
        <v>72</v>
      </c>
      <c r="I447" s="65" t="s">
        <v>487</v>
      </c>
      <c r="J447" s="65">
        <v>1020060</v>
      </c>
      <c r="K447" s="69" t="s">
        <v>26</v>
      </c>
      <c r="L447" s="60">
        <v>2026592</v>
      </c>
      <c r="M447" s="60">
        <v>1</v>
      </c>
      <c r="N447" s="60">
        <f>Main_Issuance[[#This Row],[LC Amt(FCY)]]*Main_Issuance[[#This Row],[Rate]]</f>
        <v>2026592</v>
      </c>
      <c r="O447" s="56">
        <v>45688</v>
      </c>
      <c r="P447" s="56">
        <v>45661</v>
      </c>
      <c r="Q447" s="56" t="s">
        <v>27</v>
      </c>
      <c r="R447" s="78" t="s">
        <v>305</v>
      </c>
      <c r="S447" s="71"/>
      <c r="T447" s="71"/>
      <c r="U447" s="71"/>
      <c r="V447" s="68">
        <v>0</v>
      </c>
      <c r="W447" s="115"/>
      <c r="X447" s="190" t="str">
        <f ca="1">IF(AND((Main_Issuance[[#This Row],[Expiry Date]]+31)&gt;TODAY(),Main_Issuance[[#This Row],[Status]]&lt;&gt;"Cancelled"),"Active","Cancelled")</f>
        <v>Cancelled</v>
      </c>
      <c r="Y447" s="409"/>
      <c r="Z447" s="408"/>
      <c r="AA447" s="408" t="s">
        <v>378</v>
      </c>
      <c r="AB447" s="83" cm="1">
        <f t="array" ref="AB447">Iss_Tariff(Main_Issuance[[#This Row],[Bank]],Main_Issuance[[#This Row],[LC Amt(SAR)]],Main_Issuance[[#This Row],[Issue Date.]],Main_Issuance[[#This Row],[Expiry Date]],Main_Issuance[[#This Row],[Calculate]])</f>
        <v>0</v>
      </c>
      <c r="AC447" s="83"/>
    </row>
    <row r="448" spans="1:29" ht="15.75" hidden="1" x14ac:dyDescent="0.25">
      <c r="A448" s="75" t="s">
        <v>1251</v>
      </c>
      <c r="B448" s="76">
        <v>45778</v>
      </c>
      <c r="C448" s="76" t="s">
        <v>509</v>
      </c>
      <c r="D448" s="78" t="s">
        <v>20</v>
      </c>
      <c r="E448" s="78" t="s">
        <v>95</v>
      </c>
      <c r="F448" s="78" t="s">
        <v>96</v>
      </c>
      <c r="G448" s="78" t="s">
        <v>1200</v>
      </c>
      <c r="H448" s="79" t="s">
        <v>72</v>
      </c>
      <c r="I448" s="79" t="s">
        <v>511</v>
      </c>
      <c r="J448" s="79">
        <v>1020107</v>
      </c>
      <c r="K448" s="78" t="s">
        <v>26</v>
      </c>
      <c r="L448" s="60">
        <v>3000000</v>
      </c>
      <c r="M448" s="60">
        <v>1</v>
      </c>
      <c r="N448" s="60">
        <f>Main_Issuance[[#This Row],[LC Amt(FCY)]]*Main_Issuance[[#This Row],[Rate]]</f>
        <v>3000000</v>
      </c>
      <c r="O448" s="76">
        <v>45991</v>
      </c>
      <c r="P448" s="76">
        <v>45991</v>
      </c>
      <c r="Q448" s="76" t="s">
        <v>27</v>
      </c>
      <c r="R448" s="78" t="s">
        <v>305</v>
      </c>
      <c r="S448" s="81"/>
      <c r="T448" s="81"/>
      <c r="U448" s="81"/>
      <c r="V448" s="83">
        <v>0</v>
      </c>
      <c r="W448" s="115"/>
      <c r="X448" s="118" t="str">
        <f ca="1">IF(AND((Main_Issuance[[#This Row],[Expiry Date]]+31)&gt;TODAY(),Main_Issuance[[#This Row],[Status]]&lt;&gt;"Cancelled"),"Active","Cancelled")</f>
        <v>Cancelled</v>
      </c>
      <c r="Y448" s="409"/>
      <c r="Z448" s="408"/>
      <c r="AA448" s="408" t="s">
        <v>378</v>
      </c>
      <c r="AB448" s="83" cm="1">
        <f t="array" ref="AB448">Iss_Tariff(Main_Issuance[[#This Row],[Bank]],Main_Issuance[[#This Row],[LC Amt(SAR)]],Main_Issuance[[#This Row],[Issue Date.]],Main_Issuance[[#This Row],[Expiry Date]],Main_Issuance[[#This Row],[Calculate]])</f>
        <v>0</v>
      </c>
      <c r="AC448" s="83"/>
    </row>
    <row r="449" spans="1:29" ht="15.75" hidden="1" x14ac:dyDescent="0.25">
      <c r="A449" s="75" t="s">
        <v>4205</v>
      </c>
      <c r="B449" s="76">
        <v>46082</v>
      </c>
      <c r="C449" s="76" t="s">
        <v>509</v>
      </c>
      <c r="D449" s="115" t="s">
        <v>20</v>
      </c>
      <c r="E449" s="78" t="s">
        <v>95</v>
      </c>
      <c r="F449" s="115" t="s">
        <v>96</v>
      </c>
      <c r="G449" s="78" t="s">
        <v>1200</v>
      </c>
      <c r="H449" s="113" t="s">
        <v>72</v>
      </c>
      <c r="I449" s="79" t="s">
        <v>511</v>
      </c>
      <c r="J449" s="79">
        <v>1020107</v>
      </c>
      <c r="K449" s="78" t="s">
        <v>26</v>
      </c>
      <c r="L449" s="119">
        <v>2140124.1600000001</v>
      </c>
      <c r="M449" s="82">
        <v>1</v>
      </c>
      <c r="N449" s="82">
        <f>Main_Issuance[[#This Row],[LC Amt(FCY)]]*Main_Issuance[[#This Row],[Rate]]</f>
        <v>2140124.1600000001</v>
      </c>
      <c r="O449" s="77">
        <v>46235</v>
      </c>
      <c r="P449" s="77">
        <v>46235</v>
      </c>
      <c r="Q449" s="77" t="s">
        <v>27</v>
      </c>
      <c r="R449" s="115" t="s">
        <v>305</v>
      </c>
      <c r="S449" s="81"/>
      <c r="T449" s="81"/>
      <c r="U449" s="81"/>
      <c r="V449" s="83">
        <v>0</v>
      </c>
      <c r="W449" s="115"/>
      <c r="X449" s="118" t="str">
        <f ca="1">IF(AND((Main_Issuance[[#This Row],[Expiry Date]]+31)&gt;TODAY(),Main_Issuance[[#This Row],[Status]]&lt;&gt;"Cancelled"),"Active","Cancelled")</f>
        <v>Active</v>
      </c>
      <c r="Y449" s="409"/>
      <c r="Z449" s="408"/>
      <c r="AA449" s="408" t="s">
        <v>857</v>
      </c>
      <c r="AB449" s="83" cm="1">
        <f t="array" ref="AB449">Iss_Tariff(Main_Issuance[[#This Row],[Bank]],Main_Issuance[[#This Row],[LC Amt(SAR)]],Main_Issuance[[#This Row],[Issue Date.]],Main_Issuance[[#This Row],[Expiry Date]],Main_Issuance[[#This Row],[Calculate]])</f>
        <v>5587.85</v>
      </c>
      <c r="AC449" s="83"/>
    </row>
    <row r="450" spans="1:29" ht="15.75" hidden="1" x14ac:dyDescent="0.25">
      <c r="A450" s="115" t="s">
        <v>1504</v>
      </c>
      <c r="B450" s="77">
        <v>45831</v>
      </c>
      <c r="C450" s="77" t="s">
        <v>441</v>
      </c>
      <c r="D450" s="19" t="s">
        <v>20</v>
      </c>
      <c r="E450" s="115" t="s">
        <v>21</v>
      </c>
      <c r="F450" s="115" t="s">
        <v>22</v>
      </c>
      <c r="G450" s="115" t="s">
        <v>1414</v>
      </c>
      <c r="H450" s="115" t="s">
        <v>24</v>
      </c>
      <c r="I450" s="115" t="s">
        <v>407</v>
      </c>
      <c r="J450" s="113">
        <v>1020100</v>
      </c>
      <c r="K450" s="115" t="s">
        <v>26</v>
      </c>
      <c r="L450" s="60">
        <v>200000</v>
      </c>
      <c r="M450" s="60">
        <v>1</v>
      </c>
      <c r="N450" s="60">
        <f>Main_Issuance[[#This Row],[LC Amt(FCY)]]*Main_Issuance[[#This Row],[Rate]]</f>
        <v>200000</v>
      </c>
      <c r="O450" s="77">
        <v>45961</v>
      </c>
      <c r="P450" s="77">
        <v>45961</v>
      </c>
      <c r="Q450" s="77" t="s">
        <v>27</v>
      </c>
      <c r="R450" s="78" t="s">
        <v>621</v>
      </c>
      <c r="S450" s="82"/>
      <c r="T450" s="82"/>
      <c r="U450" s="82"/>
      <c r="V450" s="97">
        <v>0</v>
      </c>
      <c r="W450" s="115" t="s">
        <v>1846</v>
      </c>
      <c r="X450" s="77" t="str">
        <f ca="1">IF(AND((Main_Issuance[[#This Row],[Expiry Date]]+31)&gt;TODAY(),Main_Issuance[[#This Row],[Status]]&lt;&gt;"Cancelled"),"Active","Cancelled")</f>
        <v>Cancelled</v>
      </c>
      <c r="Y450" s="409"/>
      <c r="Z450" s="408"/>
      <c r="AA450" s="408" t="s">
        <v>378</v>
      </c>
      <c r="AB450" s="83" cm="1">
        <f t="array" ref="AB450">Iss_Tariff(Main_Issuance[[#This Row],[Bank]],Main_Issuance[[#This Row],[LC Amt(SAR)]],Main_Issuance[[#This Row],[Issue Date.]],Main_Issuance[[#This Row],[Expiry Date]],Main_Issuance[[#This Row],[Calculate]])</f>
        <v>0</v>
      </c>
      <c r="AC450" s="83"/>
    </row>
    <row r="451" spans="1:29" ht="15.75" hidden="1" x14ac:dyDescent="0.25">
      <c r="A451" s="70" t="s">
        <v>702</v>
      </c>
      <c r="B451" s="56">
        <v>45718</v>
      </c>
      <c r="C451" s="56" t="s">
        <v>1119</v>
      </c>
      <c r="D451" s="19" t="s">
        <v>20</v>
      </c>
      <c r="E451" s="69" t="s">
        <v>95</v>
      </c>
      <c r="F451" s="69" t="s">
        <v>96</v>
      </c>
      <c r="G451" s="69" t="s">
        <v>703</v>
      </c>
      <c r="H451" s="65" t="s">
        <v>704</v>
      </c>
      <c r="I451" s="65" t="s">
        <v>367</v>
      </c>
      <c r="J451" s="59">
        <v>1020091</v>
      </c>
      <c r="K451" s="69" t="s">
        <v>78</v>
      </c>
      <c r="L451" s="60">
        <f>838075.86+739781.7+1022258</f>
        <v>2600115.56</v>
      </c>
      <c r="M451" s="60">
        <v>3.75</v>
      </c>
      <c r="N451" s="60">
        <f>Main_Issuance[[#This Row],[LC Amt(FCY)]]*Main_Issuance[[#This Row],[Rate]]</f>
        <v>9750433.3499999996</v>
      </c>
      <c r="O451" s="58">
        <v>45951</v>
      </c>
      <c r="P451" s="58">
        <v>45930</v>
      </c>
      <c r="Q451" s="56" t="s">
        <v>27</v>
      </c>
      <c r="R451" s="78" t="s">
        <v>705</v>
      </c>
      <c r="S451" s="71"/>
      <c r="T451" s="71"/>
      <c r="U451" s="71"/>
      <c r="V451" s="68"/>
      <c r="W451" s="115"/>
      <c r="X451" s="190" t="str">
        <f ca="1">IF(AND((Main_Issuance[[#This Row],[Expiry Date]]+31)&gt;TODAY(),Main_Issuance[[#This Row],[Status]]&lt;&gt;"Cancelled"),"Active","Cancelled")</f>
        <v>Cancelled</v>
      </c>
      <c r="Y451" s="409"/>
      <c r="Z451" s="408"/>
      <c r="AA451" s="408" t="s">
        <v>378</v>
      </c>
      <c r="AB451" s="83" cm="1">
        <f t="array" ref="AB451">Iss_Tariff(Main_Issuance[[#This Row],[Bank]],Main_Issuance[[#This Row],[LC Amt(SAR)]],Main_Issuance[[#This Row],[Issue Date.]],Main_Issuance[[#This Row],[Expiry Date]],Main_Issuance[[#This Row],[Calculate]])</f>
        <v>0</v>
      </c>
      <c r="AC451" s="83"/>
    </row>
    <row r="452" spans="1:29" ht="15.75" hidden="1" x14ac:dyDescent="0.25">
      <c r="A452" s="70" t="s">
        <v>315</v>
      </c>
      <c r="B452" s="56">
        <v>45379</v>
      </c>
      <c r="C452" s="56" t="s">
        <v>1118</v>
      </c>
      <c r="D452" s="69" t="s">
        <v>20</v>
      </c>
      <c r="E452" s="69" t="s">
        <v>62</v>
      </c>
      <c r="F452" s="69" t="s">
        <v>63</v>
      </c>
      <c r="G452" s="69" t="s">
        <v>316</v>
      </c>
      <c r="H452" s="65" t="s">
        <v>72</v>
      </c>
      <c r="I452" s="65" t="s">
        <v>213</v>
      </c>
      <c r="J452" s="59">
        <v>1020015</v>
      </c>
      <c r="K452" s="69" t="s">
        <v>191</v>
      </c>
      <c r="L452" s="60">
        <v>25067422.109999999</v>
      </c>
      <c r="M452" s="60">
        <v>1.03</v>
      </c>
      <c r="N452" s="60">
        <f>Main_Issuance[[#This Row],[LC Amt(FCY)]]*Main_Issuance[[#This Row],[Rate]]</f>
        <v>25819444.7733</v>
      </c>
      <c r="O452" s="56">
        <v>45550</v>
      </c>
      <c r="P452" s="56">
        <v>45550</v>
      </c>
      <c r="Q452" s="56" t="s">
        <v>27</v>
      </c>
      <c r="R452" s="78"/>
      <c r="S452" s="71"/>
      <c r="T452" s="71"/>
      <c r="U452" s="71"/>
      <c r="V452" s="68">
        <v>0</v>
      </c>
      <c r="W452" s="115"/>
      <c r="X452" s="190" t="str">
        <f ca="1">IF(AND((Main_Issuance[[#This Row],[Expiry Date]]+31)&gt;TODAY(),Main_Issuance[[#This Row],[Status]]&lt;&gt;"Cancelled"),"Active","Cancelled")</f>
        <v>Cancelled</v>
      </c>
      <c r="Y452" s="409"/>
      <c r="Z452" s="408"/>
      <c r="AA452" s="408" t="s">
        <v>378</v>
      </c>
      <c r="AB452" s="83" cm="1">
        <f t="array" ref="AB452">Iss_Tariff(Main_Issuance[[#This Row],[Bank]],Main_Issuance[[#This Row],[LC Amt(SAR)]],Main_Issuance[[#This Row],[Issue Date.]],Main_Issuance[[#This Row],[Expiry Date]],Main_Issuance[[#This Row],[Calculate]])</f>
        <v>0</v>
      </c>
      <c r="AC452" s="83"/>
    </row>
    <row r="453" spans="1:29" ht="15.75" hidden="1" x14ac:dyDescent="0.25">
      <c r="A453" s="70" t="s">
        <v>320</v>
      </c>
      <c r="B453" s="56">
        <v>45529</v>
      </c>
      <c r="C453" s="56" t="s">
        <v>1118</v>
      </c>
      <c r="D453" s="19" t="s">
        <v>20</v>
      </c>
      <c r="E453" s="69" t="s">
        <v>62</v>
      </c>
      <c r="F453" s="19" t="s">
        <v>70</v>
      </c>
      <c r="G453" s="69" t="s">
        <v>316</v>
      </c>
      <c r="H453" s="59" t="s">
        <v>72</v>
      </c>
      <c r="I453" s="65" t="s">
        <v>213</v>
      </c>
      <c r="J453" s="65">
        <v>1020015</v>
      </c>
      <c r="K453" s="69" t="s">
        <v>191</v>
      </c>
      <c r="L453" s="60">
        <f>(6775049+3440234.68)</f>
        <v>10215283.68</v>
      </c>
      <c r="M453" s="60">
        <v>1.03</v>
      </c>
      <c r="N453" s="60">
        <f>Main_Issuance[[#This Row],[LC Amt(FCY)]]*Main_Issuance[[#This Row],[Rate]]</f>
        <v>10521742.190400001</v>
      </c>
      <c r="O453" s="56">
        <v>45687</v>
      </c>
      <c r="P453" s="56">
        <v>45657</v>
      </c>
      <c r="Q453" s="58" t="s">
        <v>70</v>
      </c>
      <c r="R453" s="115" t="s">
        <v>208</v>
      </c>
      <c r="S453" s="71"/>
      <c r="T453" s="71"/>
      <c r="U453" s="71"/>
      <c r="V453" s="68">
        <v>0</v>
      </c>
      <c r="W453" s="115"/>
      <c r="X453" s="190" t="str">
        <f ca="1">IF(AND((Main_Issuance[[#This Row],[Expiry Date]]+31)&gt;TODAY(),Main_Issuance[[#This Row],[Status]]&lt;&gt;"Cancelled"),"Active","Cancelled")</f>
        <v>Cancelled</v>
      </c>
      <c r="Y453" s="409"/>
      <c r="Z453" s="408"/>
      <c r="AA453" s="408" t="s">
        <v>378</v>
      </c>
      <c r="AB453" s="83" cm="1">
        <f t="array" ref="AB453">Iss_Tariff(Main_Issuance[[#This Row],[Bank]],Main_Issuance[[#This Row],[LC Amt(SAR)]],Main_Issuance[[#This Row],[Issue Date.]],Main_Issuance[[#This Row],[Expiry Date]],Main_Issuance[[#This Row],[Calculate]])</f>
        <v>0</v>
      </c>
      <c r="AC453" s="83"/>
    </row>
    <row r="454" spans="1:29" ht="15.75" hidden="1" x14ac:dyDescent="0.25">
      <c r="A454" s="70" t="s">
        <v>434</v>
      </c>
      <c r="B454" s="56">
        <v>45588</v>
      </c>
      <c r="C454" s="56" t="s">
        <v>441</v>
      </c>
      <c r="D454" s="19" t="s">
        <v>20</v>
      </c>
      <c r="E454" s="69" t="s">
        <v>95</v>
      </c>
      <c r="F454" s="69" t="s">
        <v>96</v>
      </c>
      <c r="G454" s="69" t="s">
        <v>435</v>
      </c>
      <c r="H454" s="65" t="s">
        <v>24</v>
      </c>
      <c r="I454" s="65" t="s">
        <v>22</v>
      </c>
      <c r="J454" s="65">
        <v>1020055</v>
      </c>
      <c r="K454" s="69" t="s">
        <v>26</v>
      </c>
      <c r="L454" s="60">
        <v>1500000</v>
      </c>
      <c r="M454" s="60">
        <v>1</v>
      </c>
      <c r="N454" s="60">
        <f>Main_Issuance[[#This Row],[LC Amt(FCY)]]*Main_Issuance[[#This Row],[Rate]]</f>
        <v>1500000</v>
      </c>
      <c r="O454" s="56">
        <v>45657</v>
      </c>
      <c r="P454" s="56">
        <v>45630</v>
      </c>
      <c r="Q454" s="56" t="s">
        <v>27</v>
      </c>
      <c r="R454" s="78" t="s">
        <v>311</v>
      </c>
      <c r="S454" s="71"/>
      <c r="T454" s="71"/>
      <c r="U454" s="71"/>
      <c r="V454" s="68">
        <v>0</v>
      </c>
      <c r="W454" s="115"/>
      <c r="X454" s="190" t="str">
        <f ca="1">IF(AND((Main_Issuance[[#This Row],[Expiry Date]]+31)&gt;TODAY(),Main_Issuance[[#This Row],[Status]]&lt;&gt;"Cancelled"),"Active","Cancelled")</f>
        <v>Cancelled</v>
      </c>
      <c r="Y454" s="409"/>
      <c r="Z454" s="408"/>
      <c r="AA454" s="408" t="s">
        <v>378</v>
      </c>
      <c r="AB454" s="83" cm="1">
        <f t="array" ref="AB454">Iss_Tariff(Main_Issuance[[#This Row],[Bank]],Main_Issuance[[#This Row],[LC Amt(SAR)]],Main_Issuance[[#This Row],[Issue Date.]],Main_Issuance[[#This Row],[Expiry Date]],Main_Issuance[[#This Row],[Calculate]])</f>
        <v>0</v>
      </c>
      <c r="AC454" s="83"/>
    </row>
    <row r="455" spans="1:29" ht="15.75" hidden="1" x14ac:dyDescent="0.25">
      <c r="A455" s="70" t="s">
        <v>558</v>
      </c>
      <c r="B455" s="56">
        <v>45638</v>
      </c>
      <c r="C455" s="56" t="s">
        <v>441</v>
      </c>
      <c r="D455" s="69" t="s">
        <v>20</v>
      </c>
      <c r="E455" s="69" t="s">
        <v>373</v>
      </c>
      <c r="F455" s="69" t="s">
        <v>483</v>
      </c>
      <c r="G455" s="69" t="s">
        <v>435</v>
      </c>
      <c r="H455" s="65" t="s">
        <v>24</v>
      </c>
      <c r="I455" s="65" t="s">
        <v>22</v>
      </c>
      <c r="J455" s="65">
        <v>1020055</v>
      </c>
      <c r="K455" s="69" t="s">
        <v>26</v>
      </c>
      <c r="L455" s="60">
        <v>2003904.69</v>
      </c>
      <c r="M455" s="60">
        <v>1</v>
      </c>
      <c r="N455" s="60">
        <f>Main_Issuance[[#This Row],[LC Amt(FCY)]]*Main_Issuance[[#This Row],[Rate]]</f>
        <v>2003904.69</v>
      </c>
      <c r="O455" s="56">
        <v>45747</v>
      </c>
      <c r="P455" s="56">
        <v>45747</v>
      </c>
      <c r="Q455" s="56" t="s">
        <v>27</v>
      </c>
      <c r="R455" s="78" t="s">
        <v>311</v>
      </c>
      <c r="S455" s="71"/>
      <c r="T455" s="71"/>
      <c r="U455" s="71"/>
      <c r="V455" s="68">
        <v>0</v>
      </c>
      <c r="W455" s="115"/>
      <c r="X455" s="190" t="str">
        <f ca="1">IF(AND((Main_Issuance[[#This Row],[Expiry Date]]+31)&gt;TODAY(),Main_Issuance[[#This Row],[Status]]&lt;&gt;"Cancelled"),"Active","Cancelled")</f>
        <v>Cancelled</v>
      </c>
      <c r="Y455" s="409"/>
      <c r="Z455" s="408"/>
      <c r="AA455" s="408" t="s">
        <v>378</v>
      </c>
      <c r="AB455" s="83" cm="1">
        <f t="array" ref="AB455">Iss_Tariff(Main_Issuance[[#This Row],[Bank]],Main_Issuance[[#This Row],[LC Amt(SAR)]],Main_Issuance[[#This Row],[Issue Date.]],Main_Issuance[[#This Row],[Expiry Date]],Main_Issuance[[#This Row],[Calculate]])</f>
        <v>0</v>
      </c>
      <c r="AC455" s="83"/>
    </row>
    <row r="456" spans="1:29" ht="15.75" hidden="1" x14ac:dyDescent="0.25">
      <c r="A456" s="70" t="s">
        <v>300</v>
      </c>
      <c r="B456" s="56">
        <v>45526</v>
      </c>
      <c r="C456" s="56" t="s">
        <v>441</v>
      </c>
      <c r="D456" s="19" t="s">
        <v>20</v>
      </c>
      <c r="E456" s="69" t="s">
        <v>21</v>
      </c>
      <c r="F456" s="69" t="s">
        <v>22</v>
      </c>
      <c r="G456" s="69" t="s">
        <v>301</v>
      </c>
      <c r="H456" s="65" t="s">
        <v>24</v>
      </c>
      <c r="I456" s="65" t="s">
        <v>22</v>
      </c>
      <c r="J456" s="65">
        <v>1020055</v>
      </c>
      <c r="K456" s="69" t="s">
        <v>26</v>
      </c>
      <c r="L456" s="60">
        <v>2000000</v>
      </c>
      <c r="M456" s="60">
        <v>1</v>
      </c>
      <c r="N456" s="60">
        <f>Main_Issuance[[#This Row],[LC Amt(FCY)]]*Main_Issuance[[#This Row],[Rate]]</f>
        <v>2000000</v>
      </c>
      <c r="O456" s="56">
        <v>45626</v>
      </c>
      <c r="P456" s="56">
        <v>45626</v>
      </c>
      <c r="Q456" s="56" t="s">
        <v>27</v>
      </c>
      <c r="R456" s="78"/>
      <c r="S456" s="71"/>
      <c r="T456" s="71"/>
      <c r="U456" s="71"/>
      <c r="V456" s="68">
        <v>0</v>
      </c>
      <c r="W456" s="115"/>
      <c r="X456" s="190" t="str">
        <f ca="1">IF(AND((Main_Issuance[[#This Row],[Expiry Date]]+31)&gt;TODAY(),Main_Issuance[[#This Row],[Status]]&lt;&gt;"Cancelled"),"Active","Cancelled")</f>
        <v>Cancelled</v>
      </c>
      <c r="Y456" s="409"/>
      <c r="Z456" s="408"/>
      <c r="AA456" s="408" t="s">
        <v>378</v>
      </c>
      <c r="AB456" s="83" cm="1">
        <f t="array" ref="AB456">Iss_Tariff(Main_Issuance[[#This Row],[Bank]],Main_Issuance[[#This Row],[LC Amt(SAR)]],Main_Issuance[[#This Row],[Issue Date.]],Main_Issuance[[#This Row],[Expiry Date]],Main_Issuance[[#This Row],[Calculate]])</f>
        <v>0</v>
      </c>
      <c r="AC456" s="83"/>
    </row>
    <row r="457" spans="1:29" ht="15.75" hidden="1" x14ac:dyDescent="0.25">
      <c r="A457" s="70" t="s">
        <v>108</v>
      </c>
      <c r="B457" s="56">
        <v>45041</v>
      </c>
      <c r="C457" s="56" t="s">
        <v>441</v>
      </c>
      <c r="D457" s="69" t="s">
        <v>20</v>
      </c>
      <c r="E457" s="69" t="s">
        <v>21</v>
      </c>
      <c r="F457" s="69" t="s">
        <v>22</v>
      </c>
      <c r="G457" s="69" t="s">
        <v>109</v>
      </c>
      <c r="H457" s="65" t="s">
        <v>24</v>
      </c>
      <c r="I457" s="65" t="s">
        <v>22</v>
      </c>
      <c r="J457" s="65">
        <v>1020055</v>
      </c>
      <c r="K457" s="69" t="s">
        <v>26</v>
      </c>
      <c r="L457" s="60">
        <v>891560.04</v>
      </c>
      <c r="M457" s="60">
        <v>1</v>
      </c>
      <c r="N457" s="60">
        <f>Main_Issuance[[#This Row],[LC Amt(FCY)]]*Main_Issuance[[#This Row],[Rate]]</f>
        <v>891560.04</v>
      </c>
      <c r="O457" s="56">
        <v>45107</v>
      </c>
      <c r="P457" s="56">
        <v>45107</v>
      </c>
      <c r="Q457" s="56" t="s">
        <v>27</v>
      </c>
      <c r="R457" s="78"/>
      <c r="S457" s="71"/>
      <c r="T457" s="71"/>
      <c r="U457" s="71"/>
      <c r="V457" s="68">
        <v>0</v>
      </c>
      <c r="W457" s="115"/>
      <c r="X457" s="190" t="str">
        <f ca="1">IF(AND((Main_Issuance[[#This Row],[Expiry Date]]+31)&gt;TODAY(),Main_Issuance[[#This Row],[Status]]&lt;&gt;"Cancelled"),"Active","Cancelled")</f>
        <v>Cancelled</v>
      </c>
      <c r="Y457" s="409"/>
      <c r="Z457" s="408"/>
      <c r="AA457" s="408" t="s">
        <v>378</v>
      </c>
      <c r="AB457" s="83" cm="1">
        <f t="array" ref="AB457">Iss_Tariff(Main_Issuance[[#This Row],[Bank]],Main_Issuance[[#This Row],[LC Amt(SAR)]],Main_Issuance[[#This Row],[Issue Date.]],Main_Issuance[[#This Row],[Expiry Date]],Main_Issuance[[#This Row],[Calculate]])</f>
        <v>0</v>
      </c>
      <c r="AC457" s="83"/>
    </row>
    <row r="458" spans="1:29" ht="15.75" hidden="1" x14ac:dyDescent="0.25">
      <c r="A458" s="70" t="s">
        <v>110</v>
      </c>
      <c r="B458" s="56">
        <v>45041</v>
      </c>
      <c r="C458" s="56" t="s">
        <v>441</v>
      </c>
      <c r="D458" s="69" t="s">
        <v>20</v>
      </c>
      <c r="E458" s="69" t="s">
        <v>21</v>
      </c>
      <c r="F458" s="69" t="s">
        <v>22</v>
      </c>
      <c r="G458" s="69" t="s">
        <v>109</v>
      </c>
      <c r="H458" s="65" t="s">
        <v>24</v>
      </c>
      <c r="I458" s="65" t="s">
        <v>22</v>
      </c>
      <c r="J458" s="59">
        <v>1020055</v>
      </c>
      <c r="K458" s="69" t="s">
        <v>26</v>
      </c>
      <c r="L458" s="60">
        <v>7788301.3200000003</v>
      </c>
      <c r="M458" s="60">
        <v>1</v>
      </c>
      <c r="N458" s="60">
        <f>Main_Issuance[[#This Row],[LC Amt(FCY)]]*Main_Issuance[[#This Row],[Rate]]</f>
        <v>7788301.3200000003</v>
      </c>
      <c r="O458" s="56">
        <v>45107</v>
      </c>
      <c r="P458" s="56">
        <v>45107</v>
      </c>
      <c r="Q458" s="58" t="s">
        <v>27</v>
      </c>
      <c r="R458" s="78"/>
      <c r="S458" s="71"/>
      <c r="T458" s="71"/>
      <c r="U458" s="71"/>
      <c r="V458" s="68">
        <v>0</v>
      </c>
      <c r="W458" s="115"/>
      <c r="X458" s="190" t="str">
        <f ca="1">IF(AND((Main_Issuance[[#This Row],[Expiry Date]]+31)&gt;TODAY(),Main_Issuance[[#This Row],[Status]]&lt;&gt;"Cancelled"),"Active","Cancelled")</f>
        <v>Cancelled</v>
      </c>
      <c r="Y458" s="409"/>
      <c r="Z458" s="408"/>
      <c r="AA458" s="408" t="s">
        <v>378</v>
      </c>
      <c r="AB458" s="83" cm="1">
        <f t="array" ref="AB458">Iss_Tariff(Main_Issuance[[#This Row],[Bank]],Main_Issuance[[#This Row],[LC Amt(SAR)]],Main_Issuance[[#This Row],[Issue Date.]],Main_Issuance[[#This Row],[Expiry Date]],Main_Issuance[[#This Row],[Calculate]])</f>
        <v>0</v>
      </c>
      <c r="AC458" s="83"/>
    </row>
    <row r="459" spans="1:29" ht="15.75" hidden="1" x14ac:dyDescent="0.25">
      <c r="A459" s="57" t="s">
        <v>223</v>
      </c>
      <c r="B459" s="56">
        <v>45237</v>
      </c>
      <c r="C459" s="56" t="s">
        <v>441</v>
      </c>
      <c r="D459" s="69" t="s">
        <v>20</v>
      </c>
      <c r="E459" s="69" t="s">
        <v>21</v>
      </c>
      <c r="F459" s="69" t="s">
        <v>22</v>
      </c>
      <c r="G459" s="69" t="s">
        <v>109</v>
      </c>
      <c r="H459" s="59" t="s">
        <v>24</v>
      </c>
      <c r="I459" s="65" t="s">
        <v>22</v>
      </c>
      <c r="J459" s="59">
        <v>1020055</v>
      </c>
      <c r="K459" s="69" t="s">
        <v>26</v>
      </c>
      <c r="L459" s="60">
        <v>2325790.02</v>
      </c>
      <c r="M459" s="60">
        <v>1</v>
      </c>
      <c r="N459" s="60">
        <f>Main_Issuance[[#This Row],[LC Amt(FCY)]]*Main_Issuance[[#This Row],[Rate]]</f>
        <v>2325790.02</v>
      </c>
      <c r="O459" s="56">
        <v>45322</v>
      </c>
      <c r="P459" s="56">
        <v>45322</v>
      </c>
      <c r="Q459" s="58" t="s">
        <v>27</v>
      </c>
      <c r="R459" s="78"/>
      <c r="S459" s="71"/>
      <c r="T459" s="71"/>
      <c r="U459" s="71"/>
      <c r="V459" s="68">
        <v>0</v>
      </c>
      <c r="W459" s="115"/>
      <c r="X459" s="191" t="str">
        <f ca="1">IF(AND((Main_Issuance[[#This Row],[Expiry Date]]+31)&gt;TODAY(),Main_Issuance[[#This Row],[Status]]&lt;&gt;"Cancelled"),"Active","Cancelled")</f>
        <v>Cancelled</v>
      </c>
      <c r="Y459" s="409"/>
      <c r="Z459" s="408"/>
      <c r="AA459" s="408" t="s">
        <v>378</v>
      </c>
      <c r="AB459" s="83" cm="1">
        <f t="array" ref="AB459">Iss_Tariff(Main_Issuance[[#This Row],[Bank]],Main_Issuance[[#This Row],[LC Amt(SAR)]],Main_Issuance[[#This Row],[Issue Date.]],Main_Issuance[[#This Row],[Expiry Date]],Main_Issuance[[#This Row],[Calculate]])</f>
        <v>0</v>
      </c>
      <c r="AC459" s="83"/>
    </row>
    <row r="460" spans="1:29" ht="15.75" hidden="1" x14ac:dyDescent="0.25">
      <c r="A460" s="57" t="s">
        <v>239</v>
      </c>
      <c r="B460" s="56">
        <v>45278</v>
      </c>
      <c r="C460" s="56" t="s">
        <v>441</v>
      </c>
      <c r="D460" s="19" t="s">
        <v>20</v>
      </c>
      <c r="E460" s="69" t="s">
        <v>21</v>
      </c>
      <c r="F460" s="69" t="s">
        <v>22</v>
      </c>
      <c r="G460" s="69" t="s">
        <v>109</v>
      </c>
      <c r="H460" s="59" t="s">
        <v>24</v>
      </c>
      <c r="I460" s="65" t="s">
        <v>22</v>
      </c>
      <c r="J460" s="59">
        <v>1020055</v>
      </c>
      <c r="K460" s="69" t="s">
        <v>26</v>
      </c>
      <c r="L460" s="60">
        <v>6084035.2300000004</v>
      </c>
      <c r="M460" s="60">
        <v>1</v>
      </c>
      <c r="N460" s="60">
        <f>Main_Issuance[[#This Row],[LC Amt(FCY)]]*Main_Issuance[[#This Row],[Rate]]</f>
        <v>6084035.2300000004</v>
      </c>
      <c r="O460" s="58">
        <v>45351</v>
      </c>
      <c r="P460" s="58">
        <v>45351</v>
      </c>
      <c r="Q460" s="58" t="s">
        <v>27</v>
      </c>
      <c r="R460" s="78"/>
      <c r="S460" s="71"/>
      <c r="T460" s="71"/>
      <c r="U460" s="71"/>
      <c r="V460" s="68">
        <v>0</v>
      </c>
      <c r="W460" s="115"/>
      <c r="X460" s="191" t="str">
        <f ca="1">IF(AND((Main_Issuance[[#This Row],[Expiry Date]]+31)&gt;TODAY(),Main_Issuance[[#This Row],[Status]]&lt;&gt;"Cancelled"),"Active","Cancelled")</f>
        <v>Cancelled</v>
      </c>
      <c r="Y460" s="409"/>
      <c r="Z460" s="408"/>
      <c r="AA460" s="408" t="s">
        <v>378</v>
      </c>
      <c r="AB460" s="83" cm="1">
        <f t="array" ref="AB460">Iss_Tariff(Main_Issuance[[#This Row],[Bank]],Main_Issuance[[#This Row],[LC Amt(SAR)]],Main_Issuance[[#This Row],[Issue Date.]],Main_Issuance[[#This Row],[Expiry Date]],Main_Issuance[[#This Row],[Calculate]])</f>
        <v>0</v>
      </c>
      <c r="AC460" s="83"/>
    </row>
    <row r="461" spans="1:29" ht="15.75" hidden="1" x14ac:dyDescent="0.25">
      <c r="A461" s="57" t="s">
        <v>264</v>
      </c>
      <c r="B461" s="56">
        <v>45435</v>
      </c>
      <c r="C461" s="56" t="s">
        <v>441</v>
      </c>
      <c r="D461" s="69" t="s">
        <v>20</v>
      </c>
      <c r="E461" s="69" t="s">
        <v>21</v>
      </c>
      <c r="F461" s="69" t="s">
        <v>22</v>
      </c>
      <c r="G461" s="69" t="s">
        <v>109</v>
      </c>
      <c r="H461" s="59" t="s">
        <v>24</v>
      </c>
      <c r="I461" s="65" t="s">
        <v>22</v>
      </c>
      <c r="J461" s="59">
        <v>1020055</v>
      </c>
      <c r="K461" s="69" t="s">
        <v>26</v>
      </c>
      <c r="L461" s="60">
        <v>3000000</v>
      </c>
      <c r="M461" s="60">
        <v>1</v>
      </c>
      <c r="N461" s="60">
        <f>Main_Issuance[[#This Row],[LC Amt(FCY)]]*Main_Issuance[[#This Row],[Rate]]</f>
        <v>3000000</v>
      </c>
      <c r="O461" s="56">
        <v>45565</v>
      </c>
      <c r="P461" s="56">
        <v>45565</v>
      </c>
      <c r="Q461" s="58" t="s">
        <v>27</v>
      </c>
      <c r="R461" s="78"/>
      <c r="S461" s="71"/>
      <c r="T461" s="71"/>
      <c r="U461" s="71"/>
      <c r="V461" s="68">
        <v>0</v>
      </c>
      <c r="W461" s="115"/>
      <c r="X461" s="191" t="str">
        <f ca="1">IF(AND((Main_Issuance[[#This Row],[Expiry Date]]+31)&gt;TODAY(),Main_Issuance[[#This Row],[Status]]&lt;&gt;"Cancelled"),"Active","Cancelled")</f>
        <v>Cancelled</v>
      </c>
      <c r="Y461" s="409"/>
      <c r="Z461" s="408"/>
      <c r="AA461" s="408" t="s">
        <v>378</v>
      </c>
      <c r="AB461" s="83" cm="1">
        <f t="array" ref="AB461">Iss_Tariff(Main_Issuance[[#This Row],[Bank]],Main_Issuance[[#This Row],[LC Amt(SAR)]],Main_Issuance[[#This Row],[Issue Date.]],Main_Issuance[[#This Row],[Expiry Date]],Main_Issuance[[#This Row],[Calculate]])</f>
        <v>0</v>
      </c>
      <c r="AC461" s="83"/>
    </row>
    <row r="462" spans="1:29" ht="15.75" hidden="1" x14ac:dyDescent="0.25">
      <c r="A462" s="57" t="s">
        <v>362</v>
      </c>
      <c r="B462" s="56">
        <v>45533</v>
      </c>
      <c r="C462" s="56" t="s">
        <v>441</v>
      </c>
      <c r="D462" s="69" t="s">
        <v>20</v>
      </c>
      <c r="E462" s="69" t="s">
        <v>95</v>
      </c>
      <c r="F462" s="69" t="s">
        <v>96</v>
      </c>
      <c r="G462" s="69" t="s">
        <v>109</v>
      </c>
      <c r="H462" s="59" t="s">
        <v>24</v>
      </c>
      <c r="I462" s="65" t="s">
        <v>22</v>
      </c>
      <c r="J462" s="59">
        <v>1020055</v>
      </c>
      <c r="K462" s="69" t="s">
        <v>26</v>
      </c>
      <c r="L462" s="60">
        <v>2000000</v>
      </c>
      <c r="M462" s="60">
        <v>1</v>
      </c>
      <c r="N462" s="60">
        <f>Main_Issuance[[#This Row],[LC Amt(FCY)]]*Main_Issuance[[#This Row],[Rate]]</f>
        <v>2000000</v>
      </c>
      <c r="O462" s="56">
        <v>45626</v>
      </c>
      <c r="P462" s="56">
        <v>45626</v>
      </c>
      <c r="Q462" s="58" t="s">
        <v>27</v>
      </c>
      <c r="R462" s="78"/>
      <c r="S462" s="71"/>
      <c r="T462" s="71"/>
      <c r="U462" s="71"/>
      <c r="V462" s="68">
        <v>0</v>
      </c>
      <c r="W462" s="115"/>
      <c r="X462" s="191" t="str">
        <f ca="1">IF(AND((Main_Issuance[[#This Row],[Expiry Date]]+31)&gt;TODAY(),Main_Issuance[[#This Row],[Status]]&lt;&gt;"Cancelled"),"Active","Cancelled")</f>
        <v>Cancelled</v>
      </c>
      <c r="Y462" s="409"/>
      <c r="Z462" s="408"/>
      <c r="AA462" s="408" t="s">
        <v>378</v>
      </c>
      <c r="AB462" s="83" cm="1">
        <f t="array" ref="AB462">Iss_Tariff(Main_Issuance[[#This Row],[Bank]],Main_Issuance[[#This Row],[LC Amt(SAR)]],Main_Issuance[[#This Row],[Issue Date.]],Main_Issuance[[#This Row],[Expiry Date]],Main_Issuance[[#This Row],[Calculate]])</f>
        <v>0</v>
      </c>
      <c r="AC462" s="83"/>
    </row>
    <row r="463" spans="1:29" ht="15.75" hidden="1" x14ac:dyDescent="0.25">
      <c r="A463" s="57" t="s">
        <v>384</v>
      </c>
      <c r="B463" s="56">
        <v>45551</v>
      </c>
      <c r="C463" s="58" t="s">
        <v>441</v>
      </c>
      <c r="D463" s="19" t="s">
        <v>20</v>
      </c>
      <c r="E463" s="69" t="s">
        <v>95</v>
      </c>
      <c r="F463" s="69" t="s">
        <v>96</v>
      </c>
      <c r="G463" s="69" t="s">
        <v>109</v>
      </c>
      <c r="H463" s="59" t="s">
        <v>24</v>
      </c>
      <c r="I463" s="65" t="s">
        <v>22</v>
      </c>
      <c r="J463" s="59">
        <v>1020055</v>
      </c>
      <c r="K463" s="69" t="s">
        <v>26</v>
      </c>
      <c r="L463" s="60">
        <v>1500000</v>
      </c>
      <c r="M463" s="60">
        <v>1</v>
      </c>
      <c r="N463" s="60">
        <f>Main_Issuance[[#This Row],[LC Amt(FCY)]]*Main_Issuance[[#This Row],[Rate]]</f>
        <v>1500000</v>
      </c>
      <c r="O463" s="58">
        <v>45626</v>
      </c>
      <c r="P463" s="58">
        <v>45600</v>
      </c>
      <c r="Q463" s="58" t="s">
        <v>27</v>
      </c>
      <c r="R463" s="78" t="s">
        <v>311</v>
      </c>
      <c r="S463" s="71"/>
      <c r="T463" s="71"/>
      <c r="U463" s="71"/>
      <c r="V463" s="68">
        <v>0</v>
      </c>
      <c r="W463" s="115"/>
      <c r="X463" s="191" t="str">
        <f ca="1">IF(AND((Main_Issuance[[#This Row],[Expiry Date]]+31)&gt;TODAY(),Main_Issuance[[#This Row],[Status]]&lt;&gt;"Cancelled"),"Active","Cancelled")</f>
        <v>Cancelled</v>
      </c>
      <c r="Y463" s="409"/>
      <c r="Z463" s="408"/>
      <c r="AA463" s="408" t="s">
        <v>378</v>
      </c>
      <c r="AB463" s="83" cm="1">
        <f t="array" ref="AB463">Iss_Tariff(Main_Issuance[[#This Row],[Bank]],Main_Issuance[[#This Row],[LC Amt(SAR)]],Main_Issuance[[#This Row],[Issue Date.]],Main_Issuance[[#This Row],[Expiry Date]],Main_Issuance[[#This Row],[Calculate]])</f>
        <v>0</v>
      </c>
      <c r="AC463" s="83"/>
    </row>
    <row r="464" spans="1:29" ht="15.75" hidden="1" x14ac:dyDescent="0.25">
      <c r="A464" s="57" t="s">
        <v>588</v>
      </c>
      <c r="B464" s="56">
        <v>45664</v>
      </c>
      <c r="C464" s="56" t="s">
        <v>441</v>
      </c>
      <c r="D464" s="19" t="s">
        <v>20</v>
      </c>
      <c r="E464" s="69" t="s">
        <v>21</v>
      </c>
      <c r="F464" s="69" t="s">
        <v>22</v>
      </c>
      <c r="G464" s="69" t="s">
        <v>589</v>
      </c>
      <c r="H464" s="59" t="s">
        <v>24</v>
      </c>
      <c r="I464" s="65" t="s">
        <v>22</v>
      </c>
      <c r="J464" s="59">
        <v>1020055</v>
      </c>
      <c r="K464" s="69" t="s">
        <v>26</v>
      </c>
      <c r="L464" s="60">
        <v>2000000</v>
      </c>
      <c r="M464" s="60">
        <v>1</v>
      </c>
      <c r="N464" s="60">
        <f>Main_Issuance[[#This Row],[LC Amt(FCY)]]*Main_Issuance[[#This Row],[Rate]]</f>
        <v>2000000</v>
      </c>
      <c r="O464" s="56">
        <v>45747</v>
      </c>
      <c r="P464" s="56">
        <v>45747</v>
      </c>
      <c r="Q464" s="58" t="s">
        <v>27</v>
      </c>
      <c r="R464" s="78" t="s">
        <v>311</v>
      </c>
      <c r="S464" s="71"/>
      <c r="T464" s="71"/>
      <c r="U464" s="71"/>
      <c r="V464" s="68">
        <v>0</v>
      </c>
      <c r="W464" s="115"/>
      <c r="X464" s="191" t="str">
        <f ca="1">IF(AND((Main_Issuance[[#This Row],[Expiry Date]]+31)&gt;TODAY(),Main_Issuance[[#This Row],[Status]]&lt;&gt;"Cancelled"),"Active","Cancelled")</f>
        <v>Cancelled</v>
      </c>
      <c r="Y464" s="409"/>
      <c r="Z464" s="408"/>
      <c r="AA464" s="408" t="s">
        <v>378</v>
      </c>
      <c r="AB464" s="83" cm="1">
        <f t="array" ref="AB464">Iss_Tariff(Main_Issuance[[#This Row],[Bank]],Main_Issuance[[#This Row],[LC Amt(SAR)]],Main_Issuance[[#This Row],[Issue Date.]],Main_Issuance[[#This Row],[Expiry Date]],Main_Issuance[[#This Row],[Calculate]])</f>
        <v>0</v>
      </c>
      <c r="AC464" s="83"/>
    </row>
    <row r="465" spans="1:29" ht="15.75" hidden="1" x14ac:dyDescent="0.25">
      <c r="A465" s="57" t="s">
        <v>624</v>
      </c>
      <c r="B465" s="56">
        <v>45693</v>
      </c>
      <c r="C465" s="56" t="s">
        <v>441</v>
      </c>
      <c r="D465" s="69" t="s">
        <v>20</v>
      </c>
      <c r="E465" s="69" t="s">
        <v>95</v>
      </c>
      <c r="F465" s="69" t="s">
        <v>96</v>
      </c>
      <c r="G465" s="69" t="s">
        <v>589</v>
      </c>
      <c r="H465" s="59" t="s">
        <v>24</v>
      </c>
      <c r="I465" s="65" t="s">
        <v>22</v>
      </c>
      <c r="J465" s="59">
        <v>1020055</v>
      </c>
      <c r="K465" s="69" t="s">
        <v>26</v>
      </c>
      <c r="L465" s="60">
        <v>500000</v>
      </c>
      <c r="M465" s="60">
        <v>1</v>
      </c>
      <c r="N465" s="60">
        <f>Main_Issuance[[#This Row],[LC Amt(FCY)]]*Main_Issuance[[#This Row],[Rate]]</f>
        <v>500000</v>
      </c>
      <c r="O465" s="56">
        <v>45777</v>
      </c>
      <c r="P465" s="56">
        <v>45777</v>
      </c>
      <c r="Q465" s="58" t="s">
        <v>27</v>
      </c>
      <c r="R465" s="78" t="s">
        <v>311</v>
      </c>
      <c r="S465" s="71"/>
      <c r="T465" s="71"/>
      <c r="U465" s="71"/>
      <c r="V465" s="68">
        <v>0</v>
      </c>
      <c r="W465" s="115"/>
      <c r="X465" s="191" t="str">
        <f ca="1">IF(AND((Main_Issuance[[#This Row],[Expiry Date]]+31)&gt;TODAY(),Main_Issuance[[#This Row],[Status]]&lt;&gt;"Cancelled"),"Active","Cancelled")</f>
        <v>Cancelled</v>
      </c>
      <c r="Y465" s="409"/>
      <c r="Z465" s="408"/>
      <c r="AA465" s="408" t="s">
        <v>378</v>
      </c>
      <c r="AB465" s="83" cm="1">
        <f t="array" ref="AB465">Iss_Tariff(Main_Issuance[[#This Row],[Bank]],Main_Issuance[[#This Row],[LC Amt(SAR)]],Main_Issuance[[#This Row],[Issue Date.]],Main_Issuance[[#This Row],[Expiry Date]],Main_Issuance[[#This Row],[Calculate]])</f>
        <v>0</v>
      </c>
      <c r="AC465" s="83"/>
    </row>
    <row r="466" spans="1:29" ht="15.75" hidden="1" x14ac:dyDescent="0.25">
      <c r="A466" s="114" t="s">
        <v>1449</v>
      </c>
      <c r="B466" s="76">
        <v>45812</v>
      </c>
      <c r="C466" s="76" t="s">
        <v>509</v>
      </c>
      <c r="D466" s="78" t="s">
        <v>20</v>
      </c>
      <c r="E466" s="78" t="s">
        <v>95</v>
      </c>
      <c r="F466" s="78" t="s">
        <v>96</v>
      </c>
      <c r="G466" s="78" t="s">
        <v>1254</v>
      </c>
      <c r="H466" s="113" t="s">
        <v>72</v>
      </c>
      <c r="I466" s="79" t="s">
        <v>511</v>
      </c>
      <c r="J466" s="113">
        <v>1020107</v>
      </c>
      <c r="K466" s="78" t="s">
        <v>26</v>
      </c>
      <c r="L466" s="60">
        <f>13155618.2/2</f>
        <v>6577809.0999999996</v>
      </c>
      <c r="M466" s="60">
        <v>1</v>
      </c>
      <c r="N466" s="60">
        <f>Main_Issuance[[#This Row],[LC Amt(FCY)]]*Main_Issuance[[#This Row],[Rate]]</f>
        <v>6577809.0999999996</v>
      </c>
      <c r="O466" s="76">
        <v>45930</v>
      </c>
      <c r="P466" s="76">
        <v>45907</v>
      </c>
      <c r="Q466" s="77" t="s">
        <v>27</v>
      </c>
      <c r="R466" s="78" t="s">
        <v>425</v>
      </c>
      <c r="S466" s="81"/>
      <c r="T466" s="81"/>
      <c r="U466" s="81"/>
      <c r="V466" s="83">
        <v>0</v>
      </c>
      <c r="W466" s="115"/>
      <c r="X466" s="146" t="str">
        <f ca="1">IF(AND((Main_Issuance[[#This Row],[Expiry Date]]+31)&gt;TODAY(),Main_Issuance[[#This Row],[Status]]&lt;&gt;"Cancelled"),"Active","Cancelled")</f>
        <v>Cancelled</v>
      </c>
      <c r="Y466" s="409"/>
      <c r="Z466" s="408"/>
      <c r="AA466" s="408" t="s">
        <v>378</v>
      </c>
      <c r="AB466" s="83" cm="1">
        <f t="array" ref="AB466">Iss_Tariff(Main_Issuance[[#This Row],[Bank]],Main_Issuance[[#This Row],[LC Amt(SAR)]],Main_Issuance[[#This Row],[Issue Date.]],Main_Issuance[[#This Row],[Expiry Date]],Main_Issuance[[#This Row],[Calculate]])</f>
        <v>0</v>
      </c>
      <c r="AC466" s="83"/>
    </row>
    <row r="467" spans="1:29" ht="15.75" hidden="1" x14ac:dyDescent="0.25">
      <c r="A467" s="114" t="s">
        <v>2915</v>
      </c>
      <c r="B467" s="76">
        <v>45993</v>
      </c>
      <c r="C467" s="76" t="s">
        <v>4206</v>
      </c>
      <c r="D467" s="78" t="s">
        <v>20</v>
      </c>
      <c r="E467" s="78" t="s">
        <v>62</v>
      </c>
      <c r="F467" s="78" t="s">
        <v>483</v>
      </c>
      <c r="G467" s="78" t="s">
        <v>2363</v>
      </c>
      <c r="H467" s="113" t="s">
        <v>4207</v>
      </c>
      <c r="I467" s="78" t="s">
        <v>483</v>
      </c>
      <c r="J467" s="115">
        <v>1020096</v>
      </c>
      <c r="K467" s="78" t="s">
        <v>67</v>
      </c>
      <c r="L467" s="119">
        <f>631986.02*110%</f>
        <v>695184.62200000009</v>
      </c>
      <c r="M467" s="82">
        <v>4.32</v>
      </c>
      <c r="N467" s="82">
        <f>Main_Issuance[[#This Row],[LC Amt(FCY)]]*Main_Issuance[[#This Row],[Rate]]</f>
        <v>3003197.5670400006</v>
      </c>
      <c r="O467" s="76">
        <v>46371</v>
      </c>
      <c r="P467" s="76">
        <v>46341</v>
      </c>
      <c r="Q467" s="77" t="s">
        <v>27</v>
      </c>
      <c r="R467" s="78" t="s">
        <v>705</v>
      </c>
      <c r="S467" s="81"/>
      <c r="T467" s="81"/>
      <c r="U467" s="81"/>
      <c r="V467" s="83">
        <v>0</v>
      </c>
      <c r="W467" s="115"/>
      <c r="X467" s="146" t="str">
        <f ca="1">IF(AND((Main_Issuance[[#This Row],[Expiry Date]]+31)&gt;TODAY(),Main_Issuance[[#This Row],[Status]]&lt;&gt;"Cancelled"),"Active","Cancelled")</f>
        <v>Active</v>
      </c>
      <c r="Y467" s="409"/>
      <c r="Z467" s="408"/>
      <c r="AA467" s="408" t="s">
        <v>857</v>
      </c>
      <c r="AB467" s="83" cm="1">
        <f t="array" ref="AB467">Iss_Tariff(Main_Issuance[[#This Row],[Bank]],Main_Issuance[[#This Row],[LC Amt(SAR)]],Main_Issuance[[#This Row],[Issue Date.]],Main_Issuance[[#This Row],[Expiry Date]],Main_Issuance[[#This Row],[Calculate]])</f>
        <v>63270.7</v>
      </c>
      <c r="AC467" s="83"/>
    </row>
    <row r="468" spans="1:29" ht="15.75" hidden="1" x14ac:dyDescent="0.25">
      <c r="A468" s="114" t="s">
        <v>2906</v>
      </c>
      <c r="B468" s="76">
        <v>45992</v>
      </c>
      <c r="C468" s="76" t="s">
        <v>4206</v>
      </c>
      <c r="D468" s="78" t="s">
        <v>20</v>
      </c>
      <c r="E468" s="78" t="s">
        <v>62</v>
      </c>
      <c r="F468" s="78" t="s">
        <v>483</v>
      </c>
      <c r="G468" s="78" t="s">
        <v>2363</v>
      </c>
      <c r="H468" s="113" t="s">
        <v>4207</v>
      </c>
      <c r="I468" s="78" t="s">
        <v>483</v>
      </c>
      <c r="J468" s="115">
        <v>1020096</v>
      </c>
      <c r="K468" s="78" t="s">
        <v>78</v>
      </c>
      <c r="L468" s="119">
        <f>391702.85*110%</f>
        <v>430873.13500000001</v>
      </c>
      <c r="M468" s="82">
        <v>3.75</v>
      </c>
      <c r="N468" s="82">
        <f>Main_Issuance[[#This Row],[LC Amt(FCY)]]*Main_Issuance[[#This Row],[Rate]]</f>
        <v>1615774.2562500001</v>
      </c>
      <c r="O468" s="76">
        <v>46371</v>
      </c>
      <c r="P468" s="76">
        <v>46341</v>
      </c>
      <c r="Q468" s="77" t="s">
        <v>27</v>
      </c>
      <c r="R468" s="78" t="s">
        <v>705</v>
      </c>
      <c r="S468" s="81"/>
      <c r="T468" s="81"/>
      <c r="U468" s="81"/>
      <c r="V468" s="83">
        <v>0</v>
      </c>
      <c r="W468" s="115" t="s">
        <v>5586</v>
      </c>
      <c r="X468" s="146" t="str">
        <f ca="1">IF(AND((Main_Issuance[[#This Row],[Expiry Date]]+31)&gt;TODAY(),Main_Issuance[[#This Row],[Status]]&lt;&gt;"Cancelled"),"Active","Cancelled")</f>
        <v>Active</v>
      </c>
      <c r="Y468" s="409"/>
      <c r="Z468" s="408"/>
      <c r="AA468" s="408" t="s">
        <v>857</v>
      </c>
      <c r="AB468" s="83" cm="1">
        <f t="array" ref="AB468">Iss_Tariff(Main_Issuance[[#This Row],[Bank]],Main_Issuance[[#This Row],[LC Amt(SAR)]],Main_Issuance[[#This Row],[Issue Date.]],Main_Issuance[[#This Row],[Expiry Date]],Main_Issuance[[#This Row],[Calculate]])</f>
        <v>34603.5</v>
      </c>
      <c r="AC468" s="83"/>
    </row>
    <row r="469" spans="1:29" ht="15.75" hidden="1" x14ac:dyDescent="0.25">
      <c r="A469" s="57" t="s">
        <v>348</v>
      </c>
      <c r="B469" s="56">
        <v>45533</v>
      </c>
      <c r="C469" s="56" t="s">
        <v>441</v>
      </c>
      <c r="D469" s="19" t="s">
        <v>20</v>
      </c>
      <c r="E469" s="69" t="s">
        <v>95</v>
      </c>
      <c r="F469" s="69" t="s">
        <v>96</v>
      </c>
      <c r="G469" s="69" t="s">
        <v>349</v>
      </c>
      <c r="H469" s="59" t="s">
        <v>24</v>
      </c>
      <c r="I469" s="65" t="s">
        <v>22</v>
      </c>
      <c r="J469" s="59">
        <v>1020055</v>
      </c>
      <c r="K469" s="69" t="s">
        <v>26</v>
      </c>
      <c r="L469" s="60">
        <v>593580.02</v>
      </c>
      <c r="M469" s="60">
        <v>1</v>
      </c>
      <c r="N469" s="60">
        <f>Main_Issuance[[#This Row],[LC Amt(FCY)]]*Main_Issuance[[#This Row],[Rate]]</f>
        <v>593580.02</v>
      </c>
      <c r="O469" s="58">
        <v>45626</v>
      </c>
      <c r="P469" s="58">
        <v>45626</v>
      </c>
      <c r="Q469" s="58" t="s">
        <v>27</v>
      </c>
      <c r="R469" s="78" t="s">
        <v>311</v>
      </c>
      <c r="S469" s="71"/>
      <c r="T469" s="71"/>
      <c r="U469" s="71"/>
      <c r="V469" s="68">
        <v>0</v>
      </c>
      <c r="W469" s="115"/>
      <c r="X469" s="191" t="str">
        <f ca="1">IF(AND((Main_Issuance[[#This Row],[Expiry Date]]+31)&gt;TODAY(),Main_Issuance[[#This Row],[Status]]&lt;&gt;"Cancelled"),"Active","Cancelled")</f>
        <v>Cancelled</v>
      </c>
      <c r="Y469" s="409"/>
      <c r="Z469" s="408"/>
      <c r="AA469" s="408" t="s">
        <v>378</v>
      </c>
      <c r="AB469" s="83" cm="1">
        <f t="array" ref="AB469">Iss_Tariff(Main_Issuance[[#This Row],[Bank]],Main_Issuance[[#This Row],[LC Amt(SAR)]],Main_Issuance[[#This Row],[Issue Date.]],Main_Issuance[[#This Row],[Expiry Date]],Main_Issuance[[#This Row],[Calculate]])</f>
        <v>0</v>
      </c>
      <c r="AC469" s="83"/>
    </row>
    <row r="470" spans="1:29" ht="15.75" hidden="1" x14ac:dyDescent="0.25">
      <c r="A470" s="147" t="s">
        <v>1290</v>
      </c>
      <c r="B470" s="122">
        <v>45785</v>
      </c>
      <c r="C470" s="122" t="s">
        <v>441</v>
      </c>
      <c r="D470" s="124" t="s">
        <v>20</v>
      </c>
      <c r="E470" s="123" t="s">
        <v>373</v>
      </c>
      <c r="F470" s="123" t="s">
        <v>70</v>
      </c>
      <c r="G470" s="123" t="s">
        <v>349</v>
      </c>
      <c r="H470" s="124" t="s">
        <v>24</v>
      </c>
      <c r="I470" s="123" t="s">
        <v>407</v>
      </c>
      <c r="J470" s="149">
        <v>1020100</v>
      </c>
      <c r="K470" s="123" t="s">
        <v>26</v>
      </c>
      <c r="L470" s="60">
        <v>200000</v>
      </c>
      <c r="M470" s="60">
        <v>1</v>
      </c>
      <c r="N470" s="60">
        <f>Main_Issuance[[#This Row],[LC Amt(FCY)]]*Main_Issuance[[#This Row],[Rate]]</f>
        <v>200000</v>
      </c>
      <c r="O470" s="148">
        <v>45869</v>
      </c>
      <c r="P470" s="148">
        <v>45869</v>
      </c>
      <c r="Q470" s="58" t="s">
        <v>70</v>
      </c>
      <c r="R470" s="78" t="s">
        <v>621</v>
      </c>
      <c r="S470" s="126"/>
      <c r="T470" s="126"/>
      <c r="U470" s="126"/>
      <c r="V470" s="83">
        <v>0</v>
      </c>
      <c r="W470" s="115"/>
      <c r="X470" s="150" t="str">
        <f ca="1">IF(AND((Main_Issuance[[#This Row],[Expiry Date]]+31)&gt;TODAY(),Main_Issuance[[#This Row],[Status]]&lt;&gt;"Cancelled"),"Active","Cancelled")</f>
        <v>Cancelled</v>
      </c>
      <c r="Y470" s="411"/>
      <c r="Z470" s="408"/>
      <c r="AA470" s="408" t="s">
        <v>378</v>
      </c>
      <c r="AB470" s="83" cm="1">
        <f t="array" ref="AB470">Iss_Tariff(Main_Issuance[[#This Row],[Bank]],Main_Issuance[[#This Row],[LC Amt(SAR)]],Main_Issuance[[#This Row],[Issue Date.]],Main_Issuance[[#This Row],[Expiry Date]],Main_Issuance[[#This Row],[Calculate]])</f>
        <v>0</v>
      </c>
      <c r="AC470" s="83"/>
    </row>
    <row r="471" spans="1:29" ht="15.75" hidden="1" x14ac:dyDescent="0.25">
      <c r="A471" s="114" t="s">
        <v>1339</v>
      </c>
      <c r="B471" s="76">
        <v>45792</v>
      </c>
      <c r="C471" s="76" t="s">
        <v>441</v>
      </c>
      <c r="D471" s="69" t="s">
        <v>20</v>
      </c>
      <c r="E471" s="78" t="s">
        <v>21</v>
      </c>
      <c r="F471" s="78" t="s">
        <v>22</v>
      </c>
      <c r="G471" s="78" t="s">
        <v>349</v>
      </c>
      <c r="H471" s="115" t="s">
        <v>24</v>
      </c>
      <c r="I471" s="78" t="s">
        <v>22</v>
      </c>
      <c r="J471" s="115">
        <v>1020055</v>
      </c>
      <c r="K471" s="78" t="s">
        <v>26</v>
      </c>
      <c r="L471" s="60">
        <v>302213.12</v>
      </c>
      <c r="M471" s="60">
        <v>1</v>
      </c>
      <c r="N471" s="60">
        <f>Main_Issuance[[#This Row],[LC Amt(FCY)]]*Main_Issuance[[#This Row],[Rate]]</f>
        <v>302213.12</v>
      </c>
      <c r="O471" s="76">
        <v>45961</v>
      </c>
      <c r="P471" s="76">
        <v>45961</v>
      </c>
      <c r="Q471" s="77" t="s">
        <v>27</v>
      </c>
      <c r="R471" s="78" t="s">
        <v>621</v>
      </c>
      <c r="S471" s="81"/>
      <c r="T471" s="81"/>
      <c r="U471" s="81"/>
      <c r="V471" s="83">
        <v>0</v>
      </c>
      <c r="W471" s="115" t="s">
        <v>1846</v>
      </c>
      <c r="X471" s="146" t="str">
        <f ca="1">IF(AND((Main_Issuance[[#This Row],[Expiry Date]]+31)&gt;TODAY(),Main_Issuance[[#This Row],[Status]]&lt;&gt;"Cancelled"),"Active","Cancelled")</f>
        <v>Cancelled</v>
      </c>
      <c r="Y471" s="409"/>
      <c r="Z471" s="408"/>
      <c r="AA471" s="408" t="s">
        <v>378</v>
      </c>
      <c r="AB471" s="83" cm="1">
        <f t="array" ref="AB471">Iss_Tariff(Main_Issuance[[#This Row],[Bank]],Main_Issuance[[#This Row],[LC Amt(SAR)]],Main_Issuance[[#This Row],[Issue Date.]],Main_Issuance[[#This Row],[Expiry Date]],Main_Issuance[[#This Row],[Calculate]])</f>
        <v>0</v>
      </c>
      <c r="AC471" s="83"/>
    </row>
    <row r="472" spans="1:29" ht="15.75" hidden="1" x14ac:dyDescent="0.25">
      <c r="A472" s="114" t="s">
        <v>3899</v>
      </c>
      <c r="B472" s="76">
        <v>46050</v>
      </c>
      <c r="C472" s="76" t="s">
        <v>441</v>
      </c>
      <c r="D472" s="78" t="s">
        <v>20</v>
      </c>
      <c r="E472" s="78" t="s">
        <v>366</v>
      </c>
      <c r="F472" s="115" t="s">
        <v>710</v>
      </c>
      <c r="G472" s="78" t="s">
        <v>349</v>
      </c>
      <c r="H472" s="115" t="s">
        <v>24</v>
      </c>
      <c r="I472" s="78" t="s">
        <v>710</v>
      </c>
      <c r="J472" s="113">
        <v>1020088</v>
      </c>
      <c r="K472" s="78" t="s">
        <v>26</v>
      </c>
      <c r="L472" s="119">
        <v>500000</v>
      </c>
      <c r="M472" s="82">
        <v>1</v>
      </c>
      <c r="N472" s="82">
        <f>Main_Issuance[[#This Row],[LC Amt(FCY)]]*Main_Issuance[[#This Row],[Rate]]</f>
        <v>500000</v>
      </c>
      <c r="O472" s="76">
        <v>46142</v>
      </c>
      <c r="P472" s="76">
        <v>46142</v>
      </c>
      <c r="Q472" s="77" t="s">
        <v>27</v>
      </c>
      <c r="R472" s="78" t="s">
        <v>1904</v>
      </c>
      <c r="S472" s="81"/>
      <c r="T472" s="81"/>
      <c r="U472" s="81"/>
      <c r="V472" s="83">
        <v>0</v>
      </c>
      <c r="W472" s="115"/>
      <c r="X472" s="146" t="str">
        <f ca="1">IF(AND((Main_Issuance[[#This Row],[Expiry Date]]+31)&gt;TODAY(),Main_Issuance[[#This Row],[Status]]&lt;&gt;"Cancelled"),"Active","Cancelled")</f>
        <v>Cancelled</v>
      </c>
      <c r="Y472" s="409"/>
      <c r="Z472" s="408"/>
      <c r="AA472" s="408" t="s">
        <v>857</v>
      </c>
      <c r="AB472" s="83" cm="1">
        <f t="array" ref="AB472">Iss_Tariff(Main_Issuance[[#This Row],[Bank]],Main_Issuance[[#This Row],[LC Amt(SAR)]],Main_Issuance[[#This Row],[Issue Date.]],Main_Issuance[[#This Row],[Expiry Date]],Main_Issuance[[#This Row],[Calculate]])</f>
        <v>2961.25</v>
      </c>
      <c r="AC472" s="83"/>
    </row>
    <row r="473" spans="1:29" ht="15.75" hidden="1" x14ac:dyDescent="0.25">
      <c r="A473" s="114" t="s">
        <v>3952</v>
      </c>
      <c r="B473" s="76">
        <v>46057</v>
      </c>
      <c r="C473" s="76" t="s">
        <v>1537</v>
      </c>
      <c r="D473" s="115" t="s">
        <v>20</v>
      </c>
      <c r="E473" s="78" t="s">
        <v>62</v>
      </c>
      <c r="F473" s="115" t="s">
        <v>483</v>
      </c>
      <c r="G473" s="78" t="s">
        <v>3858</v>
      </c>
      <c r="H473" s="113" t="s">
        <v>24</v>
      </c>
      <c r="I473" s="78" t="s">
        <v>483</v>
      </c>
      <c r="J473" s="113">
        <v>1020096</v>
      </c>
      <c r="K473" s="78" t="s">
        <v>26</v>
      </c>
      <c r="L473" s="119">
        <v>617898.36</v>
      </c>
      <c r="M473" s="82">
        <v>1</v>
      </c>
      <c r="N473" s="82">
        <f>Main_Issuance[[#This Row],[LC Amt(FCY)]]*Main_Issuance[[#This Row],[Rate]]</f>
        <v>617898.36</v>
      </c>
      <c r="O473" s="76">
        <v>46142</v>
      </c>
      <c r="P473" s="76">
        <v>46142</v>
      </c>
      <c r="Q473" s="77" t="s">
        <v>27</v>
      </c>
      <c r="R473" s="115" t="s">
        <v>3229</v>
      </c>
      <c r="S473" s="81"/>
      <c r="T473" s="81"/>
      <c r="U473" s="81"/>
      <c r="V473" s="83">
        <v>0</v>
      </c>
      <c r="W473" s="115"/>
      <c r="X473" s="146" t="str">
        <f ca="1">IF(AND((Main_Issuance[[#This Row],[Expiry Date]]+31)&gt;TODAY(),Main_Issuance[[#This Row],[Status]]&lt;&gt;"Cancelled"),"Active","Cancelled")</f>
        <v>Cancelled</v>
      </c>
      <c r="Y473" s="409"/>
      <c r="Z473" s="408"/>
      <c r="AA473" s="408" t="s">
        <v>857</v>
      </c>
      <c r="AB473" s="83" cm="1">
        <f t="array" ref="AB473">Iss_Tariff(Main_Issuance[[#This Row],[Bank]],Main_Issuance[[#This Row],[LC Amt(SAR)]],Main_Issuance[[#This Row],[Issue Date.]],Main_Issuance[[#This Row],[Expiry Date]],Main_Issuance[[#This Row],[Calculate]])</f>
        <v>3669.65</v>
      </c>
      <c r="AC473" s="83"/>
    </row>
    <row r="474" spans="1:29" ht="15.75" hidden="1" x14ac:dyDescent="0.25">
      <c r="A474" s="114" t="s">
        <v>4548</v>
      </c>
      <c r="B474" s="423">
        <v>46118</v>
      </c>
      <c r="C474" s="423" t="s">
        <v>441</v>
      </c>
      <c r="D474" s="78" t="s">
        <v>20</v>
      </c>
      <c r="E474" s="78" t="s">
        <v>366</v>
      </c>
      <c r="F474" s="78" t="s">
        <v>710</v>
      </c>
      <c r="G474" s="78" t="s">
        <v>3858</v>
      </c>
      <c r="H474" s="113" t="s">
        <v>24</v>
      </c>
      <c r="I474" s="78" t="s">
        <v>710</v>
      </c>
      <c r="J474" s="113">
        <v>1020088</v>
      </c>
      <c r="K474" s="78" t="s">
        <v>26</v>
      </c>
      <c r="L474" s="119">
        <v>150000</v>
      </c>
      <c r="M474" s="82">
        <v>1</v>
      </c>
      <c r="N474" s="82">
        <f>Main_Issuance[[#This Row],[LC Amt(FCY)]]*Main_Issuance[[#This Row],[Rate]]</f>
        <v>150000</v>
      </c>
      <c r="O474" s="423">
        <v>46203</v>
      </c>
      <c r="P474" s="423">
        <v>46203</v>
      </c>
      <c r="Q474" s="424" t="s">
        <v>27</v>
      </c>
      <c r="R474" s="78" t="s">
        <v>4493</v>
      </c>
      <c r="S474" s="81"/>
      <c r="T474" s="81"/>
      <c r="U474" s="81"/>
      <c r="V474" s="83">
        <v>0</v>
      </c>
      <c r="W474" s="115"/>
      <c r="X474" s="436" t="str">
        <f ca="1">IF(AND((Main_Issuance[[#This Row],[Expiry Date]]+31)&gt;TODAY(),Main_Issuance[[#This Row],[Status]]&lt;&gt;"Cancelled"),"Active","Cancelled")</f>
        <v>Active</v>
      </c>
      <c r="Y474" s="96"/>
      <c r="Z474" s="424"/>
      <c r="AA474" s="443" t="s">
        <v>857</v>
      </c>
      <c r="AB474" s="83" cm="1">
        <f t="array" ref="AB474">Iss_Tariff(Main_Issuance[[#This Row],[Bank]],Main_Issuance[[#This Row],[LC Amt(SAR)]],Main_Issuance[[#This Row],[Issue Date.]],Main_Issuance[[#This Row],[Expiry Date]],Main_Issuance[[#This Row],[Calculate]],,125)</f>
        <v>1092.5</v>
      </c>
      <c r="AC474" s="83"/>
    </row>
    <row r="475" spans="1:29" ht="15.75" hidden="1" x14ac:dyDescent="0.25">
      <c r="A475" s="57" t="s">
        <v>806</v>
      </c>
      <c r="B475" s="56">
        <v>45739</v>
      </c>
      <c r="C475" s="56" t="s">
        <v>441</v>
      </c>
      <c r="D475" s="69" t="s">
        <v>20</v>
      </c>
      <c r="E475" s="69" t="s">
        <v>21</v>
      </c>
      <c r="F475" s="69" t="s">
        <v>22</v>
      </c>
      <c r="G475" s="69" t="s">
        <v>807</v>
      </c>
      <c r="H475" s="19" t="s">
        <v>24</v>
      </c>
      <c r="I475" s="69" t="s">
        <v>22</v>
      </c>
      <c r="J475" s="59">
        <v>1020055</v>
      </c>
      <c r="K475" s="69" t="s">
        <v>26</v>
      </c>
      <c r="L475" s="60">
        <v>464036.5</v>
      </c>
      <c r="M475" s="60">
        <v>1</v>
      </c>
      <c r="N475" s="60">
        <f>Main_Issuance[[#This Row],[LC Amt(FCY)]]*Main_Issuance[[#This Row],[Rate]]</f>
        <v>464036.5</v>
      </c>
      <c r="O475" s="56">
        <v>45838</v>
      </c>
      <c r="P475" s="56">
        <v>45838</v>
      </c>
      <c r="Q475" s="58" t="s">
        <v>27</v>
      </c>
      <c r="R475" s="78" t="s">
        <v>311</v>
      </c>
      <c r="S475" s="71"/>
      <c r="T475" s="71"/>
      <c r="U475" s="71"/>
      <c r="V475" s="68">
        <v>0</v>
      </c>
      <c r="W475" s="115"/>
      <c r="X475" s="191" t="str">
        <f ca="1">IF(AND((Main_Issuance[[#This Row],[Expiry Date]]+31)&gt;TODAY(),Main_Issuance[[#This Row],[Status]]&lt;&gt;"Cancelled"),"Active","Cancelled")</f>
        <v>Cancelled</v>
      </c>
      <c r="Y475" s="409"/>
      <c r="Z475" s="408"/>
      <c r="AA475" s="408" t="s">
        <v>378</v>
      </c>
      <c r="AB475" s="83" cm="1">
        <f t="array" ref="AB475">Iss_Tariff(Main_Issuance[[#This Row],[Bank]],Main_Issuance[[#This Row],[LC Amt(SAR)]],Main_Issuance[[#This Row],[Issue Date.]],Main_Issuance[[#This Row],[Expiry Date]],Main_Issuance[[#This Row],[Calculate]])</f>
        <v>0</v>
      </c>
      <c r="AC475" s="83"/>
    </row>
    <row r="476" spans="1:29" ht="15.75" hidden="1" x14ac:dyDescent="0.25">
      <c r="A476" s="75" t="s">
        <v>1663</v>
      </c>
      <c r="B476" s="76">
        <v>45869</v>
      </c>
      <c r="C476" s="76" t="s">
        <v>1119</v>
      </c>
      <c r="D476" s="78" t="s">
        <v>20</v>
      </c>
      <c r="E476" s="78" t="s">
        <v>366</v>
      </c>
      <c r="F476" s="78" t="s">
        <v>367</v>
      </c>
      <c r="G476" s="78" t="s">
        <v>1635</v>
      </c>
      <c r="H476" s="115" t="s">
        <v>24</v>
      </c>
      <c r="I476" s="78" t="s">
        <v>367</v>
      </c>
      <c r="J476" s="113">
        <v>1020091</v>
      </c>
      <c r="K476" s="78" t="s">
        <v>26</v>
      </c>
      <c r="L476" s="60">
        <v>1500000</v>
      </c>
      <c r="M476" s="60">
        <v>1</v>
      </c>
      <c r="N476" s="60">
        <f>Main_Issuance[[#This Row],[LC Amt(FCY)]]*Main_Issuance[[#This Row],[Rate]]</f>
        <v>1500000</v>
      </c>
      <c r="O476" s="76">
        <v>45961</v>
      </c>
      <c r="P476" s="76">
        <v>45961</v>
      </c>
      <c r="Q476" s="77" t="s">
        <v>27</v>
      </c>
      <c r="R476" s="78" t="s">
        <v>1624</v>
      </c>
      <c r="S476" s="81"/>
      <c r="T476" s="81"/>
      <c r="U476" s="81"/>
      <c r="V476" s="83">
        <v>0</v>
      </c>
      <c r="W476" s="115"/>
      <c r="X476" s="118" t="str">
        <f ca="1">IF(AND((Main_Issuance[[#This Row],[Expiry Date]]+31)&gt;TODAY(),Main_Issuance[[#This Row],[Status]]&lt;&gt;"Cancelled"),"Active","Cancelled")</f>
        <v>Cancelled</v>
      </c>
      <c r="Y476" s="409"/>
      <c r="Z476" s="408"/>
      <c r="AA476" s="408" t="s">
        <v>378</v>
      </c>
      <c r="AB476" s="83" cm="1">
        <f t="array" ref="AB476">Iss_Tariff(Main_Issuance[[#This Row],[Bank]],Main_Issuance[[#This Row],[LC Amt(SAR)]],Main_Issuance[[#This Row],[Issue Date.]],Main_Issuance[[#This Row],[Expiry Date]],Main_Issuance[[#This Row],[Calculate]])</f>
        <v>0</v>
      </c>
      <c r="AC476" s="83"/>
    </row>
    <row r="477" spans="1:29" ht="15.75" hidden="1" x14ac:dyDescent="0.25">
      <c r="A477" s="70" t="s">
        <v>600</v>
      </c>
      <c r="B477" s="56">
        <v>45664</v>
      </c>
      <c r="C477" s="56" t="s">
        <v>441</v>
      </c>
      <c r="D477" s="69" t="s">
        <v>20</v>
      </c>
      <c r="E477" s="69" t="s">
        <v>373</v>
      </c>
      <c r="F477" s="69" t="s">
        <v>63</v>
      </c>
      <c r="G477" s="69" t="s">
        <v>601</v>
      </c>
      <c r="H477" s="65" t="s">
        <v>24</v>
      </c>
      <c r="I477" s="65" t="s">
        <v>22</v>
      </c>
      <c r="J477" s="65">
        <v>1020055</v>
      </c>
      <c r="K477" s="69" t="s">
        <v>26</v>
      </c>
      <c r="L477" s="60">
        <v>576618.84</v>
      </c>
      <c r="M477" s="60">
        <v>1</v>
      </c>
      <c r="N477" s="60">
        <f>Main_Issuance[[#This Row],[LC Amt(FCY)]]*Main_Issuance[[#This Row],[Rate]]</f>
        <v>576618.84</v>
      </c>
      <c r="O477" s="56">
        <v>45747</v>
      </c>
      <c r="P477" s="56">
        <v>45747</v>
      </c>
      <c r="Q477" s="58" t="s">
        <v>27</v>
      </c>
      <c r="R477" s="78" t="s">
        <v>311</v>
      </c>
      <c r="S477" s="71"/>
      <c r="T477" s="71"/>
      <c r="U477" s="71"/>
      <c r="V477" s="68">
        <v>0</v>
      </c>
      <c r="W477" s="115"/>
      <c r="X477" s="190" t="str">
        <f ca="1">IF(AND((Main_Issuance[[#This Row],[Expiry Date]]+31)&gt;TODAY(),Main_Issuance[[#This Row],[Status]]&lt;&gt;"Cancelled"),"Active","Cancelled")</f>
        <v>Cancelled</v>
      </c>
      <c r="Y477" s="409"/>
      <c r="Z477" s="408"/>
      <c r="AA477" s="408" t="s">
        <v>378</v>
      </c>
      <c r="AB477" s="83" cm="1">
        <f t="array" ref="AB477">Iss_Tariff(Main_Issuance[[#This Row],[Bank]],Main_Issuance[[#This Row],[LC Amt(SAR)]],Main_Issuance[[#This Row],[Issue Date.]],Main_Issuance[[#This Row],[Expiry Date]],Main_Issuance[[#This Row],[Calculate]])</f>
        <v>0</v>
      </c>
      <c r="AC477" s="83"/>
    </row>
    <row r="478" spans="1:29" ht="15.75" hidden="1" x14ac:dyDescent="0.25">
      <c r="A478" s="70" t="s">
        <v>762</v>
      </c>
      <c r="B478" s="56">
        <v>45734</v>
      </c>
      <c r="C478" s="56" t="s">
        <v>509</v>
      </c>
      <c r="D478" s="19" t="s">
        <v>20</v>
      </c>
      <c r="E478" s="19" t="s">
        <v>21</v>
      </c>
      <c r="F478" s="19" t="s">
        <v>22</v>
      </c>
      <c r="G478" s="69" t="s">
        <v>601</v>
      </c>
      <c r="H478" s="65" t="s">
        <v>24</v>
      </c>
      <c r="I478" s="65" t="s">
        <v>407</v>
      </c>
      <c r="J478" s="65">
        <v>1020100</v>
      </c>
      <c r="K478" s="69" t="s">
        <v>26</v>
      </c>
      <c r="L478" s="60">
        <v>300000</v>
      </c>
      <c r="M478" s="60">
        <v>1</v>
      </c>
      <c r="N478" s="60">
        <f>Main_Issuance[[#This Row],[LC Amt(FCY)]]*Main_Issuance[[#This Row],[Rate]]</f>
        <v>300000</v>
      </c>
      <c r="O478" s="58">
        <v>45838</v>
      </c>
      <c r="P478" s="58">
        <v>45838</v>
      </c>
      <c r="Q478" s="56" t="s">
        <v>27</v>
      </c>
      <c r="R478" s="78" t="s">
        <v>311</v>
      </c>
      <c r="S478" s="71"/>
      <c r="T478" s="71"/>
      <c r="U478" s="71"/>
      <c r="V478" s="68">
        <v>0</v>
      </c>
      <c r="W478" s="115"/>
      <c r="X478" s="190" t="str">
        <f ca="1">IF(AND((Main_Issuance[[#This Row],[Expiry Date]]+31)&gt;TODAY(),Main_Issuance[[#This Row],[Status]]&lt;&gt;"Cancelled"),"Active","Cancelled")</f>
        <v>Cancelled</v>
      </c>
      <c r="Y478" s="409"/>
      <c r="Z478" s="408"/>
      <c r="AA478" s="408" t="s">
        <v>378</v>
      </c>
      <c r="AB478" s="83" cm="1">
        <f t="array" ref="AB478">Iss_Tariff(Main_Issuance[[#This Row],[Bank]],Main_Issuance[[#This Row],[LC Amt(SAR)]],Main_Issuance[[#This Row],[Issue Date.]],Main_Issuance[[#This Row],[Expiry Date]],Main_Issuance[[#This Row],[Calculate]])</f>
        <v>0</v>
      </c>
      <c r="AC478" s="83"/>
    </row>
    <row r="479" spans="1:29" ht="15.75" hidden="1" x14ac:dyDescent="0.25">
      <c r="A479" s="121" t="s">
        <v>687</v>
      </c>
      <c r="B479" s="122">
        <v>45725</v>
      </c>
      <c r="C479" s="76" t="s">
        <v>1119</v>
      </c>
      <c r="D479" s="123" t="s">
        <v>845</v>
      </c>
      <c r="E479" s="123" t="s">
        <v>366</v>
      </c>
      <c r="F479" s="124" t="s">
        <v>367</v>
      </c>
      <c r="G479" s="123" t="s">
        <v>688</v>
      </c>
      <c r="H479" s="125" t="s">
        <v>72</v>
      </c>
      <c r="I479" s="125" t="s">
        <v>367</v>
      </c>
      <c r="J479" s="79">
        <v>1020091</v>
      </c>
      <c r="K479" s="123" t="s">
        <v>26</v>
      </c>
      <c r="L479" s="60">
        <v>13330800</v>
      </c>
      <c r="M479" s="60">
        <v>1</v>
      </c>
      <c r="N479" s="60">
        <f>Main_Issuance[[#This Row],[LC Amt(FCY)]]*Main_Issuance[[#This Row],[Rate]]</f>
        <v>13330800</v>
      </c>
      <c r="O479" s="122">
        <v>45694</v>
      </c>
      <c r="P479" s="122">
        <v>45778</v>
      </c>
      <c r="Q479" s="148" t="s">
        <v>27</v>
      </c>
      <c r="R479" s="78" t="s">
        <v>311</v>
      </c>
      <c r="S479" s="126"/>
      <c r="T479" s="126"/>
      <c r="U479" s="126"/>
      <c r="V479" s="128">
        <v>0</v>
      </c>
      <c r="W479" s="115"/>
      <c r="X479" s="440" t="str">
        <f ca="1">IF(AND((Main_Issuance[[#This Row],[Expiry Date]]+31)&gt;TODAY(),Main_Issuance[[#This Row],[Status]]&lt;&gt;"Cancelled"),"Active","Cancelled")</f>
        <v>Cancelled</v>
      </c>
      <c r="Y479" s="411"/>
      <c r="Z479" s="408"/>
      <c r="AA479" s="408" t="s">
        <v>378</v>
      </c>
      <c r="AB479" s="83" cm="1">
        <f t="array" ref="AB479">Iss_Tariff(Main_Issuance[[#This Row],[Bank]],Main_Issuance[[#This Row],[LC Amt(SAR)]],Main_Issuance[[#This Row],[Issue Date.]],Main_Issuance[[#This Row],[Expiry Date]],Main_Issuance[[#This Row],[Calculate]])</f>
        <v>0</v>
      </c>
      <c r="AC479" s="83"/>
    </row>
    <row r="480" spans="1:29" ht="15.75" hidden="1" x14ac:dyDescent="0.25">
      <c r="A480" s="75" t="s">
        <v>1370</v>
      </c>
      <c r="B480" s="76">
        <v>45797</v>
      </c>
      <c r="C480" s="76" t="s">
        <v>1864</v>
      </c>
      <c r="D480" s="78" t="s">
        <v>20</v>
      </c>
      <c r="E480" s="78" t="s">
        <v>366</v>
      </c>
      <c r="F480" s="115" t="s">
        <v>710</v>
      </c>
      <c r="G480" s="78" t="s">
        <v>1296</v>
      </c>
      <c r="H480" s="65" t="s">
        <v>3221</v>
      </c>
      <c r="I480" s="79" t="s">
        <v>81</v>
      </c>
      <c r="J480" s="79">
        <v>1020070</v>
      </c>
      <c r="K480" s="78" t="s">
        <v>26</v>
      </c>
      <c r="L480" s="60">
        <v>3000000</v>
      </c>
      <c r="M480" s="60">
        <v>1</v>
      </c>
      <c r="N480" s="60">
        <f>Main_Issuance[[#This Row],[LC Amt(FCY)]]*Main_Issuance[[#This Row],[Rate]]</f>
        <v>3000000</v>
      </c>
      <c r="O480" s="76">
        <v>45838</v>
      </c>
      <c r="P480" s="76">
        <v>45808</v>
      </c>
      <c r="Q480" s="77" t="s">
        <v>27</v>
      </c>
      <c r="R480" s="78" t="s">
        <v>621</v>
      </c>
      <c r="S480" s="81"/>
      <c r="T480" s="81"/>
      <c r="U480" s="81"/>
      <c r="V480" s="83">
        <v>0</v>
      </c>
      <c r="W480" s="115"/>
      <c r="X480" s="118" t="str">
        <f ca="1">IF(AND((Main_Issuance[[#This Row],[Expiry Date]]+31)&gt;TODAY(),Main_Issuance[[#This Row],[Status]]&lt;&gt;"Cancelled"),"Active","Cancelled")</f>
        <v>Cancelled</v>
      </c>
      <c r="Y480" s="409"/>
      <c r="Z480" s="408"/>
      <c r="AA480" s="408" t="s">
        <v>378</v>
      </c>
      <c r="AB480" s="83" cm="1">
        <f t="array" ref="AB480">Iss_Tariff(Main_Issuance[[#This Row],[Bank]],Main_Issuance[[#This Row],[LC Amt(SAR)]],Main_Issuance[[#This Row],[Issue Date.]],Main_Issuance[[#This Row],[Expiry Date]],Main_Issuance[[#This Row],[Calculate]])</f>
        <v>0</v>
      </c>
      <c r="AC480" s="83"/>
    </row>
    <row r="481" spans="1:29" ht="15.75" hidden="1" x14ac:dyDescent="0.25">
      <c r="A481" s="115" t="s">
        <v>4392</v>
      </c>
      <c r="B481" s="77">
        <v>46097</v>
      </c>
      <c r="C481" s="77" t="s">
        <v>1119</v>
      </c>
      <c r="D481" s="115" t="s">
        <v>20</v>
      </c>
      <c r="E481" s="115" t="s">
        <v>366</v>
      </c>
      <c r="F481" s="115" t="s">
        <v>1450</v>
      </c>
      <c r="G481" s="115" t="s">
        <v>1296</v>
      </c>
      <c r="H481" s="113" t="s">
        <v>72</v>
      </c>
      <c r="I481" s="115" t="s">
        <v>367</v>
      </c>
      <c r="J481" s="113">
        <v>1020091</v>
      </c>
      <c r="K481" s="115" t="s">
        <v>26</v>
      </c>
      <c r="L481" s="119">
        <v>10000000</v>
      </c>
      <c r="M481" s="82">
        <v>1</v>
      </c>
      <c r="N481" s="82">
        <f>Main_Issuance[[#This Row],[LC Amt(FCY)]]*Main_Issuance[[#This Row],[Rate]]</f>
        <v>10000000</v>
      </c>
      <c r="O481" s="77">
        <v>46203</v>
      </c>
      <c r="P481" s="77">
        <v>46203</v>
      </c>
      <c r="Q481" s="77" t="s">
        <v>27</v>
      </c>
      <c r="R481" s="78" t="s">
        <v>4358</v>
      </c>
      <c r="S481" s="82"/>
      <c r="T481" s="82"/>
      <c r="U481" s="82"/>
      <c r="V481" s="97">
        <v>0</v>
      </c>
      <c r="W481" s="115"/>
      <c r="X481" s="77" t="str">
        <f ca="1">IF(AND((Main_Issuance[[#This Row],[Expiry Date]]+31)&gt;TODAY(),Main_Issuance[[#This Row],[Status]]&lt;&gt;"Cancelled"),"Active","Cancelled")</f>
        <v>Active</v>
      </c>
      <c r="Y481" s="409"/>
      <c r="Z481" s="408"/>
      <c r="AA481" s="408" t="s">
        <v>857</v>
      </c>
      <c r="AB481" s="83" cm="1">
        <f t="array" ref="AB481">Iss_Tariff(Main_Issuance[[#This Row],[Bank]],Main_Issuance[[#This Row],[LC Amt(SAR)]],Main_Issuance[[#This Row],[Issue Date.]],Main_Issuance[[#This Row],[Expiry Date]],Main_Issuance[[#This Row],[Calculate]])</f>
        <v>57586.25</v>
      </c>
      <c r="AC481" s="83"/>
    </row>
    <row r="482" spans="1:29" ht="15.75" hidden="1" x14ac:dyDescent="0.25">
      <c r="A482" s="114" t="s">
        <v>4628</v>
      </c>
      <c r="B482" s="423">
        <v>46120</v>
      </c>
      <c r="C482" s="76" t="s">
        <v>1119</v>
      </c>
      <c r="D482" s="78" t="s">
        <v>20</v>
      </c>
      <c r="E482" s="115" t="s">
        <v>21</v>
      </c>
      <c r="F482" s="115" t="s">
        <v>22</v>
      </c>
      <c r="G482" s="115" t="s">
        <v>1296</v>
      </c>
      <c r="H482" s="113" t="s">
        <v>72</v>
      </c>
      <c r="I482" s="115" t="s">
        <v>367</v>
      </c>
      <c r="J482" s="79">
        <v>1020091</v>
      </c>
      <c r="K482" s="115" t="s">
        <v>26</v>
      </c>
      <c r="L482" s="119">
        <v>21481033</v>
      </c>
      <c r="M482" s="82">
        <v>1</v>
      </c>
      <c r="N482" s="82">
        <f>Main_Issuance[[#This Row],[LC Amt(FCY)]]*Main_Issuance[[#This Row],[Rate]]</f>
        <v>21481033</v>
      </c>
      <c r="O482" s="77">
        <v>46203</v>
      </c>
      <c r="P482" s="77">
        <v>46203</v>
      </c>
      <c r="Q482" s="77" t="s">
        <v>27</v>
      </c>
      <c r="R482" s="78" t="s">
        <v>621</v>
      </c>
      <c r="S482" s="81"/>
      <c r="T482" s="81"/>
      <c r="U482" s="81"/>
      <c r="V482" s="83">
        <v>0</v>
      </c>
      <c r="W482" s="115"/>
      <c r="X482" s="77" t="str">
        <f ca="1">IF(AND((Main_Issuance[[#This Row],[Expiry Date]]+31)&gt;TODAY(),Main_Issuance[[#This Row],[Status]]&lt;&gt;"Cancelled"),"Active","Cancelled")</f>
        <v>Active</v>
      </c>
      <c r="Y482" s="96"/>
      <c r="Z482" s="77"/>
      <c r="AA482" s="444" t="s">
        <v>857</v>
      </c>
      <c r="AB482" s="83" cm="1">
        <f t="array" ref="AB482">Iss_Tariff(Main_Issuance[[#This Row],[Bank]],Main_Issuance[[#This Row],[LC Amt(SAR)]],Main_Issuance[[#This Row],[Issue Date.]],Main_Issuance[[#This Row],[Expiry Date]],Main_Issuance[[#This Row],[Calculate]])</f>
        <v>32258.65</v>
      </c>
      <c r="AC482" s="83"/>
    </row>
    <row r="483" spans="1:29" ht="15.75" hidden="1" x14ac:dyDescent="0.25">
      <c r="A483" s="114"/>
      <c r="B483" s="423">
        <v>46125</v>
      </c>
      <c r="C483" s="423" t="s">
        <v>1537</v>
      </c>
      <c r="D483" s="78" t="s">
        <v>728</v>
      </c>
      <c r="E483" s="115" t="s">
        <v>62</v>
      </c>
      <c r="F483" s="115" t="s">
        <v>483</v>
      </c>
      <c r="G483" s="115" t="s">
        <v>1296</v>
      </c>
      <c r="H483" s="113" t="s">
        <v>72</v>
      </c>
      <c r="I483" s="115" t="s">
        <v>483</v>
      </c>
      <c r="J483" s="79">
        <v>1020096</v>
      </c>
      <c r="K483" s="115" t="s">
        <v>26</v>
      </c>
      <c r="L483" s="119">
        <v>3000000</v>
      </c>
      <c r="M483" s="82">
        <v>1</v>
      </c>
      <c r="N483" s="82">
        <f>Main_Issuance[[#This Row],[LC Amt(FCY)]]*Main_Issuance[[#This Row],[Rate]]</f>
        <v>3000000</v>
      </c>
      <c r="O483" s="424">
        <v>46234</v>
      </c>
      <c r="P483" s="424">
        <v>46234</v>
      </c>
      <c r="Q483" s="424" t="s">
        <v>27</v>
      </c>
      <c r="R483" s="78" t="s">
        <v>1925</v>
      </c>
      <c r="S483" s="81"/>
      <c r="T483" s="81"/>
      <c r="U483" s="81"/>
      <c r="V483" s="83">
        <v>0</v>
      </c>
      <c r="W483" s="115" t="s">
        <v>5157</v>
      </c>
      <c r="X483" s="424" t="str">
        <f ca="1">IF(AND((Main_Issuance[[#This Row],[Expiry Date]]+31)&gt;TODAY(),Main_Issuance[[#This Row],[Status]]&lt;&gt;"Cancelled"),"Active","Cancelled")</f>
        <v>Active</v>
      </c>
      <c r="Y483" s="96"/>
      <c r="Z483" s="424"/>
      <c r="AA483" s="443" t="s">
        <v>857</v>
      </c>
      <c r="AB483" s="83" cm="1">
        <f t="array" ref="AB483">Iss_Tariff(Main_Issuance[[#This Row],[Bank]],Main_Issuance[[#This Row],[LC Amt(SAR)]],Main_Issuance[[#This Row],[Issue Date.]],Main_Issuance[[#This Row],[Expiry Date]],Main_Issuance[[#This Row],[Calculate]])</f>
        <v>18018.2</v>
      </c>
      <c r="AC483" s="83"/>
    </row>
    <row r="484" spans="1:29" ht="15.75" hidden="1" x14ac:dyDescent="0.25">
      <c r="A484" s="147" t="s">
        <v>1286</v>
      </c>
      <c r="B484" s="122">
        <v>45785</v>
      </c>
      <c r="C484" s="122" t="s">
        <v>831</v>
      </c>
      <c r="D484" s="123" t="s">
        <v>20</v>
      </c>
      <c r="E484" s="124" t="s">
        <v>21</v>
      </c>
      <c r="F484" s="124" t="s">
        <v>22</v>
      </c>
      <c r="G484" s="124" t="s">
        <v>832</v>
      </c>
      <c r="H484" s="59" t="s">
        <v>1791</v>
      </c>
      <c r="I484" s="124" t="s">
        <v>22</v>
      </c>
      <c r="J484" s="125">
        <v>1020055</v>
      </c>
      <c r="K484" s="124" t="s">
        <v>26</v>
      </c>
      <c r="L484" s="60">
        <v>2118694.4500000002</v>
      </c>
      <c r="M484" s="60">
        <v>1</v>
      </c>
      <c r="N484" s="60">
        <f>Main_Issuance[[#This Row],[LC Amt(FCY)]]*Main_Issuance[[#This Row],[Rate]]</f>
        <v>2118694.4500000002</v>
      </c>
      <c r="O484" s="148">
        <v>45798</v>
      </c>
      <c r="P484" s="148">
        <v>45798</v>
      </c>
      <c r="Q484" s="148" t="s">
        <v>27</v>
      </c>
      <c r="R484" s="78" t="s">
        <v>621</v>
      </c>
      <c r="S484" s="126"/>
      <c r="T484" s="126"/>
      <c r="U484" s="126"/>
      <c r="V484" s="128">
        <v>0</v>
      </c>
      <c r="W484" s="115"/>
      <c r="X484" s="148" t="str">
        <f ca="1">IF(AND((Main_Issuance[[#This Row],[Expiry Date]]+31)&gt;TODAY(),Main_Issuance[[#This Row],[Status]]&lt;&gt;"Cancelled"),"Active","Cancelled")</f>
        <v>Cancelled</v>
      </c>
      <c r="Y484" s="411"/>
      <c r="Z484" s="408"/>
      <c r="AA484" s="408" t="s">
        <v>378</v>
      </c>
      <c r="AB484" s="83" cm="1">
        <f t="array" ref="AB484">Iss_Tariff(Main_Issuance[[#This Row],[Bank]],Main_Issuance[[#This Row],[LC Amt(SAR)]],Main_Issuance[[#This Row],[Issue Date.]],Main_Issuance[[#This Row],[Expiry Date]],Main_Issuance[[#This Row],[Calculate]])</f>
        <v>0</v>
      </c>
      <c r="AC484" s="83"/>
    </row>
    <row r="485" spans="1:29" ht="15.75" hidden="1" x14ac:dyDescent="0.25">
      <c r="A485" s="114" t="s">
        <v>4737</v>
      </c>
      <c r="B485" s="423">
        <v>46127</v>
      </c>
      <c r="C485" s="423" t="s">
        <v>1394</v>
      </c>
      <c r="D485" s="115" t="s">
        <v>20</v>
      </c>
      <c r="E485" s="115" t="s">
        <v>21</v>
      </c>
      <c r="F485" s="115" t="s">
        <v>22</v>
      </c>
      <c r="G485" s="115" t="s">
        <v>4678</v>
      </c>
      <c r="H485" s="113" t="s">
        <v>80</v>
      </c>
      <c r="I485" s="115" t="s">
        <v>90</v>
      </c>
      <c r="J485" s="78">
        <v>1020001</v>
      </c>
      <c r="K485" s="115" t="s">
        <v>26</v>
      </c>
      <c r="L485" s="119">
        <v>15724333.939999999</v>
      </c>
      <c r="M485" s="82">
        <v>1</v>
      </c>
      <c r="N485" s="82">
        <f>Main_Issuance[[#This Row],[LC Amt(FCY)]]*Main_Issuance[[#This Row],[Rate]]</f>
        <v>15724333.939999999</v>
      </c>
      <c r="O485" s="424">
        <v>46203</v>
      </c>
      <c r="P485" s="424">
        <v>46193</v>
      </c>
      <c r="Q485" s="424" t="s">
        <v>27</v>
      </c>
      <c r="R485" s="78" t="s">
        <v>1904</v>
      </c>
      <c r="S485" s="81"/>
      <c r="T485" s="81"/>
      <c r="U485" s="81"/>
      <c r="V485" s="83">
        <v>0</v>
      </c>
      <c r="W485" s="115" t="s">
        <v>5457</v>
      </c>
      <c r="X485" s="424" t="str">
        <f ca="1">IF(AND((Main_Issuance[[#This Row],[Expiry Date]]+31)&gt;TODAY(),Main_Issuance[[#This Row],[Status]]&lt;&gt;"Cancelled"),"Active","Cancelled")</f>
        <v>Active</v>
      </c>
      <c r="Y485" s="96"/>
      <c r="Z485" s="424"/>
      <c r="AA485" s="443" t="s">
        <v>378</v>
      </c>
      <c r="AB485" s="83" cm="1">
        <f t="array" ref="AB485">Iss_Tariff(Main_Issuance[[#This Row],[Bank]],Main_Issuance[[#This Row],[LC Amt(SAR)]],Main_Issuance[[#This Row],[Issue Date.]],Main_Issuance[[#This Row],[Expiry Date]],Main_Issuance[[#This Row],[Calculate]])</f>
        <v>0</v>
      </c>
      <c r="AC485" s="83"/>
    </row>
    <row r="486" spans="1:29" ht="15.75" hidden="1" x14ac:dyDescent="0.25">
      <c r="A486" s="57" t="s">
        <v>421</v>
      </c>
      <c r="B486" s="56">
        <v>45559</v>
      </c>
      <c r="C486" s="56"/>
      <c r="D486" s="19" t="s">
        <v>20</v>
      </c>
      <c r="E486" s="19" t="s">
        <v>95</v>
      </c>
      <c r="F486" s="19" t="s">
        <v>96</v>
      </c>
      <c r="G486" s="19" t="s">
        <v>422</v>
      </c>
      <c r="H486" s="59" t="s">
        <v>24</v>
      </c>
      <c r="I486" s="59" t="s">
        <v>413</v>
      </c>
      <c r="J486" s="65"/>
      <c r="K486" s="19" t="s">
        <v>26</v>
      </c>
      <c r="L486" s="60">
        <v>5000000</v>
      </c>
      <c r="M486" s="60">
        <v>1</v>
      </c>
      <c r="N486" s="60">
        <f>Main_Issuance[[#This Row],[LC Amt(FCY)]]*Main_Issuance[[#This Row],[Rate]]</f>
        <v>5000000</v>
      </c>
      <c r="O486" s="58">
        <v>45657</v>
      </c>
      <c r="P486" s="58">
        <v>45630</v>
      </c>
      <c r="Q486" s="58" t="s">
        <v>27</v>
      </c>
      <c r="R486" s="78" t="s">
        <v>311</v>
      </c>
      <c r="S486" s="71"/>
      <c r="T486" s="71"/>
      <c r="U486" s="71"/>
      <c r="V486" s="68">
        <v>0</v>
      </c>
      <c r="W486" s="115"/>
      <c r="X486" s="58" t="str">
        <f ca="1">IF(AND((Main_Issuance[[#This Row],[Expiry Date]]+31)&gt;TODAY(),Main_Issuance[[#This Row],[Status]]&lt;&gt;"Cancelled"),"Active","Cancelled")</f>
        <v>Cancelled</v>
      </c>
      <c r="Y486" s="409"/>
      <c r="Z486" s="408"/>
      <c r="AA486" s="408" t="s">
        <v>378</v>
      </c>
      <c r="AB486" s="83" cm="1">
        <f t="array" ref="AB486">Iss_Tariff(Main_Issuance[[#This Row],[Bank]],Main_Issuance[[#This Row],[LC Amt(SAR)]],Main_Issuance[[#This Row],[Issue Date.]],Main_Issuance[[#This Row],[Expiry Date]],Main_Issuance[[#This Row],[Calculate]])</f>
        <v>0</v>
      </c>
      <c r="AC486" s="83"/>
    </row>
    <row r="487" spans="1:29" ht="15.75" hidden="1" x14ac:dyDescent="0.25">
      <c r="A487" s="114" t="s">
        <v>713</v>
      </c>
      <c r="B487" s="56">
        <v>45726</v>
      </c>
      <c r="C487" s="56" t="s">
        <v>441</v>
      </c>
      <c r="D487" s="115" t="s">
        <v>20</v>
      </c>
      <c r="E487" s="19" t="s">
        <v>366</v>
      </c>
      <c r="F487" s="19" t="s">
        <v>710</v>
      </c>
      <c r="G487" s="19" t="s">
        <v>714</v>
      </c>
      <c r="H487" s="19" t="s">
        <v>24</v>
      </c>
      <c r="I487" s="19" t="s">
        <v>710</v>
      </c>
      <c r="J487" s="65">
        <v>1020088</v>
      </c>
      <c r="K487" s="19" t="s">
        <v>26</v>
      </c>
      <c r="L487" s="60">
        <v>800000</v>
      </c>
      <c r="M487" s="60">
        <v>1</v>
      </c>
      <c r="N487" s="60">
        <f>Main_Issuance[[#This Row],[LC Amt(FCY)]]*Main_Issuance[[#This Row],[Rate]]</f>
        <v>800000</v>
      </c>
      <c r="O487" s="77">
        <v>46142</v>
      </c>
      <c r="P487" s="77">
        <v>46142</v>
      </c>
      <c r="Q487" s="58" t="s">
        <v>27</v>
      </c>
      <c r="R487" s="78" t="s">
        <v>311</v>
      </c>
      <c r="S487" s="71"/>
      <c r="T487" s="71"/>
      <c r="U487" s="71"/>
      <c r="V487" s="68">
        <v>0</v>
      </c>
      <c r="W487" s="115"/>
      <c r="X487" s="58" t="str">
        <f ca="1">IF(AND((Main_Issuance[[#This Row],[Expiry Date]]+31)&gt;TODAY(),Main_Issuance[[#This Row],[Status]]&lt;&gt;"Cancelled"),"Active","Cancelled")</f>
        <v>Cancelled</v>
      </c>
      <c r="Y487" s="409"/>
      <c r="Z487" s="408"/>
      <c r="AA487" s="408" t="s">
        <v>857</v>
      </c>
      <c r="AB487" s="83" cm="1">
        <f t="array" ref="AB487">Iss_Tariff(Main_Issuance[[#This Row],[Bank]],Main_Issuance[[#This Row],[LC Amt(SAR)]],Main_Issuance[[#This Row],[Issue Date.]],Main_Issuance[[#This Row],[Expiry Date]],Main_Issuance[[#This Row],[Calculate]])</f>
        <v>4686.25</v>
      </c>
      <c r="AC487" s="83"/>
    </row>
    <row r="488" spans="1:29" ht="15.75" hidden="1" x14ac:dyDescent="0.25">
      <c r="A488" s="114" t="s">
        <v>3898</v>
      </c>
      <c r="B488" s="76">
        <v>46050</v>
      </c>
      <c r="C488" s="77" t="s">
        <v>441</v>
      </c>
      <c r="D488" s="78" t="s">
        <v>20</v>
      </c>
      <c r="E488" s="115" t="s">
        <v>366</v>
      </c>
      <c r="F488" s="115" t="s">
        <v>710</v>
      </c>
      <c r="G488" s="115" t="s">
        <v>3292</v>
      </c>
      <c r="H488" s="115" t="s">
        <v>24</v>
      </c>
      <c r="I488" s="115" t="s">
        <v>710</v>
      </c>
      <c r="J488" s="79">
        <v>1020088</v>
      </c>
      <c r="K488" s="115" t="s">
        <v>26</v>
      </c>
      <c r="L488" s="119">
        <v>397090</v>
      </c>
      <c r="M488" s="82">
        <v>1</v>
      </c>
      <c r="N488" s="82">
        <f>Main_Issuance[[#This Row],[LC Amt(FCY)]]*Main_Issuance[[#This Row],[Rate]]</f>
        <v>397090</v>
      </c>
      <c r="O488" s="77">
        <v>46142</v>
      </c>
      <c r="P488" s="77">
        <v>46142</v>
      </c>
      <c r="Q488" s="77" t="s">
        <v>27</v>
      </c>
      <c r="R488" s="78" t="s">
        <v>1904</v>
      </c>
      <c r="S488" s="81"/>
      <c r="T488" s="81"/>
      <c r="U488" s="81"/>
      <c r="V488" s="83">
        <v>0</v>
      </c>
      <c r="W488" s="115"/>
      <c r="X488" s="77" t="str">
        <f ca="1">IF(AND((Main_Issuance[[#This Row],[Expiry Date]]+31)&gt;TODAY(),Main_Issuance[[#This Row],[Status]]&lt;&gt;"Cancelled"),"Active","Cancelled")</f>
        <v>Cancelled</v>
      </c>
      <c r="Y488" s="409"/>
      <c r="Z488" s="408"/>
      <c r="AA488" s="408" t="s">
        <v>857</v>
      </c>
      <c r="AB488" s="83" cm="1">
        <f t="array" ref="AB488">Iss_Tariff(Main_Issuance[[#This Row],[Bank]],Main_Issuance[[#This Row],[LC Amt(SAR)]],Main_Issuance[[#This Row],[Issue Date.]],Main_Issuance[[#This Row],[Expiry Date]],Main_Issuance[[#This Row],[Calculate]])</f>
        <v>2369</v>
      </c>
      <c r="AC488" s="83"/>
    </row>
    <row r="489" spans="1:29" ht="15.75" hidden="1" x14ac:dyDescent="0.25">
      <c r="A489" s="114" t="s">
        <v>1606</v>
      </c>
      <c r="B489" s="76">
        <v>45862</v>
      </c>
      <c r="C489" s="76" t="s">
        <v>441</v>
      </c>
      <c r="D489" s="78" t="s">
        <v>20</v>
      </c>
      <c r="E489" s="78" t="s">
        <v>366</v>
      </c>
      <c r="F489" s="78" t="s">
        <v>710</v>
      </c>
      <c r="G489" s="115" t="s">
        <v>1575</v>
      </c>
      <c r="H489" s="115" t="s">
        <v>24</v>
      </c>
      <c r="I489" s="115" t="s">
        <v>710</v>
      </c>
      <c r="J489" s="79">
        <v>1020088</v>
      </c>
      <c r="K489" s="115" t="s">
        <v>26</v>
      </c>
      <c r="L489" s="60">
        <v>250000</v>
      </c>
      <c r="M489" s="60">
        <v>1</v>
      </c>
      <c r="N489" s="60">
        <f>Main_Issuance[[#This Row],[LC Amt(FCY)]]*Main_Issuance[[#This Row],[Rate]]</f>
        <v>250000</v>
      </c>
      <c r="O489" s="77">
        <v>46022</v>
      </c>
      <c r="P489" s="77">
        <v>46022</v>
      </c>
      <c r="Q489" s="77" t="s">
        <v>27</v>
      </c>
      <c r="R489" s="78" t="s">
        <v>621</v>
      </c>
      <c r="S489" s="81"/>
      <c r="T489" s="81"/>
      <c r="U489" s="81"/>
      <c r="V489" s="83">
        <v>0</v>
      </c>
      <c r="W489" s="115"/>
      <c r="X489" s="77" t="str">
        <f ca="1">IF(AND((Main_Issuance[[#This Row],[Expiry Date]]+31)&gt;TODAY(),Main_Issuance[[#This Row],[Status]]&lt;&gt;"Cancelled"),"Active","Cancelled")</f>
        <v>Cancelled</v>
      </c>
      <c r="Y489" s="409"/>
      <c r="Z489" s="408"/>
      <c r="AA489" s="408" t="s">
        <v>378</v>
      </c>
      <c r="AB489" s="83" cm="1">
        <f t="array" ref="AB489">Iss_Tariff(Main_Issuance[[#This Row],[Bank]],Main_Issuance[[#This Row],[LC Amt(SAR)]],Main_Issuance[[#This Row],[Issue Date.]],Main_Issuance[[#This Row],[Expiry Date]],Main_Issuance[[#This Row],[Calculate]])</f>
        <v>0</v>
      </c>
      <c r="AC489" s="83"/>
    </row>
    <row r="490" spans="1:29" ht="15.75" hidden="1" x14ac:dyDescent="0.25">
      <c r="A490" s="75" t="s">
        <v>3570</v>
      </c>
      <c r="B490" s="76">
        <v>46033</v>
      </c>
      <c r="C490" s="76" t="s">
        <v>441</v>
      </c>
      <c r="D490" s="78" t="s">
        <v>20</v>
      </c>
      <c r="E490" s="78" t="s">
        <v>612</v>
      </c>
      <c r="F490" s="78" t="s">
        <v>613</v>
      </c>
      <c r="G490" s="78" t="s">
        <v>3330</v>
      </c>
      <c r="H490" s="79" t="s">
        <v>24</v>
      </c>
      <c r="I490" s="78" t="s">
        <v>613</v>
      </c>
      <c r="J490" s="78">
        <v>1020106</v>
      </c>
      <c r="K490" s="78" t="s">
        <v>26</v>
      </c>
      <c r="L490" s="119">
        <v>739450</v>
      </c>
      <c r="M490" s="82">
        <v>1</v>
      </c>
      <c r="N490" s="82">
        <f>Main_Issuance[[#This Row],[LC Amt(FCY)]]*Main_Issuance[[#This Row],[Rate]]</f>
        <v>739450</v>
      </c>
      <c r="O490" s="76">
        <v>46265</v>
      </c>
      <c r="P490" s="76">
        <v>46265</v>
      </c>
      <c r="Q490" s="76" t="s">
        <v>27</v>
      </c>
      <c r="R490" s="78" t="s">
        <v>1904</v>
      </c>
      <c r="S490" s="81"/>
      <c r="T490" s="81"/>
      <c r="U490" s="81"/>
      <c r="V490" s="83">
        <v>0</v>
      </c>
      <c r="W490" s="115"/>
      <c r="X490" s="76" t="str">
        <f ca="1">IF(AND((Main_Issuance[[#This Row],[Expiry Date]]+31)&gt;TODAY(),Main_Issuance[[#This Row],[Status]]&lt;&gt;"Cancelled"),"Active","Cancelled")</f>
        <v>Active</v>
      </c>
      <c r="Y490" s="409"/>
      <c r="Z490" s="408"/>
      <c r="AA490" s="408" t="s">
        <v>857</v>
      </c>
      <c r="AB490" s="83" cm="1">
        <f t="array" ref="AB490">Iss_Tariff(Main_Issuance[[#This Row],[Bank]],Main_Issuance[[#This Row],[LC Amt(SAR)]],Main_Issuance[[#This Row],[Issue Date.]],Main_Issuance[[#This Row],[Expiry Date]],Main_Issuance[[#This Row],[Calculate]])</f>
        <v>8899.85</v>
      </c>
      <c r="AC490" s="83"/>
    </row>
    <row r="491" spans="1:29" ht="15.75" hidden="1" x14ac:dyDescent="0.25">
      <c r="A491" s="70" t="s">
        <v>749</v>
      </c>
      <c r="B491" s="56">
        <v>45741</v>
      </c>
      <c r="C491" s="76" t="s">
        <v>1864</v>
      </c>
      <c r="D491" s="69" t="s">
        <v>20</v>
      </c>
      <c r="E491" s="69" t="s">
        <v>366</v>
      </c>
      <c r="F491" s="69" t="s">
        <v>710</v>
      </c>
      <c r="G491" s="69" t="s">
        <v>750</v>
      </c>
      <c r="H491" s="65" t="s">
        <v>3221</v>
      </c>
      <c r="I491" s="65" t="s">
        <v>81</v>
      </c>
      <c r="J491" s="65">
        <v>1020070</v>
      </c>
      <c r="K491" s="69" t="s">
        <v>26</v>
      </c>
      <c r="L491" s="60">
        <v>1000000</v>
      </c>
      <c r="M491" s="60">
        <v>1</v>
      </c>
      <c r="N491" s="60">
        <f>Main_Issuance[[#This Row],[LC Amt(FCY)]]*Main_Issuance[[#This Row],[Rate]]</f>
        <v>1000000</v>
      </c>
      <c r="O491" s="56">
        <v>45808</v>
      </c>
      <c r="P491" s="56">
        <v>45777</v>
      </c>
      <c r="Q491" s="56" t="s">
        <v>27</v>
      </c>
      <c r="R491" s="78" t="s">
        <v>208</v>
      </c>
      <c r="S491" s="71"/>
      <c r="T491" s="71"/>
      <c r="U491" s="71"/>
      <c r="V491" s="68">
        <v>0</v>
      </c>
      <c r="W491" s="78"/>
      <c r="X491" s="56" t="str">
        <f ca="1">IF(AND((Main_Issuance[[#This Row],[Expiry Date]]+31)&gt;TODAY(),Main_Issuance[[#This Row],[Status]]&lt;&gt;"Cancelled"),"Active","Cancelled")</f>
        <v>Cancelled</v>
      </c>
      <c r="Y491" s="409"/>
      <c r="Z491" s="408"/>
      <c r="AA491" s="408" t="s">
        <v>378</v>
      </c>
      <c r="AB491" s="83" cm="1">
        <f t="array" ref="AB491">Iss_Tariff(Main_Issuance[[#This Row],[Bank]],Main_Issuance[[#This Row],[LC Amt(SAR)]],Main_Issuance[[#This Row],[Issue Date.]],Main_Issuance[[#This Row],[Expiry Date]],Main_Issuance[[#This Row],[Calculate]])</f>
        <v>0</v>
      </c>
      <c r="AC491" s="83"/>
    </row>
    <row r="492" spans="1:29" ht="15.75" hidden="1" x14ac:dyDescent="0.25">
      <c r="A492" s="75" t="s">
        <v>1470</v>
      </c>
      <c r="B492" s="76">
        <v>45823</v>
      </c>
      <c r="C492" s="56" t="s">
        <v>1181</v>
      </c>
      <c r="D492" s="115" t="s">
        <v>20</v>
      </c>
      <c r="E492" s="78" t="s">
        <v>366</v>
      </c>
      <c r="F492" s="78" t="s">
        <v>710</v>
      </c>
      <c r="G492" s="78" t="s">
        <v>750</v>
      </c>
      <c r="H492" s="79" t="s">
        <v>72</v>
      </c>
      <c r="I492" s="79" t="s">
        <v>81</v>
      </c>
      <c r="J492" s="79">
        <v>1020070</v>
      </c>
      <c r="K492" s="78" t="s">
        <v>26</v>
      </c>
      <c r="L492" s="60">
        <v>1900870.95</v>
      </c>
      <c r="M492" s="60">
        <v>1</v>
      </c>
      <c r="N492" s="60">
        <f>Main_Issuance[[#This Row],[LC Amt(FCY)]]*Main_Issuance[[#This Row],[Rate]]</f>
        <v>1900870.95</v>
      </c>
      <c r="O492" s="76">
        <v>46022</v>
      </c>
      <c r="P492" s="76">
        <v>45991</v>
      </c>
      <c r="Q492" s="76" t="s">
        <v>27</v>
      </c>
      <c r="R492" s="78" t="s">
        <v>425</v>
      </c>
      <c r="S492" s="81"/>
      <c r="T492" s="81"/>
      <c r="U492" s="81"/>
      <c r="V492" s="83">
        <v>0</v>
      </c>
      <c r="W492" s="115"/>
      <c r="X492" s="76" t="str">
        <f ca="1">IF(AND((Main_Issuance[[#This Row],[Expiry Date]]+31)&gt;TODAY(),Main_Issuance[[#This Row],[Status]]&lt;&gt;"Cancelled"),"Active","Cancelled")</f>
        <v>Cancelled</v>
      </c>
      <c r="Y492" s="409"/>
      <c r="Z492" s="408"/>
      <c r="AA492" s="408" t="s">
        <v>378</v>
      </c>
      <c r="AB492" s="83" cm="1">
        <f t="array" ref="AB492">Iss_Tariff(Main_Issuance[[#This Row],[Bank]],Main_Issuance[[#This Row],[LC Amt(SAR)]],Main_Issuance[[#This Row],[Issue Date.]],Main_Issuance[[#This Row],[Expiry Date]],Main_Issuance[[#This Row],[Calculate]])</f>
        <v>0</v>
      </c>
      <c r="AC492" s="83"/>
    </row>
    <row r="493" spans="1:29" ht="15.75" hidden="1" x14ac:dyDescent="0.25">
      <c r="A493" s="57" t="s">
        <v>654</v>
      </c>
      <c r="B493" s="56">
        <v>45680</v>
      </c>
      <c r="C493" s="56" t="s">
        <v>441</v>
      </c>
      <c r="D493" s="19" t="s">
        <v>20</v>
      </c>
      <c r="E493" s="69" t="s">
        <v>21</v>
      </c>
      <c r="F493" s="19" t="s">
        <v>22</v>
      </c>
      <c r="G493" s="431" t="s">
        <v>655</v>
      </c>
      <c r="H493" s="59" t="s">
        <v>24</v>
      </c>
      <c r="I493" s="65" t="s">
        <v>22</v>
      </c>
      <c r="J493" s="59">
        <v>1020055</v>
      </c>
      <c r="K493" s="69" t="s">
        <v>26</v>
      </c>
      <c r="L493" s="60">
        <v>500000</v>
      </c>
      <c r="M493" s="60">
        <v>1</v>
      </c>
      <c r="N493" s="60">
        <f>Main_Issuance[[#This Row],[LC Amt(FCY)]]*Main_Issuance[[#This Row],[Rate]]</f>
        <v>500000</v>
      </c>
      <c r="O493" s="56">
        <v>45777</v>
      </c>
      <c r="P493" s="56">
        <v>45777</v>
      </c>
      <c r="Q493" s="58" t="s">
        <v>27</v>
      </c>
      <c r="R493" s="115" t="s">
        <v>311</v>
      </c>
      <c r="S493" s="71"/>
      <c r="T493" s="71"/>
      <c r="U493" s="71"/>
      <c r="V493" s="68">
        <v>0</v>
      </c>
      <c r="W493" s="115"/>
      <c r="X493" s="191" t="str">
        <f ca="1">IF(AND((Main_Issuance[[#This Row],[Expiry Date]]+31)&gt;TODAY(),Main_Issuance[[#This Row],[Status]]&lt;&gt;"Cancelled"),"Active","Cancelled")</f>
        <v>Cancelled</v>
      </c>
      <c r="Y493" s="409"/>
      <c r="Z493" s="408"/>
      <c r="AA493" s="408" t="s">
        <v>378</v>
      </c>
      <c r="AB493" s="83" cm="1">
        <f t="array" ref="AB493">Iss_Tariff(Main_Issuance[[#This Row],[Bank]],Main_Issuance[[#This Row],[LC Amt(SAR)]],Main_Issuance[[#This Row],[Issue Date.]],Main_Issuance[[#This Row],[Expiry Date]],Main_Issuance[[#This Row],[Calculate]])</f>
        <v>0</v>
      </c>
      <c r="AC493" s="83"/>
    </row>
    <row r="494" spans="1:29" ht="15.75" hidden="1" x14ac:dyDescent="0.25">
      <c r="A494" s="57" t="s">
        <v>525</v>
      </c>
      <c r="B494" s="56">
        <v>45624</v>
      </c>
      <c r="C494" s="56" t="s">
        <v>441</v>
      </c>
      <c r="D494" s="69" t="s">
        <v>20</v>
      </c>
      <c r="E494" s="69" t="s">
        <v>21</v>
      </c>
      <c r="F494" s="19" t="s">
        <v>22</v>
      </c>
      <c r="G494" s="69" t="s">
        <v>526</v>
      </c>
      <c r="H494" s="59" t="s">
        <v>24</v>
      </c>
      <c r="I494" s="65" t="s">
        <v>22</v>
      </c>
      <c r="J494" s="59">
        <v>1020055</v>
      </c>
      <c r="K494" s="69" t="s">
        <v>26</v>
      </c>
      <c r="L494" s="60">
        <v>809055.91</v>
      </c>
      <c r="M494" s="60">
        <v>1</v>
      </c>
      <c r="N494" s="60">
        <f>Main_Issuance[[#This Row],[LC Amt(FCY)]]*Main_Issuance[[#This Row],[Rate]]</f>
        <v>809055.91</v>
      </c>
      <c r="O494" s="56">
        <v>45716</v>
      </c>
      <c r="P494" s="56">
        <v>45716</v>
      </c>
      <c r="Q494" s="58" t="s">
        <v>27</v>
      </c>
      <c r="R494" s="78" t="s">
        <v>311</v>
      </c>
      <c r="S494" s="71"/>
      <c r="T494" s="71"/>
      <c r="U494" s="71"/>
      <c r="V494" s="68">
        <v>0</v>
      </c>
      <c r="W494" s="115"/>
      <c r="X494" s="191" t="str">
        <f ca="1">IF(AND((Main_Issuance[[#This Row],[Expiry Date]]+31)&gt;TODAY(),Main_Issuance[[#This Row],[Status]]&lt;&gt;"Cancelled"),"Active","Cancelled")</f>
        <v>Cancelled</v>
      </c>
      <c r="Y494" s="409"/>
      <c r="Z494" s="408"/>
      <c r="AA494" s="408" t="s">
        <v>378</v>
      </c>
      <c r="AB494" s="83" cm="1">
        <f t="array" ref="AB494">Iss_Tariff(Main_Issuance[[#This Row],[Bank]],Main_Issuance[[#This Row],[LC Amt(SAR)]],Main_Issuance[[#This Row],[Issue Date.]],Main_Issuance[[#This Row],[Expiry Date]],Main_Issuance[[#This Row],[Calculate]])</f>
        <v>0</v>
      </c>
      <c r="AC494" s="83"/>
    </row>
    <row r="495" spans="1:29" ht="15.75" hidden="1" x14ac:dyDescent="0.25">
      <c r="A495" s="57" t="s">
        <v>827</v>
      </c>
      <c r="B495" s="56">
        <v>45739</v>
      </c>
      <c r="C495" s="56" t="s">
        <v>441</v>
      </c>
      <c r="D495" s="69" t="s">
        <v>20</v>
      </c>
      <c r="E495" s="69" t="s">
        <v>21</v>
      </c>
      <c r="F495" s="19" t="s">
        <v>22</v>
      </c>
      <c r="G495" s="69" t="s">
        <v>828</v>
      </c>
      <c r="H495" s="19" t="s">
        <v>24</v>
      </c>
      <c r="I495" s="69" t="s">
        <v>22</v>
      </c>
      <c r="J495" s="59">
        <v>1020055</v>
      </c>
      <c r="K495" s="69" t="s">
        <v>26</v>
      </c>
      <c r="L495" s="60">
        <v>200000</v>
      </c>
      <c r="M495" s="60">
        <v>1</v>
      </c>
      <c r="N495" s="60">
        <f>Main_Issuance[[#This Row],[LC Amt(FCY)]]*Main_Issuance[[#This Row],[Rate]]</f>
        <v>200000</v>
      </c>
      <c r="O495" s="56">
        <v>45838</v>
      </c>
      <c r="P495" s="56">
        <v>45838</v>
      </c>
      <c r="Q495" s="58" t="s">
        <v>27</v>
      </c>
      <c r="R495" s="78" t="s">
        <v>311</v>
      </c>
      <c r="S495" s="71"/>
      <c r="T495" s="71"/>
      <c r="U495" s="71"/>
      <c r="V495" s="68">
        <v>0</v>
      </c>
      <c r="W495" s="115"/>
      <c r="X495" s="191" t="str">
        <f ca="1">IF(AND((Main_Issuance[[#This Row],[Expiry Date]]+31)&gt;TODAY(),Main_Issuance[[#This Row],[Status]]&lt;&gt;"Cancelled"),"Active","Cancelled")</f>
        <v>Cancelled</v>
      </c>
      <c r="Y495" s="409"/>
      <c r="Z495" s="408"/>
      <c r="AA495" s="408" t="s">
        <v>378</v>
      </c>
      <c r="AB495" s="83" cm="1">
        <f t="array" ref="AB495">Iss_Tariff(Main_Issuance[[#This Row],[Bank]],Main_Issuance[[#This Row],[LC Amt(SAR)]],Main_Issuance[[#This Row],[Issue Date.]],Main_Issuance[[#This Row],[Expiry Date]],Main_Issuance[[#This Row],[Calculate]])</f>
        <v>0</v>
      </c>
      <c r="AC495" s="83"/>
    </row>
    <row r="496" spans="1:29" ht="15.75" hidden="1" x14ac:dyDescent="0.25">
      <c r="A496" s="114" t="s">
        <v>1855</v>
      </c>
      <c r="B496" s="76">
        <v>45911</v>
      </c>
      <c r="C496" s="76" t="s">
        <v>1537</v>
      </c>
      <c r="D496" s="78" t="s">
        <v>20</v>
      </c>
      <c r="E496" s="78" t="s">
        <v>62</v>
      </c>
      <c r="F496" s="115" t="s">
        <v>70</v>
      </c>
      <c r="G496" s="79" t="s">
        <v>526</v>
      </c>
      <c r="H496" s="113" t="s">
        <v>24</v>
      </c>
      <c r="I496" s="78" t="s">
        <v>483</v>
      </c>
      <c r="J496" s="113">
        <v>1020096</v>
      </c>
      <c r="K496" s="78" t="s">
        <v>26</v>
      </c>
      <c r="L496" s="119">
        <v>300000</v>
      </c>
      <c r="M496" s="119">
        <v>1</v>
      </c>
      <c r="N496" s="119">
        <f>Main_Issuance[[#This Row],[LC Amt(FCY)]]*Main_Issuance[[#This Row],[Rate]]</f>
        <v>300000</v>
      </c>
      <c r="O496" s="76">
        <v>45991</v>
      </c>
      <c r="P496" s="76">
        <v>45991</v>
      </c>
      <c r="Q496" s="77" t="s">
        <v>70</v>
      </c>
      <c r="R496" s="78" t="s">
        <v>621</v>
      </c>
      <c r="S496" s="81"/>
      <c r="T496" s="81"/>
      <c r="U496" s="81"/>
      <c r="V496" s="83">
        <v>0</v>
      </c>
      <c r="W496" s="115"/>
      <c r="X496" s="146" t="str">
        <f ca="1">IF(AND((Main_Issuance[[#This Row],[Expiry Date]]+31)&gt;TODAY(),Main_Issuance[[#This Row],[Status]]&lt;&gt;"Cancelled"),"Active","Cancelled")</f>
        <v>Cancelled</v>
      </c>
      <c r="Y496" s="409"/>
      <c r="Z496" s="408"/>
      <c r="AA496" s="408" t="s">
        <v>378</v>
      </c>
      <c r="AB496" s="83" cm="1">
        <f t="array" ref="AB496">Iss_Tariff(Main_Issuance[[#This Row],[Bank]],Main_Issuance[[#This Row],[LC Amt(SAR)]],Main_Issuance[[#This Row],[Issue Date.]],Main_Issuance[[#This Row],[Expiry Date]],Main_Issuance[[#This Row],[Calculate]])</f>
        <v>0</v>
      </c>
      <c r="AC496" s="83"/>
    </row>
    <row r="497" spans="1:29" ht="15.75" hidden="1" x14ac:dyDescent="0.25">
      <c r="A497" s="114" t="s">
        <v>3328</v>
      </c>
      <c r="B497" s="76">
        <v>46023</v>
      </c>
      <c r="C497" s="76" t="s">
        <v>1537</v>
      </c>
      <c r="D497" s="115" t="s">
        <v>20</v>
      </c>
      <c r="E497" s="78" t="s">
        <v>62</v>
      </c>
      <c r="F497" s="115" t="s">
        <v>483</v>
      </c>
      <c r="G497" s="78" t="s">
        <v>828</v>
      </c>
      <c r="H497" s="113" t="s">
        <v>24</v>
      </c>
      <c r="I497" s="78" t="s">
        <v>483</v>
      </c>
      <c r="J497" s="113">
        <v>1020096</v>
      </c>
      <c r="K497" s="78" t="s">
        <v>26</v>
      </c>
      <c r="L497" s="119">
        <v>500000</v>
      </c>
      <c r="M497" s="82">
        <v>1</v>
      </c>
      <c r="N497" s="82">
        <f>Main_Issuance[[#This Row],[LC Amt(FCY)]]*Main_Issuance[[#This Row],[Rate]]</f>
        <v>500000</v>
      </c>
      <c r="O497" s="77">
        <v>46142</v>
      </c>
      <c r="P497" s="77">
        <v>46142</v>
      </c>
      <c r="Q497" s="77" t="s">
        <v>27</v>
      </c>
      <c r="R497" s="78" t="s">
        <v>3229</v>
      </c>
      <c r="S497" s="81"/>
      <c r="T497" s="81"/>
      <c r="U497" s="81"/>
      <c r="V497" s="83">
        <v>0</v>
      </c>
      <c r="W497" s="115"/>
      <c r="X497" s="146" t="str">
        <f ca="1">IF(AND((Main_Issuance[[#This Row],[Expiry Date]]+31)&gt;TODAY(),Main_Issuance[[#This Row],[Status]]&lt;&gt;"Cancelled"),"Active","Cancelled")</f>
        <v>Cancelled</v>
      </c>
      <c r="Y497" s="409"/>
      <c r="Z497" s="408"/>
      <c r="AA497" s="408" t="s">
        <v>857</v>
      </c>
      <c r="AB497" s="83" cm="1">
        <f t="array" ref="AB497">Iss_Tariff(Main_Issuance[[#This Row],[Bank]],Main_Issuance[[#This Row],[LC Amt(SAR)]],Main_Issuance[[#This Row],[Issue Date.]],Main_Issuance[[#This Row],[Expiry Date]],Main_Issuance[[#This Row],[Calculate]])</f>
        <v>4082.5</v>
      </c>
      <c r="AC497" s="83"/>
    </row>
    <row r="498" spans="1:29" ht="15.75" hidden="1" x14ac:dyDescent="0.25">
      <c r="A498" s="114" t="s">
        <v>1129</v>
      </c>
      <c r="B498" s="76">
        <v>45754</v>
      </c>
      <c r="C498" s="76" t="s">
        <v>1878</v>
      </c>
      <c r="D498" s="115" t="s">
        <v>20</v>
      </c>
      <c r="E498" s="78" t="s">
        <v>366</v>
      </c>
      <c r="F498" s="115" t="s">
        <v>367</v>
      </c>
      <c r="G498" s="78" t="s">
        <v>1130</v>
      </c>
      <c r="H498" s="115" t="s">
        <v>3220</v>
      </c>
      <c r="I498" s="78" t="s">
        <v>367</v>
      </c>
      <c r="J498" s="59">
        <v>1020091</v>
      </c>
      <c r="K498" s="78" t="s">
        <v>26</v>
      </c>
      <c r="L498" s="60">
        <v>3500000</v>
      </c>
      <c r="M498" s="60">
        <v>1</v>
      </c>
      <c r="N498" s="60">
        <f>Main_Issuance[[#This Row],[LC Amt(FCY)]]*Main_Issuance[[#This Row],[Rate]]</f>
        <v>3500000</v>
      </c>
      <c r="O498" s="76">
        <v>45976</v>
      </c>
      <c r="P498" s="76">
        <v>45960</v>
      </c>
      <c r="Q498" s="77" t="s">
        <v>27</v>
      </c>
      <c r="R498" s="78" t="s">
        <v>461</v>
      </c>
      <c r="S498" s="81"/>
      <c r="T498" s="81"/>
      <c r="U498" s="81"/>
      <c r="V498" s="83">
        <v>0</v>
      </c>
      <c r="W498" s="115"/>
      <c r="X498" s="146" t="str">
        <f ca="1">IF(AND((Main_Issuance[[#This Row],[Expiry Date]]+31)&gt;TODAY(),Main_Issuance[[#This Row],[Status]]&lt;&gt;"Cancelled"),"Active","Cancelled")</f>
        <v>Cancelled</v>
      </c>
      <c r="Y498" s="409"/>
      <c r="Z498" s="408"/>
      <c r="AA498" s="408" t="s">
        <v>378</v>
      </c>
      <c r="AB498" s="83" cm="1">
        <f t="array" ref="AB498">Iss_Tariff(Main_Issuance[[#This Row],[Bank]],Main_Issuance[[#This Row],[LC Amt(SAR)]],Main_Issuance[[#This Row],[Issue Date.]],Main_Issuance[[#This Row],[Expiry Date]],Main_Issuance[[#This Row],[Calculate]])</f>
        <v>0</v>
      </c>
      <c r="AC498" s="83"/>
    </row>
    <row r="499" spans="1:29" ht="15.75" hidden="1" x14ac:dyDescent="0.25">
      <c r="A499" s="57" t="s">
        <v>452</v>
      </c>
      <c r="B499" s="56">
        <v>45586</v>
      </c>
      <c r="C499" s="56" t="s">
        <v>1119</v>
      </c>
      <c r="D499" s="69" t="s">
        <v>20</v>
      </c>
      <c r="E499" s="69" t="s">
        <v>366</v>
      </c>
      <c r="F499" s="19" t="s">
        <v>367</v>
      </c>
      <c r="G499" s="69" t="s">
        <v>453</v>
      </c>
      <c r="H499" s="59" t="s">
        <v>72</v>
      </c>
      <c r="I499" s="65" t="s">
        <v>367</v>
      </c>
      <c r="J499" s="59">
        <v>1020091</v>
      </c>
      <c r="K499" s="69" t="s">
        <v>191</v>
      </c>
      <c r="L499" s="60">
        <v>1680000</v>
      </c>
      <c r="M499" s="60">
        <v>1.026</v>
      </c>
      <c r="N499" s="60">
        <f>Main_Issuance[[#This Row],[LC Amt(FCY)]]*Main_Issuance[[#This Row],[Rate]]</f>
        <v>1723680</v>
      </c>
      <c r="O499" s="56">
        <v>45657</v>
      </c>
      <c r="P499" s="56">
        <v>45611</v>
      </c>
      <c r="Q499" s="58" t="s">
        <v>27</v>
      </c>
      <c r="R499" s="78" t="s">
        <v>208</v>
      </c>
      <c r="S499" s="71"/>
      <c r="T499" s="71"/>
      <c r="U499" s="71"/>
      <c r="V499" s="68">
        <v>0</v>
      </c>
      <c r="W499" s="115"/>
      <c r="X499" s="191" t="str">
        <f ca="1">IF(AND((Main_Issuance[[#This Row],[Expiry Date]]+31)&gt;TODAY(),Main_Issuance[[#This Row],[Status]]&lt;&gt;"Cancelled"),"Active","Cancelled")</f>
        <v>Cancelled</v>
      </c>
      <c r="Y499" s="409"/>
      <c r="Z499" s="408"/>
      <c r="AA499" s="408" t="s">
        <v>378</v>
      </c>
      <c r="AB499" s="83" cm="1">
        <f t="array" ref="AB499">Iss_Tariff(Main_Issuance[[#This Row],[Bank]],Main_Issuance[[#This Row],[LC Amt(SAR)]],Main_Issuance[[#This Row],[Issue Date.]],Main_Issuance[[#This Row],[Expiry Date]],Main_Issuance[[#This Row],[Calculate]])</f>
        <v>0</v>
      </c>
      <c r="AC499" s="83"/>
    </row>
    <row r="500" spans="1:29" ht="15.75" hidden="1" x14ac:dyDescent="0.25">
      <c r="A500" s="57" t="s">
        <v>470</v>
      </c>
      <c r="B500" s="56">
        <v>45596</v>
      </c>
      <c r="C500" s="56" t="s">
        <v>1119</v>
      </c>
      <c r="D500" s="69" t="s">
        <v>20</v>
      </c>
      <c r="E500" s="69" t="s">
        <v>366</v>
      </c>
      <c r="F500" s="19" t="s">
        <v>367</v>
      </c>
      <c r="G500" s="69" t="s">
        <v>453</v>
      </c>
      <c r="H500" s="59" t="s">
        <v>72</v>
      </c>
      <c r="I500" s="65" t="s">
        <v>367</v>
      </c>
      <c r="J500" s="59">
        <v>1020091</v>
      </c>
      <c r="K500" s="69" t="s">
        <v>191</v>
      </c>
      <c r="L500" s="60">
        <v>11192216</v>
      </c>
      <c r="M500" s="60">
        <v>1.03</v>
      </c>
      <c r="N500" s="60">
        <f>Main_Issuance[[#This Row],[LC Amt(FCY)]]*Main_Issuance[[#This Row],[Rate]]</f>
        <v>11527982.48</v>
      </c>
      <c r="O500" s="56">
        <v>45688</v>
      </c>
      <c r="P500" s="56">
        <v>45661</v>
      </c>
      <c r="Q500" s="58" t="s">
        <v>27</v>
      </c>
      <c r="R500" s="78" t="s">
        <v>208</v>
      </c>
      <c r="S500" s="71"/>
      <c r="T500" s="71"/>
      <c r="U500" s="71"/>
      <c r="V500" s="68">
        <v>0</v>
      </c>
      <c r="W500" s="115"/>
      <c r="X500" s="191" t="str">
        <f ca="1">IF(AND((Main_Issuance[[#This Row],[Expiry Date]]+31)&gt;TODAY(),Main_Issuance[[#This Row],[Status]]&lt;&gt;"Cancelled"),"Active","Cancelled")</f>
        <v>Cancelled</v>
      </c>
      <c r="Y500" s="409"/>
      <c r="Z500" s="408"/>
      <c r="AA500" s="408" t="s">
        <v>378</v>
      </c>
      <c r="AB500" s="83" cm="1">
        <f t="array" ref="AB500">Iss_Tariff(Main_Issuance[[#This Row],[Bank]],Main_Issuance[[#This Row],[LC Amt(SAR)]],Main_Issuance[[#This Row],[Issue Date.]],Main_Issuance[[#This Row],[Expiry Date]],Main_Issuance[[#This Row],[Calculate]])</f>
        <v>0</v>
      </c>
      <c r="AC500" s="83"/>
    </row>
    <row r="501" spans="1:29" ht="15.75" hidden="1" x14ac:dyDescent="0.25">
      <c r="A501" s="57" t="s">
        <v>185</v>
      </c>
      <c r="B501" s="56">
        <v>45209</v>
      </c>
      <c r="C501" s="56" t="s">
        <v>1181</v>
      </c>
      <c r="D501" s="69" t="s">
        <v>20</v>
      </c>
      <c r="E501" s="69" t="s">
        <v>21</v>
      </c>
      <c r="F501" s="19" t="s">
        <v>22</v>
      </c>
      <c r="G501" s="69" t="s">
        <v>186</v>
      </c>
      <c r="H501" s="59" t="s">
        <v>80</v>
      </c>
      <c r="I501" s="65" t="s">
        <v>81</v>
      </c>
      <c r="J501" s="59">
        <v>1020070</v>
      </c>
      <c r="K501" s="69" t="s">
        <v>26</v>
      </c>
      <c r="L501" s="60">
        <v>2000000</v>
      </c>
      <c r="M501" s="60">
        <v>1</v>
      </c>
      <c r="N501" s="60">
        <f>Main_Issuance[[#This Row],[LC Amt(FCY)]]*Main_Issuance[[#This Row],[Rate]]</f>
        <v>2000000</v>
      </c>
      <c r="O501" s="56">
        <v>45272</v>
      </c>
      <c r="P501" s="56">
        <v>45272</v>
      </c>
      <c r="Q501" s="58" t="s">
        <v>70</v>
      </c>
      <c r="R501" s="78"/>
      <c r="S501" s="71"/>
      <c r="T501" s="71"/>
      <c r="U501" s="71"/>
      <c r="V501" s="68">
        <v>0</v>
      </c>
      <c r="W501" s="115"/>
      <c r="X501" s="191" t="str">
        <f ca="1">IF(AND((Main_Issuance[[#This Row],[Expiry Date]]+31)&gt;TODAY(),Main_Issuance[[#This Row],[Status]]&lt;&gt;"Cancelled"),"Active","Cancelled")</f>
        <v>Cancelled</v>
      </c>
      <c r="Y501" s="409"/>
      <c r="Z501" s="408"/>
      <c r="AA501" s="408" t="s">
        <v>378</v>
      </c>
      <c r="AB501" s="83" cm="1">
        <f t="array" ref="AB501">Iss_Tariff(Main_Issuance[[#This Row],[Bank]],Main_Issuance[[#This Row],[LC Amt(SAR)]],Main_Issuance[[#This Row],[Issue Date.]],Main_Issuance[[#This Row],[Expiry Date]],Main_Issuance[[#This Row],[Calculate]])</f>
        <v>0</v>
      </c>
      <c r="AC501" s="83"/>
    </row>
    <row r="502" spans="1:29" ht="15.75" hidden="1" x14ac:dyDescent="0.25">
      <c r="A502" s="114" t="s">
        <v>1662</v>
      </c>
      <c r="B502" s="76">
        <v>45869</v>
      </c>
      <c r="C502" s="76" t="s">
        <v>1119</v>
      </c>
      <c r="D502" s="115" t="s">
        <v>20</v>
      </c>
      <c r="E502" s="78" t="s">
        <v>366</v>
      </c>
      <c r="F502" s="115" t="s">
        <v>367</v>
      </c>
      <c r="G502" s="78" t="s">
        <v>1630</v>
      </c>
      <c r="H502" s="115" t="s">
        <v>24</v>
      </c>
      <c r="I502" s="78" t="s">
        <v>367</v>
      </c>
      <c r="J502" s="113">
        <v>1020091</v>
      </c>
      <c r="K502" s="78" t="s">
        <v>26</v>
      </c>
      <c r="L502" s="60">
        <v>1400000</v>
      </c>
      <c r="M502" s="60">
        <v>1</v>
      </c>
      <c r="N502" s="60">
        <f>Main_Issuance[[#This Row],[LC Amt(FCY)]]*Main_Issuance[[#This Row],[Rate]]</f>
        <v>1400000</v>
      </c>
      <c r="O502" s="76">
        <v>46203</v>
      </c>
      <c r="P502" s="76">
        <v>46203</v>
      </c>
      <c r="Q502" s="77" t="s">
        <v>27</v>
      </c>
      <c r="R502" s="78" t="s">
        <v>1624</v>
      </c>
      <c r="S502" s="81"/>
      <c r="T502" s="81"/>
      <c r="U502" s="81"/>
      <c r="V502" s="83">
        <v>0</v>
      </c>
      <c r="W502" s="115"/>
      <c r="X502" s="146" t="str">
        <f ca="1">IF(AND((Main_Issuance[[#This Row],[Expiry Date]]+31)&gt;TODAY(),Main_Issuance[[#This Row],[Status]]&lt;&gt;"Cancelled"),"Active","Cancelled")</f>
        <v>Active</v>
      </c>
      <c r="Y502" s="409"/>
      <c r="Z502" s="408"/>
      <c r="AA502" s="408" t="s">
        <v>857</v>
      </c>
      <c r="AB502" s="83" cm="1">
        <f t="array" ref="AB502">Iss_Tariff(Main_Issuance[[#This Row],[Bank]],Main_Issuance[[#This Row],[LC Amt(SAR)]],Main_Issuance[[#This Row],[Issue Date.]],Main_Issuance[[#This Row],[Expiry Date]],Main_Issuance[[#This Row],[Calculate]])</f>
        <v>8136.25</v>
      </c>
      <c r="AC502" s="83"/>
    </row>
    <row r="503" spans="1:29" ht="15.75" hidden="1" x14ac:dyDescent="0.25">
      <c r="A503" s="57" t="s">
        <v>598</v>
      </c>
      <c r="B503" s="56">
        <v>45664</v>
      </c>
      <c r="C503" s="56" t="s">
        <v>441</v>
      </c>
      <c r="D503" s="69" t="s">
        <v>20</v>
      </c>
      <c r="E503" s="69" t="s">
        <v>373</v>
      </c>
      <c r="F503" s="19" t="s">
        <v>63</v>
      </c>
      <c r="G503" s="69" t="s">
        <v>599</v>
      </c>
      <c r="H503" s="59" t="s">
        <v>24</v>
      </c>
      <c r="I503" s="65" t="s">
        <v>22</v>
      </c>
      <c r="J503" s="59">
        <v>1020055</v>
      </c>
      <c r="K503" s="69" t="s">
        <v>26</v>
      </c>
      <c r="L503" s="60">
        <v>451362.57</v>
      </c>
      <c r="M503" s="60">
        <v>1</v>
      </c>
      <c r="N503" s="60">
        <f>Main_Issuance[[#This Row],[LC Amt(FCY)]]*Main_Issuance[[#This Row],[Rate]]</f>
        <v>451362.57</v>
      </c>
      <c r="O503" s="56">
        <v>45747</v>
      </c>
      <c r="P503" s="56">
        <v>45747</v>
      </c>
      <c r="Q503" s="58" t="s">
        <v>27</v>
      </c>
      <c r="R503" s="78" t="s">
        <v>311</v>
      </c>
      <c r="S503" s="71"/>
      <c r="T503" s="71"/>
      <c r="U503" s="71"/>
      <c r="V503" s="68">
        <v>0</v>
      </c>
      <c r="W503" s="115"/>
      <c r="X503" s="191" t="str">
        <f ca="1">IF(AND((Main_Issuance[[#This Row],[Expiry Date]]+31)&gt;TODAY(),Main_Issuance[[#This Row],[Status]]&lt;&gt;"Cancelled"),"Active","Cancelled")</f>
        <v>Cancelled</v>
      </c>
      <c r="Y503" s="409"/>
      <c r="Z503" s="408"/>
      <c r="AA503" s="408" t="s">
        <v>378</v>
      </c>
      <c r="AB503" s="83" cm="1">
        <f t="array" ref="AB503">Iss_Tariff(Main_Issuance[[#This Row],[Bank]],Main_Issuance[[#This Row],[LC Amt(SAR)]],Main_Issuance[[#This Row],[Issue Date.]],Main_Issuance[[#This Row],[Expiry Date]],Main_Issuance[[#This Row],[Calculate]])</f>
        <v>0</v>
      </c>
      <c r="AC503" s="83"/>
    </row>
    <row r="504" spans="1:29" ht="15.75" hidden="1" x14ac:dyDescent="0.25">
      <c r="A504" s="57" t="s">
        <v>647</v>
      </c>
      <c r="B504" s="56">
        <v>45680</v>
      </c>
      <c r="C504" s="56" t="s">
        <v>441</v>
      </c>
      <c r="D504" s="69" t="s">
        <v>20</v>
      </c>
      <c r="E504" s="69" t="s">
        <v>21</v>
      </c>
      <c r="F504" s="19" t="s">
        <v>22</v>
      </c>
      <c r="G504" s="69" t="s">
        <v>648</v>
      </c>
      <c r="H504" s="59" t="s">
        <v>24</v>
      </c>
      <c r="I504" s="65" t="s">
        <v>22</v>
      </c>
      <c r="J504" s="59">
        <v>1020055</v>
      </c>
      <c r="K504" s="69" t="s">
        <v>26</v>
      </c>
      <c r="L504" s="60">
        <v>400000</v>
      </c>
      <c r="M504" s="60">
        <v>1</v>
      </c>
      <c r="N504" s="60">
        <f>Main_Issuance[[#This Row],[LC Amt(FCY)]]*Main_Issuance[[#This Row],[Rate]]</f>
        <v>400000</v>
      </c>
      <c r="O504" s="56">
        <v>45777</v>
      </c>
      <c r="P504" s="56">
        <v>45777</v>
      </c>
      <c r="Q504" s="58" t="s">
        <v>27</v>
      </c>
      <c r="R504" s="78" t="s">
        <v>311</v>
      </c>
      <c r="S504" s="71"/>
      <c r="T504" s="71"/>
      <c r="U504" s="71"/>
      <c r="V504" s="68">
        <v>0</v>
      </c>
      <c r="W504" s="115"/>
      <c r="X504" s="191" t="str">
        <f ca="1">IF(AND((Main_Issuance[[#This Row],[Expiry Date]]+31)&gt;TODAY(),Main_Issuance[[#This Row],[Status]]&lt;&gt;"Cancelled"),"Active","Cancelled")</f>
        <v>Cancelled</v>
      </c>
      <c r="Y504" s="409"/>
      <c r="Z504" s="408"/>
      <c r="AA504" s="408" t="s">
        <v>378</v>
      </c>
      <c r="AB504" s="83" cm="1">
        <f t="array" ref="AB504">Iss_Tariff(Main_Issuance[[#This Row],[Bank]],Main_Issuance[[#This Row],[LC Amt(SAR)]],Main_Issuance[[#This Row],[Issue Date.]],Main_Issuance[[#This Row],[Expiry Date]],Main_Issuance[[#This Row],[Calculate]])</f>
        <v>0</v>
      </c>
      <c r="AC504" s="83"/>
    </row>
    <row r="505" spans="1:29" ht="15.75" hidden="1" x14ac:dyDescent="0.25">
      <c r="A505" s="114" t="s">
        <v>1749</v>
      </c>
      <c r="B505" s="76">
        <v>45883</v>
      </c>
      <c r="C505" s="76" t="s">
        <v>1727</v>
      </c>
      <c r="D505" s="78" t="s">
        <v>20</v>
      </c>
      <c r="E505" s="78" t="s">
        <v>62</v>
      </c>
      <c r="F505" s="115" t="s">
        <v>70</v>
      </c>
      <c r="G505" s="78" t="s">
        <v>1716</v>
      </c>
      <c r="H505" s="113" t="s">
        <v>869</v>
      </c>
      <c r="I505" s="78" t="s">
        <v>1762</v>
      </c>
      <c r="J505" s="115"/>
      <c r="K505" s="78" t="s">
        <v>26</v>
      </c>
      <c r="L505" s="60">
        <v>349170.7</v>
      </c>
      <c r="M505" s="60">
        <v>1</v>
      </c>
      <c r="N505" s="60">
        <f>Main_Issuance[[#This Row],[LC Amt(FCY)]]*Main_Issuance[[#This Row],[Rate]]</f>
        <v>349170.7</v>
      </c>
      <c r="O505" s="76">
        <v>45930</v>
      </c>
      <c r="P505" s="76">
        <v>45915</v>
      </c>
      <c r="Q505" s="77" t="s">
        <v>70</v>
      </c>
      <c r="R505" s="78" t="s">
        <v>208</v>
      </c>
      <c r="S505" s="81"/>
      <c r="T505" s="81"/>
      <c r="U505" s="81"/>
      <c r="V505" s="83"/>
      <c r="W505" s="115"/>
      <c r="X505" s="146" t="str">
        <f ca="1">IF(AND((Main_Issuance[[#This Row],[Expiry Date]]+31)&gt;TODAY(),Main_Issuance[[#This Row],[Status]]&lt;&gt;"Cancelled"),"Active","Cancelled")</f>
        <v>Cancelled</v>
      </c>
      <c r="Y505" s="410"/>
      <c r="Z505" s="408"/>
      <c r="AA505" s="408" t="s">
        <v>378</v>
      </c>
      <c r="AB505" s="83" cm="1">
        <f t="array" ref="AB505">Iss_Tariff(Main_Issuance[[#This Row],[Bank]],Main_Issuance[[#This Row],[LC Amt(SAR)]],Main_Issuance[[#This Row],[Issue Date.]],Main_Issuance[[#This Row],[Expiry Date]],Main_Issuance[[#This Row],[Calculate]])</f>
        <v>0</v>
      </c>
      <c r="AC505" s="83"/>
    </row>
    <row r="506" spans="1:29" ht="15.75" hidden="1" x14ac:dyDescent="0.25">
      <c r="A506" s="57" t="s">
        <v>416</v>
      </c>
      <c r="B506" s="56">
        <v>45572</v>
      </c>
      <c r="C506" s="56"/>
      <c r="D506" s="69" t="s">
        <v>20</v>
      </c>
      <c r="E506" s="69" t="s">
        <v>95</v>
      </c>
      <c r="F506" s="19" t="s">
        <v>96</v>
      </c>
      <c r="G506" s="69" t="s">
        <v>417</v>
      </c>
      <c r="H506" s="59" t="s">
        <v>24</v>
      </c>
      <c r="I506" s="65" t="s">
        <v>413</v>
      </c>
      <c r="J506" s="59"/>
      <c r="K506" s="69" t="s">
        <v>26</v>
      </c>
      <c r="L506" s="60">
        <v>5000000</v>
      </c>
      <c r="M506" s="60">
        <v>1</v>
      </c>
      <c r="N506" s="60">
        <f>Main_Issuance[[#This Row],[LC Amt(FCY)]]*Main_Issuance[[#This Row],[Rate]]</f>
        <v>5000000</v>
      </c>
      <c r="O506" s="56">
        <v>45626</v>
      </c>
      <c r="P506" s="56">
        <v>45600</v>
      </c>
      <c r="Q506" s="58" t="s">
        <v>27</v>
      </c>
      <c r="R506" s="78" t="s">
        <v>311</v>
      </c>
      <c r="S506" s="71"/>
      <c r="T506" s="71"/>
      <c r="U506" s="71"/>
      <c r="V506" s="68">
        <v>0</v>
      </c>
      <c r="W506" s="115"/>
      <c r="X506" s="191" t="str">
        <f ca="1">IF(AND((Main_Issuance[[#This Row],[Expiry Date]]+31)&gt;TODAY(),Main_Issuance[[#This Row],[Status]]&lt;&gt;"Cancelled"),"Active","Cancelled")</f>
        <v>Cancelled</v>
      </c>
      <c r="Y506" s="409"/>
      <c r="Z506" s="408"/>
      <c r="AA506" s="408" t="s">
        <v>378</v>
      </c>
      <c r="AB506" s="83" cm="1">
        <f t="array" ref="AB506">Iss_Tariff(Main_Issuance[[#This Row],[Bank]],Main_Issuance[[#This Row],[LC Amt(SAR)]],Main_Issuance[[#This Row],[Issue Date.]],Main_Issuance[[#This Row],[Expiry Date]],Main_Issuance[[#This Row],[Calculate]])</f>
        <v>0</v>
      </c>
      <c r="AC506" s="83"/>
    </row>
    <row r="507" spans="1:29" ht="15.75" hidden="1" x14ac:dyDescent="0.25">
      <c r="A507" s="114" t="s">
        <v>1834</v>
      </c>
      <c r="B507" s="76">
        <v>45904</v>
      </c>
      <c r="C507" s="76" t="s">
        <v>1537</v>
      </c>
      <c r="D507" s="78" t="s">
        <v>20</v>
      </c>
      <c r="E507" s="78" t="s">
        <v>62</v>
      </c>
      <c r="F507" s="115" t="s">
        <v>483</v>
      </c>
      <c r="G507" s="78" t="s">
        <v>1647</v>
      </c>
      <c r="H507" s="113" t="s">
        <v>72</v>
      </c>
      <c r="I507" s="78" t="s">
        <v>483</v>
      </c>
      <c r="J507" s="113">
        <v>1020096</v>
      </c>
      <c r="K507" s="78" t="s">
        <v>78</v>
      </c>
      <c r="L507" s="119">
        <f>6339154+1000000</f>
        <v>7339154</v>
      </c>
      <c r="M507" s="119">
        <v>3.762</v>
      </c>
      <c r="N507" s="119">
        <f>Main_Issuance[[#This Row],[LC Amt(FCY)]]*Main_Issuance[[#This Row],[Rate]]</f>
        <v>27609897.348000001</v>
      </c>
      <c r="O507" s="76">
        <v>46142</v>
      </c>
      <c r="P507" s="76">
        <v>46122</v>
      </c>
      <c r="Q507" s="77" t="s">
        <v>27</v>
      </c>
      <c r="R507" s="78" t="s">
        <v>1937</v>
      </c>
      <c r="S507" s="76"/>
      <c r="T507" s="419"/>
      <c r="U507" s="78"/>
      <c r="V507" s="83">
        <v>0</v>
      </c>
      <c r="W507" s="115"/>
      <c r="X507" s="146" t="str">
        <f ca="1">IF(AND((Main_Issuance[[#This Row],[Expiry Date]]+31)&gt;TODAY(),Main_Issuance[[#This Row],[Status]]&lt;&gt;"Cancelled"),"Active","Cancelled")</f>
        <v>Cancelled</v>
      </c>
      <c r="Y507" s="409"/>
      <c r="Z507" s="408"/>
      <c r="AA507" s="408" t="s">
        <v>857</v>
      </c>
      <c r="AB507" s="83" cm="1">
        <f t="array" ref="AB507">Iss_Tariff(Main_Issuance[[#This Row],[Bank]],Main_Issuance[[#This Row],[LC Amt(SAR)]],Main_Issuance[[#This Row],[Issue Date.]],Main_Issuance[[#This Row],[Expiry Date]],Main_Issuance[[#This Row],[Calculate]])</f>
        <v>349927.75</v>
      </c>
      <c r="AC507" s="83"/>
    </row>
    <row r="508" spans="1:29" ht="15.75" hidden="1" x14ac:dyDescent="0.25">
      <c r="A508" s="114" t="s">
        <v>1858</v>
      </c>
      <c r="B508" s="76">
        <v>45911</v>
      </c>
      <c r="C508" s="76" t="s">
        <v>1537</v>
      </c>
      <c r="D508" s="78" t="s">
        <v>20</v>
      </c>
      <c r="E508" s="78" t="s">
        <v>62</v>
      </c>
      <c r="F508" s="115" t="s">
        <v>483</v>
      </c>
      <c r="G508" s="78" t="s">
        <v>1788</v>
      </c>
      <c r="H508" s="113" t="s">
        <v>24</v>
      </c>
      <c r="I508" s="78" t="s">
        <v>483</v>
      </c>
      <c r="J508" s="113">
        <v>1020096</v>
      </c>
      <c r="K508" s="78" t="s">
        <v>26</v>
      </c>
      <c r="L508" s="119">
        <v>2000000</v>
      </c>
      <c r="M508" s="119">
        <v>1</v>
      </c>
      <c r="N508" s="119">
        <f>Main_Issuance[[#This Row],[LC Amt(FCY)]]*Main_Issuance[[#This Row],[Rate]]</f>
        <v>2000000</v>
      </c>
      <c r="O508" s="76">
        <v>45991</v>
      </c>
      <c r="P508" s="76">
        <v>45991</v>
      </c>
      <c r="Q508" s="77" t="s">
        <v>27</v>
      </c>
      <c r="R508" s="78" t="s">
        <v>621</v>
      </c>
      <c r="S508" s="81"/>
      <c r="T508" s="81"/>
      <c r="U508" s="81"/>
      <c r="V508" s="83">
        <v>0</v>
      </c>
      <c r="W508" s="115"/>
      <c r="X508" s="146" t="str">
        <f ca="1">IF(AND((Main_Issuance[[#This Row],[Expiry Date]]+31)&gt;TODAY(),Main_Issuance[[#This Row],[Status]]&lt;&gt;"Cancelled"),"Active","Cancelled")</f>
        <v>Cancelled</v>
      </c>
      <c r="Y508" s="409"/>
      <c r="Z508" s="408"/>
      <c r="AA508" s="408" t="s">
        <v>378</v>
      </c>
      <c r="AB508" s="83" cm="1">
        <f t="array" ref="AB508">Iss_Tariff(Main_Issuance[[#This Row],[Bank]],Main_Issuance[[#This Row],[LC Amt(SAR)]],Main_Issuance[[#This Row],[Issue Date.]],Main_Issuance[[#This Row],[Expiry Date]],Main_Issuance[[#This Row],[Calculate]])</f>
        <v>0</v>
      </c>
      <c r="AC508" s="83"/>
    </row>
    <row r="509" spans="1:29" ht="15.75" hidden="1" x14ac:dyDescent="0.25">
      <c r="A509" s="57" t="s">
        <v>275</v>
      </c>
      <c r="B509" s="56">
        <v>45488</v>
      </c>
      <c r="C509" s="56" t="s">
        <v>441</v>
      </c>
      <c r="D509" s="69" t="s">
        <v>20</v>
      </c>
      <c r="E509" s="69" t="s">
        <v>21</v>
      </c>
      <c r="F509" s="19" t="s">
        <v>22</v>
      </c>
      <c r="G509" s="69" t="s">
        <v>276</v>
      </c>
      <c r="H509" s="59" t="s">
        <v>24</v>
      </c>
      <c r="I509" s="65" t="s">
        <v>22</v>
      </c>
      <c r="J509" s="59">
        <v>1020055</v>
      </c>
      <c r="K509" s="69" t="s">
        <v>26</v>
      </c>
      <c r="L509" s="60">
        <v>9787326</v>
      </c>
      <c r="M509" s="60">
        <v>1</v>
      </c>
      <c r="N509" s="60">
        <f>Main_Issuance[[#This Row],[LC Amt(FCY)]]*Main_Issuance[[#This Row],[Rate]]</f>
        <v>9787326</v>
      </c>
      <c r="O509" s="56">
        <v>45595</v>
      </c>
      <c r="P509" s="56">
        <v>45595</v>
      </c>
      <c r="Q509" s="58" t="s">
        <v>27</v>
      </c>
      <c r="R509" s="78"/>
      <c r="S509" s="71"/>
      <c r="T509" s="71"/>
      <c r="U509" s="71"/>
      <c r="V509" s="68">
        <v>0</v>
      </c>
      <c r="W509" s="115"/>
      <c r="X509" s="191" t="str">
        <f ca="1">IF(AND((Main_Issuance[[#This Row],[Expiry Date]]+31)&gt;TODAY(),Main_Issuance[[#This Row],[Status]]&lt;&gt;"Cancelled"),"Active","Cancelled")</f>
        <v>Cancelled</v>
      </c>
      <c r="Y509" s="409"/>
      <c r="Z509" s="408"/>
      <c r="AA509" s="408" t="s">
        <v>378</v>
      </c>
      <c r="AB509" s="83" cm="1">
        <f t="array" ref="AB509">Iss_Tariff(Main_Issuance[[#This Row],[Bank]],Main_Issuance[[#This Row],[LC Amt(SAR)]],Main_Issuance[[#This Row],[Issue Date.]],Main_Issuance[[#This Row],[Expiry Date]],Main_Issuance[[#This Row],[Calculate]])</f>
        <v>0</v>
      </c>
      <c r="AC509" s="83"/>
    </row>
    <row r="510" spans="1:29" ht="15.75" hidden="1" x14ac:dyDescent="0.25">
      <c r="A510" s="57" t="s">
        <v>339</v>
      </c>
      <c r="B510" s="56">
        <v>45519</v>
      </c>
      <c r="C510" s="56" t="s">
        <v>441</v>
      </c>
      <c r="D510" s="69" t="s">
        <v>20</v>
      </c>
      <c r="E510" s="69" t="s">
        <v>95</v>
      </c>
      <c r="F510" s="19" t="s">
        <v>96</v>
      </c>
      <c r="G510" s="69" t="s">
        <v>276</v>
      </c>
      <c r="H510" s="59" t="s">
        <v>24</v>
      </c>
      <c r="I510" s="65" t="s">
        <v>22</v>
      </c>
      <c r="J510" s="59">
        <v>1020055</v>
      </c>
      <c r="K510" s="69" t="s">
        <v>26</v>
      </c>
      <c r="L510" s="60">
        <v>1749851.86</v>
      </c>
      <c r="M510" s="60">
        <v>1</v>
      </c>
      <c r="N510" s="60">
        <f>Main_Issuance[[#This Row],[LC Amt(FCY)]]*Main_Issuance[[#This Row],[Rate]]</f>
        <v>1749851.86</v>
      </c>
      <c r="O510" s="56">
        <v>45626</v>
      </c>
      <c r="P510" s="56">
        <v>45626</v>
      </c>
      <c r="Q510" s="58" t="s">
        <v>27</v>
      </c>
      <c r="R510" s="78" t="s">
        <v>311</v>
      </c>
      <c r="S510" s="71"/>
      <c r="T510" s="71"/>
      <c r="U510" s="71"/>
      <c r="V510" s="68">
        <v>0</v>
      </c>
      <c r="W510" s="115"/>
      <c r="X510" s="191" t="str">
        <f ca="1">IF(AND((Main_Issuance[[#This Row],[Expiry Date]]+31)&gt;TODAY(),Main_Issuance[[#This Row],[Status]]&lt;&gt;"Cancelled"),"Active","Cancelled")</f>
        <v>Cancelled</v>
      </c>
      <c r="Y510" s="409"/>
      <c r="Z510" s="408"/>
      <c r="AA510" s="408" t="s">
        <v>378</v>
      </c>
      <c r="AB510" s="83" cm="1">
        <f t="array" ref="AB510">Iss_Tariff(Main_Issuance[[#This Row],[Bank]],Main_Issuance[[#This Row],[LC Amt(SAR)]],Main_Issuance[[#This Row],[Issue Date.]],Main_Issuance[[#This Row],[Expiry Date]],Main_Issuance[[#This Row],[Calculate]])</f>
        <v>0</v>
      </c>
      <c r="AC510" s="83"/>
    </row>
    <row r="511" spans="1:29" ht="15.75" hidden="1" x14ac:dyDescent="0.25">
      <c r="A511" s="57" t="s">
        <v>522</v>
      </c>
      <c r="B511" s="56">
        <v>45624</v>
      </c>
      <c r="C511" s="56" t="s">
        <v>441</v>
      </c>
      <c r="D511" s="69" t="s">
        <v>20</v>
      </c>
      <c r="E511" s="69" t="s">
        <v>21</v>
      </c>
      <c r="F511" s="19" t="s">
        <v>22</v>
      </c>
      <c r="G511" s="69" t="s">
        <v>523</v>
      </c>
      <c r="H511" s="59" t="s">
        <v>24</v>
      </c>
      <c r="I511" s="65" t="s">
        <v>22</v>
      </c>
      <c r="J511" s="59">
        <v>1020055</v>
      </c>
      <c r="K511" s="69" t="s">
        <v>26</v>
      </c>
      <c r="L511" s="60">
        <v>2500000</v>
      </c>
      <c r="M511" s="60">
        <v>1</v>
      </c>
      <c r="N511" s="60">
        <f>Main_Issuance[[#This Row],[LC Amt(FCY)]]*Main_Issuance[[#This Row],[Rate]]</f>
        <v>2500000</v>
      </c>
      <c r="O511" s="56">
        <v>45716</v>
      </c>
      <c r="P511" s="56">
        <v>45716</v>
      </c>
      <c r="Q511" s="58" t="s">
        <v>27</v>
      </c>
      <c r="R511" s="78" t="s">
        <v>311</v>
      </c>
      <c r="S511" s="71"/>
      <c r="T511" s="71"/>
      <c r="U511" s="71"/>
      <c r="V511" s="68">
        <v>0</v>
      </c>
      <c r="W511" s="115"/>
      <c r="X511" s="191" t="str">
        <f ca="1">IF(AND((Main_Issuance[[#This Row],[Expiry Date]]+31)&gt;TODAY(),Main_Issuance[[#This Row],[Status]]&lt;&gt;"Cancelled"),"Active","Cancelled")</f>
        <v>Cancelled</v>
      </c>
      <c r="Y511" s="409"/>
      <c r="Z511" s="408"/>
      <c r="AA511" s="408" t="s">
        <v>378</v>
      </c>
      <c r="AB511" s="83" cm="1">
        <f t="array" ref="AB511">Iss_Tariff(Main_Issuance[[#This Row],[Bank]],Main_Issuance[[#This Row],[LC Amt(SAR)]],Main_Issuance[[#This Row],[Issue Date.]],Main_Issuance[[#This Row],[Expiry Date]],Main_Issuance[[#This Row],[Calculate]])</f>
        <v>0</v>
      </c>
      <c r="AC511" s="83"/>
    </row>
    <row r="512" spans="1:29" ht="15.75" hidden="1" x14ac:dyDescent="0.25">
      <c r="A512" s="57" t="s">
        <v>583</v>
      </c>
      <c r="B512" s="56">
        <v>45663</v>
      </c>
      <c r="C512" s="56" t="s">
        <v>441</v>
      </c>
      <c r="D512" s="69" t="s">
        <v>20</v>
      </c>
      <c r="E512" s="69" t="s">
        <v>373</v>
      </c>
      <c r="F512" s="19" t="s">
        <v>63</v>
      </c>
      <c r="G512" s="69" t="s">
        <v>523</v>
      </c>
      <c r="H512" s="59" t="s">
        <v>24</v>
      </c>
      <c r="I512" s="65" t="s">
        <v>22</v>
      </c>
      <c r="J512" s="59">
        <v>1020055</v>
      </c>
      <c r="K512" s="69" t="s">
        <v>26</v>
      </c>
      <c r="L512" s="60">
        <v>6700000</v>
      </c>
      <c r="M512" s="60">
        <v>1</v>
      </c>
      <c r="N512" s="60">
        <f>Main_Issuance[[#This Row],[LC Amt(FCY)]]*Main_Issuance[[#This Row],[Rate]]</f>
        <v>6700000</v>
      </c>
      <c r="O512" s="56">
        <v>45747</v>
      </c>
      <c r="P512" s="56">
        <v>45747</v>
      </c>
      <c r="Q512" s="58" t="s">
        <v>27</v>
      </c>
      <c r="R512" s="78" t="s">
        <v>311</v>
      </c>
      <c r="S512" s="71"/>
      <c r="T512" s="71"/>
      <c r="U512" s="71"/>
      <c r="V512" s="68">
        <v>0</v>
      </c>
      <c r="W512" s="115"/>
      <c r="X512" s="191" t="str">
        <f ca="1">IF(AND((Main_Issuance[[#This Row],[Expiry Date]]+31)&gt;TODAY(),Main_Issuance[[#This Row],[Status]]&lt;&gt;"Cancelled"),"Active","Cancelled")</f>
        <v>Cancelled</v>
      </c>
      <c r="Y512" s="409"/>
      <c r="Z512" s="408"/>
      <c r="AA512" s="408" t="s">
        <v>378</v>
      </c>
      <c r="AB512" s="83" cm="1">
        <f t="array" ref="AB512">Iss_Tariff(Main_Issuance[[#This Row],[Bank]],Main_Issuance[[#This Row],[LC Amt(SAR)]],Main_Issuance[[#This Row],[Issue Date.]],Main_Issuance[[#This Row],[Expiry Date]],Main_Issuance[[#This Row],[Calculate]])</f>
        <v>0</v>
      </c>
      <c r="AC512" s="83"/>
    </row>
    <row r="513" spans="1:29" ht="15.75" hidden="1" x14ac:dyDescent="0.25">
      <c r="A513" s="57" t="s">
        <v>628</v>
      </c>
      <c r="B513" s="56">
        <v>45680</v>
      </c>
      <c r="C513" s="56" t="s">
        <v>441</v>
      </c>
      <c r="D513" s="69" t="s">
        <v>20</v>
      </c>
      <c r="E513" s="69" t="s">
        <v>21</v>
      </c>
      <c r="F513" s="19" t="s">
        <v>22</v>
      </c>
      <c r="G513" s="69" t="s">
        <v>523</v>
      </c>
      <c r="H513" s="59" t="s">
        <v>24</v>
      </c>
      <c r="I513" s="65" t="s">
        <v>22</v>
      </c>
      <c r="J513" s="59">
        <v>1020055</v>
      </c>
      <c r="K513" s="69" t="s">
        <v>26</v>
      </c>
      <c r="L513" s="60">
        <v>2000000</v>
      </c>
      <c r="M513" s="60">
        <v>1</v>
      </c>
      <c r="N513" s="60">
        <f>Main_Issuance[[#This Row],[LC Amt(FCY)]]*Main_Issuance[[#This Row],[Rate]]</f>
        <v>2000000</v>
      </c>
      <c r="O513" s="56">
        <v>45777</v>
      </c>
      <c r="P513" s="56">
        <v>45777</v>
      </c>
      <c r="Q513" s="58" t="s">
        <v>27</v>
      </c>
      <c r="R513" s="78" t="s">
        <v>311</v>
      </c>
      <c r="S513" s="71"/>
      <c r="T513" s="71"/>
      <c r="U513" s="71"/>
      <c r="V513" s="68">
        <v>0</v>
      </c>
      <c r="W513" s="115"/>
      <c r="X513" s="191" t="str">
        <f ca="1">IF(AND((Main_Issuance[[#This Row],[Expiry Date]]+31)&gt;TODAY(),Main_Issuance[[#This Row],[Status]]&lt;&gt;"Cancelled"),"Active","Cancelled")</f>
        <v>Cancelled</v>
      </c>
      <c r="Y513" s="409"/>
      <c r="Z513" s="408"/>
      <c r="AA513" s="408" t="s">
        <v>378</v>
      </c>
      <c r="AB513" s="83" cm="1">
        <f t="array" ref="AB513">Iss_Tariff(Main_Issuance[[#This Row],[Bank]],Main_Issuance[[#This Row],[LC Amt(SAR)]],Main_Issuance[[#This Row],[Issue Date.]],Main_Issuance[[#This Row],[Expiry Date]],Main_Issuance[[#This Row],[Calculate]])</f>
        <v>0</v>
      </c>
      <c r="AC513" s="83"/>
    </row>
    <row r="514" spans="1:29" ht="15.75" hidden="1" x14ac:dyDescent="0.25">
      <c r="A514" s="114" t="s">
        <v>3719</v>
      </c>
      <c r="B514" s="76">
        <v>46040</v>
      </c>
      <c r="C514" s="76" t="s">
        <v>1259</v>
      </c>
      <c r="D514" s="78" t="s">
        <v>20</v>
      </c>
      <c r="E514" s="78" t="s">
        <v>95</v>
      </c>
      <c r="F514" s="115" t="s">
        <v>96</v>
      </c>
      <c r="G514" s="78" t="s">
        <v>523</v>
      </c>
      <c r="H514" s="113" t="s">
        <v>1791</v>
      </c>
      <c r="I514" s="78" t="s">
        <v>328</v>
      </c>
      <c r="J514" s="115">
        <v>1020097</v>
      </c>
      <c r="K514" s="78" t="s">
        <v>26</v>
      </c>
      <c r="L514" s="119">
        <v>800000</v>
      </c>
      <c r="M514" s="82">
        <v>1</v>
      </c>
      <c r="N514" s="82">
        <f>Main_Issuance[[#This Row],[LC Amt(FCY)]]*Main_Issuance[[#This Row],[Rate]]</f>
        <v>800000</v>
      </c>
      <c r="O514" s="76">
        <v>46078</v>
      </c>
      <c r="P514" s="76">
        <v>46052</v>
      </c>
      <c r="Q514" s="77" t="s">
        <v>27</v>
      </c>
      <c r="R514" s="78" t="s">
        <v>35</v>
      </c>
      <c r="S514" s="81"/>
      <c r="T514" s="81"/>
      <c r="U514" s="81"/>
      <c r="V514" s="83">
        <v>0</v>
      </c>
      <c r="W514" s="115"/>
      <c r="X514" s="146" t="str">
        <f ca="1">IF(AND((Main_Issuance[[#This Row],[Expiry Date]]+31)&gt;TODAY(),Main_Issuance[[#This Row],[Status]]&lt;&gt;"Cancelled"),"Active","Cancelled")</f>
        <v>Cancelled</v>
      </c>
      <c r="Y514" s="409"/>
      <c r="Z514" s="408"/>
      <c r="AA514" s="408" t="s">
        <v>857</v>
      </c>
      <c r="AB514" s="83" cm="1">
        <f t="array" ref="AB514">Iss_Tariff(Main_Issuance[[#This Row],[Bank]],Main_Issuance[[#This Row],[LC Amt(SAR)]],Main_Issuance[[#This Row],[Issue Date.]],Main_Issuance[[#This Row],[Expiry Date]],Main_Issuance[[#This Row],[Calculate]])</f>
        <v>1035</v>
      </c>
      <c r="AC514" s="83"/>
    </row>
    <row r="515" spans="1:29" ht="15.75" hidden="1" x14ac:dyDescent="0.25">
      <c r="A515" s="114" t="s">
        <v>1734</v>
      </c>
      <c r="B515" s="76">
        <v>45882</v>
      </c>
      <c r="C515" s="76" t="s">
        <v>1119</v>
      </c>
      <c r="D515" s="78" t="s">
        <v>20</v>
      </c>
      <c r="E515" s="78" t="s">
        <v>366</v>
      </c>
      <c r="F515" s="115" t="s">
        <v>367</v>
      </c>
      <c r="G515" s="78" t="s">
        <v>1696</v>
      </c>
      <c r="H515" s="115" t="s">
        <v>24</v>
      </c>
      <c r="I515" s="78" t="s">
        <v>367</v>
      </c>
      <c r="J515" s="113">
        <v>1020091</v>
      </c>
      <c r="K515" s="78" t="s">
        <v>26</v>
      </c>
      <c r="L515" s="60">
        <v>5000000</v>
      </c>
      <c r="M515" s="60">
        <v>1</v>
      </c>
      <c r="N515" s="60">
        <f>Main_Issuance[[#This Row],[LC Amt(FCY)]]*Main_Issuance[[#This Row],[Rate]]</f>
        <v>5000000</v>
      </c>
      <c r="O515" s="76">
        <v>45991</v>
      </c>
      <c r="P515" s="76">
        <v>45991</v>
      </c>
      <c r="Q515" s="77" t="s">
        <v>27</v>
      </c>
      <c r="R515" s="78" t="s">
        <v>1624</v>
      </c>
      <c r="S515" s="81"/>
      <c r="T515" s="81"/>
      <c r="U515" s="81"/>
      <c r="V515" s="83">
        <v>0</v>
      </c>
      <c r="W515" s="115"/>
      <c r="X515" s="146" t="str">
        <f ca="1">IF(AND((Main_Issuance[[#This Row],[Expiry Date]]+31)&gt;TODAY(),Main_Issuance[[#This Row],[Status]]&lt;&gt;"Cancelled"),"Active","Cancelled")</f>
        <v>Cancelled</v>
      </c>
      <c r="Y515" s="409"/>
      <c r="Z515" s="408"/>
      <c r="AA515" s="408" t="s">
        <v>378</v>
      </c>
      <c r="AB515" s="83" cm="1">
        <f t="array" ref="AB515">Iss_Tariff(Main_Issuance[[#This Row],[Bank]],Main_Issuance[[#This Row],[LC Amt(SAR)]],Main_Issuance[[#This Row],[Issue Date.]],Main_Issuance[[#This Row],[Expiry Date]],Main_Issuance[[#This Row],[Calculate]])</f>
        <v>0</v>
      </c>
      <c r="AC515" s="83"/>
    </row>
    <row r="516" spans="1:29" ht="15.75" hidden="1" x14ac:dyDescent="0.25">
      <c r="A516" s="114" t="s">
        <v>1597</v>
      </c>
      <c r="B516" s="76">
        <v>45862</v>
      </c>
      <c r="C516" s="76" t="s">
        <v>441</v>
      </c>
      <c r="D516" s="78" t="s">
        <v>20</v>
      </c>
      <c r="E516" s="78" t="s">
        <v>366</v>
      </c>
      <c r="F516" s="115" t="s">
        <v>710</v>
      </c>
      <c r="G516" s="78" t="s">
        <v>1581</v>
      </c>
      <c r="H516" s="115" t="s">
        <v>24</v>
      </c>
      <c r="I516" s="78" t="s">
        <v>710</v>
      </c>
      <c r="J516" s="113">
        <v>1020088</v>
      </c>
      <c r="K516" s="78" t="s">
        <v>26</v>
      </c>
      <c r="L516" s="60">
        <v>300000</v>
      </c>
      <c r="M516" s="60">
        <v>1</v>
      </c>
      <c r="N516" s="60">
        <f>Main_Issuance[[#This Row],[LC Amt(FCY)]]*Main_Issuance[[#This Row],[Rate]]</f>
        <v>300000</v>
      </c>
      <c r="O516" s="76">
        <v>46142</v>
      </c>
      <c r="P516" s="76">
        <v>46142</v>
      </c>
      <c r="Q516" s="77" t="s">
        <v>27</v>
      </c>
      <c r="R516" s="78" t="s">
        <v>621</v>
      </c>
      <c r="S516" s="81"/>
      <c r="T516" s="81"/>
      <c r="U516" s="81"/>
      <c r="V516" s="83">
        <v>0</v>
      </c>
      <c r="W516" s="115"/>
      <c r="X516" s="146" t="str">
        <f ca="1">IF(AND((Main_Issuance[[#This Row],[Expiry Date]]+31)&gt;TODAY(),Main_Issuance[[#This Row],[Status]]&lt;&gt;"Cancelled"),"Active","Cancelled")</f>
        <v>Cancelled</v>
      </c>
      <c r="Y516" s="409"/>
      <c r="Z516" s="408"/>
      <c r="AA516" s="408" t="s">
        <v>857</v>
      </c>
      <c r="AB516" s="83" cm="1">
        <f t="array" ref="AB516">Iss_Tariff(Main_Issuance[[#This Row],[Bank]],Main_Issuance[[#This Row],[LC Amt(SAR)]],Main_Issuance[[#This Row],[Issue Date.]],Main_Issuance[[#This Row],[Expiry Date]],Main_Issuance[[#This Row],[Calculate]])</f>
        <v>1811.25</v>
      </c>
      <c r="AC516" s="83"/>
    </row>
    <row r="517" spans="1:29" ht="15.75" hidden="1" x14ac:dyDescent="0.25">
      <c r="A517" s="114" t="s">
        <v>4566</v>
      </c>
      <c r="B517" s="423">
        <v>46118</v>
      </c>
      <c r="C517" s="423" t="s">
        <v>441</v>
      </c>
      <c r="D517" s="78" t="s">
        <v>20</v>
      </c>
      <c r="E517" s="78" t="s">
        <v>366</v>
      </c>
      <c r="F517" s="115" t="s">
        <v>710</v>
      </c>
      <c r="G517" s="78" t="s">
        <v>4494</v>
      </c>
      <c r="H517" s="113" t="s">
        <v>24</v>
      </c>
      <c r="I517" s="78" t="s">
        <v>710</v>
      </c>
      <c r="J517" s="113">
        <v>1020088</v>
      </c>
      <c r="K517" s="78" t="s">
        <v>26</v>
      </c>
      <c r="L517" s="119">
        <v>1000000</v>
      </c>
      <c r="M517" s="82">
        <v>1</v>
      </c>
      <c r="N517" s="82">
        <f>Main_Issuance[[#This Row],[LC Amt(FCY)]]*Main_Issuance[[#This Row],[Rate]]</f>
        <v>1000000</v>
      </c>
      <c r="O517" s="423">
        <v>46203</v>
      </c>
      <c r="P517" s="423">
        <v>46203</v>
      </c>
      <c r="Q517" s="424" t="s">
        <v>27</v>
      </c>
      <c r="R517" s="78" t="s">
        <v>4493</v>
      </c>
      <c r="S517" s="81"/>
      <c r="T517" s="81"/>
      <c r="U517" s="81"/>
      <c r="V517" s="83">
        <v>0</v>
      </c>
      <c r="W517" s="115"/>
      <c r="X517" s="436" t="str">
        <f ca="1">IF(AND((Main_Issuance[[#This Row],[Expiry Date]]+31)&gt;TODAY(),Main_Issuance[[#This Row],[Status]]&lt;&gt;"Cancelled"),"Active","Cancelled")</f>
        <v>Active</v>
      </c>
      <c r="Y517" s="96"/>
      <c r="Z517" s="424"/>
      <c r="AA517" s="443" t="s">
        <v>857</v>
      </c>
      <c r="AB517" s="83" cm="1">
        <f t="array" ref="AB517">Iss_Tariff(Main_Issuance[[#This Row],[Bank]],Main_Issuance[[#This Row],[LC Amt(SAR)]],Main_Issuance[[#This Row],[Issue Date.]],Main_Issuance[[#This Row],[Expiry Date]],Main_Issuance[[#This Row],[Calculate]])</f>
        <v>5836.25</v>
      </c>
      <c r="AC517" s="83"/>
    </row>
    <row r="518" spans="1:29" ht="15.75" hidden="1" x14ac:dyDescent="0.25">
      <c r="A518" s="57" t="s">
        <v>549</v>
      </c>
      <c r="B518" s="56">
        <v>45634</v>
      </c>
      <c r="C518" s="56" t="s">
        <v>509</v>
      </c>
      <c r="D518" s="69" t="s">
        <v>20</v>
      </c>
      <c r="E518" s="69" t="s">
        <v>95</v>
      </c>
      <c r="F518" s="19" t="s">
        <v>96</v>
      </c>
      <c r="G518" s="69" t="s">
        <v>550</v>
      </c>
      <c r="H518" s="59" t="s">
        <v>24</v>
      </c>
      <c r="I518" s="65" t="s">
        <v>407</v>
      </c>
      <c r="J518" s="59">
        <v>1020100</v>
      </c>
      <c r="K518" s="69" t="s">
        <v>26</v>
      </c>
      <c r="L518" s="60">
        <v>300000</v>
      </c>
      <c r="M518" s="60">
        <v>1</v>
      </c>
      <c r="N518" s="60">
        <f>Main_Issuance[[#This Row],[LC Amt(FCY)]]*Main_Issuance[[#This Row],[Rate]]</f>
        <v>300000</v>
      </c>
      <c r="O518" s="56">
        <v>45716</v>
      </c>
      <c r="P518" s="56">
        <v>45716</v>
      </c>
      <c r="Q518" s="58" t="s">
        <v>27</v>
      </c>
      <c r="R518" s="78" t="s">
        <v>311</v>
      </c>
      <c r="S518" s="71"/>
      <c r="T518" s="71"/>
      <c r="U518" s="71"/>
      <c r="V518" s="68">
        <v>0</v>
      </c>
      <c r="W518" s="115"/>
      <c r="X518" s="191" t="str">
        <f ca="1">IF(AND((Main_Issuance[[#This Row],[Expiry Date]]+31)&gt;TODAY(),Main_Issuance[[#This Row],[Status]]&lt;&gt;"Cancelled"),"Active","Cancelled")</f>
        <v>Cancelled</v>
      </c>
      <c r="Y518" s="409"/>
      <c r="Z518" s="408"/>
      <c r="AA518" s="408" t="s">
        <v>378</v>
      </c>
      <c r="AB518" s="83" cm="1">
        <f t="array" ref="AB518">Iss_Tariff(Main_Issuance[[#This Row],[Bank]],Main_Issuance[[#This Row],[LC Amt(SAR)]],Main_Issuance[[#This Row],[Issue Date.]],Main_Issuance[[#This Row],[Expiry Date]],Main_Issuance[[#This Row],[Calculate]])</f>
        <v>0</v>
      </c>
      <c r="AC518" s="83"/>
    </row>
    <row r="519" spans="1:29" ht="15.75" hidden="1" x14ac:dyDescent="0.25">
      <c r="A519" s="114" t="s">
        <v>1280</v>
      </c>
      <c r="B519" s="76">
        <v>45784</v>
      </c>
      <c r="C519" s="76" t="s">
        <v>441</v>
      </c>
      <c r="D519" s="115" t="s">
        <v>20</v>
      </c>
      <c r="E519" s="78" t="s">
        <v>373</v>
      </c>
      <c r="F519" s="124" t="s">
        <v>70</v>
      </c>
      <c r="G519" s="78" t="s">
        <v>1239</v>
      </c>
      <c r="H519" s="115" t="s">
        <v>24</v>
      </c>
      <c r="I519" s="78" t="s">
        <v>407</v>
      </c>
      <c r="J519" s="113">
        <v>1020100</v>
      </c>
      <c r="K519" s="78" t="s">
        <v>26</v>
      </c>
      <c r="L519" s="60">
        <v>500000</v>
      </c>
      <c r="M519" s="60">
        <v>1</v>
      </c>
      <c r="N519" s="60">
        <f>Main_Issuance[[#This Row],[LC Amt(FCY)]]*Main_Issuance[[#This Row],[Rate]]</f>
        <v>500000</v>
      </c>
      <c r="O519" s="76">
        <v>45930</v>
      </c>
      <c r="P519" s="76">
        <v>45930</v>
      </c>
      <c r="Q519" s="58" t="s">
        <v>70</v>
      </c>
      <c r="R519" s="78" t="s">
        <v>621</v>
      </c>
      <c r="S519" s="81"/>
      <c r="T519" s="81"/>
      <c r="U519" s="81">
        <v>141838.25</v>
      </c>
      <c r="V519" s="83">
        <v>0</v>
      </c>
      <c r="W519" s="115"/>
      <c r="X519" s="146" t="str">
        <f ca="1">IF(AND((Main_Issuance[[#This Row],[Expiry Date]]+31)&gt;TODAY(),Main_Issuance[[#This Row],[Status]]&lt;&gt;"Cancelled"),"Active","Cancelled")</f>
        <v>Cancelled</v>
      </c>
      <c r="Y519" s="409"/>
      <c r="Z519" s="408"/>
      <c r="AA519" s="408" t="s">
        <v>378</v>
      </c>
      <c r="AB519" s="83" cm="1">
        <f t="array" ref="AB519">Iss_Tariff(Main_Issuance[[#This Row],[Bank]],Main_Issuance[[#This Row],[LC Amt(SAR)]],Main_Issuance[[#This Row],[Issue Date.]],Main_Issuance[[#This Row],[Expiry Date]],Main_Issuance[[#This Row],[Calculate]])</f>
        <v>0</v>
      </c>
      <c r="AC519" s="83"/>
    </row>
    <row r="520" spans="1:29" ht="15.75" hidden="1" x14ac:dyDescent="0.25">
      <c r="A520" s="57" t="s">
        <v>458</v>
      </c>
      <c r="B520" s="56">
        <v>45580</v>
      </c>
      <c r="C520" s="56" t="s">
        <v>1181</v>
      </c>
      <c r="D520" s="69" t="s">
        <v>20</v>
      </c>
      <c r="E520" s="69" t="s">
        <v>373</v>
      </c>
      <c r="F520" s="19" t="s">
        <v>63</v>
      </c>
      <c r="G520" s="69" t="s">
        <v>459</v>
      </c>
      <c r="H520" s="59" t="s">
        <v>72</v>
      </c>
      <c r="I520" s="65" t="s">
        <v>81</v>
      </c>
      <c r="J520" s="59">
        <v>1020070</v>
      </c>
      <c r="K520" s="69" t="s">
        <v>26</v>
      </c>
      <c r="L520" s="60">
        <v>71300</v>
      </c>
      <c r="M520" s="60">
        <v>1</v>
      </c>
      <c r="N520" s="60">
        <f>Main_Issuance[[#This Row],[LC Amt(FCY)]]*Main_Issuance[[#This Row],[Rate]]</f>
        <v>71300</v>
      </c>
      <c r="O520" s="56">
        <v>45631</v>
      </c>
      <c r="P520" s="56">
        <v>45611</v>
      </c>
      <c r="Q520" s="58" t="s">
        <v>27</v>
      </c>
      <c r="R520" s="69" t="s">
        <v>208</v>
      </c>
      <c r="S520" s="71"/>
      <c r="T520" s="71"/>
      <c r="U520" s="71"/>
      <c r="V520" s="68">
        <v>0</v>
      </c>
      <c r="W520" s="115"/>
      <c r="X520" s="191" t="str">
        <f ca="1">IF(AND((Main_Issuance[[#This Row],[Expiry Date]]+31)&gt;TODAY(),Main_Issuance[[#This Row],[Status]]&lt;&gt;"Cancelled"),"Active","Cancelled")</f>
        <v>Cancelled</v>
      </c>
      <c r="Y520" s="409"/>
      <c r="Z520" s="408"/>
      <c r="AA520" s="408" t="s">
        <v>378</v>
      </c>
      <c r="AB520" s="83" cm="1">
        <f t="array" ref="AB520">Iss_Tariff(Main_Issuance[[#This Row],[Bank]],Main_Issuance[[#This Row],[LC Amt(SAR)]],Main_Issuance[[#This Row],[Issue Date.]],Main_Issuance[[#This Row],[Expiry Date]],Main_Issuance[[#This Row],[Calculate]])</f>
        <v>0</v>
      </c>
      <c r="AC520" s="83"/>
    </row>
    <row r="521" spans="1:29" ht="15.75" hidden="1" x14ac:dyDescent="0.25">
      <c r="A521" s="114" t="s">
        <v>4552</v>
      </c>
      <c r="B521" s="423">
        <v>46118</v>
      </c>
      <c r="C521" s="423" t="s">
        <v>441</v>
      </c>
      <c r="D521" s="78" t="s">
        <v>20</v>
      </c>
      <c r="E521" s="78" t="s">
        <v>366</v>
      </c>
      <c r="F521" s="115" t="s">
        <v>710</v>
      </c>
      <c r="G521" s="78" t="s">
        <v>4498</v>
      </c>
      <c r="H521" s="113" t="s">
        <v>24</v>
      </c>
      <c r="I521" s="78" t="s">
        <v>710</v>
      </c>
      <c r="J521" s="113">
        <v>1020088</v>
      </c>
      <c r="K521" s="78" t="s">
        <v>26</v>
      </c>
      <c r="L521" s="119">
        <v>300000.73</v>
      </c>
      <c r="M521" s="82">
        <v>1</v>
      </c>
      <c r="N521" s="82">
        <f>Main_Issuance[[#This Row],[LC Amt(FCY)]]*Main_Issuance[[#This Row],[Rate]]</f>
        <v>300000.73</v>
      </c>
      <c r="O521" s="423">
        <v>46203</v>
      </c>
      <c r="P521" s="423">
        <v>46203</v>
      </c>
      <c r="Q521" s="424" t="s">
        <v>27</v>
      </c>
      <c r="R521" s="78" t="s">
        <v>4493</v>
      </c>
      <c r="S521" s="81"/>
      <c r="T521" s="81"/>
      <c r="U521" s="81"/>
      <c r="V521" s="83">
        <v>0</v>
      </c>
      <c r="W521" s="115"/>
      <c r="X521" s="436" t="str">
        <f ca="1">IF(AND((Main_Issuance[[#This Row],[Expiry Date]]+31)&gt;TODAY(),Main_Issuance[[#This Row],[Status]]&lt;&gt;"Cancelled"),"Active","Cancelled")</f>
        <v>Active</v>
      </c>
      <c r="Y521" s="96"/>
      <c r="Z521" s="424"/>
      <c r="AA521" s="443" t="s">
        <v>857</v>
      </c>
      <c r="AB521" s="83" cm="1">
        <f t="array" ref="AB521">Iss_Tariff(Main_Issuance[[#This Row],[Bank]],Main_Issuance[[#This Row],[LC Amt(SAR)]],Main_Issuance[[#This Row],[Issue Date.]],Main_Issuance[[#This Row],[Expiry Date]],Main_Issuance[[#This Row],[Calculate]],,125)</f>
        <v>1955</v>
      </c>
      <c r="AC521" s="83"/>
    </row>
    <row r="522" spans="1:29" ht="15.75" hidden="1" x14ac:dyDescent="0.25">
      <c r="A522" s="114" t="s">
        <v>717</v>
      </c>
      <c r="B522" s="56">
        <v>45715</v>
      </c>
      <c r="C522" s="56" t="s">
        <v>441</v>
      </c>
      <c r="D522" s="78" t="s">
        <v>20</v>
      </c>
      <c r="E522" s="69" t="s">
        <v>612</v>
      </c>
      <c r="F522" s="19" t="s">
        <v>613</v>
      </c>
      <c r="G522" s="69" t="s">
        <v>718</v>
      </c>
      <c r="H522" s="19" t="s">
        <v>24</v>
      </c>
      <c r="I522" s="69" t="s">
        <v>613</v>
      </c>
      <c r="J522" s="115">
        <v>1020106</v>
      </c>
      <c r="K522" s="69" t="s">
        <v>26</v>
      </c>
      <c r="L522" s="60">
        <v>646875</v>
      </c>
      <c r="M522" s="60">
        <v>1</v>
      </c>
      <c r="N522" s="60">
        <f>Main_Issuance[[#This Row],[LC Amt(FCY)]]*Main_Issuance[[#This Row],[Rate]]</f>
        <v>646875</v>
      </c>
      <c r="O522" s="56">
        <v>45889</v>
      </c>
      <c r="P522" s="56">
        <v>45889</v>
      </c>
      <c r="Q522" s="58" t="s">
        <v>27</v>
      </c>
      <c r="R522" s="69" t="s">
        <v>311</v>
      </c>
      <c r="S522" s="71"/>
      <c r="T522" s="71"/>
      <c r="U522" s="71"/>
      <c r="V522" s="68">
        <v>0</v>
      </c>
      <c r="W522" s="115"/>
      <c r="X522" s="191" t="str">
        <f ca="1">IF(AND((Main_Issuance[[#This Row],[Expiry Date]]+31)&gt;TODAY(),Main_Issuance[[#This Row],[Status]]&lt;&gt;"Cancelled"),"Active","Cancelled")</f>
        <v>Cancelled</v>
      </c>
      <c r="Y522" s="409"/>
      <c r="Z522" s="408"/>
      <c r="AA522" s="408" t="s">
        <v>378</v>
      </c>
      <c r="AB522" s="83" cm="1">
        <f t="array" ref="AB522">Iss_Tariff(Main_Issuance[[#This Row],[Bank]],Main_Issuance[[#This Row],[LC Amt(SAR)]],Main_Issuance[[#This Row],[Issue Date.]],Main_Issuance[[#This Row],[Expiry Date]],Main_Issuance[[#This Row],[Calculate]])</f>
        <v>0</v>
      </c>
      <c r="AC522" s="83"/>
    </row>
    <row r="523" spans="1:29" ht="15.75" hidden="1" x14ac:dyDescent="0.25">
      <c r="A523" s="114" t="s">
        <v>1491</v>
      </c>
      <c r="B523" s="76">
        <v>45831</v>
      </c>
      <c r="C523" s="76" t="s">
        <v>441</v>
      </c>
      <c r="D523" s="69" t="s">
        <v>20</v>
      </c>
      <c r="E523" s="78" t="s">
        <v>21</v>
      </c>
      <c r="F523" s="115" t="s">
        <v>22</v>
      </c>
      <c r="G523" s="78" t="s">
        <v>718</v>
      </c>
      <c r="H523" s="115" t="s">
        <v>24</v>
      </c>
      <c r="I523" s="78" t="s">
        <v>407</v>
      </c>
      <c r="J523" s="113">
        <v>1020100</v>
      </c>
      <c r="K523" s="78" t="s">
        <v>26</v>
      </c>
      <c r="L523" s="60">
        <v>511750</v>
      </c>
      <c r="M523" s="60">
        <v>1</v>
      </c>
      <c r="N523" s="60">
        <f>Main_Issuance[[#This Row],[LC Amt(FCY)]]*Main_Issuance[[#This Row],[Rate]]</f>
        <v>511750</v>
      </c>
      <c r="O523" s="76">
        <v>45961</v>
      </c>
      <c r="P523" s="76">
        <v>45961</v>
      </c>
      <c r="Q523" s="77" t="s">
        <v>27</v>
      </c>
      <c r="R523" s="78" t="s">
        <v>621</v>
      </c>
      <c r="S523" s="81"/>
      <c r="T523" s="81"/>
      <c r="U523" s="81"/>
      <c r="V523" s="83">
        <v>0</v>
      </c>
      <c r="W523" s="115" t="s">
        <v>1846</v>
      </c>
      <c r="X523" s="146" t="str">
        <f ca="1">IF(AND((Main_Issuance[[#This Row],[Expiry Date]]+31)&gt;TODAY(),Main_Issuance[[#This Row],[Status]]&lt;&gt;"Cancelled"),"Active","Cancelled")</f>
        <v>Cancelled</v>
      </c>
      <c r="Y523" s="409"/>
      <c r="Z523" s="408"/>
      <c r="AA523" s="408" t="s">
        <v>378</v>
      </c>
      <c r="AB523" s="83" cm="1">
        <f t="array" ref="AB523">Iss_Tariff(Main_Issuance[[#This Row],[Bank]],Main_Issuance[[#This Row],[LC Amt(SAR)]],Main_Issuance[[#This Row],[Issue Date.]],Main_Issuance[[#This Row],[Expiry Date]],Main_Issuance[[#This Row],[Calculate]])</f>
        <v>0</v>
      </c>
      <c r="AC523" s="83"/>
    </row>
    <row r="524" spans="1:29" ht="15.75" hidden="1" x14ac:dyDescent="0.25">
      <c r="A524" s="114" t="s">
        <v>3951</v>
      </c>
      <c r="B524" s="76">
        <v>46057</v>
      </c>
      <c r="C524" s="76" t="s">
        <v>1537</v>
      </c>
      <c r="D524" s="78" t="s">
        <v>20</v>
      </c>
      <c r="E524" s="78" t="s">
        <v>62</v>
      </c>
      <c r="F524" s="115" t="s">
        <v>483</v>
      </c>
      <c r="G524" s="78" t="s">
        <v>718</v>
      </c>
      <c r="H524" s="113" t="s">
        <v>24</v>
      </c>
      <c r="I524" s="78" t="s">
        <v>483</v>
      </c>
      <c r="J524" s="113">
        <v>1020096</v>
      </c>
      <c r="K524" s="78" t="s">
        <v>26</v>
      </c>
      <c r="L524" s="119">
        <v>1000000</v>
      </c>
      <c r="M524" s="82">
        <v>1</v>
      </c>
      <c r="N524" s="82">
        <f>Main_Issuance[[#This Row],[LC Amt(FCY)]]*Main_Issuance[[#This Row],[Rate]]</f>
        <v>1000000</v>
      </c>
      <c r="O524" s="76">
        <v>46142</v>
      </c>
      <c r="P524" s="76">
        <v>46142</v>
      </c>
      <c r="Q524" s="77" t="s">
        <v>27</v>
      </c>
      <c r="R524" s="78" t="s">
        <v>3229</v>
      </c>
      <c r="S524" s="81"/>
      <c r="T524" s="81"/>
      <c r="U524" s="81"/>
      <c r="V524" s="83">
        <v>0</v>
      </c>
      <c r="W524" s="115"/>
      <c r="X524" s="146" t="str">
        <f ca="1">IF(AND((Main_Issuance[[#This Row],[Expiry Date]]+31)&gt;TODAY(),Main_Issuance[[#This Row],[Status]]&lt;&gt;"Cancelled"),"Active","Cancelled")</f>
        <v>Cancelled</v>
      </c>
      <c r="Y524" s="409"/>
      <c r="Z524" s="408"/>
      <c r="AA524" s="408" t="s">
        <v>857</v>
      </c>
      <c r="AB524" s="83" cm="1">
        <f t="array" ref="AB524">Iss_Tariff(Main_Issuance[[#This Row],[Bank]],Main_Issuance[[#This Row],[LC Amt(SAR)]],Main_Issuance[[#This Row],[Issue Date.]],Main_Issuance[[#This Row],[Expiry Date]],Main_Issuance[[#This Row],[Calculate]])</f>
        <v>5256.65</v>
      </c>
      <c r="AC524" s="83"/>
    </row>
    <row r="525" spans="1:29" ht="15.75" hidden="1" x14ac:dyDescent="0.25">
      <c r="A525" s="57" t="s">
        <v>663</v>
      </c>
      <c r="B525" s="56">
        <v>45680</v>
      </c>
      <c r="C525" s="56" t="s">
        <v>441</v>
      </c>
      <c r="D525" s="69" t="s">
        <v>20</v>
      </c>
      <c r="E525" s="69" t="s">
        <v>21</v>
      </c>
      <c r="F525" s="19" t="s">
        <v>22</v>
      </c>
      <c r="G525" s="69" t="s">
        <v>664</v>
      </c>
      <c r="H525" s="59" t="s">
        <v>24</v>
      </c>
      <c r="I525" s="65" t="s">
        <v>22</v>
      </c>
      <c r="J525" s="59">
        <v>1020055</v>
      </c>
      <c r="K525" s="69" t="s">
        <v>26</v>
      </c>
      <c r="L525" s="60">
        <v>900400</v>
      </c>
      <c r="M525" s="60">
        <v>1</v>
      </c>
      <c r="N525" s="60">
        <f>Main_Issuance[[#This Row],[LC Amt(FCY)]]*Main_Issuance[[#This Row],[Rate]]</f>
        <v>900400</v>
      </c>
      <c r="O525" s="56">
        <v>45777</v>
      </c>
      <c r="P525" s="56">
        <v>45777</v>
      </c>
      <c r="Q525" s="58" t="s">
        <v>27</v>
      </c>
      <c r="R525" s="69" t="s">
        <v>311</v>
      </c>
      <c r="S525" s="71"/>
      <c r="T525" s="71"/>
      <c r="U525" s="71"/>
      <c r="V525" s="68">
        <v>0</v>
      </c>
      <c r="W525" s="115"/>
      <c r="X525" s="191" t="str">
        <f ca="1">IF(AND((Main_Issuance[[#This Row],[Expiry Date]]+31)&gt;TODAY(),Main_Issuance[[#This Row],[Status]]&lt;&gt;"Cancelled"),"Active","Cancelled")</f>
        <v>Cancelled</v>
      </c>
      <c r="Y525" s="409"/>
      <c r="Z525" s="408"/>
      <c r="AA525" s="408" t="s">
        <v>378</v>
      </c>
      <c r="AB525" s="83" cm="1">
        <f t="array" ref="AB525">Iss_Tariff(Main_Issuance[[#This Row],[Bank]],Main_Issuance[[#This Row],[LC Amt(SAR)]],Main_Issuance[[#This Row],[Issue Date.]],Main_Issuance[[#This Row],[Expiry Date]],Main_Issuance[[#This Row],[Calculate]])</f>
        <v>0</v>
      </c>
      <c r="AC525" s="83"/>
    </row>
    <row r="526" spans="1:29" ht="15.75" hidden="1" x14ac:dyDescent="0.25">
      <c r="A526" s="57" t="s">
        <v>736</v>
      </c>
      <c r="B526" s="56">
        <v>45726</v>
      </c>
      <c r="C526" s="56" t="s">
        <v>1119</v>
      </c>
      <c r="D526" s="19" t="s">
        <v>20</v>
      </c>
      <c r="E526" s="69" t="s">
        <v>366</v>
      </c>
      <c r="F526" s="19" t="s">
        <v>367</v>
      </c>
      <c r="G526" s="69" t="s">
        <v>737</v>
      </c>
      <c r="H526" s="59" t="s">
        <v>72</v>
      </c>
      <c r="I526" s="65" t="s">
        <v>367</v>
      </c>
      <c r="J526" s="59">
        <v>1020091</v>
      </c>
      <c r="K526" s="69" t="s">
        <v>26</v>
      </c>
      <c r="L526" s="60">
        <f>8648350+2645291.26+338809.24</f>
        <v>11632450.5</v>
      </c>
      <c r="M526" s="60">
        <v>1</v>
      </c>
      <c r="N526" s="60">
        <f>Main_Issuance[[#This Row],[LC Amt(FCY)]]*Main_Issuance[[#This Row],[Rate]]</f>
        <v>11632450.5</v>
      </c>
      <c r="O526" s="58">
        <v>45914</v>
      </c>
      <c r="P526" s="58">
        <v>45884</v>
      </c>
      <c r="Q526" s="58" t="s">
        <v>27</v>
      </c>
      <c r="R526" s="69" t="s">
        <v>738</v>
      </c>
      <c r="S526" s="71"/>
      <c r="T526" s="71"/>
      <c r="U526" s="71"/>
      <c r="V526" s="68"/>
      <c r="W526" s="115"/>
      <c r="X526" s="191" t="str">
        <f ca="1">IF(AND((Main_Issuance[[#This Row],[Expiry Date]]+31)&gt;TODAY(),Main_Issuance[[#This Row],[Status]]&lt;&gt;"Cancelled"),"Active","Cancelled")</f>
        <v>Cancelled</v>
      </c>
      <c r="Y526" s="409"/>
      <c r="Z526" s="408"/>
      <c r="AA526" s="408" t="s">
        <v>378</v>
      </c>
      <c r="AB526" s="83" cm="1">
        <f t="array" ref="AB526">Iss_Tariff(Main_Issuance[[#This Row],[Bank]],Main_Issuance[[#This Row],[LC Amt(SAR)]],Main_Issuance[[#This Row],[Issue Date.]],Main_Issuance[[#This Row],[Expiry Date]],Main_Issuance[[#This Row],[Calculate]])</f>
        <v>0</v>
      </c>
      <c r="AC526" s="83"/>
    </row>
    <row r="527" spans="1:29" ht="15.75" hidden="1" x14ac:dyDescent="0.25">
      <c r="A527" s="114" t="s">
        <v>1412</v>
      </c>
      <c r="B527" s="76">
        <v>45804</v>
      </c>
      <c r="C527" s="76" t="s">
        <v>441</v>
      </c>
      <c r="D527" s="69" t="s">
        <v>20</v>
      </c>
      <c r="E527" s="78" t="s">
        <v>21</v>
      </c>
      <c r="F527" s="115" t="s">
        <v>22</v>
      </c>
      <c r="G527" s="78" t="s">
        <v>1361</v>
      </c>
      <c r="H527" s="115" t="s">
        <v>24</v>
      </c>
      <c r="I527" s="78" t="s">
        <v>22</v>
      </c>
      <c r="J527" s="115">
        <v>1020055</v>
      </c>
      <c r="K527" s="78" t="s">
        <v>26</v>
      </c>
      <c r="L527" s="60">
        <v>255852.91</v>
      </c>
      <c r="M527" s="60">
        <v>1</v>
      </c>
      <c r="N527" s="60">
        <f>Main_Issuance[[#This Row],[LC Amt(FCY)]]*Main_Issuance[[#This Row],[Rate]]</f>
        <v>255852.91</v>
      </c>
      <c r="O527" s="76">
        <v>45900</v>
      </c>
      <c r="P527" s="76">
        <v>45900</v>
      </c>
      <c r="Q527" s="77" t="s">
        <v>27</v>
      </c>
      <c r="R527" s="78" t="s">
        <v>621</v>
      </c>
      <c r="S527" s="81"/>
      <c r="T527" s="81"/>
      <c r="U527" s="81"/>
      <c r="V527" s="83">
        <v>0</v>
      </c>
      <c r="W527" s="115" t="s">
        <v>1846</v>
      </c>
      <c r="X527" s="146" t="str">
        <f ca="1">IF(AND((Main_Issuance[[#This Row],[Expiry Date]]+31)&gt;TODAY(),Main_Issuance[[#This Row],[Status]]&lt;&gt;"Cancelled"),"Active","Cancelled")</f>
        <v>Cancelled</v>
      </c>
      <c r="Y527" s="409"/>
      <c r="Z527" s="408"/>
      <c r="AA527" s="408" t="s">
        <v>378</v>
      </c>
      <c r="AB527" s="83" cm="1">
        <f t="array" ref="AB527">Iss_Tariff(Main_Issuance[[#This Row],[Bank]],Main_Issuance[[#This Row],[LC Amt(SAR)]],Main_Issuance[[#This Row],[Issue Date.]],Main_Issuance[[#This Row],[Expiry Date]],Main_Issuance[[#This Row],[Calculate]])</f>
        <v>0</v>
      </c>
      <c r="AC527" s="83"/>
    </row>
    <row r="528" spans="1:29" ht="15.75" hidden="1" x14ac:dyDescent="0.25">
      <c r="A528" s="114" t="s">
        <v>1741</v>
      </c>
      <c r="B528" s="76">
        <v>45883</v>
      </c>
      <c r="C528" s="76" t="s">
        <v>1727</v>
      </c>
      <c r="D528" s="115" t="s">
        <v>20</v>
      </c>
      <c r="E528" s="78" t="s">
        <v>62</v>
      </c>
      <c r="F528" s="115" t="s">
        <v>70</v>
      </c>
      <c r="G528" s="78" t="s">
        <v>1711</v>
      </c>
      <c r="H528" s="113" t="s">
        <v>869</v>
      </c>
      <c r="I528" s="78" t="s">
        <v>1762</v>
      </c>
      <c r="J528" s="115"/>
      <c r="K528" s="78" t="s">
        <v>26</v>
      </c>
      <c r="L528" s="60">
        <v>408291.9</v>
      </c>
      <c r="M528" s="60">
        <v>1</v>
      </c>
      <c r="N528" s="60">
        <f>Main_Issuance[[#This Row],[LC Amt(FCY)]]*Main_Issuance[[#This Row],[Rate]]</f>
        <v>408291.9</v>
      </c>
      <c r="O528" s="77">
        <v>45930</v>
      </c>
      <c r="P528" s="77">
        <v>45915</v>
      </c>
      <c r="Q528" s="77" t="s">
        <v>70</v>
      </c>
      <c r="R528" s="78" t="s">
        <v>208</v>
      </c>
      <c r="S528" s="81"/>
      <c r="T528" s="81"/>
      <c r="U528" s="81"/>
      <c r="V528" s="83"/>
      <c r="W528" s="115"/>
      <c r="X528" s="146" t="str">
        <f ca="1">IF(AND((Main_Issuance[[#This Row],[Expiry Date]]+31)&gt;TODAY(),Main_Issuance[[#This Row],[Status]]&lt;&gt;"Cancelled"),"Active","Cancelled")</f>
        <v>Cancelled</v>
      </c>
      <c r="Y528" s="410"/>
      <c r="Z528" s="408"/>
      <c r="AA528" s="408" t="s">
        <v>378</v>
      </c>
      <c r="AB528" s="83" cm="1">
        <f t="array" ref="AB528">Iss_Tariff(Main_Issuance[[#This Row],[Bank]],Main_Issuance[[#This Row],[LC Amt(SAR)]],Main_Issuance[[#This Row],[Issue Date.]],Main_Issuance[[#This Row],[Expiry Date]],Main_Issuance[[#This Row],[Calculate]])</f>
        <v>0</v>
      </c>
      <c r="AC528" s="83"/>
    </row>
    <row r="529" spans="1:29" ht="15.75" hidden="1" x14ac:dyDescent="0.25">
      <c r="A529" s="114" t="s">
        <v>4197</v>
      </c>
      <c r="B529" s="76">
        <v>46082</v>
      </c>
      <c r="C529" s="76" t="s">
        <v>1259</v>
      </c>
      <c r="D529" s="78" t="s">
        <v>20</v>
      </c>
      <c r="E529" s="78" t="s">
        <v>95</v>
      </c>
      <c r="F529" s="115" t="s">
        <v>96</v>
      </c>
      <c r="G529" s="78" t="s">
        <v>4071</v>
      </c>
      <c r="H529" s="113" t="s">
        <v>1791</v>
      </c>
      <c r="I529" s="78" t="s">
        <v>328</v>
      </c>
      <c r="J529" s="115">
        <v>1020097</v>
      </c>
      <c r="K529" s="78" t="s">
        <v>26</v>
      </c>
      <c r="L529" s="119">
        <v>400000</v>
      </c>
      <c r="M529" s="82">
        <v>1</v>
      </c>
      <c r="N529" s="82">
        <f>Main_Issuance[[#This Row],[LC Amt(FCY)]]*Main_Issuance[[#This Row],[Rate]]</f>
        <v>400000</v>
      </c>
      <c r="O529" s="76">
        <v>46204</v>
      </c>
      <c r="P529" s="76">
        <v>46188</v>
      </c>
      <c r="Q529" s="77" t="s">
        <v>27</v>
      </c>
      <c r="R529" s="78" t="s">
        <v>3729</v>
      </c>
      <c r="S529" s="81"/>
      <c r="T529" s="81"/>
      <c r="U529" s="81"/>
      <c r="V529" s="83">
        <v>0</v>
      </c>
      <c r="W529" s="115"/>
      <c r="X529" s="146" t="str">
        <f ca="1">IF(AND((Main_Issuance[[#This Row],[Expiry Date]]+31)&gt;TODAY(),Main_Issuance[[#This Row],[Status]]&lt;&gt;"Cancelled"),"Active","Cancelled")</f>
        <v>Active</v>
      </c>
      <c r="Y529" s="409"/>
      <c r="Z529" s="408"/>
      <c r="AA529" s="408" t="s">
        <v>857</v>
      </c>
      <c r="AB529" s="83" cm="1">
        <f t="array" ref="AB529">Iss_Tariff(Main_Issuance[[#This Row],[Bank]],Main_Issuance[[#This Row],[LC Amt(SAR)]],Main_Issuance[[#This Row],[Issue Date.]],Main_Issuance[[#This Row],[Expiry Date]],Main_Issuance[[#This Row],[Calculate]])</f>
        <v>1227.05</v>
      </c>
      <c r="AC529" s="83"/>
    </row>
    <row r="530" spans="1:29" ht="15.75" hidden="1" x14ac:dyDescent="0.25">
      <c r="A530" s="114" t="s">
        <v>1522</v>
      </c>
      <c r="B530" s="76">
        <v>45834</v>
      </c>
      <c r="C530" s="76" t="s">
        <v>441</v>
      </c>
      <c r="D530" s="69" t="s">
        <v>20</v>
      </c>
      <c r="E530" s="78" t="s">
        <v>21</v>
      </c>
      <c r="F530" s="115" t="s">
        <v>22</v>
      </c>
      <c r="G530" s="78" t="s">
        <v>1468</v>
      </c>
      <c r="H530" s="115" t="s">
        <v>24</v>
      </c>
      <c r="I530" s="78" t="s">
        <v>407</v>
      </c>
      <c r="J530" s="113">
        <v>1020100</v>
      </c>
      <c r="K530" s="78" t="s">
        <v>26</v>
      </c>
      <c r="L530" s="60">
        <v>263032</v>
      </c>
      <c r="M530" s="60">
        <v>1</v>
      </c>
      <c r="N530" s="60">
        <f>Main_Issuance[[#This Row],[LC Amt(FCY)]]*Main_Issuance[[#This Row],[Rate]]</f>
        <v>263032</v>
      </c>
      <c r="O530" s="76">
        <v>45961</v>
      </c>
      <c r="P530" s="76">
        <v>45961</v>
      </c>
      <c r="Q530" s="77" t="s">
        <v>27</v>
      </c>
      <c r="R530" s="78" t="s">
        <v>621</v>
      </c>
      <c r="S530" s="81"/>
      <c r="T530" s="81"/>
      <c r="U530" s="81"/>
      <c r="V530" s="83">
        <v>0</v>
      </c>
      <c r="W530" s="115" t="s">
        <v>1846</v>
      </c>
      <c r="X530" s="146" t="str">
        <f ca="1">IF(AND((Main_Issuance[[#This Row],[Expiry Date]]+31)&gt;TODAY(),Main_Issuance[[#This Row],[Status]]&lt;&gt;"Cancelled"),"Active","Cancelled")</f>
        <v>Cancelled</v>
      </c>
      <c r="Y530" s="409"/>
      <c r="Z530" s="408"/>
      <c r="AA530" s="408" t="s">
        <v>378</v>
      </c>
      <c r="AB530" s="83" cm="1">
        <f t="array" ref="AB530">Iss_Tariff(Main_Issuance[[#This Row],[Bank]],Main_Issuance[[#This Row],[LC Amt(SAR)]],Main_Issuance[[#This Row],[Issue Date.]],Main_Issuance[[#This Row],[Expiry Date]],Main_Issuance[[#This Row],[Calculate]])</f>
        <v>0</v>
      </c>
      <c r="AC530" s="83"/>
    </row>
    <row r="531" spans="1:29" ht="15.75" hidden="1" x14ac:dyDescent="0.25">
      <c r="A531" s="57" t="s">
        <v>277</v>
      </c>
      <c r="B531" s="56">
        <v>45489</v>
      </c>
      <c r="C531" s="56" t="s">
        <v>1184</v>
      </c>
      <c r="D531" s="69" t="s">
        <v>20</v>
      </c>
      <c r="E531" s="69" t="s">
        <v>21</v>
      </c>
      <c r="F531" s="19" t="s">
        <v>22</v>
      </c>
      <c r="G531" s="69" t="s">
        <v>278</v>
      </c>
      <c r="H531" s="59" t="s">
        <v>72</v>
      </c>
      <c r="I531" s="65" t="s">
        <v>22</v>
      </c>
      <c r="J531" s="59">
        <v>1020055</v>
      </c>
      <c r="K531" s="69" t="s">
        <v>26</v>
      </c>
      <c r="L531" s="60">
        <f>4836003*110%</f>
        <v>5319603.3000000007</v>
      </c>
      <c r="M531" s="60">
        <v>1</v>
      </c>
      <c r="N531" s="60">
        <f>Main_Issuance[[#This Row],[LC Amt(FCY)]]*Main_Issuance[[#This Row],[Rate]]</f>
        <v>5319603.3000000007</v>
      </c>
      <c r="O531" s="56">
        <v>45657</v>
      </c>
      <c r="P531" s="56">
        <v>45657</v>
      </c>
      <c r="Q531" s="58" t="s">
        <v>27</v>
      </c>
      <c r="R531" s="69"/>
      <c r="S531" s="71"/>
      <c r="T531" s="71"/>
      <c r="U531" s="71"/>
      <c r="V531" s="68">
        <v>0</v>
      </c>
      <c r="W531" s="115"/>
      <c r="X531" s="191" t="str">
        <f ca="1">IF(AND((Main_Issuance[[#This Row],[Expiry Date]]+31)&gt;TODAY(),Main_Issuance[[#This Row],[Status]]&lt;&gt;"Cancelled"),"Active","Cancelled")</f>
        <v>Cancelled</v>
      </c>
      <c r="Y531" s="409"/>
      <c r="Z531" s="408"/>
      <c r="AA531" s="408" t="s">
        <v>378</v>
      </c>
      <c r="AB531" s="83" cm="1">
        <f t="array" ref="AB531">Iss_Tariff(Main_Issuance[[#This Row],[Bank]],Main_Issuance[[#This Row],[LC Amt(SAR)]],Main_Issuance[[#This Row],[Issue Date.]],Main_Issuance[[#This Row],[Expiry Date]],Main_Issuance[[#This Row],[Calculate]])</f>
        <v>0</v>
      </c>
      <c r="AC531" s="83"/>
    </row>
    <row r="532" spans="1:29" ht="15.75" hidden="1" x14ac:dyDescent="0.25">
      <c r="A532" s="57" t="s">
        <v>786</v>
      </c>
      <c r="B532" s="56">
        <v>45741</v>
      </c>
      <c r="C532" s="76" t="s">
        <v>1864</v>
      </c>
      <c r="D532" s="19" t="s">
        <v>20</v>
      </c>
      <c r="E532" s="69" t="s">
        <v>366</v>
      </c>
      <c r="F532" s="19" t="s">
        <v>710</v>
      </c>
      <c r="G532" s="69" t="s">
        <v>787</v>
      </c>
      <c r="H532" s="59" t="s">
        <v>3221</v>
      </c>
      <c r="I532" s="65" t="s">
        <v>81</v>
      </c>
      <c r="J532" s="59">
        <v>1020070</v>
      </c>
      <c r="K532" s="69" t="s">
        <v>26</v>
      </c>
      <c r="L532" s="60">
        <v>1200000</v>
      </c>
      <c r="M532" s="60">
        <v>1</v>
      </c>
      <c r="N532" s="60">
        <f>Main_Issuance[[#This Row],[LC Amt(FCY)]]*Main_Issuance[[#This Row],[Rate]]</f>
        <v>1200000</v>
      </c>
      <c r="O532" s="58">
        <v>45808</v>
      </c>
      <c r="P532" s="56">
        <v>45777</v>
      </c>
      <c r="Q532" s="58" t="s">
        <v>27</v>
      </c>
      <c r="R532" s="69" t="s">
        <v>208</v>
      </c>
      <c r="S532" s="71"/>
      <c r="T532" s="71"/>
      <c r="U532" s="71"/>
      <c r="V532" s="68">
        <v>0</v>
      </c>
      <c r="W532" s="115"/>
      <c r="X532" s="191" t="str">
        <f ca="1">IF(AND((Main_Issuance[[#This Row],[Expiry Date]]+31)&gt;TODAY(),Main_Issuance[[#This Row],[Status]]&lt;&gt;"Cancelled"),"Active","Cancelled")</f>
        <v>Cancelled</v>
      </c>
      <c r="Y532" s="409"/>
      <c r="Z532" s="408"/>
      <c r="AA532" s="408" t="s">
        <v>378</v>
      </c>
      <c r="AB532" s="83" cm="1">
        <f t="array" ref="AB532">Iss_Tariff(Main_Issuance[[#This Row],[Bank]],Main_Issuance[[#This Row],[LC Amt(SAR)]],Main_Issuance[[#This Row],[Issue Date.]],Main_Issuance[[#This Row],[Expiry Date]],Main_Issuance[[#This Row],[Calculate]])</f>
        <v>0</v>
      </c>
      <c r="AC532" s="83"/>
    </row>
    <row r="533" spans="1:29" ht="15.75" hidden="1" x14ac:dyDescent="0.25">
      <c r="A533" s="57" t="s">
        <v>228</v>
      </c>
      <c r="B533" s="56">
        <v>45237</v>
      </c>
      <c r="C533" s="56" t="s">
        <v>441</v>
      </c>
      <c r="D533" s="69" t="s">
        <v>20</v>
      </c>
      <c r="E533" s="69" t="s">
        <v>21</v>
      </c>
      <c r="F533" s="19" t="s">
        <v>22</v>
      </c>
      <c r="G533" s="69" t="s">
        <v>229</v>
      </c>
      <c r="H533" s="59" t="s">
        <v>24</v>
      </c>
      <c r="I533" s="65" t="s">
        <v>22</v>
      </c>
      <c r="J533" s="59">
        <v>1020055</v>
      </c>
      <c r="K533" s="69" t="s">
        <v>26</v>
      </c>
      <c r="L533" s="60">
        <v>4038899.85</v>
      </c>
      <c r="M533" s="60">
        <v>1</v>
      </c>
      <c r="N533" s="60">
        <f>Main_Issuance[[#This Row],[LC Amt(FCY)]]*Main_Issuance[[#This Row],[Rate]]</f>
        <v>4038899.85</v>
      </c>
      <c r="O533" s="56">
        <v>45322</v>
      </c>
      <c r="P533" s="56">
        <v>45322</v>
      </c>
      <c r="Q533" s="58" t="s">
        <v>27</v>
      </c>
      <c r="R533" s="69"/>
      <c r="S533" s="71"/>
      <c r="T533" s="71"/>
      <c r="U533" s="71"/>
      <c r="V533" s="68">
        <v>0</v>
      </c>
      <c r="W533" s="115"/>
      <c r="X533" s="191" t="str">
        <f ca="1">IF(AND((Main_Issuance[[#This Row],[Expiry Date]]+31)&gt;TODAY(),Main_Issuance[[#This Row],[Status]]&lt;&gt;"Cancelled"),"Active","Cancelled")</f>
        <v>Cancelled</v>
      </c>
      <c r="Y533" s="409"/>
      <c r="Z533" s="408"/>
      <c r="AA533" s="408" t="s">
        <v>378</v>
      </c>
      <c r="AB533" s="83" cm="1">
        <f t="array" ref="AB533">Iss_Tariff(Main_Issuance[[#This Row],[Bank]],Main_Issuance[[#This Row],[LC Amt(SAR)]],Main_Issuance[[#This Row],[Issue Date.]],Main_Issuance[[#This Row],[Expiry Date]],Main_Issuance[[#This Row],[Calculate]])</f>
        <v>0</v>
      </c>
      <c r="AC533" s="83"/>
    </row>
    <row r="534" spans="1:29" ht="15.75" hidden="1" x14ac:dyDescent="0.25">
      <c r="A534" s="57" t="s">
        <v>48</v>
      </c>
      <c r="B534" s="56">
        <v>45277</v>
      </c>
      <c r="C534" s="56" t="s">
        <v>441</v>
      </c>
      <c r="D534" s="69" t="s">
        <v>20</v>
      </c>
      <c r="E534" s="69" t="s">
        <v>21</v>
      </c>
      <c r="F534" s="19" t="s">
        <v>22</v>
      </c>
      <c r="G534" s="69" t="s">
        <v>49</v>
      </c>
      <c r="H534" s="59" t="s">
        <v>24</v>
      </c>
      <c r="I534" s="65" t="s">
        <v>22</v>
      </c>
      <c r="J534" s="59">
        <v>1020055</v>
      </c>
      <c r="K534" s="69" t="s">
        <v>26</v>
      </c>
      <c r="L534" s="60">
        <v>9000000</v>
      </c>
      <c r="M534" s="60">
        <v>1</v>
      </c>
      <c r="N534" s="60">
        <f>Main_Issuance[[#This Row],[LC Amt(FCY)]]*Main_Issuance[[#This Row],[Rate]]</f>
        <v>9000000</v>
      </c>
      <c r="O534" s="56">
        <v>45503</v>
      </c>
      <c r="P534" s="56">
        <v>45503</v>
      </c>
      <c r="Q534" s="58" t="s">
        <v>27</v>
      </c>
      <c r="R534" s="69" t="s">
        <v>28</v>
      </c>
      <c r="S534" s="71"/>
      <c r="T534" s="71"/>
      <c r="U534" s="71"/>
      <c r="V534" s="68">
        <v>0</v>
      </c>
      <c r="W534" s="115"/>
      <c r="X534" s="191" t="str">
        <f ca="1">IF(AND((Main_Issuance[[#This Row],[Expiry Date]]+31)&gt;TODAY(),Main_Issuance[[#This Row],[Status]]&lt;&gt;"Cancelled"),"Active","Cancelled")</f>
        <v>Cancelled</v>
      </c>
      <c r="Y534" s="409"/>
      <c r="Z534" s="408"/>
      <c r="AA534" s="408" t="s">
        <v>378</v>
      </c>
      <c r="AB534" s="83" cm="1">
        <f t="array" ref="AB534">Iss_Tariff(Main_Issuance[[#This Row],[Bank]],Main_Issuance[[#This Row],[LC Amt(SAR)]],Main_Issuance[[#This Row],[Issue Date.]],Main_Issuance[[#This Row],[Expiry Date]],Main_Issuance[[#This Row],[Calculate]])</f>
        <v>0</v>
      </c>
      <c r="AC534" s="83"/>
    </row>
    <row r="535" spans="1:29" ht="15.75" hidden="1" x14ac:dyDescent="0.25">
      <c r="A535" s="57" t="s">
        <v>118</v>
      </c>
      <c r="B535" s="56">
        <v>45113</v>
      </c>
      <c r="C535" s="56" t="s">
        <v>441</v>
      </c>
      <c r="D535" s="69" t="s">
        <v>20</v>
      </c>
      <c r="E535" s="69" t="s">
        <v>21</v>
      </c>
      <c r="F535" s="19" t="s">
        <v>22</v>
      </c>
      <c r="G535" s="69" t="s">
        <v>119</v>
      </c>
      <c r="H535" s="59" t="s">
        <v>24</v>
      </c>
      <c r="I535" s="65" t="s">
        <v>22</v>
      </c>
      <c r="J535" s="59">
        <v>1020055</v>
      </c>
      <c r="K535" s="69" t="s">
        <v>26</v>
      </c>
      <c r="L535" s="60">
        <v>7364224.5800000001</v>
      </c>
      <c r="M535" s="60">
        <v>1</v>
      </c>
      <c r="N535" s="60">
        <f>Main_Issuance[[#This Row],[LC Amt(FCY)]]*Main_Issuance[[#This Row],[Rate]]</f>
        <v>7364224.5800000001</v>
      </c>
      <c r="O535" s="56">
        <v>45199</v>
      </c>
      <c r="P535" s="56">
        <v>45199</v>
      </c>
      <c r="Q535" s="58" t="s">
        <v>27</v>
      </c>
      <c r="R535" s="69" t="s">
        <v>35</v>
      </c>
      <c r="S535" s="71"/>
      <c r="T535" s="71"/>
      <c r="U535" s="71"/>
      <c r="V535" s="68">
        <v>0</v>
      </c>
      <c r="W535" s="115"/>
      <c r="X535" s="191" t="str">
        <f ca="1">IF(AND((Main_Issuance[[#This Row],[Expiry Date]]+31)&gt;TODAY(),Main_Issuance[[#This Row],[Status]]&lt;&gt;"Cancelled"),"Active","Cancelled")</f>
        <v>Cancelled</v>
      </c>
      <c r="Y535" s="409"/>
      <c r="Z535" s="408"/>
      <c r="AA535" s="408" t="s">
        <v>378</v>
      </c>
      <c r="AB535" s="83" cm="1">
        <f t="array" ref="AB535">Iss_Tariff(Main_Issuance[[#This Row],[Bank]],Main_Issuance[[#This Row],[LC Amt(SAR)]],Main_Issuance[[#This Row],[Issue Date.]],Main_Issuance[[#This Row],[Expiry Date]],Main_Issuance[[#This Row],[Calculate]])</f>
        <v>0</v>
      </c>
      <c r="AC535" s="83"/>
    </row>
    <row r="536" spans="1:29" ht="15.75" hidden="1" x14ac:dyDescent="0.25">
      <c r="A536" s="57" t="s">
        <v>192</v>
      </c>
      <c r="B536" s="56">
        <v>45209</v>
      </c>
      <c r="C536" s="56" t="s">
        <v>441</v>
      </c>
      <c r="D536" s="19" t="s">
        <v>20</v>
      </c>
      <c r="E536" s="69" t="s">
        <v>21</v>
      </c>
      <c r="F536" s="19" t="s">
        <v>22</v>
      </c>
      <c r="G536" s="69" t="s">
        <v>119</v>
      </c>
      <c r="H536" s="59" t="s">
        <v>24</v>
      </c>
      <c r="I536" s="65" t="s">
        <v>22</v>
      </c>
      <c r="J536" s="59">
        <v>1020055</v>
      </c>
      <c r="K536" s="69" t="s">
        <v>26</v>
      </c>
      <c r="L536" s="60">
        <v>4805000</v>
      </c>
      <c r="M536" s="60">
        <v>1</v>
      </c>
      <c r="N536" s="60">
        <f>Main_Issuance[[#This Row],[LC Amt(FCY)]]*Main_Issuance[[#This Row],[Rate]]</f>
        <v>4805000</v>
      </c>
      <c r="O536" s="56">
        <v>45536</v>
      </c>
      <c r="P536" s="56">
        <v>45536</v>
      </c>
      <c r="Q536" s="58" t="s">
        <v>27</v>
      </c>
      <c r="R536" s="19" t="s">
        <v>28</v>
      </c>
      <c r="S536" s="71"/>
      <c r="T536" s="71"/>
      <c r="U536" s="71"/>
      <c r="V536" s="68">
        <v>0</v>
      </c>
      <c r="W536" s="115"/>
      <c r="X536" s="191" t="str">
        <f ca="1">IF(AND((Main_Issuance[[#This Row],[Expiry Date]]+31)&gt;TODAY(),Main_Issuance[[#This Row],[Status]]&lt;&gt;"Cancelled"),"Active","Cancelled")</f>
        <v>Cancelled</v>
      </c>
      <c r="Y536" s="409"/>
      <c r="Z536" s="408"/>
      <c r="AA536" s="408" t="s">
        <v>378</v>
      </c>
      <c r="AB536" s="83" cm="1">
        <f t="array" ref="AB536">Iss_Tariff(Main_Issuance[[#This Row],[Bank]],Main_Issuance[[#This Row],[LC Amt(SAR)]],Main_Issuance[[#This Row],[Issue Date.]],Main_Issuance[[#This Row],[Expiry Date]],Main_Issuance[[#This Row],[Calculate]])</f>
        <v>0</v>
      </c>
      <c r="AC536" s="83"/>
    </row>
    <row r="537" spans="1:29" ht="15.75" hidden="1" x14ac:dyDescent="0.25">
      <c r="A537" s="57" t="s">
        <v>356</v>
      </c>
      <c r="B537" s="56">
        <v>45533</v>
      </c>
      <c r="C537" s="56" t="s">
        <v>441</v>
      </c>
      <c r="D537" s="69" t="s">
        <v>20</v>
      </c>
      <c r="E537" s="69" t="s">
        <v>95</v>
      </c>
      <c r="F537" s="19" t="s">
        <v>96</v>
      </c>
      <c r="G537" s="69" t="s">
        <v>119</v>
      </c>
      <c r="H537" s="59" t="s">
        <v>24</v>
      </c>
      <c r="I537" s="65" t="s">
        <v>22</v>
      </c>
      <c r="J537" s="59">
        <v>1020055</v>
      </c>
      <c r="K537" s="69" t="s">
        <v>26</v>
      </c>
      <c r="L537" s="60">
        <v>3500000</v>
      </c>
      <c r="M537" s="60">
        <v>1</v>
      </c>
      <c r="N537" s="60">
        <f>Main_Issuance[[#This Row],[LC Amt(FCY)]]*Main_Issuance[[#This Row],[Rate]]</f>
        <v>3500000</v>
      </c>
      <c r="O537" s="56">
        <v>45626</v>
      </c>
      <c r="P537" s="56">
        <v>45626</v>
      </c>
      <c r="Q537" s="58" t="s">
        <v>27</v>
      </c>
      <c r="R537" s="69" t="s">
        <v>311</v>
      </c>
      <c r="S537" s="71"/>
      <c r="T537" s="71"/>
      <c r="U537" s="71"/>
      <c r="V537" s="68">
        <v>0</v>
      </c>
      <c r="W537" s="115"/>
      <c r="X537" s="191" t="str">
        <f ca="1">IF(AND((Main_Issuance[[#This Row],[Expiry Date]]+31)&gt;TODAY(),Main_Issuance[[#This Row],[Status]]&lt;&gt;"Cancelled"),"Active","Cancelled")</f>
        <v>Cancelled</v>
      </c>
      <c r="Y537" s="409"/>
      <c r="Z537" s="408"/>
      <c r="AA537" s="408" t="s">
        <v>378</v>
      </c>
      <c r="AB537" s="83" cm="1">
        <f t="array" ref="AB537">Iss_Tariff(Main_Issuance[[#This Row],[Bank]],Main_Issuance[[#This Row],[LC Amt(SAR)]],Main_Issuance[[#This Row],[Issue Date.]],Main_Issuance[[#This Row],[Expiry Date]],Main_Issuance[[#This Row],[Calculate]])</f>
        <v>0</v>
      </c>
      <c r="AC537" s="83"/>
    </row>
    <row r="538" spans="1:29" ht="15.75" hidden="1" x14ac:dyDescent="0.25">
      <c r="A538" s="57" t="s">
        <v>592</v>
      </c>
      <c r="B538" s="56">
        <v>45663</v>
      </c>
      <c r="C538" s="56" t="s">
        <v>441</v>
      </c>
      <c r="D538" s="69" t="s">
        <v>20</v>
      </c>
      <c r="E538" s="69" t="s">
        <v>373</v>
      </c>
      <c r="F538" s="19" t="s">
        <v>63</v>
      </c>
      <c r="G538" s="69" t="s">
        <v>593</v>
      </c>
      <c r="H538" s="59" t="s">
        <v>24</v>
      </c>
      <c r="I538" s="65" t="s">
        <v>22</v>
      </c>
      <c r="J538" s="59">
        <v>1020055</v>
      </c>
      <c r="K538" s="69" t="s">
        <v>26</v>
      </c>
      <c r="L538" s="60">
        <v>3000000</v>
      </c>
      <c r="M538" s="60">
        <v>1</v>
      </c>
      <c r="N538" s="60">
        <f>Main_Issuance[[#This Row],[LC Amt(FCY)]]*Main_Issuance[[#This Row],[Rate]]</f>
        <v>3000000</v>
      </c>
      <c r="O538" s="56">
        <v>45747</v>
      </c>
      <c r="P538" s="56">
        <v>45747</v>
      </c>
      <c r="Q538" s="58" t="s">
        <v>27</v>
      </c>
      <c r="R538" s="69" t="s">
        <v>311</v>
      </c>
      <c r="S538" s="71"/>
      <c r="T538" s="71"/>
      <c r="U538" s="71"/>
      <c r="V538" s="68">
        <v>0</v>
      </c>
      <c r="W538" s="115"/>
      <c r="X538" s="191" t="str">
        <f ca="1">IF(AND((Main_Issuance[[#This Row],[Expiry Date]]+31)&gt;TODAY(),Main_Issuance[[#This Row],[Status]]&lt;&gt;"Cancelled"),"Active","Cancelled")</f>
        <v>Cancelled</v>
      </c>
      <c r="Y538" s="409"/>
      <c r="Z538" s="408"/>
      <c r="AA538" s="408" t="s">
        <v>378</v>
      </c>
      <c r="AB538" s="83" cm="1">
        <f t="array" ref="AB538">Iss_Tariff(Main_Issuance[[#This Row],[Bank]],Main_Issuance[[#This Row],[LC Amt(SAR)]],Main_Issuance[[#This Row],[Issue Date.]],Main_Issuance[[#This Row],[Expiry Date]],Main_Issuance[[#This Row],[Calculate]])</f>
        <v>0</v>
      </c>
      <c r="AC538" s="83"/>
    </row>
    <row r="539" spans="1:29" ht="15.75" hidden="1" x14ac:dyDescent="0.25">
      <c r="A539" s="114" t="s">
        <v>629</v>
      </c>
      <c r="B539" s="56">
        <v>45680</v>
      </c>
      <c r="C539" s="56" t="s">
        <v>441</v>
      </c>
      <c r="D539" s="69" t="s">
        <v>20</v>
      </c>
      <c r="E539" s="69" t="s">
        <v>21</v>
      </c>
      <c r="F539" s="19" t="s">
        <v>22</v>
      </c>
      <c r="G539" s="69" t="s">
        <v>593</v>
      </c>
      <c r="H539" s="59" t="s">
        <v>24</v>
      </c>
      <c r="I539" s="65" t="s">
        <v>22</v>
      </c>
      <c r="J539" s="59">
        <v>1020055</v>
      </c>
      <c r="K539" s="69" t="s">
        <v>26</v>
      </c>
      <c r="L539" s="60">
        <v>900000</v>
      </c>
      <c r="M539" s="60">
        <v>1</v>
      </c>
      <c r="N539" s="60">
        <f>Main_Issuance[[#This Row],[LC Amt(FCY)]]*Main_Issuance[[#This Row],[Rate]]</f>
        <v>900000</v>
      </c>
      <c r="O539" s="56">
        <v>45900</v>
      </c>
      <c r="P539" s="56">
        <v>45900</v>
      </c>
      <c r="Q539" s="58" t="s">
        <v>27</v>
      </c>
      <c r="R539" s="69" t="s">
        <v>311</v>
      </c>
      <c r="S539" s="71"/>
      <c r="T539" s="71"/>
      <c r="U539" s="71"/>
      <c r="V539" s="68">
        <v>0</v>
      </c>
      <c r="W539" s="115"/>
      <c r="X539" s="191" t="str">
        <f ca="1">IF(AND((Main_Issuance[[#This Row],[Expiry Date]]+31)&gt;TODAY(),Main_Issuance[[#This Row],[Status]]&lt;&gt;"Cancelled"),"Active","Cancelled")</f>
        <v>Cancelled</v>
      </c>
      <c r="Y539" s="409"/>
      <c r="Z539" s="408"/>
      <c r="AA539" s="408" t="s">
        <v>378</v>
      </c>
      <c r="AB539" s="83" cm="1">
        <f t="array" ref="AB539">Iss_Tariff(Main_Issuance[[#This Row],[Bank]],Main_Issuance[[#This Row],[LC Amt(SAR)]],Main_Issuance[[#This Row],[Issue Date.]],Main_Issuance[[#This Row],[Expiry Date]],Main_Issuance[[#This Row],[Calculate]])</f>
        <v>0</v>
      </c>
      <c r="AC539" s="83"/>
    </row>
    <row r="540" spans="1:29" ht="15.75" hidden="1" x14ac:dyDescent="0.25">
      <c r="A540" s="57" t="s">
        <v>559</v>
      </c>
      <c r="B540" s="56">
        <v>45638</v>
      </c>
      <c r="C540" s="56" t="s">
        <v>441</v>
      </c>
      <c r="D540" s="69" t="s">
        <v>20</v>
      </c>
      <c r="E540" s="69" t="s">
        <v>373</v>
      </c>
      <c r="F540" s="19" t="s">
        <v>483</v>
      </c>
      <c r="G540" s="69" t="s">
        <v>560</v>
      </c>
      <c r="H540" s="59" t="s">
        <v>24</v>
      </c>
      <c r="I540" s="65" t="s">
        <v>22</v>
      </c>
      <c r="J540" s="59">
        <v>1020055</v>
      </c>
      <c r="K540" s="69" t="s">
        <v>26</v>
      </c>
      <c r="L540" s="60">
        <v>3582817.67</v>
      </c>
      <c r="M540" s="60">
        <v>1</v>
      </c>
      <c r="N540" s="60">
        <f>Main_Issuance[[#This Row],[LC Amt(FCY)]]*Main_Issuance[[#This Row],[Rate]]</f>
        <v>3582817.67</v>
      </c>
      <c r="O540" s="56">
        <v>45747</v>
      </c>
      <c r="P540" s="56">
        <v>45747</v>
      </c>
      <c r="Q540" s="58" t="s">
        <v>27</v>
      </c>
      <c r="R540" s="69" t="s">
        <v>311</v>
      </c>
      <c r="S540" s="71"/>
      <c r="T540" s="71"/>
      <c r="U540" s="71"/>
      <c r="V540" s="68">
        <v>0</v>
      </c>
      <c r="W540" s="115"/>
      <c r="X540" s="191" t="str">
        <f ca="1">IF(AND((Main_Issuance[[#This Row],[Expiry Date]]+31)&gt;TODAY(),Main_Issuance[[#This Row],[Status]]&lt;&gt;"Cancelled"),"Active","Cancelled")</f>
        <v>Cancelled</v>
      </c>
      <c r="Y540" s="409"/>
      <c r="Z540" s="408"/>
      <c r="AA540" s="408" t="s">
        <v>378</v>
      </c>
      <c r="AB540" s="83" cm="1">
        <f t="array" ref="AB540">Iss_Tariff(Main_Issuance[[#This Row],[Bank]],Main_Issuance[[#This Row],[LC Amt(SAR)]],Main_Issuance[[#This Row],[Issue Date.]],Main_Issuance[[#This Row],[Expiry Date]],Main_Issuance[[#This Row],[Calculate]])</f>
        <v>0</v>
      </c>
      <c r="AC540" s="83"/>
    </row>
    <row r="541" spans="1:29" ht="15.75" hidden="1" x14ac:dyDescent="0.25">
      <c r="A541" s="114" t="s">
        <v>798</v>
      </c>
      <c r="B541" s="56">
        <v>45739</v>
      </c>
      <c r="C541" s="56" t="s">
        <v>441</v>
      </c>
      <c r="D541" s="69" t="s">
        <v>20</v>
      </c>
      <c r="E541" s="69" t="s">
        <v>21</v>
      </c>
      <c r="F541" s="19" t="s">
        <v>22</v>
      </c>
      <c r="G541" s="69" t="s">
        <v>560</v>
      </c>
      <c r="H541" s="19" t="s">
        <v>24</v>
      </c>
      <c r="I541" s="69" t="s">
        <v>22</v>
      </c>
      <c r="J541" s="59">
        <v>1020055</v>
      </c>
      <c r="K541" s="69" t="s">
        <v>26</v>
      </c>
      <c r="L541" s="60">
        <v>800000</v>
      </c>
      <c r="M541" s="60">
        <v>1</v>
      </c>
      <c r="N541" s="60">
        <f>Main_Issuance[[#This Row],[LC Amt(FCY)]]*Main_Issuance[[#This Row],[Rate]]</f>
        <v>800000</v>
      </c>
      <c r="O541" s="56">
        <v>45900</v>
      </c>
      <c r="P541" s="56">
        <v>45900</v>
      </c>
      <c r="Q541" s="58" t="s">
        <v>27</v>
      </c>
      <c r="R541" s="69" t="s">
        <v>311</v>
      </c>
      <c r="S541" s="71"/>
      <c r="T541" s="71"/>
      <c r="U541" s="71"/>
      <c r="V541" s="68">
        <v>0</v>
      </c>
      <c r="W541" s="115"/>
      <c r="X541" s="191" t="str">
        <f ca="1">IF(AND((Main_Issuance[[#This Row],[Expiry Date]]+31)&gt;TODAY(),Main_Issuance[[#This Row],[Status]]&lt;&gt;"Cancelled"),"Active","Cancelled")</f>
        <v>Cancelled</v>
      </c>
      <c r="Y541" s="409"/>
      <c r="Z541" s="408"/>
      <c r="AA541" s="408" t="s">
        <v>378</v>
      </c>
      <c r="AB541" s="83" cm="1">
        <f t="array" ref="AB541">Iss_Tariff(Main_Issuance[[#This Row],[Bank]],Main_Issuance[[#This Row],[LC Amt(SAR)]],Main_Issuance[[#This Row],[Issue Date.]],Main_Issuance[[#This Row],[Expiry Date]],Main_Issuance[[#This Row],[Calculate]])</f>
        <v>0</v>
      </c>
      <c r="AC541" s="83"/>
    </row>
    <row r="542" spans="1:29" ht="15.75" hidden="1" x14ac:dyDescent="0.25">
      <c r="A542" s="57" t="s">
        <v>285</v>
      </c>
      <c r="B542" s="56">
        <v>45505</v>
      </c>
      <c r="C542" s="56" t="s">
        <v>441</v>
      </c>
      <c r="D542" s="69" t="s">
        <v>20</v>
      </c>
      <c r="E542" s="69" t="s">
        <v>21</v>
      </c>
      <c r="F542" s="19" t="s">
        <v>22</v>
      </c>
      <c r="G542" s="69" t="s">
        <v>286</v>
      </c>
      <c r="H542" s="59" t="s">
        <v>24</v>
      </c>
      <c r="I542" s="65" t="s">
        <v>22</v>
      </c>
      <c r="J542" s="59">
        <v>1020055</v>
      </c>
      <c r="K542" s="69" t="s">
        <v>26</v>
      </c>
      <c r="L542" s="60">
        <v>300000</v>
      </c>
      <c r="M542" s="60">
        <v>1</v>
      </c>
      <c r="N542" s="60">
        <f>Main_Issuance[[#This Row],[LC Amt(FCY)]]*Main_Issuance[[#This Row],[Rate]]</f>
        <v>300000</v>
      </c>
      <c r="O542" s="56">
        <v>45596</v>
      </c>
      <c r="P542" s="56">
        <v>45596</v>
      </c>
      <c r="Q542" s="58" t="s">
        <v>27</v>
      </c>
      <c r="R542" s="69"/>
      <c r="S542" s="71"/>
      <c r="T542" s="71"/>
      <c r="U542" s="71"/>
      <c r="V542" s="68">
        <v>0</v>
      </c>
      <c r="W542" s="115"/>
      <c r="X542" s="191" t="str">
        <f ca="1">IF(AND((Main_Issuance[[#This Row],[Expiry Date]]+31)&gt;TODAY(),Main_Issuance[[#This Row],[Status]]&lt;&gt;"Cancelled"),"Active","Cancelled")</f>
        <v>Cancelled</v>
      </c>
      <c r="Y542" s="409"/>
      <c r="Z542" s="408"/>
      <c r="AA542" s="408" t="s">
        <v>378</v>
      </c>
      <c r="AB542" s="83" cm="1">
        <f t="array" ref="AB542">Iss_Tariff(Main_Issuance[[#This Row],[Bank]],Main_Issuance[[#This Row],[LC Amt(SAR)]],Main_Issuance[[#This Row],[Issue Date.]],Main_Issuance[[#This Row],[Expiry Date]],Main_Issuance[[#This Row],[Calculate]])</f>
        <v>0</v>
      </c>
      <c r="AC542" s="83"/>
    </row>
    <row r="543" spans="1:29" ht="15.75" hidden="1" x14ac:dyDescent="0.25">
      <c r="A543" s="114" t="s">
        <v>1860</v>
      </c>
      <c r="B543" s="76">
        <v>45911</v>
      </c>
      <c r="C543" s="76" t="s">
        <v>1537</v>
      </c>
      <c r="D543" s="78" t="s">
        <v>20</v>
      </c>
      <c r="E543" s="78" t="s">
        <v>62</v>
      </c>
      <c r="F543" s="115" t="s">
        <v>70</v>
      </c>
      <c r="G543" s="78" t="s">
        <v>1787</v>
      </c>
      <c r="H543" s="113" t="s">
        <v>24</v>
      </c>
      <c r="I543" s="78" t="s">
        <v>483</v>
      </c>
      <c r="J543" s="113">
        <v>1020096</v>
      </c>
      <c r="K543" s="78" t="s">
        <v>26</v>
      </c>
      <c r="L543" s="119">
        <v>450000</v>
      </c>
      <c r="M543" s="119">
        <v>1</v>
      </c>
      <c r="N543" s="119">
        <f>Main_Issuance[[#This Row],[LC Amt(FCY)]]*Main_Issuance[[#This Row],[Rate]]</f>
        <v>450000</v>
      </c>
      <c r="O543" s="76">
        <v>46053</v>
      </c>
      <c r="P543" s="76">
        <v>46053</v>
      </c>
      <c r="Q543" s="77" t="s">
        <v>70</v>
      </c>
      <c r="R543" s="78" t="s">
        <v>621</v>
      </c>
      <c r="S543" s="81"/>
      <c r="T543" s="81"/>
      <c r="U543" s="81"/>
      <c r="V543" s="83">
        <v>0</v>
      </c>
      <c r="W543" s="115"/>
      <c r="X543" s="146" t="str">
        <f ca="1">IF(AND((Main_Issuance[[#This Row],[Expiry Date]]+31)&gt;TODAY(),Main_Issuance[[#This Row],[Status]]&lt;&gt;"Cancelled"),"Active","Cancelled")</f>
        <v>Cancelled</v>
      </c>
      <c r="Y543" s="409"/>
      <c r="Z543" s="408"/>
      <c r="AA543" s="408" t="s">
        <v>378</v>
      </c>
      <c r="AB543" s="83" cm="1">
        <f t="array" ref="AB543">Iss_Tariff(Main_Issuance[[#This Row],[Bank]],Main_Issuance[[#This Row],[LC Amt(SAR)]],Main_Issuance[[#This Row],[Issue Date.]],Main_Issuance[[#This Row],[Expiry Date]],Main_Issuance[[#This Row],[Calculate]])</f>
        <v>0</v>
      </c>
      <c r="AC543" s="83"/>
    </row>
    <row r="544" spans="1:29" ht="15.75" hidden="1" x14ac:dyDescent="0.25">
      <c r="A544" s="57" t="s">
        <v>533</v>
      </c>
      <c r="B544" s="56">
        <v>45635</v>
      </c>
      <c r="C544" s="56" t="s">
        <v>534</v>
      </c>
      <c r="D544" s="69" t="s">
        <v>20</v>
      </c>
      <c r="E544" s="69" t="s">
        <v>21</v>
      </c>
      <c r="F544" s="19" t="s">
        <v>22</v>
      </c>
      <c r="G544" s="69" t="s">
        <v>535</v>
      </c>
      <c r="H544" s="59" t="s">
        <v>1791</v>
      </c>
      <c r="I544" s="65" t="s">
        <v>22</v>
      </c>
      <c r="J544" s="59">
        <v>1020055</v>
      </c>
      <c r="K544" s="69" t="s">
        <v>31</v>
      </c>
      <c r="L544" s="60">
        <v>131292</v>
      </c>
      <c r="M544" s="60">
        <v>4.7089499999999997</v>
      </c>
      <c r="N544" s="60">
        <f>Main_Issuance[[#This Row],[LC Amt(FCY)]]*Main_Issuance[[#This Row],[Rate]]</f>
        <v>618247.46340000001</v>
      </c>
      <c r="O544" s="56">
        <v>45768</v>
      </c>
      <c r="P544" s="56">
        <v>45747</v>
      </c>
      <c r="Q544" s="58" t="s">
        <v>27</v>
      </c>
      <c r="R544" s="69" t="s">
        <v>32</v>
      </c>
      <c r="S544" s="71"/>
      <c r="T544" s="71"/>
      <c r="U544" s="71"/>
      <c r="V544" s="68">
        <v>0</v>
      </c>
      <c r="W544" s="115"/>
      <c r="X544" s="191" t="str">
        <f ca="1">IF(AND((Main_Issuance[[#This Row],[Expiry Date]]+31)&gt;TODAY(),Main_Issuance[[#This Row],[Status]]&lt;&gt;"Cancelled"),"Active","Cancelled")</f>
        <v>Cancelled</v>
      </c>
      <c r="Y544" s="409"/>
      <c r="Z544" s="408"/>
      <c r="AA544" s="408" t="s">
        <v>378</v>
      </c>
      <c r="AB544" s="83" cm="1">
        <f t="array" ref="AB544">Iss_Tariff(Main_Issuance[[#This Row],[Bank]],Main_Issuance[[#This Row],[LC Amt(SAR)]],Main_Issuance[[#This Row],[Issue Date.]],Main_Issuance[[#This Row],[Expiry Date]],Main_Issuance[[#This Row],[Calculate]])</f>
        <v>0</v>
      </c>
      <c r="AC544" s="83"/>
    </row>
    <row r="545" spans="1:29" ht="15.75" hidden="1" x14ac:dyDescent="0.25">
      <c r="A545" s="57" t="s">
        <v>536</v>
      </c>
      <c r="B545" s="56">
        <v>45635</v>
      </c>
      <c r="C545" s="56" t="s">
        <v>534</v>
      </c>
      <c r="D545" s="69" t="s">
        <v>20</v>
      </c>
      <c r="E545" s="69" t="s">
        <v>21</v>
      </c>
      <c r="F545" s="19" t="s">
        <v>22</v>
      </c>
      <c r="G545" s="69" t="s">
        <v>535</v>
      </c>
      <c r="H545" s="59" t="s">
        <v>1791</v>
      </c>
      <c r="I545" s="65" t="s">
        <v>22</v>
      </c>
      <c r="J545" s="59">
        <v>1020055</v>
      </c>
      <c r="K545" s="69" t="s">
        <v>31</v>
      </c>
      <c r="L545" s="60">
        <v>373015</v>
      </c>
      <c r="M545" s="60">
        <v>4.7089499999999997</v>
      </c>
      <c r="N545" s="60">
        <f>Main_Issuance[[#This Row],[LC Amt(FCY)]]*Main_Issuance[[#This Row],[Rate]]</f>
        <v>1756508.98425</v>
      </c>
      <c r="O545" s="56">
        <v>45768</v>
      </c>
      <c r="P545" s="56">
        <v>45747</v>
      </c>
      <c r="Q545" s="58" t="s">
        <v>27</v>
      </c>
      <c r="R545" s="69" t="s">
        <v>32</v>
      </c>
      <c r="S545" s="71"/>
      <c r="T545" s="71"/>
      <c r="U545" s="71"/>
      <c r="V545" s="68">
        <v>0</v>
      </c>
      <c r="W545" s="115"/>
      <c r="X545" s="191" t="str">
        <f ca="1">IF(AND((Main_Issuance[[#This Row],[Expiry Date]]+31)&gt;TODAY(),Main_Issuance[[#This Row],[Status]]&lt;&gt;"Cancelled"),"Active","Cancelled")</f>
        <v>Cancelled</v>
      </c>
      <c r="Y545" s="409"/>
      <c r="Z545" s="408"/>
      <c r="AA545" s="408" t="s">
        <v>378</v>
      </c>
      <c r="AB545" s="83" cm="1">
        <f t="array" ref="AB545">Iss_Tariff(Main_Issuance[[#This Row],[Bank]],Main_Issuance[[#This Row],[LC Amt(SAR)]],Main_Issuance[[#This Row],[Issue Date.]],Main_Issuance[[#This Row],[Expiry Date]],Main_Issuance[[#This Row],[Calculate]])</f>
        <v>0</v>
      </c>
      <c r="AC545" s="83"/>
    </row>
    <row r="546" spans="1:29" ht="15.75" hidden="1" x14ac:dyDescent="0.25">
      <c r="A546" s="114" t="s">
        <v>1368</v>
      </c>
      <c r="B546" s="76">
        <v>45796</v>
      </c>
      <c r="C546" s="76" t="s">
        <v>831</v>
      </c>
      <c r="D546" s="78" t="s">
        <v>20</v>
      </c>
      <c r="E546" s="78" t="s">
        <v>21</v>
      </c>
      <c r="F546" s="115" t="s">
        <v>22</v>
      </c>
      <c r="G546" s="78" t="s">
        <v>535</v>
      </c>
      <c r="H546" s="113" t="s">
        <v>1791</v>
      </c>
      <c r="I546" s="78" t="s">
        <v>22</v>
      </c>
      <c r="J546" s="113">
        <v>1020055</v>
      </c>
      <c r="K546" s="78" t="s">
        <v>31</v>
      </c>
      <c r="L546" s="119">
        <v>1198730.71</v>
      </c>
      <c r="M546" s="119">
        <v>4.7089499999999997</v>
      </c>
      <c r="N546" s="119">
        <f>Main_Issuance[[#This Row],[LC Amt(FCY)]]*Main_Issuance[[#This Row],[Rate]]</f>
        <v>5644762.9768544994</v>
      </c>
      <c r="O546" s="76">
        <v>46012</v>
      </c>
      <c r="P546" s="76">
        <v>45869</v>
      </c>
      <c r="Q546" s="77" t="s">
        <v>27</v>
      </c>
      <c r="R546" s="78" t="s">
        <v>1369</v>
      </c>
      <c r="S546" s="81"/>
      <c r="T546" s="81"/>
      <c r="U546" s="81"/>
      <c r="V546" s="83">
        <v>0</v>
      </c>
      <c r="W546" s="115" t="s">
        <v>2617</v>
      </c>
      <c r="X546" s="146" t="str">
        <f ca="1">IF(AND((Main_Issuance[[#This Row],[Expiry Date]]+31)&gt;TODAY(),Main_Issuance[[#This Row],[Status]]&lt;&gt;"Cancelled"),"Active","Cancelled")</f>
        <v>Cancelled</v>
      </c>
      <c r="Y546" s="409"/>
      <c r="Z546" s="408"/>
      <c r="AA546" s="408" t="s">
        <v>378</v>
      </c>
      <c r="AB546" s="83" cm="1">
        <f t="array" ref="AB546">Iss_Tariff(Main_Issuance[[#This Row],[Bank]],Main_Issuance[[#This Row],[LC Amt(SAR)]],Main_Issuance[[#This Row],[Issue Date.]],Main_Issuance[[#This Row],[Expiry Date]],Main_Issuance[[#This Row],[Calculate]])</f>
        <v>0</v>
      </c>
      <c r="AC546" s="83"/>
    </row>
    <row r="547" spans="1:29" ht="15.75" hidden="1" x14ac:dyDescent="0.25">
      <c r="A547" s="114" t="s">
        <v>3228</v>
      </c>
      <c r="B547" s="76">
        <v>46016</v>
      </c>
      <c r="C547" s="76" t="s">
        <v>831</v>
      </c>
      <c r="D547" s="78" t="s">
        <v>20</v>
      </c>
      <c r="E547" s="78" t="s">
        <v>21</v>
      </c>
      <c r="F547" s="115" t="s">
        <v>22</v>
      </c>
      <c r="G547" s="78" t="s">
        <v>535</v>
      </c>
      <c r="H547" s="113" t="s">
        <v>80</v>
      </c>
      <c r="I547" s="78" t="s">
        <v>22</v>
      </c>
      <c r="J547" s="115">
        <v>1020055</v>
      </c>
      <c r="K547" s="78" t="s">
        <v>31</v>
      </c>
      <c r="L547" s="119">
        <v>1534181.67</v>
      </c>
      <c r="M547" s="82">
        <v>4.6399999999999997</v>
      </c>
      <c r="N547" s="82">
        <f>Main_Issuance[[#This Row],[LC Amt(FCY)]]*Main_Issuance[[#This Row],[Rate]]</f>
        <v>7118602.9487999994</v>
      </c>
      <c r="O547" s="76">
        <v>46295</v>
      </c>
      <c r="P547" s="76">
        <v>46295</v>
      </c>
      <c r="Q547" s="77" t="s">
        <v>27</v>
      </c>
      <c r="R547" s="78" t="s">
        <v>311</v>
      </c>
      <c r="S547" s="81"/>
      <c r="T547" s="81"/>
      <c r="U547" s="81"/>
      <c r="V547" s="83">
        <v>0</v>
      </c>
      <c r="W547" s="115"/>
      <c r="X547" s="146" t="str">
        <f ca="1">IF(AND((Main_Issuance[[#This Row],[Expiry Date]]+31)&gt;TODAY(),Main_Issuance[[#This Row],[Status]]&lt;&gt;"Cancelled"),"Active","Cancelled")</f>
        <v>Active</v>
      </c>
      <c r="Y547" s="409"/>
      <c r="Z547" s="408"/>
      <c r="AA547" s="408" t="s">
        <v>857</v>
      </c>
      <c r="AB547" s="83" cm="1">
        <f t="array" ref="AB547">Iss_Tariff(Main_Issuance[[#This Row],[Bank]],Main_Issuance[[#This Row],[LC Amt(SAR)]],Main_Issuance[[#This Row],[Issue Date.]],Main_Issuance[[#This Row],[Expiry Date]],Main_Issuance[[#This Row],[Calculate]])</f>
        <v>42311.95</v>
      </c>
      <c r="AC547" s="83"/>
    </row>
    <row r="548" spans="1:29" ht="15.75" hidden="1" x14ac:dyDescent="0.25">
      <c r="A548" s="114" t="s">
        <v>2919</v>
      </c>
      <c r="B548" s="76">
        <v>45995</v>
      </c>
      <c r="C548" s="76" t="s">
        <v>831</v>
      </c>
      <c r="D548" s="78" t="s">
        <v>20</v>
      </c>
      <c r="E548" s="78" t="s">
        <v>21</v>
      </c>
      <c r="F548" s="115" t="s">
        <v>22</v>
      </c>
      <c r="G548" s="78" t="s">
        <v>535</v>
      </c>
      <c r="H548" s="113" t="s">
        <v>80</v>
      </c>
      <c r="I548" s="78" t="s">
        <v>22</v>
      </c>
      <c r="J548" s="115">
        <v>1020055</v>
      </c>
      <c r="K548" s="78" t="s">
        <v>31</v>
      </c>
      <c r="L548" s="119">
        <v>72830.59</v>
      </c>
      <c r="M548" s="82">
        <v>4.6399999999999997</v>
      </c>
      <c r="N548" s="82">
        <f>Main_Issuance[[#This Row],[LC Amt(FCY)]]*Main_Issuance[[#This Row],[Rate]]</f>
        <v>337933.93759999995</v>
      </c>
      <c r="O548" s="76">
        <v>46295</v>
      </c>
      <c r="P548" s="76">
        <v>46295</v>
      </c>
      <c r="Q548" s="77" t="s">
        <v>27</v>
      </c>
      <c r="R548" s="78" t="s">
        <v>705</v>
      </c>
      <c r="S548" s="81"/>
      <c r="T548" s="81"/>
      <c r="U548" s="81"/>
      <c r="V548" s="83">
        <v>0</v>
      </c>
      <c r="W548" s="115"/>
      <c r="X548" s="146" t="str">
        <f ca="1">IF(AND((Main_Issuance[[#This Row],[Expiry Date]]+31)&gt;TODAY(),Main_Issuance[[#This Row],[Status]]&lt;&gt;"Cancelled"),"Active","Cancelled")</f>
        <v>Active</v>
      </c>
      <c r="Y548" s="409"/>
      <c r="Z548" s="408"/>
      <c r="AA548" s="408" t="s">
        <v>857</v>
      </c>
      <c r="AB548" s="83" cm="1">
        <f t="array" ref="AB548">Iss_Tariff(Main_Issuance[[#This Row],[Bank]],Main_Issuance[[#This Row],[LC Amt(SAR)]],Main_Issuance[[#This Row],[Issue Date.]],Main_Issuance[[#This Row],[Expiry Date]],Main_Issuance[[#This Row],[Calculate]])</f>
        <v>3654.7</v>
      </c>
      <c r="AC548" s="83"/>
    </row>
    <row r="549" spans="1:29" ht="15.75" hidden="1" x14ac:dyDescent="0.25">
      <c r="A549" s="114" t="s">
        <v>4137</v>
      </c>
      <c r="B549" s="76">
        <v>46078</v>
      </c>
      <c r="C549" s="76" t="s">
        <v>831</v>
      </c>
      <c r="D549" s="78" t="s">
        <v>20</v>
      </c>
      <c r="E549" s="78" t="s">
        <v>21</v>
      </c>
      <c r="F549" s="115" t="s">
        <v>22</v>
      </c>
      <c r="G549" s="78" t="s">
        <v>535</v>
      </c>
      <c r="H549" s="113" t="s">
        <v>80</v>
      </c>
      <c r="I549" s="78" t="s">
        <v>22</v>
      </c>
      <c r="J549" s="115">
        <v>1020055</v>
      </c>
      <c r="K549" s="78" t="s">
        <v>31</v>
      </c>
      <c r="L549" s="119">
        <v>1198730.71</v>
      </c>
      <c r="M549" s="82">
        <v>5.19</v>
      </c>
      <c r="N549" s="82">
        <f>Main_Issuance[[#This Row],[LC Amt(FCY)]]*Main_Issuance[[#This Row],[Rate]]</f>
        <v>6221412.3848999999</v>
      </c>
      <c r="O549" s="76">
        <v>46142</v>
      </c>
      <c r="P549" s="76">
        <v>46142</v>
      </c>
      <c r="Q549" s="77" t="s">
        <v>27</v>
      </c>
      <c r="R549" s="78" t="s">
        <v>311</v>
      </c>
      <c r="S549" s="81"/>
      <c r="T549" s="81"/>
      <c r="U549" s="81"/>
      <c r="V549" s="83">
        <v>0</v>
      </c>
      <c r="W549" s="115"/>
      <c r="X549" s="146" t="str">
        <f ca="1">IF(AND((Main_Issuance[[#This Row],[Expiry Date]]+31)&gt;TODAY(),Main_Issuance[[#This Row],[Status]]&lt;&gt;"Cancelled"),"Active","Cancelled")</f>
        <v>Cancelled</v>
      </c>
      <c r="Y549" s="409"/>
      <c r="Z549" s="408"/>
      <c r="AA549" s="408" t="s">
        <v>857</v>
      </c>
      <c r="AB549" s="83" cm="1">
        <f t="array" ref="AB549">Iss_Tariff(Main_Issuance[[#This Row],[Bank]],Main_Issuance[[#This Row],[LC Amt(SAR)]],Main_Issuance[[#This Row],[Issue Date.]],Main_Issuance[[#This Row],[Expiry Date]],Main_Issuance[[#This Row],[Calculate]])</f>
        <v>10323.549999999999</v>
      </c>
      <c r="AC549" s="83"/>
    </row>
    <row r="550" spans="1:29" ht="15.75" hidden="1" x14ac:dyDescent="0.25">
      <c r="A550" s="57" t="s">
        <v>29</v>
      </c>
      <c r="B550" s="56">
        <v>45125</v>
      </c>
      <c r="C550" s="56" t="s">
        <v>1184</v>
      </c>
      <c r="D550" s="69" t="s">
        <v>20</v>
      </c>
      <c r="E550" s="69" t="s">
        <v>21</v>
      </c>
      <c r="F550" s="19" t="s">
        <v>22</v>
      </c>
      <c r="G550" s="69" t="s">
        <v>30</v>
      </c>
      <c r="H550" s="59" t="s">
        <v>1791</v>
      </c>
      <c r="I550" s="65" t="s">
        <v>22</v>
      </c>
      <c r="J550" s="59">
        <v>1020055</v>
      </c>
      <c r="K550" s="69" t="s">
        <v>31</v>
      </c>
      <c r="L550" s="60">
        <v>5028295</v>
      </c>
      <c r="M550" s="60">
        <v>4.7553999999999998</v>
      </c>
      <c r="N550" s="60">
        <f>Main_Issuance[[#This Row],[LC Amt(FCY)]]*Main_Issuance[[#This Row],[Rate]]</f>
        <v>23911554.042999998</v>
      </c>
      <c r="O550" s="56">
        <v>45473</v>
      </c>
      <c r="P550" s="56">
        <v>45473</v>
      </c>
      <c r="Q550" s="58" t="s">
        <v>27</v>
      </c>
      <c r="R550" s="69" t="s">
        <v>32</v>
      </c>
      <c r="S550" s="71"/>
      <c r="T550" s="71"/>
      <c r="U550" s="71"/>
      <c r="V550" s="68">
        <v>0</v>
      </c>
      <c r="W550" s="115"/>
      <c r="X550" s="191" t="str">
        <f ca="1">IF(AND((Main_Issuance[[#This Row],[Expiry Date]]+31)&gt;TODAY(),Main_Issuance[[#This Row],[Status]]&lt;&gt;"Cancelled"),"Active","Cancelled")</f>
        <v>Cancelled</v>
      </c>
      <c r="Y550" s="409"/>
      <c r="Z550" s="408"/>
      <c r="AA550" s="408" t="s">
        <v>378</v>
      </c>
      <c r="AB550" s="83" cm="1">
        <f t="array" ref="AB550">Iss_Tariff(Main_Issuance[[#This Row],[Bank]],Main_Issuance[[#This Row],[LC Amt(SAR)]],Main_Issuance[[#This Row],[Issue Date.]],Main_Issuance[[#This Row],[Expiry Date]],Main_Issuance[[#This Row],[Calculate]])</f>
        <v>0</v>
      </c>
      <c r="AC550" s="83"/>
    </row>
    <row r="551" spans="1:29" ht="15.75" hidden="1" x14ac:dyDescent="0.25">
      <c r="A551" s="57" t="s">
        <v>253</v>
      </c>
      <c r="B551" s="56">
        <v>45125</v>
      </c>
      <c r="C551" s="56" t="s">
        <v>1184</v>
      </c>
      <c r="D551" s="69" t="s">
        <v>20</v>
      </c>
      <c r="E551" s="69" t="s">
        <v>21</v>
      </c>
      <c r="F551" s="19" t="s">
        <v>22</v>
      </c>
      <c r="G551" s="69" t="s">
        <v>30</v>
      </c>
      <c r="H551" s="59" t="s">
        <v>1791</v>
      </c>
      <c r="I551" s="65" t="s">
        <v>22</v>
      </c>
      <c r="J551" s="59">
        <v>1020055</v>
      </c>
      <c r="K551" s="69" t="s">
        <v>31</v>
      </c>
      <c r="L551" s="60">
        <v>3834246</v>
      </c>
      <c r="M551" s="60">
        <v>4.7802300000000004</v>
      </c>
      <c r="N551" s="60">
        <f>Main_Issuance[[#This Row],[LC Amt(FCY)]]*Main_Issuance[[#This Row],[Rate]]</f>
        <v>18328577.756580003</v>
      </c>
      <c r="O551" s="56">
        <v>45551</v>
      </c>
      <c r="P551" s="56">
        <v>45551</v>
      </c>
      <c r="Q551" s="58" t="s">
        <v>27</v>
      </c>
      <c r="R551" s="69" t="s">
        <v>32</v>
      </c>
      <c r="S551" s="71"/>
      <c r="T551" s="71"/>
      <c r="U551" s="71"/>
      <c r="V551" s="68">
        <v>0</v>
      </c>
      <c r="W551" s="115"/>
      <c r="X551" s="191" t="str">
        <f ca="1">IF(AND((Main_Issuance[[#This Row],[Expiry Date]]+31)&gt;TODAY(),Main_Issuance[[#This Row],[Status]]&lt;&gt;"Cancelled"),"Active","Cancelled")</f>
        <v>Cancelled</v>
      </c>
      <c r="Y551" s="409"/>
      <c r="Z551" s="408"/>
      <c r="AA551" s="408" t="s">
        <v>378</v>
      </c>
      <c r="AB551" s="83" cm="1">
        <f t="array" ref="AB551">Iss_Tariff(Main_Issuance[[#This Row],[Bank]],Main_Issuance[[#This Row],[LC Amt(SAR)]],Main_Issuance[[#This Row],[Issue Date.]],Main_Issuance[[#This Row],[Expiry Date]],Main_Issuance[[#This Row],[Calculate]])</f>
        <v>0</v>
      </c>
      <c r="AC551" s="83"/>
    </row>
    <row r="552" spans="1:29" ht="15.75" hidden="1" x14ac:dyDescent="0.25">
      <c r="A552" s="57" t="s">
        <v>491</v>
      </c>
      <c r="B552" s="56">
        <v>45610</v>
      </c>
      <c r="C552" s="56" t="s">
        <v>509</v>
      </c>
      <c r="D552" s="69" t="s">
        <v>20</v>
      </c>
      <c r="E552" s="69" t="s">
        <v>21</v>
      </c>
      <c r="F552" s="19" t="s">
        <v>22</v>
      </c>
      <c r="G552" s="69" t="s">
        <v>492</v>
      </c>
      <c r="H552" s="59" t="s">
        <v>72</v>
      </c>
      <c r="I552" s="65" t="s">
        <v>487</v>
      </c>
      <c r="J552" s="59">
        <v>1020060</v>
      </c>
      <c r="K552" s="69" t="s">
        <v>26</v>
      </c>
      <c r="L552" s="60">
        <v>807357.5</v>
      </c>
      <c r="M552" s="60">
        <v>1</v>
      </c>
      <c r="N552" s="60">
        <f>Main_Issuance[[#This Row],[LC Amt(FCY)]]*Main_Issuance[[#This Row],[Rate]]</f>
        <v>807357.5</v>
      </c>
      <c r="O552" s="56">
        <v>45688</v>
      </c>
      <c r="P552" s="56">
        <v>45661</v>
      </c>
      <c r="Q552" s="58" t="s">
        <v>27</v>
      </c>
      <c r="R552" s="69" t="s">
        <v>305</v>
      </c>
      <c r="S552" s="71"/>
      <c r="T552" s="71"/>
      <c r="U552" s="71"/>
      <c r="V552" s="68">
        <v>0</v>
      </c>
      <c r="W552" s="115"/>
      <c r="X552" s="191" t="str">
        <f ca="1">IF(AND((Main_Issuance[[#This Row],[Expiry Date]]+31)&gt;TODAY(),Main_Issuance[[#This Row],[Status]]&lt;&gt;"Cancelled"),"Active","Cancelled")</f>
        <v>Cancelled</v>
      </c>
      <c r="Y552" s="409"/>
      <c r="Z552" s="408"/>
      <c r="AA552" s="408" t="s">
        <v>378</v>
      </c>
      <c r="AB552" s="83" cm="1">
        <f t="array" ref="AB552">Iss_Tariff(Main_Issuance[[#This Row],[Bank]],Main_Issuance[[#This Row],[LC Amt(SAR)]],Main_Issuance[[#This Row],[Issue Date.]],Main_Issuance[[#This Row],[Expiry Date]],Main_Issuance[[#This Row],[Calculate]])</f>
        <v>0</v>
      </c>
      <c r="AC552" s="83"/>
    </row>
    <row r="553" spans="1:29" ht="15.75" hidden="1" x14ac:dyDescent="0.25">
      <c r="A553" s="57" t="s">
        <v>171</v>
      </c>
      <c r="B553" s="56">
        <v>45245</v>
      </c>
      <c r="C553" s="56" t="s">
        <v>441</v>
      </c>
      <c r="D553" s="69" t="s">
        <v>20</v>
      </c>
      <c r="E553" s="69" t="s">
        <v>21</v>
      </c>
      <c r="F553" s="19" t="s">
        <v>22</v>
      </c>
      <c r="G553" s="69" t="s">
        <v>172</v>
      </c>
      <c r="H553" s="59" t="s">
        <v>24</v>
      </c>
      <c r="I553" s="65" t="s">
        <v>22</v>
      </c>
      <c r="J553" s="59">
        <v>1020055</v>
      </c>
      <c r="K553" s="69" t="s">
        <v>26</v>
      </c>
      <c r="L553" s="60">
        <v>405408.51</v>
      </c>
      <c r="M553" s="60">
        <v>1</v>
      </c>
      <c r="N553" s="60">
        <f>Main_Issuance[[#This Row],[LC Amt(FCY)]]*Main_Issuance[[#This Row],[Rate]]</f>
        <v>405408.51</v>
      </c>
      <c r="O553" s="56">
        <v>45350</v>
      </c>
      <c r="P553" s="56">
        <v>45350</v>
      </c>
      <c r="Q553" s="58" t="s">
        <v>27</v>
      </c>
      <c r="R553" s="69"/>
      <c r="S553" s="71"/>
      <c r="T553" s="71"/>
      <c r="U553" s="71"/>
      <c r="V553" s="68">
        <v>0</v>
      </c>
      <c r="W553" s="115"/>
      <c r="X553" s="191" t="str">
        <f ca="1">IF(AND((Main_Issuance[[#This Row],[Expiry Date]]+31)&gt;TODAY(),Main_Issuance[[#This Row],[Status]]&lt;&gt;"Cancelled"),"Active","Cancelled")</f>
        <v>Cancelled</v>
      </c>
      <c r="Y553" s="409"/>
      <c r="Z553" s="408"/>
      <c r="AA553" s="408" t="s">
        <v>378</v>
      </c>
      <c r="AB553" s="83" cm="1">
        <f t="array" ref="AB553">Iss_Tariff(Main_Issuance[[#This Row],[Bank]],Main_Issuance[[#This Row],[LC Amt(SAR)]],Main_Issuance[[#This Row],[Issue Date.]],Main_Issuance[[#This Row],[Expiry Date]],Main_Issuance[[#This Row],[Calculate]])</f>
        <v>0</v>
      </c>
      <c r="AC553" s="83"/>
    </row>
    <row r="554" spans="1:29" ht="15.75" hidden="1" x14ac:dyDescent="0.25">
      <c r="A554" s="114" t="s">
        <v>1673</v>
      </c>
      <c r="B554" s="76">
        <v>45872</v>
      </c>
      <c r="C554" s="76" t="s">
        <v>1119</v>
      </c>
      <c r="D554" s="78" t="s">
        <v>20</v>
      </c>
      <c r="E554" s="78" t="s">
        <v>366</v>
      </c>
      <c r="F554" s="115" t="s">
        <v>367</v>
      </c>
      <c r="G554" s="78" t="s">
        <v>1628</v>
      </c>
      <c r="H554" s="115" t="s">
        <v>24</v>
      </c>
      <c r="I554" s="78" t="s">
        <v>367</v>
      </c>
      <c r="J554" s="113">
        <v>1020091</v>
      </c>
      <c r="K554" s="78" t="s">
        <v>26</v>
      </c>
      <c r="L554" s="60">
        <v>850000</v>
      </c>
      <c r="M554" s="60">
        <v>1</v>
      </c>
      <c r="N554" s="60">
        <f>Main_Issuance[[#This Row],[LC Amt(FCY)]]*Main_Issuance[[#This Row],[Rate]]</f>
        <v>850000</v>
      </c>
      <c r="O554" s="76">
        <v>46022</v>
      </c>
      <c r="P554" s="76">
        <v>46022</v>
      </c>
      <c r="Q554" s="77" t="s">
        <v>27</v>
      </c>
      <c r="R554" s="78" t="s">
        <v>1629</v>
      </c>
      <c r="S554" s="81"/>
      <c r="T554" s="81"/>
      <c r="U554" s="81"/>
      <c r="V554" s="83">
        <v>0</v>
      </c>
      <c r="W554" s="115"/>
      <c r="X554" s="146" t="str">
        <f ca="1">IF(AND((Main_Issuance[[#This Row],[Expiry Date]]+31)&gt;TODAY(),Main_Issuance[[#This Row],[Status]]&lt;&gt;"Cancelled"),"Active","Cancelled")</f>
        <v>Cancelled</v>
      </c>
      <c r="Y554" s="409"/>
      <c r="Z554" s="408"/>
      <c r="AA554" s="408" t="s">
        <v>378</v>
      </c>
      <c r="AB554" s="83" cm="1">
        <f t="array" ref="AB554">Iss_Tariff(Main_Issuance[[#This Row],[Bank]],Main_Issuance[[#This Row],[LC Amt(SAR)]],Main_Issuance[[#This Row],[Issue Date.]],Main_Issuance[[#This Row],[Expiry Date]],Main_Issuance[[#This Row],[Calculate]])</f>
        <v>0</v>
      </c>
      <c r="AC554" s="83"/>
    </row>
    <row r="555" spans="1:29" ht="15.75" hidden="1" x14ac:dyDescent="0.25">
      <c r="A555" s="57" t="s">
        <v>84</v>
      </c>
      <c r="B555" s="56">
        <v>45330</v>
      </c>
      <c r="C555" s="56" t="s">
        <v>509</v>
      </c>
      <c r="D555" s="69" t="s">
        <v>20</v>
      </c>
      <c r="E555" s="69" t="s">
        <v>62</v>
      </c>
      <c r="F555" s="19" t="s">
        <v>63</v>
      </c>
      <c r="G555" s="69" t="s">
        <v>85</v>
      </c>
      <c r="H555" s="59" t="s">
        <v>72</v>
      </c>
      <c r="I555" s="65" t="s">
        <v>304</v>
      </c>
      <c r="J555" s="59">
        <v>1020098</v>
      </c>
      <c r="K555" s="69" t="s">
        <v>26</v>
      </c>
      <c r="L555" s="60">
        <v>2685480</v>
      </c>
      <c r="M555" s="60">
        <v>1</v>
      </c>
      <c r="N555" s="60">
        <f>Main_Issuance[[#This Row],[LC Amt(FCY)]]*Main_Issuance[[#This Row],[Rate]]</f>
        <v>2685480</v>
      </c>
      <c r="O555" s="56">
        <v>45524</v>
      </c>
      <c r="P555" s="56">
        <v>45524</v>
      </c>
      <c r="Q555" s="58" t="s">
        <v>27</v>
      </c>
      <c r="R555" s="69"/>
      <c r="S555" s="71"/>
      <c r="T555" s="71"/>
      <c r="U555" s="71"/>
      <c r="V555" s="68">
        <v>0</v>
      </c>
      <c r="W555" s="115"/>
      <c r="X555" s="191" t="str">
        <f ca="1">IF(AND((Main_Issuance[[#This Row],[Expiry Date]]+31)&gt;TODAY(),Main_Issuance[[#This Row],[Status]]&lt;&gt;"Cancelled"),"Active","Cancelled")</f>
        <v>Cancelled</v>
      </c>
      <c r="Y555" s="409"/>
      <c r="Z555" s="408"/>
      <c r="AA555" s="408" t="s">
        <v>378</v>
      </c>
      <c r="AB555" s="83" cm="1">
        <f t="array" ref="AB555">Iss_Tariff(Main_Issuance[[#This Row],[Bank]],Main_Issuance[[#This Row],[LC Amt(SAR)]],Main_Issuance[[#This Row],[Issue Date.]],Main_Issuance[[#This Row],[Expiry Date]],Main_Issuance[[#This Row],[Calculate]])</f>
        <v>0</v>
      </c>
      <c r="AC555" s="83"/>
    </row>
    <row r="556" spans="1:29" ht="15.75" hidden="1" x14ac:dyDescent="0.25">
      <c r="A556" s="57" t="s">
        <v>87</v>
      </c>
      <c r="B556" s="56">
        <v>45330</v>
      </c>
      <c r="C556" s="56" t="s">
        <v>509</v>
      </c>
      <c r="D556" s="69" t="s">
        <v>20</v>
      </c>
      <c r="E556" s="69" t="s">
        <v>62</v>
      </c>
      <c r="F556" s="19" t="s">
        <v>63</v>
      </c>
      <c r="G556" s="69" t="s">
        <v>85</v>
      </c>
      <c r="H556" s="59" t="s">
        <v>72</v>
      </c>
      <c r="I556" s="65" t="s">
        <v>304</v>
      </c>
      <c r="J556" s="59">
        <v>1020098</v>
      </c>
      <c r="K556" s="69" t="s">
        <v>26</v>
      </c>
      <c r="L556" s="60">
        <v>18785537.5</v>
      </c>
      <c r="M556" s="60">
        <v>1</v>
      </c>
      <c r="N556" s="60">
        <f>Main_Issuance[[#This Row],[LC Amt(FCY)]]*Main_Issuance[[#This Row],[Rate]]</f>
        <v>18785537.5</v>
      </c>
      <c r="O556" s="56">
        <v>45443</v>
      </c>
      <c r="P556" s="56">
        <v>45443</v>
      </c>
      <c r="Q556" s="58" t="s">
        <v>27</v>
      </c>
      <c r="R556" s="69"/>
      <c r="S556" s="71"/>
      <c r="T556" s="71"/>
      <c r="U556" s="71"/>
      <c r="V556" s="68">
        <v>0</v>
      </c>
      <c r="W556" s="115"/>
      <c r="X556" s="191" t="str">
        <f ca="1">IF(AND((Main_Issuance[[#This Row],[Expiry Date]]+31)&gt;TODAY(),Main_Issuance[[#This Row],[Status]]&lt;&gt;"Cancelled"),"Active","Cancelled")</f>
        <v>Cancelled</v>
      </c>
      <c r="Y556" s="409"/>
      <c r="Z556" s="408"/>
      <c r="AA556" s="408" t="s">
        <v>378</v>
      </c>
      <c r="AB556" s="83" cm="1">
        <f t="array" ref="AB556">Iss_Tariff(Main_Issuance[[#This Row],[Bank]],Main_Issuance[[#This Row],[LC Amt(SAR)]],Main_Issuance[[#This Row],[Issue Date.]],Main_Issuance[[#This Row],[Expiry Date]],Main_Issuance[[#This Row],[Calculate]])</f>
        <v>0</v>
      </c>
      <c r="AC556" s="83"/>
    </row>
    <row r="557" spans="1:29" ht="15.75" hidden="1" x14ac:dyDescent="0.25">
      <c r="A557" s="114" t="s">
        <v>1519</v>
      </c>
      <c r="B557" s="76">
        <v>45834</v>
      </c>
      <c r="C557" s="76" t="s">
        <v>441</v>
      </c>
      <c r="D557" s="69" t="s">
        <v>20</v>
      </c>
      <c r="E557" s="78" t="s">
        <v>21</v>
      </c>
      <c r="F557" s="115" t="s">
        <v>22</v>
      </c>
      <c r="G557" s="78" t="s">
        <v>1465</v>
      </c>
      <c r="H557" s="115" t="s">
        <v>24</v>
      </c>
      <c r="I557" s="78" t="s">
        <v>407</v>
      </c>
      <c r="J557" s="113">
        <v>1020100</v>
      </c>
      <c r="K557" s="78" t="s">
        <v>26</v>
      </c>
      <c r="L557" s="60">
        <v>93771</v>
      </c>
      <c r="M557" s="60">
        <v>1</v>
      </c>
      <c r="N557" s="60">
        <f>Main_Issuance[[#This Row],[LC Amt(FCY)]]*Main_Issuance[[#This Row],[Rate]]</f>
        <v>93771</v>
      </c>
      <c r="O557" s="76">
        <v>46022</v>
      </c>
      <c r="P557" s="76">
        <v>46022</v>
      </c>
      <c r="Q557" s="77" t="s">
        <v>27</v>
      </c>
      <c r="R557" s="78" t="s">
        <v>621</v>
      </c>
      <c r="S557" s="81"/>
      <c r="T557" s="81"/>
      <c r="U557" s="81"/>
      <c r="V557" s="83">
        <v>0</v>
      </c>
      <c r="W557" s="115" t="s">
        <v>2397</v>
      </c>
      <c r="X557" s="146" t="str">
        <f ca="1">IF(AND((Main_Issuance[[#This Row],[Expiry Date]]+31)&gt;TODAY(),Main_Issuance[[#This Row],[Status]]&lt;&gt;"Cancelled"),"Active","Cancelled")</f>
        <v>Cancelled</v>
      </c>
      <c r="Y557" s="409"/>
      <c r="Z557" s="408"/>
      <c r="AA557" s="408" t="s">
        <v>378</v>
      </c>
      <c r="AB557" s="83" cm="1">
        <f t="array" ref="AB557">Iss_Tariff(Main_Issuance[[#This Row],[Bank]],Main_Issuance[[#This Row],[LC Amt(SAR)]],Main_Issuance[[#This Row],[Issue Date.]],Main_Issuance[[#This Row],[Expiry Date]],Main_Issuance[[#This Row],[Calculate]])</f>
        <v>0</v>
      </c>
      <c r="AC557" s="83"/>
    </row>
    <row r="558" spans="1:29" ht="15.75" hidden="1" x14ac:dyDescent="0.25">
      <c r="A558" s="114" t="s">
        <v>1616</v>
      </c>
      <c r="B558" s="76">
        <v>45865</v>
      </c>
      <c r="C558" s="76" t="s">
        <v>441</v>
      </c>
      <c r="D558" s="115" t="s">
        <v>20</v>
      </c>
      <c r="E558" s="78" t="s">
        <v>95</v>
      </c>
      <c r="F558" s="115" t="s">
        <v>96</v>
      </c>
      <c r="G558" s="78" t="s">
        <v>1567</v>
      </c>
      <c r="H558" s="115" t="s">
        <v>24</v>
      </c>
      <c r="I558" s="78" t="s">
        <v>407</v>
      </c>
      <c r="J558" s="113">
        <v>1020100</v>
      </c>
      <c r="K558" s="78" t="s">
        <v>26</v>
      </c>
      <c r="L558" s="60">
        <v>150000</v>
      </c>
      <c r="M558" s="60">
        <v>1</v>
      </c>
      <c r="N558" s="60">
        <f>Main_Issuance[[#This Row],[LC Amt(FCY)]]*Main_Issuance[[#This Row],[Rate]]</f>
        <v>150000</v>
      </c>
      <c r="O558" s="77">
        <v>45961</v>
      </c>
      <c r="P558" s="77">
        <v>45961</v>
      </c>
      <c r="Q558" s="77" t="s">
        <v>27</v>
      </c>
      <c r="R558" s="78" t="s">
        <v>621</v>
      </c>
      <c r="S558" s="81"/>
      <c r="T558" s="81"/>
      <c r="U558" s="81"/>
      <c r="V558" s="83">
        <v>0</v>
      </c>
      <c r="W558" s="115"/>
      <c r="X558" s="146" t="str">
        <f ca="1">IF(AND((Main_Issuance[[#This Row],[Expiry Date]]+31)&gt;TODAY(),Main_Issuance[[#This Row],[Status]]&lt;&gt;"Cancelled"),"Active","Cancelled")</f>
        <v>Cancelled</v>
      </c>
      <c r="Y558" s="409"/>
      <c r="Z558" s="408"/>
      <c r="AA558" s="408" t="s">
        <v>378</v>
      </c>
      <c r="AB558" s="83" cm="1">
        <f t="array" ref="AB558">Iss_Tariff(Main_Issuance[[#This Row],[Bank]],Main_Issuance[[#This Row],[LC Amt(SAR)]],Main_Issuance[[#This Row],[Issue Date.]],Main_Issuance[[#This Row],[Expiry Date]],Main_Issuance[[#This Row],[Calculate]])</f>
        <v>0</v>
      </c>
      <c r="AC558" s="83"/>
    </row>
    <row r="559" spans="1:29" ht="15.75" hidden="1" x14ac:dyDescent="0.25">
      <c r="A559" s="114" t="s">
        <v>3145</v>
      </c>
      <c r="B559" s="76">
        <v>46009</v>
      </c>
      <c r="C559" s="76" t="s">
        <v>2928</v>
      </c>
      <c r="D559" s="78" t="s">
        <v>20</v>
      </c>
      <c r="E559" s="78" t="s">
        <v>21</v>
      </c>
      <c r="F559" s="115" t="s">
        <v>22</v>
      </c>
      <c r="G559" s="78" t="s">
        <v>2926</v>
      </c>
      <c r="H559" s="113" t="s">
        <v>3287</v>
      </c>
      <c r="I559" s="79" t="s">
        <v>22</v>
      </c>
      <c r="J559" s="113">
        <v>1020055</v>
      </c>
      <c r="K559" s="78" t="s">
        <v>26</v>
      </c>
      <c r="L559" s="119">
        <v>1249991.3500000001</v>
      </c>
      <c r="M559" s="82">
        <v>1</v>
      </c>
      <c r="N559" s="82">
        <f>Main_Issuance[[#This Row],[LC Amt(FCY)]]*Main_Issuance[[#This Row],[Rate]]</f>
        <v>1249991.3500000001</v>
      </c>
      <c r="O559" s="76">
        <v>46081</v>
      </c>
      <c r="P559" s="76">
        <v>46081</v>
      </c>
      <c r="Q559" s="77" t="s">
        <v>27</v>
      </c>
      <c r="R559" s="78" t="s">
        <v>311</v>
      </c>
      <c r="S559" s="81"/>
      <c r="T559" s="81"/>
      <c r="U559" s="81"/>
      <c r="V559" s="83">
        <v>0</v>
      </c>
      <c r="W559" s="115"/>
      <c r="X559" s="146" t="str">
        <f ca="1">IF(AND((Main_Issuance[[#This Row],[Expiry Date]]+31)&gt;TODAY(),Main_Issuance[[#This Row],[Status]]&lt;&gt;"Cancelled"),"Active","Cancelled")</f>
        <v>Cancelled</v>
      </c>
      <c r="Y559" s="409"/>
      <c r="Z559" s="408"/>
      <c r="AA559" s="408" t="s">
        <v>857</v>
      </c>
      <c r="AB559" s="83" cm="1">
        <f t="array" ref="AB559">Iss_Tariff(Main_Issuance[[#This Row],[Bank]],Main_Issuance[[#This Row],[LC Amt(SAR)]],Main_Issuance[[#This Row],[Issue Date.]],Main_Issuance[[#This Row],[Expiry Date]],Main_Issuance[[#This Row],[Calculate]])</f>
        <v>3176.3</v>
      </c>
      <c r="AC559" s="83"/>
    </row>
    <row r="560" spans="1:29" ht="15.75" hidden="1" x14ac:dyDescent="0.25">
      <c r="A560" s="57" t="s">
        <v>759</v>
      </c>
      <c r="B560" s="56">
        <v>45734</v>
      </c>
      <c r="C560" s="56" t="s">
        <v>509</v>
      </c>
      <c r="D560" s="69" t="s">
        <v>20</v>
      </c>
      <c r="E560" s="69" t="s">
        <v>21</v>
      </c>
      <c r="F560" s="19" t="s">
        <v>22</v>
      </c>
      <c r="G560" s="69" t="s">
        <v>760</v>
      </c>
      <c r="H560" s="59" t="s">
        <v>24</v>
      </c>
      <c r="I560" s="65" t="s">
        <v>407</v>
      </c>
      <c r="J560" s="59">
        <v>1020100</v>
      </c>
      <c r="K560" s="69" t="s">
        <v>26</v>
      </c>
      <c r="L560" s="60">
        <v>700000</v>
      </c>
      <c r="M560" s="60">
        <v>1</v>
      </c>
      <c r="N560" s="60">
        <f>Main_Issuance[[#This Row],[LC Amt(FCY)]]*Main_Issuance[[#This Row],[Rate]]</f>
        <v>700000</v>
      </c>
      <c r="O560" s="56">
        <v>45838</v>
      </c>
      <c r="P560" s="56">
        <v>45838</v>
      </c>
      <c r="Q560" s="58" t="s">
        <v>27</v>
      </c>
      <c r="R560" s="69" t="s">
        <v>311</v>
      </c>
      <c r="S560" s="71"/>
      <c r="T560" s="71"/>
      <c r="U560" s="71"/>
      <c r="V560" s="68">
        <v>0</v>
      </c>
      <c r="W560" s="115"/>
      <c r="X560" s="191" t="str">
        <f ca="1">IF(AND((Main_Issuance[[#This Row],[Expiry Date]]+31)&gt;TODAY(),Main_Issuance[[#This Row],[Status]]&lt;&gt;"Cancelled"),"Active","Cancelled")</f>
        <v>Cancelled</v>
      </c>
      <c r="Y560" s="409"/>
      <c r="Z560" s="408"/>
      <c r="AA560" s="408" t="s">
        <v>378</v>
      </c>
      <c r="AB560" s="83" cm="1">
        <f t="array" ref="AB560">Iss_Tariff(Main_Issuance[[#This Row],[Bank]],Main_Issuance[[#This Row],[LC Amt(SAR)]],Main_Issuance[[#This Row],[Issue Date.]],Main_Issuance[[#This Row],[Expiry Date]],Main_Issuance[[#This Row],[Calculate]])</f>
        <v>0</v>
      </c>
      <c r="AC560" s="83"/>
    </row>
    <row r="561" spans="1:29" ht="15.75" hidden="1" x14ac:dyDescent="0.25">
      <c r="A561" s="147" t="s">
        <v>1295</v>
      </c>
      <c r="B561" s="122">
        <v>45785</v>
      </c>
      <c r="C561" s="122" t="s">
        <v>441</v>
      </c>
      <c r="D561" s="123" t="s">
        <v>20</v>
      </c>
      <c r="E561" s="123" t="s">
        <v>373</v>
      </c>
      <c r="F561" s="124" t="s">
        <v>70</v>
      </c>
      <c r="G561" s="123" t="s">
        <v>760</v>
      </c>
      <c r="H561" s="124" t="s">
        <v>24</v>
      </c>
      <c r="I561" s="123" t="s">
        <v>407</v>
      </c>
      <c r="J561" s="149">
        <v>1020100</v>
      </c>
      <c r="K561" s="123" t="s">
        <v>26</v>
      </c>
      <c r="L561" s="60">
        <v>250000</v>
      </c>
      <c r="M561" s="60">
        <v>1</v>
      </c>
      <c r="N561" s="60">
        <f>Main_Issuance[[#This Row],[LC Amt(FCY)]]*Main_Issuance[[#This Row],[Rate]]</f>
        <v>250000</v>
      </c>
      <c r="O561" s="122">
        <v>45869</v>
      </c>
      <c r="P561" s="122">
        <v>45869</v>
      </c>
      <c r="Q561" s="58" t="s">
        <v>70</v>
      </c>
      <c r="R561" s="78" t="s">
        <v>621</v>
      </c>
      <c r="S561" s="126"/>
      <c r="T561" s="126"/>
      <c r="U561" s="126"/>
      <c r="V561" s="83">
        <v>0</v>
      </c>
      <c r="W561" s="115"/>
      <c r="X561" s="150" t="str">
        <f ca="1">IF(AND((Main_Issuance[[#This Row],[Expiry Date]]+31)&gt;TODAY(),Main_Issuance[[#This Row],[Status]]&lt;&gt;"Cancelled"),"Active","Cancelled")</f>
        <v>Cancelled</v>
      </c>
      <c r="Y561" s="411"/>
      <c r="Z561" s="408"/>
      <c r="AA561" s="408" t="s">
        <v>378</v>
      </c>
      <c r="AB561" s="83" cm="1">
        <f t="array" ref="AB561">Iss_Tariff(Main_Issuance[[#This Row],[Bank]],Main_Issuance[[#This Row],[LC Amt(SAR)]],Main_Issuance[[#This Row],[Issue Date.]],Main_Issuance[[#This Row],[Expiry Date]],Main_Issuance[[#This Row],[Calculate]])</f>
        <v>0</v>
      </c>
      <c r="AC561" s="83"/>
    </row>
    <row r="562" spans="1:29" ht="15.75" hidden="1" x14ac:dyDescent="0.25">
      <c r="A562" s="114" t="s">
        <v>1500</v>
      </c>
      <c r="B562" s="76">
        <v>45831</v>
      </c>
      <c r="C562" s="76" t="s">
        <v>441</v>
      </c>
      <c r="D562" s="78" t="s">
        <v>20</v>
      </c>
      <c r="E562" s="78" t="s">
        <v>21</v>
      </c>
      <c r="F562" s="115" t="s">
        <v>22</v>
      </c>
      <c r="G562" s="78" t="s">
        <v>760</v>
      </c>
      <c r="H562" s="115" t="s">
        <v>24</v>
      </c>
      <c r="I562" s="78" t="s">
        <v>407</v>
      </c>
      <c r="J562" s="113">
        <v>1020100</v>
      </c>
      <c r="K562" s="78" t="s">
        <v>26</v>
      </c>
      <c r="L562" s="60">
        <v>342207.75</v>
      </c>
      <c r="M562" s="60">
        <v>1</v>
      </c>
      <c r="N562" s="60">
        <f>Main_Issuance[[#This Row],[LC Amt(FCY)]]*Main_Issuance[[#This Row],[Rate]]</f>
        <v>342207.75</v>
      </c>
      <c r="O562" s="76">
        <v>45900</v>
      </c>
      <c r="P562" s="76">
        <v>45900</v>
      </c>
      <c r="Q562" s="77" t="s">
        <v>27</v>
      </c>
      <c r="R562" s="78" t="s">
        <v>621</v>
      </c>
      <c r="S562" s="81"/>
      <c r="T562" s="81"/>
      <c r="U562" s="81"/>
      <c r="V562" s="83">
        <v>0</v>
      </c>
      <c r="W562" s="115"/>
      <c r="X562" s="146" t="str">
        <f ca="1">IF(AND((Main_Issuance[[#This Row],[Expiry Date]]+31)&gt;TODAY(),Main_Issuance[[#This Row],[Status]]&lt;&gt;"Cancelled"),"Active","Cancelled")</f>
        <v>Cancelled</v>
      </c>
      <c r="Y562" s="409"/>
      <c r="Z562" s="408"/>
      <c r="AA562" s="408" t="s">
        <v>378</v>
      </c>
      <c r="AB562" s="83" cm="1">
        <f t="array" ref="AB562">Iss_Tariff(Main_Issuance[[#This Row],[Bank]],Main_Issuance[[#This Row],[LC Amt(SAR)]],Main_Issuance[[#This Row],[Issue Date.]],Main_Issuance[[#This Row],[Expiry Date]],Main_Issuance[[#This Row],[Calculate]])</f>
        <v>0</v>
      </c>
      <c r="AC562" s="83"/>
    </row>
    <row r="563" spans="1:29" ht="15.75" hidden="1" x14ac:dyDescent="0.25">
      <c r="A563" s="114" t="s">
        <v>3322</v>
      </c>
      <c r="B563" s="76">
        <v>46023</v>
      </c>
      <c r="C563" s="76" t="s">
        <v>1537</v>
      </c>
      <c r="D563" s="78" t="s">
        <v>20</v>
      </c>
      <c r="E563" s="78" t="s">
        <v>62</v>
      </c>
      <c r="F563" s="115" t="s">
        <v>483</v>
      </c>
      <c r="G563" s="78" t="s">
        <v>3230</v>
      </c>
      <c r="H563" s="113" t="s">
        <v>24</v>
      </c>
      <c r="I563" s="78" t="s">
        <v>483</v>
      </c>
      <c r="J563" s="113">
        <v>1020096</v>
      </c>
      <c r="K563" s="78" t="s">
        <v>26</v>
      </c>
      <c r="L563" s="119">
        <v>550000</v>
      </c>
      <c r="M563" s="82">
        <v>1</v>
      </c>
      <c r="N563" s="82">
        <f>Main_Issuance[[#This Row],[LC Amt(FCY)]]*Main_Issuance[[#This Row],[Rate]]</f>
        <v>550000</v>
      </c>
      <c r="O563" s="76">
        <v>46142</v>
      </c>
      <c r="P563" s="76">
        <v>46142</v>
      </c>
      <c r="Q563" s="77" t="s">
        <v>27</v>
      </c>
      <c r="R563" s="78" t="s">
        <v>3229</v>
      </c>
      <c r="S563" s="81"/>
      <c r="T563" s="81"/>
      <c r="U563" s="81"/>
      <c r="V563" s="83">
        <v>0</v>
      </c>
      <c r="W563" s="115"/>
      <c r="X563" s="146" t="str">
        <f ca="1">IF(AND((Main_Issuance[[#This Row],[Expiry Date]]+31)&gt;TODAY(),Main_Issuance[[#This Row],[Status]]&lt;&gt;"Cancelled"),"Active","Cancelled")</f>
        <v>Cancelled</v>
      </c>
      <c r="Y563" s="409"/>
      <c r="Z563" s="408"/>
      <c r="AA563" s="408" t="s">
        <v>857</v>
      </c>
      <c r="AB563" s="83" cm="1">
        <f t="array" ref="AB563">Iss_Tariff(Main_Issuance[[#This Row],[Bank]],Main_Issuance[[#This Row],[LC Amt(SAR)]],Main_Issuance[[#This Row],[Issue Date.]],Main_Issuance[[#This Row],[Expiry Date]],Main_Issuance[[#This Row],[Calculate]])</f>
        <v>4381.5</v>
      </c>
      <c r="AC563" s="83"/>
    </row>
    <row r="564" spans="1:29" ht="15.75" hidden="1" x14ac:dyDescent="0.25">
      <c r="A564" s="114" t="s">
        <v>3954</v>
      </c>
      <c r="B564" s="76">
        <v>46057</v>
      </c>
      <c r="C564" s="76" t="s">
        <v>1537</v>
      </c>
      <c r="D564" s="115" t="s">
        <v>20</v>
      </c>
      <c r="E564" s="78" t="s">
        <v>62</v>
      </c>
      <c r="F564" s="115" t="s">
        <v>483</v>
      </c>
      <c r="G564" s="78" t="s">
        <v>3857</v>
      </c>
      <c r="H564" s="113" t="s">
        <v>24</v>
      </c>
      <c r="I564" s="78" t="s">
        <v>483</v>
      </c>
      <c r="J564" s="113">
        <v>1020096</v>
      </c>
      <c r="K564" s="78" t="s">
        <v>26</v>
      </c>
      <c r="L564" s="119">
        <v>500000</v>
      </c>
      <c r="M564" s="82">
        <v>1</v>
      </c>
      <c r="N564" s="82">
        <f>Main_Issuance[[#This Row],[LC Amt(FCY)]]*Main_Issuance[[#This Row],[Rate]]</f>
        <v>500000</v>
      </c>
      <c r="O564" s="77">
        <v>46142</v>
      </c>
      <c r="P564" s="77">
        <v>46142</v>
      </c>
      <c r="Q564" s="77" t="s">
        <v>27</v>
      </c>
      <c r="R564" s="78" t="s">
        <v>3229</v>
      </c>
      <c r="S564" s="81"/>
      <c r="T564" s="81"/>
      <c r="U564" s="81"/>
      <c r="V564" s="83">
        <v>0</v>
      </c>
      <c r="W564" s="115"/>
      <c r="X564" s="146" t="str">
        <f ca="1">IF(AND((Main_Issuance[[#This Row],[Expiry Date]]+31)&gt;TODAY(),Main_Issuance[[#This Row],[Status]]&lt;&gt;"Cancelled"),"Active","Cancelled")</f>
        <v>Cancelled</v>
      </c>
      <c r="Y564" s="409"/>
      <c r="Z564" s="408"/>
      <c r="AA564" s="408" t="s">
        <v>857</v>
      </c>
      <c r="AB564" s="83" cm="1">
        <f t="array" ref="AB564">Iss_Tariff(Main_Issuance[[#This Row],[Bank]],Main_Issuance[[#This Row],[LC Amt(SAR)]],Main_Issuance[[#This Row],[Issue Date.]],Main_Issuance[[#This Row],[Expiry Date]],Main_Issuance[[#This Row],[Calculate]])</f>
        <v>3180.9</v>
      </c>
      <c r="AC564" s="83"/>
    </row>
    <row r="565" spans="1:29" ht="15.75" hidden="1" x14ac:dyDescent="0.25">
      <c r="A565" s="114" t="s">
        <v>1353</v>
      </c>
      <c r="B565" s="76">
        <v>45792</v>
      </c>
      <c r="C565" s="76" t="s">
        <v>441</v>
      </c>
      <c r="D565" s="19" t="s">
        <v>20</v>
      </c>
      <c r="E565" s="78" t="s">
        <v>21</v>
      </c>
      <c r="F565" s="115" t="s">
        <v>22</v>
      </c>
      <c r="G565" s="78" t="s">
        <v>1323</v>
      </c>
      <c r="H565" s="115" t="s">
        <v>24</v>
      </c>
      <c r="I565" s="78" t="s">
        <v>22</v>
      </c>
      <c r="J565" s="115">
        <v>1020055</v>
      </c>
      <c r="K565" s="78" t="s">
        <v>26</v>
      </c>
      <c r="L565" s="60">
        <v>283912</v>
      </c>
      <c r="M565" s="60">
        <v>1</v>
      </c>
      <c r="N565" s="60">
        <f>Main_Issuance[[#This Row],[LC Amt(FCY)]]*Main_Issuance[[#This Row],[Rate]]</f>
        <v>283912</v>
      </c>
      <c r="O565" s="76">
        <v>45961</v>
      </c>
      <c r="P565" s="76">
        <v>45961</v>
      </c>
      <c r="Q565" s="77" t="s">
        <v>27</v>
      </c>
      <c r="R565" s="78" t="s">
        <v>621</v>
      </c>
      <c r="S565" s="81"/>
      <c r="T565" s="81"/>
      <c r="U565" s="81"/>
      <c r="V565" s="83">
        <v>0</v>
      </c>
      <c r="W565" s="115" t="s">
        <v>1846</v>
      </c>
      <c r="X565" s="146" t="str">
        <f ca="1">IF(AND((Main_Issuance[[#This Row],[Expiry Date]]+31)&gt;TODAY(),Main_Issuance[[#This Row],[Status]]&lt;&gt;"Cancelled"),"Active","Cancelled")</f>
        <v>Cancelled</v>
      </c>
      <c r="Y565" s="409"/>
      <c r="Z565" s="408"/>
      <c r="AA565" s="408" t="s">
        <v>378</v>
      </c>
      <c r="AB565" s="83" cm="1">
        <f t="array" ref="AB565">Iss_Tariff(Main_Issuance[[#This Row],[Bank]],Main_Issuance[[#This Row],[LC Amt(SAR)]],Main_Issuance[[#This Row],[Issue Date.]],Main_Issuance[[#This Row],[Expiry Date]],Main_Issuance[[#This Row],[Calculate]])</f>
        <v>0</v>
      </c>
      <c r="AC565" s="83"/>
    </row>
    <row r="566" spans="1:29" ht="15.75" hidden="1" x14ac:dyDescent="0.25">
      <c r="A566" s="57" t="s">
        <v>822</v>
      </c>
      <c r="B566" s="56">
        <v>45739</v>
      </c>
      <c r="C566" s="56" t="s">
        <v>441</v>
      </c>
      <c r="D566" s="69" t="s">
        <v>20</v>
      </c>
      <c r="E566" s="69" t="s">
        <v>21</v>
      </c>
      <c r="F566" s="19" t="s">
        <v>22</v>
      </c>
      <c r="G566" s="69" t="s">
        <v>823</v>
      </c>
      <c r="H566" s="19" t="s">
        <v>24</v>
      </c>
      <c r="I566" s="69" t="s">
        <v>22</v>
      </c>
      <c r="J566" s="59">
        <v>1020055</v>
      </c>
      <c r="K566" s="69" t="s">
        <v>26</v>
      </c>
      <c r="L566" s="60">
        <v>400000</v>
      </c>
      <c r="M566" s="60">
        <v>1</v>
      </c>
      <c r="N566" s="60">
        <f>Main_Issuance[[#This Row],[LC Amt(FCY)]]*Main_Issuance[[#This Row],[Rate]]</f>
        <v>400000</v>
      </c>
      <c r="O566" s="56">
        <v>45838</v>
      </c>
      <c r="P566" s="56">
        <v>45838</v>
      </c>
      <c r="Q566" s="58" t="s">
        <v>27</v>
      </c>
      <c r="R566" s="69" t="s">
        <v>311</v>
      </c>
      <c r="S566" s="71"/>
      <c r="T566" s="71"/>
      <c r="U566" s="71"/>
      <c r="V566" s="68">
        <v>0</v>
      </c>
      <c r="W566" s="115"/>
      <c r="X566" s="191" t="str">
        <f ca="1">IF(AND((Main_Issuance[[#This Row],[Expiry Date]]+31)&gt;TODAY(),Main_Issuance[[#This Row],[Status]]&lt;&gt;"Cancelled"),"Active","Cancelled")</f>
        <v>Cancelled</v>
      </c>
      <c r="Y566" s="409"/>
      <c r="Z566" s="408"/>
      <c r="AA566" s="408" t="s">
        <v>378</v>
      </c>
      <c r="AB566" s="83" cm="1">
        <f t="array" ref="AB566">Iss_Tariff(Main_Issuance[[#This Row],[Bank]],Main_Issuance[[#This Row],[LC Amt(SAR)]],Main_Issuance[[#This Row],[Issue Date.]],Main_Issuance[[#This Row],[Expiry Date]],Main_Issuance[[#This Row],[Calculate]])</f>
        <v>0</v>
      </c>
      <c r="AC566" s="83"/>
    </row>
    <row r="567" spans="1:29" ht="15.75" hidden="1" x14ac:dyDescent="0.25">
      <c r="A567" s="57" t="s">
        <v>446</v>
      </c>
      <c r="B567" s="56">
        <v>45615</v>
      </c>
      <c r="C567" s="56" t="s">
        <v>441</v>
      </c>
      <c r="D567" s="69" t="s">
        <v>20</v>
      </c>
      <c r="E567" s="69" t="s">
        <v>95</v>
      </c>
      <c r="F567" s="19" t="s">
        <v>96</v>
      </c>
      <c r="G567" s="69" t="s">
        <v>447</v>
      </c>
      <c r="H567" s="59" t="s">
        <v>24</v>
      </c>
      <c r="I567" s="65" t="s">
        <v>22</v>
      </c>
      <c r="J567" s="59">
        <v>1020055</v>
      </c>
      <c r="K567" s="69" t="s">
        <v>26</v>
      </c>
      <c r="L567" s="60">
        <v>499521.42</v>
      </c>
      <c r="M567" s="60">
        <v>1</v>
      </c>
      <c r="N567" s="60">
        <f>Main_Issuance[[#This Row],[LC Amt(FCY)]]*Main_Issuance[[#This Row],[Rate]]</f>
        <v>499521.42</v>
      </c>
      <c r="O567" s="56">
        <v>45777</v>
      </c>
      <c r="P567" s="56">
        <v>45751</v>
      </c>
      <c r="Q567" s="58" t="s">
        <v>27</v>
      </c>
      <c r="R567" s="69" t="s">
        <v>311</v>
      </c>
      <c r="S567" s="71"/>
      <c r="T567" s="71"/>
      <c r="U567" s="71"/>
      <c r="V567" s="68">
        <v>0</v>
      </c>
      <c r="W567" s="115"/>
      <c r="X567" s="191" t="str">
        <f ca="1">IF(AND((Main_Issuance[[#This Row],[Expiry Date]]+31)&gt;TODAY(),Main_Issuance[[#This Row],[Status]]&lt;&gt;"Cancelled"),"Active","Cancelled")</f>
        <v>Cancelled</v>
      </c>
      <c r="Y567" s="409"/>
      <c r="Z567" s="408"/>
      <c r="AA567" s="408" t="s">
        <v>378</v>
      </c>
      <c r="AB567" s="83" cm="1">
        <f t="array" ref="AB567">Iss_Tariff(Main_Issuance[[#This Row],[Bank]],Main_Issuance[[#This Row],[LC Amt(SAR)]],Main_Issuance[[#This Row],[Issue Date.]],Main_Issuance[[#This Row],[Expiry Date]],Main_Issuance[[#This Row],[Calculate]])</f>
        <v>0</v>
      </c>
      <c r="AC567" s="83"/>
    </row>
    <row r="568" spans="1:29" ht="15.75" hidden="1" x14ac:dyDescent="0.25">
      <c r="A568" s="57" t="s">
        <v>567</v>
      </c>
      <c r="B568" s="56">
        <v>45641</v>
      </c>
      <c r="C568" s="56" t="s">
        <v>441</v>
      </c>
      <c r="D568" s="69" t="s">
        <v>20</v>
      </c>
      <c r="E568" s="69" t="s">
        <v>373</v>
      </c>
      <c r="F568" s="19" t="s">
        <v>483</v>
      </c>
      <c r="G568" s="69" t="s">
        <v>447</v>
      </c>
      <c r="H568" s="59" t="s">
        <v>24</v>
      </c>
      <c r="I568" s="65" t="s">
        <v>22</v>
      </c>
      <c r="J568" s="59">
        <v>1020055</v>
      </c>
      <c r="K568" s="69" t="s">
        <v>26</v>
      </c>
      <c r="L568" s="60">
        <v>400000</v>
      </c>
      <c r="M568" s="60">
        <v>1</v>
      </c>
      <c r="N568" s="60">
        <f>Main_Issuance[[#This Row],[LC Amt(FCY)]]*Main_Issuance[[#This Row],[Rate]]</f>
        <v>400000</v>
      </c>
      <c r="O568" s="56">
        <v>45747</v>
      </c>
      <c r="P568" s="56">
        <v>45747</v>
      </c>
      <c r="Q568" s="58" t="s">
        <v>27</v>
      </c>
      <c r="R568" s="69" t="s">
        <v>311</v>
      </c>
      <c r="S568" s="71"/>
      <c r="T568" s="71"/>
      <c r="U568" s="71"/>
      <c r="V568" s="68">
        <v>0</v>
      </c>
      <c r="W568" s="115"/>
      <c r="X568" s="191" t="str">
        <f ca="1">IF(AND((Main_Issuance[[#This Row],[Expiry Date]]+31)&gt;TODAY(),Main_Issuance[[#This Row],[Status]]&lt;&gt;"Cancelled"),"Active","Cancelled")</f>
        <v>Cancelled</v>
      </c>
      <c r="Y568" s="409"/>
      <c r="Z568" s="408"/>
      <c r="AA568" s="408" t="s">
        <v>378</v>
      </c>
      <c r="AB568" s="83" cm="1">
        <f t="array" ref="AB568">Iss_Tariff(Main_Issuance[[#This Row],[Bank]],Main_Issuance[[#This Row],[LC Amt(SAR)]],Main_Issuance[[#This Row],[Issue Date.]],Main_Issuance[[#This Row],[Expiry Date]],Main_Issuance[[#This Row],[Calculate]])</f>
        <v>0</v>
      </c>
      <c r="AC568" s="83"/>
    </row>
    <row r="569" spans="1:29" ht="15.75" hidden="1" x14ac:dyDescent="0.25">
      <c r="A569" s="57" t="s">
        <v>273</v>
      </c>
      <c r="B569" s="56">
        <v>45435</v>
      </c>
      <c r="C569" s="56" t="s">
        <v>441</v>
      </c>
      <c r="D569" s="69" t="s">
        <v>20</v>
      </c>
      <c r="E569" s="69" t="s">
        <v>21</v>
      </c>
      <c r="F569" s="19" t="s">
        <v>22</v>
      </c>
      <c r="G569" s="69" t="s">
        <v>274</v>
      </c>
      <c r="H569" s="59" t="s">
        <v>24</v>
      </c>
      <c r="I569" s="65" t="s">
        <v>22</v>
      </c>
      <c r="J569" s="59">
        <v>1020055</v>
      </c>
      <c r="K569" s="69" t="s">
        <v>26</v>
      </c>
      <c r="L569" s="60">
        <v>755381.98</v>
      </c>
      <c r="M569" s="60">
        <v>1</v>
      </c>
      <c r="N569" s="60">
        <f>Main_Issuance[[#This Row],[LC Amt(FCY)]]*Main_Issuance[[#This Row],[Rate]]</f>
        <v>755381.98</v>
      </c>
      <c r="O569" s="56">
        <v>45565</v>
      </c>
      <c r="P569" s="56">
        <v>45565</v>
      </c>
      <c r="Q569" s="58" t="s">
        <v>27</v>
      </c>
      <c r="R569" s="69"/>
      <c r="S569" s="71"/>
      <c r="T569" s="71"/>
      <c r="U569" s="71"/>
      <c r="V569" s="68">
        <v>0</v>
      </c>
      <c r="W569" s="115"/>
      <c r="X569" s="191" t="str">
        <f ca="1">IF(AND((Main_Issuance[[#This Row],[Expiry Date]]+31)&gt;TODAY(),Main_Issuance[[#This Row],[Status]]&lt;&gt;"Cancelled"),"Active","Cancelled")</f>
        <v>Cancelled</v>
      </c>
      <c r="Y569" s="409"/>
      <c r="Z569" s="408"/>
      <c r="AA569" s="408" t="s">
        <v>378</v>
      </c>
      <c r="AB569" s="83" cm="1">
        <f t="array" ref="AB569">Iss_Tariff(Main_Issuance[[#This Row],[Bank]],Main_Issuance[[#This Row],[LC Amt(SAR)]],Main_Issuance[[#This Row],[Issue Date.]],Main_Issuance[[#This Row],[Expiry Date]],Main_Issuance[[#This Row],[Calculate]])</f>
        <v>0</v>
      </c>
      <c r="AC569" s="83"/>
    </row>
    <row r="570" spans="1:29" ht="15.75" hidden="1" x14ac:dyDescent="0.25">
      <c r="A570" s="57" t="s">
        <v>345</v>
      </c>
      <c r="B570" s="56">
        <v>45533</v>
      </c>
      <c r="C570" s="56" t="s">
        <v>441</v>
      </c>
      <c r="D570" s="69" t="s">
        <v>20</v>
      </c>
      <c r="E570" s="69" t="s">
        <v>95</v>
      </c>
      <c r="F570" s="19" t="s">
        <v>96</v>
      </c>
      <c r="G570" s="69" t="s">
        <v>346</v>
      </c>
      <c r="H570" s="59" t="s">
        <v>24</v>
      </c>
      <c r="I570" s="65" t="s">
        <v>22</v>
      </c>
      <c r="J570" s="59">
        <v>1020055</v>
      </c>
      <c r="K570" s="69" t="s">
        <v>26</v>
      </c>
      <c r="L570" s="60">
        <v>700000</v>
      </c>
      <c r="M570" s="60">
        <v>1</v>
      </c>
      <c r="N570" s="60">
        <f>Main_Issuance[[#This Row],[LC Amt(FCY)]]*Main_Issuance[[#This Row],[Rate]]</f>
        <v>700000</v>
      </c>
      <c r="O570" s="56">
        <v>45626</v>
      </c>
      <c r="P570" s="56">
        <v>45626</v>
      </c>
      <c r="Q570" s="58" t="s">
        <v>27</v>
      </c>
      <c r="R570" s="69" t="s">
        <v>311</v>
      </c>
      <c r="S570" s="71"/>
      <c r="T570" s="71"/>
      <c r="U570" s="71"/>
      <c r="V570" s="68">
        <v>0</v>
      </c>
      <c r="W570" s="115"/>
      <c r="X570" s="191" t="str">
        <f ca="1">IF(AND((Main_Issuance[[#This Row],[Expiry Date]]+31)&gt;TODAY(),Main_Issuance[[#This Row],[Status]]&lt;&gt;"Cancelled"),"Active","Cancelled")</f>
        <v>Cancelled</v>
      </c>
      <c r="Y570" s="409"/>
      <c r="Z570" s="408"/>
      <c r="AA570" s="408" t="s">
        <v>378</v>
      </c>
      <c r="AB570" s="83" cm="1">
        <f t="array" ref="AB570">Iss_Tariff(Main_Issuance[[#This Row],[Bank]],Main_Issuance[[#This Row],[LC Amt(SAR)]],Main_Issuance[[#This Row],[Issue Date.]],Main_Issuance[[#This Row],[Expiry Date]],Main_Issuance[[#This Row],[Calculate]])</f>
        <v>0</v>
      </c>
      <c r="AC570" s="83"/>
    </row>
    <row r="571" spans="1:29" ht="15.75" hidden="1" x14ac:dyDescent="0.25">
      <c r="A571" s="57" t="s">
        <v>684</v>
      </c>
      <c r="B571" s="56">
        <v>45684</v>
      </c>
      <c r="C571" s="56" t="s">
        <v>509</v>
      </c>
      <c r="D571" s="69" t="s">
        <v>20</v>
      </c>
      <c r="E571" s="69" t="s">
        <v>95</v>
      </c>
      <c r="F571" s="19" t="s">
        <v>96</v>
      </c>
      <c r="G571" s="69" t="s">
        <v>685</v>
      </c>
      <c r="H571" s="59" t="s">
        <v>24</v>
      </c>
      <c r="I571" s="65" t="s">
        <v>407</v>
      </c>
      <c r="J571" s="59">
        <v>1020100</v>
      </c>
      <c r="K571" s="69" t="s">
        <v>26</v>
      </c>
      <c r="L571" s="60">
        <v>400000</v>
      </c>
      <c r="M571" s="60">
        <v>1</v>
      </c>
      <c r="N571" s="60">
        <f>Main_Issuance[[#This Row],[LC Amt(FCY)]]*Main_Issuance[[#This Row],[Rate]]</f>
        <v>400000</v>
      </c>
      <c r="O571" s="56">
        <v>45777</v>
      </c>
      <c r="P571" s="56">
        <v>45777</v>
      </c>
      <c r="Q571" s="58" t="s">
        <v>27</v>
      </c>
      <c r="R571" s="69" t="s">
        <v>311</v>
      </c>
      <c r="S571" s="71"/>
      <c r="T571" s="71"/>
      <c r="U571" s="71"/>
      <c r="V571" s="68">
        <v>0</v>
      </c>
      <c r="W571" s="115"/>
      <c r="X571" s="191" t="str">
        <f ca="1">IF(AND((Main_Issuance[[#This Row],[Expiry Date]]+31)&gt;TODAY(),Main_Issuance[[#This Row],[Status]]&lt;&gt;"Cancelled"),"Active","Cancelled")</f>
        <v>Cancelled</v>
      </c>
      <c r="Y571" s="409"/>
      <c r="Z571" s="408"/>
      <c r="AA571" s="408" t="s">
        <v>378</v>
      </c>
      <c r="AB571" s="83" cm="1">
        <f t="array" ref="AB571">Iss_Tariff(Main_Issuance[[#This Row],[Bank]],Main_Issuance[[#This Row],[LC Amt(SAR)]],Main_Issuance[[#This Row],[Issue Date.]],Main_Issuance[[#This Row],[Expiry Date]],Main_Issuance[[#This Row],[Calculate]])</f>
        <v>0</v>
      </c>
      <c r="AC571" s="83"/>
    </row>
    <row r="572" spans="1:29" ht="15.75" hidden="1" x14ac:dyDescent="0.25">
      <c r="A572" s="114" t="s">
        <v>1733</v>
      </c>
      <c r="B572" s="76">
        <v>45882</v>
      </c>
      <c r="C572" s="76" t="s">
        <v>1119</v>
      </c>
      <c r="D572" s="78" t="s">
        <v>20</v>
      </c>
      <c r="E572" s="78" t="s">
        <v>366</v>
      </c>
      <c r="F572" s="115" t="s">
        <v>367</v>
      </c>
      <c r="G572" s="78" t="s">
        <v>1695</v>
      </c>
      <c r="H572" s="115" t="s">
        <v>24</v>
      </c>
      <c r="I572" s="78" t="s">
        <v>367</v>
      </c>
      <c r="J572" s="113">
        <v>1020091</v>
      </c>
      <c r="K572" s="78" t="s">
        <v>26</v>
      </c>
      <c r="L572" s="60">
        <v>600000</v>
      </c>
      <c r="M572" s="60">
        <v>1</v>
      </c>
      <c r="N572" s="60">
        <f>Main_Issuance[[#This Row],[LC Amt(FCY)]]*Main_Issuance[[#This Row],[Rate]]</f>
        <v>600000</v>
      </c>
      <c r="O572" s="76">
        <v>45991</v>
      </c>
      <c r="P572" s="76">
        <v>45991</v>
      </c>
      <c r="Q572" s="77" t="s">
        <v>27</v>
      </c>
      <c r="R572" s="78" t="s">
        <v>1683</v>
      </c>
      <c r="S572" s="81"/>
      <c r="T572" s="81"/>
      <c r="U572" s="81"/>
      <c r="V572" s="83">
        <v>0</v>
      </c>
      <c r="W572" s="115"/>
      <c r="X572" s="146" t="str">
        <f ca="1">IF(AND((Main_Issuance[[#This Row],[Expiry Date]]+31)&gt;TODAY(),Main_Issuance[[#This Row],[Status]]&lt;&gt;"Cancelled"),"Active","Cancelled")</f>
        <v>Cancelled</v>
      </c>
      <c r="Y572" s="409"/>
      <c r="Z572" s="408"/>
      <c r="AA572" s="408" t="s">
        <v>378</v>
      </c>
      <c r="AB572" s="83" cm="1">
        <f t="array" ref="AB572">Iss_Tariff(Main_Issuance[[#This Row],[Bank]],Main_Issuance[[#This Row],[LC Amt(SAR)]],Main_Issuance[[#This Row],[Issue Date.]],Main_Issuance[[#This Row],[Expiry Date]],Main_Issuance[[#This Row],[Calculate]])</f>
        <v>0</v>
      </c>
      <c r="AC572" s="83"/>
    </row>
    <row r="573" spans="1:29" ht="15.75" hidden="1" x14ac:dyDescent="0.25">
      <c r="A573" s="114" t="s">
        <v>1423</v>
      </c>
      <c r="B573" s="76">
        <v>45809</v>
      </c>
      <c r="C573" s="76" t="s">
        <v>441</v>
      </c>
      <c r="D573" s="69" t="s">
        <v>20</v>
      </c>
      <c r="E573" s="78" t="s">
        <v>95</v>
      </c>
      <c r="F573" s="115" t="s">
        <v>96</v>
      </c>
      <c r="G573" s="78" t="s">
        <v>1327</v>
      </c>
      <c r="H573" s="115" t="s">
        <v>24</v>
      </c>
      <c r="I573" s="78" t="s">
        <v>22</v>
      </c>
      <c r="J573" s="115">
        <v>1020055</v>
      </c>
      <c r="K573" s="78" t="s">
        <v>26</v>
      </c>
      <c r="L573" s="60">
        <v>547153.36</v>
      </c>
      <c r="M573" s="60">
        <v>1</v>
      </c>
      <c r="N573" s="60">
        <f>Main_Issuance[[#This Row],[LC Amt(FCY)]]*Main_Issuance[[#This Row],[Rate]]</f>
        <v>547153.36</v>
      </c>
      <c r="O573" s="76">
        <v>45961</v>
      </c>
      <c r="P573" s="76">
        <v>45961</v>
      </c>
      <c r="Q573" s="77" t="s">
        <v>27</v>
      </c>
      <c r="R573" s="78" t="s">
        <v>621</v>
      </c>
      <c r="S573" s="81"/>
      <c r="T573" s="81"/>
      <c r="U573" s="81"/>
      <c r="V573" s="83">
        <v>0</v>
      </c>
      <c r="W573" s="115"/>
      <c r="X573" s="146" t="str">
        <f ca="1">IF(AND((Main_Issuance[[#This Row],[Expiry Date]]+31)&gt;TODAY(),Main_Issuance[[#This Row],[Status]]&lt;&gt;"Cancelled"),"Active","Cancelled")</f>
        <v>Cancelled</v>
      </c>
      <c r="Y573" s="409"/>
      <c r="Z573" s="408"/>
      <c r="AA573" s="408" t="s">
        <v>378</v>
      </c>
      <c r="AB573" s="83" cm="1">
        <f t="array" ref="AB573">Iss_Tariff(Main_Issuance[[#This Row],[Bank]],Main_Issuance[[#This Row],[LC Amt(SAR)]],Main_Issuance[[#This Row],[Issue Date.]],Main_Issuance[[#This Row],[Expiry Date]],Main_Issuance[[#This Row],[Calculate]])</f>
        <v>0</v>
      </c>
      <c r="AC573" s="83"/>
    </row>
    <row r="574" spans="1:29" ht="15.75" hidden="1" x14ac:dyDescent="0.25">
      <c r="A574" s="57" t="s">
        <v>645</v>
      </c>
      <c r="B574" s="56">
        <v>45680</v>
      </c>
      <c r="C574" s="56" t="s">
        <v>441</v>
      </c>
      <c r="D574" s="19" t="s">
        <v>20</v>
      </c>
      <c r="E574" s="69" t="s">
        <v>21</v>
      </c>
      <c r="F574" s="19" t="s">
        <v>22</v>
      </c>
      <c r="G574" s="431" t="s">
        <v>646</v>
      </c>
      <c r="H574" s="59" t="s">
        <v>24</v>
      </c>
      <c r="I574" s="65" t="s">
        <v>22</v>
      </c>
      <c r="J574" s="59">
        <v>1020055</v>
      </c>
      <c r="K574" s="69" t="s">
        <v>26</v>
      </c>
      <c r="L574" s="60">
        <v>413369.1</v>
      </c>
      <c r="M574" s="60">
        <v>1</v>
      </c>
      <c r="N574" s="60">
        <f>Main_Issuance[[#This Row],[LC Amt(FCY)]]*Main_Issuance[[#This Row],[Rate]]</f>
        <v>413369.1</v>
      </c>
      <c r="O574" s="58">
        <v>45777</v>
      </c>
      <c r="P574" s="58">
        <v>45777</v>
      </c>
      <c r="Q574" s="58" t="s">
        <v>27</v>
      </c>
      <c r="R574" s="69" t="s">
        <v>311</v>
      </c>
      <c r="S574" s="71"/>
      <c r="T574" s="71"/>
      <c r="U574" s="71"/>
      <c r="V574" s="68">
        <v>0</v>
      </c>
      <c r="W574" s="115"/>
      <c r="X574" s="191" t="str">
        <f ca="1">IF(AND((Main_Issuance[[#This Row],[Expiry Date]]+31)&gt;TODAY(),Main_Issuance[[#This Row],[Status]]&lt;&gt;"Cancelled"),"Active","Cancelled")</f>
        <v>Cancelled</v>
      </c>
      <c r="Y574" s="409"/>
      <c r="Z574" s="408"/>
      <c r="AA574" s="408" t="s">
        <v>378</v>
      </c>
      <c r="AB574" s="83" cm="1">
        <f t="array" ref="AB574">Iss_Tariff(Main_Issuance[[#This Row],[Bank]],Main_Issuance[[#This Row],[LC Amt(SAR)]],Main_Issuance[[#This Row],[Issue Date.]],Main_Issuance[[#This Row],[Expiry Date]],Main_Issuance[[#This Row],[Calculate]])</f>
        <v>0</v>
      </c>
      <c r="AC574" s="83"/>
    </row>
    <row r="575" spans="1:29" ht="15.75" hidden="1" x14ac:dyDescent="0.25">
      <c r="A575" s="114" t="s">
        <v>3900</v>
      </c>
      <c r="B575" s="76">
        <v>46050</v>
      </c>
      <c r="C575" s="76" t="s">
        <v>441</v>
      </c>
      <c r="D575" s="115" t="s">
        <v>20</v>
      </c>
      <c r="E575" s="78" t="s">
        <v>366</v>
      </c>
      <c r="F575" s="115" t="s">
        <v>710</v>
      </c>
      <c r="G575" s="78" t="s">
        <v>3291</v>
      </c>
      <c r="H575" s="115" t="s">
        <v>24</v>
      </c>
      <c r="I575" s="78" t="s">
        <v>710</v>
      </c>
      <c r="J575" s="113">
        <v>1020088</v>
      </c>
      <c r="K575" s="78" t="s">
        <v>26</v>
      </c>
      <c r="L575" s="119">
        <v>500000</v>
      </c>
      <c r="M575" s="82">
        <v>1</v>
      </c>
      <c r="N575" s="82">
        <f>Main_Issuance[[#This Row],[LC Amt(FCY)]]*Main_Issuance[[#This Row],[Rate]]</f>
        <v>500000</v>
      </c>
      <c r="O575" s="76">
        <v>46142</v>
      </c>
      <c r="P575" s="76">
        <v>46142</v>
      </c>
      <c r="Q575" s="77" t="s">
        <v>27</v>
      </c>
      <c r="R575" s="115" t="s">
        <v>1904</v>
      </c>
      <c r="S575" s="81"/>
      <c r="T575" s="81"/>
      <c r="U575" s="81"/>
      <c r="V575" s="83">
        <v>0</v>
      </c>
      <c r="W575" s="115"/>
      <c r="X575" s="146" t="str">
        <f ca="1">IF(AND((Main_Issuance[[#This Row],[Expiry Date]]+31)&gt;TODAY(),Main_Issuance[[#This Row],[Status]]&lt;&gt;"Cancelled"),"Active","Cancelled")</f>
        <v>Cancelled</v>
      </c>
      <c r="Y575" s="409"/>
      <c r="Z575" s="408"/>
      <c r="AA575" s="408" t="s">
        <v>857</v>
      </c>
      <c r="AB575" s="83" cm="1">
        <f t="array" ref="AB575">Iss_Tariff(Main_Issuance[[#This Row],[Bank]],Main_Issuance[[#This Row],[LC Amt(SAR)]],Main_Issuance[[#This Row],[Issue Date.]],Main_Issuance[[#This Row],[Expiry Date]],Main_Issuance[[#This Row],[Calculate]])</f>
        <v>2961.25</v>
      </c>
      <c r="AC575" s="83"/>
    </row>
    <row r="576" spans="1:29" ht="15.75" hidden="1" x14ac:dyDescent="0.25">
      <c r="A576" s="114" t="s">
        <v>1437</v>
      </c>
      <c r="B576" s="76">
        <v>45810</v>
      </c>
      <c r="C576" s="76" t="s">
        <v>441</v>
      </c>
      <c r="D576" s="78" t="s">
        <v>20</v>
      </c>
      <c r="E576" s="78" t="s">
        <v>366</v>
      </c>
      <c r="F576" s="115" t="s">
        <v>710</v>
      </c>
      <c r="G576" s="78" t="s">
        <v>1379</v>
      </c>
      <c r="H576" s="115" t="s">
        <v>24</v>
      </c>
      <c r="I576" s="78" t="s">
        <v>710</v>
      </c>
      <c r="J576" s="113">
        <v>1020088</v>
      </c>
      <c r="K576" s="78" t="s">
        <v>26</v>
      </c>
      <c r="L576" s="60">
        <v>400000</v>
      </c>
      <c r="M576" s="60">
        <v>1</v>
      </c>
      <c r="N576" s="60">
        <f>Main_Issuance[[#This Row],[LC Amt(FCY)]]*Main_Issuance[[#This Row],[Rate]]</f>
        <v>400000</v>
      </c>
      <c r="O576" s="76">
        <v>45900</v>
      </c>
      <c r="P576" s="76">
        <v>45900</v>
      </c>
      <c r="Q576" s="77" t="s">
        <v>27</v>
      </c>
      <c r="R576" s="78" t="s">
        <v>621</v>
      </c>
      <c r="S576" s="81"/>
      <c r="T576" s="81"/>
      <c r="U576" s="81"/>
      <c r="V576" s="83">
        <v>0</v>
      </c>
      <c r="W576" s="115"/>
      <c r="X576" s="146" t="str">
        <f ca="1">IF(AND((Main_Issuance[[#This Row],[Expiry Date]]+31)&gt;TODAY(),Main_Issuance[[#This Row],[Status]]&lt;&gt;"Cancelled"),"Active","Cancelled")</f>
        <v>Cancelled</v>
      </c>
      <c r="Y576" s="409"/>
      <c r="Z576" s="408"/>
      <c r="AA576" s="408" t="s">
        <v>378</v>
      </c>
      <c r="AB576" s="83" cm="1">
        <f t="array" ref="AB576">Iss_Tariff(Main_Issuance[[#This Row],[Bank]],Main_Issuance[[#This Row],[LC Amt(SAR)]],Main_Issuance[[#This Row],[Issue Date.]],Main_Issuance[[#This Row],[Expiry Date]],Main_Issuance[[#This Row],[Calculate]])</f>
        <v>0</v>
      </c>
      <c r="AC576" s="83"/>
    </row>
    <row r="577" spans="1:29" ht="15.75" hidden="1" x14ac:dyDescent="0.25">
      <c r="A577" s="114" t="s">
        <v>1898</v>
      </c>
      <c r="B577" s="76">
        <v>45929</v>
      </c>
      <c r="C577" s="76" t="s">
        <v>441</v>
      </c>
      <c r="D577" s="78" t="s">
        <v>20</v>
      </c>
      <c r="E577" s="78" t="s">
        <v>366</v>
      </c>
      <c r="F577" s="115" t="s">
        <v>710</v>
      </c>
      <c r="G577" s="78" t="s">
        <v>1379</v>
      </c>
      <c r="H577" s="115" t="s">
        <v>24</v>
      </c>
      <c r="I577" s="78" t="s">
        <v>710</v>
      </c>
      <c r="J577" s="113">
        <v>1020088</v>
      </c>
      <c r="K577" s="78" t="s">
        <v>26</v>
      </c>
      <c r="L577" s="119">
        <v>550000</v>
      </c>
      <c r="M577" s="82">
        <v>1</v>
      </c>
      <c r="N577" s="82">
        <f>Main_Issuance[[#This Row],[LC Amt(FCY)]]*Main_Issuance[[#This Row],[Rate]]</f>
        <v>550000</v>
      </c>
      <c r="O577" s="76">
        <v>46022</v>
      </c>
      <c r="P577" s="76">
        <v>46022</v>
      </c>
      <c r="Q577" s="77" t="s">
        <v>27</v>
      </c>
      <c r="R577" s="78" t="s">
        <v>621</v>
      </c>
      <c r="S577" s="81"/>
      <c r="T577" s="81"/>
      <c r="U577" s="81"/>
      <c r="V577" s="83">
        <v>0</v>
      </c>
      <c r="W577" s="115"/>
      <c r="X577" s="146" t="str">
        <f ca="1">IF(AND((Main_Issuance[[#This Row],[Expiry Date]]+31)&gt;TODAY(),Main_Issuance[[#This Row],[Status]]&lt;&gt;"Cancelled"),"Active","Cancelled")</f>
        <v>Cancelled</v>
      </c>
      <c r="Y577" s="409"/>
      <c r="Z577" s="408"/>
      <c r="AA577" s="408" t="s">
        <v>378</v>
      </c>
      <c r="AB577" s="83" cm="1">
        <f t="array" ref="AB577">Iss_Tariff(Main_Issuance[[#This Row],[Bank]],Main_Issuance[[#This Row],[LC Amt(SAR)]],Main_Issuance[[#This Row],[Issue Date.]],Main_Issuance[[#This Row],[Expiry Date]],Main_Issuance[[#This Row],[Calculate]])</f>
        <v>0</v>
      </c>
      <c r="AC577" s="83"/>
    </row>
    <row r="578" spans="1:29" ht="15.75" hidden="1" x14ac:dyDescent="0.25">
      <c r="A578" s="57" t="s">
        <v>396</v>
      </c>
      <c r="B578" s="56">
        <v>45551</v>
      </c>
      <c r="C578" s="56" t="s">
        <v>441</v>
      </c>
      <c r="D578" s="19" t="s">
        <v>20</v>
      </c>
      <c r="E578" s="69" t="s">
        <v>95</v>
      </c>
      <c r="F578" s="19" t="s">
        <v>96</v>
      </c>
      <c r="G578" s="69" t="s">
        <v>397</v>
      </c>
      <c r="H578" s="59" t="s">
        <v>24</v>
      </c>
      <c r="I578" s="65" t="s">
        <v>22</v>
      </c>
      <c r="J578" s="59">
        <v>1020055</v>
      </c>
      <c r="K578" s="69" t="s">
        <v>26</v>
      </c>
      <c r="L578" s="60">
        <v>897119.6</v>
      </c>
      <c r="M578" s="60">
        <v>1</v>
      </c>
      <c r="N578" s="60">
        <f>Main_Issuance[[#This Row],[LC Amt(FCY)]]*Main_Issuance[[#This Row],[Rate]]</f>
        <v>897119.6</v>
      </c>
      <c r="O578" s="58">
        <v>45626</v>
      </c>
      <c r="P578" s="58">
        <v>45600</v>
      </c>
      <c r="Q578" s="58" t="s">
        <v>27</v>
      </c>
      <c r="R578" s="69" t="s">
        <v>311</v>
      </c>
      <c r="S578" s="71"/>
      <c r="T578" s="71"/>
      <c r="U578" s="71"/>
      <c r="V578" s="68">
        <v>0</v>
      </c>
      <c r="W578" s="115"/>
      <c r="X578" s="191" t="str">
        <f ca="1">IF(AND((Main_Issuance[[#This Row],[Expiry Date]]+31)&gt;TODAY(),Main_Issuance[[#This Row],[Status]]&lt;&gt;"Cancelled"),"Active","Cancelled")</f>
        <v>Cancelled</v>
      </c>
      <c r="Y578" s="409"/>
      <c r="Z578" s="408"/>
      <c r="AA578" s="408" t="s">
        <v>378</v>
      </c>
      <c r="AB578" s="83" cm="1">
        <f t="array" ref="AB578">Iss_Tariff(Main_Issuance[[#This Row],[Bank]],Main_Issuance[[#This Row],[LC Amt(SAR)]],Main_Issuance[[#This Row],[Issue Date.]],Main_Issuance[[#This Row],[Expiry Date]],Main_Issuance[[#This Row],[Calculate]])</f>
        <v>0</v>
      </c>
      <c r="AC578" s="83"/>
    </row>
    <row r="579" spans="1:29" ht="15.75" hidden="1" x14ac:dyDescent="0.25">
      <c r="A579" s="57" t="s">
        <v>220</v>
      </c>
      <c r="B579" s="56">
        <v>45147</v>
      </c>
      <c r="C579" s="56"/>
      <c r="D579" s="69" t="s">
        <v>20</v>
      </c>
      <c r="E579" s="69" t="s">
        <v>21</v>
      </c>
      <c r="F579" s="19" t="s">
        <v>22</v>
      </c>
      <c r="G579" s="69" t="s">
        <v>221</v>
      </c>
      <c r="H579" s="59" t="s">
        <v>72</v>
      </c>
      <c r="I579" s="65" t="s">
        <v>98</v>
      </c>
      <c r="J579" s="59"/>
      <c r="K579" s="69" t="s">
        <v>191</v>
      </c>
      <c r="L579" s="60">
        <v>25282382.350000001</v>
      </c>
      <c r="M579" s="60">
        <v>1.02</v>
      </c>
      <c r="N579" s="60">
        <f>Main_Issuance[[#This Row],[LC Amt(FCY)]]*Main_Issuance[[#This Row],[Rate]]</f>
        <v>25788029.997000001</v>
      </c>
      <c r="O579" s="56">
        <v>45322</v>
      </c>
      <c r="P579" s="56">
        <v>45322</v>
      </c>
      <c r="Q579" s="58" t="s">
        <v>27</v>
      </c>
      <c r="R579" s="69"/>
      <c r="S579" s="71"/>
      <c r="T579" s="71"/>
      <c r="U579" s="71"/>
      <c r="V579" s="68">
        <v>0</v>
      </c>
      <c r="W579" s="115"/>
      <c r="X579" s="191" t="str">
        <f ca="1">IF(AND((Main_Issuance[[#This Row],[Expiry Date]]+31)&gt;TODAY(),Main_Issuance[[#This Row],[Status]]&lt;&gt;"Cancelled"),"Active","Cancelled")</f>
        <v>Cancelled</v>
      </c>
      <c r="Y579" s="409"/>
      <c r="Z579" s="408"/>
      <c r="AA579" s="408" t="s">
        <v>378</v>
      </c>
      <c r="AB579" s="83" cm="1">
        <f t="array" ref="AB579">Iss_Tariff(Main_Issuance[[#This Row],[Bank]],Main_Issuance[[#This Row],[LC Amt(SAR)]],Main_Issuance[[#This Row],[Issue Date.]],Main_Issuance[[#This Row],[Expiry Date]],Main_Issuance[[#This Row],[Calculate]])</f>
        <v>0</v>
      </c>
      <c r="AC579" s="83"/>
    </row>
    <row r="580" spans="1:29" ht="15.75" hidden="1" x14ac:dyDescent="0.25">
      <c r="A580" s="57" t="s">
        <v>409</v>
      </c>
      <c r="B580" s="56">
        <v>45554</v>
      </c>
      <c r="C580" s="56" t="s">
        <v>509</v>
      </c>
      <c r="D580" s="69" t="s">
        <v>20</v>
      </c>
      <c r="E580" s="69" t="s">
        <v>95</v>
      </c>
      <c r="F580" s="19" t="s">
        <v>96</v>
      </c>
      <c r="G580" s="69" t="s">
        <v>221</v>
      </c>
      <c r="H580" s="59" t="s">
        <v>66</v>
      </c>
      <c r="I580" s="65" t="s">
        <v>410</v>
      </c>
      <c r="J580" s="59">
        <v>1020085</v>
      </c>
      <c r="K580" s="69" t="s">
        <v>191</v>
      </c>
      <c r="L580" s="60">
        <v>4205828.8</v>
      </c>
      <c r="M580" s="60">
        <v>1.0287999999999999</v>
      </c>
      <c r="N580" s="60">
        <f>Main_Issuance[[#This Row],[LC Amt(FCY)]]*Main_Issuance[[#This Row],[Rate]]</f>
        <v>4326956.6694399994</v>
      </c>
      <c r="O580" s="56">
        <v>45808</v>
      </c>
      <c r="P580" s="56">
        <v>45720</v>
      </c>
      <c r="Q580" s="58" t="s">
        <v>27</v>
      </c>
      <c r="R580" s="69" t="s">
        <v>208</v>
      </c>
      <c r="S580" s="71"/>
      <c r="T580" s="71"/>
      <c r="U580" s="71"/>
      <c r="V580" s="68">
        <v>0</v>
      </c>
      <c r="W580" s="115"/>
      <c r="X580" s="191" t="str">
        <f ca="1">IF(AND((Main_Issuance[[#This Row],[Expiry Date]]+31)&gt;TODAY(),Main_Issuance[[#This Row],[Status]]&lt;&gt;"Cancelled"),"Active","Cancelled")</f>
        <v>Cancelled</v>
      </c>
      <c r="Y580" s="409"/>
      <c r="Z580" s="408"/>
      <c r="AA580" s="408" t="s">
        <v>378</v>
      </c>
      <c r="AB580" s="83" cm="1">
        <f t="array" ref="AB580">Iss_Tariff(Main_Issuance[[#This Row],[Bank]],Main_Issuance[[#This Row],[LC Amt(SAR)]],Main_Issuance[[#This Row],[Issue Date.]],Main_Issuance[[#This Row],[Expiry Date]],Main_Issuance[[#This Row],[Calculate]])</f>
        <v>0</v>
      </c>
      <c r="AC580" s="83"/>
    </row>
    <row r="581" spans="1:29" ht="15.75" hidden="1" x14ac:dyDescent="0.25">
      <c r="A581" s="57" t="s">
        <v>541</v>
      </c>
      <c r="B581" s="56">
        <v>45634</v>
      </c>
      <c r="C581" s="56" t="s">
        <v>509</v>
      </c>
      <c r="D581" s="69" t="s">
        <v>20</v>
      </c>
      <c r="E581" s="69" t="s">
        <v>95</v>
      </c>
      <c r="F581" s="19" t="s">
        <v>96</v>
      </c>
      <c r="G581" s="69" t="s">
        <v>542</v>
      </c>
      <c r="H581" s="59" t="s">
        <v>24</v>
      </c>
      <c r="I581" s="65" t="s">
        <v>407</v>
      </c>
      <c r="J581" s="59">
        <v>1020100</v>
      </c>
      <c r="K581" s="69" t="s">
        <v>26</v>
      </c>
      <c r="L581" s="60">
        <v>800000</v>
      </c>
      <c r="M581" s="60">
        <v>1</v>
      </c>
      <c r="N581" s="60">
        <f>Main_Issuance[[#This Row],[LC Amt(FCY)]]*Main_Issuance[[#This Row],[Rate]]</f>
        <v>800000</v>
      </c>
      <c r="O581" s="56">
        <v>45716</v>
      </c>
      <c r="P581" s="56">
        <v>45716</v>
      </c>
      <c r="Q581" s="58" t="s">
        <v>27</v>
      </c>
      <c r="R581" s="69" t="s">
        <v>311</v>
      </c>
      <c r="S581" s="71"/>
      <c r="T581" s="71"/>
      <c r="U581" s="71"/>
      <c r="V581" s="68">
        <v>0</v>
      </c>
      <c r="W581" s="115"/>
      <c r="X581" s="191" t="str">
        <f ca="1">IF(AND((Main_Issuance[[#This Row],[Expiry Date]]+31)&gt;TODAY(),Main_Issuance[[#This Row],[Status]]&lt;&gt;"Cancelled"),"Active","Cancelled")</f>
        <v>Cancelled</v>
      </c>
      <c r="Y581" s="409"/>
      <c r="Z581" s="408"/>
      <c r="AA581" s="408" t="s">
        <v>378</v>
      </c>
      <c r="AB581" s="83" cm="1">
        <f t="array" ref="AB581">Iss_Tariff(Main_Issuance[[#This Row],[Bank]],Main_Issuance[[#This Row],[LC Amt(SAR)]],Main_Issuance[[#This Row],[Issue Date.]],Main_Issuance[[#This Row],[Expiry Date]],Main_Issuance[[#This Row],[Calculate]])</f>
        <v>0</v>
      </c>
      <c r="AC581" s="83"/>
    </row>
    <row r="582" spans="1:29" ht="15.75" hidden="1" x14ac:dyDescent="0.25">
      <c r="A582" s="57" t="s">
        <v>681</v>
      </c>
      <c r="B582" s="56">
        <v>45684</v>
      </c>
      <c r="C582" s="56" t="s">
        <v>509</v>
      </c>
      <c r="D582" s="69" t="s">
        <v>20</v>
      </c>
      <c r="E582" s="69" t="s">
        <v>95</v>
      </c>
      <c r="F582" s="19" t="s">
        <v>96</v>
      </c>
      <c r="G582" s="69" t="s">
        <v>542</v>
      </c>
      <c r="H582" s="59" t="s">
        <v>24</v>
      </c>
      <c r="I582" s="65" t="s">
        <v>407</v>
      </c>
      <c r="J582" s="59">
        <v>1020100</v>
      </c>
      <c r="K582" s="69" t="s">
        <v>26</v>
      </c>
      <c r="L582" s="60">
        <v>400000</v>
      </c>
      <c r="M582" s="60">
        <v>1</v>
      </c>
      <c r="N582" s="60">
        <f>Main_Issuance[[#This Row],[LC Amt(FCY)]]*Main_Issuance[[#This Row],[Rate]]</f>
        <v>400000</v>
      </c>
      <c r="O582" s="56">
        <v>45777</v>
      </c>
      <c r="P582" s="56">
        <v>45777</v>
      </c>
      <c r="Q582" s="58" t="s">
        <v>27</v>
      </c>
      <c r="R582" s="69" t="s">
        <v>311</v>
      </c>
      <c r="S582" s="71"/>
      <c r="T582" s="71"/>
      <c r="U582" s="71"/>
      <c r="V582" s="68">
        <v>0</v>
      </c>
      <c r="W582" s="115"/>
      <c r="X582" s="191" t="str">
        <f ca="1">IF(AND((Main_Issuance[[#This Row],[Expiry Date]]+31)&gt;TODAY(),Main_Issuance[[#This Row],[Status]]&lt;&gt;"Cancelled"),"Active","Cancelled")</f>
        <v>Cancelled</v>
      </c>
      <c r="Y582" s="409"/>
      <c r="Z582" s="408"/>
      <c r="AA582" s="408" t="s">
        <v>378</v>
      </c>
      <c r="AB582" s="83" cm="1">
        <f t="array" ref="AB582">Iss_Tariff(Main_Issuance[[#This Row],[Bank]],Main_Issuance[[#This Row],[LC Amt(SAR)]],Main_Issuance[[#This Row],[Issue Date.]],Main_Issuance[[#This Row],[Expiry Date]],Main_Issuance[[#This Row],[Calculate]])</f>
        <v>0</v>
      </c>
      <c r="AC582" s="83"/>
    </row>
    <row r="583" spans="1:29" ht="15.75" hidden="1" x14ac:dyDescent="0.25">
      <c r="A583" s="114" t="s">
        <v>820</v>
      </c>
      <c r="B583" s="56">
        <v>45739</v>
      </c>
      <c r="C583" s="56" t="s">
        <v>441</v>
      </c>
      <c r="D583" s="69" t="s">
        <v>20</v>
      </c>
      <c r="E583" s="69" t="s">
        <v>21</v>
      </c>
      <c r="F583" s="19" t="s">
        <v>22</v>
      </c>
      <c r="G583" s="69" t="s">
        <v>821</v>
      </c>
      <c r="H583" s="19" t="s">
        <v>24</v>
      </c>
      <c r="I583" s="69" t="s">
        <v>22</v>
      </c>
      <c r="J583" s="59">
        <v>1020055</v>
      </c>
      <c r="K583" s="69" t="s">
        <v>26</v>
      </c>
      <c r="L583" s="60">
        <v>413173.15</v>
      </c>
      <c r="M583" s="60">
        <v>1</v>
      </c>
      <c r="N583" s="60">
        <f>Main_Issuance[[#This Row],[LC Amt(FCY)]]*Main_Issuance[[#This Row],[Rate]]</f>
        <v>413173.15</v>
      </c>
      <c r="O583" s="56">
        <v>45900</v>
      </c>
      <c r="P583" s="56">
        <v>45900</v>
      </c>
      <c r="Q583" s="58" t="s">
        <v>27</v>
      </c>
      <c r="R583" s="69" t="s">
        <v>311</v>
      </c>
      <c r="S583" s="71"/>
      <c r="T583" s="71"/>
      <c r="U583" s="71"/>
      <c r="V583" s="68">
        <v>0</v>
      </c>
      <c r="W583" s="115"/>
      <c r="X583" s="191" t="str">
        <f ca="1">IF(AND((Main_Issuance[[#This Row],[Expiry Date]]+31)&gt;TODAY(),Main_Issuance[[#This Row],[Status]]&lt;&gt;"Cancelled"),"Active","Cancelled")</f>
        <v>Cancelled</v>
      </c>
      <c r="Y583" s="409"/>
      <c r="Z583" s="408"/>
      <c r="AA583" s="408" t="s">
        <v>378</v>
      </c>
      <c r="AB583" s="83" cm="1">
        <f t="array" ref="AB583">Iss_Tariff(Main_Issuance[[#This Row],[Bank]],Main_Issuance[[#This Row],[LC Amt(SAR)]],Main_Issuance[[#This Row],[Issue Date.]],Main_Issuance[[#This Row],[Expiry Date]],Main_Issuance[[#This Row],[Calculate]])</f>
        <v>0</v>
      </c>
      <c r="AC583" s="83"/>
    </row>
    <row r="584" spans="1:29" ht="15.75" hidden="1" x14ac:dyDescent="0.25">
      <c r="A584" s="114" t="s">
        <v>1607</v>
      </c>
      <c r="B584" s="76">
        <v>45862</v>
      </c>
      <c r="C584" s="76" t="s">
        <v>441</v>
      </c>
      <c r="D584" s="78" t="s">
        <v>20</v>
      </c>
      <c r="E584" s="78" t="s">
        <v>366</v>
      </c>
      <c r="F584" s="115" t="s">
        <v>710</v>
      </c>
      <c r="G584" s="78" t="s">
        <v>1578</v>
      </c>
      <c r="H584" s="115" t="s">
        <v>24</v>
      </c>
      <c r="I584" s="78" t="s">
        <v>710</v>
      </c>
      <c r="J584" s="113">
        <v>1020088</v>
      </c>
      <c r="K584" s="78" t="s">
        <v>26</v>
      </c>
      <c r="L584" s="60">
        <v>160462</v>
      </c>
      <c r="M584" s="60">
        <v>1</v>
      </c>
      <c r="N584" s="60">
        <f>Main_Issuance[[#This Row],[LC Amt(FCY)]]*Main_Issuance[[#This Row],[Rate]]</f>
        <v>160462</v>
      </c>
      <c r="O584" s="76">
        <v>45961</v>
      </c>
      <c r="P584" s="76">
        <v>45961</v>
      </c>
      <c r="Q584" s="77" t="s">
        <v>27</v>
      </c>
      <c r="R584" s="78" t="s">
        <v>621</v>
      </c>
      <c r="S584" s="81"/>
      <c r="T584" s="81"/>
      <c r="U584" s="81"/>
      <c r="V584" s="83">
        <v>0</v>
      </c>
      <c r="W584" s="115"/>
      <c r="X584" s="146" t="str">
        <f ca="1">IF(AND((Main_Issuance[[#This Row],[Expiry Date]]+31)&gt;TODAY(),Main_Issuance[[#This Row],[Status]]&lt;&gt;"Cancelled"),"Active","Cancelled")</f>
        <v>Cancelled</v>
      </c>
      <c r="Y584" s="409"/>
      <c r="Z584" s="408"/>
      <c r="AA584" s="408" t="s">
        <v>378</v>
      </c>
      <c r="AB584" s="83" cm="1">
        <f t="array" ref="AB584">Iss_Tariff(Main_Issuance[[#This Row],[Bank]],Main_Issuance[[#This Row],[LC Amt(SAR)]],Main_Issuance[[#This Row],[Issue Date.]],Main_Issuance[[#This Row],[Expiry Date]],Main_Issuance[[#This Row],[Calculate]])</f>
        <v>0</v>
      </c>
      <c r="AC584" s="83"/>
    </row>
    <row r="585" spans="1:29" ht="15.75" hidden="1" x14ac:dyDescent="0.25">
      <c r="A585" s="114" t="s">
        <v>1343</v>
      </c>
      <c r="B585" s="76">
        <v>45792</v>
      </c>
      <c r="C585" s="76" t="s">
        <v>441</v>
      </c>
      <c r="D585" s="115" t="s">
        <v>20</v>
      </c>
      <c r="E585" s="78" t="s">
        <v>21</v>
      </c>
      <c r="F585" s="115" t="s">
        <v>22</v>
      </c>
      <c r="G585" s="78" t="s">
        <v>1334</v>
      </c>
      <c r="H585" s="115" t="s">
        <v>24</v>
      </c>
      <c r="I585" s="78" t="s">
        <v>22</v>
      </c>
      <c r="J585" s="115">
        <v>1020055</v>
      </c>
      <c r="K585" s="78" t="s">
        <v>26</v>
      </c>
      <c r="L585" s="60">
        <v>353089.35</v>
      </c>
      <c r="M585" s="60">
        <v>1</v>
      </c>
      <c r="N585" s="60">
        <f>Main_Issuance[[#This Row],[LC Amt(FCY)]]*Main_Issuance[[#This Row],[Rate]]</f>
        <v>353089.35</v>
      </c>
      <c r="O585" s="76">
        <v>46157</v>
      </c>
      <c r="P585" s="76">
        <v>46157</v>
      </c>
      <c r="Q585" s="77" t="s">
        <v>27</v>
      </c>
      <c r="R585" s="78" t="s">
        <v>1629</v>
      </c>
      <c r="S585" s="81"/>
      <c r="T585" s="81"/>
      <c r="U585" s="81"/>
      <c r="V585" s="83">
        <v>0</v>
      </c>
      <c r="W585" s="115"/>
      <c r="X585" s="146" t="str">
        <f ca="1">IF(AND((Main_Issuance[[#This Row],[Expiry Date]]+31)&gt;TODAY(),Main_Issuance[[#This Row],[Status]]&lt;&gt;"Cancelled"),"Active","Cancelled")</f>
        <v>Cancelled</v>
      </c>
      <c r="Y585" s="409"/>
      <c r="Z585" s="408"/>
      <c r="AA585" s="408" t="s">
        <v>857</v>
      </c>
      <c r="AB585" s="83" cm="1">
        <f t="array" ref="AB585">Iss_Tariff(Main_Issuance[[#This Row],[Bank]],Main_Issuance[[#This Row],[LC Amt(SAR)]],Main_Issuance[[#This Row],[Issue Date.]],Main_Issuance[[#This Row],[Expiry Date]],Main_Issuance[[#This Row],[Calculate]])</f>
        <v>4238.8999999999996</v>
      </c>
      <c r="AC585" s="83"/>
    </row>
    <row r="586" spans="1:29" ht="15.75" hidden="1" x14ac:dyDescent="0.25">
      <c r="A586" s="114" t="s">
        <v>1768</v>
      </c>
      <c r="B586" s="76">
        <v>45887</v>
      </c>
      <c r="C586" s="76" t="s">
        <v>441</v>
      </c>
      <c r="D586" s="78" t="s">
        <v>20</v>
      </c>
      <c r="E586" s="78" t="s">
        <v>366</v>
      </c>
      <c r="F586" s="115" t="s">
        <v>710</v>
      </c>
      <c r="G586" s="78" t="s">
        <v>1698</v>
      </c>
      <c r="H586" s="115" t="s">
        <v>24</v>
      </c>
      <c r="I586" s="78" t="s">
        <v>710</v>
      </c>
      <c r="J586" s="113">
        <v>1020088</v>
      </c>
      <c r="K586" s="78" t="s">
        <v>26</v>
      </c>
      <c r="L586" s="60">
        <v>200000</v>
      </c>
      <c r="M586" s="60">
        <v>1</v>
      </c>
      <c r="N586" s="60">
        <f>Main_Issuance[[#This Row],[LC Amt(FCY)]]*Main_Issuance[[#This Row],[Rate]]</f>
        <v>200000</v>
      </c>
      <c r="O586" s="76">
        <v>45991</v>
      </c>
      <c r="P586" s="76">
        <v>45991</v>
      </c>
      <c r="Q586" s="77" t="s">
        <v>27</v>
      </c>
      <c r="R586" s="78" t="s">
        <v>621</v>
      </c>
      <c r="S586" s="81"/>
      <c r="T586" s="81"/>
      <c r="U586" s="81"/>
      <c r="V586" s="83">
        <v>0</v>
      </c>
      <c r="W586" s="115"/>
      <c r="X586" s="146" t="str">
        <f ca="1">IF(AND((Main_Issuance[[#This Row],[Expiry Date]]+31)&gt;TODAY(),Main_Issuance[[#This Row],[Status]]&lt;&gt;"Cancelled"),"Active","Cancelled")</f>
        <v>Cancelled</v>
      </c>
      <c r="Y586" s="409"/>
      <c r="Z586" s="408"/>
      <c r="AA586" s="408" t="s">
        <v>378</v>
      </c>
      <c r="AB586" s="83" cm="1">
        <f t="array" ref="AB586">Iss_Tariff(Main_Issuance[[#This Row],[Bank]],Main_Issuance[[#This Row],[LC Amt(SAR)]],Main_Issuance[[#This Row],[Issue Date.]],Main_Issuance[[#This Row],[Expiry Date]],Main_Issuance[[#This Row],[Calculate]])</f>
        <v>0</v>
      </c>
      <c r="AC586" s="83"/>
    </row>
    <row r="587" spans="1:29" ht="15.75" hidden="1" x14ac:dyDescent="0.25">
      <c r="A587" s="114" t="s">
        <v>3701</v>
      </c>
      <c r="B587" s="76">
        <v>46036</v>
      </c>
      <c r="C587" s="76" t="s">
        <v>441</v>
      </c>
      <c r="D587" s="78" t="s">
        <v>20</v>
      </c>
      <c r="E587" s="78" t="s">
        <v>366</v>
      </c>
      <c r="F587" s="115" t="s">
        <v>710</v>
      </c>
      <c r="G587" s="78" t="s">
        <v>1698</v>
      </c>
      <c r="H587" s="115" t="s">
        <v>24</v>
      </c>
      <c r="I587" s="78" t="s">
        <v>710</v>
      </c>
      <c r="J587" s="113">
        <v>1020088</v>
      </c>
      <c r="K587" s="78" t="s">
        <v>26</v>
      </c>
      <c r="L587" s="119">
        <v>500000</v>
      </c>
      <c r="M587" s="82">
        <v>1</v>
      </c>
      <c r="N587" s="82">
        <f>Main_Issuance[[#This Row],[LC Amt(FCY)]]*Main_Issuance[[#This Row],[Rate]]</f>
        <v>500000</v>
      </c>
      <c r="O587" s="76">
        <v>46203</v>
      </c>
      <c r="P587" s="76">
        <v>46203</v>
      </c>
      <c r="Q587" s="77" t="s">
        <v>27</v>
      </c>
      <c r="R587" s="78" t="s">
        <v>1904</v>
      </c>
      <c r="S587" s="81"/>
      <c r="T587" s="81"/>
      <c r="U587" s="81"/>
      <c r="V587" s="83">
        <v>0</v>
      </c>
      <c r="W587" s="115"/>
      <c r="X587" s="146" t="str">
        <f ca="1">IF(AND((Main_Issuance[[#This Row],[Expiry Date]]+31)&gt;TODAY(),Main_Issuance[[#This Row],[Status]]&lt;&gt;"Cancelled"),"Active","Cancelled")</f>
        <v>Active</v>
      </c>
      <c r="Y587" s="409"/>
      <c r="Z587" s="408"/>
      <c r="AA587" s="408" t="s">
        <v>857</v>
      </c>
      <c r="AB587" s="83" cm="1">
        <f t="array" ref="AB587">Iss_Tariff(Main_Issuance[[#This Row],[Bank]],Main_Issuance[[#This Row],[LC Amt(SAR)]],Main_Issuance[[#This Row],[Issue Date.]],Main_Issuance[[#This Row],[Expiry Date]],Main_Issuance[[#This Row],[Calculate]])</f>
        <v>2961.25</v>
      </c>
      <c r="AC587" s="83"/>
    </row>
    <row r="588" spans="1:29" ht="15.75" hidden="1" x14ac:dyDescent="0.25">
      <c r="A588" s="114" t="s">
        <v>4547</v>
      </c>
      <c r="B588" s="423">
        <v>46118</v>
      </c>
      <c r="C588" s="423" t="s">
        <v>441</v>
      </c>
      <c r="D588" s="115" t="s">
        <v>20</v>
      </c>
      <c r="E588" s="78" t="s">
        <v>366</v>
      </c>
      <c r="F588" s="115" t="s">
        <v>710</v>
      </c>
      <c r="G588" s="78" t="s">
        <v>1698</v>
      </c>
      <c r="H588" s="113" t="s">
        <v>24</v>
      </c>
      <c r="I588" s="78" t="s">
        <v>710</v>
      </c>
      <c r="J588" s="113">
        <v>1020088</v>
      </c>
      <c r="K588" s="78" t="s">
        <v>26</v>
      </c>
      <c r="L588" s="119">
        <v>200000</v>
      </c>
      <c r="M588" s="82">
        <v>1</v>
      </c>
      <c r="N588" s="82">
        <f>Main_Issuance[[#This Row],[LC Amt(FCY)]]*Main_Issuance[[#This Row],[Rate]]</f>
        <v>200000</v>
      </c>
      <c r="O588" s="424">
        <v>46203</v>
      </c>
      <c r="P588" s="424">
        <v>46203</v>
      </c>
      <c r="Q588" s="424" t="s">
        <v>27</v>
      </c>
      <c r="R588" s="78" t="s">
        <v>4493</v>
      </c>
      <c r="S588" s="81"/>
      <c r="T588" s="81"/>
      <c r="U588" s="81"/>
      <c r="V588" s="83">
        <v>0</v>
      </c>
      <c r="W588" s="115"/>
      <c r="X588" s="436" t="str">
        <f ca="1">IF(AND((Main_Issuance[[#This Row],[Expiry Date]]+31)&gt;TODAY(),Main_Issuance[[#This Row],[Status]]&lt;&gt;"Cancelled"),"Active","Cancelled")</f>
        <v>Active</v>
      </c>
      <c r="Y588" s="96"/>
      <c r="Z588" s="424"/>
      <c r="AA588" s="443" t="s">
        <v>857</v>
      </c>
      <c r="AB588" s="83" cm="1">
        <f t="array" ref="AB588">Iss_Tariff(Main_Issuance[[#This Row],[Bank]],Main_Issuance[[#This Row],[LC Amt(SAR)]],Main_Issuance[[#This Row],[Issue Date.]],Main_Issuance[[#This Row],[Expiry Date]],Main_Issuance[[#This Row],[Calculate]],,125)</f>
        <v>1380</v>
      </c>
      <c r="AC588" s="83"/>
    </row>
    <row r="589" spans="1:29" ht="15.75" hidden="1" x14ac:dyDescent="0.25">
      <c r="A589" s="114" t="s">
        <v>1651</v>
      </c>
      <c r="B589" s="76">
        <v>45869</v>
      </c>
      <c r="C589" s="76" t="s">
        <v>1119</v>
      </c>
      <c r="D589" s="78" t="s">
        <v>20</v>
      </c>
      <c r="E589" s="78" t="s">
        <v>366</v>
      </c>
      <c r="F589" s="115" t="s">
        <v>367</v>
      </c>
      <c r="G589" s="78" t="s">
        <v>1613</v>
      </c>
      <c r="H589" s="115" t="s">
        <v>24</v>
      </c>
      <c r="I589" s="78" t="s">
        <v>367</v>
      </c>
      <c r="J589" s="113">
        <v>1020091</v>
      </c>
      <c r="K589" s="78" t="s">
        <v>26</v>
      </c>
      <c r="L589" s="60">
        <v>1800000</v>
      </c>
      <c r="M589" s="60">
        <v>1</v>
      </c>
      <c r="N589" s="60">
        <f>Main_Issuance[[#This Row],[LC Amt(FCY)]]*Main_Issuance[[#This Row],[Rate]]</f>
        <v>1800000</v>
      </c>
      <c r="O589" s="76">
        <v>45961</v>
      </c>
      <c r="P589" s="76">
        <v>45961</v>
      </c>
      <c r="Q589" s="77" t="s">
        <v>27</v>
      </c>
      <c r="R589" s="78" t="s">
        <v>1624</v>
      </c>
      <c r="S589" s="81"/>
      <c r="T589" s="81"/>
      <c r="U589" s="81"/>
      <c r="V589" s="83">
        <v>0</v>
      </c>
      <c r="W589" s="115"/>
      <c r="X589" s="146" t="str">
        <f ca="1">IF(AND((Main_Issuance[[#This Row],[Expiry Date]]+31)&gt;TODAY(),Main_Issuance[[#This Row],[Status]]&lt;&gt;"Cancelled"),"Active","Cancelled")</f>
        <v>Cancelled</v>
      </c>
      <c r="Y589" s="409"/>
      <c r="Z589" s="408"/>
      <c r="AA589" s="408" t="s">
        <v>378</v>
      </c>
      <c r="AB589" s="83" cm="1">
        <f t="array" ref="AB589">Iss_Tariff(Main_Issuance[[#This Row],[Bank]],Main_Issuance[[#This Row],[LC Amt(SAR)]],Main_Issuance[[#This Row],[Issue Date.]],Main_Issuance[[#This Row],[Expiry Date]],Main_Issuance[[#This Row],[Calculate]])</f>
        <v>0</v>
      </c>
      <c r="AC589" s="83"/>
    </row>
    <row r="590" spans="1:29" ht="15.75" hidden="1" x14ac:dyDescent="0.25">
      <c r="A590" s="114" t="s">
        <v>58</v>
      </c>
      <c r="B590" s="56">
        <v>45299</v>
      </c>
      <c r="C590" s="56" t="s">
        <v>441</v>
      </c>
      <c r="D590" s="19" t="s">
        <v>20</v>
      </c>
      <c r="E590" s="69" t="s">
        <v>21</v>
      </c>
      <c r="F590" s="19" t="s">
        <v>22</v>
      </c>
      <c r="G590" s="69" t="s">
        <v>59</v>
      </c>
      <c r="H590" s="59" t="s">
        <v>24</v>
      </c>
      <c r="I590" s="65" t="s">
        <v>22</v>
      </c>
      <c r="J590" s="59">
        <v>1020055</v>
      </c>
      <c r="K590" s="69" t="s">
        <v>26</v>
      </c>
      <c r="L590" s="60">
        <v>422050</v>
      </c>
      <c r="M590" s="60">
        <v>1</v>
      </c>
      <c r="N590" s="60">
        <f>Main_Issuance[[#This Row],[LC Amt(FCY)]]*Main_Issuance[[#This Row],[Rate]]</f>
        <v>422050</v>
      </c>
      <c r="O590" s="56">
        <v>45474</v>
      </c>
      <c r="P590" s="56">
        <v>45474</v>
      </c>
      <c r="Q590" s="58" t="s">
        <v>27</v>
      </c>
      <c r="R590" s="69" t="s">
        <v>28</v>
      </c>
      <c r="S590" s="71"/>
      <c r="T590" s="71"/>
      <c r="U590" s="71"/>
      <c r="V590" s="68">
        <v>0</v>
      </c>
      <c r="W590" s="115"/>
      <c r="X590" s="191" t="str">
        <f ca="1">IF(AND((Main_Issuance[[#This Row],[Expiry Date]]+31)&gt;TODAY(),Main_Issuance[[#This Row],[Status]]&lt;&gt;"Cancelled"),"Active","Cancelled")</f>
        <v>Cancelled</v>
      </c>
      <c r="Y590" s="409"/>
      <c r="Z590" s="408"/>
      <c r="AA590" s="408" t="s">
        <v>378</v>
      </c>
      <c r="AB590" s="83" cm="1">
        <f t="array" ref="AB590">Iss_Tariff(Main_Issuance[[#This Row],[Bank]],Main_Issuance[[#This Row],[LC Amt(SAR)]],Main_Issuance[[#This Row],[Issue Date.]],Main_Issuance[[#This Row],[Expiry Date]],Main_Issuance[[#This Row],[Calculate]])</f>
        <v>0</v>
      </c>
      <c r="AC590" s="83"/>
    </row>
    <row r="591" spans="1:29" ht="15.75" hidden="1" x14ac:dyDescent="0.25">
      <c r="A591" s="114" t="s">
        <v>1435</v>
      </c>
      <c r="B591" s="76">
        <v>45810</v>
      </c>
      <c r="C591" s="76" t="s">
        <v>441</v>
      </c>
      <c r="D591" s="78" t="s">
        <v>20</v>
      </c>
      <c r="E591" s="78" t="s">
        <v>366</v>
      </c>
      <c r="F591" s="115" t="s">
        <v>710</v>
      </c>
      <c r="G591" s="78" t="s">
        <v>1384</v>
      </c>
      <c r="H591" s="115" t="s">
        <v>24</v>
      </c>
      <c r="I591" s="78" t="s">
        <v>710</v>
      </c>
      <c r="J591" s="113">
        <v>1020088</v>
      </c>
      <c r="K591" s="78" t="s">
        <v>26</v>
      </c>
      <c r="L591" s="60">
        <v>894240</v>
      </c>
      <c r="M591" s="60">
        <v>1</v>
      </c>
      <c r="N591" s="60">
        <f>Main_Issuance[[#This Row],[LC Amt(FCY)]]*Main_Issuance[[#This Row],[Rate]]</f>
        <v>894240</v>
      </c>
      <c r="O591" s="76">
        <v>45900</v>
      </c>
      <c r="P591" s="76">
        <v>45900</v>
      </c>
      <c r="Q591" s="77" t="s">
        <v>27</v>
      </c>
      <c r="R591" s="78" t="s">
        <v>621</v>
      </c>
      <c r="S591" s="81"/>
      <c r="T591" s="81"/>
      <c r="U591" s="81"/>
      <c r="V591" s="83">
        <v>0</v>
      </c>
      <c r="W591" s="115"/>
      <c r="X591" s="146" t="str">
        <f ca="1">IF(AND((Main_Issuance[[#This Row],[Expiry Date]]+31)&gt;TODAY(),Main_Issuance[[#This Row],[Status]]&lt;&gt;"Cancelled"),"Active","Cancelled")</f>
        <v>Cancelled</v>
      </c>
      <c r="Y591" s="409"/>
      <c r="Z591" s="408"/>
      <c r="AA591" s="408" t="s">
        <v>378</v>
      </c>
      <c r="AB591" s="83" cm="1">
        <f t="array" ref="AB591">Iss_Tariff(Main_Issuance[[#This Row],[Bank]],Main_Issuance[[#This Row],[LC Amt(SAR)]],Main_Issuance[[#This Row],[Issue Date.]],Main_Issuance[[#This Row],[Expiry Date]],Main_Issuance[[#This Row],[Calculate]])</f>
        <v>0</v>
      </c>
      <c r="AC591" s="83"/>
    </row>
    <row r="592" spans="1:29" ht="15.75" hidden="1" x14ac:dyDescent="0.25">
      <c r="A592" s="114" t="s">
        <v>3713</v>
      </c>
      <c r="B592" s="76">
        <v>46037</v>
      </c>
      <c r="C592" s="76" t="s">
        <v>441</v>
      </c>
      <c r="D592" s="78" t="s">
        <v>20</v>
      </c>
      <c r="E592" s="78" t="s">
        <v>366</v>
      </c>
      <c r="F592" s="115" t="s">
        <v>710</v>
      </c>
      <c r="G592" s="78" t="s">
        <v>3290</v>
      </c>
      <c r="H592" s="115" t="s">
        <v>24</v>
      </c>
      <c r="I592" s="78" t="s">
        <v>710</v>
      </c>
      <c r="J592" s="113">
        <v>1020088</v>
      </c>
      <c r="K592" s="78" t="s">
        <v>26</v>
      </c>
      <c r="L592" s="119">
        <v>500000</v>
      </c>
      <c r="M592" s="82">
        <v>1</v>
      </c>
      <c r="N592" s="82">
        <f>Main_Issuance[[#This Row],[LC Amt(FCY)]]*Main_Issuance[[#This Row],[Rate]]</f>
        <v>500000</v>
      </c>
      <c r="O592" s="76">
        <v>46203</v>
      </c>
      <c r="P592" s="76">
        <v>46203</v>
      </c>
      <c r="Q592" s="77" t="s">
        <v>27</v>
      </c>
      <c r="R592" s="78" t="s">
        <v>1904</v>
      </c>
      <c r="S592" s="81"/>
      <c r="T592" s="81"/>
      <c r="U592" s="81"/>
      <c r="V592" s="83">
        <v>0</v>
      </c>
      <c r="W592" s="115"/>
      <c r="X592" s="146" t="str">
        <f ca="1">IF(AND((Main_Issuance[[#This Row],[Expiry Date]]+31)&gt;TODAY(),Main_Issuance[[#This Row],[Status]]&lt;&gt;"Cancelled"),"Active","Cancelled")</f>
        <v>Active</v>
      </c>
      <c r="Y592" s="409"/>
      <c r="Z592" s="408"/>
      <c r="AA592" s="408" t="s">
        <v>857</v>
      </c>
      <c r="AB592" s="83" cm="1">
        <f t="array" ref="AB592">Iss_Tariff(Main_Issuance[[#This Row],[Bank]],Main_Issuance[[#This Row],[LC Amt(SAR)]],Main_Issuance[[#This Row],[Issue Date.]],Main_Issuance[[#This Row],[Expiry Date]],Main_Issuance[[#This Row],[Calculate]])</f>
        <v>2961.25</v>
      </c>
      <c r="AC592" s="83"/>
    </row>
    <row r="593" spans="1:29" ht="15.75" hidden="1" x14ac:dyDescent="0.25">
      <c r="A593" s="114" t="s">
        <v>1598</v>
      </c>
      <c r="B593" s="76">
        <v>45862</v>
      </c>
      <c r="C593" s="76" t="s">
        <v>441</v>
      </c>
      <c r="D593" s="78" t="s">
        <v>20</v>
      </c>
      <c r="E593" s="78" t="s">
        <v>366</v>
      </c>
      <c r="F593" s="115" t="s">
        <v>710</v>
      </c>
      <c r="G593" s="78" t="s">
        <v>1572</v>
      </c>
      <c r="H593" s="115" t="s">
        <v>24</v>
      </c>
      <c r="I593" s="78" t="s">
        <v>710</v>
      </c>
      <c r="J593" s="113">
        <v>1020088</v>
      </c>
      <c r="K593" s="78" t="s">
        <v>26</v>
      </c>
      <c r="L593" s="60">
        <v>2250000</v>
      </c>
      <c r="M593" s="60">
        <v>1</v>
      </c>
      <c r="N593" s="60">
        <f>Main_Issuance[[#This Row],[LC Amt(FCY)]]*Main_Issuance[[#This Row],[Rate]]</f>
        <v>2250000</v>
      </c>
      <c r="O593" s="76">
        <v>45961</v>
      </c>
      <c r="P593" s="76">
        <v>45961</v>
      </c>
      <c r="Q593" s="77" t="s">
        <v>27</v>
      </c>
      <c r="R593" s="78" t="s">
        <v>621</v>
      </c>
      <c r="S593" s="81"/>
      <c r="T593" s="81"/>
      <c r="U593" s="81"/>
      <c r="V593" s="83">
        <v>0</v>
      </c>
      <c r="W593" s="115"/>
      <c r="X593" s="146" t="str">
        <f ca="1">IF(AND((Main_Issuance[[#This Row],[Expiry Date]]+31)&gt;TODAY(),Main_Issuance[[#This Row],[Status]]&lt;&gt;"Cancelled"),"Active","Cancelled")</f>
        <v>Cancelled</v>
      </c>
      <c r="Y593" s="409"/>
      <c r="Z593" s="408"/>
      <c r="AA593" s="408" t="s">
        <v>378</v>
      </c>
      <c r="AB593" s="83" cm="1">
        <f t="array" ref="AB593">Iss_Tariff(Main_Issuance[[#This Row],[Bank]],Main_Issuance[[#This Row],[LC Amt(SAR)]],Main_Issuance[[#This Row],[Issue Date.]],Main_Issuance[[#This Row],[Expiry Date]],Main_Issuance[[#This Row],[Calculate]])</f>
        <v>0</v>
      </c>
      <c r="AC593" s="83"/>
    </row>
    <row r="594" spans="1:29" ht="15.75" hidden="1" x14ac:dyDescent="0.25">
      <c r="A594" s="114" t="s">
        <v>1769</v>
      </c>
      <c r="B594" s="76">
        <v>45887</v>
      </c>
      <c r="C594" s="76" t="s">
        <v>441</v>
      </c>
      <c r="D594" s="78" t="s">
        <v>20</v>
      </c>
      <c r="E594" s="78" t="s">
        <v>366</v>
      </c>
      <c r="F594" s="115" t="s">
        <v>710</v>
      </c>
      <c r="G594" s="433" t="s">
        <v>1572</v>
      </c>
      <c r="H594" s="115" t="s">
        <v>24</v>
      </c>
      <c r="I594" s="78" t="s">
        <v>710</v>
      </c>
      <c r="J594" s="113">
        <v>1020088</v>
      </c>
      <c r="K594" s="78" t="s">
        <v>26</v>
      </c>
      <c r="L594" s="60">
        <v>700000</v>
      </c>
      <c r="M594" s="60">
        <v>1</v>
      </c>
      <c r="N594" s="60">
        <f>Main_Issuance[[#This Row],[LC Amt(FCY)]]*Main_Issuance[[#This Row],[Rate]]</f>
        <v>700000</v>
      </c>
      <c r="O594" s="76">
        <v>45991</v>
      </c>
      <c r="P594" s="76">
        <v>45991</v>
      </c>
      <c r="Q594" s="77" t="s">
        <v>27</v>
      </c>
      <c r="R594" s="78" t="s">
        <v>621</v>
      </c>
      <c r="S594" s="81"/>
      <c r="T594" s="81"/>
      <c r="U594" s="81"/>
      <c r="V594" s="83">
        <v>0</v>
      </c>
      <c r="W594" s="115"/>
      <c r="X594" s="146" t="str">
        <f ca="1">IF(AND((Main_Issuance[[#This Row],[Expiry Date]]+31)&gt;TODAY(),Main_Issuance[[#This Row],[Status]]&lt;&gt;"Cancelled"),"Active","Cancelled")</f>
        <v>Cancelled</v>
      </c>
      <c r="Y594" s="409"/>
      <c r="Z594" s="408"/>
      <c r="AA594" s="408" t="s">
        <v>378</v>
      </c>
      <c r="AB594" s="83" cm="1">
        <f t="array" ref="AB594">Iss_Tariff(Main_Issuance[[#This Row],[Bank]],Main_Issuance[[#This Row],[LC Amt(SAR)]],Main_Issuance[[#This Row],[Issue Date.]],Main_Issuance[[#This Row],[Expiry Date]],Main_Issuance[[#This Row],[Calculate]])</f>
        <v>0</v>
      </c>
      <c r="AC594" s="83"/>
    </row>
    <row r="595" spans="1:29" ht="15.75" hidden="1" x14ac:dyDescent="0.25">
      <c r="A595" s="508" t="s">
        <v>3265</v>
      </c>
      <c r="B595" s="76">
        <v>46019</v>
      </c>
      <c r="C595" s="76" t="s">
        <v>441</v>
      </c>
      <c r="D595" s="78" t="s">
        <v>20</v>
      </c>
      <c r="E595" s="78" t="s">
        <v>366</v>
      </c>
      <c r="F595" s="115" t="s">
        <v>710</v>
      </c>
      <c r="G595" s="78" t="s">
        <v>1572</v>
      </c>
      <c r="H595" s="115" t="s">
        <v>24</v>
      </c>
      <c r="I595" s="78" t="s">
        <v>710</v>
      </c>
      <c r="J595" s="113">
        <v>1020088</v>
      </c>
      <c r="K595" s="78" t="s">
        <v>26</v>
      </c>
      <c r="L595" s="119">
        <v>8790001.0999999996</v>
      </c>
      <c r="M595" s="82">
        <v>1</v>
      </c>
      <c r="N595" s="82">
        <f>Main_Issuance[[#This Row],[LC Amt(FCY)]]*Main_Issuance[[#This Row],[Rate]]</f>
        <v>8790001.0999999996</v>
      </c>
      <c r="O595" s="76">
        <v>46203</v>
      </c>
      <c r="P595" s="76">
        <v>46203</v>
      </c>
      <c r="Q595" s="77" t="s">
        <v>27</v>
      </c>
      <c r="R595" s="78" t="s">
        <v>621</v>
      </c>
      <c r="S595" s="81"/>
      <c r="T595" s="81"/>
      <c r="U595" s="81"/>
      <c r="V595" s="83">
        <v>0</v>
      </c>
      <c r="W595" s="115" t="s">
        <v>5083</v>
      </c>
      <c r="X595" s="146" t="str">
        <f ca="1">IF(AND((Main_Issuance[[#This Row],[Expiry Date]]+31)&gt;TODAY(),Main_Issuance[[#This Row],[Status]]&lt;&gt;"Cancelled"),"Active","Cancelled")</f>
        <v>Active</v>
      </c>
      <c r="Y595" s="409"/>
      <c r="Z595" s="408"/>
      <c r="AA595" s="408" t="s">
        <v>857</v>
      </c>
      <c r="AB595" s="83" cm="1">
        <f t="array" ref="AB595">Iss_Tariff(Main_Issuance[[#This Row],[Bank]],Main_Issuance[[#This Row],[LC Amt(SAR)]],Main_Issuance[[#This Row],[Issue Date.]],Main_Issuance[[#This Row],[Expiry Date]],Main_Issuance[[#This Row],[Calculate]])</f>
        <v>50628.75</v>
      </c>
      <c r="AC595" s="83"/>
    </row>
    <row r="596" spans="1:29" ht="15.75" hidden="1" x14ac:dyDescent="0.25">
      <c r="A596" s="147" t="s">
        <v>493</v>
      </c>
      <c r="B596" s="122">
        <v>45610</v>
      </c>
      <c r="C596" s="76" t="s">
        <v>509</v>
      </c>
      <c r="D596" s="123" t="s">
        <v>20</v>
      </c>
      <c r="E596" s="123" t="s">
        <v>21</v>
      </c>
      <c r="F596" s="124" t="s">
        <v>22</v>
      </c>
      <c r="G596" s="123" t="s">
        <v>494</v>
      </c>
      <c r="H596" s="113" t="s">
        <v>72</v>
      </c>
      <c r="I596" s="79" t="s">
        <v>487</v>
      </c>
      <c r="J596" s="113">
        <v>1020060</v>
      </c>
      <c r="K596" s="78" t="s">
        <v>26</v>
      </c>
      <c r="L596" s="60">
        <v>1253500</v>
      </c>
      <c r="M596" s="60">
        <v>1</v>
      </c>
      <c r="N596" s="60">
        <f>Main_Issuance[[#This Row],[LC Amt(FCY)]]*Main_Issuance[[#This Row],[Rate]]</f>
        <v>1253500</v>
      </c>
      <c r="O596" s="76">
        <v>45930</v>
      </c>
      <c r="P596" s="76">
        <v>45757</v>
      </c>
      <c r="Q596" s="77" t="s">
        <v>27</v>
      </c>
      <c r="R596" s="78" t="s">
        <v>305</v>
      </c>
      <c r="S596" s="81"/>
      <c r="T596" s="81"/>
      <c r="U596" s="81"/>
      <c r="V596" s="83">
        <v>0</v>
      </c>
      <c r="W596" s="115"/>
      <c r="X596" s="146" t="str">
        <f ca="1">IF(AND((Main_Issuance[[#This Row],[Expiry Date]]+31)&gt;TODAY(),Main_Issuance[[#This Row],[Status]]&lt;&gt;"Cancelled"),"Active","Cancelled")</f>
        <v>Cancelled</v>
      </c>
      <c r="Y596" s="409"/>
      <c r="Z596" s="408"/>
      <c r="AA596" s="408" t="s">
        <v>378</v>
      </c>
      <c r="AB596" s="83" cm="1">
        <f t="array" ref="AB596">Iss_Tariff(Main_Issuance[[#This Row],[Bank]],Main_Issuance[[#This Row],[LC Amt(SAR)]],Main_Issuance[[#This Row],[Issue Date.]],Main_Issuance[[#This Row],[Expiry Date]],Main_Issuance[[#This Row],[Calculate]])</f>
        <v>0</v>
      </c>
      <c r="AC596" s="83"/>
    </row>
    <row r="597" spans="1:29" ht="15.75" hidden="1" x14ac:dyDescent="0.25">
      <c r="A597" s="114" t="s">
        <v>1934</v>
      </c>
      <c r="B597" s="76">
        <v>45904</v>
      </c>
      <c r="C597" s="76" t="s">
        <v>1537</v>
      </c>
      <c r="D597" s="78" t="s">
        <v>20</v>
      </c>
      <c r="E597" s="78" t="s">
        <v>62</v>
      </c>
      <c r="F597" s="115" t="s">
        <v>483</v>
      </c>
      <c r="G597" s="78" t="s">
        <v>1641</v>
      </c>
      <c r="H597" s="113" t="s">
        <v>72</v>
      </c>
      <c r="I597" s="78" t="s">
        <v>483</v>
      </c>
      <c r="J597" s="149">
        <v>1020096</v>
      </c>
      <c r="K597" s="78" t="s">
        <v>26</v>
      </c>
      <c r="L597" s="119">
        <f>15000000-1909956.17-2182840.07+15000000</f>
        <v>25907203.759999998</v>
      </c>
      <c r="M597" s="119">
        <v>1</v>
      </c>
      <c r="N597" s="119">
        <f>Main_Issuance[[#This Row],[LC Amt(FCY)]]*Main_Issuance[[#This Row],[Rate]]</f>
        <v>25907203.759999998</v>
      </c>
      <c r="O597" s="76">
        <v>46310</v>
      </c>
      <c r="P597" s="76">
        <v>46289</v>
      </c>
      <c r="Q597" s="77" t="s">
        <v>27</v>
      </c>
      <c r="R597" s="78" t="s">
        <v>305</v>
      </c>
      <c r="S597" s="81"/>
      <c r="T597" s="81"/>
      <c r="U597" s="81"/>
      <c r="V597" s="83">
        <v>0</v>
      </c>
      <c r="W597" s="115"/>
      <c r="X597" s="146" t="str">
        <f ca="1">IF(AND((Main_Issuance[[#This Row],[Expiry Date]]+31)&gt;TODAY(),Main_Issuance[[#This Row],[Status]]&lt;&gt;"Cancelled"),"Active","Cancelled")</f>
        <v>Active</v>
      </c>
      <c r="Y597" s="409"/>
      <c r="Z597" s="408"/>
      <c r="AA597" s="408" t="s">
        <v>857</v>
      </c>
      <c r="AB597" s="83" cm="1">
        <f t="array" ref="AB597">Iss_Tariff(Main_Issuance[[#This Row],[Bank]],Main_Issuance[[#This Row],[LC Amt(SAR)]],Main_Issuance[[#This Row],[Issue Date.]],Main_Issuance[[#This Row],[Expiry Date]],Main_Issuance[[#This Row],[Calculate]])</f>
        <v>579176.80000000005</v>
      </c>
      <c r="AC597" s="83"/>
    </row>
    <row r="598" spans="1:29" ht="15.75" hidden="1" x14ac:dyDescent="0.25">
      <c r="A598" s="114" t="s">
        <v>2568</v>
      </c>
      <c r="B598" s="76">
        <v>45904</v>
      </c>
      <c r="C598" s="76" t="s">
        <v>1537</v>
      </c>
      <c r="D598" s="78" t="s">
        <v>20</v>
      </c>
      <c r="E598" s="78" t="s">
        <v>62</v>
      </c>
      <c r="F598" s="115" t="s">
        <v>70</v>
      </c>
      <c r="G598" s="78" t="s">
        <v>1641</v>
      </c>
      <c r="H598" s="113" t="s">
        <v>72</v>
      </c>
      <c r="I598" s="78" t="s">
        <v>483</v>
      </c>
      <c r="J598" s="113">
        <v>1020096</v>
      </c>
      <c r="K598" s="78" t="s">
        <v>26</v>
      </c>
      <c r="L598" s="119">
        <f>15000000-13090043.83+2182840.07</f>
        <v>4092796.2399999998</v>
      </c>
      <c r="M598" s="82">
        <v>1</v>
      </c>
      <c r="N598" s="82">
        <f>Main_Issuance[[#This Row],[LC Amt(FCY)]]*Main_Issuance[[#This Row],[Rate]]</f>
        <v>4092796.2399999998</v>
      </c>
      <c r="O598" s="76">
        <v>46310</v>
      </c>
      <c r="P598" s="76">
        <v>46289</v>
      </c>
      <c r="Q598" s="77" t="s">
        <v>70</v>
      </c>
      <c r="R598" s="78" t="s">
        <v>305</v>
      </c>
      <c r="S598" s="81"/>
      <c r="T598" s="81"/>
      <c r="U598" s="81"/>
      <c r="V598" s="83">
        <v>0</v>
      </c>
      <c r="W598" s="115"/>
      <c r="X598" s="146" t="str">
        <f ca="1">IF(AND((Main_Issuance[[#This Row],[Expiry Date]]+31)&gt;TODAY(),Main_Issuance[[#This Row],[Status]]&lt;&gt;"Cancelled"),"Active","Cancelled")</f>
        <v>Active</v>
      </c>
      <c r="Y598" s="409"/>
      <c r="Z598" s="408"/>
      <c r="AA598" s="408" t="s">
        <v>857</v>
      </c>
      <c r="AB598" s="83" cm="1">
        <f t="array" ref="AB598">Iss_Tariff(Main_Issuance[[#This Row],[Bank]],Main_Issuance[[#This Row],[LC Amt(SAR)]],Main_Issuance[[#This Row],[Issue Date.]],Main_Issuance[[#This Row],[Expiry Date]],Main_Issuance[[#This Row],[Calculate]])</f>
        <v>92427.8</v>
      </c>
      <c r="AC598" s="83"/>
    </row>
    <row r="599" spans="1:29" ht="15.75" hidden="1" x14ac:dyDescent="0.25">
      <c r="A599" s="114" t="s">
        <v>4394</v>
      </c>
      <c r="B599" s="76">
        <v>46105</v>
      </c>
      <c r="C599" s="76" t="s">
        <v>1537</v>
      </c>
      <c r="D599" s="78" t="s">
        <v>20</v>
      </c>
      <c r="E599" s="78" t="s">
        <v>62</v>
      </c>
      <c r="F599" s="115" t="s">
        <v>483</v>
      </c>
      <c r="G599" s="78" t="s">
        <v>1641</v>
      </c>
      <c r="H599" s="113" t="s">
        <v>72</v>
      </c>
      <c r="I599" s="78" t="s">
        <v>483</v>
      </c>
      <c r="J599" s="113">
        <v>1020096</v>
      </c>
      <c r="K599" s="78" t="s">
        <v>26</v>
      </c>
      <c r="L599" s="119">
        <v>17932603.559999999</v>
      </c>
      <c r="M599" s="82">
        <v>1</v>
      </c>
      <c r="N599" s="82">
        <f>Main_Issuance[[#This Row],[LC Amt(FCY)]]*Main_Issuance[[#This Row],[Rate]]</f>
        <v>17932603.559999999</v>
      </c>
      <c r="O599" s="76">
        <v>46264</v>
      </c>
      <c r="P599" s="76">
        <v>46243</v>
      </c>
      <c r="Q599" s="77" t="s">
        <v>27</v>
      </c>
      <c r="R599" s="78" t="s">
        <v>4293</v>
      </c>
      <c r="S599" s="81"/>
      <c r="T599" s="81"/>
      <c r="U599" s="81"/>
      <c r="V599" s="83">
        <v>0</v>
      </c>
      <c r="W599" s="115"/>
      <c r="X599" s="146" t="str">
        <f ca="1">IF(AND((Main_Issuance[[#This Row],[Expiry Date]]+31)&gt;TODAY(),Main_Issuance[[#This Row],[Status]]&lt;&gt;"Cancelled"),"Active","Cancelled")</f>
        <v>Active</v>
      </c>
      <c r="Y599" s="409"/>
      <c r="Z599" s="408"/>
      <c r="AA599" s="408" t="s">
        <v>857</v>
      </c>
      <c r="AB599" s="83" cm="1">
        <f t="array" ref="AB599">Iss_Tariff(Main_Issuance[[#This Row],[Bank]],Main_Issuance[[#This Row],[LC Amt(SAR)]],Main_Issuance[[#This Row],[Issue Date.]],Main_Issuance[[#This Row],[Expiry Date]],Main_Issuance[[#This Row],[Calculate]])</f>
        <v>143743.1</v>
      </c>
      <c r="AC599" s="83"/>
    </row>
    <row r="600" spans="1:29" ht="15.75" hidden="1" x14ac:dyDescent="0.25">
      <c r="A600" s="57" t="s">
        <v>700</v>
      </c>
      <c r="B600" s="56">
        <v>45733</v>
      </c>
      <c r="C600" s="56" t="s">
        <v>1119</v>
      </c>
      <c r="D600" s="69" t="s">
        <v>20</v>
      </c>
      <c r="E600" s="69" t="s">
        <v>366</v>
      </c>
      <c r="F600" s="19" t="s">
        <v>367</v>
      </c>
      <c r="G600" s="69" t="s">
        <v>701</v>
      </c>
      <c r="H600" s="59" t="s">
        <v>72</v>
      </c>
      <c r="I600" s="65" t="s">
        <v>367</v>
      </c>
      <c r="J600" s="59">
        <v>1020091</v>
      </c>
      <c r="K600" s="69" t="s">
        <v>26</v>
      </c>
      <c r="L600" s="60">
        <f>3332700+937438.32+589341.24</f>
        <v>4859479.5600000005</v>
      </c>
      <c r="M600" s="60">
        <v>1</v>
      </c>
      <c r="N600" s="60">
        <f>Main_Issuance[[#This Row],[LC Amt(FCY)]]*Main_Issuance[[#This Row],[Rate]]</f>
        <v>4859479.5600000005</v>
      </c>
      <c r="O600" s="56">
        <v>45934</v>
      </c>
      <c r="P600" s="56">
        <v>45920</v>
      </c>
      <c r="Q600" s="58" t="s">
        <v>27</v>
      </c>
      <c r="R600" s="69" t="s">
        <v>311</v>
      </c>
      <c r="S600" s="71"/>
      <c r="T600" s="71"/>
      <c r="U600" s="71"/>
      <c r="V600" s="68">
        <v>0</v>
      </c>
      <c r="W600" s="115"/>
      <c r="X600" s="191" t="str">
        <f ca="1">IF(AND((Main_Issuance[[#This Row],[Expiry Date]]+31)&gt;TODAY(),Main_Issuance[[#This Row],[Status]]&lt;&gt;"Cancelled"),"Active","Cancelled")</f>
        <v>Cancelled</v>
      </c>
      <c r="Y600" s="409"/>
      <c r="Z600" s="408"/>
      <c r="AA600" s="408" t="s">
        <v>378</v>
      </c>
      <c r="AB600" s="83" cm="1">
        <f t="array" ref="AB600">Iss_Tariff(Main_Issuance[[#This Row],[Bank]],Main_Issuance[[#This Row],[LC Amt(SAR)]],Main_Issuance[[#This Row],[Issue Date.]],Main_Issuance[[#This Row],[Expiry Date]],Main_Issuance[[#This Row],[Calculate]])</f>
        <v>0</v>
      </c>
      <c r="AC600" s="83"/>
    </row>
    <row r="601" spans="1:29" ht="15.75" hidden="1" x14ac:dyDescent="0.25">
      <c r="A601" s="57" t="s">
        <v>825</v>
      </c>
      <c r="B601" s="56">
        <v>45739</v>
      </c>
      <c r="C601" s="56" t="s">
        <v>441</v>
      </c>
      <c r="D601" s="69" t="s">
        <v>20</v>
      </c>
      <c r="E601" s="69" t="s">
        <v>21</v>
      </c>
      <c r="F601" s="19" t="s">
        <v>22</v>
      </c>
      <c r="G601" s="69" t="s">
        <v>826</v>
      </c>
      <c r="H601" s="19" t="s">
        <v>24</v>
      </c>
      <c r="I601" s="69" t="s">
        <v>22</v>
      </c>
      <c r="J601" s="59">
        <v>1020055</v>
      </c>
      <c r="K601" s="69" t="s">
        <v>26</v>
      </c>
      <c r="L601" s="60">
        <v>112626.99</v>
      </c>
      <c r="M601" s="60">
        <v>1</v>
      </c>
      <c r="N601" s="60">
        <f>Main_Issuance[[#This Row],[LC Amt(FCY)]]*Main_Issuance[[#This Row],[Rate]]</f>
        <v>112626.99</v>
      </c>
      <c r="O601" s="56">
        <v>45838</v>
      </c>
      <c r="P601" s="56">
        <v>45838</v>
      </c>
      <c r="Q601" s="58" t="s">
        <v>27</v>
      </c>
      <c r="R601" s="69" t="s">
        <v>311</v>
      </c>
      <c r="S601" s="71"/>
      <c r="T601" s="71"/>
      <c r="U601" s="71"/>
      <c r="V601" s="68">
        <v>0</v>
      </c>
      <c r="W601" s="115"/>
      <c r="X601" s="191" t="str">
        <f ca="1">IF(AND((Main_Issuance[[#This Row],[Expiry Date]]+31)&gt;TODAY(),Main_Issuance[[#This Row],[Status]]&lt;&gt;"Cancelled"),"Active","Cancelled")</f>
        <v>Cancelled</v>
      </c>
      <c r="Y601" s="409"/>
      <c r="Z601" s="408"/>
      <c r="AA601" s="408" t="s">
        <v>378</v>
      </c>
      <c r="AB601" s="83" cm="1">
        <f t="array" ref="AB601">Iss_Tariff(Main_Issuance[[#This Row],[Bank]],Main_Issuance[[#This Row],[LC Amt(SAR)]],Main_Issuance[[#This Row],[Issue Date.]],Main_Issuance[[#This Row],[Expiry Date]],Main_Issuance[[#This Row],[Calculate]])</f>
        <v>0</v>
      </c>
      <c r="AC601" s="83"/>
    </row>
    <row r="602" spans="1:29" ht="15.75" hidden="1" x14ac:dyDescent="0.25">
      <c r="A602" s="114" t="s">
        <v>1410</v>
      </c>
      <c r="B602" s="76">
        <v>45804</v>
      </c>
      <c r="C602" s="76" t="s">
        <v>441</v>
      </c>
      <c r="D602" s="69" t="s">
        <v>20</v>
      </c>
      <c r="E602" s="78" t="s">
        <v>21</v>
      </c>
      <c r="F602" s="115" t="s">
        <v>22</v>
      </c>
      <c r="G602" s="78" t="s">
        <v>826</v>
      </c>
      <c r="H602" s="115" t="s">
        <v>24</v>
      </c>
      <c r="I602" s="78" t="s">
        <v>22</v>
      </c>
      <c r="J602" s="115">
        <v>1020055</v>
      </c>
      <c r="K602" s="78" t="s">
        <v>26</v>
      </c>
      <c r="L602" s="60">
        <v>73962.710000000006</v>
      </c>
      <c r="M602" s="60">
        <v>1</v>
      </c>
      <c r="N602" s="60">
        <f>Main_Issuance[[#This Row],[LC Amt(FCY)]]*Main_Issuance[[#This Row],[Rate]]</f>
        <v>73962.710000000006</v>
      </c>
      <c r="O602" s="76">
        <v>46022</v>
      </c>
      <c r="P602" s="76">
        <v>46022</v>
      </c>
      <c r="Q602" s="77" t="s">
        <v>27</v>
      </c>
      <c r="R602" s="78" t="s">
        <v>621</v>
      </c>
      <c r="S602" s="81"/>
      <c r="T602" s="81"/>
      <c r="U602" s="81"/>
      <c r="V602" s="83">
        <v>0</v>
      </c>
      <c r="W602" s="115" t="s">
        <v>2397</v>
      </c>
      <c r="X602" s="146" t="str">
        <f ca="1">IF(AND((Main_Issuance[[#This Row],[Expiry Date]]+31)&gt;TODAY(),Main_Issuance[[#This Row],[Status]]&lt;&gt;"Cancelled"),"Active","Cancelled")</f>
        <v>Cancelled</v>
      </c>
      <c r="Y602" s="409"/>
      <c r="Z602" s="408"/>
      <c r="AA602" s="408" t="s">
        <v>378</v>
      </c>
      <c r="AB602" s="83" cm="1">
        <f t="array" ref="AB602">Iss_Tariff(Main_Issuance[[#This Row],[Bank]],Main_Issuance[[#This Row],[LC Amt(SAR)]],Main_Issuance[[#This Row],[Issue Date.]],Main_Issuance[[#This Row],[Expiry Date]],Main_Issuance[[#This Row],[Calculate]])</f>
        <v>0</v>
      </c>
      <c r="AC602" s="83"/>
    </row>
    <row r="603" spans="1:29" ht="15.75" hidden="1" x14ac:dyDescent="0.25">
      <c r="A603" s="114" t="s">
        <v>1447</v>
      </c>
      <c r="B603" s="76">
        <v>45811</v>
      </c>
      <c r="C603" s="76" t="s">
        <v>441</v>
      </c>
      <c r="D603" s="78" t="s">
        <v>20</v>
      </c>
      <c r="E603" s="78" t="s">
        <v>612</v>
      </c>
      <c r="F603" s="115" t="s">
        <v>613</v>
      </c>
      <c r="G603" s="78" t="s">
        <v>1416</v>
      </c>
      <c r="H603" s="113" t="s">
        <v>24</v>
      </c>
      <c r="I603" s="79" t="s">
        <v>613</v>
      </c>
      <c r="J603" s="115">
        <v>1020106</v>
      </c>
      <c r="K603" s="78" t="s">
        <v>26</v>
      </c>
      <c r="L603" s="60">
        <v>2000097.25</v>
      </c>
      <c r="M603" s="60">
        <v>1</v>
      </c>
      <c r="N603" s="60">
        <f>Main_Issuance[[#This Row],[LC Amt(FCY)]]*Main_Issuance[[#This Row],[Rate]]</f>
        <v>2000097.25</v>
      </c>
      <c r="O603" s="56">
        <v>46081</v>
      </c>
      <c r="P603" s="56">
        <v>46081</v>
      </c>
      <c r="Q603" s="77" t="s">
        <v>27</v>
      </c>
      <c r="R603" s="78" t="s">
        <v>311</v>
      </c>
      <c r="S603" s="81"/>
      <c r="T603" s="81"/>
      <c r="U603" s="81"/>
      <c r="V603" s="83">
        <v>0</v>
      </c>
      <c r="W603" s="115"/>
      <c r="X603" s="146" t="str">
        <f ca="1">IF(AND((Main_Issuance[[#This Row],[Expiry Date]]+31)&gt;TODAY(),Main_Issuance[[#This Row],[Status]]&lt;&gt;"Cancelled"),"Active","Cancelled")</f>
        <v>Cancelled</v>
      </c>
      <c r="Y603" s="409"/>
      <c r="Z603" s="408"/>
      <c r="AA603" s="408" t="s">
        <v>857</v>
      </c>
      <c r="AB603" s="83" cm="1">
        <f t="array" ref="AB603">Iss_Tariff(Main_Issuance[[#This Row],[Bank]],Main_Issuance[[#This Row],[LC Amt(SAR)]],Main_Issuance[[#This Row],[Issue Date.]],Main_Issuance[[#This Row],[Expiry Date]],Main_Issuance[[#This Row],[Calculate]])</f>
        <v>24322.5</v>
      </c>
      <c r="AC603" s="83"/>
    </row>
    <row r="604" spans="1:29" ht="15.75" hidden="1" x14ac:dyDescent="0.25">
      <c r="A604" s="57" t="s">
        <v>365</v>
      </c>
      <c r="B604" s="56">
        <v>45477</v>
      </c>
      <c r="C604" s="56" t="s">
        <v>1119</v>
      </c>
      <c r="D604" s="69" t="s">
        <v>20</v>
      </c>
      <c r="E604" s="69" t="s">
        <v>366</v>
      </c>
      <c r="F604" s="19" t="s">
        <v>367</v>
      </c>
      <c r="G604" s="69" t="s">
        <v>368</v>
      </c>
      <c r="H604" s="59" t="s">
        <v>72</v>
      </c>
      <c r="I604" s="65" t="s">
        <v>367</v>
      </c>
      <c r="J604" s="59">
        <v>1020091</v>
      </c>
      <c r="K604" s="69" t="s">
        <v>26</v>
      </c>
      <c r="L604" s="60">
        <f>190787335+146194032+146194032+100000000</f>
        <v>583175399</v>
      </c>
      <c r="M604" s="60">
        <v>1</v>
      </c>
      <c r="N604" s="60">
        <f>Main_Issuance[[#This Row],[LC Amt(FCY)]]*Main_Issuance[[#This Row],[Rate]]</f>
        <v>583175399</v>
      </c>
      <c r="O604" s="56">
        <v>45808</v>
      </c>
      <c r="P604" s="56">
        <v>45808</v>
      </c>
      <c r="Q604" s="58" t="s">
        <v>27</v>
      </c>
      <c r="R604" s="69" t="s">
        <v>369</v>
      </c>
      <c r="S604" s="71"/>
      <c r="T604" s="71"/>
      <c r="U604" s="71"/>
      <c r="V604" s="68">
        <v>0</v>
      </c>
      <c r="W604" s="115"/>
      <c r="X604" s="191" t="str">
        <f ca="1">IF(AND((Main_Issuance[[#This Row],[Expiry Date]]+31)&gt;TODAY(),Main_Issuance[[#This Row],[Status]]&lt;&gt;"Cancelled"),"Active","Cancelled")</f>
        <v>Cancelled</v>
      </c>
      <c r="Y604" s="409"/>
      <c r="Z604" s="408"/>
      <c r="AA604" s="408" t="s">
        <v>378</v>
      </c>
      <c r="AB604" s="83" cm="1">
        <f t="array" ref="AB604">Iss_Tariff(Main_Issuance[[#This Row],[Bank]],Main_Issuance[[#This Row],[LC Amt(SAR)]],Main_Issuance[[#This Row],[Issue Date.]],Main_Issuance[[#This Row],[Expiry Date]],Main_Issuance[[#This Row],[Calculate]])</f>
        <v>0</v>
      </c>
      <c r="AC604" s="83"/>
    </row>
    <row r="605" spans="1:29" ht="15.75" x14ac:dyDescent="0.25">
      <c r="A605" s="475"/>
      <c r="B605" s="476">
        <v>46127</v>
      </c>
      <c r="C605" s="476" t="s">
        <v>1119</v>
      </c>
      <c r="D605" s="477" t="s">
        <v>771</v>
      </c>
      <c r="E605" s="478" t="s">
        <v>3764</v>
      </c>
      <c r="F605" s="477" t="s">
        <v>4739</v>
      </c>
      <c r="G605" s="478" t="s">
        <v>5177</v>
      </c>
      <c r="H605" s="479" t="s">
        <v>72</v>
      </c>
      <c r="I605" s="480" t="s">
        <v>4739</v>
      </c>
      <c r="J605" s="479">
        <v>1020091</v>
      </c>
      <c r="K605" s="478" t="s">
        <v>26</v>
      </c>
      <c r="L605" s="481">
        <v>209346521</v>
      </c>
      <c r="M605" s="482">
        <v>1</v>
      </c>
      <c r="N605" s="482">
        <f>Main_Issuance[[#This Row],[LC Amt(FCY)]]*Main_Issuance[[#This Row],[Rate]]</f>
        <v>209346521</v>
      </c>
      <c r="O605" s="483">
        <v>46419</v>
      </c>
      <c r="P605" s="483">
        <v>46419</v>
      </c>
      <c r="Q605" s="483" t="s">
        <v>27</v>
      </c>
      <c r="R605" s="478" t="s">
        <v>369</v>
      </c>
      <c r="S605" s="484"/>
      <c r="T605" s="484"/>
      <c r="U605" s="484"/>
      <c r="V605" s="485">
        <v>0</v>
      </c>
      <c r="W605" s="477" t="s">
        <v>5589</v>
      </c>
      <c r="X605" s="486" t="str">
        <f ca="1">IF(AND((Main_Issuance[[#This Row],[Expiry Date]]+31)&gt;TODAY(),Main_Issuance[[#This Row],[Status]]&lt;&gt;"Cancelled"),"Active","Cancelled")</f>
        <v>Active</v>
      </c>
      <c r="Y605" s="487"/>
      <c r="Z605" s="483"/>
      <c r="AA605" s="488" t="s">
        <v>378</v>
      </c>
      <c r="AB605" s="485" cm="1">
        <f t="array" ref="AB605">Iss_Tariff(Main_Issuance[[#This Row],[Bank]],Main_Issuance[[#This Row],[LC Amt(SAR)]],Main_Issuance[[#This Row],[Issue Date.]],Main_Issuance[[#This Row],[Expiry Date]],Main_Issuance[[#This Row],[Calculate]])</f>
        <v>0</v>
      </c>
      <c r="AC605" s="485"/>
    </row>
    <row r="606" spans="1:29" ht="15.75" hidden="1" x14ac:dyDescent="0.25">
      <c r="A606" s="114" t="s">
        <v>1610</v>
      </c>
      <c r="B606" s="76">
        <v>45862</v>
      </c>
      <c r="C606" s="76" t="s">
        <v>3566</v>
      </c>
      <c r="D606" s="78" t="s">
        <v>20</v>
      </c>
      <c r="E606" s="78" t="s">
        <v>612</v>
      </c>
      <c r="F606" s="115" t="s">
        <v>613</v>
      </c>
      <c r="G606" s="78" t="s">
        <v>1556</v>
      </c>
      <c r="H606" s="113" t="s">
        <v>72</v>
      </c>
      <c r="I606" s="79" t="s">
        <v>613</v>
      </c>
      <c r="J606" s="115">
        <v>1020106</v>
      </c>
      <c r="K606" s="78" t="s">
        <v>26</v>
      </c>
      <c r="L606" s="60">
        <v>12956001.199999999</v>
      </c>
      <c r="M606" s="60">
        <v>1</v>
      </c>
      <c r="N606" s="60">
        <f>Main_Issuance[[#This Row],[LC Amt(FCY)]]*Main_Issuance[[#This Row],[Rate]]</f>
        <v>12956001.199999999</v>
      </c>
      <c r="O606" s="76">
        <v>46203</v>
      </c>
      <c r="P606" s="76">
        <v>46203</v>
      </c>
      <c r="Q606" s="77" t="s">
        <v>27</v>
      </c>
      <c r="R606" s="78" t="s">
        <v>425</v>
      </c>
      <c r="S606" s="81"/>
      <c r="T606" s="81"/>
      <c r="U606" s="81"/>
      <c r="V606" s="83">
        <v>0</v>
      </c>
      <c r="W606" s="115"/>
      <c r="X606" s="146" t="str">
        <f ca="1">IF(AND((Main_Issuance[[#This Row],[Expiry Date]]+31)&gt;TODAY(),Main_Issuance[[#This Row],[Status]]&lt;&gt;"Cancelled"),"Active","Cancelled")</f>
        <v>Active</v>
      </c>
      <c r="Y606" s="409"/>
      <c r="Z606" s="408"/>
      <c r="AA606" s="408" t="s">
        <v>857</v>
      </c>
      <c r="AB606" s="83" cm="1">
        <f t="array" ref="AB606">Iss_Tariff(Main_Issuance[[#This Row],[Bank]],Main_Issuance[[#This Row],[LC Amt(SAR)]],Main_Issuance[[#This Row],[Issue Date.]],Main_Issuance[[#This Row],[Expiry Date]],Main_Issuance[[#This Row],[Calculate]])</f>
        <v>184700.35</v>
      </c>
      <c r="AC606" s="83"/>
    </row>
    <row r="607" spans="1:29" ht="15.75" hidden="1" x14ac:dyDescent="0.25">
      <c r="A607" s="114" t="s">
        <v>1431</v>
      </c>
      <c r="B607" s="76">
        <v>45810</v>
      </c>
      <c r="C607" s="76" t="s">
        <v>441</v>
      </c>
      <c r="D607" s="78" t="s">
        <v>20</v>
      </c>
      <c r="E607" s="78" t="s">
        <v>366</v>
      </c>
      <c r="F607" s="115" t="s">
        <v>710</v>
      </c>
      <c r="G607" s="78" t="s">
        <v>1377</v>
      </c>
      <c r="H607" s="115" t="s">
        <v>24</v>
      </c>
      <c r="I607" s="78" t="s">
        <v>710</v>
      </c>
      <c r="J607" s="113">
        <v>1020088</v>
      </c>
      <c r="K607" s="78" t="s">
        <v>26</v>
      </c>
      <c r="L607" s="60">
        <v>700000</v>
      </c>
      <c r="M607" s="60">
        <v>1</v>
      </c>
      <c r="N607" s="60">
        <f>Main_Issuance[[#This Row],[LC Amt(FCY)]]*Main_Issuance[[#This Row],[Rate]]</f>
        <v>700000</v>
      </c>
      <c r="O607" s="76">
        <v>46022</v>
      </c>
      <c r="P607" s="76">
        <v>46022</v>
      </c>
      <c r="Q607" s="77" t="s">
        <v>27</v>
      </c>
      <c r="R607" s="78" t="s">
        <v>621</v>
      </c>
      <c r="S607" s="81"/>
      <c r="T607" s="81"/>
      <c r="U607" s="81"/>
      <c r="V607" s="83">
        <v>0</v>
      </c>
      <c r="W607" s="115"/>
      <c r="X607" s="146" t="str">
        <f ca="1">IF(AND((Main_Issuance[[#This Row],[Expiry Date]]+31)&gt;TODAY(),Main_Issuance[[#This Row],[Status]]&lt;&gt;"Cancelled"),"Active","Cancelled")</f>
        <v>Cancelled</v>
      </c>
      <c r="Y607" s="409"/>
      <c r="Z607" s="408"/>
      <c r="AA607" s="408" t="s">
        <v>378</v>
      </c>
      <c r="AB607" s="83" cm="1">
        <f t="array" ref="AB607">Iss_Tariff(Main_Issuance[[#This Row],[Bank]],Main_Issuance[[#This Row],[LC Amt(SAR)]],Main_Issuance[[#This Row],[Issue Date.]],Main_Issuance[[#This Row],[Expiry Date]],Main_Issuance[[#This Row],[Calculate]])</f>
        <v>0</v>
      </c>
      <c r="AC607" s="83"/>
    </row>
    <row r="608" spans="1:29" ht="15.75" hidden="1" x14ac:dyDescent="0.25">
      <c r="A608" s="114" t="s">
        <v>1872</v>
      </c>
      <c r="B608" s="76">
        <v>45914</v>
      </c>
      <c r="C608" s="76" t="s">
        <v>441</v>
      </c>
      <c r="D608" s="78" t="s">
        <v>20</v>
      </c>
      <c r="E608" s="78" t="s">
        <v>366</v>
      </c>
      <c r="F608" s="115" t="s">
        <v>710</v>
      </c>
      <c r="G608" s="123" t="s">
        <v>1839</v>
      </c>
      <c r="H608" s="115" t="s">
        <v>24</v>
      </c>
      <c r="I608" s="78" t="s">
        <v>710</v>
      </c>
      <c r="J608" s="113">
        <v>1020088</v>
      </c>
      <c r="K608" s="78" t="s">
        <v>26</v>
      </c>
      <c r="L608" s="119">
        <v>1200000</v>
      </c>
      <c r="M608" s="82">
        <v>1</v>
      </c>
      <c r="N608" s="82">
        <f>Main_Issuance[[#This Row],[LC Amt(FCY)]]*Main_Issuance[[#This Row],[Rate]]</f>
        <v>1200000</v>
      </c>
      <c r="O608" s="76">
        <v>46081</v>
      </c>
      <c r="P608" s="76">
        <v>46081</v>
      </c>
      <c r="Q608" s="77" t="s">
        <v>27</v>
      </c>
      <c r="R608" s="78" t="s">
        <v>621</v>
      </c>
      <c r="S608" s="81"/>
      <c r="T608" s="81"/>
      <c r="U608" s="81"/>
      <c r="V608" s="83">
        <v>0</v>
      </c>
      <c r="W608" s="115"/>
      <c r="X608" s="146" t="str">
        <f ca="1">IF(AND((Main_Issuance[[#This Row],[Expiry Date]]+31)&gt;TODAY(),Main_Issuance[[#This Row],[Status]]&lt;&gt;"Cancelled"),"Active","Cancelled")</f>
        <v>Cancelled</v>
      </c>
      <c r="Y608" s="409"/>
      <c r="Z608" s="408"/>
      <c r="AA608" s="408" t="s">
        <v>857</v>
      </c>
      <c r="AB608" s="83" cm="1">
        <f t="array" ref="AB608">Iss_Tariff(Main_Issuance[[#This Row],[Bank]],Main_Issuance[[#This Row],[LC Amt(SAR)]],Main_Issuance[[#This Row],[Issue Date.]],Main_Issuance[[#This Row],[Expiry Date]],Main_Issuance[[#This Row],[Calculate]])</f>
        <v>6986.25</v>
      </c>
      <c r="AC608" s="83"/>
    </row>
    <row r="609" spans="1:29" ht="15.75" hidden="1" x14ac:dyDescent="0.25">
      <c r="A609" s="114" t="s">
        <v>3715</v>
      </c>
      <c r="B609" s="76">
        <v>46037</v>
      </c>
      <c r="C609" s="76" t="s">
        <v>441</v>
      </c>
      <c r="D609" s="115" t="s">
        <v>20</v>
      </c>
      <c r="E609" s="78" t="s">
        <v>366</v>
      </c>
      <c r="F609" s="115" t="s">
        <v>710</v>
      </c>
      <c r="G609" s="78" t="s">
        <v>3289</v>
      </c>
      <c r="H609" s="115" t="s">
        <v>24</v>
      </c>
      <c r="I609" s="78" t="s">
        <v>710</v>
      </c>
      <c r="J609" s="113">
        <v>1020088</v>
      </c>
      <c r="K609" s="78" t="s">
        <v>26</v>
      </c>
      <c r="L609" s="119">
        <v>900000</v>
      </c>
      <c r="M609" s="82">
        <v>1</v>
      </c>
      <c r="N609" s="82">
        <f>Main_Issuance[[#This Row],[LC Amt(FCY)]]*Main_Issuance[[#This Row],[Rate]]</f>
        <v>900000</v>
      </c>
      <c r="O609" s="76">
        <v>46203</v>
      </c>
      <c r="P609" s="76">
        <v>46203</v>
      </c>
      <c r="Q609" s="77" t="s">
        <v>27</v>
      </c>
      <c r="R609" s="78" t="s">
        <v>1904</v>
      </c>
      <c r="S609" s="81"/>
      <c r="T609" s="81"/>
      <c r="U609" s="81"/>
      <c r="V609" s="83">
        <v>0</v>
      </c>
      <c r="W609" s="115"/>
      <c r="X609" s="146" t="str">
        <f ca="1">IF(AND((Main_Issuance[[#This Row],[Expiry Date]]+31)&gt;TODAY(),Main_Issuance[[#This Row],[Status]]&lt;&gt;"Cancelled"),"Active","Cancelled")</f>
        <v>Active</v>
      </c>
      <c r="Y609" s="409"/>
      <c r="Z609" s="408"/>
      <c r="AA609" s="408" t="s">
        <v>857</v>
      </c>
      <c r="AB609" s="83" cm="1">
        <f t="array" ref="AB609">Iss_Tariff(Main_Issuance[[#This Row],[Bank]],Main_Issuance[[#This Row],[LC Amt(SAR)]],Main_Issuance[[#This Row],[Issue Date.]],Main_Issuance[[#This Row],[Expiry Date]],Main_Issuance[[#This Row],[Calculate]])</f>
        <v>5261.25</v>
      </c>
      <c r="AC609" s="83"/>
    </row>
    <row r="610" spans="1:29" ht="15.75" hidden="1" x14ac:dyDescent="0.25">
      <c r="A610" s="114" t="s">
        <v>776</v>
      </c>
      <c r="B610" s="56">
        <v>45726</v>
      </c>
      <c r="C610" s="56" t="s">
        <v>441</v>
      </c>
      <c r="D610" s="69" t="s">
        <v>20</v>
      </c>
      <c r="E610" s="69" t="s">
        <v>366</v>
      </c>
      <c r="F610" s="19" t="s">
        <v>710</v>
      </c>
      <c r="G610" s="69" t="s">
        <v>777</v>
      </c>
      <c r="H610" s="19" t="s">
        <v>24</v>
      </c>
      <c r="I610" s="69" t="s">
        <v>710</v>
      </c>
      <c r="J610" s="59">
        <v>1020088</v>
      </c>
      <c r="K610" s="69" t="s">
        <v>26</v>
      </c>
      <c r="L610" s="60">
        <v>500000</v>
      </c>
      <c r="M610" s="60">
        <v>1</v>
      </c>
      <c r="N610" s="60">
        <f>Main_Issuance[[#This Row],[LC Amt(FCY)]]*Main_Issuance[[#This Row],[Rate]]</f>
        <v>500000</v>
      </c>
      <c r="O610" s="56">
        <v>45961</v>
      </c>
      <c r="P610" s="56">
        <v>45961</v>
      </c>
      <c r="Q610" s="58" t="s">
        <v>27</v>
      </c>
      <c r="R610" s="69" t="s">
        <v>311</v>
      </c>
      <c r="S610" s="71"/>
      <c r="T610" s="71"/>
      <c r="U610" s="71"/>
      <c r="V610" s="68">
        <v>0</v>
      </c>
      <c r="W610" s="115"/>
      <c r="X610" s="191" t="str">
        <f ca="1">IF(AND((Main_Issuance[[#This Row],[Expiry Date]]+31)&gt;TODAY(),Main_Issuance[[#This Row],[Status]]&lt;&gt;"Cancelled"),"Active","Cancelled")</f>
        <v>Cancelled</v>
      </c>
      <c r="Y610" s="409"/>
      <c r="Z610" s="408"/>
      <c r="AA610" s="408" t="s">
        <v>378</v>
      </c>
      <c r="AB610" s="83" cm="1">
        <f t="array" ref="AB610">Iss_Tariff(Main_Issuance[[#This Row],[Bank]],Main_Issuance[[#This Row],[LC Amt(SAR)]],Main_Issuance[[#This Row],[Issue Date.]],Main_Issuance[[#This Row],[Expiry Date]],Main_Issuance[[#This Row],[Calculate]])</f>
        <v>0</v>
      </c>
      <c r="AC610" s="83"/>
    </row>
    <row r="611" spans="1:29" ht="15.75" hidden="1" x14ac:dyDescent="0.25">
      <c r="A611" s="114" t="s">
        <v>4252</v>
      </c>
      <c r="B611" s="76">
        <v>46086</v>
      </c>
      <c r="C611" s="76" t="s">
        <v>441</v>
      </c>
      <c r="D611" s="78" t="s">
        <v>20</v>
      </c>
      <c r="E611" s="78" t="s">
        <v>366</v>
      </c>
      <c r="F611" s="115" t="s">
        <v>710</v>
      </c>
      <c r="G611" s="78" t="s">
        <v>4135</v>
      </c>
      <c r="H611" s="115" t="s">
        <v>24</v>
      </c>
      <c r="I611" s="78" t="s">
        <v>710</v>
      </c>
      <c r="J611" s="113">
        <v>1020088</v>
      </c>
      <c r="K611" s="78" t="s">
        <v>26</v>
      </c>
      <c r="L611" s="119">
        <v>398652.54</v>
      </c>
      <c r="M611" s="82">
        <v>1</v>
      </c>
      <c r="N611" s="82">
        <f>Main_Issuance[[#This Row],[LC Amt(FCY)]]*Main_Issuance[[#This Row],[Rate]]</f>
        <v>398652.54</v>
      </c>
      <c r="O611" s="77">
        <v>46265</v>
      </c>
      <c r="P611" s="77">
        <v>46265</v>
      </c>
      <c r="Q611" s="77" t="s">
        <v>27</v>
      </c>
      <c r="R611" s="78" t="s">
        <v>1904</v>
      </c>
      <c r="S611" s="81"/>
      <c r="T611" s="81"/>
      <c r="U611" s="81"/>
      <c r="V611" s="83">
        <v>0</v>
      </c>
      <c r="W611" s="115"/>
      <c r="X611" s="146" t="str">
        <f ca="1">IF(AND((Main_Issuance[[#This Row],[Expiry Date]]+31)&gt;TODAY(),Main_Issuance[[#This Row],[Status]]&lt;&gt;"Cancelled"),"Active","Cancelled")</f>
        <v>Active</v>
      </c>
      <c r="Y611" s="409"/>
      <c r="Z611" s="408"/>
      <c r="AA611" s="408" t="s">
        <v>857</v>
      </c>
      <c r="AB611" s="83" cm="1">
        <f t="array" ref="AB611">Iss_Tariff(Main_Issuance[[#This Row],[Bank]],Main_Issuance[[#This Row],[LC Amt(SAR)]],Main_Issuance[[#This Row],[Issue Date.]],Main_Issuance[[#This Row],[Expiry Date]],Main_Issuance[[#This Row],[Calculate]])</f>
        <v>2378.1999999999998</v>
      </c>
      <c r="AC611" s="83"/>
    </row>
    <row r="612" spans="1:29" ht="15.75" hidden="1" x14ac:dyDescent="0.25">
      <c r="A612" s="114" t="s">
        <v>1409</v>
      </c>
      <c r="B612" s="76">
        <v>45804</v>
      </c>
      <c r="C612" s="76" t="s">
        <v>441</v>
      </c>
      <c r="D612" s="115" t="s">
        <v>20</v>
      </c>
      <c r="E612" s="78" t="s">
        <v>21</v>
      </c>
      <c r="F612" s="115" t="s">
        <v>22</v>
      </c>
      <c r="G612" s="78" t="s">
        <v>1359</v>
      </c>
      <c r="H612" s="115" t="s">
        <v>24</v>
      </c>
      <c r="I612" s="78" t="s">
        <v>22</v>
      </c>
      <c r="J612" s="115">
        <v>1020055</v>
      </c>
      <c r="K612" s="78" t="s">
        <v>26</v>
      </c>
      <c r="L612" s="60">
        <v>300000</v>
      </c>
      <c r="M612" s="60">
        <v>1</v>
      </c>
      <c r="N612" s="60">
        <f>Main_Issuance[[#This Row],[LC Amt(FCY)]]*Main_Issuance[[#This Row],[Rate]]</f>
        <v>300000</v>
      </c>
      <c r="O612" s="77">
        <v>45900</v>
      </c>
      <c r="P612" s="77">
        <v>45900</v>
      </c>
      <c r="Q612" s="77" t="s">
        <v>27</v>
      </c>
      <c r="R612" s="78" t="s">
        <v>621</v>
      </c>
      <c r="S612" s="81"/>
      <c r="T612" s="81"/>
      <c r="U612" s="81"/>
      <c r="V612" s="83">
        <v>0</v>
      </c>
      <c r="W612" s="115"/>
      <c r="X612" s="146" t="str">
        <f ca="1">IF(AND((Main_Issuance[[#This Row],[Expiry Date]]+31)&gt;TODAY(),Main_Issuance[[#This Row],[Status]]&lt;&gt;"Cancelled"),"Active","Cancelled")</f>
        <v>Cancelled</v>
      </c>
      <c r="Y612" s="409"/>
      <c r="Z612" s="408"/>
      <c r="AA612" s="408" t="s">
        <v>378</v>
      </c>
      <c r="AB612" s="83" cm="1">
        <f t="array" ref="AB612">Iss_Tariff(Main_Issuance[[#This Row],[Bank]],Main_Issuance[[#This Row],[LC Amt(SAR)]],Main_Issuance[[#This Row],[Issue Date.]],Main_Issuance[[#This Row],[Expiry Date]],Main_Issuance[[#This Row],[Calculate]])</f>
        <v>0</v>
      </c>
      <c r="AC612" s="83"/>
    </row>
    <row r="613" spans="1:29" ht="15.75" hidden="1" x14ac:dyDescent="0.25">
      <c r="A613" s="57" t="s">
        <v>665</v>
      </c>
      <c r="B613" s="56">
        <v>45680</v>
      </c>
      <c r="C613" s="56" t="s">
        <v>441</v>
      </c>
      <c r="D613" s="69" t="s">
        <v>20</v>
      </c>
      <c r="E613" s="69" t="s">
        <v>21</v>
      </c>
      <c r="F613" s="19" t="s">
        <v>22</v>
      </c>
      <c r="G613" s="69" t="s">
        <v>666</v>
      </c>
      <c r="H613" s="59" t="s">
        <v>24</v>
      </c>
      <c r="I613" s="65" t="s">
        <v>22</v>
      </c>
      <c r="J613" s="59">
        <v>1020055</v>
      </c>
      <c r="K613" s="69" t="s">
        <v>26</v>
      </c>
      <c r="L613" s="60">
        <v>400000</v>
      </c>
      <c r="M613" s="60">
        <v>1</v>
      </c>
      <c r="N613" s="60">
        <f>Main_Issuance[[#This Row],[LC Amt(FCY)]]*Main_Issuance[[#This Row],[Rate]]</f>
        <v>400000</v>
      </c>
      <c r="O613" s="56">
        <v>45777</v>
      </c>
      <c r="P613" s="56">
        <v>45777</v>
      </c>
      <c r="Q613" s="58" t="s">
        <v>27</v>
      </c>
      <c r="R613" s="69" t="s">
        <v>311</v>
      </c>
      <c r="S613" s="71"/>
      <c r="T613" s="71"/>
      <c r="U613" s="71"/>
      <c r="V613" s="68">
        <v>0</v>
      </c>
      <c r="W613" s="115"/>
      <c r="X613" s="191" t="str">
        <f ca="1">IF(AND((Main_Issuance[[#This Row],[Expiry Date]]+31)&gt;TODAY(),Main_Issuance[[#This Row],[Status]]&lt;&gt;"Cancelled"),"Active","Cancelled")</f>
        <v>Cancelled</v>
      </c>
      <c r="Y613" s="409"/>
      <c r="Z613" s="408"/>
      <c r="AA613" s="408" t="s">
        <v>378</v>
      </c>
      <c r="AB613" s="83" cm="1">
        <f t="array" ref="AB613">Iss_Tariff(Main_Issuance[[#This Row],[Bank]],Main_Issuance[[#This Row],[LC Amt(SAR)]],Main_Issuance[[#This Row],[Issue Date.]],Main_Issuance[[#This Row],[Expiry Date]],Main_Issuance[[#This Row],[Calculate]])</f>
        <v>0</v>
      </c>
      <c r="AC613" s="83"/>
    </row>
    <row r="614" spans="1:29" ht="15.75" hidden="1" x14ac:dyDescent="0.25">
      <c r="A614" s="114" t="s">
        <v>1347</v>
      </c>
      <c r="B614" s="76">
        <v>45792</v>
      </c>
      <c r="C614" s="76" t="s">
        <v>441</v>
      </c>
      <c r="D614" s="19" t="s">
        <v>20</v>
      </c>
      <c r="E614" s="78" t="s">
        <v>21</v>
      </c>
      <c r="F614" s="115" t="s">
        <v>22</v>
      </c>
      <c r="G614" s="78" t="s">
        <v>666</v>
      </c>
      <c r="H614" s="115" t="s">
        <v>24</v>
      </c>
      <c r="I614" s="78" t="s">
        <v>22</v>
      </c>
      <c r="J614" s="115">
        <v>1020055</v>
      </c>
      <c r="K614" s="78" t="s">
        <v>26</v>
      </c>
      <c r="L614" s="60">
        <v>254390</v>
      </c>
      <c r="M614" s="60">
        <v>1</v>
      </c>
      <c r="N614" s="60">
        <f>Main_Issuance[[#This Row],[LC Amt(FCY)]]*Main_Issuance[[#This Row],[Rate]]</f>
        <v>254390</v>
      </c>
      <c r="O614" s="77">
        <v>45961</v>
      </c>
      <c r="P614" s="77">
        <v>45961</v>
      </c>
      <c r="Q614" s="77" t="s">
        <v>27</v>
      </c>
      <c r="R614" s="78" t="s">
        <v>621</v>
      </c>
      <c r="S614" s="81"/>
      <c r="T614" s="81"/>
      <c r="U614" s="81"/>
      <c r="V614" s="83">
        <v>0</v>
      </c>
      <c r="W614" s="115" t="s">
        <v>1846</v>
      </c>
      <c r="X614" s="146" t="str">
        <f ca="1">IF(AND((Main_Issuance[[#This Row],[Expiry Date]]+31)&gt;TODAY(),Main_Issuance[[#This Row],[Status]]&lt;&gt;"Cancelled"),"Active","Cancelled")</f>
        <v>Cancelled</v>
      </c>
      <c r="Y614" s="409"/>
      <c r="Z614" s="408"/>
      <c r="AA614" s="408" t="s">
        <v>378</v>
      </c>
      <c r="AB614" s="83" cm="1">
        <f t="array" ref="AB614">Iss_Tariff(Main_Issuance[[#This Row],[Bank]],Main_Issuance[[#This Row],[LC Amt(SAR)]],Main_Issuance[[#This Row],[Issue Date.]],Main_Issuance[[#This Row],[Expiry Date]],Main_Issuance[[#This Row],[Calculate]])</f>
        <v>0</v>
      </c>
      <c r="AC614" s="83"/>
    </row>
    <row r="615" spans="1:29" ht="15.75" hidden="1" x14ac:dyDescent="0.25">
      <c r="A615" s="57" t="s">
        <v>258</v>
      </c>
      <c r="B615" s="56">
        <v>45292</v>
      </c>
      <c r="C615" s="56" t="s">
        <v>441</v>
      </c>
      <c r="D615" s="69" t="s">
        <v>20</v>
      </c>
      <c r="E615" s="69" t="s">
        <v>21</v>
      </c>
      <c r="F615" s="19" t="s">
        <v>22</v>
      </c>
      <c r="G615" s="69" t="s">
        <v>259</v>
      </c>
      <c r="H615" s="59" t="s">
        <v>24</v>
      </c>
      <c r="I615" s="65" t="s">
        <v>22</v>
      </c>
      <c r="J615" s="59">
        <v>1020055</v>
      </c>
      <c r="K615" s="69" t="s">
        <v>26</v>
      </c>
      <c r="L615" s="60">
        <v>2846250</v>
      </c>
      <c r="M615" s="60">
        <v>1</v>
      </c>
      <c r="N615" s="60">
        <f>Main_Issuance[[#This Row],[LC Amt(FCY)]]*Main_Issuance[[#This Row],[Rate]]</f>
        <v>2846250</v>
      </c>
      <c r="O615" s="56">
        <v>45688</v>
      </c>
      <c r="P615" s="56">
        <v>45667</v>
      </c>
      <c r="Q615" s="58" t="s">
        <v>27</v>
      </c>
      <c r="R615" s="69" t="s">
        <v>117</v>
      </c>
      <c r="S615" s="71"/>
      <c r="T615" s="71"/>
      <c r="U615" s="71"/>
      <c r="V615" s="68">
        <v>0</v>
      </c>
      <c r="W615" s="115"/>
      <c r="X615" s="191" t="str">
        <f ca="1">IF(AND((Main_Issuance[[#This Row],[Expiry Date]]+31)&gt;TODAY(),Main_Issuance[[#This Row],[Status]]&lt;&gt;"Cancelled"),"Active","Cancelled")</f>
        <v>Cancelled</v>
      </c>
      <c r="Y615" s="409"/>
      <c r="Z615" s="408"/>
      <c r="AA615" s="408" t="s">
        <v>378</v>
      </c>
      <c r="AB615" s="83" cm="1">
        <f t="array" ref="AB615">Iss_Tariff(Main_Issuance[[#This Row],[Bank]],Main_Issuance[[#This Row],[LC Amt(SAR)]],Main_Issuance[[#This Row],[Issue Date.]],Main_Issuance[[#This Row],[Expiry Date]],Main_Issuance[[#This Row],[Calculate]])</f>
        <v>0</v>
      </c>
      <c r="AC615" s="83"/>
    </row>
    <row r="616" spans="1:29" ht="15.75" hidden="1" x14ac:dyDescent="0.25">
      <c r="A616" s="114" t="s">
        <v>1685</v>
      </c>
      <c r="B616" s="76">
        <v>45874</v>
      </c>
      <c r="C616" s="76" t="s">
        <v>1119</v>
      </c>
      <c r="D616" s="78" t="s">
        <v>20</v>
      </c>
      <c r="E616" s="78" t="s">
        <v>366</v>
      </c>
      <c r="F616" s="115" t="s">
        <v>367</v>
      </c>
      <c r="G616" s="78" t="s">
        <v>1644</v>
      </c>
      <c r="H616" s="115" t="s">
        <v>24</v>
      </c>
      <c r="I616" s="78" t="s">
        <v>367</v>
      </c>
      <c r="J616" s="113">
        <v>1020091</v>
      </c>
      <c r="K616" s="78" t="s">
        <v>26</v>
      </c>
      <c r="L616" s="60">
        <v>1400000</v>
      </c>
      <c r="M616" s="60">
        <v>1</v>
      </c>
      <c r="N616" s="60">
        <f>Main_Issuance[[#This Row],[LC Amt(FCY)]]*Main_Issuance[[#This Row],[Rate]]</f>
        <v>1400000</v>
      </c>
      <c r="O616" s="76">
        <v>45961</v>
      </c>
      <c r="P616" s="76">
        <v>45961</v>
      </c>
      <c r="Q616" s="77" t="s">
        <v>27</v>
      </c>
      <c r="R616" s="78" t="s">
        <v>1624</v>
      </c>
      <c r="S616" s="81"/>
      <c r="T616" s="81"/>
      <c r="U616" s="81"/>
      <c r="V616" s="83">
        <v>0</v>
      </c>
      <c r="W616" s="115"/>
      <c r="X616" s="146" t="str">
        <f ca="1">IF(AND((Main_Issuance[[#This Row],[Expiry Date]]+31)&gt;TODAY(),Main_Issuance[[#This Row],[Status]]&lt;&gt;"Cancelled"),"Active","Cancelled")</f>
        <v>Cancelled</v>
      </c>
      <c r="Y616" s="409"/>
      <c r="Z616" s="408"/>
      <c r="AA616" s="408" t="s">
        <v>378</v>
      </c>
      <c r="AB616" s="83" cm="1">
        <f t="array" ref="AB616">Iss_Tariff(Main_Issuance[[#This Row],[Bank]],Main_Issuance[[#This Row],[LC Amt(SAR)]],Main_Issuance[[#This Row],[Issue Date.]],Main_Issuance[[#This Row],[Expiry Date]],Main_Issuance[[#This Row],[Calculate]])</f>
        <v>0</v>
      </c>
      <c r="AC616" s="83"/>
    </row>
    <row r="617" spans="1:29" ht="15.75" hidden="1" x14ac:dyDescent="0.25">
      <c r="A617" s="114" t="s">
        <v>1345</v>
      </c>
      <c r="B617" s="76">
        <v>45792</v>
      </c>
      <c r="C617" s="76" t="s">
        <v>441</v>
      </c>
      <c r="D617" s="78" t="s">
        <v>20</v>
      </c>
      <c r="E617" s="78" t="s">
        <v>21</v>
      </c>
      <c r="F617" s="115" t="s">
        <v>22</v>
      </c>
      <c r="G617" s="78" t="s">
        <v>1325</v>
      </c>
      <c r="H617" s="115" t="s">
        <v>24</v>
      </c>
      <c r="I617" s="78" t="s">
        <v>22</v>
      </c>
      <c r="J617" s="115">
        <v>1020055</v>
      </c>
      <c r="K617" s="78" t="s">
        <v>26</v>
      </c>
      <c r="L617" s="60">
        <v>365762.69</v>
      </c>
      <c r="M617" s="60">
        <v>1</v>
      </c>
      <c r="N617" s="60">
        <f>Main_Issuance[[#This Row],[LC Amt(FCY)]]*Main_Issuance[[#This Row],[Rate]]</f>
        <v>365762.69</v>
      </c>
      <c r="O617" s="76">
        <v>45900</v>
      </c>
      <c r="P617" s="76">
        <v>45900</v>
      </c>
      <c r="Q617" s="77" t="s">
        <v>27</v>
      </c>
      <c r="R617" s="78" t="s">
        <v>621</v>
      </c>
      <c r="S617" s="81"/>
      <c r="T617" s="81"/>
      <c r="U617" s="81"/>
      <c r="V617" s="83">
        <v>0</v>
      </c>
      <c r="W617" s="115"/>
      <c r="X617" s="146" t="str">
        <f ca="1">IF(AND((Main_Issuance[[#This Row],[Expiry Date]]+31)&gt;TODAY(),Main_Issuance[[#This Row],[Status]]&lt;&gt;"Cancelled"),"Active","Cancelled")</f>
        <v>Cancelled</v>
      </c>
      <c r="Y617" s="409"/>
      <c r="Z617" s="408"/>
      <c r="AA617" s="408" t="s">
        <v>378</v>
      </c>
      <c r="AB617" s="83" cm="1">
        <f t="array" ref="AB617">Iss_Tariff(Main_Issuance[[#This Row],[Bank]],Main_Issuance[[#This Row],[LC Amt(SAR)]],Main_Issuance[[#This Row],[Issue Date.]],Main_Issuance[[#This Row],[Expiry Date]],Main_Issuance[[#This Row],[Calculate]])</f>
        <v>0</v>
      </c>
      <c r="AC617" s="83"/>
    </row>
    <row r="618" spans="1:29" ht="15.75" hidden="1" x14ac:dyDescent="0.25">
      <c r="A618" s="114" t="s">
        <v>1669</v>
      </c>
      <c r="B618" s="76">
        <v>45872</v>
      </c>
      <c r="C618" s="76" t="s">
        <v>1119</v>
      </c>
      <c r="D618" s="78" t="s">
        <v>20</v>
      </c>
      <c r="E618" s="78" t="s">
        <v>366</v>
      </c>
      <c r="F618" s="115" t="s">
        <v>367</v>
      </c>
      <c r="G618" s="78" t="s">
        <v>1633</v>
      </c>
      <c r="H618" s="115" t="s">
        <v>24</v>
      </c>
      <c r="I618" s="78" t="s">
        <v>367</v>
      </c>
      <c r="J618" s="113">
        <v>1020091</v>
      </c>
      <c r="K618" s="78" t="s">
        <v>26</v>
      </c>
      <c r="L618" s="60">
        <v>273781</v>
      </c>
      <c r="M618" s="60">
        <v>1</v>
      </c>
      <c r="N618" s="60">
        <f>Main_Issuance[[#This Row],[LC Amt(FCY)]]*Main_Issuance[[#This Row],[Rate]]</f>
        <v>273781</v>
      </c>
      <c r="O618" s="76">
        <v>45961</v>
      </c>
      <c r="P618" s="76">
        <v>45961</v>
      </c>
      <c r="Q618" s="77" t="s">
        <v>27</v>
      </c>
      <c r="R618" s="78" t="s">
        <v>1624</v>
      </c>
      <c r="S618" s="81"/>
      <c r="T618" s="81"/>
      <c r="U618" s="81"/>
      <c r="V618" s="83">
        <v>0</v>
      </c>
      <c r="W618" s="115"/>
      <c r="X618" s="146" t="str">
        <f ca="1">IF(AND((Main_Issuance[[#This Row],[Expiry Date]]+31)&gt;TODAY(),Main_Issuance[[#This Row],[Status]]&lt;&gt;"Cancelled"),"Active","Cancelled")</f>
        <v>Cancelled</v>
      </c>
      <c r="Y618" s="409"/>
      <c r="Z618" s="408"/>
      <c r="AA618" s="408" t="s">
        <v>378</v>
      </c>
      <c r="AB618" s="83" cm="1">
        <f t="array" ref="AB618">Iss_Tariff(Main_Issuance[[#This Row],[Bank]],Main_Issuance[[#This Row],[LC Amt(SAR)]],Main_Issuance[[#This Row],[Issue Date.]],Main_Issuance[[#This Row],[Expiry Date]],Main_Issuance[[#This Row],[Calculate]])</f>
        <v>0</v>
      </c>
      <c r="AC618" s="83"/>
    </row>
    <row r="619" spans="1:29" ht="15.75" hidden="1" x14ac:dyDescent="0.25">
      <c r="A619" s="114" t="s">
        <v>1255</v>
      </c>
      <c r="B619" s="76">
        <v>45760</v>
      </c>
      <c r="C619" s="76" t="s">
        <v>441</v>
      </c>
      <c r="D619" s="78" t="s">
        <v>20</v>
      </c>
      <c r="E619" s="78" t="s">
        <v>366</v>
      </c>
      <c r="F619" s="115" t="s">
        <v>710</v>
      </c>
      <c r="G619" s="78" t="s">
        <v>837</v>
      </c>
      <c r="H619" s="115" t="s">
        <v>24</v>
      </c>
      <c r="I619" s="78" t="s">
        <v>710</v>
      </c>
      <c r="J619" s="59">
        <v>1020088</v>
      </c>
      <c r="K619" s="78" t="s">
        <v>26</v>
      </c>
      <c r="L619" s="60">
        <v>475009.53</v>
      </c>
      <c r="M619" s="60">
        <v>1</v>
      </c>
      <c r="N619" s="60">
        <f>Main_Issuance[[#This Row],[LC Amt(FCY)]]*Main_Issuance[[#This Row],[Rate]]</f>
        <v>475009.53</v>
      </c>
      <c r="O619" s="76">
        <v>45838</v>
      </c>
      <c r="P619" s="76">
        <v>45838</v>
      </c>
      <c r="Q619" s="77" t="s">
        <v>27</v>
      </c>
      <c r="R619" s="78" t="s">
        <v>311</v>
      </c>
      <c r="S619" s="81"/>
      <c r="T619" s="81"/>
      <c r="U619" s="81"/>
      <c r="V619" s="83">
        <v>0</v>
      </c>
      <c r="W619" s="115"/>
      <c r="X619" s="146" t="str">
        <f ca="1">IF(AND((Main_Issuance[[#This Row],[Expiry Date]]+31)&gt;TODAY(),Main_Issuance[[#This Row],[Status]]&lt;&gt;"Cancelled"),"Active","Cancelled")</f>
        <v>Cancelled</v>
      </c>
      <c r="Y619" s="409"/>
      <c r="Z619" s="408"/>
      <c r="AA619" s="408" t="s">
        <v>378</v>
      </c>
      <c r="AB619" s="83" cm="1">
        <f t="array" ref="AB619">Iss_Tariff(Main_Issuance[[#This Row],[Bank]],Main_Issuance[[#This Row],[LC Amt(SAR)]],Main_Issuance[[#This Row],[Issue Date.]],Main_Issuance[[#This Row],[Expiry Date]],Main_Issuance[[#This Row],[Calculate]])</f>
        <v>0</v>
      </c>
      <c r="AC619" s="83"/>
    </row>
    <row r="620" spans="1:29" ht="15.75" hidden="1" x14ac:dyDescent="0.25">
      <c r="A620" s="114" t="s">
        <v>2916</v>
      </c>
      <c r="B620" s="76">
        <v>45994</v>
      </c>
      <c r="C620" s="76" t="s">
        <v>441</v>
      </c>
      <c r="D620" s="78" t="s">
        <v>20</v>
      </c>
      <c r="E620" s="78" t="s">
        <v>366</v>
      </c>
      <c r="F620" s="115" t="s">
        <v>710</v>
      </c>
      <c r="G620" s="78" t="s">
        <v>2799</v>
      </c>
      <c r="H620" s="115" t="s">
        <v>24</v>
      </c>
      <c r="I620" s="78" t="s">
        <v>710</v>
      </c>
      <c r="J620" s="113">
        <v>1020088</v>
      </c>
      <c r="K620" s="78" t="s">
        <v>26</v>
      </c>
      <c r="L620" s="119">
        <v>1900037.67</v>
      </c>
      <c r="M620" s="82">
        <v>1</v>
      </c>
      <c r="N620" s="82">
        <f>Main_Issuance[[#This Row],[LC Amt(FCY)]]*Main_Issuance[[#This Row],[Rate]]</f>
        <v>1900037.67</v>
      </c>
      <c r="O620" s="76">
        <v>46081</v>
      </c>
      <c r="P620" s="76">
        <v>46081</v>
      </c>
      <c r="Q620" s="77" t="s">
        <v>27</v>
      </c>
      <c r="R620" s="78" t="s">
        <v>621</v>
      </c>
      <c r="S620" s="81"/>
      <c r="T620" s="81"/>
      <c r="U620" s="81"/>
      <c r="V620" s="83">
        <v>0</v>
      </c>
      <c r="W620" s="115"/>
      <c r="X620" s="146" t="str">
        <f ca="1">IF(AND((Main_Issuance[[#This Row],[Expiry Date]]+31)&gt;TODAY(),Main_Issuance[[#This Row],[Status]]&lt;&gt;"Cancelled"),"Active","Cancelled")</f>
        <v>Cancelled</v>
      </c>
      <c r="Y620" s="409"/>
      <c r="Z620" s="408"/>
      <c r="AA620" s="408" t="s">
        <v>857</v>
      </c>
      <c r="AB620" s="83" cm="1">
        <f t="array" ref="AB620">Iss_Tariff(Main_Issuance[[#This Row],[Bank]],Main_Issuance[[#This Row],[LC Amt(SAR)]],Main_Issuance[[#This Row],[Issue Date.]],Main_Issuance[[#This Row],[Expiry Date]],Main_Issuance[[#This Row],[Calculate]])</f>
        <v>11011.25</v>
      </c>
      <c r="AC620" s="83"/>
    </row>
    <row r="621" spans="1:29" ht="15.75" hidden="1" x14ac:dyDescent="0.25">
      <c r="A621" s="114" t="s">
        <v>4549</v>
      </c>
      <c r="B621" s="423">
        <v>46118</v>
      </c>
      <c r="C621" s="423" t="s">
        <v>441</v>
      </c>
      <c r="D621" s="78" t="s">
        <v>20</v>
      </c>
      <c r="E621" s="78" t="s">
        <v>366</v>
      </c>
      <c r="F621" s="115" t="s">
        <v>710</v>
      </c>
      <c r="G621" s="78" t="s">
        <v>2799</v>
      </c>
      <c r="H621" s="113" t="s">
        <v>24</v>
      </c>
      <c r="I621" s="78" t="s">
        <v>710</v>
      </c>
      <c r="J621" s="113">
        <v>1020088</v>
      </c>
      <c r="K621" s="78" t="s">
        <v>26</v>
      </c>
      <c r="L621" s="119">
        <v>450000</v>
      </c>
      <c r="M621" s="82">
        <v>1</v>
      </c>
      <c r="N621" s="82">
        <f>Main_Issuance[[#This Row],[LC Amt(FCY)]]*Main_Issuance[[#This Row],[Rate]]</f>
        <v>450000</v>
      </c>
      <c r="O621" s="423">
        <v>46203</v>
      </c>
      <c r="P621" s="423">
        <v>46203</v>
      </c>
      <c r="Q621" s="424" t="s">
        <v>27</v>
      </c>
      <c r="R621" s="78" t="s">
        <v>4493</v>
      </c>
      <c r="S621" s="81"/>
      <c r="T621" s="81"/>
      <c r="U621" s="81"/>
      <c r="V621" s="83">
        <v>0</v>
      </c>
      <c r="W621" s="115"/>
      <c r="X621" s="436" t="str">
        <f ca="1">IF(AND((Main_Issuance[[#This Row],[Expiry Date]]+31)&gt;TODAY(),Main_Issuance[[#This Row],[Status]]&lt;&gt;"Cancelled"),"Active","Cancelled")</f>
        <v>Active</v>
      </c>
      <c r="Y621" s="96"/>
      <c r="Z621" s="424"/>
      <c r="AA621" s="443" t="s">
        <v>857</v>
      </c>
      <c r="AB621" s="83" cm="1">
        <f t="array" ref="AB621">Iss_Tariff(Main_Issuance[[#This Row],[Bank]],Main_Issuance[[#This Row],[LC Amt(SAR)]],Main_Issuance[[#This Row],[Issue Date.]],Main_Issuance[[#This Row],[Expiry Date]],Main_Issuance[[#This Row],[Calculate]],,125)</f>
        <v>2817.5</v>
      </c>
      <c r="AC621" s="83"/>
    </row>
    <row r="622" spans="1:29" ht="15.75" hidden="1" x14ac:dyDescent="0.25">
      <c r="A622" s="57" t="s">
        <v>195</v>
      </c>
      <c r="B622" s="56">
        <v>45167</v>
      </c>
      <c r="C622" s="56" t="s">
        <v>441</v>
      </c>
      <c r="D622" s="69" t="s">
        <v>20</v>
      </c>
      <c r="E622" s="69" t="s">
        <v>21</v>
      </c>
      <c r="F622" s="19" t="s">
        <v>22</v>
      </c>
      <c r="G622" s="69" t="s">
        <v>196</v>
      </c>
      <c r="H622" s="59" t="s">
        <v>24</v>
      </c>
      <c r="I622" s="65" t="s">
        <v>22</v>
      </c>
      <c r="J622" s="59">
        <v>1020055</v>
      </c>
      <c r="K622" s="69" t="s">
        <v>26</v>
      </c>
      <c r="L622" s="60">
        <v>500000</v>
      </c>
      <c r="M622" s="60">
        <v>1</v>
      </c>
      <c r="N622" s="60">
        <f>Main_Issuance[[#This Row],[LC Amt(FCY)]]*Main_Issuance[[#This Row],[Rate]]</f>
        <v>500000</v>
      </c>
      <c r="O622" s="56">
        <v>45260</v>
      </c>
      <c r="P622" s="56">
        <v>45260</v>
      </c>
      <c r="Q622" s="58" t="s">
        <v>27</v>
      </c>
      <c r="R622" s="69" t="s">
        <v>35</v>
      </c>
      <c r="S622" s="71"/>
      <c r="T622" s="71"/>
      <c r="U622" s="71"/>
      <c r="V622" s="68">
        <v>0</v>
      </c>
      <c r="W622" s="115"/>
      <c r="X622" s="191" t="str">
        <f ca="1">IF(AND((Main_Issuance[[#This Row],[Expiry Date]]+31)&gt;TODAY(),Main_Issuance[[#This Row],[Status]]&lt;&gt;"Cancelled"),"Active","Cancelled")</f>
        <v>Cancelled</v>
      </c>
      <c r="Y622" s="409"/>
      <c r="Z622" s="408"/>
      <c r="AA622" s="408" t="s">
        <v>378</v>
      </c>
      <c r="AB622" s="83" cm="1">
        <f t="array" ref="AB622">Iss_Tariff(Main_Issuance[[#This Row],[Bank]],Main_Issuance[[#This Row],[LC Amt(SAR)]],Main_Issuance[[#This Row],[Issue Date.]],Main_Issuance[[#This Row],[Expiry Date]],Main_Issuance[[#This Row],[Calculate]])</f>
        <v>0</v>
      </c>
      <c r="AC622" s="83"/>
    </row>
    <row r="623" spans="1:29" ht="15.75" hidden="1" x14ac:dyDescent="0.25">
      <c r="A623" s="114" t="s">
        <v>2620</v>
      </c>
      <c r="B623" s="76">
        <v>45973</v>
      </c>
      <c r="C623" s="76" t="s">
        <v>441</v>
      </c>
      <c r="D623" s="115" t="s">
        <v>20</v>
      </c>
      <c r="E623" s="78" t="s">
        <v>21</v>
      </c>
      <c r="F623" s="115" t="s">
        <v>22</v>
      </c>
      <c r="G623" s="78" t="s">
        <v>2564</v>
      </c>
      <c r="H623" s="113" t="s">
        <v>24</v>
      </c>
      <c r="I623" s="79" t="s">
        <v>22</v>
      </c>
      <c r="J623" s="113">
        <v>1020055</v>
      </c>
      <c r="K623" s="78" t="s">
        <v>26</v>
      </c>
      <c r="L623" s="119">
        <v>565057.47</v>
      </c>
      <c r="M623" s="82">
        <v>1</v>
      </c>
      <c r="N623" s="82">
        <f>Main_Issuance[[#This Row],[LC Amt(FCY)]]*Main_Issuance[[#This Row],[Rate]]</f>
        <v>565057.47</v>
      </c>
      <c r="O623" s="76">
        <v>46203</v>
      </c>
      <c r="P623" s="76">
        <v>46203</v>
      </c>
      <c r="Q623" s="77" t="s">
        <v>27</v>
      </c>
      <c r="R623" s="78" t="s">
        <v>1904</v>
      </c>
      <c r="S623" s="81"/>
      <c r="T623" s="81"/>
      <c r="U623" s="81"/>
      <c r="V623" s="83">
        <v>0</v>
      </c>
      <c r="W623" s="115"/>
      <c r="X623" s="146" t="str">
        <f ca="1">IF(AND((Main_Issuance[[#This Row],[Expiry Date]]+31)&gt;TODAY(),Main_Issuance[[#This Row],[Status]]&lt;&gt;"Cancelled"),"Active","Cancelled")</f>
        <v>Active</v>
      </c>
      <c r="Y623" s="409"/>
      <c r="Z623" s="408"/>
      <c r="AA623" s="408" t="s">
        <v>857</v>
      </c>
      <c r="AB623" s="83" cm="1">
        <f t="array" ref="AB623">Iss_Tariff(Main_Issuance[[#This Row],[Bank]],Main_Issuance[[#This Row],[LC Amt(SAR)]],Main_Issuance[[#This Row],[Issue Date.]],Main_Issuance[[#This Row],[Expiry Date]],Main_Issuance[[#This Row],[Calculate]])</f>
        <v>4222.8</v>
      </c>
      <c r="AC623" s="83"/>
    </row>
    <row r="624" spans="1:29" ht="15.75" hidden="1" x14ac:dyDescent="0.25">
      <c r="A624" s="114" t="s">
        <v>1639</v>
      </c>
      <c r="B624" s="76">
        <v>45867</v>
      </c>
      <c r="C624" s="76" t="s">
        <v>509</v>
      </c>
      <c r="D624" s="115" t="s">
        <v>20</v>
      </c>
      <c r="E624" s="78" t="s">
        <v>95</v>
      </c>
      <c r="F624" s="115" t="s">
        <v>96</v>
      </c>
      <c r="G624" s="78" t="s">
        <v>1582</v>
      </c>
      <c r="H624" s="113" t="s">
        <v>72</v>
      </c>
      <c r="I624" s="78" t="s">
        <v>511</v>
      </c>
      <c r="J624" s="113">
        <v>1020107</v>
      </c>
      <c r="K624" s="78" t="s">
        <v>26</v>
      </c>
      <c r="L624" s="60">
        <f>1226506.05+1599795</f>
        <v>2826301.05</v>
      </c>
      <c r="M624" s="60">
        <v>1</v>
      </c>
      <c r="N624" s="60">
        <f>Main_Issuance[[#This Row],[LC Amt(FCY)]]*Main_Issuance[[#This Row],[Rate]]</f>
        <v>2826301.05</v>
      </c>
      <c r="O624" s="77">
        <v>46234</v>
      </c>
      <c r="P624" s="77">
        <v>46234</v>
      </c>
      <c r="Q624" s="77" t="s">
        <v>27</v>
      </c>
      <c r="R624" s="78" t="s">
        <v>1338</v>
      </c>
      <c r="S624" s="81"/>
      <c r="T624" s="81"/>
      <c r="U624" s="81"/>
      <c r="V624" s="83">
        <v>0</v>
      </c>
      <c r="W624" s="115"/>
      <c r="X624" s="146" t="str">
        <f ca="1">IF(AND((Main_Issuance[[#This Row],[Expiry Date]]+31)&gt;TODAY(),Main_Issuance[[#This Row],[Status]]&lt;&gt;"Cancelled"),"Active","Cancelled")</f>
        <v>Active</v>
      </c>
      <c r="Y624" s="409"/>
      <c r="Z624" s="408"/>
      <c r="AA624" s="408" t="s">
        <v>857</v>
      </c>
      <c r="AB624" s="83" cm="1">
        <f t="array" ref="AB624">Iss_Tariff(Main_Issuance[[#This Row],[Bank]],Main_Issuance[[#This Row],[LC Amt(SAR)]],Main_Issuance[[#This Row],[Issue Date.]],Main_Issuance[[#This Row],[Expiry Date]],Main_Issuance[[#This Row],[Calculate]])</f>
        <v>16711.8</v>
      </c>
      <c r="AC624" s="83"/>
    </row>
    <row r="625" spans="1:29" ht="15.75" hidden="1" x14ac:dyDescent="0.25">
      <c r="A625" s="114" t="s">
        <v>1781</v>
      </c>
      <c r="B625" s="76">
        <v>45888</v>
      </c>
      <c r="C625" s="76" t="s">
        <v>1727</v>
      </c>
      <c r="D625" s="115" t="s">
        <v>20</v>
      </c>
      <c r="E625" s="78" t="s">
        <v>62</v>
      </c>
      <c r="F625" s="115" t="s">
        <v>70</v>
      </c>
      <c r="G625" s="78" t="s">
        <v>1723</v>
      </c>
      <c r="H625" s="113" t="s">
        <v>869</v>
      </c>
      <c r="I625" s="78" t="s">
        <v>1762</v>
      </c>
      <c r="J625" s="115"/>
      <c r="K625" s="78" t="s">
        <v>26</v>
      </c>
      <c r="L625" s="60">
        <v>355517.15</v>
      </c>
      <c r="M625" s="60">
        <v>1</v>
      </c>
      <c r="N625" s="60">
        <f>Main_Issuance[[#This Row],[LC Amt(FCY)]]*Main_Issuance[[#This Row],[Rate]]</f>
        <v>355517.15</v>
      </c>
      <c r="O625" s="77">
        <v>45930</v>
      </c>
      <c r="P625" s="77">
        <v>45915</v>
      </c>
      <c r="Q625" s="77" t="s">
        <v>70</v>
      </c>
      <c r="R625" s="78" t="s">
        <v>208</v>
      </c>
      <c r="S625" s="81"/>
      <c r="T625" s="81"/>
      <c r="U625" s="81"/>
      <c r="V625" s="83"/>
      <c r="W625" s="115"/>
      <c r="X625" s="146" t="str">
        <f ca="1">IF(AND((Main_Issuance[[#This Row],[Expiry Date]]+31)&gt;TODAY(),Main_Issuance[[#This Row],[Status]]&lt;&gt;"Cancelled"),"Active","Cancelled")</f>
        <v>Cancelled</v>
      </c>
      <c r="Y625" s="410"/>
      <c r="Z625" s="408"/>
      <c r="AA625" s="408" t="s">
        <v>378</v>
      </c>
      <c r="AB625" s="83" cm="1">
        <f t="array" ref="AB625">Iss_Tariff(Main_Issuance[[#This Row],[Bank]],Main_Issuance[[#This Row],[LC Amt(SAR)]],Main_Issuance[[#This Row],[Issue Date.]],Main_Issuance[[#This Row],[Expiry Date]],Main_Issuance[[#This Row],[Calculate]])</f>
        <v>0</v>
      </c>
      <c r="AC625" s="83"/>
    </row>
    <row r="626" spans="1:29" ht="15.75" hidden="1" x14ac:dyDescent="0.25">
      <c r="A626" s="57" t="s">
        <v>411</v>
      </c>
      <c r="B626" s="56">
        <v>45572</v>
      </c>
      <c r="C626" s="56"/>
      <c r="D626" s="69" t="s">
        <v>20</v>
      </c>
      <c r="E626" s="69" t="s">
        <v>95</v>
      </c>
      <c r="F626" s="19" t="s">
        <v>96</v>
      </c>
      <c r="G626" s="69" t="s">
        <v>412</v>
      </c>
      <c r="H626" s="59" t="s">
        <v>24</v>
      </c>
      <c r="I626" s="65" t="s">
        <v>413</v>
      </c>
      <c r="J626" s="59"/>
      <c r="K626" s="69" t="s">
        <v>26</v>
      </c>
      <c r="L626" s="60">
        <v>1978910.18</v>
      </c>
      <c r="M626" s="60">
        <v>1</v>
      </c>
      <c r="N626" s="60">
        <f>Main_Issuance[[#This Row],[LC Amt(FCY)]]*Main_Issuance[[#This Row],[Rate]]</f>
        <v>1978910.18</v>
      </c>
      <c r="O626" s="56">
        <v>45657</v>
      </c>
      <c r="P626" s="56">
        <v>45630</v>
      </c>
      <c r="Q626" s="58" t="s">
        <v>27</v>
      </c>
      <c r="R626" s="69" t="s">
        <v>311</v>
      </c>
      <c r="S626" s="71"/>
      <c r="T626" s="71"/>
      <c r="U626" s="71"/>
      <c r="V626" s="68">
        <v>0</v>
      </c>
      <c r="W626" s="115"/>
      <c r="X626" s="191" t="str">
        <f ca="1">IF(AND((Main_Issuance[[#This Row],[Expiry Date]]+31)&gt;TODAY(),Main_Issuance[[#This Row],[Status]]&lt;&gt;"Cancelled"),"Active","Cancelled")</f>
        <v>Cancelled</v>
      </c>
      <c r="Y626" s="409"/>
      <c r="Z626" s="408"/>
      <c r="AA626" s="408" t="s">
        <v>378</v>
      </c>
      <c r="AB626" s="83" cm="1">
        <f t="array" ref="AB626">Iss_Tariff(Main_Issuance[[#This Row],[Bank]],Main_Issuance[[#This Row],[LC Amt(SAR)]],Main_Issuance[[#This Row],[Issue Date.]],Main_Issuance[[#This Row],[Expiry Date]],Main_Issuance[[#This Row],[Calculate]])</f>
        <v>0</v>
      </c>
      <c r="AC626" s="83"/>
    </row>
    <row r="627" spans="1:29" ht="15.75" hidden="1" x14ac:dyDescent="0.25">
      <c r="A627" s="114" t="s">
        <v>3567</v>
      </c>
      <c r="B627" s="76">
        <v>46033</v>
      </c>
      <c r="C627" s="76" t="s">
        <v>441</v>
      </c>
      <c r="D627" s="78" t="s">
        <v>20</v>
      </c>
      <c r="E627" s="78" t="s">
        <v>612</v>
      </c>
      <c r="F627" s="115" t="s">
        <v>613</v>
      </c>
      <c r="G627" s="78" t="s">
        <v>3331</v>
      </c>
      <c r="H627" s="113" t="s">
        <v>24</v>
      </c>
      <c r="I627" s="78" t="s">
        <v>613</v>
      </c>
      <c r="J627" s="115">
        <v>1020106</v>
      </c>
      <c r="K627" s="78" t="s">
        <v>26</v>
      </c>
      <c r="L627" s="119">
        <v>424699.6</v>
      </c>
      <c r="M627" s="82">
        <v>1</v>
      </c>
      <c r="N627" s="82">
        <f>Main_Issuance[[#This Row],[LC Amt(FCY)]]*Main_Issuance[[#This Row],[Rate]]</f>
        <v>424699.6</v>
      </c>
      <c r="O627" s="76">
        <v>46265</v>
      </c>
      <c r="P627" s="76">
        <v>46265</v>
      </c>
      <c r="Q627" s="77" t="s">
        <v>27</v>
      </c>
      <c r="R627" s="78" t="s">
        <v>1904</v>
      </c>
      <c r="S627" s="81"/>
      <c r="T627" s="81"/>
      <c r="U627" s="81"/>
      <c r="V627" s="83">
        <v>0</v>
      </c>
      <c r="W627" s="115"/>
      <c r="X627" s="146" t="str">
        <f ca="1">IF(AND((Main_Issuance[[#This Row],[Expiry Date]]+31)&gt;TODAY(),Main_Issuance[[#This Row],[Status]]&lt;&gt;"Cancelled"),"Active","Cancelled")</f>
        <v>Active</v>
      </c>
      <c r="Y627" s="409"/>
      <c r="Z627" s="408"/>
      <c r="AA627" s="408" t="s">
        <v>857</v>
      </c>
      <c r="AB627" s="83" cm="1">
        <f t="array" ref="AB627">Iss_Tariff(Main_Issuance[[#This Row],[Bank]],Main_Issuance[[#This Row],[LC Amt(SAR)]],Main_Issuance[[#This Row],[Issue Date.]],Main_Issuance[[#This Row],[Expiry Date]],Main_Issuance[[#This Row],[Calculate]])</f>
        <v>5723.55</v>
      </c>
      <c r="AC627" s="83"/>
    </row>
    <row r="628" spans="1:29" ht="15.75" hidden="1" x14ac:dyDescent="0.25">
      <c r="A628" s="114" t="s">
        <v>799</v>
      </c>
      <c r="B628" s="56">
        <v>45739</v>
      </c>
      <c r="C628" s="56" t="s">
        <v>441</v>
      </c>
      <c r="D628" s="69" t="s">
        <v>20</v>
      </c>
      <c r="E628" s="69" t="s">
        <v>21</v>
      </c>
      <c r="F628" s="19" t="s">
        <v>22</v>
      </c>
      <c r="G628" s="69" t="s">
        <v>800</v>
      </c>
      <c r="H628" s="19" t="s">
        <v>24</v>
      </c>
      <c r="I628" s="69" t="s">
        <v>22</v>
      </c>
      <c r="J628" s="59">
        <v>1020055</v>
      </c>
      <c r="K628" s="69" t="s">
        <v>26</v>
      </c>
      <c r="L628" s="60">
        <v>274309.5</v>
      </c>
      <c r="M628" s="60">
        <v>1</v>
      </c>
      <c r="N628" s="60">
        <f>Main_Issuance[[#This Row],[LC Amt(FCY)]]*Main_Issuance[[#This Row],[Rate]]</f>
        <v>274309.5</v>
      </c>
      <c r="O628" s="56">
        <v>45900</v>
      </c>
      <c r="P628" s="56">
        <v>45900</v>
      </c>
      <c r="Q628" s="58" t="s">
        <v>27</v>
      </c>
      <c r="R628" s="69" t="s">
        <v>311</v>
      </c>
      <c r="S628" s="71"/>
      <c r="T628" s="71"/>
      <c r="U628" s="71"/>
      <c r="V628" s="68">
        <v>0</v>
      </c>
      <c r="W628" s="115"/>
      <c r="X628" s="191" t="str">
        <f ca="1">IF(AND((Main_Issuance[[#This Row],[Expiry Date]]+31)&gt;TODAY(),Main_Issuance[[#This Row],[Status]]&lt;&gt;"Cancelled"),"Active","Cancelled")</f>
        <v>Cancelled</v>
      </c>
      <c r="Y628" s="409"/>
      <c r="Z628" s="408"/>
      <c r="AA628" s="408" t="s">
        <v>378</v>
      </c>
      <c r="AB628" s="83" cm="1">
        <f t="array" ref="AB628">Iss_Tariff(Main_Issuance[[#This Row],[Bank]],Main_Issuance[[#This Row],[LC Amt(SAR)]],Main_Issuance[[#This Row],[Issue Date.]],Main_Issuance[[#This Row],[Expiry Date]],Main_Issuance[[#This Row],[Calculate]])</f>
        <v>0</v>
      </c>
      <c r="AC628" s="83"/>
    </row>
    <row r="629" spans="1:29" ht="15.75" hidden="1" x14ac:dyDescent="0.25">
      <c r="A629" s="114" t="s">
        <v>1565</v>
      </c>
      <c r="B629" s="76">
        <v>45855</v>
      </c>
      <c r="C629" s="76" t="s">
        <v>441</v>
      </c>
      <c r="D629" s="78" t="s">
        <v>20</v>
      </c>
      <c r="E629" s="78" t="s">
        <v>612</v>
      </c>
      <c r="F629" s="115" t="s">
        <v>613</v>
      </c>
      <c r="G629" s="78" t="s">
        <v>1543</v>
      </c>
      <c r="H629" s="113" t="s">
        <v>24</v>
      </c>
      <c r="I629" s="79" t="s">
        <v>613</v>
      </c>
      <c r="J629" s="115">
        <v>1020106</v>
      </c>
      <c r="K629" s="78" t="s">
        <v>26</v>
      </c>
      <c r="L629" s="60">
        <v>100383.5</v>
      </c>
      <c r="M629" s="60">
        <v>1</v>
      </c>
      <c r="N629" s="60">
        <f>Main_Issuance[[#This Row],[LC Amt(FCY)]]*Main_Issuance[[#This Row],[Rate]]</f>
        <v>100383.5</v>
      </c>
      <c r="O629" s="56">
        <v>46142</v>
      </c>
      <c r="P629" s="56">
        <v>46142</v>
      </c>
      <c r="Q629" s="77" t="s">
        <v>27</v>
      </c>
      <c r="R629" s="78" t="s">
        <v>311</v>
      </c>
      <c r="S629" s="81"/>
      <c r="T629" s="81"/>
      <c r="U629" s="81"/>
      <c r="V629" s="83">
        <v>0</v>
      </c>
      <c r="W629" s="115"/>
      <c r="X629" s="146" t="str">
        <f ca="1">IF(AND((Main_Issuance[[#This Row],[Expiry Date]]+31)&gt;TODAY(),Main_Issuance[[#This Row],[Status]]&lt;&gt;"Cancelled"),"Active","Cancelled")</f>
        <v>Cancelled</v>
      </c>
      <c r="Y629" s="409"/>
      <c r="Z629" s="408"/>
      <c r="AA629" s="408" t="s">
        <v>857</v>
      </c>
      <c r="AB629" s="83" cm="1">
        <f t="array" ref="AB629">Iss_Tariff(Main_Issuance[[#This Row],[Bank]],Main_Issuance[[#This Row],[LC Amt(SAR)]],Main_Issuance[[#This Row],[Issue Date.]],Main_Issuance[[#This Row],[Expiry Date]],Main_Issuance[[#This Row],[Calculate]])</f>
        <v>3152.15</v>
      </c>
      <c r="AC629" s="83"/>
    </row>
    <row r="630" spans="1:29" ht="15.75" hidden="1" x14ac:dyDescent="0.25">
      <c r="A630" s="114" t="s">
        <v>1821</v>
      </c>
      <c r="B630" s="76">
        <v>45895</v>
      </c>
      <c r="C630" s="76" t="s">
        <v>441</v>
      </c>
      <c r="D630" s="78" t="s">
        <v>20</v>
      </c>
      <c r="E630" s="78" t="s">
        <v>612</v>
      </c>
      <c r="F630" s="115" t="s">
        <v>613</v>
      </c>
      <c r="G630" s="78" t="s">
        <v>1701</v>
      </c>
      <c r="H630" s="115" t="s">
        <v>24</v>
      </c>
      <c r="I630" s="78" t="s">
        <v>613</v>
      </c>
      <c r="J630" s="115">
        <v>1020106</v>
      </c>
      <c r="K630" s="78" t="s">
        <v>26</v>
      </c>
      <c r="L630" s="60">
        <v>501144.18</v>
      </c>
      <c r="M630" s="60">
        <v>1</v>
      </c>
      <c r="N630" s="60">
        <f>Main_Issuance[[#This Row],[LC Amt(FCY)]]*Main_Issuance[[#This Row],[Rate]]</f>
        <v>501144.18</v>
      </c>
      <c r="O630" s="76">
        <v>46265</v>
      </c>
      <c r="P630" s="76">
        <v>46265</v>
      </c>
      <c r="Q630" s="77" t="s">
        <v>27</v>
      </c>
      <c r="R630" s="78" t="s">
        <v>311</v>
      </c>
      <c r="S630" s="81"/>
      <c r="T630" s="81"/>
      <c r="U630" s="81"/>
      <c r="V630" s="83">
        <v>0</v>
      </c>
      <c r="W630" s="115"/>
      <c r="X630" s="146" t="str">
        <f ca="1">IF(AND((Main_Issuance[[#This Row],[Expiry Date]]+31)&gt;TODAY(),Main_Issuance[[#This Row],[Status]]&lt;&gt;"Cancelled"),"Active","Cancelled")</f>
        <v>Active</v>
      </c>
      <c r="Y630" s="409"/>
      <c r="Z630" s="408"/>
      <c r="AA630" s="408" t="s">
        <v>857</v>
      </c>
      <c r="AB630" s="83" cm="1">
        <f t="array" ref="AB630">Iss_Tariff(Main_Issuance[[#This Row],[Bank]],Main_Issuance[[#This Row],[LC Amt(SAR)]],Main_Issuance[[#This Row],[Issue Date.]],Main_Issuance[[#This Row],[Expiry Date]],Main_Issuance[[#This Row],[Calculate]])</f>
        <v>9203.4500000000007</v>
      </c>
      <c r="AC630" s="83"/>
    </row>
    <row r="631" spans="1:29" ht="15.75" hidden="1" x14ac:dyDescent="0.25">
      <c r="A631" s="114" t="s">
        <v>694</v>
      </c>
      <c r="B631" s="56">
        <v>45698</v>
      </c>
      <c r="C631" s="56" t="s">
        <v>441</v>
      </c>
      <c r="D631" s="69" t="s">
        <v>20</v>
      </c>
      <c r="E631" s="69" t="s">
        <v>612</v>
      </c>
      <c r="F631" s="19" t="s">
        <v>613</v>
      </c>
      <c r="G631" s="69" t="s">
        <v>695</v>
      </c>
      <c r="H631" s="59" t="s">
        <v>24</v>
      </c>
      <c r="I631" s="69" t="s">
        <v>613</v>
      </c>
      <c r="J631" s="115">
        <v>1020106</v>
      </c>
      <c r="K631" s="69" t="s">
        <v>26</v>
      </c>
      <c r="L631" s="60">
        <v>1112374.18</v>
      </c>
      <c r="M631" s="60">
        <v>1</v>
      </c>
      <c r="N631" s="60">
        <f>Main_Issuance[[#This Row],[LC Amt(FCY)]]*Main_Issuance[[#This Row],[Rate]]</f>
        <v>1112374.18</v>
      </c>
      <c r="O631" s="76">
        <v>45961</v>
      </c>
      <c r="P631" s="76">
        <v>45961</v>
      </c>
      <c r="Q631" s="58" t="s">
        <v>27</v>
      </c>
      <c r="R631" s="69" t="s">
        <v>311</v>
      </c>
      <c r="S631" s="71"/>
      <c r="T631" s="71"/>
      <c r="U631" s="71"/>
      <c r="V631" s="68">
        <v>0</v>
      </c>
      <c r="W631" s="115"/>
      <c r="X631" s="191" t="str">
        <f ca="1">IF(AND((Main_Issuance[[#This Row],[Expiry Date]]+31)&gt;TODAY(),Main_Issuance[[#This Row],[Status]]&lt;&gt;"Cancelled"),"Active","Cancelled")</f>
        <v>Cancelled</v>
      </c>
      <c r="Y631" s="409"/>
      <c r="Z631" s="408"/>
      <c r="AA631" s="408" t="s">
        <v>378</v>
      </c>
      <c r="AB631" s="83" cm="1">
        <f t="array" ref="AB631">Iss_Tariff(Main_Issuance[[#This Row],[Bank]],Main_Issuance[[#This Row],[LC Amt(SAR)]],Main_Issuance[[#This Row],[Issue Date.]],Main_Issuance[[#This Row],[Expiry Date]],Main_Issuance[[#This Row],[Calculate]])</f>
        <v>0</v>
      </c>
      <c r="AC631" s="83"/>
    </row>
    <row r="632" spans="1:29" ht="15.75" hidden="1" x14ac:dyDescent="0.25">
      <c r="A632" s="114" t="s">
        <v>1235</v>
      </c>
      <c r="B632" s="76">
        <v>45775</v>
      </c>
      <c r="C632" s="76" t="s">
        <v>441</v>
      </c>
      <c r="D632" s="78" t="s">
        <v>20</v>
      </c>
      <c r="E632" s="78" t="s">
        <v>612</v>
      </c>
      <c r="F632" s="115" t="s">
        <v>613</v>
      </c>
      <c r="G632" s="78" t="s">
        <v>1205</v>
      </c>
      <c r="H632" s="113" t="s">
        <v>24</v>
      </c>
      <c r="I632" s="79" t="s">
        <v>613</v>
      </c>
      <c r="J632" s="115">
        <v>1020106</v>
      </c>
      <c r="K632" s="78" t="s">
        <v>26</v>
      </c>
      <c r="L632" s="60">
        <v>284688.25</v>
      </c>
      <c r="M632" s="60">
        <v>1</v>
      </c>
      <c r="N632" s="60">
        <f>Main_Issuance[[#This Row],[LC Amt(FCY)]]*Main_Issuance[[#This Row],[Rate]]</f>
        <v>284688.25</v>
      </c>
      <c r="O632" s="56">
        <v>46022</v>
      </c>
      <c r="P632" s="56">
        <v>46022</v>
      </c>
      <c r="Q632" s="77" t="s">
        <v>27</v>
      </c>
      <c r="R632" s="78" t="s">
        <v>311</v>
      </c>
      <c r="S632" s="81"/>
      <c r="T632" s="81"/>
      <c r="U632" s="81"/>
      <c r="V632" s="83"/>
      <c r="W632" s="115" t="s">
        <v>1913</v>
      </c>
      <c r="X632" s="146" t="str">
        <f ca="1">IF(AND((Main_Issuance[[#This Row],[Expiry Date]]+31)&gt;TODAY(),Main_Issuance[[#This Row],[Status]]&lt;&gt;"Cancelled"),"Active","Cancelled")</f>
        <v>Cancelled</v>
      </c>
      <c r="Y632" s="409"/>
      <c r="Z632" s="408"/>
      <c r="AA632" s="408" t="s">
        <v>378</v>
      </c>
      <c r="AB632" s="83" cm="1">
        <f t="array" ref="AB632">Iss_Tariff(Main_Issuance[[#This Row],[Bank]],Main_Issuance[[#This Row],[LC Amt(SAR)]],Main_Issuance[[#This Row],[Issue Date.]],Main_Issuance[[#This Row],[Expiry Date]],Main_Issuance[[#This Row],[Calculate]])</f>
        <v>0</v>
      </c>
      <c r="AC632" s="83"/>
    </row>
    <row r="633" spans="1:29" ht="15.75" hidden="1" x14ac:dyDescent="0.25">
      <c r="A633" s="57" t="s">
        <v>641</v>
      </c>
      <c r="B633" s="56">
        <v>45680</v>
      </c>
      <c r="C633" s="56" t="s">
        <v>441</v>
      </c>
      <c r="D633" s="69" t="s">
        <v>20</v>
      </c>
      <c r="E633" s="69" t="s">
        <v>21</v>
      </c>
      <c r="F633" s="19" t="s">
        <v>22</v>
      </c>
      <c r="G633" s="69" t="s">
        <v>642</v>
      </c>
      <c r="H633" s="59" t="s">
        <v>24</v>
      </c>
      <c r="I633" s="65" t="s">
        <v>22</v>
      </c>
      <c r="J633" s="59">
        <v>1020055</v>
      </c>
      <c r="K633" s="69" t="s">
        <v>26</v>
      </c>
      <c r="L633" s="60">
        <v>1458479.28</v>
      </c>
      <c r="M633" s="60">
        <v>1</v>
      </c>
      <c r="N633" s="60">
        <f>Main_Issuance[[#This Row],[LC Amt(FCY)]]*Main_Issuance[[#This Row],[Rate]]</f>
        <v>1458479.28</v>
      </c>
      <c r="O633" s="56">
        <v>45777</v>
      </c>
      <c r="P633" s="56">
        <v>45777</v>
      </c>
      <c r="Q633" s="58" t="s">
        <v>27</v>
      </c>
      <c r="R633" s="69" t="s">
        <v>311</v>
      </c>
      <c r="S633" s="71"/>
      <c r="T633" s="71"/>
      <c r="U633" s="71"/>
      <c r="V633" s="68">
        <v>0</v>
      </c>
      <c r="W633" s="115"/>
      <c r="X633" s="191" t="str">
        <f ca="1">IF(AND((Main_Issuance[[#This Row],[Expiry Date]]+31)&gt;TODAY(),Main_Issuance[[#This Row],[Status]]&lt;&gt;"Cancelled"),"Active","Cancelled")</f>
        <v>Cancelled</v>
      </c>
      <c r="Y633" s="409"/>
      <c r="Z633" s="408"/>
      <c r="AA633" s="408" t="s">
        <v>378</v>
      </c>
      <c r="AB633" s="83" cm="1">
        <f t="array" ref="AB633">Iss_Tariff(Main_Issuance[[#This Row],[Bank]],Main_Issuance[[#This Row],[LC Amt(SAR)]],Main_Issuance[[#This Row],[Issue Date.]],Main_Issuance[[#This Row],[Expiry Date]],Main_Issuance[[#This Row],[Calculate]])</f>
        <v>0</v>
      </c>
      <c r="AC633" s="83"/>
    </row>
    <row r="634" spans="1:29" ht="15.75" hidden="1" x14ac:dyDescent="0.25">
      <c r="A634" s="57" t="s">
        <v>245</v>
      </c>
      <c r="B634" s="56">
        <v>45064</v>
      </c>
      <c r="C634" s="56" t="s">
        <v>1182</v>
      </c>
      <c r="D634" s="69" t="s">
        <v>20</v>
      </c>
      <c r="E634" s="69" t="s">
        <v>21</v>
      </c>
      <c r="F634" s="19" t="s">
        <v>22</v>
      </c>
      <c r="G634" s="69" t="s">
        <v>246</v>
      </c>
      <c r="H634" s="59" t="s">
        <v>24</v>
      </c>
      <c r="I634" s="65" t="s">
        <v>25</v>
      </c>
      <c r="J634" s="59">
        <v>1020052</v>
      </c>
      <c r="K634" s="69" t="s">
        <v>26</v>
      </c>
      <c r="L634" s="60">
        <v>947915.1</v>
      </c>
      <c r="M634" s="60">
        <v>1</v>
      </c>
      <c r="N634" s="60">
        <f>Main_Issuance[[#This Row],[LC Amt(FCY)]]*Main_Issuance[[#This Row],[Rate]]</f>
        <v>947915.1</v>
      </c>
      <c r="O634" s="56">
        <v>45437</v>
      </c>
      <c r="P634" s="56">
        <v>45437</v>
      </c>
      <c r="Q634" s="58" t="s">
        <v>27</v>
      </c>
      <c r="R634" s="69"/>
      <c r="S634" s="71"/>
      <c r="T634" s="71"/>
      <c r="U634" s="71"/>
      <c r="V634" s="68">
        <v>0</v>
      </c>
      <c r="W634" s="115"/>
      <c r="X634" s="191" t="str">
        <f ca="1">IF(AND((Main_Issuance[[#This Row],[Expiry Date]]+31)&gt;TODAY(),Main_Issuance[[#This Row],[Status]]&lt;&gt;"Cancelled"),"Active","Cancelled")</f>
        <v>Cancelled</v>
      </c>
      <c r="Y634" s="409"/>
      <c r="Z634" s="408"/>
      <c r="AA634" s="408" t="s">
        <v>378</v>
      </c>
      <c r="AB634" s="83" cm="1">
        <f t="array" ref="AB634">Iss_Tariff(Main_Issuance[[#This Row],[Bank]],Main_Issuance[[#This Row],[LC Amt(SAR)]],Main_Issuance[[#This Row],[Issue Date.]],Main_Issuance[[#This Row],[Expiry Date]],Main_Issuance[[#This Row],[Calculate]])</f>
        <v>0</v>
      </c>
      <c r="AC634" s="83"/>
    </row>
    <row r="635" spans="1:29" ht="15.75" hidden="1" x14ac:dyDescent="0.25">
      <c r="A635" s="114" t="s">
        <v>4681</v>
      </c>
      <c r="B635" s="423">
        <v>46124</v>
      </c>
      <c r="C635" s="423" t="s">
        <v>441</v>
      </c>
      <c r="D635" s="78" t="s">
        <v>20</v>
      </c>
      <c r="E635" s="78" t="s">
        <v>366</v>
      </c>
      <c r="F635" s="115" t="s">
        <v>710</v>
      </c>
      <c r="G635" s="78" t="s">
        <v>4502</v>
      </c>
      <c r="H635" s="113" t="s">
        <v>24</v>
      </c>
      <c r="I635" s="78" t="s">
        <v>710</v>
      </c>
      <c r="J635" s="113">
        <v>1020088</v>
      </c>
      <c r="K635" s="78" t="s">
        <v>26</v>
      </c>
      <c r="L635" s="119">
        <v>175000</v>
      </c>
      <c r="M635" s="82">
        <v>1</v>
      </c>
      <c r="N635" s="82">
        <f>Main_Issuance[[#This Row],[LC Amt(FCY)]]*Main_Issuance[[#This Row],[Rate]]</f>
        <v>175000</v>
      </c>
      <c r="O635" s="423">
        <v>46203</v>
      </c>
      <c r="P635" s="423">
        <v>46203</v>
      </c>
      <c r="Q635" s="424" t="s">
        <v>27</v>
      </c>
      <c r="R635" s="78" t="s">
        <v>4493</v>
      </c>
      <c r="S635" s="81"/>
      <c r="T635" s="81"/>
      <c r="U635" s="81"/>
      <c r="V635" s="83">
        <v>0</v>
      </c>
      <c r="W635" s="115"/>
      <c r="X635" s="436" t="str">
        <f ca="1">IF(AND((Main_Issuance[[#This Row],[Expiry Date]]+31)&gt;TODAY(),Main_Issuance[[#This Row],[Status]]&lt;&gt;"Cancelled"),"Active","Cancelled")</f>
        <v>Active</v>
      </c>
      <c r="Y635" s="96"/>
      <c r="Z635" s="424"/>
      <c r="AA635" s="443" t="s">
        <v>857</v>
      </c>
      <c r="AB635" s="83" cm="1">
        <f t="array" ref="AB635">Iss_Tariff(Main_Issuance[[#This Row],[Bank]],Main_Issuance[[#This Row],[LC Amt(SAR)]],Main_Issuance[[#This Row],[Issue Date.]],Main_Issuance[[#This Row],[Expiry Date]],Main_Issuance[[#This Row],[Calculate]],125)</f>
        <v>1092.5</v>
      </c>
      <c r="AC635" s="83"/>
    </row>
    <row r="636" spans="1:29" ht="15.75" hidden="1" x14ac:dyDescent="0.25">
      <c r="A636" s="114" t="s">
        <v>1402</v>
      </c>
      <c r="B636" s="76">
        <v>45804</v>
      </c>
      <c r="C636" s="76" t="s">
        <v>441</v>
      </c>
      <c r="D636" s="78" t="s">
        <v>20</v>
      </c>
      <c r="E636" s="78" t="s">
        <v>21</v>
      </c>
      <c r="F636" s="115" t="s">
        <v>22</v>
      </c>
      <c r="G636" s="78" t="s">
        <v>1319</v>
      </c>
      <c r="H636" s="115" t="s">
        <v>24</v>
      </c>
      <c r="I636" s="78" t="s">
        <v>22</v>
      </c>
      <c r="J636" s="115">
        <v>1020055</v>
      </c>
      <c r="K636" s="78" t="s">
        <v>26</v>
      </c>
      <c r="L636" s="60">
        <v>250000</v>
      </c>
      <c r="M636" s="60">
        <v>1</v>
      </c>
      <c r="N636" s="60">
        <f>Main_Issuance[[#This Row],[LC Amt(FCY)]]*Main_Issuance[[#This Row],[Rate]]</f>
        <v>250000</v>
      </c>
      <c r="O636" s="76">
        <v>46081</v>
      </c>
      <c r="P636" s="76">
        <v>46081</v>
      </c>
      <c r="Q636" s="77" t="s">
        <v>27</v>
      </c>
      <c r="R636" s="78" t="s">
        <v>1629</v>
      </c>
      <c r="S636" s="81"/>
      <c r="T636" s="81"/>
      <c r="U636" s="81"/>
      <c r="V636" s="83">
        <v>0</v>
      </c>
      <c r="W636" s="115"/>
      <c r="X636" s="146" t="str">
        <f ca="1">IF(AND((Main_Issuance[[#This Row],[Expiry Date]]+31)&gt;TODAY(),Main_Issuance[[#This Row],[Status]]&lt;&gt;"Cancelled"),"Active","Cancelled")</f>
        <v>Cancelled</v>
      </c>
      <c r="Y636" s="409"/>
      <c r="Z636" s="408"/>
      <c r="AA636" s="408" t="s">
        <v>857</v>
      </c>
      <c r="AB636" s="83" cm="1">
        <f t="array" ref="AB636">Iss_Tariff(Main_Issuance[[#This Row],[Bank]],Main_Issuance[[#This Row],[LC Amt(SAR)]],Main_Issuance[[#This Row],[Issue Date.]],Main_Issuance[[#This Row],[Expiry Date]],Main_Issuance[[#This Row],[Calculate]])</f>
        <v>3033.7</v>
      </c>
      <c r="AC636" s="83"/>
    </row>
    <row r="637" spans="1:29" ht="15.75" hidden="1" x14ac:dyDescent="0.25">
      <c r="A637" s="114" t="s">
        <v>1751</v>
      </c>
      <c r="B637" s="76">
        <v>45883</v>
      </c>
      <c r="C637" s="76" t="s">
        <v>1727</v>
      </c>
      <c r="D637" s="78" t="s">
        <v>20</v>
      </c>
      <c r="E637" s="78" t="s">
        <v>62</v>
      </c>
      <c r="F637" s="115" t="s">
        <v>70</v>
      </c>
      <c r="G637" s="78" t="s">
        <v>1722</v>
      </c>
      <c r="H637" s="113" t="s">
        <v>869</v>
      </c>
      <c r="I637" s="78" t="s">
        <v>1762</v>
      </c>
      <c r="J637" s="115"/>
      <c r="K637" s="78" t="s">
        <v>26</v>
      </c>
      <c r="L637" s="60">
        <v>435085.25</v>
      </c>
      <c r="M637" s="60">
        <v>1</v>
      </c>
      <c r="N637" s="60">
        <f>Main_Issuance[[#This Row],[LC Amt(FCY)]]*Main_Issuance[[#This Row],[Rate]]</f>
        <v>435085.25</v>
      </c>
      <c r="O637" s="76">
        <v>45930</v>
      </c>
      <c r="P637" s="76">
        <v>45915</v>
      </c>
      <c r="Q637" s="77" t="s">
        <v>70</v>
      </c>
      <c r="R637" s="78" t="s">
        <v>208</v>
      </c>
      <c r="S637" s="81"/>
      <c r="T637" s="81"/>
      <c r="U637" s="81"/>
      <c r="V637" s="83"/>
      <c r="W637" s="115"/>
      <c r="X637" s="146" t="str">
        <f ca="1">IF(AND((Main_Issuance[[#This Row],[Expiry Date]]+31)&gt;TODAY(),Main_Issuance[[#This Row],[Status]]&lt;&gt;"Cancelled"),"Active","Cancelled")</f>
        <v>Cancelled</v>
      </c>
      <c r="Y637" s="410"/>
      <c r="Z637" s="408"/>
      <c r="AA637" s="408" t="s">
        <v>378</v>
      </c>
      <c r="AB637" s="83" cm="1">
        <f t="array" ref="AB637">Iss_Tariff(Main_Issuance[[#This Row],[Bank]],Main_Issuance[[#This Row],[LC Amt(SAR)]],Main_Issuance[[#This Row],[Issue Date.]],Main_Issuance[[#This Row],[Expiry Date]],Main_Issuance[[#This Row],[Calculate]])</f>
        <v>0</v>
      </c>
      <c r="AC637" s="83"/>
    </row>
    <row r="638" spans="1:29" ht="15.75" hidden="1" x14ac:dyDescent="0.25">
      <c r="A638" s="57" t="s">
        <v>288</v>
      </c>
      <c r="B638" s="56">
        <v>45505</v>
      </c>
      <c r="C638" s="56" t="s">
        <v>441</v>
      </c>
      <c r="D638" s="69" t="s">
        <v>20</v>
      </c>
      <c r="E638" s="69" t="s">
        <v>21</v>
      </c>
      <c r="F638" s="19" t="s">
        <v>22</v>
      </c>
      <c r="G638" s="69" t="s">
        <v>289</v>
      </c>
      <c r="H638" s="59" t="s">
        <v>24</v>
      </c>
      <c r="I638" s="65" t="s">
        <v>22</v>
      </c>
      <c r="J638" s="59">
        <v>1020055</v>
      </c>
      <c r="K638" s="69" t="s">
        <v>26</v>
      </c>
      <c r="L638" s="60">
        <v>539552.68999999994</v>
      </c>
      <c r="M638" s="60">
        <v>1</v>
      </c>
      <c r="N638" s="60">
        <f>Main_Issuance[[#This Row],[LC Amt(FCY)]]*Main_Issuance[[#This Row],[Rate]]</f>
        <v>539552.68999999994</v>
      </c>
      <c r="O638" s="56">
        <v>45596</v>
      </c>
      <c r="P638" s="56">
        <v>45596</v>
      </c>
      <c r="Q638" s="58" t="s">
        <v>27</v>
      </c>
      <c r="R638" s="69"/>
      <c r="S638" s="71"/>
      <c r="T638" s="71"/>
      <c r="U638" s="71"/>
      <c r="V638" s="68">
        <v>0</v>
      </c>
      <c r="W638" s="115"/>
      <c r="X638" s="191" t="str">
        <f ca="1">IF(AND((Main_Issuance[[#This Row],[Expiry Date]]+31)&gt;TODAY(),Main_Issuance[[#This Row],[Status]]&lt;&gt;"Cancelled"),"Active","Cancelled")</f>
        <v>Cancelled</v>
      </c>
      <c r="Y638" s="409"/>
      <c r="Z638" s="408"/>
      <c r="AA638" s="408" t="s">
        <v>378</v>
      </c>
      <c r="AB638" s="83" cm="1">
        <f t="array" ref="AB638">Iss_Tariff(Main_Issuance[[#This Row],[Bank]],Main_Issuance[[#This Row],[LC Amt(SAR)]],Main_Issuance[[#This Row],[Issue Date.]],Main_Issuance[[#This Row],[Expiry Date]],Main_Issuance[[#This Row],[Calculate]])</f>
        <v>0</v>
      </c>
      <c r="AC638" s="83"/>
    </row>
    <row r="639" spans="1:29" ht="15.75" hidden="1" x14ac:dyDescent="0.25">
      <c r="A639" s="114" t="s">
        <v>1686</v>
      </c>
      <c r="B639" s="76">
        <v>45874</v>
      </c>
      <c r="C639" s="76" t="s">
        <v>1119</v>
      </c>
      <c r="D639" s="78" t="s">
        <v>20</v>
      </c>
      <c r="E639" s="78" t="s">
        <v>366</v>
      </c>
      <c r="F639" s="115" t="s">
        <v>367</v>
      </c>
      <c r="G639" s="78" t="s">
        <v>1643</v>
      </c>
      <c r="H639" s="115" t="s">
        <v>24</v>
      </c>
      <c r="I639" s="78" t="s">
        <v>367</v>
      </c>
      <c r="J639" s="113">
        <v>1020091</v>
      </c>
      <c r="K639" s="78" t="s">
        <v>26</v>
      </c>
      <c r="L639" s="60">
        <v>4782000</v>
      </c>
      <c r="M639" s="60">
        <v>1</v>
      </c>
      <c r="N639" s="60">
        <f>Main_Issuance[[#This Row],[LC Amt(FCY)]]*Main_Issuance[[#This Row],[Rate]]</f>
        <v>4782000</v>
      </c>
      <c r="O639" s="76">
        <v>45961</v>
      </c>
      <c r="P639" s="76">
        <v>45961</v>
      </c>
      <c r="Q639" s="77" t="s">
        <v>27</v>
      </c>
      <c r="R639" s="78" t="s">
        <v>1629</v>
      </c>
      <c r="S639" s="81"/>
      <c r="T639" s="81"/>
      <c r="U639" s="81"/>
      <c r="V639" s="83">
        <v>0</v>
      </c>
      <c r="W639" s="115"/>
      <c r="X639" s="146" t="str">
        <f ca="1">IF(AND((Main_Issuance[[#This Row],[Expiry Date]]+31)&gt;TODAY(),Main_Issuance[[#This Row],[Status]]&lt;&gt;"Cancelled"),"Active","Cancelled")</f>
        <v>Cancelled</v>
      </c>
      <c r="Y639" s="409"/>
      <c r="Z639" s="408"/>
      <c r="AA639" s="408" t="s">
        <v>378</v>
      </c>
      <c r="AB639" s="83" cm="1">
        <f t="array" ref="AB639">Iss_Tariff(Main_Issuance[[#This Row],[Bank]],Main_Issuance[[#This Row],[LC Amt(SAR)]],Main_Issuance[[#This Row],[Issue Date.]],Main_Issuance[[#This Row],[Expiry Date]],Main_Issuance[[#This Row],[Calculate]])</f>
        <v>0</v>
      </c>
      <c r="AC639" s="83"/>
    </row>
    <row r="640" spans="1:29" ht="15.75" hidden="1" x14ac:dyDescent="0.25">
      <c r="A640" s="114" t="s">
        <v>4554</v>
      </c>
      <c r="B640" s="423">
        <v>46118</v>
      </c>
      <c r="C640" s="423" t="s">
        <v>441</v>
      </c>
      <c r="D640" s="115" t="s">
        <v>20</v>
      </c>
      <c r="E640" s="78" t="s">
        <v>366</v>
      </c>
      <c r="F640" s="115" t="s">
        <v>710</v>
      </c>
      <c r="G640" s="78" t="s">
        <v>4542</v>
      </c>
      <c r="H640" s="113" t="s">
        <v>24</v>
      </c>
      <c r="I640" s="78" t="s">
        <v>710</v>
      </c>
      <c r="J640" s="113">
        <v>1020088</v>
      </c>
      <c r="K640" s="78" t="s">
        <v>26</v>
      </c>
      <c r="L640" s="119">
        <v>500000</v>
      </c>
      <c r="M640" s="82">
        <v>1</v>
      </c>
      <c r="N640" s="82">
        <f>Main_Issuance[[#This Row],[LC Amt(FCY)]]*Main_Issuance[[#This Row],[Rate]]</f>
        <v>500000</v>
      </c>
      <c r="O640" s="423">
        <v>46203</v>
      </c>
      <c r="P640" s="423">
        <v>46203</v>
      </c>
      <c r="Q640" s="424" t="s">
        <v>27</v>
      </c>
      <c r="R640" s="78" t="s">
        <v>4493</v>
      </c>
      <c r="S640" s="81"/>
      <c r="T640" s="81"/>
      <c r="U640" s="81"/>
      <c r="V640" s="83">
        <v>0</v>
      </c>
      <c r="W640" s="115"/>
      <c r="X640" s="436" t="str">
        <f ca="1">IF(AND((Main_Issuance[[#This Row],[Expiry Date]]+31)&gt;TODAY(),Main_Issuance[[#This Row],[Status]]&lt;&gt;"Cancelled"),"Active","Cancelled")</f>
        <v>Active</v>
      </c>
      <c r="Y640" s="96"/>
      <c r="Z640" s="424"/>
      <c r="AA640" s="443" t="s">
        <v>857</v>
      </c>
      <c r="AB640" s="83" cm="1">
        <f t="array" ref="AB640">Iss_Tariff(Main_Issuance[[#This Row],[Bank]],Main_Issuance[[#This Row],[LC Amt(SAR)]],Main_Issuance[[#This Row],[Issue Date.]],Main_Issuance[[#This Row],[Expiry Date]],Main_Issuance[[#This Row],[Calculate]])</f>
        <v>2961.25</v>
      </c>
      <c r="AC640" s="83"/>
    </row>
    <row r="641" spans="1:29" ht="15.75" hidden="1" x14ac:dyDescent="0.25">
      <c r="A641" s="57" t="s">
        <v>156</v>
      </c>
      <c r="B641" s="56">
        <v>45147</v>
      </c>
      <c r="C641" s="56" t="s">
        <v>441</v>
      </c>
      <c r="D641" s="69" t="s">
        <v>20</v>
      </c>
      <c r="E641" s="69" t="s">
        <v>21</v>
      </c>
      <c r="F641" s="19" t="s">
        <v>22</v>
      </c>
      <c r="G641" s="69" t="s">
        <v>157</v>
      </c>
      <c r="H641" s="59" t="s">
        <v>24</v>
      </c>
      <c r="I641" s="65" t="s">
        <v>22</v>
      </c>
      <c r="J641" s="59">
        <v>1020055</v>
      </c>
      <c r="K641" s="69" t="s">
        <v>26</v>
      </c>
      <c r="L641" s="60">
        <v>823546.42</v>
      </c>
      <c r="M641" s="60">
        <v>1</v>
      </c>
      <c r="N641" s="60">
        <f>Main_Issuance[[#This Row],[LC Amt(FCY)]]*Main_Issuance[[#This Row],[Rate]]</f>
        <v>823546.42</v>
      </c>
      <c r="O641" s="56">
        <v>45230</v>
      </c>
      <c r="P641" s="56">
        <v>45230</v>
      </c>
      <c r="Q641" s="58" t="s">
        <v>27</v>
      </c>
      <c r="R641" s="69"/>
      <c r="S641" s="71"/>
      <c r="T641" s="71"/>
      <c r="U641" s="71"/>
      <c r="V641" s="68">
        <v>0</v>
      </c>
      <c r="W641" s="115"/>
      <c r="X641" s="191" t="str">
        <f ca="1">IF(AND((Main_Issuance[[#This Row],[Expiry Date]]+31)&gt;TODAY(),Main_Issuance[[#This Row],[Status]]&lt;&gt;"Cancelled"),"Active","Cancelled")</f>
        <v>Cancelled</v>
      </c>
      <c r="Y641" s="409"/>
      <c r="Z641" s="408"/>
      <c r="AA641" s="408" t="s">
        <v>378</v>
      </c>
      <c r="AB641" s="83" cm="1">
        <f t="array" ref="AB641">Iss_Tariff(Main_Issuance[[#This Row],[Bank]],Main_Issuance[[#This Row],[LC Amt(SAR)]],Main_Issuance[[#This Row],[Issue Date.]],Main_Issuance[[#This Row],[Expiry Date]],Main_Issuance[[#This Row],[Calculate]])</f>
        <v>0</v>
      </c>
      <c r="AC641" s="83"/>
    </row>
    <row r="642" spans="1:29" ht="15.75" hidden="1" x14ac:dyDescent="0.25">
      <c r="A642" s="57" t="s">
        <v>230</v>
      </c>
      <c r="B642" s="56">
        <v>45237</v>
      </c>
      <c r="C642" s="56" t="s">
        <v>441</v>
      </c>
      <c r="D642" s="69" t="s">
        <v>20</v>
      </c>
      <c r="E642" s="69" t="s">
        <v>21</v>
      </c>
      <c r="F642" s="19" t="s">
        <v>22</v>
      </c>
      <c r="G642" s="69" t="s">
        <v>231</v>
      </c>
      <c r="H642" s="59" t="s">
        <v>24</v>
      </c>
      <c r="I642" s="65" t="s">
        <v>22</v>
      </c>
      <c r="J642" s="59">
        <v>1020055</v>
      </c>
      <c r="K642" s="69" t="s">
        <v>26</v>
      </c>
      <c r="L642" s="60">
        <v>950740.65</v>
      </c>
      <c r="M642" s="60">
        <v>1</v>
      </c>
      <c r="N642" s="60">
        <f>Main_Issuance[[#This Row],[LC Amt(FCY)]]*Main_Issuance[[#This Row],[Rate]]</f>
        <v>950740.65</v>
      </c>
      <c r="O642" s="56">
        <v>45322</v>
      </c>
      <c r="P642" s="56">
        <v>45322</v>
      </c>
      <c r="Q642" s="58" t="s">
        <v>27</v>
      </c>
      <c r="R642" s="69"/>
      <c r="S642" s="71"/>
      <c r="T642" s="71"/>
      <c r="U642" s="71"/>
      <c r="V642" s="68">
        <v>0</v>
      </c>
      <c r="W642" s="115"/>
      <c r="X642" s="191" t="str">
        <f ca="1">IF(AND((Main_Issuance[[#This Row],[Expiry Date]]+31)&gt;TODAY(),Main_Issuance[[#This Row],[Status]]&lt;&gt;"Cancelled"),"Active","Cancelled")</f>
        <v>Cancelled</v>
      </c>
      <c r="Y642" s="409"/>
      <c r="Z642" s="408"/>
      <c r="AA642" s="408" t="s">
        <v>378</v>
      </c>
      <c r="AB642" s="83" cm="1">
        <f t="array" ref="AB642">Iss_Tariff(Main_Issuance[[#This Row],[Bank]],Main_Issuance[[#This Row],[LC Amt(SAR)]],Main_Issuance[[#This Row],[Issue Date.]],Main_Issuance[[#This Row],[Expiry Date]],Main_Issuance[[#This Row],[Calculate]])</f>
        <v>0</v>
      </c>
      <c r="AC642" s="83"/>
    </row>
    <row r="643" spans="1:29" ht="15.75" hidden="1" x14ac:dyDescent="0.25">
      <c r="A643" s="57" t="s">
        <v>265</v>
      </c>
      <c r="B643" s="56">
        <v>45435</v>
      </c>
      <c r="C643" s="56" t="s">
        <v>441</v>
      </c>
      <c r="D643" s="19" t="s">
        <v>20</v>
      </c>
      <c r="E643" s="69" t="s">
        <v>21</v>
      </c>
      <c r="F643" s="19" t="s">
        <v>22</v>
      </c>
      <c r="G643" s="69" t="s">
        <v>266</v>
      </c>
      <c r="H643" s="59" t="s">
        <v>24</v>
      </c>
      <c r="I643" s="65" t="s">
        <v>22</v>
      </c>
      <c r="J643" s="59">
        <v>1020055</v>
      </c>
      <c r="K643" s="69" t="s">
        <v>26</v>
      </c>
      <c r="L643" s="60">
        <v>750000</v>
      </c>
      <c r="M643" s="60">
        <v>1</v>
      </c>
      <c r="N643" s="60">
        <f>Main_Issuance[[#This Row],[LC Amt(FCY)]]*Main_Issuance[[#This Row],[Rate]]</f>
        <v>750000</v>
      </c>
      <c r="O643" s="56">
        <v>45565</v>
      </c>
      <c r="P643" s="56">
        <v>45565</v>
      </c>
      <c r="Q643" s="58" t="s">
        <v>27</v>
      </c>
      <c r="R643" s="69"/>
      <c r="S643" s="71"/>
      <c r="T643" s="71"/>
      <c r="U643" s="71"/>
      <c r="V643" s="68">
        <v>0</v>
      </c>
      <c r="W643" s="115"/>
      <c r="X643" s="191" t="str">
        <f ca="1">IF(AND((Main_Issuance[[#This Row],[Expiry Date]]+31)&gt;TODAY(),Main_Issuance[[#This Row],[Status]]&lt;&gt;"Cancelled"),"Active","Cancelled")</f>
        <v>Cancelled</v>
      </c>
      <c r="Y643" s="409"/>
      <c r="Z643" s="408"/>
      <c r="AA643" s="408" t="s">
        <v>378</v>
      </c>
      <c r="AB643" s="83" cm="1">
        <f t="array" ref="AB643">Iss_Tariff(Main_Issuance[[#This Row],[Bank]],Main_Issuance[[#This Row],[LC Amt(SAR)]],Main_Issuance[[#This Row],[Issue Date.]],Main_Issuance[[#This Row],[Expiry Date]],Main_Issuance[[#This Row],[Calculate]])</f>
        <v>0</v>
      </c>
      <c r="AC643" s="83"/>
    </row>
    <row r="644" spans="1:29" ht="15.75" hidden="1" x14ac:dyDescent="0.25">
      <c r="A644" s="114" t="s">
        <v>1193</v>
      </c>
      <c r="B644" s="76">
        <v>45761</v>
      </c>
      <c r="C644" s="76" t="s">
        <v>509</v>
      </c>
      <c r="D644" s="69" t="s">
        <v>20</v>
      </c>
      <c r="E644" s="78" t="s">
        <v>21</v>
      </c>
      <c r="F644" s="115" t="s">
        <v>22</v>
      </c>
      <c r="G644" s="78" t="s">
        <v>774</v>
      </c>
      <c r="H644" s="113" t="s">
        <v>24</v>
      </c>
      <c r="I644" s="79" t="s">
        <v>407</v>
      </c>
      <c r="J644" s="113">
        <v>1020100</v>
      </c>
      <c r="K644" s="78" t="s">
        <v>26</v>
      </c>
      <c r="L644" s="60">
        <v>780158</v>
      </c>
      <c r="M644" s="60">
        <v>1</v>
      </c>
      <c r="N644" s="60">
        <f>Main_Issuance[[#This Row],[LC Amt(FCY)]]*Main_Issuance[[#This Row],[Rate]]</f>
        <v>780158</v>
      </c>
      <c r="O644" s="76">
        <v>45961</v>
      </c>
      <c r="P644" s="76">
        <v>45961</v>
      </c>
      <c r="Q644" s="77" t="s">
        <v>27</v>
      </c>
      <c r="R644" s="78" t="s">
        <v>311</v>
      </c>
      <c r="S644" s="81"/>
      <c r="T644" s="81"/>
      <c r="U644" s="81"/>
      <c r="V644" s="83">
        <v>0</v>
      </c>
      <c r="W644" s="115" t="s">
        <v>1846</v>
      </c>
      <c r="X644" s="146" t="str">
        <f ca="1">IF(AND((Main_Issuance[[#This Row],[Expiry Date]]+31)&gt;TODAY(),Main_Issuance[[#This Row],[Status]]&lt;&gt;"Cancelled"),"Active","Cancelled")</f>
        <v>Cancelled</v>
      </c>
      <c r="Y644" s="409"/>
      <c r="Z644" s="408"/>
      <c r="AA644" s="408" t="s">
        <v>378</v>
      </c>
      <c r="AB644" s="83" cm="1">
        <f t="array" ref="AB644">Iss_Tariff(Main_Issuance[[#This Row],[Bank]],Main_Issuance[[#This Row],[LC Amt(SAR)]],Main_Issuance[[#This Row],[Issue Date.]],Main_Issuance[[#This Row],[Expiry Date]],Main_Issuance[[#This Row],[Calculate]])</f>
        <v>0</v>
      </c>
      <c r="AC644" s="83"/>
    </row>
    <row r="645" spans="1:29" ht="15.75" hidden="1" x14ac:dyDescent="0.25">
      <c r="A645" s="57" t="s">
        <v>619</v>
      </c>
      <c r="B645" s="56">
        <v>45684</v>
      </c>
      <c r="C645" s="56" t="s">
        <v>441</v>
      </c>
      <c r="D645" s="69" t="s">
        <v>20</v>
      </c>
      <c r="E645" s="69" t="s">
        <v>612</v>
      </c>
      <c r="F645" s="19" t="s">
        <v>613</v>
      </c>
      <c r="G645" s="69" t="s">
        <v>620</v>
      </c>
      <c r="H645" s="59" t="s">
        <v>24</v>
      </c>
      <c r="I645" s="69" t="s">
        <v>613</v>
      </c>
      <c r="J645" s="115">
        <v>1020106</v>
      </c>
      <c r="K645" s="69" t="s">
        <v>26</v>
      </c>
      <c r="L645" s="60">
        <v>4370000</v>
      </c>
      <c r="M645" s="60">
        <v>1</v>
      </c>
      <c r="N645" s="60">
        <f>Main_Issuance[[#This Row],[LC Amt(FCY)]]*Main_Issuance[[#This Row],[Rate]]</f>
        <v>4370000</v>
      </c>
      <c r="O645" s="56">
        <v>45777</v>
      </c>
      <c r="P645" s="56">
        <v>45777</v>
      </c>
      <c r="Q645" s="58" t="s">
        <v>27</v>
      </c>
      <c r="R645" s="69" t="s">
        <v>621</v>
      </c>
      <c r="S645" s="71"/>
      <c r="T645" s="71"/>
      <c r="U645" s="71"/>
      <c r="V645" s="68">
        <v>0</v>
      </c>
      <c r="W645" s="115"/>
      <c r="X645" s="191" t="str">
        <f ca="1">IF(AND((Main_Issuance[[#This Row],[Expiry Date]]+31)&gt;TODAY(),Main_Issuance[[#This Row],[Status]]&lt;&gt;"Cancelled"),"Active","Cancelled")</f>
        <v>Cancelled</v>
      </c>
      <c r="Y645" s="409"/>
      <c r="Z645" s="408"/>
      <c r="AA645" s="408" t="s">
        <v>378</v>
      </c>
      <c r="AB645" s="83" cm="1">
        <f t="array" ref="AB645">Iss_Tariff(Main_Issuance[[#This Row],[Bank]],Main_Issuance[[#This Row],[LC Amt(SAR)]],Main_Issuance[[#This Row],[Issue Date.]],Main_Issuance[[#This Row],[Expiry Date]],Main_Issuance[[#This Row],[Calculate]])</f>
        <v>0</v>
      </c>
      <c r="AC645" s="83"/>
    </row>
    <row r="646" spans="1:29" ht="15.75" hidden="1" x14ac:dyDescent="0.25">
      <c r="A646" s="57" t="s">
        <v>401</v>
      </c>
      <c r="B646" s="56">
        <v>45551</v>
      </c>
      <c r="C646" s="56" t="s">
        <v>441</v>
      </c>
      <c r="D646" s="19" t="s">
        <v>20</v>
      </c>
      <c r="E646" s="69" t="s">
        <v>95</v>
      </c>
      <c r="F646" s="19" t="s">
        <v>96</v>
      </c>
      <c r="G646" s="69" t="s">
        <v>402</v>
      </c>
      <c r="H646" s="59" t="s">
        <v>24</v>
      </c>
      <c r="I646" s="65" t="s">
        <v>22</v>
      </c>
      <c r="J646" s="59">
        <v>1020055</v>
      </c>
      <c r="K646" s="69" t="s">
        <v>26</v>
      </c>
      <c r="L646" s="60">
        <v>405299.47</v>
      </c>
      <c r="M646" s="60">
        <v>1</v>
      </c>
      <c r="N646" s="60">
        <f>Main_Issuance[[#This Row],[LC Amt(FCY)]]*Main_Issuance[[#This Row],[Rate]]</f>
        <v>405299.47</v>
      </c>
      <c r="O646" s="56">
        <v>45626</v>
      </c>
      <c r="P646" s="56">
        <v>45600</v>
      </c>
      <c r="Q646" s="58" t="s">
        <v>27</v>
      </c>
      <c r="R646" s="19" t="s">
        <v>311</v>
      </c>
      <c r="S646" s="71"/>
      <c r="T646" s="71"/>
      <c r="U646" s="71"/>
      <c r="V646" s="68">
        <v>0</v>
      </c>
      <c r="W646" s="115"/>
      <c r="X646" s="191" t="str">
        <f ca="1">IF(AND((Main_Issuance[[#This Row],[Expiry Date]]+31)&gt;TODAY(),Main_Issuance[[#This Row],[Status]]&lt;&gt;"Cancelled"),"Active","Cancelled")</f>
        <v>Cancelled</v>
      </c>
      <c r="Y646" s="409"/>
      <c r="Z646" s="408"/>
      <c r="AA646" s="408" t="s">
        <v>378</v>
      </c>
      <c r="AB646" s="83" cm="1">
        <f t="array" ref="AB646">Iss_Tariff(Main_Issuance[[#This Row],[Bank]],Main_Issuance[[#This Row],[LC Amt(SAR)]],Main_Issuance[[#This Row],[Issue Date.]],Main_Issuance[[#This Row],[Expiry Date]],Main_Issuance[[#This Row],[Calculate]])</f>
        <v>0</v>
      </c>
      <c r="AC646" s="83"/>
    </row>
    <row r="647" spans="1:29" ht="15.75" hidden="1" x14ac:dyDescent="0.25">
      <c r="A647" s="57" t="s">
        <v>472</v>
      </c>
      <c r="B647" s="56">
        <v>45593</v>
      </c>
      <c r="C647" s="56" t="s">
        <v>509</v>
      </c>
      <c r="D647" s="69" t="s">
        <v>20</v>
      </c>
      <c r="E647" s="69" t="s">
        <v>21</v>
      </c>
      <c r="F647" s="19" t="s">
        <v>22</v>
      </c>
      <c r="G647" s="69" t="s">
        <v>473</v>
      </c>
      <c r="H647" s="59" t="s">
        <v>24</v>
      </c>
      <c r="I647" s="65" t="s">
        <v>407</v>
      </c>
      <c r="J647" s="59">
        <v>1020100</v>
      </c>
      <c r="K647" s="69" t="s">
        <v>26</v>
      </c>
      <c r="L647" s="60">
        <v>500000</v>
      </c>
      <c r="M647" s="60">
        <v>1</v>
      </c>
      <c r="N647" s="60">
        <f>Main_Issuance[[#This Row],[LC Amt(FCY)]]*Main_Issuance[[#This Row],[Rate]]</f>
        <v>500000</v>
      </c>
      <c r="O647" s="56">
        <v>45688</v>
      </c>
      <c r="P647" s="56">
        <v>45688</v>
      </c>
      <c r="Q647" s="58" t="s">
        <v>27</v>
      </c>
      <c r="R647" s="69" t="s">
        <v>311</v>
      </c>
      <c r="S647" s="71"/>
      <c r="T647" s="71"/>
      <c r="U647" s="71"/>
      <c r="V647" s="68">
        <v>0</v>
      </c>
      <c r="W647" s="115"/>
      <c r="X647" s="191" t="str">
        <f ca="1">IF(AND((Main_Issuance[[#This Row],[Expiry Date]]+31)&gt;TODAY(),Main_Issuance[[#This Row],[Status]]&lt;&gt;"Cancelled"),"Active","Cancelled")</f>
        <v>Cancelled</v>
      </c>
      <c r="Y647" s="409"/>
      <c r="Z647" s="408"/>
      <c r="AA647" s="408" t="s">
        <v>378</v>
      </c>
      <c r="AB647" s="83" cm="1">
        <f t="array" ref="AB647">Iss_Tariff(Main_Issuance[[#This Row],[Bank]],Main_Issuance[[#This Row],[LC Amt(SAR)]],Main_Issuance[[#This Row],[Issue Date.]],Main_Issuance[[#This Row],[Expiry Date]],Main_Issuance[[#This Row],[Calculate]])</f>
        <v>0</v>
      </c>
      <c r="AC647" s="83"/>
    </row>
    <row r="648" spans="1:29" ht="15.75" hidden="1" x14ac:dyDescent="0.25">
      <c r="A648" s="57" t="s">
        <v>683</v>
      </c>
      <c r="B648" s="56">
        <v>45684</v>
      </c>
      <c r="C648" s="56" t="s">
        <v>509</v>
      </c>
      <c r="D648" s="69" t="s">
        <v>20</v>
      </c>
      <c r="E648" s="69" t="s">
        <v>95</v>
      </c>
      <c r="F648" s="19" t="s">
        <v>96</v>
      </c>
      <c r="G648" s="69" t="s">
        <v>473</v>
      </c>
      <c r="H648" s="59" t="s">
        <v>24</v>
      </c>
      <c r="I648" s="65" t="s">
        <v>407</v>
      </c>
      <c r="J648" s="59">
        <v>1020100</v>
      </c>
      <c r="K648" s="69" t="s">
        <v>26</v>
      </c>
      <c r="L648" s="60">
        <v>500000</v>
      </c>
      <c r="M648" s="60">
        <v>1</v>
      </c>
      <c r="N648" s="60">
        <f>Main_Issuance[[#This Row],[LC Amt(FCY)]]*Main_Issuance[[#This Row],[Rate]]</f>
        <v>500000</v>
      </c>
      <c r="O648" s="56">
        <v>45777</v>
      </c>
      <c r="P648" s="56">
        <v>45777</v>
      </c>
      <c r="Q648" s="58" t="s">
        <v>27</v>
      </c>
      <c r="R648" s="69" t="s">
        <v>311</v>
      </c>
      <c r="S648" s="71"/>
      <c r="T648" s="71"/>
      <c r="U648" s="71"/>
      <c r="V648" s="68">
        <v>0</v>
      </c>
      <c r="W648" s="115"/>
      <c r="X648" s="191" t="str">
        <f ca="1">IF(AND((Main_Issuance[[#This Row],[Expiry Date]]+31)&gt;TODAY(),Main_Issuance[[#This Row],[Status]]&lt;&gt;"Cancelled"),"Active","Cancelled")</f>
        <v>Cancelled</v>
      </c>
      <c r="Y648" s="409"/>
      <c r="Z648" s="408"/>
      <c r="AA648" s="408" t="s">
        <v>378</v>
      </c>
      <c r="AB648" s="83" cm="1">
        <f t="array" ref="AB648">Iss_Tariff(Main_Issuance[[#This Row],[Bank]],Main_Issuance[[#This Row],[LC Amt(SAR)]],Main_Issuance[[#This Row],[Issue Date.]],Main_Issuance[[#This Row],[Expiry Date]],Main_Issuance[[#This Row],[Calculate]])</f>
        <v>0</v>
      </c>
      <c r="AC648" s="83"/>
    </row>
    <row r="649" spans="1:29" ht="15.75" hidden="1" x14ac:dyDescent="0.25">
      <c r="A649" s="114" t="s">
        <v>1497</v>
      </c>
      <c r="B649" s="76">
        <v>45831</v>
      </c>
      <c r="C649" s="76" t="s">
        <v>441</v>
      </c>
      <c r="D649" s="78" t="s">
        <v>20</v>
      </c>
      <c r="E649" s="78" t="s">
        <v>21</v>
      </c>
      <c r="F649" s="115" t="s">
        <v>22</v>
      </c>
      <c r="G649" s="78" t="s">
        <v>473</v>
      </c>
      <c r="H649" s="115" t="s">
        <v>24</v>
      </c>
      <c r="I649" s="78" t="s">
        <v>407</v>
      </c>
      <c r="J649" s="113">
        <v>1020100</v>
      </c>
      <c r="K649" s="78" t="s">
        <v>26</v>
      </c>
      <c r="L649" s="60">
        <v>300000</v>
      </c>
      <c r="M649" s="60">
        <v>1</v>
      </c>
      <c r="N649" s="60">
        <f>Main_Issuance[[#This Row],[LC Amt(FCY)]]*Main_Issuance[[#This Row],[Rate]]</f>
        <v>300000</v>
      </c>
      <c r="O649" s="76">
        <v>45900</v>
      </c>
      <c r="P649" s="76">
        <v>45900</v>
      </c>
      <c r="Q649" s="77" t="s">
        <v>27</v>
      </c>
      <c r="R649" s="78" t="s">
        <v>621</v>
      </c>
      <c r="S649" s="81"/>
      <c r="T649" s="81"/>
      <c r="U649" s="81"/>
      <c r="V649" s="83">
        <v>0</v>
      </c>
      <c r="W649" s="115"/>
      <c r="X649" s="146" t="str">
        <f ca="1">IF(AND((Main_Issuance[[#This Row],[Expiry Date]]+31)&gt;TODAY(),Main_Issuance[[#This Row],[Status]]&lt;&gt;"Cancelled"),"Active","Cancelled")</f>
        <v>Cancelled</v>
      </c>
      <c r="Y649" s="409"/>
      <c r="Z649" s="408"/>
      <c r="AA649" s="408" t="s">
        <v>378</v>
      </c>
      <c r="AB649" s="83" cm="1">
        <f t="array" ref="AB649">Iss_Tariff(Main_Issuance[[#This Row],[Bank]],Main_Issuance[[#This Row],[LC Amt(SAR)]],Main_Issuance[[#This Row],[Issue Date.]],Main_Issuance[[#This Row],[Expiry Date]],Main_Issuance[[#This Row],[Calculate]])</f>
        <v>0</v>
      </c>
      <c r="AC649" s="83"/>
    </row>
    <row r="650" spans="1:29" ht="15.75" hidden="1" x14ac:dyDescent="0.25">
      <c r="A650" s="114" t="s">
        <v>1430</v>
      </c>
      <c r="B650" s="76">
        <v>45810</v>
      </c>
      <c r="C650" s="76" t="s">
        <v>441</v>
      </c>
      <c r="D650" s="78" t="s">
        <v>20</v>
      </c>
      <c r="E650" s="78" t="s">
        <v>366</v>
      </c>
      <c r="F650" s="115" t="s">
        <v>710</v>
      </c>
      <c r="G650" s="78" t="s">
        <v>473</v>
      </c>
      <c r="H650" s="115" t="s">
        <v>24</v>
      </c>
      <c r="I650" s="78" t="s">
        <v>710</v>
      </c>
      <c r="J650" s="113">
        <v>1020088</v>
      </c>
      <c r="K650" s="78" t="s">
        <v>26</v>
      </c>
      <c r="L650" s="60">
        <v>400000</v>
      </c>
      <c r="M650" s="60">
        <v>1</v>
      </c>
      <c r="N650" s="60">
        <f>Main_Issuance[[#This Row],[LC Amt(FCY)]]*Main_Issuance[[#This Row],[Rate]]</f>
        <v>400000</v>
      </c>
      <c r="O650" s="76">
        <v>45900</v>
      </c>
      <c r="P650" s="76">
        <v>45900</v>
      </c>
      <c r="Q650" s="77" t="s">
        <v>27</v>
      </c>
      <c r="R650" s="78" t="s">
        <v>621</v>
      </c>
      <c r="S650" s="81"/>
      <c r="T650" s="81"/>
      <c r="U650" s="81"/>
      <c r="V650" s="83">
        <v>0</v>
      </c>
      <c r="W650" s="115"/>
      <c r="X650" s="146" t="str">
        <f ca="1">IF(AND((Main_Issuance[[#This Row],[Expiry Date]]+31)&gt;TODAY(),Main_Issuance[[#This Row],[Status]]&lt;&gt;"Cancelled"),"Active","Cancelled")</f>
        <v>Cancelled</v>
      </c>
      <c r="Y650" s="409"/>
      <c r="Z650" s="408"/>
      <c r="AA650" s="408" t="s">
        <v>378</v>
      </c>
      <c r="AB650" s="83" cm="1">
        <f t="array" ref="AB650">Iss_Tariff(Main_Issuance[[#This Row],[Bank]],Main_Issuance[[#This Row],[LC Amt(SAR)]],Main_Issuance[[#This Row],[Issue Date.]],Main_Issuance[[#This Row],[Expiry Date]],Main_Issuance[[#This Row],[Calculate]])</f>
        <v>0</v>
      </c>
      <c r="AC650" s="83"/>
    </row>
    <row r="651" spans="1:29" ht="15.75" hidden="1" x14ac:dyDescent="0.25">
      <c r="A651" s="114" t="s">
        <v>3325</v>
      </c>
      <c r="B651" s="76">
        <v>46023</v>
      </c>
      <c r="C651" s="76" t="s">
        <v>1537</v>
      </c>
      <c r="D651" s="78" t="s">
        <v>20</v>
      </c>
      <c r="E651" s="78" t="s">
        <v>62</v>
      </c>
      <c r="F651" s="115" t="s">
        <v>483</v>
      </c>
      <c r="G651" s="78" t="s">
        <v>473</v>
      </c>
      <c r="H651" s="113" t="s">
        <v>24</v>
      </c>
      <c r="I651" s="78" t="s">
        <v>483</v>
      </c>
      <c r="J651" s="113">
        <v>1020096</v>
      </c>
      <c r="K651" s="78" t="s">
        <v>26</v>
      </c>
      <c r="L651" s="119">
        <v>500000</v>
      </c>
      <c r="M651" s="82">
        <v>1</v>
      </c>
      <c r="N651" s="82">
        <f>Main_Issuance[[#This Row],[LC Amt(FCY)]]*Main_Issuance[[#This Row],[Rate]]</f>
        <v>500000</v>
      </c>
      <c r="O651" s="76">
        <v>46142</v>
      </c>
      <c r="P651" s="76">
        <v>46142</v>
      </c>
      <c r="Q651" s="77" t="s">
        <v>27</v>
      </c>
      <c r="R651" s="78" t="s">
        <v>3229</v>
      </c>
      <c r="S651" s="81"/>
      <c r="T651" s="81"/>
      <c r="U651" s="81"/>
      <c r="V651" s="83">
        <v>0</v>
      </c>
      <c r="W651" s="115"/>
      <c r="X651" s="146" t="str">
        <f ca="1">IF(AND((Main_Issuance[[#This Row],[Expiry Date]]+31)&gt;TODAY(),Main_Issuance[[#This Row],[Status]]&lt;&gt;"Cancelled"),"Active","Cancelled")</f>
        <v>Cancelled</v>
      </c>
      <c r="Y651" s="409"/>
      <c r="Z651" s="408"/>
      <c r="AA651" s="408" t="s">
        <v>857</v>
      </c>
      <c r="AB651" s="83" cm="1">
        <f t="array" ref="AB651">Iss_Tariff(Main_Issuance[[#This Row],[Bank]],Main_Issuance[[#This Row],[LC Amt(SAR)]],Main_Issuance[[#This Row],[Issue Date.]],Main_Issuance[[#This Row],[Expiry Date]],Main_Issuance[[#This Row],[Calculate]])</f>
        <v>4082.5</v>
      </c>
      <c r="AC651" s="83"/>
    </row>
    <row r="652" spans="1:29" ht="15.75" hidden="1" x14ac:dyDescent="0.25">
      <c r="A652" s="114" t="s">
        <v>4555</v>
      </c>
      <c r="B652" s="423">
        <v>46118</v>
      </c>
      <c r="C652" s="423" t="s">
        <v>441</v>
      </c>
      <c r="D652" s="78" t="s">
        <v>20</v>
      </c>
      <c r="E652" s="78" t="s">
        <v>366</v>
      </c>
      <c r="F652" s="115" t="s">
        <v>710</v>
      </c>
      <c r="G652" s="78" t="s">
        <v>473</v>
      </c>
      <c r="H652" s="113" t="s">
        <v>24</v>
      </c>
      <c r="I652" s="78" t="s">
        <v>710</v>
      </c>
      <c r="J652" s="113">
        <v>1020088</v>
      </c>
      <c r="K652" s="78" t="s">
        <v>26</v>
      </c>
      <c r="L652" s="119">
        <v>275000</v>
      </c>
      <c r="M652" s="82">
        <v>1</v>
      </c>
      <c r="N652" s="82">
        <f>Main_Issuance[[#This Row],[LC Amt(FCY)]]*Main_Issuance[[#This Row],[Rate]]</f>
        <v>275000</v>
      </c>
      <c r="O652" s="423">
        <v>46203</v>
      </c>
      <c r="P652" s="423">
        <v>46203</v>
      </c>
      <c r="Q652" s="424" t="s">
        <v>27</v>
      </c>
      <c r="R652" s="78" t="s">
        <v>4493</v>
      </c>
      <c r="S652" s="81"/>
      <c r="T652" s="81"/>
      <c r="U652" s="81"/>
      <c r="V652" s="83">
        <v>0</v>
      </c>
      <c r="W652" s="115"/>
      <c r="X652" s="436" t="str">
        <f ca="1">IF(AND((Main_Issuance[[#This Row],[Expiry Date]]+31)&gt;TODAY(),Main_Issuance[[#This Row],[Status]]&lt;&gt;"Cancelled"),"Active","Cancelled")</f>
        <v>Active</v>
      </c>
      <c r="Y652" s="96"/>
      <c r="Z652" s="424"/>
      <c r="AA652" s="443" t="s">
        <v>857</v>
      </c>
      <c r="AB652" s="83" cm="1">
        <f t="array" ref="AB652">Iss_Tariff(Main_Issuance[[#This Row],[Bank]],Main_Issuance[[#This Row],[LC Amt(SAR)]],Main_Issuance[[#This Row],[Issue Date.]],Main_Issuance[[#This Row],[Expiry Date]],Main_Issuance[[#This Row],[Calculate]])</f>
        <v>1667.5</v>
      </c>
      <c r="AC652" s="83"/>
    </row>
    <row r="653" spans="1:29" ht="15.75" hidden="1" x14ac:dyDescent="0.25">
      <c r="A653" s="57" t="s">
        <v>649</v>
      </c>
      <c r="B653" s="56">
        <v>45680</v>
      </c>
      <c r="C653" s="56" t="s">
        <v>441</v>
      </c>
      <c r="D653" s="69" t="s">
        <v>20</v>
      </c>
      <c r="E653" s="69" t="s">
        <v>21</v>
      </c>
      <c r="F653" s="19" t="s">
        <v>22</v>
      </c>
      <c r="G653" s="69" t="s">
        <v>650</v>
      </c>
      <c r="H653" s="59" t="s">
        <v>24</v>
      </c>
      <c r="I653" s="65" t="s">
        <v>22</v>
      </c>
      <c r="J653" s="59">
        <v>1020055</v>
      </c>
      <c r="K653" s="69" t="s">
        <v>26</v>
      </c>
      <c r="L653" s="60">
        <v>407334.49</v>
      </c>
      <c r="M653" s="60">
        <v>1</v>
      </c>
      <c r="N653" s="60">
        <f>Main_Issuance[[#This Row],[LC Amt(FCY)]]*Main_Issuance[[#This Row],[Rate]]</f>
        <v>407334.49</v>
      </c>
      <c r="O653" s="56">
        <v>45777</v>
      </c>
      <c r="P653" s="56">
        <v>45777</v>
      </c>
      <c r="Q653" s="58" t="s">
        <v>27</v>
      </c>
      <c r="R653" s="69" t="s">
        <v>311</v>
      </c>
      <c r="S653" s="71"/>
      <c r="T653" s="71"/>
      <c r="U653" s="71"/>
      <c r="V653" s="68">
        <v>0</v>
      </c>
      <c r="W653" s="115"/>
      <c r="X653" s="191" t="str">
        <f ca="1">IF(AND((Main_Issuance[[#This Row],[Expiry Date]]+31)&gt;TODAY(),Main_Issuance[[#This Row],[Status]]&lt;&gt;"Cancelled"),"Active","Cancelled")</f>
        <v>Cancelled</v>
      </c>
      <c r="Y653" s="409"/>
      <c r="Z653" s="408"/>
      <c r="AA653" s="408" t="s">
        <v>378</v>
      </c>
      <c r="AB653" s="83" cm="1">
        <f t="array" ref="AB653">Iss_Tariff(Main_Issuance[[#This Row],[Bank]],Main_Issuance[[#This Row],[LC Amt(SAR)]],Main_Issuance[[#This Row],[Issue Date.]],Main_Issuance[[#This Row],[Expiry Date]],Main_Issuance[[#This Row],[Calculate]])</f>
        <v>0</v>
      </c>
      <c r="AC653" s="83"/>
    </row>
    <row r="654" spans="1:29" ht="15.75" hidden="1" x14ac:dyDescent="0.25">
      <c r="A654" s="114" t="s">
        <v>1897</v>
      </c>
      <c r="B654" s="76">
        <v>45929</v>
      </c>
      <c r="C654" s="76" t="s">
        <v>441</v>
      </c>
      <c r="D654" s="78" t="s">
        <v>20</v>
      </c>
      <c r="E654" s="78" t="s">
        <v>366</v>
      </c>
      <c r="F654" s="115" t="s">
        <v>710</v>
      </c>
      <c r="G654" s="123" t="s">
        <v>1840</v>
      </c>
      <c r="H654" s="115" t="s">
        <v>24</v>
      </c>
      <c r="I654" s="78" t="s">
        <v>710</v>
      </c>
      <c r="J654" s="113">
        <v>1020088</v>
      </c>
      <c r="K654" s="78" t="s">
        <v>26</v>
      </c>
      <c r="L654" s="119">
        <v>300000</v>
      </c>
      <c r="M654" s="82">
        <v>1</v>
      </c>
      <c r="N654" s="82">
        <f>Main_Issuance[[#This Row],[LC Amt(FCY)]]*Main_Issuance[[#This Row],[Rate]]</f>
        <v>300000</v>
      </c>
      <c r="O654" s="76">
        <v>46022</v>
      </c>
      <c r="P654" s="76">
        <v>46022</v>
      </c>
      <c r="Q654" s="77" t="s">
        <v>27</v>
      </c>
      <c r="R654" s="78" t="s">
        <v>621</v>
      </c>
      <c r="S654" s="81"/>
      <c r="T654" s="81"/>
      <c r="U654" s="81"/>
      <c r="V654" s="83">
        <v>0</v>
      </c>
      <c r="W654" s="115"/>
      <c r="X654" s="146" t="str">
        <f ca="1">IF(AND((Main_Issuance[[#This Row],[Expiry Date]]+31)&gt;TODAY(),Main_Issuance[[#This Row],[Status]]&lt;&gt;"Cancelled"),"Active","Cancelled")</f>
        <v>Cancelled</v>
      </c>
      <c r="Y654" s="409"/>
      <c r="Z654" s="408"/>
      <c r="AA654" s="408" t="s">
        <v>378</v>
      </c>
      <c r="AB654" s="83" cm="1">
        <f t="array" ref="AB654">Iss_Tariff(Main_Issuance[[#This Row],[Bank]],Main_Issuance[[#This Row],[LC Amt(SAR)]],Main_Issuance[[#This Row],[Issue Date.]],Main_Issuance[[#This Row],[Expiry Date]],Main_Issuance[[#This Row],[Calculate]])</f>
        <v>0</v>
      </c>
      <c r="AC654" s="83"/>
    </row>
    <row r="655" spans="1:29" ht="15.75" hidden="1" x14ac:dyDescent="0.25">
      <c r="A655" s="57" t="s">
        <v>761</v>
      </c>
      <c r="B655" s="56">
        <v>45734</v>
      </c>
      <c r="C655" s="56" t="s">
        <v>509</v>
      </c>
      <c r="D655" s="69" t="s">
        <v>20</v>
      </c>
      <c r="E655" s="69" t="s">
        <v>21</v>
      </c>
      <c r="F655" s="19" t="s">
        <v>22</v>
      </c>
      <c r="G655" s="69" t="s">
        <v>1642</v>
      </c>
      <c r="H655" s="59" t="s">
        <v>24</v>
      </c>
      <c r="I655" s="65" t="s">
        <v>407</v>
      </c>
      <c r="J655" s="59">
        <v>1020100</v>
      </c>
      <c r="K655" s="69" t="s">
        <v>26</v>
      </c>
      <c r="L655" s="60">
        <v>400000</v>
      </c>
      <c r="M655" s="60">
        <v>1</v>
      </c>
      <c r="N655" s="60">
        <f>Main_Issuance[[#This Row],[LC Amt(FCY)]]*Main_Issuance[[#This Row],[Rate]]</f>
        <v>400000</v>
      </c>
      <c r="O655" s="56">
        <v>45838</v>
      </c>
      <c r="P655" s="56">
        <v>45838</v>
      </c>
      <c r="Q655" s="58" t="s">
        <v>27</v>
      </c>
      <c r="R655" s="69" t="s">
        <v>311</v>
      </c>
      <c r="S655" s="71"/>
      <c r="T655" s="71"/>
      <c r="U655" s="71"/>
      <c r="V655" s="68">
        <v>0</v>
      </c>
      <c r="W655" s="115"/>
      <c r="X655" s="191" t="str">
        <f ca="1">IF(AND((Main_Issuance[[#This Row],[Expiry Date]]+31)&gt;TODAY(),Main_Issuance[[#This Row],[Status]]&lt;&gt;"Cancelled"),"Active","Cancelled")</f>
        <v>Cancelled</v>
      </c>
      <c r="Y655" s="409"/>
      <c r="Z655" s="408"/>
      <c r="AA655" s="408" t="s">
        <v>378</v>
      </c>
      <c r="AB655" s="83" cm="1">
        <f t="array" ref="AB655">Iss_Tariff(Main_Issuance[[#This Row],[Bank]],Main_Issuance[[#This Row],[LC Amt(SAR)]],Main_Issuance[[#This Row],[Issue Date.]],Main_Issuance[[#This Row],[Expiry Date]],Main_Issuance[[#This Row],[Calculate]])</f>
        <v>0</v>
      </c>
      <c r="AC655" s="83"/>
    </row>
    <row r="656" spans="1:29" ht="15.75" hidden="1" x14ac:dyDescent="0.25">
      <c r="A656" s="57" t="s">
        <v>818</v>
      </c>
      <c r="B656" s="56">
        <v>45739</v>
      </c>
      <c r="C656" s="56" t="s">
        <v>441</v>
      </c>
      <c r="D656" s="69" t="s">
        <v>20</v>
      </c>
      <c r="E656" s="69" t="s">
        <v>21</v>
      </c>
      <c r="F656" s="19" t="s">
        <v>22</v>
      </c>
      <c r="G656" s="69" t="s">
        <v>819</v>
      </c>
      <c r="H656" s="19" t="s">
        <v>24</v>
      </c>
      <c r="I656" s="69" t="s">
        <v>22</v>
      </c>
      <c r="J656" s="59">
        <v>1020055</v>
      </c>
      <c r="K656" s="69" t="s">
        <v>26</v>
      </c>
      <c r="L656" s="60">
        <v>234893.88</v>
      </c>
      <c r="M656" s="60">
        <v>1</v>
      </c>
      <c r="N656" s="60">
        <f>Main_Issuance[[#This Row],[LC Amt(FCY)]]*Main_Issuance[[#This Row],[Rate]]</f>
        <v>234893.88</v>
      </c>
      <c r="O656" s="56">
        <v>45838</v>
      </c>
      <c r="P656" s="56">
        <v>45838</v>
      </c>
      <c r="Q656" s="58" t="s">
        <v>27</v>
      </c>
      <c r="R656" s="69" t="s">
        <v>311</v>
      </c>
      <c r="S656" s="71"/>
      <c r="T656" s="71"/>
      <c r="U656" s="71"/>
      <c r="V656" s="68">
        <v>0</v>
      </c>
      <c r="W656" s="115"/>
      <c r="X656" s="191" t="str">
        <f ca="1">IF(AND((Main_Issuance[[#This Row],[Expiry Date]]+31)&gt;TODAY(),Main_Issuance[[#This Row],[Status]]&lt;&gt;"Cancelled"),"Active","Cancelled")</f>
        <v>Cancelled</v>
      </c>
      <c r="Y656" s="409"/>
      <c r="Z656" s="408"/>
      <c r="AA656" s="408" t="s">
        <v>378</v>
      </c>
      <c r="AB656" s="83" cm="1">
        <f t="array" ref="AB656">Iss_Tariff(Main_Issuance[[#This Row],[Bank]],Main_Issuance[[#This Row],[LC Amt(SAR)]],Main_Issuance[[#This Row],[Issue Date.]],Main_Issuance[[#This Row],[Expiry Date]],Main_Issuance[[#This Row],[Calculate]])</f>
        <v>0</v>
      </c>
      <c r="AC656" s="83"/>
    </row>
    <row r="657" spans="1:29" ht="15.75" hidden="1" x14ac:dyDescent="0.25">
      <c r="A657" s="57" t="s">
        <v>52</v>
      </c>
      <c r="B657" s="56">
        <v>45292</v>
      </c>
      <c r="C657" s="56" t="s">
        <v>441</v>
      </c>
      <c r="D657" s="69" t="s">
        <v>20</v>
      </c>
      <c r="E657" s="69" t="s">
        <v>21</v>
      </c>
      <c r="F657" s="19" t="s">
        <v>22</v>
      </c>
      <c r="G657" s="69" t="s">
        <v>53</v>
      </c>
      <c r="H657" s="59" t="s">
        <v>24</v>
      </c>
      <c r="I657" s="65" t="s">
        <v>22</v>
      </c>
      <c r="J657" s="59">
        <v>1020055</v>
      </c>
      <c r="K657" s="69" t="s">
        <v>26</v>
      </c>
      <c r="L657" s="60">
        <v>2565300.11</v>
      </c>
      <c r="M657" s="60">
        <v>1</v>
      </c>
      <c r="N657" s="60">
        <f>Main_Issuance[[#This Row],[LC Amt(FCY)]]*Main_Issuance[[#This Row],[Rate]]</f>
        <v>2565300.11</v>
      </c>
      <c r="O657" s="56">
        <v>45442</v>
      </c>
      <c r="P657" s="56">
        <v>45442</v>
      </c>
      <c r="Q657" s="58" t="s">
        <v>27</v>
      </c>
      <c r="R657" s="69" t="s">
        <v>28</v>
      </c>
      <c r="S657" s="71"/>
      <c r="T657" s="71"/>
      <c r="U657" s="71"/>
      <c r="V657" s="68">
        <v>0</v>
      </c>
      <c r="W657" s="115"/>
      <c r="X657" s="191" t="str">
        <f ca="1">IF(AND((Main_Issuance[[#This Row],[Expiry Date]]+31)&gt;TODAY(),Main_Issuance[[#This Row],[Status]]&lt;&gt;"Cancelled"),"Active","Cancelled")</f>
        <v>Cancelled</v>
      </c>
      <c r="Y657" s="409"/>
      <c r="Z657" s="408"/>
      <c r="AA657" s="408" t="s">
        <v>378</v>
      </c>
      <c r="AB657" s="83" cm="1">
        <f t="array" ref="AB657">Iss_Tariff(Main_Issuance[[#This Row],[Bank]],Main_Issuance[[#This Row],[LC Amt(SAR)]],Main_Issuance[[#This Row],[Issue Date.]],Main_Issuance[[#This Row],[Expiry Date]],Main_Issuance[[#This Row],[Calculate]])</f>
        <v>0</v>
      </c>
      <c r="AC657" s="83"/>
    </row>
    <row r="658" spans="1:29" ht="15.75" hidden="1" x14ac:dyDescent="0.25">
      <c r="A658" s="114" t="s">
        <v>1779</v>
      </c>
      <c r="B658" s="76">
        <v>45888</v>
      </c>
      <c r="C658" s="76" t="s">
        <v>1727</v>
      </c>
      <c r="D658" s="78" t="s">
        <v>20</v>
      </c>
      <c r="E658" s="78" t="s">
        <v>62</v>
      </c>
      <c r="F658" s="115" t="s">
        <v>70</v>
      </c>
      <c r="G658" s="78" t="s">
        <v>1724</v>
      </c>
      <c r="H658" s="113" t="s">
        <v>869</v>
      </c>
      <c r="I658" s="78" t="s">
        <v>1762</v>
      </c>
      <c r="J658" s="115"/>
      <c r="K658" s="78" t="s">
        <v>26</v>
      </c>
      <c r="L658" s="60">
        <v>313581.86</v>
      </c>
      <c r="M658" s="60">
        <v>1</v>
      </c>
      <c r="N658" s="60">
        <f>Main_Issuance[[#This Row],[LC Amt(FCY)]]*Main_Issuance[[#This Row],[Rate]]</f>
        <v>313581.86</v>
      </c>
      <c r="O658" s="76">
        <v>45930</v>
      </c>
      <c r="P658" s="76">
        <v>45915</v>
      </c>
      <c r="Q658" s="77" t="s">
        <v>70</v>
      </c>
      <c r="R658" s="78" t="s">
        <v>208</v>
      </c>
      <c r="S658" s="81"/>
      <c r="T658" s="81"/>
      <c r="U658" s="81"/>
      <c r="V658" s="83"/>
      <c r="W658" s="115"/>
      <c r="X658" s="146" t="str">
        <f ca="1">IF(AND((Main_Issuance[[#This Row],[Expiry Date]]+31)&gt;TODAY(),Main_Issuance[[#This Row],[Status]]&lt;&gt;"Cancelled"),"Active","Cancelled")</f>
        <v>Cancelled</v>
      </c>
      <c r="Y658" s="410"/>
      <c r="Z658" s="408"/>
      <c r="AA658" s="408" t="s">
        <v>378</v>
      </c>
      <c r="AB658" s="83" cm="1">
        <f t="array" ref="AB658">Iss_Tariff(Main_Issuance[[#This Row],[Bank]],Main_Issuance[[#This Row],[LC Amt(SAR)]],Main_Issuance[[#This Row],[Issue Date.]],Main_Issuance[[#This Row],[Expiry Date]],Main_Issuance[[#This Row],[Calculate]])</f>
        <v>0</v>
      </c>
      <c r="AC658" s="83"/>
    </row>
    <row r="659" spans="1:29" ht="15.75" hidden="1" x14ac:dyDescent="0.25">
      <c r="A659" s="57" t="s">
        <v>755</v>
      </c>
      <c r="B659" s="56">
        <v>45734</v>
      </c>
      <c r="C659" s="56" t="s">
        <v>509</v>
      </c>
      <c r="D659" s="69" t="s">
        <v>20</v>
      </c>
      <c r="E659" s="69" t="s">
        <v>21</v>
      </c>
      <c r="F659" s="19" t="s">
        <v>22</v>
      </c>
      <c r="G659" s="69" t="s">
        <v>756</v>
      </c>
      <c r="H659" s="59" t="s">
        <v>24</v>
      </c>
      <c r="I659" s="65" t="s">
        <v>407</v>
      </c>
      <c r="J659" s="59">
        <v>1020100</v>
      </c>
      <c r="K659" s="69" t="s">
        <v>26</v>
      </c>
      <c r="L659" s="60">
        <v>500000</v>
      </c>
      <c r="M659" s="60">
        <v>1</v>
      </c>
      <c r="N659" s="60">
        <f>Main_Issuance[[#This Row],[LC Amt(FCY)]]*Main_Issuance[[#This Row],[Rate]]</f>
        <v>500000</v>
      </c>
      <c r="O659" s="56">
        <v>45838</v>
      </c>
      <c r="P659" s="56">
        <v>45838</v>
      </c>
      <c r="Q659" s="58" t="s">
        <v>27</v>
      </c>
      <c r="R659" s="69" t="s">
        <v>311</v>
      </c>
      <c r="S659" s="71"/>
      <c r="T659" s="71"/>
      <c r="U659" s="71"/>
      <c r="V659" s="68">
        <v>0</v>
      </c>
      <c r="W659" s="115"/>
      <c r="X659" s="191" t="str">
        <f ca="1">IF(AND((Main_Issuance[[#This Row],[Expiry Date]]+31)&gt;TODAY(),Main_Issuance[[#This Row],[Status]]&lt;&gt;"Cancelled"),"Active","Cancelled")</f>
        <v>Cancelled</v>
      </c>
      <c r="Y659" s="409"/>
      <c r="Z659" s="408"/>
      <c r="AA659" s="408" t="s">
        <v>378</v>
      </c>
      <c r="AB659" s="83" cm="1">
        <f t="array" ref="AB659">Iss_Tariff(Main_Issuance[[#This Row],[Bank]],Main_Issuance[[#This Row],[LC Amt(SAR)]],Main_Issuance[[#This Row],[Issue Date.]],Main_Issuance[[#This Row],[Expiry Date]],Main_Issuance[[#This Row],[Calculate]])</f>
        <v>0</v>
      </c>
      <c r="AC659" s="83"/>
    </row>
    <row r="660" spans="1:29" ht="15.75" hidden="1" x14ac:dyDescent="0.25">
      <c r="A660" s="114" t="s">
        <v>4544</v>
      </c>
      <c r="B660" s="76">
        <v>46009</v>
      </c>
      <c r="C660" s="76" t="s">
        <v>4231</v>
      </c>
      <c r="D660" s="78" t="s">
        <v>20</v>
      </c>
      <c r="E660" s="78" t="s">
        <v>1073</v>
      </c>
      <c r="F660" s="115" t="s">
        <v>882</v>
      </c>
      <c r="G660" s="78" t="s">
        <v>2923</v>
      </c>
      <c r="H660" s="113" t="s">
        <v>72</v>
      </c>
      <c r="I660" s="79" t="s">
        <v>882</v>
      </c>
      <c r="J660" s="113">
        <v>1020108</v>
      </c>
      <c r="K660" s="78" t="s">
        <v>26</v>
      </c>
      <c r="L660" s="119">
        <f>27163072.25/2</f>
        <v>13581536.125</v>
      </c>
      <c r="M660" s="82">
        <v>1</v>
      </c>
      <c r="N660" s="82">
        <f>Main_Issuance[[#This Row],[LC Amt(FCY)]]*Main_Issuance[[#This Row],[Rate]]</f>
        <v>13581536.125</v>
      </c>
      <c r="O660" s="76">
        <v>46081</v>
      </c>
      <c r="P660" s="76">
        <v>46081</v>
      </c>
      <c r="Q660" s="77" t="s">
        <v>27</v>
      </c>
      <c r="R660" s="78" t="s">
        <v>425</v>
      </c>
      <c r="S660" s="81"/>
      <c r="T660" s="81"/>
      <c r="U660" s="81"/>
      <c r="V660" s="83">
        <v>0</v>
      </c>
      <c r="W660" s="115"/>
      <c r="X660" s="146" t="str">
        <f ca="1">IF(AND((Main_Issuance[[#This Row],[Expiry Date]]+31)&gt;TODAY(),Main_Issuance[[#This Row],[Status]]&lt;&gt;"Cancelled"),"Active","Cancelled")</f>
        <v>Cancelled</v>
      </c>
      <c r="Y660" s="409"/>
      <c r="Z660" s="408"/>
      <c r="AA660" s="408" t="s">
        <v>857</v>
      </c>
      <c r="AB660" s="83" cm="1">
        <f t="array" ref="AB660">Iss_Tariff(Main_Issuance[[#This Row],[Bank]],Main_Issuance[[#This Row],[LC Amt(SAR)]],Main_Issuance[[#This Row],[Issue Date.]],Main_Issuance[[#This Row],[Expiry Date]],Main_Issuance[[#This Row],[Calculate]])</f>
        <v>21536.05</v>
      </c>
      <c r="AC660" s="83"/>
    </row>
    <row r="661" spans="1:29" ht="15.75" hidden="1" x14ac:dyDescent="0.25">
      <c r="A661" s="147" t="s">
        <v>1292</v>
      </c>
      <c r="B661" s="122">
        <v>45785</v>
      </c>
      <c r="C661" s="122" t="s">
        <v>441</v>
      </c>
      <c r="D661" s="124" t="s">
        <v>20</v>
      </c>
      <c r="E661" s="123" t="s">
        <v>373</v>
      </c>
      <c r="F661" s="124" t="s">
        <v>70</v>
      </c>
      <c r="G661" s="123" t="s">
        <v>1243</v>
      </c>
      <c r="H661" s="124" t="s">
        <v>24</v>
      </c>
      <c r="I661" s="123" t="s">
        <v>407</v>
      </c>
      <c r="J661" s="149">
        <v>1020100</v>
      </c>
      <c r="K661" s="123" t="s">
        <v>26</v>
      </c>
      <c r="L661" s="60">
        <v>200000</v>
      </c>
      <c r="M661" s="60">
        <v>1</v>
      </c>
      <c r="N661" s="60">
        <f>Main_Issuance[[#This Row],[LC Amt(FCY)]]*Main_Issuance[[#This Row],[Rate]]</f>
        <v>200000</v>
      </c>
      <c r="O661" s="122">
        <v>45869</v>
      </c>
      <c r="P661" s="122">
        <v>45869</v>
      </c>
      <c r="Q661" s="58" t="s">
        <v>70</v>
      </c>
      <c r="R661" s="115" t="s">
        <v>621</v>
      </c>
      <c r="S661" s="126"/>
      <c r="T661" s="126"/>
      <c r="U661" s="126"/>
      <c r="V661" s="83">
        <v>0</v>
      </c>
      <c r="W661" s="115"/>
      <c r="X661" s="150" t="str">
        <f ca="1">IF(AND((Main_Issuance[[#This Row],[Expiry Date]]+31)&gt;TODAY(),Main_Issuance[[#This Row],[Status]]&lt;&gt;"Cancelled"),"Active","Cancelled")</f>
        <v>Cancelled</v>
      </c>
      <c r="Y661" s="411"/>
      <c r="Z661" s="408"/>
      <c r="AA661" s="408" t="s">
        <v>378</v>
      </c>
      <c r="AB661" s="83" cm="1">
        <f t="array" ref="AB661">Iss_Tariff(Main_Issuance[[#This Row],[Bank]],Main_Issuance[[#This Row],[LC Amt(SAR)]],Main_Issuance[[#This Row],[Issue Date.]],Main_Issuance[[#This Row],[Expiry Date]],Main_Issuance[[#This Row],[Calculate]])</f>
        <v>0</v>
      </c>
      <c r="AC661" s="83"/>
    </row>
    <row r="662" spans="1:29" ht="15.75" hidden="1" x14ac:dyDescent="0.25">
      <c r="A662" s="114" t="s">
        <v>1603</v>
      </c>
      <c r="B662" s="76">
        <v>45862</v>
      </c>
      <c r="C662" s="76" t="s">
        <v>441</v>
      </c>
      <c r="D662" s="78" t="s">
        <v>20</v>
      </c>
      <c r="E662" s="78" t="s">
        <v>366</v>
      </c>
      <c r="F662" s="115" t="s">
        <v>710</v>
      </c>
      <c r="G662" s="78" t="s">
        <v>1243</v>
      </c>
      <c r="H662" s="115" t="s">
        <v>24</v>
      </c>
      <c r="I662" s="78" t="s">
        <v>710</v>
      </c>
      <c r="J662" s="113">
        <v>1020088</v>
      </c>
      <c r="K662" s="78" t="s">
        <v>26</v>
      </c>
      <c r="L662" s="60">
        <v>250000</v>
      </c>
      <c r="M662" s="60">
        <v>1</v>
      </c>
      <c r="N662" s="60">
        <f>Main_Issuance[[#This Row],[LC Amt(FCY)]]*Main_Issuance[[#This Row],[Rate]]</f>
        <v>250000</v>
      </c>
      <c r="O662" s="76">
        <v>45961</v>
      </c>
      <c r="P662" s="76">
        <v>45961</v>
      </c>
      <c r="Q662" s="77" t="s">
        <v>27</v>
      </c>
      <c r="R662" s="78" t="s">
        <v>621</v>
      </c>
      <c r="S662" s="81"/>
      <c r="T662" s="81"/>
      <c r="U662" s="81"/>
      <c r="V662" s="83">
        <v>0</v>
      </c>
      <c r="W662" s="115"/>
      <c r="X662" s="146" t="str">
        <f ca="1">IF(AND((Main_Issuance[[#This Row],[Expiry Date]]+31)&gt;TODAY(),Main_Issuance[[#This Row],[Status]]&lt;&gt;"Cancelled"),"Active","Cancelled")</f>
        <v>Cancelled</v>
      </c>
      <c r="Y662" s="409"/>
      <c r="Z662" s="408"/>
      <c r="AA662" s="408" t="s">
        <v>378</v>
      </c>
      <c r="AB662" s="83" cm="1">
        <f t="array" ref="AB662">Iss_Tariff(Main_Issuance[[#This Row],[Bank]],Main_Issuance[[#This Row],[LC Amt(SAR)]],Main_Issuance[[#This Row],[Issue Date.]],Main_Issuance[[#This Row],[Expiry Date]],Main_Issuance[[#This Row],[Calculate]])</f>
        <v>0</v>
      </c>
      <c r="AC662" s="83"/>
    </row>
    <row r="663" spans="1:29" ht="15.75" hidden="1" x14ac:dyDescent="0.25">
      <c r="A663" s="114" t="s">
        <v>1780</v>
      </c>
      <c r="B663" s="76">
        <v>45888</v>
      </c>
      <c r="C663" s="76" t="s">
        <v>1727</v>
      </c>
      <c r="D663" s="78" t="s">
        <v>20</v>
      </c>
      <c r="E663" s="78" t="s">
        <v>62</v>
      </c>
      <c r="F663" s="115" t="s">
        <v>70</v>
      </c>
      <c r="G663" s="78" t="s">
        <v>1706</v>
      </c>
      <c r="H663" s="113" t="s">
        <v>869</v>
      </c>
      <c r="I663" s="78" t="s">
        <v>1762</v>
      </c>
      <c r="J663" s="115"/>
      <c r="K663" s="78" t="s">
        <v>26</v>
      </c>
      <c r="L663" s="60">
        <v>2395477.52</v>
      </c>
      <c r="M663" s="60">
        <v>1</v>
      </c>
      <c r="N663" s="60">
        <f>Main_Issuance[[#This Row],[LC Amt(FCY)]]*Main_Issuance[[#This Row],[Rate]]</f>
        <v>2395477.52</v>
      </c>
      <c r="O663" s="76">
        <v>45930</v>
      </c>
      <c r="P663" s="76">
        <v>45915</v>
      </c>
      <c r="Q663" s="77" t="s">
        <v>70</v>
      </c>
      <c r="R663" s="78" t="s">
        <v>208</v>
      </c>
      <c r="S663" s="81"/>
      <c r="T663" s="81"/>
      <c r="U663" s="81"/>
      <c r="V663" s="83"/>
      <c r="W663" s="115"/>
      <c r="X663" s="146" t="str">
        <f ca="1">IF(AND((Main_Issuance[[#This Row],[Expiry Date]]+31)&gt;TODAY(),Main_Issuance[[#This Row],[Status]]&lt;&gt;"Cancelled"),"Active","Cancelled")</f>
        <v>Cancelled</v>
      </c>
      <c r="Y663" s="410"/>
      <c r="Z663" s="408"/>
      <c r="AA663" s="408" t="s">
        <v>378</v>
      </c>
      <c r="AB663" s="83" cm="1">
        <f t="array" ref="AB663">Iss_Tariff(Main_Issuance[[#This Row],[Bank]],Main_Issuance[[#This Row],[LC Amt(SAR)]],Main_Issuance[[#This Row],[Issue Date.]],Main_Issuance[[#This Row],[Expiry Date]],Main_Issuance[[#This Row],[Calculate]])</f>
        <v>0</v>
      </c>
      <c r="AC663" s="83"/>
    </row>
    <row r="664" spans="1:29" ht="15.75" hidden="1" x14ac:dyDescent="0.25">
      <c r="A664" s="147" t="s">
        <v>3730</v>
      </c>
      <c r="B664" s="122">
        <v>46040</v>
      </c>
      <c r="C664" s="122" t="s">
        <v>3222</v>
      </c>
      <c r="D664" s="123" t="s">
        <v>20</v>
      </c>
      <c r="E664" s="123" t="s">
        <v>366</v>
      </c>
      <c r="F664" s="124" t="s">
        <v>1450</v>
      </c>
      <c r="G664" s="123" t="s">
        <v>3266</v>
      </c>
      <c r="H664" s="149" t="s">
        <v>3782</v>
      </c>
      <c r="I664" s="123" t="s">
        <v>367</v>
      </c>
      <c r="J664" s="124">
        <v>1020091</v>
      </c>
      <c r="K664" s="123" t="s">
        <v>26</v>
      </c>
      <c r="L664" s="434">
        <v>9979435.5</v>
      </c>
      <c r="M664" s="127">
        <v>1</v>
      </c>
      <c r="N664" s="127">
        <f>Main_Issuance[[#This Row],[LC Amt(FCY)]]*Main_Issuance[[#This Row],[Rate]]</f>
        <v>9979435.5</v>
      </c>
      <c r="O664" s="122">
        <v>46096</v>
      </c>
      <c r="P664" s="122">
        <v>46081</v>
      </c>
      <c r="Q664" s="148" t="s">
        <v>27</v>
      </c>
      <c r="R664" s="123" t="s">
        <v>4254</v>
      </c>
      <c r="S664" s="126"/>
      <c r="T664" s="126"/>
      <c r="U664" s="126"/>
      <c r="V664" s="128">
        <v>0</v>
      </c>
      <c r="W664" s="124"/>
      <c r="X664" s="150" t="str">
        <f ca="1">IF(AND((Main_Issuance[[#This Row],[Expiry Date]]+31)&gt;TODAY(),Main_Issuance[[#This Row],[Status]]&lt;&gt;"Cancelled"),"Active","Cancelled")</f>
        <v>Cancelled</v>
      </c>
      <c r="Y664" s="411"/>
      <c r="Z664" s="408"/>
      <c r="AA664" s="408" t="s">
        <v>857</v>
      </c>
      <c r="AB664" s="83" cm="1">
        <f t="array" ref="AB664">Iss_Tariff(Main_Issuance[[#This Row],[Bank]],Main_Issuance[[#This Row],[LC Amt(SAR)]],Main_Issuance[[#This Row],[Issue Date.]],Main_Issuance[[#This Row],[Expiry Date]],Main_Issuance[[#This Row],[Calculate]])</f>
        <v>57467.8</v>
      </c>
      <c r="AC664" s="83"/>
    </row>
    <row r="665" spans="1:29" ht="15.75" hidden="1" x14ac:dyDescent="0.25">
      <c r="A665" s="57" t="s">
        <v>234</v>
      </c>
      <c r="B665" s="56">
        <v>45245</v>
      </c>
      <c r="C665" s="56" t="s">
        <v>441</v>
      </c>
      <c r="D665" s="69" t="s">
        <v>20</v>
      </c>
      <c r="E665" s="69" t="s">
        <v>21</v>
      </c>
      <c r="F665" s="19" t="s">
        <v>22</v>
      </c>
      <c r="G665" s="69" t="s">
        <v>235</v>
      </c>
      <c r="H665" s="59" t="s">
        <v>24</v>
      </c>
      <c r="I665" s="65" t="s">
        <v>22</v>
      </c>
      <c r="J665" s="59">
        <v>1020055</v>
      </c>
      <c r="K665" s="69" t="s">
        <v>26</v>
      </c>
      <c r="L665" s="60">
        <v>4000000</v>
      </c>
      <c r="M665" s="60">
        <v>1</v>
      </c>
      <c r="N665" s="60">
        <f>Main_Issuance[[#This Row],[LC Amt(FCY)]]*Main_Issuance[[#This Row],[Rate]]</f>
        <v>4000000</v>
      </c>
      <c r="O665" s="56">
        <v>45322</v>
      </c>
      <c r="P665" s="56">
        <v>45322</v>
      </c>
      <c r="Q665" s="58" t="s">
        <v>27</v>
      </c>
      <c r="R665" s="69"/>
      <c r="S665" s="71"/>
      <c r="T665" s="71"/>
      <c r="U665" s="71"/>
      <c r="V665" s="68">
        <v>0</v>
      </c>
      <c r="W665" s="115"/>
      <c r="X665" s="191" t="str">
        <f ca="1">IF(AND((Main_Issuance[[#This Row],[Expiry Date]]+31)&gt;TODAY(),Main_Issuance[[#This Row],[Status]]&lt;&gt;"Cancelled"),"Active","Cancelled")</f>
        <v>Cancelled</v>
      </c>
      <c r="Y665" s="409"/>
      <c r="Z665" s="408"/>
      <c r="AA665" s="408" t="s">
        <v>378</v>
      </c>
      <c r="AB665" s="83" cm="1">
        <f t="array" ref="AB665">Iss_Tariff(Main_Issuance[[#This Row],[Bank]],Main_Issuance[[#This Row],[LC Amt(SAR)]],Main_Issuance[[#This Row],[Issue Date.]],Main_Issuance[[#This Row],[Expiry Date]],Main_Issuance[[#This Row],[Calculate]])</f>
        <v>0</v>
      </c>
      <c r="AC665" s="83"/>
    </row>
    <row r="666" spans="1:29" ht="15.75" hidden="1" x14ac:dyDescent="0.25">
      <c r="A666" s="57" t="s">
        <v>590</v>
      </c>
      <c r="B666" s="56">
        <v>45664</v>
      </c>
      <c r="C666" s="56" t="s">
        <v>441</v>
      </c>
      <c r="D666" s="69" t="s">
        <v>20</v>
      </c>
      <c r="E666" s="69" t="s">
        <v>21</v>
      </c>
      <c r="F666" s="19" t="s">
        <v>22</v>
      </c>
      <c r="G666" s="69" t="s">
        <v>591</v>
      </c>
      <c r="H666" s="59" t="s">
        <v>24</v>
      </c>
      <c r="I666" s="65" t="s">
        <v>22</v>
      </c>
      <c r="J666" s="59">
        <v>1020055</v>
      </c>
      <c r="K666" s="69" t="s">
        <v>26</v>
      </c>
      <c r="L666" s="60">
        <v>3000000</v>
      </c>
      <c r="M666" s="60">
        <v>1</v>
      </c>
      <c r="N666" s="60">
        <f>Main_Issuance[[#This Row],[LC Amt(FCY)]]*Main_Issuance[[#This Row],[Rate]]</f>
        <v>3000000</v>
      </c>
      <c r="O666" s="56">
        <v>45747</v>
      </c>
      <c r="P666" s="56">
        <v>45747</v>
      </c>
      <c r="Q666" s="58" t="s">
        <v>27</v>
      </c>
      <c r="R666" s="69" t="s">
        <v>311</v>
      </c>
      <c r="S666" s="71"/>
      <c r="T666" s="71"/>
      <c r="U666" s="71"/>
      <c r="V666" s="68">
        <v>0</v>
      </c>
      <c r="W666" s="115"/>
      <c r="X666" s="191" t="str">
        <f ca="1">IF(AND((Main_Issuance[[#This Row],[Expiry Date]]+31)&gt;TODAY(),Main_Issuance[[#This Row],[Status]]&lt;&gt;"Cancelled"),"Active","Cancelled")</f>
        <v>Cancelled</v>
      </c>
      <c r="Y666" s="409"/>
      <c r="Z666" s="408"/>
      <c r="AA666" s="408" t="s">
        <v>378</v>
      </c>
      <c r="AB666" s="83" cm="1">
        <f t="array" ref="AB666">Iss_Tariff(Main_Issuance[[#This Row],[Bank]],Main_Issuance[[#This Row],[LC Amt(SAR)]],Main_Issuance[[#This Row],[Issue Date.]],Main_Issuance[[#This Row],[Expiry Date]],Main_Issuance[[#This Row],[Calculate]])</f>
        <v>0</v>
      </c>
      <c r="AC666" s="83"/>
    </row>
    <row r="667" spans="1:29" ht="15.75" hidden="1" x14ac:dyDescent="0.25">
      <c r="A667" s="57" t="s">
        <v>627</v>
      </c>
      <c r="B667" s="56">
        <v>45680</v>
      </c>
      <c r="C667" s="56" t="s">
        <v>441</v>
      </c>
      <c r="D667" s="78" t="s">
        <v>20</v>
      </c>
      <c r="E667" s="69" t="s">
        <v>21</v>
      </c>
      <c r="F667" s="19" t="s">
        <v>22</v>
      </c>
      <c r="G667" s="69" t="s">
        <v>591</v>
      </c>
      <c r="H667" s="59" t="s">
        <v>24</v>
      </c>
      <c r="I667" s="65" t="s">
        <v>22</v>
      </c>
      <c r="J667" s="59">
        <v>1020055</v>
      </c>
      <c r="K667" s="69" t="s">
        <v>26</v>
      </c>
      <c r="L667" s="60">
        <v>3000000</v>
      </c>
      <c r="M667" s="60">
        <v>1</v>
      </c>
      <c r="N667" s="60">
        <f>Main_Issuance[[#This Row],[LC Amt(FCY)]]*Main_Issuance[[#This Row],[Rate]]</f>
        <v>3000000</v>
      </c>
      <c r="O667" s="76">
        <v>45838</v>
      </c>
      <c r="P667" s="56">
        <v>45777</v>
      </c>
      <c r="Q667" s="58" t="s">
        <v>27</v>
      </c>
      <c r="R667" s="69" t="s">
        <v>311</v>
      </c>
      <c r="S667" s="71"/>
      <c r="T667" s="71"/>
      <c r="U667" s="71"/>
      <c r="V667" s="68">
        <v>0</v>
      </c>
      <c r="W667" s="115"/>
      <c r="X667" s="191" t="str">
        <f ca="1">IF(AND((Main_Issuance[[#This Row],[Expiry Date]]+31)&gt;TODAY(),Main_Issuance[[#This Row],[Status]]&lt;&gt;"Cancelled"),"Active","Cancelled")</f>
        <v>Cancelled</v>
      </c>
      <c r="Y667" s="409"/>
      <c r="Z667" s="408"/>
      <c r="AA667" s="408" t="s">
        <v>378</v>
      </c>
      <c r="AB667" s="83" cm="1">
        <f t="array" ref="AB667">Iss_Tariff(Main_Issuance[[#This Row],[Bank]],Main_Issuance[[#This Row],[LC Amt(SAR)]],Main_Issuance[[#This Row],[Issue Date.]],Main_Issuance[[#This Row],[Expiry Date]],Main_Issuance[[#This Row],[Calculate]])</f>
        <v>0</v>
      </c>
      <c r="AC667" s="83"/>
    </row>
    <row r="668" spans="1:29" ht="15.75" hidden="1" x14ac:dyDescent="0.25">
      <c r="A668" s="114" t="s">
        <v>1605</v>
      </c>
      <c r="B668" s="76">
        <v>45862</v>
      </c>
      <c r="C668" s="76" t="s">
        <v>441</v>
      </c>
      <c r="D668" s="78" t="s">
        <v>20</v>
      </c>
      <c r="E668" s="78" t="s">
        <v>366</v>
      </c>
      <c r="F668" s="115" t="s">
        <v>710</v>
      </c>
      <c r="G668" s="78" t="s">
        <v>1580</v>
      </c>
      <c r="H668" s="115" t="s">
        <v>24</v>
      </c>
      <c r="I668" s="78" t="s">
        <v>710</v>
      </c>
      <c r="J668" s="113">
        <v>1020088</v>
      </c>
      <c r="K668" s="78" t="s">
        <v>26</v>
      </c>
      <c r="L668" s="60">
        <v>300000</v>
      </c>
      <c r="M668" s="60">
        <v>1</v>
      </c>
      <c r="N668" s="60">
        <f>Main_Issuance[[#This Row],[LC Amt(FCY)]]*Main_Issuance[[#This Row],[Rate]]</f>
        <v>300000</v>
      </c>
      <c r="O668" s="76">
        <v>45961</v>
      </c>
      <c r="P668" s="76">
        <v>45961</v>
      </c>
      <c r="Q668" s="77" t="s">
        <v>27</v>
      </c>
      <c r="R668" s="78" t="s">
        <v>621</v>
      </c>
      <c r="S668" s="81"/>
      <c r="T668" s="81"/>
      <c r="U668" s="81"/>
      <c r="V668" s="83">
        <v>0</v>
      </c>
      <c r="W668" s="115"/>
      <c r="X668" s="146" t="str">
        <f ca="1">IF(AND((Main_Issuance[[#This Row],[Expiry Date]]+31)&gt;TODAY(),Main_Issuance[[#This Row],[Status]]&lt;&gt;"Cancelled"),"Active","Cancelled")</f>
        <v>Cancelled</v>
      </c>
      <c r="Y668" s="409"/>
      <c r="Z668" s="408"/>
      <c r="AA668" s="408" t="s">
        <v>378</v>
      </c>
      <c r="AB668" s="83" cm="1">
        <f t="array" ref="AB668">Iss_Tariff(Main_Issuance[[#This Row],[Bank]],Main_Issuance[[#This Row],[LC Amt(SAR)]],Main_Issuance[[#This Row],[Issue Date.]],Main_Issuance[[#This Row],[Expiry Date]],Main_Issuance[[#This Row],[Calculate]])</f>
        <v>0</v>
      </c>
      <c r="AC668" s="83"/>
    </row>
    <row r="669" spans="1:29" ht="15.75" hidden="1" x14ac:dyDescent="0.25">
      <c r="A669" s="57" t="s">
        <v>141</v>
      </c>
      <c r="B669" s="56">
        <v>45147</v>
      </c>
      <c r="C669" s="56" t="s">
        <v>441</v>
      </c>
      <c r="D669" s="69" t="s">
        <v>20</v>
      </c>
      <c r="E669" s="69" t="s">
        <v>21</v>
      </c>
      <c r="F669" s="19" t="s">
        <v>22</v>
      </c>
      <c r="G669" s="69" t="s">
        <v>142</v>
      </c>
      <c r="H669" s="59" t="s">
        <v>24</v>
      </c>
      <c r="I669" s="65" t="s">
        <v>22</v>
      </c>
      <c r="J669" s="59">
        <v>1020055</v>
      </c>
      <c r="K669" s="69" t="s">
        <v>26</v>
      </c>
      <c r="L669" s="60">
        <v>4000000</v>
      </c>
      <c r="M669" s="60">
        <v>1</v>
      </c>
      <c r="N669" s="60">
        <f>Main_Issuance[[#This Row],[LC Amt(FCY)]]*Main_Issuance[[#This Row],[Rate]]</f>
        <v>4000000</v>
      </c>
      <c r="O669" s="56">
        <v>45230</v>
      </c>
      <c r="P669" s="56">
        <v>45230</v>
      </c>
      <c r="Q669" s="58" t="s">
        <v>27</v>
      </c>
      <c r="R669" s="69"/>
      <c r="S669" s="71"/>
      <c r="T669" s="71"/>
      <c r="U669" s="71"/>
      <c r="V669" s="68">
        <v>0</v>
      </c>
      <c r="W669" s="115"/>
      <c r="X669" s="191" t="str">
        <f ca="1">IF(AND((Main_Issuance[[#This Row],[Expiry Date]]+31)&gt;TODAY(),Main_Issuance[[#This Row],[Status]]&lt;&gt;"Cancelled"),"Active","Cancelled")</f>
        <v>Cancelled</v>
      </c>
      <c r="Y669" s="409"/>
      <c r="Z669" s="408"/>
      <c r="AA669" s="408" t="s">
        <v>378</v>
      </c>
      <c r="AB669" s="83" cm="1">
        <f t="array" ref="AB669">Iss_Tariff(Main_Issuance[[#This Row],[Bank]],Main_Issuance[[#This Row],[LC Amt(SAR)]],Main_Issuance[[#This Row],[Issue Date.]],Main_Issuance[[#This Row],[Expiry Date]],Main_Issuance[[#This Row],[Calculate]])</f>
        <v>0</v>
      </c>
      <c r="AC669" s="83"/>
    </row>
    <row r="670" spans="1:29" ht="15.75" hidden="1" x14ac:dyDescent="0.25">
      <c r="A670" s="114" t="s">
        <v>3169</v>
      </c>
      <c r="B670" s="76">
        <v>46012</v>
      </c>
      <c r="C670" s="76" t="s">
        <v>1184</v>
      </c>
      <c r="D670" s="78" t="s">
        <v>20</v>
      </c>
      <c r="E670" s="78" t="s">
        <v>21</v>
      </c>
      <c r="F670" s="115" t="s">
        <v>22</v>
      </c>
      <c r="G670" s="78" t="s">
        <v>2622</v>
      </c>
      <c r="H670" s="113" t="s">
        <v>72</v>
      </c>
      <c r="I670" s="78" t="s">
        <v>90</v>
      </c>
      <c r="J670" s="115">
        <v>1020001</v>
      </c>
      <c r="K670" s="78" t="s">
        <v>67</v>
      </c>
      <c r="L670" s="119">
        <v>5000000</v>
      </c>
      <c r="M670" s="82">
        <v>4.4400000000000004</v>
      </c>
      <c r="N670" s="82">
        <f>Main_Issuance[[#This Row],[LC Amt(FCY)]]*Main_Issuance[[#This Row],[Rate]]</f>
        <v>22200000.000000004</v>
      </c>
      <c r="O670" s="76">
        <v>46286</v>
      </c>
      <c r="P670" s="76">
        <v>46265</v>
      </c>
      <c r="Q670" s="77" t="s">
        <v>27</v>
      </c>
      <c r="R670" s="78" t="s">
        <v>3627</v>
      </c>
      <c r="S670" s="81"/>
      <c r="T670" s="81"/>
      <c r="U670" s="81"/>
      <c r="V670" s="83">
        <v>0</v>
      </c>
      <c r="W670" s="115" t="s">
        <v>3226</v>
      </c>
      <c r="X670" s="146" t="str">
        <f ca="1">IF(AND((Main_Issuance[[#This Row],[Expiry Date]]+31)&gt;TODAY(),Main_Issuance[[#This Row],[Status]]&lt;&gt;"Cancelled"),"Active","Cancelled")</f>
        <v>Active</v>
      </c>
      <c r="Y670" s="409"/>
      <c r="Z670" s="408"/>
      <c r="AA670" s="408" t="s">
        <v>857</v>
      </c>
      <c r="AB670" s="83" cm="1">
        <f t="array" ref="AB670">Iss_Tariff(Main_Issuance[[#This Row],[Bank]],Main_Issuance[[#This Row],[LC Amt(SAR)]],Main_Issuance[[#This Row],[Issue Date.]],Main_Issuance[[#This Row],[Expiry Date]],Main_Issuance[[#This Row],[Calculate]])</f>
        <v>129030</v>
      </c>
      <c r="AC670" s="83"/>
    </row>
    <row r="671" spans="1:29" ht="15.75" hidden="1" x14ac:dyDescent="0.25">
      <c r="A671" s="57" t="s">
        <v>218</v>
      </c>
      <c r="B671" s="56">
        <v>45064</v>
      </c>
      <c r="C671" s="56" t="s">
        <v>1182</v>
      </c>
      <c r="D671" s="69" t="s">
        <v>20</v>
      </c>
      <c r="E671" s="69" t="s">
        <v>21</v>
      </c>
      <c r="F671" s="19" t="s">
        <v>22</v>
      </c>
      <c r="G671" s="69" t="s">
        <v>219</v>
      </c>
      <c r="H671" s="59" t="s">
        <v>24</v>
      </c>
      <c r="I671" s="65" t="s">
        <v>90</v>
      </c>
      <c r="J671" s="59">
        <v>1020001</v>
      </c>
      <c r="K671" s="69" t="s">
        <v>26</v>
      </c>
      <c r="L671" s="60">
        <v>5602519.9800000004</v>
      </c>
      <c r="M671" s="60">
        <v>1</v>
      </c>
      <c r="N671" s="60">
        <f>Main_Issuance[[#This Row],[LC Amt(FCY)]]*Main_Issuance[[#This Row],[Rate]]</f>
        <v>5602519.9800000004</v>
      </c>
      <c r="O671" s="56">
        <v>45251</v>
      </c>
      <c r="P671" s="56">
        <v>45251</v>
      </c>
      <c r="Q671" s="58" t="s">
        <v>27</v>
      </c>
      <c r="R671" s="69"/>
      <c r="S671" s="71"/>
      <c r="T671" s="71"/>
      <c r="U671" s="71"/>
      <c r="V671" s="68">
        <v>0</v>
      </c>
      <c r="W671" s="115"/>
      <c r="X671" s="191" t="str">
        <f ca="1">IF(AND((Main_Issuance[[#This Row],[Expiry Date]]+31)&gt;TODAY(),Main_Issuance[[#This Row],[Status]]&lt;&gt;"Cancelled"),"Active","Cancelled")</f>
        <v>Cancelled</v>
      </c>
      <c r="Y671" s="409"/>
      <c r="Z671" s="408"/>
      <c r="AA671" s="408" t="s">
        <v>378</v>
      </c>
      <c r="AB671" s="83" cm="1">
        <f t="array" ref="AB671">Iss_Tariff(Main_Issuance[[#This Row],[Bank]],Main_Issuance[[#This Row],[LC Amt(SAR)]],Main_Issuance[[#This Row],[Issue Date.]],Main_Issuance[[#This Row],[Expiry Date]],Main_Issuance[[#This Row],[Calculate]])</f>
        <v>0</v>
      </c>
      <c r="AC671" s="83"/>
    </row>
    <row r="672" spans="1:29" ht="15.75" hidden="1" x14ac:dyDescent="0.25">
      <c r="A672" s="57" t="s">
        <v>75</v>
      </c>
      <c r="B672" s="56">
        <v>45280</v>
      </c>
      <c r="C672" s="56" t="s">
        <v>509</v>
      </c>
      <c r="D672" s="69" t="s">
        <v>20</v>
      </c>
      <c r="E672" s="69" t="s">
        <v>62</v>
      </c>
      <c r="F672" s="19" t="s">
        <v>63</v>
      </c>
      <c r="G672" s="69" t="s">
        <v>76</v>
      </c>
      <c r="H672" s="59" t="s">
        <v>72</v>
      </c>
      <c r="I672" s="65" t="s">
        <v>77</v>
      </c>
      <c r="J672" s="59">
        <v>1020051</v>
      </c>
      <c r="K672" s="69" t="s">
        <v>78</v>
      </c>
      <c r="L672" s="60">
        <v>6638408.9000000004</v>
      </c>
      <c r="M672" s="60">
        <v>3.7513000000000001</v>
      </c>
      <c r="N672" s="60">
        <f>Main_Issuance[[#This Row],[LC Amt(FCY)]]*Main_Issuance[[#This Row],[Rate]]</f>
        <v>24902663.306570001</v>
      </c>
      <c r="O672" s="56">
        <v>45494</v>
      </c>
      <c r="P672" s="56">
        <v>45494</v>
      </c>
      <c r="Q672" s="58" t="s">
        <v>27</v>
      </c>
      <c r="R672" s="69" t="s">
        <v>74</v>
      </c>
      <c r="S672" s="71"/>
      <c r="T672" s="71"/>
      <c r="U672" s="71"/>
      <c r="V672" s="68">
        <v>0</v>
      </c>
      <c r="W672" s="115"/>
      <c r="X672" s="191" t="str">
        <f ca="1">IF(AND((Main_Issuance[[#This Row],[Expiry Date]]+31)&gt;TODAY(),Main_Issuance[[#This Row],[Status]]&lt;&gt;"Cancelled"),"Active","Cancelled")</f>
        <v>Cancelled</v>
      </c>
      <c r="Y672" s="409"/>
      <c r="Z672" s="408"/>
      <c r="AA672" s="408" t="s">
        <v>378</v>
      </c>
      <c r="AB672" s="83" cm="1">
        <f t="array" ref="AB672">Iss_Tariff(Main_Issuance[[#This Row],[Bank]],Main_Issuance[[#This Row],[LC Amt(SAR)]],Main_Issuance[[#This Row],[Issue Date.]],Main_Issuance[[#This Row],[Expiry Date]],Main_Issuance[[#This Row],[Calculate]])</f>
        <v>0</v>
      </c>
      <c r="AC672" s="83"/>
    </row>
    <row r="673" spans="1:29" ht="15.75" hidden="1" x14ac:dyDescent="0.25">
      <c r="A673" s="57" t="s">
        <v>207</v>
      </c>
      <c r="B673" s="56">
        <v>45098</v>
      </c>
      <c r="C673" s="56" t="s">
        <v>509</v>
      </c>
      <c r="D673" s="69" t="s">
        <v>20</v>
      </c>
      <c r="E673" s="69" t="s">
        <v>21</v>
      </c>
      <c r="F673" s="19" t="s">
        <v>22</v>
      </c>
      <c r="G673" s="69" t="s">
        <v>76</v>
      </c>
      <c r="H673" s="59" t="s">
        <v>72</v>
      </c>
      <c r="I673" s="65" t="s">
        <v>77</v>
      </c>
      <c r="J673" s="59">
        <v>1020051</v>
      </c>
      <c r="K673" s="69" t="s">
        <v>78</v>
      </c>
      <c r="L673" s="60">
        <v>4473396.8600000003</v>
      </c>
      <c r="M673" s="60">
        <v>3.8249998999999999</v>
      </c>
      <c r="N673" s="60">
        <f>Main_Issuance[[#This Row],[LC Amt(FCY)]]*Main_Issuance[[#This Row],[Rate]]</f>
        <v>17110742.542160314</v>
      </c>
      <c r="O673" s="56">
        <v>45230</v>
      </c>
      <c r="P673" s="56">
        <v>45230</v>
      </c>
      <c r="Q673" s="58" t="s">
        <v>27</v>
      </c>
      <c r="R673" s="69" t="s">
        <v>208</v>
      </c>
      <c r="S673" s="71"/>
      <c r="T673" s="71"/>
      <c r="U673" s="71"/>
      <c r="V673" s="68">
        <v>0</v>
      </c>
      <c r="W673" s="115"/>
      <c r="X673" s="191" t="str">
        <f ca="1">IF(AND((Main_Issuance[[#This Row],[Expiry Date]]+31)&gt;TODAY(),Main_Issuance[[#This Row],[Status]]&lt;&gt;"Cancelled"),"Active","Cancelled")</f>
        <v>Cancelled</v>
      </c>
      <c r="Y673" s="409"/>
      <c r="Z673" s="408"/>
      <c r="AA673" s="408" t="s">
        <v>378</v>
      </c>
      <c r="AB673" s="83" cm="1">
        <f t="array" ref="AB673">Iss_Tariff(Main_Issuance[[#This Row],[Bank]],Main_Issuance[[#This Row],[LC Amt(SAR)]],Main_Issuance[[#This Row],[Issue Date.]],Main_Issuance[[#This Row],[Expiry Date]],Main_Issuance[[#This Row],[Calculate]])</f>
        <v>0</v>
      </c>
      <c r="AC673" s="83"/>
    </row>
    <row r="674" spans="1:29" ht="15.75" hidden="1" x14ac:dyDescent="0.25">
      <c r="A674" s="57" t="s">
        <v>105</v>
      </c>
      <c r="B674" s="56">
        <v>44999</v>
      </c>
      <c r="C674" s="56" t="s">
        <v>509</v>
      </c>
      <c r="D674" s="69" t="s">
        <v>20</v>
      </c>
      <c r="E674" s="69" t="s">
        <v>21</v>
      </c>
      <c r="F674" s="19" t="s">
        <v>22</v>
      </c>
      <c r="G674" s="69" t="s">
        <v>106</v>
      </c>
      <c r="H674" s="59" t="s">
        <v>72</v>
      </c>
      <c r="I674" s="65" t="s">
        <v>77</v>
      </c>
      <c r="J674" s="59">
        <v>1020051</v>
      </c>
      <c r="K674" s="69" t="s">
        <v>78</v>
      </c>
      <c r="L674" s="60">
        <v>3911507.59</v>
      </c>
      <c r="M674" s="60">
        <v>1</v>
      </c>
      <c r="N674" s="60">
        <f>Main_Issuance[[#This Row],[LC Amt(FCY)]]*Main_Issuance[[#This Row],[Rate]]</f>
        <v>3911507.59</v>
      </c>
      <c r="O674" s="56">
        <v>45061</v>
      </c>
      <c r="P674" s="56">
        <v>45061</v>
      </c>
      <c r="Q674" s="58" t="s">
        <v>27</v>
      </c>
      <c r="R674" s="69"/>
      <c r="S674" s="71"/>
      <c r="T674" s="71"/>
      <c r="U674" s="71"/>
      <c r="V674" s="68">
        <v>0</v>
      </c>
      <c r="W674" s="115"/>
      <c r="X674" s="191" t="str">
        <f ca="1">IF(AND((Main_Issuance[[#This Row],[Expiry Date]]+31)&gt;TODAY(),Main_Issuance[[#This Row],[Status]]&lt;&gt;"Cancelled"),"Active","Cancelled")</f>
        <v>Cancelled</v>
      </c>
      <c r="Y674" s="409"/>
      <c r="Z674" s="408"/>
      <c r="AA674" s="408" t="s">
        <v>378</v>
      </c>
      <c r="AB674" s="83" cm="1">
        <f t="array" ref="AB674">Iss_Tariff(Main_Issuance[[#This Row],[Bank]],Main_Issuance[[#This Row],[LC Amt(SAR)]],Main_Issuance[[#This Row],[Issue Date.]],Main_Issuance[[#This Row],[Expiry Date]],Main_Issuance[[#This Row],[Calculate]])</f>
        <v>0</v>
      </c>
      <c r="AC674" s="83"/>
    </row>
    <row r="675" spans="1:29" ht="15.75" hidden="1" x14ac:dyDescent="0.25">
      <c r="A675" s="57" t="s">
        <v>107</v>
      </c>
      <c r="B675" s="56">
        <v>44999</v>
      </c>
      <c r="C675" s="56" t="s">
        <v>509</v>
      </c>
      <c r="D675" s="69" t="s">
        <v>20</v>
      </c>
      <c r="E675" s="69" t="s">
        <v>21</v>
      </c>
      <c r="F675" s="19" t="s">
        <v>22</v>
      </c>
      <c r="G675" s="69" t="s">
        <v>106</v>
      </c>
      <c r="H675" s="59" t="s">
        <v>72</v>
      </c>
      <c r="I675" s="65" t="s">
        <v>77</v>
      </c>
      <c r="J675" s="59">
        <v>1020051</v>
      </c>
      <c r="K675" s="69" t="s">
        <v>78</v>
      </c>
      <c r="L675" s="60">
        <v>16678375.462499999</v>
      </c>
      <c r="M675" s="60">
        <v>1</v>
      </c>
      <c r="N675" s="60">
        <f>Main_Issuance[[#This Row],[LC Amt(FCY)]]*Main_Issuance[[#This Row],[Rate]]</f>
        <v>16678375.462499999</v>
      </c>
      <c r="O675" s="56">
        <v>45072</v>
      </c>
      <c r="P675" s="56">
        <v>45072</v>
      </c>
      <c r="Q675" s="58" t="s">
        <v>27</v>
      </c>
      <c r="R675" s="69"/>
      <c r="S675" s="71"/>
      <c r="T675" s="71"/>
      <c r="U675" s="71"/>
      <c r="V675" s="68">
        <v>0</v>
      </c>
      <c r="W675" s="115"/>
      <c r="X675" s="191" t="str">
        <f ca="1">IF(AND((Main_Issuance[[#This Row],[Expiry Date]]+31)&gt;TODAY(),Main_Issuance[[#This Row],[Status]]&lt;&gt;"Cancelled"),"Active","Cancelled")</f>
        <v>Cancelled</v>
      </c>
      <c r="Y675" s="409"/>
      <c r="Z675" s="408"/>
      <c r="AA675" s="408" t="s">
        <v>378</v>
      </c>
      <c r="AB675" s="83" cm="1">
        <f t="array" ref="AB675">Iss_Tariff(Main_Issuance[[#This Row],[Bank]],Main_Issuance[[#This Row],[LC Amt(SAR)]],Main_Issuance[[#This Row],[Issue Date.]],Main_Issuance[[#This Row],[Expiry Date]],Main_Issuance[[#This Row],[Calculate]])</f>
        <v>0</v>
      </c>
      <c r="AC675" s="83"/>
    </row>
    <row r="676" spans="1:29" ht="15.75" hidden="1" x14ac:dyDescent="0.25">
      <c r="A676" s="57" t="s">
        <v>291</v>
      </c>
      <c r="B676" s="56">
        <v>45512</v>
      </c>
      <c r="C676" s="56" t="s">
        <v>441</v>
      </c>
      <c r="D676" s="69" t="s">
        <v>20</v>
      </c>
      <c r="E676" s="69" t="s">
        <v>21</v>
      </c>
      <c r="F676" s="19" t="s">
        <v>22</v>
      </c>
      <c r="G676" s="69" t="s">
        <v>292</v>
      </c>
      <c r="H676" s="59" t="s">
        <v>24</v>
      </c>
      <c r="I676" s="65" t="s">
        <v>22</v>
      </c>
      <c r="J676" s="59">
        <v>1020055</v>
      </c>
      <c r="K676" s="69" t="s">
        <v>26</v>
      </c>
      <c r="L676" s="60">
        <v>1000000</v>
      </c>
      <c r="M676" s="60">
        <v>1</v>
      </c>
      <c r="N676" s="60">
        <f>Main_Issuance[[#This Row],[LC Amt(FCY)]]*Main_Issuance[[#This Row],[Rate]]</f>
        <v>1000000</v>
      </c>
      <c r="O676" s="56">
        <v>45626</v>
      </c>
      <c r="P676" s="56">
        <v>45626</v>
      </c>
      <c r="Q676" s="58" t="s">
        <v>27</v>
      </c>
      <c r="R676" s="69"/>
      <c r="S676" s="71"/>
      <c r="T676" s="71"/>
      <c r="U676" s="71"/>
      <c r="V676" s="68">
        <v>0</v>
      </c>
      <c r="W676" s="115"/>
      <c r="X676" s="191" t="str">
        <f ca="1">IF(AND((Main_Issuance[[#This Row],[Expiry Date]]+31)&gt;TODAY(),Main_Issuance[[#This Row],[Status]]&lt;&gt;"Cancelled"),"Active","Cancelled")</f>
        <v>Cancelled</v>
      </c>
      <c r="Y676" s="409"/>
      <c r="Z676" s="408"/>
      <c r="AA676" s="408" t="s">
        <v>378</v>
      </c>
      <c r="AB676" s="83" cm="1">
        <f t="array" ref="AB676">Iss_Tariff(Main_Issuance[[#This Row],[Bank]],Main_Issuance[[#This Row],[LC Amt(SAR)]],Main_Issuance[[#This Row],[Issue Date.]],Main_Issuance[[#This Row],[Expiry Date]],Main_Issuance[[#This Row],[Calculate]])</f>
        <v>0</v>
      </c>
      <c r="AC676" s="83"/>
    </row>
    <row r="677" spans="1:29" ht="15.75" hidden="1" x14ac:dyDescent="0.25">
      <c r="A677" s="57" t="s">
        <v>537</v>
      </c>
      <c r="B677" s="56">
        <v>45634</v>
      </c>
      <c r="C677" s="56" t="s">
        <v>509</v>
      </c>
      <c r="D677" s="69" t="s">
        <v>20</v>
      </c>
      <c r="E677" s="69" t="s">
        <v>95</v>
      </c>
      <c r="F677" s="19" t="s">
        <v>96</v>
      </c>
      <c r="G677" s="69" t="s">
        <v>538</v>
      </c>
      <c r="H677" s="59" t="s">
        <v>24</v>
      </c>
      <c r="I677" s="65" t="s">
        <v>407</v>
      </c>
      <c r="J677" s="59">
        <v>1020100</v>
      </c>
      <c r="K677" s="69" t="s">
        <v>26</v>
      </c>
      <c r="L677" s="60">
        <v>2000000</v>
      </c>
      <c r="M677" s="60">
        <v>1</v>
      </c>
      <c r="N677" s="60">
        <f>Main_Issuance[[#This Row],[LC Amt(FCY)]]*Main_Issuance[[#This Row],[Rate]]</f>
        <v>2000000</v>
      </c>
      <c r="O677" s="56">
        <v>45716</v>
      </c>
      <c r="P677" s="56">
        <v>45716</v>
      </c>
      <c r="Q677" s="58" t="s">
        <v>27</v>
      </c>
      <c r="R677" s="69" t="s">
        <v>311</v>
      </c>
      <c r="S677" s="71"/>
      <c r="T677" s="71"/>
      <c r="U677" s="71"/>
      <c r="V677" s="68">
        <v>0</v>
      </c>
      <c r="W677" s="115"/>
      <c r="X677" s="191" t="str">
        <f ca="1">IF(AND((Main_Issuance[[#This Row],[Expiry Date]]+31)&gt;TODAY(),Main_Issuance[[#This Row],[Status]]&lt;&gt;"Cancelled"),"Active","Cancelled")</f>
        <v>Cancelled</v>
      </c>
      <c r="Y677" s="409"/>
      <c r="Z677" s="408"/>
      <c r="AA677" s="408" t="s">
        <v>378</v>
      </c>
      <c r="AB677" s="83" cm="1">
        <f t="array" ref="AB677">Iss_Tariff(Main_Issuance[[#This Row],[Bank]],Main_Issuance[[#This Row],[LC Amt(SAR)]],Main_Issuance[[#This Row],[Issue Date.]],Main_Issuance[[#This Row],[Expiry Date]],Main_Issuance[[#This Row],[Calculate]])</f>
        <v>0</v>
      </c>
      <c r="AC677" s="83"/>
    </row>
    <row r="678" spans="1:29" ht="15.75" hidden="1" x14ac:dyDescent="0.25">
      <c r="A678" s="57" t="s">
        <v>676</v>
      </c>
      <c r="B678" s="56">
        <v>45684</v>
      </c>
      <c r="C678" s="56" t="s">
        <v>509</v>
      </c>
      <c r="D678" s="69" t="s">
        <v>20</v>
      </c>
      <c r="E678" s="69" t="s">
        <v>95</v>
      </c>
      <c r="F678" s="19" t="s">
        <v>96</v>
      </c>
      <c r="G678" s="69" t="s">
        <v>538</v>
      </c>
      <c r="H678" s="59" t="s">
        <v>24</v>
      </c>
      <c r="I678" s="65" t="s">
        <v>407</v>
      </c>
      <c r="J678" s="59">
        <v>1020100</v>
      </c>
      <c r="K678" s="69" t="s">
        <v>26</v>
      </c>
      <c r="L678" s="60">
        <v>900000</v>
      </c>
      <c r="M678" s="60">
        <v>1</v>
      </c>
      <c r="N678" s="60">
        <f>Main_Issuance[[#This Row],[LC Amt(FCY)]]*Main_Issuance[[#This Row],[Rate]]</f>
        <v>900000</v>
      </c>
      <c r="O678" s="56">
        <v>45777</v>
      </c>
      <c r="P678" s="56">
        <v>45777</v>
      </c>
      <c r="Q678" s="58" t="s">
        <v>27</v>
      </c>
      <c r="R678" s="69" t="s">
        <v>311</v>
      </c>
      <c r="S678" s="71"/>
      <c r="T678" s="71"/>
      <c r="U678" s="71"/>
      <c r="V678" s="68">
        <v>0</v>
      </c>
      <c r="W678" s="115"/>
      <c r="X678" s="191" t="str">
        <f ca="1">IF(AND((Main_Issuance[[#This Row],[Expiry Date]]+31)&gt;TODAY(),Main_Issuance[[#This Row],[Status]]&lt;&gt;"Cancelled"),"Active","Cancelled")</f>
        <v>Cancelled</v>
      </c>
      <c r="Y678" s="409"/>
      <c r="Z678" s="408"/>
      <c r="AA678" s="408" t="s">
        <v>378</v>
      </c>
      <c r="AB678" s="83" cm="1">
        <f t="array" ref="AB678">Iss_Tariff(Main_Issuance[[#This Row],[Bank]],Main_Issuance[[#This Row],[LC Amt(SAR)]],Main_Issuance[[#This Row],[Issue Date.]],Main_Issuance[[#This Row],[Expiry Date]],Main_Issuance[[#This Row],[Calculate]])</f>
        <v>0</v>
      </c>
      <c r="AC678" s="83"/>
    </row>
    <row r="679" spans="1:29" ht="15.75" hidden="1" x14ac:dyDescent="0.25">
      <c r="A679" s="57" t="s">
        <v>331</v>
      </c>
      <c r="B679" s="56">
        <v>45519</v>
      </c>
      <c r="C679" s="56" t="s">
        <v>441</v>
      </c>
      <c r="D679" s="69" t="s">
        <v>20</v>
      </c>
      <c r="E679" s="69" t="s">
        <v>95</v>
      </c>
      <c r="F679" s="19" t="s">
        <v>96</v>
      </c>
      <c r="G679" s="69" t="s">
        <v>332</v>
      </c>
      <c r="H679" s="59" t="s">
        <v>24</v>
      </c>
      <c r="I679" s="65" t="s">
        <v>22</v>
      </c>
      <c r="J679" s="59">
        <v>1020055</v>
      </c>
      <c r="K679" s="69" t="s">
        <v>26</v>
      </c>
      <c r="L679" s="60">
        <v>2238238.98</v>
      </c>
      <c r="M679" s="60">
        <v>1</v>
      </c>
      <c r="N679" s="60">
        <f>Main_Issuance[[#This Row],[LC Amt(FCY)]]*Main_Issuance[[#This Row],[Rate]]</f>
        <v>2238238.98</v>
      </c>
      <c r="O679" s="56">
        <v>45626</v>
      </c>
      <c r="P679" s="56">
        <v>45626</v>
      </c>
      <c r="Q679" s="58" t="s">
        <v>27</v>
      </c>
      <c r="R679" s="69" t="s">
        <v>311</v>
      </c>
      <c r="S679" s="71"/>
      <c r="T679" s="71"/>
      <c r="U679" s="71"/>
      <c r="V679" s="68">
        <v>0</v>
      </c>
      <c r="W679" s="115"/>
      <c r="X679" s="191" t="str">
        <f ca="1">IF(AND((Main_Issuance[[#This Row],[Expiry Date]]+31)&gt;TODAY(),Main_Issuance[[#This Row],[Status]]&lt;&gt;"Cancelled"),"Active","Cancelled")</f>
        <v>Cancelled</v>
      </c>
      <c r="Y679" s="409"/>
      <c r="Z679" s="408"/>
      <c r="AA679" s="408" t="s">
        <v>378</v>
      </c>
      <c r="AB679" s="83" cm="1">
        <f t="array" ref="AB679">Iss_Tariff(Main_Issuance[[#This Row],[Bank]],Main_Issuance[[#This Row],[LC Amt(SAR)]],Main_Issuance[[#This Row],[Issue Date.]],Main_Issuance[[#This Row],[Expiry Date]],Main_Issuance[[#This Row],[Calculate]])</f>
        <v>0</v>
      </c>
      <c r="AC679" s="83"/>
    </row>
    <row r="680" spans="1:29" ht="15.75" hidden="1" x14ac:dyDescent="0.25">
      <c r="A680" s="57" t="s">
        <v>158</v>
      </c>
      <c r="B680" s="56">
        <v>45168</v>
      </c>
      <c r="C680" s="56" t="s">
        <v>441</v>
      </c>
      <c r="D680" s="69" t="s">
        <v>20</v>
      </c>
      <c r="E680" s="69" t="s">
        <v>21</v>
      </c>
      <c r="F680" s="19" t="s">
        <v>22</v>
      </c>
      <c r="G680" s="69" t="s">
        <v>159</v>
      </c>
      <c r="H680" s="59" t="s">
        <v>24</v>
      </c>
      <c r="I680" s="65" t="s">
        <v>22</v>
      </c>
      <c r="J680" s="59">
        <v>1020055</v>
      </c>
      <c r="K680" s="69" t="s">
        <v>26</v>
      </c>
      <c r="L680" s="60">
        <v>2211315.2999999998</v>
      </c>
      <c r="M680" s="60">
        <v>1</v>
      </c>
      <c r="N680" s="60">
        <f>Main_Issuance[[#This Row],[LC Amt(FCY)]]*Main_Issuance[[#This Row],[Rate]]</f>
        <v>2211315.2999999998</v>
      </c>
      <c r="O680" s="56">
        <v>45260</v>
      </c>
      <c r="P680" s="56">
        <v>45260</v>
      </c>
      <c r="Q680" s="58" t="s">
        <v>27</v>
      </c>
      <c r="R680" s="69"/>
      <c r="S680" s="71"/>
      <c r="T680" s="71"/>
      <c r="U680" s="71"/>
      <c r="V680" s="68">
        <v>0</v>
      </c>
      <c r="W680" s="115"/>
      <c r="X680" s="191" t="str">
        <f ca="1">IF(AND((Main_Issuance[[#This Row],[Expiry Date]]+31)&gt;TODAY(),Main_Issuance[[#This Row],[Status]]&lt;&gt;"Cancelled"),"Active","Cancelled")</f>
        <v>Cancelled</v>
      </c>
      <c r="Y680" s="409"/>
      <c r="Z680" s="408"/>
      <c r="AA680" s="408" t="s">
        <v>378</v>
      </c>
      <c r="AB680" s="83" cm="1">
        <f t="array" ref="AB680">Iss_Tariff(Main_Issuance[[#This Row],[Bank]],Main_Issuance[[#This Row],[LC Amt(SAR)]],Main_Issuance[[#This Row],[Issue Date.]],Main_Issuance[[#This Row],[Expiry Date]],Main_Issuance[[#This Row],[Calculate]])</f>
        <v>0</v>
      </c>
      <c r="AC680" s="83"/>
    </row>
    <row r="681" spans="1:29" ht="15.75" hidden="1" x14ac:dyDescent="0.25">
      <c r="A681" s="57" t="s">
        <v>478</v>
      </c>
      <c r="B681" s="56">
        <v>45593</v>
      </c>
      <c r="C681" s="56" t="s">
        <v>509</v>
      </c>
      <c r="D681" s="69" t="s">
        <v>20</v>
      </c>
      <c r="E681" s="69" t="s">
        <v>21</v>
      </c>
      <c r="F681" s="19" t="s">
        <v>22</v>
      </c>
      <c r="G681" s="69" t="s">
        <v>479</v>
      </c>
      <c r="H681" s="59" t="s">
        <v>24</v>
      </c>
      <c r="I681" s="65" t="s">
        <v>407</v>
      </c>
      <c r="J681" s="59">
        <v>1020100</v>
      </c>
      <c r="K681" s="69" t="s">
        <v>26</v>
      </c>
      <c r="L681" s="60">
        <v>2200000</v>
      </c>
      <c r="M681" s="60">
        <v>1</v>
      </c>
      <c r="N681" s="60">
        <f>Main_Issuance[[#This Row],[LC Amt(FCY)]]*Main_Issuance[[#This Row],[Rate]]</f>
        <v>2200000</v>
      </c>
      <c r="O681" s="56">
        <v>45688</v>
      </c>
      <c r="P681" s="56">
        <v>45688</v>
      </c>
      <c r="Q681" s="58" t="s">
        <v>27</v>
      </c>
      <c r="R681" s="69" t="s">
        <v>311</v>
      </c>
      <c r="S681" s="71"/>
      <c r="T681" s="71"/>
      <c r="U681" s="71"/>
      <c r="V681" s="68">
        <v>0</v>
      </c>
      <c r="W681" s="115"/>
      <c r="X681" s="191" t="str">
        <f ca="1">IF(AND((Main_Issuance[[#This Row],[Expiry Date]]+31)&gt;TODAY(),Main_Issuance[[#This Row],[Status]]&lt;&gt;"Cancelled"),"Active","Cancelled")</f>
        <v>Cancelled</v>
      </c>
      <c r="Y681" s="409"/>
      <c r="Z681" s="408"/>
      <c r="AA681" s="408" t="s">
        <v>378</v>
      </c>
      <c r="AB681" s="83" cm="1">
        <f t="array" ref="AB681">Iss_Tariff(Main_Issuance[[#This Row],[Bank]],Main_Issuance[[#This Row],[LC Amt(SAR)]],Main_Issuance[[#This Row],[Issue Date.]],Main_Issuance[[#This Row],[Expiry Date]],Main_Issuance[[#This Row],[Calculate]])</f>
        <v>0</v>
      </c>
      <c r="AC681" s="83"/>
    </row>
    <row r="682" spans="1:29" ht="15.75" hidden="1" x14ac:dyDescent="0.25">
      <c r="A682" s="57" t="s">
        <v>524</v>
      </c>
      <c r="B682" s="56">
        <v>45624</v>
      </c>
      <c r="C682" s="56" t="s">
        <v>441</v>
      </c>
      <c r="D682" s="69" t="s">
        <v>20</v>
      </c>
      <c r="E682" s="69" t="s">
        <v>21</v>
      </c>
      <c r="F682" s="19" t="s">
        <v>22</v>
      </c>
      <c r="G682" s="69" t="s">
        <v>479</v>
      </c>
      <c r="H682" s="59" t="s">
        <v>24</v>
      </c>
      <c r="I682" s="65" t="s">
        <v>22</v>
      </c>
      <c r="J682" s="59">
        <v>1020055</v>
      </c>
      <c r="K682" s="69" t="s">
        <v>26</v>
      </c>
      <c r="L682" s="60">
        <v>2500000</v>
      </c>
      <c r="M682" s="60">
        <v>1</v>
      </c>
      <c r="N682" s="60">
        <f>Main_Issuance[[#This Row],[LC Amt(FCY)]]*Main_Issuance[[#This Row],[Rate]]</f>
        <v>2500000</v>
      </c>
      <c r="O682" s="56">
        <v>45716</v>
      </c>
      <c r="P682" s="56">
        <v>45716</v>
      </c>
      <c r="Q682" s="58" t="s">
        <v>27</v>
      </c>
      <c r="R682" s="69" t="s">
        <v>311</v>
      </c>
      <c r="S682" s="71"/>
      <c r="T682" s="71"/>
      <c r="U682" s="71"/>
      <c r="V682" s="68">
        <v>0</v>
      </c>
      <c r="W682" s="115"/>
      <c r="X682" s="191" t="str">
        <f ca="1">IF(AND((Main_Issuance[[#This Row],[Expiry Date]]+31)&gt;TODAY(),Main_Issuance[[#This Row],[Status]]&lt;&gt;"Cancelled"),"Active","Cancelled")</f>
        <v>Cancelled</v>
      </c>
      <c r="Y682" s="409"/>
      <c r="Z682" s="408"/>
      <c r="AA682" s="408" t="s">
        <v>378</v>
      </c>
      <c r="AB682" s="83" cm="1">
        <f t="array" ref="AB682">Iss_Tariff(Main_Issuance[[#This Row],[Bank]],Main_Issuance[[#This Row],[LC Amt(SAR)]],Main_Issuance[[#This Row],[Issue Date.]],Main_Issuance[[#This Row],[Expiry Date]],Main_Issuance[[#This Row],[Calculate]])</f>
        <v>0</v>
      </c>
      <c r="AC682" s="83"/>
    </row>
    <row r="683" spans="1:29" ht="15.75" hidden="1" x14ac:dyDescent="0.25">
      <c r="A683" s="57" t="s">
        <v>626</v>
      </c>
      <c r="B683" s="56">
        <v>45680</v>
      </c>
      <c r="C683" s="56" t="s">
        <v>441</v>
      </c>
      <c r="D683" s="69" t="s">
        <v>20</v>
      </c>
      <c r="E683" s="69" t="s">
        <v>21</v>
      </c>
      <c r="F683" s="19" t="s">
        <v>22</v>
      </c>
      <c r="G683" s="69" t="s">
        <v>479</v>
      </c>
      <c r="H683" s="59" t="s">
        <v>24</v>
      </c>
      <c r="I683" s="65" t="s">
        <v>22</v>
      </c>
      <c r="J683" s="59">
        <v>1020055</v>
      </c>
      <c r="K683" s="69" t="s">
        <v>26</v>
      </c>
      <c r="L683" s="60">
        <v>2000000</v>
      </c>
      <c r="M683" s="60">
        <v>1</v>
      </c>
      <c r="N683" s="60">
        <f>Main_Issuance[[#This Row],[LC Amt(FCY)]]*Main_Issuance[[#This Row],[Rate]]</f>
        <v>2000000</v>
      </c>
      <c r="O683" s="56">
        <v>45777</v>
      </c>
      <c r="P683" s="56">
        <v>45777</v>
      </c>
      <c r="Q683" s="58" t="s">
        <v>27</v>
      </c>
      <c r="R683" s="69" t="s">
        <v>311</v>
      </c>
      <c r="S683" s="71"/>
      <c r="T683" s="71"/>
      <c r="U683" s="71"/>
      <c r="V683" s="68">
        <v>0</v>
      </c>
      <c r="W683" s="115"/>
      <c r="X683" s="191" t="str">
        <f ca="1">IF(AND((Main_Issuance[[#This Row],[Expiry Date]]+31)&gt;TODAY(),Main_Issuance[[#This Row],[Status]]&lt;&gt;"Cancelled"),"Active","Cancelled")</f>
        <v>Cancelled</v>
      </c>
      <c r="Y683" s="409"/>
      <c r="Z683" s="408"/>
      <c r="AA683" s="408" t="s">
        <v>378</v>
      </c>
      <c r="AB683" s="83" cm="1">
        <f t="array" ref="AB683">Iss_Tariff(Main_Issuance[[#This Row],[Bank]],Main_Issuance[[#This Row],[LC Amt(SAR)]],Main_Issuance[[#This Row],[Issue Date.]],Main_Issuance[[#This Row],[Expiry Date]],Main_Issuance[[#This Row],[Calculate]])</f>
        <v>0</v>
      </c>
      <c r="AC683" s="83"/>
    </row>
    <row r="684" spans="1:29" ht="15.75" hidden="1" x14ac:dyDescent="0.25">
      <c r="A684" s="57" t="s">
        <v>775</v>
      </c>
      <c r="B684" s="56">
        <v>45726</v>
      </c>
      <c r="C684" s="56" t="s">
        <v>441</v>
      </c>
      <c r="D684" s="69" t="s">
        <v>20</v>
      </c>
      <c r="E684" s="69" t="s">
        <v>366</v>
      </c>
      <c r="F684" s="19" t="s">
        <v>710</v>
      </c>
      <c r="G684" s="69" t="s">
        <v>479</v>
      </c>
      <c r="H684" s="19" t="s">
        <v>24</v>
      </c>
      <c r="I684" s="69" t="s">
        <v>710</v>
      </c>
      <c r="J684" s="59">
        <v>1020088</v>
      </c>
      <c r="K684" s="69" t="s">
        <v>26</v>
      </c>
      <c r="L684" s="60">
        <v>1000000</v>
      </c>
      <c r="M684" s="60">
        <v>1</v>
      </c>
      <c r="N684" s="60">
        <f>Main_Issuance[[#This Row],[LC Amt(FCY)]]*Main_Issuance[[#This Row],[Rate]]</f>
        <v>1000000</v>
      </c>
      <c r="O684" s="56">
        <v>45838</v>
      </c>
      <c r="P684" s="56">
        <v>45838</v>
      </c>
      <c r="Q684" s="58" t="s">
        <v>27</v>
      </c>
      <c r="R684" s="69" t="s">
        <v>311</v>
      </c>
      <c r="S684" s="71"/>
      <c r="T684" s="71"/>
      <c r="U684" s="71"/>
      <c r="V684" s="68">
        <v>0</v>
      </c>
      <c r="W684" s="115"/>
      <c r="X684" s="191" t="str">
        <f ca="1">IF(AND((Main_Issuance[[#This Row],[Expiry Date]]+31)&gt;TODAY(),Main_Issuance[[#This Row],[Status]]&lt;&gt;"Cancelled"),"Active","Cancelled")</f>
        <v>Cancelled</v>
      </c>
      <c r="Y684" s="409"/>
      <c r="Z684" s="408"/>
      <c r="AA684" s="408" t="s">
        <v>378</v>
      </c>
      <c r="AB684" s="83" cm="1">
        <f t="array" ref="AB684">Iss_Tariff(Main_Issuance[[#This Row],[Bank]],Main_Issuance[[#This Row],[LC Amt(SAR)]],Main_Issuance[[#This Row],[Issue Date.]],Main_Issuance[[#This Row],[Expiry Date]],Main_Issuance[[#This Row],[Calculate]])</f>
        <v>0</v>
      </c>
      <c r="AC684" s="83"/>
    </row>
    <row r="685" spans="1:29" ht="15.75" hidden="1" x14ac:dyDescent="0.25">
      <c r="A685" s="114" t="s">
        <v>1875</v>
      </c>
      <c r="B685" s="76">
        <v>45914</v>
      </c>
      <c r="C685" s="76" t="s">
        <v>441</v>
      </c>
      <c r="D685" s="78" t="s">
        <v>20</v>
      </c>
      <c r="E685" s="78" t="s">
        <v>366</v>
      </c>
      <c r="F685" s="115" t="s">
        <v>710</v>
      </c>
      <c r="G685" s="123" t="s">
        <v>479</v>
      </c>
      <c r="H685" s="115" t="s">
        <v>24</v>
      </c>
      <c r="I685" s="78" t="s">
        <v>710</v>
      </c>
      <c r="J685" s="113">
        <v>1020088</v>
      </c>
      <c r="K685" s="78" t="s">
        <v>26</v>
      </c>
      <c r="L685" s="119">
        <v>2000000</v>
      </c>
      <c r="M685" s="82">
        <v>1</v>
      </c>
      <c r="N685" s="82">
        <f>Main_Issuance[[#This Row],[LC Amt(FCY)]]*Main_Issuance[[#This Row],[Rate]]</f>
        <v>2000000</v>
      </c>
      <c r="O685" s="76">
        <v>46022</v>
      </c>
      <c r="P685" s="76">
        <v>46022</v>
      </c>
      <c r="Q685" s="77" t="s">
        <v>27</v>
      </c>
      <c r="R685" s="78" t="s">
        <v>621</v>
      </c>
      <c r="S685" s="81"/>
      <c r="T685" s="81"/>
      <c r="U685" s="81"/>
      <c r="V685" s="83">
        <v>0</v>
      </c>
      <c r="W685" s="115"/>
      <c r="X685" s="146" t="str">
        <f ca="1">IF(AND((Main_Issuance[[#This Row],[Expiry Date]]+31)&gt;TODAY(),Main_Issuance[[#This Row],[Status]]&lt;&gt;"Cancelled"),"Active","Cancelled")</f>
        <v>Cancelled</v>
      </c>
      <c r="Y685" s="409"/>
      <c r="Z685" s="408"/>
      <c r="AA685" s="408" t="s">
        <v>378</v>
      </c>
      <c r="AB685" s="83" cm="1">
        <f t="array" ref="AB685">Iss_Tariff(Main_Issuance[[#This Row],[Bank]],Main_Issuance[[#This Row],[LC Amt(SAR)]],Main_Issuance[[#This Row],[Issue Date.]],Main_Issuance[[#This Row],[Expiry Date]],Main_Issuance[[#This Row],[Calculate]])</f>
        <v>0</v>
      </c>
      <c r="AC685" s="83"/>
    </row>
    <row r="686" spans="1:29" ht="15.75" hidden="1" x14ac:dyDescent="0.25">
      <c r="A686" s="508" t="s">
        <v>2905</v>
      </c>
      <c r="B686" s="76">
        <v>45992</v>
      </c>
      <c r="C686" s="76" t="s">
        <v>441</v>
      </c>
      <c r="D686" s="78" t="s">
        <v>20</v>
      </c>
      <c r="E686" s="78" t="s">
        <v>366</v>
      </c>
      <c r="F686" s="115" t="s">
        <v>710</v>
      </c>
      <c r="G686" s="78" t="s">
        <v>479</v>
      </c>
      <c r="H686" s="115" t="s">
        <v>24</v>
      </c>
      <c r="I686" s="78" t="s">
        <v>710</v>
      </c>
      <c r="J686" s="113">
        <v>1020088</v>
      </c>
      <c r="K686" s="78" t="s">
        <v>26</v>
      </c>
      <c r="L686" s="119">
        <v>4000000</v>
      </c>
      <c r="M686" s="82">
        <v>1</v>
      </c>
      <c r="N686" s="82">
        <f>Main_Issuance[[#This Row],[LC Amt(FCY)]]*Main_Issuance[[#This Row],[Rate]]</f>
        <v>4000000</v>
      </c>
      <c r="O686" s="76">
        <v>46203</v>
      </c>
      <c r="P686" s="76">
        <v>46203</v>
      </c>
      <c r="Q686" s="77" t="s">
        <v>27</v>
      </c>
      <c r="R686" s="78" t="s">
        <v>621</v>
      </c>
      <c r="S686" s="81"/>
      <c r="T686" s="81"/>
      <c r="U686" s="81"/>
      <c r="V686" s="83">
        <v>0</v>
      </c>
      <c r="W686" s="115" t="s">
        <v>5083</v>
      </c>
      <c r="X686" s="146" t="str">
        <f ca="1">IF(AND((Main_Issuance[[#This Row],[Expiry Date]]+31)&gt;TODAY(),Main_Issuance[[#This Row],[Status]]&lt;&gt;"Cancelled"),"Active","Cancelled")</f>
        <v>Active</v>
      </c>
      <c r="Y686" s="409"/>
      <c r="Z686" s="408"/>
      <c r="AA686" s="408" t="s">
        <v>857</v>
      </c>
      <c r="AB686" s="83" cm="1">
        <f t="array" ref="AB686">Iss_Tariff(Main_Issuance[[#This Row],[Bank]],Main_Issuance[[#This Row],[LC Amt(SAR)]],Main_Issuance[[#This Row],[Issue Date.]],Main_Issuance[[#This Row],[Expiry Date]],Main_Issuance[[#This Row],[Calculate]])</f>
        <v>23086.25</v>
      </c>
      <c r="AC686" s="83"/>
    </row>
    <row r="687" spans="1:29" ht="15.75" hidden="1" x14ac:dyDescent="0.25">
      <c r="A687" s="114" t="s">
        <v>4559</v>
      </c>
      <c r="B687" s="423">
        <v>46118</v>
      </c>
      <c r="C687" s="423" t="s">
        <v>441</v>
      </c>
      <c r="D687" s="78" t="s">
        <v>20</v>
      </c>
      <c r="E687" s="78" t="s">
        <v>366</v>
      </c>
      <c r="F687" s="115" t="s">
        <v>710</v>
      </c>
      <c r="G687" s="78" t="s">
        <v>4501</v>
      </c>
      <c r="H687" s="113" t="s">
        <v>24</v>
      </c>
      <c r="I687" s="78" t="s">
        <v>710</v>
      </c>
      <c r="J687" s="113">
        <v>1020088</v>
      </c>
      <c r="K687" s="78" t="s">
        <v>26</v>
      </c>
      <c r="L687" s="119">
        <v>900000</v>
      </c>
      <c r="M687" s="82">
        <v>1</v>
      </c>
      <c r="N687" s="82">
        <f>Main_Issuance[[#This Row],[LC Amt(FCY)]]*Main_Issuance[[#This Row],[Rate]]</f>
        <v>900000</v>
      </c>
      <c r="O687" s="423">
        <v>46203</v>
      </c>
      <c r="P687" s="423">
        <v>46203</v>
      </c>
      <c r="Q687" s="424" t="s">
        <v>27</v>
      </c>
      <c r="R687" s="78" t="s">
        <v>4493</v>
      </c>
      <c r="S687" s="81"/>
      <c r="T687" s="81"/>
      <c r="U687" s="81"/>
      <c r="V687" s="83">
        <v>0</v>
      </c>
      <c r="W687" s="115"/>
      <c r="X687" s="436" t="str">
        <f ca="1">IF(AND((Main_Issuance[[#This Row],[Expiry Date]]+31)&gt;TODAY(),Main_Issuance[[#This Row],[Status]]&lt;&gt;"Cancelled"),"Active","Cancelled")</f>
        <v>Active</v>
      </c>
      <c r="Y687" s="96"/>
      <c r="Z687" s="424"/>
      <c r="AA687" s="443" t="s">
        <v>857</v>
      </c>
      <c r="AB687" s="83" cm="1">
        <f t="array" ref="AB687">Iss_Tariff(Main_Issuance[[#This Row],[Bank]],Main_Issuance[[#This Row],[LC Amt(SAR)]],Main_Issuance[[#This Row],[Issue Date.]],Main_Issuance[[#This Row],[Expiry Date]],Main_Issuance[[#This Row],[Calculate]])</f>
        <v>5261.25</v>
      </c>
      <c r="AC687" s="83"/>
    </row>
    <row r="688" spans="1:29" ht="15.75" hidden="1" x14ac:dyDescent="0.25">
      <c r="A688" s="57" t="s">
        <v>232</v>
      </c>
      <c r="B688" s="56">
        <v>45245</v>
      </c>
      <c r="C688" s="56" t="s">
        <v>441</v>
      </c>
      <c r="D688" s="69" t="s">
        <v>20</v>
      </c>
      <c r="E688" s="69" t="s">
        <v>21</v>
      </c>
      <c r="F688" s="19" t="s">
        <v>22</v>
      </c>
      <c r="G688" s="69" t="s">
        <v>233</v>
      </c>
      <c r="H688" s="59" t="s">
        <v>24</v>
      </c>
      <c r="I688" s="65" t="s">
        <v>22</v>
      </c>
      <c r="J688" s="59">
        <v>1020055</v>
      </c>
      <c r="K688" s="69" t="s">
        <v>26</v>
      </c>
      <c r="L688" s="60">
        <v>2000000</v>
      </c>
      <c r="M688" s="60">
        <v>1</v>
      </c>
      <c r="N688" s="60">
        <f>Main_Issuance[[#This Row],[LC Amt(FCY)]]*Main_Issuance[[#This Row],[Rate]]</f>
        <v>2000000</v>
      </c>
      <c r="O688" s="56">
        <v>45322</v>
      </c>
      <c r="P688" s="56">
        <v>45322</v>
      </c>
      <c r="Q688" s="58" t="s">
        <v>27</v>
      </c>
      <c r="R688" s="69"/>
      <c r="S688" s="71"/>
      <c r="T688" s="71"/>
      <c r="U688" s="71"/>
      <c r="V688" s="68">
        <v>0</v>
      </c>
      <c r="W688" s="115"/>
      <c r="X688" s="191" t="str">
        <f ca="1">IF(AND((Main_Issuance[[#This Row],[Expiry Date]]+31)&gt;TODAY(),Main_Issuance[[#This Row],[Status]]&lt;&gt;"Cancelled"),"Active","Cancelled")</f>
        <v>Cancelled</v>
      </c>
      <c r="Y688" s="409"/>
      <c r="Z688" s="408"/>
      <c r="AA688" s="408" t="s">
        <v>378</v>
      </c>
      <c r="AB688" s="83" cm="1">
        <f t="array" ref="AB688">Iss_Tariff(Main_Issuance[[#This Row],[Bank]],Main_Issuance[[#This Row],[LC Amt(SAR)]],Main_Issuance[[#This Row],[Issue Date.]],Main_Issuance[[#This Row],[Expiry Date]],Main_Issuance[[#This Row],[Calculate]])</f>
        <v>0</v>
      </c>
      <c r="AC688" s="83"/>
    </row>
    <row r="689" spans="1:29" ht="15.75" hidden="1" x14ac:dyDescent="0.25">
      <c r="A689" s="57" t="s">
        <v>462</v>
      </c>
      <c r="B689" s="56">
        <v>45616</v>
      </c>
      <c r="C689" s="188" t="s">
        <v>441</v>
      </c>
      <c r="D689" s="69" t="s">
        <v>20</v>
      </c>
      <c r="E689" s="69" t="s">
        <v>95</v>
      </c>
      <c r="F689" s="19" t="s">
        <v>96</v>
      </c>
      <c r="G689" s="69" t="s">
        <v>463</v>
      </c>
      <c r="H689" s="59" t="s">
        <v>72</v>
      </c>
      <c r="I689" s="65" t="s">
        <v>325</v>
      </c>
      <c r="J689" s="59">
        <v>1020068</v>
      </c>
      <c r="K689" s="69" t="s">
        <v>26</v>
      </c>
      <c r="L689" s="60">
        <v>10000000</v>
      </c>
      <c r="M689" s="60">
        <v>1</v>
      </c>
      <c r="N689" s="60">
        <f>Main_Issuance[[#This Row],[LC Amt(FCY)]]*Main_Issuance[[#This Row],[Rate]]</f>
        <v>10000000</v>
      </c>
      <c r="O689" s="56">
        <v>45716</v>
      </c>
      <c r="P689" s="56">
        <v>45692</v>
      </c>
      <c r="Q689" s="58" t="s">
        <v>27</v>
      </c>
      <c r="R689" s="69" t="s">
        <v>208</v>
      </c>
      <c r="S689" s="71"/>
      <c r="T689" s="71"/>
      <c r="U689" s="71"/>
      <c r="V689" s="68">
        <v>0</v>
      </c>
      <c r="W689" s="115"/>
      <c r="X689" s="191" t="str">
        <f ca="1">IF(AND((Main_Issuance[[#This Row],[Expiry Date]]+31)&gt;TODAY(),Main_Issuance[[#This Row],[Status]]&lt;&gt;"Cancelled"),"Active","Cancelled")</f>
        <v>Cancelled</v>
      </c>
      <c r="Y689" s="409"/>
      <c r="Z689" s="408"/>
      <c r="AA689" s="408" t="s">
        <v>378</v>
      </c>
      <c r="AB689" s="83" cm="1">
        <f t="array" ref="AB689">Iss_Tariff(Main_Issuance[[#This Row],[Bank]],Main_Issuance[[#This Row],[LC Amt(SAR)]],Main_Issuance[[#This Row],[Issue Date.]],Main_Issuance[[#This Row],[Expiry Date]],Main_Issuance[[#This Row],[Calculate]])</f>
        <v>0</v>
      </c>
      <c r="AC689" s="83"/>
    </row>
    <row r="690" spans="1:29" ht="15.75" hidden="1" x14ac:dyDescent="0.25">
      <c r="A690" s="57" t="s">
        <v>622</v>
      </c>
      <c r="B690" s="56">
        <v>45680</v>
      </c>
      <c r="C690" s="56" t="s">
        <v>441</v>
      </c>
      <c r="D690" s="69" t="s">
        <v>20</v>
      </c>
      <c r="E690" s="69" t="s">
        <v>21</v>
      </c>
      <c r="F690" s="19" t="s">
        <v>22</v>
      </c>
      <c r="G690" s="69" t="s">
        <v>623</v>
      </c>
      <c r="H690" s="59" t="s">
        <v>24</v>
      </c>
      <c r="I690" s="65" t="s">
        <v>22</v>
      </c>
      <c r="J690" s="59">
        <v>1020055</v>
      </c>
      <c r="K690" s="69" t="s">
        <v>26</v>
      </c>
      <c r="L690" s="60">
        <v>1420509.01</v>
      </c>
      <c r="M690" s="60">
        <v>1</v>
      </c>
      <c r="N690" s="60">
        <f>Main_Issuance[[#This Row],[LC Amt(FCY)]]*Main_Issuance[[#This Row],[Rate]]</f>
        <v>1420509.01</v>
      </c>
      <c r="O690" s="56">
        <v>45777</v>
      </c>
      <c r="P690" s="56">
        <v>45777</v>
      </c>
      <c r="Q690" s="58" t="s">
        <v>27</v>
      </c>
      <c r="R690" s="69" t="s">
        <v>311</v>
      </c>
      <c r="S690" s="71"/>
      <c r="T690" s="71"/>
      <c r="U690" s="71"/>
      <c r="V690" s="68">
        <v>0</v>
      </c>
      <c r="W690" s="115"/>
      <c r="X690" s="191" t="str">
        <f ca="1">IF(AND((Main_Issuance[[#This Row],[Expiry Date]]+31)&gt;TODAY(),Main_Issuance[[#This Row],[Status]]&lt;&gt;"Cancelled"),"Active","Cancelled")</f>
        <v>Cancelled</v>
      </c>
      <c r="Y690" s="409"/>
      <c r="Z690" s="408"/>
      <c r="AA690" s="408" t="s">
        <v>378</v>
      </c>
      <c r="AB690" s="83" cm="1">
        <f t="array" ref="AB690">Iss_Tariff(Main_Issuance[[#This Row],[Bank]],Main_Issuance[[#This Row],[LC Amt(SAR)]],Main_Issuance[[#This Row],[Issue Date.]],Main_Issuance[[#This Row],[Expiry Date]],Main_Issuance[[#This Row],[Calculate]])</f>
        <v>0</v>
      </c>
      <c r="AC690" s="83"/>
    </row>
    <row r="691" spans="1:29" ht="15.75" hidden="1" x14ac:dyDescent="0.25">
      <c r="A691" s="114" t="s">
        <v>1792</v>
      </c>
      <c r="B691" s="76">
        <v>45893</v>
      </c>
      <c r="C691" s="76" t="s">
        <v>441</v>
      </c>
      <c r="D691" s="78" t="s">
        <v>20</v>
      </c>
      <c r="E691" s="78" t="s">
        <v>21</v>
      </c>
      <c r="F691" s="115" t="s">
        <v>22</v>
      </c>
      <c r="G691" s="123" t="s">
        <v>1586</v>
      </c>
      <c r="H691" s="115" t="s">
        <v>24</v>
      </c>
      <c r="I691" s="78" t="s">
        <v>22</v>
      </c>
      <c r="J691" s="113">
        <v>1020055</v>
      </c>
      <c r="K691" s="78" t="s">
        <v>26</v>
      </c>
      <c r="L691" s="60">
        <v>900000</v>
      </c>
      <c r="M691" s="60">
        <v>1</v>
      </c>
      <c r="N691" s="60">
        <f>Main_Issuance[[#This Row],[LC Amt(FCY)]]*Main_Issuance[[#This Row],[Rate]]</f>
        <v>900000</v>
      </c>
      <c r="O691" s="76">
        <v>45991</v>
      </c>
      <c r="P691" s="76">
        <v>45991</v>
      </c>
      <c r="Q691" s="77" t="s">
        <v>27</v>
      </c>
      <c r="R691" s="78" t="s">
        <v>621</v>
      </c>
      <c r="S691" s="81"/>
      <c r="T691" s="81"/>
      <c r="U691" s="81"/>
      <c r="V691" s="83">
        <v>0</v>
      </c>
      <c r="W691" s="115"/>
      <c r="X691" s="146" t="str">
        <f ca="1">IF(AND((Main_Issuance[[#This Row],[Expiry Date]]+31)&gt;TODAY(),Main_Issuance[[#This Row],[Status]]&lt;&gt;"Cancelled"),"Active","Cancelled")</f>
        <v>Cancelled</v>
      </c>
      <c r="Y691" s="409"/>
      <c r="Z691" s="408"/>
      <c r="AA691" s="408" t="s">
        <v>378</v>
      </c>
      <c r="AB691" s="83" cm="1">
        <f t="array" ref="AB691">Iss_Tariff(Main_Issuance[[#This Row],[Bank]],Main_Issuance[[#This Row],[LC Amt(SAR)]],Main_Issuance[[#This Row],[Issue Date.]],Main_Issuance[[#This Row],[Expiry Date]],Main_Issuance[[#This Row],[Calculate]])</f>
        <v>0</v>
      </c>
      <c r="AC691" s="83"/>
    </row>
    <row r="692" spans="1:29" ht="15.75" hidden="1" x14ac:dyDescent="0.25">
      <c r="A692" s="57" t="s">
        <v>812</v>
      </c>
      <c r="B692" s="56">
        <v>45739</v>
      </c>
      <c r="C692" s="56" t="s">
        <v>441</v>
      </c>
      <c r="D692" s="69" t="s">
        <v>20</v>
      </c>
      <c r="E692" s="69" t="s">
        <v>21</v>
      </c>
      <c r="F692" s="19" t="s">
        <v>22</v>
      </c>
      <c r="G692" s="69" t="s">
        <v>813</v>
      </c>
      <c r="H692" s="19" t="s">
        <v>24</v>
      </c>
      <c r="I692" s="69" t="s">
        <v>22</v>
      </c>
      <c r="J692" s="59">
        <v>1020055</v>
      </c>
      <c r="K692" s="69" t="s">
        <v>26</v>
      </c>
      <c r="L692" s="60">
        <v>332775</v>
      </c>
      <c r="M692" s="60">
        <v>1</v>
      </c>
      <c r="N692" s="60">
        <f>Main_Issuance[[#This Row],[LC Amt(FCY)]]*Main_Issuance[[#This Row],[Rate]]</f>
        <v>332775</v>
      </c>
      <c r="O692" s="56">
        <v>45838</v>
      </c>
      <c r="P692" s="56">
        <v>45838</v>
      </c>
      <c r="Q692" s="58" t="s">
        <v>27</v>
      </c>
      <c r="R692" s="69" t="s">
        <v>311</v>
      </c>
      <c r="S692" s="71"/>
      <c r="T692" s="71"/>
      <c r="U692" s="71"/>
      <c r="V692" s="68">
        <v>0</v>
      </c>
      <c r="W692" s="115"/>
      <c r="X692" s="191" t="str">
        <f ca="1">IF(AND((Main_Issuance[[#This Row],[Expiry Date]]+31)&gt;TODAY(),Main_Issuance[[#This Row],[Status]]&lt;&gt;"Cancelled"),"Active","Cancelled")</f>
        <v>Cancelled</v>
      </c>
      <c r="Y692" s="409"/>
      <c r="Z692" s="408"/>
      <c r="AA692" s="408" t="s">
        <v>378</v>
      </c>
      <c r="AB692" s="83" cm="1">
        <f t="array" ref="AB692">Iss_Tariff(Main_Issuance[[#This Row],[Bank]],Main_Issuance[[#This Row],[LC Amt(SAR)]],Main_Issuance[[#This Row],[Issue Date.]],Main_Issuance[[#This Row],[Expiry Date]],Main_Issuance[[#This Row],[Calculate]])</f>
        <v>0</v>
      </c>
      <c r="AC692" s="83"/>
    </row>
    <row r="693" spans="1:29" ht="15.75" hidden="1" x14ac:dyDescent="0.25">
      <c r="A693" s="114" t="s">
        <v>1344</v>
      </c>
      <c r="B693" s="76">
        <v>45792</v>
      </c>
      <c r="C693" s="76" t="s">
        <v>441</v>
      </c>
      <c r="D693" s="78" t="s">
        <v>20</v>
      </c>
      <c r="E693" s="78" t="s">
        <v>21</v>
      </c>
      <c r="F693" s="115" t="s">
        <v>22</v>
      </c>
      <c r="G693" s="78" t="s">
        <v>1318</v>
      </c>
      <c r="H693" s="115" t="s">
        <v>24</v>
      </c>
      <c r="I693" s="78" t="s">
        <v>22</v>
      </c>
      <c r="J693" s="115">
        <v>1020055</v>
      </c>
      <c r="K693" s="78" t="s">
        <v>26</v>
      </c>
      <c r="L693" s="60">
        <v>613577</v>
      </c>
      <c r="M693" s="60">
        <v>1</v>
      </c>
      <c r="N693" s="60">
        <f>Main_Issuance[[#This Row],[LC Amt(FCY)]]*Main_Issuance[[#This Row],[Rate]]</f>
        <v>613577</v>
      </c>
      <c r="O693" s="76">
        <v>45900</v>
      </c>
      <c r="P693" s="76">
        <v>45900</v>
      </c>
      <c r="Q693" s="77" t="s">
        <v>27</v>
      </c>
      <c r="R693" s="78" t="s">
        <v>621</v>
      </c>
      <c r="S693" s="81"/>
      <c r="T693" s="81"/>
      <c r="U693" s="81"/>
      <c r="V693" s="83">
        <v>0</v>
      </c>
      <c r="W693" s="115"/>
      <c r="X693" s="146" t="str">
        <f ca="1">IF(AND((Main_Issuance[[#This Row],[Expiry Date]]+31)&gt;TODAY(),Main_Issuance[[#This Row],[Status]]&lt;&gt;"Cancelled"),"Active","Cancelled")</f>
        <v>Cancelled</v>
      </c>
      <c r="Y693" s="409"/>
      <c r="Z693" s="408"/>
      <c r="AA693" s="408" t="s">
        <v>378</v>
      </c>
      <c r="AB693" s="83" cm="1">
        <f t="array" ref="AB693">Iss_Tariff(Main_Issuance[[#This Row],[Bank]],Main_Issuance[[#This Row],[LC Amt(SAR)]],Main_Issuance[[#This Row],[Issue Date.]],Main_Issuance[[#This Row],[Expiry Date]],Main_Issuance[[#This Row],[Calculate]])</f>
        <v>0</v>
      </c>
      <c r="AC693" s="83"/>
    </row>
    <row r="694" spans="1:29" ht="15.75" hidden="1" x14ac:dyDescent="0.25">
      <c r="A694" s="57" t="s">
        <v>456</v>
      </c>
      <c r="B694" s="56">
        <v>45580</v>
      </c>
      <c r="C694" s="56" t="s">
        <v>1181</v>
      </c>
      <c r="D694" s="69" t="s">
        <v>20</v>
      </c>
      <c r="E694" s="69" t="s">
        <v>373</v>
      </c>
      <c r="F694" s="19" t="s">
        <v>63</v>
      </c>
      <c r="G694" s="69" t="s">
        <v>457</v>
      </c>
      <c r="H694" s="59" t="s">
        <v>72</v>
      </c>
      <c r="I694" s="65" t="s">
        <v>81</v>
      </c>
      <c r="J694" s="59">
        <v>1020070</v>
      </c>
      <c r="K694" s="69" t="s">
        <v>26</v>
      </c>
      <c r="L694" s="60">
        <v>127650</v>
      </c>
      <c r="M694" s="60">
        <v>1</v>
      </c>
      <c r="N694" s="60">
        <f>Main_Issuance[[#This Row],[LC Amt(FCY)]]*Main_Issuance[[#This Row],[Rate]]</f>
        <v>127650</v>
      </c>
      <c r="O694" s="56">
        <v>45631</v>
      </c>
      <c r="P694" s="56">
        <v>45611</v>
      </c>
      <c r="Q694" s="58" t="s">
        <v>27</v>
      </c>
      <c r="R694" s="69" t="s">
        <v>208</v>
      </c>
      <c r="S694" s="71"/>
      <c r="T694" s="71"/>
      <c r="U694" s="71"/>
      <c r="V694" s="68">
        <v>0</v>
      </c>
      <c r="W694" s="115"/>
      <c r="X694" s="191" t="str">
        <f ca="1">IF(AND((Main_Issuance[[#This Row],[Expiry Date]]+31)&gt;TODAY(),Main_Issuance[[#This Row],[Status]]&lt;&gt;"Cancelled"),"Active","Cancelled")</f>
        <v>Cancelled</v>
      </c>
      <c r="Y694" s="409"/>
      <c r="Z694" s="408"/>
      <c r="AA694" s="408" t="s">
        <v>378</v>
      </c>
      <c r="AB694" s="83" cm="1">
        <f t="array" ref="AB694">Iss_Tariff(Main_Issuance[[#This Row],[Bank]],Main_Issuance[[#This Row],[LC Amt(SAR)]],Main_Issuance[[#This Row],[Issue Date.]],Main_Issuance[[#This Row],[Expiry Date]],Main_Issuance[[#This Row],[Calculate]])</f>
        <v>0</v>
      </c>
      <c r="AC694" s="83"/>
    </row>
    <row r="695" spans="1:29" ht="15.75" hidden="1" x14ac:dyDescent="0.25">
      <c r="A695" s="57" t="s">
        <v>617</v>
      </c>
      <c r="B695" s="56">
        <v>45684</v>
      </c>
      <c r="C695" s="56" t="s">
        <v>441</v>
      </c>
      <c r="D695" s="69" t="s">
        <v>20</v>
      </c>
      <c r="E695" s="69" t="s">
        <v>612</v>
      </c>
      <c r="F695" s="19" t="s">
        <v>613</v>
      </c>
      <c r="G695" s="69" t="s">
        <v>618</v>
      </c>
      <c r="H695" s="59" t="s">
        <v>24</v>
      </c>
      <c r="I695" s="69" t="s">
        <v>613</v>
      </c>
      <c r="J695" s="115">
        <v>1020106</v>
      </c>
      <c r="K695" s="69" t="s">
        <v>26</v>
      </c>
      <c r="L695" s="60">
        <v>715921</v>
      </c>
      <c r="M695" s="60">
        <v>1</v>
      </c>
      <c r="N695" s="60">
        <f>Main_Issuance[[#This Row],[LC Amt(FCY)]]*Main_Issuance[[#This Row],[Rate]]</f>
        <v>715921</v>
      </c>
      <c r="O695" s="56">
        <v>45777</v>
      </c>
      <c r="P695" s="56">
        <v>45777</v>
      </c>
      <c r="Q695" s="58" t="s">
        <v>27</v>
      </c>
      <c r="R695" s="69" t="s">
        <v>425</v>
      </c>
      <c r="S695" s="71"/>
      <c r="T695" s="71"/>
      <c r="U695" s="71"/>
      <c r="V695" s="68">
        <v>0</v>
      </c>
      <c r="W695" s="115"/>
      <c r="X695" s="191" t="str">
        <f ca="1">IF(AND((Main_Issuance[[#This Row],[Expiry Date]]+31)&gt;TODAY(),Main_Issuance[[#This Row],[Status]]&lt;&gt;"Cancelled"),"Active","Cancelled")</f>
        <v>Cancelled</v>
      </c>
      <c r="Y695" s="409"/>
      <c r="Z695" s="408"/>
      <c r="AA695" s="408" t="s">
        <v>378</v>
      </c>
      <c r="AB695" s="83" cm="1">
        <f t="array" ref="AB695">Iss_Tariff(Main_Issuance[[#This Row],[Bank]],Main_Issuance[[#This Row],[LC Amt(SAR)]],Main_Issuance[[#This Row],[Issue Date.]],Main_Issuance[[#This Row],[Expiry Date]],Main_Issuance[[#This Row],[Calculate]])</f>
        <v>0</v>
      </c>
      <c r="AC695" s="83"/>
    </row>
    <row r="696" spans="1:29" ht="15.75" hidden="1" x14ac:dyDescent="0.25">
      <c r="A696" s="114" t="s">
        <v>1232</v>
      </c>
      <c r="B696" s="76">
        <v>45775</v>
      </c>
      <c r="C696" s="76" t="s">
        <v>441</v>
      </c>
      <c r="D696" s="78" t="s">
        <v>20</v>
      </c>
      <c r="E696" s="78" t="s">
        <v>612</v>
      </c>
      <c r="F696" s="115" t="s">
        <v>613</v>
      </c>
      <c r="G696" s="78" t="s">
        <v>1206</v>
      </c>
      <c r="H696" s="113" t="s">
        <v>24</v>
      </c>
      <c r="I696" s="79" t="s">
        <v>613</v>
      </c>
      <c r="J696" s="115">
        <v>1020106</v>
      </c>
      <c r="K696" s="78" t="s">
        <v>26</v>
      </c>
      <c r="L696" s="60">
        <v>1918775</v>
      </c>
      <c r="M696" s="60">
        <v>1</v>
      </c>
      <c r="N696" s="60">
        <f>Main_Issuance[[#This Row],[LC Amt(FCY)]]*Main_Issuance[[#This Row],[Rate]]</f>
        <v>1918775</v>
      </c>
      <c r="O696" s="76">
        <v>45869</v>
      </c>
      <c r="P696" s="76">
        <v>45869</v>
      </c>
      <c r="Q696" s="77" t="s">
        <v>27</v>
      </c>
      <c r="R696" s="78" t="s">
        <v>311</v>
      </c>
      <c r="S696" s="81"/>
      <c r="T696" s="81"/>
      <c r="U696" s="81"/>
      <c r="V696" s="83"/>
      <c r="W696" s="115"/>
      <c r="X696" s="146" t="str">
        <f ca="1">IF(AND((Main_Issuance[[#This Row],[Expiry Date]]+31)&gt;TODAY(),Main_Issuance[[#This Row],[Status]]&lt;&gt;"Cancelled"),"Active","Cancelled")</f>
        <v>Cancelled</v>
      </c>
      <c r="Y696" s="409"/>
      <c r="Z696" s="408"/>
      <c r="AA696" s="408" t="s">
        <v>378</v>
      </c>
      <c r="AB696" s="83" cm="1">
        <f t="array" ref="AB696">Iss_Tariff(Main_Issuance[[#This Row],[Bank]],Main_Issuance[[#This Row],[LC Amt(SAR)]],Main_Issuance[[#This Row],[Issue Date.]],Main_Issuance[[#This Row],[Expiry Date]],Main_Issuance[[#This Row],[Calculate]])</f>
        <v>0</v>
      </c>
      <c r="AC696" s="83"/>
    </row>
    <row r="697" spans="1:29" ht="15.75" hidden="1" x14ac:dyDescent="0.25">
      <c r="A697" s="57" t="s">
        <v>808</v>
      </c>
      <c r="B697" s="56">
        <v>45739</v>
      </c>
      <c r="C697" s="56" t="s">
        <v>441</v>
      </c>
      <c r="D697" s="69" t="s">
        <v>20</v>
      </c>
      <c r="E697" s="69" t="s">
        <v>21</v>
      </c>
      <c r="F697" s="19" t="s">
        <v>22</v>
      </c>
      <c r="G697" s="69" t="s">
        <v>809</v>
      </c>
      <c r="H697" s="19" t="s">
        <v>24</v>
      </c>
      <c r="I697" s="69" t="s">
        <v>22</v>
      </c>
      <c r="J697" s="59">
        <v>1020055</v>
      </c>
      <c r="K697" s="69" t="s">
        <v>26</v>
      </c>
      <c r="L697" s="60">
        <v>450975.31</v>
      </c>
      <c r="M697" s="60">
        <v>1</v>
      </c>
      <c r="N697" s="60">
        <f>Main_Issuance[[#This Row],[LC Amt(FCY)]]*Main_Issuance[[#This Row],[Rate]]</f>
        <v>450975.31</v>
      </c>
      <c r="O697" s="56">
        <v>45838</v>
      </c>
      <c r="P697" s="56">
        <v>45838</v>
      </c>
      <c r="Q697" s="58" t="s">
        <v>27</v>
      </c>
      <c r="R697" s="69" t="s">
        <v>311</v>
      </c>
      <c r="S697" s="71"/>
      <c r="T697" s="71"/>
      <c r="U697" s="71"/>
      <c r="V697" s="68">
        <v>0</v>
      </c>
      <c r="W697" s="115"/>
      <c r="X697" s="191" t="str">
        <f ca="1">IF(AND((Main_Issuance[[#This Row],[Expiry Date]]+31)&gt;TODAY(),Main_Issuance[[#This Row],[Status]]&lt;&gt;"Cancelled"),"Active","Cancelled")</f>
        <v>Cancelled</v>
      </c>
      <c r="Y697" s="409"/>
      <c r="Z697" s="408"/>
      <c r="AA697" s="408" t="s">
        <v>378</v>
      </c>
      <c r="AB697" s="83" cm="1">
        <f t="array" ref="AB697">Iss_Tariff(Main_Issuance[[#This Row],[Bank]],Main_Issuance[[#This Row],[LC Amt(SAR)]],Main_Issuance[[#This Row],[Issue Date.]],Main_Issuance[[#This Row],[Expiry Date]],Main_Issuance[[#This Row],[Calculate]])</f>
        <v>0</v>
      </c>
      <c r="AC697" s="83"/>
    </row>
    <row r="698" spans="1:29" ht="15.75" hidden="1" x14ac:dyDescent="0.25">
      <c r="A698" s="114" t="s">
        <v>1315</v>
      </c>
      <c r="B698" s="76">
        <v>45788</v>
      </c>
      <c r="C698" s="76" t="s">
        <v>441</v>
      </c>
      <c r="D698" s="69" t="s">
        <v>20</v>
      </c>
      <c r="E698" s="78" t="s">
        <v>21</v>
      </c>
      <c r="F698" s="115" t="s">
        <v>22</v>
      </c>
      <c r="G698" s="78" t="s">
        <v>1265</v>
      </c>
      <c r="H698" s="115" t="s">
        <v>24</v>
      </c>
      <c r="I698" s="78" t="s">
        <v>22</v>
      </c>
      <c r="J698" s="115">
        <v>1020055</v>
      </c>
      <c r="K698" s="78" t="s">
        <v>26</v>
      </c>
      <c r="L698" s="60">
        <v>102859.94</v>
      </c>
      <c r="M698" s="60">
        <v>1</v>
      </c>
      <c r="N698" s="60">
        <f>Main_Issuance[[#This Row],[LC Amt(FCY)]]*Main_Issuance[[#This Row],[Rate]]</f>
        <v>102859.94</v>
      </c>
      <c r="O698" s="76">
        <v>45961</v>
      </c>
      <c r="P698" s="76">
        <v>45961</v>
      </c>
      <c r="Q698" s="77" t="s">
        <v>27</v>
      </c>
      <c r="R698" s="78" t="s">
        <v>621</v>
      </c>
      <c r="S698" s="81"/>
      <c r="T698" s="81"/>
      <c r="U698" s="81"/>
      <c r="V698" s="83">
        <v>0</v>
      </c>
      <c r="W698" s="115" t="s">
        <v>1846</v>
      </c>
      <c r="X698" s="146" t="str">
        <f ca="1">IF(AND((Main_Issuance[[#This Row],[Expiry Date]]+31)&gt;TODAY(),Main_Issuance[[#This Row],[Status]]&lt;&gt;"Cancelled"),"Active","Cancelled")</f>
        <v>Cancelled</v>
      </c>
      <c r="Y698" s="412"/>
      <c r="Z698" s="408"/>
      <c r="AA698" s="408" t="s">
        <v>378</v>
      </c>
      <c r="AB698" s="83" cm="1">
        <f t="array" ref="AB698">Iss_Tariff(Main_Issuance[[#This Row],[Bank]],Main_Issuance[[#This Row],[LC Amt(SAR)]],Main_Issuance[[#This Row],[Issue Date.]],Main_Issuance[[#This Row],[Expiry Date]],Main_Issuance[[#This Row],[Calculate]])</f>
        <v>0</v>
      </c>
      <c r="AC698" s="83"/>
    </row>
    <row r="699" spans="1:29" ht="15.75" hidden="1" x14ac:dyDescent="0.25">
      <c r="A699" s="114" t="s">
        <v>1342</v>
      </c>
      <c r="B699" s="76">
        <v>45792</v>
      </c>
      <c r="C699" s="76" t="s">
        <v>441</v>
      </c>
      <c r="D699" s="78" t="s">
        <v>20</v>
      </c>
      <c r="E699" s="78" t="s">
        <v>21</v>
      </c>
      <c r="F699" s="115" t="s">
        <v>22</v>
      </c>
      <c r="G699" s="78" t="s">
        <v>1265</v>
      </c>
      <c r="H699" s="115" t="s">
        <v>24</v>
      </c>
      <c r="I699" s="78" t="s">
        <v>22</v>
      </c>
      <c r="J699" s="115">
        <v>1020055</v>
      </c>
      <c r="K699" s="78" t="s">
        <v>26</v>
      </c>
      <c r="L699" s="60">
        <v>292628.84000000003</v>
      </c>
      <c r="M699" s="60">
        <v>1</v>
      </c>
      <c r="N699" s="60">
        <f>Main_Issuance[[#This Row],[LC Amt(FCY)]]*Main_Issuance[[#This Row],[Rate]]</f>
        <v>292628.84000000003</v>
      </c>
      <c r="O699" s="76">
        <v>45900</v>
      </c>
      <c r="P699" s="76">
        <v>45900</v>
      </c>
      <c r="Q699" s="77" t="s">
        <v>27</v>
      </c>
      <c r="R699" s="78" t="s">
        <v>621</v>
      </c>
      <c r="S699" s="81"/>
      <c r="T699" s="81"/>
      <c r="U699" s="81"/>
      <c r="V699" s="83">
        <v>0</v>
      </c>
      <c r="W699" s="115"/>
      <c r="X699" s="146" t="str">
        <f ca="1">IF(AND((Main_Issuance[[#This Row],[Expiry Date]]+31)&gt;TODAY(),Main_Issuance[[#This Row],[Status]]&lt;&gt;"Cancelled"),"Active","Cancelled")</f>
        <v>Cancelled</v>
      </c>
      <c r="Y699" s="409"/>
      <c r="Z699" s="408"/>
      <c r="AA699" s="408" t="s">
        <v>378</v>
      </c>
      <c r="AB699" s="83" cm="1">
        <f t="array" ref="AB699">Iss_Tariff(Main_Issuance[[#This Row],[Bank]],Main_Issuance[[#This Row],[LC Amt(SAR)]],Main_Issuance[[#This Row],[Issue Date.]],Main_Issuance[[#This Row],[Expiry Date]],Main_Issuance[[#This Row],[Calculate]])</f>
        <v>0</v>
      </c>
      <c r="AC699" s="83"/>
    </row>
    <row r="700" spans="1:29" ht="15.75" hidden="1" x14ac:dyDescent="0.25">
      <c r="A700" s="114" t="s">
        <v>2395</v>
      </c>
      <c r="B700" s="76">
        <v>45959</v>
      </c>
      <c r="C700" s="76" t="s">
        <v>3566</v>
      </c>
      <c r="D700" s="78" t="s">
        <v>20</v>
      </c>
      <c r="E700" s="78" t="s">
        <v>612</v>
      </c>
      <c r="F700" s="115" t="s">
        <v>613</v>
      </c>
      <c r="G700" s="78" t="s">
        <v>809</v>
      </c>
      <c r="H700" s="113" t="s">
        <v>24</v>
      </c>
      <c r="I700" s="78" t="s">
        <v>613</v>
      </c>
      <c r="J700" s="115">
        <v>1020106</v>
      </c>
      <c r="K700" s="78" t="s">
        <v>26</v>
      </c>
      <c r="L700" s="119">
        <v>282279.51</v>
      </c>
      <c r="M700" s="82">
        <v>1</v>
      </c>
      <c r="N700" s="82">
        <f>Main_Issuance[[#This Row],[LC Amt(FCY)]]*Main_Issuance[[#This Row],[Rate]]</f>
        <v>282279.51</v>
      </c>
      <c r="O700" s="76">
        <v>45991</v>
      </c>
      <c r="P700" s="76">
        <v>45991</v>
      </c>
      <c r="Q700" s="77" t="s">
        <v>27</v>
      </c>
      <c r="R700" s="78" t="s">
        <v>1904</v>
      </c>
      <c r="S700" s="81"/>
      <c r="T700" s="81"/>
      <c r="U700" s="81"/>
      <c r="V700" s="83">
        <v>0</v>
      </c>
      <c r="W700" s="115"/>
      <c r="X700" s="146" t="str">
        <f ca="1">IF(AND((Main_Issuance[[#This Row],[Expiry Date]]+31)&gt;TODAY(),Main_Issuance[[#This Row],[Status]]&lt;&gt;"Cancelled"),"Active","Cancelled")</f>
        <v>Cancelled</v>
      </c>
      <c r="Y700" s="409"/>
      <c r="Z700" s="408"/>
      <c r="AA700" s="408" t="s">
        <v>378</v>
      </c>
      <c r="AB700" s="83" cm="1">
        <f t="array" ref="AB700">Iss_Tariff(Main_Issuance[[#This Row],[Bank]],Main_Issuance[[#This Row],[LC Amt(SAR)]],Main_Issuance[[#This Row],[Issue Date.]],Main_Issuance[[#This Row],[Expiry Date]],Main_Issuance[[#This Row],[Calculate]])</f>
        <v>0</v>
      </c>
      <c r="AC700" s="83"/>
    </row>
    <row r="701" spans="1:29" ht="15.75" hidden="1" x14ac:dyDescent="0.25">
      <c r="A701" s="57" t="s">
        <v>350</v>
      </c>
      <c r="B701" s="56">
        <v>45533</v>
      </c>
      <c r="C701" s="58" t="s">
        <v>441</v>
      </c>
      <c r="D701" s="69" t="s">
        <v>20</v>
      </c>
      <c r="E701" s="69" t="s">
        <v>95</v>
      </c>
      <c r="F701" s="19" t="s">
        <v>96</v>
      </c>
      <c r="G701" s="69" t="s">
        <v>351</v>
      </c>
      <c r="H701" s="59" t="s">
        <v>24</v>
      </c>
      <c r="I701" s="65" t="s">
        <v>22</v>
      </c>
      <c r="J701" s="59">
        <v>1020055</v>
      </c>
      <c r="K701" s="69" t="s">
        <v>26</v>
      </c>
      <c r="L701" s="60">
        <v>458485.39</v>
      </c>
      <c r="M701" s="60">
        <v>1</v>
      </c>
      <c r="N701" s="60">
        <f>Main_Issuance[[#This Row],[LC Amt(FCY)]]*Main_Issuance[[#This Row],[Rate]]</f>
        <v>458485.39</v>
      </c>
      <c r="O701" s="56">
        <v>45626</v>
      </c>
      <c r="P701" s="56">
        <v>45626</v>
      </c>
      <c r="Q701" s="58" t="s">
        <v>27</v>
      </c>
      <c r="R701" s="69" t="s">
        <v>311</v>
      </c>
      <c r="S701" s="71"/>
      <c r="T701" s="71"/>
      <c r="U701" s="71"/>
      <c r="V701" s="68">
        <v>0</v>
      </c>
      <c r="W701" s="115"/>
      <c r="X701" s="191" t="str">
        <f ca="1">IF(AND((Main_Issuance[[#This Row],[Expiry Date]]+31)&gt;TODAY(),Main_Issuance[[#This Row],[Status]]&lt;&gt;"Cancelled"),"Active","Cancelled")</f>
        <v>Cancelled</v>
      </c>
      <c r="Y701" s="409"/>
      <c r="Z701" s="408"/>
      <c r="AA701" s="408" t="s">
        <v>378</v>
      </c>
      <c r="AB701" s="83" cm="1">
        <f t="array" ref="AB701">Iss_Tariff(Main_Issuance[[#This Row],[Bank]],Main_Issuance[[#This Row],[LC Amt(SAR)]],Main_Issuance[[#This Row],[Issue Date.]],Main_Issuance[[#This Row],[Expiry Date]],Main_Issuance[[#This Row],[Calculate]])</f>
        <v>0</v>
      </c>
      <c r="AC701" s="83"/>
    </row>
    <row r="702" spans="1:29" ht="15.75" hidden="1" x14ac:dyDescent="0.25">
      <c r="A702" s="57" t="s">
        <v>602</v>
      </c>
      <c r="B702" s="56">
        <v>45664</v>
      </c>
      <c r="C702" s="56" t="s">
        <v>441</v>
      </c>
      <c r="D702" s="69" t="s">
        <v>20</v>
      </c>
      <c r="E702" s="69" t="s">
        <v>373</v>
      </c>
      <c r="F702" s="19" t="s">
        <v>63</v>
      </c>
      <c r="G702" s="69" t="s">
        <v>603</v>
      </c>
      <c r="H702" s="59" t="s">
        <v>24</v>
      </c>
      <c r="I702" s="65" t="s">
        <v>22</v>
      </c>
      <c r="J702" s="59">
        <v>1020055</v>
      </c>
      <c r="K702" s="69" t="s">
        <v>26</v>
      </c>
      <c r="L702" s="60">
        <v>507379.58</v>
      </c>
      <c r="M702" s="60">
        <v>1</v>
      </c>
      <c r="N702" s="60">
        <f>Main_Issuance[[#This Row],[LC Amt(FCY)]]*Main_Issuance[[#This Row],[Rate]]</f>
        <v>507379.58</v>
      </c>
      <c r="O702" s="56">
        <v>45747</v>
      </c>
      <c r="P702" s="56">
        <v>45747</v>
      </c>
      <c r="Q702" s="58" t="s">
        <v>27</v>
      </c>
      <c r="R702" s="69" t="s">
        <v>311</v>
      </c>
      <c r="S702" s="71"/>
      <c r="T702" s="71"/>
      <c r="U702" s="71"/>
      <c r="V702" s="68">
        <v>0</v>
      </c>
      <c r="W702" s="115"/>
      <c r="X702" s="191" t="str">
        <f ca="1">IF(AND((Main_Issuance[[#This Row],[Expiry Date]]+31)&gt;TODAY(),Main_Issuance[[#This Row],[Status]]&lt;&gt;"Cancelled"),"Active","Cancelled")</f>
        <v>Cancelled</v>
      </c>
      <c r="Y702" s="409"/>
      <c r="Z702" s="408"/>
      <c r="AA702" s="408" t="s">
        <v>378</v>
      </c>
      <c r="AB702" s="83" cm="1">
        <f t="array" ref="AB702">Iss_Tariff(Main_Issuance[[#This Row],[Bank]],Main_Issuance[[#This Row],[LC Amt(SAR)]],Main_Issuance[[#This Row],[Issue Date.]],Main_Issuance[[#This Row],[Expiry Date]],Main_Issuance[[#This Row],[Calculate]])</f>
        <v>0</v>
      </c>
      <c r="AC702" s="83"/>
    </row>
    <row r="703" spans="1:29" ht="15.75" hidden="1" x14ac:dyDescent="0.25">
      <c r="A703" s="57" t="s">
        <v>444</v>
      </c>
      <c r="B703" s="56">
        <v>45615</v>
      </c>
      <c r="C703" s="56" t="s">
        <v>441</v>
      </c>
      <c r="D703" s="69" t="s">
        <v>20</v>
      </c>
      <c r="E703" s="69" t="s">
        <v>95</v>
      </c>
      <c r="F703" s="19" t="s">
        <v>96</v>
      </c>
      <c r="G703" s="69" t="s">
        <v>445</v>
      </c>
      <c r="H703" s="59" t="s">
        <v>24</v>
      </c>
      <c r="I703" s="65" t="s">
        <v>22</v>
      </c>
      <c r="J703" s="59">
        <v>1020055</v>
      </c>
      <c r="K703" s="69" t="s">
        <v>26</v>
      </c>
      <c r="L703" s="60">
        <v>754128.94</v>
      </c>
      <c r="M703" s="60">
        <v>1</v>
      </c>
      <c r="N703" s="60">
        <f>Main_Issuance[[#This Row],[LC Amt(FCY)]]*Main_Issuance[[#This Row],[Rate]]</f>
        <v>754128.94</v>
      </c>
      <c r="O703" s="56">
        <v>45716</v>
      </c>
      <c r="P703" s="56">
        <v>45692</v>
      </c>
      <c r="Q703" s="58" t="s">
        <v>27</v>
      </c>
      <c r="R703" s="69" t="s">
        <v>311</v>
      </c>
      <c r="S703" s="71"/>
      <c r="T703" s="71"/>
      <c r="U703" s="71"/>
      <c r="V703" s="68">
        <v>0</v>
      </c>
      <c r="W703" s="115"/>
      <c r="X703" s="191" t="str">
        <f ca="1">IF(AND((Main_Issuance[[#This Row],[Expiry Date]]+31)&gt;TODAY(),Main_Issuance[[#This Row],[Status]]&lt;&gt;"Cancelled"),"Active","Cancelled")</f>
        <v>Cancelled</v>
      </c>
      <c r="Y703" s="409"/>
      <c r="Z703" s="408"/>
      <c r="AA703" s="408" t="s">
        <v>378</v>
      </c>
      <c r="AB703" s="83" cm="1">
        <f t="array" ref="AB703">Iss_Tariff(Main_Issuance[[#This Row],[Bank]],Main_Issuance[[#This Row],[LC Amt(SAR)]],Main_Issuance[[#This Row],[Issue Date.]],Main_Issuance[[#This Row],[Expiry Date]],Main_Issuance[[#This Row],[Calculate]])</f>
        <v>0</v>
      </c>
      <c r="AC703" s="83"/>
    </row>
    <row r="704" spans="1:29" ht="15.75" hidden="1" x14ac:dyDescent="0.25">
      <c r="A704" s="114" t="s">
        <v>1189</v>
      </c>
      <c r="B704" s="76">
        <v>45760</v>
      </c>
      <c r="C704" s="76" t="s">
        <v>441</v>
      </c>
      <c r="D704" s="78" t="s">
        <v>20</v>
      </c>
      <c r="E704" s="78" t="s">
        <v>366</v>
      </c>
      <c r="F704" s="115" t="s">
        <v>710</v>
      </c>
      <c r="G704" s="78" t="s">
        <v>1122</v>
      </c>
      <c r="H704" s="115" t="s">
        <v>24</v>
      </c>
      <c r="I704" s="78" t="s">
        <v>710</v>
      </c>
      <c r="J704" s="59">
        <v>1020088</v>
      </c>
      <c r="K704" s="78" t="s">
        <v>26</v>
      </c>
      <c r="L704" s="60">
        <v>1000000</v>
      </c>
      <c r="M704" s="60">
        <v>1</v>
      </c>
      <c r="N704" s="60">
        <f>Main_Issuance[[#This Row],[LC Amt(FCY)]]*Main_Issuance[[#This Row],[Rate]]</f>
        <v>1000000</v>
      </c>
      <c r="O704" s="76">
        <v>46203</v>
      </c>
      <c r="P704" s="76">
        <v>46203</v>
      </c>
      <c r="Q704" s="77" t="s">
        <v>27</v>
      </c>
      <c r="R704" s="78" t="s">
        <v>425</v>
      </c>
      <c r="S704" s="81"/>
      <c r="T704" s="81"/>
      <c r="U704" s="81"/>
      <c r="V704" s="83">
        <v>0</v>
      </c>
      <c r="W704" s="115"/>
      <c r="X704" s="146" t="str">
        <f ca="1">IF(AND((Main_Issuance[[#This Row],[Expiry Date]]+31)&gt;TODAY(),Main_Issuance[[#This Row],[Status]]&lt;&gt;"Cancelled"),"Active","Cancelled")</f>
        <v>Active</v>
      </c>
      <c r="Y704" s="409"/>
      <c r="Z704" s="408"/>
      <c r="AA704" s="408" t="s">
        <v>857</v>
      </c>
      <c r="AB704" s="83" cm="1">
        <f t="array" ref="AB704">Iss_Tariff(Main_Issuance[[#This Row],[Bank]],Main_Issuance[[#This Row],[LC Amt(SAR)]],Main_Issuance[[#This Row],[Issue Date.]],Main_Issuance[[#This Row],[Expiry Date]],Main_Issuance[[#This Row],[Calculate]])</f>
        <v>5836.25</v>
      </c>
      <c r="AC704" s="83"/>
    </row>
    <row r="705" spans="1:29" ht="15.75" hidden="1" x14ac:dyDescent="0.25">
      <c r="A705" s="114" t="s">
        <v>4546</v>
      </c>
      <c r="B705" s="76">
        <v>46092</v>
      </c>
      <c r="C705" s="76" t="s">
        <v>4231</v>
      </c>
      <c r="D705" s="78" t="s">
        <v>843</v>
      </c>
      <c r="E705" s="78" t="s">
        <v>1073</v>
      </c>
      <c r="F705" s="115" t="s">
        <v>882</v>
      </c>
      <c r="G705" s="78" t="s">
        <v>4230</v>
      </c>
      <c r="H705" s="113" t="s">
        <v>72</v>
      </c>
      <c r="I705" s="79" t="s">
        <v>882</v>
      </c>
      <c r="J705" s="113">
        <v>1020108</v>
      </c>
      <c r="K705" s="78" t="s">
        <v>26</v>
      </c>
      <c r="L705" s="119">
        <v>5000000</v>
      </c>
      <c r="M705" s="82">
        <v>1</v>
      </c>
      <c r="N705" s="82">
        <f>Main_Issuance[[#This Row],[LC Amt(FCY)]]*Main_Issuance[[#This Row],[Rate]]</f>
        <v>5000000</v>
      </c>
      <c r="O705" s="76">
        <v>46203</v>
      </c>
      <c r="P705" s="76">
        <v>46203</v>
      </c>
      <c r="Q705" s="77" t="s">
        <v>27</v>
      </c>
      <c r="R705" s="78" t="s">
        <v>425</v>
      </c>
      <c r="S705" s="81"/>
      <c r="T705" s="81"/>
      <c r="U705" s="81"/>
      <c r="V705" s="83">
        <v>1500000</v>
      </c>
      <c r="W705" s="115" t="s">
        <v>5702</v>
      </c>
      <c r="X705" s="146" t="str">
        <f ca="1">IF(AND((Main_Issuance[[#This Row],[Expiry Date]]+31)&gt;TODAY(),Main_Issuance[[#This Row],[Status]]&lt;&gt;"Cancelled"),"Active","Cancelled")</f>
        <v>Active</v>
      </c>
      <c r="Y705" s="409"/>
      <c r="Z705" s="408"/>
      <c r="AA705" s="408" t="s">
        <v>857</v>
      </c>
      <c r="AB705" s="83" cm="1">
        <f t="array" ref="AB705">Iss_Tariff(Main_Issuance[[#This Row],[Bank]],Main_Issuance[[#This Row],[LC Amt(SAR)]],Main_Issuance[[#This Row],[Issue Date.]],Main_Issuance[[#This Row],[Expiry Date]],Main_Issuance[[#This Row],[Calculate]])</f>
        <v>12793.75</v>
      </c>
      <c r="AC705" s="83"/>
    </row>
    <row r="706" spans="1:29" ht="15.75" hidden="1" x14ac:dyDescent="0.25">
      <c r="A706" s="57" t="s">
        <v>495</v>
      </c>
      <c r="B706" s="56">
        <v>45610</v>
      </c>
      <c r="C706" s="56" t="s">
        <v>509</v>
      </c>
      <c r="D706" s="69" t="s">
        <v>20</v>
      </c>
      <c r="E706" s="69" t="s">
        <v>21</v>
      </c>
      <c r="F706" s="19" t="s">
        <v>22</v>
      </c>
      <c r="G706" s="69" t="s">
        <v>496</v>
      </c>
      <c r="H706" s="59" t="s">
        <v>72</v>
      </c>
      <c r="I706" s="65" t="s">
        <v>487</v>
      </c>
      <c r="J706" s="59">
        <v>1020060</v>
      </c>
      <c r="K706" s="69" t="s">
        <v>26</v>
      </c>
      <c r="L706" s="60">
        <v>455725.45</v>
      </c>
      <c r="M706" s="60">
        <v>1</v>
      </c>
      <c r="N706" s="60">
        <f>Main_Issuance[[#This Row],[LC Amt(FCY)]]*Main_Issuance[[#This Row],[Rate]]</f>
        <v>455725.45</v>
      </c>
      <c r="O706" s="56">
        <v>45688</v>
      </c>
      <c r="P706" s="56">
        <v>45661</v>
      </c>
      <c r="Q706" s="58" t="s">
        <v>27</v>
      </c>
      <c r="R706" s="69" t="s">
        <v>305</v>
      </c>
      <c r="S706" s="71"/>
      <c r="T706" s="71"/>
      <c r="U706" s="71"/>
      <c r="V706" s="68">
        <v>0</v>
      </c>
      <c r="W706" s="115"/>
      <c r="X706" s="191" t="str">
        <f ca="1">IF(AND((Main_Issuance[[#This Row],[Expiry Date]]+31)&gt;TODAY(),Main_Issuance[[#This Row],[Status]]&lt;&gt;"Cancelled"),"Active","Cancelled")</f>
        <v>Cancelled</v>
      </c>
      <c r="Y706" s="409"/>
      <c r="Z706" s="408"/>
      <c r="AA706" s="408" t="s">
        <v>378</v>
      </c>
      <c r="AB706" s="83" cm="1">
        <f t="array" ref="AB706">Iss_Tariff(Main_Issuance[[#This Row],[Bank]],Main_Issuance[[#This Row],[LC Amt(SAR)]],Main_Issuance[[#This Row],[Issue Date.]],Main_Issuance[[#This Row],[Expiry Date]],Main_Issuance[[#This Row],[Calculate]])</f>
        <v>0</v>
      </c>
      <c r="AC706" s="83"/>
    </row>
    <row r="707" spans="1:29" ht="15.75" hidden="1" x14ac:dyDescent="0.25">
      <c r="A707" s="114" t="s">
        <v>1694</v>
      </c>
      <c r="B707" s="76">
        <v>45876</v>
      </c>
      <c r="C707" s="76" t="s">
        <v>509</v>
      </c>
      <c r="D707" s="115" t="s">
        <v>20</v>
      </c>
      <c r="E707" s="78" t="s">
        <v>95</v>
      </c>
      <c r="F707" s="115" t="s">
        <v>96</v>
      </c>
      <c r="G707" s="78" t="s">
        <v>496</v>
      </c>
      <c r="H707" s="113" t="s">
        <v>72</v>
      </c>
      <c r="I707" s="79" t="s">
        <v>487</v>
      </c>
      <c r="J707" s="113">
        <v>1020060</v>
      </c>
      <c r="K707" s="78" t="s">
        <v>26</v>
      </c>
      <c r="L707" s="60">
        <v>364580.36</v>
      </c>
      <c r="M707" s="60">
        <v>1</v>
      </c>
      <c r="N707" s="60">
        <f>Main_Issuance[[#This Row],[LC Amt(FCY)]]*Main_Issuance[[#This Row],[Rate]]</f>
        <v>364580.36</v>
      </c>
      <c r="O707" s="77">
        <v>45936</v>
      </c>
      <c r="P707" s="77">
        <v>45915</v>
      </c>
      <c r="Q707" s="77" t="s">
        <v>27</v>
      </c>
      <c r="R707" s="78" t="s">
        <v>305</v>
      </c>
      <c r="S707" s="81"/>
      <c r="T707" s="81"/>
      <c r="U707" s="81"/>
      <c r="V707" s="83">
        <v>0</v>
      </c>
      <c r="W707" s="115"/>
      <c r="X707" s="146" t="str">
        <f ca="1">IF(AND((Main_Issuance[[#This Row],[Expiry Date]]+31)&gt;TODAY(),Main_Issuance[[#This Row],[Status]]&lt;&gt;"Cancelled"),"Active","Cancelled")</f>
        <v>Cancelled</v>
      </c>
      <c r="Y707" s="409"/>
      <c r="Z707" s="408"/>
      <c r="AA707" s="408" t="s">
        <v>378</v>
      </c>
      <c r="AB707" s="83" cm="1">
        <f t="array" ref="AB707">Iss_Tariff(Main_Issuance[[#This Row],[Bank]],Main_Issuance[[#This Row],[LC Amt(SAR)]],Main_Issuance[[#This Row],[Issue Date.]],Main_Issuance[[#This Row],[Expiry Date]],Main_Issuance[[#This Row],[Calculate]])</f>
        <v>0</v>
      </c>
      <c r="AC707" s="83"/>
    </row>
    <row r="708" spans="1:29" ht="15.75" hidden="1" x14ac:dyDescent="0.25">
      <c r="A708" s="57" t="s">
        <v>193</v>
      </c>
      <c r="B708" s="56">
        <v>45167</v>
      </c>
      <c r="C708" s="56" t="s">
        <v>441</v>
      </c>
      <c r="D708" s="69" t="s">
        <v>20</v>
      </c>
      <c r="E708" s="69" t="s">
        <v>21</v>
      </c>
      <c r="F708" s="19" t="s">
        <v>22</v>
      </c>
      <c r="G708" s="69" t="s">
        <v>194</v>
      </c>
      <c r="H708" s="59" t="s">
        <v>24</v>
      </c>
      <c r="I708" s="65" t="s">
        <v>22</v>
      </c>
      <c r="J708" s="59">
        <v>1020055</v>
      </c>
      <c r="K708" s="69" t="s">
        <v>26</v>
      </c>
      <c r="L708" s="60">
        <v>4000000</v>
      </c>
      <c r="M708" s="60">
        <v>1</v>
      </c>
      <c r="N708" s="60">
        <f>Main_Issuance[[#This Row],[LC Amt(FCY)]]*Main_Issuance[[#This Row],[Rate]]</f>
        <v>4000000</v>
      </c>
      <c r="O708" s="56">
        <v>45260</v>
      </c>
      <c r="P708" s="56">
        <v>45260</v>
      </c>
      <c r="Q708" s="58" t="s">
        <v>27</v>
      </c>
      <c r="R708" s="69" t="s">
        <v>28</v>
      </c>
      <c r="S708" s="71"/>
      <c r="T708" s="71"/>
      <c r="U708" s="71"/>
      <c r="V708" s="68">
        <v>0</v>
      </c>
      <c r="W708" s="115"/>
      <c r="X708" s="191" t="str">
        <f ca="1">IF(AND((Main_Issuance[[#This Row],[Expiry Date]]+31)&gt;TODAY(),Main_Issuance[[#This Row],[Status]]&lt;&gt;"Cancelled"),"Active","Cancelled")</f>
        <v>Cancelled</v>
      </c>
      <c r="Y708" s="409"/>
      <c r="Z708" s="408"/>
      <c r="AA708" s="408" t="s">
        <v>378</v>
      </c>
      <c r="AB708" s="83" cm="1">
        <f t="array" ref="AB708">Iss_Tariff(Main_Issuance[[#This Row],[Bank]],Main_Issuance[[#This Row],[LC Amt(SAR)]],Main_Issuance[[#This Row],[Issue Date.]],Main_Issuance[[#This Row],[Expiry Date]],Main_Issuance[[#This Row],[Calculate]])</f>
        <v>0</v>
      </c>
      <c r="AC708" s="83"/>
    </row>
    <row r="709" spans="1:29" ht="15.75" hidden="1" x14ac:dyDescent="0.25">
      <c r="A709" s="57" t="s">
        <v>206</v>
      </c>
      <c r="B709" s="56">
        <v>45126</v>
      </c>
      <c r="C709" s="56" t="s">
        <v>441</v>
      </c>
      <c r="D709" s="69" t="s">
        <v>20</v>
      </c>
      <c r="E709" s="69" t="s">
        <v>21</v>
      </c>
      <c r="F709" s="19" t="s">
        <v>22</v>
      </c>
      <c r="G709" s="69" t="s">
        <v>194</v>
      </c>
      <c r="H709" s="59" t="s">
        <v>24</v>
      </c>
      <c r="I709" s="65" t="s">
        <v>22</v>
      </c>
      <c r="J709" s="59">
        <v>1020055</v>
      </c>
      <c r="K709" s="69" t="s">
        <v>26</v>
      </c>
      <c r="L709" s="60">
        <v>1260873.8</v>
      </c>
      <c r="M709" s="60">
        <v>1</v>
      </c>
      <c r="N709" s="60">
        <f>Main_Issuance[[#This Row],[LC Amt(FCY)]]*Main_Issuance[[#This Row],[Rate]]</f>
        <v>1260873.8</v>
      </c>
      <c r="O709" s="56">
        <v>45215</v>
      </c>
      <c r="P709" s="56">
        <v>45215</v>
      </c>
      <c r="Q709" s="58" t="s">
        <v>27</v>
      </c>
      <c r="R709" s="69" t="s">
        <v>28</v>
      </c>
      <c r="S709" s="71"/>
      <c r="T709" s="71"/>
      <c r="U709" s="71"/>
      <c r="V709" s="68">
        <v>0</v>
      </c>
      <c r="W709" s="115"/>
      <c r="X709" s="191" t="str">
        <f ca="1">IF(AND((Main_Issuance[[#This Row],[Expiry Date]]+31)&gt;TODAY(),Main_Issuance[[#This Row],[Status]]&lt;&gt;"Cancelled"),"Active","Cancelled")</f>
        <v>Cancelled</v>
      </c>
      <c r="Y709" s="409"/>
      <c r="Z709" s="408"/>
      <c r="AA709" s="408" t="s">
        <v>378</v>
      </c>
      <c r="AB709" s="83" cm="1">
        <f t="array" ref="AB709">Iss_Tariff(Main_Issuance[[#This Row],[Bank]],Main_Issuance[[#This Row],[LC Amt(SAR)]],Main_Issuance[[#This Row],[Issue Date.]],Main_Issuance[[#This Row],[Expiry Date]],Main_Issuance[[#This Row],[Calculate]])</f>
        <v>0</v>
      </c>
      <c r="AC709" s="83"/>
    </row>
    <row r="710" spans="1:29" ht="15.75" hidden="1" x14ac:dyDescent="0.25">
      <c r="A710" s="57" t="s">
        <v>56</v>
      </c>
      <c r="B710" s="56">
        <v>45292</v>
      </c>
      <c r="C710" s="56" t="s">
        <v>441</v>
      </c>
      <c r="D710" s="69" t="s">
        <v>20</v>
      </c>
      <c r="E710" s="69" t="s">
        <v>21</v>
      </c>
      <c r="F710" s="19" t="s">
        <v>22</v>
      </c>
      <c r="G710" s="69" t="s">
        <v>57</v>
      </c>
      <c r="H710" s="59" t="s">
        <v>24</v>
      </c>
      <c r="I710" s="65" t="s">
        <v>22</v>
      </c>
      <c r="J710" s="59">
        <v>1020055</v>
      </c>
      <c r="K710" s="69" t="s">
        <v>26</v>
      </c>
      <c r="L710" s="60">
        <v>4530823.74</v>
      </c>
      <c r="M710" s="60">
        <v>1</v>
      </c>
      <c r="N710" s="60">
        <f>Main_Issuance[[#This Row],[LC Amt(FCY)]]*Main_Issuance[[#This Row],[Rate]]</f>
        <v>4530823.74</v>
      </c>
      <c r="O710" s="56">
        <v>45442</v>
      </c>
      <c r="P710" s="56">
        <v>45442</v>
      </c>
      <c r="Q710" s="58" t="s">
        <v>27</v>
      </c>
      <c r="R710" s="69" t="s">
        <v>28</v>
      </c>
      <c r="S710" s="71"/>
      <c r="T710" s="71"/>
      <c r="U710" s="71"/>
      <c r="V710" s="68">
        <v>0</v>
      </c>
      <c r="W710" s="115"/>
      <c r="X710" s="191" t="str">
        <f ca="1">IF(AND((Main_Issuance[[#This Row],[Expiry Date]]+31)&gt;TODAY(),Main_Issuance[[#This Row],[Status]]&lt;&gt;"Cancelled"),"Active","Cancelled")</f>
        <v>Cancelled</v>
      </c>
      <c r="Y710" s="409"/>
      <c r="Z710" s="408"/>
      <c r="AA710" s="408" t="s">
        <v>378</v>
      </c>
      <c r="AB710" s="83" cm="1">
        <f t="array" ref="AB710">Iss_Tariff(Main_Issuance[[#This Row],[Bank]],Main_Issuance[[#This Row],[LC Amt(SAR)]],Main_Issuance[[#This Row],[Issue Date.]],Main_Issuance[[#This Row],[Expiry Date]],Main_Issuance[[#This Row],[Calculate]])</f>
        <v>0</v>
      </c>
      <c r="AC710" s="83"/>
    </row>
    <row r="711" spans="1:29" ht="15.75" hidden="1" x14ac:dyDescent="0.25">
      <c r="A711" s="57" t="s">
        <v>430</v>
      </c>
      <c r="B711" s="56">
        <v>45615</v>
      </c>
      <c r="C711" s="56" t="s">
        <v>441</v>
      </c>
      <c r="D711" s="69" t="s">
        <v>20</v>
      </c>
      <c r="E711" s="69" t="s">
        <v>95</v>
      </c>
      <c r="F711" s="19" t="s">
        <v>96</v>
      </c>
      <c r="G711" s="69" t="s">
        <v>431</v>
      </c>
      <c r="H711" s="59" t="s">
        <v>24</v>
      </c>
      <c r="I711" s="65" t="s">
        <v>22</v>
      </c>
      <c r="J711" s="59">
        <v>1020055</v>
      </c>
      <c r="K711" s="69" t="s">
        <v>26</v>
      </c>
      <c r="L711" s="60">
        <v>530000</v>
      </c>
      <c r="M711" s="60">
        <v>1</v>
      </c>
      <c r="N711" s="60">
        <f>Main_Issuance[[#This Row],[LC Amt(FCY)]]*Main_Issuance[[#This Row],[Rate]]</f>
        <v>530000</v>
      </c>
      <c r="O711" s="56">
        <v>45716</v>
      </c>
      <c r="P711" s="56">
        <v>45692</v>
      </c>
      <c r="Q711" s="58" t="s">
        <v>27</v>
      </c>
      <c r="R711" s="69" t="s">
        <v>311</v>
      </c>
      <c r="S711" s="71"/>
      <c r="T711" s="71"/>
      <c r="U711" s="71"/>
      <c r="V711" s="68">
        <v>0</v>
      </c>
      <c r="W711" s="115"/>
      <c r="X711" s="191" t="str">
        <f ca="1">IF(AND((Main_Issuance[[#This Row],[Expiry Date]]+31)&gt;TODAY(),Main_Issuance[[#This Row],[Status]]&lt;&gt;"Cancelled"),"Active","Cancelled")</f>
        <v>Cancelled</v>
      </c>
      <c r="Y711" s="409"/>
      <c r="Z711" s="408"/>
      <c r="AA711" s="408" t="s">
        <v>378</v>
      </c>
      <c r="AB711" s="83" cm="1">
        <f t="array" ref="AB711">Iss_Tariff(Main_Issuance[[#This Row],[Bank]],Main_Issuance[[#This Row],[LC Amt(SAR)]],Main_Issuance[[#This Row],[Issue Date.]],Main_Issuance[[#This Row],[Expiry Date]],Main_Issuance[[#This Row],[Calculate]])</f>
        <v>0</v>
      </c>
      <c r="AC711" s="83"/>
    </row>
    <row r="712" spans="1:29" ht="15.75" hidden="1" x14ac:dyDescent="0.25">
      <c r="A712" s="57" t="s">
        <v>572</v>
      </c>
      <c r="B712" s="56">
        <v>45641</v>
      </c>
      <c r="C712" s="56" t="s">
        <v>441</v>
      </c>
      <c r="D712" s="69" t="s">
        <v>20</v>
      </c>
      <c r="E712" s="69" t="s">
        <v>373</v>
      </c>
      <c r="F712" s="19" t="s">
        <v>483</v>
      </c>
      <c r="G712" s="69" t="s">
        <v>431</v>
      </c>
      <c r="H712" s="59" t="s">
        <v>24</v>
      </c>
      <c r="I712" s="65" t="s">
        <v>22</v>
      </c>
      <c r="J712" s="59">
        <v>1020055</v>
      </c>
      <c r="K712" s="69" t="s">
        <v>26</v>
      </c>
      <c r="L712" s="60">
        <v>531394.88</v>
      </c>
      <c r="M712" s="60">
        <v>1</v>
      </c>
      <c r="N712" s="60">
        <f>Main_Issuance[[#This Row],[LC Amt(FCY)]]*Main_Issuance[[#This Row],[Rate]]</f>
        <v>531394.88</v>
      </c>
      <c r="O712" s="56">
        <v>45747</v>
      </c>
      <c r="P712" s="56">
        <v>45747</v>
      </c>
      <c r="Q712" s="58" t="s">
        <v>27</v>
      </c>
      <c r="R712" s="69" t="s">
        <v>311</v>
      </c>
      <c r="S712" s="71"/>
      <c r="T712" s="71"/>
      <c r="U712" s="71"/>
      <c r="V712" s="68">
        <v>0</v>
      </c>
      <c r="W712" s="115"/>
      <c r="X712" s="191" t="str">
        <f ca="1">IF(AND((Main_Issuance[[#This Row],[Expiry Date]]+31)&gt;TODAY(),Main_Issuance[[#This Row],[Status]]&lt;&gt;"Cancelled"),"Active","Cancelled")</f>
        <v>Cancelled</v>
      </c>
      <c r="Y712" s="409"/>
      <c r="Z712" s="408"/>
      <c r="AA712" s="408" t="s">
        <v>378</v>
      </c>
      <c r="AB712" s="83" cm="1">
        <f t="array" ref="AB712">Iss_Tariff(Main_Issuance[[#This Row],[Bank]],Main_Issuance[[#This Row],[LC Amt(SAR)]],Main_Issuance[[#This Row],[Issue Date.]],Main_Issuance[[#This Row],[Expiry Date]],Main_Issuance[[#This Row],[Calculate]])</f>
        <v>0</v>
      </c>
      <c r="AC712" s="83"/>
    </row>
    <row r="713" spans="1:29" ht="15.75" hidden="1" x14ac:dyDescent="0.25">
      <c r="A713" s="57" t="s">
        <v>796</v>
      </c>
      <c r="B713" s="56">
        <v>45739</v>
      </c>
      <c r="C713" s="56" t="s">
        <v>441</v>
      </c>
      <c r="D713" s="69" t="s">
        <v>20</v>
      </c>
      <c r="E713" s="69" t="s">
        <v>21</v>
      </c>
      <c r="F713" s="19" t="s">
        <v>22</v>
      </c>
      <c r="G713" s="69" t="s">
        <v>431</v>
      </c>
      <c r="H713" s="19" t="s">
        <v>24</v>
      </c>
      <c r="I713" s="69" t="s">
        <v>22</v>
      </c>
      <c r="J713" s="59">
        <v>1020055</v>
      </c>
      <c r="K713" s="69" t="s">
        <v>26</v>
      </c>
      <c r="L713" s="60">
        <v>1519664.37</v>
      </c>
      <c r="M713" s="60">
        <v>1</v>
      </c>
      <c r="N713" s="60">
        <f>Main_Issuance[[#This Row],[LC Amt(FCY)]]*Main_Issuance[[#This Row],[Rate]]</f>
        <v>1519664.37</v>
      </c>
      <c r="O713" s="56">
        <v>45838</v>
      </c>
      <c r="P713" s="56">
        <v>45838</v>
      </c>
      <c r="Q713" s="58" t="s">
        <v>27</v>
      </c>
      <c r="R713" s="69" t="s">
        <v>311</v>
      </c>
      <c r="S713" s="71"/>
      <c r="T713" s="71"/>
      <c r="U713" s="71"/>
      <c r="V713" s="68">
        <v>0</v>
      </c>
      <c r="W713" s="115"/>
      <c r="X713" s="191" t="str">
        <f ca="1">IF(AND((Main_Issuance[[#This Row],[Expiry Date]]+31)&gt;TODAY(),Main_Issuance[[#This Row],[Status]]&lt;&gt;"Cancelled"),"Active","Cancelled")</f>
        <v>Cancelled</v>
      </c>
      <c r="Y713" s="409"/>
      <c r="Z713" s="408"/>
      <c r="AA713" s="408" t="s">
        <v>378</v>
      </c>
      <c r="AB713" s="83" cm="1">
        <f t="array" ref="AB713">Iss_Tariff(Main_Issuance[[#This Row],[Bank]],Main_Issuance[[#This Row],[LC Amt(SAR)]],Main_Issuance[[#This Row],[Issue Date.]],Main_Issuance[[#This Row],[Expiry Date]],Main_Issuance[[#This Row],[Calculate]])</f>
        <v>0</v>
      </c>
      <c r="AC713" s="83"/>
    </row>
    <row r="714" spans="1:29" ht="15.75" hidden="1" x14ac:dyDescent="0.25">
      <c r="A714" s="57" t="s">
        <v>279</v>
      </c>
      <c r="B714" s="56">
        <v>45495</v>
      </c>
      <c r="C714" s="56" t="s">
        <v>441</v>
      </c>
      <c r="D714" s="69" t="s">
        <v>20</v>
      </c>
      <c r="E714" s="69" t="s">
        <v>21</v>
      </c>
      <c r="F714" s="19" t="s">
        <v>22</v>
      </c>
      <c r="G714" s="69" t="s">
        <v>280</v>
      </c>
      <c r="H714" s="59" t="s">
        <v>24</v>
      </c>
      <c r="I714" s="65" t="s">
        <v>22</v>
      </c>
      <c r="J714" s="59">
        <v>1020055</v>
      </c>
      <c r="K714" s="69" t="s">
        <v>26</v>
      </c>
      <c r="L714" s="60">
        <v>2000000</v>
      </c>
      <c r="M714" s="60">
        <v>1</v>
      </c>
      <c r="N714" s="60">
        <f>Main_Issuance[[#This Row],[LC Amt(FCY)]]*Main_Issuance[[#This Row],[Rate]]</f>
        <v>2000000</v>
      </c>
      <c r="O714" s="56">
        <v>45596</v>
      </c>
      <c r="P714" s="56">
        <v>45596</v>
      </c>
      <c r="Q714" s="58" t="s">
        <v>27</v>
      </c>
      <c r="R714" s="69"/>
      <c r="S714" s="71"/>
      <c r="T714" s="71"/>
      <c r="U714" s="71"/>
      <c r="V714" s="68">
        <v>0</v>
      </c>
      <c r="W714" s="115"/>
      <c r="X714" s="191" t="str">
        <f ca="1">IF(AND((Main_Issuance[[#This Row],[Expiry Date]]+31)&gt;TODAY(),Main_Issuance[[#This Row],[Status]]&lt;&gt;"Cancelled"),"Active","Cancelled")</f>
        <v>Cancelled</v>
      </c>
      <c r="Y714" s="409"/>
      <c r="Z714" s="408"/>
      <c r="AA714" s="408" t="s">
        <v>378</v>
      </c>
      <c r="AB714" s="83" cm="1">
        <f t="array" ref="AB714">Iss_Tariff(Main_Issuance[[#This Row],[Bank]],Main_Issuance[[#This Row],[LC Amt(SAR)]],Main_Issuance[[#This Row],[Issue Date.]],Main_Issuance[[#This Row],[Expiry Date]],Main_Issuance[[#This Row],[Calculate]])</f>
        <v>0</v>
      </c>
      <c r="AC714" s="83"/>
    </row>
    <row r="715" spans="1:29" ht="15.75" hidden="1" x14ac:dyDescent="0.25">
      <c r="A715" s="57" t="s">
        <v>262</v>
      </c>
      <c r="B715" s="56">
        <v>45435</v>
      </c>
      <c r="C715" s="56" t="s">
        <v>441</v>
      </c>
      <c r="D715" s="19" t="s">
        <v>20</v>
      </c>
      <c r="E715" s="69" t="s">
        <v>21</v>
      </c>
      <c r="F715" s="19" t="s">
        <v>22</v>
      </c>
      <c r="G715" s="69" t="s">
        <v>263</v>
      </c>
      <c r="H715" s="59" t="s">
        <v>24</v>
      </c>
      <c r="I715" s="65" t="s">
        <v>22</v>
      </c>
      <c r="J715" s="59">
        <v>1020055</v>
      </c>
      <c r="K715" s="69" t="s">
        <v>26</v>
      </c>
      <c r="L715" s="60">
        <v>3000000</v>
      </c>
      <c r="M715" s="60">
        <v>1</v>
      </c>
      <c r="N715" s="60">
        <f>Main_Issuance[[#This Row],[LC Amt(FCY)]]*Main_Issuance[[#This Row],[Rate]]</f>
        <v>3000000</v>
      </c>
      <c r="O715" s="58">
        <v>45565</v>
      </c>
      <c r="P715" s="58">
        <v>45565</v>
      </c>
      <c r="Q715" s="58" t="s">
        <v>70</v>
      </c>
      <c r="R715" s="69"/>
      <c r="S715" s="71"/>
      <c r="T715" s="71"/>
      <c r="U715" s="71"/>
      <c r="V715" s="68">
        <v>0</v>
      </c>
      <c r="W715" s="115"/>
      <c r="X715" s="191" t="str">
        <f ca="1">IF(AND((Main_Issuance[[#This Row],[Expiry Date]]+31)&gt;TODAY(),Main_Issuance[[#This Row],[Status]]&lt;&gt;"Cancelled"),"Active","Cancelled")</f>
        <v>Cancelled</v>
      </c>
      <c r="Y715" s="409"/>
      <c r="Z715" s="408"/>
      <c r="AA715" s="408" t="s">
        <v>378</v>
      </c>
      <c r="AB715" s="83" cm="1">
        <f t="array" ref="AB715">Iss_Tariff(Main_Issuance[[#This Row],[Bank]],Main_Issuance[[#This Row],[LC Amt(SAR)]],Main_Issuance[[#This Row],[Issue Date.]],Main_Issuance[[#This Row],[Expiry Date]],Main_Issuance[[#This Row],[Calculate]])</f>
        <v>0</v>
      </c>
      <c r="AC715" s="83"/>
    </row>
    <row r="716" spans="1:29" ht="15.75" hidden="1" x14ac:dyDescent="0.25">
      <c r="A716" s="57" t="s">
        <v>336</v>
      </c>
      <c r="B716" s="56">
        <v>45519</v>
      </c>
      <c r="C716" s="56" t="s">
        <v>441</v>
      </c>
      <c r="D716" s="69" t="s">
        <v>20</v>
      </c>
      <c r="E716" s="69" t="s">
        <v>95</v>
      </c>
      <c r="F716" s="19" t="s">
        <v>96</v>
      </c>
      <c r="G716" s="69" t="s">
        <v>263</v>
      </c>
      <c r="H716" s="59" t="s">
        <v>24</v>
      </c>
      <c r="I716" s="65" t="s">
        <v>22</v>
      </c>
      <c r="J716" s="59">
        <v>1020055</v>
      </c>
      <c r="K716" s="69" t="s">
        <v>26</v>
      </c>
      <c r="L716" s="60">
        <v>2588066.71</v>
      </c>
      <c r="M716" s="60">
        <v>1</v>
      </c>
      <c r="N716" s="60">
        <f>Main_Issuance[[#This Row],[LC Amt(FCY)]]*Main_Issuance[[#This Row],[Rate]]</f>
        <v>2588066.71</v>
      </c>
      <c r="O716" s="56">
        <v>45626</v>
      </c>
      <c r="P716" s="56">
        <v>45626</v>
      </c>
      <c r="Q716" s="58" t="s">
        <v>27</v>
      </c>
      <c r="R716" s="69" t="s">
        <v>311</v>
      </c>
      <c r="S716" s="71"/>
      <c r="T716" s="71"/>
      <c r="U716" s="71"/>
      <c r="V716" s="68">
        <v>0</v>
      </c>
      <c r="W716" s="115"/>
      <c r="X716" s="191" t="str">
        <f ca="1">IF(AND((Main_Issuance[[#This Row],[Expiry Date]]+31)&gt;TODAY(),Main_Issuance[[#This Row],[Status]]&lt;&gt;"Cancelled"),"Active","Cancelled")</f>
        <v>Cancelled</v>
      </c>
      <c r="Y716" s="409"/>
      <c r="Z716" s="408"/>
      <c r="AA716" s="408" t="s">
        <v>378</v>
      </c>
      <c r="AB716" s="83" cm="1">
        <f t="array" ref="AB716">Iss_Tariff(Main_Issuance[[#This Row],[Bank]],Main_Issuance[[#This Row],[LC Amt(SAR)]],Main_Issuance[[#This Row],[Issue Date.]],Main_Issuance[[#This Row],[Expiry Date]],Main_Issuance[[#This Row],[Calculate]])</f>
        <v>0</v>
      </c>
      <c r="AC716" s="83"/>
    </row>
    <row r="717" spans="1:29" ht="15.75" hidden="1" x14ac:dyDescent="0.25">
      <c r="A717" s="57" t="s">
        <v>382</v>
      </c>
      <c r="B717" s="56">
        <v>45551</v>
      </c>
      <c r="C717" s="56" t="s">
        <v>441</v>
      </c>
      <c r="D717" s="69" t="s">
        <v>20</v>
      </c>
      <c r="E717" s="69" t="s">
        <v>95</v>
      </c>
      <c r="F717" s="19" t="s">
        <v>96</v>
      </c>
      <c r="G717" s="69" t="s">
        <v>263</v>
      </c>
      <c r="H717" s="59" t="s">
        <v>24</v>
      </c>
      <c r="I717" s="65" t="s">
        <v>22</v>
      </c>
      <c r="J717" s="59">
        <v>1020055</v>
      </c>
      <c r="K717" s="69" t="s">
        <v>26</v>
      </c>
      <c r="L717" s="60">
        <v>2019034.07</v>
      </c>
      <c r="M717" s="60">
        <v>1</v>
      </c>
      <c r="N717" s="60">
        <f>Main_Issuance[[#This Row],[LC Amt(FCY)]]*Main_Issuance[[#This Row],[Rate]]</f>
        <v>2019034.07</v>
      </c>
      <c r="O717" s="56">
        <v>45626</v>
      </c>
      <c r="P717" s="56">
        <v>45600</v>
      </c>
      <c r="Q717" s="58" t="s">
        <v>27</v>
      </c>
      <c r="R717" s="69" t="s">
        <v>311</v>
      </c>
      <c r="S717" s="71"/>
      <c r="T717" s="71"/>
      <c r="U717" s="71"/>
      <c r="V717" s="68">
        <v>0</v>
      </c>
      <c r="W717" s="115"/>
      <c r="X717" s="191" t="str">
        <f ca="1">IF(AND((Main_Issuance[[#This Row],[Expiry Date]]+31)&gt;TODAY(),Main_Issuance[[#This Row],[Status]]&lt;&gt;"Cancelled"),"Active","Cancelled")</f>
        <v>Cancelled</v>
      </c>
      <c r="Y717" s="409"/>
      <c r="Z717" s="408"/>
      <c r="AA717" s="408" t="s">
        <v>378</v>
      </c>
      <c r="AB717" s="83" cm="1">
        <f t="array" ref="AB717">Iss_Tariff(Main_Issuance[[#This Row],[Bank]],Main_Issuance[[#This Row],[LC Amt(SAR)]],Main_Issuance[[#This Row],[Issue Date.]],Main_Issuance[[#This Row],[Expiry Date]],Main_Issuance[[#This Row],[Calculate]])</f>
        <v>0</v>
      </c>
      <c r="AC717" s="83"/>
    </row>
    <row r="718" spans="1:29" ht="15.75" hidden="1" x14ac:dyDescent="0.25">
      <c r="A718" s="57" t="s">
        <v>653</v>
      </c>
      <c r="B718" s="56">
        <v>45693</v>
      </c>
      <c r="C718" s="56" t="s">
        <v>441</v>
      </c>
      <c r="D718" s="69" t="s">
        <v>20</v>
      </c>
      <c r="E718" s="69" t="s">
        <v>95</v>
      </c>
      <c r="F718" s="19" t="s">
        <v>96</v>
      </c>
      <c r="G718" s="69" t="s">
        <v>263</v>
      </c>
      <c r="H718" s="59" t="s">
        <v>24</v>
      </c>
      <c r="I718" s="65" t="s">
        <v>22</v>
      </c>
      <c r="J718" s="59">
        <v>1020055</v>
      </c>
      <c r="K718" s="69" t="s">
        <v>26</v>
      </c>
      <c r="L718" s="60">
        <v>594305.52</v>
      </c>
      <c r="M718" s="60">
        <v>1</v>
      </c>
      <c r="N718" s="60">
        <f>Main_Issuance[[#This Row],[LC Amt(FCY)]]*Main_Issuance[[#This Row],[Rate]]</f>
        <v>594305.52</v>
      </c>
      <c r="O718" s="56">
        <v>45777</v>
      </c>
      <c r="P718" s="56">
        <v>45777</v>
      </c>
      <c r="Q718" s="58" t="s">
        <v>27</v>
      </c>
      <c r="R718" s="69" t="s">
        <v>311</v>
      </c>
      <c r="S718" s="71"/>
      <c r="T718" s="71"/>
      <c r="U718" s="71"/>
      <c r="V718" s="68">
        <v>0</v>
      </c>
      <c r="W718" s="115"/>
      <c r="X718" s="191" t="str">
        <f ca="1">IF(AND((Main_Issuance[[#This Row],[Expiry Date]]+31)&gt;TODAY(),Main_Issuance[[#This Row],[Status]]&lt;&gt;"Cancelled"),"Active","Cancelled")</f>
        <v>Cancelled</v>
      </c>
      <c r="Y718" s="409"/>
      <c r="Z718" s="408"/>
      <c r="AA718" s="408" t="s">
        <v>378</v>
      </c>
      <c r="AB718" s="83" cm="1">
        <f t="array" ref="AB718">Iss_Tariff(Main_Issuance[[#This Row],[Bank]],Main_Issuance[[#This Row],[LC Amt(SAR)]],Main_Issuance[[#This Row],[Issue Date.]],Main_Issuance[[#This Row],[Expiry Date]],Main_Issuance[[#This Row],[Calculate]])</f>
        <v>0</v>
      </c>
      <c r="AC718" s="83"/>
    </row>
    <row r="719" spans="1:29" ht="15.75" hidden="1" x14ac:dyDescent="0.25">
      <c r="A719" s="114" t="s">
        <v>1203</v>
      </c>
      <c r="B719" s="76">
        <v>45767</v>
      </c>
      <c r="C719" s="76" t="s">
        <v>441</v>
      </c>
      <c r="D719" s="115" t="s">
        <v>20</v>
      </c>
      <c r="E719" s="78" t="s">
        <v>95</v>
      </c>
      <c r="F719" s="115" t="s">
        <v>96</v>
      </c>
      <c r="G719" s="78" t="s">
        <v>263</v>
      </c>
      <c r="H719" s="115" t="s">
        <v>24</v>
      </c>
      <c r="I719" s="78" t="s">
        <v>22</v>
      </c>
      <c r="J719" s="113">
        <v>1020055</v>
      </c>
      <c r="K719" s="78" t="s">
        <v>26</v>
      </c>
      <c r="L719" s="60">
        <v>1000000</v>
      </c>
      <c r="M719" s="60">
        <v>1</v>
      </c>
      <c r="N719" s="60">
        <f>Main_Issuance[[#This Row],[LC Amt(FCY)]]*Main_Issuance[[#This Row],[Rate]]</f>
        <v>1000000</v>
      </c>
      <c r="O719" s="77">
        <v>45869</v>
      </c>
      <c r="P719" s="77">
        <v>45869</v>
      </c>
      <c r="Q719" s="77" t="s">
        <v>27</v>
      </c>
      <c r="R719" s="78" t="s">
        <v>311</v>
      </c>
      <c r="S719" s="81"/>
      <c r="T719" s="81"/>
      <c r="U719" s="81"/>
      <c r="V719" s="83">
        <v>0</v>
      </c>
      <c r="W719" s="115"/>
      <c r="X719" s="146" t="str">
        <f ca="1">IF(AND((Main_Issuance[[#This Row],[Expiry Date]]+31)&gt;TODAY(),Main_Issuance[[#This Row],[Status]]&lt;&gt;"Cancelled"),"Active","Cancelled")</f>
        <v>Cancelled</v>
      </c>
      <c r="Y719" s="409"/>
      <c r="Z719" s="408"/>
      <c r="AA719" s="408" t="s">
        <v>378</v>
      </c>
      <c r="AB719" s="83" cm="1">
        <f t="array" ref="AB719">Iss_Tariff(Main_Issuance[[#This Row],[Bank]],Main_Issuance[[#This Row],[LC Amt(SAR)]],Main_Issuance[[#This Row],[Issue Date.]],Main_Issuance[[#This Row],[Expiry Date]],Main_Issuance[[#This Row],[Calculate]])</f>
        <v>0</v>
      </c>
      <c r="AC719" s="83"/>
    </row>
    <row r="720" spans="1:29" ht="15.75" hidden="1" x14ac:dyDescent="0.25">
      <c r="A720" s="114" t="s">
        <v>1652</v>
      </c>
      <c r="B720" s="76">
        <v>45869</v>
      </c>
      <c r="C720" s="76" t="s">
        <v>1119</v>
      </c>
      <c r="D720" s="78" t="s">
        <v>20</v>
      </c>
      <c r="E720" s="78" t="s">
        <v>366</v>
      </c>
      <c r="F720" s="115" t="s">
        <v>367</v>
      </c>
      <c r="G720" s="78" t="s">
        <v>1614</v>
      </c>
      <c r="H720" s="115" t="s">
        <v>24</v>
      </c>
      <c r="I720" s="78" t="s">
        <v>367</v>
      </c>
      <c r="J720" s="113">
        <v>1020091</v>
      </c>
      <c r="K720" s="78" t="s">
        <v>26</v>
      </c>
      <c r="L720" s="60">
        <v>1600000</v>
      </c>
      <c r="M720" s="60">
        <v>1</v>
      </c>
      <c r="N720" s="60">
        <f>Main_Issuance[[#This Row],[LC Amt(FCY)]]*Main_Issuance[[#This Row],[Rate]]</f>
        <v>1600000</v>
      </c>
      <c r="O720" s="76">
        <v>46081</v>
      </c>
      <c r="P720" s="76">
        <v>46081</v>
      </c>
      <c r="Q720" s="77" t="s">
        <v>27</v>
      </c>
      <c r="R720" s="78" t="s">
        <v>1624</v>
      </c>
      <c r="S720" s="81"/>
      <c r="T720" s="81"/>
      <c r="U720" s="81"/>
      <c r="V720" s="83">
        <v>0</v>
      </c>
      <c r="W720" s="115"/>
      <c r="X720" s="146" t="str">
        <f ca="1">IF(AND((Main_Issuance[[#This Row],[Expiry Date]]+31)&gt;TODAY(),Main_Issuance[[#This Row],[Status]]&lt;&gt;"Cancelled"),"Active","Cancelled")</f>
        <v>Cancelled</v>
      </c>
      <c r="Y720" s="409"/>
      <c r="Z720" s="408"/>
      <c r="AA720" s="408" t="s">
        <v>857</v>
      </c>
      <c r="AB720" s="83" cm="1">
        <f t="array" ref="AB720">Iss_Tariff(Main_Issuance[[#This Row],[Bank]],Main_Issuance[[#This Row],[LC Amt(SAR)]],Main_Issuance[[#This Row],[Issue Date.]],Main_Issuance[[#This Row],[Expiry Date]],Main_Issuance[[#This Row],[Calculate]])</f>
        <v>9286.25</v>
      </c>
      <c r="AC720" s="83"/>
    </row>
    <row r="721" spans="1:29" ht="15.75" hidden="1" x14ac:dyDescent="0.25">
      <c r="A721" s="114" t="s">
        <v>3320</v>
      </c>
      <c r="B721" s="76">
        <v>46023</v>
      </c>
      <c r="C721" s="76" t="s">
        <v>1537</v>
      </c>
      <c r="D721" s="115" t="s">
        <v>20</v>
      </c>
      <c r="E721" s="78" t="s">
        <v>62</v>
      </c>
      <c r="F721" s="115" t="s">
        <v>483</v>
      </c>
      <c r="G721" s="78" t="s">
        <v>1614</v>
      </c>
      <c r="H721" s="113" t="s">
        <v>24</v>
      </c>
      <c r="I721" s="78" t="s">
        <v>483</v>
      </c>
      <c r="J721" s="113">
        <v>1020096</v>
      </c>
      <c r="K721" s="78" t="s">
        <v>26</v>
      </c>
      <c r="L721" s="119">
        <v>500000</v>
      </c>
      <c r="M721" s="82">
        <v>1</v>
      </c>
      <c r="N721" s="82">
        <f>Main_Issuance[[#This Row],[LC Amt(FCY)]]*Main_Issuance[[#This Row],[Rate]]</f>
        <v>500000</v>
      </c>
      <c r="O721" s="77">
        <v>46296</v>
      </c>
      <c r="P721" s="77">
        <v>46296</v>
      </c>
      <c r="Q721" s="77" t="s">
        <v>27</v>
      </c>
      <c r="R721" s="78" t="s">
        <v>3229</v>
      </c>
      <c r="S721" s="81"/>
      <c r="T721" s="81"/>
      <c r="U721" s="81"/>
      <c r="V721" s="83">
        <v>0</v>
      </c>
      <c r="W721" s="115" t="s">
        <v>5585</v>
      </c>
      <c r="X721" s="146" t="str">
        <f ca="1">IF(AND((Main_Issuance[[#This Row],[Expiry Date]]+31)&gt;TODAY(),Main_Issuance[[#This Row],[Status]]&lt;&gt;"Cancelled"),"Active","Cancelled")</f>
        <v>Active</v>
      </c>
      <c r="Y721" s="409"/>
      <c r="Z721" s="408"/>
      <c r="AA721" s="408" t="s">
        <v>857</v>
      </c>
      <c r="AB721" s="83" cm="1">
        <f t="array" ref="AB721">Iss_Tariff(Main_Issuance[[#This Row],[Bank]],Main_Issuance[[#This Row],[LC Amt(SAR)]],Main_Issuance[[#This Row],[Issue Date.]],Main_Issuance[[#This Row],[Expiry Date]],Main_Issuance[[#This Row],[Calculate]])</f>
        <v>8339.7999999999993</v>
      </c>
      <c r="AC721" s="83"/>
    </row>
    <row r="722" spans="1:29" ht="15.75" hidden="1" x14ac:dyDescent="0.25">
      <c r="A722" s="114" t="s">
        <v>3955</v>
      </c>
      <c r="B722" s="76">
        <v>46057</v>
      </c>
      <c r="C722" s="76" t="s">
        <v>1537</v>
      </c>
      <c r="D722" s="78" t="s">
        <v>20</v>
      </c>
      <c r="E722" s="78" t="s">
        <v>62</v>
      </c>
      <c r="F722" s="115" t="s">
        <v>483</v>
      </c>
      <c r="G722" s="78" t="s">
        <v>1614</v>
      </c>
      <c r="H722" s="113" t="s">
        <v>24</v>
      </c>
      <c r="I722" s="78" t="s">
        <v>483</v>
      </c>
      <c r="J722" s="113">
        <v>1020096</v>
      </c>
      <c r="K722" s="78" t="s">
        <v>26</v>
      </c>
      <c r="L722" s="119">
        <v>500000</v>
      </c>
      <c r="M722" s="82">
        <v>1</v>
      </c>
      <c r="N722" s="82">
        <f>Main_Issuance[[#This Row],[LC Amt(FCY)]]*Main_Issuance[[#This Row],[Rate]]</f>
        <v>500000</v>
      </c>
      <c r="O722" s="76">
        <v>46142</v>
      </c>
      <c r="P722" s="76">
        <v>46142</v>
      </c>
      <c r="Q722" s="77" t="s">
        <v>27</v>
      </c>
      <c r="R722" s="78" t="s">
        <v>3229</v>
      </c>
      <c r="S722" s="81"/>
      <c r="T722" s="81"/>
      <c r="U722" s="81"/>
      <c r="V722" s="83">
        <v>0</v>
      </c>
      <c r="W722" s="115"/>
      <c r="X722" s="146" t="str">
        <f ca="1">IF(AND((Main_Issuance[[#This Row],[Expiry Date]]+31)&gt;TODAY(),Main_Issuance[[#This Row],[Status]]&lt;&gt;"Cancelled"),"Active","Cancelled")</f>
        <v>Cancelled</v>
      </c>
      <c r="Y722" s="409"/>
      <c r="Z722" s="408"/>
      <c r="AA722" s="408" t="s">
        <v>857</v>
      </c>
      <c r="AB722" s="83" cm="1">
        <f t="array" ref="AB722">Iss_Tariff(Main_Issuance[[#This Row],[Bank]],Main_Issuance[[#This Row],[LC Amt(SAR)]],Main_Issuance[[#This Row],[Issue Date.]],Main_Issuance[[#This Row],[Expiry Date]],Main_Issuance[[#This Row],[Calculate]])</f>
        <v>3180.9</v>
      </c>
      <c r="AC722" s="83"/>
    </row>
    <row r="723" spans="1:29" ht="15.75" hidden="1" x14ac:dyDescent="0.25">
      <c r="A723" s="57" t="s">
        <v>670</v>
      </c>
      <c r="B723" s="56">
        <v>45693</v>
      </c>
      <c r="C723" s="56" t="s">
        <v>441</v>
      </c>
      <c r="D723" s="19" t="s">
        <v>20</v>
      </c>
      <c r="E723" s="69" t="s">
        <v>95</v>
      </c>
      <c r="F723" s="19" t="s">
        <v>96</v>
      </c>
      <c r="G723" s="69" t="s">
        <v>671</v>
      </c>
      <c r="H723" s="59" t="s">
        <v>24</v>
      </c>
      <c r="I723" s="65" t="s">
        <v>22</v>
      </c>
      <c r="J723" s="59">
        <v>1020055</v>
      </c>
      <c r="K723" s="69" t="s">
        <v>26</v>
      </c>
      <c r="L723" s="60">
        <v>2622000</v>
      </c>
      <c r="M723" s="60">
        <v>1</v>
      </c>
      <c r="N723" s="60">
        <f>Main_Issuance[[#This Row],[LC Amt(FCY)]]*Main_Issuance[[#This Row],[Rate]]</f>
        <v>2622000</v>
      </c>
      <c r="O723" s="58">
        <v>45777</v>
      </c>
      <c r="P723" s="58">
        <v>45777</v>
      </c>
      <c r="Q723" s="58" t="s">
        <v>27</v>
      </c>
      <c r="R723" s="69" t="s">
        <v>311</v>
      </c>
      <c r="S723" s="71"/>
      <c r="T723" s="71"/>
      <c r="U723" s="71"/>
      <c r="V723" s="68">
        <v>0</v>
      </c>
      <c r="W723" s="115"/>
      <c r="X723" s="191" t="str">
        <f ca="1">IF(AND((Main_Issuance[[#This Row],[Expiry Date]]+31)&gt;TODAY(),Main_Issuance[[#This Row],[Status]]&lt;&gt;"Cancelled"),"Active","Cancelled")</f>
        <v>Cancelled</v>
      </c>
      <c r="Y723" s="409"/>
      <c r="Z723" s="408"/>
      <c r="AA723" s="408" t="s">
        <v>378</v>
      </c>
      <c r="AB723" s="83" cm="1">
        <f t="array" ref="AB723">Iss_Tariff(Main_Issuance[[#This Row],[Bank]],Main_Issuance[[#This Row],[LC Amt(SAR)]],Main_Issuance[[#This Row],[Issue Date.]],Main_Issuance[[#This Row],[Expiry Date]],Main_Issuance[[#This Row],[Calculate]])</f>
        <v>0</v>
      </c>
      <c r="AC723" s="83"/>
    </row>
    <row r="724" spans="1:29" ht="15.75" hidden="1" x14ac:dyDescent="0.25">
      <c r="A724" s="114" t="s">
        <v>1257</v>
      </c>
      <c r="B724" s="76">
        <v>45767</v>
      </c>
      <c r="C724" s="76" t="s">
        <v>441</v>
      </c>
      <c r="D724" s="78" t="s">
        <v>20</v>
      </c>
      <c r="E724" s="78" t="s">
        <v>95</v>
      </c>
      <c r="F724" s="115" t="s">
        <v>96</v>
      </c>
      <c r="G724" s="78" t="s">
        <v>1190</v>
      </c>
      <c r="H724" s="115" t="s">
        <v>24</v>
      </c>
      <c r="I724" s="78" t="s">
        <v>22</v>
      </c>
      <c r="J724" s="113">
        <v>1020055</v>
      </c>
      <c r="K724" s="78" t="s">
        <v>26</v>
      </c>
      <c r="L724" s="60">
        <v>5113228.88</v>
      </c>
      <c r="M724" s="60">
        <v>1</v>
      </c>
      <c r="N724" s="60">
        <f>Main_Issuance[[#This Row],[LC Amt(FCY)]]*Main_Issuance[[#This Row],[Rate]]</f>
        <v>5113228.88</v>
      </c>
      <c r="O724" s="76">
        <v>45869</v>
      </c>
      <c r="P724" s="76">
        <v>45869</v>
      </c>
      <c r="Q724" s="77" t="s">
        <v>27</v>
      </c>
      <c r="R724" s="78" t="s">
        <v>311</v>
      </c>
      <c r="S724" s="81"/>
      <c r="T724" s="81"/>
      <c r="U724" s="81"/>
      <c r="V724" s="83">
        <v>0</v>
      </c>
      <c r="W724" s="115"/>
      <c r="X724" s="146" t="str">
        <f ca="1">IF(AND((Main_Issuance[[#This Row],[Expiry Date]]+31)&gt;TODAY(),Main_Issuance[[#This Row],[Status]]&lt;&gt;"Cancelled"),"Active","Cancelled")</f>
        <v>Cancelled</v>
      </c>
      <c r="Y724" s="409"/>
      <c r="Z724" s="408"/>
      <c r="AA724" s="408" t="s">
        <v>378</v>
      </c>
      <c r="AB724" s="83" cm="1">
        <f t="array" ref="AB724">Iss_Tariff(Main_Issuance[[#This Row],[Bank]],Main_Issuance[[#This Row],[LC Amt(SAR)]],Main_Issuance[[#This Row],[Issue Date.]],Main_Issuance[[#This Row],[Expiry Date]],Main_Issuance[[#This Row],[Calculate]])</f>
        <v>0</v>
      </c>
      <c r="AC724" s="83"/>
    </row>
    <row r="725" spans="1:29" ht="15.75" hidden="1" x14ac:dyDescent="0.25">
      <c r="A725" s="114" t="s">
        <v>2255</v>
      </c>
      <c r="B725" s="76">
        <v>45949</v>
      </c>
      <c r="C725" s="76" t="s">
        <v>1878</v>
      </c>
      <c r="D725" s="78" t="s">
        <v>20</v>
      </c>
      <c r="E725" s="78" t="s">
        <v>366</v>
      </c>
      <c r="F725" s="115" t="s">
        <v>367</v>
      </c>
      <c r="G725" s="78" t="s">
        <v>1931</v>
      </c>
      <c r="H725" s="115" t="s">
        <v>3220</v>
      </c>
      <c r="I725" s="78" t="s">
        <v>367</v>
      </c>
      <c r="J725" s="115">
        <v>1020091</v>
      </c>
      <c r="K725" s="78" t="s">
        <v>26</v>
      </c>
      <c r="L725" s="119">
        <v>3000000</v>
      </c>
      <c r="M725" s="82">
        <v>1</v>
      </c>
      <c r="N725" s="82">
        <f>Main_Issuance[[#This Row],[LC Amt(FCY)]]*Main_Issuance[[#This Row],[Rate]]</f>
        <v>3000000</v>
      </c>
      <c r="O725" s="76">
        <v>45976</v>
      </c>
      <c r="P725" s="76">
        <v>45960</v>
      </c>
      <c r="Q725" s="77" t="s">
        <v>27</v>
      </c>
      <c r="R725" s="78" t="s">
        <v>1932</v>
      </c>
      <c r="S725" s="81"/>
      <c r="T725" s="81"/>
      <c r="U725" s="81"/>
      <c r="V725" s="83">
        <v>0</v>
      </c>
      <c r="W725" s="115"/>
      <c r="X725" s="146" t="str">
        <f ca="1">IF(AND((Main_Issuance[[#This Row],[Expiry Date]]+31)&gt;TODAY(),Main_Issuance[[#This Row],[Status]]&lt;&gt;"Cancelled"),"Active","Cancelled")</f>
        <v>Cancelled</v>
      </c>
      <c r="Y725" s="409"/>
      <c r="Z725" s="408"/>
      <c r="AA725" s="408" t="s">
        <v>378</v>
      </c>
      <c r="AB725" s="83" cm="1">
        <f t="array" ref="AB725">Iss_Tariff(Main_Issuance[[#This Row],[Bank]],Main_Issuance[[#This Row],[LC Amt(SAR)]],Main_Issuance[[#This Row],[Issue Date.]],Main_Issuance[[#This Row],[Expiry Date]],Main_Issuance[[#This Row],[Calculate]])</f>
        <v>0</v>
      </c>
      <c r="AC725" s="83"/>
    </row>
    <row r="726" spans="1:29" ht="15.75" hidden="1" x14ac:dyDescent="0.25">
      <c r="A726" s="57" t="s">
        <v>468</v>
      </c>
      <c r="B726" s="56">
        <v>45596</v>
      </c>
      <c r="C726" s="56" t="s">
        <v>1119</v>
      </c>
      <c r="D726" s="19" t="s">
        <v>20</v>
      </c>
      <c r="E726" s="69" t="s">
        <v>366</v>
      </c>
      <c r="F726" s="19" t="s">
        <v>367</v>
      </c>
      <c r="G726" s="69" t="s">
        <v>469</v>
      </c>
      <c r="H726" s="59" t="s">
        <v>72</v>
      </c>
      <c r="I726" s="65" t="s">
        <v>367</v>
      </c>
      <c r="J726" s="59">
        <v>1020091</v>
      </c>
      <c r="K726" s="69" t="s">
        <v>191</v>
      </c>
      <c r="L726" s="60">
        <v>4156524</v>
      </c>
      <c r="M726" s="60">
        <v>1.026</v>
      </c>
      <c r="N726" s="60">
        <f>Main_Issuance[[#This Row],[LC Amt(FCY)]]*Main_Issuance[[#This Row],[Rate]]</f>
        <v>4264593.6239999998</v>
      </c>
      <c r="O726" s="56">
        <v>45688</v>
      </c>
      <c r="P726" s="56">
        <v>45661</v>
      </c>
      <c r="Q726" s="58" t="s">
        <v>27</v>
      </c>
      <c r="R726" s="69" t="s">
        <v>208</v>
      </c>
      <c r="S726" s="71"/>
      <c r="T726" s="71"/>
      <c r="U726" s="71"/>
      <c r="V726" s="68">
        <v>0</v>
      </c>
      <c r="W726" s="115"/>
      <c r="X726" s="191" t="str">
        <f ca="1">IF(AND((Main_Issuance[[#This Row],[Expiry Date]]+31)&gt;TODAY(),Main_Issuance[[#This Row],[Status]]&lt;&gt;"Cancelled"),"Active","Cancelled")</f>
        <v>Cancelled</v>
      </c>
      <c r="Y726" s="409"/>
      <c r="Z726" s="408"/>
      <c r="AA726" s="408" t="s">
        <v>378</v>
      </c>
      <c r="AB726" s="83" cm="1">
        <f t="array" ref="AB726">Iss_Tariff(Main_Issuance[[#This Row],[Bank]],Main_Issuance[[#This Row],[LC Amt(SAR)]],Main_Issuance[[#This Row],[Issue Date.]],Main_Issuance[[#This Row],[Expiry Date]],Main_Issuance[[#This Row],[Calculate]])</f>
        <v>0</v>
      </c>
      <c r="AC726" s="83"/>
    </row>
    <row r="727" spans="1:29" ht="15.75" hidden="1" x14ac:dyDescent="0.25">
      <c r="A727" s="114" t="s">
        <v>672</v>
      </c>
      <c r="B727" s="76">
        <v>45679</v>
      </c>
      <c r="C727" s="76" t="s">
        <v>1119</v>
      </c>
      <c r="D727" s="115" t="s">
        <v>20</v>
      </c>
      <c r="E727" s="78" t="s">
        <v>366</v>
      </c>
      <c r="F727" s="115" t="s">
        <v>367</v>
      </c>
      <c r="G727" s="78" t="s">
        <v>469</v>
      </c>
      <c r="H727" s="113" t="s">
        <v>72</v>
      </c>
      <c r="I727" s="79" t="s">
        <v>367</v>
      </c>
      <c r="J727" s="113">
        <v>1020091</v>
      </c>
      <c r="K727" s="78" t="s">
        <v>191</v>
      </c>
      <c r="L727" s="60">
        <f>15932400-7735100+4542822</f>
        <v>12740122</v>
      </c>
      <c r="M727" s="60">
        <v>1.026</v>
      </c>
      <c r="N727" s="60">
        <f>Main_Issuance[[#This Row],[LC Amt(FCY)]]*Main_Issuance[[#This Row],[Rate]]</f>
        <v>13071365.172</v>
      </c>
      <c r="O727" s="76">
        <v>45818</v>
      </c>
      <c r="P727" s="76">
        <v>45747</v>
      </c>
      <c r="Q727" s="77" t="s">
        <v>27</v>
      </c>
      <c r="R727" s="115" t="s">
        <v>208</v>
      </c>
      <c r="S727" s="81"/>
      <c r="T727" s="81"/>
      <c r="U727" s="81"/>
      <c r="V727" s="68">
        <v>0</v>
      </c>
      <c r="W727" s="115"/>
      <c r="X727" s="146" t="str">
        <f ca="1">IF(AND((Main_Issuance[[#This Row],[Expiry Date]]+31)&gt;TODAY(),Main_Issuance[[#This Row],[Status]]&lt;&gt;"Cancelled"),"Active","Cancelled")</f>
        <v>Cancelled</v>
      </c>
      <c r="Y727" s="409"/>
      <c r="Z727" s="408"/>
      <c r="AA727" s="408" t="s">
        <v>378</v>
      </c>
      <c r="AB727" s="83" cm="1">
        <f t="array" ref="AB727">Iss_Tariff(Main_Issuance[[#This Row],[Bank]],Main_Issuance[[#This Row],[LC Amt(SAR)]],Main_Issuance[[#This Row],[Issue Date.]],Main_Issuance[[#This Row],[Expiry Date]],Main_Issuance[[#This Row],[Calculate]])</f>
        <v>0</v>
      </c>
      <c r="AC727" s="83"/>
    </row>
    <row r="728" spans="1:29" ht="15.75" hidden="1" x14ac:dyDescent="0.25">
      <c r="A728" s="114" t="s">
        <v>1622</v>
      </c>
      <c r="B728" s="76">
        <v>45866</v>
      </c>
      <c r="C728" s="76" t="s">
        <v>1119</v>
      </c>
      <c r="D728" s="78" t="s">
        <v>20</v>
      </c>
      <c r="E728" s="78" t="s">
        <v>366</v>
      </c>
      <c r="F728" s="115" t="s">
        <v>367</v>
      </c>
      <c r="G728" s="78" t="s">
        <v>469</v>
      </c>
      <c r="H728" s="113" t="s">
        <v>72</v>
      </c>
      <c r="I728" s="79" t="s">
        <v>367</v>
      </c>
      <c r="J728" s="113">
        <v>1020091</v>
      </c>
      <c r="K728" s="78" t="s">
        <v>191</v>
      </c>
      <c r="L728" s="60">
        <f>1189012.59*105%</f>
        <v>1248463.2195000001</v>
      </c>
      <c r="M728" s="60">
        <v>1.026</v>
      </c>
      <c r="N728" s="60">
        <f>Main_Issuance[[#This Row],[LC Amt(FCY)]]*Main_Issuance[[#This Row],[Rate]]</f>
        <v>1280923.2632070002</v>
      </c>
      <c r="O728" s="76">
        <v>45910</v>
      </c>
      <c r="P728" s="76">
        <v>45889</v>
      </c>
      <c r="Q728" s="77" t="s">
        <v>27</v>
      </c>
      <c r="R728" s="78" t="s">
        <v>208</v>
      </c>
      <c r="S728" s="81"/>
      <c r="T728" s="81"/>
      <c r="U728" s="81"/>
      <c r="V728" s="68">
        <v>0</v>
      </c>
      <c r="W728" s="115"/>
      <c r="X728" s="146" t="str">
        <f ca="1">IF(AND((Main_Issuance[[#This Row],[Expiry Date]]+31)&gt;TODAY(),Main_Issuance[[#This Row],[Status]]&lt;&gt;"Cancelled"),"Active","Cancelled")</f>
        <v>Cancelled</v>
      </c>
      <c r="Y728" s="409"/>
      <c r="Z728" s="408"/>
      <c r="AA728" s="408" t="s">
        <v>378</v>
      </c>
      <c r="AB728" s="83" cm="1">
        <f t="array" ref="AB728">Iss_Tariff(Main_Issuance[[#This Row],[Bank]],Main_Issuance[[#This Row],[LC Amt(SAR)]],Main_Issuance[[#This Row],[Issue Date.]],Main_Issuance[[#This Row],[Expiry Date]],Main_Issuance[[#This Row],[Calculate]])</f>
        <v>0</v>
      </c>
      <c r="AC728" s="83"/>
    </row>
    <row r="729" spans="1:29" ht="15.75" hidden="1" x14ac:dyDescent="0.25">
      <c r="A729" s="57" t="s">
        <v>741</v>
      </c>
      <c r="B729" s="56">
        <v>45734</v>
      </c>
      <c r="C729" s="56" t="s">
        <v>441</v>
      </c>
      <c r="D729" s="69" t="s">
        <v>20</v>
      </c>
      <c r="E729" s="69" t="s">
        <v>21</v>
      </c>
      <c r="F729" s="19" t="s">
        <v>22</v>
      </c>
      <c r="G729" s="69" t="s">
        <v>742</v>
      </c>
      <c r="H729" s="59" t="s">
        <v>24</v>
      </c>
      <c r="I729" s="65" t="s">
        <v>413</v>
      </c>
      <c r="J729" s="59"/>
      <c r="K729" s="69" t="s">
        <v>26</v>
      </c>
      <c r="L729" s="60">
        <v>2500000</v>
      </c>
      <c r="M729" s="60">
        <v>1</v>
      </c>
      <c r="N729" s="60">
        <f>Main_Issuance[[#This Row],[LC Amt(FCY)]]*Main_Issuance[[#This Row],[Rate]]</f>
        <v>2500000</v>
      </c>
      <c r="O729" s="56">
        <v>45808</v>
      </c>
      <c r="P729" s="56">
        <v>45808</v>
      </c>
      <c r="Q729" s="58" t="s">
        <v>27</v>
      </c>
      <c r="R729" s="69" t="s">
        <v>311</v>
      </c>
      <c r="S729" s="71"/>
      <c r="T729" s="71"/>
      <c r="U729" s="71"/>
      <c r="V729" s="68">
        <v>0</v>
      </c>
      <c r="W729" s="115"/>
      <c r="X729" s="191" t="str">
        <f ca="1">IF(AND((Main_Issuance[[#This Row],[Expiry Date]]+31)&gt;TODAY(),Main_Issuance[[#This Row],[Status]]&lt;&gt;"Cancelled"),"Active","Cancelled")</f>
        <v>Cancelled</v>
      </c>
      <c r="Y729" s="409"/>
      <c r="Z729" s="408"/>
      <c r="AA729" s="408" t="s">
        <v>378</v>
      </c>
      <c r="AB729" s="83" cm="1">
        <f t="array" ref="AB729">Iss_Tariff(Main_Issuance[[#This Row],[Bank]],Main_Issuance[[#This Row],[LC Amt(SAR)]],Main_Issuance[[#This Row],[Issue Date.]],Main_Issuance[[#This Row],[Expiry Date]],Main_Issuance[[#This Row],[Calculate]])</f>
        <v>0</v>
      </c>
      <c r="AC729" s="83"/>
    </row>
    <row r="730" spans="1:29" ht="15.75" hidden="1" x14ac:dyDescent="0.25">
      <c r="A730" s="57" t="s">
        <v>454</v>
      </c>
      <c r="B730" s="56">
        <v>45572</v>
      </c>
      <c r="C730" s="56" t="s">
        <v>441</v>
      </c>
      <c r="D730" s="69" t="s">
        <v>20</v>
      </c>
      <c r="E730" s="69" t="s">
        <v>95</v>
      </c>
      <c r="F730" s="19" t="s">
        <v>96</v>
      </c>
      <c r="G730" s="69" t="s">
        <v>455</v>
      </c>
      <c r="H730" s="59" t="s">
        <v>24</v>
      </c>
      <c r="I730" s="65" t="s">
        <v>413</v>
      </c>
      <c r="J730" s="59"/>
      <c r="K730" s="69" t="s">
        <v>26</v>
      </c>
      <c r="L730" s="60">
        <v>5000000</v>
      </c>
      <c r="M730" s="60">
        <v>1</v>
      </c>
      <c r="N730" s="60">
        <f>Main_Issuance[[#This Row],[LC Amt(FCY)]]*Main_Issuance[[#This Row],[Rate]]</f>
        <v>5000000</v>
      </c>
      <c r="O730" s="56">
        <v>45747</v>
      </c>
      <c r="P730" s="56">
        <v>45720</v>
      </c>
      <c r="Q730" s="58" t="s">
        <v>27</v>
      </c>
      <c r="R730" s="69" t="s">
        <v>311</v>
      </c>
      <c r="S730" s="71"/>
      <c r="T730" s="71"/>
      <c r="U730" s="71"/>
      <c r="V730" s="68">
        <v>0</v>
      </c>
      <c r="W730" s="115"/>
      <c r="X730" s="191" t="str">
        <f ca="1">IF(AND((Main_Issuance[[#This Row],[Expiry Date]]+31)&gt;TODAY(),Main_Issuance[[#This Row],[Status]]&lt;&gt;"Cancelled"),"Active","Cancelled")</f>
        <v>Cancelled</v>
      </c>
      <c r="Y730" s="409"/>
      <c r="Z730" s="408"/>
      <c r="AA730" s="408" t="s">
        <v>378</v>
      </c>
      <c r="AB730" s="83" cm="1">
        <f t="array" ref="AB730">Iss_Tariff(Main_Issuance[[#This Row],[Bank]],Main_Issuance[[#This Row],[LC Amt(SAR)]],Main_Issuance[[#This Row],[Issue Date.]],Main_Issuance[[#This Row],[Expiry Date]],Main_Issuance[[#This Row],[Calculate]])</f>
        <v>0</v>
      </c>
      <c r="AC730" s="83"/>
    </row>
    <row r="731" spans="1:29" ht="15.75" hidden="1" x14ac:dyDescent="0.25">
      <c r="A731" s="57" t="s">
        <v>178</v>
      </c>
      <c r="B731" s="56">
        <v>45015</v>
      </c>
      <c r="C731" s="56" t="s">
        <v>1182</v>
      </c>
      <c r="D731" s="69" t="s">
        <v>20</v>
      </c>
      <c r="E731" s="69" t="s">
        <v>21</v>
      </c>
      <c r="F731" s="19" t="s">
        <v>22</v>
      </c>
      <c r="G731" s="69" t="s">
        <v>179</v>
      </c>
      <c r="H731" s="59" t="s">
        <v>24</v>
      </c>
      <c r="I731" s="65" t="s">
        <v>90</v>
      </c>
      <c r="J731" s="59">
        <v>1020001</v>
      </c>
      <c r="K731" s="69" t="s">
        <v>26</v>
      </c>
      <c r="L731" s="60">
        <v>5713072</v>
      </c>
      <c r="M731" s="60">
        <v>1</v>
      </c>
      <c r="N731" s="60">
        <f>Main_Issuance[[#This Row],[LC Amt(FCY)]]*Main_Issuance[[#This Row],[Rate]]</f>
        <v>5713072</v>
      </c>
      <c r="O731" s="56">
        <v>45199</v>
      </c>
      <c r="P731" s="56">
        <v>45199</v>
      </c>
      <c r="Q731" s="58" t="s">
        <v>27</v>
      </c>
      <c r="R731" s="69"/>
      <c r="S731" s="71"/>
      <c r="T731" s="71"/>
      <c r="U731" s="71"/>
      <c r="V731" s="68">
        <v>0</v>
      </c>
      <c r="W731" s="115"/>
      <c r="X731" s="191" t="str">
        <f ca="1">IF(AND((Main_Issuance[[#This Row],[Expiry Date]]+31)&gt;TODAY(),Main_Issuance[[#This Row],[Status]]&lt;&gt;"Cancelled"),"Active","Cancelled")</f>
        <v>Cancelled</v>
      </c>
      <c r="Y731" s="409"/>
      <c r="Z731" s="408"/>
      <c r="AA731" s="408" t="s">
        <v>378</v>
      </c>
      <c r="AB731" s="83" cm="1">
        <f t="array" ref="AB731">Iss_Tariff(Main_Issuance[[#This Row],[Bank]],Main_Issuance[[#This Row],[LC Amt(SAR)]],Main_Issuance[[#This Row],[Issue Date.]],Main_Issuance[[#This Row],[Expiry Date]],Main_Issuance[[#This Row],[Calculate]])</f>
        <v>0</v>
      </c>
      <c r="AC731" s="83"/>
    </row>
    <row r="732" spans="1:29" ht="15.75" hidden="1" x14ac:dyDescent="0.25">
      <c r="A732" s="57" t="s">
        <v>215</v>
      </c>
      <c r="B732" s="56">
        <v>45015</v>
      </c>
      <c r="C732" s="56" t="s">
        <v>1182</v>
      </c>
      <c r="D732" s="19" t="s">
        <v>20</v>
      </c>
      <c r="E732" s="69" t="s">
        <v>21</v>
      </c>
      <c r="F732" s="19" t="s">
        <v>22</v>
      </c>
      <c r="G732" s="69" t="s">
        <v>179</v>
      </c>
      <c r="H732" s="59" t="s">
        <v>24</v>
      </c>
      <c r="I732" s="65" t="s">
        <v>90</v>
      </c>
      <c r="J732" s="59">
        <v>1020001</v>
      </c>
      <c r="K732" s="69" t="s">
        <v>26</v>
      </c>
      <c r="L732" s="60">
        <v>12420000</v>
      </c>
      <c r="M732" s="60">
        <v>1</v>
      </c>
      <c r="N732" s="60">
        <f>Main_Issuance[[#This Row],[LC Amt(FCY)]]*Main_Issuance[[#This Row],[Rate]]</f>
        <v>12420000</v>
      </c>
      <c r="O732" s="56">
        <v>45260</v>
      </c>
      <c r="P732" s="56">
        <v>45260</v>
      </c>
      <c r="Q732" s="58" t="s">
        <v>27</v>
      </c>
      <c r="R732" s="19"/>
      <c r="S732" s="71"/>
      <c r="T732" s="71"/>
      <c r="U732" s="71"/>
      <c r="V732" s="68">
        <v>0</v>
      </c>
      <c r="W732" s="115"/>
      <c r="X732" s="191" t="str">
        <f ca="1">IF(AND((Main_Issuance[[#This Row],[Expiry Date]]+31)&gt;TODAY(),Main_Issuance[[#This Row],[Status]]&lt;&gt;"Cancelled"),"Active","Cancelled")</f>
        <v>Cancelled</v>
      </c>
      <c r="Y732" s="409"/>
      <c r="Z732" s="408"/>
      <c r="AA732" s="408" t="s">
        <v>378</v>
      </c>
      <c r="AB732" s="83" cm="1">
        <f t="array" ref="AB732">Iss_Tariff(Main_Issuance[[#This Row],[Bank]],Main_Issuance[[#This Row],[LC Amt(SAR)]],Main_Issuance[[#This Row],[Issue Date.]],Main_Issuance[[#This Row],[Expiry Date]],Main_Issuance[[#This Row],[Calculate]])</f>
        <v>0</v>
      </c>
      <c r="AC732" s="83"/>
    </row>
    <row r="733" spans="1:29" ht="15.75" hidden="1" x14ac:dyDescent="0.25">
      <c r="A733" s="70" t="s">
        <v>668</v>
      </c>
      <c r="B733" s="56">
        <v>45699</v>
      </c>
      <c r="C733" s="56" t="s">
        <v>441</v>
      </c>
      <c r="D733" s="69" t="s">
        <v>20</v>
      </c>
      <c r="E733" s="69" t="s">
        <v>95</v>
      </c>
      <c r="F733" s="69" t="s">
        <v>96</v>
      </c>
      <c r="G733" s="69" t="s">
        <v>669</v>
      </c>
      <c r="H733" s="65" t="s">
        <v>24</v>
      </c>
      <c r="I733" s="65" t="s">
        <v>22</v>
      </c>
      <c r="J733" s="65">
        <v>1020055</v>
      </c>
      <c r="K733" s="69" t="s">
        <v>26</v>
      </c>
      <c r="L733" s="72">
        <v>700000</v>
      </c>
      <c r="M733" s="72">
        <v>1</v>
      </c>
      <c r="N733" s="72">
        <f>Main_Issuance[[#This Row],[LC Amt(FCY)]]*Main_Issuance[[#This Row],[Rate]]</f>
        <v>700000</v>
      </c>
      <c r="O733" s="56">
        <v>45777</v>
      </c>
      <c r="P733" s="56">
        <v>45777</v>
      </c>
      <c r="Q733" s="56" t="s">
        <v>27</v>
      </c>
      <c r="R733" s="69" t="s">
        <v>311</v>
      </c>
      <c r="S733" s="71"/>
      <c r="T733" s="71"/>
      <c r="U733" s="71"/>
      <c r="V733" s="68">
        <v>0</v>
      </c>
      <c r="W733" s="78"/>
      <c r="X733" s="56" t="str">
        <f ca="1">IF(AND((Main_Issuance[[#This Row],[Expiry Date]]+31)&gt;TODAY(),Main_Issuance[[#This Row],[Status]]&lt;&gt;"Cancelled"),"Active","Cancelled")</f>
        <v>Cancelled</v>
      </c>
      <c r="Y733" s="407"/>
      <c r="Z733" s="408"/>
      <c r="AA733" s="408" t="s">
        <v>378</v>
      </c>
      <c r="AB733" s="83" cm="1">
        <f t="array" ref="AB733">Iss_Tariff(Main_Issuance[[#This Row],[Bank]],Main_Issuance[[#This Row],[LC Amt(SAR)]],Main_Issuance[[#This Row],[Issue Date.]],Main_Issuance[[#This Row],[Expiry Date]],Main_Issuance[[#This Row],[Calculate]])</f>
        <v>0</v>
      </c>
      <c r="AC733" s="83"/>
    </row>
    <row r="734" spans="1:29" ht="15.75" hidden="1" x14ac:dyDescent="0.25">
      <c r="A734" s="70" t="s">
        <v>298</v>
      </c>
      <c r="B734" s="56">
        <v>45512</v>
      </c>
      <c r="C734" s="56" t="s">
        <v>441</v>
      </c>
      <c r="D734" s="69" t="s">
        <v>20</v>
      </c>
      <c r="E734" s="69" t="s">
        <v>21</v>
      </c>
      <c r="F734" s="69" t="s">
        <v>22</v>
      </c>
      <c r="G734" s="69" t="s">
        <v>299</v>
      </c>
      <c r="H734" s="65" t="s">
        <v>24</v>
      </c>
      <c r="I734" s="65" t="s">
        <v>22</v>
      </c>
      <c r="J734" s="65">
        <v>1020055</v>
      </c>
      <c r="K734" s="69" t="s">
        <v>26</v>
      </c>
      <c r="L734" s="72">
        <v>900000</v>
      </c>
      <c r="M734" s="72">
        <v>1</v>
      </c>
      <c r="N734" s="72">
        <f>Main_Issuance[[#This Row],[LC Amt(FCY)]]*Main_Issuance[[#This Row],[Rate]]</f>
        <v>900000</v>
      </c>
      <c r="O734" s="56">
        <v>45626</v>
      </c>
      <c r="P734" s="56">
        <v>45626</v>
      </c>
      <c r="Q734" s="56" t="s">
        <v>27</v>
      </c>
      <c r="R734" s="69"/>
      <c r="S734" s="71"/>
      <c r="T734" s="71"/>
      <c r="U734" s="71"/>
      <c r="V734" s="68">
        <v>0</v>
      </c>
      <c r="W734" s="78"/>
      <c r="X734" s="56" t="str">
        <f ca="1">IF(AND((Main_Issuance[[#This Row],[Expiry Date]]+31)&gt;TODAY(),Main_Issuance[[#This Row],[Status]]&lt;&gt;"Cancelled"),"Active","Cancelled")</f>
        <v>Cancelled</v>
      </c>
      <c r="Y734" s="407"/>
      <c r="Z734" s="408"/>
      <c r="AA734" s="408" t="s">
        <v>378</v>
      </c>
      <c r="AB734" s="83" cm="1">
        <f t="array" ref="AB734">Iss_Tariff(Main_Issuance[[#This Row],[Bank]],Main_Issuance[[#This Row],[LC Amt(SAR)]],Main_Issuance[[#This Row],[Issue Date.]],Main_Issuance[[#This Row],[Expiry Date]],Main_Issuance[[#This Row],[Calculate]])</f>
        <v>0</v>
      </c>
      <c r="AC734" s="83"/>
    </row>
    <row r="735" spans="1:29" ht="15.75" hidden="1" x14ac:dyDescent="0.25">
      <c r="A735" s="70" t="s">
        <v>236</v>
      </c>
      <c r="B735" s="56">
        <v>45272</v>
      </c>
      <c r="C735" s="56" t="s">
        <v>441</v>
      </c>
      <c r="D735" s="69" t="s">
        <v>20</v>
      </c>
      <c r="E735" s="69" t="s">
        <v>21</v>
      </c>
      <c r="F735" s="69" t="s">
        <v>22</v>
      </c>
      <c r="G735" s="69" t="s">
        <v>237</v>
      </c>
      <c r="H735" s="65" t="s">
        <v>24</v>
      </c>
      <c r="I735" s="65" t="s">
        <v>22</v>
      </c>
      <c r="J735" s="65">
        <v>1020055</v>
      </c>
      <c r="K735" s="69" t="s">
        <v>26</v>
      </c>
      <c r="L735" s="72">
        <v>2000000</v>
      </c>
      <c r="M735" s="72">
        <v>1</v>
      </c>
      <c r="N735" s="72">
        <f>Main_Issuance[[#This Row],[LC Amt(FCY)]]*Main_Issuance[[#This Row],[Rate]]</f>
        <v>2000000</v>
      </c>
      <c r="O735" s="56">
        <v>45350</v>
      </c>
      <c r="P735" s="56">
        <v>45350</v>
      </c>
      <c r="Q735" s="56" t="s">
        <v>27</v>
      </c>
      <c r="R735" s="69"/>
      <c r="S735" s="71"/>
      <c r="T735" s="71"/>
      <c r="U735" s="71"/>
      <c r="V735" s="68">
        <v>0</v>
      </c>
      <c r="W735" s="78"/>
      <c r="X735" s="56" t="str">
        <f ca="1">IF(AND((Main_Issuance[[#This Row],[Expiry Date]]+31)&gt;TODAY(),Main_Issuance[[#This Row],[Status]]&lt;&gt;"Cancelled"),"Active","Cancelled")</f>
        <v>Cancelled</v>
      </c>
      <c r="Y735" s="407"/>
      <c r="Z735" s="408"/>
      <c r="AA735" s="408" t="s">
        <v>378</v>
      </c>
      <c r="AB735" s="83" cm="1">
        <f t="array" ref="AB735">Iss_Tariff(Main_Issuance[[#This Row],[Bank]],Main_Issuance[[#This Row],[LC Amt(SAR)]],Main_Issuance[[#This Row],[Issue Date.]],Main_Issuance[[#This Row],[Expiry Date]],Main_Issuance[[#This Row],[Calculate]])</f>
        <v>0</v>
      </c>
      <c r="AC735" s="83"/>
    </row>
    <row r="736" spans="1:29" ht="15.75" hidden="1" x14ac:dyDescent="0.25">
      <c r="A736" s="70" t="s">
        <v>240</v>
      </c>
      <c r="B736" s="56">
        <v>45315</v>
      </c>
      <c r="C736" s="56" t="s">
        <v>441</v>
      </c>
      <c r="D736" s="69" t="s">
        <v>20</v>
      </c>
      <c r="E736" s="69" t="s">
        <v>21</v>
      </c>
      <c r="F736" s="69" t="s">
        <v>22</v>
      </c>
      <c r="G736" s="69" t="s">
        <v>237</v>
      </c>
      <c r="H736" s="65" t="s">
        <v>24</v>
      </c>
      <c r="I736" s="65" t="s">
        <v>22</v>
      </c>
      <c r="J736" s="65">
        <v>1020055</v>
      </c>
      <c r="K736" s="69" t="s">
        <v>26</v>
      </c>
      <c r="L736" s="72">
        <v>1000000</v>
      </c>
      <c r="M736" s="72">
        <v>1</v>
      </c>
      <c r="N736" s="72">
        <f>Main_Issuance[[#This Row],[LC Amt(FCY)]]*Main_Issuance[[#This Row],[Rate]]</f>
        <v>1000000</v>
      </c>
      <c r="O736" s="56">
        <v>45382</v>
      </c>
      <c r="P736" s="56">
        <v>45382</v>
      </c>
      <c r="Q736" s="56" t="s">
        <v>27</v>
      </c>
      <c r="R736" s="69"/>
      <c r="S736" s="71"/>
      <c r="T736" s="71"/>
      <c r="U736" s="71"/>
      <c r="V736" s="68">
        <v>0</v>
      </c>
      <c r="W736" s="78"/>
      <c r="X736" s="56" t="str">
        <f ca="1">IF(AND((Main_Issuance[[#This Row],[Expiry Date]]+31)&gt;TODAY(),Main_Issuance[[#This Row],[Status]]&lt;&gt;"Cancelled"),"Active","Cancelled")</f>
        <v>Cancelled</v>
      </c>
      <c r="Y736" s="407"/>
      <c r="Z736" s="408"/>
      <c r="AA736" s="408" t="s">
        <v>378</v>
      </c>
      <c r="AB736" s="83" cm="1">
        <f t="array" ref="AB736">Iss_Tariff(Main_Issuance[[#This Row],[Bank]],Main_Issuance[[#This Row],[LC Amt(SAR)]],Main_Issuance[[#This Row],[Issue Date.]],Main_Issuance[[#This Row],[Expiry Date]],Main_Issuance[[#This Row],[Calculate]])</f>
        <v>0</v>
      </c>
      <c r="AC736" s="83"/>
    </row>
    <row r="737" spans="1:29" ht="15.75" hidden="1" x14ac:dyDescent="0.25">
      <c r="A737" s="75" t="s">
        <v>4276</v>
      </c>
      <c r="B737" s="76">
        <v>46089</v>
      </c>
      <c r="C737" s="76" t="s">
        <v>1259</v>
      </c>
      <c r="D737" s="115" t="s">
        <v>20</v>
      </c>
      <c r="E737" s="78" t="s">
        <v>95</v>
      </c>
      <c r="F737" s="78" t="s">
        <v>96</v>
      </c>
      <c r="G737" s="78" t="s">
        <v>4098</v>
      </c>
      <c r="H737" s="79" t="s">
        <v>1791</v>
      </c>
      <c r="I737" s="78" t="s">
        <v>328</v>
      </c>
      <c r="J737" s="78">
        <v>1020097</v>
      </c>
      <c r="K737" s="78" t="s">
        <v>26</v>
      </c>
      <c r="L737" s="80">
        <v>500000</v>
      </c>
      <c r="M737" s="81">
        <v>1</v>
      </c>
      <c r="N737" s="81">
        <f>Main_Issuance[[#This Row],[LC Amt(FCY)]]*Main_Issuance[[#This Row],[Rate]]</f>
        <v>500000</v>
      </c>
      <c r="O737" s="76">
        <v>46203</v>
      </c>
      <c r="P737" s="76">
        <v>46193</v>
      </c>
      <c r="Q737" s="76" t="s">
        <v>27</v>
      </c>
      <c r="R737" s="78" t="s">
        <v>3729</v>
      </c>
      <c r="S737" s="81"/>
      <c r="T737" s="81"/>
      <c r="U737" s="81"/>
      <c r="V737" s="83">
        <v>0</v>
      </c>
      <c r="W737" s="115"/>
      <c r="X737" s="76" t="str">
        <f ca="1">IF(AND((Main_Issuance[[#This Row],[Expiry Date]]+31)&gt;TODAY(),Main_Issuance[[#This Row],[Status]]&lt;&gt;"Cancelled"),"Active","Cancelled")</f>
        <v>Active</v>
      </c>
      <c r="Y737" s="407"/>
      <c r="Z737" s="408"/>
      <c r="AA737" s="408" t="s">
        <v>857</v>
      </c>
      <c r="AB737" s="83" cm="1">
        <f t="array" ref="AB737">Iss_Tariff(Main_Issuance[[#This Row],[Bank]],Main_Issuance[[#This Row],[LC Amt(SAR)]],Main_Issuance[[#This Row],[Issue Date.]],Main_Issuance[[#This Row],[Expiry Date]],Main_Issuance[[#This Row],[Calculate]])</f>
        <v>1417.95</v>
      </c>
      <c r="AC737" s="83"/>
    </row>
    <row r="738" spans="1:29" ht="15.75" hidden="1" x14ac:dyDescent="0.25">
      <c r="A738" s="19" t="s">
        <v>128</v>
      </c>
      <c r="B738" s="58">
        <v>45147</v>
      </c>
      <c r="C738" s="58" t="s">
        <v>441</v>
      </c>
      <c r="D738" s="19" t="s">
        <v>20</v>
      </c>
      <c r="E738" s="19" t="s">
        <v>21</v>
      </c>
      <c r="F738" s="19" t="s">
        <v>22</v>
      </c>
      <c r="G738" s="19" t="s">
        <v>129</v>
      </c>
      <c r="H738" s="59" t="s">
        <v>24</v>
      </c>
      <c r="I738" s="59" t="s">
        <v>22</v>
      </c>
      <c r="J738" s="59">
        <v>1020055</v>
      </c>
      <c r="K738" s="19" t="s">
        <v>26</v>
      </c>
      <c r="L738" s="60">
        <v>1476799.72</v>
      </c>
      <c r="M738" s="60">
        <v>1</v>
      </c>
      <c r="N738" s="60">
        <f>Main_Issuance[[#This Row],[LC Amt(FCY)]]*Main_Issuance[[#This Row],[Rate]]</f>
        <v>1476799.72</v>
      </c>
      <c r="O738" s="58">
        <v>45230</v>
      </c>
      <c r="P738" s="58">
        <v>45230</v>
      </c>
      <c r="Q738" s="58" t="s">
        <v>27</v>
      </c>
      <c r="R738" s="19"/>
      <c r="S738" s="61"/>
      <c r="T738" s="61"/>
      <c r="U738" s="61"/>
      <c r="V738" s="62">
        <v>0</v>
      </c>
      <c r="W738" s="115"/>
      <c r="X738" s="58" t="str">
        <f ca="1">IF(AND((Main_Issuance[[#This Row],[Expiry Date]]+31)&gt;TODAY(),Main_Issuance[[#This Row],[Status]]&lt;&gt;"Cancelled"),"Active","Cancelled")</f>
        <v>Cancelled</v>
      </c>
      <c r="Y738" s="409"/>
      <c r="Z738" s="408"/>
      <c r="AA738" s="408" t="s">
        <v>378</v>
      </c>
      <c r="AB738" s="83" cm="1">
        <f t="array" ref="AB738">Iss_Tariff(Main_Issuance[[#This Row],[Bank]],Main_Issuance[[#This Row],[LC Amt(SAR)]],Main_Issuance[[#This Row],[Issue Date.]],Main_Issuance[[#This Row],[Expiry Date]],Main_Issuance[[#This Row],[Calculate]])</f>
        <v>0</v>
      </c>
      <c r="AC738" s="83"/>
    </row>
    <row r="739" spans="1:29" ht="15.75" hidden="1" x14ac:dyDescent="0.25">
      <c r="A739" s="115" t="s">
        <v>1817</v>
      </c>
      <c r="B739" s="77">
        <v>45895</v>
      </c>
      <c r="C739" s="77" t="s">
        <v>1181</v>
      </c>
      <c r="D739" s="115" t="s">
        <v>20</v>
      </c>
      <c r="E739" s="115" t="s">
        <v>366</v>
      </c>
      <c r="F739" s="115" t="s">
        <v>710</v>
      </c>
      <c r="G739" s="115" t="s">
        <v>1760</v>
      </c>
      <c r="H739" s="113" t="s">
        <v>1791</v>
      </c>
      <c r="I739" s="113" t="s">
        <v>81</v>
      </c>
      <c r="J739" s="113">
        <v>1020070</v>
      </c>
      <c r="K739" s="115" t="s">
        <v>26</v>
      </c>
      <c r="L739" s="60">
        <v>1180195</v>
      </c>
      <c r="M739" s="60">
        <v>1</v>
      </c>
      <c r="N739" s="60">
        <f>Main_Issuance[[#This Row],[LC Amt(FCY)]]*Main_Issuance[[#This Row],[Rate]]</f>
        <v>1180195</v>
      </c>
      <c r="O739" s="77">
        <v>46022</v>
      </c>
      <c r="P739" s="77">
        <v>45961</v>
      </c>
      <c r="Q739" s="77" t="s">
        <v>27</v>
      </c>
      <c r="R739" s="115" t="s">
        <v>408</v>
      </c>
      <c r="S739" s="82"/>
      <c r="T739" s="82"/>
      <c r="U739" s="82"/>
      <c r="V739" s="97">
        <v>0</v>
      </c>
      <c r="W739" s="115"/>
      <c r="X739" s="77" t="str">
        <f ca="1">IF(AND((Main_Issuance[[#This Row],[Expiry Date]]+31)&gt;TODAY(),Main_Issuance[[#This Row],[Status]]&lt;&gt;"Cancelled"),"Active","Cancelled")</f>
        <v>Cancelled</v>
      </c>
      <c r="Y739" s="409"/>
      <c r="Z739" s="408"/>
      <c r="AA739" s="408" t="s">
        <v>378</v>
      </c>
      <c r="AB739" s="83" cm="1">
        <f t="array" ref="AB739">Iss_Tariff(Main_Issuance[[#This Row],[Bank]],Main_Issuance[[#This Row],[LC Amt(SAR)]],Main_Issuance[[#This Row],[Issue Date.]],Main_Issuance[[#This Row],[Expiry Date]],Main_Issuance[[#This Row],[Calculate]])</f>
        <v>0</v>
      </c>
      <c r="AC739" s="83"/>
    </row>
    <row r="740" spans="1:29" ht="15.75" hidden="1" x14ac:dyDescent="0.25">
      <c r="A740" s="19" t="s">
        <v>637</v>
      </c>
      <c r="B740" s="58">
        <v>45680</v>
      </c>
      <c r="C740" s="58" t="s">
        <v>441</v>
      </c>
      <c r="D740" s="19" t="s">
        <v>20</v>
      </c>
      <c r="E740" s="19" t="s">
        <v>21</v>
      </c>
      <c r="F740" s="19" t="s">
        <v>22</v>
      </c>
      <c r="G740" s="19" t="s">
        <v>638</v>
      </c>
      <c r="H740" s="59" t="s">
        <v>24</v>
      </c>
      <c r="I740" s="59" t="s">
        <v>22</v>
      </c>
      <c r="J740" s="59">
        <v>1020055</v>
      </c>
      <c r="K740" s="19" t="s">
        <v>26</v>
      </c>
      <c r="L740" s="60">
        <v>1500000</v>
      </c>
      <c r="M740" s="60">
        <v>1</v>
      </c>
      <c r="N740" s="60">
        <f>Main_Issuance[[#This Row],[LC Amt(FCY)]]*Main_Issuance[[#This Row],[Rate]]</f>
        <v>1500000</v>
      </c>
      <c r="O740" s="58">
        <v>45777</v>
      </c>
      <c r="P740" s="58">
        <v>45777</v>
      </c>
      <c r="Q740" s="58" t="s">
        <v>27</v>
      </c>
      <c r="R740" s="19" t="s">
        <v>311</v>
      </c>
      <c r="S740" s="61"/>
      <c r="T740" s="61"/>
      <c r="U740" s="61"/>
      <c r="V740" s="62">
        <v>0</v>
      </c>
      <c r="W740" s="115"/>
      <c r="X740" s="58" t="str">
        <f ca="1">IF(AND((Main_Issuance[[#This Row],[Expiry Date]]+31)&gt;TODAY(),Main_Issuance[[#This Row],[Status]]&lt;&gt;"Cancelled"),"Active","Cancelled")</f>
        <v>Cancelled</v>
      </c>
      <c r="Y740" s="409"/>
      <c r="Z740" s="408"/>
      <c r="AA740" s="408" t="s">
        <v>378</v>
      </c>
      <c r="AB740" s="83" cm="1">
        <f t="array" ref="AB740">Iss_Tariff(Main_Issuance[[#This Row],[Bank]],Main_Issuance[[#This Row],[LC Amt(SAR)]],Main_Issuance[[#This Row],[Issue Date.]],Main_Issuance[[#This Row],[Expiry Date]],Main_Issuance[[#This Row],[Calculate]])</f>
        <v>0</v>
      </c>
      <c r="AC740" s="83"/>
    </row>
    <row r="741" spans="1:29" ht="15.75" hidden="1" x14ac:dyDescent="0.25">
      <c r="A741" s="114" t="s">
        <v>1859</v>
      </c>
      <c r="B741" s="76">
        <v>45911</v>
      </c>
      <c r="C741" s="76" t="s">
        <v>1537</v>
      </c>
      <c r="D741" s="78" t="s">
        <v>20</v>
      </c>
      <c r="E741" s="115" t="s">
        <v>62</v>
      </c>
      <c r="F741" s="78" t="s">
        <v>483</v>
      </c>
      <c r="G741" s="115" t="s">
        <v>638</v>
      </c>
      <c r="H741" s="113" t="s">
        <v>24</v>
      </c>
      <c r="I741" s="115" t="s">
        <v>483</v>
      </c>
      <c r="J741" s="79">
        <v>1020096</v>
      </c>
      <c r="K741" s="115" t="s">
        <v>26</v>
      </c>
      <c r="L741" s="80">
        <v>1000000</v>
      </c>
      <c r="M741" s="80">
        <v>1</v>
      </c>
      <c r="N741" s="119">
        <f>Main_Issuance[[#This Row],[LC Amt(FCY)]]*Main_Issuance[[#This Row],[Rate]]</f>
        <v>1000000</v>
      </c>
      <c r="O741" s="77">
        <v>45991</v>
      </c>
      <c r="P741" s="77">
        <v>45991</v>
      </c>
      <c r="Q741" s="77" t="s">
        <v>27</v>
      </c>
      <c r="R741" s="115" t="s">
        <v>621</v>
      </c>
      <c r="S741" s="81"/>
      <c r="T741" s="81"/>
      <c r="U741" s="81"/>
      <c r="V741" s="83">
        <v>0</v>
      </c>
      <c r="W741" s="78"/>
      <c r="X741" s="77" t="str">
        <f ca="1">IF(AND((Main_Issuance[[#This Row],[Expiry Date]]+31)&gt;TODAY(),Main_Issuance[[#This Row],[Status]]&lt;&gt;"Cancelled"),"Active","Cancelled")</f>
        <v>Cancelled</v>
      </c>
      <c r="Y741" s="409"/>
      <c r="Z741" s="408"/>
      <c r="AA741" s="408" t="s">
        <v>378</v>
      </c>
      <c r="AB741" s="83" cm="1">
        <f t="array" ref="AB741">Iss_Tariff(Main_Issuance[[#This Row],[Bank]],Main_Issuance[[#This Row],[LC Amt(SAR)]],Main_Issuance[[#This Row],[Issue Date.]],Main_Issuance[[#This Row],[Expiry Date]],Main_Issuance[[#This Row],[Calculate]])</f>
        <v>0</v>
      </c>
      <c r="AC741" s="83"/>
    </row>
    <row r="742" spans="1:29" ht="15.75" hidden="1" x14ac:dyDescent="0.25">
      <c r="A742" s="19" t="s">
        <v>337</v>
      </c>
      <c r="B742" s="58">
        <v>45519</v>
      </c>
      <c r="C742" s="58" t="s">
        <v>441</v>
      </c>
      <c r="D742" s="19" t="s">
        <v>20</v>
      </c>
      <c r="E742" s="19" t="s">
        <v>95</v>
      </c>
      <c r="F742" s="19" t="s">
        <v>96</v>
      </c>
      <c r="G742" s="19" t="s">
        <v>338</v>
      </c>
      <c r="H742" s="59" t="s">
        <v>24</v>
      </c>
      <c r="I742" s="59" t="s">
        <v>22</v>
      </c>
      <c r="J742" s="59">
        <v>1020055</v>
      </c>
      <c r="K742" s="19" t="s">
        <v>26</v>
      </c>
      <c r="L742" s="60">
        <v>500000</v>
      </c>
      <c r="M742" s="60">
        <v>1</v>
      </c>
      <c r="N742" s="60">
        <f>Main_Issuance[[#This Row],[LC Amt(FCY)]]*Main_Issuance[[#This Row],[Rate]]</f>
        <v>500000</v>
      </c>
      <c r="O742" s="58">
        <v>45626</v>
      </c>
      <c r="P742" s="58">
        <v>45626</v>
      </c>
      <c r="Q742" s="58" t="s">
        <v>27</v>
      </c>
      <c r="R742" s="19" t="s">
        <v>311</v>
      </c>
      <c r="S742" s="61"/>
      <c r="T742" s="61"/>
      <c r="U742" s="61"/>
      <c r="V742" s="62">
        <v>0</v>
      </c>
      <c r="W742" s="115"/>
      <c r="X742" s="58" t="str">
        <f ca="1">IF(AND((Main_Issuance[[#This Row],[Expiry Date]]+31)&gt;TODAY(),Main_Issuance[[#This Row],[Status]]&lt;&gt;"Cancelled"),"Active","Cancelled")</f>
        <v>Cancelled</v>
      </c>
      <c r="Y742" s="409"/>
      <c r="Z742" s="408"/>
      <c r="AA742" s="408" t="s">
        <v>378</v>
      </c>
      <c r="AB742" s="83" cm="1">
        <f t="array" ref="AB742">Iss_Tariff(Main_Issuance[[#This Row],[Bank]],Main_Issuance[[#This Row],[LC Amt(SAR)]],Main_Issuance[[#This Row],[Issue Date.]],Main_Issuance[[#This Row],[Expiry Date]],Main_Issuance[[#This Row],[Calculate]])</f>
        <v>0</v>
      </c>
      <c r="AC742" s="83"/>
    </row>
    <row r="743" spans="1:29" ht="15.75" hidden="1" x14ac:dyDescent="0.25">
      <c r="A743" s="19" t="s">
        <v>388</v>
      </c>
      <c r="B743" s="58">
        <v>45551</v>
      </c>
      <c r="C743" s="58" t="s">
        <v>441</v>
      </c>
      <c r="D743" s="19" t="s">
        <v>20</v>
      </c>
      <c r="E743" s="19" t="s">
        <v>95</v>
      </c>
      <c r="F743" s="19" t="s">
        <v>96</v>
      </c>
      <c r="G743" s="19" t="s">
        <v>338</v>
      </c>
      <c r="H743" s="59" t="s">
        <v>24</v>
      </c>
      <c r="I743" s="59" t="s">
        <v>22</v>
      </c>
      <c r="J743" s="59">
        <v>1020055</v>
      </c>
      <c r="K743" s="19" t="s">
        <v>26</v>
      </c>
      <c r="L743" s="60">
        <v>1508807.25</v>
      </c>
      <c r="M743" s="60">
        <v>1</v>
      </c>
      <c r="N743" s="60">
        <f>Main_Issuance[[#This Row],[LC Amt(FCY)]]*Main_Issuance[[#This Row],[Rate]]</f>
        <v>1508807.25</v>
      </c>
      <c r="O743" s="58">
        <v>45626</v>
      </c>
      <c r="P743" s="58">
        <v>45600</v>
      </c>
      <c r="Q743" s="58" t="s">
        <v>27</v>
      </c>
      <c r="R743" s="19" t="s">
        <v>311</v>
      </c>
      <c r="S743" s="61"/>
      <c r="T743" s="61"/>
      <c r="U743" s="61"/>
      <c r="V743" s="62">
        <v>0</v>
      </c>
      <c r="W743" s="115"/>
      <c r="X743" s="58" t="str">
        <f ca="1">IF(AND((Main_Issuance[[#This Row],[Expiry Date]]+31)&gt;TODAY(),Main_Issuance[[#This Row],[Status]]&lt;&gt;"Cancelled"),"Active","Cancelled")</f>
        <v>Cancelled</v>
      </c>
      <c r="Y743" s="409"/>
      <c r="Z743" s="408"/>
      <c r="AA743" s="408" t="s">
        <v>378</v>
      </c>
      <c r="AB743" s="83" cm="1">
        <f t="array" ref="AB743">Iss_Tariff(Main_Issuance[[#This Row],[Bank]],Main_Issuance[[#This Row],[LC Amt(SAR)]],Main_Issuance[[#This Row],[Issue Date.]],Main_Issuance[[#This Row],[Expiry Date]],Main_Issuance[[#This Row],[Calculate]])</f>
        <v>0</v>
      </c>
      <c r="AC743" s="83"/>
    </row>
    <row r="744" spans="1:29" ht="15.75" hidden="1" x14ac:dyDescent="0.25">
      <c r="A744" s="19" t="s">
        <v>568</v>
      </c>
      <c r="B744" s="58">
        <v>45638</v>
      </c>
      <c r="C744" s="58" t="s">
        <v>441</v>
      </c>
      <c r="D744" s="19" t="s">
        <v>20</v>
      </c>
      <c r="E744" s="19" t="s">
        <v>373</v>
      </c>
      <c r="F744" s="19" t="s">
        <v>483</v>
      </c>
      <c r="G744" s="19" t="s">
        <v>569</v>
      </c>
      <c r="H744" s="59" t="s">
        <v>24</v>
      </c>
      <c r="I744" s="59" t="s">
        <v>22</v>
      </c>
      <c r="J744" s="59">
        <v>1020055</v>
      </c>
      <c r="K744" s="19" t="s">
        <v>26</v>
      </c>
      <c r="L744" s="60">
        <v>1500000</v>
      </c>
      <c r="M744" s="60">
        <v>1</v>
      </c>
      <c r="N744" s="60">
        <f>Main_Issuance[[#This Row],[LC Amt(FCY)]]*Main_Issuance[[#This Row],[Rate]]</f>
        <v>1500000</v>
      </c>
      <c r="O744" s="58">
        <v>45747</v>
      </c>
      <c r="P744" s="58">
        <v>45747</v>
      </c>
      <c r="Q744" s="58" t="s">
        <v>27</v>
      </c>
      <c r="R744" s="19" t="s">
        <v>311</v>
      </c>
      <c r="S744" s="61"/>
      <c r="T744" s="61"/>
      <c r="U744" s="61"/>
      <c r="V744" s="62">
        <v>0</v>
      </c>
      <c r="W744" s="115"/>
      <c r="X744" s="58" t="str">
        <f ca="1">IF(AND((Main_Issuance[[#This Row],[Expiry Date]]+31)&gt;TODAY(),Main_Issuance[[#This Row],[Status]]&lt;&gt;"Cancelled"),"Active","Cancelled")</f>
        <v>Cancelled</v>
      </c>
      <c r="Y744" s="409"/>
      <c r="Z744" s="408"/>
      <c r="AA744" s="408" t="s">
        <v>378</v>
      </c>
      <c r="AB744" s="83" cm="1">
        <f t="array" ref="AB744">Iss_Tariff(Main_Issuance[[#This Row],[Bank]],Main_Issuance[[#This Row],[LC Amt(SAR)]],Main_Issuance[[#This Row],[Issue Date.]],Main_Issuance[[#This Row],[Expiry Date]],Main_Issuance[[#This Row],[Calculate]])</f>
        <v>0</v>
      </c>
      <c r="AC744" s="83"/>
    </row>
    <row r="745" spans="1:29" ht="15.75" hidden="1" x14ac:dyDescent="0.25">
      <c r="A745" s="70" t="s">
        <v>824</v>
      </c>
      <c r="B745" s="56">
        <v>45739</v>
      </c>
      <c r="C745" s="56" t="s">
        <v>441</v>
      </c>
      <c r="D745" s="19" t="s">
        <v>20</v>
      </c>
      <c r="E745" s="69" t="s">
        <v>21</v>
      </c>
      <c r="F745" s="69" t="s">
        <v>22</v>
      </c>
      <c r="G745" s="69" t="s">
        <v>338</v>
      </c>
      <c r="H745" s="69" t="s">
        <v>24</v>
      </c>
      <c r="I745" s="69" t="s">
        <v>22</v>
      </c>
      <c r="J745" s="65">
        <v>1020055</v>
      </c>
      <c r="K745" s="69" t="s">
        <v>26</v>
      </c>
      <c r="L745" s="72">
        <v>500000</v>
      </c>
      <c r="M745" s="72">
        <v>1</v>
      </c>
      <c r="N745" s="72">
        <f>Main_Issuance[[#This Row],[LC Amt(FCY)]]*Main_Issuance[[#This Row],[Rate]]</f>
        <v>500000</v>
      </c>
      <c r="O745" s="56">
        <v>45838</v>
      </c>
      <c r="P745" s="56">
        <v>45838</v>
      </c>
      <c r="Q745" s="56" t="s">
        <v>27</v>
      </c>
      <c r="R745" s="69" t="s">
        <v>311</v>
      </c>
      <c r="S745" s="71"/>
      <c r="T745" s="71"/>
      <c r="U745" s="71"/>
      <c r="V745" s="68">
        <v>0</v>
      </c>
      <c r="W745" s="115"/>
      <c r="X745" s="56" t="str">
        <f ca="1">IF(AND((Main_Issuance[[#This Row],[Expiry Date]]+31)&gt;TODAY(),Main_Issuance[[#This Row],[Status]]&lt;&gt;"Cancelled"),"Active","Cancelled")</f>
        <v>Cancelled</v>
      </c>
      <c r="Y745" s="407"/>
      <c r="Z745" s="408"/>
      <c r="AA745" s="408" t="s">
        <v>378</v>
      </c>
      <c r="AB745" s="83" cm="1">
        <f t="array" ref="AB745">Iss_Tariff(Main_Issuance[[#This Row],[Bank]],Main_Issuance[[#This Row],[LC Amt(SAR)]],Main_Issuance[[#This Row],[Issue Date.]],Main_Issuance[[#This Row],[Expiry Date]],Main_Issuance[[#This Row],[Calculate]])</f>
        <v>0</v>
      </c>
      <c r="AC745" s="83"/>
    </row>
    <row r="746" spans="1:29" ht="15.75" hidden="1" x14ac:dyDescent="0.25">
      <c r="A746" s="115" t="s">
        <v>1278</v>
      </c>
      <c r="B746" s="77">
        <v>45784</v>
      </c>
      <c r="C746" s="77" t="s">
        <v>441</v>
      </c>
      <c r="D746" s="115" t="s">
        <v>20</v>
      </c>
      <c r="E746" s="115" t="s">
        <v>373</v>
      </c>
      <c r="F746" s="124" t="s">
        <v>70</v>
      </c>
      <c r="G746" s="115" t="s">
        <v>569</v>
      </c>
      <c r="H746" s="115" t="s">
        <v>24</v>
      </c>
      <c r="I746" s="115" t="s">
        <v>407</v>
      </c>
      <c r="J746" s="113">
        <v>1020100</v>
      </c>
      <c r="K746" s="115" t="s">
        <v>26</v>
      </c>
      <c r="L746" s="60">
        <v>200000</v>
      </c>
      <c r="M746" s="60">
        <v>1</v>
      </c>
      <c r="N746" s="60">
        <f>Main_Issuance[[#This Row],[LC Amt(FCY)]]*Main_Issuance[[#This Row],[Rate]]</f>
        <v>200000</v>
      </c>
      <c r="O746" s="76">
        <v>45869</v>
      </c>
      <c r="P746" s="76">
        <v>45869</v>
      </c>
      <c r="Q746" s="58" t="s">
        <v>70</v>
      </c>
      <c r="R746" s="115" t="s">
        <v>621</v>
      </c>
      <c r="S746" s="82"/>
      <c r="T746" s="82"/>
      <c r="U746" s="82"/>
      <c r="V746" s="97">
        <v>0</v>
      </c>
      <c r="W746" s="115"/>
      <c r="X746" s="77" t="str">
        <f ca="1">IF(AND((Main_Issuance[[#This Row],[Expiry Date]]+31)&gt;TODAY(),Main_Issuance[[#This Row],[Status]]&lt;&gt;"Cancelled"),"Active","Cancelled")</f>
        <v>Cancelled</v>
      </c>
      <c r="Y746" s="409"/>
      <c r="Z746" s="408"/>
      <c r="AA746" s="408" t="s">
        <v>378</v>
      </c>
      <c r="AB746" s="83" cm="1">
        <f t="array" ref="AB746">Iss_Tariff(Main_Issuance[[#This Row],[Bank]],Main_Issuance[[#This Row],[LC Amt(SAR)]],Main_Issuance[[#This Row],[Issue Date.]],Main_Issuance[[#This Row],[Expiry Date]],Main_Issuance[[#This Row],[Calculate]])</f>
        <v>0</v>
      </c>
      <c r="AC746" s="83"/>
    </row>
    <row r="747" spans="1:29" ht="15.75" hidden="1" x14ac:dyDescent="0.25">
      <c r="A747" s="75" t="s">
        <v>1636</v>
      </c>
      <c r="B747" s="76">
        <v>45867</v>
      </c>
      <c r="C747" s="76" t="s">
        <v>1119</v>
      </c>
      <c r="D747" s="78" t="s">
        <v>20</v>
      </c>
      <c r="E747" s="78" t="s">
        <v>366</v>
      </c>
      <c r="F747" s="78" t="s">
        <v>367</v>
      </c>
      <c r="G747" s="78" t="s">
        <v>338</v>
      </c>
      <c r="H747" s="78" t="s">
        <v>24</v>
      </c>
      <c r="I747" s="78" t="s">
        <v>367</v>
      </c>
      <c r="J747" s="79">
        <v>1020091</v>
      </c>
      <c r="K747" s="78" t="s">
        <v>26</v>
      </c>
      <c r="L747" s="72">
        <v>5000000</v>
      </c>
      <c r="M747" s="72">
        <v>1</v>
      </c>
      <c r="N747" s="72">
        <f>Main_Issuance[[#This Row],[LC Amt(FCY)]]*Main_Issuance[[#This Row],[Rate]]</f>
        <v>5000000</v>
      </c>
      <c r="O747" s="76">
        <v>45961</v>
      </c>
      <c r="P747" s="76">
        <v>45961</v>
      </c>
      <c r="Q747" s="76" t="s">
        <v>27</v>
      </c>
      <c r="R747" s="78" t="s">
        <v>1624</v>
      </c>
      <c r="S747" s="81"/>
      <c r="T747" s="81"/>
      <c r="U747" s="81"/>
      <c r="V747" s="83">
        <v>0</v>
      </c>
      <c r="W747" s="78"/>
      <c r="X747" s="76" t="str">
        <f ca="1">IF(AND((Main_Issuance[[#This Row],[Expiry Date]]+31)&gt;TODAY(),Main_Issuance[[#This Row],[Status]]&lt;&gt;"Cancelled"),"Active","Cancelled")</f>
        <v>Cancelled</v>
      </c>
      <c r="Y747" s="407"/>
      <c r="Z747" s="408"/>
      <c r="AA747" s="408" t="s">
        <v>378</v>
      </c>
      <c r="AB747" s="83" cm="1">
        <f t="array" ref="AB747">Iss_Tariff(Main_Issuance[[#This Row],[Bank]],Main_Issuance[[#This Row],[LC Amt(SAR)]],Main_Issuance[[#This Row],[Issue Date.]],Main_Issuance[[#This Row],[Expiry Date]],Main_Issuance[[#This Row],[Calculate]])</f>
        <v>0</v>
      </c>
      <c r="AC747" s="83"/>
    </row>
    <row r="748" spans="1:29" ht="15.75" hidden="1" x14ac:dyDescent="0.25">
      <c r="A748" s="70" t="s">
        <v>765</v>
      </c>
      <c r="B748" s="56">
        <v>45734</v>
      </c>
      <c r="C748" s="56" t="s">
        <v>509</v>
      </c>
      <c r="D748" s="19" t="s">
        <v>20</v>
      </c>
      <c r="E748" s="69" t="s">
        <v>21</v>
      </c>
      <c r="F748" s="69" t="s">
        <v>22</v>
      </c>
      <c r="G748" s="69" t="s">
        <v>766</v>
      </c>
      <c r="H748" s="65" t="s">
        <v>24</v>
      </c>
      <c r="I748" s="65" t="s">
        <v>407</v>
      </c>
      <c r="J748" s="65">
        <v>1020100</v>
      </c>
      <c r="K748" s="69" t="s">
        <v>26</v>
      </c>
      <c r="L748" s="72">
        <v>500000</v>
      </c>
      <c r="M748" s="72">
        <v>1</v>
      </c>
      <c r="N748" s="72">
        <f>Main_Issuance[[#This Row],[LC Amt(FCY)]]*Main_Issuance[[#This Row],[Rate]]</f>
        <v>500000</v>
      </c>
      <c r="O748" s="56">
        <v>45838</v>
      </c>
      <c r="P748" s="56">
        <v>45838</v>
      </c>
      <c r="Q748" s="56" t="s">
        <v>27</v>
      </c>
      <c r="R748" s="69" t="s">
        <v>311</v>
      </c>
      <c r="S748" s="71"/>
      <c r="T748" s="71"/>
      <c r="U748" s="71"/>
      <c r="V748" s="68">
        <v>0</v>
      </c>
      <c r="W748" s="115"/>
      <c r="X748" s="56" t="str">
        <f ca="1">IF(AND((Main_Issuance[[#This Row],[Expiry Date]]+31)&gt;TODAY(),Main_Issuance[[#This Row],[Status]]&lt;&gt;"Cancelled"),"Active","Cancelled")</f>
        <v>Cancelled</v>
      </c>
      <c r="Y748" s="407"/>
      <c r="Z748" s="408"/>
      <c r="AA748" s="408" t="s">
        <v>378</v>
      </c>
      <c r="AB748" s="83" cm="1">
        <f t="array" ref="AB748">Iss_Tariff(Main_Issuance[[#This Row],[Bank]],Main_Issuance[[#This Row],[LC Amt(SAR)]],Main_Issuance[[#This Row],[Issue Date.]],Main_Issuance[[#This Row],[Expiry Date]],Main_Issuance[[#This Row],[Calculate]])</f>
        <v>0</v>
      </c>
      <c r="AC748" s="83"/>
    </row>
    <row r="749" spans="1:29" ht="15.75" hidden="1" x14ac:dyDescent="0.25">
      <c r="A749" s="75" t="s">
        <v>1316</v>
      </c>
      <c r="B749" s="76">
        <v>45788</v>
      </c>
      <c r="C749" s="76" t="s">
        <v>441</v>
      </c>
      <c r="D749" s="78" t="s">
        <v>20</v>
      </c>
      <c r="E749" s="78" t="s">
        <v>21</v>
      </c>
      <c r="F749" s="78" t="s">
        <v>22</v>
      </c>
      <c r="G749" s="78" t="s">
        <v>766</v>
      </c>
      <c r="H749" s="78" t="s">
        <v>24</v>
      </c>
      <c r="I749" s="78" t="s">
        <v>22</v>
      </c>
      <c r="J749" s="78">
        <v>1020055</v>
      </c>
      <c r="K749" s="78" t="s">
        <v>26</v>
      </c>
      <c r="L749" s="72">
        <v>1161954.08</v>
      </c>
      <c r="M749" s="72">
        <v>1</v>
      </c>
      <c r="N749" s="72">
        <f>Main_Issuance[[#This Row],[LC Amt(FCY)]]*Main_Issuance[[#This Row],[Rate]]</f>
        <v>1161954.08</v>
      </c>
      <c r="O749" s="76">
        <v>45900</v>
      </c>
      <c r="P749" s="76">
        <v>45900</v>
      </c>
      <c r="Q749" s="76" t="s">
        <v>27</v>
      </c>
      <c r="R749" s="78" t="s">
        <v>621</v>
      </c>
      <c r="S749" s="81"/>
      <c r="T749" s="81"/>
      <c r="U749" s="81"/>
      <c r="V749" s="83">
        <v>0</v>
      </c>
      <c r="W749" s="78"/>
      <c r="X749" s="76" t="str">
        <f ca="1">IF(AND((Main_Issuance[[#This Row],[Expiry Date]]+31)&gt;TODAY(),Main_Issuance[[#This Row],[Status]]&lt;&gt;"Cancelled"),"Active","Cancelled")</f>
        <v>Cancelled</v>
      </c>
      <c r="Y749" s="471"/>
      <c r="Z749" s="408"/>
      <c r="AA749" s="408" t="s">
        <v>378</v>
      </c>
      <c r="AB749" s="83" cm="1">
        <f t="array" ref="AB749">Iss_Tariff(Main_Issuance[[#This Row],[Bank]],Main_Issuance[[#This Row],[LC Amt(SAR)]],Main_Issuance[[#This Row],[Issue Date.]],Main_Issuance[[#This Row],[Expiry Date]],Main_Issuance[[#This Row],[Calculate]])</f>
        <v>0</v>
      </c>
      <c r="AC749" s="83"/>
    </row>
    <row r="750" spans="1:29" ht="15.75" hidden="1" x14ac:dyDescent="0.25">
      <c r="A750" s="75" t="s">
        <v>1341</v>
      </c>
      <c r="B750" s="76">
        <v>45792</v>
      </c>
      <c r="C750" s="76" t="s">
        <v>441</v>
      </c>
      <c r="D750" s="78" t="s">
        <v>20</v>
      </c>
      <c r="E750" s="78" t="s">
        <v>21</v>
      </c>
      <c r="F750" s="78" t="s">
        <v>22</v>
      </c>
      <c r="G750" s="78" t="s">
        <v>766</v>
      </c>
      <c r="H750" s="78" t="s">
        <v>24</v>
      </c>
      <c r="I750" s="78" t="s">
        <v>22</v>
      </c>
      <c r="J750" s="78">
        <v>1020055</v>
      </c>
      <c r="K750" s="78" t="s">
        <v>26</v>
      </c>
      <c r="L750" s="72">
        <v>535185.18000000005</v>
      </c>
      <c r="M750" s="72">
        <v>1</v>
      </c>
      <c r="N750" s="72">
        <f>Main_Issuance[[#This Row],[LC Amt(FCY)]]*Main_Issuance[[#This Row],[Rate]]</f>
        <v>535185.18000000005</v>
      </c>
      <c r="O750" s="76">
        <v>45900</v>
      </c>
      <c r="P750" s="76">
        <v>45900</v>
      </c>
      <c r="Q750" s="76" t="s">
        <v>27</v>
      </c>
      <c r="R750" s="78" t="s">
        <v>621</v>
      </c>
      <c r="S750" s="81"/>
      <c r="T750" s="81"/>
      <c r="U750" s="81"/>
      <c r="V750" s="83">
        <v>0</v>
      </c>
      <c r="W750" s="78"/>
      <c r="X750" s="76" t="str">
        <f ca="1">IF(AND((Main_Issuance[[#This Row],[Expiry Date]]+31)&gt;TODAY(),Main_Issuance[[#This Row],[Status]]&lt;&gt;"Cancelled"),"Active","Cancelled")</f>
        <v>Cancelled</v>
      </c>
      <c r="Y750" s="407"/>
      <c r="Z750" s="408"/>
      <c r="AA750" s="408" t="s">
        <v>378</v>
      </c>
      <c r="AB750" s="83" cm="1">
        <f t="array" ref="AB750">Iss_Tariff(Main_Issuance[[#This Row],[Bank]],Main_Issuance[[#This Row],[LC Amt(SAR)]],Main_Issuance[[#This Row],[Issue Date.]],Main_Issuance[[#This Row],[Expiry Date]],Main_Issuance[[#This Row],[Calculate]])</f>
        <v>0</v>
      </c>
      <c r="AC750" s="83"/>
    </row>
    <row r="751" spans="1:29" ht="15.75" hidden="1" x14ac:dyDescent="0.25">
      <c r="A751" s="115" t="s">
        <v>1407</v>
      </c>
      <c r="B751" s="77">
        <v>45804</v>
      </c>
      <c r="C751" s="77" t="s">
        <v>441</v>
      </c>
      <c r="D751" s="115" t="s">
        <v>20</v>
      </c>
      <c r="E751" s="115" t="s">
        <v>21</v>
      </c>
      <c r="F751" s="115" t="s">
        <v>22</v>
      </c>
      <c r="G751" s="115" t="s">
        <v>1365</v>
      </c>
      <c r="H751" s="115" t="s">
        <v>24</v>
      </c>
      <c r="I751" s="115" t="s">
        <v>22</v>
      </c>
      <c r="J751" s="115">
        <v>1020055</v>
      </c>
      <c r="K751" s="115" t="s">
        <v>26</v>
      </c>
      <c r="L751" s="60">
        <v>150000</v>
      </c>
      <c r="M751" s="60">
        <v>1</v>
      </c>
      <c r="N751" s="60">
        <f>Main_Issuance[[#This Row],[LC Amt(FCY)]]*Main_Issuance[[#This Row],[Rate]]</f>
        <v>150000</v>
      </c>
      <c r="O751" s="76">
        <v>45900</v>
      </c>
      <c r="P751" s="76">
        <v>45900</v>
      </c>
      <c r="Q751" s="77" t="s">
        <v>27</v>
      </c>
      <c r="R751" s="115" t="s">
        <v>621</v>
      </c>
      <c r="S751" s="82"/>
      <c r="T751" s="82"/>
      <c r="U751" s="82"/>
      <c r="V751" s="97">
        <v>0</v>
      </c>
      <c r="W751" s="115"/>
      <c r="X751" s="77" t="str">
        <f ca="1">IF(AND((Main_Issuance[[#This Row],[Expiry Date]]+31)&gt;TODAY(),Main_Issuance[[#This Row],[Status]]&lt;&gt;"Cancelled"),"Active","Cancelled")</f>
        <v>Cancelled</v>
      </c>
      <c r="Y751" s="409"/>
      <c r="Z751" s="408"/>
      <c r="AA751" s="408" t="s">
        <v>378</v>
      </c>
      <c r="AB751" s="83" cm="1">
        <f t="array" ref="AB751">Iss_Tariff(Main_Issuance[[#This Row],[Bank]],Main_Issuance[[#This Row],[LC Amt(SAR)]],Main_Issuance[[#This Row],[Issue Date.]],Main_Issuance[[#This Row],[Expiry Date]],Main_Issuance[[#This Row],[Calculate]])</f>
        <v>0</v>
      </c>
      <c r="AC751" s="83"/>
    </row>
    <row r="752" spans="1:29" ht="15.75" hidden="1" x14ac:dyDescent="0.25">
      <c r="A752" s="75" t="s">
        <v>1520</v>
      </c>
      <c r="B752" s="76">
        <v>45834</v>
      </c>
      <c r="C752" s="76" t="s">
        <v>441</v>
      </c>
      <c r="D752" s="115" t="s">
        <v>20</v>
      </c>
      <c r="E752" s="78" t="s">
        <v>21</v>
      </c>
      <c r="F752" s="78" t="s">
        <v>22</v>
      </c>
      <c r="G752" s="80" t="s">
        <v>1365</v>
      </c>
      <c r="H752" s="78" t="s">
        <v>24</v>
      </c>
      <c r="I752" s="78" t="s">
        <v>407</v>
      </c>
      <c r="J752" s="79">
        <v>1020100</v>
      </c>
      <c r="K752" s="78" t="s">
        <v>26</v>
      </c>
      <c r="L752" s="72">
        <v>550000</v>
      </c>
      <c r="M752" s="72">
        <v>1</v>
      </c>
      <c r="N752" s="72">
        <f>Main_Issuance[[#This Row],[LC Amt(FCY)]]*Main_Issuance[[#This Row],[Rate]]</f>
        <v>550000</v>
      </c>
      <c r="O752" s="77">
        <v>45900</v>
      </c>
      <c r="P752" s="77">
        <v>45900</v>
      </c>
      <c r="Q752" s="76" t="s">
        <v>27</v>
      </c>
      <c r="R752" s="78" t="s">
        <v>621</v>
      </c>
      <c r="S752" s="81"/>
      <c r="T752" s="81"/>
      <c r="U752" s="81"/>
      <c r="V752" s="83">
        <v>0</v>
      </c>
      <c r="W752" s="115"/>
      <c r="X752" s="76" t="str">
        <f ca="1">IF(AND((Main_Issuance[[#This Row],[Expiry Date]]+31)&gt;TODAY(),Main_Issuance[[#This Row],[Status]]&lt;&gt;"Cancelled"),"Active","Cancelled")</f>
        <v>Cancelled</v>
      </c>
      <c r="Y752" s="407"/>
      <c r="Z752" s="408"/>
      <c r="AA752" s="408" t="s">
        <v>378</v>
      </c>
      <c r="AB752" s="83" cm="1">
        <f t="array" ref="AB752">Iss_Tariff(Main_Issuance[[#This Row],[Bank]],Main_Issuance[[#This Row],[LC Amt(SAR)]],Main_Issuance[[#This Row],[Issue Date.]],Main_Issuance[[#This Row],[Expiry Date]],Main_Issuance[[#This Row],[Calculate]])</f>
        <v>0</v>
      </c>
      <c r="AC752" s="83"/>
    </row>
    <row r="753" spans="1:29" ht="15.75" hidden="1" x14ac:dyDescent="0.25">
      <c r="A753" s="75" t="s">
        <v>1277</v>
      </c>
      <c r="B753" s="76">
        <v>45784</v>
      </c>
      <c r="C753" s="76" t="s">
        <v>441</v>
      </c>
      <c r="D753" s="78" t="s">
        <v>20</v>
      </c>
      <c r="E753" s="78" t="s">
        <v>373</v>
      </c>
      <c r="F753" s="123" t="s">
        <v>70</v>
      </c>
      <c r="G753" s="78" t="s">
        <v>1248</v>
      </c>
      <c r="H753" s="78" t="s">
        <v>24</v>
      </c>
      <c r="I753" s="78" t="s">
        <v>407</v>
      </c>
      <c r="J753" s="79">
        <v>1020100</v>
      </c>
      <c r="K753" s="78" t="s">
        <v>26</v>
      </c>
      <c r="L753" s="72">
        <v>500000</v>
      </c>
      <c r="M753" s="72">
        <v>1</v>
      </c>
      <c r="N753" s="72">
        <f>Main_Issuance[[#This Row],[LC Amt(FCY)]]*Main_Issuance[[#This Row],[Rate]]</f>
        <v>500000</v>
      </c>
      <c r="O753" s="76">
        <v>45869</v>
      </c>
      <c r="P753" s="76">
        <v>45869</v>
      </c>
      <c r="Q753" s="56" t="s">
        <v>70</v>
      </c>
      <c r="R753" s="78" t="s">
        <v>621</v>
      </c>
      <c r="S753" s="81"/>
      <c r="T753" s="81"/>
      <c r="U753" s="81"/>
      <c r="V753" s="83">
        <v>0</v>
      </c>
      <c r="W753" s="78"/>
      <c r="X753" s="76" t="str">
        <f ca="1">IF(AND((Main_Issuance[[#This Row],[Expiry Date]]+31)&gt;TODAY(),Main_Issuance[[#This Row],[Status]]&lt;&gt;"Cancelled"),"Active","Cancelled")</f>
        <v>Cancelled</v>
      </c>
      <c r="Y753" s="407"/>
      <c r="Z753" s="408"/>
      <c r="AA753" s="408" t="s">
        <v>378</v>
      </c>
      <c r="AB753" s="83" cm="1">
        <f t="array" ref="AB753">Iss_Tariff(Main_Issuance[[#This Row],[Bank]],Main_Issuance[[#This Row],[LC Amt(SAR)]],Main_Issuance[[#This Row],[Issue Date.]],Main_Issuance[[#This Row],[Expiry Date]],Main_Issuance[[#This Row],[Calculate]])</f>
        <v>0</v>
      </c>
      <c r="AC753" s="83"/>
    </row>
    <row r="754" spans="1:29" ht="15.75" hidden="1" x14ac:dyDescent="0.25">
      <c r="A754" s="75" t="s">
        <v>1617</v>
      </c>
      <c r="B754" s="76">
        <v>45865</v>
      </c>
      <c r="C754" s="76" t="s">
        <v>441</v>
      </c>
      <c r="D754" s="78" t="s">
        <v>20</v>
      </c>
      <c r="E754" s="78" t="s">
        <v>95</v>
      </c>
      <c r="F754" s="78" t="s">
        <v>96</v>
      </c>
      <c r="G754" s="78" t="s">
        <v>1571</v>
      </c>
      <c r="H754" s="78" t="s">
        <v>24</v>
      </c>
      <c r="I754" s="78" t="s">
        <v>407</v>
      </c>
      <c r="J754" s="79">
        <v>1020100</v>
      </c>
      <c r="K754" s="78" t="s">
        <v>26</v>
      </c>
      <c r="L754" s="72">
        <v>200000</v>
      </c>
      <c r="M754" s="72">
        <v>1</v>
      </c>
      <c r="N754" s="72">
        <f>Main_Issuance[[#This Row],[LC Amt(FCY)]]*Main_Issuance[[#This Row],[Rate]]</f>
        <v>200000</v>
      </c>
      <c r="O754" s="76">
        <v>45961</v>
      </c>
      <c r="P754" s="76">
        <v>45961</v>
      </c>
      <c r="Q754" s="76" t="s">
        <v>27</v>
      </c>
      <c r="R754" s="78" t="s">
        <v>621</v>
      </c>
      <c r="S754" s="81"/>
      <c r="T754" s="81"/>
      <c r="U754" s="81"/>
      <c r="V754" s="83">
        <v>0</v>
      </c>
      <c r="W754" s="115"/>
      <c r="X754" s="76" t="str">
        <f ca="1">IF(AND((Main_Issuance[[#This Row],[Expiry Date]]+31)&gt;TODAY(),Main_Issuance[[#This Row],[Status]]&lt;&gt;"Cancelled"),"Active","Cancelled")</f>
        <v>Cancelled</v>
      </c>
      <c r="Y754" s="407"/>
      <c r="Z754" s="408"/>
      <c r="AA754" s="408" t="s">
        <v>378</v>
      </c>
      <c r="AB754" s="83" cm="1">
        <f t="array" ref="AB754">Iss_Tariff(Main_Issuance[[#This Row],[Bank]],Main_Issuance[[#This Row],[LC Amt(SAR)]],Main_Issuance[[#This Row],[Issue Date.]],Main_Issuance[[#This Row],[Expiry Date]],Main_Issuance[[#This Row],[Calculate]])</f>
        <v>0</v>
      </c>
      <c r="AC754" s="83"/>
    </row>
    <row r="755" spans="1:29" ht="15.75" hidden="1" x14ac:dyDescent="0.25">
      <c r="A755" s="57" t="s">
        <v>317</v>
      </c>
      <c r="B755" s="56">
        <v>45454</v>
      </c>
      <c r="C755" s="56" t="s">
        <v>1118</v>
      </c>
      <c r="D755" s="69" t="s">
        <v>20</v>
      </c>
      <c r="E755" s="69" t="s">
        <v>62</v>
      </c>
      <c r="F755" s="19" t="s">
        <v>70</v>
      </c>
      <c r="G755" s="69" t="s">
        <v>318</v>
      </c>
      <c r="H755" s="59" t="s">
        <v>72</v>
      </c>
      <c r="I755" s="65" t="s">
        <v>213</v>
      </c>
      <c r="J755" s="59">
        <v>1020015</v>
      </c>
      <c r="K755" s="69" t="s">
        <v>67</v>
      </c>
      <c r="L755" s="60">
        <f>290183+18576</f>
        <v>308759</v>
      </c>
      <c r="M755" s="60">
        <v>4.6375999999999999</v>
      </c>
      <c r="N755" s="60">
        <f>Main_Issuance[[#This Row],[LC Amt(FCY)]]*Main_Issuance[[#This Row],[Rate]]</f>
        <v>1431900.7383999999</v>
      </c>
      <c r="O755" s="56">
        <v>46112</v>
      </c>
      <c r="P755" s="56">
        <v>45535</v>
      </c>
      <c r="Q755" s="58" t="s">
        <v>70</v>
      </c>
      <c r="R755" s="69" t="s">
        <v>208</v>
      </c>
      <c r="S755" s="71"/>
      <c r="T755" s="71"/>
      <c r="U755" s="71">
        <v>71595.03</v>
      </c>
      <c r="V755" s="68">
        <v>0</v>
      </c>
      <c r="W755" s="115"/>
      <c r="X755" s="191" t="str">
        <f ca="1">IF(AND((Main_Issuance[[#This Row],[Expiry Date]]+31)&gt;TODAY(),Main_Issuance[[#This Row],[Status]]&lt;&gt;"Cancelled"),"Active","Cancelled")</f>
        <v>Cancelled</v>
      </c>
      <c r="Y755" s="409"/>
      <c r="Z755" s="408"/>
      <c r="AA755" s="408" t="s">
        <v>857</v>
      </c>
      <c r="AB755" s="83" cm="1">
        <f t="array" ref="AB755">Iss_Tariff(Main_Issuance[[#This Row],[Bank]],Main_Issuance[[#This Row],[LC Amt(SAR)]],Main_Issuance[[#This Row],[Issue Date.]],Main_Issuance[[#This Row],[Expiry Date]],Main_Issuance[[#This Row],[Calculate]])</f>
        <v>52814.9</v>
      </c>
      <c r="AC755" s="83"/>
    </row>
    <row r="756" spans="1:29" ht="15.75" hidden="1" x14ac:dyDescent="0.25">
      <c r="A756" s="147" t="s">
        <v>1289</v>
      </c>
      <c r="B756" s="122">
        <v>45785</v>
      </c>
      <c r="C756" s="122" t="s">
        <v>441</v>
      </c>
      <c r="D756" s="123" t="s">
        <v>20</v>
      </c>
      <c r="E756" s="123" t="s">
        <v>373</v>
      </c>
      <c r="F756" s="124" t="s">
        <v>70</v>
      </c>
      <c r="G756" s="123" t="s">
        <v>1241</v>
      </c>
      <c r="H756" s="124" t="s">
        <v>24</v>
      </c>
      <c r="I756" s="123" t="s">
        <v>407</v>
      </c>
      <c r="J756" s="113">
        <v>1020100</v>
      </c>
      <c r="K756" s="123" t="s">
        <v>26</v>
      </c>
      <c r="L756" s="60">
        <v>350000</v>
      </c>
      <c r="M756" s="60">
        <v>1</v>
      </c>
      <c r="N756" s="60">
        <f>Main_Issuance[[#This Row],[LC Amt(FCY)]]*Main_Issuance[[#This Row],[Rate]]</f>
        <v>350000</v>
      </c>
      <c r="O756" s="122">
        <v>45869</v>
      </c>
      <c r="P756" s="122">
        <v>45869</v>
      </c>
      <c r="Q756" s="58" t="s">
        <v>70</v>
      </c>
      <c r="R756" s="78" t="s">
        <v>621</v>
      </c>
      <c r="S756" s="126"/>
      <c r="T756" s="126"/>
      <c r="U756" s="126"/>
      <c r="V756" s="83">
        <v>0</v>
      </c>
      <c r="W756" s="115"/>
      <c r="X756" s="150" t="str">
        <f ca="1">IF(AND((Main_Issuance[[#This Row],[Expiry Date]]+31)&gt;TODAY(),Main_Issuance[[#This Row],[Status]]&lt;&gt;"Cancelled"),"Active","Cancelled")</f>
        <v>Cancelled</v>
      </c>
      <c r="Y756" s="411"/>
      <c r="Z756" s="408"/>
      <c r="AA756" s="408" t="s">
        <v>378</v>
      </c>
      <c r="AB756" s="83" cm="1">
        <f t="array" ref="AB756">Iss_Tariff(Main_Issuance[[#This Row],[Bank]],Main_Issuance[[#This Row],[LC Amt(SAR)]],Main_Issuance[[#This Row],[Issue Date.]],Main_Issuance[[#This Row],[Expiry Date]],Main_Issuance[[#This Row],[Calculate]])</f>
        <v>0</v>
      </c>
      <c r="AC756" s="83"/>
    </row>
    <row r="757" spans="1:29" ht="15.75" hidden="1" x14ac:dyDescent="0.25">
      <c r="A757" s="114" t="s">
        <v>1523</v>
      </c>
      <c r="B757" s="76">
        <v>45834</v>
      </c>
      <c r="C757" s="76" t="s">
        <v>441</v>
      </c>
      <c r="D757" s="78" t="s">
        <v>20</v>
      </c>
      <c r="E757" s="78" t="s">
        <v>21</v>
      </c>
      <c r="F757" s="78" t="s">
        <v>22</v>
      </c>
      <c r="G757" s="78" t="s">
        <v>1241</v>
      </c>
      <c r="H757" s="78" t="s">
        <v>24</v>
      </c>
      <c r="I757" s="78" t="s">
        <v>407</v>
      </c>
      <c r="J757" s="79">
        <v>1020100</v>
      </c>
      <c r="K757" s="78" t="s">
        <v>26</v>
      </c>
      <c r="L757" s="72">
        <v>200000</v>
      </c>
      <c r="M757" s="72">
        <v>1</v>
      </c>
      <c r="N757" s="72">
        <f>Main_Issuance[[#This Row],[LC Amt(FCY)]]*Main_Issuance[[#This Row],[Rate]]</f>
        <v>200000</v>
      </c>
      <c r="O757" s="76">
        <v>45900</v>
      </c>
      <c r="P757" s="76">
        <v>45900</v>
      </c>
      <c r="Q757" s="76" t="s">
        <v>27</v>
      </c>
      <c r="R757" s="78" t="s">
        <v>621</v>
      </c>
      <c r="S757" s="81"/>
      <c r="T757" s="81"/>
      <c r="U757" s="81"/>
      <c r="V757" s="83">
        <v>0</v>
      </c>
      <c r="W757" s="115"/>
      <c r="X757" s="76" t="str">
        <f ca="1">IF(AND((Main_Issuance[[#This Row],[Expiry Date]]+31)&gt;TODAY(),Main_Issuance[[#This Row],[Status]]&lt;&gt;"Cancelled"),"Active","Cancelled")</f>
        <v>Cancelled</v>
      </c>
      <c r="Y757" s="407"/>
      <c r="Z757" s="408"/>
      <c r="AA757" s="408" t="s">
        <v>378</v>
      </c>
      <c r="AB757" s="83" cm="1">
        <f t="array" ref="AB757">Iss_Tariff(Main_Issuance[[#This Row],[Bank]],Main_Issuance[[#This Row],[LC Amt(SAR)]],Main_Issuance[[#This Row],[Issue Date.]],Main_Issuance[[#This Row],[Expiry Date]],Main_Issuance[[#This Row],[Calculate]])</f>
        <v>0</v>
      </c>
      <c r="AC757" s="83"/>
    </row>
    <row r="758" spans="1:29" ht="15.75" hidden="1" x14ac:dyDescent="0.25">
      <c r="A758" s="75" t="s">
        <v>1820</v>
      </c>
      <c r="B758" s="76">
        <v>45895</v>
      </c>
      <c r="C758" s="76" t="s">
        <v>441</v>
      </c>
      <c r="D758" s="78" t="s">
        <v>20</v>
      </c>
      <c r="E758" s="78" t="s">
        <v>612</v>
      </c>
      <c r="F758" s="78" t="s">
        <v>613</v>
      </c>
      <c r="G758" s="78" t="s">
        <v>1702</v>
      </c>
      <c r="H758" s="78" t="s">
        <v>24</v>
      </c>
      <c r="I758" s="78" t="s">
        <v>613</v>
      </c>
      <c r="J758" s="78">
        <v>1020106</v>
      </c>
      <c r="K758" s="78" t="s">
        <v>26</v>
      </c>
      <c r="L758" s="72">
        <v>148350</v>
      </c>
      <c r="M758" s="72">
        <v>1</v>
      </c>
      <c r="N758" s="72">
        <f>Main_Issuance[[#This Row],[LC Amt(FCY)]]*Main_Issuance[[#This Row],[Rate]]</f>
        <v>148350</v>
      </c>
      <c r="O758" s="76">
        <v>45991</v>
      </c>
      <c r="P758" s="76">
        <v>45991</v>
      </c>
      <c r="Q758" s="76" t="s">
        <v>27</v>
      </c>
      <c r="R758" s="78" t="s">
        <v>311</v>
      </c>
      <c r="S758" s="81"/>
      <c r="T758" s="81"/>
      <c r="U758" s="81"/>
      <c r="V758" s="83">
        <v>0</v>
      </c>
      <c r="W758" s="115"/>
      <c r="X758" s="76" t="str">
        <f ca="1">IF(AND((Main_Issuance[[#This Row],[Expiry Date]]+31)&gt;TODAY(),Main_Issuance[[#This Row],[Status]]&lt;&gt;"Cancelled"),"Active","Cancelled")</f>
        <v>Cancelled</v>
      </c>
      <c r="Y758" s="407"/>
      <c r="Z758" s="408"/>
      <c r="AA758" s="408" t="s">
        <v>378</v>
      </c>
      <c r="AB758" s="83" cm="1">
        <f t="array" ref="AB758">Iss_Tariff(Main_Issuance[[#This Row],[Bank]],Main_Issuance[[#This Row],[LC Amt(SAR)]],Main_Issuance[[#This Row],[Issue Date.]],Main_Issuance[[#This Row],[Expiry Date]],Main_Issuance[[#This Row],[Calculate]])</f>
        <v>0</v>
      </c>
      <c r="AC758" s="83"/>
    </row>
    <row r="759" spans="1:29" ht="15.75" hidden="1" x14ac:dyDescent="0.25">
      <c r="A759" s="75" t="s">
        <v>2396</v>
      </c>
      <c r="B759" s="76">
        <v>45959</v>
      </c>
      <c r="C759" s="77" t="s">
        <v>3566</v>
      </c>
      <c r="D759" s="78" t="s">
        <v>20</v>
      </c>
      <c r="E759" s="78" t="s">
        <v>612</v>
      </c>
      <c r="F759" s="78" t="s">
        <v>613</v>
      </c>
      <c r="G759" s="78" t="s">
        <v>1924</v>
      </c>
      <c r="H759" s="79" t="s">
        <v>24</v>
      </c>
      <c r="I759" s="78" t="s">
        <v>613</v>
      </c>
      <c r="J759" s="115">
        <v>1020106</v>
      </c>
      <c r="K759" s="78" t="s">
        <v>26</v>
      </c>
      <c r="L759" s="80">
        <v>526125</v>
      </c>
      <c r="M759" s="81">
        <v>1</v>
      </c>
      <c r="N759" s="81">
        <f>Main_Issuance[[#This Row],[LC Amt(FCY)]]*Main_Issuance[[#This Row],[Rate]]</f>
        <v>526125</v>
      </c>
      <c r="O759" s="76">
        <v>46022</v>
      </c>
      <c r="P759" s="76">
        <v>46022</v>
      </c>
      <c r="Q759" s="76" t="s">
        <v>27</v>
      </c>
      <c r="R759" s="78" t="s">
        <v>1925</v>
      </c>
      <c r="S759" s="81"/>
      <c r="T759" s="81"/>
      <c r="U759" s="81"/>
      <c r="V759" s="83">
        <v>0</v>
      </c>
      <c r="W759" s="78"/>
      <c r="X759" s="76" t="str">
        <f ca="1">IF(AND((Main_Issuance[[#This Row],[Expiry Date]]+31)&gt;TODAY(),Main_Issuance[[#This Row],[Status]]&lt;&gt;"Cancelled"),"Active","Cancelled")</f>
        <v>Cancelled</v>
      </c>
      <c r="Y759" s="407"/>
      <c r="Z759" s="408"/>
      <c r="AA759" s="408" t="s">
        <v>378</v>
      </c>
      <c r="AB759" s="83" cm="1">
        <f t="array" ref="AB759">Iss_Tariff(Main_Issuance[[#This Row],[Bank]],Main_Issuance[[#This Row],[LC Amt(SAR)]],Main_Issuance[[#This Row],[Issue Date.]],Main_Issuance[[#This Row],[Expiry Date]],Main_Issuance[[#This Row],[Calculate]])</f>
        <v>0</v>
      </c>
      <c r="AC759" s="83"/>
    </row>
    <row r="760" spans="1:29" ht="15.75" hidden="1" x14ac:dyDescent="0.25">
      <c r="A760" s="75" t="s">
        <v>2921</v>
      </c>
      <c r="B760" s="76">
        <v>45995</v>
      </c>
      <c r="C760" s="77" t="s">
        <v>1259</v>
      </c>
      <c r="D760" s="78" t="s">
        <v>20</v>
      </c>
      <c r="E760" s="78" t="s">
        <v>95</v>
      </c>
      <c r="F760" s="78" t="s">
        <v>96</v>
      </c>
      <c r="G760" s="78" t="s">
        <v>1924</v>
      </c>
      <c r="H760" s="79" t="s">
        <v>72</v>
      </c>
      <c r="I760" s="78" t="s">
        <v>328</v>
      </c>
      <c r="J760" s="78">
        <v>1020097</v>
      </c>
      <c r="K760" s="78" t="s">
        <v>26</v>
      </c>
      <c r="L760" s="80">
        <v>1200600</v>
      </c>
      <c r="M760" s="81">
        <v>1</v>
      </c>
      <c r="N760" s="81">
        <f>Main_Issuance[[#This Row],[LC Amt(FCY)]]*Main_Issuance[[#This Row],[Rate]]</f>
        <v>1200600</v>
      </c>
      <c r="O760" s="76">
        <v>46081</v>
      </c>
      <c r="P760" s="76">
        <v>46081</v>
      </c>
      <c r="Q760" s="76" t="s">
        <v>27</v>
      </c>
      <c r="R760" s="78" t="s">
        <v>311</v>
      </c>
      <c r="S760" s="81"/>
      <c r="T760" s="81"/>
      <c r="U760" s="81"/>
      <c r="V760" s="83">
        <v>0</v>
      </c>
      <c r="W760" s="78"/>
      <c r="X760" s="76" t="str">
        <f ca="1">IF(AND((Main_Issuance[[#This Row],[Expiry Date]]+31)&gt;TODAY(),Main_Issuance[[#This Row],[Status]]&lt;&gt;"Cancelled"),"Active","Cancelled")</f>
        <v>Cancelled</v>
      </c>
      <c r="Y760" s="407"/>
      <c r="Z760" s="408"/>
      <c r="AA760" s="408" t="s">
        <v>857</v>
      </c>
      <c r="AB760" s="83" cm="1">
        <f t="array" ref="AB760">Iss_Tariff(Main_Issuance[[#This Row],[Bank]],Main_Issuance[[#This Row],[LC Amt(SAR)]],Main_Issuance[[#This Row],[Issue Date.]],Main_Issuance[[#This Row],[Expiry Date]],Main_Issuance[[#This Row],[Calculate]])</f>
        <v>2186.15</v>
      </c>
      <c r="AC760" s="83"/>
    </row>
    <row r="761" spans="1:29" ht="15.75" hidden="1" x14ac:dyDescent="0.25">
      <c r="A761" s="75" t="s">
        <v>1778</v>
      </c>
      <c r="B761" s="76">
        <v>45888</v>
      </c>
      <c r="C761" s="77" t="s">
        <v>1727</v>
      </c>
      <c r="D761" s="78" t="s">
        <v>20</v>
      </c>
      <c r="E761" s="78" t="s">
        <v>62</v>
      </c>
      <c r="F761" s="78" t="s">
        <v>70</v>
      </c>
      <c r="G761" s="78" t="s">
        <v>1720</v>
      </c>
      <c r="H761" s="79" t="s">
        <v>869</v>
      </c>
      <c r="I761" s="78" t="s">
        <v>1762</v>
      </c>
      <c r="J761" s="115"/>
      <c r="K761" s="78" t="s">
        <v>26</v>
      </c>
      <c r="L761" s="72">
        <v>711169</v>
      </c>
      <c r="M761" s="72">
        <v>1</v>
      </c>
      <c r="N761" s="72">
        <f>Main_Issuance[[#This Row],[LC Amt(FCY)]]*Main_Issuance[[#This Row],[Rate]]</f>
        <v>711169</v>
      </c>
      <c r="O761" s="76">
        <v>45930</v>
      </c>
      <c r="P761" s="76">
        <v>45915</v>
      </c>
      <c r="Q761" s="76" t="s">
        <v>70</v>
      </c>
      <c r="R761" s="78" t="s">
        <v>208</v>
      </c>
      <c r="S761" s="81"/>
      <c r="T761" s="81"/>
      <c r="U761" s="81"/>
      <c r="V761" s="83"/>
      <c r="W761" s="78"/>
      <c r="X761" s="76" t="str">
        <f ca="1">IF(AND((Main_Issuance[[#This Row],[Expiry Date]]+31)&gt;TODAY(),Main_Issuance[[#This Row],[Status]]&lt;&gt;"Cancelled"),"Active","Cancelled")</f>
        <v>Cancelled</v>
      </c>
      <c r="Y761" s="442"/>
      <c r="Z761" s="408"/>
      <c r="AA761" s="408" t="s">
        <v>378</v>
      </c>
      <c r="AB761" s="83" cm="1">
        <f t="array" ref="AB761">Iss_Tariff(Main_Issuance[[#This Row],[Bank]],Main_Issuance[[#This Row],[LC Amt(SAR)]],Main_Issuance[[#This Row],[Issue Date.]],Main_Issuance[[#This Row],[Expiry Date]],Main_Issuance[[#This Row],[Calculate]])</f>
        <v>0</v>
      </c>
      <c r="AC761" s="83"/>
    </row>
    <row r="762" spans="1:29" ht="15.75" hidden="1" x14ac:dyDescent="0.25">
      <c r="A762" s="70" t="s">
        <v>50</v>
      </c>
      <c r="B762" s="56">
        <v>45292</v>
      </c>
      <c r="C762" s="58" t="s">
        <v>441</v>
      </c>
      <c r="D762" s="69" t="s">
        <v>20</v>
      </c>
      <c r="E762" s="69" t="s">
        <v>21</v>
      </c>
      <c r="F762" s="69" t="s">
        <v>22</v>
      </c>
      <c r="G762" s="69" t="s">
        <v>51</v>
      </c>
      <c r="H762" s="65" t="s">
        <v>24</v>
      </c>
      <c r="I762" s="65" t="s">
        <v>22</v>
      </c>
      <c r="J762" s="59">
        <v>1020055</v>
      </c>
      <c r="K762" s="69" t="s">
        <v>26</v>
      </c>
      <c r="L762" s="72">
        <v>1133900</v>
      </c>
      <c r="M762" s="72">
        <v>1</v>
      </c>
      <c r="N762" s="72">
        <f>Main_Issuance[[#This Row],[LC Amt(FCY)]]*Main_Issuance[[#This Row],[Rate]]</f>
        <v>1133900</v>
      </c>
      <c r="O762" s="56">
        <v>45442</v>
      </c>
      <c r="P762" s="56">
        <v>45442</v>
      </c>
      <c r="Q762" s="56" t="s">
        <v>27</v>
      </c>
      <c r="R762" s="69" t="s">
        <v>28</v>
      </c>
      <c r="S762" s="71"/>
      <c r="T762" s="71"/>
      <c r="U762" s="71"/>
      <c r="V762" s="68">
        <v>0</v>
      </c>
      <c r="W762" s="78"/>
      <c r="X762" s="56" t="str">
        <f ca="1">IF(AND((Main_Issuance[[#This Row],[Expiry Date]]+31)&gt;TODAY(),Main_Issuance[[#This Row],[Status]]&lt;&gt;"Cancelled"),"Active","Cancelled")</f>
        <v>Cancelled</v>
      </c>
      <c r="Y762" s="407"/>
      <c r="Z762" s="408"/>
      <c r="AA762" s="408" t="s">
        <v>378</v>
      </c>
      <c r="AB762" s="83" cm="1">
        <f t="array" ref="AB762">Iss_Tariff(Main_Issuance[[#This Row],[Bank]],Main_Issuance[[#This Row],[LC Amt(SAR)]],Main_Issuance[[#This Row],[Issue Date.]],Main_Issuance[[#This Row],[Expiry Date]],Main_Issuance[[#This Row],[Calculate]])</f>
        <v>0</v>
      </c>
      <c r="AC762" s="83"/>
    </row>
    <row r="763" spans="1:29" ht="15.75" hidden="1" x14ac:dyDescent="0.25">
      <c r="A763" s="70" t="s">
        <v>814</v>
      </c>
      <c r="B763" s="56">
        <v>45739</v>
      </c>
      <c r="C763" s="58" t="s">
        <v>441</v>
      </c>
      <c r="D763" s="69" t="s">
        <v>20</v>
      </c>
      <c r="E763" s="69" t="s">
        <v>21</v>
      </c>
      <c r="F763" s="69" t="s">
        <v>22</v>
      </c>
      <c r="G763" s="69" t="s">
        <v>1789</v>
      </c>
      <c r="H763" s="69" t="s">
        <v>24</v>
      </c>
      <c r="I763" s="69" t="s">
        <v>22</v>
      </c>
      <c r="J763" s="59">
        <v>1020055</v>
      </c>
      <c r="K763" s="69" t="s">
        <v>26</v>
      </c>
      <c r="L763" s="72">
        <v>200422.65</v>
      </c>
      <c r="M763" s="72">
        <v>1</v>
      </c>
      <c r="N763" s="72">
        <f>Main_Issuance[[#This Row],[LC Amt(FCY)]]*Main_Issuance[[#This Row],[Rate]]</f>
        <v>200422.65</v>
      </c>
      <c r="O763" s="56">
        <v>45838</v>
      </c>
      <c r="P763" s="56">
        <v>45838</v>
      </c>
      <c r="Q763" s="56" t="s">
        <v>27</v>
      </c>
      <c r="R763" s="69" t="s">
        <v>311</v>
      </c>
      <c r="S763" s="71"/>
      <c r="T763" s="71"/>
      <c r="U763" s="71"/>
      <c r="V763" s="68">
        <v>0</v>
      </c>
      <c r="W763" s="78"/>
      <c r="X763" s="56" t="str">
        <f ca="1">IF(AND((Main_Issuance[[#This Row],[Expiry Date]]+31)&gt;TODAY(),Main_Issuance[[#This Row],[Status]]&lt;&gt;"Cancelled"),"Active","Cancelled")</f>
        <v>Cancelled</v>
      </c>
      <c r="Y763" s="407"/>
      <c r="Z763" s="408"/>
      <c r="AA763" s="408" t="s">
        <v>378</v>
      </c>
      <c r="AB763" s="83" cm="1">
        <f t="array" ref="AB763">Iss_Tariff(Main_Issuance[[#This Row],[Bank]],Main_Issuance[[#This Row],[LC Amt(SAR)]],Main_Issuance[[#This Row],[Issue Date.]],Main_Issuance[[#This Row],[Expiry Date]],Main_Issuance[[#This Row],[Calculate]])</f>
        <v>0</v>
      </c>
      <c r="AC763" s="83"/>
    </row>
    <row r="764" spans="1:29" ht="15.75" hidden="1" x14ac:dyDescent="0.25">
      <c r="A764" s="75" t="s">
        <v>1600</v>
      </c>
      <c r="B764" s="76">
        <v>45862</v>
      </c>
      <c r="C764" s="76" t="s">
        <v>441</v>
      </c>
      <c r="D764" s="78" t="s">
        <v>20</v>
      </c>
      <c r="E764" s="78" t="s">
        <v>366</v>
      </c>
      <c r="F764" s="78" t="s">
        <v>710</v>
      </c>
      <c r="G764" s="78" t="s">
        <v>1789</v>
      </c>
      <c r="H764" s="78" t="s">
        <v>24</v>
      </c>
      <c r="I764" s="78" t="s">
        <v>710</v>
      </c>
      <c r="J764" s="79">
        <v>1020088</v>
      </c>
      <c r="K764" s="78" t="s">
        <v>26</v>
      </c>
      <c r="L764" s="72">
        <v>293143.98</v>
      </c>
      <c r="M764" s="72">
        <v>1</v>
      </c>
      <c r="N764" s="72">
        <f>Main_Issuance[[#This Row],[LC Amt(FCY)]]*Main_Issuance[[#This Row],[Rate]]</f>
        <v>293143.98</v>
      </c>
      <c r="O764" s="76">
        <v>45961</v>
      </c>
      <c r="P764" s="76">
        <v>45961</v>
      </c>
      <c r="Q764" s="76" t="s">
        <v>27</v>
      </c>
      <c r="R764" s="78" t="s">
        <v>621</v>
      </c>
      <c r="S764" s="81"/>
      <c r="T764" s="81"/>
      <c r="U764" s="81"/>
      <c r="V764" s="83">
        <v>0</v>
      </c>
      <c r="W764" s="78"/>
      <c r="X764" s="76" t="str">
        <f ca="1">IF(AND((Main_Issuance[[#This Row],[Expiry Date]]+31)&gt;TODAY(),Main_Issuance[[#This Row],[Status]]&lt;&gt;"Cancelled"),"Active","Cancelled")</f>
        <v>Cancelled</v>
      </c>
      <c r="Y764" s="407"/>
      <c r="Z764" s="408"/>
      <c r="AA764" s="408" t="s">
        <v>378</v>
      </c>
      <c r="AB764" s="83" cm="1">
        <f t="array" ref="AB764">Iss_Tariff(Main_Issuance[[#This Row],[Bank]],Main_Issuance[[#This Row],[LC Amt(SAR)]],Main_Issuance[[#This Row],[Issue Date.]],Main_Issuance[[#This Row],[Expiry Date]],Main_Issuance[[#This Row],[Calculate]])</f>
        <v>0</v>
      </c>
      <c r="AC764" s="83"/>
    </row>
    <row r="765" spans="1:29" ht="15.75" hidden="1" x14ac:dyDescent="0.25">
      <c r="A765" s="75" t="s">
        <v>1861</v>
      </c>
      <c r="B765" s="76">
        <v>45911</v>
      </c>
      <c r="C765" s="76" t="s">
        <v>1537</v>
      </c>
      <c r="D765" s="78" t="s">
        <v>20</v>
      </c>
      <c r="E765" s="78" t="s">
        <v>62</v>
      </c>
      <c r="F765" s="78" t="s">
        <v>70</v>
      </c>
      <c r="G765" s="78" t="s">
        <v>1789</v>
      </c>
      <c r="H765" s="113" t="s">
        <v>24</v>
      </c>
      <c r="I765" s="78" t="s">
        <v>483</v>
      </c>
      <c r="J765" s="79">
        <v>1020096</v>
      </c>
      <c r="K765" s="78" t="s">
        <v>26</v>
      </c>
      <c r="L765" s="80">
        <v>600000</v>
      </c>
      <c r="M765" s="80">
        <v>1</v>
      </c>
      <c r="N765" s="80">
        <f>Main_Issuance[[#This Row],[LC Amt(FCY)]]*Main_Issuance[[#This Row],[Rate]]</f>
        <v>600000</v>
      </c>
      <c r="O765" s="76">
        <v>45991</v>
      </c>
      <c r="P765" s="76">
        <v>45991</v>
      </c>
      <c r="Q765" s="76" t="s">
        <v>70</v>
      </c>
      <c r="R765" s="78" t="s">
        <v>621</v>
      </c>
      <c r="S765" s="81"/>
      <c r="T765" s="81"/>
      <c r="U765" s="81"/>
      <c r="V765" s="83">
        <v>0</v>
      </c>
      <c r="W765" s="78"/>
      <c r="X765" s="76" t="str">
        <f ca="1">IF(AND((Main_Issuance[[#This Row],[Expiry Date]]+31)&gt;TODAY(),Main_Issuance[[#This Row],[Status]]&lt;&gt;"Cancelled"),"Active","Cancelled")</f>
        <v>Cancelled</v>
      </c>
      <c r="Y765" s="407"/>
      <c r="Z765" s="408"/>
      <c r="AA765" s="408" t="s">
        <v>378</v>
      </c>
      <c r="AB765" s="83" cm="1">
        <f t="array" ref="AB765">Iss_Tariff(Main_Issuance[[#This Row],[Bank]],Main_Issuance[[#This Row],[LC Amt(SAR)]],Main_Issuance[[#This Row],[Issue Date.]],Main_Issuance[[#This Row],[Expiry Date]],Main_Issuance[[#This Row],[Calculate]])</f>
        <v>0</v>
      </c>
      <c r="AC765" s="83"/>
    </row>
    <row r="766" spans="1:29" ht="15.75" hidden="1" x14ac:dyDescent="0.25">
      <c r="A766" s="75" t="s">
        <v>1502</v>
      </c>
      <c r="B766" s="76">
        <v>45831</v>
      </c>
      <c r="C766" s="76" t="s">
        <v>441</v>
      </c>
      <c r="D766" s="115" t="s">
        <v>20</v>
      </c>
      <c r="E766" s="78" t="s">
        <v>21</v>
      </c>
      <c r="F766" s="115" t="s">
        <v>22</v>
      </c>
      <c r="G766" s="78" t="s">
        <v>1789</v>
      </c>
      <c r="H766" s="78" t="s">
        <v>24</v>
      </c>
      <c r="I766" s="78" t="s">
        <v>407</v>
      </c>
      <c r="J766" s="79">
        <v>1020100</v>
      </c>
      <c r="K766" s="78" t="s">
        <v>26</v>
      </c>
      <c r="L766" s="72">
        <v>400000</v>
      </c>
      <c r="M766" s="72">
        <v>1</v>
      </c>
      <c r="N766" s="72">
        <f>Main_Issuance[[#This Row],[LC Amt(FCY)]]*Main_Issuance[[#This Row],[Rate]]</f>
        <v>400000</v>
      </c>
      <c r="O766" s="77">
        <v>45900</v>
      </c>
      <c r="P766" s="77">
        <v>45900</v>
      </c>
      <c r="Q766" s="76" t="s">
        <v>27</v>
      </c>
      <c r="R766" s="78" t="s">
        <v>621</v>
      </c>
      <c r="S766" s="81"/>
      <c r="T766" s="81"/>
      <c r="U766" s="81"/>
      <c r="V766" s="83">
        <v>0</v>
      </c>
      <c r="W766" s="115"/>
      <c r="X766" s="76" t="str">
        <f ca="1">IF(AND((Main_Issuance[[#This Row],[Expiry Date]]+31)&gt;TODAY(),Main_Issuance[[#This Row],[Status]]&lt;&gt;"Cancelled"),"Active","Cancelled")</f>
        <v>Cancelled</v>
      </c>
      <c r="Y766" s="407"/>
      <c r="Z766" s="408"/>
      <c r="AA766" s="408" t="s">
        <v>378</v>
      </c>
      <c r="AB766" s="83" cm="1">
        <f t="array" ref="AB766">Iss_Tariff(Main_Issuance[[#This Row],[Bank]],Main_Issuance[[#This Row],[LC Amt(SAR)]],Main_Issuance[[#This Row],[Issue Date.]],Main_Issuance[[#This Row],[Expiry Date]],Main_Issuance[[#This Row],[Calculate]])</f>
        <v>0</v>
      </c>
      <c r="AC766" s="83"/>
    </row>
    <row r="767" spans="1:29" ht="15.75" hidden="1" x14ac:dyDescent="0.25">
      <c r="A767" s="75" t="s">
        <v>1440</v>
      </c>
      <c r="B767" s="76">
        <v>45810</v>
      </c>
      <c r="C767" s="76" t="s">
        <v>441</v>
      </c>
      <c r="D767" s="78" t="s">
        <v>20</v>
      </c>
      <c r="E767" s="78" t="s">
        <v>366</v>
      </c>
      <c r="F767" s="78" t="s">
        <v>710</v>
      </c>
      <c r="G767" s="78" t="s">
        <v>1789</v>
      </c>
      <c r="H767" s="78" t="s">
        <v>24</v>
      </c>
      <c r="I767" s="78" t="s">
        <v>710</v>
      </c>
      <c r="J767" s="79">
        <v>1020088</v>
      </c>
      <c r="K767" s="78" t="s">
        <v>26</v>
      </c>
      <c r="L767" s="72">
        <v>150000</v>
      </c>
      <c r="M767" s="72">
        <v>1</v>
      </c>
      <c r="N767" s="72">
        <f>Main_Issuance[[#This Row],[LC Amt(FCY)]]*Main_Issuance[[#This Row],[Rate]]</f>
        <v>150000</v>
      </c>
      <c r="O767" s="76">
        <v>45900</v>
      </c>
      <c r="P767" s="76">
        <v>45900</v>
      </c>
      <c r="Q767" s="76" t="s">
        <v>27</v>
      </c>
      <c r="R767" s="78" t="s">
        <v>621</v>
      </c>
      <c r="S767" s="81"/>
      <c r="T767" s="81"/>
      <c r="U767" s="81"/>
      <c r="V767" s="83">
        <v>0</v>
      </c>
      <c r="W767" s="78"/>
      <c r="X767" s="76" t="str">
        <f ca="1">IF(AND((Main_Issuance[[#This Row],[Expiry Date]]+31)&gt;TODAY(),Main_Issuance[[#This Row],[Status]]&lt;&gt;"Cancelled"),"Active","Cancelled")</f>
        <v>Cancelled</v>
      </c>
      <c r="Y767" s="407"/>
      <c r="Z767" s="408"/>
      <c r="AA767" s="408" t="s">
        <v>378</v>
      </c>
      <c r="AB767" s="83" cm="1">
        <f t="array" ref="AB767">Iss_Tariff(Main_Issuance[[#This Row],[Bank]],Main_Issuance[[#This Row],[LC Amt(SAR)]],Main_Issuance[[#This Row],[Issue Date.]],Main_Issuance[[#This Row],[Expiry Date]],Main_Issuance[[#This Row],[Calculate]])</f>
        <v>0</v>
      </c>
      <c r="AC767" s="83"/>
    </row>
    <row r="768" spans="1:29" ht="15.75" hidden="1" x14ac:dyDescent="0.25">
      <c r="A768" s="75" t="s">
        <v>1351</v>
      </c>
      <c r="B768" s="76">
        <v>45792</v>
      </c>
      <c r="C768" s="76" t="s">
        <v>441</v>
      </c>
      <c r="D768" s="78" t="s">
        <v>20</v>
      </c>
      <c r="E768" s="78" t="s">
        <v>21</v>
      </c>
      <c r="F768" s="78" t="s">
        <v>22</v>
      </c>
      <c r="G768" s="78" t="s">
        <v>1789</v>
      </c>
      <c r="H768" s="78" t="s">
        <v>24</v>
      </c>
      <c r="I768" s="78" t="s">
        <v>22</v>
      </c>
      <c r="J768" s="78">
        <v>1020055</v>
      </c>
      <c r="K768" s="78" t="s">
        <v>26</v>
      </c>
      <c r="L768" s="72">
        <v>335475.96000000002</v>
      </c>
      <c r="M768" s="72">
        <v>1</v>
      </c>
      <c r="N768" s="72">
        <f>Main_Issuance[[#This Row],[LC Amt(FCY)]]*Main_Issuance[[#This Row],[Rate]]</f>
        <v>335475.96000000002</v>
      </c>
      <c r="O768" s="76">
        <v>45900</v>
      </c>
      <c r="P768" s="76">
        <v>45900</v>
      </c>
      <c r="Q768" s="76" t="s">
        <v>27</v>
      </c>
      <c r="R768" s="78" t="s">
        <v>621</v>
      </c>
      <c r="S768" s="81"/>
      <c r="T768" s="81"/>
      <c r="U768" s="81"/>
      <c r="V768" s="83">
        <v>0</v>
      </c>
      <c r="W768" s="78"/>
      <c r="X768" s="76" t="str">
        <f ca="1">IF(AND((Main_Issuance[[#This Row],[Expiry Date]]+31)&gt;TODAY(),Main_Issuance[[#This Row],[Status]]&lt;&gt;"Cancelled"),"Active","Cancelled")</f>
        <v>Cancelled</v>
      </c>
      <c r="Y768" s="407"/>
      <c r="Z768" s="408"/>
      <c r="AA768" s="408" t="s">
        <v>378</v>
      </c>
      <c r="AB768" s="83" cm="1">
        <f t="array" ref="AB768">Iss_Tariff(Main_Issuance[[#This Row],[Bank]],Main_Issuance[[#This Row],[LC Amt(SAR)]],Main_Issuance[[#This Row],[Issue Date.]],Main_Issuance[[#This Row],[Expiry Date]],Main_Issuance[[#This Row],[Calculate]])</f>
        <v>0</v>
      </c>
      <c r="AC768" s="83"/>
    </row>
    <row r="769" spans="1:29" ht="15.75" hidden="1" x14ac:dyDescent="0.25">
      <c r="A769" s="70" t="s">
        <v>197</v>
      </c>
      <c r="B769" s="56">
        <v>45167</v>
      </c>
      <c r="C769" s="56" t="s">
        <v>441</v>
      </c>
      <c r="D769" s="69" t="s">
        <v>20</v>
      </c>
      <c r="E769" s="69" t="s">
        <v>21</v>
      </c>
      <c r="F769" s="69" t="s">
        <v>22</v>
      </c>
      <c r="G769" s="69" t="s">
        <v>1789</v>
      </c>
      <c r="H769" s="65" t="s">
        <v>24</v>
      </c>
      <c r="I769" s="65" t="s">
        <v>22</v>
      </c>
      <c r="J769" s="65">
        <v>1020055</v>
      </c>
      <c r="K769" s="69" t="s">
        <v>26</v>
      </c>
      <c r="L769" s="72">
        <v>1350000</v>
      </c>
      <c r="M769" s="72">
        <v>1</v>
      </c>
      <c r="N769" s="72">
        <f>Main_Issuance[[#This Row],[LC Amt(FCY)]]*Main_Issuance[[#This Row],[Rate]]</f>
        <v>1350000</v>
      </c>
      <c r="O769" s="56">
        <v>45260</v>
      </c>
      <c r="P769" s="56">
        <v>45260</v>
      </c>
      <c r="Q769" s="56" t="s">
        <v>27</v>
      </c>
      <c r="R769" s="69" t="s">
        <v>28</v>
      </c>
      <c r="S769" s="71"/>
      <c r="T769" s="71"/>
      <c r="U769" s="71"/>
      <c r="V769" s="68">
        <v>0</v>
      </c>
      <c r="W769" s="78"/>
      <c r="X769" s="56" t="str">
        <f ca="1">IF(AND((Main_Issuance[[#This Row],[Expiry Date]]+31)&gt;TODAY(),Main_Issuance[[#This Row],[Status]]&lt;&gt;"Cancelled"),"Active","Cancelled")</f>
        <v>Cancelled</v>
      </c>
      <c r="Y769" s="407"/>
      <c r="Z769" s="408"/>
      <c r="AA769" s="408" t="s">
        <v>378</v>
      </c>
      <c r="AB769" s="83" cm="1">
        <f t="array" ref="AB769">Iss_Tariff(Main_Issuance[[#This Row],[Bank]],Main_Issuance[[#This Row],[LC Amt(SAR)]],Main_Issuance[[#This Row],[Issue Date.]],Main_Issuance[[#This Row],[Expiry Date]],Main_Issuance[[#This Row],[Calculate]])</f>
        <v>0</v>
      </c>
      <c r="AC769" s="83"/>
    </row>
    <row r="770" spans="1:29" ht="15.75" hidden="1" x14ac:dyDescent="0.25">
      <c r="A770" s="70" t="s">
        <v>361</v>
      </c>
      <c r="B770" s="56">
        <v>45533</v>
      </c>
      <c r="C770" s="56" t="s">
        <v>441</v>
      </c>
      <c r="D770" s="69" t="s">
        <v>20</v>
      </c>
      <c r="E770" s="69" t="s">
        <v>95</v>
      </c>
      <c r="F770" s="69" t="s">
        <v>96</v>
      </c>
      <c r="G770" s="69" t="s">
        <v>1789</v>
      </c>
      <c r="H770" s="65" t="s">
        <v>24</v>
      </c>
      <c r="I770" s="65" t="s">
        <v>22</v>
      </c>
      <c r="J770" s="65">
        <v>1020055</v>
      </c>
      <c r="K770" s="69" t="s">
        <v>26</v>
      </c>
      <c r="L770" s="72">
        <v>1053268.1599999999</v>
      </c>
      <c r="M770" s="72">
        <v>1</v>
      </c>
      <c r="N770" s="72">
        <f>Main_Issuance[[#This Row],[LC Amt(FCY)]]*Main_Issuance[[#This Row],[Rate]]</f>
        <v>1053268.1599999999</v>
      </c>
      <c r="O770" s="56">
        <v>45626</v>
      </c>
      <c r="P770" s="56">
        <v>45626</v>
      </c>
      <c r="Q770" s="56" t="s">
        <v>27</v>
      </c>
      <c r="R770" s="69" t="s">
        <v>311</v>
      </c>
      <c r="S770" s="71"/>
      <c r="T770" s="71"/>
      <c r="U770" s="71"/>
      <c r="V770" s="68">
        <v>0</v>
      </c>
      <c r="W770" s="78"/>
      <c r="X770" s="56" t="str">
        <f ca="1">IF(AND((Main_Issuance[[#This Row],[Expiry Date]]+31)&gt;TODAY(),Main_Issuance[[#This Row],[Status]]&lt;&gt;"Cancelled"),"Active","Cancelled")</f>
        <v>Cancelled</v>
      </c>
      <c r="Y770" s="407"/>
      <c r="Z770" s="408"/>
      <c r="AA770" s="408" t="s">
        <v>378</v>
      </c>
      <c r="AB770" s="83" cm="1">
        <f t="array" ref="AB770">Iss_Tariff(Main_Issuance[[#This Row],[Bank]],Main_Issuance[[#This Row],[LC Amt(SAR)]],Main_Issuance[[#This Row],[Issue Date.]],Main_Issuance[[#This Row],[Expiry Date]],Main_Issuance[[#This Row],[Calculate]])</f>
        <v>0</v>
      </c>
      <c r="AC770" s="83"/>
    </row>
    <row r="771" spans="1:29" ht="15.75" hidden="1" x14ac:dyDescent="0.25">
      <c r="A771" s="70" t="s">
        <v>543</v>
      </c>
      <c r="B771" s="56">
        <v>45634</v>
      </c>
      <c r="C771" s="56" t="s">
        <v>509</v>
      </c>
      <c r="D771" s="69" t="s">
        <v>20</v>
      </c>
      <c r="E771" s="69" t="s">
        <v>95</v>
      </c>
      <c r="F771" s="69" t="s">
        <v>96</v>
      </c>
      <c r="G771" s="69" t="s">
        <v>1789</v>
      </c>
      <c r="H771" s="65" t="s">
        <v>24</v>
      </c>
      <c r="I771" s="65" t="s">
        <v>407</v>
      </c>
      <c r="J771" s="65">
        <v>1020100</v>
      </c>
      <c r="K771" s="69" t="s">
        <v>26</v>
      </c>
      <c r="L771" s="72">
        <v>700000</v>
      </c>
      <c r="M771" s="72">
        <v>1</v>
      </c>
      <c r="N771" s="72">
        <f>Main_Issuance[[#This Row],[LC Amt(FCY)]]*Main_Issuance[[#This Row],[Rate]]</f>
        <v>700000</v>
      </c>
      <c r="O771" s="56">
        <v>45838</v>
      </c>
      <c r="P771" s="56">
        <v>45751</v>
      </c>
      <c r="Q771" s="56" t="s">
        <v>27</v>
      </c>
      <c r="R771" s="69" t="s">
        <v>311</v>
      </c>
      <c r="S771" s="71"/>
      <c r="T771" s="71"/>
      <c r="U771" s="71"/>
      <c r="V771" s="68">
        <v>0</v>
      </c>
      <c r="W771" s="78"/>
      <c r="X771" s="56" t="str">
        <f ca="1">IF(AND((Main_Issuance[[#This Row],[Expiry Date]]+31)&gt;TODAY(),Main_Issuance[[#This Row],[Status]]&lt;&gt;"Cancelled"),"Active","Cancelled")</f>
        <v>Cancelled</v>
      </c>
      <c r="Y771" s="407"/>
      <c r="Z771" s="408"/>
      <c r="AA771" s="408" t="s">
        <v>378</v>
      </c>
      <c r="AB771" s="83" cm="1">
        <f t="array" ref="AB771">Iss_Tariff(Main_Issuance[[#This Row],[Bank]],Main_Issuance[[#This Row],[LC Amt(SAR)]],Main_Issuance[[#This Row],[Issue Date.]],Main_Issuance[[#This Row],[Expiry Date]],Main_Issuance[[#This Row],[Calculate]])</f>
        <v>0</v>
      </c>
      <c r="AC771" s="83"/>
    </row>
    <row r="772" spans="1:29" ht="15.75" hidden="1" x14ac:dyDescent="0.25">
      <c r="A772" s="70" t="s">
        <v>677</v>
      </c>
      <c r="B772" s="56">
        <v>45684</v>
      </c>
      <c r="C772" s="56" t="s">
        <v>509</v>
      </c>
      <c r="D772" s="69" t="s">
        <v>20</v>
      </c>
      <c r="E772" s="69" t="s">
        <v>95</v>
      </c>
      <c r="F772" s="69" t="s">
        <v>96</v>
      </c>
      <c r="G772" s="69" t="s">
        <v>1789</v>
      </c>
      <c r="H772" s="65" t="s">
        <v>24</v>
      </c>
      <c r="I772" s="65" t="s">
        <v>407</v>
      </c>
      <c r="J772" s="65">
        <v>1020100</v>
      </c>
      <c r="K772" s="69" t="s">
        <v>26</v>
      </c>
      <c r="L772" s="72">
        <v>350000</v>
      </c>
      <c r="M772" s="72">
        <v>1</v>
      </c>
      <c r="N772" s="72">
        <f>Main_Issuance[[#This Row],[LC Amt(FCY)]]*Main_Issuance[[#This Row],[Rate]]</f>
        <v>350000</v>
      </c>
      <c r="O772" s="56">
        <v>45777</v>
      </c>
      <c r="P772" s="56">
        <v>45777</v>
      </c>
      <c r="Q772" s="56" t="s">
        <v>27</v>
      </c>
      <c r="R772" s="69" t="s">
        <v>311</v>
      </c>
      <c r="S772" s="71"/>
      <c r="T772" s="71"/>
      <c r="U772" s="71"/>
      <c r="V772" s="68">
        <v>0</v>
      </c>
      <c r="W772" s="78"/>
      <c r="X772" s="56" t="str">
        <f ca="1">IF(AND((Main_Issuance[[#This Row],[Expiry Date]]+31)&gt;TODAY(),Main_Issuance[[#This Row],[Status]]&lt;&gt;"Cancelled"),"Active","Cancelled")</f>
        <v>Cancelled</v>
      </c>
      <c r="Y772" s="407"/>
      <c r="Z772" s="408"/>
      <c r="AA772" s="408" t="s">
        <v>378</v>
      </c>
      <c r="AB772" s="83" cm="1">
        <f t="array" ref="AB772">Iss_Tariff(Main_Issuance[[#This Row],[Bank]],Main_Issuance[[#This Row],[LC Amt(SAR)]],Main_Issuance[[#This Row],[Issue Date.]],Main_Issuance[[#This Row],[Expiry Date]],Main_Issuance[[#This Row],[Calculate]])</f>
        <v>0</v>
      </c>
      <c r="AC772" s="83"/>
    </row>
    <row r="773" spans="1:29" ht="15.75" hidden="1" x14ac:dyDescent="0.25">
      <c r="A773" s="70" t="s">
        <v>780</v>
      </c>
      <c r="B773" s="56">
        <v>45727</v>
      </c>
      <c r="C773" s="56" t="s">
        <v>441</v>
      </c>
      <c r="D773" s="69" t="s">
        <v>20</v>
      </c>
      <c r="E773" s="69" t="s">
        <v>366</v>
      </c>
      <c r="F773" s="69" t="s">
        <v>710</v>
      </c>
      <c r="G773" s="69" t="s">
        <v>1789</v>
      </c>
      <c r="H773" s="69" t="s">
        <v>24</v>
      </c>
      <c r="I773" s="69" t="s">
        <v>710</v>
      </c>
      <c r="J773" s="65">
        <v>1020088</v>
      </c>
      <c r="K773" s="69" t="s">
        <v>26</v>
      </c>
      <c r="L773" s="72">
        <v>500000</v>
      </c>
      <c r="M773" s="72">
        <v>1</v>
      </c>
      <c r="N773" s="72">
        <f>Main_Issuance[[#This Row],[LC Amt(FCY)]]*Main_Issuance[[#This Row],[Rate]]</f>
        <v>500000</v>
      </c>
      <c r="O773" s="56">
        <v>45838</v>
      </c>
      <c r="P773" s="56">
        <v>45838</v>
      </c>
      <c r="Q773" s="56" t="s">
        <v>27</v>
      </c>
      <c r="R773" s="69" t="s">
        <v>311</v>
      </c>
      <c r="S773" s="71"/>
      <c r="T773" s="71"/>
      <c r="U773" s="71"/>
      <c r="V773" s="68">
        <v>0</v>
      </c>
      <c r="W773" s="78"/>
      <c r="X773" s="56" t="str">
        <f ca="1">IF(AND((Main_Issuance[[#This Row],[Expiry Date]]+31)&gt;TODAY(),Main_Issuance[[#This Row],[Status]]&lt;&gt;"Cancelled"),"Active","Cancelled")</f>
        <v>Cancelled</v>
      </c>
      <c r="Y773" s="407"/>
      <c r="Z773" s="408"/>
      <c r="AA773" s="408" t="s">
        <v>378</v>
      </c>
      <c r="AB773" s="83" cm="1">
        <f t="array" ref="AB773">Iss_Tariff(Main_Issuance[[#This Row],[Bank]],Main_Issuance[[#This Row],[LC Amt(SAR)]],Main_Issuance[[#This Row],[Issue Date.]],Main_Issuance[[#This Row],[Expiry Date]],Main_Issuance[[#This Row],[Calculate]])</f>
        <v>0</v>
      </c>
      <c r="AC773" s="83"/>
    </row>
    <row r="774" spans="1:29" ht="15.75" hidden="1" x14ac:dyDescent="0.25">
      <c r="A774" s="75" t="s">
        <v>1874</v>
      </c>
      <c r="B774" s="76">
        <v>45914</v>
      </c>
      <c r="C774" s="76" t="s">
        <v>441</v>
      </c>
      <c r="D774" s="115" t="s">
        <v>20</v>
      </c>
      <c r="E774" s="78" t="s">
        <v>366</v>
      </c>
      <c r="F774" s="78" t="s">
        <v>710</v>
      </c>
      <c r="G774" s="123" t="s">
        <v>1789</v>
      </c>
      <c r="H774" s="78" t="s">
        <v>24</v>
      </c>
      <c r="I774" s="78" t="s">
        <v>710</v>
      </c>
      <c r="J774" s="79">
        <v>1020088</v>
      </c>
      <c r="K774" s="78" t="s">
        <v>26</v>
      </c>
      <c r="L774" s="80">
        <v>2000000</v>
      </c>
      <c r="M774" s="81">
        <v>1</v>
      </c>
      <c r="N774" s="81">
        <f>Main_Issuance[[#This Row],[LC Amt(FCY)]]*Main_Issuance[[#This Row],[Rate]]</f>
        <v>2000000</v>
      </c>
      <c r="O774" s="77">
        <v>46022</v>
      </c>
      <c r="P774" s="77">
        <v>46022</v>
      </c>
      <c r="Q774" s="76" t="s">
        <v>27</v>
      </c>
      <c r="R774" s="78" t="s">
        <v>621</v>
      </c>
      <c r="S774" s="81"/>
      <c r="T774" s="81"/>
      <c r="U774" s="81"/>
      <c r="V774" s="83">
        <v>0</v>
      </c>
      <c r="W774" s="115"/>
      <c r="X774" s="76" t="str">
        <f ca="1">IF(AND((Main_Issuance[[#This Row],[Expiry Date]]+31)&gt;TODAY(),Main_Issuance[[#This Row],[Status]]&lt;&gt;"Cancelled"),"Active","Cancelled")</f>
        <v>Cancelled</v>
      </c>
      <c r="Y774" s="407"/>
      <c r="Z774" s="408"/>
      <c r="AA774" s="408" t="s">
        <v>378</v>
      </c>
      <c r="AB774" s="83" cm="1">
        <f t="array" ref="AB774">Iss_Tariff(Main_Issuance[[#This Row],[Bank]],Main_Issuance[[#This Row],[LC Amt(SAR)]],Main_Issuance[[#This Row],[Issue Date.]],Main_Issuance[[#This Row],[Expiry Date]],Main_Issuance[[#This Row],[Calculate]])</f>
        <v>0</v>
      </c>
      <c r="AC774" s="83"/>
    </row>
    <row r="775" spans="1:29" ht="15.75" hidden="1" x14ac:dyDescent="0.25">
      <c r="A775" s="75" t="s">
        <v>3896</v>
      </c>
      <c r="B775" s="76">
        <v>46050</v>
      </c>
      <c r="C775" s="76" t="s">
        <v>441</v>
      </c>
      <c r="D775" s="115" t="s">
        <v>20</v>
      </c>
      <c r="E775" s="78" t="s">
        <v>366</v>
      </c>
      <c r="F775" s="78" t="s">
        <v>710</v>
      </c>
      <c r="G775" s="78" t="s">
        <v>3295</v>
      </c>
      <c r="H775" s="78" t="s">
        <v>24</v>
      </c>
      <c r="I775" s="78" t="s">
        <v>710</v>
      </c>
      <c r="J775" s="79">
        <v>1020088</v>
      </c>
      <c r="K775" s="78" t="s">
        <v>26</v>
      </c>
      <c r="L775" s="80">
        <v>1000000</v>
      </c>
      <c r="M775" s="81">
        <v>1</v>
      </c>
      <c r="N775" s="81">
        <f>Main_Issuance[[#This Row],[LC Amt(FCY)]]*Main_Issuance[[#This Row],[Rate]]</f>
        <v>1000000</v>
      </c>
      <c r="O775" s="77">
        <v>46142</v>
      </c>
      <c r="P775" s="77">
        <v>46142</v>
      </c>
      <c r="Q775" s="76" t="s">
        <v>27</v>
      </c>
      <c r="R775" s="78" t="s">
        <v>1904</v>
      </c>
      <c r="S775" s="81"/>
      <c r="T775" s="81"/>
      <c r="U775" s="81"/>
      <c r="V775" s="83">
        <v>0</v>
      </c>
      <c r="W775" s="115"/>
      <c r="X775" s="76" t="str">
        <f ca="1">IF(AND((Main_Issuance[[#This Row],[Expiry Date]]+31)&gt;TODAY(),Main_Issuance[[#This Row],[Status]]&lt;&gt;"Cancelled"),"Active","Cancelled")</f>
        <v>Cancelled</v>
      </c>
      <c r="Y775" s="407"/>
      <c r="Z775" s="408"/>
      <c r="AA775" s="408" t="s">
        <v>857</v>
      </c>
      <c r="AB775" s="83" cm="1">
        <f t="array" ref="AB775">Iss_Tariff(Main_Issuance[[#This Row],[Bank]],Main_Issuance[[#This Row],[LC Amt(SAR)]],Main_Issuance[[#This Row],[Issue Date.]],Main_Issuance[[#This Row],[Expiry Date]],Main_Issuance[[#This Row],[Calculate]])</f>
        <v>5836.25</v>
      </c>
      <c r="AC775" s="83"/>
    </row>
    <row r="776" spans="1:29" ht="15.75" hidden="1" x14ac:dyDescent="0.25">
      <c r="A776" s="75" t="s">
        <v>4562</v>
      </c>
      <c r="B776" s="423">
        <v>46118</v>
      </c>
      <c r="C776" s="423" t="s">
        <v>441</v>
      </c>
      <c r="D776" s="78" t="s">
        <v>20</v>
      </c>
      <c r="E776" s="78" t="s">
        <v>366</v>
      </c>
      <c r="F776" s="78" t="s">
        <v>710</v>
      </c>
      <c r="G776" s="78" t="s">
        <v>1789</v>
      </c>
      <c r="H776" s="79" t="s">
        <v>24</v>
      </c>
      <c r="I776" s="78" t="s">
        <v>710</v>
      </c>
      <c r="J776" s="79">
        <v>1020088</v>
      </c>
      <c r="K776" s="115" t="s">
        <v>26</v>
      </c>
      <c r="L776" s="119">
        <v>1000000</v>
      </c>
      <c r="M776" s="82">
        <v>1</v>
      </c>
      <c r="N776" s="82">
        <f>Main_Issuance[[#This Row],[LC Amt(FCY)]]*Main_Issuance[[#This Row],[Rate]]</f>
        <v>1000000</v>
      </c>
      <c r="O776" s="424">
        <v>46203</v>
      </c>
      <c r="P776" s="423">
        <v>46203</v>
      </c>
      <c r="Q776" s="423" t="s">
        <v>27</v>
      </c>
      <c r="R776" s="115" t="s">
        <v>4493</v>
      </c>
      <c r="S776" s="81"/>
      <c r="T776" s="81"/>
      <c r="U776" s="81"/>
      <c r="V776" s="83">
        <v>0</v>
      </c>
      <c r="W776" s="78"/>
      <c r="X776" s="423" t="str">
        <f ca="1">IF(AND((Main_Issuance[[#This Row],[Expiry Date]]+31)&gt;TODAY(),Main_Issuance[[#This Row],[Status]]&lt;&gt;"Cancelled"),"Active","Cancelled")</f>
        <v>Active</v>
      </c>
      <c r="Y776" s="419"/>
      <c r="Z776" s="424"/>
      <c r="AA776" s="443" t="s">
        <v>857</v>
      </c>
      <c r="AB776" s="83" cm="1">
        <f t="array" ref="AB776">Iss_Tariff(Main_Issuance[[#This Row],[Bank]],Main_Issuance[[#This Row],[LC Amt(SAR)]],Main_Issuance[[#This Row],[Issue Date.]],Main_Issuance[[#This Row],[Expiry Date]],Main_Issuance[[#This Row],[Calculate]])</f>
        <v>5836.25</v>
      </c>
      <c r="AC776" s="83"/>
    </row>
    <row r="777" spans="1:29" ht="15.75" hidden="1" x14ac:dyDescent="0.25">
      <c r="A777" s="75" t="s">
        <v>4568</v>
      </c>
      <c r="B777" s="423">
        <v>46119</v>
      </c>
      <c r="C777" s="423" t="s">
        <v>1259</v>
      </c>
      <c r="D777" s="78" t="s">
        <v>20</v>
      </c>
      <c r="E777" s="78" t="s">
        <v>95</v>
      </c>
      <c r="F777" s="78" t="s">
        <v>96</v>
      </c>
      <c r="G777" s="264" t="s">
        <v>4530</v>
      </c>
      <c r="H777" s="79" t="s">
        <v>1791</v>
      </c>
      <c r="I777" s="78" t="s">
        <v>328</v>
      </c>
      <c r="J777" s="78">
        <v>1020097</v>
      </c>
      <c r="K777" s="78" t="s">
        <v>26</v>
      </c>
      <c r="L777" s="80">
        <v>650000</v>
      </c>
      <c r="M777" s="81">
        <v>1</v>
      </c>
      <c r="N777" s="81">
        <f>Main_Issuance[[#This Row],[LC Amt(FCY)]]*Main_Issuance[[#This Row],[Rate]]</f>
        <v>650000</v>
      </c>
      <c r="O777" s="423">
        <v>46182</v>
      </c>
      <c r="P777" s="423">
        <v>46151</v>
      </c>
      <c r="Q777" s="423" t="s">
        <v>27</v>
      </c>
      <c r="R777" s="78" t="s">
        <v>3729</v>
      </c>
      <c r="S777" s="81"/>
      <c r="T777" s="81"/>
      <c r="U777" s="81"/>
      <c r="V777" s="83">
        <v>0</v>
      </c>
      <c r="W777" s="78"/>
      <c r="X777" s="423" t="str">
        <f ca="1">IF(AND((Main_Issuance[[#This Row],[Expiry Date]]+31)&gt;TODAY(),Main_Issuance[[#This Row],[Status]]&lt;&gt;"Cancelled"),"Active","Cancelled")</f>
        <v>Active</v>
      </c>
      <c r="Y777" s="419"/>
      <c r="Z777" s="424"/>
      <c r="AA777" s="77" t="s">
        <v>857</v>
      </c>
      <c r="AB777" s="83" cm="1">
        <f t="array" ref="AB777">Iss_Tariff(Main_Issuance[[#This Row],[Bank]],Main_Issuance[[#This Row],[LC Amt(SAR)]],Main_Issuance[[#This Row],[Issue Date.]],Main_Issuance[[#This Row],[Expiry Date]],Main_Issuance[[#This Row],[Calculate]],1)</f>
        <v>1393.8</v>
      </c>
      <c r="AC777" s="83"/>
    </row>
    <row r="778" spans="1:29" ht="15.75" hidden="1" x14ac:dyDescent="0.25">
      <c r="A778" s="75" t="s">
        <v>1233</v>
      </c>
      <c r="B778" s="76">
        <v>45775</v>
      </c>
      <c r="C778" s="76" t="s">
        <v>441</v>
      </c>
      <c r="D778" s="78" t="s">
        <v>20</v>
      </c>
      <c r="E778" s="78" t="s">
        <v>612</v>
      </c>
      <c r="F778" s="78" t="s">
        <v>613</v>
      </c>
      <c r="G778" s="78" t="s">
        <v>1207</v>
      </c>
      <c r="H778" s="79" t="s">
        <v>24</v>
      </c>
      <c r="I778" s="79" t="s">
        <v>613</v>
      </c>
      <c r="J778" s="78">
        <v>1020106</v>
      </c>
      <c r="K778" s="78" t="s">
        <v>26</v>
      </c>
      <c r="L778" s="72">
        <v>1000000</v>
      </c>
      <c r="M778" s="72">
        <v>1</v>
      </c>
      <c r="N778" s="72">
        <f>Main_Issuance[[#This Row],[LC Amt(FCY)]]*Main_Issuance[[#This Row],[Rate]]</f>
        <v>1000000</v>
      </c>
      <c r="O778" s="56">
        <v>45930</v>
      </c>
      <c r="P778" s="56">
        <v>45930</v>
      </c>
      <c r="Q778" s="76" t="s">
        <v>27</v>
      </c>
      <c r="R778" s="78" t="s">
        <v>311</v>
      </c>
      <c r="S778" s="81"/>
      <c r="T778" s="81"/>
      <c r="U778" s="81"/>
      <c r="V778" s="83"/>
      <c r="W778" s="115"/>
      <c r="X778" s="76" t="str">
        <f ca="1">IF(AND((Main_Issuance[[#This Row],[Expiry Date]]+31)&gt;TODAY(),Main_Issuance[[#This Row],[Status]]&lt;&gt;"Cancelled"),"Active","Cancelled")</f>
        <v>Cancelled</v>
      </c>
      <c r="Y778" s="407"/>
      <c r="Z778" s="408"/>
      <c r="AA778" s="408" t="s">
        <v>378</v>
      </c>
      <c r="AB778" s="83" cm="1">
        <f t="array" ref="AB778">Iss_Tariff(Main_Issuance[[#This Row],[Bank]],Main_Issuance[[#This Row],[LC Amt(SAR)]],Main_Issuance[[#This Row],[Issue Date.]],Main_Issuance[[#This Row],[Expiry Date]],Main_Issuance[[#This Row],[Calculate]])</f>
        <v>0</v>
      </c>
      <c r="AC778" s="83"/>
    </row>
    <row r="779" spans="1:29" ht="15.75" hidden="1" x14ac:dyDescent="0.25">
      <c r="A779" s="75" t="s">
        <v>1558</v>
      </c>
      <c r="B779" s="76">
        <v>45855</v>
      </c>
      <c r="C779" s="76" t="s">
        <v>441</v>
      </c>
      <c r="D779" s="78" t="s">
        <v>20</v>
      </c>
      <c r="E779" s="78" t="s">
        <v>612</v>
      </c>
      <c r="F779" s="78" t="s">
        <v>613</v>
      </c>
      <c r="G779" s="78" t="s">
        <v>1544</v>
      </c>
      <c r="H779" s="79" t="s">
        <v>24</v>
      </c>
      <c r="I779" s="79" t="s">
        <v>613</v>
      </c>
      <c r="J779" s="78">
        <v>1020106</v>
      </c>
      <c r="K779" s="78" t="s">
        <v>26</v>
      </c>
      <c r="L779" s="72">
        <v>1000000.94</v>
      </c>
      <c r="M779" s="72">
        <v>1</v>
      </c>
      <c r="N779" s="72">
        <f>Main_Issuance[[#This Row],[LC Amt(FCY)]]*Main_Issuance[[#This Row],[Rate]]</f>
        <v>1000000.94</v>
      </c>
      <c r="O779" s="76">
        <v>45930</v>
      </c>
      <c r="P779" s="76">
        <v>45930</v>
      </c>
      <c r="Q779" s="76" t="s">
        <v>27</v>
      </c>
      <c r="R779" s="78" t="s">
        <v>311</v>
      </c>
      <c r="S779" s="81"/>
      <c r="T779" s="81"/>
      <c r="U779" s="81"/>
      <c r="V779" s="83">
        <v>0</v>
      </c>
      <c r="W779" s="115" t="s">
        <v>1913</v>
      </c>
      <c r="X779" s="76" t="str">
        <f ca="1">IF(AND((Main_Issuance[[#This Row],[Expiry Date]]+31)&gt;TODAY(),Main_Issuance[[#This Row],[Status]]&lt;&gt;"Cancelled"),"Active","Cancelled")</f>
        <v>Cancelled</v>
      </c>
      <c r="Y779" s="407"/>
      <c r="Z779" s="408"/>
      <c r="AA779" s="408" t="s">
        <v>378</v>
      </c>
      <c r="AB779" s="83" cm="1">
        <f t="array" ref="AB779">Iss_Tariff(Main_Issuance[[#This Row],[Bank]],Main_Issuance[[#This Row],[LC Amt(SAR)]],Main_Issuance[[#This Row],[Issue Date.]],Main_Issuance[[#This Row],[Expiry Date]],Main_Issuance[[#This Row],[Calculate]])</f>
        <v>0</v>
      </c>
      <c r="AC779" s="83"/>
    </row>
    <row r="780" spans="1:29" ht="15.75" hidden="1" x14ac:dyDescent="0.25">
      <c r="A780" s="75" t="s">
        <v>1823</v>
      </c>
      <c r="B780" s="76">
        <v>45895</v>
      </c>
      <c r="C780" s="76" t="s">
        <v>441</v>
      </c>
      <c r="D780" s="78" t="s">
        <v>20</v>
      </c>
      <c r="E780" s="78" t="s">
        <v>612</v>
      </c>
      <c r="F780" s="78" t="s">
        <v>613</v>
      </c>
      <c r="G780" s="78" t="s">
        <v>1700</v>
      </c>
      <c r="H780" s="78" t="s">
        <v>24</v>
      </c>
      <c r="I780" s="78" t="s">
        <v>613</v>
      </c>
      <c r="J780" s="78">
        <v>1020106</v>
      </c>
      <c r="K780" s="78" t="s">
        <v>26</v>
      </c>
      <c r="L780" s="72">
        <v>750000</v>
      </c>
      <c r="M780" s="72">
        <v>1</v>
      </c>
      <c r="N780" s="72">
        <f>Main_Issuance[[#This Row],[LC Amt(FCY)]]*Main_Issuance[[#This Row],[Rate]]</f>
        <v>750000</v>
      </c>
      <c r="O780" s="76">
        <v>46053</v>
      </c>
      <c r="P780" s="76">
        <v>46053</v>
      </c>
      <c r="Q780" s="76" t="s">
        <v>27</v>
      </c>
      <c r="R780" s="78" t="s">
        <v>311</v>
      </c>
      <c r="S780" s="81"/>
      <c r="T780" s="81"/>
      <c r="U780" s="81"/>
      <c r="V780" s="83">
        <v>0</v>
      </c>
      <c r="W780" s="115"/>
      <c r="X780" s="76" t="str">
        <f ca="1">IF(AND((Main_Issuance[[#This Row],[Expiry Date]]+31)&gt;TODAY(),Main_Issuance[[#This Row],[Status]]&lt;&gt;"Cancelled"),"Active","Cancelled")</f>
        <v>Cancelled</v>
      </c>
      <c r="Y780" s="407"/>
      <c r="Z780" s="408"/>
      <c r="AA780" s="408" t="s">
        <v>378</v>
      </c>
      <c r="AB780" s="83" cm="1">
        <f t="array" ref="AB780">Iss_Tariff(Main_Issuance[[#This Row],[Bank]],Main_Issuance[[#This Row],[LC Amt(SAR)]],Main_Issuance[[#This Row],[Issue Date.]],Main_Issuance[[#This Row],[Expiry Date]],Main_Issuance[[#This Row],[Calculate]])</f>
        <v>0</v>
      </c>
      <c r="AC780" s="83"/>
    </row>
    <row r="781" spans="1:29" ht="15.75" hidden="1" x14ac:dyDescent="0.25">
      <c r="A781" s="75" t="s">
        <v>1822</v>
      </c>
      <c r="B781" s="76">
        <v>45895</v>
      </c>
      <c r="C781" s="76" t="s">
        <v>441</v>
      </c>
      <c r="D781" s="78" t="s">
        <v>20</v>
      </c>
      <c r="E781" s="78" t="s">
        <v>612</v>
      </c>
      <c r="F781" s="78" t="s">
        <v>613</v>
      </c>
      <c r="G781" s="78" t="s">
        <v>1700</v>
      </c>
      <c r="H781" s="78" t="s">
        <v>24</v>
      </c>
      <c r="I781" s="78" t="s">
        <v>613</v>
      </c>
      <c r="J781" s="78">
        <v>1020106</v>
      </c>
      <c r="K781" s="78" t="s">
        <v>26</v>
      </c>
      <c r="L781" s="72">
        <v>250000</v>
      </c>
      <c r="M781" s="72">
        <v>1</v>
      </c>
      <c r="N781" s="72">
        <f>Main_Issuance[[#This Row],[LC Amt(FCY)]]*Main_Issuance[[#This Row],[Rate]]</f>
        <v>250000</v>
      </c>
      <c r="O781" s="76">
        <v>46265</v>
      </c>
      <c r="P781" s="76">
        <v>46265</v>
      </c>
      <c r="Q781" s="76" t="s">
        <v>27</v>
      </c>
      <c r="R781" s="78" t="s">
        <v>311</v>
      </c>
      <c r="S781" s="81"/>
      <c r="T781" s="81"/>
      <c r="U781" s="81"/>
      <c r="V781" s="83">
        <v>0</v>
      </c>
      <c r="W781" s="115"/>
      <c r="X781" s="76" t="str">
        <f ca="1">IF(AND((Main_Issuance[[#This Row],[Expiry Date]]+31)&gt;TODAY(),Main_Issuance[[#This Row],[Status]]&lt;&gt;"Cancelled"),"Active","Cancelled")</f>
        <v>Active</v>
      </c>
      <c r="Y781" s="407"/>
      <c r="Z781" s="408"/>
      <c r="AA781" s="408" t="s">
        <v>857</v>
      </c>
      <c r="AB781" s="83" cm="1">
        <f t="array" ref="AB781">Iss_Tariff(Main_Issuance[[#This Row],[Bank]],Main_Issuance[[#This Row],[LC Amt(SAR)]],Main_Issuance[[#This Row],[Issue Date.]],Main_Issuance[[#This Row],[Expiry Date]],Main_Issuance[[#This Row],[Calculate]])</f>
        <v>5526.9</v>
      </c>
      <c r="AC781" s="83"/>
    </row>
    <row r="782" spans="1:29" ht="15.75" hidden="1" x14ac:dyDescent="0.25">
      <c r="A782" s="70" t="s">
        <v>696</v>
      </c>
      <c r="B782" s="56">
        <v>45698</v>
      </c>
      <c r="C782" s="56" t="s">
        <v>441</v>
      </c>
      <c r="D782" s="69" t="s">
        <v>20</v>
      </c>
      <c r="E782" s="69" t="s">
        <v>612</v>
      </c>
      <c r="F782" s="69" t="s">
        <v>613</v>
      </c>
      <c r="G782" s="69" t="s">
        <v>697</v>
      </c>
      <c r="H782" s="65" t="s">
        <v>24</v>
      </c>
      <c r="I782" s="69" t="s">
        <v>613</v>
      </c>
      <c r="J782" s="78">
        <v>1020106</v>
      </c>
      <c r="K782" s="69" t="s">
        <v>26</v>
      </c>
      <c r="L782" s="72">
        <v>1513032.73</v>
      </c>
      <c r="M782" s="72">
        <v>1</v>
      </c>
      <c r="N782" s="72">
        <f>Main_Issuance[[#This Row],[LC Amt(FCY)]]*Main_Issuance[[#This Row],[Rate]]</f>
        <v>1513032.73</v>
      </c>
      <c r="O782" s="56">
        <v>45838</v>
      </c>
      <c r="P782" s="56">
        <v>45808</v>
      </c>
      <c r="Q782" s="56" t="s">
        <v>27</v>
      </c>
      <c r="R782" s="69" t="s">
        <v>311</v>
      </c>
      <c r="S782" s="71"/>
      <c r="T782" s="71"/>
      <c r="U782" s="71"/>
      <c r="V782" s="68">
        <v>0</v>
      </c>
      <c r="W782" s="115"/>
      <c r="X782" s="56" t="str">
        <f ca="1">IF(AND((Main_Issuance[[#This Row],[Expiry Date]]+31)&gt;TODAY(),Main_Issuance[[#This Row],[Status]]&lt;&gt;"Cancelled"),"Active","Cancelled")</f>
        <v>Cancelled</v>
      </c>
      <c r="Y782" s="407"/>
      <c r="Z782" s="408"/>
      <c r="AA782" s="408" t="s">
        <v>378</v>
      </c>
      <c r="AB782" s="83" cm="1">
        <f t="array" ref="AB782">Iss_Tariff(Main_Issuance[[#This Row],[Bank]],Main_Issuance[[#This Row],[LC Amt(SAR)]],Main_Issuance[[#This Row],[Issue Date.]],Main_Issuance[[#This Row],[Expiry Date]],Main_Issuance[[#This Row],[Calculate]])</f>
        <v>0</v>
      </c>
      <c r="AC782" s="83"/>
    </row>
    <row r="783" spans="1:29" ht="15.75" hidden="1" x14ac:dyDescent="0.25">
      <c r="A783" s="75" t="s">
        <v>722</v>
      </c>
      <c r="B783" s="56">
        <v>45715</v>
      </c>
      <c r="C783" s="56" t="s">
        <v>441</v>
      </c>
      <c r="D783" s="115" t="s">
        <v>20</v>
      </c>
      <c r="E783" s="69" t="s">
        <v>612</v>
      </c>
      <c r="F783" s="69" t="s">
        <v>613</v>
      </c>
      <c r="G783" s="69" t="s">
        <v>697</v>
      </c>
      <c r="H783" s="69" t="s">
        <v>24</v>
      </c>
      <c r="I783" s="69" t="s">
        <v>613</v>
      </c>
      <c r="J783" s="78">
        <v>1020106</v>
      </c>
      <c r="K783" s="69" t="s">
        <v>26</v>
      </c>
      <c r="L783" s="72">
        <v>863693.45</v>
      </c>
      <c r="M783" s="72">
        <v>1</v>
      </c>
      <c r="N783" s="72">
        <f>Main_Issuance[[#This Row],[LC Amt(FCY)]]*Main_Issuance[[#This Row],[Rate]]</f>
        <v>863693.45</v>
      </c>
      <c r="O783" s="58">
        <v>46203</v>
      </c>
      <c r="P783" s="58">
        <v>46203</v>
      </c>
      <c r="Q783" s="56" t="s">
        <v>27</v>
      </c>
      <c r="R783" s="69" t="s">
        <v>311</v>
      </c>
      <c r="S783" s="71"/>
      <c r="T783" s="71"/>
      <c r="U783" s="71"/>
      <c r="V783" s="68">
        <v>0</v>
      </c>
      <c r="W783" s="115"/>
      <c r="X783" s="56" t="str">
        <f ca="1">IF(AND((Main_Issuance[[#This Row],[Expiry Date]]+31)&gt;TODAY(),Main_Issuance[[#This Row],[Status]]&lt;&gt;"Cancelled"),"Active","Cancelled")</f>
        <v>Active</v>
      </c>
      <c r="Y783" s="407"/>
      <c r="Z783" s="408"/>
      <c r="AA783" s="408" t="s">
        <v>857</v>
      </c>
      <c r="AB783" s="83" cm="1">
        <f t="array" ref="AB783">Iss_Tariff(Main_Issuance[[#This Row],[Bank]],Main_Issuance[[#This Row],[LC Amt(SAR)]],Main_Issuance[[#This Row],[Issue Date.]],Main_Issuance[[#This Row],[Expiry Date]],Main_Issuance[[#This Row],[Calculate]])</f>
        <v>19491.349999999999</v>
      </c>
      <c r="AC783" s="83"/>
    </row>
    <row r="784" spans="1:29" ht="15.75" hidden="1" x14ac:dyDescent="0.25">
      <c r="A784" s="70" t="s">
        <v>165</v>
      </c>
      <c r="B784" s="56">
        <v>45224</v>
      </c>
      <c r="C784" s="56"/>
      <c r="D784" s="69" t="s">
        <v>20</v>
      </c>
      <c r="E784" s="69" t="s">
        <v>21</v>
      </c>
      <c r="F784" s="69" t="s">
        <v>22</v>
      </c>
      <c r="G784" s="69" t="s">
        <v>166</v>
      </c>
      <c r="H784" s="65" t="s">
        <v>98</v>
      </c>
      <c r="I784" s="65">
        <v>0</v>
      </c>
      <c r="J784" s="65"/>
      <c r="K784" s="69" t="s">
        <v>67</v>
      </c>
      <c r="L784" s="72">
        <v>1004640</v>
      </c>
      <c r="M784" s="72">
        <v>4.12</v>
      </c>
      <c r="N784" s="72">
        <f>Main_Issuance[[#This Row],[LC Amt(FCY)]]*Main_Issuance[[#This Row],[Rate]]</f>
        <v>4139116.8000000003</v>
      </c>
      <c r="O784" s="56">
        <v>45301</v>
      </c>
      <c r="P784" s="56">
        <v>45301</v>
      </c>
      <c r="Q784" s="56" t="s">
        <v>70</v>
      </c>
      <c r="R784" s="69"/>
      <c r="S784" s="71"/>
      <c r="T784" s="71"/>
      <c r="U784" s="71"/>
      <c r="V784" s="68">
        <v>0</v>
      </c>
      <c r="W784" s="78"/>
      <c r="X784" s="56" t="str">
        <f ca="1">IF(AND((Main_Issuance[[#This Row],[Expiry Date]]+31)&gt;TODAY(),Main_Issuance[[#This Row],[Status]]&lt;&gt;"Cancelled"),"Active","Cancelled")</f>
        <v>Cancelled</v>
      </c>
      <c r="Y784" s="407"/>
      <c r="Z784" s="408"/>
      <c r="AA784" s="408" t="s">
        <v>378</v>
      </c>
      <c r="AB784" s="83" cm="1">
        <f t="array" ref="AB784">Iss_Tariff(Main_Issuance[[#This Row],[Bank]],Main_Issuance[[#This Row],[LC Amt(SAR)]],Main_Issuance[[#This Row],[Issue Date.]],Main_Issuance[[#This Row],[Expiry Date]],Main_Issuance[[#This Row],[Calculate]])</f>
        <v>0</v>
      </c>
      <c r="AC784" s="83"/>
    </row>
    <row r="785" spans="1:29" ht="15.75" hidden="1" x14ac:dyDescent="0.25">
      <c r="A785" s="70" t="s">
        <v>94</v>
      </c>
      <c r="B785" s="56">
        <v>45424</v>
      </c>
      <c r="C785" s="56"/>
      <c r="D785" s="69" t="s">
        <v>20</v>
      </c>
      <c r="E785" s="69" t="s">
        <v>95</v>
      </c>
      <c r="F785" s="69" t="s">
        <v>96</v>
      </c>
      <c r="G785" s="69" t="s">
        <v>97</v>
      </c>
      <c r="H785" s="65" t="s">
        <v>72</v>
      </c>
      <c r="I785" s="65" t="s">
        <v>98</v>
      </c>
      <c r="J785" s="65"/>
      <c r="K785" s="69" t="s">
        <v>67</v>
      </c>
      <c r="L785" s="72">
        <v>2009280</v>
      </c>
      <c r="M785" s="72">
        <v>4.0279999999999996</v>
      </c>
      <c r="N785" s="72">
        <f>Main_Issuance[[#This Row],[LC Amt(FCY)]]*Main_Issuance[[#This Row],[Rate]]</f>
        <v>8093379.8399999989</v>
      </c>
      <c r="O785" s="56">
        <v>45509</v>
      </c>
      <c r="P785" s="56">
        <v>45509</v>
      </c>
      <c r="Q785" s="56" t="s">
        <v>27</v>
      </c>
      <c r="R785" s="69"/>
      <c r="S785" s="71"/>
      <c r="T785" s="71"/>
      <c r="U785" s="71"/>
      <c r="V785" s="68">
        <v>0</v>
      </c>
      <c r="W785" s="78"/>
      <c r="X785" s="56" t="str">
        <f ca="1">IF(AND((Main_Issuance[[#This Row],[Expiry Date]]+31)&gt;TODAY(),Main_Issuance[[#This Row],[Status]]&lt;&gt;"Cancelled"),"Active","Cancelled")</f>
        <v>Cancelled</v>
      </c>
      <c r="Y785" s="407"/>
      <c r="Z785" s="408"/>
      <c r="AA785" s="408" t="s">
        <v>378</v>
      </c>
      <c r="AB785" s="83" cm="1">
        <f t="array" ref="AB785">Iss_Tariff(Main_Issuance[[#This Row],[Bank]],Main_Issuance[[#This Row],[LC Amt(SAR)]],Main_Issuance[[#This Row],[Issue Date.]],Main_Issuance[[#This Row],[Expiry Date]],Main_Issuance[[#This Row],[Calculate]])</f>
        <v>0</v>
      </c>
      <c r="AC785" s="83"/>
    </row>
    <row r="786" spans="1:29" ht="15.75" hidden="1" x14ac:dyDescent="0.25">
      <c r="A786" s="70" t="s">
        <v>99</v>
      </c>
      <c r="B786" s="56">
        <v>45477</v>
      </c>
      <c r="C786" s="56"/>
      <c r="D786" s="69" t="s">
        <v>20</v>
      </c>
      <c r="E786" s="69" t="s">
        <v>95</v>
      </c>
      <c r="F786" s="69" t="s">
        <v>96</v>
      </c>
      <c r="G786" s="69" t="s">
        <v>97</v>
      </c>
      <c r="H786" s="65" t="s">
        <v>72</v>
      </c>
      <c r="I786" s="65" t="s">
        <v>98</v>
      </c>
      <c r="J786" s="65"/>
      <c r="K786" s="69" t="s">
        <v>67</v>
      </c>
      <c r="L786" s="72">
        <v>4259713.8498969609</v>
      </c>
      <c r="M786" s="72">
        <v>1</v>
      </c>
      <c r="N786" s="72">
        <f>Main_Issuance[[#This Row],[LC Amt(FCY)]]*Main_Issuance[[#This Row],[Rate]]</f>
        <v>4259713.8498969609</v>
      </c>
      <c r="O786" s="56">
        <v>45519</v>
      </c>
      <c r="P786" s="56">
        <v>45519</v>
      </c>
      <c r="Q786" s="56" t="s">
        <v>27</v>
      </c>
      <c r="R786" s="69"/>
      <c r="S786" s="71"/>
      <c r="T786" s="71"/>
      <c r="U786" s="71"/>
      <c r="V786" s="68">
        <v>0</v>
      </c>
      <c r="W786" s="78"/>
      <c r="X786" s="56" t="str">
        <f ca="1">IF(AND((Main_Issuance[[#This Row],[Expiry Date]]+31)&gt;TODAY(),Main_Issuance[[#This Row],[Status]]&lt;&gt;"Cancelled"),"Active","Cancelled")</f>
        <v>Cancelled</v>
      </c>
      <c r="Y786" s="407"/>
      <c r="Z786" s="408"/>
      <c r="AA786" s="408" t="s">
        <v>378</v>
      </c>
      <c r="AB786" s="83" cm="1">
        <f t="array" ref="AB786">Iss_Tariff(Main_Issuance[[#This Row],[Bank]],Main_Issuance[[#This Row],[LC Amt(SAR)]],Main_Issuance[[#This Row],[Issue Date.]],Main_Issuance[[#This Row],[Expiry Date]],Main_Issuance[[#This Row],[Calculate]])</f>
        <v>0</v>
      </c>
      <c r="AC786" s="83"/>
    </row>
    <row r="787" spans="1:29" ht="15.75" hidden="1" x14ac:dyDescent="0.25">
      <c r="A787" s="70" t="s">
        <v>209</v>
      </c>
      <c r="B787" s="56">
        <v>45285</v>
      </c>
      <c r="C787" s="56" t="s">
        <v>509</v>
      </c>
      <c r="D787" s="69" t="s">
        <v>20</v>
      </c>
      <c r="E787" s="69" t="s">
        <v>62</v>
      </c>
      <c r="F787" s="69" t="s">
        <v>63</v>
      </c>
      <c r="G787" s="69" t="s">
        <v>97</v>
      </c>
      <c r="H787" s="65" t="s">
        <v>72</v>
      </c>
      <c r="I787" s="65" t="s">
        <v>77</v>
      </c>
      <c r="J787" s="65">
        <v>1020051</v>
      </c>
      <c r="K787" s="69" t="s">
        <v>67</v>
      </c>
      <c r="L787" s="72">
        <v>1004640</v>
      </c>
      <c r="M787" s="72">
        <v>4.12</v>
      </c>
      <c r="N787" s="72">
        <f>Main_Issuance[[#This Row],[LC Amt(FCY)]]*Main_Issuance[[#This Row],[Rate]]</f>
        <v>4139116.8000000003</v>
      </c>
      <c r="O787" s="56">
        <v>45361</v>
      </c>
      <c r="P787" s="56">
        <v>45361</v>
      </c>
      <c r="Q787" s="56" t="s">
        <v>27</v>
      </c>
      <c r="R787" s="69"/>
      <c r="S787" s="71"/>
      <c r="T787" s="71"/>
      <c r="U787" s="71"/>
      <c r="V787" s="68">
        <v>0</v>
      </c>
      <c r="W787" s="78"/>
      <c r="X787" s="56" t="str">
        <f ca="1">IF(AND((Main_Issuance[[#This Row],[Expiry Date]]+31)&gt;TODAY(),Main_Issuance[[#This Row],[Status]]&lt;&gt;"Cancelled"),"Active","Cancelled")</f>
        <v>Cancelled</v>
      </c>
      <c r="Y787" s="407"/>
      <c r="Z787" s="408"/>
      <c r="AA787" s="408" t="s">
        <v>378</v>
      </c>
      <c r="AB787" s="83" cm="1">
        <f t="array" ref="AB787">Iss_Tariff(Main_Issuance[[#This Row],[Bank]],Main_Issuance[[#This Row],[LC Amt(SAR)]],Main_Issuance[[#This Row],[Issue Date.]],Main_Issuance[[#This Row],[Expiry Date]],Main_Issuance[[#This Row],[Calculate]])</f>
        <v>0</v>
      </c>
      <c r="AC787" s="83"/>
    </row>
    <row r="788" spans="1:29" ht="15.75" hidden="1" x14ac:dyDescent="0.25">
      <c r="A788" s="70" t="s">
        <v>210</v>
      </c>
      <c r="B788" s="56">
        <v>45285</v>
      </c>
      <c r="C788" s="56" t="s">
        <v>509</v>
      </c>
      <c r="D788" s="69" t="s">
        <v>20</v>
      </c>
      <c r="E788" s="69" t="s">
        <v>62</v>
      </c>
      <c r="F788" s="69" t="s">
        <v>63</v>
      </c>
      <c r="G788" s="69" t="s">
        <v>97</v>
      </c>
      <c r="H788" s="65" t="s">
        <v>72</v>
      </c>
      <c r="I788" s="65" t="s">
        <v>77</v>
      </c>
      <c r="J788" s="65">
        <v>1020051</v>
      </c>
      <c r="K788" s="69" t="s">
        <v>67</v>
      </c>
      <c r="L788" s="72">
        <v>1004640</v>
      </c>
      <c r="M788" s="72">
        <v>4.12</v>
      </c>
      <c r="N788" s="72">
        <f>Main_Issuance[[#This Row],[LC Amt(FCY)]]*Main_Issuance[[#This Row],[Rate]]</f>
        <v>4139116.8000000003</v>
      </c>
      <c r="O788" s="56">
        <v>45366</v>
      </c>
      <c r="P788" s="56">
        <v>45366</v>
      </c>
      <c r="Q788" s="56" t="s">
        <v>27</v>
      </c>
      <c r="R788" s="69"/>
      <c r="S788" s="71"/>
      <c r="T788" s="71"/>
      <c r="U788" s="71"/>
      <c r="V788" s="68">
        <v>0</v>
      </c>
      <c r="W788" s="78"/>
      <c r="X788" s="56" t="str">
        <f ca="1">IF(AND((Main_Issuance[[#This Row],[Expiry Date]]+31)&gt;TODAY(),Main_Issuance[[#This Row],[Status]]&lt;&gt;"Cancelled"),"Active","Cancelled")</f>
        <v>Cancelled</v>
      </c>
      <c r="Y788" s="407"/>
      <c r="Z788" s="408"/>
      <c r="AA788" s="408" t="s">
        <v>378</v>
      </c>
      <c r="AB788" s="83" cm="1">
        <f t="array" ref="AB788">Iss_Tariff(Main_Issuance[[#This Row],[Bank]],Main_Issuance[[#This Row],[LC Amt(SAR)]],Main_Issuance[[#This Row],[Issue Date.]],Main_Issuance[[#This Row],[Expiry Date]],Main_Issuance[[#This Row],[Calculate]])</f>
        <v>0</v>
      </c>
      <c r="AC788" s="83"/>
    </row>
    <row r="789" spans="1:29" ht="15.75" hidden="1" x14ac:dyDescent="0.25">
      <c r="A789" s="75" t="s">
        <v>1896</v>
      </c>
      <c r="B789" s="76">
        <v>45928</v>
      </c>
      <c r="C789" s="76" t="s">
        <v>509</v>
      </c>
      <c r="D789" s="78" t="s">
        <v>20</v>
      </c>
      <c r="E789" s="78" t="s">
        <v>21</v>
      </c>
      <c r="F789" s="78" t="s">
        <v>22</v>
      </c>
      <c r="G789" s="78" t="s">
        <v>1883</v>
      </c>
      <c r="H789" s="78" t="s">
        <v>72</v>
      </c>
      <c r="I789" s="78" t="s">
        <v>511</v>
      </c>
      <c r="J789" s="79">
        <v>1020107</v>
      </c>
      <c r="K789" s="78" t="s">
        <v>26</v>
      </c>
      <c r="L789" s="80">
        <f>4312500+3358000</f>
        <v>7670500</v>
      </c>
      <c r="M789" s="81">
        <v>1</v>
      </c>
      <c r="N789" s="81">
        <f>Main_Issuance[[#This Row],[LC Amt(FCY)]]*Main_Issuance[[#This Row],[Rate]]</f>
        <v>7670500</v>
      </c>
      <c r="O789" s="76">
        <v>46173</v>
      </c>
      <c r="P789" s="76">
        <v>46173</v>
      </c>
      <c r="Q789" s="76" t="s">
        <v>27</v>
      </c>
      <c r="R789" s="78" t="s">
        <v>117</v>
      </c>
      <c r="S789" s="81"/>
      <c r="T789" s="81"/>
      <c r="U789" s="81"/>
      <c r="V789" s="83">
        <v>0</v>
      </c>
      <c r="W789" s="78"/>
      <c r="X789" s="76" t="str">
        <f ca="1">IF(AND((Main_Issuance[[#This Row],[Expiry Date]]+31)&gt;TODAY(),Main_Issuance[[#This Row],[Status]]&lt;&gt;"Cancelled"),"Active","Cancelled")</f>
        <v>Active</v>
      </c>
      <c r="Y789" s="414"/>
      <c r="Z789" s="408"/>
      <c r="AA789" s="408" t="s">
        <v>857</v>
      </c>
      <c r="AB789" s="83" cm="1">
        <f t="array" ref="AB789">Iss_Tariff(Main_Issuance[[#This Row],[Bank]],Main_Issuance[[#This Row],[LC Amt(SAR)]],Main_Issuance[[#This Row],[Issue Date.]],Main_Issuance[[#This Row],[Expiry Date]],Main_Issuance[[#This Row],[Calculate]])</f>
        <v>39971.699999999997</v>
      </c>
      <c r="AC789" s="83"/>
    </row>
    <row r="790" spans="1:29" ht="15.75" hidden="1" x14ac:dyDescent="0.25">
      <c r="A790" s="75" t="s">
        <v>1438</v>
      </c>
      <c r="B790" s="76">
        <v>45810</v>
      </c>
      <c r="C790" s="76" t="s">
        <v>441</v>
      </c>
      <c r="D790" s="78" t="s">
        <v>20</v>
      </c>
      <c r="E790" s="78" t="s">
        <v>366</v>
      </c>
      <c r="F790" s="78" t="s">
        <v>710</v>
      </c>
      <c r="G790" s="78" t="s">
        <v>1380</v>
      </c>
      <c r="H790" s="78" t="s">
        <v>24</v>
      </c>
      <c r="I790" s="78" t="s">
        <v>710</v>
      </c>
      <c r="J790" s="79">
        <v>1020088</v>
      </c>
      <c r="K790" s="78" t="s">
        <v>26</v>
      </c>
      <c r="L790" s="72">
        <v>524686.5</v>
      </c>
      <c r="M790" s="72">
        <v>1</v>
      </c>
      <c r="N790" s="72">
        <f>Main_Issuance[[#This Row],[LC Amt(FCY)]]*Main_Issuance[[#This Row],[Rate]]</f>
        <v>524686.5</v>
      </c>
      <c r="O790" s="76">
        <v>45900</v>
      </c>
      <c r="P790" s="76">
        <v>45900</v>
      </c>
      <c r="Q790" s="76" t="s">
        <v>27</v>
      </c>
      <c r="R790" s="78" t="s">
        <v>621</v>
      </c>
      <c r="S790" s="81"/>
      <c r="T790" s="81"/>
      <c r="U790" s="81"/>
      <c r="V790" s="83">
        <v>0</v>
      </c>
      <c r="W790" s="78"/>
      <c r="X790" s="76" t="str">
        <f ca="1">IF(AND((Main_Issuance[[#This Row],[Expiry Date]]+31)&gt;TODAY(),Main_Issuance[[#This Row],[Status]]&lt;&gt;"Cancelled"),"Active","Cancelled")</f>
        <v>Cancelled</v>
      </c>
      <c r="Y790" s="407"/>
      <c r="Z790" s="408"/>
      <c r="AA790" s="408" t="s">
        <v>378</v>
      </c>
      <c r="AB790" s="83" cm="1">
        <f t="array" ref="AB790">Iss_Tariff(Main_Issuance[[#This Row],[Bank]],Main_Issuance[[#This Row],[LC Amt(SAR)]],Main_Issuance[[#This Row],[Issue Date.]],Main_Issuance[[#This Row],[Expiry Date]],Main_Issuance[[#This Row],[Calculate]])</f>
        <v>0</v>
      </c>
      <c r="AC790" s="83"/>
    </row>
    <row r="791" spans="1:29" ht="15.75" hidden="1" x14ac:dyDescent="0.25">
      <c r="A791" s="70" t="s">
        <v>145</v>
      </c>
      <c r="B791" s="56">
        <v>45061</v>
      </c>
      <c r="C791" s="56" t="s">
        <v>1182</v>
      </c>
      <c r="D791" s="69" t="s">
        <v>20</v>
      </c>
      <c r="E791" s="69" t="s">
        <v>21</v>
      </c>
      <c r="F791" s="69" t="s">
        <v>22</v>
      </c>
      <c r="G791" s="69" t="s">
        <v>146</v>
      </c>
      <c r="H791" s="65" t="s">
        <v>24</v>
      </c>
      <c r="I791" s="65" t="s">
        <v>25</v>
      </c>
      <c r="J791" s="65">
        <v>1020052</v>
      </c>
      <c r="K791" s="69" t="s">
        <v>26</v>
      </c>
      <c r="L791" s="72">
        <v>3443026.15</v>
      </c>
      <c r="M791" s="72">
        <v>1</v>
      </c>
      <c r="N791" s="72">
        <f>Main_Issuance[[#This Row],[LC Amt(FCY)]]*Main_Issuance[[#This Row],[Rate]]</f>
        <v>3443026.15</v>
      </c>
      <c r="O791" s="56">
        <v>45199</v>
      </c>
      <c r="P791" s="56">
        <v>45199</v>
      </c>
      <c r="Q791" s="56" t="s">
        <v>27</v>
      </c>
      <c r="R791" s="69"/>
      <c r="S791" s="71"/>
      <c r="T791" s="71"/>
      <c r="U791" s="71"/>
      <c r="V791" s="68">
        <v>0</v>
      </c>
      <c r="W791" s="78"/>
      <c r="X791" s="56" t="str">
        <f ca="1">IF(AND((Main_Issuance[[#This Row],[Expiry Date]]+31)&gt;TODAY(),Main_Issuance[[#This Row],[Status]]&lt;&gt;"Cancelled"),"Active","Cancelled")</f>
        <v>Cancelled</v>
      </c>
      <c r="Y791" s="407"/>
      <c r="Z791" s="408"/>
      <c r="AA791" s="408" t="s">
        <v>378</v>
      </c>
      <c r="AB791" s="83" cm="1">
        <f t="array" ref="AB791">Iss_Tariff(Main_Issuance[[#This Row],[Bank]],Main_Issuance[[#This Row],[LC Amt(SAR)]],Main_Issuance[[#This Row],[Issue Date.]],Main_Issuance[[#This Row],[Expiry Date]],Main_Issuance[[#This Row],[Calculate]])</f>
        <v>0</v>
      </c>
      <c r="AC791" s="83"/>
    </row>
    <row r="792" spans="1:29" ht="15.75" hidden="1" x14ac:dyDescent="0.25">
      <c r="A792" s="75" t="s">
        <v>1151</v>
      </c>
      <c r="B792" s="76">
        <v>45756</v>
      </c>
      <c r="C792" s="76" t="s">
        <v>441</v>
      </c>
      <c r="D792" s="115" t="s">
        <v>20</v>
      </c>
      <c r="E792" s="78" t="s">
        <v>612</v>
      </c>
      <c r="F792" s="78" t="s">
        <v>613</v>
      </c>
      <c r="G792" s="78" t="s">
        <v>1104</v>
      </c>
      <c r="H792" s="78" t="s">
        <v>24</v>
      </c>
      <c r="I792" s="78" t="s">
        <v>613</v>
      </c>
      <c r="J792" s="78">
        <v>1020106</v>
      </c>
      <c r="K792" s="78" t="s">
        <v>26</v>
      </c>
      <c r="L792" s="72">
        <v>1033453.25</v>
      </c>
      <c r="M792" s="72">
        <v>1</v>
      </c>
      <c r="N792" s="72">
        <f>Main_Issuance[[#This Row],[LC Amt(FCY)]]*Main_Issuance[[#This Row],[Rate]]</f>
        <v>1033453.25</v>
      </c>
      <c r="O792" s="58">
        <v>46203</v>
      </c>
      <c r="P792" s="58">
        <v>46203</v>
      </c>
      <c r="Q792" s="76" t="s">
        <v>27</v>
      </c>
      <c r="R792" s="78" t="s">
        <v>311</v>
      </c>
      <c r="S792" s="81"/>
      <c r="T792" s="81"/>
      <c r="U792" s="81"/>
      <c r="V792" s="83">
        <v>0</v>
      </c>
      <c r="W792" s="115"/>
      <c r="X792" s="76" t="str">
        <f ca="1">IF(AND((Main_Issuance[[#This Row],[Expiry Date]]+31)&gt;TODAY(),Main_Issuance[[#This Row],[Status]]&lt;&gt;"Cancelled"),"Active","Cancelled")</f>
        <v>Active</v>
      </c>
      <c r="Y792" s="407"/>
      <c r="Z792" s="408"/>
      <c r="AA792" s="408" t="s">
        <v>857</v>
      </c>
      <c r="AB792" s="83" cm="1">
        <f t="array" ref="AB792">Iss_Tariff(Main_Issuance[[#This Row],[Bank]],Main_Issuance[[#This Row],[LC Amt(SAR)]],Main_Issuance[[#This Row],[Issue Date.]],Main_Issuance[[#This Row],[Expiry Date]],Main_Issuance[[#This Row],[Calculate]])</f>
        <v>21641.85</v>
      </c>
      <c r="AC792" s="83"/>
    </row>
    <row r="793" spans="1:29" ht="15.75" hidden="1" x14ac:dyDescent="0.25">
      <c r="A793" s="57" t="s">
        <v>125</v>
      </c>
      <c r="B793" s="56">
        <v>45061</v>
      </c>
      <c r="C793" s="56" t="s">
        <v>1182</v>
      </c>
      <c r="D793" s="19" t="s">
        <v>20</v>
      </c>
      <c r="E793" s="19" t="s">
        <v>21</v>
      </c>
      <c r="F793" s="69" t="s">
        <v>22</v>
      </c>
      <c r="G793" s="69" t="s">
        <v>126</v>
      </c>
      <c r="H793" s="59" t="s">
        <v>24</v>
      </c>
      <c r="I793" s="59" t="s">
        <v>90</v>
      </c>
      <c r="J793" s="65">
        <v>1020001</v>
      </c>
      <c r="K793" s="19" t="s">
        <v>26</v>
      </c>
      <c r="L793" s="60">
        <v>2101567.5</v>
      </c>
      <c r="M793" s="72">
        <v>1</v>
      </c>
      <c r="N793" s="60">
        <f>Main_Issuance[[#This Row],[LC Amt(FCY)]]*Main_Issuance[[#This Row],[Rate]]</f>
        <v>2101567.5</v>
      </c>
      <c r="O793" s="58">
        <v>45291</v>
      </c>
      <c r="P793" s="58">
        <v>45291</v>
      </c>
      <c r="Q793" s="58" t="s">
        <v>27</v>
      </c>
      <c r="R793" s="19" t="s">
        <v>127</v>
      </c>
      <c r="S793" s="71"/>
      <c r="T793" s="71"/>
      <c r="U793" s="71"/>
      <c r="V793" s="68">
        <v>0</v>
      </c>
      <c r="W793" s="115"/>
      <c r="X793" s="58" t="str">
        <f ca="1">IF(AND((Main_Issuance[[#This Row],[Expiry Date]]+31)&gt;TODAY(),Main_Issuance[[#This Row],[Status]]&lt;&gt;"Cancelled"),"Active","Cancelled")</f>
        <v>Cancelled</v>
      </c>
      <c r="Y793" s="409"/>
      <c r="Z793" s="408"/>
      <c r="AA793" s="408" t="s">
        <v>378</v>
      </c>
      <c r="AB793" s="83" cm="1">
        <f t="array" ref="AB793">Iss_Tariff(Main_Issuance[[#This Row],[Bank]],Main_Issuance[[#This Row],[LC Amt(SAR)]],Main_Issuance[[#This Row],[Issue Date.]],Main_Issuance[[#This Row],[Expiry Date]],Main_Issuance[[#This Row],[Calculate]])</f>
        <v>0</v>
      </c>
      <c r="AC793" s="83"/>
    </row>
    <row r="794" spans="1:29" ht="15.75" hidden="1" x14ac:dyDescent="0.25">
      <c r="A794" s="114" t="s">
        <v>1487</v>
      </c>
      <c r="B794" s="76">
        <v>45831</v>
      </c>
      <c r="C794" s="76" t="s">
        <v>441</v>
      </c>
      <c r="D794" s="19" t="s">
        <v>20</v>
      </c>
      <c r="E794" s="115" t="s">
        <v>21</v>
      </c>
      <c r="F794" s="78" t="s">
        <v>22</v>
      </c>
      <c r="G794" s="78" t="s">
        <v>1372</v>
      </c>
      <c r="H794" s="115" t="s">
        <v>24</v>
      </c>
      <c r="I794" s="115" t="s">
        <v>407</v>
      </c>
      <c r="J794" s="79">
        <v>1020100</v>
      </c>
      <c r="K794" s="115" t="s">
        <v>26</v>
      </c>
      <c r="L794" s="60">
        <v>578910</v>
      </c>
      <c r="M794" s="72">
        <v>1</v>
      </c>
      <c r="N794" s="60">
        <f>Main_Issuance[[#This Row],[LC Amt(FCY)]]*Main_Issuance[[#This Row],[Rate]]</f>
        <v>578910</v>
      </c>
      <c r="O794" s="77">
        <v>45961</v>
      </c>
      <c r="P794" s="77">
        <v>45961</v>
      </c>
      <c r="Q794" s="77" t="s">
        <v>27</v>
      </c>
      <c r="R794" s="115" t="s">
        <v>621</v>
      </c>
      <c r="S794" s="81"/>
      <c r="T794" s="81"/>
      <c r="U794" s="81"/>
      <c r="V794" s="83">
        <v>0</v>
      </c>
      <c r="W794" s="115" t="s">
        <v>1846</v>
      </c>
      <c r="X794" s="77" t="str">
        <f ca="1">IF(AND((Main_Issuance[[#This Row],[Expiry Date]]+31)&gt;TODAY(),Main_Issuance[[#This Row],[Status]]&lt;&gt;"Cancelled"),"Active","Cancelled")</f>
        <v>Cancelled</v>
      </c>
      <c r="Y794" s="409"/>
      <c r="Z794" s="408"/>
      <c r="AA794" s="408" t="s">
        <v>378</v>
      </c>
      <c r="AB794" s="83" cm="1">
        <f t="array" ref="AB794">Iss_Tariff(Main_Issuance[[#This Row],[Bank]],Main_Issuance[[#This Row],[LC Amt(SAR)]],Main_Issuance[[#This Row],[Issue Date.]],Main_Issuance[[#This Row],[Expiry Date]],Main_Issuance[[#This Row],[Calculate]])</f>
        <v>0</v>
      </c>
      <c r="AC794" s="83"/>
    </row>
    <row r="795" spans="1:29" ht="15.75" hidden="1" x14ac:dyDescent="0.25">
      <c r="A795" s="114" t="s">
        <v>3324</v>
      </c>
      <c r="B795" s="76">
        <v>46023</v>
      </c>
      <c r="C795" s="76" t="s">
        <v>1537</v>
      </c>
      <c r="D795" s="115" t="s">
        <v>20</v>
      </c>
      <c r="E795" s="115" t="s">
        <v>62</v>
      </c>
      <c r="F795" s="78" t="s">
        <v>483</v>
      </c>
      <c r="G795" s="78" t="s">
        <v>1372</v>
      </c>
      <c r="H795" s="113" t="s">
        <v>24</v>
      </c>
      <c r="I795" s="115" t="s">
        <v>483</v>
      </c>
      <c r="J795" s="79">
        <v>1020096</v>
      </c>
      <c r="K795" s="115" t="s">
        <v>26</v>
      </c>
      <c r="L795" s="119">
        <v>1350790.07</v>
      </c>
      <c r="M795" s="81">
        <v>1</v>
      </c>
      <c r="N795" s="82">
        <f>Main_Issuance[[#This Row],[LC Amt(FCY)]]*Main_Issuance[[#This Row],[Rate]]</f>
        <v>1350790.07</v>
      </c>
      <c r="O795" s="77">
        <v>46296</v>
      </c>
      <c r="P795" s="77">
        <v>46296</v>
      </c>
      <c r="Q795" s="77" t="s">
        <v>27</v>
      </c>
      <c r="R795" s="115" t="s">
        <v>3229</v>
      </c>
      <c r="S795" s="81"/>
      <c r="T795" s="81"/>
      <c r="U795" s="81"/>
      <c r="V795" s="83">
        <v>0</v>
      </c>
      <c r="W795" s="115"/>
      <c r="X795" s="77" t="str">
        <f ca="1">IF(AND((Main_Issuance[[#This Row],[Expiry Date]]+31)&gt;TODAY(),Main_Issuance[[#This Row],[Status]]&lt;&gt;"Cancelled"),"Active","Cancelled")</f>
        <v>Active</v>
      </c>
      <c r="Y795" s="409"/>
      <c r="Z795" s="408"/>
      <c r="AA795" s="408" t="s">
        <v>857</v>
      </c>
      <c r="AB795" s="83" cm="1">
        <f t="array" ref="AB795">Iss_Tariff(Main_Issuance[[#This Row],[Bank]],Main_Issuance[[#This Row],[LC Amt(SAR)]],Main_Issuance[[#This Row],[Issue Date.]],Main_Issuance[[#This Row],[Expiry Date]],Main_Issuance[[#This Row],[Calculate]])</f>
        <v>20649.400000000001</v>
      </c>
      <c r="AC795" s="83"/>
    </row>
    <row r="796" spans="1:29" ht="15.75" hidden="1" x14ac:dyDescent="0.25">
      <c r="A796" s="114" t="s">
        <v>3950</v>
      </c>
      <c r="B796" s="76">
        <v>46057</v>
      </c>
      <c r="C796" s="76" t="s">
        <v>1537</v>
      </c>
      <c r="D796" s="115" t="s">
        <v>20</v>
      </c>
      <c r="E796" s="115" t="s">
        <v>62</v>
      </c>
      <c r="F796" s="78" t="s">
        <v>483</v>
      </c>
      <c r="G796" s="78" t="s">
        <v>3859</v>
      </c>
      <c r="H796" s="113" t="s">
        <v>24</v>
      </c>
      <c r="I796" s="115" t="s">
        <v>483</v>
      </c>
      <c r="J796" s="79">
        <v>1020096</v>
      </c>
      <c r="K796" s="115" t="s">
        <v>26</v>
      </c>
      <c r="L796" s="119">
        <v>750000</v>
      </c>
      <c r="M796" s="81">
        <v>1</v>
      </c>
      <c r="N796" s="82">
        <f>Main_Issuance[[#This Row],[LC Amt(FCY)]]*Main_Issuance[[#This Row],[Rate]]</f>
        <v>750000</v>
      </c>
      <c r="O796" s="77">
        <v>46142</v>
      </c>
      <c r="P796" s="77">
        <v>46142</v>
      </c>
      <c r="Q796" s="77" t="s">
        <v>27</v>
      </c>
      <c r="R796" s="115" t="s">
        <v>3229</v>
      </c>
      <c r="S796" s="81"/>
      <c r="T796" s="81"/>
      <c r="U796" s="81"/>
      <c r="V796" s="83">
        <v>0</v>
      </c>
      <c r="W796" s="115"/>
      <c r="X796" s="77" t="str">
        <f ca="1">IF(AND((Main_Issuance[[#This Row],[Expiry Date]]+31)&gt;TODAY(),Main_Issuance[[#This Row],[Status]]&lt;&gt;"Cancelled"),"Active","Cancelled")</f>
        <v>Cancelled</v>
      </c>
      <c r="Y796" s="409"/>
      <c r="Z796" s="408"/>
      <c r="AA796" s="408" t="s">
        <v>857</v>
      </c>
      <c r="AB796" s="83" cm="1">
        <f t="array" ref="AB796">Iss_Tariff(Main_Issuance[[#This Row],[Bank]],Main_Issuance[[#This Row],[LC Amt(SAR)]],Main_Issuance[[#This Row],[Issue Date.]],Main_Issuance[[#This Row],[Expiry Date]],Main_Issuance[[#This Row],[Calculate]])</f>
        <v>4219.3500000000004</v>
      </c>
      <c r="AC796" s="83"/>
    </row>
    <row r="797" spans="1:29" ht="15.75" hidden="1" x14ac:dyDescent="0.25">
      <c r="A797" s="114"/>
      <c r="B797" s="423">
        <v>46124</v>
      </c>
      <c r="C797" s="423" t="s">
        <v>4206</v>
      </c>
      <c r="D797" s="115" t="s">
        <v>830</v>
      </c>
      <c r="E797" s="115" t="s">
        <v>62</v>
      </c>
      <c r="F797" s="78" t="s">
        <v>483</v>
      </c>
      <c r="G797" s="78" t="s">
        <v>4682</v>
      </c>
      <c r="H797" s="113" t="s">
        <v>4207</v>
      </c>
      <c r="I797" s="115" t="s">
        <v>483</v>
      </c>
      <c r="J797" s="78">
        <v>1020096</v>
      </c>
      <c r="K797" s="115" t="s">
        <v>26</v>
      </c>
      <c r="L797" s="119">
        <v>270865.19</v>
      </c>
      <c r="M797" s="81">
        <v>1</v>
      </c>
      <c r="N797" s="82">
        <f>Main_Issuance[[#This Row],[LC Amt(FCY)]]*Main_Issuance[[#This Row],[Rate]]</f>
        <v>270865.19</v>
      </c>
      <c r="O797" s="424">
        <v>46265</v>
      </c>
      <c r="P797" s="424">
        <v>46265</v>
      </c>
      <c r="Q797" s="424" t="s">
        <v>27</v>
      </c>
      <c r="R797" s="115" t="s">
        <v>621</v>
      </c>
      <c r="S797" s="81"/>
      <c r="T797" s="81"/>
      <c r="U797" s="81"/>
      <c r="V797" s="83">
        <v>0</v>
      </c>
      <c r="W797" s="115" t="s">
        <v>5704</v>
      </c>
      <c r="X797" s="424" t="str">
        <f ca="1">IF(AND((Main_Issuance[[#This Row],[Expiry Date]]+31)&gt;TODAY(),Main_Issuance[[#This Row],[Status]]&lt;&gt;"Cancelled"),"Active","Cancelled")</f>
        <v>Active</v>
      </c>
      <c r="Y797" s="96"/>
      <c r="Z797" s="424"/>
      <c r="AA797" s="443" t="s">
        <v>857</v>
      </c>
      <c r="AB797" s="83" cm="1">
        <f t="array" ref="AB797">Iss_Tariff(Main_Issuance[[#This Row],[Bank]],Main_Issuance[[#This Row],[LC Amt(SAR)]],Main_Issuance[[#This Row],[Issue Date.]],Main_Issuance[[#This Row],[Expiry Date]],Main_Issuance[[#This Row],[Calculate]])</f>
        <v>3289</v>
      </c>
      <c r="AC797" s="83"/>
    </row>
    <row r="798" spans="1:29" ht="15.75" hidden="1" x14ac:dyDescent="0.25">
      <c r="A798" s="114" t="s">
        <v>1127</v>
      </c>
      <c r="B798" s="76">
        <v>45754</v>
      </c>
      <c r="C798" s="76" t="s">
        <v>1878</v>
      </c>
      <c r="D798" s="115" t="s">
        <v>20</v>
      </c>
      <c r="E798" s="115" t="s">
        <v>366</v>
      </c>
      <c r="F798" s="78" t="s">
        <v>367</v>
      </c>
      <c r="G798" s="78" t="s">
        <v>729</v>
      </c>
      <c r="H798" s="115" t="s">
        <v>3220</v>
      </c>
      <c r="I798" s="115" t="s">
        <v>367</v>
      </c>
      <c r="J798" s="65">
        <v>1020091</v>
      </c>
      <c r="K798" s="115" t="s">
        <v>191</v>
      </c>
      <c r="L798" s="60">
        <f>3500000+1250000</f>
        <v>4750000</v>
      </c>
      <c r="M798" s="72">
        <v>1.026</v>
      </c>
      <c r="N798" s="60">
        <f>Main_Issuance[[#This Row],[LC Amt(FCY)]]*Main_Issuance[[#This Row],[Rate]]</f>
        <v>4873500</v>
      </c>
      <c r="O798" s="77">
        <v>45945</v>
      </c>
      <c r="P798" s="77">
        <v>45930</v>
      </c>
      <c r="Q798" s="77" t="s">
        <v>27</v>
      </c>
      <c r="R798" s="115" t="s">
        <v>425</v>
      </c>
      <c r="S798" s="81"/>
      <c r="T798" s="81"/>
      <c r="U798" s="81"/>
      <c r="V798" s="83">
        <v>0</v>
      </c>
      <c r="W798" s="115"/>
      <c r="X798" s="77" t="str">
        <f ca="1">IF(AND((Main_Issuance[[#This Row],[Expiry Date]]+31)&gt;TODAY(),Main_Issuance[[#This Row],[Status]]&lt;&gt;"Cancelled"),"Active","Cancelled")</f>
        <v>Cancelled</v>
      </c>
      <c r="Y798" s="409"/>
      <c r="Z798" s="408"/>
      <c r="AA798" s="408" t="s">
        <v>378</v>
      </c>
      <c r="AB798" s="83" cm="1">
        <f t="array" ref="AB798">Iss_Tariff(Main_Issuance[[#This Row],[Bank]],Main_Issuance[[#This Row],[LC Amt(SAR)]],Main_Issuance[[#This Row],[Issue Date.]],Main_Issuance[[#This Row],[Expiry Date]],Main_Issuance[[#This Row],[Calculate]])</f>
        <v>0</v>
      </c>
      <c r="AC798" s="83"/>
    </row>
    <row r="799" spans="1:29" ht="15.75" hidden="1" x14ac:dyDescent="0.25">
      <c r="A799" s="75" t="s">
        <v>1753</v>
      </c>
      <c r="B799" s="76">
        <v>45883</v>
      </c>
      <c r="C799" s="76" t="s">
        <v>1727</v>
      </c>
      <c r="D799" s="115" t="s">
        <v>20</v>
      </c>
      <c r="E799" s="78" t="s">
        <v>62</v>
      </c>
      <c r="F799" s="78" t="s">
        <v>70</v>
      </c>
      <c r="G799" s="78" t="s">
        <v>1719</v>
      </c>
      <c r="H799" s="79" t="s">
        <v>869</v>
      </c>
      <c r="I799" s="78" t="s">
        <v>1762</v>
      </c>
      <c r="J799" s="78"/>
      <c r="K799" s="115" t="s">
        <v>26</v>
      </c>
      <c r="L799" s="60">
        <v>500000</v>
      </c>
      <c r="M799" s="72">
        <v>1</v>
      </c>
      <c r="N799" s="72">
        <f>Main_Issuance[[#This Row],[LC Amt(FCY)]]*Main_Issuance[[#This Row],[Rate]]</f>
        <v>500000</v>
      </c>
      <c r="O799" s="77">
        <v>45930</v>
      </c>
      <c r="P799" s="77">
        <v>45915</v>
      </c>
      <c r="Q799" s="76" t="s">
        <v>70</v>
      </c>
      <c r="R799" s="115" t="s">
        <v>208</v>
      </c>
      <c r="S799" s="81"/>
      <c r="T799" s="81"/>
      <c r="U799" s="81"/>
      <c r="V799" s="83"/>
      <c r="W799" s="115"/>
      <c r="X799" s="76" t="str">
        <f ca="1">IF(AND((Main_Issuance[[#This Row],[Expiry Date]]+31)&gt;TODAY(),Main_Issuance[[#This Row],[Status]]&lt;&gt;"Cancelled"),"Active","Cancelled")</f>
        <v>Cancelled</v>
      </c>
      <c r="Y799" s="442"/>
      <c r="Z799" s="408"/>
      <c r="AA799" s="408" t="s">
        <v>378</v>
      </c>
      <c r="AB799" s="83" cm="1">
        <f t="array" ref="AB799">Iss_Tariff(Main_Issuance[[#This Row],[Bank]],Main_Issuance[[#This Row],[LC Amt(SAR)]],Main_Issuance[[#This Row],[Issue Date.]],Main_Issuance[[#This Row],[Expiry Date]],Main_Issuance[[#This Row],[Calculate]])</f>
        <v>0</v>
      </c>
      <c r="AC799" s="83"/>
    </row>
    <row r="800" spans="1:29" ht="15.75" hidden="1" x14ac:dyDescent="0.25">
      <c r="A800" s="75" t="s">
        <v>1813</v>
      </c>
      <c r="B800" s="76">
        <v>45895</v>
      </c>
      <c r="C800" s="77" t="s">
        <v>1181</v>
      </c>
      <c r="D800" s="78" t="s">
        <v>20</v>
      </c>
      <c r="E800" s="78" t="s">
        <v>366</v>
      </c>
      <c r="F800" s="78" t="s">
        <v>710</v>
      </c>
      <c r="G800" s="78" t="s">
        <v>1782</v>
      </c>
      <c r="H800" s="79" t="s">
        <v>1791</v>
      </c>
      <c r="I800" s="79" t="s">
        <v>81</v>
      </c>
      <c r="J800" s="79">
        <v>1020070</v>
      </c>
      <c r="K800" s="78" t="s">
        <v>26</v>
      </c>
      <c r="L800" s="72">
        <v>817725</v>
      </c>
      <c r="M800" s="72">
        <v>1</v>
      </c>
      <c r="N800" s="72">
        <f>Main_Issuance[[#This Row],[LC Amt(FCY)]]*Main_Issuance[[#This Row],[Rate]]</f>
        <v>817725</v>
      </c>
      <c r="O800" s="76">
        <v>45991</v>
      </c>
      <c r="P800" s="76">
        <v>45991</v>
      </c>
      <c r="Q800" s="76" t="s">
        <v>27</v>
      </c>
      <c r="R800" s="78" t="s">
        <v>408</v>
      </c>
      <c r="S800" s="81"/>
      <c r="T800" s="81"/>
      <c r="U800" s="81"/>
      <c r="V800" s="83">
        <v>0</v>
      </c>
      <c r="W800" s="78"/>
      <c r="X800" s="76" t="str">
        <f ca="1">IF(AND((Main_Issuance[[#This Row],[Expiry Date]]+31)&gt;TODAY(),Main_Issuance[[#This Row],[Status]]&lt;&gt;"Cancelled"),"Active","Cancelled")</f>
        <v>Cancelled</v>
      </c>
      <c r="Y800" s="407"/>
      <c r="Z800" s="408"/>
      <c r="AA800" s="408" t="s">
        <v>378</v>
      </c>
      <c r="AB800" s="83" cm="1">
        <f t="array" ref="AB800">Iss_Tariff(Main_Issuance[[#This Row],[Bank]],Main_Issuance[[#This Row],[LC Amt(SAR)]],Main_Issuance[[#This Row],[Issue Date.]],Main_Issuance[[#This Row],[Expiry Date]],Main_Issuance[[#This Row],[Calculate]])</f>
        <v>0</v>
      </c>
      <c r="AC800" s="83"/>
    </row>
    <row r="801" spans="1:29" ht="15.75" hidden="1" x14ac:dyDescent="0.25">
      <c r="A801" s="75" t="s">
        <v>4073</v>
      </c>
      <c r="B801" s="76">
        <v>46065</v>
      </c>
      <c r="C801" s="76" t="s">
        <v>1181</v>
      </c>
      <c r="D801" s="78" t="s">
        <v>20</v>
      </c>
      <c r="E801" s="78" t="s">
        <v>366</v>
      </c>
      <c r="F801" s="78" t="s">
        <v>710</v>
      </c>
      <c r="G801" s="78" t="s">
        <v>1782</v>
      </c>
      <c r="H801" s="79" t="s">
        <v>1791</v>
      </c>
      <c r="I801" s="79" t="s">
        <v>81</v>
      </c>
      <c r="J801" s="79">
        <v>1020070</v>
      </c>
      <c r="K801" s="78" t="s">
        <v>26</v>
      </c>
      <c r="L801" s="80">
        <v>817725</v>
      </c>
      <c r="M801" s="81">
        <v>1</v>
      </c>
      <c r="N801" s="81">
        <f>Main_Issuance[[#This Row],[LC Amt(FCY)]]*Main_Issuance[[#This Row],[Rate]]</f>
        <v>817725</v>
      </c>
      <c r="O801" s="76">
        <v>46142</v>
      </c>
      <c r="P801" s="76">
        <v>46127</v>
      </c>
      <c r="Q801" s="76" t="s">
        <v>27</v>
      </c>
      <c r="R801" s="78" t="s">
        <v>408</v>
      </c>
      <c r="S801" s="81"/>
      <c r="T801" s="81"/>
      <c r="U801" s="81"/>
      <c r="V801" s="83">
        <v>0</v>
      </c>
      <c r="W801" s="78"/>
      <c r="X801" s="76" t="str">
        <f ca="1">IF(AND((Main_Issuance[[#This Row],[Expiry Date]]+31)&gt;TODAY(),Main_Issuance[[#This Row],[Status]]&lt;&gt;"Cancelled"),"Active","Cancelled")</f>
        <v>Cancelled</v>
      </c>
      <c r="Y801" s="407"/>
      <c r="Z801" s="408"/>
      <c r="AA801" s="408" t="s">
        <v>857</v>
      </c>
      <c r="AB801" s="83" cm="1">
        <f t="array" ref="AB801">Iss_Tariff(Main_Issuance[[#This Row],[Bank]],Main_Issuance[[#This Row],[LC Amt(SAR)]],Main_Issuance[[#This Row],[Issue Date.]],Main_Issuance[[#This Row],[Expiry Date]],Main_Issuance[[#This Row],[Calculate]])</f>
        <v>4788.6000000000004</v>
      </c>
      <c r="AC801" s="83"/>
    </row>
    <row r="802" spans="1:29" ht="15.75" hidden="1" x14ac:dyDescent="0.25">
      <c r="A802" s="75" t="s">
        <v>1281</v>
      </c>
      <c r="B802" s="76">
        <v>45784</v>
      </c>
      <c r="C802" s="76" t="s">
        <v>441</v>
      </c>
      <c r="D802" s="78" t="s">
        <v>20</v>
      </c>
      <c r="E802" s="78" t="s">
        <v>373</v>
      </c>
      <c r="F802" s="123" t="s">
        <v>70</v>
      </c>
      <c r="G802" s="78" t="s">
        <v>1240</v>
      </c>
      <c r="H802" s="78" t="s">
        <v>24</v>
      </c>
      <c r="I802" s="78" t="s">
        <v>407</v>
      </c>
      <c r="J802" s="79">
        <v>1020100</v>
      </c>
      <c r="K802" s="78" t="s">
        <v>26</v>
      </c>
      <c r="L802" s="72">
        <v>200000</v>
      </c>
      <c r="M802" s="72">
        <v>1</v>
      </c>
      <c r="N802" s="72">
        <f>Main_Issuance[[#This Row],[LC Amt(FCY)]]*Main_Issuance[[#This Row],[Rate]]</f>
        <v>200000</v>
      </c>
      <c r="O802" s="76">
        <v>45869</v>
      </c>
      <c r="P802" s="76">
        <v>45869</v>
      </c>
      <c r="Q802" s="56" t="s">
        <v>70</v>
      </c>
      <c r="R802" s="78" t="s">
        <v>621</v>
      </c>
      <c r="S802" s="81"/>
      <c r="T802" s="81"/>
      <c r="U802" s="81"/>
      <c r="V802" s="83">
        <v>0</v>
      </c>
      <c r="W802" s="78"/>
      <c r="X802" s="76" t="str">
        <f ca="1">IF(AND((Main_Issuance[[#This Row],[Expiry Date]]+31)&gt;TODAY(),Main_Issuance[[#This Row],[Status]]&lt;&gt;"Cancelled"),"Active","Cancelled")</f>
        <v>Cancelled</v>
      </c>
      <c r="Y802" s="407"/>
      <c r="Z802" s="408"/>
      <c r="AA802" s="408" t="s">
        <v>378</v>
      </c>
      <c r="AB802" s="83" cm="1">
        <f t="array" ref="AB802">Iss_Tariff(Main_Issuance[[#This Row],[Bank]],Main_Issuance[[#This Row],[LC Amt(SAR)]],Main_Issuance[[#This Row],[Issue Date.]],Main_Issuance[[#This Row],[Expiry Date]],Main_Issuance[[#This Row],[Calculate]])</f>
        <v>0</v>
      </c>
      <c r="AC802" s="83"/>
    </row>
    <row r="803" spans="1:29" ht="15.75" hidden="1" x14ac:dyDescent="0.25">
      <c r="A803" s="70" t="s">
        <v>790</v>
      </c>
      <c r="B803" s="56">
        <v>45741</v>
      </c>
      <c r="C803" s="76" t="s">
        <v>1864</v>
      </c>
      <c r="D803" s="69" t="s">
        <v>20</v>
      </c>
      <c r="E803" s="69" t="s">
        <v>366</v>
      </c>
      <c r="F803" s="69" t="s">
        <v>710</v>
      </c>
      <c r="G803" s="69" t="s">
        <v>791</v>
      </c>
      <c r="H803" s="65" t="s">
        <v>3221</v>
      </c>
      <c r="I803" s="65" t="s">
        <v>81</v>
      </c>
      <c r="J803" s="65">
        <v>1020070</v>
      </c>
      <c r="K803" s="69" t="s">
        <v>191</v>
      </c>
      <c r="L803" s="72">
        <v>850000</v>
      </c>
      <c r="M803" s="72">
        <v>1.0264</v>
      </c>
      <c r="N803" s="72">
        <f>Main_Issuance[[#This Row],[LC Amt(FCY)]]*Main_Issuance[[#This Row],[Rate]]</f>
        <v>872440</v>
      </c>
      <c r="O803" s="56">
        <v>45853</v>
      </c>
      <c r="P803" s="56">
        <v>45853</v>
      </c>
      <c r="Q803" s="56" t="s">
        <v>27</v>
      </c>
      <c r="R803" s="78" t="s">
        <v>621</v>
      </c>
      <c r="S803" s="71"/>
      <c r="T803" s="71"/>
      <c r="U803" s="71"/>
      <c r="V803" s="68">
        <v>0</v>
      </c>
      <c r="W803" s="78"/>
      <c r="X803" s="56" t="str">
        <f ca="1">IF(AND((Main_Issuance[[#This Row],[Expiry Date]]+31)&gt;TODAY(),Main_Issuance[[#This Row],[Status]]&lt;&gt;"Cancelled"),"Active","Cancelled")</f>
        <v>Cancelled</v>
      </c>
      <c r="Y803" s="407"/>
      <c r="Z803" s="408"/>
      <c r="AA803" s="408" t="s">
        <v>378</v>
      </c>
      <c r="AB803" s="83" cm="1">
        <f t="array" ref="AB803">Iss_Tariff(Main_Issuance[[#This Row],[Bank]],Main_Issuance[[#This Row],[LC Amt(SAR)]],Main_Issuance[[#This Row],[Issue Date.]],Main_Issuance[[#This Row],[Expiry Date]],Main_Issuance[[#This Row],[Calculate]])</f>
        <v>0</v>
      </c>
      <c r="AC803" s="83"/>
    </row>
    <row r="804" spans="1:29" ht="15.75" hidden="1" x14ac:dyDescent="0.25">
      <c r="A804" s="114" t="s">
        <v>3146</v>
      </c>
      <c r="B804" s="76">
        <v>46009</v>
      </c>
      <c r="C804" s="76" t="s">
        <v>2928</v>
      </c>
      <c r="D804" s="78" t="s">
        <v>20</v>
      </c>
      <c r="E804" s="115" t="s">
        <v>21</v>
      </c>
      <c r="F804" s="78" t="s">
        <v>22</v>
      </c>
      <c r="G804" s="115" t="s">
        <v>2927</v>
      </c>
      <c r="H804" s="113" t="s">
        <v>3287</v>
      </c>
      <c r="I804" s="113" t="s">
        <v>22</v>
      </c>
      <c r="J804" s="79">
        <v>1020055</v>
      </c>
      <c r="K804" s="115" t="s">
        <v>26</v>
      </c>
      <c r="L804" s="80">
        <v>7259198.5</v>
      </c>
      <c r="M804" s="81">
        <v>1</v>
      </c>
      <c r="N804" s="82">
        <f>Main_Issuance[[#This Row],[LC Amt(FCY)]]*Main_Issuance[[#This Row],[Rate]]</f>
        <v>7259198.5</v>
      </c>
      <c r="O804" s="77">
        <v>46081</v>
      </c>
      <c r="P804" s="77">
        <v>46081</v>
      </c>
      <c r="Q804" s="77" t="s">
        <v>27</v>
      </c>
      <c r="R804" s="115" t="s">
        <v>311</v>
      </c>
      <c r="S804" s="81"/>
      <c r="T804" s="81"/>
      <c r="U804" s="81"/>
      <c r="V804" s="83">
        <v>0</v>
      </c>
      <c r="W804" s="78"/>
      <c r="X804" s="77" t="str">
        <f ca="1">IF(AND((Main_Issuance[[#This Row],[Expiry Date]]+31)&gt;TODAY(),Main_Issuance[[#This Row],[Status]]&lt;&gt;"Cancelled"),"Active","Cancelled")</f>
        <v>Cancelled</v>
      </c>
      <c r="Y804" s="409"/>
      <c r="Z804" s="408"/>
      <c r="AA804" s="408" t="s">
        <v>857</v>
      </c>
      <c r="AB804" s="83" cm="1">
        <f t="array" ref="AB804">Iss_Tariff(Main_Issuance[[#This Row],[Bank]],Main_Issuance[[#This Row],[LC Amt(SAR)]],Main_Issuance[[#This Row],[Issue Date.]],Main_Issuance[[#This Row],[Expiry Date]],Main_Issuance[[#This Row],[Calculate]])</f>
        <v>11815.1</v>
      </c>
      <c r="AC804" s="83"/>
    </row>
    <row r="805" spans="1:29" ht="15.75" hidden="1" x14ac:dyDescent="0.25">
      <c r="A805" s="187" t="s">
        <v>1818</v>
      </c>
      <c r="B805" s="76">
        <v>45895</v>
      </c>
      <c r="C805" s="76" t="s">
        <v>1181</v>
      </c>
      <c r="D805" s="78" t="s">
        <v>20</v>
      </c>
      <c r="E805" s="115" t="s">
        <v>366</v>
      </c>
      <c r="F805" s="78" t="s">
        <v>710</v>
      </c>
      <c r="G805" s="115" t="s">
        <v>1784</v>
      </c>
      <c r="H805" s="113" t="s">
        <v>72</v>
      </c>
      <c r="I805" s="113" t="s">
        <v>81</v>
      </c>
      <c r="J805" s="79">
        <v>1020070</v>
      </c>
      <c r="K805" s="115" t="s">
        <v>26</v>
      </c>
      <c r="L805" s="72">
        <v>2741025</v>
      </c>
      <c r="M805" s="72">
        <v>1</v>
      </c>
      <c r="N805" s="60">
        <f>Main_Issuance[[#This Row],[LC Amt(FCY)]]*Main_Issuance[[#This Row],[Rate]]</f>
        <v>2741025</v>
      </c>
      <c r="O805" s="77">
        <v>46203</v>
      </c>
      <c r="P805" s="77">
        <v>46188</v>
      </c>
      <c r="Q805" s="77" t="s">
        <v>27</v>
      </c>
      <c r="R805" s="115" t="s">
        <v>1785</v>
      </c>
      <c r="S805" s="81"/>
      <c r="T805" s="81"/>
      <c r="U805" s="81"/>
      <c r="V805" s="83">
        <v>0</v>
      </c>
      <c r="W805" s="78"/>
      <c r="X805" s="77" t="str">
        <f ca="1">IF(AND((Main_Issuance[[#This Row],[Expiry Date]]+31)&gt;TODAY(),Main_Issuance[[#This Row],[Status]]&lt;&gt;"Cancelled"),"Active","Cancelled")</f>
        <v>Active</v>
      </c>
      <c r="Y805" s="409"/>
      <c r="Z805" s="408"/>
      <c r="AA805" s="408" t="s">
        <v>857</v>
      </c>
      <c r="AB805" s="83" cm="1">
        <f t="array" ref="AB805">Iss_Tariff(Main_Issuance[[#This Row],[Bank]],Main_Issuance[[#This Row],[LC Amt(SAR)]],Main_Issuance[[#This Row],[Issue Date.]],Main_Issuance[[#This Row],[Expiry Date]],Main_Issuance[[#This Row],[Calculate]])</f>
        <v>15847</v>
      </c>
      <c r="AC805" s="83"/>
    </row>
    <row r="806" spans="1:29" ht="15.75" hidden="1" x14ac:dyDescent="0.25">
      <c r="A806" s="114" t="s">
        <v>1739</v>
      </c>
      <c r="B806" s="76">
        <v>45883</v>
      </c>
      <c r="C806" s="76" t="s">
        <v>1727</v>
      </c>
      <c r="D806" s="78" t="s">
        <v>20</v>
      </c>
      <c r="E806" s="115" t="s">
        <v>62</v>
      </c>
      <c r="F806" s="78" t="s">
        <v>70</v>
      </c>
      <c r="G806" s="115" t="s">
        <v>1718</v>
      </c>
      <c r="H806" s="113" t="s">
        <v>869</v>
      </c>
      <c r="I806" s="115" t="s">
        <v>1762</v>
      </c>
      <c r="J806" s="78"/>
      <c r="K806" s="115" t="s">
        <v>26</v>
      </c>
      <c r="L806" s="72">
        <v>345402.56</v>
      </c>
      <c r="M806" s="72">
        <v>1</v>
      </c>
      <c r="N806" s="60">
        <f>Main_Issuance[[#This Row],[LC Amt(FCY)]]*Main_Issuance[[#This Row],[Rate]]</f>
        <v>345402.56</v>
      </c>
      <c r="O806" s="77">
        <v>45930</v>
      </c>
      <c r="P806" s="77">
        <v>45915</v>
      </c>
      <c r="Q806" s="77" t="s">
        <v>70</v>
      </c>
      <c r="R806" s="115" t="s">
        <v>208</v>
      </c>
      <c r="S806" s="81"/>
      <c r="T806" s="81"/>
      <c r="U806" s="81"/>
      <c r="V806" s="83"/>
      <c r="W806" s="78"/>
      <c r="X806" s="77" t="str">
        <f ca="1">IF(AND((Main_Issuance[[#This Row],[Expiry Date]]+31)&gt;TODAY(),Main_Issuance[[#This Row],[Status]]&lt;&gt;"Cancelled"),"Active","Cancelled")</f>
        <v>Cancelled</v>
      </c>
      <c r="Y806" s="410"/>
      <c r="Z806" s="408"/>
      <c r="AA806" s="408" t="s">
        <v>378</v>
      </c>
      <c r="AB806" s="83" cm="1">
        <f t="array" ref="AB806">Iss_Tariff(Main_Issuance[[#This Row],[Bank]],Main_Issuance[[#This Row],[LC Amt(SAR)]],Main_Issuance[[#This Row],[Issue Date.]],Main_Issuance[[#This Row],[Expiry Date]],Main_Issuance[[#This Row],[Calculate]])</f>
        <v>0</v>
      </c>
      <c r="AC806" s="83"/>
    </row>
    <row r="807" spans="1:29" ht="15.75" hidden="1" x14ac:dyDescent="0.25">
      <c r="A807" s="114" t="s">
        <v>1178</v>
      </c>
      <c r="B807" s="76">
        <v>45757</v>
      </c>
      <c r="C807" s="76" t="s">
        <v>441</v>
      </c>
      <c r="D807" s="78" t="s">
        <v>20</v>
      </c>
      <c r="E807" s="115" t="s">
        <v>366</v>
      </c>
      <c r="F807" s="78" t="s">
        <v>710</v>
      </c>
      <c r="G807" s="115" t="s">
        <v>839</v>
      </c>
      <c r="H807" s="115" t="s">
        <v>24</v>
      </c>
      <c r="I807" s="115" t="s">
        <v>710</v>
      </c>
      <c r="J807" s="65">
        <v>1020088</v>
      </c>
      <c r="K807" s="115" t="s">
        <v>26</v>
      </c>
      <c r="L807" s="72">
        <v>168705.07</v>
      </c>
      <c r="M807" s="72">
        <v>1</v>
      </c>
      <c r="N807" s="60">
        <f>Main_Issuance[[#This Row],[LC Amt(FCY)]]*Main_Issuance[[#This Row],[Rate]]</f>
        <v>168705.07</v>
      </c>
      <c r="O807" s="77">
        <v>45838</v>
      </c>
      <c r="P807" s="77">
        <v>45838</v>
      </c>
      <c r="Q807" s="77" t="s">
        <v>27</v>
      </c>
      <c r="R807" s="115" t="s">
        <v>311</v>
      </c>
      <c r="S807" s="81"/>
      <c r="T807" s="81"/>
      <c r="U807" s="81"/>
      <c r="V807" s="83">
        <v>0</v>
      </c>
      <c r="W807" s="78"/>
      <c r="X807" s="77" t="str">
        <f ca="1">IF(AND((Main_Issuance[[#This Row],[Expiry Date]]+31)&gt;TODAY(),Main_Issuance[[#This Row],[Status]]&lt;&gt;"Cancelled"),"Active","Cancelled")</f>
        <v>Cancelled</v>
      </c>
      <c r="Y807" s="409"/>
      <c r="Z807" s="408"/>
      <c r="AA807" s="408" t="s">
        <v>378</v>
      </c>
      <c r="AB807" s="83" cm="1">
        <f t="array" ref="AB807">Iss_Tariff(Main_Issuance[[#This Row],[Bank]],Main_Issuance[[#This Row],[LC Amt(SAR)]],Main_Issuance[[#This Row],[Issue Date.]],Main_Issuance[[#This Row],[Expiry Date]],Main_Issuance[[#This Row],[Calculate]])</f>
        <v>0</v>
      </c>
      <c r="AC807" s="83"/>
    </row>
    <row r="808" spans="1:29" ht="15.75" hidden="1" x14ac:dyDescent="0.25">
      <c r="A808" s="114" t="s">
        <v>1870</v>
      </c>
      <c r="B808" s="76">
        <v>45914</v>
      </c>
      <c r="C808" s="76" t="s">
        <v>441</v>
      </c>
      <c r="D808" s="78" t="s">
        <v>20</v>
      </c>
      <c r="E808" s="115" t="s">
        <v>366</v>
      </c>
      <c r="F808" s="78" t="s">
        <v>710</v>
      </c>
      <c r="G808" s="115" t="s">
        <v>839</v>
      </c>
      <c r="H808" s="115" t="s">
        <v>24</v>
      </c>
      <c r="I808" s="115" t="s">
        <v>710</v>
      </c>
      <c r="J808" s="79">
        <v>1020088</v>
      </c>
      <c r="K808" s="115" t="s">
        <v>26</v>
      </c>
      <c r="L808" s="80">
        <v>300000</v>
      </c>
      <c r="M808" s="81">
        <v>1</v>
      </c>
      <c r="N808" s="82">
        <f>Main_Issuance[[#This Row],[LC Amt(FCY)]]*Main_Issuance[[#This Row],[Rate]]</f>
        <v>300000</v>
      </c>
      <c r="O808" s="77">
        <v>46203</v>
      </c>
      <c r="P808" s="77">
        <v>46203</v>
      </c>
      <c r="Q808" s="77" t="s">
        <v>27</v>
      </c>
      <c r="R808" s="115" t="s">
        <v>621</v>
      </c>
      <c r="S808" s="81"/>
      <c r="T808" s="81"/>
      <c r="U808" s="81"/>
      <c r="V808" s="83">
        <v>0</v>
      </c>
      <c r="W808" s="115"/>
      <c r="X808" s="77" t="str">
        <f ca="1">IF(AND((Main_Issuance[[#This Row],[Expiry Date]]+31)&gt;TODAY(),Main_Issuance[[#This Row],[Status]]&lt;&gt;"Cancelled"),"Active","Cancelled")</f>
        <v>Active</v>
      </c>
      <c r="Y808" s="409"/>
      <c r="Z808" s="408"/>
      <c r="AA808" s="408" t="s">
        <v>857</v>
      </c>
      <c r="AB808" s="83" cm="1">
        <f t="array" ref="AB808">Iss_Tariff(Main_Issuance[[#This Row],[Bank]],Main_Issuance[[#This Row],[LC Amt(SAR)]],Main_Issuance[[#This Row],[Issue Date.]],Main_Issuance[[#This Row],[Expiry Date]],Main_Issuance[[#This Row],[Calculate]])</f>
        <v>1811.25</v>
      </c>
      <c r="AC808" s="83"/>
    </row>
    <row r="809" spans="1:29" ht="15.75" hidden="1" x14ac:dyDescent="0.25">
      <c r="A809" s="114" t="s">
        <v>734</v>
      </c>
      <c r="B809" s="56">
        <v>45722</v>
      </c>
      <c r="C809" s="56" t="s">
        <v>441</v>
      </c>
      <c r="D809" s="115" t="s">
        <v>20</v>
      </c>
      <c r="E809" s="19" t="s">
        <v>612</v>
      </c>
      <c r="F809" s="69" t="s">
        <v>613</v>
      </c>
      <c r="G809" s="19" t="s">
        <v>735</v>
      </c>
      <c r="H809" s="19" t="s">
        <v>24</v>
      </c>
      <c r="I809" s="19" t="s">
        <v>613</v>
      </c>
      <c r="J809" s="78">
        <v>1020106</v>
      </c>
      <c r="K809" s="19" t="s">
        <v>26</v>
      </c>
      <c r="L809" s="72">
        <v>527850.01</v>
      </c>
      <c r="M809" s="72">
        <v>1</v>
      </c>
      <c r="N809" s="60">
        <f>Main_Issuance[[#This Row],[LC Amt(FCY)]]*Main_Issuance[[#This Row],[Rate]]</f>
        <v>527850.01</v>
      </c>
      <c r="O809" s="58">
        <v>46203</v>
      </c>
      <c r="P809" s="58">
        <v>46203</v>
      </c>
      <c r="Q809" s="58" t="s">
        <v>27</v>
      </c>
      <c r="R809" s="19" t="s">
        <v>425</v>
      </c>
      <c r="S809" s="71"/>
      <c r="T809" s="71"/>
      <c r="U809" s="71"/>
      <c r="V809" s="68">
        <v>0</v>
      </c>
      <c r="W809" s="115"/>
      <c r="X809" s="58" t="str">
        <f ca="1">IF(AND((Main_Issuance[[#This Row],[Expiry Date]]+31)&gt;TODAY(),Main_Issuance[[#This Row],[Status]]&lt;&gt;"Cancelled"),"Active","Cancelled")</f>
        <v>Active</v>
      </c>
      <c r="Y809" s="409"/>
      <c r="Z809" s="408"/>
      <c r="AA809" s="408" t="s">
        <v>857</v>
      </c>
      <c r="AB809" s="83" cm="1">
        <f t="array" ref="AB809">Iss_Tariff(Main_Issuance[[#This Row],[Bank]],Main_Issuance[[#This Row],[LC Amt(SAR)]],Main_Issuance[[#This Row],[Issue Date.]],Main_Issuance[[#This Row],[Expiry Date]],Main_Issuance[[#This Row],[Calculate]])</f>
        <v>12470.6</v>
      </c>
      <c r="AC809" s="83"/>
    </row>
    <row r="810" spans="1:29" ht="15.75" hidden="1" x14ac:dyDescent="0.25">
      <c r="A810" s="114" t="s">
        <v>1195</v>
      </c>
      <c r="B810" s="76">
        <v>45761</v>
      </c>
      <c r="C810" s="76" t="s">
        <v>509</v>
      </c>
      <c r="D810" s="78" t="s">
        <v>20</v>
      </c>
      <c r="E810" s="115" t="s">
        <v>21</v>
      </c>
      <c r="F810" s="78" t="s">
        <v>22</v>
      </c>
      <c r="G810" s="115" t="s">
        <v>772</v>
      </c>
      <c r="H810" s="113" t="s">
        <v>24</v>
      </c>
      <c r="I810" s="113" t="s">
        <v>407</v>
      </c>
      <c r="J810" s="79">
        <v>1020100</v>
      </c>
      <c r="K810" s="115" t="s">
        <v>26</v>
      </c>
      <c r="L810" s="72">
        <v>303361.71999999997</v>
      </c>
      <c r="M810" s="72">
        <v>1</v>
      </c>
      <c r="N810" s="60">
        <f>Main_Issuance[[#This Row],[LC Amt(FCY)]]*Main_Issuance[[#This Row],[Rate]]</f>
        <v>303361.71999999997</v>
      </c>
      <c r="O810" s="77">
        <v>46126</v>
      </c>
      <c r="P810" s="77">
        <v>46126</v>
      </c>
      <c r="Q810" s="77" t="s">
        <v>27</v>
      </c>
      <c r="R810" s="115" t="s">
        <v>311</v>
      </c>
      <c r="S810" s="81"/>
      <c r="T810" s="81"/>
      <c r="U810" s="81"/>
      <c r="V810" s="83">
        <v>0</v>
      </c>
      <c r="W810" s="115" t="s">
        <v>5133</v>
      </c>
      <c r="X810" s="77" t="str">
        <f ca="1">IF(AND((Main_Issuance[[#This Row],[Expiry Date]]+31)&gt;TODAY(),Main_Issuance[[#This Row],[Status]]&lt;&gt;"Cancelled"),"Active","Cancelled")</f>
        <v>Cancelled</v>
      </c>
      <c r="Y810" s="409"/>
      <c r="Z810" s="408"/>
      <c r="AA810" s="408" t="s">
        <v>857</v>
      </c>
      <c r="AB810" s="83" cm="1">
        <f t="array" ref="AB810">Iss_Tariff(Main_Issuance[[#This Row],[Bank]],Main_Issuance[[#This Row],[LC Amt(SAR)]],Main_Issuance[[#This Row],[Issue Date.]],Main_Issuance[[#This Row],[Expiry Date]],Main_Issuance[[#This Row],[Calculate]])</f>
        <v>3916.9</v>
      </c>
      <c r="AC810" s="83"/>
    </row>
    <row r="811" spans="1:29" ht="15.75" hidden="1" x14ac:dyDescent="0.25">
      <c r="A811" s="114" t="s">
        <v>1503</v>
      </c>
      <c r="B811" s="76">
        <v>45831</v>
      </c>
      <c r="C811" s="76" t="s">
        <v>441</v>
      </c>
      <c r="D811" s="115" t="s">
        <v>20</v>
      </c>
      <c r="E811" s="115" t="s">
        <v>21</v>
      </c>
      <c r="F811" s="78" t="s">
        <v>22</v>
      </c>
      <c r="G811" s="115" t="s">
        <v>772</v>
      </c>
      <c r="H811" s="115" t="s">
        <v>24</v>
      </c>
      <c r="I811" s="115" t="s">
        <v>407</v>
      </c>
      <c r="J811" s="79">
        <v>1020100</v>
      </c>
      <c r="K811" s="115" t="s">
        <v>26</v>
      </c>
      <c r="L811" s="72">
        <v>922106.57</v>
      </c>
      <c r="M811" s="72">
        <v>1</v>
      </c>
      <c r="N811" s="60">
        <f>Main_Issuance[[#This Row],[LC Amt(FCY)]]*Main_Issuance[[#This Row],[Rate]]</f>
        <v>922106.57</v>
      </c>
      <c r="O811" s="77">
        <v>46196</v>
      </c>
      <c r="P811" s="77">
        <v>46196</v>
      </c>
      <c r="Q811" s="77" t="s">
        <v>27</v>
      </c>
      <c r="R811" s="115" t="s">
        <v>621</v>
      </c>
      <c r="S811" s="81"/>
      <c r="T811" s="81"/>
      <c r="U811" s="81"/>
      <c r="V811" s="83">
        <v>0</v>
      </c>
      <c r="W811" s="115"/>
      <c r="X811" s="77" t="str">
        <f ca="1">IF(AND((Main_Issuance[[#This Row],[Expiry Date]]+31)&gt;TODAY(),Main_Issuance[[#This Row],[Status]]&lt;&gt;"Cancelled"),"Active","Cancelled")</f>
        <v>Active</v>
      </c>
      <c r="Y811" s="409"/>
      <c r="Z811" s="408"/>
      <c r="AA811" s="408" t="s">
        <v>857</v>
      </c>
      <c r="AB811" s="83" cm="1">
        <f t="array" ref="AB811">Iss_Tariff(Main_Issuance[[#This Row],[Bank]],Main_Issuance[[#This Row],[LC Amt(SAR)]],Main_Issuance[[#This Row],[Issue Date.]],Main_Issuance[[#This Row],[Expiry Date]],Main_Issuance[[#This Row],[Calculate]])</f>
        <v>8671</v>
      </c>
      <c r="AC811" s="83"/>
    </row>
    <row r="812" spans="1:29" ht="15.75" hidden="1" x14ac:dyDescent="0.25">
      <c r="A812" s="75" t="s">
        <v>3321</v>
      </c>
      <c r="B812" s="76">
        <v>46023</v>
      </c>
      <c r="C812" s="76" t="s">
        <v>1537</v>
      </c>
      <c r="D812" s="78" t="s">
        <v>20</v>
      </c>
      <c r="E812" s="78" t="s">
        <v>62</v>
      </c>
      <c r="F812" s="78" t="s">
        <v>483</v>
      </c>
      <c r="G812" s="78" t="s">
        <v>3231</v>
      </c>
      <c r="H812" s="79" t="s">
        <v>24</v>
      </c>
      <c r="I812" s="78" t="s">
        <v>483</v>
      </c>
      <c r="J812" s="79">
        <v>1020096</v>
      </c>
      <c r="K812" s="78" t="s">
        <v>26</v>
      </c>
      <c r="L812" s="80">
        <v>500000</v>
      </c>
      <c r="M812" s="81">
        <v>1</v>
      </c>
      <c r="N812" s="81">
        <f>Main_Issuance[[#This Row],[LC Amt(FCY)]]*Main_Issuance[[#This Row],[Rate]]</f>
        <v>500000</v>
      </c>
      <c r="O812" s="76">
        <v>46142</v>
      </c>
      <c r="P812" s="76">
        <v>46142</v>
      </c>
      <c r="Q812" s="76" t="s">
        <v>27</v>
      </c>
      <c r="R812" s="78" t="s">
        <v>3229</v>
      </c>
      <c r="S812" s="81"/>
      <c r="T812" s="81"/>
      <c r="U812" s="81"/>
      <c r="V812" s="83">
        <v>0</v>
      </c>
      <c r="W812" s="78"/>
      <c r="X812" s="76" t="str">
        <f ca="1">IF(AND((Main_Issuance[[#This Row],[Expiry Date]]+31)&gt;TODAY(),Main_Issuance[[#This Row],[Status]]&lt;&gt;"Cancelled"),"Active","Cancelled")</f>
        <v>Cancelled</v>
      </c>
      <c r="Y812" s="407"/>
      <c r="Z812" s="408"/>
      <c r="AA812" s="408" t="s">
        <v>857</v>
      </c>
      <c r="AB812" s="83" cm="1">
        <f t="array" ref="AB812">Iss_Tariff(Main_Issuance[[#This Row],[Bank]],Main_Issuance[[#This Row],[LC Amt(SAR)]],Main_Issuance[[#This Row],[Issue Date.]],Main_Issuance[[#This Row],[Expiry Date]],Main_Issuance[[#This Row],[Calculate]])</f>
        <v>4082.5</v>
      </c>
      <c r="AC812" s="83"/>
    </row>
    <row r="813" spans="1:29" ht="15.75" hidden="1" x14ac:dyDescent="0.25">
      <c r="A813" s="75" t="s">
        <v>3956</v>
      </c>
      <c r="B813" s="76">
        <v>46057</v>
      </c>
      <c r="C813" s="76" t="s">
        <v>1537</v>
      </c>
      <c r="D813" s="78" t="s">
        <v>20</v>
      </c>
      <c r="E813" s="78" t="s">
        <v>62</v>
      </c>
      <c r="F813" s="78" t="s">
        <v>483</v>
      </c>
      <c r="G813" s="78" t="s">
        <v>3231</v>
      </c>
      <c r="H813" s="79" t="s">
        <v>24</v>
      </c>
      <c r="I813" s="78" t="s">
        <v>483</v>
      </c>
      <c r="J813" s="79">
        <v>1020096</v>
      </c>
      <c r="K813" s="78" t="s">
        <v>26</v>
      </c>
      <c r="L813" s="80">
        <v>500000</v>
      </c>
      <c r="M813" s="81">
        <v>1</v>
      </c>
      <c r="N813" s="81">
        <f>Main_Issuance[[#This Row],[LC Amt(FCY)]]*Main_Issuance[[#This Row],[Rate]]</f>
        <v>500000</v>
      </c>
      <c r="O813" s="76">
        <v>46142</v>
      </c>
      <c r="P813" s="76">
        <v>46142</v>
      </c>
      <c r="Q813" s="76" t="s">
        <v>27</v>
      </c>
      <c r="R813" s="78" t="s">
        <v>3229</v>
      </c>
      <c r="S813" s="81"/>
      <c r="T813" s="81"/>
      <c r="U813" s="81"/>
      <c r="V813" s="83">
        <v>0</v>
      </c>
      <c r="W813" s="78"/>
      <c r="X813" s="76" t="str">
        <f ca="1">IF(AND((Main_Issuance[[#This Row],[Expiry Date]]+31)&gt;TODAY(),Main_Issuance[[#This Row],[Status]]&lt;&gt;"Cancelled"),"Active","Cancelled")</f>
        <v>Cancelled</v>
      </c>
      <c r="Y813" s="407"/>
      <c r="Z813" s="408"/>
      <c r="AA813" s="408" t="s">
        <v>857</v>
      </c>
      <c r="AB813" s="83" cm="1">
        <f t="array" ref="AB813">Iss_Tariff(Main_Issuance[[#This Row],[Bank]],Main_Issuance[[#This Row],[LC Amt(SAR)]],Main_Issuance[[#This Row],[Issue Date.]],Main_Issuance[[#This Row],[Expiry Date]],Main_Issuance[[#This Row],[Calculate]])</f>
        <v>3180.9</v>
      </c>
      <c r="AC813" s="83"/>
    </row>
    <row r="814" spans="1:29" ht="15.75" hidden="1" x14ac:dyDescent="0.25">
      <c r="A814" s="70" t="s">
        <v>784</v>
      </c>
      <c r="B814" s="56">
        <v>45741</v>
      </c>
      <c r="C814" s="76" t="s">
        <v>1864</v>
      </c>
      <c r="D814" s="69" t="s">
        <v>20</v>
      </c>
      <c r="E814" s="69" t="s">
        <v>366</v>
      </c>
      <c r="F814" s="69" t="s">
        <v>710</v>
      </c>
      <c r="G814" s="69" t="s">
        <v>785</v>
      </c>
      <c r="H814" s="65" t="s">
        <v>3221</v>
      </c>
      <c r="I814" s="65" t="s">
        <v>81</v>
      </c>
      <c r="J814" s="65">
        <v>1020070</v>
      </c>
      <c r="K814" s="69" t="s">
        <v>26</v>
      </c>
      <c r="L814" s="72">
        <v>1548105.39</v>
      </c>
      <c r="M814" s="72">
        <v>1</v>
      </c>
      <c r="N814" s="72">
        <f>Main_Issuance[[#This Row],[LC Amt(FCY)]]*Main_Issuance[[#This Row],[Rate]]</f>
        <v>1548105.39</v>
      </c>
      <c r="O814" s="56">
        <v>45808</v>
      </c>
      <c r="P814" s="56">
        <v>45777</v>
      </c>
      <c r="Q814" s="56" t="s">
        <v>27</v>
      </c>
      <c r="R814" s="78" t="s">
        <v>621</v>
      </c>
      <c r="S814" s="71"/>
      <c r="T814" s="71"/>
      <c r="U814" s="71"/>
      <c r="V814" s="68">
        <v>0</v>
      </c>
      <c r="W814" s="78"/>
      <c r="X814" s="56" t="str">
        <f ca="1">IF(AND((Main_Issuance[[#This Row],[Expiry Date]]+31)&gt;TODAY(),Main_Issuance[[#This Row],[Status]]&lt;&gt;"Cancelled"),"Active","Cancelled")</f>
        <v>Cancelled</v>
      </c>
      <c r="Y814" s="407"/>
      <c r="Z814" s="408"/>
      <c r="AA814" s="408" t="s">
        <v>378</v>
      </c>
      <c r="AB814" s="83" cm="1">
        <f t="array" ref="AB814">Iss_Tariff(Main_Issuance[[#This Row],[Bank]],Main_Issuance[[#This Row],[LC Amt(SAR)]],Main_Issuance[[#This Row],[Issue Date.]],Main_Issuance[[#This Row],[Expiry Date]],Main_Issuance[[#This Row],[Calculate]])</f>
        <v>0</v>
      </c>
      <c r="AC814" s="83"/>
    </row>
    <row r="815" spans="1:29" ht="15.75" hidden="1" x14ac:dyDescent="0.25">
      <c r="A815" s="70" t="s">
        <v>423</v>
      </c>
      <c r="B815" s="56">
        <v>45559</v>
      </c>
      <c r="C815" s="56" t="s">
        <v>1182</v>
      </c>
      <c r="D815" s="69" t="s">
        <v>20</v>
      </c>
      <c r="E815" s="69" t="s">
        <v>95</v>
      </c>
      <c r="F815" s="69" t="s">
        <v>96</v>
      </c>
      <c r="G815" s="19" t="s">
        <v>424</v>
      </c>
      <c r="H815" s="65" t="s">
        <v>24</v>
      </c>
      <c r="I815" s="65" t="s">
        <v>25</v>
      </c>
      <c r="J815" s="65">
        <v>1020052</v>
      </c>
      <c r="K815" s="69" t="s">
        <v>26</v>
      </c>
      <c r="L815" s="72">
        <v>1000000</v>
      </c>
      <c r="M815" s="72">
        <v>1</v>
      </c>
      <c r="N815" s="72">
        <f>Main_Issuance[[#This Row],[LC Amt(FCY)]]*Main_Issuance[[#This Row],[Rate]]</f>
        <v>1000000</v>
      </c>
      <c r="O815" s="56">
        <v>45657</v>
      </c>
      <c r="P815" s="56">
        <v>45630</v>
      </c>
      <c r="Q815" s="56" t="s">
        <v>27</v>
      </c>
      <c r="R815" s="69" t="s">
        <v>425</v>
      </c>
      <c r="S815" s="71"/>
      <c r="T815" s="71"/>
      <c r="U815" s="71"/>
      <c r="V815" s="68">
        <v>0</v>
      </c>
      <c r="W815" s="78"/>
      <c r="X815" s="56" t="str">
        <f ca="1">IF(AND((Main_Issuance[[#This Row],[Expiry Date]]+31)&gt;TODAY(),Main_Issuance[[#This Row],[Status]]&lt;&gt;"Cancelled"),"Active","Cancelled")</f>
        <v>Cancelled</v>
      </c>
      <c r="Y815" s="407"/>
      <c r="Z815" s="408"/>
      <c r="AA815" s="408" t="s">
        <v>378</v>
      </c>
      <c r="AB815" s="83" cm="1">
        <f t="array" ref="AB815">Iss_Tariff(Main_Issuance[[#This Row],[Bank]],Main_Issuance[[#This Row],[LC Amt(SAR)]],Main_Issuance[[#This Row],[Issue Date.]],Main_Issuance[[#This Row],[Expiry Date]],Main_Issuance[[#This Row],[Calculate]])</f>
        <v>0</v>
      </c>
      <c r="AC815" s="83"/>
    </row>
    <row r="816" spans="1:29" ht="15.75" hidden="1" x14ac:dyDescent="0.25">
      <c r="A816" s="114" t="s">
        <v>731</v>
      </c>
      <c r="B816" s="76">
        <v>45725</v>
      </c>
      <c r="C816" s="76" t="s">
        <v>509</v>
      </c>
      <c r="D816" s="78" t="s">
        <v>20</v>
      </c>
      <c r="E816" s="115" t="s">
        <v>373</v>
      </c>
      <c r="F816" s="78" t="s">
        <v>483</v>
      </c>
      <c r="G816" s="115" t="s">
        <v>732</v>
      </c>
      <c r="H816" s="113" t="s">
        <v>72</v>
      </c>
      <c r="I816" s="113" t="s">
        <v>304</v>
      </c>
      <c r="J816" s="79">
        <v>1020098</v>
      </c>
      <c r="K816" s="115" t="s">
        <v>26</v>
      </c>
      <c r="L816" s="72">
        <f>8700000+8771352</f>
        <v>17471352</v>
      </c>
      <c r="M816" s="72">
        <v>1</v>
      </c>
      <c r="N816" s="60">
        <f>Main_Issuance[[#This Row],[LC Amt(FCY)]]*Main_Issuance[[#This Row],[Rate]]</f>
        <v>17471352</v>
      </c>
      <c r="O816" s="77">
        <v>45792</v>
      </c>
      <c r="P816" s="77">
        <v>45767</v>
      </c>
      <c r="Q816" s="77" t="s">
        <v>27</v>
      </c>
      <c r="R816" s="115" t="s">
        <v>305</v>
      </c>
      <c r="S816" s="81"/>
      <c r="T816" s="81"/>
      <c r="U816" s="81"/>
      <c r="V816" s="83">
        <v>0</v>
      </c>
      <c r="W816" s="78"/>
      <c r="X816" s="77" t="str">
        <f ca="1">IF(AND((Main_Issuance[[#This Row],[Expiry Date]]+31)&gt;TODAY(),Main_Issuance[[#This Row],[Status]]&lt;&gt;"Cancelled"),"Active","Cancelled")</f>
        <v>Cancelled</v>
      </c>
      <c r="Y816" s="409"/>
      <c r="Z816" s="408"/>
      <c r="AA816" s="408" t="s">
        <v>378</v>
      </c>
      <c r="AB816" s="83" cm="1">
        <f t="array" ref="AB816">Iss_Tariff(Main_Issuance[[#This Row],[Bank]],Main_Issuance[[#This Row],[LC Amt(SAR)]],Main_Issuance[[#This Row],[Issue Date.]],Main_Issuance[[#This Row],[Expiry Date]],Main_Issuance[[#This Row],[Calculate]])</f>
        <v>0</v>
      </c>
      <c r="AC816" s="83"/>
    </row>
    <row r="817" spans="1:29" ht="15.75" hidden="1" x14ac:dyDescent="0.25">
      <c r="A817" s="66" t="s">
        <v>531</v>
      </c>
      <c r="B817" s="188">
        <v>45622</v>
      </c>
      <c r="C817" s="56" t="s">
        <v>509</v>
      </c>
      <c r="D817" s="189" t="s">
        <v>20</v>
      </c>
      <c r="E817" s="64" t="s">
        <v>373</v>
      </c>
      <c r="F817" s="189" t="s">
        <v>483</v>
      </c>
      <c r="G817" s="64" t="s">
        <v>532</v>
      </c>
      <c r="H817" s="59" t="s">
        <v>72</v>
      </c>
      <c r="I817" s="59" t="s">
        <v>304</v>
      </c>
      <c r="J817" s="65">
        <v>1020098</v>
      </c>
      <c r="K817" s="19" t="s">
        <v>26</v>
      </c>
      <c r="L817" s="72">
        <v>9000429</v>
      </c>
      <c r="M817" s="72">
        <v>1</v>
      </c>
      <c r="N817" s="60">
        <f>Main_Issuance[[#This Row],[LC Amt(FCY)]]*Main_Issuance[[#This Row],[Rate]]</f>
        <v>9000429</v>
      </c>
      <c r="O817" s="58">
        <v>45747</v>
      </c>
      <c r="P817" s="58">
        <v>45720</v>
      </c>
      <c r="Q817" s="58" t="s">
        <v>27</v>
      </c>
      <c r="R817" s="19" t="s">
        <v>461</v>
      </c>
      <c r="S817" s="71"/>
      <c r="T817" s="71"/>
      <c r="U817" s="71"/>
      <c r="V817" s="68">
        <v>0</v>
      </c>
      <c r="W817" s="78"/>
      <c r="X817" s="58" t="str">
        <f ca="1">IF(AND((Main_Issuance[[#This Row],[Expiry Date]]+31)&gt;TODAY(),Main_Issuance[[#This Row],[Status]]&lt;&gt;"Cancelled"),"Active","Cancelled")</f>
        <v>Cancelled</v>
      </c>
      <c r="Y817" s="409"/>
      <c r="Z817" s="408"/>
      <c r="AA817" s="408" t="s">
        <v>378</v>
      </c>
      <c r="AB817" s="83" cm="1">
        <f t="array" ref="AB817">Iss_Tariff(Main_Issuance[[#This Row],[Bank]],Main_Issuance[[#This Row],[LC Amt(SAR)]],Main_Issuance[[#This Row],[Issue Date.]],Main_Issuance[[#This Row],[Expiry Date]],Main_Issuance[[#This Row],[Calculate]])</f>
        <v>0</v>
      </c>
      <c r="AC817" s="83"/>
    </row>
    <row r="818" spans="1:29" ht="15.75" hidden="1" x14ac:dyDescent="0.25">
      <c r="A818" s="57" t="s">
        <v>610</v>
      </c>
      <c r="B818" s="56">
        <v>45669</v>
      </c>
      <c r="C818" s="56" t="s">
        <v>509</v>
      </c>
      <c r="D818" s="69" t="s">
        <v>20</v>
      </c>
      <c r="E818" s="19" t="s">
        <v>95</v>
      </c>
      <c r="F818" s="69" t="s">
        <v>96</v>
      </c>
      <c r="G818" s="19" t="s">
        <v>532</v>
      </c>
      <c r="H818" s="59" t="s">
        <v>72</v>
      </c>
      <c r="I818" s="59" t="s">
        <v>304</v>
      </c>
      <c r="J818" s="65">
        <v>1020098</v>
      </c>
      <c r="K818" s="19" t="s">
        <v>26</v>
      </c>
      <c r="L818" s="72">
        <f>12879540+6000000</f>
        <v>18879540</v>
      </c>
      <c r="M818" s="72">
        <v>1</v>
      </c>
      <c r="N818" s="60">
        <f>Main_Issuance[[#This Row],[LC Amt(FCY)]]*Main_Issuance[[#This Row],[Rate]]</f>
        <v>18879540</v>
      </c>
      <c r="O818" s="58">
        <v>45747</v>
      </c>
      <c r="P818" s="58">
        <v>45720</v>
      </c>
      <c r="Q818" s="58" t="s">
        <v>27</v>
      </c>
      <c r="R818" s="19" t="s">
        <v>461</v>
      </c>
      <c r="S818" s="71"/>
      <c r="T818" s="71"/>
      <c r="U818" s="71"/>
      <c r="V818" s="68">
        <v>0</v>
      </c>
      <c r="W818" s="78"/>
      <c r="X818" s="58" t="str">
        <f ca="1">IF(AND((Main_Issuance[[#This Row],[Expiry Date]]+31)&gt;TODAY(),Main_Issuance[[#This Row],[Status]]&lt;&gt;"Cancelled"),"Active","Cancelled")</f>
        <v>Cancelled</v>
      </c>
      <c r="Y818" s="409"/>
      <c r="Z818" s="408"/>
      <c r="AA818" s="408" t="s">
        <v>378</v>
      </c>
      <c r="AB818" s="83" cm="1">
        <f t="array" ref="AB818">Iss_Tariff(Main_Issuance[[#This Row],[Bank]],Main_Issuance[[#This Row],[LC Amt(SAR)]],Main_Issuance[[#This Row],[Issue Date.]],Main_Issuance[[#This Row],[Expiry Date]],Main_Issuance[[#This Row],[Calculate]])</f>
        <v>0</v>
      </c>
      <c r="AC818" s="83"/>
    </row>
    <row r="819" spans="1:29" ht="15.75" hidden="1" x14ac:dyDescent="0.25">
      <c r="A819" s="57" t="s">
        <v>730</v>
      </c>
      <c r="B819" s="56">
        <v>45714</v>
      </c>
      <c r="C819" s="56" t="s">
        <v>509</v>
      </c>
      <c r="D819" s="69" t="s">
        <v>20</v>
      </c>
      <c r="E819" s="19" t="s">
        <v>373</v>
      </c>
      <c r="F819" s="69" t="s">
        <v>483</v>
      </c>
      <c r="G819" s="19" t="s">
        <v>532</v>
      </c>
      <c r="H819" s="59" t="s">
        <v>72</v>
      </c>
      <c r="I819" s="59" t="s">
        <v>304</v>
      </c>
      <c r="J819" s="65">
        <v>1020098</v>
      </c>
      <c r="K819" s="19" t="s">
        <v>26</v>
      </c>
      <c r="L819" s="72">
        <f>10000000+20000000</f>
        <v>30000000</v>
      </c>
      <c r="M819" s="72">
        <v>1</v>
      </c>
      <c r="N819" s="60">
        <f>Main_Issuance[[#This Row],[LC Amt(FCY)]]*Main_Issuance[[#This Row],[Rate]]</f>
        <v>30000000</v>
      </c>
      <c r="O819" s="58">
        <v>45808</v>
      </c>
      <c r="P819" s="58">
        <v>45720</v>
      </c>
      <c r="Q819" s="58" t="s">
        <v>27</v>
      </c>
      <c r="R819" s="19" t="s">
        <v>461</v>
      </c>
      <c r="S819" s="71"/>
      <c r="T819" s="71"/>
      <c r="U819" s="71"/>
      <c r="V819" s="68">
        <v>0</v>
      </c>
      <c r="W819" s="78"/>
      <c r="X819" s="58" t="str">
        <f ca="1">IF(AND((Main_Issuance[[#This Row],[Expiry Date]]+31)&gt;TODAY(),Main_Issuance[[#This Row],[Status]]&lt;&gt;"Cancelled"),"Active","Cancelled")</f>
        <v>Cancelled</v>
      </c>
      <c r="Y819" s="409"/>
      <c r="Z819" s="408"/>
      <c r="AA819" s="408" t="s">
        <v>378</v>
      </c>
      <c r="AB819" s="83" cm="1">
        <f t="array" ref="AB819">Iss_Tariff(Main_Issuance[[#This Row],[Bank]],Main_Issuance[[#This Row],[LC Amt(SAR)]],Main_Issuance[[#This Row],[Issue Date.]],Main_Issuance[[#This Row],[Expiry Date]],Main_Issuance[[#This Row],[Calculate]])</f>
        <v>0</v>
      </c>
      <c r="AC819" s="83"/>
    </row>
    <row r="820" spans="1:29" ht="15.75" hidden="1" x14ac:dyDescent="0.25">
      <c r="A820" s="114" t="s">
        <v>1336</v>
      </c>
      <c r="B820" s="76">
        <v>45792</v>
      </c>
      <c r="C820" s="76" t="s">
        <v>509</v>
      </c>
      <c r="D820" s="78" t="s">
        <v>20</v>
      </c>
      <c r="E820" s="115" t="s">
        <v>95</v>
      </c>
      <c r="F820" s="78" t="s">
        <v>96</v>
      </c>
      <c r="G820" s="115" t="s">
        <v>532</v>
      </c>
      <c r="H820" s="113" t="s">
        <v>72</v>
      </c>
      <c r="I820" s="113" t="s">
        <v>304</v>
      </c>
      <c r="J820" s="79">
        <v>1020098</v>
      </c>
      <c r="K820" s="115" t="s">
        <v>26</v>
      </c>
      <c r="L820" s="72">
        <f>18768000+4623922.5</f>
        <v>23391922.5</v>
      </c>
      <c r="M820" s="72">
        <v>1</v>
      </c>
      <c r="N820" s="60">
        <f>Main_Issuance[[#This Row],[LC Amt(FCY)]]*Main_Issuance[[#This Row],[Rate]]</f>
        <v>23391922.5</v>
      </c>
      <c r="O820" s="77">
        <v>45900</v>
      </c>
      <c r="P820" s="77">
        <v>45873</v>
      </c>
      <c r="Q820" s="77" t="s">
        <v>27</v>
      </c>
      <c r="R820" s="115" t="s">
        <v>461</v>
      </c>
      <c r="S820" s="81"/>
      <c r="T820" s="81"/>
      <c r="U820" s="81"/>
      <c r="V820" s="68"/>
      <c r="W820" s="78"/>
      <c r="X820" s="77" t="str">
        <f ca="1">IF(AND((Main_Issuance[[#This Row],[Expiry Date]]+31)&gt;TODAY(),Main_Issuance[[#This Row],[Status]]&lt;&gt;"Cancelled"),"Active","Cancelled")</f>
        <v>Cancelled</v>
      </c>
      <c r="Y820" s="409"/>
      <c r="Z820" s="408"/>
      <c r="AA820" s="408" t="s">
        <v>378</v>
      </c>
      <c r="AB820" s="83" cm="1">
        <f t="array" ref="AB820">Iss_Tariff(Main_Issuance[[#This Row],[Bank]],Main_Issuance[[#This Row],[LC Amt(SAR)]],Main_Issuance[[#This Row],[Issue Date.]],Main_Issuance[[#This Row],[Expiry Date]],Main_Issuance[[#This Row],[Calculate]])</f>
        <v>0</v>
      </c>
      <c r="AC820" s="83"/>
    </row>
    <row r="821" spans="1:29" ht="15.75" hidden="1" x14ac:dyDescent="0.25">
      <c r="A821" s="114" t="s">
        <v>1511</v>
      </c>
      <c r="B821" s="76">
        <v>45833</v>
      </c>
      <c r="C821" s="76" t="s">
        <v>509</v>
      </c>
      <c r="D821" s="78" t="s">
        <v>20</v>
      </c>
      <c r="E821" s="115" t="s">
        <v>612</v>
      </c>
      <c r="F821" s="78" t="s">
        <v>613</v>
      </c>
      <c r="G821" s="115" t="s">
        <v>532</v>
      </c>
      <c r="H821" s="113" t="s">
        <v>72</v>
      </c>
      <c r="I821" s="113" t="s">
        <v>304</v>
      </c>
      <c r="J821" s="79">
        <v>1020098</v>
      </c>
      <c r="K821" s="115" t="s">
        <v>26</v>
      </c>
      <c r="L821" s="72">
        <v>14000000</v>
      </c>
      <c r="M821" s="72">
        <v>1</v>
      </c>
      <c r="N821" s="60">
        <f>Main_Issuance[[#This Row],[LC Amt(FCY)]]*Main_Issuance[[#This Row],[Rate]]</f>
        <v>14000000</v>
      </c>
      <c r="O821" s="77">
        <v>45900</v>
      </c>
      <c r="P821" s="77">
        <v>45873</v>
      </c>
      <c r="Q821" s="77" t="s">
        <v>27</v>
      </c>
      <c r="R821" s="115" t="s">
        <v>461</v>
      </c>
      <c r="S821" s="81"/>
      <c r="T821" s="81"/>
      <c r="U821" s="81"/>
      <c r="V821" s="83">
        <v>0</v>
      </c>
      <c r="W821" s="78"/>
      <c r="X821" s="77" t="str">
        <f ca="1">IF(AND((Main_Issuance[[#This Row],[Expiry Date]]+31)&gt;TODAY(),Main_Issuance[[#This Row],[Status]]&lt;&gt;"Cancelled"),"Active","Cancelled")</f>
        <v>Cancelled</v>
      </c>
      <c r="Y821" s="409"/>
      <c r="Z821" s="408"/>
      <c r="AA821" s="408" t="s">
        <v>378</v>
      </c>
      <c r="AB821" s="83" cm="1">
        <f t="array" ref="AB821">Iss_Tariff(Main_Issuance[[#This Row],[Bank]],Main_Issuance[[#This Row],[LC Amt(SAR)]],Main_Issuance[[#This Row],[Issue Date.]],Main_Issuance[[#This Row],[Expiry Date]],Main_Issuance[[#This Row],[Calculate]])</f>
        <v>0</v>
      </c>
      <c r="AC821" s="83"/>
    </row>
    <row r="822" spans="1:29" ht="15.75" hidden="1" x14ac:dyDescent="0.25">
      <c r="A822" s="114" t="s">
        <v>1801</v>
      </c>
      <c r="B822" s="76">
        <v>45894</v>
      </c>
      <c r="C822" s="76" t="s">
        <v>1181</v>
      </c>
      <c r="D822" s="78" t="s">
        <v>20</v>
      </c>
      <c r="E822" s="115" t="s">
        <v>366</v>
      </c>
      <c r="F822" s="78" t="s">
        <v>710</v>
      </c>
      <c r="G822" s="115" t="s">
        <v>1765</v>
      </c>
      <c r="H822" s="113" t="s">
        <v>1791</v>
      </c>
      <c r="I822" s="113" t="s">
        <v>81</v>
      </c>
      <c r="J822" s="79">
        <v>1020070</v>
      </c>
      <c r="K822" s="115" t="s">
        <v>26</v>
      </c>
      <c r="L822" s="72">
        <v>1500000</v>
      </c>
      <c r="M822" s="72">
        <v>1</v>
      </c>
      <c r="N822" s="60">
        <f>Main_Issuance[[#This Row],[LC Amt(FCY)]]*Main_Issuance[[#This Row],[Rate]]</f>
        <v>1500000</v>
      </c>
      <c r="O822" s="77">
        <v>45961</v>
      </c>
      <c r="P822" s="77">
        <v>45961</v>
      </c>
      <c r="Q822" s="77" t="s">
        <v>27</v>
      </c>
      <c r="R822" s="115" t="s">
        <v>1761</v>
      </c>
      <c r="S822" s="81"/>
      <c r="T822" s="81"/>
      <c r="U822" s="81"/>
      <c r="V822" s="83">
        <v>0</v>
      </c>
      <c r="W822" s="78"/>
      <c r="X822" s="77" t="str">
        <f ca="1">IF(AND((Main_Issuance[[#This Row],[Expiry Date]]+31)&gt;TODAY(),Main_Issuance[[#This Row],[Status]]&lt;&gt;"Cancelled"),"Active","Cancelled")</f>
        <v>Cancelled</v>
      </c>
      <c r="Y822" s="409"/>
      <c r="Z822" s="408"/>
      <c r="AA822" s="408" t="s">
        <v>378</v>
      </c>
      <c r="AB822" s="83" cm="1">
        <f t="array" ref="AB822">Iss_Tariff(Main_Issuance[[#This Row],[Bank]],Main_Issuance[[#This Row],[LC Amt(SAR)]],Main_Issuance[[#This Row],[Issue Date.]],Main_Issuance[[#This Row],[Expiry Date]],Main_Issuance[[#This Row],[Calculate]])</f>
        <v>0</v>
      </c>
      <c r="AC822" s="83"/>
    </row>
    <row r="823" spans="1:29" ht="15.75" hidden="1" x14ac:dyDescent="0.25">
      <c r="A823" s="57" t="s">
        <v>313</v>
      </c>
      <c r="B823" s="56">
        <v>45379</v>
      </c>
      <c r="C823" s="56" t="s">
        <v>1182</v>
      </c>
      <c r="D823" s="69" t="s">
        <v>20</v>
      </c>
      <c r="E823" s="19" t="s">
        <v>62</v>
      </c>
      <c r="F823" s="69" t="s">
        <v>70</v>
      </c>
      <c r="G823" s="19" t="s">
        <v>314</v>
      </c>
      <c r="H823" s="59" t="s">
        <v>80</v>
      </c>
      <c r="I823" s="59" t="s">
        <v>90</v>
      </c>
      <c r="J823" s="65">
        <v>1020001</v>
      </c>
      <c r="K823" s="19" t="s">
        <v>26</v>
      </c>
      <c r="L823" s="72">
        <v>4219083.67</v>
      </c>
      <c r="M823" s="72">
        <v>1</v>
      </c>
      <c r="N823" s="60">
        <f>Main_Issuance[[#This Row],[LC Amt(FCY)]]*Main_Issuance[[#This Row],[Rate]]</f>
        <v>4219083.67</v>
      </c>
      <c r="O823" s="58">
        <v>45625</v>
      </c>
      <c r="P823" s="58">
        <v>45625</v>
      </c>
      <c r="Q823" s="58" t="s">
        <v>70</v>
      </c>
      <c r="R823" s="19"/>
      <c r="S823" s="71"/>
      <c r="T823" s="71"/>
      <c r="U823" s="71"/>
      <c r="V823" s="68">
        <v>0</v>
      </c>
      <c r="W823" s="78"/>
      <c r="X823" s="58" t="str">
        <f ca="1">IF(AND((Main_Issuance[[#This Row],[Expiry Date]]+31)&gt;TODAY(),Main_Issuance[[#This Row],[Status]]&lt;&gt;"Cancelled"),"Active","Cancelled")</f>
        <v>Cancelled</v>
      </c>
      <c r="Y823" s="409"/>
      <c r="Z823" s="408"/>
      <c r="AA823" s="408" t="s">
        <v>378</v>
      </c>
      <c r="AB823" s="83" cm="1">
        <f t="array" ref="AB823">Iss_Tariff(Main_Issuance[[#This Row],[Bank]],Main_Issuance[[#This Row],[LC Amt(SAR)]],Main_Issuance[[#This Row],[Issue Date.]],Main_Issuance[[#This Row],[Expiry Date]],Main_Issuance[[#This Row],[Calculate]])</f>
        <v>0</v>
      </c>
      <c r="AC823" s="83"/>
    </row>
    <row r="824" spans="1:29" ht="15.75" hidden="1" x14ac:dyDescent="0.25">
      <c r="A824" s="57" t="s">
        <v>513</v>
      </c>
      <c r="B824" s="56">
        <v>45379</v>
      </c>
      <c r="C824" s="56" t="s">
        <v>1182</v>
      </c>
      <c r="D824" s="69" t="s">
        <v>20</v>
      </c>
      <c r="E824" s="19" t="s">
        <v>62</v>
      </c>
      <c r="F824" s="69" t="s">
        <v>63</v>
      </c>
      <c r="G824" s="19" t="s">
        <v>314</v>
      </c>
      <c r="H824" s="59" t="s">
        <v>80</v>
      </c>
      <c r="I824" s="59" t="s">
        <v>90</v>
      </c>
      <c r="J824" s="65">
        <v>1020001</v>
      </c>
      <c r="K824" s="19" t="s">
        <v>26</v>
      </c>
      <c r="L824" s="72">
        <f>7591541.12+752343.75</f>
        <v>8343884.8700000001</v>
      </c>
      <c r="M824" s="72">
        <v>1</v>
      </c>
      <c r="N824" s="60">
        <f>Main_Issuance[[#This Row],[LC Amt(FCY)]]*Main_Issuance[[#This Row],[Rate]]</f>
        <v>8343884.8700000001</v>
      </c>
      <c r="O824" s="58">
        <v>45625</v>
      </c>
      <c r="P824" s="58">
        <v>45625</v>
      </c>
      <c r="Q824" s="58" t="s">
        <v>27</v>
      </c>
      <c r="R824" s="19"/>
      <c r="S824" s="71"/>
      <c r="T824" s="71"/>
      <c r="U824" s="71"/>
      <c r="V824" s="68">
        <v>0</v>
      </c>
      <c r="W824" s="78"/>
      <c r="X824" s="58" t="str">
        <f ca="1">IF(AND((Main_Issuance[[#This Row],[Expiry Date]]+31)&gt;TODAY(),Main_Issuance[[#This Row],[Status]]&lt;&gt;"Cancelled"),"Active","Cancelled")</f>
        <v>Cancelled</v>
      </c>
      <c r="Y824" s="409"/>
      <c r="Z824" s="408"/>
      <c r="AA824" s="408" t="s">
        <v>378</v>
      </c>
      <c r="AB824" s="83" cm="1">
        <f t="array" ref="AB824">Iss_Tariff(Main_Issuance[[#This Row],[Bank]],Main_Issuance[[#This Row],[LC Amt(SAR)]],Main_Issuance[[#This Row],[Issue Date.]],Main_Issuance[[#This Row],[Expiry Date]],Main_Issuance[[#This Row],[Calculate]])</f>
        <v>0</v>
      </c>
      <c r="AC824" s="83"/>
    </row>
    <row r="825" spans="1:29" ht="15.75" hidden="1" x14ac:dyDescent="0.25">
      <c r="A825" s="114" t="s">
        <v>1525</v>
      </c>
      <c r="B825" s="76">
        <v>45834</v>
      </c>
      <c r="C825" s="76" t="s">
        <v>441</v>
      </c>
      <c r="D825" s="115" t="s">
        <v>20</v>
      </c>
      <c r="E825" s="115" t="s">
        <v>21</v>
      </c>
      <c r="F825" s="78" t="s">
        <v>22</v>
      </c>
      <c r="G825" s="115" t="s">
        <v>1469</v>
      </c>
      <c r="H825" s="115" t="s">
        <v>24</v>
      </c>
      <c r="I825" s="115" t="s">
        <v>407</v>
      </c>
      <c r="J825" s="79">
        <v>1020100</v>
      </c>
      <c r="K825" s="115" t="s">
        <v>26</v>
      </c>
      <c r="L825" s="72">
        <v>250000</v>
      </c>
      <c r="M825" s="72">
        <v>1</v>
      </c>
      <c r="N825" s="60">
        <f>Main_Issuance[[#This Row],[LC Amt(FCY)]]*Main_Issuance[[#This Row],[Rate]]</f>
        <v>250000</v>
      </c>
      <c r="O825" s="77">
        <v>46199</v>
      </c>
      <c r="P825" s="77">
        <v>46199</v>
      </c>
      <c r="Q825" s="77" t="s">
        <v>27</v>
      </c>
      <c r="R825" s="115" t="s">
        <v>621</v>
      </c>
      <c r="S825" s="81"/>
      <c r="T825" s="81"/>
      <c r="U825" s="81"/>
      <c r="V825" s="83">
        <v>0</v>
      </c>
      <c r="W825" s="115"/>
      <c r="X825" s="77" t="str">
        <f ca="1">IF(AND((Main_Issuance[[#This Row],[Expiry Date]]+31)&gt;TODAY(),Main_Issuance[[#This Row],[Status]]&lt;&gt;"Cancelled"),"Active","Cancelled")</f>
        <v>Active</v>
      </c>
      <c r="Y825" s="409"/>
      <c r="Z825" s="408"/>
      <c r="AA825" s="408" t="s">
        <v>857</v>
      </c>
      <c r="AB825" s="83" cm="1">
        <f t="array" ref="AB825">Iss_Tariff(Main_Issuance[[#This Row],[Bank]],Main_Issuance[[#This Row],[LC Amt(SAR)]],Main_Issuance[[#This Row],[Issue Date.]],Main_Issuance[[#This Row],[Expiry Date]],Main_Issuance[[#This Row],[Calculate]])</f>
        <v>3571.9</v>
      </c>
      <c r="AC825" s="83"/>
    </row>
    <row r="826" spans="1:29" ht="15.75" hidden="1" x14ac:dyDescent="0.25">
      <c r="A826" s="114" t="s">
        <v>1794</v>
      </c>
      <c r="B826" s="76">
        <v>45893</v>
      </c>
      <c r="C826" s="76" t="s">
        <v>441</v>
      </c>
      <c r="D826" s="78" t="s">
        <v>20</v>
      </c>
      <c r="E826" s="115" t="s">
        <v>21</v>
      </c>
      <c r="F826" s="78" t="s">
        <v>22</v>
      </c>
      <c r="G826" s="124" t="s">
        <v>1764</v>
      </c>
      <c r="H826" s="115" t="s">
        <v>24</v>
      </c>
      <c r="I826" s="115" t="s">
        <v>22</v>
      </c>
      <c r="J826" s="79">
        <v>1020055</v>
      </c>
      <c r="K826" s="115" t="s">
        <v>26</v>
      </c>
      <c r="L826" s="72">
        <v>200000</v>
      </c>
      <c r="M826" s="72">
        <v>1</v>
      </c>
      <c r="N826" s="60">
        <f>Main_Issuance[[#This Row],[LC Amt(FCY)]]*Main_Issuance[[#This Row],[Rate]]</f>
        <v>200000</v>
      </c>
      <c r="O826" s="77">
        <v>45991</v>
      </c>
      <c r="P826" s="77">
        <v>45991</v>
      </c>
      <c r="Q826" s="77" t="s">
        <v>27</v>
      </c>
      <c r="R826" s="115" t="s">
        <v>621</v>
      </c>
      <c r="S826" s="81"/>
      <c r="T826" s="81"/>
      <c r="U826" s="81"/>
      <c r="V826" s="83">
        <v>0</v>
      </c>
      <c r="W826" s="78"/>
      <c r="X826" s="77" t="str">
        <f ca="1">IF(AND((Main_Issuance[[#This Row],[Expiry Date]]+31)&gt;TODAY(),Main_Issuance[[#This Row],[Status]]&lt;&gt;"Cancelled"),"Active","Cancelled")</f>
        <v>Cancelled</v>
      </c>
      <c r="Y826" s="409"/>
      <c r="Z826" s="408"/>
      <c r="AA826" s="408" t="s">
        <v>378</v>
      </c>
      <c r="AB826" s="83" cm="1">
        <f t="array" ref="AB826">Iss_Tariff(Main_Issuance[[#This Row],[Bank]],Main_Issuance[[#This Row],[LC Amt(SAR)]],Main_Issuance[[#This Row],[Issue Date.]],Main_Issuance[[#This Row],[Expiry Date]],Main_Issuance[[#This Row],[Calculate]])</f>
        <v>0</v>
      </c>
      <c r="AC826" s="83"/>
    </row>
    <row r="827" spans="1:29" ht="15.75" hidden="1" x14ac:dyDescent="0.25">
      <c r="A827" s="75" t="s">
        <v>1276</v>
      </c>
      <c r="B827" s="76">
        <v>45784</v>
      </c>
      <c r="C827" s="76" t="s">
        <v>441</v>
      </c>
      <c r="D827" s="78" t="s">
        <v>20</v>
      </c>
      <c r="E827" s="78" t="s">
        <v>373</v>
      </c>
      <c r="F827" s="123" t="s">
        <v>70</v>
      </c>
      <c r="G827" s="78" t="s">
        <v>1250</v>
      </c>
      <c r="H827" s="78" t="s">
        <v>24</v>
      </c>
      <c r="I827" s="78" t="s">
        <v>407</v>
      </c>
      <c r="J827" s="79">
        <v>1020100</v>
      </c>
      <c r="K827" s="78" t="s">
        <v>26</v>
      </c>
      <c r="L827" s="72">
        <v>500000</v>
      </c>
      <c r="M827" s="72">
        <v>1</v>
      </c>
      <c r="N827" s="72">
        <f>Main_Issuance[[#This Row],[LC Amt(FCY)]]*Main_Issuance[[#This Row],[Rate]]</f>
        <v>500000</v>
      </c>
      <c r="O827" s="76">
        <v>45869</v>
      </c>
      <c r="P827" s="76">
        <v>45869</v>
      </c>
      <c r="Q827" s="56" t="s">
        <v>70</v>
      </c>
      <c r="R827" s="78" t="s">
        <v>621</v>
      </c>
      <c r="S827" s="81"/>
      <c r="T827" s="81"/>
      <c r="U827" s="81"/>
      <c r="V827" s="83">
        <v>0</v>
      </c>
      <c r="W827" s="78"/>
      <c r="X827" s="76" t="str">
        <f ca="1">IF(AND((Main_Issuance[[#This Row],[Expiry Date]]+31)&gt;TODAY(),Main_Issuance[[#This Row],[Status]]&lt;&gt;"Cancelled"),"Active","Cancelled")</f>
        <v>Cancelled</v>
      </c>
      <c r="Y827" s="407"/>
      <c r="Z827" s="408"/>
      <c r="AA827" s="408" t="s">
        <v>378</v>
      </c>
      <c r="AB827" s="83" cm="1">
        <f t="array" ref="AB827">Iss_Tariff(Main_Issuance[[#This Row],[Bank]],Main_Issuance[[#This Row],[LC Amt(SAR)]],Main_Issuance[[#This Row],[Issue Date.]],Main_Issuance[[#This Row],[Expiry Date]],Main_Issuance[[#This Row],[Calculate]])</f>
        <v>0</v>
      </c>
      <c r="AC827" s="83"/>
    </row>
    <row r="828" spans="1:29" ht="15.75" hidden="1" x14ac:dyDescent="0.25">
      <c r="A828" s="114" t="s">
        <v>482</v>
      </c>
      <c r="B828" s="56">
        <v>45623</v>
      </c>
      <c r="C828" s="56" t="s">
        <v>509</v>
      </c>
      <c r="D828" s="69" t="s">
        <v>20</v>
      </c>
      <c r="E828" s="69" t="s">
        <v>373</v>
      </c>
      <c r="F828" s="69" t="s">
        <v>70</v>
      </c>
      <c r="G828" s="19" t="s">
        <v>484</v>
      </c>
      <c r="H828" s="65" t="s">
        <v>72</v>
      </c>
      <c r="I828" s="65" t="s">
        <v>407</v>
      </c>
      <c r="J828" s="65">
        <v>1020100</v>
      </c>
      <c r="K828" s="69" t="s">
        <v>67</v>
      </c>
      <c r="L828" s="72">
        <v>965047</v>
      </c>
      <c r="M828" s="72">
        <v>4.6084500000000004</v>
      </c>
      <c r="N828" s="72">
        <f>Main_Issuance[[#This Row],[LC Amt(FCY)]]*Main_Issuance[[#This Row],[Rate]]</f>
        <v>4447370.8471500007</v>
      </c>
      <c r="O828" s="56">
        <v>45945</v>
      </c>
      <c r="P828" s="56">
        <v>45930</v>
      </c>
      <c r="Q828" s="56" t="s">
        <v>70</v>
      </c>
      <c r="R828" s="69" t="s">
        <v>208</v>
      </c>
      <c r="S828" s="71"/>
      <c r="T828" s="71"/>
      <c r="U828" s="71"/>
      <c r="V828" s="68">
        <v>0</v>
      </c>
      <c r="W828" s="78"/>
      <c r="X828" s="56" t="str">
        <f ca="1">IF(AND((Main_Issuance[[#This Row],[Expiry Date]]+31)&gt;TODAY(),Main_Issuance[[#This Row],[Status]]&lt;&gt;"Cancelled"),"Active","Cancelled")</f>
        <v>Cancelled</v>
      </c>
      <c r="Y828" s="407"/>
      <c r="Z828" s="408"/>
      <c r="AA828" s="408" t="s">
        <v>378</v>
      </c>
      <c r="AB828" s="83" cm="1">
        <f t="array" ref="AB828">Iss_Tariff(Main_Issuance[[#This Row],[Bank]],Main_Issuance[[#This Row],[LC Amt(SAR)]],Main_Issuance[[#This Row],[Issue Date.]],Main_Issuance[[#This Row],[Expiry Date]],Main_Issuance[[#This Row],[Calculate]])</f>
        <v>0</v>
      </c>
      <c r="AC828" s="83"/>
    </row>
    <row r="829" spans="1:29" ht="15.75" hidden="1" x14ac:dyDescent="0.25">
      <c r="A829" s="114" t="s">
        <v>1194</v>
      </c>
      <c r="B829" s="76">
        <v>45761</v>
      </c>
      <c r="C829" s="76" t="s">
        <v>509</v>
      </c>
      <c r="D829" s="69" t="s">
        <v>20</v>
      </c>
      <c r="E829" s="115" t="s">
        <v>21</v>
      </c>
      <c r="F829" s="78" t="s">
        <v>22</v>
      </c>
      <c r="G829" s="115" t="s">
        <v>769</v>
      </c>
      <c r="H829" s="113" t="s">
        <v>24</v>
      </c>
      <c r="I829" s="113" t="s">
        <v>407</v>
      </c>
      <c r="J829" s="79">
        <v>1020100</v>
      </c>
      <c r="K829" s="115" t="s">
        <v>26</v>
      </c>
      <c r="L829" s="72">
        <v>500000</v>
      </c>
      <c r="M829" s="72">
        <v>1</v>
      </c>
      <c r="N829" s="60">
        <f>Main_Issuance[[#This Row],[LC Amt(FCY)]]*Main_Issuance[[#This Row],[Rate]]</f>
        <v>500000</v>
      </c>
      <c r="O829" s="76">
        <v>45961</v>
      </c>
      <c r="P829" s="76">
        <v>45961</v>
      </c>
      <c r="Q829" s="77" t="s">
        <v>27</v>
      </c>
      <c r="R829" s="78" t="s">
        <v>311</v>
      </c>
      <c r="S829" s="81"/>
      <c r="T829" s="81"/>
      <c r="U829" s="81"/>
      <c r="V829" s="83">
        <v>0</v>
      </c>
      <c r="W829" s="115" t="s">
        <v>1846</v>
      </c>
      <c r="X829" s="77" t="str">
        <f ca="1">IF(AND((Main_Issuance[[#This Row],[Expiry Date]]+31)&gt;TODAY(),Main_Issuance[[#This Row],[Status]]&lt;&gt;"Cancelled"),"Active","Cancelled")</f>
        <v>Cancelled</v>
      </c>
      <c r="Y829" s="409"/>
      <c r="Z829" s="408"/>
      <c r="AA829" s="408" t="s">
        <v>378</v>
      </c>
      <c r="AB829" s="83" cm="1">
        <f t="array" ref="AB829">Iss_Tariff(Main_Issuance[[#This Row],[Bank]],Main_Issuance[[#This Row],[LC Amt(SAR)]],Main_Issuance[[#This Row],[Issue Date.]],Main_Issuance[[#This Row],[Expiry Date]],Main_Issuance[[#This Row],[Calculate]])</f>
        <v>0</v>
      </c>
      <c r="AC829" s="83"/>
    </row>
    <row r="830" spans="1:29" ht="15.75" hidden="1" x14ac:dyDescent="0.25">
      <c r="A830" s="114" t="s">
        <v>1672</v>
      </c>
      <c r="B830" s="76">
        <v>45872</v>
      </c>
      <c r="C830" s="76" t="s">
        <v>1119</v>
      </c>
      <c r="D830" s="78" t="s">
        <v>20</v>
      </c>
      <c r="E830" s="115" t="s">
        <v>366</v>
      </c>
      <c r="F830" s="78" t="s">
        <v>367</v>
      </c>
      <c r="G830" s="115" t="s">
        <v>1632</v>
      </c>
      <c r="H830" s="115" t="s">
        <v>24</v>
      </c>
      <c r="I830" s="115" t="s">
        <v>367</v>
      </c>
      <c r="J830" s="79">
        <v>1020091</v>
      </c>
      <c r="K830" s="115" t="s">
        <v>26</v>
      </c>
      <c r="L830" s="72">
        <v>120000</v>
      </c>
      <c r="M830" s="72">
        <v>1</v>
      </c>
      <c r="N830" s="60">
        <f>Main_Issuance[[#This Row],[LC Amt(FCY)]]*Main_Issuance[[#This Row],[Rate]]</f>
        <v>120000</v>
      </c>
      <c r="O830" s="76">
        <v>46081</v>
      </c>
      <c r="P830" s="76">
        <v>46081</v>
      </c>
      <c r="Q830" s="77" t="s">
        <v>27</v>
      </c>
      <c r="R830" s="78" t="s">
        <v>1624</v>
      </c>
      <c r="S830" s="81"/>
      <c r="T830" s="81"/>
      <c r="U830" s="81"/>
      <c r="V830" s="83">
        <v>0</v>
      </c>
      <c r="W830" s="115"/>
      <c r="X830" s="77" t="str">
        <f ca="1">IF(AND((Main_Issuance[[#This Row],[Expiry Date]]+31)&gt;TODAY(),Main_Issuance[[#This Row],[Status]]&lt;&gt;"Cancelled"),"Active","Cancelled")</f>
        <v>Cancelled</v>
      </c>
      <c r="Y830" s="409"/>
      <c r="Z830" s="408"/>
      <c r="AA830" s="408" t="s">
        <v>857</v>
      </c>
      <c r="AB830" s="83" cm="1">
        <f t="array" ref="AB830">Iss_Tariff(Main_Issuance[[#This Row],[Bank]],Main_Issuance[[#This Row],[LC Amt(SAR)]],Main_Issuance[[#This Row],[Issue Date.]],Main_Issuance[[#This Row],[Expiry Date]],Main_Issuance[[#This Row],[Calculate]])</f>
        <v>776.25</v>
      </c>
      <c r="AC830" s="83"/>
    </row>
    <row r="831" spans="1:29" ht="15.75" hidden="1" x14ac:dyDescent="0.25">
      <c r="A831" s="114" t="s">
        <v>3949</v>
      </c>
      <c r="B831" s="76">
        <v>46057</v>
      </c>
      <c r="C831" s="76" t="s">
        <v>1537</v>
      </c>
      <c r="D831" s="115" t="s">
        <v>20</v>
      </c>
      <c r="E831" s="115" t="s">
        <v>62</v>
      </c>
      <c r="F831" s="78" t="s">
        <v>483</v>
      </c>
      <c r="G831" s="115" t="s">
        <v>769</v>
      </c>
      <c r="H831" s="113" t="s">
        <v>24</v>
      </c>
      <c r="I831" s="115" t="s">
        <v>483</v>
      </c>
      <c r="J831" s="79">
        <v>1020096</v>
      </c>
      <c r="K831" s="115" t="s">
        <v>26</v>
      </c>
      <c r="L831" s="80">
        <v>500000</v>
      </c>
      <c r="M831" s="81">
        <v>1</v>
      </c>
      <c r="N831" s="82">
        <f>Main_Issuance[[#This Row],[LC Amt(FCY)]]*Main_Issuance[[#This Row],[Rate]]</f>
        <v>500000</v>
      </c>
      <c r="O831" s="77">
        <v>46296</v>
      </c>
      <c r="P831" s="77">
        <v>46296</v>
      </c>
      <c r="Q831" s="77" t="s">
        <v>27</v>
      </c>
      <c r="R831" s="78" t="s">
        <v>3229</v>
      </c>
      <c r="S831" s="81"/>
      <c r="T831" s="81"/>
      <c r="U831" s="81"/>
      <c r="V831" s="83">
        <v>0</v>
      </c>
      <c r="W831" s="115"/>
      <c r="X831" s="77" t="str">
        <f ca="1">IF(AND((Main_Issuance[[#This Row],[Expiry Date]]+31)&gt;TODAY(),Main_Issuance[[#This Row],[Status]]&lt;&gt;"Cancelled"),"Active","Cancelled")</f>
        <v>Active</v>
      </c>
      <c r="Y831" s="409"/>
      <c r="Z831" s="408"/>
      <c r="AA831" s="408" t="s">
        <v>857</v>
      </c>
      <c r="AB831" s="83" cm="1">
        <f t="array" ref="AB831">Iss_Tariff(Main_Issuance[[#This Row],[Bank]],Main_Issuance[[#This Row],[LC Amt(SAR)]],Main_Issuance[[#This Row],[Issue Date.]],Main_Issuance[[#This Row],[Expiry Date]],Main_Issuance[[#This Row],[Calculate]])</f>
        <v>7435.9</v>
      </c>
      <c r="AC831" s="83"/>
    </row>
    <row r="832" spans="1:29" ht="15.75" hidden="1" x14ac:dyDescent="0.25">
      <c r="A832" s="57" t="s">
        <v>204</v>
      </c>
      <c r="B832" s="56">
        <v>45147</v>
      </c>
      <c r="C832" s="56" t="s">
        <v>441</v>
      </c>
      <c r="D832" s="69" t="s">
        <v>20</v>
      </c>
      <c r="E832" s="69" t="s">
        <v>21</v>
      </c>
      <c r="F832" s="69" t="s">
        <v>22</v>
      </c>
      <c r="G832" s="470" t="s">
        <v>205</v>
      </c>
      <c r="H832" s="65" t="s">
        <v>24</v>
      </c>
      <c r="I832" s="65" t="s">
        <v>22</v>
      </c>
      <c r="J832" s="65">
        <v>1020055</v>
      </c>
      <c r="K832" s="69" t="s">
        <v>26</v>
      </c>
      <c r="L832" s="72">
        <v>661990.6</v>
      </c>
      <c r="M832" s="72">
        <v>1</v>
      </c>
      <c r="N832" s="72">
        <f>Main_Issuance[[#This Row],[LC Amt(FCY)]]*Main_Issuance[[#This Row],[Rate]]</f>
        <v>661990.6</v>
      </c>
      <c r="O832" s="56">
        <v>45291</v>
      </c>
      <c r="P832" s="56">
        <v>45291</v>
      </c>
      <c r="Q832" s="56" t="s">
        <v>27</v>
      </c>
      <c r="R832" s="69" t="s">
        <v>35</v>
      </c>
      <c r="S832" s="71"/>
      <c r="T832" s="71"/>
      <c r="U832" s="71"/>
      <c r="V832" s="68">
        <v>0</v>
      </c>
      <c r="W832" s="115"/>
      <c r="X832" s="56" t="str">
        <f ca="1">IF(AND((Main_Issuance[[#This Row],[Expiry Date]]+31)&gt;TODAY(),Main_Issuance[[#This Row],[Status]]&lt;&gt;"Cancelled"),"Active","Cancelled")</f>
        <v>Cancelled</v>
      </c>
      <c r="Y832" s="407"/>
      <c r="Z832" s="408"/>
      <c r="AA832" s="408" t="s">
        <v>378</v>
      </c>
      <c r="AB832" s="83" cm="1">
        <f t="array" ref="AB832">Iss_Tariff(Main_Issuance[[#This Row],[Bank]],Main_Issuance[[#This Row],[LC Amt(SAR)]],Main_Issuance[[#This Row],[Issue Date.]],Main_Issuance[[#This Row],[Expiry Date]],Main_Issuance[[#This Row],[Calculate]])</f>
        <v>0</v>
      </c>
      <c r="AC832" s="83"/>
    </row>
    <row r="833" spans="1:29" ht="15.75" hidden="1" x14ac:dyDescent="0.25">
      <c r="A833" s="70" t="s">
        <v>514</v>
      </c>
      <c r="B833" s="56">
        <v>45643</v>
      </c>
      <c r="C833" s="56" t="s">
        <v>509</v>
      </c>
      <c r="D833" s="69" t="s">
        <v>20</v>
      </c>
      <c r="E833" s="69" t="s">
        <v>95</v>
      </c>
      <c r="F833" s="69" t="s">
        <v>96</v>
      </c>
      <c r="G833" s="69" t="s">
        <v>515</v>
      </c>
      <c r="H833" s="65" t="s">
        <v>72</v>
      </c>
      <c r="I833" s="65" t="s">
        <v>487</v>
      </c>
      <c r="J833" s="65">
        <v>1020060</v>
      </c>
      <c r="K833" s="69" t="s">
        <v>26</v>
      </c>
      <c r="L833" s="72">
        <v>999349.72</v>
      </c>
      <c r="M833" s="72">
        <v>1</v>
      </c>
      <c r="N833" s="72">
        <f>Main_Issuance[[#This Row],[LC Amt(FCY)]]*Main_Issuance[[#This Row],[Rate]]</f>
        <v>999349.72</v>
      </c>
      <c r="O833" s="56">
        <v>45716</v>
      </c>
      <c r="P833" s="56">
        <v>45692</v>
      </c>
      <c r="Q833" s="56" t="s">
        <v>27</v>
      </c>
      <c r="R833" s="69" t="s">
        <v>305</v>
      </c>
      <c r="S833" s="71"/>
      <c r="T833" s="71"/>
      <c r="U833" s="71"/>
      <c r="V833" s="68">
        <v>0</v>
      </c>
      <c r="W833" s="78"/>
      <c r="X833" s="56" t="str">
        <f ca="1">IF(AND((Main_Issuance[[#This Row],[Expiry Date]]+31)&gt;TODAY(),Main_Issuance[[#This Row],[Status]]&lt;&gt;"Cancelled"),"Active","Cancelled")</f>
        <v>Cancelled</v>
      </c>
      <c r="Y833" s="407"/>
      <c r="Z833" s="408"/>
      <c r="AA833" s="408" t="s">
        <v>378</v>
      </c>
      <c r="AB833" s="83" cm="1">
        <f t="array" ref="AB833">Iss_Tariff(Main_Issuance[[#This Row],[Bank]],Main_Issuance[[#This Row],[LC Amt(SAR)]],Main_Issuance[[#This Row],[Issue Date.]],Main_Issuance[[#This Row],[Expiry Date]],Main_Issuance[[#This Row],[Calculate]])</f>
        <v>0</v>
      </c>
      <c r="AC833" s="83"/>
    </row>
    <row r="834" spans="1:29" ht="15.75" hidden="1" x14ac:dyDescent="0.25">
      <c r="A834" s="70" t="s">
        <v>553</v>
      </c>
      <c r="B834" s="56">
        <v>45634</v>
      </c>
      <c r="C834" s="56" t="s">
        <v>509</v>
      </c>
      <c r="D834" s="69" t="s">
        <v>20</v>
      </c>
      <c r="E834" s="69" t="s">
        <v>95</v>
      </c>
      <c r="F834" s="69" t="s">
        <v>96</v>
      </c>
      <c r="G834" s="69" t="s">
        <v>554</v>
      </c>
      <c r="H834" s="65" t="s">
        <v>24</v>
      </c>
      <c r="I834" s="65" t="s">
        <v>407</v>
      </c>
      <c r="J834" s="65">
        <v>1020100</v>
      </c>
      <c r="K834" s="69" t="s">
        <v>26</v>
      </c>
      <c r="L834" s="72">
        <v>300000</v>
      </c>
      <c r="M834" s="72">
        <v>1</v>
      </c>
      <c r="N834" s="72">
        <f>Main_Issuance[[#This Row],[LC Amt(FCY)]]*Main_Issuance[[#This Row],[Rate]]</f>
        <v>300000</v>
      </c>
      <c r="O834" s="56">
        <v>45716</v>
      </c>
      <c r="P834" s="56">
        <v>45716</v>
      </c>
      <c r="Q834" s="56" t="s">
        <v>27</v>
      </c>
      <c r="R834" s="69" t="s">
        <v>311</v>
      </c>
      <c r="S834" s="71"/>
      <c r="T834" s="71"/>
      <c r="U834" s="71"/>
      <c r="V834" s="68">
        <v>0</v>
      </c>
      <c r="W834" s="78"/>
      <c r="X834" s="56" t="str">
        <f ca="1">IF(AND((Main_Issuance[[#This Row],[Expiry Date]]+31)&gt;TODAY(),Main_Issuance[[#This Row],[Status]]&lt;&gt;"Cancelled"),"Active","Cancelled")</f>
        <v>Cancelled</v>
      </c>
      <c r="Y834" s="407"/>
      <c r="Z834" s="408"/>
      <c r="AA834" s="408" t="s">
        <v>378</v>
      </c>
      <c r="AB834" s="83" cm="1">
        <f t="array" ref="AB834">Iss_Tariff(Main_Issuance[[#This Row],[Bank]],Main_Issuance[[#This Row],[LC Amt(SAR)]],Main_Issuance[[#This Row],[Issue Date.]],Main_Issuance[[#This Row],[Expiry Date]],Main_Issuance[[#This Row],[Calculate]])</f>
        <v>0</v>
      </c>
      <c r="AC834" s="83"/>
    </row>
    <row r="835" spans="1:29" ht="15.75" hidden="1" x14ac:dyDescent="0.25">
      <c r="A835" s="75" t="s">
        <v>1658</v>
      </c>
      <c r="B835" s="76">
        <v>45869</v>
      </c>
      <c r="C835" s="76" t="s">
        <v>441</v>
      </c>
      <c r="D835" s="78" t="s">
        <v>20</v>
      </c>
      <c r="E835" s="78" t="s">
        <v>21</v>
      </c>
      <c r="F835" s="78" t="s">
        <v>22</v>
      </c>
      <c r="G835" s="123" t="s">
        <v>1589</v>
      </c>
      <c r="H835" s="78" t="s">
        <v>24</v>
      </c>
      <c r="I835" s="78" t="s">
        <v>22</v>
      </c>
      <c r="J835" s="79">
        <v>1020055</v>
      </c>
      <c r="K835" s="78" t="s">
        <v>26</v>
      </c>
      <c r="L835" s="72">
        <v>395588.5</v>
      </c>
      <c r="M835" s="72">
        <v>1</v>
      </c>
      <c r="N835" s="72">
        <f>Main_Issuance[[#This Row],[LC Amt(FCY)]]*Main_Issuance[[#This Row],[Rate]]</f>
        <v>395588.5</v>
      </c>
      <c r="O835" s="76">
        <v>45961</v>
      </c>
      <c r="P835" s="76">
        <v>45961</v>
      </c>
      <c r="Q835" s="76" t="s">
        <v>27</v>
      </c>
      <c r="R835" s="78" t="s">
        <v>621</v>
      </c>
      <c r="S835" s="81"/>
      <c r="T835" s="81"/>
      <c r="U835" s="81"/>
      <c r="V835" s="83">
        <v>0</v>
      </c>
      <c r="W835" s="78"/>
      <c r="X835" s="76" t="str">
        <f ca="1">IF(AND((Main_Issuance[[#This Row],[Expiry Date]]+31)&gt;TODAY(),Main_Issuance[[#This Row],[Status]]&lt;&gt;"Cancelled"),"Active","Cancelled")</f>
        <v>Cancelled</v>
      </c>
      <c r="Y835" s="407"/>
      <c r="Z835" s="408"/>
      <c r="AA835" s="408" t="s">
        <v>378</v>
      </c>
      <c r="AB835" s="83" cm="1">
        <f t="array" ref="AB835">Iss_Tariff(Main_Issuance[[#This Row],[Bank]],Main_Issuance[[#This Row],[LC Amt(SAR)]],Main_Issuance[[#This Row],[Issue Date.]],Main_Issuance[[#This Row],[Expiry Date]],Main_Issuance[[#This Row],[Calculate]])</f>
        <v>0</v>
      </c>
      <c r="AC835" s="83"/>
    </row>
    <row r="836" spans="1:29" ht="15.75" hidden="1" x14ac:dyDescent="0.25">
      <c r="A836" s="75" t="s">
        <v>1310</v>
      </c>
      <c r="B836" s="76">
        <v>45788</v>
      </c>
      <c r="C836" s="76" t="s">
        <v>441</v>
      </c>
      <c r="D836" s="78" t="s">
        <v>20</v>
      </c>
      <c r="E836" s="78" t="s">
        <v>21</v>
      </c>
      <c r="F836" s="78" t="s">
        <v>22</v>
      </c>
      <c r="G836" s="78" t="s">
        <v>1266</v>
      </c>
      <c r="H836" s="78" t="s">
        <v>24</v>
      </c>
      <c r="I836" s="78" t="s">
        <v>22</v>
      </c>
      <c r="J836" s="78">
        <v>1020055</v>
      </c>
      <c r="K836" s="78" t="s">
        <v>26</v>
      </c>
      <c r="L836" s="72">
        <v>300000</v>
      </c>
      <c r="M836" s="72">
        <v>1</v>
      </c>
      <c r="N836" s="72">
        <f>Main_Issuance[[#This Row],[LC Amt(FCY)]]*Main_Issuance[[#This Row],[Rate]]</f>
        <v>300000</v>
      </c>
      <c r="O836" s="76">
        <v>45900</v>
      </c>
      <c r="P836" s="76">
        <v>45900</v>
      </c>
      <c r="Q836" s="76" t="s">
        <v>27</v>
      </c>
      <c r="R836" s="78" t="s">
        <v>621</v>
      </c>
      <c r="S836" s="81"/>
      <c r="T836" s="81"/>
      <c r="U836" s="81"/>
      <c r="V836" s="83">
        <v>0</v>
      </c>
      <c r="W836" s="78"/>
      <c r="X836" s="76" t="str">
        <f ca="1">IF(AND((Main_Issuance[[#This Row],[Expiry Date]]+31)&gt;TODAY(),Main_Issuance[[#This Row],[Status]]&lt;&gt;"Cancelled"),"Active","Cancelled")</f>
        <v>Cancelled</v>
      </c>
      <c r="Y836" s="471"/>
      <c r="Z836" s="408"/>
      <c r="AA836" s="408" t="s">
        <v>378</v>
      </c>
      <c r="AB836" s="83" cm="1">
        <f t="array" ref="AB836">Iss_Tariff(Main_Issuance[[#This Row],[Bank]],Main_Issuance[[#This Row],[LC Amt(SAR)]],Main_Issuance[[#This Row],[Issue Date.]],Main_Issuance[[#This Row],[Expiry Date]],Main_Issuance[[#This Row],[Calculate]])</f>
        <v>0</v>
      </c>
      <c r="AC836" s="83"/>
    </row>
    <row r="837" spans="1:29" ht="15.75" hidden="1" x14ac:dyDescent="0.25">
      <c r="A837" s="75" t="s">
        <v>810</v>
      </c>
      <c r="B837" s="56">
        <v>45739</v>
      </c>
      <c r="C837" s="56" t="s">
        <v>441</v>
      </c>
      <c r="D837" s="69" t="s">
        <v>20</v>
      </c>
      <c r="E837" s="69" t="s">
        <v>21</v>
      </c>
      <c r="F837" s="69" t="s">
        <v>22</v>
      </c>
      <c r="G837" s="69" t="s">
        <v>811</v>
      </c>
      <c r="H837" s="69" t="s">
        <v>24</v>
      </c>
      <c r="I837" s="69" t="s">
        <v>22</v>
      </c>
      <c r="J837" s="65">
        <v>1020055</v>
      </c>
      <c r="K837" s="69" t="s">
        <v>26</v>
      </c>
      <c r="L837" s="72">
        <v>450163.23</v>
      </c>
      <c r="M837" s="72">
        <v>1</v>
      </c>
      <c r="N837" s="72">
        <f>Main_Issuance[[#This Row],[LC Amt(FCY)]]*Main_Issuance[[#This Row],[Rate]]</f>
        <v>450163.23</v>
      </c>
      <c r="O837" s="56">
        <v>45900</v>
      </c>
      <c r="P837" s="56">
        <v>45900</v>
      </c>
      <c r="Q837" s="56" t="s">
        <v>27</v>
      </c>
      <c r="R837" s="69" t="s">
        <v>311</v>
      </c>
      <c r="S837" s="71"/>
      <c r="T837" s="71"/>
      <c r="U837" s="71"/>
      <c r="V837" s="68">
        <v>0</v>
      </c>
      <c r="W837" s="78" t="s">
        <v>1846</v>
      </c>
      <c r="X837" s="56" t="str">
        <f ca="1">IF(AND((Main_Issuance[[#This Row],[Expiry Date]]+31)&gt;TODAY(),Main_Issuance[[#This Row],[Status]]&lt;&gt;"Cancelled"),"Active","Cancelled")</f>
        <v>Cancelled</v>
      </c>
      <c r="Y837" s="407"/>
      <c r="Z837" s="408"/>
      <c r="AA837" s="408" t="s">
        <v>378</v>
      </c>
      <c r="AB837" s="83" cm="1">
        <f t="array" ref="AB837">Iss_Tariff(Main_Issuance[[#This Row],[Bank]],Main_Issuance[[#This Row],[LC Amt(SAR)]],Main_Issuance[[#This Row],[Issue Date.]],Main_Issuance[[#This Row],[Expiry Date]],Main_Issuance[[#This Row],[Calculate]])</f>
        <v>0</v>
      </c>
      <c r="AC837" s="83"/>
    </row>
    <row r="838" spans="1:29" ht="15.75" hidden="1" x14ac:dyDescent="0.25">
      <c r="A838" s="70" t="s">
        <v>739</v>
      </c>
      <c r="B838" s="56">
        <v>45725</v>
      </c>
      <c r="C838" s="56" t="s">
        <v>509</v>
      </c>
      <c r="D838" s="69" t="s">
        <v>20</v>
      </c>
      <c r="E838" s="69" t="s">
        <v>373</v>
      </c>
      <c r="F838" s="69" t="s">
        <v>63</v>
      </c>
      <c r="G838" s="69" t="s">
        <v>740</v>
      </c>
      <c r="H838" s="65" t="s">
        <v>72</v>
      </c>
      <c r="I838" s="65" t="s">
        <v>304</v>
      </c>
      <c r="J838" s="65">
        <v>1020098</v>
      </c>
      <c r="K838" s="69" t="s">
        <v>26</v>
      </c>
      <c r="L838" s="72">
        <v>7566370.25</v>
      </c>
      <c r="M838" s="72">
        <v>1</v>
      </c>
      <c r="N838" s="72">
        <f>Main_Issuance[[#This Row],[LC Amt(FCY)]]*Main_Issuance[[#This Row],[Rate]]</f>
        <v>7566370.25</v>
      </c>
      <c r="O838" s="56">
        <v>45808</v>
      </c>
      <c r="P838" s="56">
        <v>45747</v>
      </c>
      <c r="Q838" s="56" t="s">
        <v>27</v>
      </c>
      <c r="R838" s="69" t="s">
        <v>461</v>
      </c>
      <c r="S838" s="71"/>
      <c r="T838" s="71"/>
      <c r="U838" s="71"/>
      <c r="V838" s="68">
        <v>0</v>
      </c>
      <c r="W838" s="78"/>
      <c r="X838" s="56" t="str">
        <f ca="1">IF(AND((Main_Issuance[[#This Row],[Expiry Date]]+31)&gt;TODAY(),Main_Issuance[[#This Row],[Status]]&lt;&gt;"Cancelled"),"Active","Cancelled")</f>
        <v>Cancelled</v>
      </c>
      <c r="Y838" s="407"/>
      <c r="Z838" s="408"/>
      <c r="AA838" s="408" t="s">
        <v>378</v>
      </c>
      <c r="AB838" s="83" cm="1">
        <f t="array" ref="AB838">Iss_Tariff(Main_Issuance[[#This Row],[Bank]],Main_Issuance[[#This Row],[LC Amt(SAR)]],Main_Issuance[[#This Row],[Issue Date.]],Main_Issuance[[#This Row],[Expiry Date]],Main_Issuance[[#This Row],[Calculate]])</f>
        <v>0</v>
      </c>
      <c r="AC838" s="83"/>
    </row>
    <row r="839" spans="1:29" ht="15.75" hidden="1" x14ac:dyDescent="0.25">
      <c r="A839" s="75" t="s">
        <v>1279</v>
      </c>
      <c r="B839" s="76">
        <v>45784</v>
      </c>
      <c r="C839" s="76" t="s">
        <v>441</v>
      </c>
      <c r="D839" s="78" t="s">
        <v>20</v>
      </c>
      <c r="E839" s="78" t="s">
        <v>373</v>
      </c>
      <c r="F839" s="123" t="s">
        <v>70</v>
      </c>
      <c r="G839" s="78" t="s">
        <v>1242</v>
      </c>
      <c r="H839" s="78" t="s">
        <v>24</v>
      </c>
      <c r="I839" s="78" t="s">
        <v>407</v>
      </c>
      <c r="J839" s="79">
        <v>1020100</v>
      </c>
      <c r="K839" s="78" t="s">
        <v>26</v>
      </c>
      <c r="L839" s="72">
        <v>270000</v>
      </c>
      <c r="M839" s="72">
        <v>1</v>
      </c>
      <c r="N839" s="72">
        <f>Main_Issuance[[#This Row],[LC Amt(FCY)]]*Main_Issuance[[#This Row],[Rate]]</f>
        <v>270000</v>
      </c>
      <c r="O839" s="76">
        <v>45869</v>
      </c>
      <c r="P839" s="76">
        <v>45869</v>
      </c>
      <c r="Q839" s="56" t="s">
        <v>70</v>
      </c>
      <c r="R839" s="78" t="s">
        <v>621</v>
      </c>
      <c r="S839" s="81"/>
      <c r="T839" s="81"/>
      <c r="U839" s="81"/>
      <c r="V839" s="83">
        <v>0</v>
      </c>
      <c r="W839" s="78"/>
      <c r="X839" s="76" t="str">
        <f ca="1">IF(AND((Main_Issuance[[#This Row],[Expiry Date]]+31)&gt;TODAY(),Main_Issuance[[#This Row],[Status]]&lt;&gt;"Cancelled"),"Active","Cancelled")</f>
        <v>Cancelled</v>
      </c>
      <c r="Y839" s="407"/>
      <c r="Z839" s="408"/>
      <c r="AA839" s="408" t="s">
        <v>378</v>
      </c>
      <c r="AB839" s="83" cm="1">
        <f t="array" ref="AB839">Iss_Tariff(Main_Issuance[[#This Row],[Bank]],Main_Issuance[[#This Row],[LC Amt(SAR)]],Main_Issuance[[#This Row],[Issue Date.]],Main_Issuance[[#This Row],[Expiry Date]],Main_Issuance[[#This Row],[Calculate]])</f>
        <v>0</v>
      </c>
      <c r="AC839" s="83"/>
    </row>
    <row r="840" spans="1:29" ht="15.75" hidden="1" x14ac:dyDescent="0.25">
      <c r="A840" s="70" t="s">
        <v>608</v>
      </c>
      <c r="B840" s="56">
        <v>45662</v>
      </c>
      <c r="C840" s="56" t="s">
        <v>509</v>
      </c>
      <c r="D840" s="69" t="s">
        <v>20</v>
      </c>
      <c r="E840" s="69" t="s">
        <v>95</v>
      </c>
      <c r="F840" s="69" t="s">
        <v>96</v>
      </c>
      <c r="G840" s="69" t="s">
        <v>609</v>
      </c>
      <c r="H840" s="65" t="s">
        <v>72</v>
      </c>
      <c r="I840" s="65" t="s">
        <v>304</v>
      </c>
      <c r="J840" s="65">
        <v>1020098</v>
      </c>
      <c r="K840" s="69" t="s">
        <v>26</v>
      </c>
      <c r="L840" s="72">
        <v>12603195</v>
      </c>
      <c r="M840" s="72">
        <v>1</v>
      </c>
      <c r="N840" s="72">
        <f>Main_Issuance[[#This Row],[LC Amt(FCY)]]*Main_Issuance[[#This Row],[Rate]]</f>
        <v>12603195</v>
      </c>
      <c r="O840" s="56">
        <v>45703</v>
      </c>
      <c r="P840" s="56">
        <v>45698</v>
      </c>
      <c r="Q840" s="56" t="s">
        <v>27</v>
      </c>
      <c r="R840" s="69" t="s">
        <v>305</v>
      </c>
      <c r="S840" s="71"/>
      <c r="T840" s="71"/>
      <c r="U840" s="71"/>
      <c r="V840" s="68">
        <v>0</v>
      </c>
      <c r="W840" s="78"/>
      <c r="X840" s="56" t="str">
        <f ca="1">IF(AND((Main_Issuance[[#This Row],[Expiry Date]]+31)&gt;TODAY(),Main_Issuance[[#This Row],[Status]]&lt;&gt;"Cancelled"),"Active","Cancelled")</f>
        <v>Cancelled</v>
      </c>
      <c r="Y840" s="407"/>
      <c r="Z840" s="408"/>
      <c r="AA840" s="408" t="s">
        <v>378</v>
      </c>
      <c r="AB840" s="83" cm="1">
        <f t="array" ref="AB840">Iss_Tariff(Main_Issuance[[#This Row],[Bank]],Main_Issuance[[#This Row],[LC Amt(SAR)]],Main_Issuance[[#This Row],[Issue Date.]],Main_Issuance[[#This Row],[Expiry Date]],Main_Issuance[[#This Row],[Calculate]])</f>
        <v>0</v>
      </c>
      <c r="AC840" s="83"/>
    </row>
    <row r="841" spans="1:29" ht="15.75" hidden="1" x14ac:dyDescent="0.25">
      <c r="A841" s="70" t="s">
        <v>686</v>
      </c>
      <c r="B841" s="56">
        <v>45685</v>
      </c>
      <c r="C841" s="56" t="s">
        <v>509</v>
      </c>
      <c r="D841" s="69" t="s">
        <v>20</v>
      </c>
      <c r="E841" s="69" t="s">
        <v>95</v>
      </c>
      <c r="F841" s="69" t="s">
        <v>96</v>
      </c>
      <c r="G841" s="69" t="s">
        <v>609</v>
      </c>
      <c r="H841" s="65" t="s">
        <v>72</v>
      </c>
      <c r="I841" s="65" t="s">
        <v>304</v>
      </c>
      <c r="J841" s="65">
        <v>1020098</v>
      </c>
      <c r="K841" s="69" t="s">
        <v>26</v>
      </c>
      <c r="L841" s="72">
        <v>5208739.97</v>
      </c>
      <c r="M841" s="72">
        <v>1</v>
      </c>
      <c r="N841" s="72">
        <f>Main_Issuance[[#This Row],[LC Amt(FCY)]]*Main_Issuance[[#This Row],[Rate]]</f>
        <v>5208739.97</v>
      </c>
      <c r="O841" s="56">
        <v>45747</v>
      </c>
      <c r="P841" s="56">
        <v>45731</v>
      </c>
      <c r="Q841" s="56" t="s">
        <v>27</v>
      </c>
      <c r="R841" s="69" t="s">
        <v>305</v>
      </c>
      <c r="S841" s="71"/>
      <c r="T841" s="71"/>
      <c r="U841" s="71"/>
      <c r="V841" s="68">
        <v>0</v>
      </c>
      <c r="W841" s="78"/>
      <c r="X841" s="56" t="str">
        <f ca="1">IF(AND((Main_Issuance[[#This Row],[Expiry Date]]+31)&gt;TODAY(),Main_Issuance[[#This Row],[Status]]&lt;&gt;"Cancelled"),"Active","Cancelled")</f>
        <v>Cancelled</v>
      </c>
      <c r="Y841" s="407"/>
      <c r="Z841" s="408"/>
      <c r="AA841" s="408" t="s">
        <v>378</v>
      </c>
      <c r="AB841" s="83" cm="1">
        <f t="array" ref="AB841">Iss_Tariff(Main_Issuance[[#This Row],[Bank]],Main_Issuance[[#This Row],[LC Amt(SAR)]],Main_Issuance[[#This Row],[Issue Date.]],Main_Issuance[[#This Row],[Expiry Date]],Main_Issuance[[#This Row],[Calculate]])</f>
        <v>0</v>
      </c>
      <c r="AC841" s="83"/>
    </row>
    <row r="842" spans="1:29" ht="15.75" hidden="1" x14ac:dyDescent="0.25">
      <c r="A842" s="70" t="s">
        <v>706</v>
      </c>
      <c r="B842" s="56">
        <v>45713</v>
      </c>
      <c r="C842" s="56" t="s">
        <v>509</v>
      </c>
      <c r="D842" s="69" t="s">
        <v>20</v>
      </c>
      <c r="E842" s="69" t="s">
        <v>373</v>
      </c>
      <c r="F842" s="69" t="s">
        <v>483</v>
      </c>
      <c r="G842" s="69" t="s">
        <v>609</v>
      </c>
      <c r="H842" s="65" t="s">
        <v>72</v>
      </c>
      <c r="I842" s="65" t="s">
        <v>304</v>
      </c>
      <c r="J842" s="65">
        <v>1020098</v>
      </c>
      <c r="K842" s="69" t="s">
        <v>26</v>
      </c>
      <c r="L842" s="72">
        <v>11821448</v>
      </c>
      <c r="M842" s="72">
        <v>1</v>
      </c>
      <c r="N842" s="72">
        <f>Main_Issuance[[#This Row],[LC Amt(FCY)]]*Main_Issuance[[#This Row],[Rate]]</f>
        <v>11821448</v>
      </c>
      <c r="O842" s="56">
        <v>45802</v>
      </c>
      <c r="P842" s="56">
        <v>45731</v>
      </c>
      <c r="Q842" s="56" t="s">
        <v>27</v>
      </c>
      <c r="R842" s="69" t="s">
        <v>305</v>
      </c>
      <c r="S842" s="71"/>
      <c r="T842" s="71"/>
      <c r="U842" s="71"/>
      <c r="V842" s="68">
        <v>0</v>
      </c>
      <c r="W842" s="78"/>
      <c r="X842" s="56" t="str">
        <f ca="1">IF(AND((Main_Issuance[[#This Row],[Expiry Date]]+31)&gt;TODAY(),Main_Issuance[[#This Row],[Status]]&lt;&gt;"Cancelled"),"Active","Cancelled")</f>
        <v>Cancelled</v>
      </c>
      <c r="Y842" s="407"/>
      <c r="Z842" s="408"/>
      <c r="AA842" s="408" t="s">
        <v>378</v>
      </c>
      <c r="AB842" s="83" cm="1">
        <f t="array" ref="AB842">Iss_Tariff(Main_Issuance[[#This Row],[Bank]],Main_Issuance[[#This Row],[LC Amt(SAR)]],Main_Issuance[[#This Row],[Issue Date.]],Main_Issuance[[#This Row],[Expiry Date]],Main_Issuance[[#This Row],[Calculate]])</f>
        <v>0</v>
      </c>
      <c r="AC842" s="83"/>
    </row>
    <row r="843" spans="1:29" ht="15.75" hidden="1" x14ac:dyDescent="0.25">
      <c r="A843" s="75" t="s">
        <v>1454</v>
      </c>
      <c r="B843" s="76">
        <v>45822</v>
      </c>
      <c r="C843" s="76" t="s">
        <v>509</v>
      </c>
      <c r="D843" s="78" t="s">
        <v>20</v>
      </c>
      <c r="E843" s="78" t="s">
        <v>95</v>
      </c>
      <c r="F843" s="78" t="s">
        <v>96</v>
      </c>
      <c r="G843" s="78" t="s">
        <v>609</v>
      </c>
      <c r="H843" s="79" t="s">
        <v>72</v>
      </c>
      <c r="I843" s="79" t="s">
        <v>304</v>
      </c>
      <c r="J843" s="79">
        <v>1020098</v>
      </c>
      <c r="K843" s="78" t="s">
        <v>26</v>
      </c>
      <c r="L843" s="72">
        <f>6817775+129559</f>
        <v>6947334</v>
      </c>
      <c r="M843" s="72">
        <v>1</v>
      </c>
      <c r="N843" s="72">
        <f>Main_Issuance[[#This Row],[LC Amt(FCY)]]*Main_Issuance[[#This Row],[Rate]]</f>
        <v>6947334</v>
      </c>
      <c r="O843" s="76">
        <v>45900</v>
      </c>
      <c r="P843" s="76">
        <v>45900</v>
      </c>
      <c r="Q843" s="76" t="s">
        <v>27</v>
      </c>
      <c r="R843" s="78" t="s">
        <v>305</v>
      </c>
      <c r="S843" s="81"/>
      <c r="T843" s="81"/>
      <c r="U843" s="81"/>
      <c r="V843" s="83"/>
      <c r="W843" s="78"/>
      <c r="X843" s="76" t="str">
        <f ca="1">IF(AND((Main_Issuance[[#This Row],[Expiry Date]]+31)&gt;TODAY(),Main_Issuance[[#This Row],[Status]]&lt;&gt;"Cancelled"),"Active","Cancelled")</f>
        <v>Cancelled</v>
      </c>
      <c r="Y843" s="407"/>
      <c r="Z843" s="408"/>
      <c r="AA843" s="408" t="s">
        <v>378</v>
      </c>
      <c r="AB843" s="83" cm="1">
        <f t="array" ref="AB843">Iss_Tariff(Main_Issuance[[#This Row],[Bank]],Main_Issuance[[#This Row],[LC Amt(SAR)]],Main_Issuance[[#This Row],[Issue Date.]],Main_Issuance[[#This Row],[Expiry Date]],Main_Issuance[[#This Row],[Calculate]])</f>
        <v>0</v>
      </c>
      <c r="AC843" s="83"/>
    </row>
    <row r="844" spans="1:29" ht="15.75" hidden="1" x14ac:dyDescent="0.25">
      <c r="A844" s="70" t="s">
        <v>100</v>
      </c>
      <c r="B844" s="56">
        <v>44899</v>
      </c>
      <c r="C844" s="56" t="s">
        <v>441</v>
      </c>
      <c r="D844" s="69" t="s">
        <v>20</v>
      </c>
      <c r="E844" s="69" t="s">
        <v>21</v>
      </c>
      <c r="F844" s="69" t="s">
        <v>22</v>
      </c>
      <c r="G844" s="69" t="s">
        <v>101</v>
      </c>
      <c r="H844" s="65" t="s">
        <v>72</v>
      </c>
      <c r="I844" s="65" t="s">
        <v>22</v>
      </c>
      <c r="J844" s="65">
        <v>1020055</v>
      </c>
      <c r="K844" s="69" t="s">
        <v>78</v>
      </c>
      <c r="L844" s="72">
        <v>14820421.75</v>
      </c>
      <c r="M844" s="72">
        <v>3.75</v>
      </c>
      <c r="N844" s="72">
        <f>Main_Issuance[[#This Row],[LC Amt(FCY)]]*Main_Issuance[[#This Row],[Rate]]</f>
        <v>55576581.5625</v>
      </c>
      <c r="O844" s="56">
        <v>45041</v>
      </c>
      <c r="P844" s="56">
        <v>45041</v>
      </c>
      <c r="Q844" s="56" t="s">
        <v>27</v>
      </c>
      <c r="R844" s="69"/>
      <c r="S844" s="71"/>
      <c r="T844" s="71"/>
      <c r="U844" s="71"/>
      <c r="V844" s="68">
        <v>0</v>
      </c>
      <c r="W844" s="78"/>
      <c r="X844" s="56" t="str">
        <f ca="1">IF(AND((Main_Issuance[[#This Row],[Expiry Date]]+31)&gt;TODAY(),Main_Issuance[[#This Row],[Status]]&lt;&gt;"Cancelled"),"Active","Cancelled")</f>
        <v>Cancelled</v>
      </c>
      <c r="Y844" s="407"/>
      <c r="Z844" s="408"/>
      <c r="AA844" s="408" t="s">
        <v>378</v>
      </c>
      <c r="AB844" s="83" cm="1">
        <f t="array" ref="AB844">Iss_Tariff(Main_Issuance[[#This Row],[Bank]],Main_Issuance[[#This Row],[LC Amt(SAR)]],Main_Issuance[[#This Row],[Issue Date.]],Main_Issuance[[#This Row],[Expiry Date]],Main_Issuance[[#This Row],[Calculate]])</f>
        <v>0</v>
      </c>
      <c r="AC844" s="83"/>
    </row>
    <row r="845" spans="1:29" ht="15.75" hidden="1" x14ac:dyDescent="0.25">
      <c r="A845" s="75" t="s">
        <v>2237</v>
      </c>
      <c r="B845" s="76">
        <v>45946</v>
      </c>
      <c r="C845" s="76" t="s">
        <v>441</v>
      </c>
      <c r="D845" s="78" t="s">
        <v>20</v>
      </c>
      <c r="E845" s="78" t="s">
        <v>366</v>
      </c>
      <c r="F845" s="78" t="s">
        <v>710</v>
      </c>
      <c r="G845" s="78" t="s">
        <v>1845</v>
      </c>
      <c r="H845" s="78" t="s">
        <v>24</v>
      </c>
      <c r="I845" s="78" t="s">
        <v>710</v>
      </c>
      <c r="J845" s="79">
        <v>1020088</v>
      </c>
      <c r="K845" s="78" t="s">
        <v>26</v>
      </c>
      <c r="L845" s="80">
        <v>500000</v>
      </c>
      <c r="M845" s="81">
        <v>1</v>
      </c>
      <c r="N845" s="81">
        <f>Main_Issuance[[#This Row],[LC Amt(FCY)]]*Main_Issuance[[#This Row],[Rate]]</f>
        <v>500000</v>
      </c>
      <c r="O845" s="76">
        <v>46203</v>
      </c>
      <c r="P845" s="76">
        <v>46203</v>
      </c>
      <c r="Q845" s="76" t="s">
        <v>27</v>
      </c>
      <c r="R845" s="78" t="s">
        <v>621</v>
      </c>
      <c r="S845" s="81"/>
      <c r="T845" s="81"/>
      <c r="U845" s="81"/>
      <c r="V845" s="83">
        <v>0</v>
      </c>
      <c r="W845" s="115"/>
      <c r="X845" s="76" t="str">
        <f ca="1">IF(AND((Main_Issuance[[#This Row],[Expiry Date]]+31)&gt;TODAY(),Main_Issuance[[#This Row],[Status]]&lt;&gt;"Cancelled"),"Active","Cancelled")</f>
        <v>Active</v>
      </c>
      <c r="Y845" s="407"/>
      <c r="Z845" s="408"/>
      <c r="AA845" s="408" t="s">
        <v>857</v>
      </c>
      <c r="AB845" s="83" cm="1">
        <f t="array" ref="AB845">Iss_Tariff(Main_Issuance[[#This Row],[Bank]],Main_Issuance[[#This Row],[LC Amt(SAR)]],Main_Issuance[[#This Row],[Issue Date.]],Main_Issuance[[#This Row],[Expiry Date]],Main_Issuance[[#This Row],[Calculate]])</f>
        <v>2961.25</v>
      </c>
      <c r="AC845" s="83"/>
    </row>
    <row r="846" spans="1:29" ht="15.75" hidden="1" x14ac:dyDescent="0.25">
      <c r="A846" s="19" t="s">
        <v>69</v>
      </c>
      <c r="B846" s="58">
        <v>45207</v>
      </c>
      <c r="C846" s="58" t="s">
        <v>1118</v>
      </c>
      <c r="D846" s="19" t="s">
        <v>20</v>
      </c>
      <c r="E846" s="19" t="s">
        <v>62</v>
      </c>
      <c r="F846" s="19" t="s">
        <v>70</v>
      </c>
      <c r="G846" s="19" t="s">
        <v>71</v>
      </c>
      <c r="H846" s="59" t="s">
        <v>72</v>
      </c>
      <c r="I846" s="59" t="s">
        <v>213</v>
      </c>
      <c r="J846" s="59">
        <v>1020015</v>
      </c>
      <c r="K846" s="19" t="s">
        <v>67</v>
      </c>
      <c r="L846" s="60">
        <v>5927186</v>
      </c>
      <c r="M846" s="60">
        <v>4.2151211000000002</v>
      </c>
      <c r="N846" s="60">
        <f>Main_Issuance[[#This Row],[LC Amt(FCY)]]*Main_Issuance[[#This Row],[Rate]]</f>
        <v>24983806.772224601</v>
      </c>
      <c r="O846" s="58">
        <v>45489</v>
      </c>
      <c r="P846" s="58">
        <v>45489</v>
      </c>
      <c r="Q846" s="58" t="s">
        <v>70</v>
      </c>
      <c r="R846" s="19" t="s">
        <v>74</v>
      </c>
      <c r="S846" s="61"/>
      <c r="T846" s="61"/>
      <c r="U846" s="61"/>
      <c r="V846" s="62">
        <v>0</v>
      </c>
      <c r="W846" s="115"/>
      <c r="X846" s="58" t="str">
        <f ca="1">IF(AND((Main_Issuance[[#This Row],[Expiry Date]]+31)&gt;TODAY(),Main_Issuance[[#This Row],[Status]]&lt;&gt;"Cancelled"),"Active","Cancelled")</f>
        <v>Cancelled</v>
      </c>
      <c r="Y846" s="409"/>
      <c r="Z846" s="408"/>
      <c r="AA846" s="408" t="s">
        <v>378</v>
      </c>
      <c r="AB846" s="97" cm="1">
        <f t="array" ref="AB846">Iss_Tariff(Main_Issuance[[#This Row],[Bank]],Main_Issuance[[#This Row],[LC Amt(SAR)]],Main_Issuance[[#This Row],[Issue Date.]],Main_Issuance[[#This Row],[Expiry Date]],Main_Issuance[[#This Row],[Calculate]])</f>
        <v>0</v>
      </c>
      <c r="AC846" s="97"/>
    </row>
    <row r="847" spans="1:29" ht="15.75" hidden="1" x14ac:dyDescent="0.25">
      <c r="A847" s="19" t="s">
        <v>91</v>
      </c>
      <c r="B847" s="58">
        <v>45379</v>
      </c>
      <c r="C847" s="58" t="s">
        <v>1118</v>
      </c>
      <c r="D847" s="19" t="s">
        <v>20</v>
      </c>
      <c r="E847" s="19" t="s">
        <v>62</v>
      </c>
      <c r="F847" s="19" t="s">
        <v>63</v>
      </c>
      <c r="G847" s="19" t="s">
        <v>71</v>
      </c>
      <c r="H847" s="59" t="s">
        <v>72</v>
      </c>
      <c r="I847" s="59" t="s">
        <v>213</v>
      </c>
      <c r="J847" s="59">
        <v>1020015</v>
      </c>
      <c r="K847" s="19" t="s">
        <v>67</v>
      </c>
      <c r="L847" s="60">
        <v>1440242</v>
      </c>
      <c r="M847" s="60">
        <v>4.0999999999999996</v>
      </c>
      <c r="N847" s="60">
        <f>Main_Issuance[[#This Row],[LC Amt(FCY)]]*Main_Issuance[[#This Row],[Rate]]</f>
        <v>5904992.1999999993</v>
      </c>
      <c r="O847" s="58">
        <v>45503</v>
      </c>
      <c r="P847" s="58">
        <v>45503</v>
      </c>
      <c r="Q847" s="58" t="s">
        <v>27</v>
      </c>
      <c r="R847" s="19"/>
      <c r="S847" s="61"/>
      <c r="T847" s="61"/>
      <c r="U847" s="61"/>
      <c r="V847" s="62">
        <v>0</v>
      </c>
      <c r="W847" s="115"/>
      <c r="X847" s="58" t="str">
        <f ca="1">IF(AND((Main_Issuance[[#This Row],[Expiry Date]]+31)&gt;TODAY(),Main_Issuance[[#This Row],[Status]]&lt;&gt;"Cancelled"),"Active","Cancelled")</f>
        <v>Cancelled</v>
      </c>
      <c r="Y847" s="409"/>
      <c r="Z847" s="408"/>
      <c r="AA847" s="408" t="s">
        <v>378</v>
      </c>
      <c r="AB847" s="97" cm="1">
        <f t="array" ref="AB847">Iss_Tariff(Main_Issuance[[#This Row],[Bank]],Main_Issuance[[#This Row],[LC Amt(SAR)]],Main_Issuance[[#This Row],[Issue Date.]],Main_Issuance[[#This Row],[Expiry Date]],Main_Issuance[[#This Row],[Calculate]])</f>
        <v>0</v>
      </c>
      <c r="AC847" s="97"/>
    </row>
    <row r="848" spans="1:29" ht="15.75" hidden="1" x14ac:dyDescent="0.25">
      <c r="A848" s="70" t="s">
        <v>319</v>
      </c>
      <c r="B848" s="56">
        <v>45529</v>
      </c>
      <c r="C848" s="56" t="s">
        <v>1118</v>
      </c>
      <c r="D848" s="69" t="s">
        <v>20</v>
      </c>
      <c r="E848" s="69" t="s">
        <v>62</v>
      </c>
      <c r="F848" s="69" t="s">
        <v>70</v>
      </c>
      <c r="G848" s="69" t="s">
        <v>71</v>
      </c>
      <c r="H848" s="65" t="s">
        <v>72</v>
      </c>
      <c r="I848" s="65" t="s">
        <v>213</v>
      </c>
      <c r="J848" s="65">
        <v>1020015</v>
      </c>
      <c r="K848" s="69" t="s">
        <v>67</v>
      </c>
      <c r="L848" s="72">
        <f>876748*110%</f>
        <v>964422.8</v>
      </c>
      <c r="M848" s="72">
        <v>4.8235000000000001</v>
      </c>
      <c r="N848" s="72">
        <f>Main_Issuance[[#This Row],[LC Amt(FCY)]]*Main_Issuance[[#This Row],[Rate]]</f>
        <v>4651893.3758000005</v>
      </c>
      <c r="O848" s="56">
        <v>45657</v>
      </c>
      <c r="P848" s="56">
        <v>45626</v>
      </c>
      <c r="Q848" s="56" t="s">
        <v>70</v>
      </c>
      <c r="R848" s="69"/>
      <c r="S848" s="71"/>
      <c r="T848" s="71"/>
      <c r="U848" s="71"/>
      <c r="V848" s="68">
        <v>0</v>
      </c>
      <c r="W848" s="78"/>
      <c r="X848" s="56" t="str">
        <f ca="1">IF(AND((Main_Issuance[[#This Row],[Expiry Date]]+31)&gt;TODAY(),Main_Issuance[[#This Row],[Status]]&lt;&gt;"Cancelled"),"Active","Cancelled")</f>
        <v>Cancelled</v>
      </c>
      <c r="Y848" s="407"/>
      <c r="Z848" s="408"/>
      <c r="AA848" s="408" t="s">
        <v>378</v>
      </c>
      <c r="AB848" s="83" cm="1">
        <f t="array" ref="AB848">Iss_Tariff(Main_Issuance[[#This Row],[Bank]],Main_Issuance[[#This Row],[LC Amt(SAR)]],Main_Issuance[[#This Row],[Issue Date.]],Main_Issuance[[#This Row],[Expiry Date]],Main_Issuance[[#This Row],[Calculate]])</f>
        <v>0</v>
      </c>
      <c r="AC848" s="83"/>
    </row>
    <row r="849" spans="1:29" ht="15.75" hidden="1" x14ac:dyDescent="0.25">
      <c r="A849" s="70" t="s">
        <v>757</v>
      </c>
      <c r="B849" s="56">
        <v>45734</v>
      </c>
      <c r="C849" s="56" t="s">
        <v>509</v>
      </c>
      <c r="D849" s="69" t="s">
        <v>20</v>
      </c>
      <c r="E849" s="69" t="s">
        <v>21</v>
      </c>
      <c r="F849" s="69" t="s">
        <v>22</v>
      </c>
      <c r="G849" s="69" t="s">
        <v>758</v>
      </c>
      <c r="H849" s="65" t="s">
        <v>24</v>
      </c>
      <c r="I849" s="65" t="s">
        <v>407</v>
      </c>
      <c r="J849" s="65">
        <v>1020100</v>
      </c>
      <c r="K849" s="69" t="s">
        <v>26</v>
      </c>
      <c r="L849" s="72">
        <v>250000</v>
      </c>
      <c r="M849" s="72">
        <v>1</v>
      </c>
      <c r="N849" s="72">
        <f>Main_Issuance[[#This Row],[LC Amt(FCY)]]*Main_Issuance[[#This Row],[Rate]]</f>
        <v>250000</v>
      </c>
      <c r="O849" s="56">
        <v>45838</v>
      </c>
      <c r="P849" s="56">
        <v>45838</v>
      </c>
      <c r="Q849" s="56" t="s">
        <v>27</v>
      </c>
      <c r="R849" s="69" t="s">
        <v>311</v>
      </c>
      <c r="S849" s="71"/>
      <c r="T849" s="71"/>
      <c r="U849" s="71"/>
      <c r="V849" s="68">
        <v>0</v>
      </c>
      <c r="W849" s="78"/>
      <c r="X849" s="56" t="str">
        <f ca="1">IF(AND((Main_Issuance[[#This Row],[Expiry Date]]+31)&gt;TODAY(),Main_Issuance[[#This Row],[Status]]&lt;&gt;"Cancelled"),"Active","Cancelled")</f>
        <v>Cancelled</v>
      </c>
      <c r="Y849" s="407"/>
      <c r="Z849" s="408"/>
      <c r="AA849" s="408" t="s">
        <v>378</v>
      </c>
      <c r="AB849" s="83" cm="1">
        <f t="array" ref="AB849">Iss_Tariff(Main_Issuance[[#This Row],[Bank]],Main_Issuance[[#This Row],[LC Amt(SAR)]],Main_Issuance[[#This Row],[Issue Date.]],Main_Issuance[[#This Row],[Expiry Date]],Main_Issuance[[#This Row],[Calculate]])</f>
        <v>0</v>
      </c>
      <c r="AC849" s="83"/>
    </row>
    <row r="850" spans="1:29" ht="15.75" hidden="1" x14ac:dyDescent="0.25">
      <c r="A850" s="75" t="s">
        <v>1349</v>
      </c>
      <c r="B850" s="76">
        <v>45792</v>
      </c>
      <c r="C850" s="76" t="s">
        <v>441</v>
      </c>
      <c r="D850" s="78" t="s">
        <v>20</v>
      </c>
      <c r="E850" s="78" t="s">
        <v>21</v>
      </c>
      <c r="F850" s="78" t="s">
        <v>22</v>
      </c>
      <c r="G850" s="78" t="s">
        <v>758</v>
      </c>
      <c r="H850" s="78" t="s">
        <v>24</v>
      </c>
      <c r="I850" s="78" t="s">
        <v>22</v>
      </c>
      <c r="J850" s="78">
        <v>1020055</v>
      </c>
      <c r="K850" s="78" t="s">
        <v>26</v>
      </c>
      <c r="L850" s="72">
        <v>124712.48</v>
      </c>
      <c r="M850" s="72">
        <v>1</v>
      </c>
      <c r="N850" s="72">
        <f>Main_Issuance[[#This Row],[LC Amt(FCY)]]*Main_Issuance[[#This Row],[Rate]]</f>
        <v>124712.48</v>
      </c>
      <c r="O850" s="76">
        <v>45900</v>
      </c>
      <c r="P850" s="76">
        <v>45900</v>
      </c>
      <c r="Q850" s="76" t="s">
        <v>27</v>
      </c>
      <c r="R850" s="78" t="s">
        <v>621</v>
      </c>
      <c r="S850" s="81"/>
      <c r="T850" s="81"/>
      <c r="U850" s="81"/>
      <c r="V850" s="83">
        <v>0</v>
      </c>
      <c r="W850" s="78"/>
      <c r="X850" s="76" t="str">
        <f ca="1">IF(AND((Main_Issuance[[#This Row],[Expiry Date]]+31)&gt;TODAY(),Main_Issuance[[#This Row],[Status]]&lt;&gt;"Cancelled"),"Active","Cancelled")</f>
        <v>Cancelled</v>
      </c>
      <c r="Y850" s="407"/>
      <c r="Z850" s="408"/>
      <c r="AA850" s="408" t="s">
        <v>378</v>
      </c>
      <c r="AB850" s="83" cm="1">
        <f t="array" ref="AB850">Iss_Tariff(Main_Issuance[[#This Row],[Bank]],Main_Issuance[[#This Row],[LC Amt(SAR)]],Main_Issuance[[#This Row],[Issue Date.]],Main_Issuance[[#This Row],[Expiry Date]],Main_Issuance[[#This Row],[Calculate]])</f>
        <v>0</v>
      </c>
      <c r="AC850" s="83"/>
    </row>
    <row r="851" spans="1:29" ht="15.75" hidden="1" x14ac:dyDescent="0.25">
      <c r="A851" s="75" t="s">
        <v>1596</v>
      </c>
      <c r="B851" s="76">
        <v>45862</v>
      </c>
      <c r="C851" s="76" t="s">
        <v>441</v>
      </c>
      <c r="D851" s="78" t="s">
        <v>20</v>
      </c>
      <c r="E851" s="78" t="s">
        <v>366</v>
      </c>
      <c r="F851" s="78" t="s">
        <v>710</v>
      </c>
      <c r="G851" s="78" t="s">
        <v>1577</v>
      </c>
      <c r="H851" s="78" t="s">
        <v>24</v>
      </c>
      <c r="I851" s="78" t="s">
        <v>710</v>
      </c>
      <c r="J851" s="79">
        <v>1020088</v>
      </c>
      <c r="K851" s="78" t="s">
        <v>26</v>
      </c>
      <c r="L851" s="72">
        <v>250000</v>
      </c>
      <c r="M851" s="72">
        <v>1</v>
      </c>
      <c r="N851" s="72">
        <f>Main_Issuance[[#This Row],[LC Amt(FCY)]]*Main_Issuance[[#This Row],[Rate]]</f>
        <v>250000</v>
      </c>
      <c r="O851" s="76">
        <v>45961</v>
      </c>
      <c r="P851" s="76">
        <v>45961</v>
      </c>
      <c r="Q851" s="76" t="s">
        <v>27</v>
      </c>
      <c r="R851" s="78" t="s">
        <v>621</v>
      </c>
      <c r="S851" s="81"/>
      <c r="T851" s="81"/>
      <c r="U851" s="81"/>
      <c r="V851" s="83">
        <v>0</v>
      </c>
      <c r="W851" s="78"/>
      <c r="X851" s="76" t="str">
        <f ca="1">IF(AND((Main_Issuance[[#This Row],[Expiry Date]]+31)&gt;TODAY(),Main_Issuance[[#This Row],[Status]]&lt;&gt;"Cancelled"),"Active","Cancelled")</f>
        <v>Cancelled</v>
      </c>
      <c r="Y851" s="407"/>
      <c r="Z851" s="408"/>
      <c r="AA851" s="408" t="s">
        <v>378</v>
      </c>
      <c r="AB851" s="83" cm="1">
        <f t="array" ref="AB851">Iss_Tariff(Main_Issuance[[#This Row],[Bank]],Main_Issuance[[#This Row],[LC Amt(SAR)]],Main_Issuance[[#This Row],[Issue Date.]],Main_Issuance[[#This Row],[Expiry Date]],Main_Issuance[[#This Row],[Calculate]])</f>
        <v>0</v>
      </c>
      <c r="AC851" s="83"/>
    </row>
    <row r="852" spans="1:29" ht="15.75" hidden="1" x14ac:dyDescent="0.25">
      <c r="A852" s="75" t="s">
        <v>1272</v>
      </c>
      <c r="B852" s="76">
        <v>45784</v>
      </c>
      <c r="C852" s="76" t="s">
        <v>441</v>
      </c>
      <c r="D852" s="78" t="s">
        <v>20</v>
      </c>
      <c r="E852" s="78" t="s">
        <v>373</v>
      </c>
      <c r="F852" s="123" t="s">
        <v>70</v>
      </c>
      <c r="G852" s="78" t="s">
        <v>1238</v>
      </c>
      <c r="H852" s="78" t="s">
        <v>24</v>
      </c>
      <c r="I852" s="78" t="s">
        <v>407</v>
      </c>
      <c r="J852" s="79">
        <v>1020100</v>
      </c>
      <c r="K852" s="78" t="s">
        <v>26</v>
      </c>
      <c r="L852" s="72">
        <v>200000</v>
      </c>
      <c r="M852" s="72">
        <v>1</v>
      </c>
      <c r="N852" s="72">
        <f>Main_Issuance[[#This Row],[LC Amt(FCY)]]*Main_Issuance[[#This Row],[Rate]]</f>
        <v>200000</v>
      </c>
      <c r="O852" s="76">
        <v>45869</v>
      </c>
      <c r="P852" s="76">
        <v>45869</v>
      </c>
      <c r="Q852" s="56" t="s">
        <v>70</v>
      </c>
      <c r="R852" s="78" t="s">
        <v>621</v>
      </c>
      <c r="S852" s="81"/>
      <c r="T852" s="81"/>
      <c r="U852" s="81"/>
      <c r="V852" s="83">
        <v>0</v>
      </c>
      <c r="W852" s="78"/>
      <c r="X852" s="76" t="str">
        <f ca="1">IF(AND((Main_Issuance[[#This Row],[Expiry Date]]+31)&gt;TODAY(),Main_Issuance[[#This Row],[Status]]&lt;&gt;"Cancelled"),"Active","Cancelled")</f>
        <v>Cancelled</v>
      </c>
      <c r="Y852" s="407"/>
      <c r="Z852" s="408"/>
      <c r="AA852" s="408" t="s">
        <v>378</v>
      </c>
      <c r="AB852" s="83" cm="1">
        <f t="array" ref="AB852">Iss_Tariff(Main_Issuance[[#This Row],[Bank]],Main_Issuance[[#This Row],[LC Amt(SAR)]],Main_Issuance[[#This Row],[Issue Date.]],Main_Issuance[[#This Row],[Expiry Date]],Main_Issuance[[#This Row],[Calculate]])</f>
        <v>0</v>
      </c>
      <c r="AC852" s="83"/>
    </row>
    <row r="853" spans="1:29" ht="15.75" hidden="1" x14ac:dyDescent="0.25">
      <c r="A853" s="121" t="s">
        <v>1284</v>
      </c>
      <c r="B853" s="122">
        <v>45785</v>
      </c>
      <c r="C853" s="122" t="s">
        <v>441</v>
      </c>
      <c r="D853" s="123" t="s">
        <v>20</v>
      </c>
      <c r="E853" s="123" t="s">
        <v>373</v>
      </c>
      <c r="F853" s="123" t="s">
        <v>70</v>
      </c>
      <c r="G853" s="123" t="s">
        <v>1246</v>
      </c>
      <c r="H853" s="123" t="s">
        <v>24</v>
      </c>
      <c r="I853" s="123" t="s">
        <v>407</v>
      </c>
      <c r="J853" s="125">
        <v>1020100</v>
      </c>
      <c r="K853" s="123" t="s">
        <v>26</v>
      </c>
      <c r="L853" s="72">
        <f>607000-951</f>
        <v>606049</v>
      </c>
      <c r="M853" s="72">
        <v>1</v>
      </c>
      <c r="N853" s="72">
        <f>Main_Issuance[[#This Row],[LC Amt(FCY)]]*Main_Issuance[[#This Row],[Rate]]</f>
        <v>606049</v>
      </c>
      <c r="O853" s="122">
        <v>45869</v>
      </c>
      <c r="P853" s="122">
        <v>45869</v>
      </c>
      <c r="Q853" s="56" t="s">
        <v>70</v>
      </c>
      <c r="R853" s="78" t="s">
        <v>621</v>
      </c>
      <c r="S853" s="126"/>
      <c r="T853" s="126"/>
      <c r="U853" s="126"/>
      <c r="V853" s="83">
        <v>0</v>
      </c>
      <c r="W853" s="78"/>
      <c r="X853" s="122" t="str">
        <f ca="1">IF(AND((Main_Issuance[[#This Row],[Expiry Date]]+31)&gt;TODAY(),Main_Issuance[[#This Row],[Status]]&lt;&gt;"Cancelled"),"Active","Cancelled")</f>
        <v>Cancelled</v>
      </c>
      <c r="Y853" s="414"/>
      <c r="Z853" s="408"/>
      <c r="AA853" s="408" t="s">
        <v>378</v>
      </c>
      <c r="AB853" s="83" cm="1">
        <f t="array" ref="AB853">Iss_Tariff(Main_Issuance[[#This Row],[Bank]],Main_Issuance[[#This Row],[LC Amt(SAR)]],Main_Issuance[[#This Row],[Issue Date.]],Main_Issuance[[#This Row],[Expiry Date]],Main_Issuance[[#This Row],[Calculate]])</f>
        <v>0</v>
      </c>
      <c r="AC853" s="83"/>
    </row>
    <row r="854" spans="1:29" ht="15.75" hidden="1" x14ac:dyDescent="0.25">
      <c r="A854" s="75" t="s">
        <v>1496</v>
      </c>
      <c r="B854" s="76">
        <v>45831</v>
      </c>
      <c r="C854" s="76" t="s">
        <v>441</v>
      </c>
      <c r="D854" s="78" t="s">
        <v>20</v>
      </c>
      <c r="E854" s="78" t="s">
        <v>21</v>
      </c>
      <c r="F854" s="78" t="s">
        <v>22</v>
      </c>
      <c r="G854" s="78" t="s">
        <v>1246</v>
      </c>
      <c r="H854" s="78" t="s">
        <v>24</v>
      </c>
      <c r="I854" s="78" t="s">
        <v>407</v>
      </c>
      <c r="J854" s="79">
        <v>1020100</v>
      </c>
      <c r="K854" s="78" t="s">
        <v>26</v>
      </c>
      <c r="L854" s="72">
        <v>309487</v>
      </c>
      <c r="M854" s="72">
        <v>1</v>
      </c>
      <c r="N854" s="72">
        <f>Main_Issuance[[#This Row],[LC Amt(FCY)]]*Main_Issuance[[#This Row],[Rate]]</f>
        <v>309487</v>
      </c>
      <c r="O854" s="76">
        <v>45900</v>
      </c>
      <c r="P854" s="76">
        <v>45900</v>
      </c>
      <c r="Q854" s="76" t="s">
        <v>27</v>
      </c>
      <c r="R854" s="78" t="s">
        <v>621</v>
      </c>
      <c r="S854" s="81"/>
      <c r="T854" s="81"/>
      <c r="U854" s="81"/>
      <c r="V854" s="83">
        <v>0</v>
      </c>
      <c r="W854" s="78"/>
      <c r="X854" s="76" t="str">
        <f ca="1">IF(AND((Main_Issuance[[#This Row],[Expiry Date]]+31)&gt;TODAY(),Main_Issuance[[#This Row],[Status]]&lt;&gt;"Cancelled"),"Active","Cancelled")</f>
        <v>Cancelled</v>
      </c>
      <c r="Y854" s="407"/>
      <c r="Z854" s="408"/>
      <c r="AA854" s="408" t="s">
        <v>378</v>
      </c>
      <c r="AB854" s="83" cm="1">
        <f t="array" ref="AB854">Iss_Tariff(Main_Issuance[[#This Row],[Bank]],Main_Issuance[[#This Row],[LC Amt(SAR)]],Main_Issuance[[#This Row],[Issue Date.]],Main_Issuance[[#This Row],[Expiry Date]],Main_Issuance[[#This Row],[Calculate]])</f>
        <v>0</v>
      </c>
      <c r="AC854" s="83"/>
    </row>
    <row r="855" spans="1:29" ht="15.75" hidden="1" x14ac:dyDescent="0.25">
      <c r="A855" s="75" t="s">
        <v>1871</v>
      </c>
      <c r="B855" s="76">
        <v>45914</v>
      </c>
      <c r="C855" s="76" t="s">
        <v>441</v>
      </c>
      <c r="D855" s="78" t="s">
        <v>20</v>
      </c>
      <c r="E855" s="78" t="s">
        <v>366</v>
      </c>
      <c r="F855" s="78" t="s">
        <v>710</v>
      </c>
      <c r="G855" s="123" t="s">
        <v>1246</v>
      </c>
      <c r="H855" s="78" t="s">
        <v>24</v>
      </c>
      <c r="I855" s="78" t="s">
        <v>710</v>
      </c>
      <c r="J855" s="79">
        <v>1020088</v>
      </c>
      <c r="K855" s="78" t="s">
        <v>26</v>
      </c>
      <c r="L855" s="80">
        <v>500000</v>
      </c>
      <c r="M855" s="81">
        <v>1</v>
      </c>
      <c r="N855" s="81">
        <f>Main_Issuance[[#This Row],[LC Amt(FCY)]]*Main_Issuance[[#This Row],[Rate]]</f>
        <v>500000</v>
      </c>
      <c r="O855" s="76">
        <v>46022</v>
      </c>
      <c r="P855" s="76">
        <v>46022</v>
      </c>
      <c r="Q855" s="76" t="s">
        <v>27</v>
      </c>
      <c r="R855" s="78" t="s">
        <v>621</v>
      </c>
      <c r="S855" s="81"/>
      <c r="T855" s="81"/>
      <c r="U855" s="81"/>
      <c r="V855" s="83">
        <v>0</v>
      </c>
      <c r="W855" s="78"/>
      <c r="X855" s="76" t="str">
        <f ca="1">IF(AND((Main_Issuance[[#This Row],[Expiry Date]]+31)&gt;TODAY(),Main_Issuance[[#This Row],[Status]]&lt;&gt;"Cancelled"),"Active","Cancelled")</f>
        <v>Cancelled</v>
      </c>
      <c r="Y855" s="407"/>
      <c r="Z855" s="408"/>
      <c r="AA855" s="408" t="s">
        <v>378</v>
      </c>
      <c r="AB855" s="83" cm="1">
        <f t="array" ref="AB855">Iss_Tariff(Main_Issuance[[#This Row],[Bank]],Main_Issuance[[#This Row],[LC Amt(SAR)]],Main_Issuance[[#This Row],[Issue Date.]],Main_Issuance[[#This Row],[Expiry Date]],Main_Issuance[[#This Row],[Calculate]])</f>
        <v>0</v>
      </c>
      <c r="AC855" s="83"/>
    </row>
    <row r="856" spans="1:29" ht="15.75" hidden="1" x14ac:dyDescent="0.25">
      <c r="A856" s="75" t="s">
        <v>1771</v>
      </c>
      <c r="B856" s="76">
        <v>45887</v>
      </c>
      <c r="C856" s="76" t="s">
        <v>441</v>
      </c>
      <c r="D856" s="78" t="s">
        <v>20</v>
      </c>
      <c r="E856" s="78" t="s">
        <v>366</v>
      </c>
      <c r="F856" s="78" t="s">
        <v>710</v>
      </c>
      <c r="G856" s="78" t="s">
        <v>1697</v>
      </c>
      <c r="H856" s="78" t="s">
        <v>24</v>
      </c>
      <c r="I856" s="78" t="s">
        <v>710</v>
      </c>
      <c r="J856" s="79">
        <v>1020088</v>
      </c>
      <c r="K856" s="78" t="s">
        <v>26</v>
      </c>
      <c r="L856" s="72">
        <v>300000</v>
      </c>
      <c r="M856" s="72">
        <v>1</v>
      </c>
      <c r="N856" s="72">
        <f>Main_Issuance[[#This Row],[LC Amt(FCY)]]*Main_Issuance[[#This Row],[Rate]]</f>
        <v>300000</v>
      </c>
      <c r="O856" s="76">
        <v>45991</v>
      </c>
      <c r="P856" s="76">
        <v>45991</v>
      </c>
      <c r="Q856" s="76" t="s">
        <v>27</v>
      </c>
      <c r="R856" s="78" t="s">
        <v>621</v>
      </c>
      <c r="S856" s="81"/>
      <c r="T856" s="81"/>
      <c r="U856" s="81"/>
      <c r="V856" s="83">
        <v>0</v>
      </c>
      <c r="W856" s="78"/>
      <c r="X856" s="76" t="str">
        <f ca="1">IF(AND((Main_Issuance[[#This Row],[Expiry Date]]+31)&gt;TODAY(),Main_Issuance[[#This Row],[Status]]&lt;&gt;"Cancelled"),"Active","Cancelled")</f>
        <v>Cancelled</v>
      </c>
      <c r="Y856" s="407"/>
      <c r="Z856" s="408"/>
      <c r="AA856" s="408" t="s">
        <v>378</v>
      </c>
      <c r="AB856" s="83" cm="1">
        <f t="array" ref="AB856">Iss_Tariff(Main_Issuance[[#This Row],[Bank]],Main_Issuance[[#This Row],[LC Amt(SAR)]],Main_Issuance[[#This Row],[Issue Date.]],Main_Issuance[[#This Row],[Expiry Date]],Main_Issuance[[#This Row],[Calculate]])</f>
        <v>0</v>
      </c>
      <c r="AC856" s="83"/>
    </row>
    <row r="857" spans="1:29" ht="15.75" hidden="1" x14ac:dyDescent="0.25">
      <c r="A857" s="75" t="s">
        <v>3327</v>
      </c>
      <c r="B857" s="76">
        <v>46023</v>
      </c>
      <c r="C857" s="76" t="s">
        <v>1537</v>
      </c>
      <c r="D857" s="115" t="s">
        <v>20</v>
      </c>
      <c r="E857" s="78" t="s">
        <v>62</v>
      </c>
      <c r="F857" s="78" t="s">
        <v>483</v>
      </c>
      <c r="G857" s="78" t="s">
        <v>3232</v>
      </c>
      <c r="H857" s="79" t="s">
        <v>24</v>
      </c>
      <c r="I857" s="78" t="s">
        <v>483</v>
      </c>
      <c r="J857" s="79">
        <v>1020096</v>
      </c>
      <c r="K857" s="78" t="s">
        <v>26</v>
      </c>
      <c r="L857" s="80">
        <v>500000</v>
      </c>
      <c r="M857" s="81">
        <v>1</v>
      </c>
      <c r="N857" s="81">
        <f>Main_Issuance[[#This Row],[LC Amt(FCY)]]*Main_Issuance[[#This Row],[Rate]]</f>
        <v>500000</v>
      </c>
      <c r="O857" s="77">
        <v>46203</v>
      </c>
      <c r="P857" s="77">
        <v>46203</v>
      </c>
      <c r="Q857" s="76" t="s">
        <v>27</v>
      </c>
      <c r="R857" s="78" t="s">
        <v>3229</v>
      </c>
      <c r="S857" s="81"/>
      <c r="T857" s="81"/>
      <c r="U857" s="81"/>
      <c r="V857" s="83">
        <v>0</v>
      </c>
      <c r="W857" s="115"/>
      <c r="X857" s="76" t="str">
        <f ca="1">IF(AND((Main_Issuance[[#This Row],[Expiry Date]]+31)&gt;TODAY(),Main_Issuance[[#This Row],[Status]]&lt;&gt;"Cancelled"),"Active","Cancelled")</f>
        <v>Active</v>
      </c>
      <c r="Y857" s="407"/>
      <c r="Z857" s="408"/>
      <c r="AA857" s="408" t="s">
        <v>857</v>
      </c>
      <c r="AB857" s="83" cm="1">
        <f t="array" ref="AB857">Iss_Tariff(Main_Issuance[[#This Row],[Bank]],Main_Issuance[[#This Row],[LC Amt(SAR)]],Main_Issuance[[#This Row],[Issue Date.]],Main_Issuance[[#This Row],[Expiry Date]],Main_Issuance[[#This Row],[Calculate]])</f>
        <v>5776.45</v>
      </c>
      <c r="AC857" s="83"/>
    </row>
    <row r="858" spans="1:29" ht="15.75" hidden="1" x14ac:dyDescent="0.25">
      <c r="A858" s="115" t="s">
        <v>1637</v>
      </c>
      <c r="B858" s="77">
        <v>45867</v>
      </c>
      <c r="C858" s="77" t="s">
        <v>1119</v>
      </c>
      <c r="D858" s="115" t="s">
        <v>20</v>
      </c>
      <c r="E858" s="115" t="s">
        <v>366</v>
      </c>
      <c r="F858" s="115" t="s">
        <v>367</v>
      </c>
      <c r="G858" s="115" t="s">
        <v>4277</v>
      </c>
      <c r="H858" s="115" t="s">
        <v>24</v>
      </c>
      <c r="I858" s="115" t="s">
        <v>367</v>
      </c>
      <c r="J858" s="113">
        <v>1020091</v>
      </c>
      <c r="K858" s="115" t="s">
        <v>26</v>
      </c>
      <c r="L858" s="60">
        <f>25000000+15540825</f>
        <v>40540825</v>
      </c>
      <c r="M858" s="60">
        <v>1</v>
      </c>
      <c r="N858" s="60">
        <f>Main_Issuance[[#This Row],[LC Amt(FCY)]]*Main_Issuance[[#This Row],[Rate]]</f>
        <v>40540825</v>
      </c>
      <c r="O858" s="77">
        <v>45991</v>
      </c>
      <c r="P858" s="77">
        <v>45991</v>
      </c>
      <c r="Q858" s="77" t="s">
        <v>27</v>
      </c>
      <c r="R858" s="115" t="s">
        <v>425</v>
      </c>
      <c r="S858" s="82"/>
      <c r="T858" s="82"/>
      <c r="U858" s="82"/>
      <c r="V858" s="97"/>
      <c r="W858" s="115" t="s">
        <v>2309</v>
      </c>
      <c r="X858" s="77" t="str">
        <f ca="1">IF(AND((Main_Issuance[[#This Row],[Expiry Date]]+31)&gt;TODAY(),Main_Issuance[[#This Row],[Status]]&lt;&gt;"Cancelled"),"Active","Cancelled")</f>
        <v>Cancelled</v>
      </c>
      <c r="Y858" s="409"/>
      <c r="Z858" s="408"/>
      <c r="AA858" s="408" t="s">
        <v>378</v>
      </c>
      <c r="AB858" s="97" cm="1">
        <f t="array" ref="AB858">Iss_Tariff(Main_Issuance[[#This Row],[Bank]],Main_Issuance[[#This Row],[LC Amt(SAR)]],Main_Issuance[[#This Row],[Issue Date.]],Main_Issuance[[#This Row],[Expiry Date]],Main_Issuance[[#This Row],[Calculate]])</f>
        <v>0</v>
      </c>
      <c r="AC858" s="97"/>
    </row>
    <row r="859" spans="1:29" ht="15.75" hidden="1" x14ac:dyDescent="0.25">
      <c r="A859" s="115" t="s">
        <v>4054</v>
      </c>
      <c r="B859" s="77">
        <v>46064</v>
      </c>
      <c r="C859" s="77" t="s">
        <v>441</v>
      </c>
      <c r="D859" s="115" t="s">
        <v>20</v>
      </c>
      <c r="E859" s="115" t="s">
        <v>21</v>
      </c>
      <c r="F859" s="115" t="s">
        <v>22</v>
      </c>
      <c r="G859" s="115" t="s">
        <v>4277</v>
      </c>
      <c r="H859" s="113" t="s">
        <v>24</v>
      </c>
      <c r="I859" s="59" t="s">
        <v>213</v>
      </c>
      <c r="J859" s="65">
        <v>1020015</v>
      </c>
      <c r="K859" s="115" t="s">
        <v>26</v>
      </c>
      <c r="L859" s="119">
        <v>12000000</v>
      </c>
      <c r="M859" s="82">
        <v>1</v>
      </c>
      <c r="N859" s="82">
        <f>Main_Issuance[[#This Row],[LC Amt(FCY)]]*Main_Issuance[[#This Row],[Rate]]</f>
        <v>12000000</v>
      </c>
      <c r="O859" s="77">
        <v>46203</v>
      </c>
      <c r="P859" s="77">
        <v>46203</v>
      </c>
      <c r="Q859" s="77" t="s">
        <v>27</v>
      </c>
      <c r="R859" s="115" t="s">
        <v>311</v>
      </c>
      <c r="S859" s="82"/>
      <c r="T859" s="82"/>
      <c r="U859" s="82"/>
      <c r="V859" s="97">
        <v>0</v>
      </c>
      <c r="W859" s="115" t="s">
        <v>4292</v>
      </c>
      <c r="X859" s="77" t="str">
        <f ca="1">IF(AND((Main_Issuance[[#This Row],[Expiry Date]]+31)&gt;TODAY(),Main_Issuance[[#This Row],[Status]]&lt;&gt;"Cancelled"),"Active","Cancelled")</f>
        <v>Active</v>
      </c>
      <c r="Y859" s="409"/>
      <c r="Z859" s="408"/>
      <c r="AA859" s="408" t="s">
        <v>857</v>
      </c>
      <c r="AB859" s="97" cm="1">
        <f t="array" ref="AB859">Iss_Tariff(Main_Issuance[[#This Row],[Bank]],Main_Issuance[[#This Row],[LC Amt(SAR)]],Main_Issuance[[#This Row],[Issue Date.]],Main_Issuance[[#This Row],[Expiry Date]],Main_Issuance[[#This Row],[Calculate]])</f>
        <v>35880</v>
      </c>
      <c r="AC859" s="97"/>
    </row>
    <row r="860" spans="1:29" ht="15.75" hidden="1" x14ac:dyDescent="0.25">
      <c r="A860" s="75" t="s">
        <v>4055</v>
      </c>
      <c r="B860" s="76">
        <v>46064</v>
      </c>
      <c r="C860" s="76" t="s">
        <v>441</v>
      </c>
      <c r="D860" s="78" t="s">
        <v>20</v>
      </c>
      <c r="E860" s="78" t="s">
        <v>21</v>
      </c>
      <c r="F860" s="78" t="s">
        <v>22</v>
      </c>
      <c r="G860" s="78" t="s">
        <v>4277</v>
      </c>
      <c r="H860" s="79" t="s">
        <v>24</v>
      </c>
      <c r="I860" s="78" t="s">
        <v>90</v>
      </c>
      <c r="J860" s="78">
        <v>1020001</v>
      </c>
      <c r="K860" s="78" t="s">
        <v>26</v>
      </c>
      <c r="L860" s="80">
        <f>13000000+6000000</f>
        <v>19000000</v>
      </c>
      <c r="M860" s="81">
        <v>1</v>
      </c>
      <c r="N860" s="81">
        <f>Main_Issuance[[#This Row],[LC Amt(FCY)]]*Main_Issuance[[#This Row],[Rate]]</f>
        <v>19000000</v>
      </c>
      <c r="O860" s="76">
        <v>46203</v>
      </c>
      <c r="P860" s="76">
        <v>46203</v>
      </c>
      <c r="Q860" s="76" t="s">
        <v>27</v>
      </c>
      <c r="R860" s="78" t="s">
        <v>311</v>
      </c>
      <c r="S860" s="81"/>
      <c r="T860" s="81"/>
      <c r="U860" s="81"/>
      <c r="V860" s="83"/>
      <c r="W860" s="78" t="s">
        <v>4490</v>
      </c>
      <c r="X860" s="76" t="str">
        <f ca="1">IF(AND((Main_Issuance[[#This Row],[Expiry Date]]+31)&gt;TODAY(),Main_Issuance[[#This Row],[Status]]&lt;&gt;"Cancelled"),"Active","Cancelled")</f>
        <v>Active</v>
      </c>
      <c r="Y860" s="407"/>
      <c r="Z860" s="408"/>
      <c r="AA860" s="408" t="s">
        <v>857</v>
      </c>
      <c r="AB860" s="83" cm="1">
        <f t="array" ref="AB860">Iss_Tariff(Main_Issuance[[#This Row],[Bank]],Main_Issuance[[#This Row],[LC Amt(SAR)]],Main_Issuance[[#This Row],[Issue Date.]],Main_Issuance[[#This Row],[Expiry Date]],Main_Issuance[[#This Row],[Calculate]])</f>
        <v>56005</v>
      </c>
      <c r="AC860" s="83"/>
    </row>
    <row r="861" spans="1:29" ht="15.75" hidden="1" x14ac:dyDescent="0.25">
      <c r="A861" s="75" t="s">
        <v>4295</v>
      </c>
      <c r="B861" s="76">
        <v>46091</v>
      </c>
      <c r="C861" s="76" t="s">
        <v>441</v>
      </c>
      <c r="D861" s="78" t="s">
        <v>20</v>
      </c>
      <c r="E861" s="78" t="s">
        <v>21</v>
      </c>
      <c r="F861" s="78" t="s">
        <v>22</v>
      </c>
      <c r="G861" s="78" t="s">
        <v>4277</v>
      </c>
      <c r="H861" s="79" t="s">
        <v>24</v>
      </c>
      <c r="I861" s="78" t="s">
        <v>367</v>
      </c>
      <c r="J861" s="79">
        <v>1020091</v>
      </c>
      <c r="K861" s="78" t="s">
        <v>26</v>
      </c>
      <c r="L861" s="80">
        <v>50000000</v>
      </c>
      <c r="M861" s="81">
        <v>1</v>
      </c>
      <c r="N861" s="81">
        <f>Main_Issuance[[#This Row],[LC Amt(FCY)]]*Main_Issuance[[#This Row],[Rate]]</f>
        <v>50000000</v>
      </c>
      <c r="O861" s="76">
        <v>46203</v>
      </c>
      <c r="P861" s="76">
        <v>46203</v>
      </c>
      <c r="Q861" s="76" t="s">
        <v>27</v>
      </c>
      <c r="R861" s="78" t="s">
        <v>311</v>
      </c>
      <c r="S861" s="81"/>
      <c r="T861" s="81"/>
      <c r="U861" s="81"/>
      <c r="V861" s="83">
        <v>0</v>
      </c>
      <c r="W861" s="78"/>
      <c r="X861" s="76" t="str">
        <f ca="1">IF(AND((Main_Issuance[[#This Row],[Expiry Date]]+31)&gt;TODAY(),Main_Issuance[[#This Row],[Status]]&lt;&gt;"Cancelled"),"Active","Cancelled")</f>
        <v>Active</v>
      </c>
      <c r="Y861" s="407"/>
      <c r="Z861" s="408"/>
      <c r="AA861" s="408" t="s">
        <v>857</v>
      </c>
      <c r="AB861" s="83" cm="1">
        <f t="array" ref="AB861">Iss_Tariff(Main_Issuance[[#This Row],[Bank]],Main_Issuance[[#This Row],[LC Amt(SAR)]],Main_Issuance[[#This Row],[Issue Date.]],Main_Issuance[[#This Row],[Expiry Date]],Main_Issuance[[#This Row],[Calculate]])</f>
        <v>109192.5</v>
      </c>
      <c r="AC861" s="83"/>
    </row>
    <row r="862" spans="1:29" ht="15.75" hidden="1" x14ac:dyDescent="0.25">
      <c r="A862" s="75" t="s">
        <v>4304</v>
      </c>
      <c r="B862" s="76">
        <v>46091</v>
      </c>
      <c r="C862" s="76" t="s">
        <v>441</v>
      </c>
      <c r="D862" s="78" t="s">
        <v>843</v>
      </c>
      <c r="E862" s="78" t="s">
        <v>612</v>
      </c>
      <c r="F862" s="78" t="s">
        <v>613</v>
      </c>
      <c r="G862" s="78" t="s">
        <v>4277</v>
      </c>
      <c r="H862" s="79" t="s">
        <v>24</v>
      </c>
      <c r="I862" s="78" t="s">
        <v>367</v>
      </c>
      <c r="J862" s="113">
        <v>1020091</v>
      </c>
      <c r="K862" s="78" t="s">
        <v>26</v>
      </c>
      <c r="L862" s="80">
        <f>25000000+42000000</f>
        <v>67000000</v>
      </c>
      <c r="M862" s="81">
        <v>1</v>
      </c>
      <c r="N862" s="81">
        <f>Main_Issuance[[#This Row],[LC Amt(FCY)]]*Main_Issuance[[#This Row],[Rate]]</f>
        <v>67000000</v>
      </c>
      <c r="O862" s="76">
        <v>46203</v>
      </c>
      <c r="P862" s="76">
        <v>46203</v>
      </c>
      <c r="Q862" s="76" t="s">
        <v>27</v>
      </c>
      <c r="R862" s="78" t="s">
        <v>311</v>
      </c>
      <c r="S862" s="81"/>
      <c r="T862" s="81"/>
      <c r="U862" s="81"/>
      <c r="V862" s="83">
        <v>25000000</v>
      </c>
      <c r="W862" s="78" t="s">
        <v>5703</v>
      </c>
      <c r="X862" s="76" t="str">
        <f ca="1">IF(AND((Main_Issuance[[#This Row],[Expiry Date]]+31)&gt;TODAY(),Main_Issuance[[#This Row],[Status]]&lt;&gt;"Cancelled"),"Active","Cancelled")</f>
        <v>Active</v>
      </c>
      <c r="Y862" s="407"/>
      <c r="Z862" s="408"/>
      <c r="AA862" s="408" t="s">
        <v>857</v>
      </c>
      <c r="AB862" s="83" cm="1">
        <f t="array" ref="AB862">Iss_Tariff(Main_Issuance[[#This Row],[Bank]],Main_Issuance[[#This Row],[LC Amt(SAR)]],Main_Issuance[[#This Row],[Issue Date.]],Main_Issuance[[#This Row],[Expiry Date]],Main_Issuance[[#This Row],[Calculate]])</f>
        <v>315416.25</v>
      </c>
      <c r="AC862" s="83"/>
    </row>
    <row r="863" spans="1:29" ht="15.75" hidden="1" x14ac:dyDescent="0.25">
      <c r="A863" s="75" t="s">
        <v>4393</v>
      </c>
      <c r="B863" s="76">
        <v>46097</v>
      </c>
      <c r="C863" s="76" t="s">
        <v>441</v>
      </c>
      <c r="D863" s="78" t="s">
        <v>20</v>
      </c>
      <c r="E863" s="115" t="s">
        <v>366</v>
      </c>
      <c r="F863" s="115" t="s">
        <v>710</v>
      </c>
      <c r="G863" s="78" t="s">
        <v>4277</v>
      </c>
      <c r="H863" s="79" t="s">
        <v>24</v>
      </c>
      <c r="I863" s="78" t="s">
        <v>710</v>
      </c>
      <c r="J863" s="79">
        <v>1020088</v>
      </c>
      <c r="K863" s="78" t="s">
        <v>26</v>
      </c>
      <c r="L863" s="80">
        <f>5000000+5000000+4000000</f>
        <v>14000000</v>
      </c>
      <c r="M863" s="81">
        <v>1</v>
      </c>
      <c r="N863" s="82">
        <f>Main_Issuance[[#This Row],[LC Amt(FCY)]]*Main_Issuance[[#This Row],[Rate]]</f>
        <v>14000000</v>
      </c>
      <c r="O863" s="76">
        <v>46265</v>
      </c>
      <c r="P863" s="76">
        <v>46265</v>
      </c>
      <c r="Q863" s="76" t="s">
        <v>27</v>
      </c>
      <c r="R863" s="78" t="s">
        <v>311</v>
      </c>
      <c r="S863" s="81"/>
      <c r="T863" s="81"/>
      <c r="U863" s="81"/>
      <c r="V863" s="83">
        <v>0</v>
      </c>
      <c r="W863" s="78"/>
      <c r="X863" s="76" t="str">
        <f ca="1">IF(AND((Main_Issuance[[#This Row],[Expiry Date]]+31)&gt;TODAY(),Main_Issuance[[#This Row],[Status]]&lt;&gt;"Cancelled"),"Active","Cancelled")</f>
        <v>Active</v>
      </c>
      <c r="Y863" s="407"/>
      <c r="Z863" s="441"/>
      <c r="AA863" s="441" t="s">
        <v>857</v>
      </c>
      <c r="AB863" s="83" cm="1">
        <f t="array" ref="AB863">Iss_Tariff(Main_Issuance[[#This Row],[Bank]],Main_Issuance[[#This Row],[LC Amt(SAR)]],Main_Issuance[[#This Row],[Issue Date.]],Main_Issuance[[#This Row],[Expiry Date]],Main_Issuance[[#This Row],[Calculate]])</f>
        <v>80586.25</v>
      </c>
      <c r="AC863" s="83"/>
    </row>
    <row r="864" spans="1:29" ht="15.75" hidden="1" x14ac:dyDescent="0.25">
      <c r="A864" s="75" t="s">
        <v>1738</v>
      </c>
      <c r="B864" s="76">
        <v>45883</v>
      </c>
      <c r="C864" s="76" t="s">
        <v>1727</v>
      </c>
      <c r="D864" s="78" t="s">
        <v>20</v>
      </c>
      <c r="E864" s="78" t="s">
        <v>62</v>
      </c>
      <c r="F864" s="78" t="s">
        <v>70</v>
      </c>
      <c r="G864" s="78" t="s">
        <v>1717</v>
      </c>
      <c r="H864" s="79" t="s">
        <v>869</v>
      </c>
      <c r="I864" s="78" t="s">
        <v>1762</v>
      </c>
      <c r="J864" s="78"/>
      <c r="K864" s="78" t="s">
        <v>26</v>
      </c>
      <c r="L864" s="72">
        <v>303062.95</v>
      </c>
      <c r="M864" s="72">
        <v>1</v>
      </c>
      <c r="N864" s="72">
        <f>Main_Issuance[[#This Row],[LC Amt(FCY)]]*Main_Issuance[[#This Row],[Rate]]</f>
        <v>303062.95</v>
      </c>
      <c r="O864" s="76">
        <v>45930</v>
      </c>
      <c r="P864" s="76">
        <v>45915</v>
      </c>
      <c r="Q864" s="76" t="s">
        <v>70</v>
      </c>
      <c r="R864" s="78" t="s">
        <v>208</v>
      </c>
      <c r="S864" s="81"/>
      <c r="T864" s="81"/>
      <c r="U864" s="81"/>
      <c r="V864" s="83"/>
      <c r="W864" s="78"/>
      <c r="X864" s="76" t="str">
        <f ca="1">IF(AND((Main_Issuance[[#This Row],[Expiry Date]]+31)&gt;TODAY(),Main_Issuance[[#This Row],[Status]]&lt;&gt;"Cancelled"),"Active","Cancelled")</f>
        <v>Cancelled</v>
      </c>
      <c r="Y864" s="442"/>
      <c r="Z864" s="441"/>
      <c r="AA864" s="441" t="s">
        <v>378</v>
      </c>
      <c r="AB864" s="83" cm="1">
        <f t="array" ref="AB864">Iss_Tariff(Main_Issuance[[#This Row],[Bank]],Main_Issuance[[#This Row],[LC Amt(SAR)]],Main_Issuance[[#This Row],[Issue Date.]],Main_Issuance[[#This Row],[Expiry Date]],Main_Issuance[[#This Row],[Calculate]])</f>
        <v>0</v>
      </c>
      <c r="AC864" s="83"/>
    </row>
    <row r="865" spans="1:29" ht="15.75" hidden="1" x14ac:dyDescent="0.25">
      <c r="A865" s="57" t="s">
        <v>200</v>
      </c>
      <c r="B865" s="56">
        <v>45168</v>
      </c>
      <c r="C865" s="56" t="s">
        <v>441</v>
      </c>
      <c r="D865" s="69" t="s">
        <v>20</v>
      </c>
      <c r="E865" s="19" t="s">
        <v>21</v>
      </c>
      <c r="F865" s="69" t="s">
        <v>22</v>
      </c>
      <c r="G865" s="69" t="s">
        <v>201</v>
      </c>
      <c r="H865" s="59" t="s">
        <v>24</v>
      </c>
      <c r="I865" s="59" t="s">
        <v>22</v>
      </c>
      <c r="J865" s="65">
        <v>1020055</v>
      </c>
      <c r="K865" s="19" t="s">
        <v>26</v>
      </c>
      <c r="L865" s="72">
        <v>1000000</v>
      </c>
      <c r="M865" s="72">
        <v>1</v>
      </c>
      <c r="N865" s="60">
        <f>Main_Issuance[[#This Row],[LC Amt(FCY)]]*Main_Issuance[[#This Row],[Rate]]</f>
        <v>1000000</v>
      </c>
      <c r="O865" s="58">
        <v>45260</v>
      </c>
      <c r="P865" s="58">
        <v>45260</v>
      </c>
      <c r="Q865" s="58" t="s">
        <v>27</v>
      </c>
      <c r="R865" s="19" t="s">
        <v>28</v>
      </c>
      <c r="S865" s="71"/>
      <c r="T865" s="71"/>
      <c r="U865" s="71"/>
      <c r="V865" s="68">
        <v>0</v>
      </c>
      <c r="W865" s="78"/>
      <c r="X865" s="58" t="str">
        <f ca="1">IF(AND((Main_Issuance[[#This Row],[Expiry Date]]+31)&gt;TODAY(),Main_Issuance[[#This Row],[Status]]&lt;&gt;"Cancelled"),"Active","Cancelled")</f>
        <v>Cancelled</v>
      </c>
      <c r="Y865" s="409"/>
      <c r="Z865" s="408"/>
      <c r="AA865" s="441" t="s">
        <v>378</v>
      </c>
      <c r="AB865" s="97" cm="1">
        <f t="array" ref="AB865">Iss_Tariff(Main_Issuance[[#This Row],[Bank]],Main_Issuance[[#This Row],[LC Amt(SAR)]],Main_Issuance[[#This Row],[Issue Date.]],Main_Issuance[[#This Row],[Expiry Date]],Main_Issuance[[#This Row],[Calculate]])</f>
        <v>0</v>
      </c>
      <c r="AC865" s="97"/>
    </row>
    <row r="866" spans="1:29" ht="15.75" hidden="1" x14ac:dyDescent="0.25">
      <c r="A866" s="57" t="s">
        <v>330</v>
      </c>
      <c r="B866" s="56">
        <v>45528</v>
      </c>
      <c r="C866" s="56" t="s">
        <v>441</v>
      </c>
      <c r="D866" s="69" t="s">
        <v>20</v>
      </c>
      <c r="E866" s="19" t="s">
        <v>95</v>
      </c>
      <c r="F866" s="69" t="s">
        <v>96</v>
      </c>
      <c r="G866" s="69" t="s">
        <v>201</v>
      </c>
      <c r="H866" s="59" t="s">
        <v>24</v>
      </c>
      <c r="I866" s="59" t="s">
        <v>22</v>
      </c>
      <c r="J866" s="65">
        <v>1020055</v>
      </c>
      <c r="K866" s="19" t="s">
        <v>26</v>
      </c>
      <c r="L866" s="72">
        <v>500000</v>
      </c>
      <c r="M866" s="72">
        <v>1</v>
      </c>
      <c r="N866" s="60">
        <f>Main_Issuance[[#This Row],[LC Amt(FCY)]]*Main_Issuance[[#This Row],[Rate]]</f>
        <v>500000</v>
      </c>
      <c r="O866" s="58">
        <v>45626</v>
      </c>
      <c r="P866" s="58">
        <v>45626</v>
      </c>
      <c r="Q866" s="58" t="s">
        <v>27</v>
      </c>
      <c r="R866" s="19" t="s">
        <v>311</v>
      </c>
      <c r="S866" s="71"/>
      <c r="T866" s="71"/>
      <c r="U866" s="71"/>
      <c r="V866" s="68">
        <v>0</v>
      </c>
      <c r="W866" s="78"/>
      <c r="X866" s="58" t="str">
        <f ca="1">IF(AND((Main_Issuance[[#This Row],[Expiry Date]]+31)&gt;TODAY(),Main_Issuance[[#This Row],[Status]]&lt;&gt;"Cancelled"),"Active","Cancelled")</f>
        <v>Cancelled</v>
      </c>
      <c r="Y866" s="409"/>
      <c r="Z866" s="408"/>
      <c r="AA866" s="441" t="s">
        <v>378</v>
      </c>
      <c r="AB866" s="97" cm="1">
        <f t="array" ref="AB866">Iss_Tariff(Main_Issuance[[#This Row],[Bank]],Main_Issuance[[#This Row],[LC Amt(SAR)]],Main_Issuance[[#This Row],[Issue Date.]],Main_Issuance[[#This Row],[Expiry Date]],Main_Issuance[[#This Row],[Calculate]])</f>
        <v>0</v>
      </c>
      <c r="AC866" s="97"/>
    </row>
    <row r="867" spans="1:29" ht="15.75" hidden="1" x14ac:dyDescent="0.25">
      <c r="A867" s="114" t="s">
        <v>1274</v>
      </c>
      <c r="B867" s="76">
        <v>45784</v>
      </c>
      <c r="C867" s="76" t="s">
        <v>441</v>
      </c>
      <c r="D867" s="78" t="s">
        <v>20</v>
      </c>
      <c r="E867" s="115" t="s">
        <v>373</v>
      </c>
      <c r="F867" s="123" t="s">
        <v>70</v>
      </c>
      <c r="G867" s="78" t="s">
        <v>201</v>
      </c>
      <c r="H867" s="115" t="s">
        <v>24</v>
      </c>
      <c r="I867" s="115" t="s">
        <v>407</v>
      </c>
      <c r="J867" s="79">
        <v>1020100</v>
      </c>
      <c r="K867" s="115" t="s">
        <v>26</v>
      </c>
      <c r="L867" s="72">
        <v>200000</v>
      </c>
      <c r="M867" s="72">
        <v>1</v>
      </c>
      <c r="N867" s="60">
        <f>Main_Issuance[[#This Row],[LC Amt(FCY)]]*Main_Issuance[[#This Row],[Rate]]</f>
        <v>200000</v>
      </c>
      <c r="O867" s="77">
        <v>45869</v>
      </c>
      <c r="P867" s="77">
        <v>45869</v>
      </c>
      <c r="Q867" s="58" t="s">
        <v>70</v>
      </c>
      <c r="R867" s="115" t="s">
        <v>621</v>
      </c>
      <c r="S867" s="81"/>
      <c r="T867" s="81"/>
      <c r="U867" s="81"/>
      <c r="V867" s="83">
        <v>0</v>
      </c>
      <c r="W867" s="78"/>
      <c r="X867" s="77" t="str">
        <f ca="1">IF(AND((Main_Issuance[[#This Row],[Expiry Date]]+31)&gt;TODAY(),Main_Issuance[[#This Row],[Status]]&lt;&gt;"Cancelled"),"Active","Cancelled")</f>
        <v>Cancelled</v>
      </c>
      <c r="Y867" s="409"/>
      <c r="Z867" s="408"/>
      <c r="AA867" s="441" t="s">
        <v>378</v>
      </c>
      <c r="AB867" s="97" cm="1">
        <f t="array" ref="AB867">Iss_Tariff(Main_Issuance[[#This Row],[Bank]],Main_Issuance[[#This Row],[LC Amt(SAR)]],Main_Issuance[[#This Row],[Issue Date.]],Main_Issuance[[#This Row],[Expiry Date]],Main_Issuance[[#This Row],[Calculate]])</f>
        <v>0</v>
      </c>
      <c r="AC867" s="97"/>
    </row>
    <row r="868" spans="1:29" ht="15.75" hidden="1" x14ac:dyDescent="0.25">
      <c r="A868" s="57" t="s">
        <v>527</v>
      </c>
      <c r="B868" s="56">
        <v>45624</v>
      </c>
      <c r="C868" s="56" t="s">
        <v>441</v>
      </c>
      <c r="D868" s="69" t="s">
        <v>20</v>
      </c>
      <c r="E868" s="19" t="s">
        <v>21</v>
      </c>
      <c r="F868" s="69" t="s">
        <v>22</v>
      </c>
      <c r="G868" s="69" t="s">
        <v>528</v>
      </c>
      <c r="H868" s="59" t="s">
        <v>24</v>
      </c>
      <c r="I868" s="59" t="s">
        <v>22</v>
      </c>
      <c r="J868" s="65">
        <v>1020055</v>
      </c>
      <c r="K868" s="19" t="s">
        <v>26</v>
      </c>
      <c r="L868" s="72">
        <v>301761.59999999998</v>
      </c>
      <c r="M868" s="72">
        <v>1</v>
      </c>
      <c r="N868" s="60">
        <f>Main_Issuance[[#This Row],[LC Amt(FCY)]]*Main_Issuance[[#This Row],[Rate]]</f>
        <v>301761.59999999998</v>
      </c>
      <c r="O868" s="58">
        <v>45716</v>
      </c>
      <c r="P868" s="58">
        <v>45716</v>
      </c>
      <c r="Q868" s="58" t="s">
        <v>27</v>
      </c>
      <c r="R868" s="19" t="s">
        <v>311</v>
      </c>
      <c r="S868" s="71"/>
      <c r="T868" s="71"/>
      <c r="U868" s="71"/>
      <c r="V868" s="68">
        <v>0</v>
      </c>
      <c r="W868" s="78"/>
      <c r="X868" s="58" t="str">
        <f ca="1">IF(AND((Main_Issuance[[#This Row],[Expiry Date]]+31)&gt;TODAY(),Main_Issuance[[#This Row],[Status]]&lt;&gt;"Cancelled"),"Active","Cancelled")</f>
        <v>Cancelled</v>
      </c>
      <c r="Y868" s="409"/>
      <c r="Z868" s="408"/>
      <c r="AA868" s="441" t="s">
        <v>378</v>
      </c>
      <c r="AB868" s="97" cm="1">
        <f t="array" ref="AB868">Iss_Tariff(Main_Issuance[[#This Row],[Bank]],Main_Issuance[[#This Row],[LC Amt(SAR)]],Main_Issuance[[#This Row],[Issue Date.]],Main_Issuance[[#This Row],[Expiry Date]],Main_Issuance[[#This Row],[Calculate]])</f>
        <v>0</v>
      </c>
      <c r="AC868" s="97"/>
    </row>
    <row r="869" spans="1:29" ht="15.75" hidden="1" x14ac:dyDescent="0.25">
      <c r="A869" s="57" t="s">
        <v>42</v>
      </c>
      <c r="B869" s="56">
        <v>45245</v>
      </c>
      <c r="C869" s="56" t="s">
        <v>441</v>
      </c>
      <c r="D869" s="69" t="s">
        <v>20</v>
      </c>
      <c r="E869" s="19" t="s">
        <v>21</v>
      </c>
      <c r="F869" s="69" t="s">
        <v>22</v>
      </c>
      <c r="G869" s="69" t="s">
        <v>43</v>
      </c>
      <c r="H869" s="59" t="s">
        <v>24</v>
      </c>
      <c r="I869" s="59" t="s">
        <v>22</v>
      </c>
      <c r="J869" s="65">
        <v>1020055</v>
      </c>
      <c r="K869" s="19" t="s">
        <v>26</v>
      </c>
      <c r="L869" s="72">
        <v>2000000</v>
      </c>
      <c r="M869" s="72">
        <v>1</v>
      </c>
      <c r="N869" s="60">
        <f>Main_Issuance[[#This Row],[LC Amt(FCY)]]*Main_Issuance[[#This Row],[Rate]]</f>
        <v>2000000</v>
      </c>
      <c r="O869" s="58">
        <v>45474</v>
      </c>
      <c r="P869" s="58">
        <v>45474</v>
      </c>
      <c r="Q869" s="58" t="s">
        <v>27</v>
      </c>
      <c r="R869" s="19" t="s">
        <v>28</v>
      </c>
      <c r="S869" s="71"/>
      <c r="T869" s="71"/>
      <c r="U869" s="71"/>
      <c r="V869" s="68">
        <v>0</v>
      </c>
      <c r="W869" s="78"/>
      <c r="X869" s="58" t="str">
        <f ca="1">IF(AND((Main_Issuance[[#This Row],[Expiry Date]]+31)&gt;TODAY(),Main_Issuance[[#This Row],[Status]]&lt;&gt;"Cancelled"),"Active","Cancelled")</f>
        <v>Cancelled</v>
      </c>
      <c r="Y869" s="409"/>
      <c r="Z869" s="408"/>
      <c r="AA869" s="441" t="s">
        <v>378</v>
      </c>
      <c r="AB869" s="97" cm="1">
        <f t="array" ref="AB869">Iss_Tariff(Main_Issuance[[#This Row],[Bank]],Main_Issuance[[#This Row],[LC Amt(SAR)]],Main_Issuance[[#This Row],[Issue Date.]],Main_Issuance[[#This Row],[Expiry Date]],Main_Issuance[[#This Row],[Calculate]])</f>
        <v>0</v>
      </c>
      <c r="AC869" s="97"/>
    </row>
    <row r="870" spans="1:29" ht="15.75" hidden="1" x14ac:dyDescent="0.25">
      <c r="A870" s="57" t="s">
        <v>60</v>
      </c>
      <c r="B870" s="56">
        <v>45299</v>
      </c>
      <c r="C870" s="56" t="s">
        <v>441</v>
      </c>
      <c r="D870" s="69" t="s">
        <v>20</v>
      </c>
      <c r="E870" s="19" t="s">
        <v>21</v>
      </c>
      <c r="F870" s="69" t="s">
        <v>22</v>
      </c>
      <c r="G870" s="69" t="s">
        <v>43</v>
      </c>
      <c r="H870" s="59" t="s">
        <v>24</v>
      </c>
      <c r="I870" s="59" t="s">
        <v>22</v>
      </c>
      <c r="J870" s="65">
        <v>1020055</v>
      </c>
      <c r="K870" s="19" t="s">
        <v>26</v>
      </c>
      <c r="L870" s="72">
        <v>500000</v>
      </c>
      <c r="M870" s="72">
        <v>1</v>
      </c>
      <c r="N870" s="60">
        <f>Main_Issuance[[#This Row],[LC Amt(FCY)]]*Main_Issuance[[#This Row],[Rate]]</f>
        <v>500000</v>
      </c>
      <c r="O870" s="58">
        <v>45474</v>
      </c>
      <c r="P870" s="58">
        <v>45474</v>
      </c>
      <c r="Q870" s="58" t="s">
        <v>27</v>
      </c>
      <c r="R870" s="19" t="s">
        <v>28</v>
      </c>
      <c r="S870" s="71"/>
      <c r="T870" s="71"/>
      <c r="U870" s="71"/>
      <c r="V870" s="68">
        <v>0</v>
      </c>
      <c r="W870" s="78"/>
      <c r="X870" s="58" t="str">
        <f ca="1">IF(AND((Main_Issuance[[#This Row],[Expiry Date]]+31)&gt;TODAY(),Main_Issuance[[#This Row],[Status]]&lt;&gt;"Cancelled"),"Active","Cancelled")</f>
        <v>Cancelled</v>
      </c>
      <c r="Y870" s="409"/>
      <c r="Z870" s="408"/>
      <c r="AA870" s="441" t="s">
        <v>378</v>
      </c>
      <c r="AB870" s="97" cm="1">
        <f t="array" ref="AB870">Iss_Tariff(Main_Issuance[[#This Row],[Bank]],Main_Issuance[[#This Row],[LC Amt(SAR)]],Main_Issuance[[#This Row],[Issue Date.]],Main_Issuance[[#This Row],[Expiry Date]],Main_Issuance[[#This Row],[Calculate]])</f>
        <v>0</v>
      </c>
      <c r="AC870" s="97"/>
    </row>
    <row r="871" spans="1:29" ht="15.75" hidden="1" x14ac:dyDescent="0.25">
      <c r="A871" s="57" t="s">
        <v>290</v>
      </c>
      <c r="B871" s="56">
        <v>45505</v>
      </c>
      <c r="C871" s="56" t="s">
        <v>441</v>
      </c>
      <c r="D871" s="69" t="s">
        <v>20</v>
      </c>
      <c r="E871" s="19" t="s">
        <v>21</v>
      </c>
      <c r="F871" s="69" t="s">
        <v>22</v>
      </c>
      <c r="G871" s="69" t="s">
        <v>43</v>
      </c>
      <c r="H871" s="59" t="s">
        <v>24</v>
      </c>
      <c r="I871" s="59" t="s">
        <v>22</v>
      </c>
      <c r="J871" s="65">
        <v>1020055</v>
      </c>
      <c r="K871" s="19" t="s">
        <v>26</v>
      </c>
      <c r="L871" s="72">
        <v>327750</v>
      </c>
      <c r="M871" s="72">
        <v>1</v>
      </c>
      <c r="N871" s="60">
        <f>Main_Issuance[[#This Row],[LC Amt(FCY)]]*Main_Issuance[[#This Row],[Rate]]</f>
        <v>327750</v>
      </c>
      <c r="O871" s="58">
        <v>45596</v>
      </c>
      <c r="P871" s="58">
        <v>45596</v>
      </c>
      <c r="Q871" s="58" t="s">
        <v>27</v>
      </c>
      <c r="R871" s="19"/>
      <c r="S871" s="71"/>
      <c r="T871" s="71"/>
      <c r="U871" s="71"/>
      <c r="V871" s="68">
        <v>0</v>
      </c>
      <c r="W871" s="78"/>
      <c r="X871" s="58" t="str">
        <f ca="1">IF(AND((Main_Issuance[[#This Row],[Expiry Date]]+31)&gt;TODAY(),Main_Issuance[[#This Row],[Status]]&lt;&gt;"Cancelled"),"Active","Cancelled")</f>
        <v>Cancelled</v>
      </c>
      <c r="Y871" s="409"/>
      <c r="Z871" s="408"/>
      <c r="AA871" s="441" t="s">
        <v>378</v>
      </c>
      <c r="AB871" s="97" cm="1">
        <f t="array" ref="AB871">Iss_Tariff(Main_Issuance[[#This Row],[Bank]],Main_Issuance[[#This Row],[LC Amt(SAR)]],Main_Issuance[[#This Row],[Issue Date.]],Main_Issuance[[#This Row],[Expiry Date]],Main_Issuance[[#This Row],[Calculate]])</f>
        <v>0</v>
      </c>
      <c r="AC871" s="97"/>
    </row>
    <row r="872" spans="1:29" ht="15.75" hidden="1" x14ac:dyDescent="0.25">
      <c r="A872" s="114" t="s">
        <v>1744</v>
      </c>
      <c r="B872" s="76">
        <v>45883</v>
      </c>
      <c r="C872" s="76" t="s">
        <v>1727</v>
      </c>
      <c r="D872" s="78" t="s">
        <v>20</v>
      </c>
      <c r="E872" s="115" t="s">
        <v>62</v>
      </c>
      <c r="F872" s="78" t="s">
        <v>70</v>
      </c>
      <c r="G872" s="78" t="s">
        <v>1721</v>
      </c>
      <c r="H872" s="113" t="s">
        <v>869</v>
      </c>
      <c r="I872" s="115" t="s">
        <v>1762</v>
      </c>
      <c r="J872" s="78"/>
      <c r="K872" s="115" t="s">
        <v>26</v>
      </c>
      <c r="L872" s="72">
        <v>567886.03</v>
      </c>
      <c r="M872" s="72">
        <v>1</v>
      </c>
      <c r="N872" s="60">
        <f>Main_Issuance[[#This Row],[LC Amt(FCY)]]*Main_Issuance[[#This Row],[Rate]]</f>
        <v>567886.03</v>
      </c>
      <c r="O872" s="77">
        <v>45930</v>
      </c>
      <c r="P872" s="77">
        <v>45915</v>
      </c>
      <c r="Q872" s="77" t="s">
        <v>70</v>
      </c>
      <c r="R872" s="115" t="s">
        <v>208</v>
      </c>
      <c r="S872" s="81"/>
      <c r="T872" s="81"/>
      <c r="U872" s="81"/>
      <c r="V872" s="83"/>
      <c r="W872" s="78"/>
      <c r="X872" s="77" t="str">
        <f ca="1">IF(AND((Main_Issuance[[#This Row],[Expiry Date]]+31)&gt;TODAY(),Main_Issuance[[#This Row],[Status]]&lt;&gt;"Cancelled"),"Active","Cancelled")</f>
        <v>Cancelled</v>
      </c>
      <c r="Y872" s="410"/>
      <c r="Z872" s="408"/>
      <c r="AA872" s="441" t="s">
        <v>378</v>
      </c>
      <c r="AB872" s="97" cm="1">
        <f t="array" ref="AB872">Iss_Tariff(Main_Issuance[[#This Row],[Bank]],Main_Issuance[[#This Row],[LC Amt(SAR)]],Main_Issuance[[#This Row],[Issue Date.]],Main_Issuance[[#This Row],[Expiry Date]],Main_Issuance[[#This Row],[Calculate]])</f>
        <v>0</v>
      </c>
      <c r="AC872" s="97"/>
    </row>
    <row r="873" spans="1:29" ht="15.75" hidden="1" x14ac:dyDescent="0.25">
      <c r="A873" s="57" t="s">
        <v>82</v>
      </c>
      <c r="B873" s="56">
        <v>45283</v>
      </c>
      <c r="C873" s="56" t="s">
        <v>1181</v>
      </c>
      <c r="D873" s="69" t="s">
        <v>20</v>
      </c>
      <c r="E873" s="19" t="s">
        <v>62</v>
      </c>
      <c r="F873" s="69" t="s">
        <v>63</v>
      </c>
      <c r="G873" s="69" t="s">
        <v>83</v>
      </c>
      <c r="H873" s="59" t="s">
        <v>80</v>
      </c>
      <c r="I873" s="59" t="s">
        <v>81</v>
      </c>
      <c r="J873" s="65">
        <v>1020070</v>
      </c>
      <c r="K873" s="19" t="s">
        <v>26</v>
      </c>
      <c r="L873" s="72">
        <v>934375</v>
      </c>
      <c r="M873" s="72">
        <v>1</v>
      </c>
      <c r="N873" s="60">
        <f>Main_Issuance[[#This Row],[LC Amt(FCY)]]*Main_Issuance[[#This Row],[Rate]]</f>
        <v>934375</v>
      </c>
      <c r="O873" s="58">
        <v>45473</v>
      </c>
      <c r="P873" s="58">
        <v>45473</v>
      </c>
      <c r="Q873" s="58" t="s">
        <v>27</v>
      </c>
      <c r="R873" s="19"/>
      <c r="S873" s="71"/>
      <c r="T873" s="71"/>
      <c r="U873" s="71"/>
      <c r="V873" s="68">
        <v>0</v>
      </c>
      <c r="W873" s="78"/>
      <c r="X873" s="58" t="str">
        <f ca="1">IF(AND((Main_Issuance[[#This Row],[Expiry Date]]+31)&gt;TODAY(),Main_Issuance[[#This Row],[Status]]&lt;&gt;"Cancelled"),"Active","Cancelled")</f>
        <v>Cancelled</v>
      </c>
      <c r="Y873" s="409"/>
      <c r="Z873" s="408"/>
      <c r="AA873" s="441" t="s">
        <v>378</v>
      </c>
      <c r="AB873" s="97" cm="1">
        <f t="array" ref="AB873">Iss_Tariff(Main_Issuance[[#This Row],[Bank]],Main_Issuance[[#This Row],[LC Amt(SAR)]],Main_Issuance[[#This Row],[Issue Date.]],Main_Issuance[[#This Row],[Expiry Date]],Main_Issuance[[#This Row],[Calculate]])</f>
        <v>0</v>
      </c>
      <c r="AC873" s="97"/>
    </row>
    <row r="874" spans="1:29" ht="15.75" hidden="1" x14ac:dyDescent="0.25">
      <c r="A874" s="114" t="s">
        <v>1275</v>
      </c>
      <c r="B874" s="76">
        <v>45784</v>
      </c>
      <c r="C874" s="76" t="s">
        <v>441</v>
      </c>
      <c r="D874" s="78" t="s">
        <v>20</v>
      </c>
      <c r="E874" s="115" t="s">
        <v>373</v>
      </c>
      <c r="F874" s="123" t="s">
        <v>70</v>
      </c>
      <c r="G874" s="78" t="s">
        <v>1245</v>
      </c>
      <c r="H874" s="115" t="s">
        <v>24</v>
      </c>
      <c r="I874" s="115" t="s">
        <v>407</v>
      </c>
      <c r="J874" s="79">
        <v>1020100</v>
      </c>
      <c r="K874" s="115" t="s">
        <v>26</v>
      </c>
      <c r="L874" s="72">
        <v>200000</v>
      </c>
      <c r="M874" s="72">
        <v>1</v>
      </c>
      <c r="N874" s="60">
        <f>Main_Issuance[[#This Row],[LC Amt(FCY)]]*Main_Issuance[[#This Row],[Rate]]</f>
        <v>200000</v>
      </c>
      <c r="O874" s="77">
        <v>45889</v>
      </c>
      <c r="P874" s="77">
        <v>45889</v>
      </c>
      <c r="Q874" s="58" t="s">
        <v>70</v>
      </c>
      <c r="R874" s="115" t="s">
        <v>621</v>
      </c>
      <c r="S874" s="81"/>
      <c r="T874" s="81"/>
      <c r="U874" s="81"/>
      <c r="V874" s="83">
        <v>0</v>
      </c>
      <c r="W874" s="78"/>
      <c r="X874" s="77" t="str">
        <f ca="1">IF(AND((Main_Issuance[[#This Row],[Expiry Date]]+31)&gt;TODAY(),Main_Issuance[[#This Row],[Status]]&lt;&gt;"Cancelled"),"Active","Cancelled")</f>
        <v>Cancelled</v>
      </c>
      <c r="Y874" s="409"/>
      <c r="Z874" s="408"/>
      <c r="AA874" s="441" t="s">
        <v>378</v>
      </c>
      <c r="AB874" s="97" cm="1">
        <f t="array" ref="AB874">Iss_Tariff(Main_Issuance[[#This Row],[Bank]],Main_Issuance[[#This Row],[LC Amt(SAR)]],Main_Issuance[[#This Row],[Issue Date.]],Main_Issuance[[#This Row],[Expiry Date]],Main_Issuance[[#This Row],[Calculate]])</f>
        <v>0</v>
      </c>
      <c r="AC874" s="97"/>
    </row>
    <row r="875" spans="1:29" ht="15.75" hidden="1" x14ac:dyDescent="0.25">
      <c r="A875" s="114" t="s">
        <v>698</v>
      </c>
      <c r="B875" s="56">
        <v>45698</v>
      </c>
      <c r="C875" s="56" t="s">
        <v>441</v>
      </c>
      <c r="D875" s="69" t="s">
        <v>20</v>
      </c>
      <c r="E875" s="19" t="s">
        <v>612</v>
      </c>
      <c r="F875" s="69" t="s">
        <v>613</v>
      </c>
      <c r="G875" s="69" t="s">
        <v>699</v>
      </c>
      <c r="H875" s="59" t="s">
        <v>24</v>
      </c>
      <c r="I875" s="19" t="s">
        <v>613</v>
      </c>
      <c r="J875" s="78">
        <v>1020106</v>
      </c>
      <c r="K875" s="19" t="s">
        <v>26</v>
      </c>
      <c r="L875" s="72">
        <v>666690.68999999994</v>
      </c>
      <c r="M875" s="72">
        <v>1</v>
      </c>
      <c r="N875" s="60">
        <f>Main_Issuance[[#This Row],[LC Amt(FCY)]]*Main_Issuance[[#This Row],[Rate]]</f>
        <v>666690.68999999994</v>
      </c>
      <c r="O875" s="77">
        <v>45961</v>
      </c>
      <c r="P875" s="77">
        <v>45961</v>
      </c>
      <c r="Q875" s="58" t="s">
        <v>27</v>
      </c>
      <c r="R875" s="19" t="s">
        <v>311</v>
      </c>
      <c r="S875" s="71"/>
      <c r="T875" s="71"/>
      <c r="U875" s="71"/>
      <c r="V875" s="68">
        <v>0</v>
      </c>
      <c r="W875" s="78"/>
      <c r="X875" s="58" t="str">
        <f ca="1">IF(AND((Main_Issuance[[#This Row],[Expiry Date]]+31)&gt;TODAY(),Main_Issuance[[#This Row],[Status]]&lt;&gt;"Cancelled"),"Active","Cancelled")</f>
        <v>Cancelled</v>
      </c>
      <c r="Y875" s="409"/>
      <c r="Z875" s="408"/>
      <c r="AA875" s="441" t="s">
        <v>378</v>
      </c>
      <c r="AB875" s="97" cm="1">
        <f t="array" ref="AB875">Iss_Tariff(Main_Issuance[[#This Row],[Bank]],Main_Issuance[[#This Row],[LC Amt(SAR)]],Main_Issuance[[#This Row],[Issue Date.]],Main_Issuance[[#This Row],[Expiry Date]],Main_Issuance[[#This Row],[Calculate]])</f>
        <v>0</v>
      </c>
      <c r="AC875" s="97"/>
    </row>
    <row r="876" spans="1:29" ht="15.75" hidden="1" x14ac:dyDescent="0.25">
      <c r="A876" s="57" t="s">
        <v>657</v>
      </c>
      <c r="B876" s="56">
        <v>45693</v>
      </c>
      <c r="C876" s="56" t="s">
        <v>441</v>
      </c>
      <c r="D876" s="69" t="s">
        <v>20</v>
      </c>
      <c r="E876" s="19" t="s">
        <v>95</v>
      </c>
      <c r="F876" s="69" t="s">
        <v>96</v>
      </c>
      <c r="G876" s="69" t="s">
        <v>658</v>
      </c>
      <c r="H876" s="59" t="s">
        <v>24</v>
      </c>
      <c r="I876" s="59" t="s">
        <v>22</v>
      </c>
      <c r="J876" s="65">
        <v>1020055</v>
      </c>
      <c r="K876" s="19" t="s">
        <v>26</v>
      </c>
      <c r="L876" s="72">
        <v>649056.68999999994</v>
      </c>
      <c r="M876" s="72">
        <v>1</v>
      </c>
      <c r="N876" s="60">
        <f>Main_Issuance[[#This Row],[LC Amt(FCY)]]*Main_Issuance[[#This Row],[Rate]]</f>
        <v>649056.68999999994</v>
      </c>
      <c r="O876" s="58">
        <v>45777</v>
      </c>
      <c r="P876" s="58">
        <v>45777</v>
      </c>
      <c r="Q876" s="58" t="s">
        <v>27</v>
      </c>
      <c r="R876" s="19" t="s">
        <v>311</v>
      </c>
      <c r="S876" s="71"/>
      <c r="T876" s="71"/>
      <c r="U876" s="71"/>
      <c r="V876" s="68">
        <v>0</v>
      </c>
      <c r="W876" s="69" t="s">
        <v>625</v>
      </c>
      <c r="X876" s="58" t="str">
        <f ca="1">IF(AND((Main_Issuance[[#This Row],[Expiry Date]]+31)&gt;TODAY(),Main_Issuance[[#This Row],[Status]]&lt;&gt;"Cancelled"),"Active","Cancelled")</f>
        <v>Cancelled</v>
      </c>
      <c r="Y876" s="409"/>
      <c r="Z876" s="408"/>
      <c r="AA876" s="441" t="s">
        <v>378</v>
      </c>
      <c r="AB876" s="97" cm="1">
        <f t="array" ref="AB876">Iss_Tariff(Main_Issuance[[#This Row],[Bank]],Main_Issuance[[#This Row],[LC Amt(SAR)]],Main_Issuance[[#This Row],[Issue Date.]],Main_Issuance[[#This Row],[Expiry Date]],Main_Issuance[[#This Row],[Calculate]])</f>
        <v>0</v>
      </c>
      <c r="AC876" s="97"/>
    </row>
    <row r="877" spans="1:29" ht="15.75" hidden="1" x14ac:dyDescent="0.25">
      <c r="A877" s="114" t="s">
        <v>1559</v>
      </c>
      <c r="B877" s="76">
        <v>45855</v>
      </c>
      <c r="C877" s="76" t="s">
        <v>441</v>
      </c>
      <c r="D877" s="78" t="s">
        <v>20</v>
      </c>
      <c r="E877" s="115" t="s">
        <v>612</v>
      </c>
      <c r="F877" s="78" t="s">
        <v>613</v>
      </c>
      <c r="G877" s="78" t="s">
        <v>1545</v>
      </c>
      <c r="H877" s="113" t="s">
        <v>24</v>
      </c>
      <c r="I877" s="113" t="s">
        <v>613</v>
      </c>
      <c r="J877" s="78">
        <v>1020106</v>
      </c>
      <c r="K877" s="115" t="s">
        <v>26</v>
      </c>
      <c r="L877" s="72">
        <v>225103.44</v>
      </c>
      <c r="M877" s="72">
        <v>1</v>
      </c>
      <c r="N877" s="60">
        <f>Main_Issuance[[#This Row],[LC Amt(FCY)]]*Main_Issuance[[#This Row],[Rate]]</f>
        <v>225103.44</v>
      </c>
      <c r="O877" s="77">
        <v>45930</v>
      </c>
      <c r="P877" s="77">
        <v>45930</v>
      </c>
      <c r="Q877" s="77" t="s">
        <v>27</v>
      </c>
      <c r="R877" s="115" t="s">
        <v>311</v>
      </c>
      <c r="S877" s="81"/>
      <c r="T877" s="81"/>
      <c r="U877" s="81"/>
      <c r="V877" s="83">
        <v>0</v>
      </c>
      <c r="W877" s="78"/>
      <c r="X877" s="77" t="str">
        <f ca="1">IF(AND((Main_Issuance[[#This Row],[Expiry Date]]+31)&gt;TODAY(),Main_Issuance[[#This Row],[Status]]&lt;&gt;"Cancelled"),"Active","Cancelled")</f>
        <v>Cancelled</v>
      </c>
      <c r="Y877" s="409"/>
      <c r="Z877" s="408"/>
      <c r="AA877" s="441" t="s">
        <v>378</v>
      </c>
      <c r="AB877" s="97" cm="1">
        <f t="array" ref="AB877">Iss_Tariff(Main_Issuance[[#This Row],[Bank]],Main_Issuance[[#This Row],[LC Amt(SAR)]],Main_Issuance[[#This Row],[Issue Date.]],Main_Issuance[[#This Row],[Expiry Date]],Main_Issuance[[#This Row],[Calculate]])</f>
        <v>0</v>
      </c>
      <c r="AC877" s="97"/>
    </row>
    <row r="878" spans="1:29" ht="15.75" hidden="1" x14ac:dyDescent="0.25">
      <c r="A878" s="114" t="s">
        <v>1317</v>
      </c>
      <c r="B878" s="76">
        <v>45788</v>
      </c>
      <c r="C878" s="76" t="s">
        <v>441</v>
      </c>
      <c r="D878" s="78" t="s">
        <v>20</v>
      </c>
      <c r="E878" s="115" t="s">
        <v>21</v>
      </c>
      <c r="F878" s="78" t="s">
        <v>22</v>
      </c>
      <c r="G878" s="78" t="s">
        <v>1267</v>
      </c>
      <c r="H878" s="115" t="s">
        <v>24</v>
      </c>
      <c r="I878" s="115" t="s">
        <v>22</v>
      </c>
      <c r="J878" s="78">
        <v>1020055</v>
      </c>
      <c r="K878" s="115" t="s">
        <v>26</v>
      </c>
      <c r="L878" s="72">
        <v>304087.03999999998</v>
      </c>
      <c r="M878" s="72">
        <v>1</v>
      </c>
      <c r="N878" s="60">
        <f>Main_Issuance[[#This Row],[LC Amt(FCY)]]*Main_Issuance[[#This Row],[Rate]]</f>
        <v>304087.03999999998</v>
      </c>
      <c r="O878" s="77">
        <v>45900</v>
      </c>
      <c r="P878" s="77">
        <v>45900</v>
      </c>
      <c r="Q878" s="77" t="s">
        <v>27</v>
      </c>
      <c r="R878" s="115" t="s">
        <v>621</v>
      </c>
      <c r="S878" s="81"/>
      <c r="T878" s="81"/>
      <c r="U878" s="81"/>
      <c r="V878" s="83">
        <v>0</v>
      </c>
      <c r="W878" s="78"/>
      <c r="X878" s="77" t="str">
        <f ca="1">IF(AND((Main_Issuance[[#This Row],[Expiry Date]]+31)&gt;TODAY(),Main_Issuance[[#This Row],[Status]]&lt;&gt;"Cancelled"),"Active","Cancelled")</f>
        <v>Cancelled</v>
      </c>
      <c r="Y878" s="409"/>
      <c r="Z878" s="408"/>
      <c r="AA878" s="441" t="s">
        <v>378</v>
      </c>
      <c r="AB878" s="97" cm="1">
        <f t="array" ref="AB878">Iss_Tariff(Main_Issuance[[#This Row],[Bank]],Main_Issuance[[#This Row],[LC Amt(SAR)]],Main_Issuance[[#This Row],[Issue Date.]],Main_Issuance[[#This Row],[Expiry Date]],Main_Issuance[[#This Row],[Calculate]])</f>
        <v>0</v>
      </c>
      <c r="AC878" s="97"/>
    </row>
    <row r="879" spans="1:29" ht="15.75" hidden="1" x14ac:dyDescent="0.25">
      <c r="A879" s="57" t="s">
        <v>529</v>
      </c>
      <c r="B879" s="56">
        <v>45624</v>
      </c>
      <c r="C879" s="56" t="s">
        <v>441</v>
      </c>
      <c r="D879" s="69" t="s">
        <v>20</v>
      </c>
      <c r="E879" s="19" t="s">
        <v>21</v>
      </c>
      <c r="F879" s="69" t="s">
        <v>22</v>
      </c>
      <c r="G879" s="69" t="s">
        <v>530</v>
      </c>
      <c r="H879" s="59" t="s">
        <v>24</v>
      </c>
      <c r="I879" s="59" t="s">
        <v>22</v>
      </c>
      <c r="J879" s="65">
        <v>1020055</v>
      </c>
      <c r="K879" s="19" t="s">
        <v>26</v>
      </c>
      <c r="L879" s="72">
        <v>359810.57</v>
      </c>
      <c r="M879" s="72">
        <v>1</v>
      </c>
      <c r="N879" s="60">
        <f>Main_Issuance[[#This Row],[LC Amt(FCY)]]*Main_Issuance[[#This Row],[Rate]]</f>
        <v>359810.57</v>
      </c>
      <c r="O879" s="58">
        <v>45716</v>
      </c>
      <c r="P879" s="58">
        <v>45716</v>
      </c>
      <c r="Q879" s="58" t="s">
        <v>27</v>
      </c>
      <c r="R879" s="19" t="s">
        <v>311</v>
      </c>
      <c r="S879" s="71"/>
      <c r="T879" s="71"/>
      <c r="U879" s="71"/>
      <c r="V879" s="68">
        <v>0</v>
      </c>
      <c r="W879" s="69"/>
      <c r="X879" s="58" t="str">
        <f ca="1">IF(AND((Main_Issuance[[#This Row],[Expiry Date]]+31)&gt;TODAY(),Main_Issuance[[#This Row],[Status]]&lt;&gt;"Cancelled"),"Active","Cancelled")</f>
        <v>Cancelled</v>
      </c>
      <c r="Y879" s="409"/>
      <c r="Z879" s="408"/>
      <c r="AA879" s="441" t="s">
        <v>378</v>
      </c>
      <c r="AB879" s="97" cm="1">
        <f t="array" ref="AB879">Iss_Tariff(Main_Issuance[[#This Row],[Bank]],Main_Issuance[[#This Row],[LC Amt(SAR)]],Main_Issuance[[#This Row],[Issue Date.]],Main_Issuance[[#This Row],[Expiry Date]],Main_Issuance[[#This Row],[Calculate]])</f>
        <v>0</v>
      </c>
      <c r="AC879" s="97"/>
    </row>
    <row r="880" spans="1:29" ht="15.75" hidden="1" x14ac:dyDescent="0.25">
      <c r="A880" s="70" t="s">
        <v>466</v>
      </c>
      <c r="B880" s="56">
        <v>45592</v>
      </c>
      <c r="C880" s="188" t="s">
        <v>441</v>
      </c>
      <c r="D880" s="69" t="s">
        <v>20</v>
      </c>
      <c r="E880" s="69" t="s">
        <v>95</v>
      </c>
      <c r="F880" s="69" t="s">
        <v>96</v>
      </c>
      <c r="G880" s="69" t="s">
        <v>467</v>
      </c>
      <c r="H880" s="65" t="s">
        <v>72</v>
      </c>
      <c r="I880" s="65" t="s">
        <v>325</v>
      </c>
      <c r="J880" s="65">
        <v>1020068</v>
      </c>
      <c r="K880" s="69" t="s">
        <v>26</v>
      </c>
      <c r="L880" s="72">
        <v>12000000</v>
      </c>
      <c r="M880" s="72">
        <v>1</v>
      </c>
      <c r="N880" s="72">
        <f>Main_Issuance[[#This Row],[LC Amt(FCY)]]*Main_Issuance[[#This Row],[Rate]]</f>
        <v>12000000</v>
      </c>
      <c r="O880" s="56">
        <v>45688</v>
      </c>
      <c r="P880" s="56">
        <v>45661</v>
      </c>
      <c r="Q880" s="56" t="s">
        <v>27</v>
      </c>
      <c r="R880" s="69" t="s">
        <v>461</v>
      </c>
      <c r="S880" s="71"/>
      <c r="T880" s="71"/>
      <c r="U880" s="71"/>
      <c r="V880" s="68">
        <v>0</v>
      </c>
      <c r="W880" s="69"/>
      <c r="X880" s="56" t="str">
        <f ca="1">IF(AND((Main_Issuance[[#This Row],[Expiry Date]]+31)&gt;TODAY(),Main_Issuance[[#This Row],[Status]]&lt;&gt;"Cancelled"),"Active","Cancelled")</f>
        <v>Cancelled</v>
      </c>
      <c r="Y880" s="407"/>
      <c r="Z880" s="441"/>
      <c r="AA880" s="441" t="s">
        <v>378</v>
      </c>
      <c r="AB880" s="83" cm="1">
        <f t="array" ref="AB880">Iss_Tariff(Main_Issuance[[#This Row],[Bank]],Main_Issuance[[#This Row],[LC Amt(SAR)]],Main_Issuance[[#This Row],[Issue Date.]],Main_Issuance[[#This Row],[Expiry Date]],Main_Issuance[[#This Row],[Calculate]])</f>
        <v>0</v>
      </c>
      <c r="AC880" s="83"/>
    </row>
    <row r="881" spans="1:29" ht="15.75" hidden="1" x14ac:dyDescent="0.25">
      <c r="A881" s="70" t="s">
        <v>112</v>
      </c>
      <c r="B881" s="56">
        <v>45041</v>
      </c>
      <c r="C881" s="56" t="s">
        <v>441</v>
      </c>
      <c r="D881" s="69" t="s">
        <v>20</v>
      </c>
      <c r="E881" s="69" t="s">
        <v>21</v>
      </c>
      <c r="F881" s="69" t="s">
        <v>22</v>
      </c>
      <c r="G881" s="69" t="s">
        <v>113</v>
      </c>
      <c r="H881" s="65" t="s">
        <v>24</v>
      </c>
      <c r="I881" s="65" t="s">
        <v>22</v>
      </c>
      <c r="J881" s="65">
        <v>1020055</v>
      </c>
      <c r="K881" s="69" t="s">
        <v>26</v>
      </c>
      <c r="L881" s="72">
        <v>2846250</v>
      </c>
      <c r="M881" s="72">
        <v>1</v>
      </c>
      <c r="N881" s="72">
        <f>Main_Issuance[[#This Row],[LC Amt(FCY)]]*Main_Issuance[[#This Row],[Rate]]</f>
        <v>2846250</v>
      </c>
      <c r="O881" s="56">
        <v>45107</v>
      </c>
      <c r="P881" s="56">
        <v>45107</v>
      </c>
      <c r="Q881" s="56" t="s">
        <v>27</v>
      </c>
      <c r="R881" s="69"/>
      <c r="S881" s="71"/>
      <c r="T881" s="71"/>
      <c r="U881" s="71"/>
      <c r="V881" s="68">
        <v>0</v>
      </c>
      <c r="W881" s="69"/>
      <c r="X881" s="56" t="str">
        <f ca="1">IF(AND((Main_Issuance[[#This Row],[Expiry Date]]+31)&gt;TODAY(),Main_Issuance[[#This Row],[Status]]&lt;&gt;"Cancelled"),"Active","Cancelled")</f>
        <v>Cancelled</v>
      </c>
      <c r="Y881" s="407"/>
      <c r="Z881" s="441"/>
      <c r="AA881" s="441" t="s">
        <v>378</v>
      </c>
      <c r="AB881" s="83" cm="1">
        <f t="array" ref="AB881">Iss_Tariff(Main_Issuance[[#This Row],[Bank]],Main_Issuance[[#This Row],[LC Amt(SAR)]],Main_Issuance[[#This Row],[Issue Date.]],Main_Issuance[[#This Row],[Expiry Date]],Main_Issuance[[#This Row],[Calculate]])</f>
        <v>0</v>
      </c>
      <c r="AC881" s="83"/>
    </row>
    <row r="882" spans="1:29" ht="15.75" hidden="1" x14ac:dyDescent="0.25">
      <c r="A882" s="75" t="s">
        <v>723</v>
      </c>
      <c r="B882" s="56">
        <v>45718</v>
      </c>
      <c r="C882" s="56" t="s">
        <v>441</v>
      </c>
      <c r="D882" s="78" t="s">
        <v>20</v>
      </c>
      <c r="E882" s="69" t="s">
        <v>612</v>
      </c>
      <c r="F882" s="69" t="s">
        <v>613</v>
      </c>
      <c r="G882" s="69" t="s">
        <v>724</v>
      </c>
      <c r="H882" s="69" t="s">
        <v>24</v>
      </c>
      <c r="I882" s="69" t="s">
        <v>613</v>
      </c>
      <c r="J882" s="78">
        <v>1020106</v>
      </c>
      <c r="K882" s="69" t="s">
        <v>26</v>
      </c>
      <c r="L882" s="72">
        <v>753402</v>
      </c>
      <c r="M882" s="72">
        <v>1</v>
      </c>
      <c r="N882" s="72">
        <f>Main_Issuance[[#This Row],[LC Amt(FCY)]]*Main_Issuance[[#This Row],[Rate]]</f>
        <v>753402</v>
      </c>
      <c r="O882" s="56">
        <v>46022</v>
      </c>
      <c r="P882" s="56">
        <v>46022</v>
      </c>
      <c r="Q882" s="56" t="s">
        <v>27</v>
      </c>
      <c r="R882" s="69" t="s">
        <v>311</v>
      </c>
      <c r="S882" s="71"/>
      <c r="T882" s="71"/>
      <c r="U882" s="71"/>
      <c r="V882" s="68">
        <v>0</v>
      </c>
      <c r="W882" s="78" t="s">
        <v>1913</v>
      </c>
      <c r="X882" s="56" t="str">
        <f ca="1">IF(AND((Main_Issuance[[#This Row],[Expiry Date]]+31)&gt;TODAY(),Main_Issuance[[#This Row],[Status]]&lt;&gt;"Cancelled"),"Active","Cancelled")</f>
        <v>Cancelled</v>
      </c>
      <c r="Y882" s="407"/>
      <c r="Z882" s="441"/>
      <c r="AA882" s="441" t="s">
        <v>378</v>
      </c>
      <c r="AB882" s="83" cm="1">
        <f t="array" ref="AB882">Iss_Tariff(Main_Issuance[[#This Row],[Bank]],Main_Issuance[[#This Row],[LC Amt(SAR)]],Main_Issuance[[#This Row],[Issue Date.]],Main_Issuance[[#This Row],[Expiry Date]],Main_Issuance[[#This Row],[Calculate]])</f>
        <v>0</v>
      </c>
      <c r="AC882" s="83"/>
    </row>
    <row r="883" spans="1:29" ht="15.75" hidden="1" x14ac:dyDescent="0.25">
      <c r="A883" s="75" t="s">
        <v>1819</v>
      </c>
      <c r="B883" s="76">
        <v>45895</v>
      </c>
      <c r="C883" s="76" t="s">
        <v>441</v>
      </c>
      <c r="D883" s="78" t="s">
        <v>20</v>
      </c>
      <c r="E883" s="78" t="s">
        <v>612</v>
      </c>
      <c r="F883" s="78" t="s">
        <v>613</v>
      </c>
      <c r="G883" s="78" t="s">
        <v>1703</v>
      </c>
      <c r="H883" s="78" t="s">
        <v>24</v>
      </c>
      <c r="I883" s="78" t="s">
        <v>613</v>
      </c>
      <c r="J883" s="78">
        <v>1020106</v>
      </c>
      <c r="K883" s="78" t="s">
        <v>26</v>
      </c>
      <c r="L883" s="72">
        <v>251134</v>
      </c>
      <c r="M883" s="72">
        <v>1</v>
      </c>
      <c r="N883" s="72">
        <f>Main_Issuance[[#This Row],[LC Amt(FCY)]]*Main_Issuance[[#This Row],[Rate]]</f>
        <v>251134</v>
      </c>
      <c r="O883" s="76">
        <v>46053</v>
      </c>
      <c r="P883" s="76">
        <v>46053</v>
      </c>
      <c r="Q883" s="76" t="s">
        <v>27</v>
      </c>
      <c r="R883" s="78" t="s">
        <v>311</v>
      </c>
      <c r="S883" s="81"/>
      <c r="T883" s="81"/>
      <c r="U883" s="81"/>
      <c r="V883" s="83">
        <v>0</v>
      </c>
      <c r="W883" s="78"/>
      <c r="X883" s="76" t="str">
        <f ca="1">IF(AND((Main_Issuance[[#This Row],[Expiry Date]]+31)&gt;TODAY(),Main_Issuance[[#This Row],[Status]]&lt;&gt;"Cancelled"),"Active","Cancelled")</f>
        <v>Cancelled</v>
      </c>
      <c r="Y883" s="407"/>
      <c r="Z883" s="441"/>
      <c r="AA883" s="441" t="s">
        <v>378</v>
      </c>
      <c r="AB883" s="83" cm="1">
        <f t="array" ref="AB883">Iss_Tariff(Main_Issuance[[#This Row],[Bank]],Main_Issuance[[#This Row],[LC Amt(SAR)]],Main_Issuance[[#This Row],[Issue Date.]],Main_Issuance[[#This Row],[Expiry Date]],Main_Issuance[[#This Row],[Calculate]])</f>
        <v>0</v>
      </c>
      <c r="AC883" s="83"/>
    </row>
    <row r="884" spans="1:29" ht="15.75" hidden="1" x14ac:dyDescent="0.25">
      <c r="A884" s="75" t="s">
        <v>3569</v>
      </c>
      <c r="B884" s="76">
        <v>46033</v>
      </c>
      <c r="C884" s="76" t="s">
        <v>441</v>
      </c>
      <c r="D884" s="78" t="s">
        <v>20</v>
      </c>
      <c r="E884" s="78" t="s">
        <v>612</v>
      </c>
      <c r="F884" s="78" t="s">
        <v>613</v>
      </c>
      <c r="G884" s="115" t="s">
        <v>1703</v>
      </c>
      <c r="H884" s="79" t="s">
        <v>24</v>
      </c>
      <c r="I884" s="78" t="s">
        <v>613</v>
      </c>
      <c r="J884" s="78">
        <v>1020106</v>
      </c>
      <c r="K884" s="78" t="s">
        <v>26</v>
      </c>
      <c r="L884" s="80">
        <v>252107.36</v>
      </c>
      <c r="M884" s="81">
        <v>1</v>
      </c>
      <c r="N884" s="81">
        <f>Main_Issuance[[#This Row],[LC Amt(FCY)]]*Main_Issuance[[#This Row],[Rate]]</f>
        <v>252107.36</v>
      </c>
      <c r="O884" s="76">
        <v>46112</v>
      </c>
      <c r="P884" s="76">
        <v>46112</v>
      </c>
      <c r="Q884" s="76" t="s">
        <v>27</v>
      </c>
      <c r="R884" s="78" t="s">
        <v>1904</v>
      </c>
      <c r="S884" s="81"/>
      <c r="T884" s="81"/>
      <c r="U884" s="81"/>
      <c r="V884" s="83">
        <v>0</v>
      </c>
      <c r="W884" s="78"/>
      <c r="X884" s="76" t="str">
        <f ca="1">IF(AND((Main_Issuance[[#This Row],[Expiry Date]]+31)&gt;TODAY(),Main_Issuance[[#This Row],[Status]]&lt;&gt;"Cancelled"),"Active","Cancelled")</f>
        <v>Cancelled</v>
      </c>
      <c r="Y884" s="407"/>
      <c r="Z884" s="441"/>
      <c r="AA884" s="408" t="s">
        <v>857</v>
      </c>
      <c r="AB884" s="83" cm="1">
        <f t="array" ref="AB884">Iss_Tariff(Main_Issuance[[#This Row],[Bank]],Main_Issuance[[#This Row],[LC Amt(SAR)]],Main_Issuance[[#This Row],[Issue Date.]],Main_Issuance[[#This Row],[Expiry Date]],Main_Issuance[[#This Row],[Calculate]])</f>
        <v>2490.9</v>
      </c>
      <c r="AC884" s="83"/>
    </row>
    <row r="885" spans="1:29" ht="15.75" hidden="1" x14ac:dyDescent="0.25">
      <c r="A885" s="70" t="s">
        <v>497</v>
      </c>
      <c r="B885" s="56">
        <v>45610</v>
      </c>
      <c r="C885" s="56" t="s">
        <v>509</v>
      </c>
      <c r="D885" s="69" t="s">
        <v>20</v>
      </c>
      <c r="E885" s="69" t="s">
        <v>21</v>
      </c>
      <c r="F885" s="69" t="s">
        <v>22</v>
      </c>
      <c r="G885" s="69" t="s">
        <v>498</v>
      </c>
      <c r="H885" s="65" t="s">
        <v>72</v>
      </c>
      <c r="I885" s="65" t="s">
        <v>487</v>
      </c>
      <c r="J885" s="65">
        <v>1020060</v>
      </c>
      <c r="K885" s="69" t="s">
        <v>26</v>
      </c>
      <c r="L885" s="72">
        <v>1181656.28</v>
      </c>
      <c r="M885" s="72">
        <v>1</v>
      </c>
      <c r="N885" s="72">
        <f>Main_Issuance[[#This Row],[LC Amt(FCY)]]*Main_Issuance[[#This Row],[Rate]]</f>
        <v>1181656.28</v>
      </c>
      <c r="O885" s="56">
        <v>45688</v>
      </c>
      <c r="P885" s="56">
        <v>45661</v>
      </c>
      <c r="Q885" s="56" t="s">
        <v>27</v>
      </c>
      <c r="R885" s="69" t="s">
        <v>305</v>
      </c>
      <c r="S885" s="71"/>
      <c r="T885" s="71"/>
      <c r="U885" s="71"/>
      <c r="V885" s="68">
        <v>0</v>
      </c>
      <c r="W885" s="69" t="s">
        <v>499</v>
      </c>
      <c r="X885" s="56" t="str">
        <f ca="1">IF(AND((Main_Issuance[[#This Row],[Expiry Date]]+31)&gt;TODAY(),Main_Issuance[[#This Row],[Status]]&lt;&gt;"Cancelled"),"Active","Cancelled")</f>
        <v>Cancelled</v>
      </c>
      <c r="Y885" s="407"/>
      <c r="Z885" s="441"/>
      <c r="AA885" s="441" t="s">
        <v>378</v>
      </c>
      <c r="AB885" s="83" cm="1">
        <f t="array" ref="AB885">Iss_Tariff(Main_Issuance[[#This Row],[Bank]],Main_Issuance[[#This Row],[LC Amt(SAR)]],Main_Issuance[[#This Row],[Issue Date.]],Main_Issuance[[#This Row],[Expiry Date]],Main_Issuance[[#This Row],[Calculate]])</f>
        <v>0</v>
      </c>
      <c r="AC885" s="83"/>
    </row>
    <row r="886" spans="1:29" ht="15.75" hidden="1" x14ac:dyDescent="0.25">
      <c r="A886" s="70" t="s">
        <v>604</v>
      </c>
      <c r="B886" s="56">
        <v>45664</v>
      </c>
      <c r="C886" s="56" t="s">
        <v>441</v>
      </c>
      <c r="D886" s="69" t="s">
        <v>20</v>
      </c>
      <c r="E886" s="69" t="s">
        <v>373</v>
      </c>
      <c r="F886" s="69" t="s">
        <v>63</v>
      </c>
      <c r="G886" s="69" t="s">
        <v>605</v>
      </c>
      <c r="H886" s="65" t="s">
        <v>24</v>
      </c>
      <c r="I886" s="65" t="s">
        <v>22</v>
      </c>
      <c r="J886" s="65">
        <v>1020055</v>
      </c>
      <c r="K886" s="69" t="s">
        <v>26</v>
      </c>
      <c r="L886" s="72">
        <v>431393.05</v>
      </c>
      <c r="M886" s="72">
        <v>1</v>
      </c>
      <c r="N886" s="72">
        <f>Main_Issuance[[#This Row],[LC Amt(FCY)]]*Main_Issuance[[#This Row],[Rate]]</f>
        <v>431393.05</v>
      </c>
      <c r="O886" s="56">
        <v>45747</v>
      </c>
      <c r="P886" s="56">
        <v>45747</v>
      </c>
      <c r="Q886" s="56" t="s">
        <v>27</v>
      </c>
      <c r="R886" s="69" t="s">
        <v>311</v>
      </c>
      <c r="S886" s="71"/>
      <c r="T886" s="71"/>
      <c r="U886" s="71"/>
      <c r="V886" s="68">
        <v>0</v>
      </c>
      <c r="W886" s="69"/>
      <c r="X886" s="56" t="str">
        <f ca="1">IF(AND((Main_Issuance[[#This Row],[Expiry Date]]+31)&gt;TODAY(),Main_Issuance[[#This Row],[Status]]&lt;&gt;"Cancelled"),"Active","Cancelled")</f>
        <v>Cancelled</v>
      </c>
      <c r="Y886" s="407"/>
      <c r="Z886" s="441"/>
      <c r="AA886" s="408" t="s">
        <v>378</v>
      </c>
      <c r="AB886" s="83" cm="1">
        <f t="array" ref="AB886">Iss_Tariff(Main_Issuance[[#This Row],[Bank]],Main_Issuance[[#This Row],[LC Amt(SAR)]],Main_Issuance[[#This Row],[Issue Date.]],Main_Issuance[[#This Row],[Expiry Date]],Main_Issuance[[#This Row],[Calculate]])</f>
        <v>0</v>
      </c>
      <c r="AC886" s="83"/>
    </row>
    <row r="887" spans="1:29" ht="15.75" hidden="1" x14ac:dyDescent="0.25">
      <c r="A887" s="75" t="s">
        <v>1406</v>
      </c>
      <c r="B887" s="76">
        <v>45804</v>
      </c>
      <c r="C887" s="76" t="s">
        <v>441</v>
      </c>
      <c r="D887" s="78" t="s">
        <v>20</v>
      </c>
      <c r="E887" s="78" t="s">
        <v>21</v>
      </c>
      <c r="F887" s="78" t="s">
        <v>22</v>
      </c>
      <c r="G887" s="78" t="s">
        <v>1364</v>
      </c>
      <c r="H887" s="78" t="s">
        <v>24</v>
      </c>
      <c r="I887" s="78" t="s">
        <v>22</v>
      </c>
      <c r="J887" s="78">
        <v>1020055</v>
      </c>
      <c r="K887" s="78" t="s">
        <v>26</v>
      </c>
      <c r="L887" s="72">
        <v>200000</v>
      </c>
      <c r="M887" s="72">
        <v>1</v>
      </c>
      <c r="N887" s="72">
        <f>Main_Issuance[[#This Row],[LC Amt(FCY)]]*Main_Issuance[[#This Row],[Rate]]</f>
        <v>200000</v>
      </c>
      <c r="O887" s="76">
        <v>45900</v>
      </c>
      <c r="P887" s="76">
        <v>45900</v>
      </c>
      <c r="Q887" s="76" t="s">
        <v>27</v>
      </c>
      <c r="R887" s="78" t="s">
        <v>621</v>
      </c>
      <c r="S887" s="81"/>
      <c r="T887" s="81"/>
      <c r="U887" s="81"/>
      <c r="V887" s="83">
        <v>0</v>
      </c>
      <c r="W887" s="78"/>
      <c r="X887" s="76" t="str">
        <f ca="1">IF(AND((Main_Issuance[[#This Row],[Expiry Date]]+31)&gt;TODAY(),Main_Issuance[[#This Row],[Status]]&lt;&gt;"Cancelled"),"Active","Cancelled")</f>
        <v>Cancelled</v>
      </c>
      <c r="Y887" s="407"/>
      <c r="Z887" s="441"/>
      <c r="AA887" s="408" t="s">
        <v>378</v>
      </c>
      <c r="AB887" s="83" cm="1">
        <f t="array" ref="AB887">Iss_Tariff(Main_Issuance[[#This Row],[Bank]],Main_Issuance[[#This Row],[LC Amt(SAR)]],Main_Issuance[[#This Row],[Issue Date.]],Main_Issuance[[#This Row],[Expiry Date]],Main_Issuance[[#This Row],[Calculate]])</f>
        <v>0</v>
      </c>
      <c r="AC887" s="83"/>
    </row>
    <row r="888" spans="1:29" ht="15.75" hidden="1" x14ac:dyDescent="0.25">
      <c r="A888" s="70" t="s">
        <v>392</v>
      </c>
      <c r="B888" s="56">
        <v>45551</v>
      </c>
      <c r="C888" s="56" t="s">
        <v>441</v>
      </c>
      <c r="D888" s="69" t="s">
        <v>20</v>
      </c>
      <c r="E888" s="69" t="s">
        <v>95</v>
      </c>
      <c r="F888" s="69" t="s">
        <v>96</v>
      </c>
      <c r="G888" s="69" t="s">
        <v>393</v>
      </c>
      <c r="H888" s="65" t="s">
        <v>24</v>
      </c>
      <c r="I888" s="65" t="s">
        <v>22</v>
      </c>
      <c r="J888" s="65">
        <v>1020055</v>
      </c>
      <c r="K888" s="69" t="s">
        <v>26</v>
      </c>
      <c r="L888" s="72">
        <v>670471.5</v>
      </c>
      <c r="M888" s="72">
        <v>1</v>
      </c>
      <c r="N888" s="72">
        <f>Main_Issuance[[#This Row],[LC Amt(FCY)]]*Main_Issuance[[#This Row],[Rate]]</f>
        <v>670471.5</v>
      </c>
      <c r="O888" s="56">
        <v>45626</v>
      </c>
      <c r="P888" s="56">
        <v>45600</v>
      </c>
      <c r="Q888" s="56" t="s">
        <v>27</v>
      </c>
      <c r="R888" s="69" t="s">
        <v>311</v>
      </c>
      <c r="S888" s="71"/>
      <c r="T888" s="71"/>
      <c r="U888" s="71"/>
      <c r="V888" s="68">
        <v>0</v>
      </c>
      <c r="W888" s="69"/>
      <c r="X888" s="56" t="str">
        <f ca="1">IF(AND((Main_Issuance[[#This Row],[Expiry Date]]+31)&gt;TODAY(),Main_Issuance[[#This Row],[Status]]&lt;&gt;"Cancelled"),"Active","Cancelled")</f>
        <v>Cancelled</v>
      </c>
      <c r="Y888" s="407"/>
      <c r="Z888" s="441"/>
      <c r="AA888" s="441" t="s">
        <v>378</v>
      </c>
      <c r="AB888" s="83" cm="1">
        <f t="array" ref="AB888">Iss_Tariff(Main_Issuance[[#This Row],[Bank]],Main_Issuance[[#This Row],[LC Amt(SAR)]],Main_Issuance[[#This Row],[Issue Date.]],Main_Issuance[[#This Row],[Expiry Date]],Main_Issuance[[#This Row],[Calculate]])</f>
        <v>0</v>
      </c>
      <c r="AC888" s="83"/>
    </row>
    <row r="889" spans="1:29" ht="15.75" hidden="1" x14ac:dyDescent="0.25">
      <c r="A889" s="70" t="s">
        <v>829</v>
      </c>
      <c r="B889" s="56">
        <v>45739</v>
      </c>
      <c r="C889" s="56" t="s">
        <v>441</v>
      </c>
      <c r="D889" s="69" t="s">
        <v>20</v>
      </c>
      <c r="E889" s="69" t="s">
        <v>21</v>
      </c>
      <c r="F889" s="69" t="s">
        <v>22</v>
      </c>
      <c r="G889" s="69" t="s">
        <v>393</v>
      </c>
      <c r="H889" s="69" t="s">
        <v>24</v>
      </c>
      <c r="I889" s="69" t="s">
        <v>22</v>
      </c>
      <c r="J889" s="65">
        <v>1020055</v>
      </c>
      <c r="K889" s="69" t="s">
        <v>26</v>
      </c>
      <c r="L889" s="72">
        <v>300597.8</v>
      </c>
      <c r="M889" s="72">
        <v>1</v>
      </c>
      <c r="N889" s="72">
        <f>Main_Issuance[[#This Row],[LC Amt(FCY)]]*Main_Issuance[[#This Row],[Rate]]</f>
        <v>300597.8</v>
      </c>
      <c r="O889" s="56">
        <v>45838</v>
      </c>
      <c r="P889" s="56">
        <v>45838</v>
      </c>
      <c r="Q889" s="56" t="s">
        <v>27</v>
      </c>
      <c r="R889" s="69" t="s">
        <v>311</v>
      </c>
      <c r="S889" s="71"/>
      <c r="T889" s="71"/>
      <c r="U889" s="71"/>
      <c r="V889" s="68">
        <v>0</v>
      </c>
      <c r="W889" s="69"/>
      <c r="X889" s="56" t="str">
        <f ca="1">IF(AND((Main_Issuance[[#This Row],[Expiry Date]]+31)&gt;TODAY(),Main_Issuance[[#This Row],[Status]]&lt;&gt;"Cancelled"),"Active","Cancelled")</f>
        <v>Cancelled</v>
      </c>
      <c r="Y889" s="407"/>
      <c r="Z889" s="441"/>
      <c r="AA889" s="441" t="s">
        <v>378</v>
      </c>
      <c r="AB889" s="83" cm="1">
        <f t="array" ref="AB889">Iss_Tariff(Main_Issuance[[#This Row],[Bank]],Main_Issuance[[#This Row],[LC Amt(SAR)]],Main_Issuance[[#This Row],[Issue Date.]],Main_Issuance[[#This Row],[Expiry Date]],Main_Issuance[[#This Row],[Calculate]])</f>
        <v>0</v>
      </c>
      <c r="AC889" s="83"/>
    </row>
    <row r="890" spans="1:29" ht="15.75" hidden="1" x14ac:dyDescent="0.25">
      <c r="A890" s="75" t="s">
        <v>1229</v>
      </c>
      <c r="B890" s="76">
        <v>45775</v>
      </c>
      <c r="C890" s="76" t="s">
        <v>1878</v>
      </c>
      <c r="D890" s="115" t="s">
        <v>20</v>
      </c>
      <c r="E890" s="115" t="s">
        <v>366</v>
      </c>
      <c r="F890" s="115" t="s">
        <v>367</v>
      </c>
      <c r="G890" s="78" t="s">
        <v>1192</v>
      </c>
      <c r="H890" s="78" t="s">
        <v>3220</v>
      </c>
      <c r="I890" s="78" t="s">
        <v>367</v>
      </c>
      <c r="J890" s="79">
        <v>1020091</v>
      </c>
      <c r="K890" s="78" t="s">
        <v>191</v>
      </c>
      <c r="L890" s="60">
        <f>3500000+3000000</f>
        <v>6500000</v>
      </c>
      <c r="M890" s="60">
        <v>1.03</v>
      </c>
      <c r="N890" s="60">
        <f>Main_Issuance[[#This Row],[LC Amt(FCY)]]*Main_Issuance[[#This Row],[Rate]]</f>
        <v>6695000</v>
      </c>
      <c r="O890" s="77">
        <v>45951</v>
      </c>
      <c r="P890" s="77">
        <v>45930</v>
      </c>
      <c r="Q890" s="76" t="s">
        <v>27</v>
      </c>
      <c r="R890" s="115" t="s">
        <v>208</v>
      </c>
      <c r="S890" s="81"/>
      <c r="T890" s="81"/>
      <c r="U890" s="81"/>
      <c r="V890" s="83">
        <v>0</v>
      </c>
      <c r="W890" s="115"/>
      <c r="X890" s="118" t="str">
        <f ca="1">IF(AND((Main_Issuance[[#This Row],[Expiry Date]]+31)&gt;TODAY(),Main_Issuance[[#This Row],[Status]]&lt;&gt;"Cancelled"),"Active","Cancelled")</f>
        <v>Cancelled</v>
      </c>
      <c r="Y890" s="409"/>
      <c r="Z890" s="408"/>
      <c r="AA890" s="408" t="s">
        <v>378</v>
      </c>
      <c r="AB890" s="83" cm="1">
        <f t="array" ref="AB890">Iss_Tariff(Main_Issuance[[#This Row],[Bank]],Main_Issuance[[#This Row],[LC Amt(SAR)]],Main_Issuance[[#This Row],[Issue Date.]],Main_Issuance[[#This Row],[Expiry Date]],Main_Issuance[[#This Row],[Calculate]])</f>
        <v>0</v>
      </c>
      <c r="AC890" s="83"/>
    </row>
    <row r="891" spans="1:29" ht="15.75" hidden="1" x14ac:dyDescent="0.25">
      <c r="A891" s="70" t="s">
        <v>321</v>
      </c>
      <c r="B891" s="56">
        <v>45529</v>
      </c>
      <c r="C891" s="56" t="s">
        <v>1118</v>
      </c>
      <c r="D891" s="69" t="s">
        <v>20</v>
      </c>
      <c r="E891" s="69" t="s">
        <v>62</v>
      </c>
      <c r="F891" s="69" t="s">
        <v>70</v>
      </c>
      <c r="G891" s="69" t="s">
        <v>322</v>
      </c>
      <c r="H891" s="65" t="s">
        <v>72</v>
      </c>
      <c r="I891" s="65" t="s">
        <v>213</v>
      </c>
      <c r="J891" s="65">
        <v>1020015</v>
      </c>
      <c r="K891" s="69" t="s">
        <v>26</v>
      </c>
      <c r="L891" s="72">
        <f>14117915.81+2209585.07</f>
        <v>16327500.880000001</v>
      </c>
      <c r="M891" s="72">
        <v>1</v>
      </c>
      <c r="N891" s="72">
        <f>Main_Issuance[[#This Row],[LC Amt(FCY)]]*Main_Issuance[[#This Row],[Rate]]</f>
        <v>16327500.880000001</v>
      </c>
      <c r="O891" s="56">
        <v>46203</v>
      </c>
      <c r="P891" s="56">
        <v>45657</v>
      </c>
      <c r="Q891" s="56" t="s">
        <v>70</v>
      </c>
      <c r="R891" s="69" t="s">
        <v>127</v>
      </c>
      <c r="S891" s="71"/>
      <c r="T891" s="71"/>
      <c r="U891" s="71"/>
      <c r="V891" s="68">
        <v>0</v>
      </c>
      <c r="W891" s="78"/>
      <c r="X891" s="56" t="str">
        <f ca="1">IF(AND((Main_Issuance[[#This Row],[Expiry Date]]+31)&gt;TODAY(),Main_Issuance[[#This Row],[Status]]&lt;&gt;"Cancelled"),"Active","Cancelled")</f>
        <v>Active</v>
      </c>
      <c r="Y891" s="407"/>
      <c r="Z891" s="441"/>
      <c r="AA891" s="441" t="s">
        <v>857</v>
      </c>
      <c r="AB891" s="83" cm="1">
        <f t="array" ref="AB891">Iss_Tariff(Main_Issuance[[#This Row],[Bank]],Main_Issuance[[#This Row],[LC Amt(SAR)]],Main_Issuance[[#This Row],[Issue Date.]],Main_Issuance[[#This Row],[Expiry Date]],Main_Issuance[[#This Row],[Calculate]])</f>
        <v>599086.75</v>
      </c>
      <c r="AC891" s="83"/>
    </row>
    <row r="892" spans="1:29" ht="15.75" hidden="1" x14ac:dyDescent="0.25">
      <c r="A892" s="75" t="s">
        <v>1395</v>
      </c>
      <c r="B892" s="76">
        <v>45804</v>
      </c>
      <c r="C892" s="76" t="s">
        <v>441</v>
      </c>
      <c r="D892" s="69" t="s">
        <v>20</v>
      </c>
      <c r="E892" s="78" t="s">
        <v>612</v>
      </c>
      <c r="F892" s="78" t="s">
        <v>613</v>
      </c>
      <c r="G892" s="78" t="s">
        <v>1392</v>
      </c>
      <c r="H892" s="79" t="s">
        <v>24</v>
      </c>
      <c r="I892" s="79" t="s">
        <v>613</v>
      </c>
      <c r="J892" s="78">
        <v>1020106</v>
      </c>
      <c r="K892" s="78" t="s">
        <v>26</v>
      </c>
      <c r="L892" s="80">
        <v>618700.01</v>
      </c>
      <c r="M892" s="81">
        <v>1</v>
      </c>
      <c r="N892" s="81">
        <f>Main_Issuance[[#This Row],[LC Amt(FCY)]]*Main_Issuance[[#This Row],[Rate]]</f>
        <v>618700.01</v>
      </c>
      <c r="O892" s="76">
        <v>45961</v>
      </c>
      <c r="P892" s="76">
        <v>45961</v>
      </c>
      <c r="Q892" s="76" t="s">
        <v>27</v>
      </c>
      <c r="R892" s="78" t="s">
        <v>311</v>
      </c>
      <c r="S892" s="81"/>
      <c r="T892" s="81"/>
      <c r="U892" s="81"/>
      <c r="V892" s="83">
        <v>0</v>
      </c>
      <c r="W892" s="78"/>
      <c r="X892" s="76" t="str">
        <f ca="1">IF(AND((Main_Issuance[[#This Row],[Expiry Date]]+31)&gt;TODAY(),Main_Issuance[[#This Row],[Status]]&lt;&gt;"Cancelled"),"Active","Cancelled")</f>
        <v>Cancelled</v>
      </c>
      <c r="Y892" s="407"/>
      <c r="Z892" s="441"/>
      <c r="AA892" s="441" t="s">
        <v>378</v>
      </c>
      <c r="AB892" s="83" cm="1">
        <f t="array" ref="AB892">Iss_Tariff(Main_Issuance[[#This Row],[Bank]],Main_Issuance[[#This Row],[LC Amt(SAR)]],Main_Issuance[[#This Row],[Issue Date.]],Main_Issuance[[#This Row],[Expiry Date]],Main_Issuance[[#This Row],[Calculate]])</f>
        <v>0</v>
      </c>
      <c r="AC892" s="83"/>
    </row>
    <row r="893" spans="1:29" ht="15.75" hidden="1" x14ac:dyDescent="0.25">
      <c r="A893" s="75" t="s">
        <v>1230</v>
      </c>
      <c r="B893" s="76">
        <v>45775</v>
      </c>
      <c r="C893" s="76" t="s">
        <v>441</v>
      </c>
      <c r="D893" s="78" t="s">
        <v>20</v>
      </c>
      <c r="E893" s="78" t="s">
        <v>612</v>
      </c>
      <c r="F893" s="78" t="s">
        <v>613</v>
      </c>
      <c r="G893" s="78" t="s">
        <v>1204</v>
      </c>
      <c r="H893" s="79" t="s">
        <v>72</v>
      </c>
      <c r="I893" s="79" t="s">
        <v>613</v>
      </c>
      <c r="J893" s="78">
        <v>1020106</v>
      </c>
      <c r="K893" s="78" t="s">
        <v>26</v>
      </c>
      <c r="L893" s="80">
        <v>11042622</v>
      </c>
      <c r="M893" s="81">
        <v>1</v>
      </c>
      <c r="N893" s="81">
        <f>Main_Issuance[[#This Row],[LC Amt(FCY)]]*Main_Issuance[[#This Row],[Rate]]</f>
        <v>11042622</v>
      </c>
      <c r="O893" s="76">
        <v>45869</v>
      </c>
      <c r="P893" s="76">
        <v>45869</v>
      </c>
      <c r="Q893" s="76" t="s">
        <v>27</v>
      </c>
      <c r="R893" s="78" t="s">
        <v>311</v>
      </c>
      <c r="S893" s="81"/>
      <c r="T893" s="81"/>
      <c r="U893" s="81"/>
      <c r="V893" s="83">
        <v>0</v>
      </c>
      <c r="W893" s="78"/>
      <c r="X893" s="76" t="str">
        <f ca="1">IF(AND((Main_Issuance[[#This Row],[Expiry Date]]+31)&gt;TODAY(),Main_Issuance[[#This Row],[Status]]&lt;&gt;"Cancelled"),"Active","Cancelled")</f>
        <v>Cancelled</v>
      </c>
      <c r="Y893" s="407"/>
      <c r="Z893" s="441"/>
      <c r="AA893" s="441" t="s">
        <v>378</v>
      </c>
      <c r="AB893" s="83" cm="1">
        <f t="array" ref="AB893">Iss_Tariff(Main_Issuance[[#This Row],[Bank]],Main_Issuance[[#This Row],[LC Amt(SAR)]],Main_Issuance[[#This Row],[Issue Date.]],Main_Issuance[[#This Row],[Expiry Date]],Main_Issuance[[#This Row],[Calculate]])</f>
        <v>0</v>
      </c>
      <c r="AC893" s="83"/>
    </row>
    <row r="894" spans="1:29" ht="15.75" hidden="1" x14ac:dyDescent="0.25">
      <c r="A894" s="70" t="s">
        <v>180</v>
      </c>
      <c r="B894" s="56">
        <v>45175</v>
      </c>
      <c r="C894" s="56" t="s">
        <v>1184</v>
      </c>
      <c r="D894" s="69" t="s">
        <v>20</v>
      </c>
      <c r="E894" s="69" t="s">
        <v>21</v>
      </c>
      <c r="F894" s="69" t="s">
        <v>22</v>
      </c>
      <c r="G894" s="69" t="s">
        <v>181</v>
      </c>
      <c r="H894" s="65" t="s">
        <v>80</v>
      </c>
      <c r="I894" s="65" t="s">
        <v>22</v>
      </c>
      <c r="J894" s="65">
        <v>1020055</v>
      </c>
      <c r="K894" s="69" t="s">
        <v>26</v>
      </c>
      <c r="L894" s="72">
        <v>5972293</v>
      </c>
      <c r="M894" s="72">
        <v>1</v>
      </c>
      <c r="N894" s="71">
        <f>Main_Issuance[[#This Row],[LC Amt(FCY)]]*Main_Issuance[[#This Row],[Rate]]</f>
        <v>5972293</v>
      </c>
      <c r="O894" s="56">
        <v>45260</v>
      </c>
      <c r="P894" s="56">
        <v>45260</v>
      </c>
      <c r="Q894" s="56" t="s">
        <v>27</v>
      </c>
      <c r="R894" s="69"/>
      <c r="S894" s="71"/>
      <c r="T894" s="71"/>
      <c r="U894" s="71"/>
      <c r="V894" s="68">
        <v>0</v>
      </c>
      <c r="W894" s="69"/>
      <c r="X894" s="56" t="str">
        <f ca="1">IF(AND((Main_Issuance[[#This Row],[Expiry Date]]+31)&gt;TODAY(),Main_Issuance[[#This Row],[Status]]&lt;&gt;"Cancelled"),"Active","Cancelled")</f>
        <v>Cancelled</v>
      </c>
      <c r="Y894" s="407"/>
      <c r="Z894" s="441"/>
      <c r="AA894" s="441" t="s">
        <v>378</v>
      </c>
      <c r="AB894" s="83" cm="1">
        <f t="array" ref="AB894">Iss_Tariff(Main_Issuance[[#This Row],[Bank]],Main_Issuance[[#This Row],[LC Amt(SAR)]],Main_Issuance[[#This Row],[Issue Date.]],Main_Issuance[[#This Row],[Expiry Date]],Main_Issuance[[#This Row],[Calculate]])</f>
        <v>0</v>
      </c>
      <c r="AC894" s="83"/>
    </row>
    <row r="895" spans="1:29" ht="15.75" hidden="1" x14ac:dyDescent="0.25">
      <c r="A895" s="75" t="s">
        <v>1403</v>
      </c>
      <c r="B895" s="76">
        <v>45804</v>
      </c>
      <c r="C895" s="76" t="s">
        <v>441</v>
      </c>
      <c r="D895" s="69" t="s">
        <v>20</v>
      </c>
      <c r="E895" s="78" t="s">
        <v>21</v>
      </c>
      <c r="F895" s="78" t="s">
        <v>22</v>
      </c>
      <c r="G895" s="78" t="s">
        <v>1360</v>
      </c>
      <c r="H895" s="78" t="s">
        <v>24</v>
      </c>
      <c r="I895" s="78" t="s">
        <v>22</v>
      </c>
      <c r="J895" s="78">
        <v>1020055</v>
      </c>
      <c r="K895" s="78" t="s">
        <v>26</v>
      </c>
      <c r="L895" s="80">
        <v>381871.86</v>
      </c>
      <c r="M895" s="81">
        <v>1</v>
      </c>
      <c r="N895" s="81">
        <f>Main_Issuance[[#This Row],[LC Amt(FCY)]]*Main_Issuance[[#This Row],[Rate]]</f>
        <v>381871.86</v>
      </c>
      <c r="O895" s="76">
        <v>45961</v>
      </c>
      <c r="P895" s="76">
        <v>45961</v>
      </c>
      <c r="Q895" s="76" t="s">
        <v>27</v>
      </c>
      <c r="R895" s="78" t="s">
        <v>621</v>
      </c>
      <c r="S895" s="81"/>
      <c r="T895" s="81"/>
      <c r="U895" s="81"/>
      <c r="V895" s="83">
        <v>0</v>
      </c>
      <c r="W895" s="78" t="s">
        <v>1846</v>
      </c>
      <c r="X895" s="76" t="str">
        <f ca="1">IF(AND((Main_Issuance[[#This Row],[Expiry Date]]+31)&gt;TODAY(),Main_Issuance[[#This Row],[Status]]&lt;&gt;"Cancelled"),"Active","Cancelled")</f>
        <v>Cancelled</v>
      </c>
      <c r="Y895" s="407"/>
      <c r="Z895" s="441"/>
      <c r="AA895" s="441" t="s">
        <v>378</v>
      </c>
      <c r="AB895" s="83" cm="1">
        <f t="array" ref="AB895">Iss_Tariff(Main_Issuance[[#This Row],[Bank]],Main_Issuance[[#This Row],[LC Amt(SAR)]],Main_Issuance[[#This Row],[Issue Date.]],Main_Issuance[[#This Row],[Expiry Date]],Main_Issuance[[#This Row],[Calculate]])</f>
        <v>0</v>
      </c>
      <c r="AC895" s="83"/>
    </row>
    <row r="896" spans="1:29" ht="15.75" hidden="1" x14ac:dyDescent="0.25">
      <c r="A896" s="75" t="s">
        <v>1661</v>
      </c>
      <c r="B896" s="76">
        <v>45869</v>
      </c>
      <c r="C896" s="76" t="s">
        <v>441</v>
      </c>
      <c r="D896" s="78" t="s">
        <v>20</v>
      </c>
      <c r="E896" s="78" t="s">
        <v>21</v>
      </c>
      <c r="F896" s="78" t="s">
        <v>22</v>
      </c>
      <c r="G896" s="123" t="s">
        <v>1588</v>
      </c>
      <c r="H896" s="78" t="s">
        <v>24</v>
      </c>
      <c r="I896" s="78" t="s">
        <v>22</v>
      </c>
      <c r="J896" s="79">
        <v>1020055</v>
      </c>
      <c r="K896" s="78" t="s">
        <v>26</v>
      </c>
      <c r="L896" s="80">
        <v>4106471.65</v>
      </c>
      <c r="M896" s="81">
        <v>1</v>
      </c>
      <c r="N896" s="81">
        <f>Main_Issuance[[#This Row],[LC Amt(FCY)]]*Main_Issuance[[#This Row],[Rate]]</f>
        <v>4106471.65</v>
      </c>
      <c r="O896" s="76">
        <v>45961</v>
      </c>
      <c r="P896" s="76">
        <v>45961</v>
      </c>
      <c r="Q896" s="76" t="s">
        <v>27</v>
      </c>
      <c r="R896" s="78" t="s">
        <v>621</v>
      </c>
      <c r="S896" s="81"/>
      <c r="T896" s="81"/>
      <c r="U896" s="81"/>
      <c r="V896" s="83">
        <v>0</v>
      </c>
      <c r="W896" s="78" t="s">
        <v>1621</v>
      </c>
      <c r="X896" s="76" t="str">
        <f ca="1">IF(AND((Main_Issuance[[#This Row],[Expiry Date]]+31)&gt;TODAY(),Main_Issuance[[#This Row],[Status]]&lt;&gt;"Cancelled"),"Active","Cancelled")</f>
        <v>Cancelled</v>
      </c>
      <c r="Y896" s="407"/>
      <c r="Z896" s="441"/>
      <c r="AA896" s="441" t="s">
        <v>378</v>
      </c>
      <c r="AB896" s="83" cm="1">
        <f t="array" ref="AB896">Iss_Tariff(Main_Issuance[[#This Row],[Bank]],Main_Issuance[[#This Row],[LC Amt(SAR)]],Main_Issuance[[#This Row],[Issue Date.]],Main_Issuance[[#This Row],[Expiry Date]],Main_Issuance[[#This Row],[Calculate]])</f>
        <v>0</v>
      </c>
      <c r="AC896" s="83"/>
    </row>
    <row r="897" spans="1:29" ht="15.75" hidden="1" x14ac:dyDescent="0.25">
      <c r="A897" s="70" t="s">
        <v>143</v>
      </c>
      <c r="B897" s="56">
        <v>45015</v>
      </c>
      <c r="C897" s="56" t="s">
        <v>1182</v>
      </c>
      <c r="D897" s="69" t="s">
        <v>20</v>
      </c>
      <c r="E897" s="69" t="s">
        <v>21</v>
      </c>
      <c r="F897" s="69" t="s">
        <v>22</v>
      </c>
      <c r="G897" s="69" t="s">
        <v>144</v>
      </c>
      <c r="H897" s="65" t="s">
        <v>24</v>
      </c>
      <c r="I897" s="65" t="s">
        <v>25</v>
      </c>
      <c r="J897" s="65">
        <v>1020052</v>
      </c>
      <c r="K897" s="69" t="s">
        <v>26</v>
      </c>
      <c r="L897" s="72">
        <v>10518119</v>
      </c>
      <c r="M897" s="72">
        <v>1</v>
      </c>
      <c r="N897" s="71">
        <f>Main_Issuance[[#This Row],[LC Amt(FCY)]]*Main_Issuance[[#This Row],[Rate]]</f>
        <v>10518119</v>
      </c>
      <c r="O897" s="56">
        <v>45199</v>
      </c>
      <c r="P897" s="56">
        <v>45199</v>
      </c>
      <c r="Q897" s="56" t="s">
        <v>27</v>
      </c>
      <c r="R897" s="69"/>
      <c r="S897" s="71"/>
      <c r="T897" s="71"/>
      <c r="U897" s="71"/>
      <c r="V897" s="68">
        <v>0</v>
      </c>
      <c r="W897" s="69"/>
      <c r="X897" s="56" t="str">
        <f ca="1">IF(AND((Main_Issuance[[#This Row],[Expiry Date]]+31)&gt;TODAY(),Main_Issuance[[#This Row],[Status]]&lt;&gt;"Cancelled"),"Active","Cancelled")</f>
        <v>Cancelled</v>
      </c>
      <c r="Y897" s="407"/>
      <c r="Z897" s="441"/>
      <c r="AA897" s="441" t="s">
        <v>378</v>
      </c>
      <c r="AB897" s="83" cm="1">
        <f t="array" ref="AB897">Iss_Tariff(Main_Issuance[[#This Row],[Bank]],Main_Issuance[[#This Row],[LC Amt(SAR)]],Main_Issuance[[#This Row],[Issue Date.]],Main_Issuance[[#This Row],[Expiry Date]],Main_Issuance[[#This Row],[Calculate]])</f>
        <v>0</v>
      </c>
      <c r="AC897" s="83"/>
    </row>
    <row r="898" spans="1:29" ht="15.75" hidden="1" x14ac:dyDescent="0.25">
      <c r="A898" s="70" t="s">
        <v>267</v>
      </c>
      <c r="B898" s="56">
        <v>45435</v>
      </c>
      <c r="C898" s="56" t="s">
        <v>441</v>
      </c>
      <c r="D898" s="69" t="s">
        <v>20</v>
      </c>
      <c r="E898" s="69" t="s">
        <v>21</v>
      </c>
      <c r="F898" s="69" t="s">
        <v>22</v>
      </c>
      <c r="G898" s="69" t="s">
        <v>268</v>
      </c>
      <c r="H898" s="65" t="s">
        <v>24</v>
      </c>
      <c r="I898" s="65" t="s">
        <v>22</v>
      </c>
      <c r="J898" s="65">
        <v>1020055</v>
      </c>
      <c r="K898" s="69" t="s">
        <v>26</v>
      </c>
      <c r="L898" s="72">
        <v>3794618.02</v>
      </c>
      <c r="M898" s="72">
        <v>1</v>
      </c>
      <c r="N898" s="71">
        <f>Main_Issuance[[#This Row],[LC Amt(FCY)]]*Main_Issuance[[#This Row],[Rate]]</f>
        <v>3794618.02</v>
      </c>
      <c r="O898" s="56">
        <v>45565</v>
      </c>
      <c r="P898" s="56">
        <v>45565</v>
      </c>
      <c r="Q898" s="56" t="s">
        <v>27</v>
      </c>
      <c r="R898" s="69"/>
      <c r="S898" s="71"/>
      <c r="T898" s="71"/>
      <c r="U898" s="71"/>
      <c r="V898" s="68">
        <v>0</v>
      </c>
      <c r="W898" s="69"/>
      <c r="X898" s="56" t="str">
        <f ca="1">IF(AND((Main_Issuance[[#This Row],[Expiry Date]]+31)&gt;TODAY(),Main_Issuance[[#This Row],[Status]]&lt;&gt;"Cancelled"),"Active","Cancelled")</f>
        <v>Cancelled</v>
      </c>
      <c r="Y898" s="407"/>
      <c r="Z898" s="441"/>
      <c r="AA898" s="441" t="s">
        <v>378</v>
      </c>
      <c r="AB898" s="83" cm="1">
        <f t="array" ref="AB898">Iss_Tariff(Main_Issuance[[#This Row],[Bank]],Main_Issuance[[#This Row],[LC Amt(SAR)]],Main_Issuance[[#This Row],[Issue Date.]],Main_Issuance[[#This Row],[Expiry Date]],Main_Issuance[[#This Row],[Calculate]])</f>
        <v>0</v>
      </c>
      <c r="AC898" s="83"/>
    </row>
    <row r="899" spans="1:29" ht="15.75" hidden="1" x14ac:dyDescent="0.25">
      <c r="A899" s="70" t="s">
        <v>334</v>
      </c>
      <c r="B899" s="56">
        <v>45519</v>
      </c>
      <c r="C899" s="56" t="s">
        <v>441</v>
      </c>
      <c r="D899" s="69" t="s">
        <v>20</v>
      </c>
      <c r="E899" s="69" t="s">
        <v>95</v>
      </c>
      <c r="F899" s="69" t="s">
        <v>96</v>
      </c>
      <c r="G899" s="69" t="s">
        <v>335</v>
      </c>
      <c r="H899" s="59" t="s">
        <v>24</v>
      </c>
      <c r="I899" s="65" t="s">
        <v>22</v>
      </c>
      <c r="J899" s="65">
        <v>1020055</v>
      </c>
      <c r="K899" s="69" t="s">
        <v>26</v>
      </c>
      <c r="L899" s="72">
        <v>2754688.47</v>
      </c>
      <c r="M899" s="72">
        <v>1</v>
      </c>
      <c r="N899" s="71">
        <f>Main_Issuance[[#This Row],[LC Amt(FCY)]]*Main_Issuance[[#This Row],[Rate]]</f>
        <v>2754688.47</v>
      </c>
      <c r="O899" s="56">
        <v>45626</v>
      </c>
      <c r="P899" s="56">
        <v>45626</v>
      </c>
      <c r="Q899" s="58" t="s">
        <v>27</v>
      </c>
      <c r="R899" s="69"/>
      <c r="S899" s="71"/>
      <c r="T899" s="71"/>
      <c r="U899" s="71"/>
      <c r="V899" s="68">
        <v>0</v>
      </c>
      <c r="W899" s="69"/>
      <c r="X899" s="56" t="str">
        <f ca="1">IF(AND((Main_Issuance[[#This Row],[Expiry Date]]+31)&gt;TODAY(),Main_Issuance[[#This Row],[Status]]&lt;&gt;"Cancelled"),"Active","Cancelled")</f>
        <v>Cancelled</v>
      </c>
      <c r="Y899" s="441">
        <v>45519</v>
      </c>
      <c r="Z899" s="441"/>
      <c r="AA899" s="441" t="s">
        <v>378</v>
      </c>
      <c r="AB899" s="83" cm="1">
        <f t="array" ref="AB899">Iss_Tariff(Main_Issuance[[#This Row],[Bank]],Main_Issuance[[#This Row],[LC Amt(SAR)]],Main_Issuance[[#This Row],[Issue Date.]],Main_Issuance[[#This Row],[Expiry Date]],Main_Issuance[[#This Row],[Calculate]])</f>
        <v>0</v>
      </c>
      <c r="AC899" s="83"/>
    </row>
    <row r="900" spans="1:29" ht="15.75" hidden="1" x14ac:dyDescent="0.25">
      <c r="A900" s="75" t="s">
        <v>5555</v>
      </c>
      <c r="B900" s="423">
        <v>46184</v>
      </c>
      <c r="C900" s="423" t="s">
        <v>1259</v>
      </c>
      <c r="D900" s="78" t="s">
        <v>20</v>
      </c>
      <c r="E900" s="78" t="s">
        <v>95</v>
      </c>
      <c r="F900" s="78" t="s">
        <v>96</v>
      </c>
      <c r="G900" s="78" t="s">
        <v>5063</v>
      </c>
      <c r="H900" s="78" t="s">
        <v>5134</v>
      </c>
      <c r="I900" s="78" t="s">
        <v>328</v>
      </c>
      <c r="J900" s="78">
        <v>1020097</v>
      </c>
      <c r="K900" s="78" t="s">
        <v>67</v>
      </c>
      <c r="L900" s="80">
        <v>6040641.79</v>
      </c>
      <c r="M900" s="81">
        <v>4.3899999999999997</v>
      </c>
      <c r="N900" s="81">
        <f>Main_Issuance[[#This Row],[LC Amt(FCY)]]*Main_Issuance[[#This Row],[Rate]]</f>
        <v>26518417.458099999</v>
      </c>
      <c r="O900" s="423">
        <v>46387</v>
      </c>
      <c r="P900" s="423">
        <v>46387</v>
      </c>
      <c r="Q900" s="77" t="s">
        <v>27</v>
      </c>
      <c r="R900" s="78" t="s">
        <v>311</v>
      </c>
      <c r="S900" s="81"/>
      <c r="T900" s="81"/>
      <c r="U900" s="81"/>
      <c r="V900" s="83"/>
      <c r="W900" s="78"/>
      <c r="X900" s="423" t="str">
        <f ca="1">IF(AND((Main_Issuance[[#This Row],[Expiry Date]]+31)&gt;TODAY(),Main_Issuance[[#This Row],[Status]]&lt;&gt;"Cancelled"),"Active","Cancelled")</f>
        <v>Active</v>
      </c>
      <c r="Y900" s="530"/>
      <c r="Z900" s="423"/>
      <c r="AA900" s="507"/>
      <c r="AB900" s="83" cm="1">
        <f t="array" ref="AB900">Iss_Tariff(Main_Issuance[[#This Row],[Bank]],Main_Issuance[[#This Row],[LC Amt(SAR)]],Main_Issuance[[#This Row],[Issue Date.]],Main_Issuance[[#This Row],[Expiry Date]],Main_Issuance[[#This Row],[Calculate]])</f>
        <v>89406.75</v>
      </c>
      <c r="AC900" s="83"/>
    </row>
    <row r="901" spans="1:29" ht="15.75" hidden="1" x14ac:dyDescent="0.25">
      <c r="A901" s="489"/>
      <c r="B901" s="490">
        <v>46138</v>
      </c>
      <c r="C901" s="490" t="s">
        <v>1537</v>
      </c>
      <c r="D901" s="491" t="s">
        <v>830</v>
      </c>
      <c r="E901" s="491" t="s">
        <v>62</v>
      </c>
      <c r="F901" s="492" t="s">
        <v>483</v>
      </c>
      <c r="G901" s="491" t="s">
        <v>1243</v>
      </c>
      <c r="H901" s="493" t="s">
        <v>24</v>
      </c>
      <c r="I901" s="491" t="s">
        <v>483</v>
      </c>
      <c r="J901" s="494">
        <v>1020096</v>
      </c>
      <c r="K901" s="491" t="s">
        <v>26</v>
      </c>
      <c r="L901" s="495">
        <v>500000</v>
      </c>
      <c r="M901" s="496">
        <v>1</v>
      </c>
      <c r="N901" s="497">
        <f>Main_Issuance[[#This Row],[LC Amt(FCY)]]*Main_Issuance[[#This Row],[Rate]]</f>
        <v>500000</v>
      </c>
      <c r="O901" s="498">
        <v>46234</v>
      </c>
      <c r="P901" s="498">
        <v>46234</v>
      </c>
      <c r="Q901" s="498" t="s">
        <v>27</v>
      </c>
      <c r="R901" s="491" t="s">
        <v>3229</v>
      </c>
      <c r="S901" s="496"/>
      <c r="T901" s="496"/>
      <c r="U901" s="496"/>
      <c r="V901" s="499">
        <v>0</v>
      </c>
      <c r="W901" s="491" t="s">
        <v>5067</v>
      </c>
      <c r="X901" s="498" t="str">
        <f ca="1">IF(AND((Main_Issuance[[#This Row],[Expiry Date]]+31)&gt;TODAY(),Main_Issuance[[#This Row],[Status]]&lt;&gt;"Cancelled"),"Active","Cancelled")</f>
        <v>Active</v>
      </c>
      <c r="Y901" s="500"/>
      <c r="Z901" s="498"/>
      <c r="AA901" s="501" t="s">
        <v>857</v>
      </c>
      <c r="AB901" s="502" cm="1">
        <f t="array" ref="AB901">Iss_Tariff(Main_Issuance[[#This Row],[Bank]],Main_Issuance[[#This Row],[LC Amt(SAR)]],Main_Issuance[[#This Row],[Issue Date.]],Main_Issuance[[#This Row],[Expiry Date]],Main_Issuance[[#This Row],[Calculate]])</f>
        <v>3355.7</v>
      </c>
      <c r="AC901" s="502"/>
    </row>
    <row r="902" spans="1:29" ht="15.75" hidden="1" x14ac:dyDescent="0.25">
      <c r="A902" s="489"/>
      <c r="B902" s="490">
        <v>46138</v>
      </c>
      <c r="C902" s="490" t="s">
        <v>1537</v>
      </c>
      <c r="D902" s="491" t="s">
        <v>830</v>
      </c>
      <c r="E902" s="491" t="s">
        <v>62</v>
      </c>
      <c r="F902" s="492" t="s">
        <v>483</v>
      </c>
      <c r="G902" s="491" t="s">
        <v>1382</v>
      </c>
      <c r="H902" s="493" t="s">
        <v>24</v>
      </c>
      <c r="I902" s="491" t="s">
        <v>483</v>
      </c>
      <c r="J902" s="494">
        <v>1020096</v>
      </c>
      <c r="K902" s="491" t="s">
        <v>26</v>
      </c>
      <c r="L902" s="495">
        <v>150000</v>
      </c>
      <c r="M902" s="496">
        <v>1</v>
      </c>
      <c r="N902" s="497">
        <f>Main_Issuance[[#This Row],[LC Amt(FCY)]]*Main_Issuance[[#This Row],[Rate]]</f>
        <v>150000</v>
      </c>
      <c r="O902" s="498">
        <v>46234</v>
      </c>
      <c r="P902" s="498">
        <v>46234</v>
      </c>
      <c r="Q902" s="498" t="s">
        <v>27</v>
      </c>
      <c r="R902" s="491" t="s">
        <v>3229</v>
      </c>
      <c r="S902" s="496"/>
      <c r="T902" s="496"/>
      <c r="U902" s="496"/>
      <c r="V902" s="499">
        <v>0</v>
      </c>
      <c r="W902" s="491" t="s">
        <v>5067</v>
      </c>
      <c r="X902" s="498" t="str">
        <f ca="1">IF(AND((Main_Issuance[[#This Row],[Expiry Date]]+31)&gt;TODAY(),Main_Issuance[[#This Row],[Status]]&lt;&gt;"Cancelled"),"Active","Cancelled")</f>
        <v>Active</v>
      </c>
      <c r="Y902" s="500"/>
      <c r="Z902" s="498"/>
      <c r="AA902" s="501" t="s">
        <v>857</v>
      </c>
      <c r="AB902" s="502" cm="1">
        <f t="array" ref="AB902">Iss_Tariff(Main_Issuance[[#This Row],[Bank]],Main_Issuance[[#This Row],[LC Amt(SAR)]],Main_Issuance[[#This Row],[Issue Date.]],Main_Issuance[[#This Row],[Expiry Date]],Main_Issuance[[#This Row],[Calculate]])</f>
        <v>2139</v>
      </c>
      <c r="AC902" s="502"/>
    </row>
    <row r="903" spans="1:29" ht="15.75" hidden="1" x14ac:dyDescent="0.25">
      <c r="A903" s="489"/>
      <c r="B903" s="490">
        <v>46138</v>
      </c>
      <c r="C903" s="490" t="s">
        <v>1537</v>
      </c>
      <c r="D903" s="491" t="s">
        <v>830</v>
      </c>
      <c r="E903" s="491" t="s">
        <v>62</v>
      </c>
      <c r="F903" s="492" t="s">
        <v>483</v>
      </c>
      <c r="G903" s="491" t="s">
        <v>5065</v>
      </c>
      <c r="H903" s="493" t="s">
        <v>24</v>
      </c>
      <c r="I903" s="491" t="s">
        <v>483</v>
      </c>
      <c r="J903" s="494">
        <v>1020096</v>
      </c>
      <c r="K903" s="491" t="s">
        <v>26</v>
      </c>
      <c r="L903" s="495">
        <v>200000</v>
      </c>
      <c r="M903" s="496">
        <v>1</v>
      </c>
      <c r="N903" s="497">
        <f>Main_Issuance[[#This Row],[LC Amt(FCY)]]*Main_Issuance[[#This Row],[Rate]]</f>
        <v>200000</v>
      </c>
      <c r="O903" s="498">
        <v>46234</v>
      </c>
      <c r="P903" s="498">
        <v>46234</v>
      </c>
      <c r="Q903" s="498" t="s">
        <v>27</v>
      </c>
      <c r="R903" s="491" t="s">
        <v>3229</v>
      </c>
      <c r="S903" s="496"/>
      <c r="T903" s="496"/>
      <c r="U903" s="496"/>
      <c r="V903" s="499">
        <v>0</v>
      </c>
      <c r="W903" s="491" t="s">
        <v>5067</v>
      </c>
      <c r="X903" s="498" t="str">
        <f ca="1">IF(AND((Main_Issuance[[#This Row],[Expiry Date]]+31)&gt;TODAY(),Main_Issuance[[#This Row],[Status]]&lt;&gt;"Cancelled"),"Active","Cancelled")</f>
        <v>Active</v>
      </c>
      <c r="Y903" s="500"/>
      <c r="Z903" s="498"/>
      <c r="AA903" s="501" t="s">
        <v>857</v>
      </c>
      <c r="AB903" s="502" cm="1">
        <f t="array" ref="AB903">Iss_Tariff(Main_Issuance[[#This Row],[Bank]],Main_Issuance[[#This Row],[LC Amt(SAR)]],Main_Issuance[[#This Row],[Issue Date.]],Main_Issuance[[#This Row],[Expiry Date]],Main_Issuance[[#This Row],[Calculate]])</f>
        <v>2291.9499999999998</v>
      </c>
      <c r="AC903" s="502"/>
    </row>
    <row r="904" spans="1:29" ht="15.75" hidden="1" x14ac:dyDescent="0.25">
      <c r="A904" s="489"/>
      <c r="B904" s="490">
        <v>46138</v>
      </c>
      <c r="C904" s="490" t="s">
        <v>1537</v>
      </c>
      <c r="D904" s="491" t="s">
        <v>830</v>
      </c>
      <c r="E904" s="491" t="s">
        <v>62</v>
      </c>
      <c r="F904" s="492" t="s">
        <v>483</v>
      </c>
      <c r="G904" s="491" t="s">
        <v>1381</v>
      </c>
      <c r="H904" s="493" t="s">
        <v>24</v>
      </c>
      <c r="I904" s="491" t="s">
        <v>483</v>
      </c>
      <c r="J904" s="494">
        <v>1020096</v>
      </c>
      <c r="K904" s="491" t="s">
        <v>26</v>
      </c>
      <c r="L904" s="495">
        <v>400000</v>
      </c>
      <c r="M904" s="496">
        <v>1</v>
      </c>
      <c r="N904" s="497">
        <f>Main_Issuance[[#This Row],[LC Amt(FCY)]]*Main_Issuance[[#This Row],[Rate]]</f>
        <v>400000</v>
      </c>
      <c r="O904" s="498">
        <v>46234</v>
      </c>
      <c r="P904" s="498">
        <v>46234</v>
      </c>
      <c r="Q904" s="498" t="s">
        <v>27</v>
      </c>
      <c r="R904" s="491" t="s">
        <v>3229</v>
      </c>
      <c r="S904" s="496"/>
      <c r="T904" s="496"/>
      <c r="U904" s="496"/>
      <c r="V904" s="499">
        <v>0</v>
      </c>
      <c r="W904" s="491" t="s">
        <v>5067</v>
      </c>
      <c r="X904" s="498" t="str">
        <f ca="1">IF(AND((Main_Issuance[[#This Row],[Expiry Date]]+31)&gt;TODAY(),Main_Issuance[[#This Row],[Status]]&lt;&gt;"Cancelled"),"Active","Cancelled")</f>
        <v>Active</v>
      </c>
      <c r="Y904" s="500"/>
      <c r="Z904" s="498"/>
      <c r="AA904" s="501" t="s">
        <v>857</v>
      </c>
      <c r="AB904" s="502" cm="1">
        <f t="array" ref="AB904">Iss_Tariff(Main_Issuance[[#This Row],[Bank]],Main_Issuance[[#This Row],[LC Amt(SAR)]],Main_Issuance[[#This Row],[Issue Date.]],Main_Issuance[[#This Row],[Expiry Date]],Main_Issuance[[#This Row],[Calculate]])</f>
        <v>2906.05</v>
      </c>
      <c r="AC904" s="502"/>
    </row>
    <row r="905" spans="1:29" ht="15.75" hidden="1" x14ac:dyDescent="0.25">
      <c r="A905" s="489"/>
      <c r="B905" s="490">
        <v>46138</v>
      </c>
      <c r="C905" s="490" t="s">
        <v>1537</v>
      </c>
      <c r="D905" s="491" t="s">
        <v>830</v>
      </c>
      <c r="E905" s="491" t="s">
        <v>62</v>
      </c>
      <c r="F905" s="492" t="s">
        <v>483</v>
      </c>
      <c r="G905" s="491" t="s">
        <v>1614</v>
      </c>
      <c r="H905" s="493" t="s">
        <v>24</v>
      </c>
      <c r="I905" s="491" t="s">
        <v>483</v>
      </c>
      <c r="J905" s="494">
        <v>1020096</v>
      </c>
      <c r="K905" s="491" t="s">
        <v>26</v>
      </c>
      <c r="L905" s="495">
        <v>500000</v>
      </c>
      <c r="M905" s="496">
        <v>1</v>
      </c>
      <c r="N905" s="497">
        <f>Main_Issuance[[#This Row],[LC Amt(FCY)]]*Main_Issuance[[#This Row],[Rate]]</f>
        <v>500000</v>
      </c>
      <c r="O905" s="498">
        <v>46234</v>
      </c>
      <c r="P905" s="498">
        <v>46234</v>
      </c>
      <c r="Q905" s="498" t="s">
        <v>27</v>
      </c>
      <c r="R905" s="491" t="s">
        <v>3229</v>
      </c>
      <c r="S905" s="496"/>
      <c r="T905" s="496"/>
      <c r="U905" s="496"/>
      <c r="V905" s="499">
        <v>0</v>
      </c>
      <c r="W905" s="491" t="s">
        <v>5067</v>
      </c>
      <c r="X905" s="498" t="str">
        <f ca="1">IF(AND((Main_Issuance[[#This Row],[Expiry Date]]+31)&gt;TODAY(),Main_Issuance[[#This Row],[Status]]&lt;&gt;"Cancelled"),"Active","Cancelled")</f>
        <v>Active</v>
      </c>
      <c r="Y905" s="500"/>
      <c r="Z905" s="498"/>
      <c r="AA905" s="501" t="s">
        <v>857</v>
      </c>
      <c r="AB905" s="502" cm="1">
        <f t="array" ref="AB905">Iss_Tariff(Main_Issuance[[#This Row],[Bank]],Main_Issuance[[#This Row],[LC Amt(SAR)]],Main_Issuance[[#This Row],[Issue Date.]],Main_Issuance[[#This Row],[Expiry Date]],Main_Issuance[[#This Row],[Calculate]])</f>
        <v>3355.7</v>
      </c>
      <c r="AC905" s="502"/>
    </row>
    <row r="906" spans="1:29" ht="15.75" hidden="1" x14ac:dyDescent="0.25">
      <c r="A906" s="489"/>
      <c r="B906" s="490">
        <v>46138</v>
      </c>
      <c r="C906" s="490" t="s">
        <v>1537</v>
      </c>
      <c r="D906" s="491" t="s">
        <v>830</v>
      </c>
      <c r="E906" s="491" t="s">
        <v>62</v>
      </c>
      <c r="F906" s="492" t="s">
        <v>483</v>
      </c>
      <c r="G906" s="491" t="s">
        <v>638</v>
      </c>
      <c r="H906" s="493" t="s">
        <v>24</v>
      </c>
      <c r="I906" s="491" t="s">
        <v>483</v>
      </c>
      <c r="J906" s="494">
        <v>1020096</v>
      </c>
      <c r="K906" s="491" t="s">
        <v>26</v>
      </c>
      <c r="L906" s="495">
        <v>500000</v>
      </c>
      <c r="M906" s="496">
        <v>1</v>
      </c>
      <c r="N906" s="497">
        <f>Main_Issuance[[#This Row],[LC Amt(FCY)]]*Main_Issuance[[#This Row],[Rate]]</f>
        <v>500000</v>
      </c>
      <c r="O906" s="498">
        <v>46234</v>
      </c>
      <c r="P906" s="498">
        <v>46234</v>
      </c>
      <c r="Q906" s="498" t="s">
        <v>27</v>
      </c>
      <c r="R906" s="491" t="s">
        <v>3229</v>
      </c>
      <c r="S906" s="496"/>
      <c r="T906" s="496"/>
      <c r="U906" s="496"/>
      <c r="V906" s="499">
        <v>0</v>
      </c>
      <c r="W906" s="491" t="s">
        <v>5067</v>
      </c>
      <c r="X906" s="498" t="str">
        <f ca="1">IF(AND((Main_Issuance[[#This Row],[Expiry Date]]+31)&gt;TODAY(),Main_Issuance[[#This Row],[Status]]&lt;&gt;"Cancelled"),"Active","Cancelled")</f>
        <v>Active</v>
      </c>
      <c r="Y906" s="500"/>
      <c r="Z906" s="498"/>
      <c r="AA906" s="501" t="s">
        <v>857</v>
      </c>
      <c r="AB906" s="502" cm="1">
        <f t="array" ref="AB906">Iss_Tariff(Main_Issuance[[#This Row],[Bank]],Main_Issuance[[#This Row],[LC Amt(SAR)]],Main_Issuance[[#This Row],[Issue Date.]],Main_Issuance[[#This Row],[Expiry Date]],Main_Issuance[[#This Row],[Calculate]])</f>
        <v>3355.7</v>
      </c>
      <c r="AC906" s="502"/>
    </row>
    <row r="907" spans="1:29" ht="15.75" hidden="1" x14ac:dyDescent="0.25">
      <c r="A907" s="489"/>
      <c r="B907" s="490">
        <v>46138</v>
      </c>
      <c r="C907" s="490" t="s">
        <v>1537</v>
      </c>
      <c r="D907" s="491" t="s">
        <v>830</v>
      </c>
      <c r="E907" s="491" t="s">
        <v>62</v>
      </c>
      <c r="F907" s="492" t="s">
        <v>483</v>
      </c>
      <c r="G907" s="503" t="s">
        <v>1577</v>
      </c>
      <c r="H907" s="493" t="s">
        <v>24</v>
      </c>
      <c r="I907" s="491" t="s">
        <v>483</v>
      </c>
      <c r="J907" s="494">
        <v>1020096</v>
      </c>
      <c r="K907" s="491" t="s">
        <v>26</v>
      </c>
      <c r="L907" s="495">
        <v>300000</v>
      </c>
      <c r="M907" s="496">
        <v>1</v>
      </c>
      <c r="N907" s="497">
        <f>Main_Issuance[[#This Row],[LC Amt(FCY)]]*Main_Issuance[[#This Row],[Rate]]</f>
        <v>300000</v>
      </c>
      <c r="O907" s="498">
        <v>46234</v>
      </c>
      <c r="P907" s="498">
        <v>46234</v>
      </c>
      <c r="Q907" s="498" t="s">
        <v>27</v>
      </c>
      <c r="R907" s="491" t="s">
        <v>3229</v>
      </c>
      <c r="S907" s="496"/>
      <c r="T907" s="496"/>
      <c r="U907" s="496"/>
      <c r="V907" s="499">
        <v>0</v>
      </c>
      <c r="W907" s="491" t="s">
        <v>5067</v>
      </c>
      <c r="X907" s="498" t="str">
        <f ca="1">IF(AND((Main_Issuance[[#This Row],[Expiry Date]]+31)&gt;TODAY(),Main_Issuance[[#This Row],[Status]]&lt;&gt;"Cancelled"),"Active","Cancelled")</f>
        <v>Active</v>
      </c>
      <c r="Y907" s="500"/>
      <c r="Z907" s="498"/>
      <c r="AA907" s="501" t="s">
        <v>857</v>
      </c>
      <c r="AB907" s="502" cm="1">
        <f t="array" ref="AB907">Iss_Tariff(Main_Issuance[[#This Row],[Bank]],Main_Issuance[[#This Row],[LC Amt(SAR)]],Main_Issuance[[#This Row],[Issue Date.]],Main_Issuance[[#This Row],[Expiry Date]],Main_Issuance[[#This Row],[Calculate]])</f>
        <v>2599</v>
      </c>
      <c r="AC907" s="502"/>
    </row>
    <row r="908" spans="1:29" ht="15.75" hidden="1" x14ac:dyDescent="0.25">
      <c r="A908" s="489"/>
      <c r="B908" s="490">
        <v>46138</v>
      </c>
      <c r="C908" s="490" t="s">
        <v>1537</v>
      </c>
      <c r="D908" s="491" t="s">
        <v>830</v>
      </c>
      <c r="E908" s="492" t="s">
        <v>62</v>
      </c>
      <c r="F908" s="492" t="s">
        <v>483</v>
      </c>
      <c r="G908" s="492" t="s">
        <v>1246</v>
      </c>
      <c r="H908" s="494" t="s">
        <v>24</v>
      </c>
      <c r="I908" s="492" t="s">
        <v>483</v>
      </c>
      <c r="J908" s="494">
        <v>1020096</v>
      </c>
      <c r="K908" s="492" t="s">
        <v>26</v>
      </c>
      <c r="L908" s="495">
        <v>300000</v>
      </c>
      <c r="M908" s="496">
        <v>1</v>
      </c>
      <c r="N908" s="496">
        <f>Main_Issuance[[#This Row],[LC Amt(FCY)]]*Main_Issuance[[#This Row],[Rate]]</f>
        <v>300000</v>
      </c>
      <c r="O908" s="498">
        <v>46234</v>
      </c>
      <c r="P908" s="498">
        <v>46234</v>
      </c>
      <c r="Q908" s="490" t="s">
        <v>27</v>
      </c>
      <c r="R908" s="492" t="s">
        <v>3229</v>
      </c>
      <c r="S908" s="496"/>
      <c r="T908" s="496"/>
      <c r="U908" s="496"/>
      <c r="V908" s="499">
        <v>0</v>
      </c>
      <c r="W908" s="491" t="s">
        <v>5067</v>
      </c>
      <c r="X908" s="490" t="str">
        <f ca="1">IF(AND((Main_Issuance[[#This Row],[Expiry Date]]+31)&gt;TODAY(),Main_Issuance[[#This Row],[Status]]&lt;&gt;"Cancelled"),"Active","Cancelled")</f>
        <v>Active</v>
      </c>
      <c r="Y908" s="504"/>
      <c r="Z908" s="490"/>
      <c r="AA908" s="501" t="s">
        <v>857</v>
      </c>
      <c r="AB908" s="499" cm="1">
        <f t="array" ref="AB908">Iss_Tariff(Main_Issuance[[#This Row],[Bank]],Main_Issuance[[#This Row],[LC Amt(SAR)]],Main_Issuance[[#This Row],[Issue Date.]],Main_Issuance[[#This Row],[Expiry Date]],Main_Issuance[[#This Row],[Calculate]])</f>
        <v>2599</v>
      </c>
      <c r="AC908" s="499"/>
    </row>
    <row r="909" spans="1:29" ht="15.75" hidden="1" x14ac:dyDescent="0.25">
      <c r="A909" s="489"/>
      <c r="B909" s="490">
        <v>46138</v>
      </c>
      <c r="C909" s="490" t="s">
        <v>1537</v>
      </c>
      <c r="D909" s="491" t="s">
        <v>830</v>
      </c>
      <c r="E909" s="492" t="s">
        <v>62</v>
      </c>
      <c r="F909" s="492" t="s">
        <v>483</v>
      </c>
      <c r="G909" s="492" t="s">
        <v>5158</v>
      </c>
      <c r="H909" s="494" t="s">
        <v>24</v>
      </c>
      <c r="I909" s="492" t="s">
        <v>483</v>
      </c>
      <c r="J909" s="494">
        <v>1020096</v>
      </c>
      <c r="K909" s="492" t="s">
        <v>26</v>
      </c>
      <c r="L909" s="495">
        <v>257626.45</v>
      </c>
      <c r="M909" s="496">
        <v>1</v>
      </c>
      <c r="N909" s="496">
        <f>Main_Issuance[[#This Row],[LC Amt(FCY)]]*Main_Issuance[[#This Row],[Rate]]</f>
        <v>257626.45</v>
      </c>
      <c r="O909" s="498">
        <v>46234</v>
      </c>
      <c r="P909" s="498">
        <v>46234</v>
      </c>
      <c r="Q909" s="490" t="s">
        <v>27</v>
      </c>
      <c r="R909" s="492" t="s">
        <v>3229</v>
      </c>
      <c r="S909" s="496"/>
      <c r="T909" s="496"/>
      <c r="U909" s="496"/>
      <c r="V909" s="499">
        <v>0</v>
      </c>
      <c r="W909" s="491" t="s">
        <v>5067</v>
      </c>
      <c r="X909" s="490" t="str">
        <f ca="1">IF(AND((Main_Issuance[[#This Row],[Expiry Date]]+31)&gt;TODAY(),Main_Issuance[[#This Row],[Status]]&lt;&gt;"Cancelled"),"Active","Cancelled")</f>
        <v>Active</v>
      </c>
      <c r="Y909" s="504"/>
      <c r="Z909" s="490"/>
      <c r="AA909" s="501" t="s">
        <v>857</v>
      </c>
      <c r="AB909" s="499" cm="1">
        <f t="array" ref="AB909">Iss_Tariff(Main_Issuance[[#This Row],[Bank]],Main_Issuance[[#This Row],[LC Amt(SAR)]],Main_Issuance[[#This Row],[Issue Date.]],Main_Issuance[[#This Row],[Expiry Date]],Main_Issuance[[#This Row],[Calculate]])</f>
        <v>2469.0500000000002</v>
      </c>
      <c r="AC909" s="499"/>
    </row>
    <row r="910" spans="1:29" ht="15.75" hidden="1" x14ac:dyDescent="0.25">
      <c r="A910" s="489"/>
      <c r="B910" s="490">
        <v>46138</v>
      </c>
      <c r="C910" s="490" t="s">
        <v>1537</v>
      </c>
      <c r="D910" s="491" t="s">
        <v>830</v>
      </c>
      <c r="E910" s="492" t="s">
        <v>62</v>
      </c>
      <c r="F910" s="492" t="s">
        <v>483</v>
      </c>
      <c r="G910" s="492" t="s">
        <v>5066</v>
      </c>
      <c r="H910" s="494" t="s">
        <v>24</v>
      </c>
      <c r="I910" s="492" t="s">
        <v>483</v>
      </c>
      <c r="J910" s="494">
        <v>1020096</v>
      </c>
      <c r="K910" s="492" t="s">
        <v>26</v>
      </c>
      <c r="L910" s="495">
        <v>200000</v>
      </c>
      <c r="M910" s="496">
        <v>1</v>
      </c>
      <c r="N910" s="496">
        <f>Main_Issuance[[#This Row],[LC Amt(FCY)]]*Main_Issuance[[#This Row],[Rate]]</f>
        <v>200000</v>
      </c>
      <c r="O910" s="498">
        <v>46234</v>
      </c>
      <c r="P910" s="498">
        <v>46234</v>
      </c>
      <c r="Q910" s="490" t="s">
        <v>27</v>
      </c>
      <c r="R910" s="492" t="s">
        <v>3229</v>
      </c>
      <c r="S910" s="496"/>
      <c r="T910" s="496"/>
      <c r="U910" s="496"/>
      <c r="V910" s="499">
        <v>0</v>
      </c>
      <c r="W910" s="491" t="s">
        <v>5067</v>
      </c>
      <c r="X910" s="490" t="str">
        <f ca="1">IF(AND((Main_Issuance[[#This Row],[Expiry Date]]+31)&gt;TODAY(),Main_Issuance[[#This Row],[Status]]&lt;&gt;"Cancelled"),"Active","Cancelled")</f>
        <v>Active</v>
      </c>
      <c r="Y910" s="504"/>
      <c r="Z910" s="490"/>
      <c r="AA910" s="501" t="s">
        <v>857</v>
      </c>
      <c r="AB910" s="499" cm="1">
        <f t="array" ref="AB910">Iss_Tariff(Main_Issuance[[#This Row],[Bank]],Main_Issuance[[#This Row],[LC Amt(SAR)]],Main_Issuance[[#This Row],[Issue Date.]],Main_Issuance[[#This Row],[Expiry Date]],Main_Issuance[[#This Row],[Calculate]])</f>
        <v>2291.9499999999998</v>
      </c>
      <c r="AC910" s="499"/>
    </row>
    <row r="911" spans="1:29" ht="15.75" hidden="1" x14ac:dyDescent="0.25">
      <c r="A911" s="75" t="s">
        <v>5252</v>
      </c>
      <c r="B911" s="423">
        <v>46149</v>
      </c>
      <c r="C911" s="423" t="s">
        <v>3566</v>
      </c>
      <c r="D911" s="78" t="s">
        <v>20</v>
      </c>
      <c r="E911" s="78" t="s">
        <v>612</v>
      </c>
      <c r="F911" s="78" t="s">
        <v>613</v>
      </c>
      <c r="G911" s="78" t="s">
        <v>5136</v>
      </c>
      <c r="H911" s="79" t="s">
        <v>72</v>
      </c>
      <c r="I911" s="78" t="s">
        <v>613</v>
      </c>
      <c r="J911" s="78">
        <v>1020106</v>
      </c>
      <c r="K911" s="78" t="s">
        <v>26</v>
      </c>
      <c r="L911" s="80">
        <v>600000</v>
      </c>
      <c r="M911" s="81">
        <v>1</v>
      </c>
      <c r="N911" s="81">
        <f>Main_Issuance[[#This Row],[LC Amt(FCY)]]*Main_Issuance[[#This Row],[Rate]]</f>
        <v>600000</v>
      </c>
      <c r="O911" s="423">
        <v>46234</v>
      </c>
      <c r="P911" s="423">
        <v>46234</v>
      </c>
      <c r="Q911" s="423" t="s">
        <v>27</v>
      </c>
      <c r="R911" s="78" t="s">
        <v>5137</v>
      </c>
      <c r="S911" s="81"/>
      <c r="T911" s="81"/>
      <c r="U911" s="81"/>
      <c r="V911" s="83">
        <v>0</v>
      </c>
      <c r="W911" s="78"/>
      <c r="X911" s="423" t="str">
        <f ca="1">IF(AND((Main_Issuance[[#This Row],[Expiry Date]]+31)&gt;TODAY(),Main_Issuance[[#This Row],[Status]]&lt;&gt;"Cancelled"),"Active","Cancelled")</f>
        <v>Active</v>
      </c>
      <c r="Y911" s="419"/>
      <c r="Z911" s="423"/>
      <c r="AA911" s="507" t="s">
        <v>857</v>
      </c>
      <c r="AB911" s="83" cm="1">
        <f t="array" ref="AB911">Iss_Tariff(Main_Issuance[[#This Row],[Bank]],Main_Issuance[[#This Row],[LC Amt(SAR)]],Main_Issuance[[#This Row],[Issue Date.]],Main_Issuance[[#This Row],[Expiry Date]],Main_Issuance[[#This Row],[Calculate]])</f>
        <v>3438.5</v>
      </c>
      <c r="AC911" s="83"/>
    </row>
    <row r="912" spans="1:29" ht="15.75" hidden="1" x14ac:dyDescent="0.25">
      <c r="A912" s="75" t="s">
        <v>5251</v>
      </c>
      <c r="B912" s="423">
        <v>46149</v>
      </c>
      <c r="C912" s="423" t="s">
        <v>1259</v>
      </c>
      <c r="D912" s="78" t="s">
        <v>20</v>
      </c>
      <c r="E912" s="78" t="s">
        <v>95</v>
      </c>
      <c r="F912" s="78" t="s">
        <v>96</v>
      </c>
      <c r="G912" s="78" t="s">
        <v>5180</v>
      </c>
      <c r="H912" s="79" t="s">
        <v>72</v>
      </c>
      <c r="I912" s="78" t="s">
        <v>328</v>
      </c>
      <c r="J912" s="78">
        <v>1020097</v>
      </c>
      <c r="K912" s="78" t="s">
        <v>26</v>
      </c>
      <c r="L912" s="80">
        <v>2896770</v>
      </c>
      <c r="M912" s="81">
        <v>1</v>
      </c>
      <c r="N912" s="81">
        <f>Main_Issuance[[#This Row],[LC Amt(FCY)]]*Main_Issuance[[#This Row],[Rate]]</f>
        <v>2896770</v>
      </c>
      <c r="O912" s="423">
        <v>46265</v>
      </c>
      <c r="P912" s="423">
        <v>46265</v>
      </c>
      <c r="Q912" s="423" t="s">
        <v>27</v>
      </c>
      <c r="R912" s="78" t="s">
        <v>311</v>
      </c>
      <c r="S912" s="81"/>
      <c r="T912" s="81"/>
      <c r="U912" s="81"/>
      <c r="V912" s="83">
        <v>0</v>
      </c>
      <c r="W912" s="78"/>
      <c r="X912" s="423" t="str">
        <f ca="1">IF(AND((Main_Issuance[[#This Row],[Expiry Date]]+31)&gt;TODAY(),Main_Issuance[[#This Row],[Status]]&lt;&gt;"Cancelled"),"Active","Cancelled")</f>
        <v>Active</v>
      </c>
      <c r="Y912" s="419"/>
      <c r="Z912" s="423"/>
      <c r="AA912" s="507" t="s">
        <v>857</v>
      </c>
      <c r="AB912" s="83" cm="1">
        <f t="array" ref="AB912">Iss_Tariff(Main_Issuance[[#This Row],[Bank]],Main_Issuance[[#This Row],[LC Amt(SAR)]],Main_Issuance[[#This Row],[Issue Date.]],Main_Issuance[[#This Row],[Expiry Date]],Main_Issuance[[#This Row],[Calculate]])</f>
        <v>6012.2</v>
      </c>
      <c r="AC912" s="83"/>
    </row>
    <row r="913" spans="1:29" ht="15.75" hidden="1" x14ac:dyDescent="0.25">
      <c r="A913" s="75" t="s">
        <v>5689</v>
      </c>
      <c r="B913" s="423">
        <v>46146</v>
      </c>
      <c r="C913" s="423" t="s">
        <v>4231</v>
      </c>
      <c r="D913" s="78" t="s">
        <v>845</v>
      </c>
      <c r="E913" s="78" t="s">
        <v>1073</v>
      </c>
      <c r="F913" s="78" t="s">
        <v>882</v>
      </c>
      <c r="G913" s="78" t="s">
        <v>5174</v>
      </c>
      <c r="H913" s="79" t="s">
        <v>72</v>
      </c>
      <c r="I913" s="79" t="s">
        <v>882</v>
      </c>
      <c r="J913" s="79">
        <v>1020108</v>
      </c>
      <c r="K913" s="78" t="s">
        <v>78</v>
      </c>
      <c r="L913" s="80">
        <v>228285</v>
      </c>
      <c r="M913" s="81">
        <v>3.75</v>
      </c>
      <c r="N913" s="81">
        <f>Main_Issuance[[#This Row],[LC Amt(FCY)]]*Main_Issuance[[#This Row],[Rate]]</f>
        <v>856068.75</v>
      </c>
      <c r="O913" s="423">
        <v>46255</v>
      </c>
      <c r="P913" s="423">
        <v>46234</v>
      </c>
      <c r="Q913" s="423" t="s">
        <v>27</v>
      </c>
      <c r="R913" s="78" t="s">
        <v>208</v>
      </c>
      <c r="S913" s="81"/>
      <c r="T913" s="81"/>
      <c r="U913" s="81"/>
      <c r="V913" s="83">
        <v>0</v>
      </c>
      <c r="W913" s="78" t="s">
        <v>5664</v>
      </c>
      <c r="X913" s="423" t="str">
        <f ca="1">IF(AND((Main_Issuance[[#This Row],[Expiry Date]]+31)&gt;TODAY(),Main_Issuance[[#This Row],[Status]]&lt;&gt;"Cancelled"),"Active","Cancelled")</f>
        <v>Cancelled</v>
      </c>
      <c r="Y913" s="419"/>
      <c r="Z913" s="423"/>
      <c r="AA913" s="507" t="s">
        <v>857</v>
      </c>
      <c r="AB913" s="83" cm="1">
        <f t="array" ref="AB913">Iss_Tariff(Main_Issuance[[#This Row],[Bank]],Main_Issuance[[#This Row],[LC Amt(SAR)]],Main_Issuance[[#This Row],[Issue Date.]],Main_Issuance[[#This Row],[Expiry Date]],Main_Issuance[[#This Row],[Calculate]])</f>
        <v>3858.25</v>
      </c>
      <c r="AC913" s="83"/>
    </row>
    <row r="914" spans="1:29" ht="15.75" hidden="1" x14ac:dyDescent="0.25">
      <c r="A914" s="75" t="s">
        <v>5441</v>
      </c>
      <c r="B914" s="423">
        <v>46177</v>
      </c>
      <c r="C914" s="423" t="s">
        <v>1259</v>
      </c>
      <c r="D914" s="78" t="s">
        <v>20</v>
      </c>
      <c r="E914" s="78" t="s">
        <v>95</v>
      </c>
      <c r="F914" s="78" t="s">
        <v>96</v>
      </c>
      <c r="G914" s="78" t="s">
        <v>5189</v>
      </c>
      <c r="H914" s="78" t="s">
        <v>1791</v>
      </c>
      <c r="I914" s="78" t="s">
        <v>328</v>
      </c>
      <c r="J914" s="78">
        <v>1020097</v>
      </c>
      <c r="K914" s="78" t="s">
        <v>26</v>
      </c>
      <c r="L914" s="80">
        <v>700000</v>
      </c>
      <c r="M914" s="81">
        <v>1</v>
      </c>
      <c r="N914" s="81">
        <f>Main_Issuance[[#This Row],[LC Amt(FCY)]]*Main_Issuance[[#This Row],[Rate]]</f>
        <v>700000</v>
      </c>
      <c r="O914" s="423">
        <v>46236</v>
      </c>
      <c r="P914" s="423">
        <v>46236</v>
      </c>
      <c r="Q914" s="423" t="s">
        <v>27</v>
      </c>
      <c r="R914" s="78" t="s">
        <v>5175</v>
      </c>
      <c r="S914" s="81"/>
      <c r="T914" s="81"/>
      <c r="U914" s="81"/>
      <c r="V914" s="83"/>
      <c r="W914" s="78"/>
      <c r="X914" s="423" t="str">
        <f ca="1">IF(AND((Main_Issuance[[#This Row],[Expiry Date]]+31)&gt;TODAY(),Main_Issuance[[#This Row],[Status]]&lt;&gt;"Cancelled"),"Active","Cancelled")</f>
        <v>Active</v>
      </c>
      <c r="Y914" s="530"/>
      <c r="Z914" s="423"/>
      <c r="AA914" s="507"/>
      <c r="AB914" s="83" cm="1">
        <f t="array" ref="AB914">Iss_Tariff(Main_Issuance[[#This Row],[Bank]],Main_Issuance[[#This Row],[LC Amt(SAR)]],Main_Issuance[[#This Row],[Issue Date.]],Main_Issuance[[#This Row],[Expiry Date]],Main_Issuance[[#This Row],[Calculate]])</f>
        <v>1130.45</v>
      </c>
      <c r="AC914" s="83"/>
    </row>
    <row r="915" spans="1:29" ht="15.75" hidden="1" x14ac:dyDescent="0.25">
      <c r="A915" s="75" t="s">
        <v>5255</v>
      </c>
      <c r="B915" s="423">
        <v>46152</v>
      </c>
      <c r="C915" s="423" t="s">
        <v>1181</v>
      </c>
      <c r="D915" s="78" t="s">
        <v>20</v>
      </c>
      <c r="E915" s="78" t="s">
        <v>366</v>
      </c>
      <c r="F915" s="78" t="s">
        <v>710</v>
      </c>
      <c r="G915" s="78" t="s">
        <v>5181</v>
      </c>
      <c r="H915" s="79" t="s">
        <v>1791</v>
      </c>
      <c r="I915" s="79" t="s">
        <v>81</v>
      </c>
      <c r="J915" s="79">
        <v>1020070</v>
      </c>
      <c r="K915" s="78" t="s">
        <v>26</v>
      </c>
      <c r="L915" s="80">
        <v>735855</v>
      </c>
      <c r="M915" s="81">
        <v>1</v>
      </c>
      <c r="N915" s="81">
        <f>Main_Issuance[[#This Row],[LC Amt(FCY)]]*Main_Issuance[[#This Row],[Rate]]</f>
        <v>735855</v>
      </c>
      <c r="O915" s="423">
        <v>46203</v>
      </c>
      <c r="P915" s="423">
        <v>46203</v>
      </c>
      <c r="Q915" s="423" t="s">
        <v>27</v>
      </c>
      <c r="R915" s="78" t="s">
        <v>3229</v>
      </c>
      <c r="S915" s="81"/>
      <c r="T915" s="81"/>
      <c r="U915" s="81"/>
      <c r="V915" s="83">
        <v>0</v>
      </c>
      <c r="W915" s="78"/>
      <c r="X915" s="423" t="str">
        <f ca="1">IF(AND((Main_Issuance[[#This Row],[Expiry Date]]+31)&gt;TODAY(),Main_Issuance[[#This Row],[Status]]&lt;&gt;"Cancelled"),"Active","Cancelled")</f>
        <v>Active</v>
      </c>
      <c r="Y915" s="419"/>
      <c r="Z915" s="423"/>
      <c r="AA915" s="507" t="s">
        <v>857</v>
      </c>
      <c r="AB915" s="83" cm="1">
        <f t="array" ref="AB915">Iss_Tariff(Main_Issuance[[#This Row],[Bank]],Main_Issuance[[#This Row],[LC Amt(SAR)]],Main_Issuance[[#This Row],[Issue Date.]],Main_Issuance[[#This Row],[Expiry Date]],Main_Issuance[[#This Row],[Calculate]])</f>
        <v>4317.1000000000004</v>
      </c>
      <c r="AC915" s="83"/>
    </row>
    <row r="916" spans="1:29" ht="15.75" hidden="1" x14ac:dyDescent="0.25">
      <c r="A916" s="75" t="s">
        <v>5258</v>
      </c>
      <c r="B916" s="423">
        <v>46153</v>
      </c>
      <c r="C916" s="423" t="s">
        <v>1181</v>
      </c>
      <c r="D916" s="78" t="s">
        <v>20</v>
      </c>
      <c r="E916" s="78" t="s">
        <v>366</v>
      </c>
      <c r="F916" s="78" t="s">
        <v>710</v>
      </c>
      <c r="G916" s="78" t="s">
        <v>5188</v>
      </c>
      <c r="H916" s="79" t="s">
        <v>72</v>
      </c>
      <c r="I916" s="79" t="s">
        <v>81</v>
      </c>
      <c r="J916" s="79">
        <v>1020070</v>
      </c>
      <c r="K916" s="78" t="s">
        <v>26</v>
      </c>
      <c r="L916" s="80">
        <v>1325316</v>
      </c>
      <c r="M916" s="81">
        <v>1</v>
      </c>
      <c r="N916" s="81">
        <f>Main_Issuance[[#This Row],[LC Amt(FCY)]]*Main_Issuance[[#This Row],[Rate]]</f>
        <v>1325316</v>
      </c>
      <c r="O916" s="423">
        <v>46235</v>
      </c>
      <c r="P916" s="423">
        <v>46235</v>
      </c>
      <c r="Q916" s="423" t="s">
        <v>27</v>
      </c>
      <c r="R916" s="78" t="s">
        <v>3229</v>
      </c>
      <c r="S916" s="81"/>
      <c r="T916" s="81"/>
      <c r="U916" s="81"/>
      <c r="V916" s="83">
        <v>0</v>
      </c>
      <c r="W916" s="78"/>
      <c r="X916" s="423" t="str">
        <f ca="1">IF(AND((Main_Issuance[[#This Row],[Expiry Date]]+31)&gt;TODAY(),Main_Issuance[[#This Row],[Status]]&lt;&gt;"Cancelled"),"Active","Cancelled")</f>
        <v>Active</v>
      </c>
      <c r="Y916" s="419"/>
      <c r="Z916" s="423"/>
      <c r="AA916" s="507" t="s">
        <v>857</v>
      </c>
      <c r="AB916" s="83" cm="1">
        <f t="array" ref="AB916">Iss_Tariff(Main_Issuance[[#This Row],[Bank]],Main_Issuance[[#This Row],[LC Amt(SAR)]],Main_Issuance[[#This Row],[Issue Date.]],Main_Issuance[[#This Row],[Expiry Date]],Main_Issuance[[#This Row],[Calculate]])</f>
        <v>7707.3</v>
      </c>
      <c r="AC916" s="83"/>
    </row>
    <row r="917" spans="1:29" ht="15.75" hidden="1" x14ac:dyDescent="0.25">
      <c r="A917" s="75" t="s">
        <v>5311</v>
      </c>
      <c r="B917" s="423">
        <v>46161</v>
      </c>
      <c r="C917" s="423" t="s">
        <v>1181</v>
      </c>
      <c r="D917" s="78" t="s">
        <v>20</v>
      </c>
      <c r="E917" s="78" t="s">
        <v>366</v>
      </c>
      <c r="F917" s="78" t="s">
        <v>710</v>
      </c>
      <c r="G917" s="78" t="s">
        <v>83</v>
      </c>
      <c r="H917" s="79" t="s">
        <v>1791</v>
      </c>
      <c r="I917" s="79" t="s">
        <v>81</v>
      </c>
      <c r="J917" s="79">
        <v>1020070</v>
      </c>
      <c r="K917" s="78" t="s">
        <v>26</v>
      </c>
      <c r="L917" s="80">
        <v>772046</v>
      </c>
      <c r="M917" s="81">
        <v>1</v>
      </c>
      <c r="N917" s="81">
        <f>Main_Issuance[[#This Row],[LC Amt(FCY)]]*Main_Issuance[[#This Row],[Rate]]</f>
        <v>772046</v>
      </c>
      <c r="O917" s="423">
        <v>46234</v>
      </c>
      <c r="P917" s="423">
        <v>46213</v>
      </c>
      <c r="Q917" s="423" t="s">
        <v>27</v>
      </c>
      <c r="R917" s="78" t="s">
        <v>3229</v>
      </c>
      <c r="S917" s="81"/>
      <c r="T917" s="81"/>
      <c r="U917" s="81"/>
      <c r="V917" s="83">
        <v>0</v>
      </c>
      <c r="W917" s="78"/>
      <c r="X917" s="423" t="str">
        <f ca="1">IF(AND((Main_Issuance[[#This Row],[Expiry Date]]+31)&gt;TODAY(),Main_Issuance[[#This Row],[Status]]&lt;&gt;"Cancelled"),"Active","Cancelled")</f>
        <v>Active</v>
      </c>
      <c r="Y917" s="419"/>
      <c r="Z917" s="423"/>
      <c r="AA917" s="507" t="s">
        <v>857</v>
      </c>
      <c r="AB917" s="83" cm="1">
        <f t="array" ref="AB917">Iss_Tariff(Main_Issuance[[#This Row],[Bank]],Main_Issuance[[#This Row],[LC Amt(SAR)]],Main_Issuance[[#This Row],[Issue Date.]],Main_Issuance[[#This Row],[Expiry Date]],Main_Issuance[[#This Row],[Calculate]])</f>
        <v>4525.25</v>
      </c>
      <c r="AC917" s="83"/>
    </row>
    <row r="918" spans="1:29" ht="15.75" hidden="1" x14ac:dyDescent="0.25">
      <c r="A918" s="75"/>
      <c r="B918" s="423">
        <v>46155</v>
      </c>
      <c r="C918" s="423" t="s">
        <v>5299</v>
      </c>
      <c r="D918" s="78" t="s">
        <v>830</v>
      </c>
      <c r="E918" s="78" t="s">
        <v>366</v>
      </c>
      <c r="F918" s="78" t="s">
        <v>710</v>
      </c>
      <c r="G918" s="78" t="s">
        <v>5300</v>
      </c>
      <c r="H918" s="78" t="s">
        <v>72</v>
      </c>
      <c r="I918" s="78" t="s">
        <v>710</v>
      </c>
      <c r="J918" s="79">
        <v>1020088</v>
      </c>
      <c r="K918" s="78" t="s">
        <v>26</v>
      </c>
      <c r="L918" s="80">
        <v>24490379</v>
      </c>
      <c r="M918" s="81">
        <v>1</v>
      </c>
      <c r="N918" s="81">
        <f>Main_Issuance[[#This Row],[LC Amt(FCY)]]*Main_Issuance[[#This Row],[Rate]]</f>
        <v>24490379</v>
      </c>
      <c r="O918" s="423">
        <v>46295</v>
      </c>
      <c r="P918" s="423">
        <v>46295</v>
      </c>
      <c r="Q918" s="423" t="s">
        <v>27</v>
      </c>
      <c r="R918" s="78" t="s">
        <v>621</v>
      </c>
      <c r="S918" s="81"/>
      <c r="T918" s="81"/>
      <c r="U918" s="81"/>
      <c r="V918" s="83">
        <v>0</v>
      </c>
      <c r="W918" s="78" t="s">
        <v>5301</v>
      </c>
      <c r="X918" s="423" t="str">
        <f ca="1">IF(AND((Main_Issuance[[#This Row],[Expiry Date]]+31)&gt;TODAY(),Main_Issuance[[#This Row],[Status]]&lt;&gt;"Cancelled"),"Active","Cancelled")</f>
        <v>Active</v>
      </c>
      <c r="Y918" s="419"/>
      <c r="Z918" s="423"/>
      <c r="AA918" s="507" t="s">
        <v>857</v>
      </c>
      <c r="AB918" s="83" cm="1">
        <f t="array" ref="AB918">Iss_Tariff(Main_Issuance[[#This Row],[Bank]],Main_Issuance[[#This Row],[LC Amt(SAR)]],Main_Issuance[[#This Row],[Issue Date.]],Main_Issuance[[#This Row],[Expiry Date]],Main_Issuance[[#This Row],[Calculate]])</f>
        <v>140906.04999999999</v>
      </c>
      <c r="AC918" s="83"/>
    </row>
    <row r="919" spans="1:29" ht="15.75" hidden="1" x14ac:dyDescent="0.25">
      <c r="A919" s="75"/>
      <c r="B919" s="423">
        <v>46158</v>
      </c>
      <c r="C919" s="423" t="s">
        <v>1259</v>
      </c>
      <c r="D919" s="78" t="s">
        <v>830</v>
      </c>
      <c r="E919" s="78" t="s">
        <v>95</v>
      </c>
      <c r="F919" s="78" t="s">
        <v>96</v>
      </c>
      <c r="G919" s="78" t="s">
        <v>5308</v>
      </c>
      <c r="H919" s="78" t="s">
        <v>72</v>
      </c>
      <c r="I919" s="78" t="s">
        <v>328</v>
      </c>
      <c r="J919" s="78">
        <v>1020097</v>
      </c>
      <c r="K919" s="78" t="s">
        <v>26</v>
      </c>
      <c r="L919" s="80">
        <f>6914000+1286000</f>
        <v>8200000</v>
      </c>
      <c r="M919" s="81">
        <v>1</v>
      </c>
      <c r="N919" s="81">
        <f>Main_Issuance[[#This Row],[LC Amt(FCY)]]*Main_Issuance[[#This Row],[Rate]]</f>
        <v>8200000</v>
      </c>
      <c r="O919" s="423">
        <v>46295</v>
      </c>
      <c r="P919" s="423">
        <v>46295</v>
      </c>
      <c r="Q919" s="423" t="s">
        <v>27</v>
      </c>
      <c r="R919" s="78" t="s">
        <v>621</v>
      </c>
      <c r="S919" s="81"/>
      <c r="T919" s="81"/>
      <c r="U919" s="81"/>
      <c r="V919" s="83"/>
      <c r="W919" s="78" t="s">
        <v>5408</v>
      </c>
      <c r="X919" s="423" t="str">
        <f ca="1">IF(AND((Main_Issuance[[#This Row],[Expiry Date]]+31)&gt;TODAY(),Main_Issuance[[#This Row],[Status]]&lt;&gt;"Cancelled"),"Active","Cancelled")</f>
        <v>Active</v>
      </c>
      <c r="Y919" s="530"/>
      <c r="Z919" s="423"/>
      <c r="AA919" s="507" t="s">
        <v>857</v>
      </c>
      <c r="AB919" s="83" cm="1">
        <f t="array" ref="AB919">Iss_Tariff(Main_Issuance[[#This Row],[Bank]],Main_Issuance[[#This Row],[LC Amt(SAR)]],Main_Issuance[[#This Row],[Issue Date.]],Main_Issuance[[#This Row],[Expiry Date]],Main_Issuance[[#This Row],[Calculate]])</f>
        <v>20105.45</v>
      </c>
      <c r="AC919" s="83"/>
    </row>
    <row r="920" spans="1:29" ht="15.75" hidden="1" x14ac:dyDescent="0.25">
      <c r="A920" s="75" t="s">
        <v>5453</v>
      </c>
      <c r="B920" s="423">
        <v>46180</v>
      </c>
      <c r="C920" s="423" t="s">
        <v>1259</v>
      </c>
      <c r="D920" s="78" t="s">
        <v>20</v>
      </c>
      <c r="E920" s="78" t="s">
        <v>95</v>
      </c>
      <c r="F920" s="78" t="s">
        <v>96</v>
      </c>
      <c r="G920" s="78" t="s">
        <v>5317</v>
      </c>
      <c r="H920" s="78" t="s">
        <v>1791</v>
      </c>
      <c r="I920" s="78" t="s">
        <v>328</v>
      </c>
      <c r="J920" s="78">
        <v>1020097</v>
      </c>
      <c r="K920" s="78" t="s">
        <v>26</v>
      </c>
      <c r="L920" s="80">
        <v>5000000</v>
      </c>
      <c r="M920" s="81">
        <v>1</v>
      </c>
      <c r="N920" s="81">
        <f>Main_Issuance[[#This Row],[LC Amt(FCY)]]*Main_Issuance[[#This Row],[Rate]]</f>
        <v>5000000</v>
      </c>
      <c r="O920" s="423">
        <v>46303</v>
      </c>
      <c r="P920" s="423">
        <v>46303</v>
      </c>
      <c r="Q920" s="423" t="s">
        <v>27</v>
      </c>
      <c r="R920" s="115" t="s">
        <v>3188</v>
      </c>
      <c r="S920" s="81"/>
      <c r="T920" s="81"/>
      <c r="U920" s="81"/>
      <c r="V920" s="83"/>
      <c r="W920" s="78"/>
      <c r="X920" s="423" t="str">
        <f ca="1">IF(AND((Main_Issuance[[#This Row],[Expiry Date]]+31)&gt;TODAY(),Main_Issuance[[#This Row],[Status]]&lt;&gt;"Cancelled"),"Active","Cancelled")</f>
        <v>Active</v>
      </c>
      <c r="Y920" s="530"/>
      <c r="Z920" s="423"/>
      <c r="AA920" s="507"/>
      <c r="AB920" s="83" cm="1">
        <f t="array" ref="AB920">Iss_Tariff(Main_Issuance[[#This Row],[Bank]],Main_Issuance[[#This Row],[LC Amt(SAR)]],Main_Issuance[[#This Row],[Issue Date.]],Main_Issuance[[#This Row],[Expiry Date]],Main_Issuance[[#This Row],[Calculate]])</f>
        <v>10042.950000000001</v>
      </c>
      <c r="AC920" s="83"/>
    </row>
    <row r="921" spans="1:29" ht="15.75" hidden="1" x14ac:dyDescent="0.25">
      <c r="A921" s="75" t="s">
        <v>5443</v>
      </c>
      <c r="B921" s="423">
        <v>46177</v>
      </c>
      <c r="C921" s="423" t="s">
        <v>441</v>
      </c>
      <c r="D921" s="78" t="s">
        <v>20</v>
      </c>
      <c r="E921" s="78" t="s">
        <v>366</v>
      </c>
      <c r="F921" s="78" t="s">
        <v>710</v>
      </c>
      <c r="G921" s="78" t="s">
        <v>1382</v>
      </c>
      <c r="H921" s="79" t="s">
        <v>24</v>
      </c>
      <c r="I921" s="78" t="s">
        <v>710</v>
      </c>
      <c r="J921" s="79">
        <v>1020088</v>
      </c>
      <c r="K921" s="78" t="s">
        <v>26</v>
      </c>
      <c r="L921" s="80">
        <v>200000</v>
      </c>
      <c r="M921" s="81">
        <v>1</v>
      </c>
      <c r="N921" s="81">
        <f>Main_Issuance[[#This Row],[LC Amt(FCY)]]*Main_Issuance[[#This Row],[Rate]]</f>
        <v>200000</v>
      </c>
      <c r="O921" s="423">
        <v>46265</v>
      </c>
      <c r="P921" s="423">
        <v>46265</v>
      </c>
      <c r="Q921" s="423" t="s">
        <v>27</v>
      </c>
      <c r="R921" s="78" t="s">
        <v>5175</v>
      </c>
      <c r="S921" s="81"/>
      <c r="T921" s="81"/>
      <c r="U921" s="81"/>
      <c r="V921" s="83">
        <v>0</v>
      </c>
      <c r="W921" s="78"/>
      <c r="X921" s="423" t="str">
        <f ca="1">IF(AND((Main_Issuance[[#This Row],[Expiry Date]]+31)&gt;TODAY(),Main_Issuance[[#This Row],[Status]]&lt;&gt;"Cancelled"),"Active","Cancelled")</f>
        <v>Active</v>
      </c>
      <c r="Y921" s="419"/>
      <c r="Z921" s="423"/>
      <c r="AA921" s="507" t="s">
        <v>857</v>
      </c>
      <c r="AB921" s="83" cm="1">
        <f t="array" ref="AB921">Iss_Tariff(Main_Issuance[[#This Row],[Bank]],Main_Issuance[[#This Row],[LC Amt(SAR)]],Main_Issuance[[#This Row],[Issue Date.]],Main_Issuance[[#This Row],[Expiry Date]],Main_Issuance[[#This Row],[Calculate]])</f>
        <v>1236.25</v>
      </c>
      <c r="AC921" s="83"/>
    </row>
    <row r="922" spans="1:29" ht="15.75" hidden="1" x14ac:dyDescent="0.25">
      <c r="A922" s="75" t="s">
        <v>5423</v>
      </c>
      <c r="B922" s="423">
        <v>46177</v>
      </c>
      <c r="C922" s="423" t="s">
        <v>441</v>
      </c>
      <c r="D922" s="78" t="s">
        <v>20</v>
      </c>
      <c r="E922" s="78" t="s">
        <v>366</v>
      </c>
      <c r="F922" s="78" t="s">
        <v>710</v>
      </c>
      <c r="G922" s="78" t="s">
        <v>1322</v>
      </c>
      <c r="H922" s="79" t="s">
        <v>24</v>
      </c>
      <c r="I922" s="78" t="s">
        <v>710</v>
      </c>
      <c r="J922" s="79">
        <v>1020088</v>
      </c>
      <c r="K922" s="78" t="s">
        <v>26</v>
      </c>
      <c r="L922" s="80">
        <v>200000</v>
      </c>
      <c r="M922" s="81">
        <v>1</v>
      </c>
      <c r="N922" s="81">
        <f>Main_Issuance[[#This Row],[LC Amt(FCY)]]*Main_Issuance[[#This Row],[Rate]]</f>
        <v>200000</v>
      </c>
      <c r="O922" s="423">
        <v>46265</v>
      </c>
      <c r="P922" s="423">
        <v>46265</v>
      </c>
      <c r="Q922" s="423" t="s">
        <v>27</v>
      </c>
      <c r="R922" s="78" t="s">
        <v>5175</v>
      </c>
      <c r="S922" s="81"/>
      <c r="T922" s="81"/>
      <c r="U922" s="81"/>
      <c r="V922" s="83">
        <v>0</v>
      </c>
      <c r="W922" s="78"/>
      <c r="X922" s="423" t="str">
        <f ca="1">IF(AND((Main_Issuance[[#This Row],[Expiry Date]]+31)&gt;TODAY(),Main_Issuance[[#This Row],[Status]]&lt;&gt;"Cancelled"),"Active","Cancelled")</f>
        <v>Active</v>
      </c>
      <c r="Y922" s="419"/>
      <c r="Z922" s="423"/>
      <c r="AA922" s="507" t="s">
        <v>857</v>
      </c>
      <c r="AB922" s="83" cm="1">
        <f t="array" ref="AB922">Iss_Tariff(Main_Issuance[[#This Row],[Bank]],Main_Issuance[[#This Row],[LC Amt(SAR)]],Main_Issuance[[#This Row],[Issue Date.]],Main_Issuance[[#This Row],[Expiry Date]],Main_Issuance[[#This Row],[Calculate]])</f>
        <v>1236.25</v>
      </c>
      <c r="AC922" s="83"/>
    </row>
    <row r="923" spans="1:29" ht="15.75" hidden="1" x14ac:dyDescent="0.25">
      <c r="A923" s="75" t="s">
        <v>5444</v>
      </c>
      <c r="B923" s="423">
        <v>46177</v>
      </c>
      <c r="C923" s="423" t="s">
        <v>441</v>
      </c>
      <c r="D923" s="78" t="s">
        <v>20</v>
      </c>
      <c r="E923" s="78" t="s">
        <v>366</v>
      </c>
      <c r="F923" s="78" t="s">
        <v>710</v>
      </c>
      <c r="G923" s="78" t="s">
        <v>5318</v>
      </c>
      <c r="H923" s="79" t="s">
        <v>24</v>
      </c>
      <c r="I923" s="78" t="s">
        <v>710</v>
      </c>
      <c r="J923" s="79">
        <v>1020088</v>
      </c>
      <c r="K923" s="78" t="s">
        <v>26</v>
      </c>
      <c r="L923" s="80">
        <v>300000.01</v>
      </c>
      <c r="M923" s="81">
        <v>1</v>
      </c>
      <c r="N923" s="81">
        <f>Main_Issuance[[#This Row],[LC Amt(FCY)]]*Main_Issuance[[#This Row],[Rate]]</f>
        <v>300000.01</v>
      </c>
      <c r="O923" s="423">
        <v>46265</v>
      </c>
      <c r="P923" s="423">
        <v>46265</v>
      </c>
      <c r="Q923" s="423" t="s">
        <v>27</v>
      </c>
      <c r="R923" s="78" t="s">
        <v>5175</v>
      </c>
      <c r="S923" s="81"/>
      <c r="T923" s="81"/>
      <c r="U923" s="81"/>
      <c r="V923" s="83">
        <v>0</v>
      </c>
      <c r="W923" s="78"/>
      <c r="X923" s="423" t="str">
        <f ca="1">IF(AND((Main_Issuance[[#This Row],[Expiry Date]]+31)&gt;TODAY(),Main_Issuance[[#This Row],[Status]]&lt;&gt;"Cancelled"),"Active","Cancelled")</f>
        <v>Active</v>
      </c>
      <c r="Y923" s="419"/>
      <c r="Z923" s="423"/>
      <c r="AA923" s="507" t="s">
        <v>857</v>
      </c>
      <c r="AB923" s="83" cm="1">
        <f t="array" ref="AB923">Iss_Tariff(Main_Issuance[[#This Row],[Bank]],Main_Issuance[[#This Row],[LC Amt(SAR)]],Main_Issuance[[#This Row],[Issue Date.]],Main_Issuance[[#This Row],[Expiry Date]],Main_Issuance[[#This Row],[Calculate]])</f>
        <v>1811.25</v>
      </c>
      <c r="AC923" s="83"/>
    </row>
    <row r="924" spans="1:29" ht="15.75" hidden="1" x14ac:dyDescent="0.25">
      <c r="A924" s="75" t="s">
        <v>5420</v>
      </c>
      <c r="B924" s="423">
        <v>46177</v>
      </c>
      <c r="C924" s="423" t="s">
        <v>441</v>
      </c>
      <c r="D924" s="78" t="s">
        <v>20</v>
      </c>
      <c r="E924" s="78" t="s">
        <v>366</v>
      </c>
      <c r="F924" s="78" t="s">
        <v>710</v>
      </c>
      <c r="G924" s="78" t="s">
        <v>601</v>
      </c>
      <c r="H924" s="79" t="s">
        <v>24</v>
      </c>
      <c r="I924" s="78" t="s">
        <v>710</v>
      </c>
      <c r="J924" s="79">
        <v>1020088</v>
      </c>
      <c r="K924" s="78" t="s">
        <v>26</v>
      </c>
      <c r="L924" s="80">
        <v>300000</v>
      </c>
      <c r="M924" s="81">
        <v>1</v>
      </c>
      <c r="N924" s="81">
        <f>Main_Issuance[[#This Row],[LC Amt(FCY)]]*Main_Issuance[[#This Row],[Rate]]</f>
        <v>300000</v>
      </c>
      <c r="O924" s="423">
        <v>46265</v>
      </c>
      <c r="P924" s="423">
        <v>46265</v>
      </c>
      <c r="Q924" s="423" t="s">
        <v>27</v>
      </c>
      <c r="R924" s="78" t="s">
        <v>5175</v>
      </c>
      <c r="S924" s="81"/>
      <c r="T924" s="81"/>
      <c r="U924" s="81"/>
      <c r="V924" s="83">
        <v>0</v>
      </c>
      <c r="W924" s="78"/>
      <c r="X924" s="423" t="str">
        <f ca="1">IF(AND((Main_Issuance[[#This Row],[Expiry Date]]+31)&gt;TODAY(),Main_Issuance[[#This Row],[Status]]&lt;&gt;"Cancelled"),"Active","Cancelled")</f>
        <v>Active</v>
      </c>
      <c r="Y924" s="419"/>
      <c r="Z924" s="423"/>
      <c r="AA924" s="507" t="s">
        <v>857</v>
      </c>
      <c r="AB924" s="83" cm="1">
        <f t="array" ref="AB924">Iss_Tariff(Main_Issuance[[#This Row],[Bank]],Main_Issuance[[#This Row],[LC Amt(SAR)]],Main_Issuance[[#This Row],[Issue Date.]],Main_Issuance[[#This Row],[Expiry Date]],Main_Issuance[[#This Row],[Calculate]])</f>
        <v>1811.25</v>
      </c>
      <c r="AC924" s="83"/>
    </row>
    <row r="925" spans="1:29" ht="15.75" hidden="1" x14ac:dyDescent="0.25">
      <c r="A925" s="75" t="s">
        <v>5445</v>
      </c>
      <c r="B925" s="423">
        <v>46177</v>
      </c>
      <c r="C925" s="423" t="s">
        <v>441</v>
      </c>
      <c r="D925" s="78" t="s">
        <v>20</v>
      </c>
      <c r="E925" s="78" t="s">
        <v>366</v>
      </c>
      <c r="F925" s="78" t="s">
        <v>710</v>
      </c>
      <c r="G925" s="78" t="s">
        <v>5319</v>
      </c>
      <c r="H925" s="79" t="s">
        <v>24</v>
      </c>
      <c r="I925" s="78" t="s">
        <v>710</v>
      </c>
      <c r="J925" s="79">
        <v>1020088</v>
      </c>
      <c r="K925" s="78" t="s">
        <v>26</v>
      </c>
      <c r="L925" s="80">
        <v>300000</v>
      </c>
      <c r="M925" s="81">
        <v>1</v>
      </c>
      <c r="N925" s="81">
        <f>Main_Issuance[[#This Row],[LC Amt(FCY)]]*Main_Issuance[[#This Row],[Rate]]</f>
        <v>300000</v>
      </c>
      <c r="O925" s="423">
        <v>46265</v>
      </c>
      <c r="P925" s="423">
        <v>46265</v>
      </c>
      <c r="Q925" s="423" t="s">
        <v>27</v>
      </c>
      <c r="R925" s="78" t="s">
        <v>5175</v>
      </c>
      <c r="S925" s="81"/>
      <c r="T925" s="81"/>
      <c r="U925" s="81"/>
      <c r="V925" s="83">
        <v>0</v>
      </c>
      <c r="W925" s="78"/>
      <c r="X925" s="423" t="str">
        <f ca="1">IF(AND((Main_Issuance[[#This Row],[Expiry Date]]+31)&gt;TODAY(),Main_Issuance[[#This Row],[Status]]&lt;&gt;"Cancelled"),"Active","Cancelled")</f>
        <v>Active</v>
      </c>
      <c r="Y925" s="419"/>
      <c r="Z925" s="423"/>
      <c r="AA925" s="507" t="s">
        <v>857</v>
      </c>
      <c r="AB925" s="83" cm="1">
        <f t="array" ref="AB925">Iss_Tariff(Main_Issuance[[#This Row],[Bank]],Main_Issuance[[#This Row],[LC Amt(SAR)]],Main_Issuance[[#This Row],[Issue Date.]],Main_Issuance[[#This Row],[Expiry Date]],Main_Issuance[[#This Row],[Calculate]])</f>
        <v>1811.25</v>
      </c>
      <c r="AC925" s="83"/>
    </row>
    <row r="926" spans="1:29" ht="15.75" hidden="1" x14ac:dyDescent="0.25">
      <c r="A926" s="75" t="s">
        <v>5425</v>
      </c>
      <c r="B926" s="423">
        <v>46177</v>
      </c>
      <c r="C926" s="423" t="s">
        <v>441</v>
      </c>
      <c r="D926" s="78" t="s">
        <v>20</v>
      </c>
      <c r="E926" s="78" t="s">
        <v>366</v>
      </c>
      <c r="F926" s="78" t="s">
        <v>710</v>
      </c>
      <c r="G926" s="78" t="s">
        <v>5320</v>
      </c>
      <c r="H926" s="79" t="s">
        <v>24</v>
      </c>
      <c r="I926" s="78" t="s">
        <v>710</v>
      </c>
      <c r="J926" s="79">
        <v>1020088</v>
      </c>
      <c r="K926" s="78" t="s">
        <v>26</v>
      </c>
      <c r="L926" s="80">
        <v>200000</v>
      </c>
      <c r="M926" s="81">
        <v>1</v>
      </c>
      <c r="N926" s="81">
        <f>Main_Issuance[[#This Row],[LC Amt(FCY)]]*Main_Issuance[[#This Row],[Rate]]</f>
        <v>200000</v>
      </c>
      <c r="O926" s="423">
        <v>46265</v>
      </c>
      <c r="P926" s="423">
        <v>46265</v>
      </c>
      <c r="Q926" s="423" t="s">
        <v>27</v>
      </c>
      <c r="R926" s="78" t="s">
        <v>5175</v>
      </c>
      <c r="S926" s="81"/>
      <c r="T926" s="81"/>
      <c r="U926" s="81"/>
      <c r="V926" s="83">
        <v>0</v>
      </c>
      <c r="W926" s="78"/>
      <c r="X926" s="423" t="str">
        <f ca="1">IF(AND((Main_Issuance[[#This Row],[Expiry Date]]+31)&gt;TODAY(),Main_Issuance[[#This Row],[Status]]&lt;&gt;"Cancelled"),"Active","Cancelled")</f>
        <v>Active</v>
      </c>
      <c r="Y926" s="419"/>
      <c r="Z926" s="423"/>
      <c r="AA926" s="507" t="s">
        <v>857</v>
      </c>
      <c r="AB926" s="83" cm="1">
        <f t="array" ref="AB926">Iss_Tariff(Main_Issuance[[#This Row],[Bank]],Main_Issuance[[#This Row],[LC Amt(SAR)]],Main_Issuance[[#This Row],[Issue Date.]],Main_Issuance[[#This Row],[Expiry Date]],Main_Issuance[[#This Row],[Calculate]])</f>
        <v>1236.25</v>
      </c>
      <c r="AC926" s="83"/>
    </row>
    <row r="927" spans="1:29" ht="15.75" hidden="1" x14ac:dyDescent="0.25">
      <c r="A927" s="75" t="s">
        <v>5431</v>
      </c>
      <c r="B927" s="423">
        <v>46177</v>
      </c>
      <c r="C927" s="423" t="s">
        <v>441</v>
      </c>
      <c r="D927" s="78" t="s">
        <v>20</v>
      </c>
      <c r="E927" s="78" t="s">
        <v>366</v>
      </c>
      <c r="F927" s="78" t="s">
        <v>710</v>
      </c>
      <c r="G927" s="78" t="s">
        <v>5321</v>
      </c>
      <c r="H927" s="79" t="s">
        <v>24</v>
      </c>
      <c r="I927" s="78" t="s">
        <v>710</v>
      </c>
      <c r="J927" s="79">
        <v>1020088</v>
      </c>
      <c r="K927" s="78" t="s">
        <v>26</v>
      </c>
      <c r="L927" s="80">
        <v>200000</v>
      </c>
      <c r="M927" s="81">
        <v>1</v>
      </c>
      <c r="N927" s="81">
        <f>Main_Issuance[[#This Row],[LC Amt(FCY)]]*Main_Issuance[[#This Row],[Rate]]</f>
        <v>200000</v>
      </c>
      <c r="O927" s="423">
        <v>46265</v>
      </c>
      <c r="P927" s="423">
        <v>46265</v>
      </c>
      <c r="Q927" s="423" t="s">
        <v>27</v>
      </c>
      <c r="R927" s="78" t="s">
        <v>5175</v>
      </c>
      <c r="S927" s="81"/>
      <c r="T927" s="81"/>
      <c r="U927" s="81"/>
      <c r="V927" s="83">
        <v>0</v>
      </c>
      <c r="W927" s="78"/>
      <c r="X927" s="423" t="str">
        <f ca="1">IF(AND((Main_Issuance[[#This Row],[Expiry Date]]+31)&gt;TODAY(),Main_Issuance[[#This Row],[Status]]&lt;&gt;"Cancelled"),"Active","Cancelled")</f>
        <v>Active</v>
      </c>
      <c r="Y927" s="419"/>
      <c r="Z927" s="423"/>
      <c r="AA927" s="507" t="s">
        <v>857</v>
      </c>
      <c r="AB927" s="83" cm="1">
        <f t="array" ref="AB927">Iss_Tariff(Main_Issuance[[#This Row],[Bank]],Main_Issuance[[#This Row],[LC Amt(SAR)]],Main_Issuance[[#This Row],[Issue Date.]],Main_Issuance[[#This Row],[Expiry Date]],Main_Issuance[[#This Row],[Calculate]])</f>
        <v>1236.25</v>
      </c>
      <c r="AC927" s="83"/>
    </row>
    <row r="928" spans="1:29" ht="15.75" hidden="1" x14ac:dyDescent="0.25">
      <c r="A928" s="75" t="s">
        <v>5446</v>
      </c>
      <c r="B928" s="423">
        <v>46177</v>
      </c>
      <c r="C928" s="423" t="s">
        <v>441</v>
      </c>
      <c r="D928" s="78" t="s">
        <v>20</v>
      </c>
      <c r="E928" s="78" t="s">
        <v>366</v>
      </c>
      <c r="F928" s="78" t="s">
        <v>710</v>
      </c>
      <c r="G928" s="78" t="s">
        <v>5322</v>
      </c>
      <c r="H928" s="79" t="s">
        <v>24</v>
      </c>
      <c r="I928" s="78" t="s">
        <v>710</v>
      </c>
      <c r="J928" s="79">
        <v>1020088</v>
      </c>
      <c r="K928" s="78" t="s">
        <v>26</v>
      </c>
      <c r="L928" s="80">
        <v>190080.6</v>
      </c>
      <c r="M928" s="81">
        <v>1</v>
      </c>
      <c r="N928" s="81">
        <f>Main_Issuance[[#This Row],[LC Amt(FCY)]]*Main_Issuance[[#This Row],[Rate]]</f>
        <v>190080.6</v>
      </c>
      <c r="O928" s="423">
        <v>46265</v>
      </c>
      <c r="P928" s="423">
        <v>46265</v>
      </c>
      <c r="Q928" s="423" t="s">
        <v>27</v>
      </c>
      <c r="R928" s="78" t="s">
        <v>5175</v>
      </c>
      <c r="S928" s="81"/>
      <c r="T928" s="81"/>
      <c r="U928" s="81"/>
      <c r="V928" s="83">
        <v>0</v>
      </c>
      <c r="W928" s="78"/>
      <c r="X928" s="423" t="str">
        <f ca="1">IF(AND((Main_Issuance[[#This Row],[Expiry Date]]+31)&gt;TODAY(),Main_Issuance[[#This Row],[Status]]&lt;&gt;"Cancelled"),"Active","Cancelled")</f>
        <v>Active</v>
      </c>
      <c r="Y928" s="419"/>
      <c r="Z928" s="423"/>
      <c r="AA928" s="507" t="s">
        <v>857</v>
      </c>
      <c r="AB928" s="83" cm="1">
        <f t="array" ref="AB928">Iss_Tariff(Main_Issuance[[#This Row],[Bank]],Main_Issuance[[#This Row],[LC Amt(SAR)]],Main_Issuance[[#This Row],[Issue Date.]],Main_Issuance[[#This Row],[Expiry Date]],Main_Issuance[[#This Row],[Calculate]])</f>
        <v>1178.75</v>
      </c>
      <c r="AC928" s="83"/>
    </row>
    <row r="929" spans="1:29" ht="15.75" hidden="1" x14ac:dyDescent="0.25">
      <c r="A929" s="75" t="s">
        <v>5424</v>
      </c>
      <c r="B929" s="423">
        <v>46177</v>
      </c>
      <c r="C929" s="423" t="s">
        <v>441</v>
      </c>
      <c r="D929" s="78" t="s">
        <v>20</v>
      </c>
      <c r="E929" s="78" t="s">
        <v>366</v>
      </c>
      <c r="F929" s="78" t="s">
        <v>710</v>
      </c>
      <c r="G929" s="78" t="s">
        <v>5323</v>
      </c>
      <c r="H929" s="79" t="s">
        <v>24</v>
      </c>
      <c r="I929" s="78" t="s">
        <v>710</v>
      </c>
      <c r="J929" s="79">
        <v>1020088</v>
      </c>
      <c r="K929" s="78" t="s">
        <v>26</v>
      </c>
      <c r="L929" s="80">
        <v>500000</v>
      </c>
      <c r="M929" s="81">
        <v>1</v>
      </c>
      <c r="N929" s="81">
        <f>Main_Issuance[[#This Row],[LC Amt(FCY)]]*Main_Issuance[[#This Row],[Rate]]</f>
        <v>500000</v>
      </c>
      <c r="O929" s="423">
        <v>46265</v>
      </c>
      <c r="P929" s="423">
        <v>46265</v>
      </c>
      <c r="Q929" s="423" t="s">
        <v>27</v>
      </c>
      <c r="R929" s="78" t="s">
        <v>5175</v>
      </c>
      <c r="S929" s="81"/>
      <c r="T929" s="81"/>
      <c r="U929" s="81"/>
      <c r="V929" s="83">
        <v>0</v>
      </c>
      <c r="W929" s="78"/>
      <c r="X929" s="423" t="str">
        <f ca="1">IF(AND((Main_Issuance[[#This Row],[Expiry Date]]+31)&gt;TODAY(),Main_Issuance[[#This Row],[Status]]&lt;&gt;"Cancelled"),"Active","Cancelled")</f>
        <v>Active</v>
      </c>
      <c r="Y929" s="419"/>
      <c r="Z929" s="423"/>
      <c r="AA929" s="507" t="s">
        <v>857</v>
      </c>
      <c r="AB929" s="83" cm="1">
        <f t="array" ref="AB929">Iss_Tariff(Main_Issuance[[#This Row],[Bank]],Main_Issuance[[#This Row],[LC Amt(SAR)]],Main_Issuance[[#This Row],[Issue Date.]],Main_Issuance[[#This Row],[Expiry Date]],Main_Issuance[[#This Row],[Calculate]])</f>
        <v>2961.25</v>
      </c>
      <c r="AC929" s="83"/>
    </row>
    <row r="930" spans="1:29" ht="15.75" hidden="1" x14ac:dyDescent="0.25">
      <c r="A930" s="75" t="s">
        <v>5447</v>
      </c>
      <c r="B930" s="423">
        <v>46177</v>
      </c>
      <c r="C930" s="423" t="s">
        <v>441</v>
      </c>
      <c r="D930" s="78" t="s">
        <v>20</v>
      </c>
      <c r="E930" s="78" t="s">
        <v>366</v>
      </c>
      <c r="F930" s="78" t="s">
        <v>710</v>
      </c>
      <c r="G930" s="78" t="s">
        <v>1577</v>
      </c>
      <c r="H930" s="79" t="s">
        <v>24</v>
      </c>
      <c r="I930" s="78" t="s">
        <v>710</v>
      </c>
      <c r="J930" s="79">
        <v>1020088</v>
      </c>
      <c r="K930" s="78" t="s">
        <v>26</v>
      </c>
      <c r="L930" s="80">
        <v>200000</v>
      </c>
      <c r="M930" s="81">
        <v>1</v>
      </c>
      <c r="N930" s="81">
        <f>Main_Issuance[[#This Row],[LC Amt(FCY)]]*Main_Issuance[[#This Row],[Rate]]</f>
        <v>200000</v>
      </c>
      <c r="O930" s="423">
        <v>46265</v>
      </c>
      <c r="P930" s="423">
        <v>46265</v>
      </c>
      <c r="Q930" s="423" t="s">
        <v>27</v>
      </c>
      <c r="R930" s="78" t="s">
        <v>5175</v>
      </c>
      <c r="S930" s="81"/>
      <c r="T930" s="81"/>
      <c r="U930" s="81"/>
      <c r="V930" s="83">
        <v>0</v>
      </c>
      <c r="W930" s="78"/>
      <c r="X930" s="423" t="str">
        <f ca="1">IF(AND((Main_Issuance[[#This Row],[Expiry Date]]+31)&gt;TODAY(),Main_Issuance[[#This Row],[Status]]&lt;&gt;"Cancelled"),"Active","Cancelled")</f>
        <v>Active</v>
      </c>
      <c r="Y930" s="419"/>
      <c r="Z930" s="423"/>
      <c r="AA930" s="507" t="s">
        <v>857</v>
      </c>
      <c r="AB930" s="83" cm="1">
        <f t="array" ref="AB930">Iss_Tariff(Main_Issuance[[#This Row],[Bank]],Main_Issuance[[#This Row],[LC Amt(SAR)]],Main_Issuance[[#This Row],[Issue Date.]],Main_Issuance[[#This Row],[Expiry Date]],Main_Issuance[[#This Row],[Calculate]])</f>
        <v>1236.25</v>
      </c>
      <c r="AC930" s="83"/>
    </row>
    <row r="931" spans="1:29" ht="15.75" hidden="1" x14ac:dyDescent="0.25">
      <c r="A931" s="75" t="s">
        <v>5438</v>
      </c>
      <c r="B931" s="423">
        <v>46177</v>
      </c>
      <c r="C931" s="423" t="s">
        <v>441</v>
      </c>
      <c r="D931" s="78" t="s">
        <v>20</v>
      </c>
      <c r="E931" s="78" t="s">
        <v>366</v>
      </c>
      <c r="F931" s="78" t="s">
        <v>710</v>
      </c>
      <c r="G931" s="78" t="s">
        <v>5324</v>
      </c>
      <c r="H931" s="79" t="s">
        <v>24</v>
      </c>
      <c r="I931" s="78" t="s">
        <v>710</v>
      </c>
      <c r="J931" s="79">
        <v>1020088</v>
      </c>
      <c r="K931" s="78" t="s">
        <v>26</v>
      </c>
      <c r="L931" s="80">
        <v>450000</v>
      </c>
      <c r="M931" s="81">
        <v>1</v>
      </c>
      <c r="N931" s="81">
        <f>Main_Issuance[[#This Row],[LC Amt(FCY)]]*Main_Issuance[[#This Row],[Rate]]</f>
        <v>450000</v>
      </c>
      <c r="O931" s="423">
        <v>46265</v>
      </c>
      <c r="P931" s="423">
        <v>46265</v>
      </c>
      <c r="Q931" s="423" t="s">
        <v>27</v>
      </c>
      <c r="R931" s="78" t="s">
        <v>5175</v>
      </c>
      <c r="S931" s="81"/>
      <c r="T931" s="81"/>
      <c r="U931" s="81"/>
      <c r="V931" s="83">
        <v>0</v>
      </c>
      <c r="W931" s="78"/>
      <c r="X931" s="423" t="str">
        <f ca="1">IF(AND((Main_Issuance[[#This Row],[Expiry Date]]+31)&gt;TODAY(),Main_Issuance[[#This Row],[Status]]&lt;&gt;"Cancelled"),"Active","Cancelled")</f>
        <v>Active</v>
      </c>
      <c r="Y931" s="419"/>
      <c r="Z931" s="423"/>
      <c r="AA931" s="507" t="s">
        <v>857</v>
      </c>
      <c r="AB931" s="83" cm="1">
        <f t="array" ref="AB931">Iss_Tariff(Main_Issuance[[#This Row],[Bank]],Main_Issuance[[#This Row],[LC Amt(SAR)]],Main_Issuance[[#This Row],[Issue Date.]],Main_Issuance[[#This Row],[Expiry Date]],Main_Issuance[[#This Row],[Calculate]])</f>
        <v>2673.75</v>
      </c>
      <c r="AC931" s="83"/>
    </row>
    <row r="932" spans="1:29" ht="15.75" hidden="1" x14ac:dyDescent="0.25">
      <c r="A932" s="75" t="s">
        <v>5427</v>
      </c>
      <c r="B932" s="423">
        <v>46177</v>
      </c>
      <c r="C932" s="423" t="s">
        <v>441</v>
      </c>
      <c r="D932" s="78" t="s">
        <v>20</v>
      </c>
      <c r="E932" s="78" t="s">
        <v>366</v>
      </c>
      <c r="F932" s="78" t="s">
        <v>710</v>
      </c>
      <c r="G932" s="78" t="s">
        <v>5325</v>
      </c>
      <c r="H932" s="79" t="s">
        <v>24</v>
      </c>
      <c r="I932" s="78" t="s">
        <v>710</v>
      </c>
      <c r="J932" s="79">
        <v>1020088</v>
      </c>
      <c r="K932" s="78" t="s">
        <v>26</v>
      </c>
      <c r="L932" s="80">
        <v>500000</v>
      </c>
      <c r="M932" s="81">
        <v>1</v>
      </c>
      <c r="N932" s="81">
        <f>Main_Issuance[[#This Row],[LC Amt(FCY)]]*Main_Issuance[[#This Row],[Rate]]</f>
        <v>500000</v>
      </c>
      <c r="O932" s="423">
        <v>46265</v>
      </c>
      <c r="P932" s="423">
        <v>46265</v>
      </c>
      <c r="Q932" s="423" t="s">
        <v>27</v>
      </c>
      <c r="R932" s="78" t="s">
        <v>5175</v>
      </c>
      <c r="S932" s="81"/>
      <c r="T932" s="81"/>
      <c r="U932" s="81"/>
      <c r="V932" s="83">
        <v>0</v>
      </c>
      <c r="W932" s="78"/>
      <c r="X932" s="423" t="str">
        <f ca="1">IF(AND((Main_Issuance[[#This Row],[Expiry Date]]+31)&gt;TODAY(),Main_Issuance[[#This Row],[Status]]&lt;&gt;"Cancelled"),"Active","Cancelled")</f>
        <v>Active</v>
      </c>
      <c r="Y932" s="419"/>
      <c r="Z932" s="423"/>
      <c r="AA932" s="507" t="s">
        <v>857</v>
      </c>
      <c r="AB932" s="83" cm="1">
        <f t="array" ref="AB932">Iss_Tariff(Main_Issuance[[#This Row],[Bank]],Main_Issuance[[#This Row],[LC Amt(SAR)]],Main_Issuance[[#This Row],[Issue Date.]],Main_Issuance[[#This Row],[Expiry Date]],Main_Issuance[[#This Row],[Calculate]])</f>
        <v>2961.25</v>
      </c>
      <c r="AC932" s="83"/>
    </row>
    <row r="933" spans="1:29" ht="15.75" hidden="1" x14ac:dyDescent="0.25">
      <c r="A933" s="75" t="s">
        <v>5415</v>
      </c>
      <c r="B933" s="423">
        <v>46177</v>
      </c>
      <c r="C933" s="423" t="s">
        <v>441</v>
      </c>
      <c r="D933" s="78" t="s">
        <v>20</v>
      </c>
      <c r="E933" s="78" t="s">
        <v>366</v>
      </c>
      <c r="F933" s="78" t="s">
        <v>710</v>
      </c>
      <c r="G933" s="78" t="s">
        <v>1698</v>
      </c>
      <c r="H933" s="79" t="s">
        <v>24</v>
      </c>
      <c r="I933" s="78" t="s">
        <v>710</v>
      </c>
      <c r="J933" s="79">
        <v>1020088</v>
      </c>
      <c r="K933" s="78" t="s">
        <v>26</v>
      </c>
      <c r="L933" s="80">
        <v>300000</v>
      </c>
      <c r="M933" s="81">
        <v>1</v>
      </c>
      <c r="N933" s="81">
        <f>Main_Issuance[[#This Row],[LC Amt(FCY)]]*Main_Issuance[[#This Row],[Rate]]</f>
        <v>300000</v>
      </c>
      <c r="O933" s="423">
        <v>46265</v>
      </c>
      <c r="P933" s="423">
        <v>46265</v>
      </c>
      <c r="Q933" s="423" t="s">
        <v>27</v>
      </c>
      <c r="R933" s="78" t="s">
        <v>5175</v>
      </c>
      <c r="S933" s="81"/>
      <c r="T933" s="81"/>
      <c r="U933" s="81"/>
      <c r="V933" s="83">
        <v>0</v>
      </c>
      <c r="W933" s="78"/>
      <c r="X933" s="423" t="str">
        <f ca="1">IF(AND((Main_Issuance[[#This Row],[Expiry Date]]+31)&gt;TODAY(),Main_Issuance[[#This Row],[Status]]&lt;&gt;"Cancelled"),"Active","Cancelled")</f>
        <v>Active</v>
      </c>
      <c r="Y933" s="419"/>
      <c r="Z933" s="423"/>
      <c r="AA933" s="507" t="s">
        <v>857</v>
      </c>
      <c r="AB933" s="83" cm="1">
        <f t="array" ref="AB933">Iss_Tariff(Main_Issuance[[#This Row],[Bank]],Main_Issuance[[#This Row],[LC Amt(SAR)]],Main_Issuance[[#This Row],[Issue Date.]],Main_Issuance[[#This Row],[Expiry Date]],Main_Issuance[[#This Row],[Calculate]])</f>
        <v>1811.25</v>
      </c>
      <c r="AC933" s="83"/>
    </row>
    <row r="934" spans="1:29" ht="15.75" hidden="1" x14ac:dyDescent="0.25">
      <c r="A934" s="114" t="s">
        <v>5417</v>
      </c>
      <c r="B934" s="423">
        <v>46177</v>
      </c>
      <c r="C934" s="423" t="s">
        <v>441</v>
      </c>
      <c r="D934" s="78" t="s">
        <v>20</v>
      </c>
      <c r="E934" s="115" t="s">
        <v>366</v>
      </c>
      <c r="F934" s="78" t="s">
        <v>710</v>
      </c>
      <c r="G934" s="115" t="s">
        <v>5326</v>
      </c>
      <c r="H934" s="113" t="s">
        <v>24</v>
      </c>
      <c r="I934" s="115" t="s">
        <v>710</v>
      </c>
      <c r="J934" s="79">
        <v>1020088</v>
      </c>
      <c r="K934" s="115" t="s">
        <v>26</v>
      </c>
      <c r="L934" s="80">
        <v>250000</v>
      </c>
      <c r="M934" s="81">
        <v>1</v>
      </c>
      <c r="N934" s="82">
        <f>Main_Issuance[[#This Row],[LC Amt(FCY)]]*Main_Issuance[[#This Row],[Rate]]</f>
        <v>250000</v>
      </c>
      <c r="O934" s="424">
        <v>46265</v>
      </c>
      <c r="P934" s="424">
        <v>46265</v>
      </c>
      <c r="Q934" s="424" t="s">
        <v>27</v>
      </c>
      <c r="R934" s="78" t="s">
        <v>5175</v>
      </c>
      <c r="S934" s="81"/>
      <c r="T934" s="81"/>
      <c r="U934" s="81"/>
      <c r="V934" s="83">
        <v>0</v>
      </c>
      <c r="W934" s="78"/>
      <c r="X934" s="424" t="str">
        <f ca="1">IF(AND((Main_Issuance[[#This Row],[Expiry Date]]+31)&gt;TODAY(),Main_Issuance[[#This Row],[Status]]&lt;&gt;"Cancelled"),"Active","Cancelled")</f>
        <v>Active</v>
      </c>
      <c r="Y934" s="96"/>
      <c r="Z934" s="424"/>
      <c r="AA934" s="507" t="s">
        <v>857</v>
      </c>
      <c r="AB934" s="97" cm="1">
        <f t="array" ref="AB934">Iss_Tariff(Main_Issuance[[#This Row],[Bank]],Main_Issuance[[#This Row],[LC Amt(SAR)]],Main_Issuance[[#This Row],[Issue Date.]],Main_Issuance[[#This Row],[Expiry Date]],Main_Issuance[[#This Row],[Calculate]])</f>
        <v>1523.75</v>
      </c>
      <c r="AC934" s="97"/>
    </row>
    <row r="935" spans="1:29" ht="15.75" hidden="1" x14ac:dyDescent="0.25">
      <c r="A935" s="114" t="s">
        <v>5426</v>
      </c>
      <c r="B935" s="423">
        <v>46177</v>
      </c>
      <c r="C935" s="423" t="s">
        <v>441</v>
      </c>
      <c r="D935" s="78" t="s">
        <v>20</v>
      </c>
      <c r="E935" s="115" t="s">
        <v>366</v>
      </c>
      <c r="F935" s="78" t="s">
        <v>710</v>
      </c>
      <c r="G935" s="115" t="s">
        <v>5327</v>
      </c>
      <c r="H935" s="113" t="s">
        <v>24</v>
      </c>
      <c r="I935" s="115" t="s">
        <v>710</v>
      </c>
      <c r="J935" s="79">
        <v>1020088</v>
      </c>
      <c r="K935" s="115" t="s">
        <v>26</v>
      </c>
      <c r="L935" s="80">
        <v>250000</v>
      </c>
      <c r="M935" s="81">
        <v>1</v>
      </c>
      <c r="N935" s="82">
        <f>Main_Issuance[[#This Row],[LC Amt(FCY)]]*Main_Issuance[[#This Row],[Rate]]</f>
        <v>250000</v>
      </c>
      <c r="O935" s="424">
        <v>46265</v>
      </c>
      <c r="P935" s="424">
        <v>46265</v>
      </c>
      <c r="Q935" s="424" t="s">
        <v>27</v>
      </c>
      <c r="R935" s="78" t="s">
        <v>5175</v>
      </c>
      <c r="S935" s="81"/>
      <c r="T935" s="81"/>
      <c r="U935" s="81"/>
      <c r="V935" s="83">
        <v>0</v>
      </c>
      <c r="W935" s="78"/>
      <c r="X935" s="424" t="str">
        <f ca="1">IF(AND((Main_Issuance[[#This Row],[Expiry Date]]+31)&gt;TODAY(),Main_Issuance[[#This Row],[Status]]&lt;&gt;"Cancelled"),"Active","Cancelled")</f>
        <v>Active</v>
      </c>
      <c r="Y935" s="96"/>
      <c r="Z935" s="424"/>
      <c r="AA935" s="507" t="s">
        <v>857</v>
      </c>
      <c r="AB935" s="97" cm="1">
        <f t="array" ref="AB935">Iss_Tariff(Main_Issuance[[#This Row],[Bank]],Main_Issuance[[#This Row],[LC Amt(SAR)]],Main_Issuance[[#This Row],[Issue Date.]],Main_Issuance[[#This Row],[Expiry Date]],Main_Issuance[[#This Row],[Calculate]])</f>
        <v>1523.75</v>
      </c>
      <c r="AC935" s="97"/>
    </row>
    <row r="936" spans="1:29" ht="15.75" hidden="1" x14ac:dyDescent="0.25">
      <c r="A936" s="114" t="s">
        <v>5421</v>
      </c>
      <c r="B936" s="423">
        <v>46177</v>
      </c>
      <c r="C936" s="423" t="s">
        <v>441</v>
      </c>
      <c r="D936" s="78" t="s">
        <v>20</v>
      </c>
      <c r="E936" s="115" t="s">
        <v>366</v>
      </c>
      <c r="F936" s="78" t="s">
        <v>710</v>
      </c>
      <c r="G936" s="115" t="s">
        <v>159</v>
      </c>
      <c r="H936" s="113" t="s">
        <v>24</v>
      </c>
      <c r="I936" s="115" t="s">
        <v>710</v>
      </c>
      <c r="J936" s="79">
        <v>1020088</v>
      </c>
      <c r="K936" s="115" t="s">
        <v>26</v>
      </c>
      <c r="L936" s="80">
        <v>500000</v>
      </c>
      <c r="M936" s="81">
        <v>1</v>
      </c>
      <c r="N936" s="82">
        <f>Main_Issuance[[#This Row],[LC Amt(FCY)]]*Main_Issuance[[#This Row],[Rate]]</f>
        <v>500000</v>
      </c>
      <c r="O936" s="424">
        <v>46265</v>
      </c>
      <c r="P936" s="424">
        <v>46265</v>
      </c>
      <c r="Q936" s="424" t="s">
        <v>27</v>
      </c>
      <c r="R936" s="78" t="s">
        <v>5175</v>
      </c>
      <c r="S936" s="81"/>
      <c r="T936" s="81"/>
      <c r="U936" s="81"/>
      <c r="V936" s="83">
        <v>0</v>
      </c>
      <c r="W936" s="78"/>
      <c r="X936" s="424" t="str">
        <f ca="1">IF(AND((Main_Issuance[[#This Row],[Expiry Date]]+31)&gt;TODAY(),Main_Issuance[[#This Row],[Status]]&lt;&gt;"Cancelled"),"Active","Cancelled")</f>
        <v>Active</v>
      </c>
      <c r="Y936" s="96"/>
      <c r="Z936" s="424"/>
      <c r="AA936" s="507" t="s">
        <v>857</v>
      </c>
      <c r="AB936" s="97" cm="1">
        <f t="array" ref="AB936">Iss_Tariff(Main_Issuance[[#This Row],[Bank]],Main_Issuance[[#This Row],[LC Amt(SAR)]],Main_Issuance[[#This Row],[Issue Date.]],Main_Issuance[[#This Row],[Expiry Date]],Main_Issuance[[#This Row],[Calculate]])</f>
        <v>2961.25</v>
      </c>
      <c r="AC936" s="97"/>
    </row>
    <row r="937" spans="1:29" ht="15.75" hidden="1" x14ac:dyDescent="0.25">
      <c r="A937" s="114" t="s">
        <v>5419</v>
      </c>
      <c r="B937" s="423">
        <v>46177</v>
      </c>
      <c r="C937" s="423" t="s">
        <v>441</v>
      </c>
      <c r="D937" s="78" t="s">
        <v>20</v>
      </c>
      <c r="E937" s="115" t="s">
        <v>366</v>
      </c>
      <c r="F937" s="78" t="s">
        <v>710</v>
      </c>
      <c r="G937" s="115" t="s">
        <v>39</v>
      </c>
      <c r="H937" s="113" t="s">
        <v>24</v>
      </c>
      <c r="I937" s="115" t="s">
        <v>710</v>
      </c>
      <c r="J937" s="79">
        <v>1020088</v>
      </c>
      <c r="K937" s="115" t="s">
        <v>26</v>
      </c>
      <c r="L937" s="80">
        <v>1000000</v>
      </c>
      <c r="M937" s="81">
        <v>1</v>
      </c>
      <c r="N937" s="82">
        <f>Main_Issuance[[#This Row],[LC Amt(FCY)]]*Main_Issuance[[#This Row],[Rate]]</f>
        <v>1000000</v>
      </c>
      <c r="O937" s="424">
        <v>46265</v>
      </c>
      <c r="P937" s="424">
        <v>46265</v>
      </c>
      <c r="Q937" s="424" t="s">
        <v>27</v>
      </c>
      <c r="R937" s="78" t="s">
        <v>5175</v>
      </c>
      <c r="S937" s="81"/>
      <c r="T937" s="81"/>
      <c r="U937" s="81"/>
      <c r="V937" s="83">
        <v>0</v>
      </c>
      <c r="W937" s="78"/>
      <c r="X937" s="424" t="str">
        <f ca="1">IF(AND((Main_Issuance[[#This Row],[Expiry Date]]+31)&gt;TODAY(),Main_Issuance[[#This Row],[Status]]&lt;&gt;"Cancelled"),"Active","Cancelled")</f>
        <v>Active</v>
      </c>
      <c r="Y937" s="96"/>
      <c r="Z937" s="424"/>
      <c r="AA937" s="507" t="s">
        <v>857</v>
      </c>
      <c r="AB937" s="97" cm="1">
        <f t="array" ref="AB937">Iss_Tariff(Main_Issuance[[#This Row],[Bank]],Main_Issuance[[#This Row],[LC Amt(SAR)]],Main_Issuance[[#This Row],[Issue Date.]],Main_Issuance[[#This Row],[Expiry Date]],Main_Issuance[[#This Row],[Calculate]])</f>
        <v>5836.25</v>
      </c>
      <c r="AC937" s="97"/>
    </row>
    <row r="938" spans="1:29" ht="15.75" hidden="1" x14ac:dyDescent="0.25">
      <c r="A938" s="114" t="s">
        <v>5418</v>
      </c>
      <c r="B938" s="423">
        <v>46177</v>
      </c>
      <c r="C938" s="423" t="s">
        <v>441</v>
      </c>
      <c r="D938" s="78" t="s">
        <v>20</v>
      </c>
      <c r="E938" s="115" t="s">
        <v>366</v>
      </c>
      <c r="F938" s="78" t="s">
        <v>710</v>
      </c>
      <c r="G938" s="115" t="s">
        <v>1374</v>
      </c>
      <c r="H938" s="113" t="s">
        <v>24</v>
      </c>
      <c r="I938" s="115" t="s">
        <v>710</v>
      </c>
      <c r="J938" s="79">
        <v>1020088</v>
      </c>
      <c r="K938" s="115" t="s">
        <v>26</v>
      </c>
      <c r="L938" s="80">
        <v>1000000</v>
      </c>
      <c r="M938" s="81">
        <v>1</v>
      </c>
      <c r="N938" s="82">
        <f>Main_Issuance[[#This Row],[LC Amt(FCY)]]*Main_Issuance[[#This Row],[Rate]]</f>
        <v>1000000</v>
      </c>
      <c r="O938" s="424">
        <v>46265</v>
      </c>
      <c r="P938" s="424">
        <v>46265</v>
      </c>
      <c r="Q938" s="424" t="s">
        <v>27</v>
      </c>
      <c r="R938" s="78" t="s">
        <v>5175</v>
      </c>
      <c r="S938" s="81"/>
      <c r="T938" s="81"/>
      <c r="U938" s="81"/>
      <c r="V938" s="83">
        <v>0</v>
      </c>
      <c r="W938" s="78"/>
      <c r="X938" s="424" t="str">
        <f ca="1">IF(AND((Main_Issuance[[#This Row],[Expiry Date]]+31)&gt;TODAY(),Main_Issuance[[#This Row],[Status]]&lt;&gt;"Cancelled"),"Active","Cancelled")</f>
        <v>Active</v>
      </c>
      <c r="Y938" s="96"/>
      <c r="Z938" s="424"/>
      <c r="AA938" s="507" t="s">
        <v>857</v>
      </c>
      <c r="AB938" s="97" cm="1">
        <f t="array" ref="AB938">Iss_Tariff(Main_Issuance[[#This Row],[Bank]],Main_Issuance[[#This Row],[LC Amt(SAR)]],Main_Issuance[[#This Row],[Issue Date.]],Main_Issuance[[#This Row],[Expiry Date]],Main_Issuance[[#This Row],[Calculate]])</f>
        <v>5836.25</v>
      </c>
      <c r="AC938" s="97"/>
    </row>
    <row r="939" spans="1:29" ht="15.75" hidden="1" x14ac:dyDescent="0.25">
      <c r="A939" s="114" t="s">
        <v>5416</v>
      </c>
      <c r="B939" s="423">
        <v>46177</v>
      </c>
      <c r="C939" s="423" t="s">
        <v>441</v>
      </c>
      <c r="D939" s="78" t="s">
        <v>20</v>
      </c>
      <c r="E939" s="115" t="s">
        <v>366</v>
      </c>
      <c r="F939" s="78" t="s">
        <v>710</v>
      </c>
      <c r="G939" s="115" t="s">
        <v>5328</v>
      </c>
      <c r="H939" s="113" t="s">
        <v>24</v>
      </c>
      <c r="I939" s="115" t="s">
        <v>710</v>
      </c>
      <c r="J939" s="79">
        <v>1020088</v>
      </c>
      <c r="K939" s="115" t="s">
        <v>26</v>
      </c>
      <c r="L939" s="80">
        <v>500000</v>
      </c>
      <c r="M939" s="81">
        <v>1</v>
      </c>
      <c r="N939" s="82">
        <f>Main_Issuance[[#This Row],[LC Amt(FCY)]]*Main_Issuance[[#This Row],[Rate]]</f>
        <v>500000</v>
      </c>
      <c r="O939" s="424">
        <v>46265</v>
      </c>
      <c r="P939" s="424">
        <v>46265</v>
      </c>
      <c r="Q939" s="424" t="s">
        <v>27</v>
      </c>
      <c r="R939" s="78" t="s">
        <v>5175</v>
      </c>
      <c r="S939" s="81"/>
      <c r="T939" s="81"/>
      <c r="U939" s="81"/>
      <c r="V939" s="83">
        <v>0</v>
      </c>
      <c r="W939" s="78"/>
      <c r="X939" s="424" t="str">
        <f ca="1">IF(AND((Main_Issuance[[#This Row],[Expiry Date]]+31)&gt;TODAY(),Main_Issuance[[#This Row],[Status]]&lt;&gt;"Cancelled"),"Active","Cancelled")</f>
        <v>Active</v>
      </c>
      <c r="Y939" s="96"/>
      <c r="Z939" s="424"/>
      <c r="AA939" s="507" t="s">
        <v>857</v>
      </c>
      <c r="AB939" s="97" cm="1">
        <f t="array" ref="AB939">Iss_Tariff(Main_Issuance[[#This Row],[Bank]],Main_Issuance[[#This Row],[LC Amt(SAR)]],Main_Issuance[[#This Row],[Issue Date.]],Main_Issuance[[#This Row],[Expiry Date]],Main_Issuance[[#This Row],[Calculate]])</f>
        <v>2961.25</v>
      </c>
      <c r="AC939" s="97"/>
    </row>
    <row r="940" spans="1:29" ht="15.75" hidden="1" x14ac:dyDescent="0.25">
      <c r="A940" s="114" t="s">
        <v>5448</v>
      </c>
      <c r="B940" s="423">
        <v>46177</v>
      </c>
      <c r="C940" s="423" t="s">
        <v>441</v>
      </c>
      <c r="D940" s="78" t="s">
        <v>20</v>
      </c>
      <c r="E940" s="115" t="s">
        <v>366</v>
      </c>
      <c r="F940" s="78" t="s">
        <v>710</v>
      </c>
      <c r="G940" s="115" t="s">
        <v>769</v>
      </c>
      <c r="H940" s="113" t="s">
        <v>24</v>
      </c>
      <c r="I940" s="115" t="s">
        <v>710</v>
      </c>
      <c r="J940" s="79">
        <v>1020088</v>
      </c>
      <c r="K940" s="115" t="s">
        <v>26</v>
      </c>
      <c r="L940" s="80">
        <v>300000</v>
      </c>
      <c r="M940" s="81">
        <v>1</v>
      </c>
      <c r="N940" s="82">
        <f>Main_Issuance[[#This Row],[LC Amt(FCY)]]*Main_Issuance[[#This Row],[Rate]]</f>
        <v>300000</v>
      </c>
      <c r="O940" s="424">
        <v>46265</v>
      </c>
      <c r="P940" s="424">
        <v>46265</v>
      </c>
      <c r="Q940" s="424" t="s">
        <v>27</v>
      </c>
      <c r="R940" s="78" t="s">
        <v>5175</v>
      </c>
      <c r="S940" s="81"/>
      <c r="T940" s="81"/>
      <c r="U940" s="81"/>
      <c r="V940" s="83">
        <v>0</v>
      </c>
      <c r="W940" s="78"/>
      <c r="X940" s="424" t="str">
        <f ca="1">IF(AND((Main_Issuance[[#This Row],[Expiry Date]]+31)&gt;TODAY(),Main_Issuance[[#This Row],[Status]]&lt;&gt;"Cancelled"),"Active","Cancelled")</f>
        <v>Active</v>
      </c>
      <c r="Y940" s="96"/>
      <c r="Z940" s="424"/>
      <c r="AA940" s="507" t="s">
        <v>857</v>
      </c>
      <c r="AB940" s="97" cm="1">
        <f t="array" ref="AB940">Iss_Tariff(Main_Issuance[[#This Row],[Bank]],Main_Issuance[[#This Row],[LC Amt(SAR)]],Main_Issuance[[#This Row],[Issue Date.]],Main_Issuance[[#This Row],[Expiry Date]],Main_Issuance[[#This Row],[Calculate]])</f>
        <v>1811.25</v>
      </c>
      <c r="AC940" s="97"/>
    </row>
    <row r="941" spans="1:29" ht="15.75" hidden="1" x14ac:dyDescent="0.25">
      <c r="A941" s="114" t="s">
        <v>5433</v>
      </c>
      <c r="B941" s="423">
        <v>46177</v>
      </c>
      <c r="C941" s="423" t="s">
        <v>441</v>
      </c>
      <c r="D941" s="78" t="s">
        <v>20</v>
      </c>
      <c r="E941" s="115" t="s">
        <v>366</v>
      </c>
      <c r="F941" s="78" t="s">
        <v>710</v>
      </c>
      <c r="G941" s="115" t="s">
        <v>5329</v>
      </c>
      <c r="H941" s="113" t="s">
        <v>24</v>
      </c>
      <c r="I941" s="115" t="s">
        <v>710</v>
      </c>
      <c r="J941" s="79">
        <v>1020088</v>
      </c>
      <c r="K941" s="115" t="s">
        <v>26</v>
      </c>
      <c r="L941" s="80">
        <v>200000</v>
      </c>
      <c r="M941" s="81">
        <v>1</v>
      </c>
      <c r="N941" s="82">
        <f>Main_Issuance[[#This Row],[LC Amt(FCY)]]*Main_Issuance[[#This Row],[Rate]]</f>
        <v>200000</v>
      </c>
      <c r="O941" s="424">
        <v>46265</v>
      </c>
      <c r="P941" s="424">
        <v>46265</v>
      </c>
      <c r="Q941" s="424" t="s">
        <v>27</v>
      </c>
      <c r="R941" s="78" t="s">
        <v>5175</v>
      </c>
      <c r="S941" s="81"/>
      <c r="T941" s="81"/>
      <c r="U941" s="81"/>
      <c r="V941" s="83">
        <v>0</v>
      </c>
      <c r="W941" s="78"/>
      <c r="X941" s="424" t="str">
        <f ca="1">IF(AND((Main_Issuance[[#This Row],[Expiry Date]]+31)&gt;TODAY(),Main_Issuance[[#This Row],[Status]]&lt;&gt;"Cancelled"),"Active","Cancelled")</f>
        <v>Active</v>
      </c>
      <c r="Y941" s="96"/>
      <c r="Z941" s="424"/>
      <c r="AA941" s="507" t="s">
        <v>857</v>
      </c>
      <c r="AB941" s="97" cm="1">
        <f t="array" ref="AB941">Iss_Tariff(Main_Issuance[[#This Row],[Bank]],Main_Issuance[[#This Row],[LC Amt(SAR)]],Main_Issuance[[#This Row],[Issue Date.]],Main_Issuance[[#This Row],[Expiry Date]],Main_Issuance[[#This Row],[Calculate]])</f>
        <v>1236.25</v>
      </c>
      <c r="AC941" s="97"/>
    </row>
    <row r="942" spans="1:29" ht="15.75" hidden="1" x14ac:dyDescent="0.25">
      <c r="A942" s="114" t="s">
        <v>5422</v>
      </c>
      <c r="B942" s="423">
        <v>46177</v>
      </c>
      <c r="C942" s="423" t="s">
        <v>441</v>
      </c>
      <c r="D942" s="78" t="s">
        <v>20</v>
      </c>
      <c r="E942" s="115" t="s">
        <v>366</v>
      </c>
      <c r="F942" s="78" t="s">
        <v>710</v>
      </c>
      <c r="G942" s="115" t="s">
        <v>1329</v>
      </c>
      <c r="H942" s="113" t="s">
        <v>24</v>
      </c>
      <c r="I942" s="115" t="s">
        <v>710</v>
      </c>
      <c r="J942" s="79">
        <v>1020088</v>
      </c>
      <c r="K942" s="115" t="s">
        <v>26</v>
      </c>
      <c r="L942" s="80">
        <v>400000</v>
      </c>
      <c r="M942" s="81">
        <v>1</v>
      </c>
      <c r="N942" s="82">
        <f>Main_Issuance[[#This Row],[LC Amt(FCY)]]*Main_Issuance[[#This Row],[Rate]]</f>
        <v>400000</v>
      </c>
      <c r="O942" s="424">
        <v>46265</v>
      </c>
      <c r="P942" s="424">
        <v>46265</v>
      </c>
      <c r="Q942" s="424" t="s">
        <v>27</v>
      </c>
      <c r="R942" s="78" t="s">
        <v>5175</v>
      </c>
      <c r="S942" s="81"/>
      <c r="T942" s="81"/>
      <c r="U942" s="81"/>
      <c r="V942" s="83">
        <v>0</v>
      </c>
      <c r="W942" s="78"/>
      <c r="X942" s="424" t="str">
        <f ca="1">IF(AND((Main_Issuance[[#This Row],[Expiry Date]]+31)&gt;TODAY(),Main_Issuance[[#This Row],[Status]]&lt;&gt;"Cancelled"),"Active","Cancelled")</f>
        <v>Active</v>
      </c>
      <c r="Y942" s="96"/>
      <c r="Z942" s="424"/>
      <c r="AA942" s="507" t="s">
        <v>857</v>
      </c>
      <c r="AB942" s="97" cm="1">
        <f t="array" ref="AB942">Iss_Tariff(Main_Issuance[[#This Row],[Bank]],Main_Issuance[[#This Row],[LC Amt(SAR)]],Main_Issuance[[#This Row],[Issue Date.]],Main_Issuance[[#This Row],[Expiry Date]],Main_Issuance[[#This Row],[Calculate]])</f>
        <v>2386.25</v>
      </c>
      <c r="AC942" s="97"/>
    </row>
    <row r="943" spans="1:29" ht="15.75" hidden="1" x14ac:dyDescent="0.25">
      <c r="A943" s="114" t="s">
        <v>5439</v>
      </c>
      <c r="B943" s="423">
        <v>46177</v>
      </c>
      <c r="C943" s="423" t="s">
        <v>441</v>
      </c>
      <c r="D943" s="78" t="s">
        <v>20</v>
      </c>
      <c r="E943" s="115" t="s">
        <v>366</v>
      </c>
      <c r="F943" s="78" t="s">
        <v>710</v>
      </c>
      <c r="G943" s="115" t="s">
        <v>5330</v>
      </c>
      <c r="H943" s="113" t="s">
        <v>24</v>
      </c>
      <c r="I943" s="115" t="s">
        <v>710</v>
      </c>
      <c r="J943" s="79">
        <v>1020088</v>
      </c>
      <c r="K943" s="115" t="s">
        <v>26</v>
      </c>
      <c r="L943" s="80">
        <v>200000</v>
      </c>
      <c r="M943" s="81">
        <v>1</v>
      </c>
      <c r="N943" s="82">
        <f>Main_Issuance[[#This Row],[LC Amt(FCY)]]*Main_Issuance[[#This Row],[Rate]]</f>
        <v>200000</v>
      </c>
      <c r="O943" s="424">
        <v>46265</v>
      </c>
      <c r="P943" s="424">
        <v>46265</v>
      </c>
      <c r="Q943" s="424" t="s">
        <v>27</v>
      </c>
      <c r="R943" s="78" t="s">
        <v>5175</v>
      </c>
      <c r="S943" s="81"/>
      <c r="T943" s="81"/>
      <c r="U943" s="81"/>
      <c r="V943" s="83">
        <v>0</v>
      </c>
      <c r="W943" s="78"/>
      <c r="X943" s="424" t="str">
        <f ca="1">IF(AND((Main_Issuance[[#This Row],[Expiry Date]]+31)&gt;TODAY(),Main_Issuance[[#This Row],[Status]]&lt;&gt;"Cancelled"),"Active","Cancelled")</f>
        <v>Active</v>
      </c>
      <c r="Y943" s="96"/>
      <c r="Z943" s="424"/>
      <c r="AA943" s="507" t="s">
        <v>857</v>
      </c>
      <c r="AB943" s="97" cm="1">
        <f t="array" ref="AB943">Iss_Tariff(Main_Issuance[[#This Row],[Bank]],Main_Issuance[[#This Row],[LC Amt(SAR)]],Main_Issuance[[#This Row],[Issue Date.]],Main_Issuance[[#This Row],[Expiry Date]],Main_Issuance[[#This Row],[Calculate]])</f>
        <v>1236.25</v>
      </c>
      <c r="AC943" s="97"/>
    </row>
    <row r="944" spans="1:29" ht="15.75" hidden="1" x14ac:dyDescent="0.25">
      <c r="A944" s="75" t="s">
        <v>5442</v>
      </c>
      <c r="B944" s="423">
        <v>46177</v>
      </c>
      <c r="C944" s="423" t="s">
        <v>441</v>
      </c>
      <c r="D944" s="78" t="s">
        <v>20</v>
      </c>
      <c r="E944" s="78" t="s">
        <v>366</v>
      </c>
      <c r="F944" s="78" t="s">
        <v>710</v>
      </c>
      <c r="G944" s="78" t="s">
        <v>5331</v>
      </c>
      <c r="H944" s="79" t="s">
        <v>24</v>
      </c>
      <c r="I944" s="78" t="s">
        <v>710</v>
      </c>
      <c r="J944" s="79">
        <v>1020088</v>
      </c>
      <c r="K944" s="78" t="s">
        <v>26</v>
      </c>
      <c r="L944" s="80">
        <v>500000</v>
      </c>
      <c r="M944" s="81">
        <v>1</v>
      </c>
      <c r="N944" s="81">
        <f>Main_Issuance[[#This Row],[LC Amt(FCY)]]*Main_Issuance[[#This Row],[Rate]]</f>
        <v>500000</v>
      </c>
      <c r="O944" s="423">
        <v>46265</v>
      </c>
      <c r="P944" s="423">
        <v>46265</v>
      </c>
      <c r="Q944" s="423" t="s">
        <v>27</v>
      </c>
      <c r="R944" s="78" t="s">
        <v>5175</v>
      </c>
      <c r="S944" s="81"/>
      <c r="T944" s="81"/>
      <c r="U944" s="81"/>
      <c r="V944" s="83">
        <v>0</v>
      </c>
      <c r="W944" s="78"/>
      <c r="X944" s="423" t="str">
        <f ca="1">IF(AND((Main_Issuance[[#This Row],[Expiry Date]]+31)&gt;TODAY(),Main_Issuance[[#This Row],[Status]]&lt;&gt;"Cancelled"),"Active","Cancelled")</f>
        <v>Active</v>
      </c>
      <c r="Y944" s="419"/>
      <c r="Z944" s="423"/>
      <c r="AA944" s="507" t="s">
        <v>857</v>
      </c>
      <c r="AB944" s="83" cm="1">
        <f t="array" ref="AB944">Iss_Tariff(Main_Issuance[[#This Row],[Bank]],Main_Issuance[[#This Row],[LC Amt(SAR)]],Main_Issuance[[#This Row],[Issue Date.]],Main_Issuance[[#This Row],[Expiry Date]],Main_Issuance[[#This Row],[Calculate]])</f>
        <v>2961.25</v>
      </c>
      <c r="AC944" s="83"/>
    </row>
    <row r="945" spans="1:29" ht="15.75" hidden="1" x14ac:dyDescent="0.25">
      <c r="A945" s="75" t="s">
        <v>5435</v>
      </c>
      <c r="B945" s="423">
        <v>46177</v>
      </c>
      <c r="C945" s="423" t="s">
        <v>441</v>
      </c>
      <c r="D945" s="78" t="s">
        <v>20</v>
      </c>
      <c r="E945" s="78" t="s">
        <v>366</v>
      </c>
      <c r="F945" s="78" t="s">
        <v>710</v>
      </c>
      <c r="G945" s="78" t="s">
        <v>1385</v>
      </c>
      <c r="H945" s="79" t="s">
        <v>24</v>
      </c>
      <c r="I945" s="78" t="s">
        <v>710</v>
      </c>
      <c r="J945" s="79">
        <v>1020088</v>
      </c>
      <c r="K945" s="78" t="s">
        <v>26</v>
      </c>
      <c r="L945" s="80">
        <v>500000</v>
      </c>
      <c r="M945" s="81">
        <v>1</v>
      </c>
      <c r="N945" s="81">
        <f>Main_Issuance[[#This Row],[LC Amt(FCY)]]*Main_Issuance[[#This Row],[Rate]]</f>
        <v>500000</v>
      </c>
      <c r="O945" s="423">
        <v>46265</v>
      </c>
      <c r="P945" s="423">
        <v>46265</v>
      </c>
      <c r="Q945" s="423" t="s">
        <v>27</v>
      </c>
      <c r="R945" s="78" t="s">
        <v>5175</v>
      </c>
      <c r="S945" s="81"/>
      <c r="T945" s="81"/>
      <c r="U945" s="81"/>
      <c r="V945" s="83">
        <v>0</v>
      </c>
      <c r="W945" s="78"/>
      <c r="X945" s="423" t="str">
        <f ca="1">IF(AND((Main_Issuance[[#This Row],[Expiry Date]]+31)&gt;TODAY(),Main_Issuance[[#This Row],[Status]]&lt;&gt;"Cancelled"),"Active","Cancelled")</f>
        <v>Active</v>
      </c>
      <c r="Y945" s="419"/>
      <c r="Z945" s="423"/>
      <c r="AA945" s="507" t="s">
        <v>857</v>
      </c>
      <c r="AB945" s="83" cm="1">
        <f t="array" ref="AB945">Iss_Tariff(Main_Issuance[[#This Row],[Bank]],Main_Issuance[[#This Row],[LC Amt(SAR)]],Main_Issuance[[#This Row],[Issue Date.]],Main_Issuance[[#This Row],[Expiry Date]],Main_Issuance[[#This Row],[Calculate]])</f>
        <v>2961.25</v>
      </c>
      <c r="AC945" s="83"/>
    </row>
    <row r="946" spans="1:29" ht="15.75" hidden="1" x14ac:dyDescent="0.25">
      <c r="A946" s="75" t="s">
        <v>5606</v>
      </c>
      <c r="B946" s="423">
        <v>46190</v>
      </c>
      <c r="C946" s="423" t="s">
        <v>3566</v>
      </c>
      <c r="D946" s="78" t="s">
        <v>20</v>
      </c>
      <c r="E946" s="78" t="s">
        <v>612</v>
      </c>
      <c r="F946" s="78" t="s">
        <v>613</v>
      </c>
      <c r="G946" s="78" t="s">
        <v>5332</v>
      </c>
      <c r="H946" s="79" t="s">
        <v>72</v>
      </c>
      <c r="I946" s="78" t="s">
        <v>613</v>
      </c>
      <c r="J946" s="78">
        <v>1020106</v>
      </c>
      <c r="K946" s="78" t="s">
        <v>26</v>
      </c>
      <c r="L946" s="80">
        <v>5000000</v>
      </c>
      <c r="M946" s="81">
        <v>1</v>
      </c>
      <c r="N946" s="81">
        <f>Main_Issuance[[#This Row],[LC Amt(FCY)]]*Main_Issuance[[#This Row],[Rate]]</f>
        <v>5000000</v>
      </c>
      <c r="O946" s="423">
        <v>46326</v>
      </c>
      <c r="P946" s="423">
        <v>46326</v>
      </c>
      <c r="Q946" s="423" t="s">
        <v>27</v>
      </c>
      <c r="R946" s="78" t="s">
        <v>5584</v>
      </c>
      <c r="S946" s="81"/>
      <c r="T946" s="81"/>
      <c r="U946" s="81"/>
      <c r="V946" s="83">
        <v>0</v>
      </c>
      <c r="W946" s="78"/>
      <c r="X946" s="423" t="str">
        <f ca="1">IF(AND((Main_Issuance[[#This Row],[Expiry Date]]+31)&gt;TODAY(),Main_Issuance[[#This Row],[Status]]&lt;&gt;"Cancelled"),"Active","Cancelled")</f>
        <v>Active</v>
      </c>
      <c r="Y946" s="419"/>
      <c r="Z946" s="423"/>
      <c r="AA946" s="507" t="s">
        <v>857</v>
      </c>
      <c r="AB946" s="83" cm="1">
        <f t="array" ref="AB946">Iss_Tariff(Main_Issuance[[#This Row],[Bank]],Main_Issuance[[#This Row],[LC Amt(SAR)]],Main_Issuance[[#This Row],[Issue Date.]],Main_Issuance[[#This Row],[Expiry Date]],Main_Issuance[[#This Row],[Calculate]])</f>
        <v>31625</v>
      </c>
      <c r="AC946" s="83"/>
    </row>
    <row r="947" spans="1:29" ht="15.75" hidden="1" x14ac:dyDescent="0.25">
      <c r="A947" s="75" t="s">
        <v>5434</v>
      </c>
      <c r="B947" s="423">
        <v>46177</v>
      </c>
      <c r="C947" s="423" t="s">
        <v>441</v>
      </c>
      <c r="D947" s="78" t="s">
        <v>20</v>
      </c>
      <c r="E947" s="78" t="s">
        <v>366</v>
      </c>
      <c r="F947" s="78" t="s">
        <v>710</v>
      </c>
      <c r="G947" s="78" t="s">
        <v>5181</v>
      </c>
      <c r="H947" s="79" t="s">
        <v>24</v>
      </c>
      <c r="I947" s="78" t="s">
        <v>710</v>
      </c>
      <c r="J947" s="79">
        <v>1020088</v>
      </c>
      <c r="K947" s="78" t="s">
        <v>26</v>
      </c>
      <c r="L947" s="80">
        <v>1000000</v>
      </c>
      <c r="M947" s="81">
        <v>1</v>
      </c>
      <c r="N947" s="81">
        <f>Main_Issuance[[#This Row],[LC Amt(FCY)]]*Main_Issuance[[#This Row],[Rate]]</f>
        <v>1000000</v>
      </c>
      <c r="O947" s="423">
        <v>46265</v>
      </c>
      <c r="P947" s="423">
        <v>46265</v>
      </c>
      <c r="Q947" s="423" t="s">
        <v>27</v>
      </c>
      <c r="R947" s="78" t="s">
        <v>5175</v>
      </c>
      <c r="S947" s="81"/>
      <c r="T947" s="81"/>
      <c r="U947" s="81"/>
      <c r="V947" s="83">
        <v>0</v>
      </c>
      <c r="W947" s="78"/>
      <c r="X947" s="423" t="str">
        <f ca="1">IF(AND((Main_Issuance[[#This Row],[Expiry Date]]+31)&gt;TODAY(),Main_Issuance[[#This Row],[Status]]&lt;&gt;"Cancelled"),"Active","Cancelled")</f>
        <v>Active</v>
      </c>
      <c r="Y947" s="419"/>
      <c r="Z947" s="423"/>
      <c r="AA947" s="507" t="s">
        <v>857</v>
      </c>
      <c r="AB947" s="83" cm="1">
        <f t="array" ref="AB947">Iss_Tariff(Main_Issuance[[#This Row],[Bank]],Main_Issuance[[#This Row],[LC Amt(SAR)]],Main_Issuance[[#This Row],[Issue Date.]],Main_Issuance[[#This Row],[Expiry Date]],Main_Issuance[[#This Row],[Calculate]])</f>
        <v>5836.25</v>
      </c>
      <c r="AC947" s="83"/>
    </row>
    <row r="948" spans="1:29" ht="15.75" hidden="1" x14ac:dyDescent="0.25">
      <c r="A948" s="75" t="s">
        <v>5432</v>
      </c>
      <c r="B948" s="423">
        <v>46177</v>
      </c>
      <c r="C948" s="423" t="s">
        <v>441</v>
      </c>
      <c r="D948" s="78" t="s">
        <v>20</v>
      </c>
      <c r="E948" s="78" t="s">
        <v>366</v>
      </c>
      <c r="F948" s="78" t="s">
        <v>710</v>
      </c>
      <c r="G948" s="78" t="s">
        <v>1574</v>
      </c>
      <c r="H948" s="79" t="s">
        <v>24</v>
      </c>
      <c r="I948" s="78" t="s">
        <v>710</v>
      </c>
      <c r="J948" s="79">
        <v>1020088</v>
      </c>
      <c r="K948" s="78" t="s">
        <v>26</v>
      </c>
      <c r="L948" s="80">
        <v>350000</v>
      </c>
      <c r="M948" s="81">
        <v>1</v>
      </c>
      <c r="N948" s="81">
        <f>Main_Issuance[[#This Row],[LC Amt(FCY)]]*Main_Issuance[[#This Row],[Rate]]</f>
        <v>350000</v>
      </c>
      <c r="O948" s="423">
        <v>46265</v>
      </c>
      <c r="P948" s="423">
        <v>46265</v>
      </c>
      <c r="Q948" s="423" t="s">
        <v>27</v>
      </c>
      <c r="R948" s="78" t="s">
        <v>5175</v>
      </c>
      <c r="S948" s="81"/>
      <c r="T948" s="81"/>
      <c r="U948" s="81"/>
      <c r="V948" s="83">
        <v>0</v>
      </c>
      <c r="W948" s="78"/>
      <c r="X948" s="423" t="str">
        <f ca="1">IF(AND((Main_Issuance[[#This Row],[Expiry Date]]+31)&gt;TODAY(),Main_Issuance[[#This Row],[Status]]&lt;&gt;"Cancelled"),"Active","Cancelled")</f>
        <v>Active</v>
      </c>
      <c r="Y948" s="419"/>
      <c r="Z948" s="423"/>
      <c r="AA948" s="507" t="s">
        <v>857</v>
      </c>
      <c r="AB948" s="83" cm="1">
        <f t="array" ref="AB948">Iss_Tariff(Main_Issuance[[#This Row],[Bank]],Main_Issuance[[#This Row],[LC Amt(SAR)]],Main_Issuance[[#This Row],[Issue Date.]],Main_Issuance[[#This Row],[Expiry Date]],Main_Issuance[[#This Row],[Calculate]])</f>
        <v>2098.75</v>
      </c>
      <c r="AC948" s="83"/>
    </row>
    <row r="949" spans="1:29" ht="15.75" hidden="1" x14ac:dyDescent="0.25">
      <c r="A949" s="75"/>
      <c r="B949" s="423">
        <v>46180</v>
      </c>
      <c r="C949" s="423" t="s">
        <v>1181</v>
      </c>
      <c r="D949" s="78" t="s">
        <v>830</v>
      </c>
      <c r="E949" s="78" t="s">
        <v>366</v>
      </c>
      <c r="F949" s="78" t="s">
        <v>710</v>
      </c>
      <c r="G949" s="78" t="s">
        <v>5454</v>
      </c>
      <c r="H949" s="79" t="s">
        <v>72</v>
      </c>
      <c r="I949" s="79" t="s">
        <v>81</v>
      </c>
      <c r="J949" s="79">
        <v>1020070</v>
      </c>
      <c r="K949" s="78" t="s">
        <v>26</v>
      </c>
      <c r="L949" s="80">
        <v>10000000</v>
      </c>
      <c r="M949" s="81">
        <v>1</v>
      </c>
      <c r="N949" s="81">
        <f>Main_Issuance[[#This Row],[LC Amt(FCY)]]*Main_Issuance[[#This Row],[Rate]]</f>
        <v>10000000</v>
      </c>
      <c r="O949" s="423">
        <v>46346</v>
      </c>
      <c r="P949" s="423">
        <v>46346</v>
      </c>
      <c r="Q949" s="423" t="s">
        <v>27</v>
      </c>
      <c r="R949" s="78" t="s">
        <v>311</v>
      </c>
      <c r="S949" s="81"/>
      <c r="T949" s="81"/>
      <c r="U949" s="81"/>
      <c r="V949" s="83">
        <v>0</v>
      </c>
      <c r="W949" s="115" t="s">
        <v>5067</v>
      </c>
      <c r="X949" s="423" t="str">
        <f ca="1">IF(AND((Main_Issuance[[#This Row],[Expiry Date]]+31)&gt;TODAY(),Main_Issuance[[#This Row],[Status]]&lt;&gt;"Cancelled"),"Active","Cancelled")</f>
        <v>Active</v>
      </c>
      <c r="Y949" s="419"/>
      <c r="Z949" s="423"/>
      <c r="AA949" s="507" t="s">
        <v>857</v>
      </c>
      <c r="AB949" s="83" cm="1">
        <f t="array" ref="AB949">Iss_Tariff(Main_Issuance[[#This Row],[Bank]],Main_Issuance[[#This Row],[LC Amt(SAR)]],Main_Issuance[[#This Row],[Issue Date.]],Main_Issuance[[#This Row],[Expiry Date]],Main_Issuance[[#This Row],[Calculate]])</f>
        <v>57586.25</v>
      </c>
      <c r="AC949" s="83"/>
    </row>
    <row r="950" spans="1:29" ht="15.75" hidden="1" x14ac:dyDescent="0.25">
      <c r="A950" s="75" t="s">
        <v>5692</v>
      </c>
      <c r="B950" s="423">
        <v>46196</v>
      </c>
      <c r="C950" s="423" t="s">
        <v>1181</v>
      </c>
      <c r="D950" s="78" t="s">
        <v>20</v>
      </c>
      <c r="E950" s="78" t="s">
        <v>366</v>
      </c>
      <c r="F950" s="78" t="s">
        <v>710</v>
      </c>
      <c r="G950" s="78" t="s">
        <v>5454</v>
      </c>
      <c r="H950" s="79" t="s">
        <v>72</v>
      </c>
      <c r="I950" s="79" t="s">
        <v>81</v>
      </c>
      <c r="J950" s="79">
        <v>1020070</v>
      </c>
      <c r="K950" s="78" t="s">
        <v>26</v>
      </c>
      <c r="L950" s="80">
        <v>2000000</v>
      </c>
      <c r="M950" s="81">
        <v>1</v>
      </c>
      <c r="N950" s="81">
        <f>Main_Issuance[[#This Row],[LC Amt(FCY)]]*Main_Issuance[[#This Row],[Rate]]</f>
        <v>2000000</v>
      </c>
      <c r="O950" s="423">
        <v>46346</v>
      </c>
      <c r="P950" s="423">
        <v>46346</v>
      </c>
      <c r="Q950" s="423" t="s">
        <v>27</v>
      </c>
      <c r="R950" s="78" t="s">
        <v>425</v>
      </c>
      <c r="S950" s="81"/>
      <c r="T950" s="81"/>
      <c r="U950" s="81"/>
      <c r="V950" s="83">
        <v>0</v>
      </c>
      <c r="W950" s="115"/>
      <c r="X950" s="423" t="str">
        <f ca="1">IF(AND((Main_Issuance[[#This Row],[Expiry Date]]+31)&gt;TODAY(),Main_Issuance[[#This Row],[Status]]&lt;&gt;"Cancelled"),"Active","Cancelled")</f>
        <v>Active</v>
      </c>
      <c r="Y950" s="419"/>
      <c r="Z950" s="423"/>
      <c r="AA950" s="507" t="s">
        <v>857</v>
      </c>
      <c r="AB950" s="83" cm="1">
        <f t="array" ref="AB950">Iss_Tariff(Main_Issuance[[#This Row],[Bank]],Main_Issuance[[#This Row],[LC Amt(SAR)]],Main_Issuance[[#This Row],[Issue Date.]],Main_Issuance[[#This Row],[Expiry Date]],Main_Issuance[[#This Row],[Calculate]],,700-125)</f>
        <v>12247.5</v>
      </c>
      <c r="AC950" s="83"/>
    </row>
    <row r="951" spans="1:29" ht="15.75" hidden="1" x14ac:dyDescent="0.25">
      <c r="A951" s="75" t="s">
        <v>5687</v>
      </c>
      <c r="B951" s="423">
        <v>46195</v>
      </c>
      <c r="C951" s="423" t="s">
        <v>1259</v>
      </c>
      <c r="D951" s="78" t="s">
        <v>20</v>
      </c>
      <c r="E951" s="78" t="s">
        <v>95</v>
      </c>
      <c r="F951" s="78" t="s">
        <v>96</v>
      </c>
      <c r="G951" s="78" t="s">
        <v>5458</v>
      </c>
      <c r="H951" s="78" t="s">
        <v>1791</v>
      </c>
      <c r="I951" s="78" t="s">
        <v>328</v>
      </c>
      <c r="J951" s="78">
        <v>1020097</v>
      </c>
      <c r="K951" s="78" t="s">
        <v>26</v>
      </c>
      <c r="L951" s="80">
        <v>11188186.699999999</v>
      </c>
      <c r="M951" s="81">
        <v>1</v>
      </c>
      <c r="N951" s="81">
        <f>Main_Issuance[[#This Row],[LC Amt(FCY)]]*Main_Issuance[[#This Row],[Rate]]</f>
        <v>11188186.699999999</v>
      </c>
      <c r="O951" s="423">
        <v>46244</v>
      </c>
      <c r="P951" s="423">
        <v>46244</v>
      </c>
      <c r="Q951" s="423" t="s">
        <v>27</v>
      </c>
      <c r="R951" s="78" t="s">
        <v>311</v>
      </c>
      <c r="S951" s="81"/>
      <c r="T951" s="81"/>
      <c r="U951" s="81"/>
      <c r="V951" s="83"/>
      <c r="W951" s="78"/>
      <c r="X951" s="423" t="str">
        <f ca="1">IF(AND((Main_Issuance[[#This Row],[Expiry Date]]+31)&gt;TODAY(),Main_Issuance[[#This Row],[Status]]&lt;&gt;"Cancelled"),"Active","Cancelled")</f>
        <v>Active</v>
      </c>
      <c r="Y951" s="530"/>
      <c r="Z951" s="423"/>
      <c r="AA951" s="507"/>
      <c r="AB951" s="83" cm="1">
        <f t="array" ref="AB951">Iss_Tariff(Main_Issuance[[#This Row],[Bank]],Main_Issuance[[#This Row],[LC Amt(SAR)]],Main_Issuance[[#This Row],[Issue Date.]],Main_Issuance[[#This Row],[Expiry Date]],Main_Issuance[[#This Row],[Calculate]])</f>
        <v>11181.45</v>
      </c>
      <c r="AC951" s="83"/>
    </row>
    <row r="952" spans="1:29" ht="15.75" x14ac:dyDescent="0.25">
      <c r="A952" s="554"/>
      <c r="B952" s="555">
        <v>46190</v>
      </c>
      <c r="C952" s="555" t="s">
        <v>1119</v>
      </c>
      <c r="D952" s="556" t="s">
        <v>771</v>
      </c>
      <c r="E952" s="556" t="s">
        <v>3764</v>
      </c>
      <c r="F952" s="556" t="s">
        <v>4739</v>
      </c>
      <c r="G952" s="556" t="s">
        <v>5588</v>
      </c>
      <c r="H952" s="557" t="s">
        <v>72</v>
      </c>
      <c r="I952" s="557" t="s">
        <v>4739</v>
      </c>
      <c r="J952" s="557">
        <v>1020091</v>
      </c>
      <c r="K952" s="556" t="s">
        <v>26</v>
      </c>
      <c r="L952" s="558">
        <v>77325315.5</v>
      </c>
      <c r="M952" s="559">
        <v>1</v>
      </c>
      <c r="N952" s="559">
        <f>Main_Issuance[[#This Row],[LC Amt(FCY)]]*Main_Issuance[[#This Row],[Rate]]</f>
        <v>77325315.5</v>
      </c>
      <c r="O952" s="555">
        <v>46325</v>
      </c>
      <c r="P952" s="555">
        <v>46295</v>
      </c>
      <c r="Q952" s="555" t="s">
        <v>27</v>
      </c>
      <c r="R952" s="556" t="s">
        <v>621</v>
      </c>
      <c r="S952" s="559"/>
      <c r="T952" s="559"/>
      <c r="U952" s="559"/>
      <c r="V952" s="560">
        <v>0</v>
      </c>
      <c r="W952" s="561" t="s">
        <v>5608</v>
      </c>
      <c r="X952" s="555" t="str">
        <f ca="1">IF(AND((Main_Issuance[[#This Row],[Expiry Date]]+31)&gt;TODAY(),Main_Issuance[[#This Row],[Status]]&lt;&gt;"Cancelled"),"Active","Cancelled")</f>
        <v>Active</v>
      </c>
      <c r="Y952" s="562"/>
      <c r="Z952" s="555"/>
      <c r="AA952" s="563" t="s">
        <v>378</v>
      </c>
      <c r="AB952" s="560" cm="1">
        <f t="array" ref="AB952">Iss_Tariff(Main_Issuance[[#This Row],[Bank]],Main_Issuance[[#This Row],[LC Amt(SAR)]],Main_Issuance[[#This Row],[Issue Date.]],Main_Issuance[[#This Row],[Expiry Date]],Main_Issuance[[#This Row],[Calculate]])</f>
        <v>0</v>
      </c>
      <c r="AC952" s="560"/>
    </row>
    <row r="953" spans="1:29" ht="15.75" hidden="1" x14ac:dyDescent="0.25">
      <c r="A953" s="75"/>
      <c r="B953" s="423">
        <v>46191</v>
      </c>
      <c r="C953" s="423" t="s">
        <v>1181</v>
      </c>
      <c r="D953" s="78" t="s">
        <v>830</v>
      </c>
      <c r="E953" s="78" t="s">
        <v>366</v>
      </c>
      <c r="F953" s="78" t="s">
        <v>710</v>
      </c>
      <c r="G953" s="78" t="s">
        <v>5651</v>
      </c>
      <c r="H953" s="79" t="s">
        <v>72</v>
      </c>
      <c r="I953" s="79" t="s">
        <v>81</v>
      </c>
      <c r="J953" s="79">
        <v>1020070</v>
      </c>
      <c r="K953" s="78" t="s">
        <v>26</v>
      </c>
      <c r="L953" s="80">
        <v>3000000</v>
      </c>
      <c r="M953" s="81">
        <v>1</v>
      </c>
      <c r="N953" s="81">
        <f>Main_Issuance[[#This Row],[LC Amt(FCY)]]*Main_Issuance[[#This Row],[Rate]]</f>
        <v>3000000</v>
      </c>
      <c r="O953" s="423">
        <v>46295</v>
      </c>
      <c r="P953" s="423">
        <v>46295</v>
      </c>
      <c r="Q953" s="423" t="s">
        <v>27</v>
      </c>
      <c r="R953" s="78" t="s">
        <v>621</v>
      </c>
      <c r="S953" s="81"/>
      <c r="T953" s="81"/>
      <c r="U953" s="81"/>
      <c r="V953" s="83">
        <v>0</v>
      </c>
      <c r="W953" s="78" t="s">
        <v>5706</v>
      </c>
      <c r="X953" s="423" t="str">
        <f ca="1">IF(AND((Main_Issuance[[#This Row],[Expiry Date]]+31)&gt;TODAY(),Main_Issuance[[#This Row],[Status]]&lt;&gt;"Cancelled"),"Active","Cancelled")</f>
        <v>Active</v>
      </c>
      <c r="Y953" s="419"/>
      <c r="Z953" s="423"/>
      <c r="AA953" s="507" t="s">
        <v>857</v>
      </c>
      <c r="AB953" s="83" cm="1">
        <f t="array" ref="AB953">Iss_Tariff(Main_Issuance[[#This Row],[Bank]],Main_Issuance[[#This Row],[LC Amt(SAR)]],Main_Issuance[[#This Row],[Issue Date.]],Main_Issuance[[#This Row],[Expiry Date]],Main_Issuance[[#This Row],[Calculate]])</f>
        <v>17336.25</v>
      </c>
      <c r="AC953" s="83"/>
    </row>
    <row r="954" spans="1:29" ht="15.75" hidden="1" x14ac:dyDescent="0.25">
      <c r="A954" s="75"/>
      <c r="B954" s="423">
        <v>46194</v>
      </c>
      <c r="C954" s="423" t="s">
        <v>1537</v>
      </c>
      <c r="D954" s="78" t="s">
        <v>830</v>
      </c>
      <c r="E954" s="78" t="s">
        <v>62</v>
      </c>
      <c r="F954" s="78" t="s">
        <v>483</v>
      </c>
      <c r="G954" s="78" t="s">
        <v>5659</v>
      </c>
      <c r="H954" s="79" t="s">
        <v>72</v>
      </c>
      <c r="I954" s="78" t="s">
        <v>483</v>
      </c>
      <c r="J954" s="79">
        <v>1020096</v>
      </c>
      <c r="K954" s="78" t="s">
        <v>26</v>
      </c>
      <c r="L954" s="80">
        <v>15600000</v>
      </c>
      <c r="M954" s="81">
        <v>1</v>
      </c>
      <c r="N954" s="81">
        <f>Main_Issuance[[#This Row],[LC Amt(FCY)]]*Main_Issuance[[#This Row],[Rate]]</f>
        <v>15600000</v>
      </c>
      <c r="O954" s="423">
        <v>46387</v>
      </c>
      <c r="P954" s="423">
        <v>46234</v>
      </c>
      <c r="Q954" s="423" t="s">
        <v>27</v>
      </c>
      <c r="R954" s="78" t="s">
        <v>5660</v>
      </c>
      <c r="S954" s="81"/>
      <c r="T954" s="81"/>
      <c r="U954" s="81"/>
      <c r="V954" s="83">
        <v>0</v>
      </c>
      <c r="W954" s="78" t="s">
        <v>5701</v>
      </c>
      <c r="X954" s="423" t="str">
        <f ca="1">IF(AND((Main_Issuance[[#This Row],[Expiry Date]]+31)&gt;TODAY(),Main_Issuance[[#This Row],[Status]]&lt;&gt;"Cancelled"),"Active","Cancelled")</f>
        <v>Active</v>
      </c>
      <c r="Y954" s="419"/>
      <c r="Z954" s="423"/>
      <c r="AA954" s="507" t="s">
        <v>857</v>
      </c>
      <c r="AB954" s="83" cm="1">
        <f t="array" ref="AB954">Iss_Tariff(Main_Issuance[[#This Row],[Bank]],Main_Issuance[[#This Row],[LC Amt(SAR)]],Main_Issuance[[#This Row],[Issue Date.]],Main_Issuance[[#This Row],[Expiry Date]],Main_Issuance[[#This Row],[Calculate]])</f>
        <v>153344.45000000001</v>
      </c>
      <c r="AC954" s="83"/>
    </row>
    <row r="955" spans="1:29" ht="15.75" hidden="1" x14ac:dyDescent="0.25">
      <c r="A955" s="75"/>
      <c r="B955" s="423">
        <v>46195</v>
      </c>
      <c r="C955" s="423" t="s">
        <v>441</v>
      </c>
      <c r="D955" s="78" t="s">
        <v>728</v>
      </c>
      <c r="E955" s="78" t="s">
        <v>612</v>
      </c>
      <c r="F955" s="78" t="s">
        <v>613</v>
      </c>
      <c r="G955" s="78" t="s">
        <v>5688</v>
      </c>
      <c r="H955" s="79" t="s">
        <v>24</v>
      </c>
      <c r="I955" s="79" t="s">
        <v>613</v>
      </c>
      <c r="J955" s="78">
        <v>1020106</v>
      </c>
      <c r="K955" s="78" t="s">
        <v>26</v>
      </c>
      <c r="L955" s="80">
        <v>3422137.8</v>
      </c>
      <c r="M955" s="81">
        <v>1</v>
      </c>
      <c r="N955" s="81">
        <f>Main_Issuance[[#This Row],[LC Amt(FCY)]]*Main_Issuance[[#This Row],[Rate]]</f>
        <v>3422137.8</v>
      </c>
      <c r="O955" s="423">
        <v>46295</v>
      </c>
      <c r="P955" s="423">
        <v>46295</v>
      </c>
      <c r="Q955" s="423" t="s">
        <v>27</v>
      </c>
      <c r="R955" s="78" t="s">
        <v>1904</v>
      </c>
      <c r="S955" s="81"/>
      <c r="T955" s="81"/>
      <c r="U955" s="81"/>
      <c r="V955" s="83">
        <v>0</v>
      </c>
      <c r="W955" s="78" t="s">
        <v>5691</v>
      </c>
      <c r="X955" s="423" t="str">
        <f ca="1">IF(AND((Main_Issuance[[#This Row],[Expiry Date]]+31)&gt;TODAY(),Main_Issuance[[#This Row],[Status]]&lt;&gt;"Cancelled"),"Active","Cancelled")</f>
        <v>Active</v>
      </c>
      <c r="Y955" s="419"/>
      <c r="Z955" s="423"/>
      <c r="AA955" s="507" t="s">
        <v>857</v>
      </c>
      <c r="AB955" s="83" cm="1">
        <f t="array" ref="AB955">Iss_Tariff(Main_Issuance[[#This Row],[Bank]],Main_Issuance[[#This Row],[LC Amt(SAR)]],Main_Issuance[[#This Row],[Issue Date.]],Main_Issuance[[#This Row],[Expiry Date]],Main_Issuance[[#This Row],[Calculate]])</f>
        <v>12851.25</v>
      </c>
      <c r="AC955" s="83"/>
    </row>
    <row r="956" spans="1:29" ht="15.75" hidden="1" x14ac:dyDescent="0.25">
      <c r="A956" s="75"/>
      <c r="B956" s="423">
        <v>46195</v>
      </c>
      <c r="C956" s="423" t="s">
        <v>509</v>
      </c>
      <c r="D956" s="78" t="s">
        <v>728</v>
      </c>
      <c r="E956" s="78" t="s">
        <v>95</v>
      </c>
      <c r="F956" s="78" t="s">
        <v>96</v>
      </c>
      <c r="G956" s="78" t="s">
        <v>1337</v>
      </c>
      <c r="H956" s="79" t="s">
        <v>72</v>
      </c>
      <c r="I956" s="78" t="s">
        <v>511</v>
      </c>
      <c r="J956" s="78">
        <v>1020107</v>
      </c>
      <c r="K956" s="78" t="s">
        <v>26</v>
      </c>
      <c r="L956" s="80">
        <v>1017646</v>
      </c>
      <c r="M956" s="81">
        <v>1</v>
      </c>
      <c r="N956" s="81">
        <f>Main_Issuance[[#This Row],[LC Amt(FCY)]]*Main_Issuance[[#This Row],[Rate]]</f>
        <v>1017646</v>
      </c>
      <c r="O956" s="423">
        <v>46326</v>
      </c>
      <c r="P956" s="423">
        <v>46326</v>
      </c>
      <c r="Q956" s="423" t="s">
        <v>27</v>
      </c>
      <c r="R956" s="78" t="s">
        <v>1338</v>
      </c>
      <c r="S956" s="81"/>
      <c r="T956" s="81"/>
      <c r="U956" s="81"/>
      <c r="V956" s="83">
        <v>0</v>
      </c>
      <c r="W956" s="78" t="s">
        <v>5691</v>
      </c>
      <c r="X956" s="423" t="str">
        <f ca="1">IF(AND((Main_Issuance[[#This Row],[Expiry Date]]+31)&gt;TODAY(),Main_Issuance[[#This Row],[Status]]&lt;&gt;"Cancelled"),"Active","Cancelled")</f>
        <v>Active</v>
      </c>
      <c r="Y956" s="419"/>
      <c r="Z956" s="423"/>
      <c r="AA956" s="507" t="s">
        <v>857</v>
      </c>
      <c r="AB956" s="83" cm="1">
        <f t="array" ref="AB956">Iss_Tariff(Main_Issuance[[#This Row],[Bank]],Main_Issuance[[#This Row],[LC Amt(SAR)]],Main_Issuance[[#This Row],[Issue Date.]],Main_Issuance[[#This Row],[Expiry Date]],Main_Issuance[[#This Row],[Calculate]])</f>
        <v>2410.4</v>
      </c>
      <c r="AC956" s="83"/>
    </row>
    <row r="957" spans="1:29" ht="15.75" hidden="1" x14ac:dyDescent="0.25">
      <c r="A957" s="591"/>
      <c r="B957" s="592">
        <v>46196</v>
      </c>
      <c r="C957" s="592" t="s">
        <v>4231</v>
      </c>
      <c r="D957" s="593" t="s">
        <v>830</v>
      </c>
      <c r="E957" s="593" t="s">
        <v>1073</v>
      </c>
      <c r="F957" s="593" t="s">
        <v>882</v>
      </c>
      <c r="G957" s="593" t="s">
        <v>2924</v>
      </c>
      <c r="H957" s="594" t="s">
        <v>72</v>
      </c>
      <c r="I957" s="594" t="s">
        <v>882</v>
      </c>
      <c r="J957" s="594">
        <v>1020108</v>
      </c>
      <c r="K957" s="593" t="s">
        <v>26</v>
      </c>
      <c r="L957" s="595">
        <v>1500000</v>
      </c>
      <c r="M957" s="596">
        <v>1</v>
      </c>
      <c r="N957" s="596">
        <f>Main_Issuance[[#This Row],[LC Amt(FCY)]]*Main_Issuance[[#This Row],[Rate]]</f>
        <v>1500000</v>
      </c>
      <c r="O957" s="592">
        <v>46347</v>
      </c>
      <c r="P957" s="592">
        <v>46347</v>
      </c>
      <c r="Q957" s="592" t="s">
        <v>27</v>
      </c>
      <c r="R957" s="593" t="s">
        <v>311</v>
      </c>
      <c r="S957" s="596"/>
      <c r="T957" s="596"/>
      <c r="U957" s="596"/>
      <c r="V957" s="597">
        <v>0</v>
      </c>
      <c r="W957" s="593" t="s">
        <v>5705</v>
      </c>
      <c r="X957" s="592" t="str">
        <f ca="1">IF(AND((Main_Issuance[[#This Row],[Expiry Date]]+31)&gt;TODAY(),Main_Issuance[[#This Row],[Status]]&lt;&gt;"Cancelled"),"Active","Cancelled")</f>
        <v>Active</v>
      </c>
      <c r="Y957" s="598"/>
      <c r="Z957" s="592"/>
      <c r="AA957" s="599" t="s">
        <v>857</v>
      </c>
      <c r="AB957" s="597" cm="1">
        <f t="array" ref="AB957">Iss_Tariff(Main_Issuance[[#This Row],[Bank]],Main_Issuance[[#This Row],[LC Amt(SAR)]],Main_Issuance[[#This Row],[Issue Date.]],Main_Issuance[[#This Row],[Expiry Date]],Main_Issuance[[#This Row],[Calculate]])</f>
        <v>6325</v>
      </c>
      <c r="AC957" s="597"/>
    </row>
    <row r="958" spans="1:29" ht="15.75" hidden="1" x14ac:dyDescent="0.25">
      <c r="A958" s="591"/>
      <c r="B958" s="592">
        <v>46196</v>
      </c>
      <c r="C958" s="592" t="s">
        <v>4231</v>
      </c>
      <c r="D958" s="593" t="s">
        <v>830</v>
      </c>
      <c r="E958" s="593" t="s">
        <v>1073</v>
      </c>
      <c r="F958" s="593" t="s">
        <v>882</v>
      </c>
      <c r="G958" s="593" t="s">
        <v>5693</v>
      </c>
      <c r="H958" s="594" t="s">
        <v>72</v>
      </c>
      <c r="I958" s="594" t="s">
        <v>882</v>
      </c>
      <c r="J958" s="594">
        <v>1020108</v>
      </c>
      <c r="K958" s="593" t="s">
        <v>26</v>
      </c>
      <c r="L958" s="595">
        <v>2000000</v>
      </c>
      <c r="M958" s="596">
        <v>1</v>
      </c>
      <c r="N958" s="596">
        <f>Main_Issuance[[#This Row],[LC Amt(FCY)]]*Main_Issuance[[#This Row],[Rate]]</f>
        <v>2000000</v>
      </c>
      <c r="O958" s="592">
        <v>46347</v>
      </c>
      <c r="P958" s="592">
        <v>46347</v>
      </c>
      <c r="Q958" s="592" t="s">
        <v>27</v>
      </c>
      <c r="R958" s="593" t="s">
        <v>311</v>
      </c>
      <c r="S958" s="596"/>
      <c r="T958" s="596"/>
      <c r="U958" s="596"/>
      <c r="V958" s="597">
        <v>0</v>
      </c>
      <c r="W958" s="593" t="s">
        <v>5705</v>
      </c>
      <c r="X958" s="592" t="str">
        <f ca="1">IF(AND((Main_Issuance[[#This Row],[Expiry Date]]+31)&gt;TODAY(),Main_Issuance[[#This Row],[Status]]&lt;&gt;"Cancelled"),"Active","Cancelled")</f>
        <v>Active</v>
      </c>
      <c r="Y958" s="598"/>
      <c r="Z958" s="592"/>
      <c r="AA958" s="599" t="s">
        <v>857</v>
      </c>
      <c r="AB958" s="597" cm="1">
        <f t="array" ref="AB958">Iss_Tariff(Main_Issuance[[#This Row],[Bank]],Main_Issuance[[#This Row],[LC Amt(SAR)]],Main_Issuance[[#This Row],[Issue Date.]],Main_Issuance[[#This Row],[Expiry Date]],Main_Issuance[[#This Row],[Calculate]])</f>
        <v>7762.5</v>
      </c>
      <c r="AC958" s="597"/>
    </row>
    <row r="959" spans="1:29" ht="15.75" hidden="1" x14ac:dyDescent="0.25">
      <c r="A959" s="591"/>
      <c r="B959" s="592">
        <v>46196</v>
      </c>
      <c r="C959" s="592" t="s">
        <v>4231</v>
      </c>
      <c r="D959" s="593" t="s">
        <v>830</v>
      </c>
      <c r="E959" s="593" t="s">
        <v>1073</v>
      </c>
      <c r="F959" s="593" t="s">
        <v>882</v>
      </c>
      <c r="G959" s="593" t="s">
        <v>5690</v>
      </c>
      <c r="H959" s="594" t="s">
        <v>72</v>
      </c>
      <c r="I959" s="594" t="s">
        <v>882</v>
      </c>
      <c r="J959" s="594">
        <v>1020108</v>
      </c>
      <c r="K959" s="593" t="s">
        <v>26</v>
      </c>
      <c r="L959" s="595">
        <v>2000000</v>
      </c>
      <c r="M959" s="596">
        <v>1</v>
      </c>
      <c r="N959" s="596">
        <f>Main_Issuance[[#This Row],[LC Amt(FCY)]]*Main_Issuance[[#This Row],[Rate]]</f>
        <v>2000000</v>
      </c>
      <c r="O959" s="592">
        <v>46347</v>
      </c>
      <c r="P959" s="592">
        <v>46347</v>
      </c>
      <c r="Q959" s="592" t="s">
        <v>27</v>
      </c>
      <c r="R959" s="593" t="s">
        <v>311</v>
      </c>
      <c r="S959" s="596"/>
      <c r="T959" s="596"/>
      <c r="U959" s="596"/>
      <c r="V959" s="597">
        <v>0</v>
      </c>
      <c r="W959" s="593" t="s">
        <v>5705</v>
      </c>
      <c r="X959" s="592" t="str">
        <f ca="1">IF(AND((Main_Issuance[[#This Row],[Expiry Date]]+31)&gt;TODAY(),Main_Issuance[[#This Row],[Status]]&lt;&gt;"Cancelled"),"Active","Cancelled")</f>
        <v>Active</v>
      </c>
      <c r="Y959" s="598"/>
      <c r="Z959" s="592"/>
      <c r="AA959" s="599" t="s">
        <v>857</v>
      </c>
      <c r="AB959" s="597" cm="1">
        <f t="array" ref="AB959">Iss_Tariff(Main_Issuance[[#This Row],[Bank]],Main_Issuance[[#This Row],[LC Amt(SAR)]],Main_Issuance[[#This Row],[Issue Date.]],Main_Issuance[[#This Row],[Expiry Date]],Main_Issuance[[#This Row],[Calculate]])</f>
        <v>7762.5</v>
      </c>
      <c r="AC959" s="597"/>
    </row>
    <row r="960" spans="1:29" ht="15.75" hidden="1" x14ac:dyDescent="0.25">
      <c r="A960" s="591"/>
      <c r="B960" s="592">
        <v>46196</v>
      </c>
      <c r="C960" s="592" t="s">
        <v>4231</v>
      </c>
      <c r="D960" s="593" t="s">
        <v>830</v>
      </c>
      <c r="E960" s="593" t="s">
        <v>1073</v>
      </c>
      <c r="F960" s="593" t="s">
        <v>882</v>
      </c>
      <c r="G960" s="593" t="s">
        <v>2923</v>
      </c>
      <c r="H960" s="594" t="s">
        <v>72</v>
      </c>
      <c r="I960" s="594" t="s">
        <v>882</v>
      </c>
      <c r="J960" s="594">
        <v>1020108</v>
      </c>
      <c r="K960" s="593" t="s">
        <v>26</v>
      </c>
      <c r="L960" s="595">
        <v>7000000</v>
      </c>
      <c r="M960" s="596">
        <v>1</v>
      </c>
      <c r="N960" s="596">
        <f>Main_Issuance[[#This Row],[LC Amt(FCY)]]*Main_Issuance[[#This Row],[Rate]]</f>
        <v>7000000</v>
      </c>
      <c r="O960" s="592">
        <v>46347</v>
      </c>
      <c r="P960" s="592">
        <v>46347</v>
      </c>
      <c r="Q960" s="592" t="s">
        <v>27</v>
      </c>
      <c r="R960" s="593" t="s">
        <v>311</v>
      </c>
      <c r="S960" s="596"/>
      <c r="T960" s="596"/>
      <c r="U960" s="596"/>
      <c r="V960" s="597">
        <v>0</v>
      </c>
      <c r="W960" s="593" t="s">
        <v>5705</v>
      </c>
      <c r="X960" s="592" t="str">
        <f ca="1">IF(AND((Main_Issuance[[#This Row],[Expiry Date]]+31)&gt;TODAY(),Main_Issuance[[#This Row],[Status]]&lt;&gt;"Cancelled"),"Active","Cancelled")</f>
        <v>Active</v>
      </c>
      <c r="Y960" s="598"/>
      <c r="Z960" s="592"/>
      <c r="AA960" s="599" t="s">
        <v>857</v>
      </c>
      <c r="AB960" s="597" cm="1">
        <f t="array" ref="AB960">Iss_Tariff(Main_Issuance[[#This Row],[Bank]],Main_Issuance[[#This Row],[LC Amt(SAR)]],Main_Issuance[[#This Row],[Issue Date.]],Main_Issuance[[#This Row],[Expiry Date]],Main_Issuance[[#This Row],[Calculate]])</f>
        <v>22137.5</v>
      </c>
      <c r="AC960" s="597"/>
    </row>
  </sheetData>
  <mergeCells count="1">
    <mergeCell ref="Z2:AA2"/>
  </mergeCells>
  <phoneticPr fontId="24" type="noConversion"/>
  <conditionalFormatting sqref="X2:X3">
    <cfRule type="expression" dxfId="5992" priority="2388">
      <formula>#REF!="Cancelled"</formula>
    </cfRule>
    <cfRule type="expression" dxfId="5991" priority="2389">
      <formula>AND($S2="Cash",#REF!="Cancelled")</formula>
    </cfRule>
  </conditionalFormatting>
  <conditionalFormatting sqref="W2:W3">
    <cfRule type="expression" dxfId="5990" priority="2386">
      <formula>#REF!="Cancelled"</formula>
    </cfRule>
    <cfRule type="expression" dxfId="5989" priority="2387">
      <formula>AND($S2="Cash",#REF!="Cancelled")</formula>
    </cfRule>
  </conditionalFormatting>
  <conditionalFormatting sqref="V2">
    <cfRule type="expression" dxfId="5988" priority="2384">
      <formula>#REF!="Cancelled"</formula>
    </cfRule>
    <cfRule type="expression" dxfId="5987" priority="2385">
      <formula>AND($S2="Cash",#REF!="Cancelled")</formula>
    </cfRule>
  </conditionalFormatting>
  <conditionalFormatting sqref="V3">
    <cfRule type="expression" dxfId="5986" priority="2382">
      <formula>#REF!="Cancelled"</formula>
    </cfRule>
    <cfRule type="expression" dxfId="5985" priority="2383">
      <formula>AND($S3="Cash",#REF!="Cancelled")</formula>
    </cfRule>
  </conditionalFormatting>
  <conditionalFormatting sqref="M465:V465 Y492 T733 C733 J733 Y733 H733 S492:W492 A754:V754 C492 M492:Q492 M733:Q733 M482:Q489 S482:V489 C481:C489 D488:D489 F759 H759 F787:F789 W111:W138 A65:C65 E65:N65 A155:C155 E155:N155 A170:C170 E170:N170 A321:V332 A320:C320 E320:N320 A334:V344 A333:C333 E333:N333 A345:C345 E345:N345 A394:C394 E394:N394 A498:C498 E498:N498 A565:C565 E565:N565 B590:C590 E590:N590 A726:C726 E726:N726 Q65:V65 Q155:V155 Q170:V170 Q320:V320 Q333:V333 A514:F516 Q345:W345 Q394:W394 W328:W339 W735:W753 A41:V64 A40:F40 H40:V40 A66:V154 X753:Y754 A493:Y497 A727:Y732 H514:Y516 Q498:Y498 Q565:Y565 Q590:Y590 Q726:Y726 X490:Y491 A734:Y734 A755:Y755 M756:Y756 X757:Y758 Q759:Y759 S760:Y760 X761:Y763 A764:Y764 I765:Y765 X766:Y770 A771:Y773 X774:Y776 X784:Y785 A786:Y786 X787:Y790 A791:Y791 Q800:Y800 A801:Y801 X802:Y813 O814:Y814 X828:Y832 M833:Y833 X834:Y844 X846:Y853 X858:Y859 A860:Y860 G861:I862 K861:Y862 A5:Y27 A517:Y564 Z891:AA891 L890:N890 R890 D890:F890 W890:AA890 W898 O898:P898 A590:A592 B591:Y592 A845:Y845 A156:V169 W792:Y792 A499:Y513 A566:Y589 I783:Y783 A346:V393 O459:P465 R466:U476 V466:V477 Q466:Q477 M466:P476 A465:L476 E465:F480 A171:V319 A395:V464 L13:N492 X28:Y479 Z5:AA889 R402:R732 W140:W326 W28:W109 A28:V39 M793:Y799 W341:W490 A593:Y626 A628:Y629 A627:C627 E627:Y627 A631:Y725 A630:C630 E630:Y630">
    <cfRule type="expression" dxfId="5984" priority="2380">
      <formula>$Q5="Cash"</formula>
    </cfRule>
  </conditionalFormatting>
  <conditionalFormatting sqref="A446:V446">
    <cfRule type="expression" dxfId="5983" priority="2377">
      <formula>$Q446="Cash"</formula>
    </cfRule>
  </conditionalFormatting>
  <conditionalFormatting sqref="A447:V447">
    <cfRule type="expression" dxfId="5982" priority="2376">
      <formula>$Q447="Cash"</formula>
    </cfRule>
  </conditionalFormatting>
  <conditionalFormatting sqref="A447:V447">
    <cfRule type="expression" dxfId="5981" priority="2375">
      <formula>$Q447="Cash"</formula>
    </cfRule>
  </conditionalFormatting>
  <conditionalFormatting sqref="A448:V448">
    <cfRule type="expression" dxfId="5980" priority="2374">
      <formula>$Q448="Cash"</formula>
    </cfRule>
  </conditionalFormatting>
  <conditionalFormatting sqref="A448:V448">
    <cfRule type="expression" dxfId="5979" priority="2373">
      <formula>$Q448="Cash"</formula>
    </cfRule>
  </conditionalFormatting>
  <conditionalFormatting sqref="A448:V448">
    <cfRule type="expression" dxfId="5978" priority="2372">
      <formula>$Q448="Cash"</formula>
    </cfRule>
  </conditionalFormatting>
  <conditionalFormatting sqref="A449:V449">
    <cfRule type="expression" dxfId="5977" priority="2371">
      <formula>$Q449="Cash"</formula>
    </cfRule>
  </conditionalFormatting>
  <conditionalFormatting sqref="A449:V449">
    <cfRule type="expression" dxfId="5976" priority="2370">
      <formula>$Q449="Cash"</formula>
    </cfRule>
  </conditionalFormatting>
  <conditionalFormatting sqref="A449:V449">
    <cfRule type="expression" dxfId="5975" priority="2369">
      <formula>$Q449="Cash"</formula>
    </cfRule>
  </conditionalFormatting>
  <conditionalFormatting sqref="A449:V449">
    <cfRule type="expression" dxfId="5974" priority="2368">
      <formula>$Q449="Cash"</formula>
    </cfRule>
  </conditionalFormatting>
  <conditionalFormatting sqref="E447">
    <cfRule type="expression" dxfId="5973" priority="2363">
      <formula>$Q447="Cash"</formula>
    </cfRule>
  </conditionalFormatting>
  <conditionalFormatting sqref="E448">
    <cfRule type="expression" dxfId="5972" priority="2362">
      <formula>$Q448="Cash"</formula>
    </cfRule>
  </conditionalFormatting>
  <conditionalFormatting sqref="E449">
    <cfRule type="expression" dxfId="5971" priority="2361">
      <formula>$Q449="Cash"</formula>
    </cfRule>
  </conditionalFormatting>
  <conditionalFormatting sqref="F447">
    <cfRule type="expression" dxfId="5970" priority="2360">
      <formula>$Q447="Cash"</formula>
    </cfRule>
  </conditionalFormatting>
  <conditionalFormatting sqref="F448">
    <cfRule type="expression" dxfId="5969" priority="2359">
      <formula>$Q448="Cash"</formula>
    </cfRule>
  </conditionalFormatting>
  <conditionalFormatting sqref="F449">
    <cfRule type="expression" dxfId="5968" priority="2358">
      <formula>$Q449="Cash"</formula>
    </cfRule>
  </conditionalFormatting>
  <conditionalFormatting sqref="E447:F447">
    <cfRule type="expression" dxfId="5967" priority="2357">
      <formula>$Q447="Cash"</formula>
    </cfRule>
  </conditionalFormatting>
  <conditionalFormatting sqref="E448:F448">
    <cfRule type="expression" dxfId="5966" priority="2356">
      <formula>$Q448="Cash"</formula>
    </cfRule>
  </conditionalFormatting>
  <conditionalFormatting sqref="D446:D448">
    <cfRule type="expression" dxfId="5965" priority="2355">
      <formula>$Q446="Cash"</formula>
    </cfRule>
  </conditionalFormatting>
  <conditionalFormatting sqref="D448">
    <cfRule type="expression" dxfId="5964" priority="2354">
      <formula>$Q448="Cash"</formula>
    </cfRule>
  </conditionalFormatting>
  <conditionalFormatting sqref="R446">
    <cfRule type="expression" dxfId="5963" priority="2351">
      <formula>$Q446="Cash"</formula>
    </cfRule>
  </conditionalFormatting>
  <conditionalFormatting sqref="R446">
    <cfRule type="expression" dxfId="5962" priority="2350">
      <formula>$Q446="Cash"</formula>
    </cfRule>
  </conditionalFormatting>
  <conditionalFormatting sqref="A451:V451">
    <cfRule type="expression" dxfId="5961" priority="2343">
      <formula>$Q451="Cash"</formula>
    </cfRule>
  </conditionalFormatting>
  <conditionalFormatting sqref="D446:D448">
    <cfRule type="expression" dxfId="5960" priority="2338">
      <formula>$Q446="Cash"</formula>
    </cfRule>
  </conditionalFormatting>
  <conditionalFormatting sqref="D448">
    <cfRule type="expression" dxfId="5959" priority="2337">
      <formula>$Q448="Cash"</formula>
    </cfRule>
  </conditionalFormatting>
  <conditionalFormatting sqref="B447">
    <cfRule type="expression" dxfId="5958" priority="2328">
      <formula>$Q447="Cash"</formula>
    </cfRule>
  </conditionalFormatting>
  <conditionalFormatting sqref="B448">
    <cfRule type="expression" dxfId="5957" priority="2327">
      <formula>$Q448="Cash"</formula>
    </cfRule>
  </conditionalFormatting>
  <conditionalFormatting sqref="D446:D448">
    <cfRule type="expression" dxfId="5956" priority="2326">
      <formula>$Q446="Cash"</formula>
    </cfRule>
  </conditionalFormatting>
  <conditionalFormatting sqref="D446:D448">
    <cfRule type="expression" dxfId="5955" priority="2325">
      <formula>$Q446="Cash"</formula>
    </cfRule>
  </conditionalFormatting>
  <conditionalFormatting sqref="A452:V452 M453:M457 H453:K457 O453:R457 B453:F457 Q458">
    <cfRule type="expression" dxfId="5954" priority="2324">
      <formula>$Q452="Cash"</formula>
    </cfRule>
  </conditionalFormatting>
  <conditionalFormatting sqref="A452:V452 M453:M457 H453:K457 O453:R457 B453:F457 Q458">
    <cfRule type="expression" dxfId="5953" priority="2323">
      <formula>$Q452="Cash"</formula>
    </cfRule>
  </conditionalFormatting>
  <conditionalFormatting sqref="L453:L457">
    <cfRule type="expression" dxfId="5952" priority="2322">
      <formula>$Q453="Cash"</formula>
    </cfRule>
  </conditionalFormatting>
  <conditionalFormatting sqref="L453:L457">
    <cfRule type="expression" dxfId="5951" priority="2321">
      <formula>$Q453="Cash"</formula>
    </cfRule>
  </conditionalFormatting>
  <conditionalFormatting sqref="A455:V455">
    <cfRule type="expression" dxfId="5950" priority="2320">
      <formula>$Q455="Cash"</formula>
    </cfRule>
  </conditionalFormatting>
  <conditionalFormatting sqref="A456:V456 L457:M457">
    <cfRule type="expression" dxfId="5949" priority="2319">
      <formula>$Q456="Cash"</formula>
    </cfRule>
  </conditionalFormatting>
  <conditionalFormatting sqref="A456:V456 L457:M457">
    <cfRule type="expression" dxfId="5948" priority="2318">
      <formula>$Q456="Cash"</formula>
    </cfRule>
  </conditionalFormatting>
  <conditionalFormatting sqref="D447">
    <cfRule type="expression" dxfId="5947" priority="2315">
      <formula>$Q447="Cash"</formula>
    </cfRule>
  </conditionalFormatting>
  <conditionalFormatting sqref="D448">
    <cfRule type="expression" dxfId="5946" priority="2314">
      <formula>$Q448="Cash"</formula>
    </cfRule>
  </conditionalFormatting>
  <conditionalFormatting sqref="G461">
    <cfRule type="duplicateValues" dxfId="5945" priority="2300"/>
    <cfRule type="duplicateValues" dxfId="5944" priority="2301"/>
    <cfRule type="duplicateValues" dxfId="5943" priority="2302"/>
    <cfRule type="duplicateValues" dxfId="5942" priority="2303"/>
    <cfRule type="duplicateValues" dxfId="5941" priority="2304"/>
    <cfRule type="duplicateValues" dxfId="5940" priority="2305"/>
    <cfRule type="duplicateValues" dxfId="5939" priority="2306"/>
    <cfRule type="duplicateValues" dxfId="5938" priority="2307"/>
    <cfRule type="duplicateValues" dxfId="5937" priority="2308"/>
  </conditionalFormatting>
  <conditionalFormatting sqref="G462">
    <cfRule type="duplicateValues" dxfId="5936" priority="2291"/>
    <cfRule type="duplicateValues" dxfId="5935" priority="2292"/>
    <cfRule type="duplicateValues" dxfId="5934" priority="2293"/>
    <cfRule type="duplicateValues" dxfId="5933" priority="2294"/>
    <cfRule type="duplicateValues" dxfId="5932" priority="2295"/>
    <cfRule type="duplicateValues" dxfId="5931" priority="2296"/>
    <cfRule type="duplicateValues" dxfId="5930" priority="2297"/>
    <cfRule type="duplicateValues" dxfId="5929" priority="2298"/>
    <cfRule type="duplicateValues" dxfId="5928" priority="2299"/>
  </conditionalFormatting>
  <conditionalFormatting sqref="G463">
    <cfRule type="duplicateValues" dxfId="5927" priority="2284"/>
    <cfRule type="duplicateValues" dxfId="5926" priority="2285"/>
    <cfRule type="duplicateValues" dxfId="5925" priority="2286"/>
    <cfRule type="duplicateValues" dxfId="5924" priority="2287"/>
    <cfRule type="duplicateValues" dxfId="5923" priority="2288"/>
    <cfRule type="duplicateValues" dxfId="5922" priority="2289"/>
    <cfRule type="duplicateValues" dxfId="5921" priority="2290"/>
  </conditionalFormatting>
  <conditionalFormatting sqref="A477:C477 G477:P477 R477:U477">
    <cfRule type="expression" dxfId="5920" priority="2238">
      <formula>$Q477="Cash"</formula>
    </cfRule>
  </conditionalFormatting>
  <conditionalFormatting sqref="A477:C477 G477:P477 R477:U477">
    <cfRule type="expression" dxfId="5919" priority="2237">
      <formula>$Q477="Cash"</formula>
    </cfRule>
  </conditionalFormatting>
  <conditionalFormatting sqref="E477:F477">
    <cfRule type="expression" dxfId="5918" priority="2236">
      <formula>$Q477="Cash"</formula>
    </cfRule>
  </conditionalFormatting>
  <conditionalFormatting sqref="E477:F477">
    <cfRule type="expression" dxfId="5917" priority="2235">
      <formula>$Q477="Cash"</formula>
    </cfRule>
  </conditionalFormatting>
  <conditionalFormatting sqref="E477:F477">
    <cfRule type="expression" dxfId="5916" priority="2234">
      <formula>$Q477="Cash"</formula>
    </cfRule>
  </conditionalFormatting>
  <conditionalFormatting sqref="E477:F477">
    <cfRule type="expression" dxfId="5915" priority="2233">
      <formula>$Q477="Cash"</formula>
    </cfRule>
  </conditionalFormatting>
  <conditionalFormatting sqref="E477:F477">
    <cfRule type="expression" dxfId="5914" priority="2232">
      <formula>$Q477="Cash"</formula>
    </cfRule>
  </conditionalFormatting>
  <conditionalFormatting sqref="A478:C478 G478:N478 Q478:V478">
    <cfRule type="expression" dxfId="5913" priority="2231">
      <formula>$Q478="Cash"</formula>
    </cfRule>
  </conditionalFormatting>
  <conditionalFormatting sqref="A478:C478 G478:N478 Q478:V478">
    <cfRule type="expression" dxfId="5912" priority="2230">
      <formula>$Q478="Cash"</formula>
    </cfRule>
  </conditionalFormatting>
  <conditionalFormatting sqref="E478:F478">
    <cfRule type="expression" dxfId="5911" priority="2224">
      <formula>$Q478="Cash"</formula>
    </cfRule>
  </conditionalFormatting>
  <conditionalFormatting sqref="E478:F478">
    <cfRule type="expression" dxfId="5910" priority="2223">
      <formula>$Q478="Cash"</formula>
    </cfRule>
  </conditionalFormatting>
  <conditionalFormatting sqref="E478:F478">
    <cfRule type="expression" dxfId="5909" priority="2222">
      <formula>$Q478="Cash"</formula>
    </cfRule>
  </conditionalFormatting>
  <conditionalFormatting sqref="E478:F478">
    <cfRule type="expression" dxfId="5908" priority="2221">
      <formula>$Q478="Cash"</formula>
    </cfRule>
  </conditionalFormatting>
  <conditionalFormatting sqref="E478:F478">
    <cfRule type="expression" dxfId="5907" priority="2220">
      <formula>$Q478="Cash"</formula>
    </cfRule>
  </conditionalFormatting>
  <conditionalFormatting sqref="A479:C479 G479:P479 R479:V479">
    <cfRule type="expression" dxfId="5906" priority="2219">
      <formula>$Q479="Cash"</formula>
    </cfRule>
  </conditionalFormatting>
  <conditionalFormatting sqref="A479:C479 G479:P479 R479:V479">
    <cfRule type="expression" dxfId="5905" priority="2218">
      <formula>$Q479="Cash"</formula>
    </cfRule>
  </conditionalFormatting>
  <conditionalFormatting sqref="E479:F479">
    <cfRule type="expression" dxfId="5904" priority="2217">
      <formula>$Q479="Cash"</formula>
    </cfRule>
  </conditionalFormatting>
  <conditionalFormatting sqref="E479:F479">
    <cfRule type="expression" dxfId="5903" priority="2216">
      <formula>$Q479="Cash"</formula>
    </cfRule>
  </conditionalFormatting>
  <conditionalFormatting sqref="E479:F479">
    <cfRule type="expression" dxfId="5902" priority="2215">
      <formula>$Q479="Cash"</formula>
    </cfRule>
  </conditionalFormatting>
  <conditionalFormatting sqref="E479:F479">
    <cfRule type="expression" dxfId="5901" priority="2214">
      <formula>$Q479="Cash"</formula>
    </cfRule>
  </conditionalFormatting>
  <conditionalFormatting sqref="E479:F479">
    <cfRule type="expression" dxfId="5900" priority="2213">
      <formula>$Q479="Cash"</formula>
    </cfRule>
  </conditionalFormatting>
  <conditionalFormatting sqref="A480:C480 G480 K480:P480 X480 M481:Q481 S481:V481 I480 R480:V480">
    <cfRule type="expression" dxfId="5899" priority="2212">
      <formula>$Q480="Cash"</formula>
    </cfRule>
  </conditionalFormatting>
  <conditionalFormatting sqref="A480:C480 G480 K480:P480 X480 M481:Q481 S481:V481 I480 R480:V480">
    <cfRule type="expression" dxfId="5898" priority="2211">
      <formula>$Q480="Cash"</formula>
    </cfRule>
  </conditionalFormatting>
  <conditionalFormatting sqref="J480">
    <cfRule type="expression" dxfId="5897" priority="2205">
      <formula>$Q480="Cash"</formula>
    </cfRule>
  </conditionalFormatting>
  <conditionalFormatting sqref="E480:F480">
    <cfRule type="expression" dxfId="5896" priority="2197">
      <formula>$Q480="Cash"</formula>
    </cfRule>
  </conditionalFormatting>
  <conditionalFormatting sqref="E480:F480">
    <cfRule type="expression" dxfId="5895" priority="2196">
      <formula>$Q480="Cash"</formula>
    </cfRule>
  </conditionalFormatting>
  <conditionalFormatting sqref="E480:F480">
    <cfRule type="expression" dxfId="5894" priority="2195">
      <formula>$Q480="Cash"</formula>
    </cfRule>
  </conditionalFormatting>
  <conditionalFormatting sqref="E480:F480">
    <cfRule type="expression" dxfId="5893" priority="2194">
      <formula>$Q480="Cash"</formula>
    </cfRule>
  </conditionalFormatting>
  <conditionalFormatting sqref="E480:F480">
    <cfRule type="expression" dxfId="5892" priority="2193">
      <formula>$Q480="Cash"</formula>
    </cfRule>
  </conditionalFormatting>
  <conditionalFormatting sqref="Y480">
    <cfRule type="expression" dxfId="5891" priority="2192">
      <formula>$Q480="Cash"</formula>
    </cfRule>
  </conditionalFormatting>
  <conditionalFormatting sqref="Y480">
    <cfRule type="expression" dxfId="5890" priority="2191">
      <formula>$Q480="Cash"</formula>
    </cfRule>
  </conditionalFormatting>
  <conditionalFormatting sqref="Y483">
    <cfRule type="expression" dxfId="5889" priority="2182">
      <formula>$Q483="Cash"</formula>
    </cfRule>
  </conditionalFormatting>
  <conditionalFormatting sqref="Y483">
    <cfRule type="expression" dxfId="5888" priority="2181">
      <formula>$Q483="Cash"</formula>
    </cfRule>
  </conditionalFormatting>
  <conditionalFormatting sqref="Y483">
    <cfRule type="expression" dxfId="5887" priority="2180">
      <formula>$Q483="Cash"</formula>
    </cfRule>
  </conditionalFormatting>
  <conditionalFormatting sqref="Y483">
    <cfRule type="expression" dxfId="5886" priority="2179">
      <formula>$Q483="Cash"</formula>
    </cfRule>
  </conditionalFormatting>
  <conditionalFormatting sqref="Y487">
    <cfRule type="expression" dxfId="5885" priority="2178">
      <formula>$Q487="Cash"</formula>
    </cfRule>
  </conditionalFormatting>
  <conditionalFormatting sqref="Y487">
    <cfRule type="expression" dxfId="5884" priority="2177">
      <formula>$Q487="Cash"</formula>
    </cfRule>
  </conditionalFormatting>
  <conditionalFormatting sqref="Y487">
    <cfRule type="expression" dxfId="5883" priority="2176">
      <formula>$Q487="Cash"</formula>
    </cfRule>
  </conditionalFormatting>
  <conditionalFormatting sqref="Y487">
    <cfRule type="expression" dxfId="5882" priority="2175">
      <formula>$Q487="Cash"</formula>
    </cfRule>
  </conditionalFormatting>
  <conditionalFormatting sqref="F480">
    <cfRule type="expression" dxfId="5881" priority="2166">
      <formula>$Q480="Cash"</formula>
    </cfRule>
  </conditionalFormatting>
  <conditionalFormatting sqref="F480">
    <cfRule type="expression" dxfId="5880" priority="2165">
      <formula>$Q480="Cash"</formula>
    </cfRule>
  </conditionalFormatting>
  <conditionalFormatting sqref="F480">
    <cfRule type="expression" dxfId="5879" priority="2164">
      <formula>$Q480="Cash"</formula>
    </cfRule>
  </conditionalFormatting>
  <conditionalFormatting sqref="F480">
    <cfRule type="expression" dxfId="5878" priority="2163">
      <formula>$Q480="Cash"</formula>
    </cfRule>
  </conditionalFormatting>
  <conditionalFormatting sqref="F480">
    <cfRule type="expression" dxfId="5877" priority="2162">
      <formula>$Q480="Cash"</formula>
    </cfRule>
  </conditionalFormatting>
  <conditionalFormatting sqref="D479:D480 D477">
    <cfRule type="expression" dxfId="5876" priority="2161">
      <formula>$Q477="Cash"</formula>
    </cfRule>
  </conditionalFormatting>
  <conditionalFormatting sqref="A490:V490">
    <cfRule type="expression" dxfId="5875" priority="2160">
      <formula>$Q490="Cash"</formula>
    </cfRule>
  </conditionalFormatting>
  <conditionalFormatting sqref="R405">
    <cfRule type="expression" dxfId="5874" priority="2159">
      <formula>$Q405="Cash"</formula>
    </cfRule>
  </conditionalFormatting>
  <conditionalFormatting sqref="R405">
    <cfRule type="expression" dxfId="5873" priority="2158">
      <formula>$Q405="Cash"</formula>
    </cfRule>
  </conditionalFormatting>
  <conditionalFormatting sqref="R405">
    <cfRule type="expression" dxfId="5872" priority="2157">
      <formula>$Q405="Cash"</formula>
    </cfRule>
  </conditionalFormatting>
  <conditionalFormatting sqref="R405">
    <cfRule type="expression" dxfId="5871" priority="2156">
      <formula>$Q405="Cash"</formula>
    </cfRule>
  </conditionalFormatting>
  <conditionalFormatting sqref="R383">
    <cfRule type="expression" dxfId="5870" priority="2155">
      <formula>$Q383="Cash"</formula>
    </cfRule>
  </conditionalFormatting>
  <conditionalFormatting sqref="R383">
    <cfRule type="expression" dxfId="5869" priority="2154">
      <formula>$Q383="Cash"</formula>
    </cfRule>
  </conditionalFormatting>
  <conditionalFormatting sqref="R383">
    <cfRule type="expression" dxfId="5868" priority="2153">
      <formula>$Q383="Cash"</formula>
    </cfRule>
  </conditionalFormatting>
  <conditionalFormatting sqref="R383">
    <cfRule type="expression" dxfId="5867" priority="2152">
      <formula>$Q383="Cash"</formula>
    </cfRule>
  </conditionalFormatting>
  <conditionalFormatting sqref="R408">
    <cfRule type="expression" dxfId="5866" priority="2151">
      <formula>$Q408="Cash"</formula>
    </cfRule>
  </conditionalFormatting>
  <conditionalFormatting sqref="R408">
    <cfRule type="expression" dxfId="5865" priority="2150">
      <formula>$Q408="Cash"</formula>
    </cfRule>
  </conditionalFormatting>
  <conditionalFormatting sqref="R408">
    <cfRule type="expression" dxfId="5864" priority="2149">
      <formula>$Q408="Cash"</formula>
    </cfRule>
  </conditionalFormatting>
  <conditionalFormatting sqref="R408">
    <cfRule type="expression" dxfId="5863" priority="2148">
      <formula>$Q408="Cash"</formula>
    </cfRule>
  </conditionalFormatting>
  <conditionalFormatting sqref="A491:U491">
    <cfRule type="expression" dxfId="5862" priority="2142">
      <formula>$Q491="Cash"</formula>
    </cfRule>
  </conditionalFormatting>
  <conditionalFormatting sqref="Y2:Z2">
    <cfRule type="expression" dxfId="5861" priority="2392">
      <formula>#REF!="Cancelled"</formula>
    </cfRule>
    <cfRule type="expression" dxfId="5860" priority="2393">
      <formula>AND($S1="Cash",#REF!="Cancelled")</formula>
    </cfRule>
  </conditionalFormatting>
  <conditionalFormatting sqref="E489:F489 E492:F492">
    <cfRule type="expression" dxfId="5859" priority="2117">
      <formula>$Q489="Cash"</formula>
    </cfRule>
  </conditionalFormatting>
  <conditionalFormatting sqref="E489:F489 E492:F492">
    <cfRule type="expression" dxfId="5858" priority="2116">
      <formula>$Q489="Cash"</formula>
    </cfRule>
  </conditionalFormatting>
  <conditionalFormatting sqref="E489:F489 E492:F492">
    <cfRule type="expression" dxfId="5857" priority="2115">
      <formula>$Q489="Cash"</formula>
    </cfRule>
  </conditionalFormatting>
  <conditionalFormatting sqref="E489:F489 E492:F492">
    <cfRule type="expression" dxfId="5856" priority="2114">
      <formula>$Q489="Cash"</formula>
    </cfRule>
  </conditionalFormatting>
  <conditionalFormatting sqref="E489:F489 E492:F492">
    <cfRule type="expression" dxfId="5855" priority="2113">
      <formula>$Q489="Cash"</formula>
    </cfRule>
  </conditionalFormatting>
  <conditionalFormatting sqref="E489 E492">
    <cfRule type="expression" dxfId="5854" priority="2112">
      <formula>$Q489="Cash"</formula>
    </cfRule>
  </conditionalFormatting>
  <conditionalFormatting sqref="F489 F492">
    <cfRule type="expression" dxfId="5853" priority="2111">
      <formula>$Q489="Cash"</formula>
    </cfRule>
  </conditionalFormatting>
  <conditionalFormatting sqref="Y489">
    <cfRule type="expression" dxfId="5852" priority="2090">
      <formula>$Q489="Cash"</formula>
    </cfRule>
  </conditionalFormatting>
  <conditionalFormatting sqref="Y489">
    <cfRule type="expression" dxfId="5851" priority="2089">
      <formula>$Q489="Cash"</formula>
    </cfRule>
  </conditionalFormatting>
  <conditionalFormatting sqref="Y3">
    <cfRule type="expression" dxfId="5850" priority="2048">
      <formula>#REF!="Cancelled"</formula>
    </cfRule>
    <cfRule type="expression" dxfId="5849" priority="2049">
      <formula>AND($S3="Cash",#REF!="Cancelled")</formula>
    </cfRule>
  </conditionalFormatting>
  <conditionalFormatting sqref="F489">
    <cfRule type="expression" dxfId="5848" priority="2026">
      <formula>$Q489="Cash"</formula>
    </cfRule>
  </conditionalFormatting>
  <conditionalFormatting sqref="V491">
    <cfRule type="expression" dxfId="5847" priority="2005">
      <formula>$Q491="Cash"</formula>
    </cfRule>
  </conditionalFormatting>
  <conditionalFormatting sqref="H480">
    <cfRule type="expression" dxfId="5846" priority="1777">
      <formula>$Q480="Cash"</formula>
    </cfRule>
  </conditionalFormatting>
  <conditionalFormatting sqref="R467:R475 R408">
    <cfRule type="expression" dxfId="5845" priority="1731">
      <formula>$Q408="Cash"</formula>
    </cfRule>
  </conditionalFormatting>
  <conditionalFormatting sqref="R467:R475 R408">
    <cfRule type="expression" dxfId="5844" priority="1730">
      <formula>$Q408="Cash"</formula>
    </cfRule>
  </conditionalFormatting>
  <conditionalFormatting sqref="R467:R475 R408">
    <cfRule type="expression" dxfId="5843" priority="1729">
      <formula>$Q408="Cash"</formula>
    </cfRule>
  </conditionalFormatting>
  <conditionalFormatting sqref="R467:R475 R408">
    <cfRule type="expression" dxfId="5842" priority="1728">
      <formula>$Q408="Cash"</formula>
    </cfRule>
  </conditionalFormatting>
  <conditionalFormatting sqref="D733">
    <cfRule type="expression" dxfId="5841" priority="1609">
      <formula>$Q733="Cash"</formula>
    </cfRule>
  </conditionalFormatting>
  <conditionalFormatting sqref="W733">
    <cfRule type="expression" dxfId="5840" priority="1608">
      <formula>$Q733="Cash"</formula>
    </cfRule>
  </conditionalFormatting>
  <conditionalFormatting sqref="F458:F464 F449 F295">
    <cfRule type="expression" dxfId="5839" priority="1556">
      <formula>$Q295="Cash"</formula>
    </cfRule>
  </conditionalFormatting>
  <conditionalFormatting sqref="F458:F464 F449 F295">
    <cfRule type="expression" dxfId="5838" priority="1555">
      <formula>$Q295="Cash"</formula>
    </cfRule>
  </conditionalFormatting>
  <conditionalFormatting sqref="F458:F464 F449 F295">
    <cfRule type="expression" dxfId="5837" priority="1554">
      <formula>$Q295="Cash"</formula>
    </cfRule>
  </conditionalFormatting>
  <conditionalFormatting sqref="F458:F464 F449 F295">
    <cfRule type="expression" dxfId="5836" priority="1553">
      <formula>$Q295="Cash"</formula>
    </cfRule>
  </conditionalFormatting>
  <conditionalFormatting sqref="F458:F464 F449 F295">
    <cfRule type="expression" dxfId="5835" priority="1552">
      <formula>$Q295="Cash"</formula>
    </cfRule>
  </conditionalFormatting>
  <conditionalFormatting sqref="F458:F464 F449 F295">
    <cfRule type="expression" dxfId="5834" priority="1550">
      <formula>$Q295="Cash"</formula>
    </cfRule>
  </conditionalFormatting>
  <conditionalFormatting sqref="F458:F464 F449 F295">
    <cfRule type="expression" dxfId="5833" priority="1549">
      <formula>$Q295="Cash"</formula>
    </cfRule>
  </conditionalFormatting>
  <conditionalFormatting sqref="F458:F464 F449 F295">
    <cfRule type="expression" dxfId="5832" priority="1548">
      <formula>$Q295="Cash"</formula>
    </cfRule>
  </conditionalFormatting>
  <conditionalFormatting sqref="F458:F464 F449 F295">
    <cfRule type="expression" dxfId="5831" priority="1547">
      <formula>$Q295="Cash"</formula>
    </cfRule>
  </conditionalFormatting>
  <conditionalFormatting sqref="F458:F464 F449 F295">
    <cfRule type="expression" dxfId="5830" priority="1546">
      <formula>$Q295="Cash"</formula>
    </cfRule>
  </conditionalFormatting>
  <conditionalFormatting sqref="F458:F464 F449 F295">
    <cfRule type="expression" dxfId="5829" priority="1545">
      <formula>$Q295="Cash"</formula>
    </cfRule>
  </conditionalFormatting>
  <conditionalFormatting sqref="F458:F464 F449 F295">
    <cfRule type="expression" dxfId="5828" priority="1544">
      <formula>$Q295="Cash"</formula>
    </cfRule>
  </conditionalFormatting>
  <conditionalFormatting sqref="F458:F464 F449 F295">
    <cfRule type="expression" dxfId="5827" priority="1543">
      <formula>$Q295="Cash"</formula>
    </cfRule>
  </conditionalFormatting>
  <conditionalFormatting sqref="F458:F464 F449 F295">
    <cfRule type="expression" dxfId="5826" priority="1542">
      <formula>$Q295="Cash"</formula>
    </cfRule>
  </conditionalFormatting>
  <conditionalFormatting sqref="F458:F464 F449 F295">
    <cfRule type="expression" dxfId="5825" priority="1541">
      <formula>$Q295="Cash"</formula>
    </cfRule>
  </conditionalFormatting>
  <conditionalFormatting sqref="Q479:Q480">
    <cfRule type="expression" dxfId="5824" priority="1540">
      <formula>$Q479="Cash"</formula>
    </cfRule>
  </conditionalFormatting>
  <conditionalFormatting sqref="D482:D484">
    <cfRule type="expression" dxfId="5823" priority="1536">
      <formula>$Q482="Cash"</formula>
    </cfRule>
  </conditionalFormatting>
  <conditionalFormatting sqref="M735:M744 Q735:Q744">
    <cfRule type="expression" dxfId="5822" priority="1495">
      <formula>$Q735="Cash"</formula>
    </cfRule>
  </conditionalFormatting>
  <conditionalFormatting sqref="G735:G744">
    <cfRule type="expression" dxfId="5821" priority="1494">
      <formula>#REF!="Cash"</formula>
    </cfRule>
  </conditionalFormatting>
  <conditionalFormatting sqref="H735:H744">
    <cfRule type="expression" dxfId="5820" priority="1493">
      <formula>$Q735="Cash"</formula>
    </cfRule>
  </conditionalFormatting>
  <conditionalFormatting sqref="M745:M752 Q745:Q752">
    <cfRule type="expression" dxfId="5819" priority="1490">
      <formula>$Q745="Cash"</formula>
    </cfRule>
  </conditionalFormatting>
  <conditionalFormatting sqref="G745:G752">
    <cfRule type="expression" dxfId="5818" priority="1489">
      <formula>#REF!="Cash"</formula>
    </cfRule>
  </conditionalFormatting>
  <conditionalFormatting sqref="H745:H752">
    <cfRule type="expression" dxfId="5817" priority="1488">
      <formula>$Q745="Cash"</formula>
    </cfRule>
  </conditionalFormatting>
  <conditionalFormatting sqref="A753:C753 E753:V753">
    <cfRule type="expression" dxfId="5816" priority="1487">
      <formula>$Q753="Cash"</formula>
    </cfRule>
  </conditionalFormatting>
  <conditionalFormatting sqref="W340">
    <cfRule type="expression" dxfId="5815" priority="1484">
      <formula>$Q340="Cash"</formula>
    </cfRule>
  </conditionalFormatting>
  <conditionalFormatting sqref="W327">
    <cfRule type="expression" dxfId="5814" priority="1483">
      <formula>$Q327="Cash"</formula>
    </cfRule>
  </conditionalFormatting>
  <conditionalFormatting sqref="W139">
    <cfRule type="expression" dxfId="5813" priority="1481">
      <formula>$Q139="Cash"</formula>
    </cfRule>
  </conditionalFormatting>
  <conditionalFormatting sqref="W110">
    <cfRule type="expression" dxfId="5812" priority="1480">
      <formula>$Q110="Cash"</formula>
    </cfRule>
  </conditionalFormatting>
  <conditionalFormatting sqref="W491">
    <cfRule type="expression" dxfId="5811" priority="1470">
      <formula>$Q491="Cash"</formula>
    </cfRule>
  </conditionalFormatting>
  <conditionalFormatting sqref="A756:K756">
    <cfRule type="expression" dxfId="5810" priority="1426">
      <formula>$Q756="Cash"</formula>
    </cfRule>
  </conditionalFormatting>
  <conditionalFormatting sqref="R755:R756">
    <cfRule type="expression" dxfId="5809" priority="1425">
      <formula>$Q755="Cash"</formula>
    </cfRule>
  </conditionalFormatting>
  <conditionalFormatting sqref="R755:R756">
    <cfRule type="expression" dxfId="5808" priority="1424">
      <formula>$Q755="Cash"</formula>
    </cfRule>
  </conditionalFormatting>
  <conditionalFormatting sqref="R755:R756">
    <cfRule type="expression" dxfId="5807" priority="1423">
      <formula>$Q755="Cash"</formula>
    </cfRule>
  </conditionalFormatting>
  <conditionalFormatting sqref="R755:R756">
    <cfRule type="expression" dxfId="5806" priority="1422">
      <formula>$Q755="Cash"</formula>
    </cfRule>
  </conditionalFormatting>
  <conditionalFormatting sqref="F755:F756">
    <cfRule type="expression" dxfId="5805" priority="1421">
      <formula>$Q755="Cash"</formula>
    </cfRule>
  </conditionalFormatting>
  <conditionalFormatting sqref="F755:F756">
    <cfRule type="expression" dxfId="5804" priority="1420">
      <formula>$Q755="Cash"</formula>
    </cfRule>
  </conditionalFormatting>
  <conditionalFormatting sqref="F755:F756">
    <cfRule type="expression" dxfId="5803" priority="1419">
      <formula>$Q755="Cash"</formula>
    </cfRule>
  </conditionalFormatting>
  <conditionalFormatting sqref="F755:F756">
    <cfRule type="expression" dxfId="5802" priority="1418">
      <formula>$Q755="Cash"</formula>
    </cfRule>
  </conditionalFormatting>
  <conditionalFormatting sqref="F755:F756">
    <cfRule type="expression" dxfId="5801" priority="1417">
      <formula>$Q755="Cash"</formula>
    </cfRule>
  </conditionalFormatting>
  <conditionalFormatting sqref="F755:F756">
    <cfRule type="expression" dxfId="5800" priority="1416">
      <formula>$Q755="Cash"</formula>
    </cfRule>
  </conditionalFormatting>
  <conditionalFormatting sqref="F755:F756">
    <cfRule type="expression" dxfId="5799" priority="1415">
      <formula>$Q755="Cash"</formula>
    </cfRule>
  </conditionalFormatting>
  <conditionalFormatting sqref="F755:F756">
    <cfRule type="expression" dxfId="5798" priority="1414">
      <formula>$Q755="Cash"</formula>
    </cfRule>
  </conditionalFormatting>
  <conditionalFormatting sqref="F755:F756">
    <cfRule type="expression" dxfId="5797" priority="1413">
      <formula>$Q755="Cash"</formula>
    </cfRule>
  </conditionalFormatting>
  <conditionalFormatting sqref="F755:F756">
    <cfRule type="expression" dxfId="5796" priority="1412">
      <formula>$Q755="Cash"</formula>
    </cfRule>
  </conditionalFormatting>
  <conditionalFormatting sqref="F755:F756">
    <cfRule type="expression" dxfId="5795" priority="1411">
      <formula>$Q755="Cash"</formula>
    </cfRule>
  </conditionalFormatting>
  <conditionalFormatting sqref="F755:F756">
    <cfRule type="expression" dxfId="5794" priority="1410">
      <formula>$Q755="Cash"</formula>
    </cfRule>
  </conditionalFormatting>
  <conditionalFormatting sqref="F755:F756">
    <cfRule type="expression" dxfId="5793" priority="1409">
      <formula>$Q755="Cash"</formula>
    </cfRule>
  </conditionalFormatting>
  <conditionalFormatting sqref="F755:F756">
    <cfRule type="expression" dxfId="5792" priority="1408">
      <formula>$Q755="Cash"</formula>
    </cfRule>
  </conditionalFormatting>
  <conditionalFormatting sqref="F755:F756">
    <cfRule type="expression" dxfId="5791" priority="1407">
      <formula>$Q755="Cash"</formula>
    </cfRule>
  </conditionalFormatting>
  <conditionalFormatting sqref="B757:V757">
    <cfRule type="expression" dxfId="5790" priority="1401">
      <formula>$Q757="Cash"</formula>
    </cfRule>
  </conditionalFormatting>
  <conditionalFormatting sqref="R757:R758">
    <cfRule type="expression" dxfId="5789" priority="1400">
      <formula>$Q757="Cash"</formula>
    </cfRule>
  </conditionalFormatting>
  <conditionalFormatting sqref="R757:R758">
    <cfRule type="expression" dxfId="5788" priority="1399">
      <formula>$Q757="Cash"</formula>
    </cfRule>
  </conditionalFormatting>
  <conditionalFormatting sqref="R757:R758">
    <cfRule type="expression" dxfId="5787" priority="1398">
      <formula>$Q757="Cash"</formula>
    </cfRule>
  </conditionalFormatting>
  <conditionalFormatting sqref="R757:R758">
    <cfRule type="expression" dxfId="5786" priority="1397">
      <formula>$Q757="Cash"</formula>
    </cfRule>
  </conditionalFormatting>
  <conditionalFormatting sqref="F757:F758">
    <cfRule type="expression" dxfId="5785" priority="1396">
      <formula>$Q757="Cash"</formula>
    </cfRule>
  </conditionalFormatting>
  <conditionalFormatting sqref="F757:F758">
    <cfRule type="expression" dxfId="5784" priority="1395">
      <formula>$Q757="Cash"</formula>
    </cfRule>
  </conditionalFormatting>
  <conditionalFormatting sqref="F757:F758">
    <cfRule type="expression" dxfId="5783" priority="1394">
      <formula>$Q757="Cash"</formula>
    </cfRule>
  </conditionalFormatting>
  <conditionalFormatting sqref="F757:F758">
    <cfRule type="expression" dxfId="5782" priority="1393">
      <formula>$Q757="Cash"</formula>
    </cfRule>
  </conditionalFormatting>
  <conditionalFormatting sqref="F757:F758">
    <cfRule type="expression" dxfId="5781" priority="1392">
      <formula>$Q757="Cash"</formula>
    </cfRule>
  </conditionalFormatting>
  <conditionalFormatting sqref="F757:F758">
    <cfRule type="expression" dxfId="5780" priority="1391">
      <formula>$Q757="Cash"</formula>
    </cfRule>
  </conditionalFormatting>
  <conditionalFormatting sqref="F757:F758">
    <cfRule type="expression" dxfId="5779" priority="1390">
      <formula>$Q757="Cash"</formula>
    </cfRule>
  </conditionalFormatting>
  <conditionalFormatting sqref="F757:F758">
    <cfRule type="expression" dxfId="5778" priority="1389">
      <formula>$Q757="Cash"</formula>
    </cfRule>
  </conditionalFormatting>
  <conditionalFormatting sqref="F757:F758">
    <cfRule type="expression" dxfId="5777" priority="1388">
      <formula>$Q757="Cash"</formula>
    </cfRule>
  </conditionalFormatting>
  <conditionalFormatting sqref="F757:F758">
    <cfRule type="expression" dxfId="5776" priority="1387">
      <formula>$Q757="Cash"</formula>
    </cfRule>
  </conditionalFormatting>
  <conditionalFormatting sqref="F757:F758">
    <cfRule type="expression" dxfId="5775" priority="1386">
      <formula>$Q757="Cash"</formula>
    </cfRule>
  </conditionalFormatting>
  <conditionalFormatting sqref="F757:F758">
    <cfRule type="expression" dxfId="5774" priority="1385">
      <formula>$Q757="Cash"</formula>
    </cfRule>
  </conditionalFormatting>
  <conditionalFormatting sqref="F757:F758">
    <cfRule type="expression" dxfId="5773" priority="1384">
      <formula>$Q757="Cash"</formula>
    </cfRule>
  </conditionalFormatting>
  <conditionalFormatting sqref="F757:F758">
    <cfRule type="expression" dxfId="5772" priority="1383">
      <formula>$Q757="Cash"</formula>
    </cfRule>
  </conditionalFormatting>
  <conditionalFormatting sqref="F757:F758">
    <cfRule type="expression" dxfId="5771" priority="1382">
      <formula>$Q757="Cash"</formula>
    </cfRule>
  </conditionalFormatting>
  <conditionalFormatting sqref="A758:D758 G758:V758">
    <cfRule type="expression" dxfId="5770" priority="1381">
      <formula>$Q758="Cash"</formula>
    </cfRule>
  </conditionalFormatting>
  <conditionalFormatting sqref="E758:F758">
    <cfRule type="expression" dxfId="5769" priority="1379">
      <formula>$Q758="Cash"</formula>
    </cfRule>
  </conditionalFormatting>
  <conditionalFormatting sqref="A759:B759 I759 K759:N759 D759:G759">
    <cfRule type="expression" dxfId="5768" priority="1321">
      <formula>$Q759="Cash"</formula>
    </cfRule>
  </conditionalFormatting>
  <conditionalFormatting sqref="A760:B760 D760 G760:Q760">
    <cfRule type="expression" dxfId="5767" priority="1296">
      <formula>$Q760="Cash"</formula>
    </cfRule>
  </conditionalFormatting>
  <conditionalFormatting sqref="C760">
    <cfRule type="expression" dxfId="5766" priority="1276">
      <formula>$Q760="Cash"</formula>
    </cfRule>
  </conditionalFormatting>
  <conditionalFormatting sqref="Q761:V761 I761 E761:G761 K761:N761">
    <cfRule type="expression" dxfId="5765" priority="1269">
      <formula>$Q761="Cash"</formula>
    </cfRule>
  </conditionalFormatting>
  <conditionalFormatting sqref="R761:R763">
    <cfRule type="expression" dxfId="5764" priority="1268">
      <formula>$Q761="Cash"</formula>
    </cfRule>
  </conditionalFormatting>
  <conditionalFormatting sqref="R761:R763">
    <cfRule type="expression" dxfId="5763" priority="1267">
      <formula>$Q761="Cash"</formula>
    </cfRule>
  </conditionalFormatting>
  <conditionalFormatting sqref="R761:R763">
    <cfRule type="expression" dxfId="5762" priority="1266">
      <formula>$Q761="Cash"</formula>
    </cfRule>
  </conditionalFormatting>
  <conditionalFormatting sqref="R761:R763">
    <cfRule type="expression" dxfId="5761" priority="1265">
      <formula>$Q761="Cash"</formula>
    </cfRule>
  </conditionalFormatting>
  <conditionalFormatting sqref="F761">
    <cfRule type="expression" dxfId="5760" priority="1264">
      <formula>$Q761="Cash"</formula>
    </cfRule>
  </conditionalFormatting>
  <conditionalFormatting sqref="F761">
    <cfRule type="expression" dxfId="5759" priority="1263">
      <formula>$Q761="Cash"</formula>
    </cfRule>
  </conditionalFormatting>
  <conditionalFormatting sqref="F761">
    <cfRule type="expression" dxfId="5758" priority="1262">
      <formula>$Q761="Cash"</formula>
    </cfRule>
  </conditionalFormatting>
  <conditionalFormatting sqref="F761">
    <cfRule type="expression" dxfId="5757" priority="1261">
      <formula>$Q761="Cash"</formula>
    </cfRule>
  </conditionalFormatting>
  <conditionalFormatting sqref="F761">
    <cfRule type="expression" dxfId="5756" priority="1260">
      <formula>$Q761="Cash"</formula>
    </cfRule>
  </conditionalFormatting>
  <conditionalFormatting sqref="F761">
    <cfRule type="expression" dxfId="5755" priority="1259">
      <formula>$Q761="Cash"</formula>
    </cfRule>
  </conditionalFormatting>
  <conditionalFormatting sqref="F761">
    <cfRule type="expression" dxfId="5754" priority="1258">
      <formula>$Q761="Cash"</formula>
    </cfRule>
  </conditionalFormatting>
  <conditionalFormatting sqref="F761">
    <cfRule type="expression" dxfId="5753" priority="1257">
      <formula>$Q761="Cash"</formula>
    </cfRule>
  </conditionalFormatting>
  <conditionalFormatting sqref="F761">
    <cfRule type="expression" dxfId="5752" priority="1256">
      <formula>$Q761="Cash"</formula>
    </cfRule>
  </conditionalFormatting>
  <conditionalFormatting sqref="F761">
    <cfRule type="expression" dxfId="5751" priority="1255">
      <formula>$Q761="Cash"</formula>
    </cfRule>
  </conditionalFormatting>
  <conditionalFormatting sqref="F761">
    <cfRule type="expression" dxfId="5750" priority="1254">
      <formula>$Q761="Cash"</formula>
    </cfRule>
  </conditionalFormatting>
  <conditionalFormatting sqref="F761">
    <cfRule type="expression" dxfId="5749" priority="1253">
      <formula>$Q761="Cash"</formula>
    </cfRule>
  </conditionalFormatting>
  <conditionalFormatting sqref="F761">
    <cfRule type="expression" dxfId="5748" priority="1252">
      <formula>$Q761="Cash"</formula>
    </cfRule>
  </conditionalFormatting>
  <conditionalFormatting sqref="F761">
    <cfRule type="expression" dxfId="5747" priority="1251">
      <formula>$Q761="Cash"</formula>
    </cfRule>
  </conditionalFormatting>
  <conditionalFormatting sqref="F761">
    <cfRule type="expression" dxfId="5746" priority="1250">
      <formula>$Q761="Cash"</formula>
    </cfRule>
  </conditionalFormatting>
  <conditionalFormatting sqref="H761">
    <cfRule type="expression" dxfId="5745" priority="1249">
      <formula>$Q761="Cash"</formula>
    </cfRule>
  </conditionalFormatting>
  <conditionalFormatting sqref="Q762 I762 S762:V762 E762:G762 A761:A762 K762:N762">
    <cfRule type="expression" dxfId="5744" priority="1248">
      <formula>$Q761="Cash"</formula>
    </cfRule>
  </conditionalFormatting>
  <conditionalFormatting sqref="F762">
    <cfRule type="expression" dxfId="5743" priority="1243">
      <formula>$Q762="Cash"</formula>
    </cfRule>
  </conditionalFormatting>
  <conditionalFormatting sqref="F762">
    <cfRule type="expression" dxfId="5742" priority="1242">
      <formula>$Q762="Cash"</formula>
    </cfRule>
  </conditionalFormatting>
  <conditionalFormatting sqref="F762">
    <cfRule type="expression" dxfId="5741" priority="1241">
      <formula>$Q762="Cash"</formula>
    </cfRule>
  </conditionalFormatting>
  <conditionalFormatting sqref="F762">
    <cfRule type="expression" dxfId="5740" priority="1240">
      <formula>$Q762="Cash"</formula>
    </cfRule>
  </conditionalFormatting>
  <conditionalFormatting sqref="F762">
    <cfRule type="expression" dxfId="5739" priority="1239">
      <formula>$Q762="Cash"</formula>
    </cfRule>
  </conditionalFormatting>
  <conditionalFormatting sqref="F762">
    <cfRule type="expression" dxfId="5738" priority="1238">
      <formula>$Q762="Cash"</formula>
    </cfRule>
  </conditionalFormatting>
  <conditionalFormatting sqref="F762">
    <cfRule type="expression" dxfId="5737" priority="1237">
      <formula>$Q762="Cash"</formula>
    </cfRule>
  </conditionalFormatting>
  <conditionalFormatting sqref="F762">
    <cfRule type="expression" dxfId="5736" priority="1236">
      <formula>$Q762="Cash"</formula>
    </cfRule>
  </conditionalFormatting>
  <conditionalFormatting sqref="F762">
    <cfRule type="expression" dxfId="5735" priority="1235">
      <formula>$Q762="Cash"</formula>
    </cfRule>
  </conditionalFormatting>
  <conditionalFormatting sqref="F762">
    <cfRule type="expression" dxfId="5734" priority="1234">
      <formula>$Q762="Cash"</formula>
    </cfRule>
  </conditionalFormatting>
  <conditionalFormatting sqref="F762">
    <cfRule type="expression" dxfId="5733" priority="1233">
      <formula>$Q762="Cash"</formula>
    </cfRule>
  </conditionalFormatting>
  <conditionalFormatting sqref="F762">
    <cfRule type="expression" dxfId="5732" priority="1232">
      <formula>$Q762="Cash"</formula>
    </cfRule>
  </conditionalFormatting>
  <conditionalFormatting sqref="F762">
    <cfRule type="expression" dxfId="5731" priority="1231">
      <formula>$Q762="Cash"</formula>
    </cfRule>
  </conditionalFormatting>
  <conditionalFormatting sqref="F762">
    <cfRule type="expression" dxfId="5730" priority="1230">
      <formula>$Q762="Cash"</formula>
    </cfRule>
  </conditionalFormatting>
  <conditionalFormatting sqref="F762">
    <cfRule type="expression" dxfId="5729" priority="1229">
      <formula>$Q762="Cash"</formula>
    </cfRule>
  </conditionalFormatting>
  <conditionalFormatting sqref="H762">
    <cfRule type="expression" dxfId="5728" priority="1228">
      <formula>$Q762="Cash"</formula>
    </cfRule>
  </conditionalFormatting>
  <conditionalFormatting sqref="A763 Q763 I763 S763:V763 E763:G763 K763:N763">
    <cfRule type="expression" dxfId="5727" priority="1227">
      <formula>$Q763="Cash"</formula>
    </cfRule>
  </conditionalFormatting>
  <conditionalFormatting sqref="F763">
    <cfRule type="expression" dxfId="5726" priority="1222">
      <formula>$Q763="Cash"</formula>
    </cfRule>
  </conditionalFormatting>
  <conditionalFormatting sqref="F763">
    <cfRule type="expression" dxfId="5725" priority="1221">
      <formula>$Q763="Cash"</formula>
    </cfRule>
  </conditionalFormatting>
  <conditionalFormatting sqref="F763">
    <cfRule type="expression" dxfId="5724" priority="1220">
      <formula>$Q763="Cash"</formula>
    </cfRule>
  </conditionalFormatting>
  <conditionalFormatting sqref="F763">
    <cfRule type="expression" dxfId="5723" priority="1219">
      <formula>$Q763="Cash"</formula>
    </cfRule>
  </conditionalFormatting>
  <conditionalFormatting sqref="F763">
    <cfRule type="expression" dxfId="5722" priority="1218">
      <formula>$Q763="Cash"</formula>
    </cfRule>
  </conditionalFormatting>
  <conditionalFormatting sqref="F763">
    <cfRule type="expression" dxfId="5721" priority="1217">
      <formula>$Q763="Cash"</formula>
    </cfRule>
  </conditionalFormatting>
  <conditionalFormatting sqref="F763">
    <cfRule type="expression" dxfId="5720" priority="1216">
      <formula>$Q763="Cash"</formula>
    </cfRule>
  </conditionalFormatting>
  <conditionalFormatting sqref="F763">
    <cfRule type="expression" dxfId="5719" priority="1215">
      <formula>$Q763="Cash"</formula>
    </cfRule>
  </conditionalFormatting>
  <conditionalFormatting sqref="F763">
    <cfRule type="expression" dxfId="5718" priority="1214">
      <formula>$Q763="Cash"</formula>
    </cfRule>
  </conditionalFormatting>
  <conditionalFormatting sqref="F763">
    <cfRule type="expression" dxfId="5717" priority="1213">
      <formula>$Q763="Cash"</formula>
    </cfRule>
  </conditionalFormatting>
  <conditionalFormatting sqref="F763">
    <cfRule type="expression" dxfId="5716" priority="1212">
      <formula>$Q763="Cash"</formula>
    </cfRule>
  </conditionalFormatting>
  <conditionalFormatting sqref="F763">
    <cfRule type="expression" dxfId="5715" priority="1211">
      <formula>$Q763="Cash"</formula>
    </cfRule>
  </conditionalFormatting>
  <conditionalFormatting sqref="F763">
    <cfRule type="expression" dxfId="5714" priority="1210">
      <formula>$Q763="Cash"</formula>
    </cfRule>
  </conditionalFormatting>
  <conditionalFormatting sqref="F763">
    <cfRule type="expression" dxfId="5713" priority="1209">
      <formula>$Q763="Cash"</formula>
    </cfRule>
  </conditionalFormatting>
  <conditionalFormatting sqref="F763">
    <cfRule type="expression" dxfId="5712" priority="1208">
      <formula>$Q763="Cash"</formula>
    </cfRule>
  </conditionalFormatting>
  <conditionalFormatting sqref="H763">
    <cfRule type="expression" dxfId="5711" priority="1207">
      <formula>$Q763="Cash"</formula>
    </cfRule>
  </conditionalFormatting>
  <conditionalFormatting sqref="B761:B763">
    <cfRule type="expression" dxfId="5710" priority="1205">
      <formula>$Q761="Cash"</formula>
    </cfRule>
  </conditionalFormatting>
  <conditionalFormatting sqref="R762:R763">
    <cfRule type="expression" dxfId="5709" priority="1204">
      <formula>$Q762="Cash"</formula>
    </cfRule>
  </conditionalFormatting>
  <conditionalFormatting sqref="W761:W763">
    <cfRule type="expression" dxfId="5708" priority="1202">
      <formula>$Q761="Cash"</formula>
    </cfRule>
  </conditionalFormatting>
  <conditionalFormatting sqref="A765:G765">
    <cfRule type="expression" dxfId="5707" priority="1198">
      <formula>$Q765="Cash"</formula>
    </cfRule>
  </conditionalFormatting>
  <conditionalFormatting sqref="A766:C766 G766:N766 Q766:V766 E766">
    <cfRule type="expression" dxfId="5706" priority="1197">
      <formula>$Q766="Cash"</formula>
    </cfRule>
  </conditionalFormatting>
  <conditionalFormatting sqref="F766">
    <cfRule type="expression" dxfId="5705" priority="1196">
      <formula>$Q766="Cash"</formula>
    </cfRule>
  </conditionalFormatting>
  <conditionalFormatting sqref="A767 G767 I767:N767 Q767:V767">
    <cfRule type="expression" dxfId="5704" priority="1185">
      <formula>$Q767="Cash"</formula>
    </cfRule>
  </conditionalFormatting>
  <conditionalFormatting sqref="R767:R768">
    <cfRule type="expression" dxfId="5703" priority="1184">
      <formula>$Q767="Cash"</formula>
    </cfRule>
  </conditionalFormatting>
  <conditionalFormatting sqref="R767:R768">
    <cfRule type="expression" dxfId="5702" priority="1183">
      <formula>$Q767="Cash"</formula>
    </cfRule>
  </conditionalFormatting>
  <conditionalFormatting sqref="R767:R768">
    <cfRule type="expression" dxfId="5701" priority="1182">
      <formula>$Q767="Cash"</formula>
    </cfRule>
  </conditionalFormatting>
  <conditionalFormatting sqref="R767:R768">
    <cfRule type="expression" dxfId="5700" priority="1181">
      <formula>$Q767="Cash"</formula>
    </cfRule>
  </conditionalFormatting>
  <conditionalFormatting sqref="C767">
    <cfRule type="expression" dxfId="5699" priority="1165">
      <formula>$Q767="Cash"</formula>
    </cfRule>
  </conditionalFormatting>
  <conditionalFormatting sqref="A768:B768 N768 G768:L768 S768:V768 Q768">
    <cfRule type="expression" dxfId="5698" priority="1164">
      <formula>$Q768="Cash"</formula>
    </cfRule>
  </conditionalFormatting>
  <conditionalFormatting sqref="C768">
    <cfRule type="expression" dxfId="5697" priority="1144">
      <formula>$Q768="Cash"</formula>
    </cfRule>
  </conditionalFormatting>
  <conditionalFormatting sqref="A769:V769">
    <cfRule type="expression" dxfId="5696" priority="1140">
      <formula>$Q769="Cash"</formula>
    </cfRule>
  </conditionalFormatting>
  <conditionalFormatting sqref="A770 E770:G770 Q770 S770:V770 I770:N770">
    <cfRule type="expression" dxfId="5695" priority="1139">
      <formula>$Q770="Cash"</formula>
    </cfRule>
  </conditionalFormatting>
  <conditionalFormatting sqref="D770">
    <cfRule type="expression" dxfId="5694" priority="1138">
      <formula>$Q770="Cash"</formula>
    </cfRule>
  </conditionalFormatting>
  <conditionalFormatting sqref="B770">
    <cfRule type="expression" dxfId="5693" priority="1137">
      <formula>$Q770="Cash"</formula>
    </cfRule>
  </conditionalFormatting>
  <conditionalFormatting sqref="O770">
    <cfRule type="expression" dxfId="5692" priority="1136">
      <formula>$Q770="Cash"</formula>
    </cfRule>
  </conditionalFormatting>
  <conditionalFormatting sqref="P770">
    <cfRule type="expression" dxfId="5691" priority="1135">
      <formula>$Q770="Cash"</formula>
    </cfRule>
  </conditionalFormatting>
  <conditionalFormatting sqref="R770">
    <cfRule type="expression" dxfId="5690" priority="1134">
      <formula>$Q770="Cash"</formula>
    </cfRule>
  </conditionalFormatting>
  <conditionalFormatting sqref="D761:D763">
    <cfRule type="expression" dxfId="5689" priority="1132">
      <formula>$Q761="Cash"</formula>
    </cfRule>
  </conditionalFormatting>
  <conditionalFormatting sqref="M768">
    <cfRule type="expression" dxfId="5688" priority="1131">
      <formula>$Q768="Cash"</formula>
    </cfRule>
  </conditionalFormatting>
  <conditionalFormatting sqref="O478">
    <cfRule type="expression" dxfId="5687" priority="1128">
      <formula>$Q478="Cash"</formula>
    </cfRule>
  </conditionalFormatting>
  <conditionalFormatting sqref="P478">
    <cfRule type="expression" dxfId="5686" priority="1127">
      <formula>$Q478="Cash"</formula>
    </cfRule>
  </conditionalFormatting>
  <conditionalFormatting sqref="R774:R775">
    <cfRule type="expression" dxfId="5685" priority="1117">
      <formula>$Q774="Cash"</formula>
    </cfRule>
  </conditionalFormatting>
  <conditionalFormatting sqref="A774 C774 E774:N774 Q774 S774:V774">
    <cfRule type="expression" dxfId="5684" priority="1116">
      <formula>$Q774="Cash"</formula>
    </cfRule>
  </conditionalFormatting>
  <conditionalFormatting sqref="A775 C775 E775:N775 Q775 S775:V775">
    <cfRule type="expression" dxfId="5683" priority="1115">
      <formula>$Q775="Cash"</formula>
    </cfRule>
  </conditionalFormatting>
  <conditionalFormatting sqref="B774">
    <cfRule type="expression" dxfId="5682" priority="1094">
      <formula>$Q774="Cash"</formula>
    </cfRule>
  </conditionalFormatting>
  <conditionalFormatting sqref="B775">
    <cfRule type="expression" dxfId="5681" priority="1093">
      <formula>$Q775="Cash"</formula>
    </cfRule>
  </conditionalFormatting>
  <conditionalFormatting sqref="A776:Q776 S776:V776">
    <cfRule type="expression" dxfId="5680" priority="1082">
      <formula>$Q776="Cash"</formula>
    </cfRule>
  </conditionalFormatting>
  <conditionalFormatting sqref="E760:F760">
    <cfRule type="expression" dxfId="5679" priority="1079">
      <formula>$Q760="Cash"</formula>
    </cfRule>
  </conditionalFormatting>
  <conditionalFormatting sqref="E767:F767">
    <cfRule type="expression" dxfId="5678" priority="1078">
      <formula>$Q767="Cash"</formula>
    </cfRule>
  </conditionalFormatting>
  <conditionalFormatting sqref="E768:F768">
    <cfRule type="expression" dxfId="5677" priority="1077">
      <formula>$Q768="Cash"</formula>
    </cfRule>
  </conditionalFormatting>
  <conditionalFormatting sqref="W769:W770">
    <cfRule type="expression" dxfId="5676" priority="1069">
      <formula>$Q769="Cash"</formula>
    </cfRule>
  </conditionalFormatting>
  <conditionalFormatting sqref="H767">
    <cfRule type="expression" dxfId="5675" priority="1067">
      <formula>$Q767="Cash"</formula>
    </cfRule>
  </conditionalFormatting>
  <conditionalFormatting sqref="R768">
    <cfRule type="expression" dxfId="5674" priority="1066">
      <formula>$Q768="Cash"</formula>
    </cfRule>
  </conditionalFormatting>
  <conditionalFormatting sqref="W777">
    <cfRule type="expression" dxfId="5673" priority="1063">
      <formula>$Q777="Cash"</formula>
    </cfRule>
  </conditionalFormatting>
  <conditionalFormatting sqref="M777 Q777">
    <cfRule type="expression" dxfId="5672" priority="1062">
      <formula>$Q777="Cash"</formula>
    </cfRule>
  </conditionalFormatting>
  <conditionalFormatting sqref="H777">
    <cfRule type="expression" dxfId="5671" priority="1060">
      <formula>$Q777="Cash"</formula>
    </cfRule>
  </conditionalFormatting>
  <conditionalFormatting sqref="M778 Q778">
    <cfRule type="expression" dxfId="5670" priority="1058">
      <formula>$Q778="Cash"</formula>
    </cfRule>
  </conditionalFormatting>
  <conditionalFormatting sqref="G777:G778">
    <cfRule type="expression" dxfId="5669" priority="1057">
      <formula>#REF!="Cash"</formula>
    </cfRule>
  </conditionalFormatting>
  <conditionalFormatting sqref="H778">
    <cfRule type="expression" dxfId="5668" priority="1056">
      <formula>$Q778="Cash"</formula>
    </cfRule>
  </conditionalFormatting>
  <conditionalFormatting sqref="M779 Q779">
    <cfRule type="expression" dxfId="5667" priority="1054">
      <formula>$Q779="Cash"</formula>
    </cfRule>
  </conditionalFormatting>
  <conditionalFormatting sqref="G779">
    <cfRule type="expression" dxfId="5666" priority="1053">
      <formula>#REF!="Cash"</formula>
    </cfRule>
  </conditionalFormatting>
  <conditionalFormatting sqref="H779">
    <cfRule type="expression" dxfId="5665" priority="1052">
      <formula>$Q779="Cash"</formula>
    </cfRule>
  </conditionalFormatting>
  <conditionalFormatting sqref="M780 Q780">
    <cfRule type="expression" dxfId="5664" priority="1050">
      <formula>$Q780="Cash"</formula>
    </cfRule>
  </conditionalFormatting>
  <conditionalFormatting sqref="G780">
    <cfRule type="expression" dxfId="5663" priority="1049">
      <formula>#REF!="Cash"</formula>
    </cfRule>
  </conditionalFormatting>
  <conditionalFormatting sqref="H780">
    <cfRule type="expression" dxfId="5662" priority="1048">
      <formula>$Q780="Cash"</formula>
    </cfRule>
  </conditionalFormatting>
  <conditionalFormatting sqref="M781 Q781">
    <cfRule type="expression" dxfId="5661" priority="1046">
      <formula>$Q781="Cash"</formula>
    </cfRule>
  </conditionalFormatting>
  <conditionalFormatting sqref="G781">
    <cfRule type="expression" dxfId="5660" priority="1045">
      <formula>#REF!="Cash"</formula>
    </cfRule>
  </conditionalFormatting>
  <conditionalFormatting sqref="H781">
    <cfRule type="expression" dxfId="5659" priority="1044">
      <formula>$Q781="Cash"</formula>
    </cfRule>
  </conditionalFormatting>
  <conditionalFormatting sqref="M782 Q782">
    <cfRule type="expression" dxfId="5658" priority="1042">
      <formula>$Q782="Cash"</formula>
    </cfRule>
  </conditionalFormatting>
  <conditionalFormatting sqref="G782">
    <cfRule type="expression" dxfId="5657" priority="1041">
      <formula>#REF!="Cash"</formula>
    </cfRule>
  </conditionalFormatting>
  <conditionalFormatting sqref="H782">
    <cfRule type="expression" dxfId="5656" priority="1040">
      <formula>$Q782="Cash"</formula>
    </cfRule>
  </conditionalFormatting>
  <conditionalFormatting sqref="R760">
    <cfRule type="expression" dxfId="5655" priority="1039">
      <formula>$Q760="Cash"</formula>
    </cfRule>
  </conditionalFormatting>
  <conditionalFormatting sqref="R760">
    <cfRule type="expression" dxfId="5654" priority="1038">
      <formula>$Q760="Cash"</formula>
    </cfRule>
  </conditionalFormatting>
  <conditionalFormatting sqref="R760">
    <cfRule type="expression" dxfId="5653" priority="1037">
      <formula>$Q760="Cash"</formula>
    </cfRule>
  </conditionalFormatting>
  <conditionalFormatting sqref="R760">
    <cfRule type="expression" dxfId="5652" priority="1036">
      <formula>$Q760="Cash"</formula>
    </cfRule>
  </conditionalFormatting>
  <conditionalFormatting sqref="R760">
    <cfRule type="expression" dxfId="5651" priority="1035">
      <formula>$Q760="Cash"</formula>
    </cfRule>
  </conditionalFormatting>
  <conditionalFormatting sqref="A783:C783 E783:G783">
    <cfRule type="expression" dxfId="5650" priority="1032">
      <formula>$Q783="Cash"</formula>
    </cfRule>
  </conditionalFormatting>
  <conditionalFormatting sqref="R784:R785">
    <cfRule type="expression" dxfId="5649" priority="1031">
      <formula>$Q784="Cash"</formula>
    </cfRule>
  </conditionalFormatting>
  <conditionalFormatting sqref="A784 C784 E784:N784 Q784 S784:V784">
    <cfRule type="expression" dxfId="5648" priority="1030">
      <formula>$Q784="Cash"</formula>
    </cfRule>
  </conditionalFormatting>
  <conditionalFormatting sqref="O784">
    <cfRule type="expression" dxfId="5647" priority="1029">
      <formula>$Q784="Cash"</formula>
    </cfRule>
  </conditionalFormatting>
  <conditionalFormatting sqref="P784">
    <cfRule type="expression" dxfId="5646" priority="1028">
      <formula>$Q784="Cash"</formula>
    </cfRule>
  </conditionalFormatting>
  <conditionalFormatting sqref="W784:W785">
    <cfRule type="expression" dxfId="5645" priority="1027">
      <formula>$Q784="Cash"</formula>
    </cfRule>
  </conditionalFormatting>
  <conditionalFormatting sqref="B784">
    <cfRule type="expression" dxfId="5644" priority="1026">
      <formula>$Q784="Cash"</formula>
    </cfRule>
  </conditionalFormatting>
  <conditionalFormatting sqref="D784:D785">
    <cfRule type="expression" dxfId="5643" priority="1025">
      <formula>$Q784="Cash"</formula>
    </cfRule>
  </conditionalFormatting>
  <conditionalFormatting sqref="A785 C785 E785:N785 Q785 S785:V785">
    <cfRule type="expression" dxfId="5642" priority="1023">
      <formula>$Q785="Cash"</formula>
    </cfRule>
  </conditionalFormatting>
  <conditionalFormatting sqref="O785">
    <cfRule type="expression" dxfId="5641" priority="1022">
      <formula>$Q785="Cash"</formula>
    </cfRule>
  </conditionalFormatting>
  <conditionalFormatting sqref="P785">
    <cfRule type="expression" dxfId="5640" priority="1021">
      <formula>$Q785="Cash"</formula>
    </cfRule>
  </conditionalFormatting>
  <conditionalFormatting sqref="B785">
    <cfRule type="expression" dxfId="5639" priority="1019">
      <formula>$Q785="Cash"</formula>
    </cfRule>
  </conditionalFormatting>
  <conditionalFormatting sqref="O767">
    <cfRule type="expression" dxfId="5638" priority="1016">
      <formula>$Q767="Cash"</formula>
    </cfRule>
  </conditionalFormatting>
  <conditionalFormatting sqref="O768">
    <cfRule type="expression" dxfId="5637" priority="1015">
      <formula>$Q768="Cash"</formula>
    </cfRule>
  </conditionalFormatting>
  <conditionalFormatting sqref="P767">
    <cfRule type="expression" dxfId="5636" priority="1014">
      <formula>$Q767="Cash"</formula>
    </cfRule>
  </conditionalFormatting>
  <conditionalFormatting sqref="P768">
    <cfRule type="expression" dxfId="5635" priority="1013">
      <formula>$Q768="Cash"</formula>
    </cfRule>
  </conditionalFormatting>
  <conditionalFormatting sqref="A757">
    <cfRule type="expression" dxfId="5634" priority="1008">
      <formula>$Q757="Cash"</formula>
    </cfRule>
  </conditionalFormatting>
  <conditionalFormatting sqref="D767">
    <cfRule type="expression" dxfId="5633" priority="999">
      <formula>$Q767="Cash"</formula>
    </cfRule>
  </conditionalFormatting>
  <conditionalFormatting sqref="D768">
    <cfRule type="expression" dxfId="5632" priority="998">
      <formula>$Q768="Cash"</formula>
    </cfRule>
  </conditionalFormatting>
  <conditionalFormatting sqref="W767:W768">
    <cfRule type="expression" dxfId="5631" priority="997">
      <formula>$Q767="Cash"</formula>
    </cfRule>
  </conditionalFormatting>
  <conditionalFormatting sqref="W757">
    <cfRule type="expression" dxfId="5630" priority="994">
      <formula>$Q757="Cash"</formula>
    </cfRule>
  </conditionalFormatting>
  <conditionalFormatting sqref="A787:B787 D787:V787">
    <cfRule type="expression" dxfId="5629" priority="993">
      <formula>$Q787="Cash"</formula>
    </cfRule>
  </conditionalFormatting>
  <conditionalFormatting sqref="A788:B788 D788:V788">
    <cfRule type="expression" dxfId="5628" priority="977">
      <formula>$Q788="Cash"</formula>
    </cfRule>
  </conditionalFormatting>
  <conditionalFormatting sqref="B789 E789:V789">
    <cfRule type="expression" dxfId="5627" priority="976">
      <formula>$Q789="Cash"</formula>
    </cfRule>
  </conditionalFormatting>
  <conditionalFormatting sqref="W766">
    <cfRule type="expression" dxfId="5626" priority="973">
      <formula>$Q766="Cash"</formula>
    </cfRule>
  </conditionalFormatting>
  <conditionalFormatting sqref="A790:G790 S790:V790 I790:Q790">
    <cfRule type="expression" dxfId="5625" priority="970">
      <formula>$Q790="Cash"</formula>
    </cfRule>
  </conditionalFormatting>
  <conditionalFormatting sqref="O766:P766">
    <cfRule type="expression" dxfId="5624" priority="969">
      <formula>$Q766="Cash"</formula>
    </cfRule>
  </conditionalFormatting>
  <conditionalFormatting sqref="D766">
    <cfRule type="expression" dxfId="5623" priority="968">
      <formula>$Q766="Cash"</formula>
    </cfRule>
  </conditionalFormatting>
  <conditionalFormatting sqref="J761:J763 J759">
    <cfRule type="expression" dxfId="5622" priority="965">
      <formula>$Q759="Cash"</formula>
    </cfRule>
  </conditionalFormatting>
  <conditionalFormatting sqref="W790">
    <cfRule type="expression" dxfId="5621" priority="964">
      <formula>$Q790="Cash"</formula>
    </cfRule>
  </conditionalFormatting>
  <conditionalFormatting sqref="W787:W789">
    <cfRule type="expression" dxfId="5620" priority="961">
      <formula>$Q787="Cash"</formula>
    </cfRule>
  </conditionalFormatting>
  <conditionalFormatting sqref="F791">
    <cfRule type="expression" dxfId="5619" priority="959">
      <formula>$Q791="Cash"</formula>
    </cfRule>
  </conditionalFormatting>
  <conditionalFormatting sqref="F792">
    <cfRule type="expression" dxfId="5618" priority="957">
      <formula>$Q792="Cash"</formula>
    </cfRule>
  </conditionalFormatting>
  <conditionalFormatting sqref="A792:B792 E792:G792 S792:V792 I792:N792 Q792">
    <cfRule type="expression" dxfId="5617" priority="956">
      <formula>$Q792="Cash"</formula>
    </cfRule>
  </conditionalFormatting>
  <conditionalFormatting sqref="R792">
    <cfRule type="expression" dxfId="5616" priority="952">
      <formula>$Q792="Cash"</formula>
    </cfRule>
  </conditionalFormatting>
  <conditionalFormatting sqref="C792">
    <cfRule type="expression" dxfId="5615" priority="951">
      <formula>$Q792="Cash"</formula>
    </cfRule>
  </conditionalFormatting>
  <conditionalFormatting sqref="R790">
    <cfRule type="expression" dxfId="5614" priority="950">
      <formula>$Q790="Cash"</formula>
    </cfRule>
  </conditionalFormatting>
  <conditionalFormatting sqref="W776">
    <cfRule type="expression" dxfId="5613" priority="949">
      <formula>$Q776="Cash"</formula>
    </cfRule>
  </conditionalFormatting>
  <conditionalFormatting sqref="H793:K799 A793:F794 A796:F799 A795:C795 E795:F795">
    <cfRule type="expression" dxfId="5612" priority="947">
      <formula>$Q793="Cash"</formula>
    </cfRule>
  </conditionalFormatting>
  <conditionalFormatting sqref="G793:G799">
    <cfRule type="expression" dxfId="5611" priority="946">
      <formula>$Q793="Cash"</formula>
    </cfRule>
  </conditionalFormatting>
  <conditionalFormatting sqref="L793:L799">
    <cfRule type="expression" dxfId="5610" priority="945">
      <formula>$Q793="Cash"</formula>
    </cfRule>
  </conditionalFormatting>
  <conditionalFormatting sqref="A789">
    <cfRule type="expression" dxfId="5609" priority="942">
      <formula>$Q789="Cash"</formula>
    </cfRule>
  </conditionalFormatting>
  <conditionalFormatting sqref="D789">
    <cfRule type="expression" dxfId="5608" priority="941">
      <formula>$Q789="Cash"</formula>
    </cfRule>
  </conditionalFormatting>
  <conditionalFormatting sqref="R800 F800 H800">
    <cfRule type="expression" dxfId="5607" priority="940">
      <formula>$Q800="Cash"</formula>
    </cfRule>
  </conditionalFormatting>
  <conditionalFormatting sqref="A800:B800 I800 K800:N800 D800:G800">
    <cfRule type="expression" dxfId="5606" priority="939">
      <formula>$Q800="Cash"</formula>
    </cfRule>
  </conditionalFormatting>
  <conditionalFormatting sqref="J800">
    <cfRule type="expression" dxfId="5605" priority="938">
      <formula>$Q800="Cash"</formula>
    </cfRule>
  </conditionalFormatting>
  <conditionalFormatting sqref="H783">
    <cfRule type="expression" dxfId="5604" priority="935">
      <formula>$Q783="Cash"</formula>
    </cfRule>
  </conditionalFormatting>
  <conditionalFormatting sqref="H790">
    <cfRule type="expression" dxfId="5603" priority="934">
      <formula>$Q790="Cash"</formula>
    </cfRule>
  </conditionalFormatting>
  <conditionalFormatting sqref="H765 H488">
    <cfRule type="expression" dxfId="5602" priority="933">
      <formula>$Q488="Cash"</formula>
    </cfRule>
  </conditionalFormatting>
  <conditionalFormatting sqref="A802:I802 K802:V802">
    <cfRule type="expression" dxfId="5601" priority="931">
      <formula>$Q802="Cash"</formula>
    </cfRule>
  </conditionalFormatting>
  <conditionalFormatting sqref="J802">
    <cfRule type="expression" dxfId="5600" priority="930">
      <formula>$Q802="Cash"</formula>
    </cfRule>
  </conditionalFormatting>
  <conditionalFormatting sqref="D740 D737 D745:D746 D748 D751:D752">
    <cfRule type="expression" dxfId="5599" priority="929">
      <formula>$Q737="Cash"</formula>
    </cfRule>
  </conditionalFormatting>
  <conditionalFormatting sqref="B767">
    <cfRule type="expression" dxfId="5598" priority="928">
      <formula>$Q767="Cash"</formula>
    </cfRule>
  </conditionalFormatting>
  <conditionalFormatting sqref="A803:V803">
    <cfRule type="expression" dxfId="5597" priority="927">
      <formula>$Q803="Cash"</formula>
    </cfRule>
  </conditionalFormatting>
  <conditionalFormatting sqref="W803:W807 W812">
    <cfRule type="expression" dxfId="5596" priority="926">
      <formula>$Q803="Cash"</formula>
    </cfRule>
  </conditionalFormatting>
  <conditionalFormatting sqref="A804:A812 C804:C812 E804:V808 E810:V812 E809:N809 Q809:V809">
    <cfRule type="expression" dxfId="5595" priority="924">
      <formula>$Q804="Cash"</formula>
    </cfRule>
  </conditionalFormatting>
  <conditionalFormatting sqref="A813 K813:V813 E813:G813 C813 I813">
    <cfRule type="expression" dxfId="5594" priority="923">
      <formula>$Q813="Cash"</formula>
    </cfRule>
  </conditionalFormatting>
  <conditionalFormatting sqref="J813">
    <cfRule type="expression" dxfId="5593" priority="922">
      <formula>$Q813="Cash"</formula>
    </cfRule>
  </conditionalFormatting>
  <conditionalFormatting sqref="D813">
    <cfRule type="expression" dxfId="5592" priority="919">
      <formula>$Q813="Cash"</formula>
    </cfRule>
  </conditionalFormatting>
  <conditionalFormatting sqref="H792">
    <cfRule type="expression" dxfId="5591" priority="918">
      <formula>$Q792="Cash"</formula>
    </cfRule>
  </conditionalFormatting>
  <conditionalFormatting sqref="D726 D590 D565 D498 D394 D345 D333 D320 D170 D155 D65">
    <cfRule type="expression" dxfId="5590" priority="915">
      <formula>$Q65="Cash"</formula>
    </cfRule>
  </conditionalFormatting>
  <conditionalFormatting sqref="A814:M814">
    <cfRule type="expression" dxfId="5589" priority="914">
      <formula>$Q814="Cash"</formula>
    </cfRule>
  </conditionalFormatting>
  <conditionalFormatting sqref="W815:W824 W826:W827">
    <cfRule type="expression" dxfId="5588" priority="913">
      <formula>$Q815="Cash"</formula>
    </cfRule>
  </conditionalFormatting>
  <conditionalFormatting sqref="M815:M827 Q815:Q827">
    <cfRule type="expression" dxfId="5587" priority="912">
      <formula>$Q815="Cash"</formula>
    </cfRule>
  </conditionalFormatting>
  <conditionalFormatting sqref="G815:G827">
    <cfRule type="expression" dxfId="5586" priority="911">
      <formula>#REF!="Cash"</formula>
    </cfRule>
  </conditionalFormatting>
  <conditionalFormatting sqref="H815:H827">
    <cfRule type="expression" dxfId="5585" priority="910">
      <formula>$Q815="Cash"</formula>
    </cfRule>
  </conditionalFormatting>
  <conditionalFormatting sqref="D805">
    <cfRule type="expression" dxfId="5584" priority="909">
      <formula>$Q805="Cash"</formula>
    </cfRule>
  </conditionalFormatting>
  <conditionalFormatting sqref="B804:B812">
    <cfRule type="expression" dxfId="5583" priority="907">
      <formula>$Q804="Cash"</formula>
    </cfRule>
  </conditionalFormatting>
  <conditionalFormatting sqref="D806:D808 D804 D812 D810">
    <cfRule type="expression" dxfId="5582" priority="906">
      <formula>$Q804="Cash"</formula>
    </cfRule>
  </conditionalFormatting>
  <conditionalFormatting sqref="Q828:Q832 I828:I832 S828:V832 E828:G828 K828:N832 E831:G831 E829:F830 G828:G831 E832:F832 C828:C832 A828:A832">
    <cfRule type="expression" dxfId="5581" priority="900">
      <formula>$Q828="Cash"</formula>
    </cfRule>
  </conditionalFormatting>
  <conditionalFormatting sqref="F828:F832">
    <cfRule type="expression" dxfId="5580" priority="899">
      <formula>$Q828="Cash"</formula>
    </cfRule>
  </conditionalFormatting>
  <conditionalFormatting sqref="F828:F832">
    <cfRule type="expression" dxfId="5579" priority="898">
      <formula>$Q828="Cash"</formula>
    </cfRule>
  </conditionalFormatting>
  <conditionalFormatting sqref="F828:F832">
    <cfRule type="expression" dxfId="5578" priority="897">
      <formula>$Q828="Cash"</formula>
    </cfRule>
  </conditionalFormatting>
  <conditionalFormatting sqref="F828:F832">
    <cfRule type="expression" dxfId="5577" priority="896">
      <formula>$Q828="Cash"</formula>
    </cfRule>
  </conditionalFormatting>
  <conditionalFormatting sqref="F828:F832">
    <cfRule type="expression" dxfId="5576" priority="895">
      <formula>$Q828="Cash"</formula>
    </cfRule>
  </conditionalFormatting>
  <conditionalFormatting sqref="F828:F832">
    <cfRule type="expression" dxfId="5575" priority="894">
      <formula>$Q828="Cash"</formula>
    </cfRule>
  </conditionalFormatting>
  <conditionalFormatting sqref="F828:F832">
    <cfRule type="expression" dxfId="5574" priority="893">
      <formula>$Q828="Cash"</formula>
    </cfRule>
  </conditionalFormatting>
  <conditionalFormatting sqref="F828:F832">
    <cfRule type="expression" dxfId="5573" priority="892">
      <formula>$Q828="Cash"</formula>
    </cfRule>
  </conditionalFormatting>
  <conditionalFormatting sqref="F828:F832">
    <cfRule type="expression" dxfId="5572" priority="891">
      <formula>$Q828="Cash"</formula>
    </cfRule>
  </conditionalFormatting>
  <conditionalFormatting sqref="F828:F832">
    <cfRule type="expression" dxfId="5571" priority="890">
      <formula>$Q828="Cash"</formula>
    </cfRule>
  </conditionalFormatting>
  <conditionalFormatting sqref="F828:F832">
    <cfRule type="expression" dxfId="5570" priority="889">
      <formula>$Q828="Cash"</formula>
    </cfRule>
  </conditionalFormatting>
  <conditionalFormatting sqref="F828:F832">
    <cfRule type="expression" dxfId="5569" priority="888">
      <formula>$Q828="Cash"</formula>
    </cfRule>
  </conditionalFormatting>
  <conditionalFormatting sqref="F828:F832">
    <cfRule type="expression" dxfId="5568" priority="887">
      <formula>$Q828="Cash"</formula>
    </cfRule>
  </conditionalFormatting>
  <conditionalFormatting sqref="F828:F832">
    <cfRule type="expression" dxfId="5567" priority="886">
      <formula>$Q828="Cash"</formula>
    </cfRule>
  </conditionalFormatting>
  <conditionalFormatting sqref="F828:F832">
    <cfRule type="expression" dxfId="5566" priority="885">
      <formula>$Q828="Cash"</formula>
    </cfRule>
  </conditionalFormatting>
  <conditionalFormatting sqref="H828:H832">
    <cfRule type="expression" dxfId="5565" priority="884">
      <formula>$Q828="Cash"</formula>
    </cfRule>
  </conditionalFormatting>
  <conditionalFormatting sqref="B828:B832">
    <cfRule type="expression" dxfId="5564" priority="883">
      <formula>$Q828="Cash"</formula>
    </cfRule>
  </conditionalFormatting>
  <conditionalFormatting sqref="W828">
    <cfRule type="expression" dxfId="5563" priority="881">
      <formula>$Q828="Cash"</formula>
    </cfRule>
  </conditionalFormatting>
  <conditionalFormatting sqref="D828:D830 D832">
    <cfRule type="expression" dxfId="5562" priority="880">
      <formula>$Q828="Cash"</formula>
    </cfRule>
  </conditionalFormatting>
  <conditionalFormatting sqref="J828:J832">
    <cfRule type="expression" dxfId="5561" priority="879">
      <formula>$Q828="Cash"</formula>
    </cfRule>
  </conditionalFormatting>
  <conditionalFormatting sqref="W813">
    <cfRule type="expression" dxfId="5560" priority="844">
      <formula>$Q813="Cash"</formula>
    </cfRule>
  </conditionalFormatting>
  <conditionalFormatting sqref="W802">
    <cfRule type="expression" dxfId="5559" priority="837">
      <formula>$Q802="Cash"</formula>
    </cfRule>
  </conditionalFormatting>
  <conditionalFormatting sqref="C759">
    <cfRule type="expression" dxfId="5558" priority="832">
      <formula>$Q759="Cash"</formula>
    </cfRule>
  </conditionalFormatting>
  <conditionalFormatting sqref="C761">
    <cfRule type="expression" dxfId="5557" priority="831">
      <formula>$Q761="Cash"</formula>
    </cfRule>
  </conditionalFormatting>
  <conditionalFormatting sqref="C762">
    <cfRule type="expression" dxfId="5556" priority="830">
      <formula>$Q762="Cash"</formula>
    </cfRule>
  </conditionalFormatting>
  <conditionalFormatting sqref="C763">
    <cfRule type="expression" dxfId="5555" priority="829">
      <formula>$Q763="Cash"</formula>
    </cfRule>
  </conditionalFormatting>
  <conditionalFormatting sqref="C800">
    <cfRule type="expression" dxfId="5554" priority="828">
      <formula>$Q800="Cash"</formula>
    </cfRule>
  </conditionalFormatting>
  <conditionalFormatting sqref="L756">
    <cfRule type="expression" dxfId="5553" priority="826">
      <formula>$Q756="Cash"</formula>
    </cfRule>
  </conditionalFormatting>
  <conditionalFormatting sqref="G516">
    <cfRule type="expression" dxfId="5552" priority="825">
      <formula>$Q516="Cash"</formula>
    </cfRule>
  </conditionalFormatting>
  <conditionalFormatting sqref="G515">
    <cfRule type="expression" dxfId="5551" priority="824">
      <formula>$Q515="Cash"</formula>
    </cfRule>
  </conditionalFormatting>
  <conditionalFormatting sqref="G514">
    <cfRule type="expression" dxfId="5550" priority="823">
      <formula>$Q514="Cash"</formula>
    </cfRule>
  </conditionalFormatting>
  <conditionalFormatting sqref="O526">
    <cfRule type="expression" dxfId="5549" priority="818">
      <formula>$Q526="Cash"</formula>
    </cfRule>
  </conditionalFormatting>
  <conditionalFormatting sqref="P526">
    <cfRule type="expression" dxfId="5548" priority="817">
      <formula>$Q526="Cash"</formula>
    </cfRule>
  </conditionalFormatting>
  <conditionalFormatting sqref="R776">
    <cfRule type="expression" dxfId="5547" priority="816">
      <formula>#REF!="Cash"</formula>
    </cfRule>
  </conditionalFormatting>
  <conditionalFormatting sqref="H833:K833 A833:F833">
    <cfRule type="expression" dxfId="5546" priority="812">
      <formula>$Q833="Cash"</formula>
    </cfRule>
  </conditionalFormatting>
  <conditionalFormatting sqref="G833">
    <cfRule type="expression" dxfId="5545" priority="811">
      <formula>$Q833="Cash"</formula>
    </cfRule>
  </conditionalFormatting>
  <conditionalFormatting sqref="L833">
    <cfRule type="expression" dxfId="5544" priority="810">
      <formula>$Q833="Cash"</formula>
    </cfRule>
  </conditionalFormatting>
  <conditionalFormatting sqref="H834:K834 A834:C834 M834:Q834 E834:F834 S834:V834">
    <cfRule type="expression" dxfId="5543" priority="809">
      <formula>$Q834="Cash"</formula>
    </cfRule>
  </conditionalFormatting>
  <conditionalFormatting sqref="G834">
    <cfRule type="expression" dxfId="5542" priority="808">
      <formula>$Q834="Cash"</formula>
    </cfRule>
  </conditionalFormatting>
  <conditionalFormatting sqref="L834">
    <cfRule type="expression" dxfId="5541" priority="807">
      <formula>$Q834="Cash"</formula>
    </cfRule>
  </conditionalFormatting>
  <conditionalFormatting sqref="R834">
    <cfRule type="expression" dxfId="5540" priority="801">
      <formula>$Q834="Cash"</formula>
    </cfRule>
  </conditionalFormatting>
  <conditionalFormatting sqref="B813">
    <cfRule type="expression" dxfId="5539" priority="798">
      <formula>$Q813="Cash"</formula>
    </cfRule>
  </conditionalFormatting>
  <conditionalFormatting sqref="D834">
    <cfRule type="expression" dxfId="5538" priority="794">
      <formula>$Q834="Cash"</formula>
    </cfRule>
  </conditionalFormatting>
  <conditionalFormatting sqref="W834">
    <cfRule type="expression" dxfId="5537" priority="793">
      <formula>$Q834="Cash"</formula>
    </cfRule>
  </conditionalFormatting>
  <conditionalFormatting sqref="H813">
    <cfRule type="expression" dxfId="5536" priority="792">
      <formula>$Q813="Cash"</formula>
    </cfRule>
  </conditionalFormatting>
  <conditionalFormatting sqref="N814">
    <cfRule type="expression" dxfId="5535" priority="782">
      <formula>$Q814="Cash"</formula>
    </cfRule>
  </conditionalFormatting>
  <conditionalFormatting sqref="W835:W843">
    <cfRule type="expression" dxfId="5534" priority="781">
      <formula>$Q835="Cash"</formula>
    </cfRule>
  </conditionalFormatting>
  <conditionalFormatting sqref="A835 E835:Q835 C835 S835:V835 O836:P842">
    <cfRule type="expression" dxfId="5533" priority="780">
      <formula>$Q835="Cash"</formula>
    </cfRule>
  </conditionalFormatting>
  <conditionalFormatting sqref="B835:B843">
    <cfRule type="expression" dxfId="5532" priority="779">
      <formula>$Q835="Cash"</formula>
    </cfRule>
  </conditionalFormatting>
  <conditionalFormatting sqref="D835:D843">
    <cfRule type="expression" dxfId="5531" priority="778">
      <formula>$Q835="Cash"</formula>
    </cfRule>
  </conditionalFormatting>
  <conditionalFormatting sqref="A836 E836:N836 C836 Q836 S836:V836">
    <cfRule type="expression" dxfId="5530" priority="776">
      <formula>$Q836="Cash"</formula>
    </cfRule>
  </conditionalFormatting>
  <conditionalFormatting sqref="A837 E837:N837 C837 Q837 S837:V837">
    <cfRule type="expression" dxfId="5529" priority="772">
      <formula>$Q837="Cash"</formula>
    </cfRule>
  </conditionalFormatting>
  <conditionalFormatting sqref="A838 E838:N838 C838 Q838 S838:V838">
    <cfRule type="expression" dxfId="5528" priority="768">
      <formula>$Q838="Cash"</formula>
    </cfRule>
  </conditionalFormatting>
  <conditionalFormatting sqref="A839 E839:N839 C839 Q839 S839:V839">
    <cfRule type="expression" dxfId="5527" priority="764">
      <formula>$Q839="Cash"</formula>
    </cfRule>
  </conditionalFormatting>
  <conditionalFormatting sqref="A840 E840:N840 C840 Q840 S840:V840">
    <cfRule type="expression" dxfId="5526" priority="760">
      <formula>$Q840="Cash"</formula>
    </cfRule>
  </conditionalFormatting>
  <conditionalFormatting sqref="A841 E841:N841 C841 Q841 S841:V841">
    <cfRule type="expression" dxfId="5525" priority="756">
      <formula>$Q841="Cash"</formula>
    </cfRule>
  </conditionalFormatting>
  <conditionalFormatting sqref="A842 E842:N842 C842 Q842 S842:V842">
    <cfRule type="expression" dxfId="5524" priority="752">
      <formula>$Q842="Cash"</formula>
    </cfRule>
  </conditionalFormatting>
  <conditionalFormatting sqref="R835:R842">
    <cfRule type="expression" dxfId="5523" priority="749">
      <formula>$Q835="Cash"</formula>
    </cfRule>
  </conditionalFormatting>
  <conditionalFormatting sqref="A843 E843:V843 C843">
    <cfRule type="expression" dxfId="5522" priority="747">
      <formula>$Q843="Cash"</formula>
    </cfRule>
  </conditionalFormatting>
  <conditionalFormatting sqref="R844">
    <cfRule type="expression" dxfId="5521" priority="744">
      <formula>$Q844="Cash"</formula>
    </cfRule>
  </conditionalFormatting>
  <conditionalFormatting sqref="R844">
    <cfRule type="expression" dxfId="5520" priority="743">
      <formula>$Q844="Cash"</formula>
    </cfRule>
  </conditionalFormatting>
  <conditionalFormatting sqref="R844">
    <cfRule type="expression" dxfId="5519" priority="742">
      <formula>$Q844="Cash"</formula>
    </cfRule>
  </conditionalFormatting>
  <conditionalFormatting sqref="R844">
    <cfRule type="expression" dxfId="5518" priority="741">
      <formula>$Q844="Cash"</formula>
    </cfRule>
  </conditionalFormatting>
  <conditionalFormatting sqref="A844:B844 N844 G844:L844 S844:V844 Q844">
    <cfRule type="expression" dxfId="5517" priority="740">
      <formula>$Q844="Cash"</formula>
    </cfRule>
  </conditionalFormatting>
  <conditionalFormatting sqref="C844">
    <cfRule type="expression" dxfId="5516" priority="739">
      <formula>$Q844="Cash"</formula>
    </cfRule>
  </conditionalFormatting>
  <conditionalFormatting sqref="M844">
    <cfRule type="expression" dxfId="5515" priority="738">
      <formula>$Q844="Cash"</formula>
    </cfRule>
  </conditionalFormatting>
  <conditionalFormatting sqref="E844:F844">
    <cfRule type="expression" dxfId="5514" priority="737">
      <formula>$Q844="Cash"</formula>
    </cfRule>
  </conditionalFormatting>
  <conditionalFormatting sqref="R844">
    <cfRule type="expression" dxfId="5513" priority="736">
      <formula>$Q844="Cash"</formula>
    </cfRule>
  </conditionalFormatting>
  <conditionalFormatting sqref="O844:P844">
    <cfRule type="expression" dxfId="5512" priority="735">
      <formula>$Q844="Cash"</formula>
    </cfRule>
  </conditionalFormatting>
  <conditionalFormatting sqref="D844">
    <cfRule type="expression" dxfId="5511" priority="733">
      <formula>$Q844="Cash"</formula>
    </cfRule>
  </conditionalFormatting>
  <conditionalFormatting sqref="W844">
    <cfRule type="expression" dxfId="5510" priority="732">
      <formula>$Q844="Cash"</formula>
    </cfRule>
  </conditionalFormatting>
  <conditionalFormatting sqref="W758">
    <cfRule type="expression" dxfId="5509" priority="723">
      <formula>$Q758="Cash"</formula>
    </cfRule>
  </conditionalFormatting>
  <conditionalFormatting sqref="A846:F846 H846 Q846:V846 J846:M846">
    <cfRule type="expression" dxfId="5508" priority="719">
      <formula>$Q846="Cash"</formula>
    </cfRule>
  </conditionalFormatting>
  <conditionalFormatting sqref="O846:P846">
    <cfRule type="expression" dxfId="5507" priority="703">
      <formula>$Q846="Cash"</formula>
    </cfRule>
  </conditionalFormatting>
  <conditionalFormatting sqref="N846">
    <cfRule type="expression" dxfId="5506" priority="694">
      <formula>$Q846="Cash"</formula>
    </cfRule>
  </conditionalFormatting>
  <conditionalFormatting sqref="A847:C847 H847:M847 Q847:V847 E847:F847">
    <cfRule type="expression" dxfId="5505" priority="679">
      <formula>$Q847="Cash"</formula>
    </cfRule>
  </conditionalFormatting>
  <conditionalFormatting sqref="N847">
    <cfRule type="expression" dxfId="5504" priority="676">
      <formula>$Q847="Cash"</formula>
    </cfRule>
  </conditionalFormatting>
  <conditionalFormatting sqref="I846">
    <cfRule type="expression" dxfId="5503" priority="675">
      <formula>$Q846="Cash"</formula>
    </cfRule>
  </conditionalFormatting>
  <conditionalFormatting sqref="H848:K848 A848 M848:Q848 E848:F848 S848:V848 C848">
    <cfRule type="expression" dxfId="5502" priority="601">
      <formula>$Q848="Cash"</formula>
    </cfRule>
  </conditionalFormatting>
  <conditionalFormatting sqref="G848">
    <cfRule type="expression" dxfId="5501" priority="600">
      <formula>$Q848="Cash"</formula>
    </cfRule>
  </conditionalFormatting>
  <conditionalFormatting sqref="L848">
    <cfRule type="expression" dxfId="5500" priority="599">
      <formula>$Q848="Cash"</formula>
    </cfRule>
  </conditionalFormatting>
  <conditionalFormatting sqref="R848">
    <cfRule type="expression" dxfId="5499" priority="598">
      <formula>$Q848="Cash"</formula>
    </cfRule>
  </conditionalFormatting>
  <conditionalFormatting sqref="D848:D849">
    <cfRule type="expression" dxfId="5498" priority="597">
      <formula>$Q848="Cash"</formula>
    </cfRule>
  </conditionalFormatting>
  <conditionalFormatting sqref="W848:W852">
    <cfRule type="expression" dxfId="5497" priority="596">
      <formula>$Q848="Cash"</formula>
    </cfRule>
  </conditionalFormatting>
  <conditionalFormatting sqref="H849:K849 A849 M849:Q849 E849:F849 S849:V849 C849">
    <cfRule type="expression" dxfId="5496" priority="594">
      <formula>$Q849="Cash"</formula>
    </cfRule>
  </conditionalFormatting>
  <conditionalFormatting sqref="G849">
    <cfRule type="expression" dxfId="5495" priority="593">
      <formula>$Q849="Cash"</formula>
    </cfRule>
  </conditionalFormatting>
  <conditionalFormatting sqref="L849">
    <cfRule type="expression" dxfId="5494" priority="592">
      <formula>$Q849="Cash"</formula>
    </cfRule>
  </conditionalFormatting>
  <conditionalFormatting sqref="R849">
    <cfRule type="expression" dxfId="5493" priority="591">
      <formula>$Q849="Cash"</formula>
    </cfRule>
  </conditionalFormatting>
  <conditionalFormatting sqref="A850 C850:V850">
    <cfRule type="expression" dxfId="5492" priority="577">
      <formula>$Q850="Cash"</formula>
    </cfRule>
  </conditionalFormatting>
  <conditionalFormatting sqref="D851">
    <cfRule type="expression" dxfId="5491" priority="575">
      <formula>$Q851="Cash"</formula>
    </cfRule>
  </conditionalFormatting>
  <conditionalFormatting sqref="H851:K851 A851:C851 M851:Q851 E851:F851 S851:V851">
    <cfRule type="expression" dxfId="5490" priority="574">
      <formula>$Q851="Cash"</formula>
    </cfRule>
  </conditionalFormatting>
  <conditionalFormatting sqref="G851">
    <cfRule type="expression" dxfId="5489" priority="573">
      <formula>$Q851="Cash"</formula>
    </cfRule>
  </conditionalFormatting>
  <conditionalFormatting sqref="L851">
    <cfRule type="expression" dxfId="5488" priority="572">
      <formula>$Q851="Cash"</formula>
    </cfRule>
  </conditionalFormatting>
  <conditionalFormatting sqref="R851">
    <cfRule type="expression" dxfId="5487" priority="571">
      <formula>$Q851="Cash"</formula>
    </cfRule>
  </conditionalFormatting>
  <conditionalFormatting sqref="D852">
    <cfRule type="expression" dxfId="5486" priority="569">
      <formula>$Q852="Cash"</formula>
    </cfRule>
  </conditionalFormatting>
  <conditionalFormatting sqref="H852:K852 A852:C852 M852:Q852 E852:F852 S852:V852">
    <cfRule type="expression" dxfId="5485" priority="568">
      <formula>$Q852="Cash"</formula>
    </cfRule>
  </conditionalFormatting>
  <conditionalFormatting sqref="G852">
    <cfRule type="expression" dxfId="5484" priority="567">
      <formula>$Q852="Cash"</formula>
    </cfRule>
  </conditionalFormatting>
  <conditionalFormatting sqref="L852">
    <cfRule type="expression" dxfId="5483" priority="566">
      <formula>$Q852="Cash"</formula>
    </cfRule>
  </conditionalFormatting>
  <conditionalFormatting sqref="R852">
    <cfRule type="expression" dxfId="5482" priority="565">
      <formula>$Q852="Cash"</formula>
    </cfRule>
  </conditionalFormatting>
  <conditionalFormatting sqref="A853:V853 E896:F897 K896:K897 Q896:Q897">
    <cfRule type="expression" dxfId="5481" priority="563">
      <formula>$Q853="Cash"</formula>
    </cfRule>
  </conditionalFormatting>
  <conditionalFormatting sqref="W853:W856">
    <cfRule type="expression" dxfId="5480" priority="561">
      <formula>$Q853="Cash"</formula>
    </cfRule>
  </conditionalFormatting>
  <conditionalFormatting sqref="M854 Q854">
    <cfRule type="expression" dxfId="5479" priority="560">
      <formula>$Q854="Cash"</formula>
    </cfRule>
  </conditionalFormatting>
  <conditionalFormatting sqref="G854">
    <cfRule type="expression" dxfId="5478" priority="559">
      <formula>#REF!="Cash"</formula>
    </cfRule>
  </conditionalFormatting>
  <conditionalFormatting sqref="H854">
    <cfRule type="expression" dxfId="5477" priority="558">
      <formula>$Q854="Cash"</formula>
    </cfRule>
  </conditionalFormatting>
  <conditionalFormatting sqref="M855 Q855">
    <cfRule type="expression" dxfId="5476" priority="556">
      <formula>$Q855="Cash"</formula>
    </cfRule>
  </conditionalFormatting>
  <conditionalFormatting sqref="G855">
    <cfRule type="expression" dxfId="5475" priority="555">
      <formula>#REF!="Cash"</formula>
    </cfRule>
  </conditionalFormatting>
  <conditionalFormatting sqref="H855">
    <cfRule type="expression" dxfId="5474" priority="554">
      <formula>$Q855="Cash"</formula>
    </cfRule>
  </conditionalFormatting>
  <conditionalFormatting sqref="M856 Q856">
    <cfRule type="expression" dxfId="5473" priority="552">
      <formula>$Q856="Cash"</formula>
    </cfRule>
  </conditionalFormatting>
  <conditionalFormatting sqref="G856">
    <cfRule type="expression" dxfId="5472" priority="551">
      <formula>#REF!="Cash"</formula>
    </cfRule>
  </conditionalFormatting>
  <conditionalFormatting sqref="H856">
    <cfRule type="expression" dxfId="5471" priority="550">
      <formula>$Q856="Cash"</formula>
    </cfRule>
  </conditionalFormatting>
  <conditionalFormatting sqref="B848:B850">
    <cfRule type="expression" dxfId="5470" priority="549">
      <formula>$Q848="Cash"</formula>
    </cfRule>
  </conditionalFormatting>
  <conditionalFormatting sqref="W754">
    <cfRule type="expression" dxfId="5469" priority="545">
      <formula>$Q754="Cash"</formula>
    </cfRule>
  </conditionalFormatting>
  <conditionalFormatting sqref="W782 W778:W780">
    <cfRule type="expression" dxfId="5468" priority="539">
      <formula>$Q778="Cash"</formula>
    </cfRule>
  </conditionalFormatting>
  <conditionalFormatting sqref="C770">
    <cfRule type="expression" dxfId="5467" priority="532">
      <formula>$Q770="Cash"</formula>
    </cfRule>
  </conditionalFormatting>
  <conditionalFormatting sqref="H770">
    <cfRule type="expression" dxfId="5466" priority="531">
      <formula>$Q770="Cash"</formula>
    </cfRule>
  </conditionalFormatting>
  <conditionalFormatting sqref="F857">
    <cfRule type="expression" dxfId="5465" priority="526">
      <formula>$Q857="Cash"</formula>
    </cfRule>
  </conditionalFormatting>
  <conditionalFormatting sqref="B857:C857 E857:N857 X857 Q857:V857">
    <cfRule type="expression" dxfId="5464" priority="525">
      <formula>$Q857="Cash"</formula>
    </cfRule>
  </conditionalFormatting>
  <conditionalFormatting sqref="C789">
    <cfRule type="expression" dxfId="5463" priority="520">
      <formula>$Q789="Cash"</formula>
    </cfRule>
  </conditionalFormatting>
  <conditionalFormatting sqref="C788">
    <cfRule type="expression" dxfId="5462" priority="519">
      <formula>$Q788="Cash"</formula>
    </cfRule>
  </conditionalFormatting>
  <conditionalFormatting sqref="W774:W775">
    <cfRule type="expression" dxfId="5461" priority="506">
      <formula>$Q774="Cash"</formula>
    </cfRule>
  </conditionalFormatting>
  <conditionalFormatting sqref="B858:F858 H858:I858 Q858:V858 K858 M858">
    <cfRule type="expression" dxfId="5460" priority="502">
      <formula>$Q858="Cash"</formula>
    </cfRule>
  </conditionalFormatting>
  <conditionalFormatting sqref="O858:P858">
    <cfRule type="expression" dxfId="5459" priority="500">
      <formula>$Q858="Cash"</formula>
    </cfRule>
  </conditionalFormatting>
  <conditionalFormatting sqref="N858">
    <cfRule type="expression" dxfId="5458" priority="499">
      <formula>$Q858="Cash"</formula>
    </cfRule>
  </conditionalFormatting>
  <conditionalFormatting sqref="W858">
    <cfRule type="expression" dxfId="5457" priority="497">
      <formula>$Q858="Cash"</formula>
    </cfRule>
  </conditionalFormatting>
  <conditionalFormatting sqref="A859:F859 H859:I859 Q859 K859:M859 S859:V859">
    <cfRule type="expression" dxfId="5456" priority="496">
      <formula>$Q859="Cash"</formula>
    </cfRule>
  </conditionalFormatting>
  <conditionalFormatting sqref="G858:G859">
    <cfRule type="expression" dxfId="5455" priority="495">
      <formula>$Q858="Cash"</formula>
    </cfRule>
  </conditionalFormatting>
  <conditionalFormatting sqref="N859">
    <cfRule type="expression" dxfId="5454" priority="493">
      <formula>$Q859="Cash"</formula>
    </cfRule>
  </conditionalFormatting>
  <conditionalFormatting sqref="W859">
    <cfRule type="expression" dxfId="5453" priority="491">
      <formula>$Q859="Cash"</formula>
    </cfRule>
  </conditionalFormatting>
  <conditionalFormatting sqref="J858">
    <cfRule type="expression" dxfId="5452" priority="490">
      <formula>$Q858="Cash"</formula>
    </cfRule>
  </conditionalFormatting>
  <conditionalFormatting sqref="O859">
    <cfRule type="expression" dxfId="5451" priority="489">
      <formula>$Q859="Cash"</formula>
    </cfRule>
  </conditionalFormatting>
  <conditionalFormatting sqref="P859">
    <cfRule type="expression" dxfId="5450" priority="488">
      <formula>$Q859="Cash"</formula>
    </cfRule>
  </conditionalFormatting>
  <conditionalFormatting sqref="L858">
    <cfRule type="expression" dxfId="5449" priority="485">
      <formula>$Q858="Cash"</formula>
    </cfRule>
  </conditionalFormatting>
  <conditionalFormatting sqref="R859">
    <cfRule type="expression" dxfId="5448" priority="484">
      <formula>$Q859="Cash"</formula>
    </cfRule>
  </conditionalFormatting>
  <conditionalFormatting sqref="A858">
    <cfRule type="expression" dxfId="5447" priority="483">
      <formula>$Q858="Cash"</formula>
    </cfRule>
  </conditionalFormatting>
  <conditionalFormatting sqref="G847">
    <cfRule type="expression" dxfId="5446" priority="482">
      <formula>$Q847="Cash"</formula>
    </cfRule>
  </conditionalFormatting>
  <conditionalFormatting sqref="G846">
    <cfRule type="expression" dxfId="5445" priority="481">
      <formula>$Q846="Cash"</formula>
    </cfRule>
  </conditionalFormatting>
  <conditionalFormatting sqref="G40">
    <cfRule type="expression" dxfId="5444" priority="480">
      <formula>$Q40="Cash"</formula>
    </cfRule>
  </conditionalFormatting>
  <conditionalFormatting sqref="D847">
    <cfRule type="expression" dxfId="5443" priority="479">
      <formula>$Q847="Cash"</formula>
    </cfRule>
  </conditionalFormatting>
  <conditionalFormatting sqref="W846">
    <cfRule type="expression" dxfId="5442" priority="478">
      <formula>$Q846="Cash"</formula>
    </cfRule>
  </conditionalFormatting>
  <conditionalFormatting sqref="W847">
    <cfRule type="expression" dxfId="5441" priority="477">
      <formula>$Q847="Cash"</formula>
    </cfRule>
  </conditionalFormatting>
  <conditionalFormatting sqref="O774:O775">
    <cfRule type="expression" dxfId="5440" priority="470">
      <formula>$Q774="Cash"</formula>
    </cfRule>
  </conditionalFormatting>
  <conditionalFormatting sqref="P774:P775">
    <cfRule type="expression" dxfId="5439" priority="469">
      <formula>$Q774="Cash"</formula>
    </cfRule>
  </conditionalFormatting>
  <conditionalFormatting sqref="D774:D775">
    <cfRule type="expression" dxfId="5438" priority="468">
      <formula>$Q774="Cash"</formula>
    </cfRule>
  </conditionalFormatting>
  <conditionalFormatting sqref="A862:B862 D862:F862 A861:F861">
    <cfRule type="expression" dxfId="5437" priority="467">
      <formula>$Q861="Cash"</formula>
    </cfRule>
  </conditionalFormatting>
  <conditionalFormatting sqref="O847">
    <cfRule type="expression" dxfId="5436" priority="459">
      <formula>$Q847="Cash"</formula>
    </cfRule>
  </conditionalFormatting>
  <conditionalFormatting sqref="P847">
    <cfRule type="expression" dxfId="5435" priority="458">
      <formula>$Q847="Cash"</formula>
    </cfRule>
  </conditionalFormatting>
  <conditionalFormatting sqref="A857">
    <cfRule type="expression" dxfId="5434" priority="457">
      <formula>$Q857="Cash"</formula>
    </cfRule>
  </conditionalFormatting>
  <conditionalFormatting sqref="Y857">
    <cfRule type="expression" dxfId="5433" priority="455">
      <formula>$Q857="Cash"</formula>
    </cfRule>
  </conditionalFormatting>
  <conditionalFormatting sqref="J862:J863">
    <cfRule type="expression" dxfId="5432" priority="452">
      <formula>$Q862="Cash"</formula>
    </cfRule>
  </conditionalFormatting>
  <conditionalFormatting sqref="C862:C863">
    <cfRule type="expression" dxfId="5431" priority="451">
      <formula>$Q862="Cash"</formula>
    </cfRule>
  </conditionalFormatting>
  <conditionalFormatting sqref="G863:I863 K863:M863 O863:V863 X863:AA863">
    <cfRule type="expression" dxfId="5430" priority="429">
      <formula>$Q863="Cash"</formula>
    </cfRule>
  </conditionalFormatting>
  <conditionalFormatting sqref="A863 D863">
    <cfRule type="expression" dxfId="5429" priority="428">
      <formula>$Q863="Cash"</formula>
    </cfRule>
  </conditionalFormatting>
  <conditionalFormatting sqref="E863:F863">
    <cfRule type="expression" dxfId="5428" priority="427">
      <formula>$Q863="Cash"</formula>
    </cfRule>
  </conditionalFormatting>
  <conditionalFormatting sqref="N863">
    <cfRule type="expression" dxfId="5427" priority="426">
      <formula>$Q863="Cash"</formula>
    </cfRule>
  </conditionalFormatting>
  <conditionalFormatting sqref="H864:I864 K864:V864 X864:AA864">
    <cfRule type="expression" dxfId="5426" priority="425">
      <formula>$Q864="Cash"</formula>
    </cfRule>
  </conditionalFormatting>
  <conditionalFormatting sqref="A864 E864:F864 C864">
    <cfRule type="expression" dxfId="5425" priority="424">
      <formula>$Q864="Cash"</formula>
    </cfRule>
  </conditionalFormatting>
  <conditionalFormatting sqref="Z865:AA880">
    <cfRule type="expression" dxfId="5424" priority="423">
      <formula>$Q865="Cash"</formula>
    </cfRule>
  </conditionalFormatting>
  <conditionalFormatting sqref="H865:I880 K865:V880 X865:AA880">
    <cfRule type="expression" dxfId="5423" priority="422">
      <formula>$Q865="Cash"</formula>
    </cfRule>
  </conditionalFormatting>
  <conditionalFormatting sqref="A873:C873 E865:F880 A865:A872 C865:C872 B863:B872 A874:A880 C874:C880 B874:B881">
    <cfRule type="expression" dxfId="5422" priority="421">
      <formula>$Q863="Cash"</formula>
    </cfRule>
  </conditionalFormatting>
  <conditionalFormatting sqref="Z881:AA881">
    <cfRule type="expression" dxfId="5421" priority="420">
      <formula>$Q881="Cash"</formula>
    </cfRule>
  </conditionalFormatting>
  <conditionalFormatting sqref="Z881:AA881">
    <cfRule type="expression" dxfId="5420" priority="419">
      <formula>$Q881="Cash"</formula>
    </cfRule>
  </conditionalFormatting>
  <conditionalFormatting sqref="H881:I881 K881:V881 X881:AA881">
    <cfRule type="expression" dxfId="5419" priority="418">
      <formula>$Q881="Cash"</formula>
    </cfRule>
  </conditionalFormatting>
  <conditionalFormatting sqref="A881 E881:F881 C881">
    <cfRule type="expression" dxfId="5418" priority="417">
      <formula>$Q881="Cash"</formula>
    </cfRule>
  </conditionalFormatting>
  <conditionalFormatting sqref="Z882:AA882">
    <cfRule type="expression" dxfId="5417" priority="416">
      <formula>$Q882="Cash"</formula>
    </cfRule>
  </conditionalFormatting>
  <conditionalFormatting sqref="Z882:AA882">
    <cfRule type="expression" dxfId="5416" priority="415">
      <formula>$Q882="Cash"</formula>
    </cfRule>
  </conditionalFormatting>
  <conditionalFormatting sqref="H882:I882 K882:V882 X882:AA882">
    <cfRule type="expression" dxfId="5415" priority="414">
      <formula>$Q882="Cash"</formula>
    </cfRule>
  </conditionalFormatting>
  <conditionalFormatting sqref="A882:C882 E882:F882">
    <cfRule type="expression" dxfId="5414" priority="413">
      <formula>$Q882="Cash"</formula>
    </cfRule>
  </conditionalFormatting>
  <conditionalFormatting sqref="Z883:AA883">
    <cfRule type="expression" dxfId="5413" priority="412">
      <formula>$Q883="Cash"</formula>
    </cfRule>
  </conditionalFormatting>
  <conditionalFormatting sqref="Z883:AA883">
    <cfRule type="expression" dxfId="5412" priority="411">
      <formula>$Q883="Cash"</formula>
    </cfRule>
  </conditionalFormatting>
  <conditionalFormatting sqref="H883:I883 K883:V883 X883:AA883">
    <cfRule type="expression" dxfId="5411" priority="410">
      <formula>$Q883="Cash"</formula>
    </cfRule>
  </conditionalFormatting>
  <conditionalFormatting sqref="A883 E883:F883 C883">
    <cfRule type="expression" dxfId="5410" priority="409">
      <formula>$Q883="Cash"</formula>
    </cfRule>
  </conditionalFormatting>
  <conditionalFormatting sqref="X884:AA884">
    <cfRule type="expression" dxfId="5409" priority="405">
      <formula>$Q884="Cash"</formula>
    </cfRule>
  </conditionalFormatting>
  <conditionalFormatting sqref="H884:K884 A884:C884 M884:Q884 E884:F884 S884:V884">
    <cfRule type="expression" dxfId="5408" priority="402">
      <formula>$Q884="Cash"</formula>
    </cfRule>
  </conditionalFormatting>
  <conditionalFormatting sqref="L884">
    <cfRule type="expression" dxfId="5407" priority="400">
      <formula>$Q884="Cash"</formula>
    </cfRule>
  </conditionalFormatting>
  <conditionalFormatting sqref="R884">
    <cfRule type="expression" dxfId="5406" priority="399">
      <formula>$Q884="Cash"</formula>
    </cfRule>
  </conditionalFormatting>
  <conditionalFormatting sqref="D864:D884">
    <cfRule type="expression" dxfId="5405" priority="398">
      <formula>$Q864="Cash"</formula>
    </cfRule>
  </conditionalFormatting>
  <conditionalFormatting sqref="W882">
    <cfRule type="expression" dxfId="5404" priority="397">
      <formula>$Q882="Cash"</formula>
    </cfRule>
  </conditionalFormatting>
  <conditionalFormatting sqref="W864:W881">
    <cfRule type="expression" dxfId="5403" priority="393">
      <formula>$Q864="Cash"</formula>
    </cfRule>
  </conditionalFormatting>
  <conditionalFormatting sqref="W883:W884">
    <cfRule type="expression" dxfId="5402" priority="382">
      <formula>$Q883="Cash"</formula>
    </cfRule>
  </conditionalFormatting>
  <conditionalFormatting sqref="B883">
    <cfRule type="expression" dxfId="5401" priority="378">
      <formula>$Q883="Cash"</formula>
    </cfRule>
  </conditionalFormatting>
  <conditionalFormatting sqref="M885:AA885">
    <cfRule type="expression" dxfId="5400" priority="377">
      <formula>$Q885="Cash"</formula>
    </cfRule>
  </conditionalFormatting>
  <conditionalFormatting sqref="H885:K885 A885 C885:F885">
    <cfRule type="expression" dxfId="5399" priority="376">
      <formula>$Q885="Cash"</formula>
    </cfRule>
  </conditionalFormatting>
  <conditionalFormatting sqref="G885">
    <cfRule type="expression" dxfId="5398" priority="375">
      <formula>$Q885="Cash"</formula>
    </cfRule>
  </conditionalFormatting>
  <conditionalFormatting sqref="L885">
    <cfRule type="expression" dxfId="5397" priority="374">
      <formula>$Q885="Cash"</formula>
    </cfRule>
  </conditionalFormatting>
  <conditionalFormatting sqref="F886 X886:AA886">
    <cfRule type="expression" dxfId="5396" priority="372">
      <formula>$Q886="Cash"</formula>
    </cfRule>
  </conditionalFormatting>
  <conditionalFormatting sqref="A886:V886">
    <cfRule type="expression" dxfId="5395" priority="371">
      <formula>$Q886="Cash"</formula>
    </cfRule>
  </conditionalFormatting>
  <conditionalFormatting sqref="C787">
    <cfRule type="expression" dxfId="5394" priority="369">
      <formula>$Q787="Cash"</formula>
    </cfRule>
  </conditionalFormatting>
  <conditionalFormatting sqref="A887:G887 I887:M887 O887:V887 Y887">
    <cfRule type="expression" dxfId="5393" priority="367">
      <formula>$Q887="Cash"</formula>
    </cfRule>
  </conditionalFormatting>
  <conditionalFormatting sqref="H887">
    <cfRule type="expression" dxfId="5392" priority="366">
      <formula>$Q887="Cash"</formula>
    </cfRule>
  </conditionalFormatting>
  <conditionalFormatting sqref="Z887">
    <cfRule type="expression" dxfId="5391" priority="365">
      <formula>$Q887="Cash"</formula>
    </cfRule>
  </conditionalFormatting>
  <conditionalFormatting sqref="AA887">
    <cfRule type="expression" dxfId="5390" priority="364">
      <formula>$Q887="Cash"</formula>
    </cfRule>
  </conditionalFormatting>
  <conditionalFormatting sqref="W829">
    <cfRule type="expression" dxfId="5389" priority="363">
      <formula>$Q829="Cash"</formula>
    </cfRule>
  </conditionalFormatting>
  <conditionalFormatting sqref="W830">
    <cfRule type="expression" dxfId="5388" priority="362">
      <formula>$Q830="Cash"</formula>
    </cfRule>
  </conditionalFormatting>
  <conditionalFormatting sqref="W832">
    <cfRule type="expression" dxfId="5387" priority="361">
      <formula>$Q832="Cash"</formula>
    </cfRule>
  </conditionalFormatting>
  <conditionalFormatting sqref="N887">
    <cfRule type="expression" dxfId="5386" priority="360">
      <formula>$Q887="Cash"</formula>
    </cfRule>
  </conditionalFormatting>
  <conditionalFormatting sqref="X887">
    <cfRule type="expression" dxfId="5385" priority="359">
      <formula>$Q887="Cash"</formula>
    </cfRule>
  </conditionalFormatting>
  <conditionalFormatting sqref="AA887">
    <cfRule type="expression" dxfId="5384" priority="358">
      <formula>$Q887="Cash"</formula>
    </cfRule>
  </conditionalFormatting>
  <conditionalFormatting sqref="W886">
    <cfRule type="expression" dxfId="5383" priority="356">
      <formula>$Q886="Cash"</formula>
    </cfRule>
  </conditionalFormatting>
  <conditionalFormatting sqref="W887">
    <cfRule type="expression" dxfId="5382" priority="354">
      <formula>$Q887="Cash"</formula>
    </cfRule>
  </conditionalFormatting>
  <conditionalFormatting sqref="A888:AA888">
    <cfRule type="expression" dxfId="5381" priority="353">
      <formula>$Q888="Cash"</formula>
    </cfRule>
  </conditionalFormatting>
  <conditionalFormatting sqref="Z889:AA889">
    <cfRule type="expression" dxfId="5380" priority="352">
      <formula>$Q889="Cash"</formula>
    </cfRule>
  </conditionalFormatting>
  <conditionalFormatting sqref="A889:AA889">
    <cfRule type="expression" dxfId="5379" priority="351">
      <formula>$Q889="Cash"</formula>
    </cfRule>
  </conditionalFormatting>
  <conditionalFormatting sqref="B885">
    <cfRule type="expression" dxfId="5378" priority="350">
      <formula>$Q885="Cash"</formula>
    </cfRule>
  </conditionalFormatting>
  <conditionalFormatting sqref="A891 E891:G891 Q891 S891:V891 I891:M891">
    <cfRule type="expression" dxfId="5377" priority="348">
      <formula>$Q891="Cash"</formula>
    </cfRule>
  </conditionalFormatting>
  <conditionalFormatting sqref="D891">
    <cfRule type="expression" dxfId="5376" priority="347">
      <formula>$Q891="Cash"</formula>
    </cfRule>
  </conditionalFormatting>
  <conditionalFormatting sqref="B891">
    <cfRule type="expression" dxfId="5375" priority="346">
      <formula>$Q891="Cash"</formula>
    </cfRule>
  </conditionalFormatting>
  <conditionalFormatting sqref="R891">
    <cfRule type="expression" dxfId="5374" priority="343">
      <formula>$Q891="Cash"</formula>
    </cfRule>
  </conditionalFormatting>
  <conditionalFormatting sqref="W891">
    <cfRule type="expression" dxfId="5373" priority="342">
      <formula>$Q891="Cash"</formula>
    </cfRule>
  </conditionalFormatting>
  <conditionalFormatting sqref="C891">
    <cfRule type="expression" dxfId="5372" priority="341">
      <formula>$Q891="Cash"</formula>
    </cfRule>
  </conditionalFormatting>
  <conditionalFormatting sqref="H891">
    <cfRule type="expression" dxfId="5371" priority="340">
      <formula>$Q891="Cash"</formula>
    </cfRule>
  </conditionalFormatting>
  <conditionalFormatting sqref="O891">
    <cfRule type="expression" dxfId="5370" priority="339">
      <formula>$Q891="Cash"</formula>
    </cfRule>
  </conditionalFormatting>
  <conditionalFormatting sqref="P891">
    <cfRule type="expression" dxfId="5369" priority="338">
      <formula>$Q891="Cash"</formula>
    </cfRule>
  </conditionalFormatting>
  <conditionalFormatting sqref="N891">
    <cfRule type="expression" dxfId="5368" priority="337">
      <formula>$Q891="Cash"</formula>
    </cfRule>
  </conditionalFormatting>
  <conditionalFormatting sqref="N891">
    <cfRule type="expression" dxfId="5367" priority="336">
      <formula>$Q891="Cash"</formula>
    </cfRule>
  </conditionalFormatting>
  <conditionalFormatting sqref="N891">
    <cfRule type="expression" dxfId="5366" priority="335">
      <formula>$Q891="Cash"</formula>
    </cfRule>
  </conditionalFormatting>
  <conditionalFormatting sqref="Z891:AA891">
    <cfRule type="expression" dxfId="5365" priority="334">
      <formula>$Q891="Cash"</formula>
    </cfRule>
  </conditionalFormatting>
  <conditionalFormatting sqref="X891:AA891">
    <cfRule type="expression" dxfId="5364" priority="333">
      <formula>$Q891="Cash"</formula>
    </cfRule>
  </conditionalFormatting>
  <conditionalFormatting sqref="A890:C890 G890:N890 Q890:V890">
    <cfRule type="expression" dxfId="5363" priority="332">
      <formula>$Q890="Cash"</formula>
    </cfRule>
  </conditionalFormatting>
  <conditionalFormatting sqref="A890:C890 G890:N890 Q890:V890">
    <cfRule type="expression" dxfId="5362" priority="331">
      <formula>$Q890="Cash"</formula>
    </cfRule>
  </conditionalFormatting>
  <conditionalFormatting sqref="E890:F890">
    <cfRule type="expression" dxfId="5361" priority="330">
      <formula>$Q890="Cash"</formula>
    </cfRule>
  </conditionalFormatting>
  <conditionalFormatting sqref="E890:F890">
    <cfRule type="expression" dxfId="5360" priority="329">
      <formula>$Q890="Cash"</formula>
    </cfRule>
  </conditionalFormatting>
  <conditionalFormatting sqref="E890:F890">
    <cfRule type="expression" dxfId="5359" priority="328">
      <formula>$Q890="Cash"</formula>
    </cfRule>
  </conditionalFormatting>
  <conditionalFormatting sqref="E890:F890">
    <cfRule type="expression" dxfId="5358" priority="327">
      <formula>$Q890="Cash"</formula>
    </cfRule>
  </conditionalFormatting>
  <conditionalFormatting sqref="E890:F890">
    <cfRule type="expression" dxfId="5357" priority="326">
      <formula>$Q890="Cash"</formula>
    </cfRule>
  </conditionalFormatting>
  <conditionalFormatting sqref="O890">
    <cfRule type="expression" dxfId="5356" priority="325">
      <formula>$Q890="Cash"</formula>
    </cfRule>
  </conditionalFormatting>
  <conditionalFormatting sqref="P890">
    <cfRule type="expression" dxfId="5355" priority="324">
      <formula>$Q890="Cash"</formula>
    </cfRule>
  </conditionalFormatting>
  <conditionalFormatting sqref="A892:AA892">
    <cfRule type="expression" dxfId="5354" priority="322">
      <formula>$Q892="Cash"</formula>
    </cfRule>
  </conditionalFormatting>
  <conditionalFormatting sqref="A893:V893 X893:AA893">
    <cfRule type="expression" dxfId="5353" priority="321">
      <formula>$Q893="Cash"</formula>
    </cfRule>
  </conditionalFormatting>
  <conditionalFormatting sqref="W893">
    <cfRule type="expression" dxfId="5352" priority="320">
      <formula>$Q893="Cash"</formula>
    </cfRule>
  </conditionalFormatting>
  <conditionalFormatting sqref="D478">
    <cfRule type="expression" dxfId="5351" priority="319">
      <formula>$Q478="Cash"</formula>
    </cfRule>
  </conditionalFormatting>
  <conditionalFormatting sqref="A894:AA894">
    <cfRule type="expression" dxfId="5350" priority="312">
      <formula>$Q894="Cash"</formula>
    </cfRule>
  </conditionalFormatting>
  <conditionalFormatting sqref="A895:D895 H895:AA895">
    <cfRule type="expression" dxfId="5349" priority="311">
      <formula>$Q895="Cash"</formula>
    </cfRule>
  </conditionalFormatting>
  <conditionalFormatting sqref="G895">
    <cfRule type="expression" dxfId="5348" priority="310">
      <formula>$Q895="Cash"</formula>
    </cfRule>
  </conditionalFormatting>
  <conditionalFormatting sqref="E895:F895">
    <cfRule type="expression" dxfId="5347" priority="309">
      <formula>$Q895="Cash"</formula>
    </cfRule>
  </conditionalFormatting>
  <conditionalFormatting sqref="J896">
    <cfRule type="expression" dxfId="5346" priority="308">
      <formula>$Q896="Cash"</formula>
    </cfRule>
  </conditionalFormatting>
  <conditionalFormatting sqref="J897">
    <cfRule type="expression" dxfId="5345" priority="307">
      <formula>$Q897="Cash"</formula>
    </cfRule>
  </conditionalFormatting>
  <conditionalFormatting sqref="X898:AA898">
    <cfRule type="expression" dxfId="5344" priority="292">
      <formula>$Q898="Cash"</formula>
    </cfRule>
  </conditionalFormatting>
  <conditionalFormatting sqref="R898">
    <cfRule type="expression" dxfId="5343" priority="291">
      <formula>$Q898="Cash"</formula>
    </cfRule>
  </conditionalFormatting>
  <conditionalFormatting sqref="R898">
    <cfRule type="expression" dxfId="5342" priority="290">
      <formula>$Q898="Cash"</formula>
    </cfRule>
  </conditionalFormatting>
  <conditionalFormatting sqref="R898">
    <cfRule type="expression" dxfId="5341" priority="289">
      <formula>$Q898="Cash"</formula>
    </cfRule>
  </conditionalFormatting>
  <conditionalFormatting sqref="R898">
    <cfRule type="expression" dxfId="5340" priority="288">
      <formula>$Q898="Cash"</formula>
    </cfRule>
  </conditionalFormatting>
  <conditionalFormatting sqref="A898:B898 N898 H898:L898 S898:V898 Q898 J899">
    <cfRule type="expression" dxfId="5339" priority="287">
      <formula>$Q898="Cash"</formula>
    </cfRule>
  </conditionalFormatting>
  <conditionalFormatting sqref="C898">
    <cfRule type="expression" dxfId="5338" priority="286">
      <formula>$Q898="Cash"</formula>
    </cfRule>
  </conditionalFormatting>
  <conditionalFormatting sqref="M898">
    <cfRule type="expression" dxfId="5337" priority="285">
      <formula>$Q898="Cash"</formula>
    </cfRule>
  </conditionalFormatting>
  <conditionalFormatting sqref="E898:F898">
    <cfRule type="expression" dxfId="5336" priority="284">
      <formula>$Q898="Cash"</formula>
    </cfRule>
  </conditionalFormatting>
  <conditionalFormatting sqref="R898">
    <cfRule type="expression" dxfId="5335" priority="283">
      <formula>$Q898="Cash"</formula>
    </cfRule>
  </conditionalFormatting>
  <conditionalFormatting sqref="D898">
    <cfRule type="expression" dxfId="5334" priority="280">
      <formula>$Q898="Cash"</formula>
    </cfRule>
  </conditionalFormatting>
  <conditionalFormatting sqref="G898">
    <cfRule type="expression" dxfId="5333" priority="278">
      <formula>$Q898="Cash"</formula>
    </cfRule>
  </conditionalFormatting>
  <conditionalFormatting sqref="H899:I899">
    <cfRule type="expression" dxfId="5332" priority="277">
      <formula>$Q899="Cash"</formula>
    </cfRule>
  </conditionalFormatting>
  <conditionalFormatting sqref="Q899:Q900">
    <cfRule type="expression" dxfId="5331" priority="276">
      <formula>$Q899="Cash"</formula>
    </cfRule>
  </conditionalFormatting>
  <conditionalFormatting sqref="L899">
    <cfRule type="expression" dxfId="5330" priority="275">
      <formula>$Q899="Cash"</formula>
    </cfRule>
  </conditionalFormatting>
  <conditionalFormatting sqref="R900">
    <cfRule type="expression" dxfId="5329" priority="274">
      <formula>$Q900="Cash"</formula>
    </cfRule>
  </conditionalFormatting>
  <conditionalFormatting sqref="R900">
    <cfRule type="expression" dxfId="5328" priority="273">
      <formula>$Q900="Cash"</formula>
    </cfRule>
  </conditionalFormatting>
  <conditionalFormatting sqref="R900">
    <cfRule type="expression" dxfId="5327" priority="272">
      <formula>$Q900="Cash"</formula>
    </cfRule>
  </conditionalFormatting>
  <conditionalFormatting sqref="R900">
    <cfRule type="expression" dxfId="5326" priority="271">
      <formula>$Q900="Cash"</formula>
    </cfRule>
  </conditionalFormatting>
  <conditionalFormatting sqref="R900">
    <cfRule type="expression" dxfId="5325" priority="270">
      <formula>$Q900="Cash"</formula>
    </cfRule>
  </conditionalFormatting>
  <conditionalFormatting sqref="Z901:AA908">
    <cfRule type="expression" dxfId="5324" priority="269">
      <formula>$Q901="Cash"</formula>
    </cfRule>
  </conditionalFormatting>
  <conditionalFormatting sqref="F901:F910">
    <cfRule type="expression" dxfId="5323" priority="268">
      <formula>$Q901="Cash"</formula>
    </cfRule>
  </conditionalFormatting>
  <conditionalFormatting sqref="E901:V906 E907:F907 H907:V907 X901:X910 B901:C910 E908:V910">
    <cfRule type="expression" dxfId="5322" priority="267">
      <formula>$Q901="Cash"</formula>
    </cfRule>
  </conditionalFormatting>
  <conditionalFormatting sqref="W901:W910">
    <cfRule type="expression" dxfId="5321" priority="266">
      <formula>$Q901="Cash"</formula>
    </cfRule>
  </conditionalFormatting>
  <conditionalFormatting sqref="D901:D910">
    <cfRule type="expression" dxfId="5320" priority="265">
      <formula>$Q901="Cash"</formula>
    </cfRule>
  </conditionalFormatting>
  <conditionalFormatting sqref="A901:A910">
    <cfRule type="expression" dxfId="5319" priority="264">
      <formula>$Q901="Cash"</formula>
    </cfRule>
  </conditionalFormatting>
  <conditionalFormatting sqref="Y901:Y910">
    <cfRule type="expression" dxfId="5318" priority="263">
      <formula>$Q901="Cash"</formula>
    </cfRule>
  </conditionalFormatting>
  <conditionalFormatting sqref="Z909:AA909">
    <cfRule type="expression" dxfId="5317" priority="254">
      <formula>$Q909="Cash"</formula>
    </cfRule>
  </conditionalFormatting>
  <conditionalFormatting sqref="Z910:AA910">
    <cfRule type="expression" dxfId="5316" priority="253">
      <formula>$Q910="Cash"</formula>
    </cfRule>
  </conditionalFormatting>
  <conditionalFormatting sqref="W857">
    <cfRule type="expression" dxfId="5315" priority="251">
      <formula>$Q857="Cash"</formula>
    </cfRule>
  </conditionalFormatting>
  <conditionalFormatting sqref="W808">
    <cfRule type="expression" dxfId="5314" priority="250">
      <formula>$Q808="Cash"</formula>
    </cfRule>
  </conditionalFormatting>
  <conditionalFormatting sqref="O857:P857 O831:P831">
    <cfRule type="expression" dxfId="5313" priority="249">
      <formula>$Q831="Cash"</formula>
    </cfRule>
  </conditionalFormatting>
  <conditionalFormatting sqref="D795">
    <cfRule type="expression" dxfId="5312" priority="248">
      <formula>$Q795="Cash"</formula>
    </cfRule>
  </conditionalFormatting>
  <conditionalFormatting sqref="D831">
    <cfRule type="expression" dxfId="5311" priority="247">
      <formula>$Q831="Cash"</formula>
    </cfRule>
  </conditionalFormatting>
  <conditionalFormatting sqref="D857">
    <cfRule type="expression" dxfId="5310" priority="246">
      <formula>$Q857="Cash"</formula>
    </cfRule>
  </conditionalFormatting>
  <conditionalFormatting sqref="W810">
    <cfRule type="expression" dxfId="5309" priority="243">
      <formula>$Q810="Cash"</formula>
    </cfRule>
  </conditionalFormatting>
  <conditionalFormatting sqref="W811">
    <cfRule type="expression" dxfId="5308" priority="242">
      <formula>$Q811="Cash"</formula>
    </cfRule>
  </conditionalFormatting>
  <conditionalFormatting sqref="W825">
    <cfRule type="expression" dxfId="5307" priority="241">
      <formula>$Q825="Cash"</formula>
    </cfRule>
  </conditionalFormatting>
  <conditionalFormatting sqref="L900">
    <cfRule type="expression" dxfId="5306" priority="239">
      <formula>$Q900="Cash"</formula>
    </cfRule>
  </conditionalFormatting>
  <conditionalFormatting sqref="A911:AA911">
    <cfRule type="expression" dxfId="5305" priority="238">
      <formula>$Q911="Cash"</formula>
    </cfRule>
  </conditionalFormatting>
  <conditionalFormatting sqref="W809">
    <cfRule type="expression" dxfId="5304" priority="231">
      <formula>$Q809="Cash"</formula>
    </cfRule>
  </conditionalFormatting>
  <conditionalFormatting sqref="D811">
    <cfRule type="expression" dxfId="5303" priority="223">
      <formula>$Q811="Cash"</formula>
    </cfRule>
  </conditionalFormatting>
  <conditionalFormatting sqref="D825">
    <cfRule type="expression" dxfId="5302" priority="222">
      <formula>$Q825="Cash"</formula>
    </cfRule>
  </conditionalFormatting>
  <conditionalFormatting sqref="O792:P792">
    <cfRule type="expression" dxfId="5301" priority="221">
      <formula>$Q792="Cash"</formula>
    </cfRule>
  </conditionalFormatting>
  <conditionalFormatting sqref="O809:P809">
    <cfRule type="expression" dxfId="5300" priority="220">
      <formula>$Q809="Cash"</formula>
    </cfRule>
  </conditionalFormatting>
  <conditionalFormatting sqref="D809 D792 D783">
    <cfRule type="expression" dxfId="5299" priority="219">
      <formula>$Q783="Cash"</formula>
    </cfRule>
  </conditionalFormatting>
  <conditionalFormatting sqref="S912:AA912">
    <cfRule type="expression" dxfId="5298" priority="218">
      <formula>$Q912="Cash"</formula>
    </cfRule>
  </conditionalFormatting>
  <conditionalFormatting sqref="A912:B912 D912 G912:Q912">
    <cfRule type="expression" dxfId="5297" priority="217">
      <formula>$Q912="Cash"</formula>
    </cfRule>
  </conditionalFormatting>
  <conditionalFormatting sqref="C912">
    <cfRule type="expression" dxfId="5296" priority="216">
      <formula>$Q912="Cash"</formula>
    </cfRule>
  </conditionalFormatting>
  <conditionalFormatting sqref="E912:F912">
    <cfRule type="expression" dxfId="5295" priority="215">
      <formula>$Q912="Cash"</formula>
    </cfRule>
  </conditionalFormatting>
  <conditionalFormatting sqref="R912">
    <cfRule type="expression" dxfId="5294" priority="214">
      <formula>$Q912="Cash"</formula>
    </cfRule>
  </conditionalFormatting>
  <conditionalFormatting sqref="R912">
    <cfRule type="expression" dxfId="5293" priority="213">
      <formula>$Q912="Cash"</formula>
    </cfRule>
  </conditionalFormatting>
  <conditionalFormatting sqref="R912">
    <cfRule type="expression" dxfId="5292" priority="212">
      <formula>$Q912="Cash"</formula>
    </cfRule>
  </conditionalFormatting>
  <conditionalFormatting sqref="R912">
    <cfRule type="expression" dxfId="5291" priority="211">
      <formula>$Q912="Cash"</formula>
    </cfRule>
  </conditionalFormatting>
  <conditionalFormatting sqref="R912">
    <cfRule type="expression" dxfId="5290" priority="210">
      <formula>$Q912="Cash"</formula>
    </cfRule>
  </conditionalFormatting>
  <conditionalFormatting sqref="A913:V913 X913:AA913">
    <cfRule type="expression" dxfId="5289" priority="209">
      <formula>$Q913="Cash"</formula>
    </cfRule>
  </conditionalFormatting>
  <conditionalFormatting sqref="A913:V913">
    <cfRule type="expression" dxfId="5288" priority="208">
      <formula>$Q913="Cash"</formula>
    </cfRule>
  </conditionalFormatting>
  <conditionalFormatting sqref="D913">
    <cfRule type="expression" dxfId="5287" priority="207">
      <formula>$Q913="Cash"</formula>
    </cfRule>
  </conditionalFormatting>
  <conditionalFormatting sqref="R913">
    <cfRule type="expression" dxfId="5286" priority="206">
      <formula>$Q913="Cash"</formula>
    </cfRule>
  </conditionalFormatting>
  <conditionalFormatting sqref="R913">
    <cfRule type="expression" dxfId="5285" priority="205">
      <formula>$Q913="Cash"</formula>
    </cfRule>
  </conditionalFormatting>
  <conditionalFormatting sqref="D913">
    <cfRule type="expression" dxfId="5284" priority="204">
      <formula>$Q913="Cash"</formula>
    </cfRule>
  </conditionalFormatting>
  <conditionalFormatting sqref="D913">
    <cfRule type="expression" dxfId="5283" priority="203">
      <formula>$Q913="Cash"</formula>
    </cfRule>
  </conditionalFormatting>
  <conditionalFormatting sqref="D913">
    <cfRule type="expression" dxfId="5282" priority="202">
      <formula>$Q913="Cash"</formula>
    </cfRule>
  </conditionalFormatting>
  <conditionalFormatting sqref="Q914">
    <cfRule type="expression" dxfId="5281" priority="201">
      <formula>$Q914="Cash"</formula>
    </cfRule>
  </conditionalFormatting>
  <conditionalFormatting sqref="L914">
    <cfRule type="expression" dxfId="5280" priority="195">
      <formula>$Q914="Cash"</formula>
    </cfRule>
  </conditionalFormatting>
  <conditionalFormatting sqref="R914">
    <cfRule type="expression" dxfId="5279" priority="194">
      <formula>$Q914="Cash"</formula>
    </cfRule>
  </conditionalFormatting>
  <conditionalFormatting sqref="Z915:AA915">
    <cfRule type="expression" dxfId="5278" priority="193">
      <formula>$Q915="Cash"</formula>
    </cfRule>
  </conditionalFormatting>
  <conditionalFormatting sqref="W915:W917">
    <cfRule type="expression" dxfId="5277" priority="192">
      <formula>$Q915="Cash"</formula>
    </cfRule>
  </conditionalFormatting>
  <conditionalFormatting sqref="M915:M917 Q915:Q917">
    <cfRule type="expression" dxfId="5276" priority="191">
      <formula>$Q915="Cash"</formula>
    </cfRule>
  </conditionalFormatting>
  <conditionalFormatting sqref="G915:G917">
    <cfRule type="expression" dxfId="5275" priority="190">
      <formula>#REF!="Cash"</formula>
    </cfRule>
  </conditionalFormatting>
  <conditionalFormatting sqref="H915:H917">
    <cfRule type="expression" dxfId="5274" priority="189">
      <formula>$Q915="Cash"</formula>
    </cfRule>
  </conditionalFormatting>
  <conditionalFormatting sqref="W913">
    <cfRule type="expression" dxfId="5273" priority="188">
      <formula>$Q913="Cash"</formula>
    </cfRule>
  </conditionalFormatting>
  <conditionalFormatting sqref="Z916:AA916">
    <cfRule type="expression" dxfId="5272" priority="186">
      <formula>$Q916="Cash"</formula>
    </cfRule>
  </conditionalFormatting>
  <conditionalFormatting sqref="W863">
    <cfRule type="expression" dxfId="5271" priority="171">
      <formula>$Q863="Cash"</formula>
    </cfRule>
  </conditionalFormatting>
  <conditionalFormatting sqref="Z917:AA917">
    <cfRule type="expression" dxfId="5270" priority="170">
      <formula>$Q917="Cash"</formula>
    </cfRule>
  </conditionalFormatting>
  <conditionalFormatting sqref="Z918:AA918">
    <cfRule type="expression" dxfId="5269" priority="169">
      <formula>$Q918="Cash"</formula>
    </cfRule>
  </conditionalFormatting>
  <conditionalFormatting sqref="W918">
    <cfRule type="expression" dxfId="5268" priority="168">
      <formula>$Q918="Cash"</formula>
    </cfRule>
  </conditionalFormatting>
  <conditionalFormatting sqref="M918 Q918">
    <cfRule type="expression" dxfId="5267" priority="167">
      <formula>$Q918="Cash"</formula>
    </cfRule>
  </conditionalFormatting>
  <conditionalFormatting sqref="G918">
    <cfRule type="expression" dxfId="5266" priority="166">
      <formula>#REF!="Cash"</formula>
    </cfRule>
  </conditionalFormatting>
  <conditionalFormatting sqref="H918">
    <cfRule type="expression" dxfId="5265" priority="165">
      <formula>$Q918="Cash"</formula>
    </cfRule>
  </conditionalFormatting>
  <conditionalFormatting sqref="Q919">
    <cfRule type="expression" dxfId="5264" priority="164">
      <formula>$Q919="Cash"</formula>
    </cfRule>
  </conditionalFormatting>
  <conditionalFormatting sqref="L919">
    <cfRule type="expression" dxfId="5263" priority="163">
      <formula>$Q919="Cash"</formula>
    </cfRule>
  </conditionalFormatting>
  <conditionalFormatting sqref="R919">
    <cfRule type="expression" dxfId="5262" priority="162">
      <formula>$Q919="Cash"</formula>
    </cfRule>
  </conditionalFormatting>
  <conditionalFormatting sqref="Q920">
    <cfRule type="expression" dxfId="5261" priority="159">
      <formula>$Q920="Cash"</formula>
    </cfRule>
  </conditionalFormatting>
  <conditionalFormatting sqref="L920">
    <cfRule type="expression" dxfId="5260" priority="158">
      <formula>$Q920="Cash"</formula>
    </cfRule>
  </conditionalFormatting>
  <conditionalFormatting sqref="R920">
    <cfRule type="expression" dxfId="5259" priority="156">
      <formula>$Q920="Cash"</formula>
    </cfRule>
  </conditionalFormatting>
  <conditionalFormatting sqref="Z921:AA921">
    <cfRule type="expression" dxfId="5258" priority="155">
      <formula>$Q921="Cash"</formula>
    </cfRule>
  </conditionalFormatting>
  <conditionalFormatting sqref="J921:J945">
    <cfRule type="expression" dxfId="5257" priority="154">
      <formula>$Q921="Cash"</formula>
    </cfRule>
  </conditionalFormatting>
  <conditionalFormatting sqref="C921:C945">
    <cfRule type="expression" dxfId="5256" priority="153">
      <formula>$Q921="Cash"</formula>
    </cfRule>
  </conditionalFormatting>
  <conditionalFormatting sqref="G921:I921 K921:M921 O921:Q921 X921:AA921 S921:V921">
    <cfRule type="expression" dxfId="5255" priority="152">
      <formula>$Q921="Cash"</formula>
    </cfRule>
  </conditionalFormatting>
  <conditionalFormatting sqref="A921:A945 D921:D945">
    <cfRule type="expression" dxfId="5254" priority="151">
      <formula>$Q921="Cash"</formula>
    </cfRule>
  </conditionalFormatting>
  <conditionalFormatting sqref="E921:F921">
    <cfRule type="expression" dxfId="5253" priority="150">
      <formula>$Q921="Cash"</formula>
    </cfRule>
  </conditionalFormatting>
  <conditionalFormatting sqref="N921:N945">
    <cfRule type="expression" dxfId="5252" priority="149">
      <formula>$Q921="Cash"</formula>
    </cfRule>
  </conditionalFormatting>
  <conditionalFormatting sqref="B921:B945">
    <cfRule type="expression" dxfId="5251" priority="148">
      <formula>$Q921="Cash"</formula>
    </cfRule>
  </conditionalFormatting>
  <conditionalFormatting sqref="R921:R945">
    <cfRule type="expression" dxfId="5250" priority="146">
      <formula>$Q921="Cash"</formula>
    </cfRule>
  </conditionalFormatting>
  <conditionalFormatting sqref="Z922:AA922">
    <cfRule type="expression" dxfId="5249" priority="145">
      <formula>$Q922="Cash"</formula>
    </cfRule>
  </conditionalFormatting>
  <conditionalFormatting sqref="G922:I922 K922:M922 O922:Q922 X922:AA922 S922:V922">
    <cfRule type="expression" dxfId="5248" priority="144">
      <formula>$Q922="Cash"</formula>
    </cfRule>
  </conditionalFormatting>
  <conditionalFormatting sqref="E922:F922">
    <cfRule type="expression" dxfId="5247" priority="143">
      <formula>$Q922="Cash"</formula>
    </cfRule>
  </conditionalFormatting>
  <conditionalFormatting sqref="Z923:AA923">
    <cfRule type="expression" dxfId="5246" priority="142">
      <formula>$Q923="Cash"</formula>
    </cfRule>
  </conditionalFormatting>
  <conditionalFormatting sqref="G923:I923 K923:M923 O923:Q923 X923:AA923 S923:V923">
    <cfRule type="expression" dxfId="5245" priority="141">
      <formula>$Q923="Cash"</formula>
    </cfRule>
  </conditionalFormatting>
  <conditionalFormatting sqref="E923:F923">
    <cfRule type="expression" dxfId="5244" priority="140">
      <formula>$Q923="Cash"</formula>
    </cfRule>
  </conditionalFormatting>
  <conditionalFormatting sqref="Z924:AA924">
    <cfRule type="expression" dxfId="5243" priority="139">
      <formula>$Q924="Cash"</formula>
    </cfRule>
  </conditionalFormatting>
  <conditionalFormatting sqref="G924:I924 K924:M924 O924:Q924 X924:AA924 S924:V924">
    <cfRule type="expression" dxfId="5242" priority="138">
      <formula>$Q924="Cash"</formula>
    </cfRule>
  </conditionalFormatting>
  <conditionalFormatting sqref="E924:F924">
    <cfRule type="expression" dxfId="5241" priority="137">
      <formula>$Q924="Cash"</formula>
    </cfRule>
  </conditionalFormatting>
  <conditionalFormatting sqref="Z925:AA925">
    <cfRule type="expression" dxfId="5240" priority="136">
      <formula>$Q925="Cash"</formula>
    </cfRule>
  </conditionalFormatting>
  <conditionalFormatting sqref="G925:I925 K925:M925 O925:Q925 X925:AA925 S925:V925">
    <cfRule type="expression" dxfId="5239" priority="135">
      <formula>$Q925="Cash"</formula>
    </cfRule>
  </conditionalFormatting>
  <conditionalFormatting sqref="E925:F925">
    <cfRule type="expression" dxfId="5238" priority="134">
      <formula>$Q925="Cash"</formula>
    </cfRule>
  </conditionalFormatting>
  <conditionalFormatting sqref="Z926:AA926">
    <cfRule type="expression" dxfId="5237" priority="133">
      <formula>$Q926="Cash"</formula>
    </cfRule>
  </conditionalFormatting>
  <conditionalFormatting sqref="G926:I926 K926:M926 O926:Q926 X926:AA926 S926:V926">
    <cfRule type="expression" dxfId="5236" priority="132">
      <formula>$Q926="Cash"</formula>
    </cfRule>
  </conditionalFormatting>
  <conditionalFormatting sqref="E926:F926">
    <cfRule type="expression" dxfId="5235" priority="131">
      <formula>$Q926="Cash"</formula>
    </cfRule>
  </conditionalFormatting>
  <conditionalFormatting sqref="Z927:AA927">
    <cfRule type="expression" dxfId="5234" priority="130">
      <formula>$Q927="Cash"</formula>
    </cfRule>
  </conditionalFormatting>
  <conditionalFormatting sqref="G927:I927 K927:M927 O927:Q927 X927:AA927 S927:V927">
    <cfRule type="expression" dxfId="5233" priority="129">
      <formula>$Q927="Cash"</formula>
    </cfRule>
  </conditionalFormatting>
  <conditionalFormatting sqref="E927:F927">
    <cfRule type="expression" dxfId="5232" priority="128">
      <formula>$Q927="Cash"</formula>
    </cfRule>
  </conditionalFormatting>
  <conditionalFormatting sqref="Z928:AA928">
    <cfRule type="expression" dxfId="5231" priority="127">
      <formula>$Q928="Cash"</formula>
    </cfRule>
  </conditionalFormatting>
  <conditionalFormatting sqref="G928:I928 K928:M928 O928:Q928 X928:AA928 S928:V928">
    <cfRule type="expression" dxfId="5230" priority="126">
      <formula>$Q928="Cash"</formula>
    </cfRule>
  </conditionalFormatting>
  <conditionalFormatting sqref="E928:F928">
    <cfRule type="expression" dxfId="5229" priority="125">
      <formula>$Q928="Cash"</formula>
    </cfRule>
  </conditionalFormatting>
  <conditionalFormatting sqref="Z929:AA929">
    <cfRule type="expression" dxfId="5228" priority="124">
      <formula>$Q929="Cash"</formula>
    </cfRule>
  </conditionalFormatting>
  <conditionalFormatting sqref="G929:I929 K929:M929 O929:Q929 X929:AA929 S929:V929">
    <cfRule type="expression" dxfId="5227" priority="123">
      <formula>$Q929="Cash"</formula>
    </cfRule>
  </conditionalFormatting>
  <conditionalFormatting sqref="E929:F929">
    <cfRule type="expression" dxfId="5226" priority="122">
      <formula>$Q929="Cash"</formula>
    </cfRule>
  </conditionalFormatting>
  <conditionalFormatting sqref="Z930:AA930">
    <cfRule type="expression" dxfId="5225" priority="121">
      <formula>$Q930="Cash"</formula>
    </cfRule>
  </conditionalFormatting>
  <conditionalFormatting sqref="G930:I930 K930:M930 O930:Q930 X930:AA930 S930:V930">
    <cfRule type="expression" dxfId="5224" priority="120">
      <formula>$Q930="Cash"</formula>
    </cfRule>
  </conditionalFormatting>
  <conditionalFormatting sqref="E930:F930">
    <cfRule type="expression" dxfId="5223" priority="119">
      <formula>$Q930="Cash"</formula>
    </cfRule>
  </conditionalFormatting>
  <conditionalFormatting sqref="Z931:AA931">
    <cfRule type="expression" dxfId="5222" priority="118">
      <formula>$Q931="Cash"</formula>
    </cfRule>
  </conditionalFormatting>
  <conditionalFormatting sqref="G931:I931 K931:M931 O931:Q931 X931:AA931 S931:V931">
    <cfRule type="expression" dxfId="5221" priority="117">
      <formula>$Q931="Cash"</formula>
    </cfRule>
  </conditionalFormatting>
  <conditionalFormatting sqref="E931:F931">
    <cfRule type="expression" dxfId="5220" priority="116">
      <formula>$Q931="Cash"</formula>
    </cfRule>
  </conditionalFormatting>
  <conditionalFormatting sqref="Z932:AA932">
    <cfRule type="expression" dxfId="5219" priority="115">
      <formula>$Q932="Cash"</formula>
    </cfRule>
  </conditionalFormatting>
  <conditionalFormatting sqref="G932:I932 K932:M932 O932:Q932 X932:AA932 S932:V932">
    <cfRule type="expression" dxfId="5218" priority="114">
      <formula>$Q932="Cash"</formula>
    </cfRule>
  </conditionalFormatting>
  <conditionalFormatting sqref="E932:F932">
    <cfRule type="expression" dxfId="5217" priority="113">
      <formula>$Q932="Cash"</formula>
    </cfRule>
  </conditionalFormatting>
  <conditionalFormatting sqref="Z933:AA933">
    <cfRule type="expression" dxfId="5216" priority="112">
      <formula>$Q933="Cash"</formula>
    </cfRule>
  </conditionalFormatting>
  <conditionalFormatting sqref="G933:I933 K933:M933 O933:Q933 X933:AA933 S933:V933">
    <cfRule type="expression" dxfId="5215" priority="111">
      <formula>$Q933="Cash"</formula>
    </cfRule>
  </conditionalFormatting>
  <conditionalFormatting sqref="E933:F933">
    <cfRule type="expression" dxfId="5214" priority="110">
      <formula>$Q933="Cash"</formula>
    </cfRule>
  </conditionalFormatting>
  <conditionalFormatting sqref="Z934:AA944">
    <cfRule type="expression" dxfId="5213" priority="109">
      <formula>$Q934="Cash"</formula>
    </cfRule>
  </conditionalFormatting>
  <conditionalFormatting sqref="G934:I944 K934:M944 O934:Q944 X934:AA944 S934:V944">
    <cfRule type="expression" dxfId="5212" priority="108">
      <formula>$Q934="Cash"</formula>
    </cfRule>
  </conditionalFormatting>
  <conditionalFormatting sqref="E934:F944">
    <cfRule type="expression" dxfId="5211" priority="107">
      <formula>$Q934="Cash"</formula>
    </cfRule>
  </conditionalFormatting>
  <conditionalFormatting sqref="Z945:AA945">
    <cfRule type="expression" dxfId="5210" priority="106">
      <formula>$Q945="Cash"</formula>
    </cfRule>
  </conditionalFormatting>
  <conditionalFormatting sqref="G945:I945 K945:M945 O945:Q945 X945:AA945 S945:V945">
    <cfRule type="expression" dxfId="5209" priority="105">
      <formula>$Q945="Cash"</formula>
    </cfRule>
  </conditionalFormatting>
  <conditionalFormatting sqref="E945:F945">
    <cfRule type="expression" dxfId="5208" priority="104">
      <formula>$Q945="Cash"</formula>
    </cfRule>
  </conditionalFormatting>
  <conditionalFormatting sqref="A946:AA946">
    <cfRule type="expression" dxfId="5207" priority="103">
      <formula>$Q946="Cash"</formula>
    </cfRule>
  </conditionalFormatting>
  <conditionalFormatting sqref="J947:J948">
    <cfRule type="expression" dxfId="5206" priority="96">
      <formula>$Q947="Cash"</formula>
    </cfRule>
  </conditionalFormatting>
  <conditionalFormatting sqref="C947:C948">
    <cfRule type="expression" dxfId="5205" priority="95">
      <formula>$Q947="Cash"</formula>
    </cfRule>
  </conditionalFormatting>
  <conditionalFormatting sqref="A947:A948">
    <cfRule type="expression" dxfId="5204" priority="94">
      <formula>$Q947="Cash"</formula>
    </cfRule>
  </conditionalFormatting>
  <conditionalFormatting sqref="N947:N948">
    <cfRule type="expression" dxfId="5203" priority="93">
      <formula>$Q947="Cash"</formula>
    </cfRule>
  </conditionalFormatting>
  <conditionalFormatting sqref="Z947:AA947">
    <cfRule type="expression" dxfId="5202" priority="89">
      <formula>$Q947="Cash"</formula>
    </cfRule>
  </conditionalFormatting>
  <conditionalFormatting sqref="G947:I947 K947:M947 O947:Q947 X947:AA947 S947:V947">
    <cfRule type="expression" dxfId="5201" priority="88">
      <formula>$Q947="Cash"</formula>
    </cfRule>
  </conditionalFormatting>
  <conditionalFormatting sqref="E947:F947">
    <cfRule type="expression" dxfId="5200" priority="87">
      <formula>$Q947="Cash"</formula>
    </cfRule>
  </conditionalFormatting>
  <conditionalFormatting sqref="Z948:AA948">
    <cfRule type="expression" dxfId="5199" priority="86">
      <formula>$Q948="Cash"</formula>
    </cfRule>
  </conditionalFormatting>
  <conditionalFormatting sqref="G948:I948 K948:M948 O948:Q948 X948:AA948 S948:V948">
    <cfRule type="expression" dxfId="5198" priority="85">
      <formula>$Q948="Cash"</formula>
    </cfRule>
  </conditionalFormatting>
  <conditionalFormatting sqref="E948:F948">
    <cfRule type="expression" dxfId="5197" priority="84">
      <formula>$Q948="Cash"</formula>
    </cfRule>
  </conditionalFormatting>
  <conditionalFormatting sqref="D947:D948">
    <cfRule type="expression" dxfId="5196" priority="79">
      <formula>$Q947="Cash"</formula>
    </cfRule>
  </conditionalFormatting>
  <conditionalFormatting sqref="W921:W945">
    <cfRule type="expression" dxfId="5195" priority="78">
      <formula>$Q921="Cash"</formula>
    </cfRule>
  </conditionalFormatting>
  <conditionalFormatting sqref="W947:W948">
    <cfRule type="expression" dxfId="5194" priority="77">
      <formula>$Q947="Cash"</formula>
    </cfRule>
  </conditionalFormatting>
  <conditionalFormatting sqref="B947:B948">
    <cfRule type="expression" dxfId="5193" priority="76">
      <formula>$Q947="Cash"</formula>
    </cfRule>
  </conditionalFormatting>
  <conditionalFormatting sqref="R947:R948">
    <cfRule type="expression" dxfId="5192" priority="75">
      <formula>$Q947="Cash"</formula>
    </cfRule>
  </conditionalFormatting>
  <conditionalFormatting sqref="J859">
    <cfRule type="expression" dxfId="5191" priority="73">
      <formula>$Q859="Cash"</formula>
    </cfRule>
  </conditionalFormatting>
  <conditionalFormatting sqref="M949 Q949">
    <cfRule type="expression" dxfId="5190" priority="71">
      <formula>$Q949="Cash"</formula>
    </cfRule>
  </conditionalFormatting>
  <conditionalFormatting sqref="G949">
    <cfRule type="expression" dxfId="5189" priority="70">
      <formula>#REF!="Cash"</formula>
    </cfRule>
  </conditionalFormatting>
  <conditionalFormatting sqref="H949">
    <cfRule type="expression" dxfId="5188" priority="69">
      <formula>$Q949="Cash"</formula>
    </cfRule>
  </conditionalFormatting>
  <conditionalFormatting sqref="Z949:AA949">
    <cfRule type="expression" dxfId="5187" priority="68">
      <formula>$Q949="Cash"</formula>
    </cfRule>
  </conditionalFormatting>
  <conditionalFormatting sqref="M950 Q950">
    <cfRule type="expression" dxfId="5186" priority="66">
      <formula>$Q950="Cash"</formula>
    </cfRule>
  </conditionalFormatting>
  <conditionalFormatting sqref="G950">
    <cfRule type="expression" dxfId="5185" priority="65">
      <formula>#REF!="Cash"</formula>
    </cfRule>
  </conditionalFormatting>
  <conditionalFormatting sqref="H950">
    <cfRule type="expression" dxfId="5184" priority="64">
      <formula>$Q950="Cash"</formula>
    </cfRule>
  </conditionalFormatting>
  <conditionalFormatting sqref="Z950:AA950">
    <cfRule type="expression" dxfId="5183" priority="63">
      <formula>$Q950="Cash"</formula>
    </cfRule>
  </conditionalFormatting>
  <conditionalFormatting sqref="W949">
    <cfRule type="expression" dxfId="5182" priority="56">
      <formula>$Q949="Cash"</formula>
    </cfRule>
  </conditionalFormatting>
  <conditionalFormatting sqref="W950">
    <cfRule type="expression" dxfId="5181" priority="55">
      <formula>$Q950="Cash"</formula>
    </cfRule>
  </conditionalFormatting>
  <conditionalFormatting sqref="Q951">
    <cfRule type="expression" dxfId="5180" priority="54">
      <formula>$Q951="Cash"</formula>
    </cfRule>
  </conditionalFormatting>
  <conditionalFormatting sqref="L951">
    <cfRule type="expression" dxfId="5179" priority="53">
      <formula>$Q951="Cash"</formula>
    </cfRule>
  </conditionalFormatting>
  <conditionalFormatting sqref="W781">
    <cfRule type="expression" dxfId="5178" priority="43">
      <formula>$Q781="Cash"</formula>
    </cfRule>
  </conditionalFormatting>
  <conditionalFormatting sqref="W831">
    <cfRule type="expression" dxfId="5177" priority="35">
      <formula>$Q831="Cash"</formula>
    </cfRule>
  </conditionalFormatting>
  <conditionalFormatting sqref="D627">
    <cfRule type="expression" dxfId="5176" priority="33">
      <formula>$Q627="Cash"</formula>
    </cfRule>
  </conditionalFormatting>
  <conditionalFormatting sqref="D630">
    <cfRule type="expression" dxfId="5175" priority="32">
      <formula>$Q630="Cash"</formula>
    </cfRule>
  </conditionalFormatting>
  <conditionalFormatting sqref="D781">
    <cfRule type="expression" dxfId="5174" priority="31">
      <formula>$Q781="Cash"</formula>
    </cfRule>
  </conditionalFormatting>
  <conditionalFormatting sqref="A952:V952 X952:AA952">
    <cfRule type="expression" dxfId="5173" priority="30">
      <formula>$Q952="Cash"</formula>
    </cfRule>
  </conditionalFormatting>
  <conditionalFormatting sqref="W952">
    <cfRule type="expression" dxfId="5172" priority="29">
      <formula>$Q952="Cash"</formula>
    </cfRule>
  </conditionalFormatting>
  <conditionalFormatting sqref="M953 Q953">
    <cfRule type="expression" dxfId="5171" priority="28">
      <formula>$Q953="Cash"</formula>
    </cfRule>
  </conditionalFormatting>
  <conditionalFormatting sqref="G953">
    <cfRule type="expression" dxfId="5170" priority="27">
      <formula>#REF!="Cash"</formula>
    </cfRule>
  </conditionalFormatting>
  <conditionalFormatting sqref="H953">
    <cfRule type="expression" dxfId="5169" priority="26">
      <formula>$Q953="Cash"</formula>
    </cfRule>
  </conditionalFormatting>
  <conditionalFormatting sqref="Z953:AA953">
    <cfRule type="expression" dxfId="5168" priority="25">
      <formula>$Q953="Cash"</formula>
    </cfRule>
  </conditionalFormatting>
  <conditionalFormatting sqref="W953">
    <cfRule type="expression" dxfId="5167" priority="24">
      <formula>$Q953="Cash"</formula>
    </cfRule>
  </conditionalFormatting>
  <conditionalFormatting sqref="F954">
    <cfRule type="expression" dxfId="5166" priority="23">
      <formula>$Q954="Cash"</formula>
    </cfRule>
  </conditionalFormatting>
  <conditionalFormatting sqref="X954 B954:C954 E954:V954">
    <cfRule type="expression" dxfId="5165" priority="22">
      <formula>$Q954="Cash"</formula>
    </cfRule>
  </conditionalFormatting>
  <conditionalFormatting sqref="W954">
    <cfRule type="expression" dxfId="5164" priority="21">
      <formula>$Q954="Cash"</formula>
    </cfRule>
  </conditionalFormatting>
  <conditionalFormatting sqref="D954">
    <cfRule type="expression" dxfId="5163" priority="20">
      <formula>$Q954="Cash"</formula>
    </cfRule>
  </conditionalFormatting>
  <conditionalFormatting sqref="A954">
    <cfRule type="expression" dxfId="5162" priority="19">
      <formula>$Q954="Cash"</formula>
    </cfRule>
  </conditionalFormatting>
  <conditionalFormatting sqref="Y954">
    <cfRule type="expression" dxfId="5161" priority="18">
      <formula>$Q954="Cash"</formula>
    </cfRule>
  </conditionalFormatting>
  <conditionalFormatting sqref="Z954:AA954">
    <cfRule type="expression" dxfId="5160" priority="17">
      <formula>$Q954="Cash"</formula>
    </cfRule>
  </conditionalFormatting>
  <conditionalFormatting sqref="A955:Q955 S955:AA955">
    <cfRule type="expression" dxfId="5159" priority="14">
      <formula>$Q955="Cash"</formula>
    </cfRule>
  </conditionalFormatting>
  <conditionalFormatting sqref="R955">
    <cfRule type="expression" dxfId="5158" priority="13">
      <formula>$Q955="Cash"</formula>
    </cfRule>
  </conditionalFormatting>
  <conditionalFormatting sqref="A956:V956 X956:AA956">
    <cfRule type="expression" dxfId="5157" priority="12">
      <formula>$Q956="Cash"</formula>
    </cfRule>
  </conditionalFormatting>
  <conditionalFormatting sqref="A957:AA957">
    <cfRule type="expression" dxfId="5156" priority="11">
      <formula>$Q957="Cash"</formula>
    </cfRule>
  </conditionalFormatting>
  <conditionalFormatting sqref="A958:V958 X958:AA958">
    <cfRule type="expression" dxfId="5155" priority="10">
      <formula>$Q958="Cash"</formula>
    </cfRule>
  </conditionalFormatting>
  <conditionalFormatting sqref="A959:V959 X959:AA959">
    <cfRule type="expression" dxfId="5154" priority="9">
      <formula>$Q959="Cash"</formula>
    </cfRule>
  </conditionalFormatting>
  <conditionalFormatting sqref="A960:V960 X960:AA960">
    <cfRule type="expression" dxfId="5153" priority="8">
      <formula>$Q960="Cash"</formula>
    </cfRule>
  </conditionalFormatting>
  <conditionalFormatting sqref="W956">
    <cfRule type="expression" dxfId="5152" priority="7">
      <formula>$Q956="Cash"</formula>
    </cfRule>
  </conditionalFormatting>
  <conditionalFormatting sqref="W958">
    <cfRule type="expression" dxfId="5151" priority="3">
      <formula>$Q958="Cash"</formula>
    </cfRule>
  </conditionalFormatting>
  <conditionalFormatting sqref="W959">
    <cfRule type="expression" dxfId="5150" priority="2">
      <formula>$Q959="Cash"</formula>
    </cfRule>
  </conditionalFormatting>
  <conditionalFormatting sqref="W960">
    <cfRule type="expression" dxfId="5149" priority="1">
      <formula>$Q960="Cash"</formula>
    </cfRule>
  </conditionalFormatting>
  <dataValidations count="1">
    <dataValidation type="list" showInputMessage="1" showErrorMessage="1" sqref="Z887:AA887 AA888:AA895 AA898 AA915:AA918 AA921:AA950 AA901:AA913 AA5:AA886 AA952:AA960" xr:uid="{629BEB2B-84D5-464E-86A1-A359E9E42D9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6" r:id="rId4" name="Button 62">
              <controlPr defaultSize="0" print="0" autoFill="0" autoPict="0" macro="[0]!Remove_Filter">
                <anchor moveWithCells="1" sizeWithCells="1">
                  <from>
                    <xdr:col>0</xdr:col>
                    <xdr:colOff>152400</xdr:colOff>
                    <xdr:row>0</xdr:row>
                    <xdr:rowOff>133350</xdr:rowOff>
                  </from>
                  <to>
                    <xdr:col>1</xdr:col>
                    <xdr:colOff>171450</xdr:colOff>
                    <xdr:row>0</xdr:row>
                    <xdr:rowOff>400050</xdr:rowOff>
                  </to>
                </anchor>
              </controlPr>
            </control>
          </mc:Choice>
        </mc:AlternateContent>
        <mc:AlternateContent xmlns:mc="http://schemas.openxmlformats.org/markup-compatibility/2006">
          <mc:Choice Requires="x14">
            <control shapeId="1087" r:id="rId5" name="Button 63">
              <controlPr defaultSize="0" print="0" autoFill="0" autoPict="0" macro="[0]!Pending_Amendment">
                <anchor moveWithCells="1" sizeWithCells="1">
                  <from>
                    <xdr:col>0</xdr:col>
                    <xdr:colOff>152400</xdr:colOff>
                    <xdr:row>0</xdr:row>
                    <xdr:rowOff>533400</xdr:rowOff>
                  </from>
                  <to>
                    <xdr:col>1</xdr:col>
                    <xdr:colOff>180975</xdr:colOff>
                    <xdr:row>0</xdr:row>
                    <xdr:rowOff>800100</xdr:rowOff>
                  </to>
                </anchor>
              </controlPr>
            </control>
          </mc:Choice>
        </mc:AlternateContent>
        <mc:AlternateContent xmlns:mc="http://schemas.openxmlformats.org/markup-compatibility/2006">
          <mc:Choice Requires="x14">
            <control shapeId="1088" r:id="rId6" name="Button 64">
              <controlPr defaultSize="0" print="0" autoFill="0" autoPict="0" macro="[0]!Pending_Issuance_Filter">
                <anchor moveWithCells="1" sizeWithCells="1">
                  <from>
                    <xdr:col>1</xdr:col>
                    <xdr:colOff>276225</xdr:colOff>
                    <xdr:row>0</xdr:row>
                    <xdr:rowOff>133350</xdr:rowOff>
                  </from>
                  <to>
                    <xdr:col>2</xdr:col>
                    <xdr:colOff>590550</xdr:colOff>
                    <xdr:row>0</xdr:row>
                    <xdr:rowOff>400050</xdr:rowOff>
                  </to>
                </anchor>
              </controlPr>
            </control>
          </mc:Choice>
        </mc:AlternateContent>
        <mc:AlternateContent xmlns:mc="http://schemas.openxmlformats.org/markup-compatibility/2006">
          <mc:Choice Requires="x14">
            <control shapeId="1089" r:id="rId7" name="Button 65">
              <controlPr defaultSize="0" print="0" autoFill="0" autoPict="0" macro="[0]!Pending_Submitted_to_Bank_Filter">
                <anchor moveWithCells="1" sizeWithCells="1">
                  <from>
                    <xdr:col>1</xdr:col>
                    <xdr:colOff>285750</xdr:colOff>
                    <xdr:row>0</xdr:row>
                    <xdr:rowOff>533400</xdr:rowOff>
                  </from>
                  <to>
                    <xdr:col>2</xdr:col>
                    <xdr:colOff>590550</xdr:colOff>
                    <xdr:row>0</xdr:row>
                    <xdr:rowOff>800100</xdr:rowOff>
                  </to>
                </anchor>
              </controlPr>
            </control>
          </mc:Choice>
        </mc:AlternateContent>
        <mc:AlternateContent xmlns:mc="http://schemas.openxmlformats.org/markup-compatibility/2006">
          <mc:Choice Requires="x14">
            <control shapeId="1090" r:id="rId8" name="Button 66">
              <controlPr defaultSize="0" print="0" autoFill="0" autoPict="0" macro="[0]!Issuance_Completed_Filter">
                <anchor moveWithCells="1" sizeWithCells="1">
                  <from>
                    <xdr:col>2</xdr:col>
                    <xdr:colOff>714375</xdr:colOff>
                    <xdr:row>0</xdr:row>
                    <xdr:rowOff>133350</xdr:rowOff>
                  </from>
                  <to>
                    <xdr:col>3</xdr:col>
                    <xdr:colOff>581025</xdr:colOff>
                    <xdr:row>0</xdr:row>
                    <xdr:rowOff>400050</xdr:rowOff>
                  </to>
                </anchor>
              </controlPr>
            </control>
          </mc:Choice>
        </mc:AlternateContent>
        <mc:AlternateContent xmlns:mc="http://schemas.openxmlformats.org/markup-compatibility/2006">
          <mc:Choice Requires="x14">
            <control shapeId="1091" r:id="rId9" name="Button 67">
              <controlPr defaultSize="0" print="0" autoFill="0" autoPict="0" macro="[0]!Pending_Issuance_Recd_to_Open_Filter">
                <anchor moveWithCells="1" sizeWithCells="1">
                  <from>
                    <xdr:col>2</xdr:col>
                    <xdr:colOff>704850</xdr:colOff>
                    <xdr:row>0</xdr:row>
                    <xdr:rowOff>533400</xdr:rowOff>
                  </from>
                  <to>
                    <xdr:col>3</xdr:col>
                    <xdr:colOff>590550</xdr:colOff>
                    <xdr:row>0</xdr:row>
                    <xdr:rowOff>800100</xdr:rowOff>
                  </to>
                </anchor>
              </controlPr>
            </control>
          </mc:Choice>
        </mc:AlternateContent>
        <mc:AlternateContent xmlns:mc="http://schemas.openxmlformats.org/markup-compatibility/2006">
          <mc:Choice Requires="x14">
            <control shapeId="1246" r:id="rId10" name="Button 222">
              <controlPr defaultSize="0" autoFill="0" autoPict="0" macro="[0]!Check_Presentation">
                <anchor moveWithCells="1" sizeWithCells="1">
                  <from>
                    <xdr:col>1</xdr:col>
                    <xdr:colOff>209550</xdr:colOff>
                    <xdr:row>0</xdr:row>
                    <xdr:rowOff>838200</xdr:rowOff>
                  </from>
                  <to>
                    <xdr:col>1</xdr:col>
                    <xdr:colOff>600075</xdr:colOff>
                    <xdr:row>2</xdr:row>
                    <xdr:rowOff>57150</xdr:rowOff>
                  </to>
                </anchor>
              </controlPr>
            </control>
          </mc:Choice>
        </mc:AlternateContent>
      </controls>
    </mc:Choice>
  </mc:AlternateContent>
  <tableParts count="1">
    <tablePart r:id="rId11"/>
  </tableParts>
  <extLst>
    <ext xmlns:x14="http://schemas.microsoft.com/office/spreadsheetml/2009/9/main" uri="{CCE6A557-97BC-4b89-ADB6-D9C93CAAB3DF}">
      <x14:dataValidations xmlns:xm="http://schemas.microsoft.com/office/excel/2006/main" count="1">
        <x14:dataValidation type="list" allowBlank="1" showInputMessage="1" showErrorMessage="1" xr:uid="{F80A4F01-9D6E-41BD-9E52-14272CA3BCFE}">
          <x14:formula1>
            <xm:f>'Data Validation'!$F$3:$F$9</xm:f>
          </x14:formula1>
          <xm:sqref>D5:D960</xm:sqref>
        </x14:dataValidation>
      </x14:dataValidations>
    </ext>
    <ext xmlns:x15="http://schemas.microsoft.com/office/spreadsheetml/2010/11/main" uri="{3A4CF648-6AED-40f4-86FF-DC5316D8AED3}">
      <x14:slicerList xmlns:x14="http://schemas.microsoft.com/office/spreadsheetml/2009/9/main">
        <x14:slicer r:id="rId12"/>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6831C0-A523-4251-A42B-FB061BA4708D}">
  <sheetPr codeName="Sheet2">
    <tabColor rgb="FF00B050"/>
  </sheetPr>
  <dimension ref="A1:AD1617"/>
  <sheetViews>
    <sheetView showGridLines="0" zoomScaleNormal="100" workbookViewId="0">
      <selection activeCell="E1638" sqref="E1638"/>
    </sheetView>
  </sheetViews>
  <sheetFormatPr defaultColWidth="8.7109375" defaultRowHeight="15" x14ac:dyDescent="0.25"/>
  <cols>
    <col min="1" max="1" width="17.28515625" bestFit="1" customWidth="1"/>
    <col min="2" max="2" width="12.140625" customWidth="1"/>
    <col min="3" max="3" width="19" customWidth="1"/>
    <col min="4" max="4" width="26.5703125" customWidth="1"/>
    <col min="5" max="5" width="14.28515625" customWidth="1"/>
    <col min="6" max="6" width="7.85546875" customWidth="1"/>
    <col min="7" max="7" width="18.28515625" customWidth="1"/>
    <col min="8" max="8" width="7.85546875" customWidth="1"/>
    <col min="9" max="9" width="67.28515625" customWidth="1"/>
    <col min="10" max="10" width="18.7109375" customWidth="1"/>
    <col min="11" max="11" width="21.42578125" customWidth="1"/>
    <col min="12" max="12" width="15.42578125" customWidth="1"/>
    <col min="13" max="13" width="7.28515625" customWidth="1"/>
    <col min="14" max="14" width="17.28515625" customWidth="1"/>
    <col min="15" max="15" width="28.28515625" customWidth="1"/>
    <col min="16" max="16" width="16.7109375" customWidth="1"/>
    <col min="17" max="17" width="20" customWidth="1"/>
    <col min="18" max="18" width="11.5703125" customWidth="1"/>
    <col min="19" max="19" width="21.140625" customWidth="1"/>
    <col min="20" max="20" width="12" customWidth="1"/>
    <col min="21" max="21" width="53" bestFit="1" customWidth="1"/>
    <col min="22" max="22" width="21.42578125" customWidth="1"/>
    <col min="23" max="23" width="13.28515625" customWidth="1"/>
    <col min="24" max="24" width="63.140625" customWidth="1"/>
    <col min="25" max="25" width="14.5703125" customWidth="1"/>
    <col min="26" max="26" width="10.42578125" customWidth="1"/>
    <col min="27" max="27" width="21.5703125" customWidth="1"/>
    <col min="28" max="28" width="19.5703125" bestFit="1" customWidth="1"/>
    <col min="29" max="30" width="14.28515625" bestFit="1" customWidth="1"/>
  </cols>
  <sheetData>
    <row r="1" spans="1:30" ht="36" customHeight="1" thickBot="1" x14ac:dyDescent="0.3">
      <c r="AA1" s="235" t="s">
        <v>1888</v>
      </c>
      <c r="AB1" s="467">
        <v>141140370.33000001</v>
      </c>
      <c r="AC1" s="314"/>
      <c r="AD1" s="425"/>
    </row>
    <row r="2" spans="1:30" ht="22.9" customHeight="1" thickBot="1" x14ac:dyDescent="0.3">
      <c r="A2" t="s">
        <v>4547</v>
      </c>
      <c r="AA2" s="235" t="s">
        <v>1889</v>
      </c>
      <c r="AB2" s="326">
        <f>AB1*100/115</f>
        <v>122730756.80869567</v>
      </c>
      <c r="AC2" s="8"/>
    </row>
    <row r="3" spans="1:30" ht="39" customHeight="1" x14ac:dyDescent="0.35">
      <c r="C3" s="204"/>
      <c r="D3" s="204"/>
      <c r="E3" s="204"/>
      <c r="F3" s="627" t="s">
        <v>1110</v>
      </c>
      <c r="G3" s="627"/>
      <c r="H3" s="627"/>
      <c r="I3" s="627"/>
      <c r="J3" s="627"/>
      <c r="K3" s="627"/>
      <c r="L3" s="204"/>
      <c r="M3" s="204"/>
      <c r="N3" s="204"/>
      <c r="O3" s="204"/>
      <c r="P3" s="204"/>
      <c r="Q3" s="204"/>
      <c r="R3" s="204"/>
      <c r="S3" s="204"/>
      <c r="T3" s="204"/>
      <c r="U3" s="204"/>
      <c r="V3" s="204"/>
      <c r="W3" s="204"/>
    </row>
    <row r="4" spans="1:30" ht="15.75" x14ac:dyDescent="0.25">
      <c r="A4" s="267" t="s">
        <v>0</v>
      </c>
      <c r="B4" s="267" t="s">
        <v>847</v>
      </c>
      <c r="C4" s="267" t="s">
        <v>848</v>
      </c>
      <c r="D4" s="268" t="s">
        <v>841</v>
      </c>
      <c r="E4" s="269" t="s">
        <v>849</v>
      </c>
      <c r="F4" s="269" t="s">
        <v>850</v>
      </c>
      <c r="G4" s="268" t="s">
        <v>3</v>
      </c>
      <c r="H4" s="269" t="s">
        <v>15</v>
      </c>
      <c r="I4" s="269" t="s">
        <v>4</v>
      </c>
      <c r="J4" s="269" t="s">
        <v>5</v>
      </c>
      <c r="K4" s="269" t="s">
        <v>6</v>
      </c>
      <c r="L4" s="269" t="s">
        <v>846</v>
      </c>
      <c r="M4" s="269" t="s">
        <v>7</v>
      </c>
      <c r="N4" s="269" t="s">
        <v>851</v>
      </c>
      <c r="O4" s="269" t="s">
        <v>2</v>
      </c>
      <c r="P4" s="269" t="s">
        <v>907</v>
      </c>
      <c r="Q4" s="269" t="s">
        <v>852</v>
      </c>
      <c r="R4" s="269" t="s">
        <v>9</v>
      </c>
      <c r="S4" s="269" t="s">
        <v>853</v>
      </c>
      <c r="T4" s="269" t="s">
        <v>854</v>
      </c>
      <c r="U4" s="269" t="s">
        <v>16</v>
      </c>
      <c r="V4" s="269" t="s">
        <v>855</v>
      </c>
      <c r="W4" s="270" t="s">
        <v>12</v>
      </c>
      <c r="X4" s="248" t="s">
        <v>17</v>
      </c>
      <c r="Y4" s="396" t="s">
        <v>3853</v>
      </c>
      <c r="Z4" s="271" t="s">
        <v>1161</v>
      </c>
      <c r="AA4" s="271" t="s">
        <v>1165</v>
      </c>
      <c r="AB4" s="272" t="s">
        <v>1166</v>
      </c>
    </row>
    <row r="5" spans="1:30" ht="15.75" hidden="1" x14ac:dyDescent="0.25">
      <c r="A5" s="14" t="s">
        <v>260</v>
      </c>
      <c r="B5" s="15">
        <v>45305</v>
      </c>
      <c r="C5" s="26">
        <v>1</v>
      </c>
      <c r="D5" s="55" t="str">
        <f>VLOOKUP(Main_Presentation[[#This Row],[LC Number]],Main_Issuance[],3,0)</f>
        <v>Mohammed Kotb</v>
      </c>
      <c r="E5" s="16" t="s">
        <v>856</v>
      </c>
      <c r="F5" s="17" t="str">
        <f>VLOOKUP(Main_Presentation[[#This Row],[LC Number]],Main_Issuance[],5,0)</f>
        <v>Alinma</v>
      </c>
      <c r="G5" s="17" t="str">
        <f>VLOOKUP(Main_Presentation[[#This Row],[LC Number]],Main_Issuance[],6,0)</f>
        <v>KSP</v>
      </c>
      <c r="H5" s="17" t="str">
        <f>VLOOKUP(Main_Presentation[[#This Row],[LC Number]],Main_Issuance[],17,0)</f>
        <v>Cash</v>
      </c>
      <c r="I5" s="17" t="str">
        <f>VLOOKUP(Main_Presentation[[#This Row],[LC Number]],Main_Issuance[],7,0)</f>
        <v>BRANCH OF TECON LIMITED</v>
      </c>
      <c r="J5" s="17" t="str">
        <f>VLOOKUP(Main_Presentation[[#This Row],[LC Number]],Main_Issuance[],8,0)</f>
        <v>ICAD</v>
      </c>
      <c r="K5" s="17" t="str">
        <f>VLOOKUP(Main_Presentation[[#This Row],[LC Number]],Main_Issuance[],9,0)</f>
        <v>ABHA</v>
      </c>
      <c r="L5" s="17">
        <f>VLOOKUP(Main_Presentation[[#This Row],[LC Number]],Main_Issuance[],10,0)</f>
        <v>1020070</v>
      </c>
      <c r="M5" s="17" t="str">
        <f>VLOOKUP(Main_Presentation[[#This Row],[LC Number]],Main_Issuance[],11,0)</f>
        <v>SAR</v>
      </c>
      <c r="N5" s="84">
        <f>VLOOKUP(Main_Presentation[[#This Row],[LC Number]],Main_Issuance[],12,0)</f>
        <v>707020</v>
      </c>
      <c r="O5" s="16" t="s">
        <v>20</v>
      </c>
      <c r="P5" s="16" t="s">
        <v>857</v>
      </c>
      <c r="Q5" s="18">
        <v>246726.75</v>
      </c>
      <c r="R5" s="18">
        <v>1</v>
      </c>
      <c r="S5" s="18">
        <f>Main_Presentation[[#This Row],[Invoice Amt (FCY)]]*Main_Presentation[[#This Row],[Rate]]</f>
        <v>246726.75</v>
      </c>
      <c r="T5" s="15">
        <v>45299</v>
      </c>
      <c r="U5" s="26">
        <f>VLOOKUP(Main_Presentation[[#This Row],[LC Number]],Main_Issuance[],18,0)</f>
        <v>0</v>
      </c>
      <c r="V5" s="19" t="s">
        <v>377</v>
      </c>
      <c r="W5" s="18" t="s">
        <v>857</v>
      </c>
      <c r="X5" s="16"/>
      <c r="Y5" s="234" t="str">
        <f>TRIM(LEFT(Main_Presentation[[#This Row],[Payment Terms]],3))</f>
        <v>0</v>
      </c>
      <c r="Z5" s="16"/>
      <c r="AA5" s="316" cm="1">
        <f t="array" ref="AA5">Settlement(Main_Presentation[[#This Row],[Bank]],Main_Presentation[[#This Row],[ Invoice Amt (SAR)]],Main_Presentation[[#This Row],[Date Recd]],Main_Presentation[[#This Row],[Due Date]],Main_Presentation[[#This Row],[Days]])</f>
        <v>1437.5</v>
      </c>
      <c r="AB5" s="16"/>
    </row>
    <row r="6" spans="1:30" ht="15.75" hidden="1" x14ac:dyDescent="0.25">
      <c r="A6" s="14" t="s">
        <v>260</v>
      </c>
      <c r="B6" s="15">
        <v>45453</v>
      </c>
      <c r="C6" s="26">
        <v>2</v>
      </c>
      <c r="D6" s="55" t="str">
        <f>VLOOKUP(Main_Presentation[[#This Row],[LC Number]],Main_Issuance[],3,0)</f>
        <v>Mohammed Kotb</v>
      </c>
      <c r="E6" s="16" t="s">
        <v>856</v>
      </c>
      <c r="F6" s="17" t="str">
        <f>VLOOKUP(Main_Presentation[[#This Row],[LC Number]],Main_Issuance[],5,0)</f>
        <v>Alinma</v>
      </c>
      <c r="G6" s="17" t="str">
        <f>VLOOKUP(Main_Presentation[[#This Row],[LC Number]],Main_Issuance[],6,0)</f>
        <v>KSP</v>
      </c>
      <c r="H6" s="17" t="str">
        <f>VLOOKUP(Main_Presentation[[#This Row],[LC Number]],Main_Issuance[],17,0)</f>
        <v>Cash</v>
      </c>
      <c r="I6" s="17" t="str">
        <f>VLOOKUP(Main_Presentation[[#This Row],[LC Number]],Main_Issuance[],7,0)</f>
        <v>BRANCH OF TECON LIMITED</v>
      </c>
      <c r="J6" s="17" t="str">
        <f>VLOOKUP(Main_Presentation[[#This Row],[LC Number]],Main_Issuance[],8,0)</f>
        <v>ICAD</v>
      </c>
      <c r="K6" s="17" t="str">
        <f>VLOOKUP(Main_Presentation[[#This Row],[LC Number]],Main_Issuance[],9,0)</f>
        <v>ABHA</v>
      </c>
      <c r="L6" s="17">
        <f>VLOOKUP(Main_Presentation[[#This Row],[LC Number]],Main_Issuance[],10,0)</f>
        <v>1020070</v>
      </c>
      <c r="M6" s="17" t="str">
        <f>VLOOKUP(Main_Presentation[[#This Row],[LC Number]],Main_Issuance[],11,0)</f>
        <v>SAR</v>
      </c>
      <c r="N6" s="84">
        <f>VLOOKUP(Main_Presentation[[#This Row],[LC Number]],Main_Issuance[],12,0)</f>
        <v>707020</v>
      </c>
      <c r="O6" s="16" t="s">
        <v>20</v>
      </c>
      <c r="P6" s="16" t="s">
        <v>857</v>
      </c>
      <c r="Q6" s="18">
        <v>176755.45</v>
      </c>
      <c r="R6" s="18">
        <v>1</v>
      </c>
      <c r="S6" s="18">
        <f>Main_Presentation[[#This Row],[Invoice Amt (FCY)]]*Main_Presentation[[#This Row],[Rate]]</f>
        <v>176755.45</v>
      </c>
      <c r="T6" s="15">
        <v>45470</v>
      </c>
      <c r="U6" s="26">
        <f>VLOOKUP(Main_Presentation[[#This Row],[LC Number]],Main_Issuance[],18,0)</f>
        <v>0</v>
      </c>
      <c r="V6" s="19" t="s">
        <v>377</v>
      </c>
      <c r="W6" s="18" t="s">
        <v>857</v>
      </c>
      <c r="X6" s="16"/>
      <c r="Y6" s="234" t="str">
        <f>TRIM(LEFT(Main_Presentation[[#This Row],[Payment Terms]],3))</f>
        <v>0</v>
      </c>
      <c r="Z6" s="16"/>
      <c r="AA6" s="316" cm="1">
        <f t="array" ref="AA6">Settlement(Main_Presentation[[#This Row],[Bank]],Main_Presentation[[#This Row],[ Invoice Amt (SAR)]],Main_Presentation[[#This Row],[Date Recd]],Main_Presentation[[#This Row],[Due Date]],Main_Presentation[[#This Row],[Days]])</f>
        <v>1437.5</v>
      </c>
      <c r="AB6" s="16"/>
    </row>
    <row r="7" spans="1:30" ht="15.75" hidden="1" x14ac:dyDescent="0.25">
      <c r="A7" s="14" t="s">
        <v>260</v>
      </c>
      <c r="B7" s="15">
        <v>45497</v>
      </c>
      <c r="C7" s="26">
        <v>3</v>
      </c>
      <c r="D7" s="55" t="str">
        <f>VLOOKUP(Main_Presentation[[#This Row],[LC Number]],Main_Issuance[],3,0)</f>
        <v>Mohammed Kotb</v>
      </c>
      <c r="E7" s="16" t="s">
        <v>856</v>
      </c>
      <c r="F7" s="17" t="str">
        <f>VLOOKUP(Main_Presentation[[#This Row],[LC Number]],Main_Issuance[],5,0)</f>
        <v>Alinma</v>
      </c>
      <c r="G7" s="17" t="str">
        <f>VLOOKUP(Main_Presentation[[#This Row],[LC Number]],Main_Issuance[],6,0)</f>
        <v>KSP</v>
      </c>
      <c r="H7" s="17" t="str">
        <f>VLOOKUP(Main_Presentation[[#This Row],[LC Number]],Main_Issuance[],17,0)</f>
        <v>Cash</v>
      </c>
      <c r="I7" s="17" t="str">
        <f>VLOOKUP(Main_Presentation[[#This Row],[LC Number]],Main_Issuance[],7,0)</f>
        <v>BRANCH OF TECON LIMITED</v>
      </c>
      <c r="J7" s="17" t="str">
        <f>VLOOKUP(Main_Presentation[[#This Row],[LC Number]],Main_Issuance[],8,0)</f>
        <v>ICAD</v>
      </c>
      <c r="K7" s="17" t="str">
        <f>VLOOKUP(Main_Presentation[[#This Row],[LC Number]],Main_Issuance[],9,0)</f>
        <v>ABHA</v>
      </c>
      <c r="L7" s="17">
        <f>VLOOKUP(Main_Presentation[[#This Row],[LC Number]],Main_Issuance[],10,0)</f>
        <v>1020070</v>
      </c>
      <c r="M7" s="17" t="str">
        <f>VLOOKUP(Main_Presentation[[#This Row],[LC Number]],Main_Issuance[],11,0)</f>
        <v>SAR</v>
      </c>
      <c r="N7" s="84">
        <f>VLOOKUP(Main_Presentation[[#This Row],[LC Number]],Main_Issuance[],12,0)</f>
        <v>707020</v>
      </c>
      <c r="O7" s="16" t="s">
        <v>20</v>
      </c>
      <c r="P7" s="16" t="s">
        <v>857</v>
      </c>
      <c r="Q7" s="18">
        <v>275027.8</v>
      </c>
      <c r="R7" s="18">
        <v>1</v>
      </c>
      <c r="S7" s="18">
        <f>Main_Presentation[[#This Row],[Invoice Amt (FCY)]]*Main_Presentation[[#This Row],[Rate]]</f>
        <v>275027.8</v>
      </c>
      <c r="T7" s="15">
        <v>45498</v>
      </c>
      <c r="U7" s="26">
        <f>VLOOKUP(Main_Presentation[[#This Row],[LC Number]],Main_Issuance[],18,0)</f>
        <v>0</v>
      </c>
      <c r="V7" s="19" t="s">
        <v>377</v>
      </c>
      <c r="W7" s="18" t="s">
        <v>857</v>
      </c>
      <c r="X7" s="16"/>
      <c r="Y7" s="234" t="str">
        <f>TRIM(LEFT(Main_Presentation[[#This Row],[Payment Terms]],3))</f>
        <v>0</v>
      </c>
      <c r="Z7" s="16"/>
      <c r="AA7" s="316" cm="1">
        <f t="array" ref="AA7">Settlement(Main_Presentation[[#This Row],[Bank]],Main_Presentation[[#This Row],[ Invoice Amt (SAR)]],Main_Presentation[[#This Row],[Date Recd]],Main_Presentation[[#This Row],[Due Date]],Main_Presentation[[#This Row],[Days]])</f>
        <v>1437.5</v>
      </c>
      <c r="AB7" s="16"/>
    </row>
    <row r="8" spans="1:30" ht="15.75" hidden="1" x14ac:dyDescent="0.25">
      <c r="A8" s="14" t="s">
        <v>260</v>
      </c>
      <c r="B8" s="15">
        <v>45538</v>
      </c>
      <c r="C8" s="26">
        <v>4</v>
      </c>
      <c r="D8" s="55" t="str">
        <f>VLOOKUP(Main_Presentation[[#This Row],[LC Number]],Main_Issuance[],3,0)</f>
        <v>Mohammed Kotb</v>
      </c>
      <c r="E8" s="16" t="s">
        <v>858</v>
      </c>
      <c r="F8" s="17" t="str">
        <f>VLOOKUP(Main_Presentation[[#This Row],[LC Number]],Main_Issuance[],5,0)</f>
        <v>Alinma</v>
      </c>
      <c r="G8" s="17" t="str">
        <f>VLOOKUP(Main_Presentation[[#This Row],[LC Number]],Main_Issuance[],6,0)</f>
        <v>KSP</v>
      </c>
      <c r="H8" s="17" t="str">
        <f>VLOOKUP(Main_Presentation[[#This Row],[LC Number]],Main_Issuance[],17,0)</f>
        <v>Cash</v>
      </c>
      <c r="I8" s="17" t="str">
        <f>VLOOKUP(Main_Presentation[[#This Row],[LC Number]],Main_Issuance[],7,0)</f>
        <v>BRANCH OF TECON LIMITED</v>
      </c>
      <c r="J8" s="17" t="str">
        <f>VLOOKUP(Main_Presentation[[#This Row],[LC Number]],Main_Issuance[],8,0)</f>
        <v>ICAD</v>
      </c>
      <c r="K8" s="17" t="str">
        <f>VLOOKUP(Main_Presentation[[#This Row],[LC Number]],Main_Issuance[],9,0)</f>
        <v>ABHA</v>
      </c>
      <c r="L8" s="17">
        <f>VLOOKUP(Main_Presentation[[#This Row],[LC Number]],Main_Issuance[],10,0)</f>
        <v>1020070</v>
      </c>
      <c r="M8" s="17" t="str">
        <f>VLOOKUP(Main_Presentation[[#This Row],[LC Number]],Main_Issuance[],11,0)</f>
        <v>SAR</v>
      </c>
      <c r="N8" s="84">
        <f>VLOOKUP(Main_Presentation[[#This Row],[LC Number]],Main_Issuance[],12,0)</f>
        <v>707020</v>
      </c>
      <c r="O8" s="16" t="s">
        <v>20</v>
      </c>
      <c r="P8" s="16" t="s">
        <v>857</v>
      </c>
      <c r="Q8" s="18">
        <v>8510</v>
      </c>
      <c r="R8" s="18">
        <v>1</v>
      </c>
      <c r="S8" s="18">
        <f>Main_Presentation[[#This Row],[Invoice Amt (FCY)]]*Main_Presentation[[#This Row],[Rate]]</f>
        <v>8510</v>
      </c>
      <c r="T8" s="15">
        <v>45554</v>
      </c>
      <c r="U8" s="26">
        <f>VLOOKUP(Main_Presentation[[#This Row],[LC Number]],Main_Issuance[],18,0)</f>
        <v>0</v>
      </c>
      <c r="V8" s="19" t="s">
        <v>377</v>
      </c>
      <c r="W8" s="18" t="s">
        <v>857</v>
      </c>
      <c r="X8" s="16"/>
      <c r="Y8" s="234" t="str">
        <f>TRIM(LEFT(Main_Presentation[[#This Row],[Payment Terms]],3))</f>
        <v>0</v>
      </c>
      <c r="Z8" s="16"/>
      <c r="AA8" s="316" cm="1">
        <f t="array" ref="AA8">Settlement(Main_Presentation[[#This Row],[Bank]],Main_Presentation[[#This Row],[ Invoice Amt (SAR)]],Main_Presentation[[#This Row],[Date Recd]],Main_Presentation[[#This Row],[Due Date]],Main_Presentation[[#This Row],[Days]])</f>
        <v>1437.5</v>
      </c>
      <c r="AB8" s="16"/>
    </row>
    <row r="9" spans="1:30" ht="15.75" hidden="1" x14ac:dyDescent="0.25">
      <c r="A9" s="20" t="s">
        <v>654</v>
      </c>
      <c r="B9" s="15">
        <v>45708</v>
      </c>
      <c r="C9" s="26">
        <v>1</v>
      </c>
      <c r="D9" s="55" t="str">
        <f>VLOOKUP(Main_Presentation[[#This Row],[LC Number]],Main_Issuance[],3,0)</f>
        <v>Hassan Taleb</v>
      </c>
      <c r="E9" s="16" t="s">
        <v>856</v>
      </c>
      <c r="F9" s="16" t="str">
        <f>VLOOKUP(Main_Presentation[[#This Row],[LC Number]],Main_Issuance[],5,0)</f>
        <v>Alinma</v>
      </c>
      <c r="G9" s="16" t="str">
        <f>VLOOKUP(Main_Presentation[[#This Row],[LC Number]],Main_Issuance[],6,0)</f>
        <v>KSP</v>
      </c>
      <c r="H9" s="16" t="str">
        <f>VLOOKUP(Main_Presentation[[#This Row],[LC Number]],Main_Issuance[],17,0)</f>
        <v>Credit</v>
      </c>
      <c r="I9" s="16" t="str">
        <f>VLOOKUP(Main_Presentation[[#This Row],[LC Number]],Main_Issuance[],7,0)</f>
        <v>ISAM KABBANI &amp; PARTNERS LTD - UNITECH</v>
      </c>
      <c r="J9" s="16" t="str">
        <f>VLOOKUP(Main_Presentation[[#This Row],[LC Number]],Main_Issuance[],8,0)</f>
        <v>FIRST FIX</v>
      </c>
      <c r="K9" s="16" t="str">
        <f>VLOOKUP(Main_Presentation[[#This Row],[LC Number]],Main_Issuance[],9,0)</f>
        <v>KSP</v>
      </c>
      <c r="L9" s="16">
        <f>VLOOKUP(Main_Presentation[[#This Row],[LC Number]],Main_Issuance[],10,0)</f>
        <v>1020055</v>
      </c>
      <c r="M9" s="16" t="str">
        <f>VLOOKUP(Main_Presentation[[#This Row],[LC Number]],Main_Issuance[],11,0)</f>
        <v>SAR</v>
      </c>
      <c r="N9" s="86">
        <f>VLOOKUP(Main_Presentation[[#This Row],[LC Number]],Main_Issuance[],12,0)</f>
        <v>500000</v>
      </c>
      <c r="O9" s="16" t="s">
        <v>20</v>
      </c>
      <c r="P9" s="16" t="s">
        <v>857</v>
      </c>
      <c r="Q9" s="131">
        <v>500000</v>
      </c>
      <c r="R9" s="18">
        <v>1</v>
      </c>
      <c r="S9" s="18">
        <f>Main_Presentation[[#This Row],[Invoice Amt (FCY)]]*Main_Presentation[[#This Row],[Rate]]</f>
        <v>500000</v>
      </c>
      <c r="T9" s="15">
        <v>45789</v>
      </c>
      <c r="U9" s="26" t="str">
        <f>VLOOKUP(Main_Presentation[[#This Row],[LC Number]],Main_Issuance[],18,0)</f>
        <v>90 Days from Invoice Date</v>
      </c>
      <c r="V9" s="21" t="s">
        <v>1333</v>
      </c>
      <c r="W9" s="22" t="s">
        <v>378</v>
      </c>
      <c r="X9" s="16"/>
      <c r="Y9" s="234" t="str">
        <f>TRIM(LEFT(Main_Presentation[[#This Row],[Payment Terms]],3))</f>
        <v>90</v>
      </c>
      <c r="Z9" s="16"/>
      <c r="AA9" s="316" cm="1">
        <f t="array" ref="AA9">Settlement(Main_Presentation[[#This Row],[Bank]],Main_Presentation[[#This Row],[ Invoice Amt (SAR)]],Main_Presentation[[#This Row],[Date Recd]],Main_Presentation[[#This Row],[Due Date]],Main_Presentation[[#This Row],[Days]])</f>
        <v>1437.5</v>
      </c>
      <c r="AB9" s="16"/>
    </row>
    <row r="10" spans="1:30" ht="15.75" hidden="1" x14ac:dyDescent="0.25">
      <c r="A10" s="14" t="s">
        <v>125</v>
      </c>
      <c r="B10" s="15">
        <v>45061</v>
      </c>
      <c r="C10" s="26">
        <v>1</v>
      </c>
      <c r="D10" s="55" t="str">
        <f>VLOOKUP(Main_Presentation[[#This Row],[LC Number]],Main_Issuance[],3,0)</f>
        <v>Bassam Marawie</v>
      </c>
      <c r="E10" s="16" t="s">
        <v>856</v>
      </c>
      <c r="F10" s="17" t="str">
        <f>VLOOKUP(Main_Presentation[[#This Row],[LC Number]],Main_Issuance[],5,0)</f>
        <v>Alinma</v>
      </c>
      <c r="G10" s="17" t="str">
        <f>VLOOKUP(Main_Presentation[[#This Row],[LC Number]],Main_Issuance[],6,0)</f>
        <v>KSP</v>
      </c>
      <c r="H10" s="17" t="str">
        <f>VLOOKUP(Main_Presentation[[#This Row],[LC Number]],Main_Issuance[],17,0)</f>
        <v>Credit</v>
      </c>
      <c r="I10" s="17" t="str">
        <f>VLOOKUP(Main_Presentation[[#This Row],[LC Number]],Main_Issuance[],7,0)</f>
        <v>SCHNEIDER ELECTRIC S.A. CO. LTD</v>
      </c>
      <c r="J10" s="17" t="str">
        <f>VLOOKUP(Main_Presentation[[#This Row],[LC Number]],Main_Issuance[],8,0)</f>
        <v>FIRST FIX</v>
      </c>
      <c r="K10" s="17" t="str">
        <f>VLOOKUP(Main_Presentation[[#This Row],[LC Number]],Main_Issuance[],9,0)</f>
        <v>ADF</v>
      </c>
      <c r="L10" s="17">
        <f>VLOOKUP(Main_Presentation[[#This Row],[LC Number]],Main_Issuance[],10,0)</f>
        <v>1020001</v>
      </c>
      <c r="M10" s="17" t="str">
        <f>VLOOKUP(Main_Presentation[[#This Row],[LC Number]],Main_Issuance[],11,0)</f>
        <v>SAR</v>
      </c>
      <c r="N10" s="84">
        <f>VLOOKUP(Main_Presentation[[#This Row],[LC Number]],Main_Issuance[],12,0)</f>
        <v>2101567.5</v>
      </c>
      <c r="O10" s="16" t="s">
        <v>20</v>
      </c>
      <c r="P10" s="16" t="s">
        <v>857</v>
      </c>
      <c r="Q10" s="18">
        <v>2101567.5</v>
      </c>
      <c r="R10" s="18">
        <v>1</v>
      </c>
      <c r="S10" s="18">
        <f>Main_Presentation[[#This Row],[Invoice Amt (FCY)]]*Main_Presentation[[#This Row],[Rate]]</f>
        <v>2101567.5</v>
      </c>
      <c r="T10" s="15">
        <v>45041</v>
      </c>
      <c r="U10" s="26" t="str">
        <f>VLOOKUP(Main_Presentation[[#This Row],[LC Number]],Main_Issuance[],18,0)</f>
        <v>30 Days from Delivery Date</v>
      </c>
      <c r="V10" s="19" t="s">
        <v>90</v>
      </c>
      <c r="W10" s="18" t="s">
        <v>857</v>
      </c>
      <c r="X10" s="16"/>
      <c r="Y10" s="234" t="str">
        <f>TRIM(LEFT(Main_Presentation[[#This Row],[Payment Terms]],3))</f>
        <v>30</v>
      </c>
      <c r="Z10" s="16"/>
      <c r="AA10" s="316" cm="1">
        <f t="array" ref="AA10">Settlement(Main_Presentation[[#This Row],[Bank]],Main_Presentation[[#This Row],[ Invoice Amt (SAR)]],Main_Presentation[[#This Row],[Date Recd]],Main_Presentation[[#This Row],[Due Date]],Main_Presentation[[#This Row],[Days]])</f>
        <v>1437.5</v>
      </c>
      <c r="AB10" s="16"/>
    </row>
    <row r="11" spans="1:30" ht="15.75" hidden="1" x14ac:dyDescent="0.25">
      <c r="A11" s="14" t="s">
        <v>147</v>
      </c>
      <c r="B11" s="15">
        <v>45068</v>
      </c>
      <c r="C11" s="26">
        <v>1</v>
      </c>
      <c r="D11" s="55" t="str">
        <f>VLOOKUP(Main_Presentation[[#This Row],[LC Number]],Main_Issuance[],3,0)</f>
        <v>Bassam Marawie</v>
      </c>
      <c r="E11" s="16" t="s">
        <v>856</v>
      </c>
      <c r="F11" s="17" t="str">
        <f>VLOOKUP(Main_Presentation[[#This Row],[LC Number]],Main_Issuance[],5,0)</f>
        <v>Alinma</v>
      </c>
      <c r="G11" s="17" t="str">
        <f>VLOOKUP(Main_Presentation[[#This Row],[LC Number]],Main_Issuance[],6,0)</f>
        <v>KSP</v>
      </c>
      <c r="H11" s="17" t="str">
        <f>VLOOKUP(Main_Presentation[[#This Row],[LC Number]],Main_Issuance[],17,0)</f>
        <v>Credit</v>
      </c>
      <c r="I11" s="17" t="str">
        <f>VLOOKUP(Main_Presentation[[#This Row],[LC Number]],Main_Issuance[],7,0)</f>
        <v>AL MOUSA TRADING COMPANY</v>
      </c>
      <c r="J11" s="17" t="str">
        <f>VLOOKUP(Main_Presentation[[#This Row],[LC Number]],Main_Issuance[],8,0)</f>
        <v>FIRST FIX</v>
      </c>
      <c r="K11" s="17" t="str">
        <f>VLOOKUP(Main_Presentation[[#This Row],[LC Number]],Main_Issuance[],9,0)</f>
        <v>ADF</v>
      </c>
      <c r="L11" s="17">
        <f>VLOOKUP(Main_Presentation[[#This Row],[LC Number]],Main_Issuance[],10,0)</f>
        <v>1020001</v>
      </c>
      <c r="M11" s="17" t="str">
        <f>VLOOKUP(Main_Presentation[[#This Row],[LC Number]],Main_Issuance[],11,0)</f>
        <v>SAR</v>
      </c>
      <c r="N11" s="84">
        <f>VLOOKUP(Main_Presentation[[#This Row],[LC Number]],Main_Issuance[],12,0)</f>
        <v>2952344.02</v>
      </c>
      <c r="O11" s="16" t="s">
        <v>20</v>
      </c>
      <c r="P11" s="16" t="s">
        <v>857</v>
      </c>
      <c r="Q11" s="18">
        <v>1312152.92</v>
      </c>
      <c r="R11" s="18">
        <v>1</v>
      </c>
      <c r="S11" s="18">
        <f>Main_Presentation[[#This Row],[Invoice Amt (FCY)]]*Main_Presentation[[#This Row],[Rate]]</f>
        <v>1312152.92</v>
      </c>
      <c r="T11" s="15">
        <v>45041</v>
      </c>
      <c r="U11" s="26">
        <f>VLOOKUP(Main_Presentation[[#This Row],[LC Number]],Main_Issuance[],18,0)</f>
        <v>0</v>
      </c>
      <c r="V11" s="19" t="s">
        <v>90</v>
      </c>
      <c r="W11" s="18" t="s">
        <v>857</v>
      </c>
      <c r="X11" s="16"/>
      <c r="Y11" s="234" t="str">
        <f>TRIM(LEFT(Main_Presentation[[#This Row],[Payment Terms]],3))</f>
        <v>0</v>
      </c>
      <c r="Z11" s="16"/>
      <c r="AA11" s="316" cm="1">
        <f t="array" ref="AA11">Settlement(Main_Presentation[[#This Row],[Bank]],Main_Presentation[[#This Row],[ Invoice Amt (SAR)]],Main_Presentation[[#This Row],[Date Recd]],Main_Presentation[[#This Row],[Due Date]],Main_Presentation[[#This Row],[Days]])</f>
        <v>1437.5</v>
      </c>
      <c r="AB11" s="16"/>
    </row>
    <row r="12" spans="1:30" ht="15.75" hidden="1" x14ac:dyDescent="0.25">
      <c r="A12" s="14" t="s">
        <v>147</v>
      </c>
      <c r="B12" s="15">
        <v>45217</v>
      </c>
      <c r="C12" s="26">
        <v>2</v>
      </c>
      <c r="D12" s="55" t="str">
        <f>VLOOKUP(Main_Presentation[[#This Row],[LC Number]],Main_Issuance[],3,0)</f>
        <v>Bassam Marawie</v>
      </c>
      <c r="E12" s="16" t="s">
        <v>856</v>
      </c>
      <c r="F12" s="17" t="str">
        <f>VLOOKUP(Main_Presentation[[#This Row],[LC Number]],Main_Issuance[],5,0)</f>
        <v>Alinma</v>
      </c>
      <c r="G12" s="17" t="str">
        <f>VLOOKUP(Main_Presentation[[#This Row],[LC Number]],Main_Issuance[],6,0)</f>
        <v>KSP</v>
      </c>
      <c r="H12" s="17" t="str">
        <f>VLOOKUP(Main_Presentation[[#This Row],[LC Number]],Main_Issuance[],17,0)</f>
        <v>Credit</v>
      </c>
      <c r="I12" s="17" t="str">
        <f>VLOOKUP(Main_Presentation[[#This Row],[LC Number]],Main_Issuance[],7,0)</f>
        <v>AL MOUSA TRADING COMPANY</v>
      </c>
      <c r="J12" s="17" t="str">
        <f>VLOOKUP(Main_Presentation[[#This Row],[LC Number]],Main_Issuance[],8,0)</f>
        <v>FIRST FIX</v>
      </c>
      <c r="K12" s="17" t="str">
        <f>VLOOKUP(Main_Presentation[[#This Row],[LC Number]],Main_Issuance[],9,0)</f>
        <v>ADF</v>
      </c>
      <c r="L12" s="17">
        <f>VLOOKUP(Main_Presentation[[#This Row],[LC Number]],Main_Issuance[],10,0)</f>
        <v>1020001</v>
      </c>
      <c r="M12" s="17" t="str">
        <f>VLOOKUP(Main_Presentation[[#This Row],[LC Number]],Main_Issuance[],11,0)</f>
        <v>SAR</v>
      </c>
      <c r="N12" s="84">
        <f>VLOOKUP(Main_Presentation[[#This Row],[LC Number]],Main_Issuance[],12,0)</f>
        <v>2952344.02</v>
      </c>
      <c r="O12" s="16" t="s">
        <v>20</v>
      </c>
      <c r="P12" s="16" t="s">
        <v>857</v>
      </c>
      <c r="Q12" s="18">
        <v>1640191.1</v>
      </c>
      <c r="R12" s="18">
        <v>1</v>
      </c>
      <c r="S12" s="18">
        <f>Main_Presentation[[#This Row],[Invoice Amt (FCY)]]*Main_Presentation[[#This Row],[Rate]]</f>
        <v>1640191.1</v>
      </c>
      <c r="T12" s="15">
        <v>45041</v>
      </c>
      <c r="U12" s="26">
        <f>VLOOKUP(Main_Presentation[[#This Row],[LC Number]],Main_Issuance[],18,0)</f>
        <v>0</v>
      </c>
      <c r="V12" s="19" t="s">
        <v>90</v>
      </c>
      <c r="W12" s="18" t="s">
        <v>857</v>
      </c>
      <c r="X12" s="16"/>
      <c r="Y12" s="234" t="str">
        <f>TRIM(LEFT(Main_Presentation[[#This Row],[Payment Terms]],3))</f>
        <v>0</v>
      </c>
      <c r="Z12" s="16"/>
      <c r="AA12" s="316" cm="1">
        <f t="array" ref="AA12">Settlement(Main_Presentation[[#This Row],[Bank]],Main_Presentation[[#This Row],[ Invoice Amt (SAR)]],Main_Presentation[[#This Row],[Date Recd]],Main_Presentation[[#This Row],[Due Date]],Main_Presentation[[#This Row],[Days]])</f>
        <v>1437.5</v>
      </c>
      <c r="AB12" s="16"/>
    </row>
    <row r="13" spans="1:30" ht="15.75" hidden="1" x14ac:dyDescent="0.25">
      <c r="A13" s="14" t="s">
        <v>214</v>
      </c>
      <c r="B13" s="15">
        <v>45102</v>
      </c>
      <c r="C13" s="26">
        <v>1</v>
      </c>
      <c r="D13" s="55" t="str">
        <f>VLOOKUP(Main_Presentation[[#This Row],[LC Number]],Main_Issuance[],3,0)</f>
        <v>Bassam Marawie</v>
      </c>
      <c r="E13" s="16" t="s">
        <v>856</v>
      </c>
      <c r="F13" s="17" t="str">
        <f>VLOOKUP(Main_Presentation[[#This Row],[LC Number]],Main_Issuance[],5,0)</f>
        <v>Alinma</v>
      </c>
      <c r="G13" s="17" t="str">
        <f>VLOOKUP(Main_Presentation[[#This Row],[LC Number]],Main_Issuance[],6,0)</f>
        <v>KSP</v>
      </c>
      <c r="H13" s="17" t="str">
        <f>VLOOKUP(Main_Presentation[[#This Row],[LC Number]],Main_Issuance[],17,0)</f>
        <v>Credit</v>
      </c>
      <c r="I13" s="17" t="str">
        <f>VLOOKUP(Main_Presentation[[#This Row],[LC Number]],Main_Issuance[],7,0)</f>
        <v>ELECTRIC HOUSE TRADING COMPANY LLC</v>
      </c>
      <c r="J13" s="17" t="str">
        <f>VLOOKUP(Main_Presentation[[#This Row],[LC Number]],Main_Issuance[],8,0)</f>
        <v>FIRST FIX</v>
      </c>
      <c r="K13" s="17" t="str">
        <f>VLOOKUP(Main_Presentation[[#This Row],[LC Number]],Main_Issuance[],9,0)</f>
        <v>ADF</v>
      </c>
      <c r="L13" s="17">
        <f>VLOOKUP(Main_Presentation[[#This Row],[LC Number]],Main_Issuance[],10,0)</f>
        <v>1020001</v>
      </c>
      <c r="M13" s="17" t="str">
        <f>VLOOKUP(Main_Presentation[[#This Row],[LC Number]],Main_Issuance[],11,0)</f>
        <v>SAR</v>
      </c>
      <c r="N13" s="84">
        <f>VLOOKUP(Main_Presentation[[#This Row],[LC Number]],Main_Issuance[],12,0)</f>
        <v>9577116</v>
      </c>
      <c r="O13" s="16" t="s">
        <v>20</v>
      </c>
      <c r="P13" s="16" t="s">
        <v>857</v>
      </c>
      <c r="Q13" s="18">
        <v>376682.55</v>
      </c>
      <c r="R13" s="18">
        <v>1</v>
      </c>
      <c r="S13" s="18">
        <f>Main_Presentation[[#This Row],[Invoice Amt (FCY)]]*Main_Presentation[[#This Row],[Rate]]</f>
        <v>376682.55</v>
      </c>
      <c r="T13" s="15">
        <v>45041</v>
      </c>
      <c r="U13" s="26">
        <f>VLOOKUP(Main_Presentation[[#This Row],[LC Number]],Main_Issuance[],18,0)</f>
        <v>0</v>
      </c>
      <c r="V13" s="19" t="s">
        <v>90</v>
      </c>
      <c r="W13" s="18" t="s">
        <v>857</v>
      </c>
      <c r="X13" s="16"/>
      <c r="Y13" s="234" t="str">
        <f>TRIM(LEFT(Main_Presentation[[#This Row],[Payment Terms]],3))</f>
        <v>0</v>
      </c>
      <c r="Z13" s="16"/>
      <c r="AA13" s="316" cm="1">
        <f t="array" ref="AA13">Settlement(Main_Presentation[[#This Row],[Bank]],Main_Presentation[[#This Row],[ Invoice Amt (SAR)]],Main_Presentation[[#This Row],[Date Recd]],Main_Presentation[[#This Row],[Due Date]],Main_Presentation[[#This Row],[Days]])</f>
        <v>1437.5</v>
      </c>
      <c r="AB13" s="16"/>
    </row>
    <row r="14" spans="1:30" ht="15.75" hidden="1" x14ac:dyDescent="0.25">
      <c r="A14" s="14" t="s">
        <v>214</v>
      </c>
      <c r="B14" s="15">
        <v>45167</v>
      </c>
      <c r="C14" s="26">
        <v>2</v>
      </c>
      <c r="D14" s="55" t="str">
        <f>VLOOKUP(Main_Presentation[[#This Row],[LC Number]],Main_Issuance[],3,0)</f>
        <v>Bassam Marawie</v>
      </c>
      <c r="E14" s="16" t="s">
        <v>856</v>
      </c>
      <c r="F14" s="17" t="str">
        <f>VLOOKUP(Main_Presentation[[#This Row],[LC Number]],Main_Issuance[],5,0)</f>
        <v>Alinma</v>
      </c>
      <c r="G14" s="17" t="str">
        <f>VLOOKUP(Main_Presentation[[#This Row],[LC Number]],Main_Issuance[],6,0)</f>
        <v>KSP</v>
      </c>
      <c r="H14" s="17" t="str">
        <f>VLOOKUP(Main_Presentation[[#This Row],[LC Number]],Main_Issuance[],17,0)</f>
        <v>Credit</v>
      </c>
      <c r="I14" s="17" t="str">
        <f>VLOOKUP(Main_Presentation[[#This Row],[LC Number]],Main_Issuance[],7,0)</f>
        <v>ELECTRIC HOUSE TRADING COMPANY LLC</v>
      </c>
      <c r="J14" s="17" t="str">
        <f>VLOOKUP(Main_Presentation[[#This Row],[LC Number]],Main_Issuance[],8,0)</f>
        <v>FIRST FIX</v>
      </c>
      <c r="K14" s="17" t="str">
        <f>VLOOKUP(Main_Presentation[[#This Row],[LC Number]],Main_Issuance[],9,0)</f>
        <v>ADF</v>
      </c>
      <c r="L14" s="17">
        <f>VLOOKUP(Main_Presentation[[#This Row],[LC Number]],Main_Issuance[],10,0)</f>
        <v>1020001</v>
      </c>
      <c r="M14" s="17" t="str">
        <f>VLOOKUP(Main_Presentation[[#This Row],[LC Number]],Main_Issuance[],11,0)</f>
        <v>SAR</v>
      </c>
      <c r="N14" s="84">
        <f>VLOOKUP(Main_Presentation[[#This Row],[LC Number]],Main_Issuance[],12,0)</f>
        <v>9577116</v>
      </c>
      <c r="O14" s="16" t="s">
        <v>20</v>
      </c>
      <c r="P14" s="16" t="s">
        <v>857</v>
      </c>
      <c r="Q14" s="18">
        <v>2502912.5699999998</v>
      </c>
      <c r="R14" s="18">
        <v>1</v>
      </c>
      <c r="S14" s="18">
        <f>Main_Presentation[[#This Row],[Invoice Amt (FCY)]]*Main_Presentation[[#This Row],[Rate]]</f>
        <v>2502912.5699999998</v>
      </c>
      <c r="T14" s="15">
        <v>45041</v>
      </c>
      <c r="U14" s="26">
        <f>VLOOKUP(Main_Presentation[[#This Row],[LC Number]],Main_Issuance[],18,0)</f>
        <v>0</v>
      </c>
      <c r="V14" s="19" t="s">
        <v>90</v>
      </c>
      <c r="W14" s="18" t="s">
        <v>857</v>
      </c>
      <c r="X14" s="16"/>
      <c r="Y14" s="234" t="str">
        <f>TRIM(LEFT(Main_Presentation[[#This Row],[Payment Terms]],3))</f>
        <v>0</v>
      </c>
      <c r="Z14" s="16"/>
      <c r="AA14" s="316" cm="1">
        <f t="array" ref="AA14">Settlement(Main_Presentation[[#This Row],[Bank]],Main_Presentation[[#This Row],[ Invoice Amt (SAR)]],Main_Presentation[[#This Row],[Date Recd]],Main_Presentation[[#This Row],[Due Date]],Main_Presentation[[#This Row],[Days]])</f>
        <v>1437.5</v>
      </c>
      <c r="AB14" s="16"/>
    </row>
    <row r="15" spans="1:30" ht="15.75" hidden="1" x14ac:dyDescent="0.25">
      <c r="A15" s="14" t="s">
        <v>214</v>
      </c>
      <c r="B15" s="15">
        <v>45167</v>
      </c>
      <c r="C15" s="26">
        <v>3</v>
      </c>
      <c r="D15" s="55" t="str">
        <f>VLOOKUP(Main_Presentation[[#This Row],[LC Number]],Main_Issuance[],3,0)</f>
        <v>Bassam Marawie</v>
      </c>
      <c r="E15" s="16" t="s">
        <v>856</v>
      </c>
      <c r="F15" s="17" t="str">
        <f>VLOOKUP(Main_Presentation[[#This Row],[LC Number]],Main_Issuance[],5,0)</f>
        <v>Alinma</v>
      </c>
      <c r="G15" s="17" t="str">
        <f>VLOOKUP(Main_Presentation[[#This Row],[LC Number]],Main_Issuance[],6,0)</f>
        <v>KSP</v>
      </c>
      <c r="H15" s="17" t="str">
        <f>VLOOKUP(Main_Presentation[[#This Row],[LC Number]],Main_Issuance[],17,0)</f>
        <v>Credit</v>
      </c>
      <c r="I15" s="17" t="str">
        <f>VLOOKUP(Main_Presentation[[#This Row],[LC Number]],Main_Issuance[],7,0)</f>
        <v>ELECTRIC HOUSE TRADING COMPANY LLC</v>
      </c>
      <c r="J15" s="17" t="str">
        <f>VLOOKUP(Main_Presentation[[#This Row],[LC Number]],Main_Issuance[],8,0)</f>
        <v>FIRST FIX</v>
      </c>
      <c r="K15" s="17" t="str">
        <f>VLOOKUP(Main_Presentation[[#This Row],[LC Number]],Main_Issuance[],9,0)</f>
        <v>ADF</v>
      </c>
      <c r="L15" s="17">
        <f>VLOOKUP(Main_Presentation[[#This Row],[LC Number]],Main_Issuance[],10,0)</f>
        <v>1020001</v>
      </c>
      <c r="M15" s="17" t="str">
        <f>VLOOKUP(Main_Presentation[[#This Row],[LC Number]],Main_Issuance[],11,0)</f>
        <v>SAR</v>
      </c>
      <c r="N15" s="84">
        <f>VLOOKUP(Main_Presentation[[#This Row],[LC Number]],Main_Issuance[],12,0)</f>
        <v>9577116</v>
      </c>
      <c r="O15" s="16" t="s">
        <v>20</v>
      </c>
      <c r="P15" s="16" t="s">
        <v>857</v>
      </c>
      <c r="Q15" s="18">
        <v>1941142.85</v>
      </c>
      <c r="R15" s="18">
        <v>1</v>
      </c>
      <c r="S15" s="18">
        <f>Main_Presentation[[#This Row],[Invoice Amt (FCY)]]*Main_Presentation[[#This Row],[Rate]]</f>
        <v>1941142.85</v>
      </c>
      <c r="T15" s="15">
        <v>45041</v>
      </c>
      <c r="U15" s="26">
        <f>VLOOKUP(Main_Presentation[[#This Row],[LC Number]],Main_Issuance[],18,0)</f>
        <v>0</v>
      </c>
      <c r="V15" s="19" t="s">
        <v>90</v>
      </c>
      <c r="W15" s="18" t="s">
        <v>857</v>
      </c>
      <c r="X15" s="16"/>
      <c r="Y15" s="234" t="str">
        <f>TRIM(LEFT(Main_Presentation[[#This Row],[Payment Terms]],3))</f>
        <v>0</v>
      </c>
      <c r="Z15" s="16"/>
      <c r="AA15" s="316" cm="1">
        <f t="array" ref="AA15">Settlement(Main_Presentation[[#This Row],[Bank]],Main_Presentation[[#This Row],[ Invoice Amt (SAR)]],Main_Presentation[[#This Row],[Date Recd]],Main_Presentation[[#This Row],[Due Date]],Main_Presentation[[#This Row],[Days]])</f>
        <v>1437.5</v>
      </c>
      <c r="AB15" s="16"/>
    </row>
    <row r="16" spans="1:30" ht="15.75" hidden="1" x14ac:dyDescent="0.25">
      <c r="A16" s="14" t="s">
        <v>214</v>
      </c>
      <c r="B16" s="15">
        <v>45189</v>
      </c>
      <c r="C16" s="26">
        <v>4</v>
      </c>
      <c r="D16" s="55" t="str">
        <f>VLOOKUP(Main_Presentation[[#This Row],[LC Number]],Main_Issuance[],3,0)</f>
        <v>Bassam Marawie</v>
      </c>
      <c r="E16" s="16" t="s">
        <v>856</v>
      </c>
      <c r="F16" s="17" t="str">
        <f>VLOOKUP(Main_Presentation[[#This Row],[LC Number]],Main_Issuance[],5,0)</f>
        <v>Alinma</v>
      </c>
      <c r="G16" s="17" t="str">
        <f>VLOOKUP(Main_Presentation[[#This Row],[LC Number]],Main_Issuance[],6,0)</f>
        <v>KSP</v>
      </c>
      <c r="H16" s="17" t="str">
        <f>VLOOKUP(Main_Presentation[[#This Row],[LC Number]],Main_Issuance[],17,0)</f>
        <v>Credit</v>
      </c>
      <c r="I16" s="17" t="str">
        <f>VLOOKUP(Main_Presentation[[#This Row],[LC Number]],Main_Issuance[],7,0)</f>
        <v>ELECTRIC HOUSE TRADING COMPANY LLC</v>
      </c>
      <c r="J16" s="17" t="str">
        <f>VLOOKUP(Main_Presentation[[#This Row],[LC Number]],Main_Issuance[],8,0)</f>
        <v>FIRST FIX</v>
      </c>
      <c r="K16" s="17" t="str">
        <f>VLOOKUP(Main_Presentation[[#This Row],[LC Number]],Main_Issuance[],9,0)</f>
        <v>ADF</v>
      </c>
      <c r="L16" s="17">
        <f>VLOOKUP(Main_Presentation[[#This Row],[LC Number]],Main_Issuance[],10,0)</f>
        <v>1020001</v>
      </c>
      <c r="M16" s="17" t="str">
        <f>VLOOKUP(Main_Presentation[[#This Row],[LC Number]],Main_Issuance[],11,0)</f>
        <v>SAR</v>
      </c>
      <c r="N16" s="84">
        <f>VLOOKUP(Main_Presentation[[#This Row],[LC Number]],Main_Issuance[],12,0)</f>
        <v>9577116</v>
      </c>
      <c r="O16" s="16" t="s">
        <v>20</v>
      </c>
      <c r="P16" s="16" t="s">
        <v>857</v>
      </c>
      <c r="Q16" s="18">
        <v>616383.26</v>
      </c>
      <c r="R16" s="18">
        <v>1</v>
      </c>
      <c r="S16" s="18">
        <f>Main_Presentation[[#This Row],[Invoice Amt (FCY)]]*Main_Presentation[[#This Row],[Rate]]</f>
        <v>616383.26</v>
      </c>
      <c r="T16" s="15">
        <v>45041</v>
      </c>
      <c r="U16" s="26">
        <f>VLOOKUP(Main_Presentation[[#This Row],[LC Number]],Main_Issuance[],18,0)</f>
        <v>0</v>
      </c>
      <c r="V16" s="19" t="s">
        <v>90</v>
      </c>
      <c r="W16" s="18" t="s">
        <v>857</v>
      </c>
      <c r="X16" s="16"/>
      <c r="Y16" s="234" t="str">
        <f>TRIM(LEFT(Main_Presentation[[#This Row],[Payment Terms]],3))</f>
        <v>0</v>
      </c>
      <c r="Z16" s="16"/>
      <c r="AA16" s="316" cm="1">
        <f t="array" ref="AA16">Settlement(Main_Presentation[[#This Row],[Bank]],Main_Presentation[[#This Row],[ Invoice Amt (SAR)]],Main_Presentation[[#This Row],[Date Recd]],Main_Presentation[[#This Row],[Due Date]],Main_Presentation[[#This Row],[Days]])</f>
        <v>1437.5</v>
      </c>
      <c r="AB16" s="16"/>
    </row>
    <row r="17" spans="1:28" ht="15.75" hidden="1" x14ac:dyDescent="0.25">
      <c r="A17" s="14" t="s">
        <v>214</v>
      </c>
      <c r="B17" s="15">
        <v>45208</v>
      </c>
      <c r="C17" s="26">
        <v>5</v>
      </c>
      <c r="D17" s="55" t="str">
        <f>VLOOKUP(Main_Presentation[[#This Row],[LC Number]],Main_Issuance[],3,0)</f>
        <v>Bassam Marawie</v>
      </c>
      <c r="E17" s="16" t="s">
        <v>856</v>
      </c>
      <c r="F17" s="17" t="str">
        <f>VLOOKUP(Main_Presentation[[#This Row],[LC Number]],Main_Issuance[],5,0)</f>
        <v>Alinma</v>
      </c>
      <c r="G17" s="17" t="str">
        <f>VLOOKUP(Main_Presentation[[#This Row],[LC Number]],Main_Issuance[],6,0)</f>
        <v>KSP</v>
      </c>
      <c r="H17" s="17" t="str">
        <f>VLOOKUP(Main_Presentation[[#This Row],[LC Number]],Main_Issuance[],17,0)</f>
        <v>Credit</v>
      </c>
      <c r="I17" s="17" t="str">
        <f>VLOOKUP(Main_Presentation[[#This Row],[LC Number]],Main_Issuance[],7,0)</f>
        <v>ELECTRIC HOUSE TRADING COMPANY LLC</v>
      </c>
      <c r="J17" s="17" t="str">
        <f>VLOOKUP(Main_Presentation[[#This Row],[LC Number]],Main_Issuance[],8,0)</f>
        <v>FIRST FIX</v>
      </c>
      <c r="K17" s="17" t="str">
        <f>VLOOKUP(Main_Presentation[[#This Row],[LC Number]],Main_Issuance[],9,0)</f>
        <v>ADF</v>
      </c>
      <c r="L17" s="17">
        <f>VLOOKUP(Main_Presentation[[#This Row],[LC Number]],Main_Issuance[],10,0)</f>
        <v>1020001</v>
      </c>
      <c r="M17" s="17" t="str">
        <f>VLOOKUP(Main_Presentation[[#This Row],[LC Number]],Main_Issuance[],11,0)</f>
        <v>SAR</v>
      </c>
      <c r="N17" s="84">
        <f>VLOOKUP(Main_Presentation[[#This Row],[LC Number]],Main_Issuance[],12,0)</f>
        <v>9577116</v>
      </c>
      <c r="O17" s="16" t="s">
        <v>20</v>
      </c>
      <c r="P17" s="16" t="s">
        <v>857</v>
      </c>
      <c r="Q17" s="18">
        <v>4064084</v>
      </c>
      <c r="R17" s="18">
        <v>1</v>
      </c>
      <c r="S17" s="18">
        <f>Main_Presentation[[#This Row],[Invoice Amt (FCY)]]*Main_Presentation[[#This Row],[Rate]]</f>
        <v>4064084</v>
      </c>
      <c r="T17" s="15">
        <v>45041</v>
      </c>
      <c r="U17" s="26">
        <f>VLOOKUP(Main_Presentation[[#This Row],[LC Number]],Main_Issuance[],18,0)</f>
        <v>0</v>
      </c>
      <c r="V17" s="19" t="s">
        <v>90</v>
      </c>
      <c r="W17" s="18" t="s">
        <v>857</v>
      </c>
      <c r="X17" s="16"/>
      <c r="Y17" s="234" t="str">
        <f>TRIM(LEFT(Main_Presentation[[#This Row],[Payment Terms]],3))</f>
        <v>0</v>
      </c>
      <c r="Z17" s="16"/>
      <c r="AA17" s="316" cm="1">
        <f t="array" ref="AA17">Settlement(Main_Presentation[[#This Row],[Bank]],Main_Presentation[[#This Row],[ Invoice Amt (SAR)]],Main_Presentation[[#This Row],[Date Recd]],Main_Presentation[[#This Row],[Due Date]],Main_Presentation[[#This Row],[Days]])</f>
        <v>1437.5</v>
      </c>
      <c r="AB17" s="16"/>
    </row>
    <row r="18" spans="1:28" ht="15.75" hidden="1" x14ac:dyDescent="0.25">
      <c r="A18" s="14" t="s">
        <v>216</v>
      </c>
      <c r="B18" s="15">
        <v>45073</v>
      </c>
      <c r="C18" s="26">
        <v>1</v>
      </c>
      <c r="D18" s="55" t="str">
        <f>VLOOKUP(Main_Presentation[[#This Row],[LC Number]],Main_Issuance[],3,0)</f>
        <v>Bassam Marawie</v>
      </c>
      <c r="E18" s="16" t="s">
        <v>856</v>
      </c>
      <c r="F18" s="17" t="str">
        <f>VLOOKUP(Main_Presentation[[#This Row],[LC Number]],Main_Issuance[],5,0)</f>
        <v>Alinma</v>
      </c>
      <c r="G18" s="17" t="str">
        <f>VLOOKUP(Main_Presentation[[#This Row],[LC Number]],Main_Issuance[],6,0)</f>
        <v>KSP</v>
      </c>
      <c r="H18" s="17" t="str">
        <f>VLOOKUP(Main_Presentation[[#This Row],[LC Number]],Main_Issuance[],17,0)</f>
        <v>Credit</v>
      </c>
      <c r="I18" s="17" t="str">
        <f>VLOOKUP(Main_Presentation[[#This Row],[LC Number]],Main_Issuance[],7,0)</f>
        <v>AL SALEM AIR CONDITIONING CO</v>
      </c>
      <c r="J18" s="17" t="str">
        <f>VLOOKUP(Main_Presentation[[#This Row],[LC Number]],Main_Issuance[],8,0)</f>
        <v>FIRST FIX</v>
      </c>
      <c r="K18" s="17" t="str">
        <f>VLOOKUP(Main_Presentation[[#This Row],[LC Number]],Main_Issuance[],9,0)</f>
        <v>ADF</v>
      </c>
      <c r="L18" s="17">
        <f>VLOOKUP(Main_Presentation[[#This Row],[LC Number]],Main_Issuance[],10,0)</f>
        <v>1020001</v>
      </c>
      <c r="M18" s="17" t="str">
        <f>VLOOKUP(Main_Presentation[[#This Row],[LC Number]],Main_Issuance[],11,0)</f>
        <v>SAR</v>
      </c>
      <c r="N18" s="84">
        <f>VLOOKUP(Main_Presentation[[#This Row],[LC Number]],Main_Issuance[],12,0)</f>
        <v>8771831.4199999999</v>
      </c>
      <c r="O18" s="16" t="s">
        <v>20</v>
      </c>
      <c r="P18" s="16" t="s">
        <v>857</v>
      </c>
      <c r="Q18" s="18">
        <v>3735200</v>
      </c>
      <c r="R18" s="18">
        <v>1</v>
      </c>
      <c r="S18" s="18">
        <f>Main_Presentation[[#This Row],[Invoice Amt (FCY)]]*Main_Presentation[[#This Row],[Rate]]</f>
        <v>3735200</v>
      </c>
      <c r="T18" s="15">
        <v>45041</v>
      </c>
      <c r="U18" s="26">
        <f>VLOOKUP(Main_Presentation[[#This Row],[LC Number]],Main_Issuance[],18,0)</f>
        <v>0</v>
      </c>
      <c r="V18" s="19" t="s">
        <v>90</v>
      </c>
      <c r="W18" s="18" t="s">
        <v>857</v>
      </c>
      <c r="X18" s="16"/>
      <c r="Y18" s="234" t="str">
        <f>TRIM(LEFT(Main_Presentation[[#This Row],[Payment Terms]],3))</f>
        <v>0</v>
      </c>
      <c r="Z18" s="16"/>
      <c r="AA18" s="316" cm="1">
        <f t="array" ref="AA18">Settlement(Main_Presentation[[#This Row],[Bank]],Main_Presentation[[#This Row],[ Invoice Amt (SAR)]],Main_Presentation[[#This Row],[Date Recd]],Main_Presentation[[#This Row],[Due Date]],Main_Presentation[[#This Row],[Days]])</f>
        <v>1437.5</v>
      </c>
      <c r="AB18" s="16"/>
    </row>
    <row r="19" spans="1:28" ht="15.75" hidden="1" x14ac:dyDescent="0.25">
      <c r="A19" s="14" t="s">
        <v>216</v>
      </c>
      <c r="B19" s="15">
        <v>45235</v>
      </c>
      <c r="C19" s="26">
        <v>2</v>
      </c>
      <c r="D19" s="55" t="str">
        <f>VLOOKUP(Main_Presentation[[#This Row],[LC Number]],Main_Issuance[],3,0)</f>
        <v>Bassam Marawie</v>
      </c>
      <c r="E19" s="16" t="s">
        <v>856</v>
      </c>
      <c r="F19" s="17" t="str">
        <f>VLOOKUP(Main_Presentation[[#This Row],[LC Number]],Main_Issuance[],5,0)</f>
        <v>Alinma</v>
      </c>
      <c r="G19" s="17" t="str">
        <f>VLOOKUP(Main_Presentation[[#This Row],[LC Number]],Main_Issuance[],6,0)</f>
        <v>KSP</v>
      </c>
      <c r="H19" s="17" t="str">
        <f>VLOOKUP(Main_Presentation[[#This Row],[LC Number]],Main_Issuance[],17,0)</f>
        <v>Credit</v>
      </c>
      <c r="I19" s="17" t="str">
        <f>VLOOKUP(Main_Presentation[[#This Row],[LC Number]],Main_Issuance[],7,0)</f>
        <v>AL SALEM AIR CONDITIONING CO</v>
      </c>
      <c r="J19" s="17" t="str">
        <f>VLOOKUP(Main_Presentation[[#This Row],[LC Number]],Main_Issuance[],8,0)</f>
        <v>FIRST FIX</v>
      </c>
      <c r="K19" s="17" t="str">
        <f>VLOOKUP(Main_Presentation[[#This Row],[LC Number]],Main_Issuance[],9,0)</f>
        <v>ADF</v>
      </c>
      <c r="L19" s="17">
        <f>VLOOKUP(Main_Presentation[[#This Row],[LC Number]],Main_Issuance[],10,0)</f>
        <v>1020001</v>
      </c>
      <c r="M19" s="17" t="str">
        <f>VLOOKUP(Main_Presentation[[#This Row],[LC Number]],Main_Issuance[],11,0)</f>
        <v>SAR</v>
      </c>
      <c r="N19" s="84">
        <f>VLOOKUP(Main_Presentation[[#This Row],[LC Number]],Main_Issuance[],12,0)</f>
        <v>8771831.4199999999</v>
      </c>
      <c r="O19" s="16" t="s">
        <v>20</v>
      </c>
      <c r="P19" s="16" t="s">
        <v>857</v>
      </c>
      <c r="Q19" s="18">
        <v>616399.31999999995</v>
      </c>
      <c r="R19" s="18">
        <v>1</v>
      </c>
      <c r="S19" s="18">
        <f>Main_Presentation[[#This Row],[Invoice Amt (FCY)]]*Main_Presentation[[#This Row],[Rate]]</f>
        <v>616399.31999999995</v>
      </c>
      <c r="T19" s="15">
        <v>45041</v>
      </c>
      <c r="U19" s="26">
        <f>VLOOKUP(Main_Presentation[[#This Row],[LC Number]],Main_Issuance[],18,0)</f>
        <v>0</v>
      </c>
      <c r="V19" s="19" t="s">
        <v>90</v>
      </c>
      <c r="W19" s="18" t="s">
        <v>857</v>
      </c>
      <c r="X19" s="16"/>
      <c r="Y19" s="234" t="str">
        <f>TRIM(LEFT(Main_Presentation[[#This Row],[Payment Terms]],3))</f>
        <v>0</v>
      </c>
      <c r="Z19" s="16"/>
      <c r="AA19" s="316" cm="1">
        <f t="array" ref="AA19">Settlement(Main_Presentation[[#This Row],[Bank]],Main_Presentation[[#This Row],[ Invoice Amt (SAR)]],Main_Presentation[[#This Row],[Date Recd]],Main_Presentation[[#This Row],[Due Date]],Main_Presentation[[#This Row],[Days]])</f>
        <v>1437.5</v>
      </c>
      <c r="AB19" s="16"/>
    </row>
    <row r="20" spans="1:28" ht="15.75" hidden="1" x14ac:dyDescent="0.25">
      <c r="A20" s="14" t="s">
        <v>217</v>
      </c>
      <c r="B20" s="15">
        <v>45235</v>
      </c>
      <c r="C20" s="26">
        <v>1</v>
      </c>
      <c r="D20" s="55" t="str">
        <f>VLOOKUP(Main_Presentation[[#This Row],[LC Number]],Main_Issuance[],3,0)</f>
        <v>Bassam Marawie</v>
      </c>
      <c r="E20" s="16" t="s">
        <v>856</v>
      </c>
      <c r="F20" s="17" t="str">
        <f>VLOOKUP(Main_Presentation[[#This Row],[LC Number]],Main_Issuance[],5,0)</f>
        <v>Alinma</v>
      </c>
      <c r="G20" s="17" t="str">
        <f>VLOOKUP(Main_Presentation[[#This Row],[LC Number]],Main_Issuance[],6,0)</f>
        <v>KSP</v>
      </c>
      <c r="H20" s="17" t="str">
        <f>VLOOKUP(Main_Presentation[[#This Row],[LC Number]],Main_Issuance[],17,0)</f>
        <v>Credit</v>
      </c>
      <c r="I20" s="17" t="str">
        <f>VLOOKUP(Main_Presentation[[#This Row],[LC Number]],Main_Issuance[],7,0)</f>
        <v>AL SALEM AIR CONDITIONING CO</v>
      </c>
      <c r="J20" s="17" t="str">
        <f>VLOOKUP(Main_Presentation[[#This Row],[LC Number]],Main_Issuance[],8,0)</f>
        <v>FIRST FIX</v>
      </c>
      <c r="K20" s="17" t="str">
        <f>VLOOKUP(Main_Presentation[[#This Row],[LC Number]],Main_Issuance[],9,0)</f>
        <v>ADF</v>
      </c>
      <c r="L20" s="17">
        <f>VLOOKUP(Main_Presentation[[#This Row],[LC Number]],Main_Issuance[],10,0)</f>
        <v>1020001</v>
      </c>
      <c r="M20" s="17" t="str">
        <f>VLOOKUP(Main_Presentation[[#This Row],[LC Number]],Main_Issuance[],11,0)</f>
        <v>SAR</v>
      </c>
      <c r="N20" s="84">
        <f>VLOOKUP(Main_Presentation[[#This Row],[LC Number]],Main_Issuance[],12,0)</f>
        <v>2248483.8399999999</v>
      </c>
      <c r="O20" s="16" t="s">
        <v>20</v>
      </c>
      <c r="P20" s="16" t="s">
        <v>857</v>
      </c>
      <c r="Q20" s="18">
        <v>574991.9</v>
      </c>
      <c r="R20" s="18">
        <v>1</v>
      </c>
      <c r="S20" s="18">
        <f>Main_Presentation[[#This Row],[Invoice Amt (FCY)]]*Main_Presentation[[#This Row],[Rate]]</f>
        <v>574991.9</v>
      </c>
      <c r="T20" s="15">
        <v>45041</v>
      </c>
      <c r="U20" s="26">
        <f>VLOOKUP(Main_Presentation[[#This Row],[LC Number]],Main_Issuance[],18,0)</f>
        <v>0</v>
      </c>
      <c r="V20" s="19" t="s">
        <v>90</v>
      </c>
      <c r="W20" s="18" t="s">
        <v>857</v>
      </c>
      <c r="X20" s="16"/>
      <c r="Y20" s="234" t="str">
        <f>TRIM(LEFT(Main_Presentation[[#This Row],[Payment Terms]],3))</f>
        <v>0</v>
      </c>
      <c r="Z20" s="16"/>
      <c r="AA20" s="316" cm="1">
        <f t="array" ref="AA20">Settlement(Main_Presentation[[#This Row],[Bank]],Main_Presentation[[#This Row],[ Invoice Amt (SAR)]],Main_Presentation[[#This Row],[Date Recd]],Main_Presentation[[#This Row],[Due Date]],Main_Presentation[[#This Row],[Days]])</f>
        <v>1437.5</v>
      </c>
      <c r="AB20" s="16"/>
    </row>
    <row r="21" spans="1:28" ht="15.75" hidden="1" x14ac:dyDescent="0.25">
      <c r="A21" s="14" t="s">
        <v>217</v>
      </c>
      <c r="B21" s="15">
        <v>45252</v>
      </c>
      <c r="C21" s="26">
        <v>2</v>
      </c>
      <c r="D21" s="55" t="str">
        <f>VLOOKUP(Main_Presentation[[#This Row],[LC Number]],Main_Issuance[],3,0)</f>
        <v>Bassam Marawie</v>
      </c>
      <c r="E21" s="16" t="s">
        <v>856</v>
      </c>
      <c r="F21" s="17" t="str">
        <f>VLOOKUP(Main_Presentation[[#This Row],[LC Number]],Main_Issuance[],5,0)</f>
        <v>Alinma</v>
      </c>
      <c r="G21" s="17" t="str">
        <f>VLOOKUP(Main_Presentation[[#This Row],[LC Number]],Main_Issuance[],6,0)</f>
        <v>KSP</v>
      </c>
      <c r="H21" s="17" t="str">
        <f>VLOOKUP(Main_Presentation[[#This Row],[LC Number]],Main_Issuance[],17,0)</f>
        <v>Credit</v>
      </c>
      <c r="I21" s="17" t="str">
        <f>VLOOKUP(Main_Presentation[[#This Row],[LC Number]],Main_Issuance[],7,0)</f>
        <v>AL SALEM AIR CONDITIONING CO</v>
      </c>
      <c r="J21" s="17" t="str">
        <f>VLOOKUP(Main_Presentation[[#This Row],[LC Number]],Main_Issuance[],8,0)</f>
        <v>FIRST FIX</v>
      </c>
      <c r="K21" s="17" t="str">
        <f>VLOOKUP(Main_Presentation[[#This Row],[LC Number]],Main_Issuance[],9,0)</f>
        <v>ADF</v>
      </c>
      <c r="L21" s="17">
        <f>VLOOKUP(Main_Presentation[[#This Row],[LC Number]],Main_Issuance[],10,0)</f>
        <v>1020001</v>
      </c>
      <c r="M21" s="17" t="str">
        <f>VLOOKUP(Main_Presentation[[#This Row],[LC Number]],Main_Issuance[],11,0)</f>
        <v>SAR</v>
      </c>
      <c r="N21" s="84">
        <f>VLOOKUP(Main_Presentation[[#This Row],[LC Number]],Main_Issuance[],12,0)</f>
        <v>2248483.8399999999</v>
      </c>
      <c r="O21" s="16" t="s">
        <v>20</v>
      </c>
      <c r="P21" s="16" t="s">
        <v>857</v>
      </c>
      <c r="Q21" s="18">
        <v>1214400</v>
      </c>
      <c r="R21" s="18">
        <v>1</v>
      </c>
      <c r="S21" s="18">
        <f>Main_Presentation[[#This Row],[Invoice Amt (FCY)]]*Main_Presentation[[#This Row],[Rate]]</f>
        <v>1214400</v>
      </c>
      <c r="T21" s="15">
        <v>45041</v>
      </c>
      <c r="U21" s="26">
        <f>VLOOKUP(Main_Presentation[[#This Row],[LC Number]],Main_Issuance[],18,0)</f>
        <v>0</v>
      </c>
      <c r="V21" s="19" t="s">
        <v>90</v>
      </c>
      <c r="W21" s="18" t="s">
        <v>857</v>
      </c>
      <c r="X21" s="16"/>
      <c r="Y21" s="234" t="str">
        <f>TRIM(LEFT(Main_Presentation[[#This Row],[Payment Terms]],3))</f>
        <v>0</v>
      </c>
      <c r="Z21" s="16"/>
      <c r="AA21" s="316" cm="1">
        <f t="array" ref="AA21">Settlement(Main_Presentation[[#This Row],[Bank]],Main_Presentation[[#This Row],[ Invoice Amt (SAR)]],Main_Presentation[[#This Row],[Date Recd]],Main_Presentation[[#This Row],[Due Date]],Main_Presentation[[#This Row],[Days]])</f>
        <v>1437.5</v>
      </c>
      <c r="AB21" s="16"/>
    </row>
    <row r="22" spans="1:28" ht="15.75" hidden="1" x14ac:dyDescent="0.25">
      <c r="A22" s="14" t="s">
        <v>218</v>
      </c>
      <c r="B22" s="15">
        <v>45090</v>
      </c>
      <c r="C22" s="26">
        <v>1</v>
      </c>
      <c r="D22" s="55" t="str">
        <f>VLOOKUP(Main_Presentation[[#This Row],[LC Number]],Main_Issuance[],3,0)</f>
        <v>Bassam Marawie</v>
      </c>
      <c r="E22" s="16" t="s">
        <v>856</v>
      </c>
      <c r="F22" s="17" t="str">
        <f>VLOOKUP(Main_Presentation[[#This Row],[LC Number]],Main_Issuance[],5,0)</f>
        <v>Alinma</v>
      </c>
      <c r="G22" s="17" t="str">
        <f>VLOOKUP(Main_Presentation[[#This Row],[LC Number]],Main_Issuance[],6,0)</f>
        <v>KSP</v>
      </c>
      <c r="H22" s="17" t="str">
        <f>VLOOKUP(Main_Presentation[[#This Row],[LC Number]],Main_Issuance[],17,0)</f>
        <v>Credit</v>
      </c>
      <c r="I22" s="17" t="str">
        <f>VLOOKUP(Main_Presentation[[#This Row],[LC Number]],Main_Issuance[],7,0)</f>
        <v>PERMA PIPE SAUDI ARABIA L.L.C</v>
      </c>
      <c r="J22" s="17" t="str">
        <f>VLOOKUP(Main_Presentation[[#This Row],[LC Number]],Main_Issuance[],8,0)</f>
        <v>FIRST FIX</v>
      </c>
      <c r="K22" s="17" t="str">
        <f>VLOOKUP(Main_Presentation[[#This Row],[LC Number]],Main_Issuance[],9,0)</f>
        <v>ADF</v>
      </c>
      <c r="L22" s="17">
        <f>VLOOKUP(Main_Presentation[[#This Row],[LC Number]],Main_Issuance[],10,0)</f>
        <v>1020001</v>
      </c>
      <c r="M22" s="17" t="str">
        <f>VLOOKUP(Main_Presentation[[#This Row],[LC Number]],Main_Issuance[],11,0)</f>
        <v>SAR</v>
      </c>
      <c r="N22" s="84">
        <f>VLOOKUP(Main_Presentation[[#This Row],[LC Number]],Main_Issuance[],12,0)</f>
        <v>5602519.9800000004</v>
      </c>
      <c r="O22" s="16" t="s">
        <v>20</v>
      </c>
      <c r="P22" s="16" t="s">
        <v>857</v>
      </c>
      <c r="Q22" s="18">
        <v>452833.19</v>
      </c>
      <c r="R22" s="18">
        <v>1</v>
      </c>
      <c r="S22" s="18">
        <f>Main_Presentation[[#This Row],[Invoice Amt (FCY)]]*Main_Presentation[[#This Row],[Rate]]</f>
        <v>452833.19</v>
      </c>
      <c r="T22" s="15">
        <v>45041</v>
      </c>
      <c r="U22" s="26">
        <f>VLOOKUP(Main_Presentation[[#This Row],[LC Number]],Main_Issuance[],18,0)</f>
        <v>0</v>
      </c>
      <c r="V22" s="19" t="s">
        <v>90</v>
      </c>
      <c r="W22" s="18" t="s">
        <v>857</v>
      </c>
      <c r="X22" s="16"/>
      <c r="Y22" s="234" t="str">
        <f>TRIM(LEFT(Main_Presentation[[#This Row],[Payment Terms]],3))</f>
        <v>0</v>
      </c>
      <c r="Z22" s="16"/>
      <c r="AA22" s="316" cm="1">
        <f t="array" ref="AA22">Settlement(Main_Presentation[[#This Row],[Bank]],Main_Presentation[[#This Row],[ Invoice Amt (SAR)]],Main_Presentation[[#This Row],[Date Recd]],Main_Presentation[[#This Row],[Due Date]],Main_Presentation[[#This Row],[Days]])</f>
        <v>1437.5</v>
      </c>
      <c r="AB22" s="16"/>
    </row>
    <row r="23" spans="1:28" ht="15.75" hidden="1" x14ac:dyDescent="0.25">
      <c r="A23" s="14" t="s">
        <v>218</v>
      </c>
      <c r="B23" s="15">
        <v>45175</v>
      </c>
      <c r="C23" s="26">
        <v>2</v>
      </c>
      <c r="D23" s="55" t="str">
        <f>VLOOKUP(Main_Presentation[[#This Row],[LC Number]],Main_Issuance[],3,0)</f>
        <v>Bassam Marawie</v>
      </c>
      <c r="E23" s="16" t="s">
        <v>856</v>
      </c>
      <c r="F23" s="17" t="str">
        <f>VLOOKUP(Main_Presentation[[#This Row],[LC Number]],Main_Issuance[],5,0)</f>
        <v>Alinma</v>
      </c>
      <c r="G23" s="17" t="str">
        <f>VLOOKUP(Main_Presentation[[#This Row],[LC Number]],Main_Issuance[],6,0)</f>
        <v>KSP</v>
      </c>
      <c r="H23" s="17" t="str">
        <f>VLOOKUP(Main_Presentation[[#This Row],[LC Number]],Main_Issuance[],17,0)</f>
        <v>Credit</v>
      </c>
      <c r="I23" s="17" t="str">
        <f>VLOOKUP(Main_Presentation[[#This Row],[LC Number]],Main_Issuance[],7,0)</f>
        <v>PERMA PIPE SAUDI ARABIA L.L.C</v>
      </c>
      <c r="J23" s="17" t="str">
        <f>VLOOKUP(Main_Presentation[[#This Row],[LC Number]],Main_Issuance[],8,0)</f>
        <v>FIRST FIX</v>
      </c>
      <c r="K23" s="17" t="str">
        <f>VLOOKUP(Main_Presentation[[#This Row],[LC Number]],Main_Issuance[],9,0)</f>
        <v>ADF</v>
      </c>
      <c r="L23" s="17">
        <f>VLOOKUP(Main_Presentation[[#This Row],[LC Number]],Main_Issuance[],10,0)</f>
        <v>1020001</v>
      </c>
      <c r="M23" s="17" t="str">
        <f>VLOOKUP(Main_Presentation[[#This Row],[LC Number]],Main_Issuance[],11,0)</f>
        <v>SAR</v>
      </c>
      <c r="N23" s="84">
        <f>VLOOKUP(Main_Presentation[[#This Row],[LC Number]],Main_Issuance[],12,0)</f>
        <v>5602519.9800000004</v>
      </c>
      <c r="O23" s="16" t="s">
        <v>20</v>
      </c>
      <c r="P23" s="16" t="s">
        <v>857</v>
      </c>
      <c r="Q23" s="18">
        <v>3992287.68</v>
      </c>
      <c r="R23" s="18">
        <v>1</v>
      </c>
      <c r="S23" s="18">
        <f>Main_Presentation[[#This Row],[Invoice Amt (FCY)]]*Main_Presentation[[#This Row],[Rate]]</f>
        <v>3992287.68</v>
      </c>
      <c r="T23" s="15">
        <v>45041</v>
      </c>
      <c r="U23" s="26">
        <f>VLOOKUP(Main_Presentation[[#This Row],[LC Number]],Main_Issuance[],18,0)</f>
        <v>0</v>
      </c>
      <c r="V23" s="19" t="s">
        <v>90</v>
      </c>
      <c r="W23" s="18" t="s">
        <v>857</v>
      </c>
      <c r="X23" s="16"/>
      <c r="Y23" s="234" t="str">
        <f>TRIM(LEFT(Main_Presentation[[#This Row],[Payment Terms]],3))</f>
        <v>0</v>
      </c>
      <c r="Z23" s="16"/>
      <c r="AA23" s="316" cm="1">
        <f t="array" ref="AA23">Settlement(Main_Presentation[[#This Row],[Bank]],Main_Presentation[[#This Row],[ Invoice Amt (SAR)]],Main_Presentation[[#This Row],[Date Recd]],Main_Presentation[[#This Row],[Due Date]],Main_Presentation[[#This Row],[Days]])</f>
        <v>1437.5</v>
      </c>
      <c r="AB23" s="16"/>
    </row>
    <row r="24" spans="1:28" ht="15.75" hidden="1" x14ac:dyDescent="0.25">
      <c r="A24" s="14" t="s">
        <v>218</v>
      </c>
      <c r="B24" s="15">
        <v>45176</v>
      </c>
      <c r="C24" s="26">
        <v>3</v>
      </c>
      <c r="D24" s="55" t="str">
        <f>VLOOKUP(Main_Presentation[[#This Row],[LC Number]],Main_Issuance[],3,0)</f>
        <v>Bassam Marawie</v>
      </c>
      <c r="E24" s="16" t="s">
        <v>856</v>
      </c>
      <c r="F24" s="17" t="str">
        <f>VLOOKUP(Main_Presentation[[#This Row],[LC Number]],Main_Issuance[],5,0)</f>
        <v>Alinma</v>
      </c>
      <c r="G24" s="17" t="str">
        <f>VLOOKUP(Main_Presentation[[#This Row],[LC Number]],Main_Issuance[],6,0)</f>
        <v>KSP</v>
      </c>
      <c r="H24" s="17" t="str">
        <f>VLOOKUP(Main_Presentation[[#This Row],[LC Number]],Main_Issuance[],17,0)</f>
        <v>Credit</v>
      </c>
      <c r="I24" s="17" t="str">
        <f>VLOOKUP(Main_Presentation[[#This Row],[LC Number]],Main_Issuance[],7,0)</f>
        <v>PERMA PIPE SAUDI ARABIA L.L.C</v>
      </c>
      <c r="J24" s="17" t="str">
        <f>VLOOKUP(Main_Presentation[[#This Row],[LC Number]],Main_Issuance[],8,0)</f>
        <v>FIRST FIX</v>
      </c>
      <c r="K24" s="17" t="str">
        <f>VLOOKUP(Main_Presentation[[#This Row],[LC Number]],Main_Issuance[],9,0)</f>
        <v>ADF</v>
      </c>
      <c r="L24" s="17">
        <f>VLOOKUP(Main_Presentation[[#This Row],[LC Number]],Main_Issuance[],10,0)</f>
        <v>1020001</v>
      </c>
      <c r="M24" s="17" t="str">
        <f>VLOOKUP(Main_Presentation[[#This Row],[LC Number]],Main_Issuance[],11,0)</f>
        <v>SAR</v>
      </c>
      <c r="N24" s="84">
        <f>VLOOKUP(Main_Presentation[[#This Row],[LC Number]],Main_Issuance[],12,0)</f>
        <v>5602519.9800000004</v>
      </c>
      <c r="O24" s="16" t="s">
        <v>20</v>
      </c>
      <c r="P24" s="16" t="s">
        <v>857</v>
      </c>
      <c r="Q24" s="18">
        <v>1027831.56</v>
      </c>
      <c r="R24" s="18">
        <v>1</v>
      </c>
      <c r="S24" s="18">
        <f>Main_Presentation[[#This Row],[Invoice Amt (FCY)]]*Main_Presentation[[#This Row],[Rate]]</f>
        <v>1027831.56</v>
      </c>
      <c r="T24" s="15">
        <v>45041</v>
      </c>
      <c r="U24" s="26">
        <f>VLOOKUP(Main_Presentation[[#This Row],[LC Number]],Main_Issuance[],18,0)</f>
        <v>0</v>
      </c>
      <c r="V24" s="19" t="s">
        <v>90</v>
      </c>
      <c r="W24" s="18" t="s">
        <v>857</v>
      </c>
      <c r="X24" s="16"/>
      <c r="Y24" s="234" t="str">
        <f>TRIM(LEFT(Main_Presentation[[#This Row],[Payment Terms]],3))</f>
        <v>0</v>
      </c>
      <c r="Z24" s="16"/>
      <c r="AA24" s="316" cm="1">
        <f t="array" ref="AA24">Settlement(Main_Presentation[[#This Row],[Bank]],Main_Presentation[[#This Row],[ Invoice Amt (SAR)]],Main_Presentation[[#This Row],[Date Recd]],Main_Presentation[[#This Row],[Due Date]],Main_Presentation[[#This Row],[Days]])</f>
        <v>1437.5</v>
      </c>
      <c r="AB24" s="16"/>
    </row>
    <row r="25" spans="1:28" ht="15.75" hidden="1" x14ac:dyDescent="0.25">
      <c r="A25" s="14" t="s">
        <v>218</v>
      </c>
      <c r="B25" s="15">
        <v>45220</v>
      </c>
      <c r="C25" s="26">
        <v>4</v>
      </c>
      <c r="D25" s="55" t="str">
        <f>VLOOKUP(Main_Presentation[[#This Row],[LC Number]],Main_Issuance[],3,0)</f>
        <v>Bassam Marawie</v>
      </c>
      <c r="E25" s="16" t="s">
        <v>856</v>
      </c>
      <c r="F25" s="17" t="str">
        <f>VLOOKUP(Main_Presentation[[#This Row],[LC Number]],Main_Issuance[],5,0)</f>
        <v>Alinma</v>
      </c>
      <c r="G25" s="17" t="str">
        <f>VLOOKUP(Main_Presentation[[#This Row],[LC Number]],Main_Issuance[],6,0)</f>
        <v>KSP</v>
      </c>
      <c r="H25" s="17" t="str">
        <f>VLOOKUP(Main_Presentation[[#This Row],[LC Number]],Main_Issuance[],17,0)</f>
        <v>Credit</v>
      </c>
      <c r="I25" s="17" t="str">
        <f>VLOOKUP(Main_Presentation[[#This Row],[LC Number]],Main_Issuance[],7,0)</f>
        <v>PERMA PIPE SAUDI ARABIA L.L.C</v>
      </c>
      <c r="J25" s="17" t="str">
        <f>VLOOKUP(Main_Presentation[[#This Row],[LC Number]],Main_Issuance[],8,0)</f>
        <v>FIRST FIX</v>
      </c>
      <c r="K25" s="17" t="str">
        <f>VLOOKUP(Main_Presentation[[#This Row],[LC Number]],Main_Issuance[],9,0)</f>
        <v>ADF</v>
      </c>
      <c r="L25" s="17">
        <f>VLOOKUP(Main_Presentation[[#This Row],[LC Number]],Main_Issuance[],10,0)</f>
        <v>1020001</v>
      </c>
      <c r="M25" s="17" t="str">
        <f>VLOOKUP(Main_Presentation[[#This Row],[LC Number]],Main_Issuance[],11,0)</f>
        <v>SAR</v>
      </c>
      <c r="N25" s="84">
        <f>VLOOKUP(Main_Presentation[[#This Row],[LC Number]],Main_Issuance[],12,0)</f>
        <v>5602519.9800000004</v>
      </c>
      <c r="O25" s="16" t="s">
        <v>20</v>
      </c>
      <c r="P25" s="16" t="s">
        <v>857</v>
      </c>
      <c r="Q25" s="18">
        <v>81762.69</v>
      </c>
      <c r="R25" s="18">
        <v>1</v>
      </c>
      <c r="S25" s="18">
        <f>Main_Presentation[[#This Row],[Invoice Amt (FCY)]]*Main_Presentation[[#This Row],[Rate]]</f>
        <v>81762.69</v>
      </c>
      <c r="T25" s="15">
        <v>45041</v>
      </c>
      <c r="U25" s="26">
        <f>VLOOKUP(Main_Presentation[[#This Row],[LC Number]],Main_Issuance[],18,0)</f>
        <v>0</v>
      </c>
      <c r="V25" s="19" t="s">
        <v>90</v>
      </c>
      <c r="W25" s="18" t="s">
        <v>857</v>
      </c>
      <c r="X25" s="16"/>
      <c r="Y25" s="234" t="str">
        <f>TRIM(LEFT(Main_Presentation[[#This Row],[Payment Terms]],3))</f>
        <v>0</v>
      </c>
      <c r="Z25" s="16"/>
      <c r="AA25" s="316" cm="1">
        <f t="array" ref="AA25">Settlement(Main_Presentation[[#This Row],[Bank]],Main_Presentation[[#This Row],[ Invoice Amt (SAR)]],Main_Presentation[[#This Row],[Date Recd]],Main_Presentation[[#This Row],[Due Date]],Main_Presentation[[#This Row],[Days]])</f>
        <v>1437.5</v>
      </c>
      <c r="AB25" s="16"/>
    </row>
    <row r="26" spans="1:28" ht="15.75" hidden="1" x14ac:dyDescent="0.25">
      <c r="A26" s="14" t="s">
        <v>227</v>
      </c>
      <c r="B26" s="15">
        <v>45078</v>
      </c>
      <c r="C26" s="26">
        <v>1</v>
      </c>
      <c r="D26" s="55" t="str">
        <f>VLOOKUP(Main_Presentation[[#This Row],[LC Number]],Main_Issuance[],3,0)</f>
        <v>Bassam Marawie</v>
      </c>
      <c r="E26" s="16" t="s">
        <v>856</v>
      </c>
      <c r="F26" s="17" t="str">
        <f>VLOOKUP(Main_Presentation[[#This Row],[LC Number]],Main_Issuance[],5,0)</f>
        <v>Alinma</v>
      </c>
      <c r="G26" s="17" t="str">
        <f>VLOOKUP(Main_Presentation[[#This Row],[LC Number]],Main_Issuance[],6,0)</f>
        <v>KSP</v>
      </c>
      <c r="H26" s="17" t="str">
        <f>VLOOKUP(Main_Presentation[[#This Row],[LC Number]],Main_Issuance[],17,0)</f>
        <v>Credit</v>
      </c>
      <c r="I26" s="17" t="str">
        <f>VLOOKUP(Main_Presentation[[#This Row],[LC Number]],Main_Issuance[],7,0)</f>
        <v>ALFANAR ELECTRICAL SYSTEMS P.O.BOX</v>
      </c>
      <c r="J26" s="17" t="str">
        <f>VLOOKUP(Main_Presentation[[#This Row],[LC Number]],Main_Issuance[],8,0)</f>
        <v>FIRST FIX</v>
      </c>
      <c r="K26" s="17" t="str">
        <f>VLOOKUP(Main_Presentation[[#This Row],[LC Number]],Main_Issuance[],9,0)</f>
        <v>ADF</v>
      </c>
      <c r="L26" s="17">
        <f>VLOOKUP(Main_Presentation[[#This Row],[LC Number]],Main_Issuance[],10,0)</f>
        <v>1020001</v>
      </c>
      <c r="M26" s="17" t="str">
        <f>VLOOKUP(Main_Presentation[[#This Row],[LC Number]],Main_Issuance[],11,0)</f>
        <v>SAR</v>
      </c>
      <c r="N26" s="84">
        <f>VLOOKUP(Main_Presentation[[#This Row],[LC Number]],Main_Issuance[],12,0)</f>
        <v>5705150</v>
      </c>
      <c r="O26" s="16" t="s">
        <v>20</v>
      </c>
      <c r="P26" s="16" t="s">
        <v>857</v>
      </c>
      <c r="Q26" s="18">
        <v>1426287.5</v>
      </c>
      <c r="R26" s="18">
        <v>1</v>
      </c>
      <c r="S26" s="18">
        <f>Main_Presentation[[#This Row],[Invoice Amt (FCY)]]*Main_Presentation[[#This Row],[Rate]]</f>
        <v>1426287.5</v>
      </c>
      <c r="T26" s="15">
        <v>45117</v>
      </c>
      <c r="U26" s="26">
        <f>VLOOKUP(Main_Presentation[[#This Row],[LC Number]],Main_Issuance[],18,0)</f>
        <v>0</v>
      </c>
      <c r="V26" s="19" t="s">
        <v>90</v>
      </c>
      <c r="W26" s="18" t="s">
        <v>857</v>
      </c>
      <c r="X26" s="16"/>
      <c r="Y26" s="234" t="str">
        <f>TRIM(LEFT(Main_Presentation[[#This Row],[Payment Terms]],3))</f>
        <v>0</v>
      </c>
      <c r="Z26" s="16"/>
      <c r="AA26" s="316" cm="1">
        <f t="array" ref="AA26">Settlement(Main_Presentation[[#This Row],[Bank]],Main_Presentation[[#This Row],[ Invoice Amt (SAR)]],Main_Presentation[[#This Row],[Date Recd]],Main_Presentation[[#This Row],[Due Date]],Main_Presentation[[#This Row],[Days]])</f>
        <v>1437.5</v>
      </c>
      <c r="AB26" s="16"/>
    </row>
    <row r="27" spans="1:28" ht="15.75" hidden="1" x14ac:dyDescent="0.25">
      <c r="A27" s="14" t="s">
        <v>227</v>
      </c>
      <c r="B27" s="15">
        <v>45182</v>
      </c>
      <c r="C27" s="26">
        <v>2</v>
      </c>
      <c r="D27" s="55" t="str">
        <f>VLOOKUP(Main_Presentation[[#This Row],[LC Number]],Main_Issuance[],3,0)</f>
        <v>Bassam Marawie</v>
      </c>
      <c r="E27" s="16" t="s">
        <v>856</v>
      </c>
      <c r="F27" s="17" t="str">
        <f>VLOOKUP(Main_Presentation[[#This Row],[LC Number]],Main_Issuance[],5,0)</f>
        <v>Alinma</v>
      </c>
      <c r="G27" s="17" t="str">
        <f>VLOOKUP(Main_Presentation[[#This Row],[LC Number]],Main_Issuance[],6,0)</f>
        <v>KSP</v>
      </c>
      <c r="H27" s="17" t="str">
        <f>VLOOKUP(Main_Presentation[[#This Row],[LC Number]],Main_Issuance[],17,0)</f>
        <v>Credit</v>
      </c>
      <c r="I27" s="17" t="str">
        <f>VLOOKUP(Main_Presentation[[#This Row],[LC Number]],Main_Issuance[],7,0)</f>
        <v>ALFANAR ELECTRICAL SYSTEMS P.O.BOX</v>
      </c>
      <c r="J27" s="17" t="str">
        <f>VLOOKUP(Main_Presentation[[#This Row],[LC Number]],Main_Issuance[],8,0)</f>
        <v>FIRST FIX</v>
      </c>
      <c r="K27" s="17" t="str">
        <f>VLOOKUP(Main_Presentation[[#This Row],[LC Number]],Main_Issuance[],9,0)</f>
        <v>ADF</v>
      </c>
      <c r="L27" s="17">
        <f>VLOOKUP(Main_Presentation[[#This Row],[LC Number]],Main_Issuance[],10,0)</f>
        <v>1020001</v>
      </c>
      <c r="M27" s="17" t="str">
        <f>VLOOKUP(Main_Presentation[[#This Row],[LC Number]],Main_Issuance[],11,0)</f>
        <v>SAR</v>
      </c>
      <c r="N27" s="84">
        <f>VLOOKUP(Main_Presentation[[#This Row],[LC Number]],Main_Issuance[],12,0)</f>
        <v>5705150</v>
      </c>
      <c r="O27" s="16" t="s">
        <v>20</v>
      </c>
      <c r="P27" s="16" t="s">
        <v>857</v>
      </c>
      <c r="Q27" s="18">
        <v>899587.5</v>
      </c>
      <c r="R27" s="18">
        <v>1</v>
      </c>
      <c r="S27" s="18">
        <f>Main_Presentation[[#This Row],[Invoice Amt (FCY)]]*Main_Presentation[[#This Row],[Rate]]</f>
        <v>899587.5</v>
      </c>
      <c r="T27" s="15">
        <v>45201</v>
      </c>
      <c r="U27" s="26">
        <f>VLOOKUP(Main_Presentation[[#This Row],[LC Number]],Main_Issuance[],18,0)</f>
        <v>0</v>
      </c>
      <c r="V27" s="19" t="s">
        <v>90</v>
      </c>
      <c r="W27" s="18" t="s">
        <v>857</v>
      </c>
      <c r="X27" s="16"/>
      <c r="Y27" s="234" t="str">
        <f>TRIM(LEFT(Main_Presentation[[#This Row],[Payment Terms]],3))</f>
        <v>0</v>
      </c>
      <c r="Z27" s="16"/>
      <c r="AA27" s="316" cm="1">
        <f t="array" ref="AA27">Settlement(Main_Presentation[[#This Row],[Bank]],Main_Presentation[[#This Row],[ Invoice Amt (SAR)]],Main_Presentation[[#This Row],[Date Recd]],Main_Presentation[[#This Row],[Due Date]],Main_Presentation[[#This Row],[Days]])</f>
        <v>1437.5</v>
      </c>
      <c r="AB27" s="16"/>
    </row>
    <row r="28" spans="1:28" ht="15.75" hidden="1" x14ac:dyDescent="0.25">
      <c r="A28" s="14" t="s">
        <v>227</v>
      </c>
      <c r="B28" s="15">
        <v>45554</v>
      </c>
      <c r="C28" s="26">
        <v>3</v>
      </c>
      <c r="D28" s="55" t="str">
        <f>VLOOKUP(Main_Presentation[[#This Row],[LC Number]],Main_Issuance[],3,0)</f>
        <v>Bassam Marawie</v>
      </c>
      <c r="E28" s="16" t="s">
        <v>856</v>
      </c>
      <c r="F28" s="17" t="str">
        <f>VLOOKUP(Main_Presentation[[#This Row],[LC Number]],Main_Issuance[],5,0)</f>
        <v>Alinma</v>
      </c>
      <c r="G28" s="17" t="str">
        <f>VLOOKUP(Main_Presentation[[#This Row],[LC Number]],Main_Issuance[],6,0)</f>
        <v>KSP</v>
      </c>
      <c r="H28" s="17" t="str">
        <f>VLOOKUP(Main_Presentation[[#This Row],[LC Number]],Main_Issuance[],17,0)</f>
        <v>Credit</v>
      </c>
      <c r="I28" s="17" t="str">
        <f>VLOOKUP(Main_Presentation[[#This Row],[LC Number]],Main_Issuance[],7,0)</f>
        <v>ALFANAR ELECTRICAL SYSTEMS P.O.BOX</v>
      </c>
      <c r="J28" s="17" t="str">
        <f>VLOOKUP(Main_Presentation[[#This Row],[LC Number]],Main_Issuance[],8,0)</f>
        <v>FIRST FIX</v>
      </c>
      <c r="K28" s="17" t="str">
        <f>VLOOKUP(Main_Presentation[[#This Row],[LC Number]],Main_Issuance[],9,0)</f>
        <v>ADF</v>
      </c>
      <c r="L28" s="17">
        <f>VLOOKUP(Main_Presentation[[#This Row],[LC Number]],Main_Issuance[],10,0)</f>
        <v>1020001</v>
      </c>
      <c r="M28" s="17" t="str">
        <f>VLOOKUP(Main_Presentation[[#This Row],[LC Number]],Main_Issuance[],11,0)</f>
        <v>SAR</v>
      </c>
      <c r="N28" s="84">
        <f>VLOOKUP(Main_Presentation[[#This Row],[LC Number]],Main_Issuance[],12,0)</f>
        <v>5705150</v>
      </c>
      <c r="O28" s="16" t="s">
        <v>20</v>
      </c>
      <c r="P28" s="16" t="s">
        <v>857</v>
      </c>
      <c r="Q28" s="18">
        <v>3379275</v>
      </c>
      <c r="R28" s="18">
        <v>1</v>
      </c>
      <c r="S28" s="18">
        <f>Main_Presentation[[#This Row],[Invoice Amt (FCY)]]*Main_Presentation[[#This Row],[Rate]]</f>
        <v>3379275</v>
      </c>
      <c r="T28" s="15">
        <v>44955</v>
      </c>
      <c r="U28" s="26">
        <f>VLOOKUP(Main_Presentation[[#This Row],[LC Number]],Main_Issuance[],18,0)</f>
        <v>0</v>
      </c>
      <c r="V28" s="19" t="s">
        <v>90</v>
      </c>
      <c r="W28" s="18" t="s">
        <v>857</v>
      </c>
      <c r="X28" s="16"/>
      <c r="Y28" s="234" t="str">
        <f>TRIM(LEFT(Main_Presentation[[#This Row],[Payment Terms]],3))</f>
        <v>0</v>
      </c>
      <c r="Z28" s="16"/>
      <c r="AA28" s="316" cm="1">
        <f t="array" ref="AA28">Settlement(Main_Presentation[[#This Row],[Bank]],Main_Presentation[[#This Row],[ Invoice Amt (SAR)]],Main_Presentation[[#This Row],[Date Recd]],Main_Presentation[[#This Row],[Due Date]],Main_Presentation[[#This Row],[Days]])</f>
        <v>1437.5</v>
      </c>
      <c r="AB28" s="16"/>
    </row>
    <row r="29" spans="1:28" ht="15.75" hidden="1" x14ac:dyDescent="0.25">
      <c r="A29" s="14" t="s">
        <v>182</v>
      </c>
      <c r="B29" s="15">
        <v>45264</v>
      </c>
      <c r="C29" s="26">
        <v>2</v>
      </c>
      <c r="D29" s="55" t="str">
        <f>VLOOKUP(Main_Presentation[[#This Row],[LC Number]],Main_Issuance[],3,0)</f>
        <v xml:space="preserve"> - </v>
      </c>
      <c r="E29" s="16" t="s">
        <v>856</v>
      </c>
      <c r="F29" s="17" t="str">
        <f>VLOOKUP(Main_Presentation[[#This Row],[LC Number]],Main_Issuance[],5,0)</f>
        <v>Alinma</v>
      </c>
      <c r="G29" s="17" t="str">
        <f>VLOOKUP(Main_Presentation[[#This Row],[LC Number]],Main_Issuance[],6,0)</f>
        <v>KSP</v>
      </c>
      <c r="H29" s="17" t="str">
        <f>VLOOKUP(Main_Presentation[[#This Row],[LC Number]],Main_Issuance[],17,0)</f>
        <v>Cash</v>
      </c>
      <c r="I29" s="17" t="str">
        <f>VLOOKUP(Main_Presentation[[#This Row],[LC Number]],Main_Issuance[],7,0)</f>
        <v>BUILDING COMPONENT SOLUTIONS CO</v>
      </c>
      <c r="J29" s="17" t="str">
        <f>VLOOKUP(Main_Presentation[[#This Row],[LC Number]],Main_Issuance[],8,0)</f>
        <v>MBL</v>
      </c>
      <c r="K29" s="17" t="str">
        <f>VLOOKUP(Main_Presentation[[#This Row],[LC Number]],Main_Issuance[],9,0)</f>
        <v>Araqa Palace</v>
      </c>
      <c r="L29" s="17">
        <f>VLOOKUP(Main_Presentation[[#This Row],[LC Number]],Main_Issuance[],10,0)</f>
        <v>1020003</v>
      </c>
      <c r="M29" s="17" t="str">
        <f>VLOOKUP(Main_Presentation[[#This Row],[LC Number]],Main_Issuance[],11,0)</f>
        <v>SAR</v>
      </c>
      <c r="N29" s="84">
        <f>VLOOKUP(Main_Presentation[[#This Row],[LC Number]],Main_Issuance[],12,0)</f>
        <v>385997</v>
      </c>
      <c r="O29" s="16" t="s">
        <v>20</v>
      </c>
      <c r="P29" s="16" t="s">
        <v>857</v>
      </c>
      <c r="Q29" s="18">
        <v>38599.71</v>
      </c>
      <c r="R29" s="18">
        <v>1</v>
      </c>
      <c r="S29" s="18">
        <f>Main_Presentation[[#This Row],[Invoice Amt (FCY)]]*Main_Presentation[[#This Row],[Rate]]</f>
        <v>38599.71</v>
      </c>
      <c r="T29" s="15">
        <v>45041</v>
      </c>
      <c r="U29" s="26">
        <f>VLOOKUP(Main_Presentation[[#This Row],[LC Number]],Main_Issuance[],18,0)</f>
        <v>0</v>
      </c>
      <c r="V29" s="19" t="s">
        <v>184</v>
      </c>
      <c r="W29" s="18" t="s">
        <v>857</v>
      </c>
      <c r="X29" s="16"/>
      <c r="Y29" s="234" t="str">
        <f>TRIM(LEFT(Main_Presentation[[#This Row],[Payment Terms]],3))</f>
        <v>0</v>
      </c>
      <c r="Z29" s="16"/>
      <c r="AA29" s="316" cm="1">
        <f t="array" ref="AA29">Settlement(Main_Presentation[[#This Row],[Bank]],Main_Presentation[[#This Row],[ Invoice Amt (SAR)]],Main_Presentation[[#This Row],[Date Recd]],Main_Presentation[[#This Row],[Due Date]],Main_Presentation[[#This Row],[Days]])</f>
        <v>1437.5</v>
      </c>
      <c r="AB29" s="16"/>
    </row>
    <row r="30" spans="1:28" ht="15.75" hidden="1" x14ac:dyDescent="0.25">
      <c r="A30" s="14" t="s">
        <v>182</v>
      </c>
      <c r="B30" s="15">
        <v>45236</v>
      </c>
      <c r="C30" s="26">
        <v>1</v>
      </c>
      <c r="D30" s="55" t="str">
        <f>VLOOKUP(Main_Presentation[[#This Row],[LC Number]],Main_Issuance[],3,0)</f>
        <v xml:space="preserve"> - </v>
      </c>
      <c r="E30" s="16" t="s">
        <v>856</v>
      </c>
      <c r="F30" s="17" t="str">
        <f>VLOOKUP(Main_Presentation[[#This Row],[LC Number]],Main_Issuance[],5,0)</f>
        <v>Alinma</v>
      </c>
      <c r="G30" s="17" t="str">
        <f>VLOOKUP(Main_Presentation[[#This Row],[LC Number]],Main_Issuance[],6,0)</f>
        <v>KSP</v>
      </c>
      <c r="H30" s="17" t="str">
        <f>VLOOKUP(Main_Presentation[[#This Row],[LC Number]],Main_Issuance[],17,0)</f>
        <v>Cash</v>
      </c>
      <c r="I30" s="17" t="str">
        <f>VLOOKUP(Main_Presentation[[#This Row],[LC Number]],Main_Issuance[],7,0)</f>
        <v>BUILDING COMPONENT SOLUTIONS CO</v>
      </c>
      <c r="J30" s="17" t="str">
        <f>VLOOKUP(Main_Presentation[[#This Row],[LC Number]],Main_Issuance[],8,0)</f>
        <v>MBL</v>
      </c>
      <c r="K30" s="17" t="str">
        <f>VLOOKUP(Main_Presentation[[#This Row],[LC Number]],Main_Issuance[],9,0)</f>
        <v>Araqa Palace</v>
      </c>
      <c r="L30" s="17">
        <f>VLOOKUP(Main_Presentation[[#This Row],[LC Number]],Main_Issuance[],10,0)</f>
        <v>1020003</v>
      </c>
      <c r="M30" s="17" t="str">
        <f>VLOOKUP(Main_Presentation[[#This Row],[LC Number]],Main_Issuance[],11,0)</f>
        <v>SAR</v>
      </c>
      <c r="N30" s="84">
        <f>VLOOKUP(Main_Presentation[[#This Row],[LC Number]],Main_Issuance[],12,0)</f>
        <v>385997</v>
      </c>
      <c r="O30" s="16" t="s">
        <v>20</v>
      </c>
      <c r="P30" s="16" t="s">
        <v>857</v>
      </c>
      <c r="Q30" s="18">
        <v>347397.29</v>
      </c>
      <c r="R30" s="18">
        <v>1</v>
      </c>
      <c r="S30" s="18">
        <f>Main_Presentation[[#This Row],[Invoice Amt (FCY)]]*Main_Presentation[[#This Row],[Rate]]</f>
        <v>347397.29</v>
      </c>
      <c r="T30" s="15">
        <v>45041</v>
      </c>
      <c r="U30" s="26">
        <f>VLOOKUP(Main_Presentation[[#This Row],[LC Number]],Main_Issuance[],18,0)</f>
        <v>0</v>
      </c>
      <c r="V30" s="19" t="s">
        <v>184</v>
      </c>
      <c r="W30" s="18" t="s">
        <v>857</v>
      </c>
      <c r="X30" s="16"/>
      <c r="Y30" s="234" t="str">
        <f>TRIM(LEFT(Main_Presentation[[#This Row],[Payment Terms]],3))</f>
        <v>0</v>
      </c>
      <c r="Z30" s="16"/>
      <c r="AA30" s="316" cm="1">
        <f t="array" ref="AA30">Settlement(Main_Presentation[[#This Row],[Bank]],Main_Presentation[[#This Row],[ Invoice Amt (SAR)]],Main_Presentation[[#This Row],[Date Recd]],Main_Presentation[[#This Row],[Due Date]],Main_Presentation[[#This Row],[Days]])</f>
        <v>1437.5</v>
      </c>
      <c r="AB30" s="16"/>
    </row>
    <row r="31" spans="1:28" ht="15.75" hidden="1" x14ac:dyDescent="0.25">
      <c r="A31" s="14" t="s">
        <v>19</v>
      </c>
      <c r="B31" s="15">
        <v>45406</v>
      </c>
      <c r="C31" s="26">
        <v>1</v>
      </c>
      <c r="D31" s="55" t="str">
        <f>VLOOKUP(Main_Presentation[[#This Row],[LC Number]],Main_Issuance[],3,0)</f>
        <v>Bassam Marawie</v>
      </c>
      <c r="E31" s="16" t="s">
        <v>856</v>
      </c>
      <c r="F31" s="17" t="str">
        <f>VLOOKUP(Main_Presentation[[#This Row],[LC Number]],Main_Issuance[],5,0)</f>
        <v>Alinma</v>
      </c>
      <c r="G31" s="17" t="str">
        <f>VLOOKUP(Main_Presentation[[#This Row],[LC Number]],Main_Issuance[],6,0)</f>
        <v>KSP</v>
      </c>
      <c r="H31" s="17" t="str">
        <f>VLOOKUP(Main_Presentation[[#This Row],[LC Number]],Main_Issuance[],17,0)</f>
        <v>Credit</v>
      </c>
      <c r="I31" s="17" t="str">
        <f>VLOOKUP(Main_Presentation[[#This Row],[LC Number]],Main_Issuance[],7,0)</f>
        <v>AL SALEM AIR CONDITIONING CO</v>
      </c>
      <c r="J31" s="17" t="str">
        <f>VLOOKUP(Main_Presentation[[#This Row],[LC Number]],Main_Issuance[],8,0)</f>
        <v>FIRST FIX</v>
      </c>
      <c r="K31" s="17" t="str">
        <f>VLOOKUP(Main_Presentation[[#This Row],[LC Number]],Main_Issuance[],9,0)</f>
        <v>B05</v>
      </c>
      <c r="L31" s="17">
        <f>VLOOKUP(Main_Presentation[[#This Row],[LC Number]],Main_Issuance[],10,0)</f>
        <v>1020052</v>
      </c>
      <c r="M31" s="17" t="str">
        <f>VLOOKUP(Main_Presentation[[#This Row],[LC Number]],Main_Issuance[],11,0)</f>
        <v>SAR</v>
      </c>
      <c r="N31" s="84">
        <f>VLOOKUP(Main_Presentation[[#This Row],[LC Number]],Main_Issuance[],12,0)</f>
        <v>2765061.4699999997</v>
      </c>
      <c r="O31" s="16" t="s">
        <v>20</v>
      </c>
      <c r="P31" s="16" t="s">
        <v>857</v>
      </c>
      <c r="Q31" s="18">
        <v>2765061.47</v>
      </c>
      <c r="R31" s="18">
        <v>1</v>
      </c>
      <c r="S31" s="18">
        <f>Main_Presentation[[#This Row],[Invoice Amt (FCY)]]*Main_Presentation[[#This Row],[Rate]]</f>
        <v>2765061.47</v>
      </c>
      <c r="T31" s="15">
        <v>45472</v>
      </c>
      <c r="U31" s="26" t="str">
        <f>VLOOKUP(Main_Presentation[[#This Row],[LC Number]],Main_Issuance[],18,0)</f>
        <v>90 Days from Delivery Date</v>
      </c>
      <c r="V31" s="19" t="s">
        <v>25</v>
      </c>
      <c r="W31" s="18" t="s">
        <v>857</v>
      </c>
      <c r="X31" s="16"/>
      <c r="Y31" s="234" t="str">
        <f>TRIM(LEFT(Main_Presentation[[#This Row],[Payment Terms]],3))</f>
        <v>90</v>
      </c>
      <c r="Z31" s="16"/>
      <c r="AA31" s="316" cm="1">
        <f t="array" ref="AA31">Settlement(Main_Presentation[[#This Row],[Bank]],Main_Presentation[[#This Row],[ Invoice Amt (SAR)]],Main_Presentation[[#This Row],[Date Recd]],Main_Presentation[[#This Row],[Due Date]],Main_Presentation[[#This Row],[Days]])</f>
        <v>2649.6</v>
      </c>
      <c r="AB31" s="16"/>
    </row>
    <row r="32" spans="1:28" ht="15.75" hidden="1" x14ac:dyDescent="0.25">
      <c r="A32" s="14" t="s">
        <v>123</v>
      </c>
      <c r="B32" s="15">
        <v>45175</v>
      </c>
      <c r="C32" s="26">
        <v>1</v>
      </c>
      <c r="D32" s="55" t="str">
        <f>VLOOKUP(Main_Presentation[[#This Row],[LC Number]],Main_Issuance[],3,0)</f>
        <v>Bassam Marawie</v>
      </c>
      <c r="E32" s="16" t="s">
        <v>856</v>
      </c>
      <c r="F32" s="17" t="str">
        <f>VLOOKUP(Main_Presentation[[#This Row],[LC Number]],Main_Issuance[],5,0)</f>
        <v>Alinma</v>
      </c>
      <c r="G32" s="17" t="str">
        <f>VLOOKUP(Main_Presentation[[#This Row],[LC Number]],Main_Issuance[],6,0)</f>
        <v>KSP</v>
      </c>
      <c r="H32" s="17" t="str">
        <f>VLOOKUP(Main_Presentation[[#This Row],[LC Number]],Main_Issuance[],17,0)</f>
        <v>Credit</v>
      </c>
      <c r="I32" s="17" t="str">
        <f>VLOOKUP(Main_Presentation[[#This Row],[LC Number]],Main_Issuance[],7,0)</f>
        <v>BUILDING SYSTEM INTELLIGENT EST.</v>
      </c>
      <c r="J32" s="17" t="str">
        <f>VLOOKUP(Main_Presentation[[#This Row],[LC Number]],Main_Issuance[],8,0)</f>
        <v>FIRST FIX</v>
      </c>
      <c r="K32" s="17" t="str">
        <f>VLOOKUP(Main_Presentation[[#This Row],[LC Number]],Main_Issuance[],9,0)</f>
        <v>B05</v>
      </c>
      <c r="L32" s="17">
        <f>VLOOKUP(Main_Presentation[[#This Row],[LC Number]],Main_Issuance[],10,0)</f>
        <v>1020052</v>
      </c>
      <c r="M32" s="17" t="str">
        <f>VLOOKUP(Main_Presentation[[#This Row],[LC Number]],Main_Issuance[],11,0)</f>
        <v>SAR</v>
      </c>
      <c r="N32" s="84">
        <f>VLOOKUP(Main_Presentation[[#This Row],[LC Number]],Main_Issuance[],12,0)</f>
        <v>751946.18</v>
      </c>
      <c r="O32" s="16" t="s">
        <v>20</v>
      </c>
      <c r="P32" s="16" t="s">
        <v>857</v>
      </c>
      <c r="Q32" s="18">
        <v>751946.18</v>
      </c>
      <c r="R32" s="18">
        <v>1</v>
      </c>
      <c r="S32" s="18">
        <f>Main_Presentation[[#This Row],[Invoice Amt (FCY)]]*Main_Presentation[[#This Row],[Rate]]</f>
        <v>751946.18</v>
      </c>
      <c r="T32" s="15">
        <v>45041</v>
      </c>
      <c r="U32" s="26" t="str">
        <f>VLOOKUP(Main_Presentation[[#This Row],[LC Number]],Main_Issuance[],18,0)</f>
        <v>60 Days from Delivery Date</v>
      </c>
      <c r="V32" s="19" t="s">
        <v>25</v>
      </c>
      <c r="W32" s="18" t="s">
        <v>857</v>
      </c>
      <c r="X32" s="16"/>
      <c r="Y32" s="234" t="str">
        <f>TRIM(LEFT(Main_Presentation[[#This Row],[Payment Terms]],3))</f>
        <v>60</v>
      </c>
      <c r="Z32" s="16"/>
      <c r="AA32" s="316" cm="1">
        <f t="array" ref="AA32">Settlement(Main_Presentation[[#This Row],[Bank]],Main_Presentation[[#This Row],[ Invoice Amt (SAR)]],Main_Presentation[[#This Row],[Date Recd]],Main_Presentation[[#This Row],[Due Date]],Main_Presentation[[#This Row],[Days]])</f>
        <v>1437.5</v>
      </c>
      <c r="AB32" s="16"/>
    </row>
    <row r="33" spans="1:28" ht="15.75" hidden="1" x14ac:dyDescent="0.25">
      <c r="A33" s="14" t="s">
        <v>134</v>
      </c>
      <c r="B33" s="15">
        <v>45211</v>
      </c>
      <c r="C33" s="26">
        <v>1</v>
      </c>
      <c r="D33" s="55" t="str">
        <f>VLOOKUP(Main_Presentation[[#This Row],[LC Number]],Main_Issuance[],3,0)</f>
        <v>Bassam Marawie</v>
      </c>
      <c r="E33" s="16" t="s">
        <v>856</v>
      </c>
      <c r="F33" s="17" t="str">
        <f>VLOOKUP(Main_Presentation[[#This Row],[LC Number]],Main_Issuance[],5,0)</f>
        <v>Alinma</v>
      </c>
      <c r="G33" s="17" t="str">
        <f>VLOOKUP(Main_Presentation[[#This Row],[LC Number]],Main_Issuance[],6,0)</f>
        <v>KSP</v>
      </c>
      <c r="H33" s="17" t="str">
        <f>VLOOKUP(Main_Presentation[[#This Row],[LC Number]],Main_Issuance[],17,0)</f>
        <v>Credit</v>
      </c>
      <c r="I33" s="17" t="str">
        <f>VLOOKUP(Main_Presentation[[#This Row],[LC Number]],Main_Issuance[],7,0)</f>
        <v>AL SALEM AIR CONDITIONING CO</v>
      </c>
      <c r="J33" s="17" t="str">
        <f>VLOOKUP(Main_Presentation[[#This Row],[LC Number]],Main_Issuance[],8,0)</f>
        <v>FIRST FIX</v>
      </c>
      <c r="K33" s="17" t="str">
        <f>VLOOKUP(Main_Presentation[[#This Row],[LC Number]],Main_Issuance[],9,0)</f>
        <v>B05</v>
      </c>
      <c r="L33" s="17">
        <f>VLOOKUP(Main_Presentation[[#This Row],[LC Number]],Main_Issuance[],10,0)</f>
        <v>1020052</v>
      </c>
      <c r="M33" s="17" t="str">
        <f>VLOOKUP(Main_Presentation[[#This Row],[LC Number]],Main_Issuance[],11,0)</f>
        <v>SAR</v>
      </c>
      <c r="N33" s="84">
        <f>VLOOKUP(Main_Presentation[[#This Row],[LC Number]],Main_Issuance[],12,0)</f>
        <v>542698.80000000005</v>
      </c>
      <c r="O33" s="16" t="s">
        <v>20</v>
      </c>
      <c r="P33" s="16" t="s">
        <v>857</v>
      </c>
      <c r="Q33" s="18">
        <v>542698.80000000005</v>
      </c>
      <c r="R33" s="18">
        <v>1</v>
      </c>
      <c r="S33" s="18">
        <f>Main_Presentation[[#This Row],[Invoice Amt (FCY)]]*Main_Presentation[[#This Row],[Rate]]</f>
        <v>542698.80000000005</v>
      </c>
      <c r="T33" s="15">
        <v>45041</v>
      </c>
      <c r="U33" s="26" t="str">
        <f>VLOOKUP(Main_Presentation[[#This Row],[LC Number]],Main_Issuance[],18,0)</f>
        <v>90 Days from Delivery Date</v>
      </c>
      <c r="V33" s="19" t="s">
        <v>25</v>
      </c>
      <c r="W33" s="18" t="s">
        <v>857</v>
      </c>
      <c r="X33" s="16"/>
      <c r="Y33" s="234" t="str">
        <f>TRIM(LEFT(Main_Presentation[[#This Row],[Payment Terms]],3))</f>
        <v>90</v>
      </c>
      <c r="Z33" s="16"/>
      <c r="AA33" s="316" cm="1">
        <f t="array" ref="AA33">Settlement(Main_Presentation[[#This Row],[Bank]],Main_Presentation[[#This Row],[ Invoice Amt (SAR)]],Main_Presentation[[#This Row],[Date Recd]],Main_Presentation[[#This Row],[Due Date]],Main_Presentation[[#This Row],[Days]])</f>
        <v>1437.5</v>
      </c>
      <c r="AB33" s="16"/>
    </row>
    <row r="34" spans="1:28" ht="15.75" hidden="1" x14ac:dyDescent="0.25">
      <c r="A34" s="14" t="s">
        <v>145</v>
      </c>
      <c r="B34" s="15">
        <v>45186</v>
      </c>
      <c r="C34" s="26">
        <v>1</v>
      </c>
      <c r="D34" s="55" t="str">
        <f>VLOOKUP(Main_Presentation[[#This Row],[LC Number]],Main_Issuance[],3,0)</f>
        <v>Bassam Marawie</v>
      </c>
      <c r="E34" s="16" t="s">
        <v>856</v>
      </c>
      <c r="F34" s="17" t="str">
        <f>VLOOKUP(Main_Presentation[[#This Row],[LC Number]],Main_Issuance[],5,0)</f>
        <v>Alinma</v>
      </c>
      <c r="G34" s="17" t="str">
        <f>VLOOKUP(Main_Presentation[[#This Row],[LC Number]],Main_Issuance[],6,0)</f>
        <v>KSP</v>
      </c>
      <c r="H34" s="17" t="str">
        <f>VLOOKUP(Main_Presentation[[#This Row],[LC Number]],Main_Issuance[],17,0)</f>
        <v>Credit</v>
      </c>
      <c r="I34" s="17" t="str">
        <f>VLOOKUP(Main_Presentation[[#This Row],[LC Number]],Main_Issuance[],7,0)</f>
        <v>SAUDI PREINSULATED PIPES INDUSTRIES LLC</v>
      </c>
      <c r="J34" s="17" t="str">
        <f>VLOOKUP(Main_Presentation[[#This Row],[LC Number]],Main_Issuance[],8,0)</f>
        <v>FIRST FIX</v>
      </c>
      <c r="K34" s="17" t="str">
        <f>VLOOKUP(Main_Presentation[[#This Row],[LC Number]],Main_Issuance[],9,0)</f>
        <v>B05</v>
      </c>
      <c r="L34" s="17">
        <f>VLOOKUP(Main_Presentation[[#This Row],[LC Number]],Main_Issuance[],10,0)</f>
        <v>1020052</v>
      </c>
      <c r="M34" s="17" t="str">
        <f>VLOOKUP(Main_Presentation[[#This Row],[LC Number]],Main_Issuance[],11,0)</f>
        <v>SAR</v>
      </c>
      <c r="N34" s="84">
        <f>VLOOKUP(Main_Presentation[[#This Row],[LC Number]],Main_Issuance[],12,0)</f>
        <v>3443026.15</v>
      </c>
      <c r="O34" s="16" t="s">
        <v>20</v>
      </c>
      <c r="P34" s="16" t="s">
        <v>857</v>
      </c>
      <c r="Q34" s="18">
        <v>2663232.59</v>
      </c>
      <c r="R34" s="18">
        <v>1</v>
      </c>
      <c r="S34" s="18">
        <f>Main_Presentation[[#This Row],[Invoice Amt (FCY)]]*Main_Presentation[[#This Row],[Rate]]</f>
        <v>2663232.59</v>
      </c>
      <c r="T34" s="15">
        <v>45041</v>
      </c>
      <c r="U34" s="26">
        <f>VLOOKUP(Main_Presentation[[#This Row],[LC Number]],Main_Issuance[],18,0)</f>
        <v>0</v>
      </c>
      <c r="V34" s="19" t="s">
        <v>25</v>
      </c>
      <c r="W34" s="18" t="s">
        <v>857</v>
      </c>
      <c r="X34" s="16"/>
      <c r="Y34" s="234" t="str">
        <f>TRIM(LEFT(Main_Presentation[[#This Row],[Payment Terms]],3))</f>
        <v>0</v>
      </c>
      <c r="Z34" s="16"/>
      <c r="AA34" s="316" cm="1">
        <f t="array" ref="AA34">Settlement(Main_Presentation[[#This Row],[Bank]],Main_Presentation[[#This Row],[ Invoice Amt (SAR)]],Main_Presentation[[#This Row],[Date Recd]],Main_Presentation[[#This Row],[Due Date]],Main_Presentation[[#This Row],[Days]])</f>
        <v>1437.5</v>
      </c>
      <c r="AB34" s="16"/>
    </row>
    <row r="35" spans="1:28" ht="15.75" hidden="1" x14ac:dyDescent="0.25">
      <c r="A35" s="14" t="s">
        <v>145</v>
      </c>
      <c r="B35" s="15">
        <v>45231</v>
      </c>
      <c r="C35" s="26">
        <v>2</v>
      </c>
      <c r="D35" s="55" t="str">
        <f>VLOOKUP(Main_Presentation[[#This Row],[LC Number]],Main_Issuance[],3,0)</f>
        <v>Bassam Marawie</v>
      </c>
      <c r="E35" s="16" t="s">
        <v>856</v>
      </c>
      <c r="F35" s="17" t="str">
        <f>VLOOKUP(Main_Presentation[[#This Row],[LC Number]],Main_Issuance[],5,0)</f>
        <v>Alinma</v>
      </c>
      <c r="G35" s="17" t="str">
        <f>VLOOKUP(Main_Presentation[[#This Row],[LC Number]],Main_Issuance[],6,0)</f>
        <v>KSP</v>
      </c>
      <c r="H35" s="17" t="str">
        <f>VLOOKUP(Main_Presentation[[#This Row],[LC Number]],Main_Issuance[],17,0)</f>
        <v>Credit</v>
      </c>
      <c r="I35" s="17" t="str">
        <f>VLOOKUP(Main_Presentation[[#This Row],[LC Number]],Main_Issuance[],7,0)</f>
        <v>SAUDI PREINSULATED PIPES INDUSTRIES LLC</v>
      </c>
      <c r="J35" s="17" t="str">
        <f>VLOOKUP(Main_Presentation[[#This Row],[LC Number]],Main_Issuance[],8,0)</f>
        <v>FIRST FIX</v>
      </c>
      <c r="K35" s="17" t="str">
        <f>VLOOKUP(Main_Presentation[[#This Row],[LC Number]],Main_Issuance[],9,0)</f>
        <v>B05</v>
      </c>
      <c r="L35" s="17">
        <f>VLOOKUP(Main_Presentation[[#This Row],[LC Number]],Main_Issuance[],10,0)</f>
        <v>1020052</v>
      </c>
      <c r="M35" s="17" t="str">
        <f>VLOOKUP(Main_Presentation[[#This Row],[LC Number]],Main_Issuance[],11,0)</f>
        <v>SAR</v>
      </c>
      <c r="N35" s="84">
        <f>VLOOKUP(Main_Presentation[[#This Row],[LC Number]],Main_Issuance[],12,0)</f>
        <v>3443026.15</v>
      </c>
      <c r="O35" s="16" t="s">
        <v>20</v>
      </c>
      <c r="P35" s="16" t="s">
        <v>857</v>
      </c>
      <c r="Q35" s="18">
        <v>778949.47</v>
      </c>
      <c r="R35" s="18">
        <v>1</v>
      </c>
      <c r="S35" s="18">
        <f>Main_Presentation[[#This Row],[Invoice Amt (FCY)]]*Main_Presentation[[#This Row],[Rate]]</f>
        <v>778949.47</v>
      </c>
      <c r="T35" s="15">
        <v>45041</v>
      </c>
      <c r="U35" s="26">
        <f>VLOOKUP(Main_Presentation[[#This Row],[LC Number]],Main_Issuance[],18,0)</f>
        <v>0</v>
      </c>
      <c r="V35" s="19" t="s">
        <v>25</v>
      </c>
      <c r="W35" s="18" t="s">
        <v>857</v>
      </c>
      <c r="X35" s="16"/>
      <c r="Y35" s="234" t="str">
        <f>TRIM(LEFT(Main_Presentation[[#This Row],[Payment Terms]],3))</f>
        <v>0</v>
      </c>
      <c r="Z35" s="16"/>
      <c r="AA35" s="316" cm="1">
        <f t="array" ref="AA35">Settlement(Main_Presentation[[#This Row],[Bank]],Main_Presentation[[#This Row],[ Invoice Amt (SAR)]],Main_Presentation[[#This Row],[Date Recd]],Main_Presentation[[#This Row],[Due Date]],Main_Presentation[[#This Row],[Days]])</f>
        <v>1437.5</v>
      </c>
      <c r="AB35" s="16"/>
    </row>
    <row r="36" spans="1:28" ht="15.75" hidden="1" x14ac:dyDescent="0.25">
      <c r="A36" s="14" t="s">
        <v>249</v>
      </c>
      <c r="B36" s="15">
        <v>45090</v>
      </c>
      <c r="C36" s="26">
        <v>1</v>
      </c>
      <c r="D36" s="55" t="str">
        <f>VLOOKUP(Main_Presentation[[#This Row],[LC Number]],Main_Issuance[],3,0)</f>
        <v>Bassam Marawie</v>
      </c>
      <c r="E36" s="16" t="s">
        <v>856</v>
      </c>
      <c r="F36" s="17" t="str">
        <f>VLOOKUP(Main_Presentation[[#This Row],[LC Number]],Main_Issuance[],5,0)</f>
        <v>Alinma</v>
      </c>
      <c r="G36" s="17" t="str">
        <f>VLOOKUP(Main_Presentation[[#This Row],[LC Number]],Main_Issuance[],6,0)</f>
        <v>KSP</v>
      </c>
      <c r="H36" s="17" t="str">
        <f>VLOOKUP(Main_Presentation[[#This Row],[LC Number]],Main_Issuance[],17,0)</f>
        <v>Credit</v>
      </c>
      <c r="I36" s="17" t="str">
        <f>VLOOKUP(Main_Presentation[[#This Row],[LC Number]],Main_Issuance[],7,0)</f>
        <v>ELECTRIC HOUSE TRADING COMPANY LLC</v>
      </c>
      <c r="J36" s="17" t="str">
        <f>VLOOKUP(Main_Presentation[[#This Row],[LC Number]],Main_Issuance[],8,0)</f>
        <v>FIRST FIX</v>
      </c>
      <c r="K36" s="17" t="str">
        <f>VLOOKUP(Main_Presentation[[#This Row],[LC Number]],Main_Issuance[],9,0)</f>
        <v>B05</v>
      </c>
      <c r="L36" s="17">
        <f>VLOOKUP(Main_Presentation[[#This Row],[LC Number]],Main_Issuance[],10,0)</f>
        <v>1020052</v>
      </c>
      <c r="M36" s="17" t="str">
        <f>VLOOKUP(Main_Presentation[[#This Row],[LC Number]],Main_Issuance[],11,0)</f>
        <v>SAR</v>
      </c>
      <c r="N36" s="84">
        <f>VLOOKUP(Main_Presentation[[#This Row],[LC Number]],Main_Issuance[],12,0)</f>
        <v>4998187.67</v>
      </c>
      <c r="O36" s="16" t="s">
        <v>20</v>
      </c>
      <c r="P36" s="16" t="s">
        <v>857</v>
      </c>
      <c r="Q36" s="18">
        <v>538117.32999999996</v>
      </c>
      <c r="R36" s="18">
        <v>1</v>
      </c>
      <c r="S36" s="18">
        <f>Main_Presentation[[#This Row],[Invoice Amt (FCY)]]*Main_Presentation[[#This Row],[Rate]]</f>
        <v>538117.32999999996</v>
      </c>
      <c r="T36" s="15">
        <v>45041</v>
      </c>
      <c r="U36" s="26">
        <f>VLOOKUP(Main_Presentation[[#This Row],[LC Number]],Main_Issuance[],18,0)</f>
        <v>0</v>
      </c>
      <c r="V36" s="19" t="s">
        <v>25</v>
      </c>
      <c r="W36" s="18" t="s">
        <v>857</v>
      </c>
      <c r="X36" s="16"/>
      <c r="Y36" s="234" t="str">
        <f>TRIM(LEFT(Main_Presentation[[#This Row],[Payment Terms]],3))</f>
        <v>0</v>
      </c>
      <c r="Z36" s="16"/>
      <c r="AA36" s="316" cm="1">
        <f t="array" ref="AA36">Settlement(Main_Presentation[[#This Row],[Bank]],Main_Presentation[[#This Row],[ Invoice Amt (SAR)]],Main_Presentation[[#This Row],[Date Recd]],Main_Presentation[[#This Row],[Due Date]],Main_Presentation[[#This Row],[Days]])</f>
        <v>1437.5</v>
      </c>
      <c r="AB36" s="16"/>
    </row>
    <row r="37" spans="1:28" ht="15.75" hidden="1" x14ac:dyDescent="0.25">
      <c r="A37" s="14" t="s">
        <v>249</v>
      </c>
      <c r="B37" s="15">
        <v>45102</v>
      </c>
      <c r="C37" s="26">
        <v>2</v>
      </c>
      <c r="D37" s="55" t="str">
        <f>VLOOKUP(Main_Presentation[[#This Row],[LC Number]],Main_Issuance[],3,0)</f>
        <v>Bassam Marawie</v>
      </c>
      <c r="E37" s="16" t="s">
        <v>856</v>
      </c>
      <c r="F37" s="17" t="str">
        <f>VLOOKUP(Main_Presentation[[#This Row],[LC Number]],Main_Issuance[],5,0)</f>
        <v>Alinma</v>
      </c>
      <c r="G37" s="17" t="str">
        <f>VLOOKUP(Main_Presentation[[#This Row],[LC Number]],Main_Issuance[],6,0)</f>
        <v>KSP</v>
      </c>
      <c r="H37" s="17" t="str">
        <f>VLOOKUP(Main_Presentation[[#This Row],[LC Number]],Main_Issuance[],17,0)</f>
        <v>Credit</v>
      </c>
      <c r="I37" s="17" t="str">
        <f>VLOOKUP(Main_Presentation[[#This Row],[LC Number]],Main_Issuance[],7,0)</f>
        <v>ELECTRIC HOUSE TRADING COMPANY LLC</v>
      </c>
      <c r="J37" s="17" t="str">
        <f>VLOOKUP(Main_Presentation[[#This Row],[LC Number]],Main_Issuance[],8,0)</f>
        <v>FIRST FIX</v>
      </c>
      <c r="K37" s="17" t="str">
        <f>VLOOKUP(Main_Presentation[[#This Row],[LC Number]],Main_Issuance[],9,0)</f>
        <v>B05</v>
      </c>
      <c r="L37" s="17">
        <f>VLOOKUP(Main_Presentation[[#This Row],[LC Number]],Main_Issuance[],10,0)</f>
        <v>1020052</v>
      </c>
      <c r="M37" s="17" t="str">
        <f>VLOOKUP(Main_Presentation[[#This Row],[LC Number]],Main_Issuance[],11,0)</f>
        <v>SAR</v>
      </c>
      <c r="N37" s="84">
        <f>VLOOKUP(Main_Presentation[[#This Row],[LC Number]],Main_Issuance[],12,0)</f>
        <v>4998187.67</v>
      </c>
      <c r="O37" s="16" t="s">
        <v>20</v>
      </c>
      <c r="P37" s="16" t="s">
        <v>857</v>
      </c>
      <c r="Q37" s="18">
        <v>2152742.9500000002</v>
      </c>
      <c r="R37" s="18">
        <v>1</v>
      </c>
      <c r="S37" s="18">
        <f>Main_Presentation[[#This Row],[Invoice Amt (FCY)]]*Main_Presentation[[#This Row],[Rate]]</f>
        <v>2152742.9500000002</v>
      </c>
      <c r="T37" s="15">
        <v>45041</v>
      </c>
      <c r="U37" s="26">
        <f>VLOOKUP(Main_Presentation[[#This Row],[LC Number]],Main_Issuance[],18,0)</f>
        <v>0</v>
      </c>
      <c r="V37" s="19" t="s">
        <v>25</v>
      </c>
      <c r="W37" s="18" t="s">
        <v>857</v>
      </c>
      <c r="X37" s="16"/>
      <c r="Y37" s="234" t="str">
        <f>TRIM(LEFT(Main_Presentation[[#This Row],[Payment Terms]],3))</f>
        <v>0</v>
      </c>
      <c r="Z37" s="16"/>
      <c r="AA37" s="316" cm="1">
        <f t="array" ref="AA37">Settlement(Main_Presentation[[#This Row],[Bank]],Main_Presentation[[#This Row],[ Invoice Amt (SAR)]],Main_Presentation[[#This Row],[Date Recd]],Main_Presentation[[#This Row],[Due Date]],Main_Presentation[[#This Row],[Days]])</f>
        <v>1437.5</v>
      </c>
      <c r="AB37" s="16"/>
    </row>
    <row r="38" spans="1:28" ht="15.75" hidden="1" x14ac:dyDescent="0.25">
      <c r="A38" s="14" t="s">
        <v>249</v>
      </c>
      <c r="B38" s="15">
        <v>45167</v>
      </c>
      <c r="C38" s="26">
        <v>3</v>
      </c>
      <c r="D38" s="55" t="str">
        <f>VLOOKUP(Main_Presentation[[#This Row],[LC Number]],Main_Issuance[],3,0)</f>
        <v>Bassam Marawie</v>
      </c>
      <c r="E38" s="16" t="s">
        <v>856</v>
      </c>
      <c r="F38" s="17" t="str">
        <f>VLOOKUP(Main_Presentation[[#This Row],[LC Number]],Main_Issuance[],5,0)</f>
        <v>Alinma</v>
      </c>
      <c r="G38" s="17" t="str">
        <f>VLOOKUP(Main_Presentation[[#This Row],[LC Number]],Main_Issuance[],6,0)</f>
        <v>KSP</v>
      </c>
      <c r="H38" s="17" t="str">
        <f>VLOOKUP(Main_Presentation[[#This Row],[LC Number]],Main_Issuance[],17,0)</f>
        <v>Credit</v>
      </c>
      <c r="I38" s="17" t="str">
        <f>VLOOKUP(Main_Presentation[[#This Row],[LC Number]],Main_Issuance[],7,0)</f>
        <v>ELECTRIC HOUSE TRADING COMPANY LLC</v>
      </c>
      <c r="J38" s="17" t="str">
        <f>VLOOKUP(Main_Presentation[[#This Row],[LC Number]],Main_Issuance[],8,0)</f>
        <v>FIRST FIX</v>
      </c>
      <c r="K38" s="17" t="str">
        <f>VLOOKUP(Main_Presentation[[#This Row],[LC Number]],Main_Issuance[],9,0)</f>
        <v>B05</v>
      </c>
      <c r="L38" s="17">
        <f>VLOOKUP(Main_Presentation[[#This Row],[LC Number]],Main_Issuance[],10,0)</f>
        <v>1020052</v>
      </c>
      <c r="M38" s="17" t="str">
        <f>VLOOKUP(Main_Presentation[[#This Row],[LC Number]],Main_Issuance[],11,0)</f>
        <v>SAR</v>
      </c>
      <c r="N38" s="84">
        <f>VLOOKUP(Main_Presentation[[#This Row],[LC Number]],Main_Issuance[],12,0)</f>
        <v>4998187.67</v>
      </c>
      <c r="O38" s="16" t="s">
        <v>20</v>
      </c>
      <c r="P38" s="16" t="s">
        <v>857</v>
      </c>
      <c r="Q38" s="18">
        <v>2307327.39</v>
      </c>
      <c r="R38" s="18">
        <v>1</v>
      </c>
      <c r="S38" s="18">
        <f>Main_Presentation[[#This Row],[Invoice Amt (FCY)]]*Main_Presentation[[#This Row],[Rate]]</f>
        <v>2307327.39</v>
      </c>
      <c r="T38" s="15">
        <v>45041</v>
      </c>
      <c r="U38" s="26">
        <f>VLOOKUP(Main_Presentation[[#This Row],[LC Number]],Main_Issuance[],18,0)</f>
        <v>0</v>
      </c>
      <c r="V38" s="19" t="s">
        <v>25</v>
      </c>
      <c r="W38" s="18" t="s">
        <v>857</v>
      </c>
      <c r="X38" s="16"/>
      <c r="Y38" s="234" t="str">
        <f>TRIM(LEFT(Main_Presentation[[#This Row],[Payment Terms]],3))</f>
        <v>0</v>
      </c>
      <c r="Z38" s="16"/>
      <c r="AA38" s="316" cm="1">
        <f t="array" ref="AA38">Settlement(Main_Presentation[[#This Row],[Bank]],Main_Presentation[[#This Row],[ Invoice Amt (SAR)]],Main_Presentation[[#This Row],[Date Recd]],Main_Presentation[[#This Row],[Due Date]],Main_Presentation[[#This Row],[Days]])</f>
        <v>1437.5</v>
      </c>
      <c r="AB38" s="16"/>
    </row>
    <row r="39" spans="1:28" ht="15.75" hidden="1" x14ac:dyDescent="0.25">
      <c r="A39" s="14" t="s">
        <v>148</v>
      </c>
      <c r="B39" s="15">
        <v>45196</v>
      </c>
      <c r="C39" s="26">
        <v>1</v>
      </c>
      <c r="D39" s="55" t="str">
        <f>VLOOKUP(Main_Presentation[[#This Row],[LC Number]],Main_Issuance[],3,0)</f>
        <v>Bassam Marawie</v>
      </c>
      <c r="E39" s="16" t="s">
        <v>856</v>
      </c>
      <c r="F39" s="17" t="str">
        <f>VLOOKUP(Main_Presentation[[#This Row],[LC Number]],Main_Issuance[],5,0)</f>
        <v>Alinma</v>
      </c>
      <c r="G39" s="17" t="str">
        <f>VLOOKUP(Main_Presentation[[#This Row],[LC Number]],Main_Issuance[],6,0)</f>
        <v>KSP</v>
      </c>
      <c r="H39" s="17" t="str">
        <f>VLOOKUP(Main_Presentation[[#This Row],[LC Number]],Main_Issuance[],17,0)</f>
        <v>Credit</v>
      </c>
      <c r="I39" s="17" t="str">
        <f>VLOOKUP(Main_Presentation[[#This Row],[LC Number]],Main_Issuance[],7,0)</f>
        <v>ALFANAR ELECTRICAL SYSTEMS P.O.BOX</v>
      </c>
      <c r="J39" s="17" t="str">
        <f>VLOOKUP(Main_Presentation[[#This Row],[LC Number]],Main_Issuance[],8,0)</f>
        <v>FIRST FIX</v>
      </c>
      <c r="K39" s="17" t="str">
        <f>VLOOKUP(Main_Presentation[[#This Row],[LC Number]],Main_Issuance[],9,0)</f>
        <v>B05</v>
      </c>
      <c r="L39" s="17">
        <f>VLOOKUP(Main_Presentation[[#This Row],[LC Number]],Main_Issuance[],10,0)</f>
        <v>1020052</v>
      </c>
      <c r="M39" s="17" t="str">
        <f>VLOOKUP(Main_Presentation[[#This Row],[LC Number]],Main_Issuance[],11,0)</f>
        <v>SAR</v>
      </c>
      <c r="N39" s="84">
        <f>VLOOKUP(Main_Presentation[[#This Row],[LC Number]],Main_Issuance[],12,0)</f>
        <v>4330900</v>
      </c>
      <c r="O39" s="16" t="s">
        <v>20</v>
      </c>
      <c r="P39" s="16" t="s">
        <v>857</v>
      </c>
      <c r="Q39" s="18">
        <v>4330900</v>
      </c>
      <c r="R39" s="18">
        <v>1</v>
      </c>
      <c r="S39" s="18">
        <f>Main_Presentation[[#This Row],[Invoice Amt (FCY)]]*Main_Presentation[[#This Row],[Rate]]</f>
        <v>4330900</v>
      </c>
      <c r="T39" s="15">
        <v>45041</v>
      </c>
      <c r="U39" s="26">
        <f>VLOOKUP(Main_Presentation[[#This Row],[LC Number]],Main_Issuance[],18,0)</f>
        <v>0</v>
      </c>
      <c r="V39" s="19" t="s">
        <v>25</v>
      </c>
      <c r="W39" s="18" t="s">
        <v>857</v>
      </c>
      <c r="X39" s="16"/>
      <c r="Y39" s="234" t="str">
        <f>TRIM(LEFT(Main_Presentation[[#This Row],[Payment Terms]],3))</f>
        <v>0</v>
      </c>
      <c r="Z39" s="16"/>
      <c r="AA39" s="316" cm="1">
        <f t="array" ref="AA39">Settlement(Main_Presentation[[#This Row],[Bank]],Main_Presentation[[#This Row],[ Invoice Amt (SAR)]],Main_Presentation[[#This Row],[Date Recd]],Main_Presentation[[#This Row],[Due Date]],Main_Presentation[[#This Row],[Days]])</f>
        <v>1437.5</v>
      </c>
      <c r="AB39" s="16"/>
    </row>
    <row r="40" spans="1:28" ht="15.75" hidden="1" x14ac:dyDescent="0.25">
      <c r="A40" s="14" t="s">
        <v>173</v>
      </c>
      <c r="B40" s="15">
        <v>45208</v>
      </c>
      <c r="C40" s="26">
        <v>1</v>
      </c>
      <c r="D40" s="55" t="str">
        <f>VLOOKUP(Main_Presentation[[#This Row],[LC Number]],Main_Issuance[],3,0)</f>
        <v>Bassam Marawie</v>
      </c>
      <c r="E40" s="16" t="s">
        <v>856</v>
      </c>
      <c r="F40" s="17" t="str">
        <f>VLOOKUP(Main_Presentation[[#This Row],[LC Number]],Main_Issuance[],5,0)</f>
        <v>Alinma</v>
      </c>
      <c r="G40" s="17" t="str">
        <f>VLOOKUP(Main_Presentation[[#This Row],[LC Number]],Main_Issuance[],6,0)</f>
        <v>KSP</v>
      </c>
      <c r="H40" s="17" t="str">
        <f>VLOOKUP(Main_Presentation[[#This Row],[LC Number]],Main_Issuance[],17,0)</f>
        <v>Credit</v>
      </c>
      <c r="I40" s="17" t="str">
        <f>VLOOKUP(Main_Presentation[[#This Row],[LC Number]],Main_Issuance[],7,0)</f>
        <v>ELECTRIC HOUSE TRADING COMPANY LLC</v>
      </c>
      <c r="J40" s="17" t="str">
        <f>VLOOKUP(Main_Presentation[[#This Row],[LC Number]],Main_Issuance[],8,0)</f>
        <v>FIRST FIX</v>
      </c>
      <c r="K40" s="17" t="str">
        <f>VLOOKUP(Main_Presentation[[#This Row],[LC Number]],Main_Issuance[],9,0)</f>
        <v>B05</v>
      </c>
      <c r="L40" s="17">
        <f>VLOOKUP(Main_Presentation[[#This Row],[LC Number]],Main_Issuance[],10,0)</f>
        <v>1020052</v>
      </c>
      <c r="M40" s="17" t="str">
        <f>VLOOKUP(Main_Presentation[[#This Row],[LC Number]],Main_Issuance[],11,0)</f>
        <v>SAR</v>
      </c>
      <c r="N40" s="84">
        <f>VLOOKUP(Main_Presentation[[#This Row],[LC Number]],Main_Issuance[],12,0)</f>
        <v>853853.28</v>
      </c>
      <c r="O40" s="16" t="s">
        <v>20</v>
      </c>
      <c r="P40" s="16" t="s">
        <v>857</v>
      </c>
      <c r="Q40" s="18">
        <v>275510.5</v>
      </c>
      <c r="R40" s="18">
        <v>1</v>
      </c>
      <c r="S40" s="18">
        <f>Main_Presentation[[#This Row],[Invoice Amt (FCY)]]*Main_Presentation[[#This Row],[Rate]]</f>
        <v>275510.5</v>
      </c>
      <c r="T40" s="15">
        <v>45041</v>
      </c>
      <c r="U40" s="26">
        <f>VLOOKUP(Main_Presentation[[#This Row],[LC Number]],Main_Issuance[],18,0)</f>
        <v>0</v>
      </c>
      <c r="V40" s="19" t="s">
        <v>25</v>
      </c>
      <c r="W40" s="18" t="s">
        <v>857</v>
      </c>
      <c r="X40" s="16"/>
      <c r="Y40" s="234" t="str">
        <f>TRIM(LEFT(Main_Presentation[[#This Row],[Payment Terms]],3))</f>
        <v>0</v>
      </c>
      <c r="Z40" s="16"/>
      <c r="AA40" s="316" cm="1">
        <f t="array" ref="AA40">Settlement(Main_Presentation[[#This Row],[Bank]],Main_Presentation[[#This Row],[ Invoice Amt (SAR)]],Main_Presentation[[#This Row],[Date Recd]],Main_Presentation[[#This Row],[Due Date]],Main_Presentation[[#This Row],[Days]])</f>
        <v>1437.5</v>
      </c>
      <c r="AB40" s="16"/>
    </row>
    <row r="41" spans="1:28" ht="15.75" hidden="1" x14ac:dyDescent="0.25">
      <c r="A41" s="14" t="s">
        <v>173</v>
      </c>
      <c r="B41" s="15">
        <v>45208</v>
      </c>
      <c r="C41" s="26">
        <v>2</v>
      </c>
      <c r="D41" s="55" t="str">
        <f>VLOOKUP(Main_Presentation[[#This Row],[LC Number]],Main_Issuance[],3,0)</f>
        <v>Bassam Marawie</v>
      </c>
      <c r="E41" s="16" t="s">
        <v>856</v>
      </c>
      <c r="F41" s="17" t="str">
        <f>VLOOKUP(Main_Presentation[[#This Row],[LC Number]],Main_Issuance[],5,0)</f>
        <v>Alinma</v>
      </c>
      <c r="G41" s="17" t="str">
        <f>VLOOKUP(Main_Presentation[[#This Row],[LC Number]],Main_Issuance[],6,0)</f>
        <v>KSP</v>
      </c>
      <c r="H41" s="17" t="str">
        <f>VLOOKUP(Main_Presentation[[#This Row],[LC Number]],Main_Issuance[],17,0)</f>
        <v>Credit</v>
      </c>
      <c r="I41" s="17" t="str">
        <f>VLOOKUP(Main_Presentation[[#This Row],[LC Number]],Main_Issuance[],7,0)</f>
        <v>ELECTRIC HOUSE TRADING COMPANY LLC</v>
      </c>
      <c r="J41" s="17" t="str">
        <f>VLOOKUP(Main_Presentation[[#This Row],[LC Number]],Main_Issuance[],8,0)</f>
        <v>FIRST FIX</v>
      </c>
      <c r="K41" s="17" t="str">
        <f>VLOOKUP(Main_Presentation[[#This Row],[LC Number]],Main_Issuance[],9,0)</f>
        <v>B05</v>
      </c>
      <c r="L41" s="17">
        <f>VLOOKUP(Main_Presentation[[#This Row],[LC Number]],Main_Issuance[],10,0)</f>
        <v>1020052</v>
      </c>
      <c r="M41" s="17" t="str">
        <f>VLOOKUP(Main_Presentation[[#This Row],[LC Number]],Main_Issuance[],11,0)</f>
        <v>SAR</v>
      </c>
      <c r="N41" s="84">
        <f>VLOOKUP(Main_Presentation[[#This Row],[LC Number]],Main_Issuance[],12,0)</f>
        <v>853853.28</v>
      </c>
      <c r="O41" s="16" t="s">
        <v>20</v>
      </c>
      <c r="P41" s="16" t="s">
        <v>857</v>
      </c>
      <c r="Q41" s="18">
        <v>578342.78</v>
      </c>
      <c r="R41" s="18">
        <v>1</v>
      </c>
      <c r="S41" s="18">
        <f>Main_Presentation[[#This Row],[Invoice Amt (FCY)]]*Main_Presentation[[#This Row],[Rate]]</f>
        <v>578342.78</v>
      </c>
      <c r="T41" s="15">
        <v>45041</v>
      </c>
      <c r="U41" s="26">
        <f>VLOOKUP(Main_Presentation[[#This Row],[LC Number]],Main_Issuance[],18,0)</f>
        <v>0</v>
      </c>
      <c r="V41" s="19" t="s">
        <v>25</v>
      </c>
      <c r="W41" s="18" t="s">
        <v>857</v>
      </c>
      <c r="X41" s="16"/>
      <c r="Y41" s="234" t="str">
        <f>TRIM(LEFT(Main_Presentation[[#This Row],[Payment Terms]],3))</f>
        <v>0</v>
      </c>
      <c r="Z41" s="16"/>
      <c r="AA41" s="316" cm="1">
        <f t="array" ref="AA41">Settlement(Main_Presentation[[#This Row],[Bank]],Main_Presentation[[#This Row],[ Invoice Amt (SAR)]],Main_Presentation[[#This Row],[Date Recd]],Main_Presentation[[#This Row],[Due Date]],Main_Presentation[[#This Row],[Days]])</f>
        <v>1437.5</v>
      </c>
      <c r="AB41" s="16"/>
    </row>
    <row r="42" spans="1:28" ht="15.75" hidden="1" x14ac:dyDescent="0.25">
      <c r="A42" s="14" t="s">
        <v>174</v>
      </c>
      <c r="B42" s="15">
        <v>45167</v>
      </c>
      <c r="C42" s="26">
        <v>1</v>
      </c>
      <c r="D42" s="55" t="str">
        <f>VLOOKUP(Main_Presentation[[#This Row],[LC Number]],Main_Issuance[],3,0)</f>
        <v>Bassam Marawie</v>
      </c>
      <c r="E42" s="16" t="s">
        <v>856</v>
      </c>
      <c r="F42" s="17" t="str">
        <f>VLOOKUP(Main_Presentation[[#This Row],[LC Number]],Main_Issuance[],5,0)</f>
        <v>Alinma</v>
      </c>
      <c r="G42" s="17" t="str">
        <f>VLOOKUP(Main_Presentation[[#This Row],[LC Number]],Main_Issuance[],6,0)</f>
        <v>KSP</v>
      </c>
      <c r="H42" s="17" t="str">
        <f>VLOOKUP(Main_Presentation[[#This Row],[LC Number]],Main_Issuance[],17,0)</f>
        <v>Credit</v>
      </c>
      <c r="I42" s="17" t="str">
        <f>VLOOKUP(Main_Presentation[[#This Row],[LC Number]],Main_Issuance[],7,0)</f>
        <v>ELECTRIC HOUSE TRADING COMPANY LLC</v>
      </c>
      <c r="J42" s="17" t="str">
        <f>VLOOKUP(Main_Presentation[[#This Row],[LC Number]],Main_Issuance[],8,0)</f>
        <v>FIRST FIX</v>
      </c>
      <c r="K42" s="17" t="str">
        <f>VLOOKUP(Main_Presentation[[#This Row],[LC Number]],Main_Issuance[],9,0)</f>
        <v>B05</v>
      </c>
      <c r="L42" s="17">
        <f>VLOOKUP(Main_Presentation[[#This Row],[LC Number]],Main_Issuance[],10,0)</f>
        <v>1020052</v>
      </c>
      <c r="M42" s="17" t="str">
        <f>VLOOKUP(Main_Presentation[[#This Row],[LC Number]],Main_Issuance[],11,0)</f>
        <v>SAR</v>
      </c>
      <c r="N42" s="84">
        <f>VLOOKUP(Main_Presentation[[#This Row],[LC Number]],Main_Issuance[],12,0)</f>
        <v>1707750</v>
      </c>
      <c r="O42" s="16" t="s">
        <v>20</v>
      </c>
      <c r="P42" s="16" t="s">
        <v>857</v>
      </c>
      <c r="Q42" s="18">
        <v>851029.56</v>
      </c>
      <c r="R42" s="18">
        <v>1</v>
      </c>
      <c r="S42" s="18">
        <f>Main_Presentation[[#This Row],[Invoice Amt (FCY)]]*Main_Presentation[[#This Row],[Rate]]</f>
        <v>851029.56</v>
      </c>
      <c r="T42" s="15">
        <v>45041</v>
      </c>
      <c r="U42" s="26">
        <f>VLOOKUP(Main_Presentation[[#This Row],[LC Number]],Main_Issuance[],18,0)</f>
        <v>0</v>
      </c>
      <c r="V42" s="19" t="s">
        <v>25</v>
      </c>
      <c r="W42" s="18" t="s">
        <v>857</v>
      </c>
      <c r="X42" s="16"/>
      <c r="Y42" s="234" t="str">
        <f>TRIM(LEFT(Main_Presentation[[#This Row],[Payment Terms]],3))</f>
        <v>0</v>
      </c>
      <c r="Z42" s="16"/>
      <c r="AA42" s="316" cm="1">
        <f t="array" ref="AA42">Settlement(Main_Presentation[[#This Row],[Bank]],Main_Presentation[[#This Row],[ Invoice Amt (SAR)]],Main_Presentation[[#This Row],[Date Recd]],Main_Presentation[[#This Row],[Due Date]],Main_Presentation[[#This Row],[Days]])</f>
        <v>1437.5</v>
      </c>
      <c r="AB42" s="16"/>
    </row>
    <row r="43" spans="1:28" ht="15.75" hidden="1" x14ac:dyDescent="0.25">
      <c r="A43" s="14" t="s">
        <v>174</v>
      </c>
      <c r="B43" s="15">
        <v>45208</v>
      </c>
      <c r="C43" s="26">
        <v>2</v>
      </c>
      <c r="D43" s="55" t="str">
        <f>VLOOKUP(Main_Presentation[[#This Row],[LC Number]],Main_Issuance[],3,0)</f>
        <v>Bassam Marawie</v>
      </c>
      <c r="E43" s="16" t="s">
        <v>856</v>
      </c>
      <c r="F43" s="17" t="str">
        <f>VLOOKUP(Main_Presentation[[#This Row],[LC Number]],Main_Issuance[],5,0)</f>
        <v>Alinma</v>
      </c>
      <c r="G43" s="17" t="str">
        <f>VLOOKUP(Main_Presentation[[#This Row],[LC Number]],Main_Issuance[],6,0)</f>
        <v>KSP</v>
      </c>
      <c r="H43" s="17" t="str">
        <f>VLOOKUP(Main_Presentation[[#This Row],[LC Number]],Main_Issuance[],17,0)</f>
        <v>Credit</v>
      </c>
      <c r="I43" s="17" t="str">
        <f>VLOOKUP(Main_Presentation[[#This Row],[LC Number]],Main_Issuance[],7,0)</f>
        <v>ELECTRIC HOUSE TRADING COMPANY LLC</v>
      </c>
      <c r="J43" s="17" t="str">
        <f>VLOOKUP(Main_Presentation[[#This Row],[LC Number]],Main_Issuance[],8,0)</f>
        <v>FIRST FIX</v>
      </c>
      <c r="K43" s="17" t="str">
        <f>VLOOKUP(Main_Presentation[[#This Row],[LC Number]],Main_Issuance[],9,0)</f>
        <v>B05</v>
      </c>
      <c r="L43" s="17">
        <f>VLOOKUP(Main_Presentation[[#This Row],[LC Number]],Main_Issuance[],10,0)</f>
        <v>1020052</v>
      </c>
      <c r="M43" s="17" t="str">
        <f>VLOOKUP(Main_Presentation[[#This Row],[LC Number]],Main_Issuance[],11,0)</f>
        <v>SAR</v>
      </c>
      <c r="N43" s="84">
        <f>VLOOKUP(Main_Presentation[[#This Row],[LC Number]],Main_Issuance[],12,0)</f>
        <v>1707750</v>
      </c>
      <c r="O43" s="16" t="s">
        <v>20</v>
      </c>
      <c r="P43" s="16" t="s">
        <v>857</v>
      </c>
      <c r="Q43" s="18">
        <v>856720.44</v>
      </c>
      <c r="R43" s="18">
        <v>1</v>
      </c>
      <c r="S43" s="18">
        <f>Main_Presentation[[#This Row],[Invoice Amt (FCY)]]*Main_Presentation[[#This Row],[Rate]]</f>
        <v>856720.44</v>
      </c>
      <c r="T43" s="15">
        <v>45041</v>
      </c>
      <c r="U43" s="26">
        <f>VLOOKUP(Main_Presentation[[#This Row],[LC Number]],Main_Issuance[],18,0)</f>
        <v>0</v>
      </c>
      <c r="V43" s="19" t="s">
        <v>25</v>
      </c>
      <c r="W43" s="18" t="s">
        <v>857</v>
      </c>
      <c r="X43" s="16"/>
      <c r="Y43" s="234" t="str">
        <f>TRIM(LEFT(Main_Presentation[[#This Row],[Payment Terms]],3))</f>
        <v>0</v>
      </c>
      <c r="Z43" s="16"/>
      <c r="AA43" s="316" cm="1">
        <f t="array" ref="AA43">Settlement(Main_Presentation[[#This Row],[Bank]],Main_Presentation[[#This Row],[ Invoice Amt (SAR)]],Main_Presentation[[#This Row],[Date Recd]],Main_Presentation[[#This Row],[Due Date]],Main_Presentation[[#This Row],[Days]])</f>
        <v>1437.5</v>
      </c>
      <c r="AB43" s="16"/>
    </row>
    <row r="44" spans="1:28" ht="15.75" hidden="1" x14ac:dyDescent="0.25">
      <c r="A44" s="14" t="s">
        <v>245</v>
      </c>
      <c r="B44" s="15">
        <v>45362</v>
      </c>
      <c r="C44" s="26">
        <v>1</v>
      </c>
      <c r="D44" s="55" t="str">
        <f>VLOOKUP(Main_Presentation[[#This Row],[LC Number]],Main_Issuance[],3,0)</f>
        <v>Bassam Marawie</v>
      </c>
      <c r="E44" s="16" t="s">
        <v>856</v>
      </c>
      <c r="F44" s="17" t="str">
        <f>VLOOKUP(Main_Presentation[[#This Row],[LC Number]],Main_Issuance[],5,0)</f>
        <v>Alinma</v>
      </c>
      <c r="G44" s="17" t="str">
        <f>VLOOKUP(Main_Presentation[[#This Row],[LC Number]],Main_Issuance[],6,0)</f>
        <v>KSP</v>
      </c>
      <c r="H44" s="17" t="str">
        <f>VLOOKUP(Main_Presentation[[#This Row],[LC Number]],Main_Issuance[],17,0)</f>
        <v>Credit</v>
      </c>
      <c r="I44" s="17" t="str">
        <f>VLOOKUP(Main_Presentation[[#This Row],[LC Number]],Main_Issuance[],7,0)</f>
        <v>MULTI LIGHTS EST.</v>
      </c>
      <c r="J44" s="17" t="str">
        <f>VLOOKUP(Main_Presentation[[#This Row],[LC Number]],Main_Issuance[],8,0)</f>
        <v>FIRST FIX</v>
      </c>
      <c r="K44" s="17" t="str">
        <f>VLOOKUP(Main_Presentation[[#This Row],[LC Number]],Main_Issuance[],9,0)</f>
        <v>B05</v>
      </c>
      <c r="L44" s="17">
        <f>VLOOKUP(Main_Presentation[[#This Row],[LC Number]],Main_Issuance[],10,0)</f>
        <v>1020052</v>
      </c>
      <c r="M44" s="17" t="str">
        <f>VLOOKUP(Main_Presentation[[#This Row],[LC Number]],Main_Issuance[],11,0)</f>
        <v>SAR</v>
      </c>
      <c r="N44" s="84">
        <f>VLOOKUP(Main_Presentation[[#This Row],[LC Number]],Main_Issuance[],12,0)</f>
        <v>947915.1</v>
      </c>
      <c r="O44" s="16" t="s">
        <v>20</v>
      </c>
      <c r="P44" s="16" t="s">
        <v>857</v>
      </c>
      <c r="Q44" s="18">
        <v>447358.06</v>
      </c>
      <c r="R44" s="18">
        <v>1</v>
      </c>
      <c r="S44" s="18">
        <f>Main_Presentation[[#This Row],[Invoice Amt (FCY)]]*Main_Presentation[[#This Row],[Rate]]</f>
        <v>447358.06</v>
      </c>
      <c r="T44" s="15">
        <v>45041</v>
      </c>
      <c r="U44" s="26">
        <f>VLOOKUP(Main_Presentation[[#This Row],[LC Number]],Main_Issuance[],18,0)</f>
        <v>0</v>
      </c>
      <c r="V44" s="19" t="s">
        <v>25</v>
      </c>
      <c r="W44" s="18" t="s">
        <v>857</v>
      </c>
      <c r="X44" s="16"/>
      <c r="Y44" s="234" t="str">
        <f>TRIM(LEFT(Main_Presentation[[#This Row],[Payment Terms]],3))</f>
        <v>0</v>
      </c>
      <c r="Z44" s="16"/>
      <c r="AA44" s="316" cm="1">
        <f t="array" ref="AA44">Settlement(Main_Presentation[[#This Row],[Bank]],Main_Presentation[[#This Row],[ Invoice Amt (SAR)]],Main_Presentation[[#This Row],[Date Recd]],Main_Presentation[[#This Row],[Due Date]],Main_Presentation[[#This Row],[Days]])</f>
        <v>1437.5</v>
      </c>
      <c r="AB44" s="16"/>
    </row>
    <row r="45" spans="1:28" ht="15.75" hidden="1" x14ac:dyDescent="0.25">
      <c r="A45" s="14" t="s">
        <v>220</v>
      </c>
      <c r="B45" s="15">
        <v>45189</v>
      </c>
      <c r="C45" s="26">
        <v>1</v>
      </c>
      <c r="D45" s="55">
        <f>VLOOKUP(Main_Presentation[[#This Row],[LC Number]],Main_Issuance[],3,0)</f>
        <v>0</v>
      </c>
      <c r="E45" s="16" t="s">
        <v>856</v>
      </c>
      <c r="F45" s="17" t="str">
        <f>VLOOKUP(Main_Presentation[[#This Row],[LC Number]],Main_Issuance[],5,0)</f>
        <v>Alinma</v>
      </c>
      <c r="G45" s="17" t="str">
        <f>VLOOKUP(Main_Presentation[[#This Row],[LC Number]],Main_Issuance[],6,0)</f>
        <v>KSP</v>
      </c>
      <c r="H45" s="17" t="str">
        <f>VLOOKUP(Main_Presentation[[#This Row],[LC Number]],Main_Issuance[],17,0)</f>
        <v>Credit</v>
      </c>
      <c r="I45" s="17" t="str">
        <f>VLOOKUP(Main_Presentation[[#This Row],[LC Number]],Main_Issuance[],7,0)</f>
        <v>MARINETEK CONTRACTING LLC</v>
      </c>
      <c r="J45" s="17" t="str">
        <f>VLOOKUP(Main_Presentation[[#This Row],[LC Number]],Main_Issuance[],8,0)</f>
        <v>MBL</v>
      </c>
      <c r="K45" s="17" t="str">
        <f>VLOOKUP(Main_Presentation[[#This Row],[LC Number]],Main_Issuance[],9,0)</f>
        <v>Equipment</v>
      </c>
      <c r="L45" s="17">
        <f>VLOOKUP(Main_Presentation[[#This Row],[LC Number]],Main_Issuance[],10,0)</f>
        <v>0</v>
      </c>
      <c r="M45" s="17" t="str">
        <f>VLOOKUP(Main_Presentation[[#This Row],[LC Number]],Main_Issuance[],11,0)</f>
        <v>AED</v>
      </c>
      <c r="N45" s="84">
        <f>VLOOKUP(Main_Presentation[[#This Row],[LC Number]],Main_Issuance[],12,0)</f>
        <v>25282382.350000001</v>
      </c>
      <c r="O45" s="16" t="s">
        <v>20</v>
      </c>
      <c r="P45" s="16" t="s">
        <v>857</v>
      </c>
      <c r="Q45" s="18">
        <v>974745.03</v>
      </c>
      <c r="R45" s="18">
        <v>1</v>
      </c>
      <c r="S45" s="18">
        <f>Main_Presentation[[#This Row],[Invoice Amt (FCY)]]*Main_Presentation[[#This Row],[Rate]]</f>
        <v>974745.03</v>
      </c>
      <c r="T45" s="15">
        <v>45041</v>
      </c>
      <c r="U45" s="26">
        <f>VLOOKUP(Main_Presentation[[#This Row],[LC Number]],Main_Issuance[],18,0)</f>
        <v>0</v>
      </c>
      <c r="V45" s="19" t="s">
        <v>98</v>
      </c>
      <c r="W45" s="18" t="s">
        <v>857</v>
      </c>
      <c r="X45" s="16"/>
      <c r="Y45" s="234" t="str">
        <f>TRIM(LEFT(Main_Presentation[[#This Row],[Payment Terms]],3))</f>
        <v>0</v>
      </c>
      <c r="Z45" s="16"/>
      <c r="AA45" s="316" cm="1">
        <f t="array" ref="AA45">Settlement(Main_Presentation[[#This Row],[Bank]],Main_Presentation[[#This Row],[ Invoice Amt (SAR)]],Main_Presentation[[#This Row],[Date Recd]],Main_Presentation[[#This Row],[Due Date]],Main_Presentation[[#This Row],[Days]])</f>
        <v>1437.5</v>
      </c>
      <c r="AB45" s="16"/>
    </row>
    <row r="46" spans="1:28" ht="15.75" hidden="1" x14ac:dyDescent="0.25">
      <c r="A46" s="14" t="s">
        <v>220</v>
      </c>
      <c r="B46" s="15">
        <v>45196</v>
      </c>
      <c r="C46" s="26">
        <v>2</v>
      </c>
      <c r="D46" s="55">
        <f>VLOOKUP(Main_Presentation[[#This Row],[LC Number]],Main_Issuance[],3,0)</f>
        <v>0</v>
      </c>
      <c r="E46" s="16" t="s">
        <v>856</v>
      </c>
      <c r="F46" s="17" t="str">
        <f>VLOOKUP(Main_Presentation[[#This Row],[LC Number]],Main_Issuance[],5,0)</f>
        <v>Alinma</v>
      </c>
      <c r="G46" s="17" t="str">
        <f>VLOOKUP(Main_Presentation[[#This Row],[LC Number]],Main_Issuance[],6,0)</f>
        <v>KSP</v>
      </c>
      <c r="H46" s="17" t="str">
        <f>VLOOKUP(Main_Presentation[[#This Row],[LC Number]],Main_Issuance[],17,0)</f>
        <v>Credit</v>
      </c>
      <c r="I46" s="17" t="str">
        <f>VLOOKUP(Main_Presentation[[#This Row],[LC Number]],Main_Issuance[],7,0)</f>
        <v>MARINETEK CONTRACTING LLC</v>
      </c>
      <c r="J46" s="17" t="str">
        <f>VLOOKUP(Main_Presentation[[#This Row],[LC Number]],Main_Issuance[],8,0)</f>
        <v>MBL</v>
      </c>
      <c r="K46" s="17" t="str">
        <f>VLOOKUP(Main_Presentation[[#This Row],[LC Number]],Main_Issuance[],9,0)</f>
        <v>Equipment</v>
      </c>
      <c r="L46" s="17">
        <f>VLOOKUP(Main_Presentation[[#This Row],[LC Number]],Main_Issuance[],10,0)</f>
        <v>0</v>
      </c>
      <c r="M46" s="17" t="str">
        <f>VLOOKUP(Main_Presentation[[#This Row],[LC Number]],Main_Issuance[],11,0)</f>
        <v>AED</v>
      </c>
      <c r="N46" s="84">
        <f>VLOOKUP(Main_Presentation[[#This Row],[LC Number]],Main_Issuance[],12,0)</f>
        <v>25282382.350000001</v>
      </c>
      <c r="O46" s="16" t="s">
        <v>20</v>
      </c>
      <c r="P46" s="16" t="s">
        <v>857</v>
      </c>
      <c r="Q46" s="18">
        <v>1063456</v>
      </c>
      <c r="R46" s="18">
        <v>1.0255000000000001</v>
      </c>
      <c r="S46" s="18">
        <f>Main_Presentation[[#This Row],[Invoice Amt (FCY)]]*Main_Presentation[[#This Row],[Rate]]</f>
        <v>1090574.128</v>
      </c>
      <c r="T46" s="15">
        <v>45041</v>
      </c>
      <c r="U46" s="26">
        <f>VLOOKUP(Main_Presentation[[#This Row],[LC Number]],Main_Issuance[],18,0)</f>
        <v>0</v>
      </c>
      <c r="V46" s="19" t="s">
        <v>98</v>
      </c>
      <c r="W46" s="18" t="s">
        <v>857</v>
      </c>
      <c r="X46" s="16"/>
      <c r="Y46" s="234" t="str">
        <f>TRIM(LEFT(Main_Presentation[[#This Row],[Payment Terms]],3))</f>
        <v>0</v>
      </c>
      <c r="Z46" s="16"/>
      <c r="AA46" s="316" cm="1">
        <f t="array" ref="AA46">Settlement(Main_Presentation[[#This Row],[Bank]],Main_Presentation[[#This Row],[ Invoice Amt (SAR)]],Main_Presentation[[#This Row],[Date Recd]],Main_Presentation[[#This Row],[Due Date]],Main_Presentation[[#This Row],[Days]])</f>
        <v>1437.5</v>
      </c>
      <c r="AB46" s="16"/>
    </row>
    <row r="47" spans="1:28" ht="15.75" hidden="1" x14ac:dyDescent="0.25">
      <c r="A47" s="14" t="s">
        <v>220</v>
      </c>
      <c r="B47" s="15">
        <v>45231</v>
      </c>
      <c r="C47" s="26">
        <v>3</v>
      </c>
      <c r="D47" s="55">
        <f>VLOOKUP(Main_Presentation[[#This Row],[LC Number]],Main_Issuance[],3,0)</f>
        <v>0</v>
      </c>
      <c r="E47" s="16" t="s">
        <v>856</v>
      </c>
      <c r="F47" s="17" t="str">
        <f>VLOOKUP(Main_Presentation[[#This Row],[LC Number]],Main_Issuance[],5,0)</f>
        <v>Alinma</v>
      </c>
      <c r="G47" s="17" t="str">
        <f>VLOOKUP(Main_Presentation[[#This Row],[LC Number]],Main_Issuance[],6,0)</f>
        <v>KSP</v>
      </c>
      <c r="H47" s="17" t="str">
        <f>VLOOKUP(Main_Presentation[[#This Row],[LC Number]],Main_Issuance[],17,0)</f>
        <v>Credit</v>
      </c>
      <c r="I47" s="17" t="str">
        <f>VLOOKUP(Main_Presentation[[#This Row],[LC Number]],Main_Issuance[],7,0)</f>
        <v>MARINETEK CONTRACTING LLC</v>
      </c>
      <c r="J47" s="17" t="str">
        <f>VLOOKUP(Main_Presentation[[#This Row],[LC Number]],Main_Issuance[],8,0)</f>
        <v>MBL</v>
      </c>
      <c r="K47" s="17" t="str">
        <f>VLOOKUP(Main_Presentation[[#This Row],[LC Number]],Main_Issuance[],9,0)</f>
        <v>Equipment</v>
      </c>
      <c r="L47" s="17">
        <f>VLOOKUP(Main_Presentation[[#This Row],[LC Number]],Main_Issuance[],10,0)</f>
        <v>0</v>
      </c>
      <c r="M47" s="17" t="str">
        <f>VLOOKUP(Main_Presentation[[#This Row],[LC Number]],Main_Issuance[],11,0)</f>
        <v>AED</v>
      </c>
      <c r="N47" s="84">
        <f>VLOOKUP(Main_Presentation[[#This Row],[LC Number]],Main_Issuance[],12,0)</f>
        <v>25282382.350000001</v>
      </c>
      <c r="O47" s="16" t="s">
        <v>20</v>
      </c>
      <c r="P47" s="16" t="s">
        <v>857</v>
      </c>
      <c r="Q47" s="18">
        <v>2231381.87</v>
      </c>
      <c r="R47" s="18">
        <v>1.0235000000000001</v>
      </c>
      <c r="S47" s="18">
        <f>Main_Presentation[[#This Row],[Invoice Amt (FCY)]]*Main_Presentation[[#This Row],[Rate]]</f>
        <v>2283819.3439450003</v>
      </c>
      <c r="T47" s="15">
        <v>45041</v>
      </c>
      <c r="U47" s="26">
        <f>VLOOKUP(Main_Presentation[[#This Row],[LC Number]],Main_Issuance[],18,0)</f>
        <v>0</v>
      </c>
      <c r="V47" s="19" t="s">
        <v>98</v>
      </c>
      <c r="W47" s="18" t="s">
        <v>857</v>
      </c>
      <c r="X47" s="16"/>
      <c r="Y47" s="234" t="str">
        <f>TRIM(LEFT(Main_Presentation[[#This Row],[Payment Terms]],3))</f>
        <v>0</v>
      </c>
      <c r="Z47" s="16"/>
      <c r="AA47" s="316" cm="1">
        <f t="array" ref="AA47">Settlement(Main_Presentation[[#This Row],[Bank]],Main_Presentation[[#This Row],[ Invoice Amt (SAR)]],Main_Presentation[[#This Row],[Date Recd]],Main_Presentation[[#This Row],[Due Date]],Main_Presentation[[#This Row],[Days]])</f>
        <v>1437.5</v>
      </c>
      <c r="AB47" s="16"/>
    </row>
    <row r="48" spans="1:28" ht="15.75" hidden="1" x14ac:dyDescent="0.25">
      <c r="A48" s="14" t="s">
        <v>220</v>
      </c>
      <c r="B48" s="15">
        <v>45231</v>
      </c>
      <c r="C48" s="26">
        <v>4</v>
      </c>
      <c r="D48" s="55">
        <f>VLOOKUP(Main_Presentation[[#This Row],[LC Number]],Main_Issuance[],3,0)</f>
        <v>0</v>
      </c>
      <c r="E48" s="16" t="s">
        <v>856</v>
      </c>
      <c r="F48" s="17" t="str">
        <f>VLOOKUP(Main_Presentation[[#This Row],[LC Number]],Main_Issuance[],5,0)</f>
        <v>Alinma</v>
      </c>
      <c r="G48" s="17" t="str">
        <f>VLOOKUP(Main_Presentation[[#This Row],[LC Number]],Main_Issuance[],6,0)</f>
        <v>KSP</v>
      </c>
      <c r="H48" s="17" t="str">
        <f>VLOOKUP(Main_Presentation[[#This Row],[LC Number]],Main_Issuance[],17,0)</f>
        <v>Credit</v>
      </c>
      <c r="I48" s="17" t="str">
        <f>VLOOKUP(Main_Presentation[[#This Row],[LC Number]],Main_Issuance[],7,0)</f>
        <v>MARINETEK CONTRACTING LLC</v>
      </c>
      <c r="J48" s="17" t="str">
        <f>VLOOKUP(Main_Presentation[[#This Row],[LC Number]],Main_Issuance[],8,0)</f>
        <v>MBL</v>
      </c>
      <c r="K48" s="17" t="str">
        <f>VLOOKUP(Main_Presentation[[#This Row],[LC Number]],Main_Issuance[],9,0)</f>
        <v>Equipment</v>
      </c>
      <c r="L48" s="17">
        <f>VLOOKUP(Main_Presentation[[#This Row],[LC Number]],Main_Issuance[],10,0)</f>
        <v>0</v>
      </c>
      <c r="M48" s="17" t="str">
        <f>VLOOKUP(Main_Presentation[[#This Row],[LC Number]],Main_Issuance[],11,0)</f>
        <v>AED</v>
      </c>
      <c r="N48" s="84">
        <f>VLOOKUP(Main_Presentation[[#This Row],[LC Number]],Main_Issuance[],12,0)</f>
        <v>25282382.350000001</v>
      </c>
      <c r="O48" s="16" t="s">
        <v>20</v>
      </c>
      <c r="P48" s="16" t="s">
        <v>857</v>
      </c>
      <c r="Q48" s="18">
        <v>1689288.71</v>
      </c>
      <c r="R48" s="18">
        <v>1.0209839999999999</v>
      </c>
      <c r="S48" s="18">
        <f>Main_Presentation[[#This Row],[Invoice Amt (FCY)]]*Main_Presentation[[#This Row],[Rate]]</f>
        <v>1724736.7442906399</v>
      </c>
      <c r="T48" s="15">
        <v>45041</v>
      </c>
      <c r="U48" s="26">
        <f>VLOOKUP(Main_Presentation[[#This Row],[LC Number]],Main_Issuance[],18,0)</f>
        <v>0</v>
      </c>
      <c r="V48" s="19" t="s">
        <v>98</v>
      </c>
      <c r="W48" s="18" t="s">
        <v>857</v>
      </c>
      <c r="X48" s="16"/>
      <c r="Y48" s="234" t="str">
        <f>TRIM(LEFT(Main_Presentation[[#This Row],[Payment Terms]],3))</f>
        <v>0</v>
      </c>
      <c r="Z48" s="16"/>
      <c r="AA48" s="316" cm="1">
        <f t="array" ref="AA48">Settlement(Main_Presentation[[#This Row],[Bank]],Main_Presentation[[#This Row],[ Invoice Amt (SAR)]],Main_Presentation[[#This Row],[Date Recd]],Main_Presentation[[#This Row],[Due Date]],Main_Presentation[[#This Row],[Days]])</f>
        <v>1437.5</v>
      </c>
      <c r="AB48" s="16"/>
    </row>
    <row r="49" spans="1:28" ht="15.75" hidden="1" x14ac:dyDescent="0.25">
      <c r="A49" s="14" t="s">
        <v>220</v>
      </c>
      <c r="B49" s="15">
        <v>45252</v>
      </c>
      <c r="C49" s="26">
        <v>5</v>
      </c>
      <c r="D49" s="55">
        <f>VLOOKUP(Main_Presentation[[#This Row],[LC Number]],Main_Issuance[],3,0)</f>
        <v>0</v>
      </c>
      <c r="E49" s="16" t="s">
        <v>856</v>
      </c>
      <c r="F49" s="17" t="str">
        <f>VLOOKUP(Main_Presentation[[#This Row],[LC Number]],Main_Issuance[],5,0)</f>
        <v>Alinma</v>
      </c>
      <c r="G49" s="17" t="str">
        <f>VLOOKUP(Main_Presentation[[#This Row],[LC Number]],Main_Issuance[],6,0)</f>
        <v>KSP</v>
      </c>
      <c r="H49" s="17" t="str">
        <f>VLOOKUP(Main_Presentation[[#This Row],[LC Number]],Main_Issuance[],17,0)</f>
        <v>Credit</v>
      </c>
      <c r="I49" s="17" t="str">
        <f>VLOOKUP(Main_Presentation[[#This Row],[LC Number]],Main_Issuance[],7,0)</f>
        <v>MARINETEK CONTRACTING LLC</v>
      </c>
      <c r="J49" s="17" t="str">
        <f>VLOOKUP(Main_Presentation[[#This Row],[LC Number]],Main_Issuance[],8,0)</f>
        <v>MBL</v>
      </c>
      <c r="K49" s="17" t="str">
        <f>VLOOKUP(Main_Presentation[[#This Row],[LC Number]],Main_Issuance[],9,0)</f>
        <v>Equipment</v>
      </c>
      <c r="L49" s="17">
        <f>VLOOKUP(Main_Presentation[[#This Row],[LC Number]],Main_Issuance[],10,0)</f>
        <v>0</v>
      </c>
      <c r="M49" s="17" t="str">
        <f>VLOOKUP(Main_Presentation[[#This Row],[LC Number]],Main_Issuance[],11,0)</f>
        <v>AED</v>
      </c>
      <c r="N49" s="84">
        <f>VLOOKUP(Main_Presentation[[#This Row],[LC Number]],Main_Issuance[],12,0)</f>
        <v>25282382.350000001</v>
      </c>
      <c r="O49" s="16" t="s">
        <v>20</v>
      </c>
      <c r="P49" s="16" t="s">
        <v>857</v>
      </c>
      <c r="Q49" s="18">
        <v>2640108.65</v>
      </c>
      <c r="R49" s="18">
        <v>1.0249999999999999</v>
      </c>
      <c r="S49" s="18">
        <f>Main_Presentation[[#This Row],[Invoice Amt (FCY)]]*Main_Presentation[[#This Row],[Rate]]</f>
        <v>2706111.3662499995</v>
      </c>
      <c r="T49" s="15">
        <v>45041</v>
      </c>
      <c r="U49" s="26">
        <f>VLOOKUP(Main_Presentation[[#This Row],[LC Number]],Main_Issuance[],18,0)</f>
        <v>0</v>
      </c>
      <c r="V49" s="19" t="s">
        <v>98</v>
      </c>
      <c r="W49" s="18" t="s">
        <v>857</v>
      </c>
      <c r="X49" s="16"/>
      <c r="Y49" s="234" t="str">
        <f>TRIM(LEFT(Main_Presentation[[#This Row],[Payment Terms]],3))</f>
        <v>0</v>
      </c>
      <c r="Z49" s="16"/>
      <c r="AA49" s="316" cm="1">
        <f t="array" ref="AA49">Settlement(Main_Presentation[[#This Row],[Bank]],Main_Presentation[[#This Row],[ Invoice Amt (SAR)]],Main_Presentation[[#This Row],[Date Recd]],Main_Presentation[[#This Row],[Due Date]],Main_Presentation[[#This Row],[Days]])</f>
        <v>1437.5</v>
      </c>
      <c r="AB49" s="16"/>
    </row>
    <row r="50" spans="1:28" ht="15.75" hidden="1" x14ac:dyDescent="0.25">
      <c r="A50" s="14" t="s">
        <v>220</v>
      </c>
      <c r="B50" s="15">
        <v>45264</v>
      </c>
      <c r="C50" s="26">
        <v>6</v>
      </c>
      <c r="D50" s="55">
        <f>VLOOKUP(Main_Presentation[[#This Row],[LC Number]],Main_Issuance[],3,0)</f>
        <v>0</v>
      </c>
      <c r="E50" s="16" t="s">
        <v>856</v>
      </c>
      <c r="F50" s="17" t="str">
        <f>VLOOKUP(Main_Presentation[[#This Row],[LC Number]],Main_Issuance[],5,0)</f>
        <v>Alinma</v>
      </c>
      <c r="G50" s="17" t="str">
        <f>VLOOKUP(Main_Presentation[[#This Row],[LC Number]],Main_Issuance[],6,0)</f>
        <v>KSP</v>
      </c>
      <c r="H50" s="17" t="str">
        <f>VLOOKUP(Main_Presentation[[#This Row],[LC Number]],Main_Issuance[],17,0)</f>
        <v>Credit</v>
      </c>
      <c r="I50" s="17" t="str">
        <f>VLOOKUP(Main_Presentation[[#This Row],[LC Number]],Main_Issuance[],7,0)</f>
        <v>MARINETEK CONTRACTING LLC</v>
      </c>
      <c r="J50" s="17" t="str">
        <f>VLOOKUP(Main_Presentation[[#This Row],[LC Number]],Main_Issuance[],8,0)</f>
        <v>MBL</v>
      </c>
      <c r="K50" s="17" t="str">
        <f>VLOOKUP(Main_Presentation[[#This Row],[LC Number]],Main_Issuance[],9,0)</f>
        <v>Equipment</v>
      </c>
      <c r="L50" s="17">
        <f>VLOOKUP(Main_Presentation[[#This Row],[LC Number]],Main_Issuance[],10,0)</f>
        <v>0</v>
      </c>
      <c r="M50" s="17" t="str">
        <f>VLOOKUP(Main_Presentation[[#This Row],[LC Number]],Main_Issuance[],11,0)</f>
        <v>AED</v>
      </c>
      <c r="N50" s="84">
        <f>VLOOKUP(Main_Presentation[[#This Row],[LC Number]],Main_Issuance[],12,0)</f>
        <v>25282382.350000001</v>
      </c>
      <c r="O50" s="16" t="s">
        <v>20</v>
      </c>
      <c r="P50" s="16" t="s">
        <v>857</v>
      </c>
      <c r="Q50" s="18">
        <v>4041626.55</v>
      </c>
      <c r="R50" s="18">
        <v>1.0249076847537999</v>
      </c>
      <c r="S50" s="18">
        <f>Main_Presentation[[#This Row],[Invoice Amt (FCY)]]*Main_Presentation[[#This Row],[Rate]]</f>
        <v>4142294.1099999878</v>
      </c>
      <c r="T50" s="15">
        <v>45041</v>
      </c>
      <c r="U50" s="26">
        <f>VLOOKUP(Main_Presentation[[#This Row],[LC Number]],Main_Issuance[],18,0)</f>
        <v>0</v>
      </c>
      <c r="V50" s="19" t="s">
        <v>98</v>
      </c>
      <c r="W50" s="18" t="s">
        <v>857</v>
      </c>
      <c r="X50" s="16"/>
      <c r="Y50" s="234" t="str">
        <f>TRIM(LEFT(Main_Presentation[[#This Row],[Payment Terms]],3))</f>
        <v>0</v>
      </c>
      <c r="Z50" s="16"/>
      <c r="AA50" s="316" cm="1">
        <f t="array" ref="AA50">Settlement(Main_Presentation[[#This Row],[Bank]],Main_Presentation[[#This Row],[ Invoice Amt (SAR)]],Main_Presentation[[#This Row],[Date Recd]],Main_Presentation[[#This Row],[Due Date]],Main_Presentation[[#This Row],[Days]])</f>
        <v>1437.5</v>
      </c>
      <c r="AB50" s="16"/>
    </row>
    <row r="51" spans="1:28" ht="15.75" hidden="1" x14ac:dyDescent="0.25">
      <c r="A51" s="14" t="s">
        <v>220</v>
      </c>
      <c r="B51" s="15">
        <v>45279</v>
      </c>
      <c r="C51" s="26">
        <v>7</v>
      </c>
      <c r="D51" s="55">
        <f>VLOOKUP(Main_Presentation[[#This Row],[LC Number]],Main_Issuance[],3,0)</f>
        <v>0</v>
      </c>
      <c r="E51" s="16" t="s">
        <v>856</v>
      </c>
      <c r="F51" s="17" t="str">
        <f>VLOOKUP(Main_Presentation[[#This Row],[LC Number]],Main_Issuance[],5,0)</f>
        <v>Alinma</v>
      </c>
      <c r="G51" s="17" t="str">
        <f>VLOOKUP(Main_Presentation[[#This Row],[LC Number]],Main_Issuance[],6,0)</f>
        <v>KSP</v>
      </c>
      <c r="H51" s="17" t="str">
        <f>VLOOKUP(Main_Presentation[[#This Row],[LC Number]],Main_Issuance[],17,0)</f>
        <v>Credit</v>
      </c>
      <c r="I51" s="17" t="str">
        <f>VLOOKUP(Main_Presentation[[#This Row],[LC Number]],Main_Issuance[],7,0)</f>
        <v>MARINETEK CONTRACTING LLC</v>
      </c>
      <c r="J51" s="17" t="str">
        <f>VLOOKUP(Main_Presentation[[#This Row],[LC Number]],Main_Issuance[],8,0)</f>
        <v>MBL</v>
      </c>
      <c r="K51" s="17" t="str">
        <f>VLOOKUP(Main_Presentation[[#This Row],[LC Number]],Main_Issuance[],9,0)</f>
        <v>Equipment</v>
      </c>
      <c r="L51" s="17">
        <f>VLOOKUP(Main_Presentation[[#This Row],[LC Number]],Main_Issuance[],10,0)</f>
        <v>0</v>
      </c>
      <c r="M51" s="17" t="str">
        <f>VLOOKUP(Main_Presentation[[#This Row],[LC Number]],Main_Issuance[],11,0)</f>
        <v>AED</v>
      </c>
      <c r="N51" s="84">
        <f>VLOOKUP(Main_Presentation[[#This Row],[LC Number]],Main_Issuance[],12,0)</f>
        <v>25282382.350000001</v>
      </c>
      <c r="O51" s="16" t="s">
        <v>20</v>
      </c>
      <c r="P51" s="16" t="s">
        <v>857</v>
      </c>
      <c r="Q51" s="18">
        <v>3817880.78</v>
      </c>
      <c r="R51" s="18">
        <v>1.024</v>
      </c>
      <c r="S51" s="18">
        <f>Main_Presentation[[#This Row],[Invoice Amt (FCY)]]*Main_Presentation[[#This Row],[Rate]]</f>
        <v>3909509.91872</v>
      </c>
      <c r="T51" s="15">
        <v>45041</v>
      </c>
      <c r="U51" s="26">
        <f>VLOOKUP(Main_Presentation[[#This Row],[LC Number]],Main_Issuance[],18,0)</f>
        <v>0</v>
      </c>
      <c r="V51" s="19" t="s">
        <v>98</v>
      </c>
      <c r="W51" s="18" t="s">
        <v>857</v>
      </c>
      <c r="X51" s="16"/>
      <c r="Y51" s="234" t="str">
        <f>TRIM(LEFT(Main_Presentation[[#This Row],[Payment Terms]],3))</f>
        <v>0</v>
      </c>
      <c r="Z51" s="16"/>
      <c r="AA51" s="316" cm="1">
        <f t="array" ref="AA51">Settlement(Main_Presentation[[#This Row],[Bank]],Main_Presentation[[#This Row],[ Invoice Amt (SAR)]],Main_Presentation[[#This Row],[Date Recd]],Main_Presentation[[#This Row],[Due Date]],Main_Presentation[[#This Row],[Days]])</f>
        <v>1437.5</v>
      </c>
      <c r="AB51" s="16"/>
    </row>
    <row r="52" spans="1:28" ht="15.75" hidden="1" x14ac:dyDescent="0.25">
      <c r="A52" s="14" t="s">
        <v>220</v>
      </c>
      <c r="B52" s="15">
        <v>45323</v>
      </c>
      <c r="C52" s="26">
        <v>8</v>
      </c>
      <c r="D52" s="55">
        <f>VLOOKUP(Main_Presentation[[#This Row],[LC Number]],Main_Issuance[],3,0)</f>
        <v>0</v>
      </c>
      <c r="E52" s="16" t="s">
        <v>856</v>
      </c>
      <c r="F52" s="17" t="str">
        <f>VLOOKUP(Main_Presentation[[#This Row],[LC Number]],Main_Issuance[],5,0)</f>
        <v>Alinma</v>
      </c>
      <c r="G52" s="17" t="str">
        <f>VLOOKUP(Main_Presentation[[#This Row],[LC Number]],Main_Issuance[],6,0)</f>
        <v>KSP</v>
      </c>
      <c r="H52" s="17" t="str">
        <f>VLOOKUP(Main_Presentation[[#This Row],[LC Number]],Main_Issuance[],17,0)</f>
        <v>Credit</v>
      </c>
      <c r="I52" s="17" t="str">
        <f>VLOOKUP(Main_Presentation[[#This Row],[LC Number]],Main_Issuance[],7,0)</f>
        <v>MARINETEK CONTRACTING LLC</v>
      </c>
      <c r="J52" s="17" t="str">
        <f>VLOOKUP(Main_Presentation[[#This Row],[LC Number]],Main_Issuance[],8,0)</f>
        <v>MBL</v>
      </c>
      <c r="K52" s="17" t="str">
        <f>VLOOKUP(Main_Presentation[[#This Row],[LC Number]],Main_Issuance[],9,0)</f>
        <v>Equipment</v>
      </c>
      <c r="L52" s="17">
        <f>VLOOKUP(Main_Presentation[[#This Row],[LC Number]],Main_Issuance[],10,0)</f>
        <v>0</v>
      </c>
      <c r="M52" s="17" t="str">
        <f>VLOOKUP(Main_Presentation[[#This Row],[LC Number]],Main_Issuance[],11,0)</f>
        <v>AED</v>
      </c>
      <c r="N52" s="84">
        <f>VLOOKUP(Main_Presentation[[#This Row],[LC Number]],Main_Issuance[],12,0)</f>
        <v>25282382.350000001</v>
      </c>
      <c r="O52" s="16" t="s">
        <v>20</v>
      </c>
      <c r="P52" s="16" t="s">
        <v>857</v>
      </c>
      <c r="Q52" s="18">
        <v>3328463.93</v>
      </c>
      <c r="R52" s="18">
        <v>1.0249999999999999</v>
      </c>
      <c r="S52" s="18">
        <f>Main_Presentation[[#This Row],[Invoice Amt (FCY)]]*Main_Presentation[[#This Row],[Rate]]</f>
        <v>3411675.52825</v>
      </c>
      <c r="T52" s="15">
        <v>45041</v>
      </c>
      <c r="U52" s="26">
        <f>VLOOKUP(Main_Presentation[[#This Row],[LC Number]],Main_Issuance[],18,0)</f>
        <v>0</v>
      </c>
      <c r="V52" s="19" t="s">
        <v>98</v>
      </c>
      <c r="W52" s="18" t="s">
        <v>857</v>
      </c>
      <c r="X52" s="16"/>
      <c r="Y52" s="234" t="str">
        <f>TRIM(LEFT(Main_Presentation[[#This Row],[Payment Terms]],3))</f>
        <v>0</v>
      </c>
      <c r="Z52" s="16"/>
      <c r="AA52" s="316" cm="1">
        <f t="array" ref="AA52">Settlement(Main_Presentation[[#This Row],[Bank]],Main_Presentation[[#This Row],[ Invoice Amt (SAR)]],Main_Presentation[[#This Row],[Date Recd]],Main_Presentation[[#This Row],[Due Date]],Main_Presentation[[#This Row],[Days]])</f>
        <v>1437.5</v>
      </c>
      <c r="AB52" s="16"/>
    </row>
    <row r="53" spans="1:28" ht="15.75" hidden="1" x14ac:dyDescent="0.25">
      <c r="A53" s="14" t="s">
        <v>220</v>
      </c>
      <c r="B53" s="15">
        <v>45327</v>
      </c>
      <c r="C53" s="26">
        <v>9</v>
      </c>
      <c r="D53" s="55">
        <f>VLOOKUP(Main_Presentation[[#This Row],[LC Number]],Main_Issuance[],3,0)</f>
        <v>0</v>
      </c>
      <c r="E53" s="16" t="s">
        <v>856</v>
      </c>
      <c r="F53" s="17" t="str">
        <f>VLOOKUP(Main_Presentation[[#This Row],[LC Number]],Main_Issuance[],5,0)</f>
        <v>Alinma</v>
      </c>
      <c r="G53" s="17" t="str">
        <f>VLOOKUP(Main_Presentation[[#This Row],[LC Number]],Main_Issuance[],6,0)</f>
        <v>KSP</v>
      </c>
      <c r="H53" s="17" t="str">
        <f>VLOOKUP(Main_Presentation[[#This Row],[LC Number]],Main_Issuance[],17,0)</f>
        <v>Credit</v>
      </c>
      <c r="I53" s="17" t="str">
        <f>VLOOKUP(Main_Presentation[[#This Row],[LC Number]],Main_Issuance[],7,0)</f>
        <v>MARINETEK CONTRACTING LLC</v>
      </c>
      <c r="J53" s="17" t="str">
        <f>VLOOKUP(Main_Presentation[[#This Row],[LC Number]],Main_Issuance[],8,0)</f>
        <v>MBL</v>
      </c>
      <c r="K53" s="17" t="str">
        <f>VLOOKUP(Main_Presentation[[#This Row],[LC Number]],Main_Issuance[],9,0)</f>
        <v>Equipment</v>
      </c>
      <c r="L53" s="17">
        <f>VLOOKUP(Main_Presentation[[#This Row],[LC Number]],Main_Issuance[],10,0)</f>
        <v>0</v>
      </c>
      <c r="M53" s="17" t="str">
        <f>VLOOKUP(Main_Presentation[[#This Row],[LC Number]],Main_Issuance[],11,0)</f>
        <v>AED</v>
      </c>
      <c r="N53" s="84">
        <f>VLOOKUP(Main_Presentation[[#This Row],[LC Number]],Main_Issuance[],12,0)</f>
        <v>25282382.350000001</v>
      </c>
      <c r="O53" s="16" t="s">
        <v>20</v>
      </c>
      <c r="P53" s="16" t="s">
        <v>857</v>
      </c>
      <c r="Q53" s="18">
        <v>1765800.07</v>
      </c>
      <c r="R53" s="18">
        <v>1.024</v>
      </c>
      <c r="S53" s="18">
        <f>Main_Presentation[[#This Row],[Invoice Amt (FCY)]]*Main_Presentation[[#This Row],[Rate]]</f>
        <v>1808179.27168</v>
      </c>
      <c r="T53" s="15">
        <v>45041</v>
      </c>
      <c r="U53" s="26">
        <f>VLOOKUP(Main_Presentation[[#This Row],[LC Number]],Main_Issuance[],18,0)</f>
        <v>0</v>
      </c>
      <c r="V53" s="19" t="s">
        <v>98</v>
      </c>
      <c r="W53" s="18" t="s">
        <v>857</v>
      </c>
      <c r="X53" s="16"/>
      <c r="Y53" s="234" t="str">
        <f>TRIM(LEFT(Main_Presentation[[#This Row],[Payment Terms]],3))</f>
        <v>0</v>
      </c>
      <c r="Z53" s="16"/>
      <c r="AA53" s="316" cm="1">
        <f t="array" ref="AA53">Settlement(Main_Presentation[[#This Row],[Bank]],Main_Presentation[[#This Row],[ Invoice Amt (SAR)]],Main_Presentation[[#This Row],[Date Recd]],Main_Presentation[[#This Row],[Due Date]],Main_Presentation[[#This Row],[Days]])</f>
        <v>1437.5</v>
      </c>
      <c r="AB53" s="16"/>
    </row>
    <row r="54" spans="1:28" ht="15.75" hidden="1" x14ac:dyDescent="0.25">
      <c r="A54" s="14" t="s">
        <v>220</v>
      </c>
      <c r="B54" s="15">
        <v>45354</v>
      </c>
      <c r="C54" s="26">
        <v>10</v>
      </c>
      <c r="D54" s="55">
        <f>VLOOKUP(Main_Presentation[[#This Row],[LC Number]],Main_Issuance[],3,0)</f>
        <v>0</v>
      </c>
      <c r="E54" s="16" t="s">
        <v>856</v>
      </c>
      <c r="F54" s="17" t="str">
        <f>VLOOKUP(Main_Presentation[[#This Row],[LC Number]],Main_Issuance[],5,0)</f>
        <v>Alinma</v>
      </c>
      <c r="G54" s="17" t="str">
        <f>VLOOKUP(Main_Presentation[[#This Row],[LC Number]],Main_Issuance[],6,0)</f>
        <v>KSP</v>
      </c>
      <c r="H54" s="17" t="str">
        <f>VLOOKUP(Main_Presentation[[#This Row],[LC Number]],Main_Issuance[],17,0)</f>
        <v>Credit</v>
      </c>
      <c r="I54" s="17" t="str">
        <f>VLOOKUP(Main_Presentation[[#This Row],[LC Number]],Main_Issuance[],7,0)</f>
        <v>MARINETEK CONTRACTING LLC</v>
      </c>
      <c r="J54" s="17" t="str">
        <f>VLOOKUP(Main_Presentation[[#This Row],[LC Number]],Main_Issuance[],8,0)</f>
        <v>MBL</v>
      </c>
      <c r="K54" s="17" t="str">
        <f>VLOOKUP(Main_Presentation[[#This Row],[LC Number]],Main_Issuance[],9,0)</f>
        <v>Equipment</v>
      </c>
      <c r="L54" s="17">
        <f>VLOOKUP(Main_Presentation[[#This Row],[LC Number]],Main_Issuance[],10,0)</f>
        <v>0</v>
      </c>
      <c r="M54" s="17" t="str">
        <f>VLOOKUP(Main_Presentation[[#This Row],[LC Number]],Main_Issuance[],11,0)</f>
        <v>AED</v>
      </c>
      <c r="N54" s="84">
        <f>VLOOKUP(Main_Presentation[[#This Row],[LC Number]],Main_Issuance[],12,0)</f>
        <v>25282382.350000001</v>
      </c>
      <c r="O54" s="16" t="s">
        <v>20</v>
      </c>
      <c r="P54" s="16" t="s">
        <v>857</v>
      </c>
      <c r="Q54" s="18">
        <v>2201522.36</v>
      </c>
      <c r="R54" s="18">
        <v>1</v>
      </c>
      <c r="S54" s="18">
        <f>Main_Presentation[[#This Row],[Invoice Amt (FCY)]]*Main_Presentation[[#This Row],[Rate]]</f>
        <v>2201522.36</v>
      </c>
      <c r="T54" s="15">
        <v>45041</v>
      </c>
      <c r="U54" s="26">
        <f>VLOOKUP(Main_Presentation[[#This Row],[LC Number]],Main_Issuance[],18,0)</f>
        <v>0</v>
      </c>
      <c r="V54" s="19" t="s">
        <v>98</v>
      </c>
      <c r="W54" s="18" t="s">
        <v>857</v>
      </c>
      <c r="X54" s="16"/>
      <c r="Y54" s="234" t="str">
        <f>TRIM(LEFT(Main_Presentation[[#This Row],[Payment Terms]],3))</f>
        <v>0</v>
      </c>
      <c r="Z54" s="16"/>
      <c r="AA54" s="316" cm="1">
        <f t="array" ref="AA54">Settlement(Main_Presentation[[#This Row],[Bank]],Main_Presentation[[#This Row],[ Invoice Amt (SAR)]],Main_Presentation[[#This Row],[Date Recd]],Main_Presentation[[#This Row],[Due Date]],Main_Presentation[[#This Row],[Days]])</f>
        <v>1437.5</v>
      </c>
      <c r="AB54" s="16"/>
    </row>
    <row r="55" spans="1:28" ht="15.75" hidden="1" x14ac:dyDescent="0.25">
      <c r="A55" s="14" t="s">
        <v>220</v>
      </c>
      <c r="B55" s="15">
        <v>45382</v>
      </c>
      <c r="C55" s="26">
        <v>11</v>
      </c>
      <c r="D55" s="55">
        <f>VLOOKUP(Main_Presentation[[#This Row],[LC Number]],Main_Issuance[],3,0)</f>
        <v>0</v>
      </c>
      <c r="E55" s="16" t="s">
        <v>856</v>
      </c>
      <c r="F55" s="17" t="str">
        <f>VLOOKUP(Main_Presentation[[#This Row],[LC Number]],Main_Issuance[],5,0)</f>
        <v>Alinma</v>
      </c>
      <c r="G55" s="17" t="str">
        <f>VLOOKUP(Main_Presentation[[#This Row],[LC Number]],Main_Issuance[],6,0)</f>
        <v>KSP</v>
      </c>
      <c r="H55" s="17" t="str">
        <f>VLOOKUP(Main_Presentation[[#This Row],[LC Number]],Main_Issuance[],17,0)</f>
        <v>Credit</v>
      </c>
      <c r="I55" s="17" t="str">
        <f>VLOOKUP(Main_Presentation[[#This Row],[LC Number]],Main_Issuance[],7,0)</f>
        <v>MARINETEK CONTRACTING LLC</v>
      </c>
      <c r="J55" s="17" t="str">
        <f>VLOOKUP(Main_Presentation[[#This Row],[LC Number]],Main_Issuance[],8,0)</f>
        <v>MBL</v>
      </c>
      <c r="K55" s="17" t="str">
        <f>VLOOKUP(Main_Presentation[[#This Row],[LC Number]],Main_Issuance[],9,0)</f>
        <v>Equipment</v>
      </c>
      <c r="L55" s="17">
        <f>VLOOKUP(Main_Presentation[[#This Row],[LC Number]],Main_Issuance[],10,0)</f>
        <v>0</v>
      </c>
      <c r="M55" s="17" t="str">
        <f>VLOOKUP(Main_Presentation[[#This Row],[LC Number]],Main_Issuance[],11,0)</f>
        <v>AED</v>
      </c>
      <c r="N55" s="84">
        <f>VLOOKUP(Main_Presentation[[#This Row],[LC Number]],Main_Issuance[],12,0)</f>
        <v>25282382.350000001</v>
      </c>
      <c r="O55" s="16" t="s">
        <v>20</v>
      </c>
      <c r="P55" s="16" t="s">
        <v>857</v>
      </c>
      <c r="Q55" s="18">
        <v>1099660.92</v>
      </c>
      <c r="R55" s="18">
        <v>1</v>
      </c>
      <c r="S55" s="18">
        <f>Main_Presentation[[#This Row],[Invoice Amt (FCY)]]*Main_Presentation[[#This Row],[Rate]]</f>
        <v>1099660.92</v>
      </c>
      <c r="T55" s="15">
        <v>45041</v>
      </c>
      <c r="U55" s="26">
        <f>VLOOKUP(Main_Presentation[[#This Row],[LC Number]],Main_Issuance[],18,0)</f>
        <v>0</v>
      </c>
      <c r="V55" s="19" t="s">
        <v>98</v>
      </c>
      <c r="W55" s="18" t="s">
        <v>857</v>
      </c>
      <c r="X55" s="16"/>
      <c r="Y55" s="234" t="str">
        <f>TRIM(LEFT(Main_Presentation[[#This Row],[Payment Terms]],3))</f>
        <v>0</v>
      </c>
      <c r="Z55" s="16"/>
      <c r="AA55" s="316" cm="1">
        <f t="array" ref="AA55">Settlement(Main_Presentation[[#This Row],[Bank]],Main_Presentation[[#This Row],[ Invoice Amt (SAR)]],Main_Presentation[[#This Row],[Date Recd]],Main_Presentation[[#This Row],[Due Date]],Main_Presentation[[#This Row],[Days]])</f>
        <v>1437.5</v>
      </c>
      <c r="AB55" s="16"/>
    </row>
    <row r="56" spans="1:28" ht="15.75" hidden="1" x14ac:dyDescent="0.25">
      <c r="A56" s="14" t="s">
        <v>105</v>
      </c>
      <c r="B56" s="15">
        <v>45055</v>
      </c>
      <c r="C56" s="26">
        <v>1</v>
      </c>
      <c r="D56" s="55" t="str">
        <f>VLOOKUP(Main_Presentation[[#This Row],[LC Number]],Main_Issuance[],3,0)</f>
        <v>Rabih Makhoul</v>
      </c>
      <c r="E56" s="16" t="s">
        <v>856</v>
      </c>
      <c r="F56" s="17" t="str">
        <f>VLOOKUP(Main_Presentation[[#This Row],[LC Number]],Main_Issuance[],5,0)</f>
        <v>Alinma</v>
      </c>
      <c r="G56" s="17" t="str">
        <f>VLOOKUP(Main_Presentation[[#This Row],[LC Number]],Main_Issuance[],6,0)</f>
        <v>KSP</v>
      </c>
      <c r="H56" s="17" t="str">
        <f>VLOOKUP(Main_Presentation[[#This Row],[LC Number]],Main_Issuance[],17,0)</f>
        <v>Credit</v>
      </c>
      <c r="I56" s="17" t="str">
        <f>VLOOKUP(Main_Presentation[[#This Row],[LC Number]],Main_Issuance[],7,0)</f>
        <v>PETER CREMER GMBH CLOCKENGIESSERWAL</v>
      </c>
      <c r="J56" s="17" t="str">
        <f>VLOOKUP(Main_Presentation[[#This Row],[LC Number]],Main_Issuance[],8,0)</f>
        <v>MBL</v>
      </c>
      <c r="K56" s="17" t="str">
        <f>VLOOKUP(Main_Presentation[[#This Row],[LC Number]],Main_Issuance[],9,0)</f>
        <v>JCD</v>
      </c>
      <c r="L56" s="17">
        <f>VLOOKUP(Main_Presentation[[#This Row],[LC Number]],Main_Issuance[],10,0)</f>
        <v>1020051</v>
      </c>
      <c r="M56" s="17" t="str">
        <f>VLOOKUP(Main_Presentation[[#This Row],[LC Number]],Main_Issuance[],11,0)</f>
        <v>USD</v>
      </c>
      <c r="N56" s="84">
        <f>VLOOKUP(Main_Presentation[[#This Row],[LC Number]],Main_Issuance[],12,0)</f>
        <v>3911507.59</v>
      </c>
      <c r="O56" s="16" t="s">
        <v>20</v>
      </c>
      <c r="P56" s="16" t="s">
        <v>857</v>
      </c>
      <c r="Q56" s="18">
        <v>808297.89</v>
      </c>
      <c r="R56" s="18">
        <v>3.7534999999999998</v>
      </c>
      <c r="S56" s="18">
        <f>Main_Presentation[[#This Row],[Invoice Amt (FCY)]]*Main_Presentation[[#This Row],[Rate]]</f>
        <v>3033946.1301150001</v>
      </c>
      <c r="T56" s="15">
        <v>45041</v>
      </c>
      <c r="U56" s="26">
        <f>VLOOKUP(Main_Presentation[[#This Row],[LC Number]],Main_Issuance[],18,0)</f>
        <v>0</v>
      </c>
      <c r="V56" s="19" t="s">
        <v>407</v>
      </c>
      <c r="W56" s="18" t="s">
        <v>857</v>
      </c>
      <c r="X56" s="16"/>
      <c r="Y56" s="234" t="str">
        <f>TRIM(LEFT(Main_Presentation[[#This Row],[Payment Terms]],3))</f>
        <v>0</v>
      </c>
      <c r="Z56" s="16"/>
      <c r="AA56" s="316" cm="1">
        <f t="array" ref="AA56">Settlement(Main_Presentation[[#This Row],[Bank]],Main_Presentation[[#This Row],[ Invoice Amt (SAR)]],Main_Presentation[[#This Row],[Date Recd]],Main_Presentation[[#This Row],[Due Date]],Main_Presentation[[#This Row],[Days]])</f>
        <v>1437.5</v>
      </c>
      <c r="AB56" s="16"/>
    </row>
    <row r="57" spans="1:28" ht="15.75" hidden="1" x14ac:dyDescent="0.25">
      <c r="A57" s="14" t="s">
        <v>105</v>
      </c>
      <c r="B57" s="15">
        <v>45064</v>
      </c>
      <c r="C57" s="26">
        <v>2</v>
      </c>
      <c r="D57" s="55" t="str">
        <f>VLOOKUP(Main_Presentation[[#This Row],[LC Number]],Main_Issuance[],3,0)</f>
        <v>Rabih Makhoul</v>
      </c>
      <c r="E57" s="16" t="s">
        <v>856</v>
      </c>
      <c r="F57" s="17" t="str">
        <f>VLOOKUP(Main_Presentation[[#This Row],[LC Number]],Main_Issuance[],5,0)</f>
        <v>Alinma</v>
      </c>
      <c r="G57" s="17" t="str">
        <f>VLOOKUP(Main_Presentation[[#This Row],[LC Number]],Main_Issuance[],6,0)</f>
        <v>KSP</v>
      </c>
      <c r="H57" s="17" t="str">
        <f>VLOOKUP(Main_Presentation[[#This Row],[LC Number]],Main_Issuance[],17,0)</f>
        <v>Credit</v>
      </c>
      <c r="I57" s="17" t="str">
        <f>VLOOKUP(Main_Presentation[[#This Row],[LC Number]],Main_Issuance[],7,0)</f>
        <v>PETER CREMER GMBH CLOCKENGIESSERWAL</v>
      </c>
      <c r="J57" s="17" t="str">
        <f>VLOOKUP(Main_Presentation[[#This Row],[LC Number]],Main_Issuance[],8,0)</f>
        <v>MBL</v>
      </c>
      <c r="K57" s="17" t="str">
        <f>VLOOKUP(Main_Presentation[[#This Row],[LC Number]],Main_Issuance[],9,0)</f>
        <v>JCD</v>
      </c>
      <c r="L57" s="17">
        <f>VLOOKUP(Main_Presentation[[#This Row],[LC Number]],Main_Issuance[],10,0)</f>
        <v>1020051</v>
      </c>
      <c r="M57" s="17" t="str">
        <f>VLOOKUP(Main_Presentation[[#This Row],[LC Number]],Main_Issuance[],11,0)</f>
        <v>USD</v>
      </c>
      <c r="N57" s="84">
        <f>VLOOKUP(Main_Presentation[[#This Row],[LC Number]],Main_Issuance[],12,0)</f>
        <v>3911507.59</v>
      </c>
      <c r="O57" s="16" t="s">
        <v>20</v>
      </c>
      <c r="P57" s="16" t="s">
        <v>857</v>
      </c>
      <c r="Q57" s="18">
        <v>214321.84</v>
      </c>
      <c r="R57" s="18">
        <v>3.7534999999999998</v>
      </c>
      <c r="S57" s="18">
        <f>Main_Presentation[[#This Row],[Invoice Amt (FCY)]]*Main_Presentation[[#This Row],[Rate]]</f>
        <v>804457.02643999993</v>
      </c>
      <c r="T57" s="15">
        <v>45041</v>
      </c>
      <c r="U57" s="26">
        <f>VLOOKUP(Main_Presentation[[#This Row],[LC Number]],Main_Issuance[],18,0)</f>
        <v>0</v>
      </c>
      <c r="V57" s="19" t="s">
        <v>407</v>
      </c>
      <c r="W57" s="18" t="s">
        <v>857</v>
      </c>
      <c r="X57" s="16"/>
      <c r="Y57" s="234" t="str">
        <f>TRIM(LEFT(Main_Presentation[[#This Row],[Payment Terms]],3))</f>
        <v>0</v>
      </c>
      <c r="Z57" s="16"/>
      <c r="AA57" s="316" cm="1">
        <f t="array" ref="AA57">Settlement(Main_Presentation[[#This Row],[Bank]],Main_Presentation[[#This Row],[ Invoice Amt (SAR)]],Main_Presentation[[#This Row],[Date Recd]],Main_Presentation[[#This Row],[Due Date]],Main_Presentation[[#This Row],[Days]])</f>
        <v>1437.5</v>
      </c>
      <c r="AB57" s="16"/>
    </row>
    <row r="58" spans="1:28" ht="15.75" hidden="1" x14ac:dyDescent="0.25">
      <c r="A58" s="14" t="s">
        <v>107</v>
      </c>
      <c r="B58" s="15">
        <v>45043</v>
      </c>
      <c r="C58" s="26">
        <v>1</v>
      </c>
      <c r="D58" s="55" t="str">
        <f>VLOOKUP(Main_Presentation[[#This Row],[LC Number]],Main_Issuance[],3,0)</f>
        <v>Rabih Makhoul</v>
      </c>
      <c r="E58" s="16" t="s">
        <v>856</v>
      </c>
      <c r="F58" s="17" t="str">
        <f>VLOOKUP(Main_Presentation[[#This Row],[LC Number]],Main_Issuance[],5,0)</f>
        <v>Alinma</v>
      </c>
      <c r="G58" s="17" t="str">
        <f>VLOOKUP(Main_Presentation[[#This Row],[LC Number]],Main_Issuance[],6,0)</f>
        <v>KSP</v>
      </c>
      <c r="H58" s="17" t="str">
        <f>VLOOKUP(Main_Presentation[[#This Row],[LC Number]],Main_Issuance[],17,0)</f>
        <v>Credit</v>
      </c>
      <c r="I58" s="17" t="str">
        <f>VLOOKUP(Main_Presentation[[#This Row],[LC Number]],Main_Issuance[],7,0)</f>
        <v>PETER CREMER GMBH CLOCKENGIESSERWAL</v>
      </c>
      <c r="J58" s="17" t="str">
        <f>VLOOKUP(Main_Presentation[[#This Row],[LC Number]],Main_Issuance[],8,0)</f>
        <v>MBL</v>
      </c>
      <c r="K58" s="17" t="str">
        <f>VLOOKUP(Main_Presentation[[#This Row],[LC Number]],Main_Issuance[],9,0)</f>
        <v>JCD</v>
      </c>
      <c r="L58" s="17">
        <f>VLOOKUP(Main_Presentation[[#This Row],[LC Number]],Main_Issuance[],10,0)</f>
        <v>1020051</v>
      </c>
      <c r="M58" s="17" t="str">
        <f>VLOOKUP(Main_Presentation[[#This Row],[LC Number]],Main_Issuance[],11,0)</f>
        <v>USD</v>
      </c>
      <c r="N58" s="84">
        <f>VLOOKUP(Main_Presentation[[#This Row],[LC Number]],Main_Issuance[],12,0)</f>
        <v>16678375.462499999</v>
      </c>
      <c r="O58" s="16" t="s">
        <v>20</v>
      </c>
      <c r="P58" s="16" t="s">
        <v>857</v>
      </c>
      <c r="Q58" s="18">
        <v>1118041.6000000001</v>
      </c>
      <c r="R58" s="18">
        <v>3.7545000000000002</v>
      </c>
      <c r="S58" s="18">
        <f>Main_Presentation[[#This Row],[Invoice Amt (FCY)]]*Main_Presentation[[#This Row],[Rate]]</f>
        <v>4197687.1872000005</v>
      </c>
      <c r="T58" s="15">
        <v>45041</v>
      </c>
      <c r="U58" s="26">
        <f>VLOOKUP(Main_Presentation[[#This Row],[LC Number]],Main_Issuance[],18,0)</f>
        <v>0</v>
      </c>
      <c r="V58" s="19" t="s">
        <v>407</v>
      </c>
      <c r="W58" s="18" t="s">
        <v>857</v>
      </c>
      <c r="X58" s="16"/>
      <c r="Y58" s="234" t="str">
        <f>TRIM(LEFT(Main_Presentation[[#This Row],[Payment Terms]],3))</f>
        <v>0</v>
      </c>
      <c r="Z58" s="16"/>
      <c r="AA58" s="316" cm="1">
        <f t="array" ref="AA58">Settlement(Main_Presentation[[#This Row],[Bank]],Main_Presentation[[#This Row],[ Invoice Amt (SAR)]],Main_Presentation[[#This Row],[Date Recd]],Main_Presentation[[#This Row],[Due Date]],Main_Presentation[[#This Row],[Days]])</f>
        <v>1437.5</v>
      </c>
      <c r="AB58" s="16"/>
    </row>
    <row r="59" spans="1:28" ht="15.75" hidden="1" x14ac:dyDescent="0.25">
      <c r="A59" s="14" t="s">
        <v>107</v>
      </c>
      <c r="B59" s="15">
        <v>45070</v>
      </c>
      <c r="C59" s="26">
        <v>2</v>
      </c>
      <c r="D59" s="55" t="str">
        <f>VLOOKUP(Main_Presentation[[#This Row],[LC Number]],Main_Issuance[],3,0)</f>
        <v>Rabih Makhoul</v>
      </c>
      <c r="E59" s="16" t="s">
        <v>856</v>
      </c>
      <c r="F59" s="17" t="str">
        <f>VLOOKUP(Main_Presentation[[#This Row],[LC Number]],Main_Issuance[],5,0)</f>
        <v>Alinma</v>
      </c>
      <c r="G59" s="17" t="str">
        <f>VLOOKUP(Main_Presentation[[#This Row],[LC Number]],Main_Issuance[],6,0)</f>
        <v>KSP</v>
      </c>
      <c r="H59" s="17" t="str">
        <f>VLOOKUP(Main_Presentation[[#This Row],[LC Number]],Main_Issuance[],17,0)</f>
        <v>Credit</v>
      </c>
      <c r="I59" s="17" t="str">
        <f>VLOOKUP(Main_Presentation[[#This Row],[LC Number]],Main_Issuance[],7,0)</f>
        <v>PETER CREMER GMBH CLOCKENGIESSERWAL</v>
      </c>
      <c r="J59" s="17" t="str">
        <f>VLOOKUP(Main_Presentation[[#This Row],[LC Number]],Main_Issuance[],8,0)</f>
        <v>MBL</v>
      </c>
      <c r="K59" s="17" t="str">
        <f>VLOOKUP(Main_Presentation[[#This Row],[LC Number]],Main_Issuance[],9,0)</f>
        <v>JCD</v>
      </c>
      <c r="L59" s="17">
        <f>VLOOKUP(Main_Presentation[[#This Row],[LC Number]],Main_Issuance[],10,0)</f>
        <v>1020051</v>
      </c>
      <c r="M59" s="17" t="str">
        <f>VLOOKUP(Main_Presentation[[#This Row],[LC Number]],Main_Issuance[],11,0)</f>
        <v>USD</v>
      </c>
      <c r="N59" s="84">
        <f>VLOOKUP(Main_Presentation[[#This Row],[LC Number]],Main_Issuance[],12,0)</f>
        <v>16678375.462499999</v>
      </c>
      <c r="O59" s="16" t="s">
        <v>20</v>
      </c>
      <c r="P59" s="16" t="s">
        <v>857</v>
      </c>
      <c r="Q59" s="18">
        <v>3242320.36</v>
      </c>
      <c r="R59" s="18">
        <v>3.7515000000000001</v>
      </c>
      <c r="S59" s="18">
        <f>Main_Presentation[[#This Row],[Invoice Amt (FCY)]]*Main_Presentation[[#This Row],[Rate]]</f>
        <v>12163564.83054</v>
      </c>
      <c r="T59" s="15">
        <v>45041</v>
      </c>
      <c r="U59" s="26">
        <f>VLOOKUP(Main_Presentation[[#This Row],[LC Number]],Main_Issuance[],18,0)</f>
        <v>0</v>
      </c>
      <c r="V59" s="19" t="s">
        <v>407</v>
      </c>
      <c r="W59" s="18" t="s">
        <v>857</v>
      </c>
      <c r="X59" s="16"/>
      <c r="Y59" s="234" t="str">
        <f>TRIM(LEFT(Main_Presentation[[#This Row],[Payment Terms]],3))</f>
        <v>0</v>
      </c>
      <c r="Z59" s="16"/>
      <c r="AA59" s="316" cm="1">
        <f t="array" ref="AA59">Settlement(Main_Presentation[[#This Row],[Bank]],Main_Presentation[[#This Row],[ Invoice Amt (SAR)]],Main_Presentation[[#This Row],[Date Recd]],Main_Presentation[[#This Row],[Due Date]],Main_Presentation[[#This Row],[Days]])</f>
        <v>1437.5</v>
      </c>
      <c r="AB59" s="16"/>
    </row>
    <row r="60" spans="1:28" ht="15.75" hidden="1" x14ac:dyDescent="0.25">
      <c r="A60" s="14" t="s">
        <v>207</v>
      </c>
      <c r="B60" s="15">
        <v>45176</v>
      </c>
      <c r="C60" s="26">
        <v>1</v>
      </c>
      <c r="D60" s="55" t="str">
        <f>VLOOKUP(Main_Presentation[[#This Row],[LC Number]],Main_Issuance[],3,0)</f>
        <v>Rabih Makhoul</v>
      </c>
      <c r="E60" s="16" t="s">
        <v>856</v>
      </c>
      <c r="F60" s="17" t="str">
        <f>VLOOKUP(Main_Presentation[[#This Row],[LC Number]],Main_Issuance[],5,0)</f>
        <v>Alinma</v>
      </c>
      <c r="G60" s="17" t="str">
        <f>VLOOKUP(Main_Presentation[[#This Row],[LC Number]],Main_Issuance[],6,0)</f>
        <v>KSP</v>
      </c>
      <c r="H60" s="17" t="str">
        <f>VLOOKUP(Main_Presentation[[#This Row],[LC Number]],Main_Issuance[],17,0)</f>
        <v>Credit</v>
      </c>
      <c r="I60" s="17" t="str">
        <f>VLOOKUP(Main_Presentation[[#This Row],[LC Number]],Main_Issuance[],7,0)</f>
        <v>PETER CREMER GMBH</v>
      </c>
      <c r="J60" s="17" t="str">
        <f>VLOOKUP(Main_Presentation[[#This Row],[LC Number]],Main_Issuance[],8,0)</f>
        <v>MBL</v>
      </c>
      <c r="K60" s="17" t="str">
        <f>VLOOKUP(Main_Presentation[[#This Row],[LC Number]],Main_Issuance[],9,0)</f>
        <v>JCD</v>
      </c>
      <c r="L60" s="17">
        <f>VLOOKUP(Main_Presentation[[#This Row],[LC Number]],Main_Issuance[],10,0)</f>
        <v>1020051</v>
      </c>
      <c r="M60" s="17" t="str">
        <f>VLOOKUP(Main_Presentation[[#This Row],[LC Number]],Main_Issuance[],11,0)</f>
        <v>USD</v>
      </c>
      <c r="N60" s="84">
        <f>VLOOKUP(Main_Presentation[[#This Row],[LC Number]],Main_Issuance[],12,0)</f>
        <v>4473396.8600000003</v>
      </c>
      <c r="O60" s="16" t="s">
        <v>20</v>
      </c>
      <c r="P60" s="16" t="s">
        <v>857</v>
      </c>
      <c r="Q60" s="18">
        <v>3637844.62</v>
      </c>
      <c r="R60" s="18">
        <v>3.75</v>
      </c>
      <c r="S60" s="18">
        <f>Main_Presentation[[#This Row],[Invoice Amt (FCY)]]*Main_Presentation[[#This Row],[Rate]]</f>
        <v>13641917.325000001</v>
      </c>
      <c r="T60" s="15">
        <v>45041</v>
      </c>
      <c r="U60" s="26" t="str">
        <f>VLOOKUP(Main_Presentation[[#This Row],[LC Number]],Main_Issuance[],18,0)</f>
        <v>Sight</v>
      </c>
      <c r="V60" s="19" t="s">
        <v>407</v>
      </c>
      <c r="W60" s="18" t="s">
        <v>857</v>
      </c>
      <c r="X60" s="16"/>
      <c r="Y60" s="234" t="str">
        <f>TRIM(LEFT(Main_Presentation[[#This Row],[Payment Terms]],3))</f>
        <v>Sig</v>
      </c>
      <c r="Z60" s="16"/>
      <c r="AA60" s="316" t="e" cm="1">
        <f t="array" ref="AA60">Settlement(Main_Presentation[[#This Row],[Bank]],Main_Presentation[[#This Row],[ Invoice Amt (SAR)]],Main_Presentation[[#This Row],[Date Recd]],Main_Presentation[[#This Row],[Due Date]],Main_Presentation[[#This Row],[Days]])</f>
        <v>#VALUE!</v>
      </c>
      <c r="AB60" s="16"/>
    </row>
    <row r="61" spans="1:28" ht="15.75" hidden="1" x14ac:dyDescent="0.25">
      <c r="A61" s="14" t="s">
        <v>207</v>
      </c>
      <c r="B61" s="15">
        <v>45237</v>
      </c>
      <c r="C61" s="26">
        <v>2</v>
      </c>
      <c r="D61" s="55" t="str">
        <f>VLOOKUP(Main_Presentation[[#This Row],[LC Number]],Main_Issuance[],3,0)</f>
        <v>Rabih Makhoul</v>
      </c>
      <c r="E61" s="16" t="s">
        <v>856</v>
      </c>
      <c r="F61" s="17" t="str">
        <f>VLOOKUP(Main_Presentation[[#This Row],[LC Number]],Main_Issuance[],5,0)</f>
        <v>Alinma</v>
      </c>
      <c r="G61" s="17" t="str">
        <f>VLOOKUP(Main_Presentation[[#This Row],[LC Number]],Main_Issuance[],6,0)</f>
        <v>KSP</v>
      </c>
      <c r="H61" s="17" t="str">
        <f>VLOOKUP(Main_Presentation[[#This Row],[LC Number]],Main_Issuance[],17,0)</f>
        <v>Credit</v>
      </c>
      <c r="I61" s="17" t="str">
        <f>VLOOKUP(Main_Presentation[[#This Row],[LC Number]],Main_Issuance[],7,0)</f>
        <v>PETER CREMER GMBH</v>
      </c>
      <c r="J61" s="17" t="str">
        <f>VLOOKUP(Main_Presentation[[#This Row],[LC Number]],Main_Issuance[],8,0)</f>
        <v>MBL</v>
      </c>
      <c r="K61" s="17" t="str">
        <f>VLOOKUP(Main_Presentation[[#This Row],[LC Number]],Main_Issuance[],9,0)</f>
        <v>JCD</v>
      </c>
      <c r="L61" s="17">
        <f>VLOOKUP(Main_Presentation[[#This Row],[LC Number]],Main_Issuance[],10,0)</f>
        <v>1020051</v>
      </c>
      <c r="M61" s="17" t="str">
        <f>VLOOKUP(Main_Presentation[[#This Row],[LC Number]],Main_Issuance[],11,0)</f>
        <v>USD</v>
      </c>
      <c r="N61" s="84">
        <f>VLOOKUP(Main_Presentation[[#This Row],[LC Number]],Main_Issuance[],12,0)</f>
        <v>4473396.8600000003</v>
      </c>
      <c r="O61" s="16" t="s">
        <v>20</v>
      </c>
      <c r="P61" s="16" t="s">
        <v>857</v>
      </c>
      <c r="Q61" s="18">
        <v>835568.7</v>
      </c>
      <c r="R61" s="18">
        <v>3.7549999999999999</v>
      </c>
      <c r="S61" s="18">
        <f>Main_Presentation[[#This Row],[Invoice Amt (FCY)]]*Main_Presentation[[#This Row],[Rate]]</f>
        <v>3137560.4685</v>
      </c>
      <c r="T61" s="15">
        <v>45041</v>
      </c>
      <c r="U61" s="26" t="str">
        <f>VLOOKUP(Main_Presentation[[#This Row],[LC Number]],Main_Issuance[],18,0)</f>
        <v>Sight</v>
      </c>
      <c r="V61" s="19" t="s">
        <v>407</v>
      </c>
      <c r="W61" s="18" t="s">
        <v>857</v>
      </c>
      <c r="X61" s="16"/>
      <c r="Y61" s="234" t="str">
        <f>TRIM(LEFT(Main_Presentation[[#This Row],[Payment Terms]],3))</f>
        <v>Sig</v>
      </c>
      <c r="Z61" s="16"/>
      <c r="AA61" s="316" t="e" cm="1">
        <f t="array" ref="AA61">Settlement(Main_Presentation[[#This Row],[Bank]],Main_Presentation[[#This Row],[ Invoice Amt (SAR)]],Main_Presentation[[#This Row],[Date Recd]],Main_Presentation[[#This Row],[Due Date]],Main_Presentation[[#This Row],[Days]])</f>
        <v>#VALUE!</v>
      </c>
      <c r="AB61" s="16"/>
    </row>
    <row r="62" spans="1:28" ht="15.75" hidden="1" x14ac:dyDescent="0.25">
      <c r="A62" s="14" t="s">
        <v>478</v>
      </c>
      <c r="B62" s="15">
        <v>45622</v>
      </c>
      <c r="C62" s="26">
        <v>1</v>
      </c>
      <c r="D62" s="55" t="str">
        <f>VLOOKUP(Main_Presentation[[#This Row],[LC Number]],Main_Issuance[],3,0)</f>
        <v>Rabih Makhoul</v>
      </c>
      <c r="E62" s="16" t="s">
        <v>856</v>
      </c>
      <c r="F62" s="17" t="str">
        <f>VLOOKUP(Main_Presentation[[#This Row],[LC Number]],Main_Issuance[],5,0)</f>
        <v>Alinma</v>
      </c>
      <c r="G62" s="17" t="str">
        <f>VLOOKUP(Main_Presentation[[#This Row],[LC Number]],Main_Issuance[],6,0)</f>
        <v>KSP</v>
      </c>
      <c r="H62" s="17" t="str">
        <f>VLOOKUP(Main_Presentation[[#This Row],[LC Number]],Main_Issuance[],17,0)</f>
        <v>Credit</v>
      </c>
      <c r="I62" s="17" t="str">
        <f>VLOOKUP(Main_Presentation[[#This Row],[LC Number]],Main_Issuance[],7,0)</f>
        <v>Power Center Company for Industries LLC</v>
      </c>
      <c r="J62" s="17" t="str">
        <f>VLOOKUP(Main_Presentation[[#This Row],[LC Number]],Main_Issuance[],8,0)</f>
        <v>FIRST FIX</v>
      </c>
      <c r="K62" s="17" t="str">
        <f>VLOOKUP(Main_Presentation[[#This Row],[LC Number]],Main_Issuance[],9,0)</f>
        <v>JCD SPMI</v>
      </c>
      <c r="L62" s="17">
        <f>VLOOKUP(Main_Presentation[[#This Row],[LC Number]],Main_Issuance[],10,0)</f>
        <v>1020100</v>
      </c>
      <c r="M62" s="17" t="str">
        <f>VLOOKUP(Main_Presentation[[#This Row],[LC Number]],Main_Issuance[],11,0)</f>
        <v>SAR</v>
      </c>
      <c r="N62" s="84">
        <f>VLOOKUP(Main_Presentation[[#This Row],[LC Number]],Main_Issuance[],12,0)</f>
        <v>2200000</v>
      </c>
      <c r="O62" s="16" t="s">
        <v>20</v>
      </c>
      <c r="P62" s="16" t="s">
        <v>857</v>
      </c>
      <c r="Q62" s="18">
        <v>2200000</v>
      </c>
      <c r="R62" s="18">
        <v>1</v>
      </c>
      <c r="S62" s="18">
        <f>Main_Presentation[[#This Row],[Invoice Amt (FCY)]]*Main_Presentation[[#This Row],[Rate]]</f>
        <v>2200000</v>
      </c>
      <c r="T62" s="15">
        <v>45705</v>
      </c>
      <c r="U62" s="26" t="str">
        <f>VLOOKUP(Main_Presentation[[#This Row],[LC Number]],Main_Issuance[],18,0)</f>
        <v>90 Days from Invoice Date</v>
      </c>
      <c r="V62" s="21" t="s">
        <v>304</v>
      </c>
      <c r="W62" s="22" t="s">
        <v>378</v>
      </c>
      <c r="X62" s="16"/>
      <c r="Y62" s="234" t="str">
        <f>TRIM(LEFT(Main_Presentation[[#This Row],[Payment Terms]],3))</f>
        <v>90</v>
      </c>
      <c r="Z62" s="16"/>
      <c r="AA62" s="316" cm="1">
        <f t="array" ref="AA62">Settlement(Main_Presentation[[#This Row],[Bank]],Main_Presentation[[#This Row],[ Invoice Amt (SAR)]],Main_Presentation[[#This Row],[Date Recd]],Main_Presentation[[#This Row],[Due Date]],Main_Presentation[[#This Row],[Days]])</f>
        <v>3162.5</v>
      </c>
      <c r="AB62" s="16"/>
    </row>
    <row r="63" spans="1:28" ht="15.75" hidden="1" x14ac:dyDescent="0.25">
      <c r="A63" s="14" t="s">
        <v>472</v>
      </c>
      <c r="B63" s="15">
        <v>45636</v>
      </c>
      <c r="C63" s="26">
        <v>1</v>
      </c>
      <c r="D63" s="55" t="str">
        <f>VLOOKUP(Main_Presentation[[#This Row],[LC Number]],Main_Issuance[],3,0)</f>
        <v>Rabih Makhoul</v>
      </c>
      <c r="E63" s="16" t="s">
        <v>856</v>
      </c>
      <c r="F63" s="17" t="str">
        <f>VLOOKUP(Main_Presentation[[#This Row],[LC Number]],Main_Issuance[],5,0)</f>
        <v>Alinma</v>
      </c>
      <c r="G63" s="17" t="str">
        <f>VLOOKUP(Main_Presentation[[#This Row],[LC Number]],Main_Issuance[],6,0)</f>
        <v>KSP</v>
      </c>
      <c r="H63" s="17" t="str">
        <f>VLOOKUP(Main_Presentation[[#This Row],[LC Number]],Main_Issuance[],17,0)</f>
        <v>Credit</v>
      </c>
      <c r="I63" s="17" t="str">
        <f>VLOOKUP(Main_Presentation[[#This Row],[LC Number]],Main_Issuance[],7,0)</f>
        <v>National Marketing Est. Co. Ltd</v>
      </c>
      <c r="J63" s="17" t="str">
        <f>VLOOKUP(Main_Presentation[[#This Row],[LC Number]],Main_Issuance[],8,0)</f>
        <v>FIRST FIX</v>
      </c>
      <c r="K63" s="17" t="str">
        <f>VLOOKUP(Main_Presentation[[#This Row],[LC Number]],Main_Issuance[],9,0)</f>
        <v>JCD SPMI</v>
      </c>
      <c r="L63" s="17">
        <f>VLOOKUP(Main_Presentation[[#This Row],[LC Number]],Main_Issuance[],10,0)</f>
        <v>1020100</v>
      </c>
      <c r="M63" s="17" t="str">
        <f>VLOOKUP(Main_Presentation[[#This Row],[LC Number]],Main_Issuance[],11,0)</f>
        <v>SAR</v>
      </c>
      <c r="N63" s="84">
        <f>VLOOKUP(Main_Presentation[[#This Row],[LC Number]],Main_Issuance[],12,0)</f>
        <v>500000</v>
      </c>
      <c r="O63" s="16" t="s">
        <v>20</v>
      </c>
      <c r="P63" s="16" t="s">
        <v>857</v>
      </c>
      <c r="Q63" s="18">
        <v>500000</v>
      </c>
      <c r="R63" s="18">
        <v>1</v>
      </c>
      <c r="S63" s="18">
        <f>Main_Presentation[[#This Row],[Invoice Amt (FCY)]]*Main_Presentation[[#This Row],[Rate]]</f>
        <v>500000</v>
      </c>
      <c r="T63" s="15">
        <v>45720</v>
      </c>
      <c r="U63" s="26" t="str">
        <f>VLOOKUP(Main_Presentation[[#This Row],[LC Number]],Main_Issuance[],18,0)</f>
        <v>90 Days from Invoice Date</v>
      </c>
      <c r="V63" s="21" t="s">
        <v>885</v>
      </c>
      <c r="W63" s="22" t="s">
        <v>378</v>
      </c>
      <c r="X63" s="16"/>
      <c r="Y63" s="234" t="str">
        <f>TRIM(LEFT(Main_Presentation[[#This Row],[Payment Terms]],3))</f>
        <v>90</v>
      </c>
      <c r="Z63" s="16"/>
      <c r="AA63" s="316" cm="1">
        <f t="array" ref="AA63">Settlement(Main_Presentation[[#This Row],[Bank]],Main_Presentation[[#This Row],[ Invoice Amt (SAR)]],Main_Presentation[[#This Row],[Date Recd]],Main_Presentation[[#This Row],[Due Date]],Main_Presentation[[#This Row],[Days]])</f>
        <v>1437.5</v>
      </c>
      <c r="AB63" s="16"/>
    </row>
    <row r="64" spans="1:28" ht="15.75" hidden="1" x14ac:dyDescent="0.25">
      <c r="A64" s="20" t="s">
        <v>480</v>
      </c>
      <c r="B64" s="15">
        <v>45658</v>
      </c>
      <c r="C64" s="26">
        <v>1</v>
      </c>
      <c r="D64" s="55" t="str">
        <f>VLOOKUP(Main_Presentation[[#This Row],[LC Number]],Main_Issuance[],3,0)</f>
        <v>Rabih Makhoul</v>
      </c>
      <c r="E64" s="16" t="s">
        <v>856</v>
      </c>
      <c r="F64" s="17" t="str">
        <f>VLOOKUP(Main_Presentation[[#This Row],[LC Number]],Main_Issuance[],5,0)</f>
        <v>Alinma</v>
      </c>
      <c r="G64" s="17" t="str">
        <f>VLOOKUP(Main_Presentation[[#This Row],[LC Number]],Main_Issuance[],6,0)</f>
        <v>KSP</v>
      </c>
      <c r="H64" s="17" t="str">
        <f>VLOOKUP(Main_Presentation[[#This Row],[LC Number]],Main_Issuance[],17,0)</f>
        <v>Credit</v>
      </c>
      <c r="I64" s="17" t="str">
        <f>VLOOKUP(Main_Presentation[[#This Row],[LC Number]],Main_Issuance[],7,0)</f>
        <v>Electric House Trading Co LLC</v>
      </c>
      <c r="J64" s="17" t="str">
        <f>VLOOKUP(Main_Presentation[[#This Row],[LC Number]],Main_Issuance[],8,0)</f>
        <v>FIRST FIX</v>
      </c>
      <c r="K64" s="17" t="str">
        <f>VLOOKUP(Main_Presentation[[#This Row],[LC Number]],Main_Issuance[],9,0)</f>
        <v>JCD SPMI</v>
      </c>
      <c r="L64" s="17">
        <f>VLOOKUP(Main_Presentation[[#This Row],[LC Number]],Main_Issuance[],10,0)</f>
        <v>1020100</v>
      </c>
      <c r="M64" s="17" t="str">
        <f>VLOOKUP(Main_Presentation[[#This Row],[LC Number]],Main_Issuance[],11,0)</f>
        <v>SAR</v>
      </c>
      <c r="N64" s="84">
        <f>VLOOKUP(Main_Presentation[[#This Row],[LC Number]],Main_Issuance[],12,0)</f>
        <v>1400000</v>
      </c>
      <c r="O64" s="16" t="s">
        <v>20</v>
      </c>
      <c r="P64" s="16" t="s">
        <v>857</v>
      </c>
      <c r="Q64" s="18">
        <v>1400000</v>
      </c>
      <c r="R64" s="18">
        <v>1</v>
      </c>
      <c r="S64" s="18">
        <f>Main_Presentation[[#This Row],[Invoice Amt (FCY)]]*Main_Presentation[[#This Row],[Rate]]</f>
        <v>1400000</v>
      </c>
      <c r="T64" s="15">
        <v>45743</v>
      </c>
      <c r="U64" s="26" t="str">
        <f>VLOOKUP(Main_Presentation[[#This Row],[LC Number]],Main_Issuance[],18,0)</f>
        <v>90 Days from Invoice Date</v>
      </c>
      <c r="V64" s="21" t="s">
        <v>1108</v>
      </c>
      <c r="W64" s="22" t="s">
        <v>378</v>
      </c>
      <c r="X64" s="16"/>
      <c r="Y64" s="234" t="str">
        <f>TRIM(LEFT(Main_Presentation[[#This Row],[Payment Terms]],3))</f>
        <v>90</v>
      </c>
      <c r="Z64" s="16"/>
      <c r="AA64" s="316" cm="1">
        <f t="array" ref="AA64">Settlement(Main_Presentation[[#This Row],[Bank]],Main_Presentation[[#This Row],[ Invoice Amt (SAR)]],Main_Presentation[[#This Row],[Date Recd]],Main_Presentation[[#This Row],[Due Date]],Main_Presentation[[#This Row],[Days]])</f>
        <v>2012.5</v>
      </c>
      <c r="AB64" s="16"/>
    </row>
    <row r="65" spans="1:28" ht="15.75" hidden="1" x14ac:dyDescent="0.25">
      <c r="A65" s="20" t="s">
        <v>639</v>
      </c>
      <c r="B65" s="15">
        <v>45712</v>
      </c>
      <c r="C65" s="26">
        <v>1</v>
      </c>
      <c r="D65" s="55" t="str">
        <f>VLOOKUP(Main_Presentation[[#This Row],[LC Number]],Main_Issuance[],3,0)</f>
        <v>Hassan Taleb</v>
      </c>
      <c r="E65" s="16" t="s">
        <v>856</v>
      </c>
      <c r="F65" s="16" t="str">
        <f>VLOOKUP(Main_Presentation[[#This Row],[LC Number]],Main_Issuance[],5,0)</f>
        <v>Alinma</v>
      </c>
      <c r="G65" s="16" t="str">
        <f>VLOOKUP(Main_Presentation[[#This Row],[LC Number]],Main_Issuance[],6,0)</f>
        <v>KSP</v>
      </c>
      <c r="H65" s="16" t="str">
        <f>VLOOKUP(Main_Presentation[[#This Row],[LC Number]],Main_Issuance[],17,0)</f>
        <v>Credit</v>
      </c>
      <c r="I65" s="16" t="str">
        <f>VLOOKUP(Main_Presentation[[#This Row],[LC Number]],Main_Issuance[],7,0)</f>
        <v>ENERGY CONCEPT CO LTD</v>
      </c>
      <c r="J65" s="16" t="str">
        <f>VLOOKUP(Main_Presentation[[#This Row],[LC Number]],Main_Issuance[],8,0)</f>
        <v>FIRST FIX</v>
      </c>
      <c r="K65" s="16" t="str">
        <f>VLOOKUP(Main_Presentation[[#This Row],[LC Number]],Main_Issuance[],9,0)</f>
        <v>KSP</v>
      </c>
      <c r="L65" s="16">
        <f>VLOOKUP(Main_Presentation[[#This Row],[LC Number]],Main_Issuance[],10,0)</f>
        <v>1020055</v>
      </c>
      <c r="M65" s="16" t="str">
        <f>VLOOKUP(Main_Presentation[[#This Row],[LC Number]],Main_Issuance[],11,0)</f>
        <v>SAR</v>
      </c>
      <c r="N65" s="86">
        <f>VLOOKUP(Main_Presentation[[#This Row],[LC Number]],Main_Issuance[],12,0)</f>
        <v>493685.89</v>
      </c>
      <c r="O65" s="16" t="s">
        <v>20</v>
      </c>
      <c r="P65" s="16" t="s">
        <v>857</v>
      </c>
      <c r="Q65" s="131">
        <v>493685.89</v>
      </c>
      <c r="R65" s="18">
        <v>1</v>
      </c>
      <c r="S65" s="18">
        <f>Main_Presentation[[#This Row],[Invoice Amt (FCY)]]*Main_Presentation[[#This Row],[Rate]]</f>
        <v>493685.89</v>
      </c>
      <c r="T65" s="15">
        <v>45789</v>
      </c>
      <c r="U65" s="26" t="str">
        <f>VLOOKUP(Main_Presentation[[#This Row],[LC Number]],Main_Issuance[],18,0)</f>
        <v>90 Days from Invoice Date</v>
      </c>
      <c r="V65" s="21" t="s">
        <v>22</v>
      </c>
      <c r="W65" s="22" t="s">
        <v>857</v>
      </c>
      <c r="X65" s="16"/>
      <c r="Y65" s="234" t="str">
        <f>TRIM(LEFT(Main_Presentation[[#This Row],[Payment Terms]],3))</f>
        <v>90</v>
      </c>
      <c r="Z65" s="16"/>
      <c r="AA65" s="316" cm="1">
        <f t="array" ref="AA65">Settlement(Main_Presentation[[#This Row],[Bank]],Main_Presentation[[#This Row],[ Invoice Amt (SAR)]],Main_Presentation[[#This Row],[Date Recd]],Main_Presentation[[#This Row],[Due Date]],Main_Presentation[[#This Row],[Days]])</f>
        <v>1437.5</v>
      </c>
      <c r="AB65" s="16"/>
    </row>
    <row r="66" spans="1:28" ht="15.75" hidden="1" x14ac:dyDescent="0.25">
      <c r="A66" s="20" t="s">
        <v>647</v>
      </c>
      <c r="B66" s="15">
        <v>45715</v>
      </c>
      <c r="C66" s="26">
        <v>1</v>
      </c>
      <c r="D66" s="55" t="str">
        <f>VLOOKUP(Main_Presentation[[#This Row],[LC Number]],Main_Issuance[],3,0)</f>
        <v>Hassan Taleb</v>
      </c>
      <c r="E66" s="16" t="s">
        <v>856</v>
      </c>
      <c r="F66" s="16" t="str">
        <f>VLOOKUP(Main_Presentation[[#This Row],[LC Number]],Main_Issuance[],5,0)</f>
        <v>Alinma</v>
      </c>
      <c r="G66" s="16" t="str">
        <f>VLOOKUP(Main_Presentation[[#This Row],[LC Number]],Main_Issuance[],6,0)</f>
        <v>KSP</v>
      </c>
      <c r="H66" s="16" t="str">
        <f>VLOOKUP(Main_Presentation[[#This Row],[LC Number]],Main_Issuance[],17,0)</f>
        <v>Credit</v>
      </c>
      <c r="I66" s="16" t="str">
        <f>VLOOKUP(Main_Presentation[[#This Row],[LC Number]],Main_Issuance[],7,0)</f>
        <v>Jamil Ali Nasser Al-Zadjali Factory For Industry</v>
      </c>
      <c r="J66" s="16" t="str">
        <f>VLOOKUP(Main_Presentation[[#This Row],[LC Number]],Main_Issuance[],8,0)</f>
        <v>FIRST FIX</v>
      </c>
      <c r="K66" s="16" t="str">
        <f>VLOOKUP(Main_Presentation[[#This Row],[LC Number]],Main_Issuance[],9,0)</f>
        <v>KSP</v>
      </c>
      <c r="L66" s="16">
        <f>VLOOKUP(Main_Presentation[[#This Row],[LC Number]],Main_Issuance[],10,0)</f>
        <v>1020055</v>
      </c>
      <c r="M66" s="16" t="str">
        <f>VLOOKUP(Main_Presentation[[#This Row],[LC Number]],Main_Issuance[],11,0)</f>
        <v>SAR</v>
      </c>
      <c r="N66" s="86">
        <f>VLOOKUP(Main_Presentation[[#This Row],[LC Number]],Main_Issuance[],12,0)</f>
        <v>400000</v>
      </c>
      <c r="O66" s="16" t="s">
        <v>20</v>
      </c>
      <c r="P66" s="16" t="s">
        <v>857</v>
      </c>
      <c r="Q66" s="131">
        <v>150000</v>
      </c>
      <c r="R66" s="18">
        <v>1</v>
      </c>
      <c r="S66" s="18">
        <f>Main_Presentation[[#This Row],[Invoice Amt (FCY)]]*Main_Presentation[[#This Row],[Rate]]</f>
        <v>150000</v>
      </c>
      <c r="T66" s="15">
        <v>45789</v>
      </c>
      <c r="U66" s="26" t="str">
        <f>VLOOKUP(Main_Presentation[[#This Row],[LC Number]],Main_Issuance[],18,0)</f>
        <v>90 Days from Invoice Date</v>
      </c>
      <c r="V66" s="21" t="s">
        <v>22</v>
      </c>
      <c r="W66" s="22" t="s">
        <v>857</v>
      </c>
      <c r="X66" s="16"/>
      <c r="Y66" s="234" t="str">
        <f>TRIM(LEFT(Main_Presentation[[#This Row],[Payment Terms]],3))</f>
        <v>90</v>
      </c>
      <c r="Z66" s="16"/>
      <c r="AA66" s="316" cm="1">
        <f t="array" ref="AA66">Settlement(Main_Presentation[[#This Row],[Bank]],Main_Presentation[[#This Row],[ Invoice Amt (SAR)]],Main_Presentation[[#This Row],[Date Recd]],Main_Presentation[[#This Row],[Due Date]],Main_Presentation[[#This Row],[Days]])</f>
        <v>1437.5</v>
      </c>
      <c r="AB66" s="16"/>
    </row>
    <row r="67" spans="1:28" ht="15.75" hidden="1" x14ac:dyDescent="0.25">
      <c r="A67" s="20" t="s">
        <v>767</v>
      </c>
      <c r="B67" s="15">
        <v>45776</v>
      </c>
      <c r="C67" s="26">
        <v>1</v>
      </c>
      <c r="D67" s="55" t="str">
        <f>VLOOKUP(Main_Presentation[[#This Row],[LC Number]],Main_Issuance[],3,0)</f>
        <v>Rabih Makhoul</v>
      </c>
      <c r="E67" s="16" t="s">
        <v>856</v>
      </c>
      <c r="F67" s="16" t="str">
        <f>VLOOKUP(Main_Presentation[[#This Row],[LC Number]],Main_Issuance[],5,0)</f>
        <v>Alinma</v>
      </c>
      <c r="G67" s="16" t="str">
        <f>VLOOKUP(Main_Presentation[[#This Row],[LC Number]],Main_Issuance[],6,0)</f>
        <v>KSP</v>
      </c>
      <c r="H67" s="16" t="str">
        <f>VLOOKUP(Main_Presentation[[#This Row],[LC Number]],Main_Issuance[],17,0)</f>
        <v>Credit</v>
      </c>
      <c r="I67" s="16" t="str">
        <f>VLOOKUP(Main_Presentation[[#This Row],[LC Number]],Main_Issuance[],7,0)</f>
        <v>AL MAYMANAH FOR CONTRACTING CO.LTD.</v>
      </c>
      <c r="J67" s="16" t="str">
        <f>VLOOKUP(Main_Presentation[[#This Row],[LC Number]],Main_Issuance[],8,0)</f>
        <v>FIRST FIX</v>
      </c>
      <c r="K67" s="16" t="str">
        <f>VLOOKUP(Main_Presentation[[#This Row],[LC Number]],Main_Issuance[],9,0)</f>
        <v>JCD SPMI</v>
      </c>
      <c r="L67" s="16">
        <f>VLOOKUP(Main_Presentation[[#This Row],[LC Number]],Main_Issuance[],10,0)</f>
        <v>1020100</v>
      </c>
      <c r="M67" s="16" t="str">
        <f>VLOOKUP(Main_Presentation[[#This Row],[LC Number]],Main_Issuance[],11,0)</f>
        <v>SAR</v>
      </c>
      <c r="N67" s="86">
        <f>VLOOKUP(Main_Presentation[[#This Row],[LC Number]],Main_Issuance[],12,0)</f>
        <v>500000</v>
      </c>
      <c r="O67" s="16" t="s">
        <v>20</v>
      </c>
      <c r="P67" s="16" t="s">
        <v>857</v>
      </c>
      <c r="Q67" s="18">
        <v>500000</v>
      </c>
      <c r="R67" s="18">
        <v>1</v>
      </c>
      <c r="S67" s="38">
        <f>Main_Presentation[[#This Row],[Invoice Amt (FCY)]]*Main_Presentation[[#This Row],[Rate]]</f>
        <v>500000</v>
      </c>
      <c r="T67" s="15">
        <v>45860</v>
      </c>
      <c r="U67" s="26" t="str">
        <f>VLOOKUP(Main_Presentation[[#This Row],[LC Number]],Main_Issuance[],18,0)</f>
        <v>90 Days from Invoice Date</v>
      </c>
      <c r="V67" s="143" t="s">
        <v>304</v>
      </c>
      <c r="W67" s="132" t="s">
        <v>378</v>
      </c>
      <c r="X67" s="16"/>
      <c r="Y67" s="234" t="str">
        <f>TRIM(LEFT(Main_Presentation[[#This Row],[Payment Terms]],3))</f>
        <v>90</v>
      </c>
      <c r="Z67" s="16"/>
      <c r="AA67" s="316" cm="1">
        <f t="array" ref="AA67">Settlement(Main_Presentation[[#This Row],[Bank]],Main_Presentation[[#This Row],[ Invoice Amt (SAR)]],Main_Presentation[[#This Row],[Date Recd]],Main_Presentation[[#This Row],[Due Date]],Main_Presentation[[#This Row],[Days]])</f>
        <v>1437.5</v>
      </c>
      <c r="AB67" s="16"/>
    </row>
    <row r="68" spans="1:28" ht="15.75" hidden="1" x14ac:dyDescent="0.25">
      <c r="A68" s="20" t="s">
        <v>765</v>
      </c>
      <c r="B68" s="15">
        <v>45774</v>
      </c>
      <c r="C68" s="26">
        <v>1</v>
      </c>
      <c r="D68" s="55" t="str">
        <f>VLOOKUP(Main_Presentation[[#This Row],[LC Number]],Main_Issuance[],3,0)</f>
        <v>Rabih Makhoul</v>
      </c>
      <c r="E68" s="16" t="s">
        <v>856</v>
      </c>
      <c r="F68" s="16" t="str">
        <f>VLOOKUP(Main_Presentation[[#This Row],[LC Number]],Main_Issuance[],5,0)</f>
        <v>Alinma</v>
      </c>
      <c r="G68" s="16" t="str">
        <f>VLOOKUP(Main_Presentation[[#This Row],[LC Number]],Main_Issuance[],6,0)</f>
        <v>KSP</v>
      </c>
      <c r="H68" s="16" t="str">
        <f>VLOOKUP(Main_Presentation[[#This Row],[LC Number]],Main_Issuance[],17,0)</f>
        <v>Credit</v>
      </c>
      <c r="I68" s="16" t="str">
        <f>VLOOKUP(Main_Presentation[[#This Row],[LC Number]],Main_Issuance[],7,0)</f>
        <v>SAFID CO.LTD.</v>
      </c>
      <c r="J68" s="16" t="str">
        <f>VLOOKUP(Main_Presentation[[#This Row],[LC Number]],Main_Issuance[],8,0)</f>
        <v>FIRST FIX</v>
      </c>
      <c r="K68" s="16" t="str">
        <f>VLOOKUP(Main_Presentation[[#This Row],[LC Number]],Main_Issuance[],9,0)</f>
        <v>JCD SPMI</v>
      </c>
      <c r="L68" s="16">
        <f>VLOOKUP(Main_Presentation[[#This Row],[LC Number]],Main_Issuance[],10,0)</f>
        <v>1020100</v>
      </c>
      <c r="M68" s="16" t="str">
        <f>VLOOKUP(Main_Presentation[[#This Row],[LC Number]],Main_Issuance[],11,0)</f>
        <v>SAR</v>
      </c>
      <c r="N68" s="86">
        <f>VLOOKUP(Main_Presentation[[#This Row],[LC Number]],Main_Issuance[],12,0)</f>
        <v>500000</v>
      </c>
      <c r="O68" s="16" t="s">
        <v>20</v>
      </c>
      <c r="P68" s="16" t="s">
        <v>857</v>
      </c>
      <c r="Q68" s="18">
        <v>500000</v>
      </c>
      <c r="R68" s="18">
        <v>1</v>
      </c>
      <c r="S68" s="38">
        <f>Main_Presentation[[#This Row],[Invoice Amt (FCY)]]*Main_Presentation[[#This Row],[Rate]]</f>
        <v>500000</v>
      </c>
      <c r="T68" s="15">
        <v>45859</v>
      </c>
      <c r="U68" s="26" t="str">
        <f>VLOOKUP(Main_Presentation[[#This Row],[LC Number]],Main_Issuance[],18,0)</f>
        <v>90 Days from Invoice Date</v>
      </c>
      <c r="V68" s="143" t="s">
        <v>304</v>
      </c>
      <c r="W68" s="132" t="s">
        <v>378</v>
      </c>
      <c r="X68" s="16"/>
      <c r="Y68" s="234" t="str">
        <f>TRIM(LEFT(Main_Presentation[[#This Row],[Payment Terms]],3))</f>
        <v>90</v>
      </c>
      <c r="Z68" s="16"/>
      <c r="AA68" s="316" cm="1">
        <f t="array" ref="AA68">Settlement(Main_Presentation[[#This Row],[Bank]],Main_Presentation[[#This Row],[ Invoice Amt (SAR)]],Main_Presentation[[#This Row],[Date Recd]],Main_Presentation[[#This Row],[Due Date]],Main_Presentation[[#This Row],[Days]])</f>
        <v>1437.5</v>
      </c>
      <c r="AB68" s="16"/>
    </row>
    <row r="69" spans="1:28" ht="15.75" hidden="1" x14ac:dyDescent="0.25">
      <c r="A69" s="129" t="s">
        <v>755</v>
      </c>
      <c r="B69" s="137">
        <v>45777</v>
      </c>
      <c r="C69" s="138">
        <v>1</v>
      </c>
      <c r="D69" s="139" t="str">
        <f>VLOOKUP(Main_Presentation[[#This Row],[LC Number]],Main_Issuance[],3,0)</f>
        <v>Rabih Makhoul</v>
      </c>
      <c r="E69" s="140" t="s">
        <v>858</v>
      </c>
      <c r="F69" s="140" t="str">
        <f>VLOOKUP(Main_Presentation[[#This Row],[LC Number]],Main_Issuance[],5,0)</f>
        <v>Alinma</v>
      </c>
      <c r="G69" s="140" t="str">
        <f>VLOOKUP(Main_Presentation[[#This Row],[LC Number]],Main_Issuance[],6,0)</f>
        <v>KSP</v>
      </c>
      <c r="H69" s="140" t="str">
        <f>VLOOKUP(Main_Presentation[[#This Row],[LC Number]],Main_Issuance[],17,0)</f>
        <v>Credit</v>
      </c>
      <c r="I69" s="140" t="str">
        <f>VLOOKUP(Main_Presentation[[#This Row],[LC Number]],Main_Issuance[],7,0)</f>
        <v>NIZA ABD ALGHANY KABLI FOR GENERAL CONTRACTING</v>
      </c>
      <c r="J69" s="140" t="str">
        <f>VLOOKUP(Main_Presentation[[#This Row],[LC Number]],Main_Issuance[],8,0)</f>
        <v>FIRST FIX</v>
      </c>
      <c r="K69" s="140" t="str">
        <f>VLOOKUP(Main_Presentation[[#This Row],[LC Number]],Main_Issuance[],9,0)</f>
        <v>JCD SPMI</v>
      </c>
      <c r="L69" s="140">
        <f>VLOOKUP(Main_Presentation[[#This Row],[LC Number]],Main_Issuance[],10,0)</f>
        <v>1020100</v>
      </c>
      <c r="M69" s="140" t="str">
        <f>VLOOKUP(Main_Presentation[[#This Row],[LC Number]],Main_Issuance[],11,0)</f>
        <v>SAR</v>
      </c>
      <c r="N69" s="141">
        <f>VLOOKUP(Main_Presentation[[#This Row],[LC Number]],Main_Issuance[],12,0)</f>
        <v>500000</v>
      </c>
      <c r="O69" s="140" t="s">
        <v>20</v>
      </c>
      <c r="P69" s="140" t="s">
        <v>857</v>
      </c>
      <c r="Q69" s="131">
        <v>500000</v>
      </c>
      <c r="R69" s="131">
        <v>1</v>
      </c>
      <c r="S69" s="142">
        <f>Main_Presentation[[#This Row],[Invoice Amt (FCY)]]*Main_Presentation[[#This Row],[Rate]]</f>
        <v>500000</v>
      </c>
      <c r="T69" s="15">
        <v>45860</v>
      </c>
      <c r="U69" s="138" t="str">
        <f>VLOOKUP(Main_Presentation[[#This Row],[LC Number]],Main_Issuance[],18,0)</f>
        <v>90 Days from Invoice Date</v>
      </c>
      <c r="V69" s="143" t="s">
        <v>304</v>
      </c>
      <c r="W69" s="144" t="s">
        <v>378</v>
      </c>
      <c r="X69" s="16"/>
      <c r="Y69" s="400" t="str">
        <f>TRIM(LEFT(Main_Presentation[[#This Row],[Payment Terms]],3))</f>
        <v>90</v>
      </c>
      <c r="Z69" s="140"/>
      <c r="AA69" s="316" cm="1">
        <f t="array" ref="AA69">Settlement(Main_Presentation[[#This Row],[Bank]],Main_Presentation[[#This Row],[ Invoice Amt (SAR)]],Main_Presentation[[#This Row],[Date Recd]],Main_Presentation[[#This Row],[Due Date]],Main_Presentation[[#This Row],[Days]])</f>
        <v>1437.5</v>
      </c>
      <c r="AB69" s="140"/>
    </row>
    <row r="70" spans="1:28" ht="15.75" hidden="1" x14ac:dyDescent="0.25">
      <c r="A70" s="129" t="s">
        <v>753</v>
      </c>
      <c r="B70" s="15">
        <v>45784</v>
      </c>
      <c r="C70" s="26">
        <v>1</v>
      </c>
      <c r="D70" s="55" t="str">
        <f>VLOOKUP(Main_Presentation[[#This Row],[LC Number]],Main_Issuance[],3,0)</f>
        <v>Rabih Makhoul</v>
      </c>
      <c r="E70" s="16" t="s">
        <v>858</v>
      </c>
      <c r="F70" s="16" t="str">
        <f>VLOOKUP(Main_Presentation[[#This Row],[LC Number]],Main_Issuance[],5,0)</f>
        <v>Alinma</v>
      </c>
      <c r="G70" s="16" t="str">
        <f>VLOOKUP(Main_Presentation[[#This Row],[LC Number]],Main_Issuance[],6,0)</f>
        <v>KSP</v>
      </c>
      <c r="H70" s="16" t="str">
        <f>VLOOKUP(Main_Presentation[[#This Row],[LC Number]],Main_Issuance[],17,0)</f>
        <v>Credit</v>
      </c>
      <c r="I70" s="16" t="str">
        <f>VLOOKUP(Main_Presentation[[#This Row],[LC Number]],Main_Issuance[],7,0)</f>
        <v>EQTISAD - ELMAMLAKAH FOR CONSTRUCTION LTD.</v>
      </c>
      <c r="J70" s="16" t="str">
        <f>VLOOKUP(Main_Presentation[[#This Row],[LC Number]],Main_Issuance[],8,0)</f>
        <v>FIRST FIX</v>
      </c>
      <c r="K70" s="16" t="str">
        <f>VLOOKUP(Main_Presentation[[#This Row],[LC Number]],Main_Issuance[],9,0)</f>
        <v>JCD SPMI</v>
      </c>
      <c r="L70" s="16">
        <f>VLOOKUP(Main_Presentation[[#This Row],[LC Number]],Main_Issuance[],10,0)</f>
        <v>1020100</v>
      </c>
      <c r="M70" s="16" t="str">
        <f>VLOOKUP(Main_Presentation[[#This Row],[LC Number]],Main_Issuance[],11,0)</f>
        <v>SAR</v>
      </c>
      <c r="N70" s="86">
        <f>VLOOKUP(Main_Presentation[[#This Row],[LC Number]],Main_Issuance[],12,0)</f>
        <v>500000</v>
      </c>
      <c r="O70" s="140" t="s">
        <v>20</v>
      </c>
      <c r="P70" s="16" t="s">
        <v>857</v>
      </c>
      <c r="Q70" s="131">
        <v>500000</v>
      </c>
      <c r="R70" s="18">
        <v>1</v>
      </c>
      <c r="S70" s="131">
        <f>Main_Presentation[[#This Row],[Invoice Amt (FCY)]]*Main_Presentation[[#This Row],[Rate]]</f>
        <v>500000</v>
      </c>
      <c r="T70" s="15">
        <v>45860</v>
      </c>
      <c r="U70" s="26" t="str">
        <f>VLOOKUP(Main_Presentation[[#This Row],[LC Number]],Main_Issuance[],18,0)</f>
        <v>90 Days from Invoice Date</v>
      </c>
      <c r="V70" s="143" t="s">
        <v>304</v>
      </c>
      <c r="W70" s="22" t="s">
        <v>378</v>
      </c>
      <c r="X70" s="16"/>
      <c r="Y70" s="234" t="str">
        <f>TRIM(LEFT(Main_Presentation[[#This Row],[Payment Terms]],3))</f>
        <v>90</v>
      </c>
      <c r="Z70" s="16"/>
      <c r="AA70" s="316" cm="1">
        <f t="array" ref="AA70">Settlement(Main_Presentation[[#This Row],[Bank]],Main_Presentation[[#This Row],[ Invoice Amt (SAR)]],Main_Presentation[[#This Row],[Date Recd]],Main_Presentation[[#This Row],[Due Date]],Main_Presentation[[#This Row],[Days]])</f>
        <v>1437.5</v>
      </c>
      <c r="AB70" s="16"/>
    </row>
    <row r="71" spans="1:28" ht="15.75" hidden="1" x14ac:dyDescent="0.25">
      <c r="A71" s="129" t="s">
        <v>762</v>
      </c>
      <c r="B71" s="15">
        <v>45789</v>
      </c>
      <c r="C71" s="26">
        <v>1</v>
      </c>
      <c r="D71" s="55" t="str">
        <f>VLOOKUP(Main_Presentation[[#This Row],[LC Number]],Main_Issuance[],3,0)</f>
        <v>Rabih Makhoul</v>
      </c>
      <c r="E71" s="16" t="s">
        <v>858</v>
      </c>
      <c r="F71" s="16" t="str">
        <f>VLOOKUP(Main_Presentation[[#This Row],[LC Number]],Main_Issuance[],5,0)</f>
        <v>Alinma</v>
      </c>
      <c r="G71" s="16" t="str">
        <f>VLOOKUP(Main_Presentation[[#This Row],[LC Number]],Main_Issuance[],6,0)</f>
        <v>KSP</v>
      </c>
      <c r="H71" s="16" t="str">
        <f>VLOOKUP(Main_Presentation[[#This Row],[LC Number]],Main_Issuance[],17,0)</f>
        <v>Credit</v>
      </c>
      <c r="I71" s="16" t="str">
        <f>VLOOKUP(Main_Presentation[[#This Row],[LC Number]],Main_Issuance[],7,0)</f>
        <v>IDEAL CALIBER COMPANY.</v>
      </c>
      <c r="J71" s="16" t="str">
        <f>VLOOKUP(Main_Presentation[[#This Row],[LC Number]],Main_Issuance[],8,0)</f>
        <v>FIRST FIX</v>
      </c>
      <c r="K71" s="16" t="str">
        <f>VLOOKUP(Main_Presentation[[#This Row],[LC Number]],Main_Issuance[],9,0)</f>
        <v>JCD SPMI</v>
      </c>
      <c r="L71" s="16">
        <f>VLOOKUP(Main_Presentation[[#This Row],[LC Number]],Main_Issuance[],10,0)</f>
        <v>1020100</v>
      </c>
      <c r="M71" s="16" t="str">
        <f>VLOOKUP(Main_Presentation[[#This Row],[LC Number]],Main_Issuance[],11,0)</f>
        <v>SAR</v>
      </c>
      <c r="N71" s="86">
        <f>VLOOKUP(Main_Presentation[[#This Row],[LC Number]],Main_Issuance[],12,0)</f>
        <v>300000</v>
      </c>
      <c r="O71" s="140" t="s">
        <v>20</v>
      </c>
      <c r="P71" s="16" t="s">
        <v>857</v>
      </c>
      <c r="Q71" s="131">
        <v>300000</v>
      </c>
      <c r="R71" s="18">
        <v>1</v>
      </c>
      <c r="S71" s="131">
        <f>Main_Presentation[[#This Row],[Invoice Amt (FCY)]]*Main_Presentation[[#This Row],[Rate]]</f>
        <v>300000</v>
      </c>
      <c r="T71" s="15">
        <v>45860</v>
      </c>
      <c r="U71" s="26" t="str">
        <f>VLOOKUP(Main_Presentation[[#This Row],[LC Number]],Main_Issuance[],18,0)</f>
        <v>90 Days from Invoice Date</v>
      </c>
      <c r="V71" s="143" t="s">
        <v>304</v>
      </c>
      <c r="W71" s="22" t="s">
        <v>378</v>
      </c>
      <c r="X71" s="16"/>
      <c r="Y71" s="234" t="str">
        <f>TRIM(LEFT(Main_Presentation[[#This Row],[Payment Terms]],3))</f>
        <v>90</v>
      </c>
      <c r="Z71" s="16"/>
      <c r="AA71" s="316" cm="1">
        <f t="array" ref="AA71">Settlement(Main_Presentation[[#This Row],[Bank]],Main_Presentation[[#This Row],[ Invoice Amt (SAR)]],Main_Presentation[[#This Row],[Date Recd]],Main_Presentation[[#This Row],[Due Date]],Main_Presentation[[#This Row],[Days]])</f>
        <v>1437.5</v>
      </c>
      <c r="AB71" s="16"/>
    </row>
    <row r="72" spans="1:28" ht="15.75" hidden="1" x14ac:dyDescent="0.25">
      <c r="A72" s="129" t="s">
        <v>763</v>
      </c>
      <c r="B72" s="137">
        <v>45781</v>
      </c>
      <c r="C72" s="138">
        <v>1</v>
      </c>
      <c r="D72" s="139" t="str">
        <f>VLOOKUP(Main_Presentation[[#This Row],[LC Number]],Main_Issuance[],3,0)</f>
        <v>Rabih Makhoul</v>
      </c>
      <c r="E72" s="140" t="s">
        <v>858</v>
      </c>
      <c r="F72" s="140" t="str">
        <f>VLOOKUP(Main_Presentation[[#This Row],[LC Number]],Main_Issuance[],5,0)</f>
        <v>Alinma</v>
      </c>
      <c r="G72" s="140" t="str">
        <f>VLOOKUP(Main_Presentation[[#This Row],[LC Number]],Main_Issuance[],6,0)</f>
        <v>KSP</v>
      </c>
      <c r="H72" s="140" t="str">
        <f>VLOOKUP(Main_Presentation[[#This Row],[LC Number]],Main_Issuance[],17,0)</f>
        <v>Credit</v>
      </c>
      <c r="I72" s="140" t="str">
        <f>VLOOKUP(Main_Presentation[[#This Row],[LC Number]],Main_Issuance[],7,0)</f>
        <v>ALAM ALWEFAQ FOR CONTRACTING CO</v>
      </c>
      <c r="J72" s="140" t="str">
        <f>VLOOKUP(Main_Presentation[[#This Row],[LC Number]],Main_Issuance[],8,0)</f>
        <v>FIRST FIX</v>
      </c>
      <c r="K72" s="140" t="str">
        <f>VLOOKUP(Main_Presentation[[#This Row],[LC Number]],Main_Issuance[],9,0)</f>
        <v>JCD SPMI</v>
      </c>
      <c r="L72" s="140">
        <f>VLOOKUP(Main_Presentation[[#This Row],[LC Number]],Main_Issuance[],10,0)</f>
        <v>1020100</v>
      </c>
      <c r="M72" s="140" t="str">
        <f>VLOOKUP(Main_Presentation[[#This Row],[LC Number]],Main_Issuance[],11,0)</f>
        <v>SAR</v>
      </c>
      <c r="N72" s="141">
        <f>VLOOKUP(Main_Presentation[[#This Row],[LC Number]],Main_Issuance[],12,0)</f>
        <v>500000</v>
      </c>
      <c r="O72" s="140" t="s">
        <v>20</v>
      </c>
      <c r="P72" s="140" t="s">
        <v>857</v>
      </c>
      <c r="Q72" s="131">
        <v>500000</v>
      </c>
      <c r="R72" s="131">
        <v>1</v>
      </c>
      <c r="S72" s="131">
        <f>Main_Presentation[[#This Row],[Invoice Amt (FCY)]]*Main_Presentation[[#This Row],[Rate]]</f>
        <v>500000</v>
      </c>
      <c r="T72" s="15">
        <v>45860</v>
      </c>
      <c r="U72" s="138" t="str">
        <f>VLOOKUP(Main_Presentation[[#This Row],[LC Number]],Main_Issuance[],18,0)</f>
        <v>90 Days from Invoice Date</v>
      </c>
      <c r="V72" s="143" t="s">
        <v>304</v>
      </c>
      <c r="W72" s="145" t="s">
        <v>378</v>
      </c>
      <c r="X72" s="16"/>
      <c r="Y72" s="400" t="str">
        <f>TRIM(LEFT(Main_Presentation[[#This Row],[Payment Terms]],3))</f>
        <v>90</v>
      </c>
      <c r="Z72" s="140"/>
      <c r="AA72" s="316" cm="1">
        <f t="array" ref="AA72">Settlement(Main_Presentation[[#This Row],[Bank]],Main_Presentation[[#This Row],[ Invoice Amt (SAR)]],Main_Presentation[[#This Row],[Date Recd]],Main_Presentation[[#This Row],[Due Date]],Main_Presentation[[#This Row],[Days]])</f>
        <v>1437.5</v>
      </c>
      <c r="AB72" s="140"/>
    </row>
    <row r="73" spans="1:28" ht="15.75" hidden="1" x14ac:dyDescent="0.25">
      <c r="A73" s="14" t="s">
        <v>489</v>
      </c>
      <c r="B73" s="15">
        <v>45645</v>
      </c>
      <c r="C73" s="26">
        <v>1</v>
      </c>
      <c r="D73" s="55" t="str">
        <f>VLOOKUP(Main_Presentation[[#This Row],[LC Number]],Main_Issuance[],3,0)</f>
        <v>Rabih Makhoul</v>
      </c>
      <c r="E73" s="16" t="s">
        <v>858</v>
      </c>
      <c r="F73" s="17" t="str">
        <f>VLOOKUP(Main_Presentation[[#This Row],[LC Number]],Main_Issuance[],5,0)</f>
        <v>Alinma</v>
      </c>
      <c r="G73" s="17" t="str">
        <f>VLOOKUP(Main_Presentation[[#This Row],[LC Number]],Main_Issuance[],6,0)</f>
        <v>KSP</v>
      </c>
      <c r="H73" s="17" t="str">
        <f>VLOOKUP(Main_Presentation[[#This Row],[LC Number]],Main_Issuance[],17,0)</f>
        <v>Credit</v>
      </c>
      <c r="I73" s="17" t="str">
        <f>VLOOKUP(Main_Presentation[[#This Row],[LC Number]],Main_Issuance[],7,0)</f>
        <v>Al-Dawliyah Al-Ariqah For Contract And Development Company</v>
      </c>
      <c r="J73" s="17" t="str">
        <f>VLOOKUP(Main_Presentation[[#This Row],[LC Number]],Main_Issuance[],8,0)</f>
        <v>MBL</v>
      </c>
      <c r="K73" s="17" t="str">
        <f>VLOOKUP(Main_Presentation[[#This Row],[LC Number]],Main_Issuance[],9,0)</f>
        <v>KAP</v>
      </c>
      <c r="L73" s="17">
        <f>VLOOKUP(Main_Presentation[[#This Row],[LC Number]],Main_Issuance[],10,0)</f>
        <v>1020060</v>
      </c>
      <c r="M73" s="17" t="str">
        <f>VLOOKUP(Main_Presentation[[#This Row],[LC Number]],Main_Issuance[],11,0)</f>
        <v>SAR</v>
      </c>
      <c r="N73" s="84">
        <f>VLOOKUP(Main_Presentation[[#This Row],[LC Number]],Main_Issuance[],12,0)</f>
        <v>1167116.6000000001</v>
      </c>
      <c r="O73" s="16" t="s">
        <v>20</v>
      </c>
      <c r="P73" s="16" t="s">
        <v>857</v>
      </c>
      <c r="Q73" s="131">
        <v>858548.04</v>
      </c>
      <c r="R73" s="18">
        <v>1</v>
      </c>
      <c r="S73" s="18">
        <f>Main_Presentation[[#This Row],[Invoice Amt (FCY)]]*Main_Presentation[[#This Row],[Rate]]</f>
        <v>858548.04</v>
      </c>
      <c r="T73" s="15">
        <v>45672</v>
      </c>
      <c r="U73" s="26" t="str">
        <f>VLOOKUP(Main_Presentation[[#This Row],[LC Number]],Main_Issuance[],18,0)</f>
        <v>45 Days from Invoice Date</v>
      </c>
      <c r="V73" s="19" t="s">
        <v>22</v>
      </c>
      <c r="W73" s="22" t="s">
        <v>378</v>
      </c>
      <c r="X73" s="16"/>
      <c r="Y73" s="234" t="str">
        <f>TRIM(LEFT(Main_Presentation[[#This Row],[Payment Terms]],3))</f>
        <v>45</v>
      </c>
      <c r="Z73" s="16"/>
      <c r="AA73" s="316" cm="1">
        <f t="array" ref="AA73">Settlement(Main_Presentation[[#This Row],[Bank]],Main_Presentation[[#This Row],[ Invoice Amt (SAR)]],Main_Presentation[[#This Row],[Date Recd]],Main_Presentation[[#This Row],[Due Date]],Main_Presentation[[#This Row],[Days]])</f>
        <v>1437.5</v>
      </c>
      <c r="AB73" s="16"/>
    </row>
    <row r="74" spans="1:28" ht="15.75" hidden="1" x14ac:dyDescent="0.25">
      <c r="A74" s="20" t="s">
        <v>500</v>
      </c>
      <c r="B74" s="15">
        <v>45678</v>
      </c>
      <c r="C74" s="26">
        <v>1</v>
      </c>
      <c r="D74" s="55" t="str">
        <f>VLOOKUP(Main_Presentation[[#This Row],[LC Number]],Main_Issuance[],3,0)</f>
        <v>Rabih Makhoul</v>
      </c>
      <c r="E74" s="16" t="s">
        <v>856</v>
      </c>
      <c r="F74" s="17" t="str">
        <f>VLOOKUP(Main_Presentation[[#This Row],[LC Number]],Main_Issuance[],5,0)</f>
        <v>Alinma</v>
      </c>
      <c r="G74" s="17" t="str">
        <f>VLOOKUP(Main_Presentation[[#This Row],[LC Number]],Main_Issuance[],6,0)</f>
        <v>KSP</v>
      </c>
      <c r="H74" s="17" t="str">
        <f>VLOOKUP(Main_Presentation[[#This Row],[LC Number]],Main_Issuance[],17,0)</f>
        <v>Credit</v>
      </c>
      <c r="I74" s="17" t="str">
        <f>VLOOKUP(Main_Presentation[[#This Row],[LC Number]],Main_Issuance[],7,0)</f>
        <v>Al-Fanar Company</v>
      </c>
      <c r="J74" s="17" t="str">
        <f>VLOOKUP(Main_Presentation[[#This Row],[LC Number]],Main_Issuance[],8,0)</f>
        <v>MBL</v>
      </c>
      <c r="K74" s="17" t="str">
        <f>VLOOKUP(Main_Presentation[[#This Row],[LC Number]],Main_Issuance[],9,0)</f>
        <v>KAP</v>
      </c>
      <c r="L74" s="17">
        <f>VLOOKUP(Main_Presentation[[#This Row],[LC Number]],Main_Issuance[],10,0)</f>
        <v>1020060</v>
      </c>
      <c r="M74" s="17" t="str">
        <f>VLOOKUP(Main_Presentation[[#This Row],[LC Number]],Main_Issuance[],11,0)</f>
        <v>SAR</v>
      </c>
      <c r="N74" s="84">
        <f>VLOOKUP(Main_Presentation[[#This Row],[LC Number]],Main_Issuance[],12,0)</f>
        <v>514797.5</v>
      </c>
      <c r="O74" s="16" t="s">
        <v>20</v>
      </c>
      <c r="P74" s="16" t="s">
        <v>857</v>
      </c>
      <c r="Q74" s="131">
        <v>514797.5</v>
      </c>
      <c r="R74" s="18">
        <v>1</v>
      </c>
      <c r="S74" s="18">
        <f>Main_Presentation[[#This Row],[Invoice Amt (FCY)]]*Main_Presentation[[#This Row],[Rate]]</f>
        <v>514797.5</v>
      </c>
      <c r="T74" s="15">
        <v>45687</v>
      </c>
      <c r="U74" s="26" t="str">
        <f>VLOOKUP(Main_Presentation[[#This Row],[LC Number]],Main_Issuance[],18,0)</f>
        <v>45 Days from Invoice Date</v>
      </c>
      <c r="V74" s="21" t="s">
        <v>22</v>
      </c>
      <c r="W74" s="22" t="s">
        <v>857</v>
      </c>
      <c r="X74" s="16"/>
      <c r="Y74" s="234" t="str">
        <f>TRIM(LEFT(Main_Presentation[[#This Row],[Payment Terms]],3))</f>
        <v>45</v>
      </c>
      <c r="Z74" s="16"/>
      <c r="AA74" s="316" cm="1">
        <f t="array" ref="AA74">Settlement(Main_Presentation[[#This Row],[Bank]],Main_Presentation[[#This Row],[ Invoice Amt (SAR)]],Main_Presentation[[#This Row],[Date Recd]],Main_Presentation[[#This Row],[Due Date]],Main_Presentation[[#This Row],[Days]])</f>
        <v>1437.5</v>
      </c>
      <c r="AB74" s="16"/>
    </row>
    <row r="75" spans="1:28" ht="15.75" hidden="1" x14ac:dyDescent="0.25">
      <c r="A75" s="20" t="s">
        <v>488</v>
      </c>
      <c r="B75" s="15">
        <v>45680</v>
      </c>
      <c r="C75" s="26">
        <v>1</v>
      </c>
      <c r="D75" s="55" t="str">
        <f>VLOOKUP(Main_Presentation[[#This Row],[LC Number]],Main_Issuance[],3,0)</f>
        <v>Rabih Makhoul</v>
      </c>
      <c r="E75" s="16" t="s">
        <v>856</v>
      </c>
      <c r="F75" s="17" t="str">
        <f>VLOOKUP(Main_Presentation[[#This Row],[LC Number]],Main_Issuance[],5,0)</f>
        <v>Alinma</v>
      </c>
      <c r="G75" s="17" t="str">
        <f>VLOOKUP(Main_Presentation[[#This Row],[LC Number]],Main_Issuance[],6,0)</f>
        <v>KSP</v>
      </c>
      <c r="H75" s="17" t="str">
        <f>VLOOKUP(Main_Presentation[[#This Row],[LC Number]],Main_Issuance[],17,0)</f>
        <v>Credit</v>
      </c>
      <c r="I75" s="17" t="str">
        <f>VLOOKUP(Main_Presentation[[#This Row],[LC Number]],Main_Issuance[],7,0)</f>
        <v>Bahra Advanced Cable Manufacture Co.Ltd</v>
      </c>
      <c r="J75" s="17" t="str">
        <f>VLOOKUP(Main_Presentation[[#This Row],[LC Number]],Main_Issuance[],8,0)</f>
        <v>MBL</v>
      </c>
      <c r="K75" s="17" t="str">
        <f>VLOOKUP(Main_Presentation[[#This Row],[LC Number]],Main_Issuance[],9,0)</f>
        <v>KAP</v>
      </c>
      <c r="L75" s="17">
        <f>VLOOKUP(Main_Presentation[[#This Row],[LC Number]],Main_Issuance[],10,0)</f>
        <v>1020060</v>
      </c>
      <c r="M75" s="17" t="str">
        <f>VLOOKUP(Main_Presentation[[#This Row],[LC Number]],Main_Issuance[],11,0)</f>
        <v>SAR</v>
      </c>
      <c r="N75" s="86">
        <f>VLOOKUP(Main_Presentation[[#This Row],[LC Number]],Main_Issuance[],12,0)</f>
        <v>3259208.68</v>
      </c>
      <c r="O75" s="16" t="s">
        <v>20</v>
      </c>
      <c r="P75" s="16" t="s">
        <v>857</v>
      </c>
      <c r="Q75" s="131">
        <v>2506565.4</v>
      </c>
      <c r="R75" s="18">
        <v>1</v>
      </c>
      <c r="S75" s="18">
        <f>Main_Presentation[[#This Row],[Invoice Amt (FCY)]]*Main_Presentation[[#This Row],[Rate]]</f>
        <v>2506565.4</v>
      </c>
      <c r="T75" s="15">
        <v>45708</v>
      </c>
      <c r="U75" s="26" t="str">
        <f>VLOOKUP(Main_Presentation[[#This Row],[LC Number]],Main_Issuance[],18,0)</f>
        <v>45 Days from Invoice Date</v>
      </c>
      <c r="V75" s="21" t="s">
        <v>90</v>
      </c>
      <c r="W75" s="22" t="s">
        <v>378</v>
      </c>
      <c r="X75" s="16"/>
      <c r="Y75" s="234" t="str">
        <f>TRIM(LEFT(Main_Presentation[[#This Row],[Payment Terms]],3))</f>
        <v>45</v>
      </c>
      <c r="Z75" s="16"/>
      <c r="AA75" s="316" cm="1">
        <f t="array" ref="AA75">Settlement(Main_Presentation[[#This Row],[Bank]],Main_Presentation[[#This Row],[ Invoice Amt (SAR)]],Main_Presentation[[#This Row],[Date Recd]],Main_Presentation[[#This Row],[Due Date]],Main_Presentation[[#This Row],[Days]])</f>
        <v>1437.5</v>
      </c>
      <c r="AB75" s="16"/>
    </row>
    <row r="76" spans="1:28" ht="15.75" hidden="1" x14ac:dyDescent="0.25">
      <c r="A76" s="20" t="s">
        <v>485</v>
      </c>
      <c r="B76" s="15">
        <v>45686</v>
      </c>
      <c r="C76" s="26" t="s">
        <v>1299</v>
      </c>
      <c r="D76" s="55" t="str">
        <f>VLOOKUP(Main_Presentation[[#This Row],[LC Number]],Main_Issuance[],3,0)</f>
        <v>Rabih Makhoul</v>
      </c>
      <c r="E76" s="16" t="s">
        <v>856</v>
      </c>
      <c r="F76" s="17" t="str">
        <f>VLOOKUP(Main_Presentation[[#This Row],[LC Number]],Main_Issuance[],5,0)</f>
        <v>Alinma</v>
      </c>
      <c r="G76" s="17" t="str">
        <f>VLOOKUP(Main_Presentation[[#This Row],[LC Number]],Main_Issuance[],6,0)</f>
        <v>KSP</v>
      </c>
      <c r="H76" s="17" t="str">
        <f>VLOOKUP(Main_Presentation[[#This Row],[LC Number]],Main_Issuance[],17,0)</f>
        <v>Credit</v>
      </c>
      <c r="I76" s="17" t="str">
        <f>VLOOKUP(Main_Presentation[[#This Row],[LC Number]],Main_Issuance[],7,0)</f>
        <v>Hesham Elswedy Trading Company Ltd</v>
      </c>
      <c r="J76" s="17" t="str">
        <f>VLOOKUP(Main_Presentation[[#This Row],[LC Number]],Main_Issuance[],8,0)</f>
        <v>MBL</v>
      </c>
      <c r="K76" s="17" t="str">
        <f>VLOOKUP(Main_Presentation[[#This Row],[LC Number]],Main_Issuance[],9,0)</f>
        <v>KAP</v>
      </c>
      <c r="L76" s="17">
        <f>VLOOKUP(Main_Presentation[[#This Row],[LC Number]],Main_Issuance[],10,0)</f>
        <v>1020060</v>
      </c>
      <c r="M76" s="17" t="str">
        <f>VLOOKUP(Main_Presentation[[#This Row],[LC Number]],Main_Issuance[],11,0)</f>
        <v>SAR</v>
      </c>
      <c r="N76" s="86">
        <f>VLOOKUP(Main_Presentation[[#This Row],[LC Number]],Main_Issuance[],12,0)</f>
        <v>2026592</v>
      </c>
      <c r="O76" s="16" t="s">
        <v>20</v>
      </c>
      <c r="P76" s="16" t="s">
        <v>857</v>
      </c>
      <c r="Q76" s="131">
        <f>2026592-(517737.09+800000)</f>
        <v>708854.90999999992</v>
      </c>
      <c r="R76" s="18">
        <v>1</v>
      </c>
      <c r="S76" s="18">
        <f>Main_Presentation[[#This Row],[Invoice Amt (FCY)]]*Main_Presentation[[#This Row],[Rate]]</f>
        <v>708854.90999999992</v>
      </c>
      <c r="T76" s="15">
        <v>45708</v>
      </c>
      <c r="U76" s="26" t="str">
        <f>VLOOKUP(Main_Presentation[[#This Row],[LC Number]],Main_Issuance[],18,0)</f>
        <v>45 Days from Invoice Date</v>
      </c>
      <c r="V76" s="21" t="s">
        <v>304</v>
      </c>
      <c r="W76" s="22" t="s">
        <v>378</v>
      </c>
      <c r="X76" s="16"/>
      <c r="Y76" s="234" t="str">
        <f>TRIM(LEFT(Main_Presentation[[#This Row],[Payment Terms]],3))</f>
        <v>45</v>
      </c>
      <c r="Z76" s="16"/>
      <c r="AA76" s="316" cm="1">
        <f t="array" ref="AA76">Settlement(Main_Presentation[[#This Row],[Bank]],Main_Presentation[[#This Row],[ Invoice Amt (SAR)]],Main_Presentation[[#This Row],[Date Recd]],Main_Presentation[[#This Row],[Due Date]],Main_Presentation[[#This Row],[Days]])</f>
        <v>1437.5</v>
      </c>
      <c r="AB76" s="16"/>
    </row>
    <row r="77" spans="1:28" ht="15.75" hidden="1" x14ac:dyDescent="0.25">
      <c r="A77" s="20" t="s">
        <v>495</v>
      </c>
      <c r="B77" s="15">
        <v>45701</v>
      </c>
      <c r="C77" s="26">
        <v>1</v>
      </c>
      <c r="D77" s="55" t="str">
        <f>VLOOKUP(Main_Presentation[[#This Row],[LC Number]],Main_Issuance[],3,0)</f>
        <v>Rabih Makhoul</v>
      </c>
      <c r="E77" s="16" t="s">
        <v>858</v>
      </c>
      <c r="F77" s="16" t="str">
        <f>VLOOKUP(Main_Presentation[[#This Row],[LC Number]],Main_Issuance[],5,0)</f>
        <v>Alinma</v>
      </c>
      <c r="G77" s="16" t="str">
        <f>VLOOKUP(Main_Presentation[[#This Row],[LC Number]],Main_Issuance[],6,0)</f>
        <v>KSP</v>
      </c>
      <c r="H77" s="16" t="str">
        <f>VLOOKUP(Main_Presentation[[#This Row],[LC Number]],Main_Issuance[],17,0)</f>
        <v>Credit</v>
      </c>
      <c r="I77" s="16" t="str">
        <f>VLOOKUP(Main_Presentation[[#This Row],[LC Number]],Main_Issuance[],7,0)</f>
        <v>Reda Trading Development Company For Machinery And Equipment</v>
      </c>
      <c r="J77" s="16" t="str">
        <f>VLOOKUP(Main_Presentation[[#This Row],[LC Number]],Main_Issuance[],8,0)</f>
        <v>MBL</v>
      </c>
      <c r="K77" s="16" t="str">
        <f>VLOOKUP(Main_Presentation[[#This Row],[LC Number]],Main_Issuance[],9,0)</f>
        <v>KAP</v>
      </c>
      <c r="L77" s="16">
        <f>VLOOKUP(Main_Presentation[[#This Row],[LC Number]],Main_Issuance[],10,0)</f>
        <v>1020060</v>
      </c>
      <c r="M77" s="16" t="str">
        <f>VLOOKUP(Main_Presentation[[#This Row],[LC Number]],Main_Issuance[],11,0)</f>
        <v>SAR</v>
      </c>
      <c r="N77" s="86">
        <f>VLOOKUP(Main_Presentation[[#This Row],[LC Number]],Main_Issuance[],12,0)</f>
        <v>455725.45</v>
      </c>
      <c r="O77" s="16" t="s">
        <v>20</v>
      </c>
      <c r="P77" s="16" t="s">
        <v>857</v>
      </c>
      <c r="Q77" s="131">
        <v>91145.09</v>
      </c>
      <c r="R77" s="18">
        <v>1</v>
      </c>
      <c r="S77" s="18">
        <f>Main_Presentation[[#This Row],[Invoice Amt (FCY)]]*Main_Presentation[[#This Row],[Rate]]</f>
        <v>91145.09</v>
      </c>
      <c r="T77" s="15">
        <v>45706</v>
      </c>
      <c r="U77" s="26" t="str">
        <f>VLOOKUP(Main_Presentation[[#This Row],[LC Number]],Main_Issuance[],18,0)</f>
        <v>45 Days from Invoice Date</v>
      </c>
      <c r="V77" s="21" t="s">
        <v>304</v>
      </c>
      <c r="W77" s="22" t="s">
        <v>378</v>
      </c>
      <c r="X77" s="16" t="s">
        <v>902</v>
      </c>
      <c r="Y77" s="234" t="str">
        <f>TRIM(LEFT(Main_Presentation[[#This Row],[Payment Terms]],3))</f>
        <v>45</v>
      </c>
      <c r="Z77" s="16"/>
      <c r="AA77" s="316" cm="1">
        <f t="array" ref="AA77">Settlement(Main_Presentation[[#This Row],[Bank]],Main_Presentation[[#This Row],[ Invoice Amt (SAR)]],Main_Presentation[[#This Row],[Date Recd]],Main_Presentation[[#This Row],[Due Date]],Main_Presentation[[#This Row],[Days]])</f>
        <v>1437.5</v>
      </c>
      <c r="AB77" s="16"/>
    </row>
    <row r="78" spans="1:28" ht="15.75" hidden="1" x14ac:dyDescent="0.25">
      <c r="A78" s="20" t="s">
        <v>493</v>
      </c>
      <c r="B78" s="15">
        <v>45705</v>
      </c>
      <c r="C78" s="26">
        <v>1</v>
      </c>
      <c r="D78" s="55" t="str">
        <f>VLOOKUP(Main_Presentation[[#This Row],[LC Number]],Main_Issuance[],3,0)</f>
        <v>Rabih Makhoul</v>
      </c>
      <c r="E78" s="16" t="s">
        <v>858</v>
      </c>
      <c r="F78" s="16" t="str">
        <f>VLOOKUP(Main_Presentation[[#This Row],[LC Number]],Main_Issuance[],5,0)</f>
        <v>Alinma</v>
      </c>
      <c r="G78" s="16" t="str">
        <f>VLOOKUP(Main_Presentation[[#This Row],[LC Number]],Main_Issuance[],6,0)</f>
        <v>KSP</v>
      </c>
      <c r="H78" s="16" t="str">
        <f>VLOOKUP(Main_Presentation[[#This Row],[LC Number]],Main_Issuance[],17,0)</f>
        <v>Credit</v>
      </c>
      <c r="I78" s="16" t="str">
        <f>VLOOKUP(Main_Presentation[[#This Row],[LC Number]],Main_Issuance[],7,0)</f>
        <v>MASTTE - Moadon Advance Services Technology Company</v>
      </c>
      <c r="J78" s="16" t="str">
        <f>VLOOKUP(Main_Presentation[[#This Row],[LC Number]],Main_Issuance[],8,0)</f>
        <v>MBL</v>
      </c>
      <c r="K78" s="16" t="str">
        <f>VLOOKUP(Main_Presentation[[#This Row],[LC Number]],Main_Issuance[],9,0)</f>
        <v>KAP</v>
      </c>
      <c r="L78" s="16">
        <f>VLOOKUP(Main_Presentation[[#This Row],[LC Number]],Main_Issuance[],10,0)</f>
        <v>1020060</v>
      </c>
      <c r="M78" s="16" t="str">
        <f>VLOOKUP(Main_Presentation[[#This Row],[LC Number]],Main_Issuance[],11,0)</f>
        <v>SAR</v>
      </c>
      <c r="N78" s="86">
        <f>VLOOKUP(Main_Presentation[[#This Row],[LC Number]],Main_Issuance[],12,0)</f>
        <v>1253500</v>
      </c>
      <c r="O78" s="16" t="s">
        <v>20</v>
      </c>
      <c r="P78" s="16" t="s">
        <v>857</v>
      </c>
      <c r="Q78" s="131">
        <v>363515</v>
      </c>
      <c r="R78" s="18">
        <v>1</v>
      </c>
      <c r="S78" s="18">
        <f>Main_Presentation[[#This Row],[Invoice Amt (FCY)]]*Main_Presentation[[#This Row],[Rate]]</f>
        <v>363515</v>
      </c>
      <c r="T78" s="15">
        <v>45721</v>
      </c>
      <c r="U78" s="26" t="str">
        <f>VLOOKUP(Main_Presentation[[#This Row],[LC Number]],Main_Issuance[],18,0)</f>
        <v>45 Days from Invoice Date</v>
      </c>
      <c r="V78" s="21" t="s">
        <v>885</v>
      </c>
      <c r="W78" s="22" t="s">
        <v>378</v>
      </c>
      <c r="X78" s="16"/>
      <c r="Y78" s="234" t="str">
        <f>TRIM(LEFT(Main_Presentation[[#This Row],[Payment Terms]],3))</f>
        <v>45</v>
      </c>
      <c r="Z78" s="16"/>
      <c r="AA78" s="316" cm="1">
        <f t="array" ref="AA78">Settlement(Main_Presentation[[#This Row],[Bank]],Main_Presentation[[#This Row],[ Invoice Amt (SAR)]],Main_Presentation[[#This Row],[Date Recd]],Main_Presentation[[#This Row],[Due Date]],Main_Presentation[[#This Row],[Days]])</f>
        <v>1437.5</v>
      </c>
      <c r="AB78" s="16"/>
    </row>
    <row r="79" spans="1:28" ht="15.75" hidden="1" x14ac:dyDescent="0.25">
      <c r="A79" s="20" t="s">
        <v>485</v>
      </c>
      <c r="B79" s="15">
        <v>45686</v>
      </c>
      <c r="C79" s="26" t="s">
        <v>1300</v>
      </c>
      <c r="D79" s="55" t="str">
        <f>VLOOKUP(Main_Presentation[[#This Row],[LC Number]],Main_Issuance[],3,0)</f>
        <v>Rabih Makhoul</v>
      </c>
      <c r="E79" s="16" t="s">
        <v>856</v>
      </c>
      <c r="F79" s="17" t="str">
        <f>VLOOKUP(Main_Presentation[[#This Row],[LC Number]],Main_Issuance[],5,0)</f>
        <v>Alinma</v>
      </c>
      <c r="G79" s="17" t="str">
        <f>VLOOKUP(Main_Presentation[[#This Row],[LC Number]],Main_Issuance[],6,0)</f>
        <v>KSP</v>
      </c>
      <c r="H79" s="17" t="str">
        <f>VLOOKUP(Main_Presentation[[#This Row],[LC Number]],Main_Issuance[],17,0)</f>
        <v>Credit</v>
      </c>
      <c r="I79" s="17" t="str">
        <f>VLOOKUP(Main_Presentation[[#This Row],[LC Number]],Main_Issuance[],7,0)</f>
        <v>Hesham Elswedy Trading Company Ltd</v>
      </c>
      <c r="J79" s="17" t="str">
        <f>VLOOKUP(Main_Presentation[[#This Row],[LC Number]],Main_Issuance[],8,0)</f>
        <v>MBL</v>
      </c>
      <c r="K79" s="17" t="str">
        <f>VLOOKUP(Main_Presentation[[#This Row],[LC Number]],Main_Issuance[],9,0)</f>
        <v>KAP</v>
      </c>
      <c r="L79" s="17">
        <f>VLOOKUP(Main_Presentation[[#This Row],[LC Number]],Main_Issuance[],10,0)</f>
        <v>1020060</v>
      </c>
      <c r="M79" s="17" t="str">
        <f>VLOOKUP(Main_Presentation[[#This Row],[LC Number]],Main_Issuance[],11,0)</f>
        <v>SAR</v>
      </c>
      <c r="N79" s="86">
        <f>VLOOKUP(Main_Presentation[[#This Row],[LC Number]],Main_Issuance[],12,0)</f>
        <v>2026592</v>
      </c>
      <c r="O79" s="16" t="s">
        <v>20</v>
      </c>
      <c r="P79" s="16" t="s">
        <v>857</v>
      </c>
      <c r="Q79" s="131">
        <f>2026592-(708854.91+800000)</f>
        <v>517737.08999999985</v>
      </c>
      <c r="R79" s="18">
        <v>1</v>
      </c>
      <c r="S79" s="18">
        <f>Main_Presentation[[#This Row],[Invoice Amt (FCY)]]*Main_Presentation[[#This Row],[Rate]]</f>
        <v>517737.08999999985</v>
      </c>
      <c r="T79" s="15">
        <v>45708</v>
      </c>
      <c r="U79" s="26" t="str">
        <f>VLOOKUP(Main_Presentation[[#This Row],[LC Number]],Main_Issuance[],18,0)</f>
        <v>45 Days from Invoice Date</v>
      </c>
      <c r="V79" s="21" t="s">
        <v>90</v>
      </c>
      <c r="W79" s="22" t="s">
        <v>378</v>
      </c>
      <c r="X79" s="16"/>
      <c r="Y79" s="234" t="str">
        <f>TRIM(LEFT(Main_Presentation[[#This Row],[Payment Terms]],3))</f>
        <v>45</v>
      </c>
      <c r="Z79" s="16"/>
      <c r="AA79" s="316" cm="1">
        <f t="array" ref="AA79">Settlement(Main_Presentation[[#This Row],[Bank]],Main_Presentation[[#This Row],[ Invoice Amt (SAR)]],Main_Presentation[[#This Row],[Date Recd]],Main_Presentation[[#This Row],[Due Date]],Main_Presentation[[#This Row],[Days]])</f>
        <v>1437.5</v>
      </c>
      <c r="AB79" s="16"/>
    </row>
    <row r="80" spans="1:28" ht="15.75" hidden="1" x14ac:dyDescent="0.25">
      <c r="A80" s="20" t="s">
        <v>485</v>
      </c>
      <c r="B80" s="15">
        <v>45686</v>
      </c>
      <c r="C80" s="26" t="s">
        <v>1301</v>
      </c>
      <c r="D80" s="55" t="str">
        <f>VLOOKUP(Main_Presentation[[#This Row],[LC Number]],Main_Issuance[],3,0)</f>
        <v>Rabih Makhoul</v>
      </c>
      <c r="E80" s="16" t="s">
        <v>856</v>
      </c>
      <c r="F80" s="17" t="str">
        <f>VLOOKUP(Main_Presentation[[#This Row],[LC Number]],Main_Issuance[],5,0)</f>
        <v>Alinma</v>
      </c>
      <c r="G80" s="17" t="str">
        <f>VLOOKUP(Main_Presentation[[#This Row],[LC Number]],Main_Issuance[],6,0)</f>
        <v>KSP</v>
      </c>
      <c r="H80" s="17" t="str">
        <f>VLOOKUP(Main_Presentation[[#This Row],[LC Number]],Main_Issuance[],17,0)</f>
        <v>Credit</v>
      </c>
      <c r="I80" s="17" t="str">
        <f>VLOOKUP(Main_Presentation[[#This Row],[LC Number]],Main_Issuance[],7,0)</f>
        <v>Hesham Elswedy Trading Company Ltd</v>
      </c>
      <c r="J80" s="17" t="str">
        <f>VLOOKUP(Main_Presentation[[#This Row],[LC Number]],Main_Issuance[],8,0)</f>
        <v>MBL</v>
      </c>
      <c r="K80" s="17" t="str">
        <f>VLOOKUP(Main_Presentation[[#This Row],[LC Number]],Main_Issuance[],9,0)</f>
        <v>KAP</v>
      </c>
      <c r="L80" s="17">
        <f>VLOOKUP(Main_Presentation[[#This Row],[LC Number]],Main_Issuance[],10,0)</f>
        <v>1020060</v>
      </c>
      <c r="M80" s="17" t="str">
        <f>VLOOKUP(Main_Presentation[[#This Row],[LC Number]],Main_Issuance[],11,0)</f>
        <v>SAR</v>
      </c>
      <c r="N80" s="86">
        <f>VLOOKUP(Main_Presentation[[#This Row],[LC Number]],Main_Issuance[],12,0)</f>
        <v>2026592</v>
      </c>
      <c r="O80" s="16" t="s">
        <v>20</v>
      </c>
      <c r="P80" s="16" t="s">
        <v>857</v>
      </c>
      <c r="Q80" s="131">
        <f>2026592-(708854.91+517737.09)</f>
        <v>800000</v>
      </c>
      <c r="R80" s="18">
        <v>1</v>
      </c>
      <c r="S80" s="18">
        <f>Main_Presentation[[#This Row],[Invoice Amt (FCY)]]*Main_Presentation[[#This Row],[Rate]]</f>
        <v>800000</v>
      </c>
      <c r="T80" s="15">
        <v>45708</v>
      </c>
      <c r="U80" s="26" t="str">
        <f>VLOOKUP(Main_Presentation[[#This Row],[LC Number]],Main_Issuance[],18,0)</f>
        <v>45 Days from Invoice Date</v>
      </c>
      <c r="V80" s="19" t="s">
        <v>407</v>
      </c>
      <c r="W80" s="22" t="s">
        <v>378</v>
      </c>
      <c r="X80" s="16"/>
      <c r="Y80" s="234" t="str">
        <f>TRIM(LEFT(Main_Presentation[[#This Row],[Payment Terms]],3))</f>
        <v>45</v>
      </c>
      <c r="Z80" s="16"/>
      <c r="AA80" s="316" cm="1">
        <f t="array" ref="AA80">Settlement(Main_Presentation[[#This Row],[Bank]],Main_Presentation[[#This Row],[ Invoice Amt (SAR)]],Main_Presentation[[#This Row],[Date Recd]],Main_Presentation[[#This Row],[Due Date]],Main_Presentation[[#This Row],[Days]])</f>
        <v>1437.5</v>
      </c>
      <c r="AB80" s="16"/>
    </row>
    <row r="81" spans="1:28" ht="15.75" hidden="1" x14ac:dyDescent="0.25">
      <c r="A81" s="20" t="s">
        <v>488</v>
      </c>
      <c r="B81" s="15">
        <v>45732</v>
      </c>
      <c r="C81" s="26">
        <v>2</v>
      </c>
      <c r="D81" s="55" t="str">
        <f>VLOOKUP(Main_Presentation[[#This Row],[LC Number]],Main_Issuance[],3,0)</f>
        <v>Rabih Makhoul</v>
      </c>
      <c r="E81" s="16" t="s">
        <v>856</v>
      </c>
      <c r="F81" s="16" t="str">
        <f>VLOOKUP(Main_Presentation[[#This Row],[LC Number]],Main_Issuance[],5,0)</f>
        <v>Alinma</v>
      </c>
      <c r="G81" s="16" t="str">
        <f>VLOOKUP(Main_Presentation[[#This Row],[LC Number]],Main_Issuance[],6,0)</f>
        <v>KSP</v>
      </c>
      <c r="H81" s="16" t="str">
        <f>VLOOKUP(Main_Presentation[[#This Row],[LC Number]],Main_Issuance[],17,0)</f>
        <v>Credit</v>
      </c>
      <c r="I81" s="16" t="str">
        <f>VLOOKUP(Main_Presentation[[#This Row],[LC Number]],Main_Issuance[],7,0)</f>
        <v>Bahra Advanced Cable Manufacture Co.Ltd</v>
      </c>
      <c r="J81" s="16" t="str">
        <f>VLOOKUP(Main_Presentation[[#This Row],[LC Number]],Main_Issuance[],8,0)</f>
        <v>MBL</v>
      </c>
      <c r="K81" s="16" t="str">
        <f>VLOOKUP(Main_Presentation[[#This Row],[LC Number]],Main_Issuance[],9,0)</f>
        <v>KAP</v>
      </c>
      <c r="L81" s="16">
        <f>VLOOKUP(Main_Presentation[[#This Row],[LC Number]],Main_Issuance[],10,0)</f>
        <v>1020060</v>
      </c>
      <c r="M81" s="16" t="str">
        <f>VLOOKUP(Main_Presentation[[#This Row],[LC Number]],Main_Issuance[],11,0)</f>
        <v>SAR</v>
      </c>
      <c r="N81" s="86">
        <f>VLOOKUP(Main_Presentation[[#This Row],[LC Number]],Main_Issuance[],12,0)</f>
        <v>3259208.68</v>
      </c>
      <c r="O81" s="16" t="s">
        <v>20</v>
      </c>
      <c r="P81" s="16" t="s">
        <v>857</v>
      </c>
      <c r="Q81" s="131">
        <v>577489.63</v>
      </c>
      <c r="R81" s="18">
        <v>1</v>
      </c>
      <c r="S81" s="18">
        <f>Main_Presentation[[#This Row],[Invoice Amt (FCY)]]*Main_Presentation[[#This Row],[Rate]]</f>
        <v>577489.63</v>
      </c>
      <c r="T81" s="15">
        <v>45767</v>
      </c>
      <c r="U81" s="26" t="str">
        <f>VLOOKUP(Main_Presentation[[#This Row],[LC Number]],Main_Issuance[],18,0)</f>
        <v>45 Days from Invoice Date</v>
      </c>
      <c r="V81" s="21" t="s">
        <v>613</v>
      </c>
      <c r="W81" s="22" t="s">
        <v>378</v>
      </c>
      <c r="X81" s="16"/>
      <c r="Y81" s="234" t="str">
        <f>TRIM(LEFT(Main_Presentation[[#This Row],[Payment Terms]],3))</f>
        <v>45</v>
      </c>
      <c r="Z81" s="16"/>
      <c r="AA81" s="316" cm="1">
        <f t="array" ref="AA81">Settlement(Main_Presentation[[#This Row],[Bank]],Main_Presentation[[#This Row],[ Invoice Amt (SAR)]],Main_Presentation[[#This Row],[Date Recd]],Main_Presentation[[#This Row],[Due Date]],Main_Presentation[[#This Row],[Days]])</f>
        <v>1437.5</v>
      </c>
      <c r="AB81" s="16"/>
    </row>
    <row r="82" spans="1:28" ht="15.75" hidden="1" x14ac:dyDescent="0.25">
      <c r="A82" s="14" t="s">
        <v>253</v>
      </c>
      <c r="B82" s="15">
        <v>45196</v>
      </c>
      <c r="C82" s="26">
        <v>1</v>
      </c>
      <c r="D82" s="55" t="str">
        <f>VLOOKUP(Main_Presentation[[#This Row],[LC Number]],Main_Issuance[],3,0)</f>
        <v>Mohammed Atef</v>
      </c>
      <c r="E82" s="16" t="s">
        <v>856</v>
      </c>
      <c r="F82" s="17" t="str">
        <f>VLOOKUP(Main_Presentation[[#This Row],[LC Number]],Main_Issuance[],5,0)</f>
        <v>Alinma</v>
      </c>
      <c r="G82" s="17" t="str">
        <f>VLOOKUP(Main_Presentation[[#This Row],[LC Number]],Main_Issuance[],6,0)</f>
        <v>KSP</v>
      </c>
      <c r="H82" s="17" t="str">
        <f>VLOOKUP(Main_Presentation[[#This Row],[LC Number]],Main_Issuance[],17,0)</f>
        <v>Credit</v>
      </c>
      <c r="I82" s="17" t="str">
        <f>VLOOKUP(Main_Presentation[[#This Row],[LC Number]],Main_Issuance[],7,0)</f>
        <v>LSI PROJECTS LIMITIED - ICAD</v>
      </c>
      <c r="J82" s="17" t="str">
        <f>VLOOKUP(Main_Presentation[[#This Row],[LC Number]],Main_Issuance[],8,0)</f>
        <v>MBL/ICAD</v>
      </c>
      <c r="K82" s="17" t="str">
        <f>VLOOKUP(Main_Presentation[[#This Row],[LC Number]],Main_Issuance[],9,0)</f>
        <v>KSP</v>
      </c>
      <c r="L82" s="17">
        <f>VLOOKUP(Main_Presentation[[#This Row],[LC Number]],Main_Issuance[],10,0)</f>
        <v>1020055</v>
      </c>
      <c r="M82" s="17" t="str">
        <f>VLOOKUP(Main_Presentation[[#This Row],[LC Number]],Main_Issuance[],11,0)</f>
        <v>GBP</v>
      </c>
      <c r="N82" s="84">
        <f>VLOOKUP(Main_Presentation[[#This Row],[LC Number]],Main_Issuance[],12,0)</f>
        <v>3834246</v>
      </c>
      <c r="O82" s="16" t="s">
        <v>20</v>
      </c>
      <c r="P82" s="16" t="s">
        <v>857</v>
      </c>
      <c r="Q82" s="131">
        <v>16716.63</v>
      </c>
      <c r="R82" s="18">
        <v>4.7300000000000004</v>
      </c>
      <c r="S82" s="18">
        <f>Main_Presentation[[#This Row],[Invoice Amt (FCY)]]*Main_Presentation[[#This Row],[Rate]]</f>
        <v>79069.659900000013</v>
      </c>
      <c r="T82" s="15">
        <v>45233</v>
      </c>
      <c r="U82" s="26" t="str">
        <f>VLOOKUP(Main_Presentation[[#This Row],[LC Number]],Main_Issuance[],18,0)</f>
        <v>60 Days from Shipment Date</v>
      </c>
      <c r="V82" s="19" t="s">
        <v>22</v>
      </c>
      <c r="W82" s="18" t="s">
        <v>857</v>
      </c>
      <c r="X82" s="16"/>
      <c r="Y82" s="234" t="str">
        <f>TRIM(LEFT(Main_Presentation[[#This Row],[Payment Terms]],3))</f>
        <v>60</v>
      </c>
      <c r="Z82" s="16"/>
      <c r="AA82" s="316" cm="1">
        <f t="array" ref="AA82">Settlement(Main_Presentation[[#This Row],[Bank]],Main_Presentation[[#This Row],[ Invoice Amt (SAR)]],Main_Presentation[[#This Row],[Date Recd]],Main_Presentation[[#This Row],[Due Date]],Main_Presentation[[#This Row],[Days]])</f>
        <v>1437.5</v>
      </c>
      <c r="AB82" s="16"/>
    </row>
    <row r="83" spans="1:28" ht="15.75" hidden="1" x14ac:dyDescent="0.25">
      <c r="A83" s="14" t="s">
        <v>253</v>
      </c>
      <c r="B83" s="15">
        <v>45230</v>
      </c>
      <c r="C83" s="26">
        <v>2</v>
      </c>
      <c r="D83" s="55" t="str">
        <f>VLOOKUP(Main_Presentation[[#This Row],[LC Number]],Main_Issuance[],3,0)</f>
        <v>Mohammed Atef</v>
      </c>
      <c r="E83" s="16" t="s">
        <v>856</v>
      </c>
      <c r="F83" s="17" t="str">
        <f>VLOOKUP(Main_Presentation[[#This Row],[LC Number]],Main_Issuance[],5,0)</f>
        <v>Alinma</v>
      </c>
      <c r="G83" s="17" t="str">
        <f>VLOOKUP(Main_Presentation[[#This Row],[LC Number]],Main_Issuance[],6,0)</f>
        <v>KSP</v>
      </c>
      <c r="H83" s="17" t="str">
        <f>VLOOKUP(Main_Presentation[[#This Row],[LC Number]],Main_Issuance[],17,0)</f>
        <v>Credit</v>
      </c>
      <c r="I83" s="17" t="str">
        <f>VLOOKUP(Main_Presentation[[#This Row],[LC Number]],Main_Issuance[],7,0)</f>
        <v>LSI PROJECTS LIMITIED - ICAD</v>
      </c>
      <c r="J83" s="17" t="str">
        <f>VLOOKUP(Main_Presentation[[#This Row],[LC Number]],Main_Issuance[],8,0)</f>
        <v>MBL/ICAD</v>
      </c>
      <c r="K83" s="17" t="str">
        <f>VLOOKUP(Main_Presentation[[#This Row],[LC Number]],Main_Issuance[],9,0)</f>
        <v>KSP</v>
      </c>
      <c r="L83" s="17">
        <f>VLOOKUP(Main_Presentation[[#This Row],[LC Number]],Main_Issuance[],10,0)</f>
        <v>1020055</v>
      </c>
      <c r="M83" s="17" t="str">
        <f>VLOOKUP(Main_Presentation[[#This Row],[LC Number]],Main_Issuance[],11,0)</f>
        <v>GBP</v>
      </c>
      <c r="N83" s="84">
        <f>VLOOKUP(Main_Presentation[[#This Row],[LC Number]],Main_Issuance[],12,0)</f>
        <v>3834246</v>
      </c>
      <c r="O83" s="16" t="s">
        <v>20</v>
      </c>
      <c r="P83" s="16" t="s">
        <v>857</v>
      </c>
      <c r="Q83" s="131">
        <v>500351.44</v>
      </c>
      <c r="R83" s="18">
        <v>4.8</v>
      </c>
      <c r="S83" s="18">
        <f>Main_Presentation[[#This Row],[Invoice Amt (FCY)]]*Main_Presentation[[#This Row],[Rate]]</f>
        <v>2401686.912</v>
      </c>
      <c r="T83" s="15">
        <v>45271</v>
      </c>
      <c r="U83" s="26" t="str">
        <f>VLOOKUP(Main_Presentation[[#This Row],[LC Number]],Main_Issuance[],18,0)</f>
        <v>60 Days from Shipment Date</v>
      </c>
      <c r="V83" s="19" t="s">
        <v>22</v>
      </c>
      <c r="W83" s="18" t="s">
        <v>857</v>
      </c>
      <c r="X83" s="16"/>
      <c r="Y83" s="234" t="str">
        <f>TRIM(LEFT(Main_Presentation[[#This Row],[Payment Terms]],3))</f>
        <v>60</v>
      </c>
      <c r="Z83" s="16"/>
      <c r="AA83" s="316" cm="1">
        <f t="array" ref="AA83">Settlement(Main_Presentation[[#This Row],[Bank]],Main_Presentation[[#This Row],[ Invoice Amt (SAR)]],Main_Presentation[[#This Row],[Date Recd]],Main_Presentation[[#This Row],[Due Date]],Main_Presentation[[#This Row],[Days]])</f>
        <v>1437.5</v>
      </c>
      <c r="AB83" s="16"/>
    </row>
    <row r="84" spans="1:28" ht="15.75" hidden="1" x14ac:dyDescent="0.25">
      <c r="A84" s="14" t="s">
        <v>253</v>
      </c>
      <c r="B84" s="15">
        <v>45229</v>
      </c>
      <c r="C84" s="26">
        <v>1</v>
      </c>
      <c r="D84" s="55" t="str">
        <f>VLOOKUP(Main_Presentation[[#This Row],[LC Number]],Main_Issuance[],3,0)</f>
        <v>Mohammed Atef</v>
      </c>
      <c r="E84" s="16" t="s">
        <v>856</v>
      </c>
      <c r="F84" s="17" t="str">
        <f>VLOOKUP(Main_Presentation[[#This Row],[LC Number]],Main_Issuance[],5,0)</f>
        <v>Alinma</v>
      </c>
      <c r="G84" s="17" t="str">
        <f>VLOOKUP(Main_Presentation[[#This Row],[LC Number]],Main_Issuance[],6,0)</f>
        <v>KSP</v>
      </c>
      <c r="H84" s="17" t="str">
        <f>VLOOKUP(Main_Presentation[[#This Row],[LC Number]],Main_Issuance[],17,0)</f>
        <v>Credit</v>
      </c>
      <c r="I84" s="17" t="str">
        <f>VLOOKUP(Main_Presentation[[#This Row],[LC Number]],Main_Issuance[],7,0)</f>
        <v>LSI PROJECTS LIMITIED - ICAD</v>
      </c>
      <c r="J84" s="17" t="str">
        <f>VLOOKUP(Main_Presentation[[#This Row],[LC Number]],Main_Issuance[],8,0)</f>
        <v>MBL/ICAD</v>
      </c>
      <c r="K84" s="17" t="str">
        <f>VLOOKUP(Main_Presentation[[#This Row],[LC Number]],Main_Issuance[],9,0)</f>
        <v>KSP</v>
      </c>
      <c r="L84" s="17">
        <f>VLOOKUP(Main_Presentation[[#This Row],[LC Number]],Main_Issuance[],10,0)</f>
        <v>1020055</v>
      </c>
      <c r="M84" s="17" t="str">
        <f>VLOOKUP(Main_Presentation[[#This Row],[LC Number]],Main_Issuance[],11,0)</f>
        <v>GBP</v>
      </c>
      <c r="N84" s="84">
        <f>VLOOKUP(Main_Presentation[[#This Row],[LC Number]],Main_Issuance[],12,0)</f>
        <v>3834246</v>
      </c>
      <c r="O84" s="16" t="s">
        <v>20</v>
      </c>
      <c r="P84" s="16" t="s">
        <v>857</v>
      </c>
      <c r="Q84" s="131">
        <v>379264.71</v>
      </c>
      <c r="R84" s="18">
        <v>4.8250000000000002</v>
      </c>
      <c r="S84" s="18">
        <f>Main_Presentation[[#This Row],[Invoice Amt (FCY)]]*Main_Presentation[[#This Row],[Rate]]</f>
        <v>1829952.2257500002</v>
      </c>
      <c r="T84" s="15">
        <v>45275</v>
      </c>
      <c r="U84" s="26" t="str">
        <f>VLOOKUP(Main_Presentation[[#This Row],[LC Number]],Main_Issuance[],18,0)</f>
        <v>60 Days from Shipment Date</v>
      </c>
      <c r="V84" s="19" t="s">
        <v>22</v>
      </c>
      <c r="W84" s="18" t="s">
        <v>857</v>
      </c>
      <c r="X84" s="16"/>
      <c r="Y84" s="234" t="str">
        <f>TRIM(LEFT(Main_Presentation[[#This Row],[Payment Terms]],3))</f>
        <v>60</v>
      </c>
      <c r="Z84" s="16"/>
      <c r="AA84" s="316" cm="1">
        <f t="array" ref="AA84">Settlement(Main_Presentation[[#This Row],[Bank]],Main_Presentation[[#This Row],[ Invoice Amt (SAR)]],Main_Presentation[[#This Row],[Date Recd]],Main_Presentation[[#This Row],[Due Date]],Main_Presentation[[#This Row],[Days]])</f>
        <v>1437.5</v>
      </c>
      <c r="AB84" s="16"/>
    </row>
    <row r="85" spans="1:28" ht="15.75" hidden="1" x14ac:dyDescent="0.25">
      <c r="A85" s="14" t="s">
        <v>253</v>
      </c>
      <c r="B85" s="15">
        <v>45278</v>
      </c>
      <c r="C85" s="26">
        <v>4</v>
      </c>
      <c r="D85" s="55" t="str">
        <f>VLOOKUP(Main_Presentation[[#This Row],[LC Number]],Main_Issuance[],3,0)</f>
        <v>Mohammed Atef</v>
      </c>
      <c r="E85" s="16" t="s">
        <v>856</v>
      </c>
      <c r="F85" s="17" t="str">
        <f>VLOOKUP(Main_Presentation[[#This Row],[LC Number]],Main_Issuance[],5,0)</f>
        <v>Alinma</v>
      </c>
      <c r="G85" s="17" t="str">
        <f>VLOOKUP(Main_Presentation[[#This Row],[LC Number]],Main_Issuance[],6,0)</f>
        <v>KSP</v>
      </c>
      <c r="H85" s="17" t="str">
        <f>VLOOKUP(Main_Presentation[[#This Row],[LC Number]],Main_Issuance[],17,0)</f>
        <v>Credit</v>
      </c>
      <c r="I85" s="17" t="str">
        <f>VLOOKUP(Main_Presentation[[#This Row],[LC Number]],Main_Issuance[],7,0)</f>
        <v>LSI PROJECTS LIMITIED - ICAD</v>
      </c>
      <c r="J85" s="17" t="str">
        <f>VLOOKUP(Main_Presentation[[#This Row],[LC Number]],Main_Issuance[],8,0)</f>
        <v>MBL/ICAD</v>
      </c>
      <c r="K85" s="17" t="str">
        <f>VLOOKUP(Main_Presentation[[#This Row],[LC Number]],Main_Issuance[],9,0)</f>
        <v>KSP</v>
      </c>
      <c r="L85" s="17">
        <f>VLOOKUP(Main_Presentation[[#This Row],[LC Number]],Main_Issuance[],10,0)</f>
        <v>1020055</v>
      </c>
      <c r="M85" s="17" t="str">
        <f>VLOOKUP(Main_Presentation[[#This Row],[LC Number]],Main_Issuance[],11,0)</f>
        <v>GBP</v>
      </c>
      <c r="N85" s="84">
        <f>VLOOKUP(Main_Presentation[[#This Row],[LC Number]],Main_Issuance[],12,0)</f>
        <v>3834246</v>
      </c>
      <c r="O85" s="16" t="s">
        <v>20</v>
      </c>
      <c r="P85" s="16" t="s">
        <v>857</v>
      </c>
      <c r="Q85" s="131">
        <v>657036.18000000005</v>
      </c>
      <c r="R85" s="18">
        <v>4.79</v>
      </c>
      <c r="S85" s="18">
        <f>Main_Presentation[[#This Row],[Invoice Amt (FCY)]]*Main_Presentation[[#This Row],[Rate]]</f>
        <v>3147203.3022000003</v>
      </c>
      <c r="T85" s="15">
        <v>44955</v>
      </c>
      <c r="U85" s="26" t="str">
        <f>VLOOKUP(Main_Presentation[[#This Row],[LC Number]],Main_Issuance[],18,0)</f>
        <v>60 Days from Shipment Date</v>
      </c>
      <c r="V85" s="19" t="s">
        <v>22</v>
      </c>
      <c r="W85" s="18" t="s">
        <v>857</v>
      </c>
      <c r="X85" s="16"/>
      <c r="Y85" s="234" t="str">
        <f>TRIM(LEFT(Main_Presentation[[#This Row],[Payment Terms]],3))</f>
        <v>60</v>
      </c>
      <c r="Z85" s="16"/>
      <c r="AA85" s="316" cm="1">
        <f t="array" ref="AA85">Settlement(Main_Presentation[[#This Row],[Bank]],Main_Presentation[[#This Row],[ Invoice Amt (SAR)]],Main_Presentation[[#This Row],[Date Recd]],Main_Presentation[[#This Row],[Due Date]],Main_Presentation[[#This Row],[Days]])</f>
        <v>1437.5</v>
      </c>
      <c r="AB85" s="16"/>
    </row>
    <row r="86" spans="1:28" ht="15.75" hidden="1" x14ac:dyDescent="0.25">
      <c r="A86" s="14" t="s">
        <v>253</v>
      </c>
      <c r="B86" s="15">
        <v>45278</v>
      </c>
      <c r="C86" s="26">
        <v>5</v>
      </c>
      <c r="D86" s="55" t="str">
        <f>VLOOKUP(Main_Presentation[[#This Row],[LC Number]],Main_Issuance[],3,0)</f>
        <v>Mohammed Atef</v>
      </c>
      <c r="E86" s="16" t="s">
        <v>856</v>
      </c>
      <c r="F86" s="17" t="str">
        <f>VLOOKUP(Main_Presentation[[#This Row],[LC Number]],Main_Issuance[],5,0)</f>
        <v>Alinma</v>
      </c>
      <c r="G86" s="17" t="str">
        <f>VLOOKUP(Main_Presentation[[#This Row],[LC Number]],Main_Issuance[],6,0)</f>
        <v>KSP</v>
      </c>
      <c r="H86" s="17" t="str">
        <f>VLOOKUP(Main_Presentation[[#This Row],[LC Number]],Main_Issuance[],17,0)</f>
        <v>Credit</v>
      </c>
      <c r="I86" s="17" t="str">
        <f>VLOOKUP(Main_Presentation[[#This Row],[LC Number]],Main_Issuance[],7,0)</f>
        <v>LSI PROJECTS LIMITIED - ICAD</v>
      </c>
      <c r="J86" s="17" t="str">
        <f>VLOOKUP(Main_Presentation[[#This Row],[LC Number]],Main_Issuance[],8,0)</f>
        <v>MBL/ICAD</v>
      </c>
      <c r="K86" s="17" t="str">
        <f>VLOOKUP(Main_Presentation[[#This Row],[LC Number]],Main_Issuance[],9,0)</f>
        <v>KSP</v>
      </c>
      <c r="L86" s="17">
        <f>VLOOKUP(Main_Presentation[[#This Row],[LC Number]],Main_Issuance[],10,0)</f>
        <v>1020055</v>
      </c>
      <c r="M86" s="17" t="str">
        <f>VLOOKUP(Main_Presentation[[#This Row],[LC Number]],Main_Issuance[],11,0)</f>
        <v>GBP</v>
      </c>
      <c r="N86" s="84">
        <f>VLOOKUP(Main_Presentation[[#This Row],[LC Number]],Main_Issuance[],12,0)</f>
        <v>3834246</v>
      </c>
      <c r="O86" s="16" t="s">
        <v>20</v>
      </c>
      <c r="P86" s="16" t="s">
        <v>857</v>
      </c>
      <c r="Q86" s="131">
        <v>124562.47</v>
      </c>
      <c r="R86" s="18">
        <v>4.8049999999999997</v>
      </c>
      <c r="S86" s="18">
        <f>Main_Presentation[[#This Row],[Invoice Amt (FCY)]]*Main_Presentation[[#This Row],[Rate]]</f>
        <v>598522.66834999993</v>
      </c>
      <c r="T86" s="15">
        <v>44944</v>
      </c>
      <c r="U86" s="26" t="str">
        <f>VLOOKUP(Main_Presentation[[#This Row],[LC Number]],Main_Issuance[],18,0)</f>
        <v>60 Days from Shipment Date</v>
      </c>
      <c r="V86" s="19" t="s">
        <v>22</v>
      </c>
      <c r="W86" s="18" t="s">
        <v>857</v>
      </c>
      <c r="X86" s="16"/>
      <c r="Y86" s="234" t="str">
        <f>TRIM(LEFT(Main_Presentation[[#This Row],[Payment Terms]],3))</f>
        <v>60</v>
      </c>
      <c r="Z86" s="16"/>
      <c r="AA86" s="316" cm="1">
        <f t="array" ref="AA86">Settlement(Main_Presentation[[#This Row],[Bank]],Main_Presentation[[#This Row],[ Invoice Amt (SAR)]],Main_Presentation[[#This Row],[Date Recd]],Main_Presentation[[#This Row],[Due Date]],Main_Presentation[[#This Row],[Days]])</f>
        <v>1437.5</v>
      </c>
      <c r="AB86" s="16"/>
    </row>
    <row r="87" spans="1:28" ht="15.75" hidden="1" x14ac:dyDescent="0.25">
      <c r="A87" s="14" t="s">
        <v>253</v>
      </c>
      <c r="B87" s="15">
        <v>45278</v>
      </c>
      <c r="C87" s="26">
        <v>6</v>
      </c>
      <c r="D87" s="55" t="str">
        <f>VLOOKUP(Main_Presentation[[#This Row],[LC Number]],Main_Issuance[],3,0)</f>
        <v>Mohammed Atef</v>
      </c>
      <c r="E87" s="16" t="s">
        <v>856</v>
      </c>
      <c r="F87" s="17" t="str">
        <f>VLOOKUP(Main_Presentation[[#This Row],[LC Number]],Main_Issuance[],5,0)</f>
        <v>Alinma</v>
      </c>
      <c r="G87" s="17" t="str">
        <f>VLOOKUP(Main_Presentation[[#This Row],[LC Number]],Main_Issuance[],6,0)</f>
        <v>KSP</v>
      </c>
      <c r="H87" s="17" t="str">
        <f>VLOOKUP(Main_Presentation[[#This Row],[LC Number]],Main_Issuance[],17,0)</f>
        <v>Credit</v>
      </c>
      <c r="I87" s="17" t="str">
        <f>VLOOKUP(Main_Presentation[[#This Row],[LC Number]],Main_Issuance[],7,0)</f>
        <v>LSI PROJECTS LIMITIED - ICAD</v>
      </c>
      <c r="J87" s="17" t="str">
        <f>VLOOKUP(Main_Presentation[[#This Row],[LC Number]],Main_Issuance[],8,0)</f>
        <v>MBL/ICAD</v>
      </c>
      <c r="K87" s="17" t="str">
        <f>VLOOKUP(Main_Presentation[[#This Row],[LC Number]],Main_Issuance[],9,0)</f>
        <v>KSP</v>
      </c>
      <c r="L87" s="17">
        <f>VLOOKUP(Main_Presentation[[#This Row],[LC Number]],Main_Issuance[],10,0)</f>
        <v>1020055</v>
      </c>
      <c r="M87" s="17" t="str">
        <f>VLOOKUP(Main_Presentation[[#This Row],[LC Number]],Main_Issuance[],11,0)</f>
        <v>GBP</v>
      </c>
      <c r="N87" s="84">
        <f>VLOOKUP(Main_Presentation[[#This Row],[LC Number]],Main_Issuance[],12,0)</f>
        <v>3834246</v>
      </c>
      <c r="O87" s="16" t="s">
        <v>20</v>
      </c>
      <c r="P87" s="16" t="s">
        <v>857</v>
      </c>
      <c r="Q87" s="131">
        <v>326731.11</v>
      </c>
      <c r="R87" s="18">
        <v>4.79</v>
      </c>
      <c r="S87" s="18">
        <f>Main_Presentation[[#This Row],[Invoice Amt (FCY)]]*Main_Presentation[[#This Row],[Rate]]</f>
        <v>1565042.0168999999</v>
      </c>
      <c r="T87" s="15">
        <v>44970</v>
      </c>
      <c r="U87" s="26" t="str">
        <f>VLOOKUP(Main_Presentation[[#This Row],[LC Number]],Main_Issuance[],18,0)</f>
        <v>60 Days from Shipment Date</v>
      </c>
      <c r="V87" s="19" t="s">
        <v>22</v>
      </c>
      <c r="W87" s="18" t="s">
        <v>857</v>
      </c>
      <c r="X87" s="16"/>
      <c r="Y87" s="234" t="str">
        <f>TRIM(LEFT(Main_Presentation[[#This Row],[Payment Terms]],3))</f>
        <v>60</v>
      </c>
      <c r="Z87" s="16"/>
      <c r="AA87" s="316" cm="1">
        <f t="array" ref="AA87">Settlement(Main_Presentation[[#This Row],[Bank]],Main_Presentation[[#This Row],[ Invoice Amt (SAR)]],Main_Presentation[[#This Row],[Date Recd]],Main_Presentation[[#This Row],[Due Date]],Main_Presentation[[#This Row],[Days]])</f>
        <v>1437.5</v>
      </c>
      <c r="AB87" s="16"/>
    </row>
    <row r="88" spans="1:28" ht="15.75" hidden="1" x14ac:dyDescent="0.25">
      <c r="A88" s="14" t="s">
        <v>253</v>
      </c>
      <c r="B88" s="15">
        <v>44977</v>
      </c>
      <c r="C88" s="26">
        <v>7</v>
      </c>
      <c r="D88" s="55" t="str">
        <f>VLOOKUP(Main_Presentation[[#This Row],[LC Number]],Main_Issuance[],3,0)</f>
        <v>Mohammed Atef</v>
      </c>
      <c r="E88" s="16" t="s">
        <v>856</v>
      </c>
      <c r="F88" s="17" t="str">
        <f>VLOOKUP(Main_Presentation[[#This Row],[LC Number]],Main_Issuance[],5,0)</f>
        <v>Alinma</v>
      </c>
      <c r="G88" s="17" t="str">
        <f>VLOOKUP(Main_Presentation[[#This Row],[LC Number]],Main_Issuance[],6,0)</f>
        <v>KSP</v>
      </c>
      <c r="H88" s="17" t="str">
        <f>VLOOKUP(Main_Presentation[[#This Row],[LC Number]],Main_Issuance[],17,0)</f>
        <v>Credit</v>
      </c>
      <c r="I88" s="17" t="str">
        <f>VLOOKUP(Main_Presentation[[#This Row],[LC Number]],Main_Issuance[],7,0)</f>
        <v>LSI PROJECTS LIMITIED - ICAD</v>
      </c>
      <c r="J88" s="17" t="str">
        <f>VLOOKUP(Main_Presentation[[#This Row],[LC Number]],Main_Issuance[],8,0)</f>
        <v>MBL/ICAD</v>
      </c>
      <c r="K88" s="17" t="str">
        <f>VLOOKUP(Main_Presentation[[#This Row],[LC Number]],Main_Issuance[],9,0)</f>
        <v>KSP</v>
      </c>
      <c r="L88" s="17">
        <f>VLOOKUP(Main_Presentation[[#This Row],[LC Number]],Main_Issuance[],10,0)</f>
        <v>1020055</v>
      </c>
      <c r="M88" s="17" t="str">
        <f>VLOOKUP(Main_Presentation[[#This Row],[LC Number]],Main_Issuance[],11,0)</f>
        <v>GBP</v>
      </c>
      <c r="N88" s="84">
        <f>VLOOKUP(Main_Presentation[[#This Row],[LC Number]],Main_Issuance[],12,0)</f>
        <v>3834246</v>
      </c>
      <c r="O88" s="16" t="s">
        <v>20</v>
      </c>
      <c r="P88" s="16" t="s">
        <v>857</v>
      </c>
      <c r="Q88" s="131">
        <v>5195.83</v>
      </c>
      <c r="R88" s="18">
        <v>4.7699999999999996</v>
      </c>
      <c r="S88" s="18">
        <f>Main_Presentation[[#This Row],[Invoice Amt (FCY)]]*Main_Presentation[[#This Row],[Rate]]</f>
        <v>24784.109099999998</v>
      </c>
      <c r="T88" s="15">
        <v>45386</v>
      </c>
      <c r="U88" s="26" t="str">
        <f>VLOOKUP(Main_Presentation[[#This Row],[LC Number]],Main_Issuance[],18,0)</f>
        <v>60 Days from Shipment Date</v>
      </c>
      <c r="V88" s="19" t="s">
        <v>22</v>
      </c>
      <c r="W88" s="18" t="s">
        <v>857</v>
      </c>
      <c r="X88" s="16"/>
      <c r="Y88" s="234" t="str">
        <f>TRIM(LEFT(Main_Presentation[[#This Row],[Payment Terms]],3))</f>
        <v>60</v>
      </c>
      <c r="Z88" s="16"/>
      <c r="AA88" s="316" cm="1">
        <f t="array" ref="AA88">Settlement(Main_Presentation[[#This Row],[Bank]],Main_Presentation[[#This Row],[ Invoice Amt (SAR)]],Main_Presentation[[#This Row],[Date Recd]],Main_Presentation[[#This Row],[Due Date]],Main_Presentation[[#This Row],[Days]])</f>
        <v>1437.5</v>
      </c>
      <c r="AB88" s="16"/>
    </row>
    <row r="89" spans="1:28" ht="15.75" hidden="1" x14ac:dyDescent="0.25">
      <c r="A89" s="14" t="s">
        <v>253</v>
      </c>
      <c r="B89" s="15">
        <v>45365</v>
      </c>
      <c r="C89" s="26">
        <v>8</v>
      </c>
      <c r="D89" s="55" t="str">
        <f>VLOOKUP(Main_Presentation[[#This Row],[LC Number]],Main_Issuance[],3,0)</f>
        <v>Mohammed Atef</v>
      </c>
      <c r="E89" s="16" t="s">
        <v>856</v>
      </c>
      <c r="F89" s="17" t="str">
        <f>VLOOKUP(Main_Presentation[[#This Row],[LC Number]],Main_Issuance[],5,0)</f>
        <v>Alinma</v>
      </c>
      <c r="G89" s="17" t="str">
        <f>VLOOKUP(Main_Presentation[[#This Row],[LC Number]],Main_Issuance[],6,0)</f>
        <v>KSP</v>
      </c>
      <c r="H89" s="17" t="str">
        <f>VLOOKUP(Main_Presentation[[#This Row],[LC Number]],Main_Issuance[],17,0)</f>
        <v>Credit</v>
      </c>
      <c r="I89" s="17" t="str">
        <f>VLOOKUP(Main_Presentation[[#This Row],[LC Number]],Main_Issuance[],7,0)</f>
        <v>LSI PROJECTS LIMITIED - ICAD</v>
      </c>
      <c r="J89" s="17" t="str">
        <f>VLOOKUP(Main_Presentation[[#This Row],[LC Number]],Main_Issuance[],8,0)</f>
        <v>MBL/ICAD</v>
      </c>
      <c r="K89" s="17" t="str">
        <f>VLOOKUP(Main_Presentation[[#This Row],[LC Number]],Main_Issuance[],9,0)</f>
        <v>KSP</v>
      </c>
      <c r="L89" s="17">
        <f>VLOOKUP(Main_Presentation[[#This Row],[LC Number]],Main_Issuance[],10,0)</f>
        <v>1020055</v>
      </c>
      <c r="M89" s="17" t="str">
        <f>VLOOKUP(Main_Presentation[[#This Row],[LC Number]],Main_Issuance[],11,0)</f>
        <v>GBP</v>
      </c>
      <c r="N89" s="84">
        <f>VLOOKUP(Main_Presentation[[#This Row],[LC Number]],Main_Issuance[],12,0)</f>
        <v>3834246</v>
      </c>
      <c r="O89" s="16" t="s">
        <v>20</v>
      </c>
      <c r="P89" s="16" t="s">
        <v>857</v>
      </c>
      <c r="Q89" s="131">
        <v>277420.32</v>
      </c>
      <c r="R89" s="18">
        <v>4.74</v>
      </c>
      <c r="S89" s="18">
        <f>Main_Presentation[[#This Row],[Invoice Amt (FCY)]]*Main_Presentation[[#This Row],[Rate]]</f>
        <v>1314972.3168000001</v>
      </c>
      <c r="T89" s="15">
        <v>45411</v>
      </c>
      <c r="U89" s="26" t="str">
        <f>VLOOKUP(Main_Presentation[[#This Row],[LC Number]],Main_Issuance[],18,0)</f>
        <v>60 Days from Shipment Date</v>
      </c>
      <c r="V89" s="19" t="s">
        <v>22</v>
      </c>
      <c r="W89" s="18" t="s">
        <v>857</v>
      </c>
      <c r="X89" s="16"/>
      <c r="Y89" s="234" t="str">
        <f>TRIM(LEFT(Main_Presentation[[#This Row],[Payment Terms]],3))</f>
        <v>60</v>
      </c>
      <c r="Z89" s="16"/>
      <c r="AA89" s="316" cm="1">
        <f t="array" ref="AA89">Settlement(Main_Presentation[[#This Row],[Bank]],Main_Presentation[[#This Row],[ Invoice Amt (SAR)]],Main_Presentation[[#This Row],[Date Recd]],Main_Presentation[[#This Row],[Due Date]],Main_Presentation[[#This Row],[Days]])</f>
        <v>1437.5</v>
      </c>
      <c r="AB89" s="16"/>
    </row>
    <row r="90" spans="1:28" ht="15.75" hidden="1" x14ac:dyDescent="0.25">
      <c r="A90" s="14" t="s">
        <v>253</v>
      </c>
      <c r="B90" s="15">
        <v>45426</v>
      </c>
      <c r="C90" s="26">
        <v>9</v>
      </c>
      <c r="D90" s="55" t="str">
        <f>VLOOKUP(Main_Presentation[[#This Row],[LC Number]],Main_Issuance[],3,0)</f>
        <v>Mohammed Atef</v>
      </c>
      <c r="E90" s="16" t="s">
        <v>856</v>
      </c>
      <c r="F90" s="17" t="str">
        <f>VLOOKUP(Main_Presentation[[#This Row],[LC Number]],Main_Issuance[],5,0)</f>
        <v>Alinma</v>
      </c>
      <c r="G90" s="17" t="str">
        <f>VLOOKUP(Main_Presentation[[#This Row],[LC Number]],Main_Issuance[],6,0)</f>
        <v>KSP</v>
      </c>
      <c r="H90" s="17" t="str">
        <f>VLOOKUP(Main_Presentation[[#This Row],[LC Number]],Main_Issuance[],17,0)</f>
        <v>Credit</v>
      </c>
      <c r="I90" s="17" t="str">
        <f>VLOOKUP(Main_Presentation[[#This Row],[LC Number]],Main_Issuance[],7,0)</f>
        <v>LSI PROJECTS LIMITIED - ICAD</v>
      </c>
      <c r="J90" s="17" t="str">
        <f>VLOOKUP(Main_Presentation[[#This Row],[LC Number]],Main_Issuance[],8,0)</f>
        <v>MBL/ICAD</v>
      </c>
      <c r="K90" s="17" t="str">
        <f>VLOOKUP(Main_Presentation[[#This Row],[LC Number]],Main_Issuance[],9,0)</f>
        <v>KSP</v>
      </c>
      <c r="L90" s="17">
        <f>VLOOKUP(Main_Presentation[[#This Row],[LC Number]],Main_Issuance[],10,0)</f>
        <v>1020055</v>
      </c>
      <c r="M90" s="17" t="str">
        <f>VLOOKUP(Main_Presentation[[#This Row],[LC Number]],Main_Issuance[],11,0)</f>
        <v>GBP</v>
      </c>
      <c r="N90" s="84">
        <f>VLOOKUP(Main_Presentation[[#This Row],[LC Number]],Main_Issuance[],12,0)</f>
        <v>3834246</v>
      </c>
      <c r="O90" s="16" t="s">
        <v>20</v>
      </c>
      <c r="P90" s="16" t="s">
        <v>857</v>
      </c>
      <c r="Q90" s="131">
        <v>2398.66</v>
      </c>
      <c r="R90" s="18">
        <v>4.8</v>
      </c>
      <c r="S90" s="18">
        <f>Main_Presentation[[#This Row],[Invoice Amt (FCY)]]*Main_Presentation[[#This Row],[Rate]]</f>
        <v>11513.567999999999</v>
      </c>
      <c r="T90" s="15">
        <v>45463</v>
      </c>
      <c r="U90" s="26" t="str">
        <f>VLOOKUP(Main_Presentation[[#This Row],[LC Number]],Main_Issuance[],18,0)</f>
        <v>60 Days from Shipment Date</v>
      </c>
      <c r="V90" s="19" t="s">
        <v>22</v>
      </c>
      <c r="W90" s="18" t="s">
        <v>857</v>
      </c>
      <c r="X90" s="16"/>
      <c r="Y90" s="234" t="str">
        <f>TRIM(LEFT(Main_Presentation[[#This Row],[Payment Terms]],3))</f>
        <v>60</v>
      </c>
      <c r="Z90" s="16"/>
      <c r="AA90" s="316" cm="1">
        <f t="array" ref="AA90">Settlement(Main_Presentation[[#This Row],[Bank]],Main_Presentation[[#This Row],[ Invoice Amt (SAR)]],Main_Presentation[[#This Row],[Date Recd]],Main_Presentation[[#This Row],[Due Date]],Main_Presentation[[#This Row],[Days]])</f>
        <v>1437.5</v>
      </c>
      <c r="AB90" s="16"/>
    </row>
    <row r="91" spans="1:28" ht="15.75" hidden="1" x14ac:dyDescent="0.25">
      <c r="A91" s="14" t="s">
        <v>253</v>
      </c>
      <c r="B91" s="15">
        <v>45426</v>
      </c>
      <c r="C91" s="26">
        <v>10</v>
      </c>
      <c r="D91" s="55" t="str">
        <f>VLOOKUP(Main_Presentation[[#This Row],[LC Number]],Main_Issuance[],3,0)</f>
        <v>Mohammed Atef</v>
      </c>
      <c r="E91" s="16" t="s">
        <v>856</v>
      </c>
      <c r="F91" s="17" t="str">
        <f>VLOOKUP(Main_Presentation[[#This Row],[LC Number]],Main_Issuance[],5,0)</f>
        <v>Alinma</v>
      </c>
      <c r="G91" s="17" t="str">
        <f>VLOOKUP(Main_Presentation[[#This Row],[LC Number]],Main_Issuance[],6,0)</f>
        <v>KSP</v>
      </c>
      <c r="H91" s="17" t="str">
        <f>VLOOKUP(Main_Presentation[[#This Row],[LC Number]],Main_Issuance[],17,0)</f>
        <v>Credit</v>
      </c>
      <c r="I91" s="17" t="str">
        <f>VLOOKUP(Main_Presentation[[#This Row],[LC Number]],Main_Issuance[],7,0)</f>
        <v>LSI PROJECTS LIMITIED - ICAD</v>
      </c>
      <c r="J91" s="17" t="str">
        <f>VLOOKUP(Main_Presentation[[#This Row],[LC Number]],Main_Issuance[],8,0)</f>
        <v>MBL/ICAD</v>
      </c>
      <c r="K91" s="17" t="str">
        <f>VLOOKUP(Main_Presentation[[#This Row],[LC Number]],Main_Issuance[],9,0)</f>
        <v>KSP</v>
      </c>
      <c r="L91" s="17">
        <f>VLOOKUP(Main_Presentation[[#This Row],[LC Number]],Main_Issuance[],10,0)</f>
        <v>1020055</v>
      </c>
      <c r="M91" s="17" t="str">
        <f>VLOOKUP(Main_Presentation[[#This Row],[LC Number]],Main_Issuance[],11,0)</f>
        <v>GBP</v>
      </c>
      <c r="N91" s="84">
        <f>VLOOKUP(Main_Presentation[[#This Row],[LC Number]],Main_Issuance[],12,0)</f>
        <v>3834246</v>
      </c>
      <c r="O91" s="16" t="s">
        <v>20</v>
      </c>
      <c r="P91" s="16" t="s">
        <v>857</v>
      </c>
      <c r="Q91" s="131">
        <v>518516.52</v>
      </c>
      <c r="R91" s="18">
        <v>4.8</v>
      </c>
      <c r="S91" s="18">
        <f>Main_Presentation[[#This Row],[Invoice Amt (FCY)]]*Main_Presentation[[#This Row],[Rate]]</f>
        <v>2488879.2960000001</v>
      </c>
      <c r="T91" s="15">
        <v>45465</v>
      </c>
      <c r="U91" s="26" t="str">
        <f>VLOOKUP(Main_Presentation[[#This Row],[LC Number]],Main_Issuance[],18,0)</f>
        <v>60 Days from Shipment Date</v>
      </c>
      <c r="V91" s="19" t="s">
        <v>22</v>
      </c>
      <c r="W91" s="18" t="s">
        <v>857</v>
      </c>
      <c r="X91" s="16"/>
      <c r="Y91" s="234" t="str">
        <f>TRIM(LEFT(Main_Presentation[[#This Row],[Payment Terms]],3))</f>
        <v>60</v>
      </c>
      <c r="Z91" s="16"/>
      <c r="AA91" s="316" cm="1">
        <f t="array" ref="AA91">Settlement(Main_Presentation[[#This Row],[Bank]],Main_Presentation[[#This Row],[ Invoice Amt (SAR)]],Main_Presentation[[#This Row],[Date Recd]],Main_Presentation[[#This Row],[Due Date]],Main_Presentation[[#This Row],[Days]])</f>
        <v>1437.5</v>
      </c>
      <c r="AB91" s="16"/>
    </row>
    <row r="92" spans="1:28" ht="15.75" hidden="1" x14ac:dyDescent="0.25">
      <c r="A92" s="14" t="s">
        <v>253</v>
      </c>
      <c r="B92" s="15">
        <v>45426</v>
      </c>
      <c r="C92" s="26">
        <v>11</v>
      </c>
      <c r="D92" s="55" t="str">
        <f>VLOOKUP(Main_Presentation[[#This Row],[LC Number]],Main_Issuance[],3,0)</f>
        <v>Mohammed Atef</v>
      </c>
      <c r="E92" s="16" t="s">
        <v>856</v>
      </c>
      <c r="F92" s="17" t="str">
        <f>VLOOKUP(Main_Presentation[[#This Row],[LC Number]],Main_Issuance[],5,0)</f>
        <v>Alinma</v>
      </c>
      <c r="G92" s="17" t="str">
        <f>VLOOKUP(Main_Presentation[[#This Row],[LC Number]],Main_Issuance[],6,0)</f>
        <v>KSP</v>
      </c>
      <c r="H92" s="17" t="str">
        <f>VLOOKUP(Main_Presentation[[#This Row],[LC Number]],Main_Issuance[],17,0)</f>
        <v>Credit</v>
      </c>
      <c r="I92" s="17" t="str">
        <f>VLOOKUP(Main_Presentation[[#This Row],[LC Number]],Main_Issuance[],7,0)</f>
        <v>LSI PROJECTS LIMITIED - ICAD</v>
      </c>
      <c r="J92" s="17" t="str">
        <f>VLOOKUP(Main_Presentation[[#This Row],[LC Number]],Main_Issuance[],8,0)</f>
        <v>MBL/ICAD</v>
      </c>
      <c r="K92" s="17" t="str">
        <f>VLOOKUP(Main_Presentation[[#This Row],[LC Number]],Main_Issuance[],9,0)</f>
        <v>KSP</v>
      </c>
      <c r="L92" s="17">
        <f>VLOOKUP(Main_Presentation[[#This Row],[LC Number]],Main_Issuance[],10,0)</f>
        <v>1020055</v>
      </c>
      <c r="M92" s="17" t="str">
        <f>VLOOKUP(Main_Presentation[[#This Row],[LC Number]],Main_Issuance[],11,0)</f>
        <v>GBP</v>
      </c>
      <c r="N92" s="84">
        <f>VLOOKUP(Main_Presentation[[#This Row],[LC Number]],Main_Issuance[],12,0)</f>
        <v>3834246</v>
      </c>
      <c r="O92" s="16" t="s">
        <v>20</v>
      </c>
      <c r="P92" s="16" t="s">
        <v>857</v>
      </c>
      <c r="Q92" s="131">
        <v>472690</v>
      </c>
      <c r="R92" s="18">
        <v>4.8100065159999996</v>
      </c>
      <c r="S92" s="18">
        <f>Main_Presentation[[#This Row],[Invoice Amt (FCY)]]*Main_Presentation[[#This Row],[Rate]]</f>
        <v>2273641.9800480399</v>
      </c>
      <c r="T92" s="15">
        <v>45471</v>
      </c>
      <c r="U92" s="26" t="str">
        <f>VLOOKUP(Main_Presentation[[#This Row],[LC Number]],Main_Issuance[],18,0)</f>
        <v>60 Days from Shipment Date</v>
      </c>
      <c r="V92" s="19" t="s">
        <v>22</v>
      </c>
      <c r="W92" s="18" t="s">
        <v>857</v>
      </c>
      <c r="X92" s="16"/>
      <c r="Y92" s="234" t="str">
        <f>TRIM(LEFT(Main_Presentation[[#This Row],[Payment Terms]],3))</f>
        <v>60</v>
      </c>
      <c r="Z92" s="16"/>
      <c r="AA92" s="316" cm="1">
        <f t="array" ref="AA92">Settlement(Main_Presentation[[#This Row],[Bank]],Main_Presentation[[#This Row],[ Invoice Amt (SAR)]],Main_Presentation[[#This Row],[Date Recd]],Main_Presentation[[#This Row],[Due Date]],Main_Presentation[[#This Row],[Days]])</f>
        <v>1437.5</v>
      </c>
      <c r="AB92" s="16"/>
    </row>
    <row r="93" spans="1:28" ht="15.75" hidden="1" x14ac:dyDescent="0.25">
      <c r="A93" s="14" t="s">
        <v>253</v>
      </c>
      <c r="B93" s="15">
        <v>45449</v>
      </c>
      <c r="C93" s="26">
        <v>12</v>
      </c>
      <c r="D93" s="55" t="str">
        <f>VLOOKUP(Main_Presentation[[#This Row],[LC Number]],Main_Issuance[],3,0)</f>
        <v>Mohammed Atef</v>
      </c>
      <c r="E93" s="16" t="s">
        <v>856</v>
      </c>
      <c r="F93" s="17" t="str">
        <f>VLOOKUP(Main_Presentation[[#This Row],[LC Number]],Main_Issuance[],5,0)</f>
        <v>Alinma</v>
      </c>
      <c r="G93" s="17" t="str">
        <f>VLOOKUP(Main_Presentation[[#This Row],[LC Number]],Main_Issuance[],6,0)</f>
        <v>KSP</v>
      </c>
      <c r="H93" s="17" t="str">
        <f>VLOOKUP(Main_Presentation[[#This Row],[LC Number]],Main_Issuance[],17,0)</f>
        <v>Credit</v>
      </c>
      <c r="I93" s="17" t="str">
        <f>VLOOKUP(Main_Presentation[[#This Row],[LC Number]],Main_Issuance[],7,0)</f>
        <v>LSI PROJECTS LIMITIED - ICAD</v>
      </c>
      <c r="J93" s="17" t="str">
        <f>VLOOKUP(Main_Presentation[[#This Row],[LC Number]],Main_Issuance[],8,0)</f>
        <v>MBL/ICAD</v>
      </c>
      <c r="K93" s="17" t="str">
        <f>VLOOKUP(Main_Presentation[[#This Row],[LC Number]],Main_Issuance[],9,0)</f>
        <v>KSP</v>
      </c>
      <c r="L93" s="17">
        <f>VLOOKUP(Main_Presentation[[#This Row],[LC Number]],Main_Issuance[],10,0)</f>
        <v>1020055</v>
      </c>
      <c r="M93" s="17" t="str">
        <f>VLOOKUP(Main_Presentation[[#This Row],[LC Number]],Main_Issuance[],11,0)</f>
        <v>GBP</v>
      </c>
      <c r="N93" s="84">
        <f>VLOOKUP(Main_Presentation[[#This Row],[LC Number]],Main_Issuance[],12,0)</f>
        <v>3834246</v>
      </c>
      <c r="O93" s="16" t="s">
        <v>20</v>
      </c>
      <c r="P93" s="16" t="s">
        <v>857</v>
      </c>
      <c r="Q93" s="131">
        <v>63953.67</v>
      </c>
      <c r="R93" s="18">
        <v>4.8499999999999996</v>
      </c>
      <c r="S93" s="18">
        <f>Main_Presentation[[#This Row],[Invoice Amt (FCY)]]*Main_Presentation[[#This Row],[Rate]]</f>
        <v>310175.29949999996</v>
      </c>
      <c r="T93" s="15">
        <v>45481</v>
      </c>
      <c r="U93" s="26" t="str">
        <f>VLOOKUP(Main_Presentation[[#This Row],[LC Number]],Main_Issuance[],18,0)</f>
        <v>60 Days from Shipment Date</v>
      </c>
      <c r="V93" s="19" t="s">
        <v>22</v>
      </c>
      <c r="W93" s="18" t="s">
        <v>857</v>
      </c>
      <c r="X93" s="16"/>
      <c r="Y93" s="234" t="str">
        <f>TRIM(LEFT(Main_Presentation[[#This Row],[Payment Terms]],3))</f>
        <v>60</v>
      </c>
      <c r="Z93" s="16"/>
      <c r="AA93" s="316" cm="1">
        <f t="array" ref="AA93">Settlement(Main_Presentation[[#This Row],[Bank]],Main_Presentation[[#This Row],[ Invoice Amt (SAR)]],Main_Presentation[[#This Row],[Date Recd]],Main_Presentation[[#This Row],[Due Date]],Main_Presentation[[#This Row],[Days]])</f>
        <v>1437.5</v>
      </c>
      <c r="AB93" s="16"/>
    </row>
    <row r="94" spans="1:28" ht="15.75" hidden="1" x14ac:dyDescent="0.25">
      <c r="A94" s="14" t="s">
        <v>253</v>
      </c>
      <c r="B94" s="15">
        <v>45481</v>
      </c>
      <c r="C94" s="26">
        <v>13</v>
      </c>
      <c r="D94" s="55" t="str">
        <f>VLOOKUP(Main_Presentation[[#This Row],[LC Number]],Main_Issuance[],3,0)</f>
        <v>Mohammed Atef</v>
      </c>
      <c r="E94" s="16" t="s">
        <v>856</v>
      </c>
      <c r="F94" s="17" t="str">
        <f>VLOOKUP(Main_Presentation[[#This Row],[LC Number]],Main_Issuance[],5,0)</f>
        <v>Alinma</v>
      </c>
      <c r="G94" s="17" t="str">
        <f>VLOOKUP(Main_Presentation[[#This Row],[LC Number]],Main_Issuance[],6,0)</f>
        <v>KSP</v>
      </c>
      <c r="H94" s="17" t="str">
        <f>VLOOKUP(Main_Presentation[[#This Row],[LC Number]],Main_Issuance[],17,0)</f>
        <v>Credit</v>
      </c>
      <c r="I94" s="17" t="str">
        <f>VLOOKUP(Main_Presentation[[#This Row],[LC Number]],Main_Issuance[],7,0)</f>
        <v>LSI PROJECTS LIMITIED - ICAD</v>
      </c>
      <c r="J94" s="17" t="str">
        <f>VLOOKUP(Main_Presentation[[#This Row],[LC Number]],Main_Issuance[],8,0)</f>
        <v>MBL/ICAD</v>
      </c>
      <c r="K94" s="17" t="str">
        <f>VLOOKUP(Main_Presentation[[#This Row],[LC Number]],Main_Issuance[],9,0)</f>
        <v>KSP</v>
      </c>
      <c r="L94" s="17">
        <f>VLOOKUP(Main_Presentation[[#This Row],[LC Number]],Main_Issuance[],10,0)</f>
        <v>1020055</v>
      </c>
      <c r="M94" s="17" t="str">
        <f>VLOOKUP(Main_Presentation[[#This Row],[LC Number]],Main_Issuance[],11,0)</f>
        <v>GBP</v>
      </c>
      <c r="N94" s="84">
        <f>VLOOKUP(Main_Presentation[[#This Row],[LC Number]],Main_Issuance[],12,0)</f>
        <v>3834246</v>
      </c>
      <c r="O94" s="16" t="s">
        <v>20</v>
      </c>
      <c r="P94" s="16" t="s">
        <v>857</v>
      </c>
      <c r="Q94" s="131">
        <v>42345.86</v>
      </c>
      <c r="R94" s="18">
        <v>5.0199999999999996</v>
      </c>
      <c r="S94" s="18">
        <f>Main_Presentation[[#This Row],[Invoice Amt (FCY)]]*Main_Presentation[[#This Row],[Rate]]</f>
        <v>212576.21719999998</v>
      </c>
      <c r="T94" s="15">
        <v>45531</v>
      </c>
      <c r="U94" s="26" t="str">
        <f>VLOOKUP(Main_Presentation[[#This Row],[LC Number]],Main_Issuance[],18,0)</f>
        <v>60 Days from Shipment Date</v>
      </c>
      <c r="V94" s="19" t="s">
        <v>22</v>
      </c>
      <c r="W94" s="18" t="s">
        <v>857</v>
      </c>
      <c r="X94" s="16"/>
      <c r="Y94" s="234" t="str">
        <f>TRIM(LEFT(Main_Presentation[[#This Row],[Payment Terms]],3))</f>
        <v>60</v>
      </c>
      <c r="Z94" s="16"/>
      <c r="AA94" s="316" cm="1">
        <f t="array" ref="AA94">Settlement(Main_Presentation[[#This Row],[Bank]],Main_Presentation[[#This Row],[ Invoice Amt (SAR)]],Main_Presentation[[#This Row],[Date Recd]],Main_Presentation[[#This Row],[Due Date]],Main_Presentation[[#This Row],[Days]])</f>
        <v>1437.5</v>
      </c>
      <c r="AB94" s="16"/>
    </row>
    <row r="95" spans="1:28" ht="15.75" hidden="1" x14ac:dyDescent="0.25">
      <c r="A95" s="14" t="s">
        <v>253</v>
      </c>
      <c r="B95" s="15">
        <v>45481</v>
      </c>
      <c r="C95" s="26">
        <v>14</v>
      </c>
      <c r="D95" s="55" t="str">
        <f>VLOOKUP(Main_Presentation[[#This Row],[LC Number]],Main_Issuance[],3,0)</f>
        <v>Mohammed Atef</v>
      </c>
      <c r="E95" s="16" t="s">
        <v>856</v>
      </c>
      <c r="F95" s="17" t="str">
        <f>VLOOKUP(Main_Presentation[[#This Row],[LC Number]],Main_Issuance[],5,0)</f>
        <v>Alinma</v>
      </c>
      <c r="G95" s="17" t="str">
        <f>VLOOKUP(Main_Presentation[[#This Row],[LC Number]],Main_Issuance[],6,0)</f>
        <v>KSP</v>
      </c>
      <c r="H95" s="17" t="str">
        <f>VLOOKUP(Main_Presentation[[#This Row],[LC Number]],Main_Issuance[],17,0)</f>
        <v>Credit</v>
      </c>
      <c r="I95" s="17" t="str">
        <f>VLOOKUP(Main_Presentation[[#This Row],[LC Number]],Main_Issuance[],7,0)</f>
        <v>LSI PROJECTS LIMITIED - ICAD</v>
      </c>
      <c r="J95" s="17" t="str">
        <f>VLOOKUP(Main_Presentation[[#This Row],[LC Number]],Main_Issuance[],8,0)</f>
        <v>MBL/ICAD</v>
      </c>
      <c r="K95" s="17" t="str">
        <f>VLOOKUP(Main_Presentation[[#This Row],[LC Number]],Main_Issuance[],9,0)</f>
        <v>KSP</v>
      </c>
      <c r="L95" s="17">
        <f>VLOOKUP(Main_Presentation[[#This Row],[LC Number]],Main_Issuance[],10,0)</f>
        <v>1020055</v>
      </c>
      <c r="M95" s="17" t="str">
        <f>VLOOKUP(Main_Presentation[[#This Row],[LC Number]],Main_Issuance[],11,0)</f>
        <v>GBP</v>
      </c>
      <c r="N95" s="84">
        <f>VLOOKUP(Main_Presentation[[#This Row],[LC Number]],Main_Issuance[],12,0)</f>
        <v>3834246</v>
      </c>
      <c r="O95" s="16" t="s">
        <v>20</v>
      </c>
      <c r="P95" s="16" t="s">
        <v>857</v>
      </c>
      <c r="Q95" s="131">
        <v>89406.04</v>
      </c>
      <c r="R95" s="18">
        <v>4.5</v>
      </c>
      <c r="S95" s="18">
        <f>Main_Presentation[[#This Row],[Invoice Amt (FCY)]]*Main_Presentation[[#This Row],[Rate]]</f>
        <v>402327.18</v>
      </c>
      <c r="T95" s="15">
        <v>45521</v>
      </c>
      <c r="U95" s="26" t="str">
        <f>VLOOKUP(Main_Presentation[[#This Row],[LC Number]],Main_Issuance[],18,0)</f>
        <v>60 Days from Shipment Date</v>
      </c>
      <c r="V95" s="19" t="s">
        <v>22</v>
      </c>
      <c r="W95" s="18" t="s">
        <v>857</v>
      </c>
      <c r="X95" s="16"/>
      <c r="Y95" s="234" t="str">
        <f>TRIM(LEFT(Main_Presentation[[#This Row],[Payment Terms]],3))</f>
        <v>60</v>
      </c>
      <c r="Z95" s="16"/>
      <c r="AA95" s="316" cm="1">
        <f t="array" ref="AA95">Settlement(Main_Presentation[[#This Row],[Bank]],Main_Presentation[[#This Row],[ Invoice Amt (SAR)]],Main_Presentation[[#This Row],[Date Recd]],Main_Presentation[[#This Row],[Due Date]],Main_Presentation[[#This Row],[Days]])</f>
        <v>1437.5</v>
      </c>
      <c r="AB95" s="16"/>
    </row>
    <row r="96" spans="1:28" ht="15.75" hidden="1" x14ac:dyDescent="0.25">
      <c r="A96" s="14" t="s">
        <v>253</v>
      </c>
      <c r="B96" s="15">
        <v>45497</v>
      </c>
      <c r="C96" s="26">
        <v>1</v>
      </c>
      <c r="D96" s="55" t="str">
        <f>VLOOKUP(Main_Presentation[[#This Row],[LC Number]],Main_Issuance[],3,0)</f>
        <v>Mohammed Atef</v>
      </c>
      <c r="E96" s="16" t="s">
        <v>856</v>
      </c>
      <c r="F96" s="17" t="str">
        <f>VLOOKUP(Main_Presentation[[#This Row],[LC Number]],Main_Issuance[],5,0)</f>
        <v>Alinma</v>
      </c>
      <c r="G96" s="17" t="str">
        <f>VLOOKUP(Main_Presentation[[#This Row],[LC Number]],Main_Issuance[],6,0)</f>
        <v>KSP</v>
      </c>
      <c r="H96" s="17" t="str">
        <f>VLOOKUP(Main_Presentation[[#This Row],[LC Number]],Main_Issuance[],17,0)</f>
        <v>Credit</v>
      </c>
      <c r="I96" s="17" t="str">
        <f>VLOOKUP(Main_Presentation[[#This Row],[LC Number]],Main_Issuance[],7,0)</f>
        <v>LSI PROJECTS LIMITIED - ICAD</v>
      </c>
      <c r="J96" s="17" t="str">
        <f>VLOOKUP(Main_Presentation[[#This Row],[LC Number]],Main_Issuance[],8,0)</f>
        <v>MBL/ICAD</v>
      </c>
      <c r="K96" s="17" t="str">
        <f>VLOOKUP(Main_Presentation[[#This Row],[LC Number]],Main_Issuance[],9,0)</f>
        <v>KSP</v>
      </c>
      <c r="L96" s="17">
        <f>VLOOKUP(Main_Presentation[[#This Row],[LC Number]],Main_Issuance[],10,0)</f>
        <v>1020055</v>
      </c>
      <c r="M96" s="17" t="str">
        <f>VLOOKUP(Main_Presentation[[#This Row],[LC Number]],Main_Issuance[],11,0)</f>
        <v>GBP</v>
      </c>
      <c r="N96" s="84">
        <f>VLOOKUP(Main_Presentation[[#This Row],[LC Number]],Main_Issuance[],12,0)</f>
        <v>3834246</v>
      </c>
      <c r="O96" s="16" t="s">
        <v>20</v>
      </c>
      <c r="P96" s="16" t="s">
        <v>857</v>
      </c>
      <c r="Q96" s="131">
        <v>76916.05</v>
      </c>
      <c r="R96" s="18">
        <v>5.1567999999999996</v>
      </c>
      <c r="S96" s="18">
        <f>Main_Presentation[[#This Row],[Invoice Amt (FCY)]]*Main_Presentation[[#This Row],[Rate]]</f>
        <v>396640.68663999997</v>
      </c>
      <c r="T96" s="15">
        <v>45531</v>
      </c>
      <c r="U96" s="26" t="str">
        <f>VLOOKUP(Main_Presentation[[#This Row],[LC Number]],Main_Issuance[],18,0)</f>
        <v>60 Days from Shipment Date</v>
      </c>
      <c r="V96" s="19" t="s">
        <v>22</v>
      </c>
      <c r="W96" s="18" t="s">
        <v>857</v>
      </c>
      <c r="X96" s="16"/>
      <c r="Y96" s="234" t="str">
        <f>TRIM(LEFT(Main_Presentation[[#This Row],[Payment Terms]],3))</f>
        <v>60</v>
      </c>
      <c r="Z96" s="16"/>
      <c r="AA96" s="316" cm="1">
        <f t="array" ref="AA96">Settlement(Main_Presentation[[#This Row],[Bank]],Main_Presentation[[#This Row],[ Invoice Amt (SAR)]],Main_Presentation[[#This Row],[Date Recd]],Main_Presentation[[#This Row],[Due Date]],Main_Presentation[[#This Row],[Days]])</f>
        <v>1437.5</v>
      </c>
      <c r="AB96" s="16"/>
    </row>
    <row r="97" spans="1:28" ht="15.75" hidden="1" x14ac:dyDescent="0.25">
      <c r="A97" s="14" t="s">
        <v>29</v>
      </c>
      <c r="B97" s="15">
        <v>45165</v>
      </c>
      <c r="C97" s="26">
        <v>1</v>
      </c>
      <c r="D97" s="55" t="str">
        <f>VLOOKUP(Main_Presentation[[#This Row],[LC Number]],Main_Issuance[],3,0)</f>
        <v>Mohammed Atef</v>
      </c>
      <c r="E97" s="16" t="s">
        <v>856</v>
      </c>
      <c r="F97" s="17" t="str">
        <f>VLOOKUP(Main_Presentation[[#This Row],[LC Number]],Main_Issuance[],5,0)</f>
        <v>Alinma</v>
      </c>
      <c r="G97" s="17" t="str">
        <f>VLOOKUP(Main_Presentation[[#This Row],[LC Number]],Main_Issuance[],6,0)</f>
        <v>KSP</v>
      </c>
      <c r="H97" s="17" t="str">
        <f>VLOOKUP(Main_Presentation[[#This Row],[LC Number]],Main_Issuance[],17,0)</f>
        <v>Credit</v>
      </c>
      <c r="I97" s="17" t="str">
        <f>VLOOKUP(Main_Presentation[[#This Row],[LC Number]],Main_Issuance[],7,0)</f>
        <v>LSI PROJECTS LIMITIED - ICAD</v>
      </c>
      <c r="J97" s="17" t="str">
        <f>VLOOKUP(Main_Presentation[[#This Row],[LC Number]],Main_Issuance[],8,0)</f>
        <v>MBL/ICAD</v>
      </c>
      <c r="K97" s="17" t="str">
        <f>VLOOKUP(Main_Presentation[[#This Row],[LC Number]],Main_Issuance[],9,0)</f>
        <v>KSP</v>
      </c>
      <c r="L97" s="17">
        <f>VLOOKUP(Main_Presentation[[#This Row],[LC Number]],Main_Issuance[],10,0)</f>
        <v>1020055</v>
      </c>
      <c r="M97" s="17" t="str">
        <f>VLOOKUP(Main_Presentation[[#This Row],[LC Number]],Main_Issuance[],11,0)</f>
        <v>GBP</v>
      </c>
      <c r="N97" s="84">
        <f>VLOOKUP(Main_Presentation[[#This Row],[LC Number]],Main_Issuance[],12,0)</f>
        <v>5028295</v>
      </c>
      <c r="O97" s="16" t="s">
        <v>20</v>
      </c>
      <c r="P97" s="16" t="s">
        <v>857</v>
      </c>
      <c r="Q97" s="131">
        <v>414508.73</v>
      </c>
      <c r="R97" s="18">
        <v>4.657</v>
      </c>
      <c r="S97" s="18">
        <f>Main_Presentation[[#This Row],[Invoice Amt (FCY)]]*Main_Presentation[[#This Row],[Rate]]</f>
        <v>1930367.15561</v>
      </c>
      <c r="T97" s="15">
        <v>45209</v>
      </c>
      <c r="U97" s="26" t="str">
        <f>VLOOKUP(Main_Presentation[[#This Row],[LC Number]],Main_Issuance[],18,0)</f>
        <v>60 Days from Shipment Date</v>
      </c>
      <c r="V97" s="19" t="s">
        <v>22</v>
      </c>
      <c r="W97" s="18" t="s">
        <v>857</v>
      </c>
      <c r="X97" s="16"/>
      <c r="Y97" s="234" t="str">
        <f>TRIM(LEFT(Main_Presentation[[#This Row],[Payment Terms]],3))</f>
        <v>60</v>
      </c>
      <c r="Z97" s="16"/>
      <c r="AA97" s="316" cm="1">
        <f t="array" ref="AA97">Settlement(Main_Presentation[[#This Row],[Bank]],Main_Presentation[[#This Row],[ Invoice Amt (SAR)]],Main_Presentation[[#This Row],[Date Recd]],Main_Presentation[[#This Row],[Due Date]],Main_Presentation[[#This Row],[Days]])</f>
        <v>1437.5</v>
      </c>
      <c r="AB97" s="16"/>
    </row>
    <row r="98" spans="1:28" ht="15.75" hidden="1" x14ac:dyDescent="0.25">
      <c r="A98" s="14" t="s">
        <v>29</v>
      </c>
      <c r="B98" s="15">
        <v>45196</v>
      </c>
      <c r="C98" s="26">
        <v>2</v>
      </c>
      <c r="D98" s="55" t="str">
        <f>VLOOKUP(Main_Presentation[[#This Row],[LC Number]],Main_Issuance[],3,0)</f>
        <v>Mohammed Atef</v>
      </c>
      <c r="E98" s="16" t="s">
        <v>856</v>
      </c>
      <c r="F98" s="17" t="str">
        <f>VLOOKUP(Main_Presentation[[#This Row],[LC Number]],Main_Issuance[],5,0)</f>
        <v>Alinma</v>
      </c>
      <c r="G98" s="17" t="str">
        <f>VLOOKUP(Main_Presentation[[#This Row],[LC Number]],Main_Issuance[],6,0)</f>
        <v>KSP</v>
      </c>
      <c r="H98" s="17" t="str">
        <f>VLOOKUP(Main_Presentation[[#This Row],[LC Number]],Main_Issuance[],17,0)</f>
        <v>Credit</v>
      </c>
      <c r="I98" s="17" t="str">
        <f>VLOOKUP(Main_Presentation[[#This Row],[LC Number]],Main_Issuance[],7,0)</f>
        <v>LSI PROJECTS LIMITIED - ICAD</v>
      </c>
      <c r="J98" s="17" t="str">
        <f>VLOOKUP(Main_Presentation[[#This Row],[LC Number]],Main_Issuance[],8,0)</f>
        <v>MBL/ICAD</v>
      </c>
      <c r="K98" s="17" t="str">
        <f>VLOOKUP(Main_Presentation[[#This Row],[LC Number]],Main_Issuance[],9,0)</f>
        <v>KSP</v>
      </c>
      <c r="L98" s="17">
        <f>VLOOKUP(Main_Presentation[[#This Row],[LC Number]],Main_Issuance[],10,0)</f>
        <v>1020055</v>
      </c>
      <c r="M98" s="17" t="str">
        <f>VLOOKUP(Main_Presentation[[#This Row],[LC Number]],Main_Issuance[],11,0)</f>
        <v>GBP</v>
      </c>
      <c r="N98" s="84">
        <f>VLOOKUP(Main_Presentation[[#This Row],[LC Number]],Main_Issuance[],12,0)</f>
        <v>5028295</v>
      </c>
      <c r="O98" s="16" t="s">
        <v>20</v>
      </c>
      <c r="P98" s="16" t="s">
        <v>857</v>
      </c>
      <c r="Q98" s="131">
        <v>134951.71</v>
      </c>
      <c r="R98" s="18">
        <v>4.7300000000000004</v>
      </c>
      <c r="S98" s="18">
        <f>Main_Presentation[[#This Row],[Invoice Amt (FCY)]]*Main_Presentation[[#This Row],[Rate]]</f>
        <v>638321.58830000006</v>
      </c>
      <c r="T98" s="15">
        <v>45236</v>
      </c>
      <c r="U98" s="26" t="str">
        <f>VLOOKUP(Main_Presentation[[#This Row],[LC Number]],Main_Issuance[],18,0)</f>
        <v>60 Days from Shipment Date</v>
      </c>
      <c r="V98" s="19" t="s">
        <v>22</v>
      </c>
      <c r="W98" s="18" t="s">
        <v>857</v>
      </c>
      <c r="X98" s="16"/>
      <c r="Y98" s="234" t="str">
        <f>TRIM(LEFT(Main_Presentation[[#This Row],[Payment Terms]],3))</f>
        <v>60</v>
      </c>
      <c r="Z98" s="16"/>
      <c r="AA98" s="316" cm="1">
        <f t="array" ref="AA98">Settlement(Main_Presentation[[#This Row],[Bank]],Main_Presentation[[#This Row],[ Invoice Amt (SAR)]],Main_Presentation[[#This Row],[Date Recd]],Main_Presentation[[#This Row],[Due Date]],Main_Presentation[[#This Row],[Days]])</f>
        <v>1437.5</v>
      </c>
      <c r="AB98" s="16"/>
    </row>
    <row r="99" spans="1:28" ht="15.75" hidden="1" x14ac:dyDescent="0.25">
      <c r="A99" s="14" t="s">
        <v>29</v>
      </c>
      <c r="B99" s="15">
        <v>45225</v>
      </c>
      <c r="C99" s="26">
        <v>3</v>
      </c>
      <c r="D99" s="55" t="str">
        <f>VLOOKUP(Main_Presentation[[#This Row],[LC Number]],Main_Issuance[],3,0)</f>
        <v>Mohammed Atef</v>
      </c>
      <c r="E99" s="16" t="s">
        <v>856</v>
      </c>
      <c r="F99" s="17" t="str">
        <f>VLOOKUP(Main_Presentation[[#This Row],[LC Number]],Main_Issuance[],5,0)</f>
        <v>Alinma</v>
      </c>
      <c r="G99" s="17" t="str">
        <f>VLOOKUP(Main_Presentation[[#This Row],[LC Number]],Main_Issuance[],6,0)</f>
        <v>KSP</v>
      </c>
      <c r="H99" s="17" t="str">
        <f>VLOOKUP(Main_Presentation[[#This Row],[LC Number]],Main_Issuance[],17,0)</f>
        <v>Credit</v>
      </c>
      <c r="I99" s="17" t="str">
        <f>VLOOKUP(Main_Presentation[[#This Row],[LC Number]],Main_Issuance[],7,0)</f>
        <v>LSI PROJECTS LIMITIED - ICAD</v>
      </c>
      <c r="J99" s="17" t="str">
        <f>VLOOKUP(Main_Presentation[[#This Row],[LC Number]],Main_Issuance[],8,0)</f>
        <v>MBL/ICAD</v>
      </c>
      <c r="K99" s="17" t="str">
        <f>VLOOKUP(Main_Presentation[[#This Row],[LC Number]],Main_Issuance[],9,0)</f>
        <v>KSP</v>
      </c>
      <c r="L99" s="17">
        <f>VLOOKUP(Main_Presentation[[#This Row],[LC Number]],Main_Issuance[],10,0)</f>
        <v>1020055</v>
      </c>
      <c r="M99" s="17" t="str">
        <f>VLOOKUP(Main_Presentation[[#This Row],[LC Number]],Main_Issuance[],11,0)</f>
        <v>GBP</v>
      </c>
      <c r="N99" s="84">
        <f>VLOOKUP(Main_Presentation[[#This Row],[LC Number]],Main_Issuance[],12,0)</f>
        <v>5028295</v>
      </c>
      <c r="O99" s="16" t="s">
        <v>20</v>
      </c>
      <c r="P99" s="16" t="s">
        <v>857</v>
      </c>
      <c r="Q99" s="131">
        <v>455048.19</v>
      </c>
      <c r="R99" s="18">
        <v>4.8</v>
      </c>
      <c r="S99" s="18">
        <f>Main_Presentation[[#This Row],[Invoice Amt (FCY)]]*Main_Presentation[[#This Row],[Rate]]</f>
        <v>2184231.3119999999</v>
      </c>
      <c r="T99" s="15">
        <v>45271</v>
      </c>
      <c r="U99" s="26" t="str">
        <f>VLOOKUP(Main_Presentation[[#This Row],[LC Number]],Main_Issuance[],18,0)</f>
        <v>60 Days from Shipment Date</v>
      </c>
      <c r="V99" s="19" t="s">
        <v>22</v>
      </c>
      <c r="W99" s="18" t="s">
        <v>857</v>
      </c>
      <c r="X99" s="16"/>
      <c r="Y99" s="234" t="str">
        <f>TRIM(LEFT(Main_Presentation[[#This Row],[Payment Terms]],3))</f>
        <v>60</v>
      </c>
      <c r="Z99" s="16"/>
      <c r="AA99" s="316" cm="1">
        <f t="array" ref="AA99">Settlement(Main_Presentation[[#This Row],[Bank]],Main_Presentation[[#This Row],[ Invoice Amt (SAR)]],Main_Presentation[[#This Row],[Date Recd]],Main_Presentation[[#This Row],[Due Date]],Main_Presentation[[#This Row],[Days]])</f>
        <v>1437.5</v>
      </c>
      <c r="AB99" s="16"/>
    </row>
    <row r="100" spans="1:28" ht="15.75" hidden="1" x14ac:dyDescent="0.25">
      <c r="A100" s="14" t="s">
        <v>29</v>
      </c>
      <c r="B100" s="15">
        <v>45235</v>
      </c>
      <c r="C100" s="26">
        <v>4</v>
      </c>
      <c r="D100" s="55" t="str">
        <f>VLOOKUP(Main_Presentation[[#This Row],[LC Number]],Main_Issuance[],3,0)</f>
        <v>Mohammed Atef</v>
      </c>
      <c r="E100" s="16" t="s">
        <v>856</v>
      </c>
      <c r="F100" s="17" t="str">
        <f>VLOOKUP(Main_Presentation[[#This Row],[LC Number]],Main_Issuance[],5,0)</f>
        <v>Alinma</v>
      </c>
      <c r="G100" s="17" t="str">
        <f>VLOOKUP(Main_Presentation[[#This Row],[LC Number]],Main_Issuance[],6,0)</f>
        <v>KSP</v>
      </c>
      <c r="H100" s="17" t="str">
        <f>VLOOKUP(Main_Presentation[[#This Row],[LC Number]],Main_Issuance[],17,0)</f>
        <v>Credit</v>
      </c>
      <c r="I100" s="17" t="str">
        <f>VLOOKUP(Main_Presentation[[#This Row],[LC Number]],Main_Issuance[],7,0)</f>
        <v>LSI PROJECTS LIMITIED - ICAD</v>
      </c>
      <c r="J100" s="17" t="str">
        <f>VLOOKUP(Main_Presentation[[#This Row],[LC Number]],Main_Issuance[],8,0)</f>
        <v>MBL/ICAD</v>
      </c>
      <c r="K100" s="17" t="str">
        <f>VLOOKUP(Main_Presentation[[#This Row],[LC Number]],Main_Issuance[],9,0)</f>
        <v>KSP</v>
      </c>
      <c r="L100" s="17">
        <f>VLOOKUP(Main_Presentation[[#This Row],[LC Number]],Main_Issuance[],10,0)</f>
        <v>1020055</v>
      </c>
      <c r="M100" s="17" t="str">
        <f>VLOOKUP(Main_Presentation[[#This Row],[LC Number]],Main_Issuance[],11,0)</f>
        <v>GBP</v>
      </c>
      <c r="N100" s="84">
        <f>VLOOKUP(Main_Presentation[[#This Row],[LC Number]],Main_Issuance[],12,0)</f>
        <v>5028295</v>
      </c>
      <c r="O100" s="16" t="s">
        <v>20</v>
      </c>
      <c r="P100" s="16" t="s">
        <v>857</v>
      </c>
      <c r="Q100" s="131">
        <v>65986.25</v>
      </c>
      <c r="R100" s="18">
        <v>4.9000000000000004</v>
      </c>
      <c r="S100" s="18">
        <f>Main_Presentation[[#This Row],[Invoice Amt (FCY)]]*Main_Presentation[[#This Row],[Rate]]</f>
        <v>323332.625</v>
      </c>
      <c r="T100" s="15">
        <v>45278</v>
      </c>
      <c r="U100" s="26" t="str">
        <f>VLOOKUP(Main_Presentation[[#This Row],[LC Number]],Main_Issuance[],18,0)</f>
        <v>60 Days from Shipment Date</v>
      </c>
      <c r="V100" s="19" t="s">
        <v>22</v>
      </c>
      <c r="W100" s="18" t="s">
        <v>857</v>
      </c>
      <c r="X100" s="16"/>
      <c r="Y100" s="234" t="str">
        <f>TRIM(LEFT(Main_Presentation[[#This Row],[Payment Terms]],3))</f>
        <v>60</v>
      </c>
      <c r="Z100" s="16"/>
      <c r="AA100" s="316" cm="1">
        <f t="array" ref="AA100">Settlement(Main_Presentation[[#This Row],[Bank]],Main_Presentation[[#This Row],[ Invoice Amt (SAR)]],Main_Presentation[[#This Row],[Date Recd]],Main_Presentation[[#This Row],[Due Date]],Main_Presentation[[#This Row],[Days]])</f>
        <v>1437.5</v>
      </c>
      <c r="AB100" s="16"/>
    </row>
    <row r="101" spans="1:28" ht="15.75" hidden="1" x14ac:dyDescent="0.25">
      <c r="A101" s="14" t="s">
        <v>29</v>
      </c>
      <c r="B101" s="15">
        <v>45257</v>
      </c>
      <c r="C101" s="26">
        <v>5</v>
      </c>
      <c r="D101" s="55" t="str">
        <f>VLOOKUP(Main_Presentation[[#This Row],[LC Number]],Main_Issuance[],3,0)</f>
        <v>Mohammed Atef</v>
      </c>
      <c r="E101" s="16" t="s">
        <v>856</v>
      </c>
      <c r="F101" s="17" t="str">
        <f>VLOOKUP(Main_Presentation[[#This Row],[LC Number]],Main_Issuance[],5,0)</f>
        <v>Alinma</v>
      </c>
      <c r="G101" s="17" t="str">
        <f>VLOOKUP(Main_Presentation[[#This Row],[LC Number]],Main_Issuance[],6,0)</f>
        <v>KSP</v>
      </c>
      <c r="H101" s="17" t="str">
        <f>VLOOKUP(Main_Presentation[[#This Row],[LC Number]],Main_Issuance[],17,0)</f>
        <v>Credit</v>
      </c>
      <c r="I101" s="17" t="str">
        <f>VLOOKUP(Main_Presentation[[#This Row],[LC Number]],Main_Issuance[],7,0)</f>
        <v>LSI PROJECTS LIMITIED - ICAD</v>
      </c>
      <c r="J101" s="17" t="str">
        <f>VLOOKUP(Main_Presentation[[#This Row],[LC Number]],Main_Issuance[],8,0)</f>
        <v>MBL/ICAD</v>
      </c>
      <c r="K101" s="17" t="str">
        <f>VLOOKUP(Main_Presentation[[#This Row],[LC Number]],Main_Issuance[],9,0)</f>
        <v>KSP</v>
      </c>
      <c r="L101" s="17">
        <f>VLOOKUP(Main_Presentation[[#This Row],[LC Number]],Main_Issuance[],10,0)</f>
        <v>1020055</v>
      </c>
      <c r="M101" s="17" t="str">
        <f>VLOOKUP(Main_Presentation[[#This Row],[LC Number]],Main_Issuance[],11,0)</f>
        <v>GBP</v>
      </c>
      <c r="N101" s="84">
        <f>VLOOKUP(Main_Presentation[[#This Row],[LC Number]],Main_Issuance[],12,0)</f>
        <v>5028295</v>
      </c>
      <c r="O101" s="16" t="s">
        <v>20</v>
      </c>
      <c r="P101" s="16" t="s">
        <v>857</v>
      </c>
      <c r="Q101" s="131">
        <v>1132286.01</v>
      </c>
      <c r="R101" s="18">
        <v>4.78</v>
      </c>
      <c r="S101" s="18">
        <f>Main_Presentation[[#This Row],[Invoice Amt (FCY)]]*Main_Presentation[[#This Row],[Rate]]</f>
        <v>5412327.1277999999</v>
      </c>
      <c r="T101" s="15">
        <v>45281</v>
      </c>
      <c r="U101" s="26" t="str">
        <f>VLOOKUP(Main_Presentation[[#This Row],[LC Number]],Main_Issuance[],18,0)</f>
        <v>60 Days from Shipment Date</v>
      </c>
      <c r="V101" s="19" t="s">
        <v>22</v>
      </c>
      <c r="W101" s="18" t="s">
        <v>857</v>
      </c>
      <c r="X101" s="16"/>
      <c r="Y101" s="234" t="str">
        <f>TRIM(LEFT(Main_Presentation[[#This Row],[Payment Terms]],3))</f>
        <v>60</v>
      </c>
      <c r="Z101" s="16"/>
      <c r="AA101" s="316" cm="1">
        <f t="array" ref="AA101">Settlement(Main_Presentation[[#This Row],[Bank]],Main_Presentation[[#This Row],[ Invoice Amt (SAR)]],Main_Presentation[[#This Row],[Date Recd]],Main_Presentation[[#This Row],[Due Date]],Main_Presentation[[#This Row],[Days]])</f>
        <v>2593.25</v>
      </c>
      <c r="AB101" s="16"/>
    </row>
    <row r="102" spans="1:28" ht="15.75" hidden="1" x14ac:dyDescent="0.25">
      <c r="A102" s="14" t="s">
        <v>29</v>
      </c>
      <c r="B102" s="15">
        <v>45279</v>
      </c>
      <c r="C102" s="26">
        <v>6</v>
      </c>
      <c r="D102" s="55" t="str">
        <f>VLOOKUP(Main_Presentation[[#This Row],[LC Number]],Main_Issuance[],3,0)</f>
        <v>Mohammed Atef</v>
      </c>
      <c r="E102" s="16" t="s">
        <v>856</v>
      </c>
      <c r="F102" s="17" t="str">
        <f>VLOOKUP(Main_Presentation[[#This Row],[LC Number]],Main_Issuance[],5,0)</f>
        <v>Alinma</v>
      </c>
      <c r="G102" s="17" t="str">
        <f>VLOOKUP(Main_Presentation[[#This Row],[LC Number]],Main_Issuance[],6,0)</f>
        <v>KSP</v>
      </c>
      <c r="H102" s="17" t="str">
        <f>VLOOKUP(Main_Presentation[[#This Row],[LC Number]],Main_Issuance[],17,0)</f>
        <v>Credit</v>
      </c>
      <c r="I102" s="17" t="str">
        <f>VLOOKUP(Main_Presentation[[#This Row],[LC Number]],Main_Issuance[],7,0)</f>
        <v>LSI PROJECTS LIMITIED - ICAD</v>
      </c>
      <c r="J102" s="17" t="str">
        <f>VLOOKUP(Main_Presentation[[#This Row],[LC Number]],Main_Issuance[],8,0)</f>
        <v>MBL/ICAD</v>
      </c>
      <c r="K102" s="17" t="str">
        <f>VLOOKUP(Main_Presentation[[#This Row],[LC Number]],Main_Issuance[],9,0)</f>
        <v>KSP</v>
      </c>
      <c r="L102" s="17">
        <f>VLOOKUP(Main_Presentation[[#This Row],[LC Number]],Main_Issuance[],10,0)</f>
        <v>1020055</v>
      </c>
      <c r="M102" s="17" t="str">
        <f>VLOOKUP(Main_Presentation[[#This Row],[LC Number]],Main_Issuance[],11,0)</f>
        <v>GBP</v>
      </c>
      <c r="N102" s="84">
        <f>VLOOKUP(Main_Presentation[[#This Row],[LC Number]],Main_Issuance[],12,0)</f>
        <v>5028295</v>
      </c>
      <c r="O102" s="16" t="s">
        <v>20</v>
      </c>
      <c r="P102" s="16" t="s">
        <v>857</v>
      </c>
      <c r="Q102" s="131">
        <v>1021565.83</v>
      </c>
      <c r="R102" s="18">
        <v>4.8049999999999997</v>
      </c>
      <c r="S102" s="18">
        <f>Main_Presentation[[#This Row],[Invoice Amt (FCY)]]*Main_Presentation[[#This Row],[Rate]]</f>
        <v>4908623.8131499998</v>
      </c>
      <c r="T102" s="15">
        <v>45309</v>
      </c>
      <c r="U102" s="26" t="str">
        <f>VLOOKUP(Main_Presentation[[#This Row],[LC Number]],Main_Issuance[],18,0)</f>
        <v>60 Days from Shipment Date</v>
      </c>
      <c r="V102" s="19" t="s">
        <v>22</v>
      </c>
      <c r="W102" s="18" t="s">
        <v>857</v>
      </c>
      <c r="X102" s="16"/>
      <c r="Y102" s="234" t="str">
        <f>TRIM(LEFT(Main_Presentation[[#This Row],[Payment Terms]],3))</f>
        <v>60</v>
      </c>
      <c r="Z102" s="16"/>
      <c r="AA102" s="316" cm="1">
        <f t="array" ref="AA102">Settlement(Main_Presentation[[#This Row],[Bank]],Main_Presentation[[#This Row],[ Invoice Amt (SAR)]],Main_Presentation[[#This Row],[Date Recd]],Main_Presentation[[#This Row],[Due Date]],Main_Presentation[[#This Row],[Days]])</f>
        <v>2351.75</v>
      </c>
      <c r="AB102" s="16"/>
    </row>
    <row r="103" spans="1:28" ht="15.75" hidden="1" x14ac:dyDescent="0.25">
      <c r="A103" s="14" t="s">
        <v>29</v>
      </c>
      <c r="B103" s="15">
        <v>45279</v>
      </c>
      <c r="C103" s="26">
        <v>7</v>
      </c>
      <c r="D103" s="55" t="str">
        <f>VLOOKUP(Main_Presentation[[#This Row],[LC Number]],Main_Issuance[],3,0)</f>
        <v>Mohammed Atef</v>
      </c>
      <c r="E103" s="16" t="s">
        <v>856</v>
      </c>
      <c r="F103" s="17" t="str">
        <f>VLOOKUP(Main_Presentation[[#This Row],[LC Number]],Main_Issuance[],5,0)</f>
        <v>Alinma</v>
      </c>
      <c r="G103" s="17" t="str">
        <f>VLOOKUP(Main_Presentation[[#This Row],[LC Number]],Main_Issuance[],6,0)</f>
        <v>KSP</v>
      </c>
      <c r="H103" s="17" t="str">
        <f>VLOOKUP(Main_Presentation[[#This Row],[LC Number]],Main_Issuance[],17,0)</f>
        <v>Credit</v>
      </c>
      <c r="I103" s="17" t="str">
        <f>VLOOKUP(Main_Presentation[[#This Row],[LC Number]],Main_Issuance[],7,0)</f>
        <v>LSI PROJECTS LIMITIED - ICAD</v>
      </c>
      <c r="J103" s="17" t="str">
        <f>VLOOKUP(Main_Presentation[[#This Row],[LC Number]],Main_Issuance[],8,0)</f>
        <v>MBL/ICAD</v>
      </c>
      <c r="K103" s="17" t="str">
        <f>VLOOKUP(Main_Presentation[[#This Row],[LC Number]],Main_Issuance[],9,0)</f>
        <v>KSP</v>
      </c>
      <c r="L103" s="17">
        <f>VLOOKUP(Main_Presentation[[#This Row],[LC Number]],Main_Issuance[],10,0)</f>
        <v>1020055</v>
      </c>
      <c r="M103" s="17" t="str">
        <f>VLOOKUP(Main_Presentation[[#This Row],[LC Number]],Main_Issuance[],11,0)</f>
        <v>GBP</v>
      </c>
      <c r="N103" s="84">
        <f>VLOOKUP(Main_Presentation[[#This Row],[LC Number]],Main_Issuance[],12,0)</f>
        <v>5028295</v>
      </c>
      <c r="O103" s="16" t="s">
        <v>20</v>
      </c>
      <c r="P103" s="16" t="s">
        <v>857</v>
      </c>
      <c r="Q103" s="131">
        <v>98946.25</v>
      </c>
      <c r="R103" s="18">
        <v>4.79</v>
      </c>
      <c r="S103" s="18">
        <f>Main_Presentation[[#This Row],[Invoice Amt (FCY)]]*Main_Presentation[[#This Row],[Rate]]</f>
        <v>473952.53749999998</v>
      </c>
      <c r="T103" s="15">
        <v>45320</v>
      </c>
      <c r="U103" s="26" t="str">
        <f>VLOOKUP(Main_Presentation[[#This Row],[LC Number]],Main_Issuance[],18,0)</f>
        <v>60 Days from Shipment Date</v>
      </c>
      <c r="V103" s="19" t="s">
        <v>22</v>
      </c>
      <c r="W103" s="18" t="s">
        <v>857</v>
      </c>
      <c r="X103" s="16"/>
      <c r="Y103" s="234" t="str">
        <f>TRIM(LEFT(Main_Presentation[[#This Row],[Payment Terms]],3))</f>
        <v>60</v>
      </c>
      <c r="Z103" s="16"/>
      <c r="AA103" s="316" cm="1">
        <f t="array" ref="AA103">Settlement(Main_Presentation[[#This Row],[Bank]],Main_Presentation[[#This Row],[ Invoice Amt (SAR)]],Main_Presentation[[#This Row],[Date Recd]],Main_Presentation[[#This Row],[Due Date]],Main_Presentation[[#This Row],[Days]])</f>
        <v>1437.5</v>
      </c>
      <c r="AB103" s="16"/>
    </row>
    <row r="104" spans="1:28" ht="15.75" hidden="1" x14ac:dyDescent="0.25">
      <c r="A104" s="14" t="s">
        <v>29</v>
      </c>
      <c r="B104" s="15">
        <v>45305</v>
      </c>
      <c r="C104" s="26">
        <v>8</v>
      </c>
      <c r="D104" s="55" t="str">
        <f>VLOOKUP(Main_Presentation[[#This Row],[LC Number]],Main_Issuance[],3,0)</f>
        <v>Mohammed Atef</v>
      </c>
      <c r="E104" s="16" t="s">
        <v>856</v>
      </c>
      <c r="F104" s="17" t="str">
        <f>VLOOKUP(Main_Presentation[[#This Row],[LC Number]],Main_Issuance[],5,0)</f>
        <v>Alinma</v>
      </c>
      <c r="G104" s="17" t="str">
        <f>VLOOKUP(Main_Presentation[[#This Row],[LC Number]],Main_Issuance[],6,0)</f>
        <v>KSP</v>
      </c>
      <c r="H104" s="17" t="str">
        <f>VLOOKUP(Main_Presentation[[#This Row],[LC Number]],Main_Issuance[],17,0)</f>
        <v>Credit</v>
      </c>
      <c r="I104" s="17" t="str">
        <f>VLOOKUP(Main_Presentation[[#This Row],[LC Number]],Main_Issuance[],7,0)</f>
        <v>LSI PROJECTS LIMITIED - ICAD</v>
      </c>
      <c r="J104" s="17" t="str">
        <f>VLOOKUP(Main_Presentation[[#This Row],[LC Number]],Main_Issuance[],8,0)</f>
        <v>MBL/ICAD</v>
      </c>
      <c r="K104" s="17" t="str">
        <f>VLOOKUP(Main_Presentation[[#This Row],[LC Number]],Main_Issuance[],9,0)</f>
        <v>KSP</v>
      </c>
      <c r="L104" s="17">
        <f>VLOOKUP(Main_Presentation[[#This Row],[LC Number]],Main_Issuance[],10,0)</f>
        <v>1020055</v>
      </c>
      <c r="M104" s="17" t="str">
        <f>VLOOKUP(Main_Presentation[[#This Row],[LC Number]],Main_Issuance[],11,0)</f>
        <v>GBP</v>
      </c>
      <c r="N104" s="84">
        <f>VLOOKUP(Main_Presentation[[#This Row],[LC Number]],Main_Issuance[],12,0)</f>
        <v>5028295</v>
      </c>
      <c r="O104" s="16" t="s">
        <v>20</v>
      </c>
      <c r="P104" s="16" t="s">
        <v>857</v>
      </c>
      <c r="Q104" s="131">
        <v>524209.89</v>
      </c>
      <c r="R104" s="18">
        <v>4.79</v>
      </c>
      <c r="S104" s="18">
        <f>Main_Presentation[[#This Row],[Invoice Amt (FCY)]]*Main_Presentation[[#This Row],[Rate]]</f>
        <v>2510965.3731</v>
      </c>
      <c r="T104" s="15">
        <v>45335</v>
      </c>
      <c r="U104" s="26" t="str">
        <f>VLOOKUP(Main_Presentation[[#This Row],[LC Number]],Main_Issuance[],18,0)</f>
        <v>60 Days from Shipment Date</v>
      </c>
      <c r="V104" s="19" t="s">
        <v>22</v>
      </c>
      <c r="W104" s="18" t="s">
        <v>857</v>
      </c>
      <c r="X104" s="16"/>
      <c r="Y104" s="234" t="str">
        <f>TRIM(LEFT(Main_Presentation[[#This Row],[Payment Terms]],3))</f>
        <v>60</v>
      </c>
      <c r="Z104" s="16"/>
      <c r="AA104" s="316" cm="1">
        <f t="array" ref="AA104">Settlement(Main_Presentation[[#This Row],[Bank]],Main_Presentation[[#This Row],[ Invoice Amt (SAR)]],Main_Presentation[[#This Row],[Date Recd]],Main_Presentation[[#This Row],[Due Date]],Main_Presentation[[#This Row],[Days]])</f>
        <v>1437.5</v>
      </c>
      <c r="AB104" s="16"/>
    </row>
    <row r="105" spans="1:28" ht="15.75" hidden="1" x14ac:dyDescent="0.25">
      <c r="A105" s="14" t="s">
        <v>29</v>
      </c>
      <c r="B105" s="15">
        <v>45336</v>
      </c>
      <c r="C105" s="26">
        <v>9</v>
      </c>
      <c r="D105" s="55" t="str">
        <f>VLOOKUP(Main_Presentation[[#This Row],[LC Number]],Main_Issuance[],3,0)</f>
        <v>Mohammed Atef</v>
      </c>
      <c r="E105" s="16" t="s">
        <v>856</v>
      </c>
      <c r="F105" s="17" t="str">
        <f>VLOOKUP(Main_Presentation[[#This Row],[LC Number]],Main_Issuance[],5,0)</f>
        <v>Alinma</v>
      </c>
      <c r="G105" s="17" t="str">
        <f>VLOOKUP(Main_Presentation[[#This Row],[LC Number]],Main_Issuance[],6,0)</f>
        <v>KSP</v>
      </c>
      <c r="H105" s="17" t="str">
        <f>VLOOKUP(Main_Presentation[[#This Row],[LC Number]],Main_Issuance[],17,0)</f>
        <v>Credit</v>
      </c>
      <c r="I105" s="17" t="str">
        <f>VLOOKUP(Main_Presentation[[#This Row],[LC Number]],Main_Issuance[],7,0)</f>
        <v>LSI PROJECTS LIMITIED - ICAD</v>
      </c>
      <c r="J105" s="17" t="str">
        <f>VLOOKUP(Main_Presentation[[#This Row],[LC Number]],Main_Issuance[],8,0)</f>
        <v>MBL/ICAD</v>
      </c>
      <c r="K105" s="17" t="str">
        <f>VLOOKUP(Main_Presentation[[#This Row],[LC Number]],Main_Issuance[],9,0)</f>
        <v>KSP</v>
      </c>
      <c r="L105" s="17">
        <f>VLOOKUP(Main_Presentation[[#This Row],[LC Number]],Main_Issuance[],10,0)</f>
        <v>1020055</v>
      </c>
      <c r="M105" s="17" t="str">
        <f>VLOOKUP(Main_Presentation[[#This Row],[LC Number]],Main_Issuance[],11,0)</f>
        <v>GBP</v>
      </c>
      <c r="N105" s="84">
        <f>VLOOKUP(Main_Presentation[[#This Row],[LC Number]],Main_Issuance[],12,0)</f>
        <v>5028295</v>
      </c>
      <c r="O105" s="16" t="s">
        <v>20</v>
      </c>
      <c r="P105" s="16" t="s">
        <v>857</v>
      </c>
      <c r="Q105" s="131">
        <v>4684.76</v>
      </c>
      <c r="R105" s="18">
        <v>4.7699999999999996</v>
      </c>
      <c r="S105" s="18">
        <f>Main_Presentation[[#This Row],[Invoice Amt (FCY)]]*Main_Presentation[[#This Row],[Rate]]</f>
        <v>22346.305199999999</v>
      </c>
      <c r="T105" s="15">
        <v>45384</v>
      </c>
      <c r="U105" s="26" t="str">
        <f>VLOOKUP(Main_Presentation[[#This Row],[LC Number]],Main_Issuance[],18,0)</f>
        <v>60 Days from Shipment Date</v>
      </c>
      <c r="V105" s="19" t="s">
        <v>22</v>
      </c>
      <c r="W105" s="18" t="s">
        <v>857</v>
      </c>
      <c r="X105" s="16"/>
      <c r="Y105" s="234" t="str">
        <f>TRIM(LEFT(Main_Presentation[[#This Row],[Payment Terms]],3))</f>
        <v>60</v>
      </c>
      <c r="Z105" s="16"/>
      <c r="AA105" s="316" cm="1">
        <f t="array" ref="AA105">Settlement(Main_Presentation[[#This Row],[Bank]],Main_Presentation[[#This Row],[ Invoice Amt (SAR)]],Main_Presentation[[#This Row],[Date Recd]],Main_Presentation[[#This Row],[Due Date]],Main_Presentation[[#This Row],[Days]])</f>
        <v>1437.5</v>
      </c>
      <c r="AB105" s="16"/>
    </row>
    <row r="106" spans="1:28" ht="15.75" hidden="1" x14ac:dyDescent="0.25">
      <c r="A106" s="14" t="s">
        <v>29</v>
      </c>
      <c r="B106" s="15">
        <v>45368</v>
      </c>
      <c r="C106" s="26">
        <v>10</v>
      </c>
      <c r="D106" s="55" t="str">
        <f>VLOOKUP(Main_Presentation[[#This Row],[LC Number]],Main_Issuance[],3,0)</f>
        <v>Mohammed Atef</v>
      </c>
      <c r="E106" s="16" t="s">
        <v>856</v>
      </c>
      <c r="F106" s="17" t="str">
        <f>VLOOKUP(Main_Presentation[[#This Row],[LC Number]],Main_Issuance[],5,0)</f>
        <v>Alinma</v>
      </c>
      <c r="G106" s="17" t="str">
        <f>VLOOKUP(Main_Presentation[[#This Row],[LC Number]],Main_Issuance[],6,0)</f>
        <v>KSP</v>
      </c>
      <c r="H106" s="17" t="str">
        <f>VLOOKUP(Main_Presentation[[#This Row],[LC Number]],Main_Issuance[],17,0)</f>
        <v>Credit</v>
      </c>
      <c r="I106" s="17" t="str">
        <f>VLOOKUP(Main_Presentation[[#This Row],[LC Number]],Main_Issuance[],7,0)</f>
        <v>LSI PROJECTS LIMITIED - ICAD</v>
      </c>
      <c r="J106" s="17" t="str">
        <f>VLOOKUP(Main_Presentation[[#This Row],[LC Number]],Main_Issuance[],8,0)</f>
        <v>MBL/ICAD</v>
      </c>
      <c r="K106" s="17" t="str">
        <f>VLOOKUP(Main_Presentation[[#This Row],[LC Number]],Main_Issuance[],9,0)</f>
        <v>KSP</v>
      </c>
      <c r="L106" s="17">
        <f>VLOOKUP(Main_Presentation[[#This Row],[LC Number]],Main_Issuance[],10,0)</f>
        <v>1020055</v>
      </c>
      <c r="M106" s="17" t="str">
        <f>VLOOKUP(Main_Presentation[[#This Row],[LC Number]],Main_Issuance[],11,0)</f>
        <v>GBP</v>
      </c>
      <c r="N106" s="84">
        <f>VLOOKUP(Main_Presentation[[#This Row],[LC Number]],Main_Issuance[],12,0)</f>
        <v>5028295</v>
      </c>
      <c r="O106" s="16" t="s">
        <v>20</v>
      </c>
      <c r="P106" s="16" t="s">
        <v>857</v>
      </c>
      <c r="Q106" s="131">
        <v>511248.13</v>
      </c>
      <c r="R106" s="18">
        <v>4.74</v>
      </c>
      <c r="S106" s="18">
        <f>Main_Presentation[[#This Row],[Invoice Amt (FCY)]]*Main_Presentation[[#This Row],[Rate]]</f>
        <v>2423316.1362000001</v>
      </c>
      <c r="T106" s="15">
        <v>45411</v>
      </c>
      <c r="U106" s="26" t="str">
        <f>VLOOKUP(Main_Presentation[[#This Row],[LC Number]],Main_Issuance[],18,0)</f>
        <v>60 Days from Shipment Date</v>
      </c>
      <c r="V106" s="19" t="s">
        <v>22</v>
      </c>
      <c r="W106" s="18" t="s">
        <v>857</v>
      </c>
      <c r="X106" s="16"/>
      <c r="Y106" s="234" t="str">
        <f>TRIM(LEFT(Main_Presentation[[#This Row],[Payment Terms]],3))</f>
        <v>60</v>
      </c>
      <c r="Z106" s="16"/>
      <c r="AA106" s="316" cm="1">
        <f t="array" ref="AA106">Settlement(Main_Presentation[[#This Row],[Bank]],Main_Presentation[[#This Row],[ Invoice Amt (SAR)]],Main_Presentation[[#This Row],[Date Recd]],Main_Presentation[[#This Row],[Due Date]],Main_Presentation[[#This Row],[Days]])</f>
        <v>1437.5</v>
      </c>
      <c r="AB106" s="16"/>
    </row>
    <row r="107" spans="1:28" ht="15.75" hidden="1" x14ac:dyDescent="0.25">
      <c r="A107" s="14" t="s">
        <v>29</v>
      </c>
      <c r="B107" s="15">
        <v>45418</v>
      </c>
      <c r="C107" s="26">
        <v>11</v>
      </c>
      <c r="D107" s="55" t="str">
        <f>VLOOKUP(Main_Presentation[[#This Row],[LC Number]],Main_Issuance[],3,0)</f>
        <v>Mohammed Atef</v>
      </c>
      <c r="E107" s="16" t="s">
        <v>856</v>
      </c>
      <c r="F107" s="17" t="str">
        <f>VLOOKUP(Main_Presentation[[#This Row],[LC Number]],Main_Issuance[],5,0)</f>
        <v>Alinma</v>
      </c>
      <c r="G107" s="17" t="str">
        <f>VLOOKUP(Main_Presentation[[#This Row],[LC Number]],Main_Issuance[],6,0)</f>
        <v>KSP</v>
      </c>
      <c r="H107" s="17" t="str">
        <f>VLOOKUP(Main_Presentation[[#This Row],[LC Number]],Main_Issuance[],17,0)</f>
        <v>Credit</v>
      </c>
      <c r="I107" s="17" t="str">
        <f>VLOOKUP(Main_Presentation[[#This Row],[LC Number]],Main_Issuance[],7,0)</f>
        <v>LSI PROJECTS LIMITIED - ICAD</v>
      </c>
      <c r="J107" s="17" t="str">
        <f>VLOOKUP(Main_Presentation[[#This Row],[LC Number]],Main_Issuance[],8,0)</f>
        <v>MBL/ICAD</v>
      </c>
      <c r="K107" s="17" t="str">
        <f>VLOOKUP(Main_Presentation[[#This Row],[LC Number]],Main_Issuance[],9,0)</f>
        <v>KSP</v>
      </c>
      <c r="L107" s="17">
        <f>VLOOKUP(Main_Presentation[[#This Row],[LC Number]],Main_Issuance[],10,0)</f>
        <v>1020055</v>
      </c>
      <c r="M107" s="17" t="str">
        <f>VLOOKUP(Main_Presentation[[#This Row],[LC Number]],Main_Issuance[],11,0)</f>
        <v>GBP</v>
      </c>
      <c r="N107" s="84">
        <f>VLOOKUP(Main_Presentation[[#This Row],[LC Number]],Main_Issuance[],12,0)</f>
        <v>5028295</v>
      </c>
      <c r="O107" s="16" t="s">
        <v>20</v>
      </c>
      <c r="P107" s="16" t="s">
        <v>857</v>
      </c>
      <c r="Q107" s="131">
        <v>3301.56</v>
      </c>
      <c r="R107" s="18">
        <v>4.8</v>
      </c>
      <c r="S107" s="18">
        <f>Main_Presentation[[#This Row],[Invoice Amt (FCY)]]*Main_Presentation[[#This Row],[Rate]]</f>
        <v>15847.487999999999</v>
      </c>
      <c r="T107" s="15">
        <v>45463</v>
      </c>
      <c r="U107" s="26" t="str">
        <f>VLOOKUP(Main_Presentation[[#This Row],[LC Number]],Main_Issuance[],18,0)</f>
        <v>60 Days from Shipment Date</v>
      </c>
      <c r="V107" s="19" t="s">
        <v>22</v>
      </c>
      <c r="W107" s="18" t="s">
        <v>857</v>
      </c>
      <c r="X107" s="16"/>
      <c r="Y107" s="234" t="str">
        <f>TRIM(LEFT(Main_Presentation[[#This Row],[Payment Terms]],3))</f>
        <v>60</v>
      </c>
      <c r="Z107" s="16"/>
      <c r="AA107" s="316" cm="1">
        <f t="array" ref="AA107">Settlement(Main_Presentation[[#This Row],[Bank]],Main_Presentation[[#This Row],[ Invoice Amt (SAR)]],Main_Presentation[[#This Row],[Date Recd]],Main_Presentation[[#This Row],[Due Date]],Main_Presentation[[#This Row],[Days]])</f>
        <v>1437.5</v>
      </c>
      <c r="AB107" s="16"/>
    </row>
    <row r="108" spans="1:28" ht="15.75" hidden="1" x14ac:dyDescent="0.25">
      <c r="A108" s="14" t="s">
        <v>29</v>
      </c>
      <c r="B108" s="15">
        <v>45418</v>
      </c>
      <c r="C108" s="26">
        <v>12</v>
      </c>
      <c r="D108" s="55" t="str">
        <f>VLOOKUP(Main_Presentation[[#This Row],[LC Number]],Main_Issuance[],3,0)</f>
        <v>Mohammed Atef</v>
      </c>
      <c r="E108" s="16" t="s">
        <v>856</v>
      </c>
      <c r="F108" s="17" t="str">
        <f>VLOOKUP(Main_Presentation[[#This Row],[LC Number]],Main_Issuance[],5,0)</f>
        <v>Alinma</v>
      </c>
      <c r="G108" s="17" t="str">
        <f>VLOOKUP(Main_Presentation[[#This Row],[LC Number]],Main_Issuance[],6,0)</f>
        <v>KSP</v>
      </c>
      <c r="H108" s="17" t="str">
        <f>VLOOKUP(Main_Presentation[[#This Row],[LC Number]],Main_Issuance[],17,0)</f>
        <v>Credit</v>
      </c>
      <c r="I108" s="17" t="str">
        <f>VLOOKUP(Main_Presentation[[#This Row],[LC Number]],Main_Issuance[],7,0)</f>
        <v>LSI PROJECTS LIMITIED - ICAD</v>
      </c>
      <c r="J108" s="17" t="str">
        <f>VLOOKUP(Main_Presentation[[#This Row],[LC Number]],Main_Issuance[],8,0)</f>
        <v>MBL/ICAD</v>
      </c>
      <c r="K108" s="17" t="str">
        <f>VLOOKUP(Main_Presentation[[#This Row],[LC Number]],Main_Issuance[],9,0)</f>
        <v>KSP</v>
      </c>
      <c r="L108" s="17">
        <f>VLOOKUP(Main_Presentation[[#This Row],[LC Number]],Main_Issuance[],10,0)</f>
        <v>1020055</v>
      </c>
      <c r="M108" s="17" t="str">
        <f>VLOOKUP(Main_Presentation[[#This Row],[LC Number]],Main_Issuance[],11,0)</f>
        <v>GBP</v>
      </c>
      <c r="N108" s="84">
        <f>VLOOKUP(Main_Presentation[[#This Row],[LC Number]],Main_Issuance[],12,0)</f>
        <v>5028295</v>
      </c>
      <c r="O108" s="16" t="s">
        <v>20</v>
      </c>
      <c r="P108" s="16" t="s">
        <v>857</v>
      </c>
      <c r="Q108" s="131">
        <v>105787.57</v>
      </c>
      <c r="R108" s="18">
        <v>4.8</v>
      </c>
      <c r="S108" s="18">
        <f>Main_Presentation[[#This Row],[Invoice Amt (FCY)]]*Main_Presentation[[#This Row],[Rate]]</f>
        <v>507780.33600000001</v>
      </c>
      <c r="T108" s="15">
        <v>45460</v>
      </c>
      <c r="U108" s="26" t="str">
        <f>VLOOKUP(Main_Presentation[[#This Row],[LC Number]],Main_Issuance[],18,0)</f>
        <v>60 Days from Shipment Date</v>
      </c>
      <c r="V108" s="19" t="s">
        <v>22</v>
      </c>
      <c r="W108" s="18" t="s">
        <v>857</v>
      </c>
      <c r="X108" s="16"/>
      <c r="Y108" s="234" t="str">
        <f>TRIM(LEFT(Main_Presentation[[#This Row],[Payment Terms]],3))</f>
        <v>60</v>
      </c>
      <c r="Z108" s="16"/>
      <c r="AA108" s="316" cm="1">
        <f t="array" ref="AA108">Settlement(Main_Presentation[[#This Row],[Bank]],Main_Presentation[[#This Row],[ Invoice Amt (SAR)]],Main_Presentation[[#This Row],[Date Recd]],Main_Presentation[[#This Row],[Due Date]],Main_Presentation[[#This Row],[Days]])</f>
        <v>1437.5</v>
      </c>
      <c r="AB108" s="16"/>
    </row>
    <row r="109" spans="1:28" ht="15.75" hidden="1" x14ac:dyDescent="0.25">
      <c r="A109" s="14" t="s">
        <v>29</v>
      </c>
      <c r="B109" s="15">
        <v>45446</v>
      </c>
      <c r="C109" s="26">
        <v>13</v>
      </c>
      <c r="D109" s="55" t="str">
        <f>VLOOKUP(Main_Presentation[[#This Row],[LC Number]],Main_Issuance[],3,0)</f>
        <v>Mohammed Atef</v>
      </c>
      <c r="E109" s="16" t="s">
        <v>856</v>
      </c>
      <c r="F109" s="17" t="str">
        <f>VLOOKUP(Main_Presentation[[#This Row],[LC Number]],Main_Issuance[],5,0)</f>
        <v>Alinma</v>
      </c>
      <c r="G109" s="17" t="str">
        <f>VLOOKUP(Main_Presentation[[#This Row],[LC Number]],Main_Issuance[],6,0)</f>
        <v>KSP</v>
      </c>
      <c r="H109" s="17" t="str">
        <f>VLOOKUP(Main_Presentation[[#This Row],[LC Number]],Main_Issuance[],17,0)</f>
        <v>Credit</v>
      </c>
      <c r="I109" s="17" t="str">
        <f>VLOOKUP(Main_Presentation[[#This Row],[LC Number]],Main_Issuance[],7,0)</f>
        <v>LSI PROJECTS LIMITIED - ICAD</v>
      </c>
      <c r="J109" s="17" t="str">
        <f>VLOOKUP(Main_Presentation[[#This Row],[LC Number]],Main_Issuance[],8,0)</f>
        <v>MBL/ICAD</v>
      </c>
      <c r="K109" s="17" t="str">
        <f>VLOOKUP(Main_Presentation[[#This Row],[LC Number]],Main_Issuance[],9,0)</f>
        <v>KSP</v>
      </c>
      <c r="L109" s="17">
        <f>VLOOKUP(Main_Presentation[[#This Row],[LC Number]],Main_Issuance[],10,0)</f>
        <v>1020055</v>
      </c>
      <c r="M109" s="17" t="str">
        <f>VLOOKUP(Main_Presentation[[#This Row],[LC Number]],Main_Issuance[],11,0)</f>
        <v>GBP</v>
      </c>
      <c r="N109" s="84">
        <f>VLOOKUP(Main_Presentation[[#This Row],[LC Number]],Main_Issuance[],12,0)</f>
        <v>5028295</v>
      </c>
      <c r="O109" s="16" t="s">
        <v>20</v>
      </c>
      <c r="P109" s="16" t="s">
        <v>857</v>
      </c>
      <c r="Q109" s="131">
        <v>254506.55</v>
      </c>
      <c r="R109" s="18">
        <v>4.8499999999999996</v>
      </c>
      <c r="S109" s="18">
        <f>Main_Presentation[[#This Row],[Invoice Amt (FCY)]]*Main_Presentation[[#This Row],[Rate]]</f>
        <v>1234356.7674999998</v>
      </c>
      <c r="T109" s="15">
        <v>45481</v>
      </c>
      <c r="U109" s="26" t="str">
        <f>VLOOKUP(Main_Presentation[[#This Row],[LC Number]],Main_Issuance[],18,0)</f>
        <v>60 Days from Shipment Date</v>
      </c>
      <c r="V109" s="19" t="s">
        <v>22</v>
      </c>
      <c r="W109" s="18" t="s">
        <v>857</v>
      </c>
      <c r="X109" s="16"/>
      <c r="Y109" s="234" t="str">
        <f>TRIM(LEFT(Main_Presentation[[#This Row],[Payment Terms]],3))</f>
        <v>60</v>
      </c>
      <c r="Z109" s="16"/>
      <c r="AA109" s="316" cm="1">
        <f t="array" ref="AA109">Settlement(Main_Presentation[[#This Row],[Bank]],Main_Presentation[[#This Row],[ Invoice Amt (SAR)]],Main_Presentation[[#This Row],[Date Recd]],Main_Presentation[[#This Row],[Due Date]],Main_Presentation[[#This Row],[Days]])</f>
        <v>1437.5</v>
      </c>
      <c r="AB109" s="16"/>
    </row>
    <row r="110" spans="1:28" ht="15.75" hidden="1" x14ac:dyDescent="0.25">
      <c r="A110" s="14" t="s">
        <v>29</v>
      </c>
      <c r="B110" s="15">
        <v>45474</v>
      </c>
      <c r="C110" s="26">
        <v>14</v>
      </c>
      <c r="D110" s="55" t="str">
        <f>VLOOKUP(Main_Presentation[[#This Row],[LC Number]],Main_Issuance[],3,0)</f>
        <v>Mohammed Atef</v>
      </c>
      <c r="E110" s="16" t="s">
        <v>856</v>
      </c>
      <c r="F110" s="17" t="str">
        <f>VLOOKUP(Main_Presentation[[#This Row],[LC Number]],Main_Issuance[],5,0)</f>
        <v>Alinma</v>
      </c>
      <c r="G110" s="17" t="str">
        <f>VLOOKUP(Main_Presentation[[#This Row],[LC Number]],Main_Issuance[],6,0)</f>
        <v>KSP</v>
      </c>
      <c r="H110" s="17" t="str">
        <f>VLOOKUP(Main_Presentation[[#This Row],[LC Number]],Main_Issuance[],17,0)</f>
        <v>Credit</v>
      </c>
      <c r="I110" s="17" t="str">
        <f>VLOOKUP(Main_Presentation[[#This Row],[LC Number]],Main_Issuance[],7,0)</f>
        <v>LSI PROJECTS LIMITIED - ICAD</v>
      </c>
      <c r="J110" s="17" t="str">
        <f>VLOOKUP(Main_Presentation[[#This Row],[LC Number]],Main_Issuance[],8,0)</f>
        <v>MBL/ICAD</v>
      </c>
      <c r="K110" s="17" t="str">
        <f>VLOOKUP(Main_Presentation[[#This Row],[LC Number]],Main_Issuance[],9,0)</f>
        <v>KSP</v>
      </c>
      <c r="L110" s="17">
        <f>VLOOKUP(Main_Presentation[[#This Row],[LC Number]],Main_Issuance[],10,0)</f>
        <v>1020055</v>
      </c>
      <c r="M110" s="17" t="str">
        <f>VLOOKUP(Main_Presentation[[#This Row],[LC Number]],Main_Issuance[],11,0)</f>
        <v>GBP</v>
      </c>
      <c r="N110" s="84">
        <f>VLOOKUP(Main_Presentation[[#This Row],[LC Number]],Main_Issuance[],12,0)</f>
        <v>5028295</v>
      </c>
      <c r="O110" s="16" t="s">
        <v>20</v>
      </c>
      <c r="P110" s="16" t="s">
        <v>857</v>
      </c>
      <c r="Q110" s="131">
        <v>106183.62</v>
      </c>
      <c r="R110" s="18">
        <v>4.835</v>
      </c>
      <c r="S110" s="18">
        <f>Main_Presentation[[#This Row],[Invoice Amt (FCY)]]*Main_Presentation[[#This Row],[Rate]]</f>
        <v>513397.8027</v>
      </c>
      <c r="T110" s="15">
        <v>45509</v>
      </c>
      <c r="U110" s="26" t="str">
        <f>VLOOKUP(Main_Presentation[[#This Row],[LC Number]],Main_Issuance[],18,0)</f>
        <v>60 Days from Shipment Date</v>
      </c>
      <c r="V110" s="19" t="s">
        <v>22</v>
      </c>
      <c r="W110" s="18" t="s">
        <v>857</v>
      </c>
      <c r="X110" s="16"/>
      <c r="Y110" s="234" t="str">
        <f>TRIM(LEFT(Main_Presentation[[#This Row],[Payment Terms]],3))</f>
        <v>60</v>
      </c>
      <c r="Z110" s="16"/>
      <c r="AA110" s="316" cm="1">
        <f t="array" ref="AA110">Settlement(Main_Presentation[[#This Row],[Bank]],Main_Presentation[[#This Row],[ Invoice Amt (SAR)]],Main_Presentation[[#This Row],[Date Recd]],Main_Presentation[[#This Row],[Due Date]],Main_Presentation[[#This Row],[Days]])</f>
        <v>1437.5</v>
      </c>
      <c r="AB110" s="16"/>
    </row>
    <row r="111" spans="1:28" ht="15.75" hidden="1" x14ac:dyDescent="0.25">
      <c r="A111" s="34" t="s">
        <v>254</v>
      </c>
      <c r="B111" s="35">
        <v>45309</v>
      </c>
      <c r="C111" s="36">
        <v>1</v>
      </c>
      <c r="D111" s="55" t="str">
        <f>VLOOKUP(Main_Presentation[[#This Row],[LC Number]],Main_Issuance[],3,0)</f>
        <v>Mohammed Atef</v>
      </c>
      <c r="E111" s="33" t="s">
        <v>856</v>
      </c>
      <c r="F111" s="37" t="str">
        <f>VLOOKUP(Main_Presentation[[#This Row],[LC Number]],Main_Issuance[],5,0)</f>
        <v>Alinma</v>
      </c>
      <c r="G111" s="37" t="str">
        <f>VLOOKUP(Main_Presentation[[#This Row],[LC Number]],Main_Issuance[],6,0)</f>
        <v>KSP</v>
      </c>
      <c r="H111" s="37" t="str">
        <f>VLOOKUP(Main_Presentation[[#This Row],[LC Number]],Main_Issuance[],17,0)</f>
        <v>Credit</v>
      </c>
      <c r="I111" s="37" t="str">
        <f>VLOOKUP(Main_Presentation[[#This Row],[LC Number]],Main_Issuance[],7,0)</f>
        <v>BBH-CHEMTROL INTERNATIONAL ORGANIZATION S.L</v>
      </c>
      <c r="J111" s="37" t="str">
        <f>VLOOKUP(Main_Presentation[[#This Row],[LC Number]],Main_Issuance[],8,0)</f>
        <v>MBL/ICAD</v>
      </c>
      <c r="K111" s="37" t="str">
        <f>VLOOKUP(Main_Presentation[[#This Row],[LC Number]],Main_Issuance[],9,0)</f>
        <v>KSP</v>
      </c>
      <c r="L111" s="37">
        <f>VLOOKUP(Main_Presentation[[#This Row],[LC Number]],Main_Issuance[],10,0)</f>
        <v>1020055</v>
      </c>
      <c r="M111" s="37" t="str">
        <f>VLOOKUP(Main_Presentation[[#This Row],[LC Number]],Main_Issuance[],11,0)</f>
        <v>EUR</v>
      </c>
      <c r="N111" s="85">
        <f>VLOOKUP(Main_Presentation[[#This Row],[LC Number]],Main_Issuance[],12,0)</f>
        <v>8182985</v>
      </c>
      <c r="O111" s="33" t="s">
        <v>20</v>
      </c>
      <c r="P111" s="33" t="s">
        <v>857</v>
      </c>
      <c r="Q111" s="131">
        <v>154330.06</v>
      </c>
      <c r="R111" s="38">
        <v>4.0999999999999996</v>
      </c>
      <c r="S111" s="38">
        <f>Main_Presentation[[#This Row],[Invoice Amt (FCY)]]*Main_Presentation[[#This Row],[Rate]]</f>
        <v>632753.24599999993</v>
      </c>
      <c r="T111" s="35">
        <v>45320</v>
      </c>
      <c r="U111" s="36" t="str">
        <f>VLOOKUP(Main_Presentation[[#This Row],[LC Number]],Main_Issuance[],18,0)</f>
        <v>30 Days from Shipment Date</v>
      </c>
      <c r="V111" s="39" t="s">
        <v>22</v>
      </c>
      <c r="W111" s="38" t="s">
        <v>857</v>
      </c>
      <c r="X111" s="33"/>
      <c r="Y111" s="234" t="str">
        <f>TRIM(LEFT(Main_Presentation[[#This Row],[Payment Terms]],3))</f>
        <v>30</v>
      </c>
      <c r="Z111" s="16"/>
      <c r="AA111" s="316" cm="1">
        <f t="array" ref="AA111">Settlement(Main_Presentation[[#This Row],[Bank]],Main_Presentation[[#This Row],[ Invoice Amt (SAR)]],Main_Presentation[[#This Row],[Date Recd]],Main_Presentation[[#This Row],[Due Date]],Main_Presentation[[#This Row],[Days]])</f>
        <v>1437.5</v>
      </c>
      <c r="AB111" s="16"/>
    </row>
    <row r="112" spans="1:28" ht="15.75" hidden="1" x14ac:dyDescent="0.25">
      <c r="A112" s="34" t="s">
        <v>254</v>
      </c>
      <c r="B112" s="35">
        <v>45333</v>
      </c>
      <c r="C112" s="36">
        <v>2</v>
      </c>
      <c r="D112" s="55" t="str">
        <f>VLOOKUP(Main_Presentation[[#This Row],[LC Number]],Main_Issuance[],3,0)</f>
        <v>Mohammed Atef</v>
      </c>
      <c r="E112" s="33" t="s">
        <v>856</v>
      </c>
      <c r="F112" s="37" t="str">
        <f>VLOOKUP(Main_Presentation[[#This Row],[LC Number]],Main_Issuance[],5,0)</f>
        <v>Alinma</v>
      </c>
      <c r="G112" s="37" t="str">
        <f>VLOOKUP(Main_Presentation[[#This Row],[LC Number]],Main_Issuance[],6,0)</f>
        <v>KSP</v>
      </c>
      <c r="H112" s="37" t="str">
        <f>VLOOKUP(Main_Presentation[[#This Row],[LC Number]],Main_Issuance[],17,0)</f>
        <v>Credit</v>
      </c>
      <c r="I112" s="37" t="str">
        <f>VLOOKUP(Main_Presentation[[#This Row],[LC Number]],Main_Issuance[],7,0)</f>
        <v>BBH-CHEMTROL INTERNATIONAL ORGANIZATION S.L</v>
      </c>
      <c r="J112" s="37" t="str">
        <f>VLOOKUP(Main_Presentation[[#This Row],[LC Number]],Main_Issuance[],8,0)</f>
        <v>MBL/ICAD</v>
      </c>
      <c r="K112" s="37" t="str">
        <f>VLOOKUP(Main_Presentation[[#This Row],[LC Number]],Main_Issuance[],9,0)</f>
        <v>KSP</v>
      </c>
      <c r="L112" s="37">
        <f>VLOOKUP(Main_Presentation[[#This Row],[LC Number]],Main_Issuance[],10,0)</f>
        <v>1020055</v>
      </c>
      <c r="M112" s="37" t="str">
        <f>VLOOKUP(Main_Presentation[[#This Row],[LC Number]],Main_Issuance[],11,0)</f>
        <v>EUR</v>
      </c>
      <c r="N112" s="85">
        <f>VLOOKUP(Main_Presentation[[#This Row],[LC Number]],Main_Issuance[],12,0)</f>
        <v>8182985</v>
      </c>
      <c r="O112" s="33" t="s">
        <v>20</v>
      </c>
      <c r="P112" s="33" t="s">
        <v>857</v>
      </c>
      <c r="Q112" s="131">
        <v>372358.62</v>
      </c>
      <c r="R112" s="38">
        <v>4.0650000000000004</v>
      </c>
      <c r="S112" s="38">
        <f>Main_Presentation[[#This Row],[Invoice Amt (FCY)]]*Main_Presentation[[#This Row],[Rate]]</f>
        <v>1513637.7903000002</v>
      </c>
      <c r="T112" s="35">
        <v>45328</v>
      </c>
      <c r="U112" s="36" t="str">
        <f>VLOOKUP(Main_Presentation[[#This Row],[LC Number]],Main_Issuance[],18,0)</f>
        <v>30 Days from Shipment Date</v>
      </c>
      <c r="V112" s="39" t="s">
        <v>22</v>
      </c>
      <c r="W112" s="38" t="s">
        <v>857</v>
      </c>
      <c r="X112" s="33"/>
      <c r="Y112" s="234" t="str">
        <f>TRIM(LEFT(Main_Presentation[[#This Row],[Payment Terms]],3))</f>
        <v>30</v>
      </c>
      <c r="Z112" s="16"/>
      <c r="AA112" s="316" cm="1">
        <f t="array" ref="AA112">Settlement(Main_Presentation[[#This Row],[Bank]],Main_Presentation[[#This Row],[ Invoice Amt (SAR)]],Main_Presentation[[#This Row],[Date Recd]],Main_Presentation[[#This Row],[Due Date]],Main_Presentation[[#This Row],[Days]])</f>
        <v>1437.5</v>
      </c>
      <c r="AB112" s="16"/>
    </row>
    <row r="113" spans="1:28" ht="15.75" hidden="1" x14ac:dyDescent="0.25">
      <c r="A113" s="34" t="s">
        <v>254</v>
      </c>
      <c r="B113" s="35">
        <v>45400</v>
      </c>
      <c r="C113" s="36">
        <v>3</v>
      </c>
      <c r="D113" s="55" t="str">
        <f>VLOOKUP(Main_Presentation[[#This Row],[LC Number]],Main_Issuance[],3,0)</f>
        <v>Mohammed Atef</v>
      </c>
      <c r="E113" s="33" t="s">
        <v>856</v>
      </c>
      <c r="F113" s="37" t="str">
        <f>VLOOKUP(Main_Presentation[[#This Row],[LC Number]],Main_Issuance[],5,0)</f>
        <v>Alinma</v>
      </c>
      <c r="G113" s="37" t="str">
        <f>VLOOKUP(Main_Presentation[[#This Row],[LC Number]],Main_Issuance[],6,0)</f>
        <v>KSP</v>
      </c>
      <c r="H113" s="37" t="str">
        <f>VLOOKUP(Main_Presentation[[#This Row],[LC Number]],Main_Issuance[],17,0)</f>
        <v>Credit</v>
      </c>
      <c r="I113" s="37" t="str">
        <f>VLOOKUP(Main_Presentation[[#This Row],[LC Number]],Main_Issuance[],7,0)</f>
        <v>BBH-CHEMTROL INTERNATIONAL ORGANIZATION S.L</v>
      </c>
      <c r="J113" s="37" t="str">
        <f>VLOOKUP(Main_Presentation[[#This Row],[LC Number]],Main_Issuance[],8,0)</f>
        <v>MBL/ICAD</v>
      </c>
      <c r="K113" s="37" t="str">
        <f>VLOOKUP(Main_Presentation[[#This Row],[LC Number]],Main_Issuance[],9,0)</f>
        <v>KSP</v>
      </c>
      <c r="L113" s="37">
        <f>VLOOKUP(Main_Presentation[[#This Row],[LC Number]],Main_Issuance[],10,0)</f>
        <v>1020055</v>
      </c>
      <c r="M113" s="37" t="str">
        <f>VLOOKUP(Main_Presentation[[#This Row],[LC Number]],Main_Issuance[],11,0)</f>
        <v>EUR</v>
      </c>
      <c r="N113" s="85">
        <f>VLOOKUP(Main_Presentation[[#This Row],[LC Number]],Main_Issuance[],12,0)</f>
        <v>8182985</v>
      </c>
      <c r="O113" s="33" t="s">
        <v>20</v>
      </c>
      <c r="P113" s="33" t="s">
        <v>857</v>
      </c>
      <c r="Q113" s="131">
        <v>67040.63</v>
      </c>
      <c r="R113" s="38">
        <v>4.1100000000000003</v>
      </c>
      <c r="S113" s="38">
        <f>Main_Presentation[[#This Row],[Invoice Amt (FCY)]]*Main_Presentation[[#This Row],[Rate]]</f>
        <v>275536.98930000002</v>
      </c>
      <c r="T113" s="35">
        <v>45421</v>
      </c>
      <c r="U113" s="36" t="str">
        <f>VLOOKUP(Main_Presentation[[#This Row],[LC Number]],Main_Issuance[],18,0)</f>
        <v>30 Days from Shipment Date</v>
      </c>
      <c r="V113" s="39" t="s">
        <v>22</v>
      </c>
      <c r="W113" s="38" t="s">
        <v>857</v>
      </c>
      <c r="X113" s="33"/>
      <c r="Y113" s="234" t="str">
        <f>TRIM(LEFT(Main_Presentation[[#This Row],[Payment Terms]],3))</f>
        <v>30</v>
      </c>
      <c r="Z113" s="16"/>
      <c r="AA113" s="316" cm="1">
        <f t="array" ref="AA113">Settlement(Main_Presentation[[#This Row],[Bank]],Main_Presentation[[#This Row],[ Invoice Amt (SAR)]],Main_Presentation[[#This Row],[Date Recd]],Main_Presentation[[#This Row],[Due Date]],Main_Presentation[[#This Row],[Days]])</f>
        <v>1437.5</v>
      </c>
      <c r="AB113" s="16"/>
    </row>
    <row r="114" spans="1:28" ht="15.75" hidden="1" x14ac:dyDescent="0.25">
      <c r="A114" s="34" t="s">
        <v>254</v>
      </c>
      <c r="B114" s="35">
        <v>45414</v>
      </c>
      <c r="C114" s="36">
        <v>4</v>
      </c>
      <c r="D114" s="55" t="str">
        <f>VLOOKUP(Main_Presentation[[#This Row],[LC Number]],Main_Issuance[],3,0)</f>
        <v>Mohammed Atef</v>
      </c>
      <c r="E114" s="33" t="s">
        <v>856</v>
      </c>
      <c r="F114" s="37" t="str">
        <f>VLOOKUP(Main_Presentation[[#This Row],[LC Number]],Main_Issuance[],5,0)</f>
        <v>Alinma</v>
      </c>
      <c r="G114" s="37" t="str">
        <f>VLOOKUP(Main_Presentation[[#This Row],[LC Number]],Main_Issuance[],6,0)</f>
        <v>KSP</v>
      </c>
      <c r="H114" s="37" t="str">
        <f>VLOOKUP(Main_Presentation[[#This Row],[LC Number]],Main_Issuance[],17,0)</f>
        <v>Credit</v>
      </c>
      <c r="I114" s="37" t="str">
        <f>VLOOKUP(Main_Presentation[[#This Row],[LC Number]],Main_Issuance[],7,0)</f>
        <v>BBH-CHEMTROL INTERNATIONAL ORGANIZATION S.L</v>
      </c>
      <c r="J114" s="37" t="str">
        <f>VLOOKUP(Main_Presentation[[#This Row],[LC Number]],Main_Issuance[],8,0)</f>
        <v>MBL/ICAD</v>
      </c>
      <c r="K114" s="37" t="str">
        <f>VLOOKUP(Main_Presentation[[#This Row],[LC Number]],Main_Issuance[],9,0)</f>
        <v>KSP</v>
      </c>
      <c r="L114" s="37">
        <f>VLOOKUP(Main_Presentation[[#This Row],[LC Number]],Main_Issuance[],10,0)</f>
        <v>1020055</v>
      </c>
      <c r="M114" s="37" t="str">
        <f>VLOOKUP(Main_Presentation[[#This Row],[LC Number]],Main_Issuance[],11,0)</f>
        <v>EUR</v>
      </c>
      <c r="N114" s="85">
        <f>VLOOKUP(Main_Presentation[[#This Row],[LC Number]],Main_Issuance[],12,0)</f>
        <v>8182985</v>
      </c>
      <c r="O114" s="33" t="s">
        <v>20</v>
      </c>
      <c r="P114" s="33" t="s">
        <v>857</v>
      </c>
      <c r="Q114" s="131">
        <v>378829.46</v>
      </c>
      <c r="R114" s="38">
        <v>4.12</v>
      </c>
      <c r="S114" s="38">
        <f>Main_Presentation[[#This Row],[Invoice Amt (FCY)]]*Main_Presentation[[#This Row],[Rate]]</f>
        <v>1560777.3752000001</v>
      </c>
      <c r="T114" s="35">
        <v>45428</v>
      </c>
      <c r="U114" s="36" t="str">
        <f>VLOOKUP(Main_Presentation[[#This Row],[LC Number]],Main_Issuance[],18,0)</f>
        <v>30 Days from Shipment Date</v>
      </c>
      <c r="V114" s="39" t="s">
        <v>22</v>
      </c>
      <c r="W114" s="38" t="s">
        <v>857</v>
      </c>
      <c r="X114" s="33"/>
      <c r="Y114" s="234" t="str">
        <f>TRIM(LEFT(Main_Presentation[[#This Row],[Payment Terms]],3))</f>
        <v>30</v>
      </c>
      <c r="Z114" s="16"/>
      <c r="AA114" s="316" cm="1">
        <f t="array" ref="AA114">Settlement(Main_Presentation[[#This Row],[Bank]],Main_Presentation[[#This Row],[ Invoice Amt (SAR)]],Main_Presentation[[#This Row],[Date Recd]],Main_Presentation[[#This Row],[Due Date]],Main_Presentation[[#This Row],[Days]])</f>
        <v>1437.5</v>
      </c>
      <c r="AB114" s="16"/>
    </row>
    <row r="115" spans="1:28" ht="15.75" hidden="1" x14ac:dyDescent="0.25">
      <c r="A115" s="34" t="s">
        <v>254</v>
      </c>
      <c r="B115" s="35">
        <v>45434</v>
      </c>
      <c r="C115" s="36">
        <v>5</v>
      </c>
      <c r="D115" s="55" t="str">
        <f>VLOOKUP(Main_Presentation[[#This Row],[LC Number]],Main_Issuance[],3,0)</f>
        <v>Mohammed Atef</v>
      </c>
      <c r="E115" s="33" t="s">
        <v>856</v>
      </c>
      <c r="F115" s="37" t="str">
        <f>VLOOKUP(Main_Presentation[[#This Row],[LC Number]],Main_Issuance[],5,0)</f>
        <v>Alinma</v>
      </c>
      <c r="G115" s="37" t="str">
        <f>VLOOKUP(Main_Presentation[[#This Row],[LC Number]],Main_Issuance[],6,0)</f>
        <v>KSP</v>
      </c>
      <c r="H115" s="37" t="str">
        <f>VLOOKUP(Main_Presentation[[#This Row],[LC Number]],Main_Issuance[],17,0)</f>
        <v>Credit</v>
      </c>
      <c r="I115" s="37" t="str">
        <f>VLOOKUP(Main_Presentation[[#This Row],[LC Number]],Main_Issuance[],7,0)</f>
        <v>BBH-CHEMTROL INTERNATIONAL ORGANIZATION S.L</v>
      </c>
      <c r="J115" s="37" t="str">
        <f>VLOOKUP(Main_Presentation[[#This Row],[LC Number]],Main_Issuance[],8,0)</f>
        <v>MBL/ICAD</v>
      </c>
      <c r="K115" s="37" t="str">
        <f>VLOOKUP(Main_Presentation[[#This Row],[LC Number]],Main_Issuance[],9,0)</f>
        <v>KSP</v>
      </c>
      <c r="L115" s="37">
        <f>VLOOKUP(Main_Presentation[[#This Row],[LC Number]],Main_Issuance[],10,0)</f>
        <v>1020055</v>
      </c>
      <c r="M115" s="37" t="str">
        <f>VLOOKUP(Main_Presentation[[#This Row],[LC Number]],Main_Issuance[],11,0)</f>
        <v>EUR</v>
      </c>
      <c r="N115" s="85">
        <f>VLOOKUP(Main_Presentation[[#This Row],[LC Number]],Main_Issuance[],12,0)</f>
        <v>8182985</v>
      </c>
      <c r="O115" s="33" t="s">
        <v>20</v>
      </c>
      <c r="P115" s="33" t="s">
        <v>857</v>
      </c>
      <c r="Q115" s="131">
        <v>656828.56999999995</v>
      </c>
      <c r="R115" s="38">
        <v>4.1006999999999998</v>
      </c>
      <c r="S115" s="38">
        <f>Main_Presentation[[#This Row],[Invoice Amt (FCY)]]*Main_Presentation[[#This Row],[Rate]]</f>
        <v>2693456.9169989997</v>
      </c>
      <c r="T115" s="35">
        <v>45455</v>
      </c>
      <c r="U115" s="36" t="str">
        <f>VLOOKUP(Main_Presentation[[#This Row],[LC Number]],Main_Issuance[],18,0)</f>
        <v>30 Days from Shipment Date</v>
      </c>
      <c r="V115" s="39" t="s">
        <v>22</v>
      </c>
      <c r="W115" s="38" t="s">
        <v>857</v>
      </c>
      <c r="X115" s="33"/>
      <c r="Y115" s="234" t="str">
        <f>TRIM(LEFT(Main_Presentation[[#This Row],[Payment Terms]],3))</f>
        <v>30</v>
      </c>
      <c r="Z115" s="16"/>
      <c r="AA115" s="316" cm="1">
        <f t="array" ref="AA115">Settlement(Main_Presentation[[#This Row],[Bank]],Main_Presentation[[#This Row],[ Invoice Amt (SAR)]],Main_Presentation[[#This Row],[Date Recd]],Main_Presentation[[#This Row],[Due Date]],Main_Presentation[[#This Row],[Days]])</f>
        <v>1437.5</v>
      </c>
      <c r="AB115" s="16"/>
    </row>
    <row r="116" spans="1:28" ht="15.75" hidden="1" x14ac:dyDescent="0.25">
      <c r="A116" s="34" t="s">
        <v>254</v>
      </c>
      <c r="B116" s="35">
        <v>45473</v>
      </c>
      <c r="C116" s="36">
        <v>6</v>
      </c>
      <c r="D116" s="55" t="str">
        <f>VLOOKUP(Main_Presentation[[#This Row],[LC Number]],Main_Issuance[],3,0)</f>
        <v>Mohammed Atef</v>
      </c>
      <c r="E116" s="33" t="s">
        <v>856</v>
      </c>
      <c r="F116" s="37" t="str">
        <f>VLOOKUP(Main_Presentation[[#This Row],[LC Number]],Main_Issuance[],5,0)</f>
        <v>Alinma</v>
      </c>
      <c r="G116" s="37" t="str">
        <f>VLOOKUP(Main_Presentation[[#This Row],[LC Number]],Main_Issuance[],6,0)</f>
        <v>KSP</v>
      </c>
      <c r="H116" s="37" t="str">
        <f>VLOOKUP(Main_Presentation[[#This Row],[LC Number]],Main_Issuance[],17,0)</f>
        <v>Credit</v>
      </c>
      <c r="I116" s="37" t="str">
        <f>VLOOKUP(Main_Presentation[[#This Row],[LC Number]],Main_Issuance[],7,0)</f>
        <v>BBH-CHEMTROL INTERNATIONAL ORGANIZATION S.L</v>
      </c>
      <c r="J116" s="37" t="str">
        <f>VLOOKUP(Main_Presentation[[#This Row],[LC Number]],Main_Issuance[],8,0)</f>
        <v>MBL/ICAD</v>
      </c>
      <c r="K116" s="37" t="str">
        <f>VLOOKUP(Main_Presentation[[#This Row],[LC Number]],Main_Issuance[],9,0)</f>
        <v>KSP</v>
      </c>
      <c r="L116" s="37">
        <f>VLOOKUP(Main_Presentation[[#This Row],[LC Number]],Main_Issuance[],10,0)</f>
        <v>1020055</v>
      </c>
      <c r="M116" s="37" t="str">
        <f>VLOOKUP(Main_Presentation[[#This Row],[LC Number]],Main_Issuance[],11,0)</f>
        <v>EUR</v>
      </c>
      <c r="N116" s="85">
        <f>VLOOKUP(Main_Presentation[[#This Row],[LC Number]],Main_Issuance[],12,0)</f>
        <v>8182985</v>
      </c>
      <c r="O116" s="33" t="s">
        <v>20</v>
      </c>
      <c r="P116" s="33" t="s">
        <v>857</v>
      </c>
      <c r="Q116" s="131">
        <v>235663.31</v>
      </c>
      <c r="R116" s="38">
        <v>4.1020000000000003</v>
      </c>
      <c r="S116" s="38">
        <f>Main_Presentation[[#This Row],[Invoice Amt (FCY)]]*Main_Presentation[[#This Row],[Rate]]</f>
        <v>966690.89762000006</v>
      </c>
      <c r="T116" s="35">
        <v>45502</v>
      </c>
      <c r="U116" s="36" t="str">
        <f>VLOOKUP(Main_Presentation[[#This Row],[LC Number]],Main_Issuance[],18,0)</f>
        <v>30 Days from Shipment Date</v>
      </c>
      <c r="V116" s="39" t="s">
        <v>22</v>
      </c>
      <c r="W116" s="38" t="s">
        <v>857</v>
      </c>
      <c r="X116" s="33"/>
      <c r="Y116" s="234" t="str">
        <f>TRIM(LEFT(Main_Presentation[[#This Row],[Payment Terms]],3))</f>
        <v>30</v>
      </c>
      <c r="Z116" s="16"/>
      <c r="AA116" s="316" cm="1">
        <f t="array" ref="AA116">Settlement(Main_Presentation[[#This Row],[Bank]],Main_Presentation[[#This Row],[ Invoice Amt (SAR)]],Main_Presentation[[#This Row],[Date Recd]],Main_Presentation[[#This Row],[Due Date]],Main_Presentation[[#This Row],[Days]])</f>
        <v>1437.5</v>
      </c>
      <c r="AB116" s="16"/>
    </row>
    <row r="117" spans="1:28" ht="15.75" hidden="1" x14ac:dyDescent="0.25">
      <c r="A117" s="34" t="s">
        <v>254</v>
      </c>
      <c r="B117" s="35">
        <v>45497</v>
      </c>
      <c r="C117" s="36">
        <v>7</v>
      </c>
      <c r="D117" s="55" t="str">
        <f>VLOOKUP(Main_Presentation[[#This Row],[LC Number]],Main_Issuance[],3,0)</f>
        <v>Mohammed Atef</v>
      </c>
      <c r="E117" s="33" t="s">
        <v>856</v>
      </c>
      <c r="F117" s="37" t="str">
        <f>VLOOKUP(Main_Presentation[[#This Row],[LC Number]],Main_Issuance[],5,0)</f>
        <v>Alinma</v>
      </c>
      <c r="G117" s="37" t="str">
        <f>VLOOKUP(Main_Presentation[[#This Row],[LC Number]],Main_Issuance[],6,0)</f>
        <v>KSP</v>
      </c>
      <c r="H117" s="37" t="str">
        <f>VLOOKUP(Main_Presentation[[#This Row],[LC Number]],Main_Issuance[],17,0)</f>
        <v>Credit</v>
      </c>
      <c r="I117" s="37" t="str">
        <f>VLOOKUP(Main_Presentation[[#This Row],[LC Number]],Main_Issuance[],7,0)</f>
        <v>BBH-CHEMTROL INTERNATIONAL ORGANIZATION S.L</v>
      </c>
      <c r="J117" s="37" t="str">
        <f>VLOOKUP(Main_Presentation[[#This Row],[LC Number]],Main_Issuance[],8,0)</f>
        <v>MBL/ICAD</v>
      </c>
      <c r="K117" s="37" t="str">
        <f>VLOOKUP(Main_Presentation[[#This Row],[LC Number]],Main_Issuance[],9,0)</f>
        <v>KSP</v>
      </c>
      <c r="L117" s="37">
        <f>VLOOKUP(Main_Presentation[[#This Row],[LC Number]],Main_Issuance[],10,0)</f>
        <v>1020055</v>
      </c>
      <c r="M117" s="37" t="str">
        <f>VLOOKUP(Main_Presentation[[#This Row],[LC Number]],Main_Issuance[],11,0)</f>
        <v>EUR</v>
      </c>
      <c r="N117" s="85">
        <f>VLOOKUP(Main_Presentation[[#This Row],[LC Number]],Main_Issuance[],12,0)</f>
        <v>8182985</v>
      </c>
      <c r="O117" s="33" t="s">
        <v>20</v>
      </c>
      <c r="P117" s="33" t="s">
        <v>857</v>
      </c>
      <c r="Q117" s="131">
        <v>209680.87</v>
      </c>
      <c r="R117" s="38">
        <v>4.1769999999999996</v>
      </c>
      <c r="S117" s="38">
        <f>Main_Presentation[[#This Row],[Invoice Amt (FCY)]]*Main_Presentation[[#This Row],[Rate]]</f>
        <v>875836.99398999987</v>
      </c>
      <c r="T117" s="35">
        <v>45520</v>
      </c>
      <c r="U117" s="36" t="str">
        <f>VLOOKUP(Main_Presentation[[#This Row],[LC Number]],Main_Issuance[],18,0)</f>
        <v>30 Days from Shipment Date</v>
      </c>
      <c r="V117" s="39" t="s">
        <v>22</v>
      </c>
      <c r="W117" s="38" t="s">
        <v>857</v>
      </c>
      <c r="X117" s="33"/>
      <c r="Y117" s="234" t="str">
        <f>TRIM(LEFT(Main_Presentation[[#This Row],[Payment Terms]],3))</f>
        <v>30</v>
      </c>
      <c r="Z117" s="16"/>
      <c r="AA117" s="316" cm="1">
        <f t="array" ref="AA117">Settlement(Main_Presentation[[#This Row],[Bank]],Main_Presentation[[#This Row],[ Invoice Amt (SAR)]],Main_Presentation[[#This Row],[Date Recd]],Main_Presentation[[#This Row],[Due Date]],Main_Presentation[[#This Row],[Days]])</f>
        <v>1437.5</v>
      </c>
      <c r="AB117" s="16"/>
    </row>
    <row r="118" spans="1:28" ht="15.75" hidden="1" x14ac:dyDescent="0.25">
      <c r="A118" s="34" t="s">
        <v>254</v>
      </c>
      <c r="B118" s="35">
        <v>45508</v>
      </c>
      <c r="C118" s="36">
        <v>8</v>
      </c>
      <c r="D118" s="55" t="str">
        <f>VLOOKUP(Main_Presentation[[#This Row],[LC Number]],Main_Issuance[],3,0)</f>
        <v>Mohammed Atef</v>
      </c>
      <c r="E118" s="33" t="s">
        <v>856</v>
      </c>
      <c r="F118" s="37" t="str">
        <f>VLOOKUP(Main_Presentation[[#This Row],[LC Number]],Main_Issuance[],5,0)</f>
        <v>Alinma</v>
      </c>
      <c r="G118" s="37" t="str">
        <f>VLOOKUP(Main_Presentation[[#This Row],[LC Number]],Main_Issuance[],6,0)</f>
        <v>KSP</v>
      </c>
      <c r="H118" s="37" t="str">
        <f>VLOOKUP(Main_Presentation[[#This Row],[LC Number]],Main_Issuance[],17,0)</f>
        <v>Credit</v>
      </c>
      <c r="I118" s="37" t="str">
        <f>VLOOKUP(Main_Presentation[[#This Row],[LC Number]],Main_Issuance[],7,0)</f>
        <v>BBH-CHEMTROL INTERNATIONAL ORGANIZATION S.L</v>
      </c>
      <c r="J118" s="37" t="str">
        <f>VLOOKUP(Main_Presentation[[#This Row],[LC Number]],Main_Issuance[],8,0)</f>
        <v>MBL/ICAD</v>
      </c>
      <c r="K118" s="37" t="str">
        <f>VLOOKUP(Main_Presentation[[#This Row],[LC Number]],Main_Issuance[],9,0)</f>
        <v>KSP</v>
      </c>
      <c r="L118" s="37">
        <f>VLOOKUP(Main_Presentation[[#This Row],[LC Number]],Main_Issuance[],10,0)</f>
        <v>1020055</v>
      </c>
      <c r="M118" s="37" t="str">
        <f>VLOOKUP(Main_Presentation[[#This Row],[LC Number]],Main_Issuance[],11,0)</f>
        <v>EUR</v>
      </c>
      <c r="N118" s="85">
        <f>VLOOKUP(Main_Presentation[[#This Row],[LC Number]],Main_Issuance[],12,0)</f>
        <v>8182985</v>
      </c>
      <c r="O118" s="33" t="s">
        <v>20</v>
      </c>
      <c r="P118" s="33" t="s">
        <v>857</v>
      </c>
      <c r="Q118" s="131">
        <v>209410.09</v>
      </c>
      <c r="R118" s="38">
        <v>4.0552000000000001</v>
      </c>
      <c r="S118" s="38">
        <f>Main_Presentation[[#This Row],[Invoice Amt (FCY)]]*Main_Presentation[[#This Row],[Rate]]</f>
        <v>849199.79696800001</v>
      </c>
      <c r="T118" s="35">
        <v>45520</v>
      </c>
      <c r="U118" s="36" t="str">
        <f>VLOOKUP(Main_Presentation[[#This Row],[LC Number]],Main_Issuance[],18,0)</f>
        <v>30 Days from Shipment Date</v>
      </c>
      <c r="V118" s="39" t="s">
        <v>22</v>
      </c>
      <c r="W118" s="38" t="s">
        <v>857</v>
      </c>
      <c r="X118" s="33"/>
      <c r="Y118" s="234" t="str">
        <f>TRIM(LEFT(Main_Presentation[[#This Row],[Payment Terms]],3))</f>
        <v>30</v>
      </c>
      <c r="Z118" s="16"/>
      <c r="AA118" s="316" cm="1">
        <f t="array" ref="AA118">Settlement(Main_Presentation[[#This Row],[Bank]],Main_Presentation[[#This Row],[ Invoice Amt (SAR)]],Main_Presentation[[#This Row],[Date Recd]],Main_Presentation[[#This Row],[Due Date]],Main_Presentation[[#This Row],[Days]])</f>
        <v>1437.5</v>
      </c>
      <c r="AB118" s="16"/>
    </row>
    <row r="119" spans="1:28" ht="15.75" hidden="1" x14ac:dyDescent="0.25">
      <c r="A119" s="34" t="s">
        <v>254</v>
      </c>
      <c r="B119" s="35">
        <v>45529</v>
      </c>
      <c r="C119" s="36">
        <v>9</v>
      </c>
      <c r="D119" s="55" t="str">
        <f>VLOOKUP(Main_Presentation[[#This Row],[LC Number]],Main_Issuance[],3,0)</f>
        <v>Mohammed Atef</v>
      </c>
      <c r="E119" s="33" t="s">
        <v>856</v>
      </c>
      <c r="F119" s="37" t="str">
        <f>VLOOKUP(Main_Presentation[[#This Row],[LC Number]],Main_Issuance[],5,0)</f>
        <v>Alinma</v>
      </c>
      <c r="G119" s="37" t="str">
        <f>VLOOKUP(Main_Presentation[[#This Row],[LC Number]],Main_Issuance[],6,0)</f>
        <v>KSP</v>
      </c>
      <c r="H119" s="37" t="str">
        <f>VLOOKUP(Main_Presentation[[#This Row],[LC Number]],Main_Issuance[],17,0)</f>
        <v>Credit</v>
      </c>
      <c r="I119" s="37" t="str">
        <f>VLOOKUP(Main_Presentation[[#This Row],[LC Number]],Main_Issuance[],7,0)</f>
        <v>BBH-CHEMTROL INTERNATIONAL ORGANIZATION S.L</v>
      </c>
      <c r="J119" s="37" t="str">
        <f>VLOOKUP(Main_Presentation[[#This Row],[LC Number]],Main_Issuance[],8,0)</f>
        <v>MBL/ICAD</v>
      </c>
      <c r="K119" s="37" t="str">
        <f>VLOOKUP(Main_Presentation[[#This Row],[LC Number]],Main_Issuance[],9,0)</f>
        <v>KSP</v>
      </c>
      <c r="L119" s="37">
        <f>VLOOKUP(Main_Presentation[[#This Row],[LC Number]],Main_Issuance[],10,0)</f>
        <v>1020055</v>
      </c>
      <c r="M119" s="37" t="str">
        <f>VLOOKUP(Main_Presentation[[#This Row],[LC Number]],Main_Issuance[],11,0)</f>
        <v>EUR</v>
      </c>
      <c r="N119" s="85">
        <f>VLOOKUP(Main_Presentation[[#This Row],[LC Number]],Main_Issuance[],12,0)</f>
        <v>8182985</v>
      </c>
      <c r="O119" s="33" t="s">
        <v>20</v>
      </c>
      <c r="P119" s="33" t="s">
        <v>857</v>
      </c>
      <c r="Q119" s="131">
        <v>201492.05</v>
      </c>
      <c r="R119" s="38">
        <v>4.2161</v>
      </c>
      <c r="S119" s="38">
        <f>Main_Presentation[[#This Row],[Invoice Amt (FCY)]]*Main_Presentation[[#This Row],[Rate]]</f>
        <v>849510.6320049999</v>
      </c>
      <c r="T119" s="35">
        <v>45554</v>
      </c>
      <c r="U119" s="36" t="str">
        <f>VLOOKUP(Main_Presentation[[#This Row],[LC Number]],Main_Issuance[],18,0)</f>
        <v>30 Days from Shipment Date</v>
      </c>
      <c r="V119" s="39" t="s">
        <v>22</v>
      </c>
      <c r="W119" s="38" t="s">
        <v>857</v>
      </c>
      <c r="X119" s="33"/>
      <c r="Y119" s="234" t="str">
        <f>TRIM(LEFT(Main_Presentation[[#This Row],[Payment Terms]],3))</f>
        <v>30</v>
      </c>
      <c r="Z119" s="16"/>
      <c r="AA119" s="316" cm="1">
        <f t="array" ref="AA119">Settlement(Main_Presentation[[#This Row],[Bank]],Main_Presentation[[#This Row],[ Invoice Amt (SAR)]],Main_Presentation[[#This Row],[Date Recd]],Main_Presentation[[#This Row],[Due Date]],Main_Presentation[[#This Row],[Days]])</f>
        <v>1437.5</v>
      </c>
      <c r="AB119" s="16"/>
    </row>
    <row r="120" spans="1:28" ht="15.75" hidden="1" x14ac:dyDescent="0.25">
      <c r="A120" s="14" t="s">
        <v>33</v>
      </c>
      <c r="B120" s="15">
        <v>45234</v>
      </c>
      <c r="C120" s="26">
        <v>1</v>
      </c>
      <c r="D120" s="55" t="str">
        <f>VLOOKUP(Main_Presentation[[#This Row],[LC Number]],Main_Issuance[],3,0)</f>
        <v>Hassan Taleb</v>
      </c>
      <c r="E120" s="16" t="s">
        <v>856</v>
      </c>
      <c r="F120" s="17" t="str">
        <f>VLOOKUP(Main_Presentation[[#This Row],[LC Number]],Main_Issuance[],5,0)</f>
        <v>Alinma</v>
      </c>
      <c r="G120" s="17" t="str">
        <f>VLOOKUP(Main_Presentation[[#This Row],[LC Number]],Main_Issuance[],6,0)</f>
        <v>KSP</v>
      </c>
      <c r="H120" s="17" t="str">
        <f>VLOOKUP(Main_Presentation[[#This Row],[LC Number]],Main_Issuance[],17,0)</f>
        <v>Credit</v>
      </c>
      <c r="I120" s="17" t="str">
        <f>VLOOKUP(Main_Presentation[[#This Row],[LC Number]],Main_Issuance[],7,0)</f>
        <v>ALBILAD CONCRETE PIPES</v>
      </c>
      <c r="J120" s="17" t="str">
        <f>VLOOKUP(Main_Presentation[[#This Row],[LC Number]],Main_Issuance[],8,0)</f>
        <v>FIRST FIX</v>
      </c>
      <c r="K120" s="17" t="str">
        <f>VLOOKUP(Main_Presentation[[#This Row],[LC Number]],Main_Issuance[],9,0)</f>
        <v>KSP</v>
      </c>
      <c r="L120" s="17">
        <f>VLOOKUP(Main_Presentation[[#This Row],[LC Number]],Main_Issuance[],10,0)</f>
        <v>1020055</v>
      </c>
      <c r="M120" s="17" t="str">
        <f>VLOOKUP(Main_Presentation[[#This Row],[LC Number]],Main_Issuance[],11,0)</f>
        <v>SAR</v>
      </c>
      <c r="N120" s="84">
        <f>VLOOKUP(Main_Presentation[[#This Row],[LC Number]],Main_Issuance[],12,0)</f>
        <v>951342.78</v>
      </c>
      <c r="O120" s="16" t="s">
        <v>20</v>
      </c>
      <c r="P120" s="16" t="s">
        <v>857</v>
      </c>
      <c r="Q120" s="131">
        <v>150512.01</v>
      </c>
      <c r="R120" s="18">
        <v>1</v>
      </c>
      <c r="S120" s="18">
        <f>Main_Presentation[[#This Row],[Invoice Amt (FCY)]]*Main_Presentation[[#This Row],[Rate]]</f>
        <v>150512.01</v>
      </c>
      <c r="T120" s="15">
        <v>45236</v>
      </c>
      <c r="U120" s="26" t="str">
        <f>VLOOKUP(Main_Presentation[[#This Row],[LC Number]],Main_Issuance[],18,0)</f>
        <v>60 Days from Delivery Date</v>
      </c>
      <c r="V120" s="19" t="s">
        <v>22</v>
      </c>
      <c r="W120" s="18" t="s">
        <v>857</v>
      </c>
      <c r="X120" s="16"/>
      <c r="Y120" s="234" t="str">
        <f>TRIM(LEFT(Main_Presentation[[#This Row],[Payment Terms]],3))</f>
        <v>60</v>
      </c>
      <c r="Z120" s="16"/>
      <c r="AA120" s="316" cm="1">
        <f t="array" ref="AA120">Settlement(Main_Presentation[[#This Row],[Bank]],Main_Presentation[[#This Row],[ Invoice Amt (SAR)]],Main_Presentation[[#This Row],[Date Recd]],Main_Presentation[[#This Row],[Due Date]],Main_Presentation[[#This Row],[Days]])</f>
        <v>1437.5</v>
      </c>
      <c r="AB120" s="16"/>
    </row>
    <row r="121" spans="1:28" ht="15.75" hidden="1" x14ac:dyDescent="0.25">
      <c r="A121" s="14" t="s">
        <v>33</v>
      </c>
      <c r="B121" s="15">
        <v>45274</v>
      </c>
      <c r="C121" s="26">
        <v>2</v>
      </c>
      <c r="D121" s="55" t="str">
        <f>VLOOKUP(Main_Presentation[[#This Row],[LC Number]],Main_Issuance[],3,0)</f>
        <v>Hassan Taleb</v>
      </c>
      <c r="E121" s="16" t="s">
        <v>856</v>
      </c>
      <c r="F121" s="17" t="str">
        <f>VLOOKUP(Main_Presentation[[#This Row],[LC Number]],Main_Issuance[],5,0)</f>
        <v>Alinma</v>
      </c>
      <c r="G121" s="17" t="str">
        <f>VLOOKUP(Main_Presentation[[#This Row],[LC Number]],Main_Issuance[],6,0)</f>
        <v>KSP</v>
      </c>
      <c r="H121" s="17" t="str">
        <f>VLOOKUP(Main_Presentation[[#This Row],[LC Number]],Main_Issuance[],17,0)</f>
        <v>Credit</v>
      </c>
      <c r="I121" s="17" t="str">
        <f>VLOOKUP(Main_Presentation[[#This Row],[LC Number]],Main_Issuance[],7,0)</f>
        <v>ALBILAD CONCRETE PIPES</v>
      </c>
      <c r="J121" s="17" t="str">
        <f>VLOOKUP(Main_Presentation[[#This Row],[LC Number]],Main_Issuance[],8,0)</f>
        <v>FIRST FIX</v>
      </c>
      <c r="K121" s="17" t="str">
        <f>VLOOKUP(Main_Presentation[[#This Row],[LC Number]],Main_Issuance[],9,0)</f>
        <v>KSP</v>
      </c>
      <c r="L121" s="17">
        <f>VLOOKUP(Main_Presentation[[#This Row],[LC Number]],Main_Issuance[],10,0)</f>
        <v>1020055</v>
      </c>
      <c r="M121" s="17" t="str">
        <f>VLOOKUP(Main_Presentation[[#This Row],[LC Number]],Main_Issuance[],11,0)</f>
        <v>SAR</v>
      </c>
      <c r="N121" s="84">
        <f>VLOOKUP(Main_Presentation[[#This Row],[LC Number]],Main_Issuance[],12,0)</f>
        <v>951342.78</v>
      </c>
      <c r="O121" s="16" t="s">
        <v>20</v>
      </c>
      <c r="P121" s="16" t="s">
        <v>857</v>
      </c>
      <c r="Q121" s="131">
        <v>247408.62</v>
      </c>
      <c r="R121" s="18">
        <v>1</v>
      </c>
      <c r="S121" s="18">
        <f>Main_Presentation[[#This Row],[Invoice Amt (FCY)]]*Main_Presentation[[#This Row],[Rate]]</f>
        <v>247408.62</v>
      </c>
      <c r="T121" s="15">
        <v>45309</v>
      </c>
      <c r="U121" s="26" t="str">
        <f>VLOOKUP(Main_Presentation[[#This Row],[LC Number]],Main_Issuance[],18,0)</f>
        <v>60 Days from Delivery Date</v>
      </c>
      <c r="V121" s="19" t="s">
        <v>22</v>
      </c>
      <c r="W121" s="18" t="s">
        <v>857</v>
      </c>
      <c r="X121" s="16"/>
      <c r="Y121" s="234" t="str">
        <f>TRIM(LEFT(Main_Presentation[[#This Row],[Payment Terms]],3))</f>
        <v>60</v>
      </c>
      <c r="Z121" s="16"/>
      <c r="AA121" s="316" cm="1">
        <f t="array" ref="AA121">Settlement(Main_Presentation[[#This Row],[Bank]],Main_Presentation[[#This Row],[ Invoice Amt (SAR)]],Main_Presentation[[#This Row],[Date Recd]],Main_Presentation[[#This Row],[Due Date]],Main_Presentation[[#This Row],[Days]])</f>
        <v>1437.5</v>
      </c>
      <c r="AB121" s="16"/>
    </row>
    <row r="122" spans="1:28" ht="15.75" hidden="1" x14ac:dyDescent="0.25">
      <c r="A122" s="14" t="s">
        <v>33</v>
      </c>
      <c r="B122" s="15">
        <v>45303</v>
      </c>
      <c r="C122" s="26">
        <v>3</v>
      </c>
      <c r="D122" s="55" t="str">
        <f>VLOOKUP(Main_Presentation[[#This Row],[LC Number]],Main_Issuance[],3,0)</f>
        <v>Hassan Taleb</v>
      </c>
      <c r="E122" s="16" t="s">
        <v>856</v>
      </c>
      <c r="F122" s="17" t="str">
        <f>VLOOKUP(Main_Presentation[[#This Row],[LC Number]],Main_Issuance[],5,0)</f>
        <v>Alinma</v>
      </c>
      <c r="G122" s="17" t="str">
        <f>VLOOKUP(Main_Presentation[[#This Row],[LC Number]],Main_Issuance[],6,0)</f>
        <v>KSP</v>
      </c>
      <c r="H122" s="17" t="str">
        <f>VLOOKUP(Main_Presentation[[#This Row],[LC Number]],Main_Issuance[],17,0)</f>
        <v>Credit</v>
      </c>
      <c r="I122" s="17" t="str">
        <f>VLOOKUP(Main_Presentation[[#This Row],[LC Number]],Main_Issuance[],7,0)</f>
        <v>ALBILAD CONCRETE PIPES</v>
      </c>
      <c r="J122" s="17" t="str">
        <f>VLOOKUP(Main_Presentation[[#This Row],[LC Number]],Main_Issuance[],8,0)</f>
        <v>FIRST FIX</v>
      </c>
      <c r="K122" s="17" t="str">
        <f>VLOOKUP(Main_Presentation[[#This Row],[LC Number]],Main_Issuance[],9,0)</f>
        <v>KSP</v>
      </c>
      <c r="L122" s="17">
        <f>VLOOKUP(Main_Presentation[[#This Row],[LC Number]],Main_Issuance[],10,0)</f>
        <v>1020055</v>
      </c>
      <c r="M122" s="17" t="str">
        <f>VLOOKUP(Main_Presentation[[#This Row],[LC Number]],Main_Issuance[],11,0)</f>
        <v>SAR</v>
      </c>
      <c r="N122" s="84">
        <f>VLOOKUP(Main_Presentation[[#This Row],[LC Number]],Main_Issuance[],12,0)</f>
        <v>951342.78</v>
      </c>
      <c r="O122" s="16" t="s">
        <v>20</v>
      </c>
      <c r="P122" s="16" t="s">
        <v>857</v>
      </c>
      <c r="Q122" s="131">
        <v>229209.49</v>
      </c>
      <c r="R122" s="18">
        <v>1</v>
      </c>
      <c r="S122" s="18">
        <f>Main_Presentation[[#This Row],[Invoice Amt (FCY)]]*Main_Presentation[[#This Row],[Rate]]</f>
        <v>229209.49</v>
      </c>
      <c r="T122" s="15">
        <v>45302</v>
      </c>
      <c r="U122" s="26" t="str">
        <f>VLOOKUP(Main_Presentation[[#This Row],[LC Number]],Main_Issuance[],18,0)</f>
        <v>60 Days from Delivery Date</v>
      </c>
      <c r="V122" s="19" t="s">
        <v>22</v>
      </c>
      <c r="W122" s="18" t="s">
        <v>857</v>
      </c>
      <c r="X122" s="16"/>
      <c r="Y122" s="234" t="str">
        <f>TRIM(LEFT(Main_Presentation[[#This Row],[Payment Terms]],3))</f>
        <v>60</v>
      </c>
      <c r="Z122" s="16"/>
      <c r="AA122" s="316" cm="1">
        <f t="array" ref="AA122">Settlement(Main_Presentation[[#This Row],[Bank]],Main_Presentation[[#This Row],[ Invoice Amt (SAR)]],Main_Presentation[[#This Row],[Date Recd]],Main_Presentation[[#This Row],[Due Date]],Main_Presentation[[#This Row],[Days]])</f>
        <v>1437.5</v>
      </c>
      <c r="AB122" s="16"/>
    </row>
    <row r="123" spans="1:28" ht="15.75" hidden="1" x14ac:dyDescent="0.25">
      <c r="A123" s="14" t="s">
        <v>33</v>
      </c>
      <c r="B123" s="15">
        <v>45307</v>
      </c>
      <c r="C123" s="26">
        <v>4</v>
      </c>
      <c r="D123" s="55" t="str">
        <f>VLOOKUP(Main_Presentation[[#This Row],[LC Number]],Main_Issuance[],3,0)</f>
        <v>Hassan Taleb</v>
      </c>
      <c r="E123" s="16" t="s">
        <v>856</v>
      </c>
      <c r="F123" s="17" t="str">
        <f>VLOOKUP(Main_Presentation[[#This Row],[LC Number]],Main_Issuance[],5,0)</f>
        <v>Alinma</v>
      </c>
      <c r="G123" s="17" t="str">
        <f>VLOOKUP(Main_Presentation[[#This Row],[LC Number]],Main_Issuance[],6,0)</f>
        <v>KSP</v>
      </c>
      <c r="H123" s="17" t="str">
        <f>VLOOKUP(Main_Presentation[[#This Row],[LC Number]],Main_Issuance[],17,0)</f>
        <v>Credit</v>
      </c>
      <c r="I123" s="17" t="str">
        <f>VLOOKUP(Main_Presentation[[#This Row],[LC Number]],Main_Issuance[],7,0)</f>
        <v>ALBILAD CONCRETE PIPES</v>
      </c>
      <c r="J123" s="17" t="str">
        <f>VLOOKUP(Main_Presentation[[#This Row],[LC Number]],Main_Issuance[],8,0)</f>
        <v>FIRST FIX</v>
      </c>
      <c r="K123" s="17" t="str">
        <f>VLOOKUP(Main_Presentation[[#This Row],[LC Number]],Main_Issuance[],9,0)</f>
        <v>KSP</v>
      </c>
      <c r="L123" s="17">
        <f>VLOOKUP(Main_Presentation[[#This Row],[LC Number]],Main_Issuance[],10,0)</f>
        <v>1020055</v>
      </c>
      <c r="M123" s="17" t="str">
        <f>VLOOKUP(Main_Presentation[[#This Row],[LC Number]],Main_Issuance[],11,0)</f>
        <v>SAR</v>
      </c>
      <c r="N123" s="84">
        <f>VLOOKUP(Main_Presentation[[#This Row],[LC Number]],Main_Issuance[],12,0)</f>
        <v>951342.78</v>
      </c>
      <c r="O123" s="16" t="s">
        <v>20</v>
      </c>
      <c r="P123" s="16" t="s">
        <v>857</v>
      </c>
      <c r="Q123" s="131">
        <v>127188.85</v>
      </c>
      <c r="R123" s="18">
        <v>1</v>
      </c>
      <c r="S123" s="18">
        <f>Main_Presentation[[#This Row],[Invoice Amt (FCY)]]*Main_Presentation[[#This Row],[Rate]]</f>
        <v>127188.85</v>
      </c>
      <c r="T123" s="15">
        <v>45344</v>
      </c>
      <c r="U123" s="26" t="str">
        <f>VLOOKUP(Main_Presentation[[#This Row],[LC Number]],Main_Issuance[],18,0)</f>
        <v>60 Days from Delivery Date</v>
      </c>
      <c r="V123" s="19" t="s">
        <v>22</v>
      </c>
      <c r="W123" s="18" t="s">
        <v>857</v>
      </c>
      <c r="X123" s="16"/>
      <c r="Y123" s="234" t="str">
        <f>TRIM(LEFT(Main_Presentation[[#This Row],[Payment Terms]],3))</f>
        <v>60</v>
      </c>
      <c r="Z123" s="16"/>
      <c r="AA123" s="316" cm="1">
        <f t="array" ref="AA123">Settlement(Main_Presentation[[#This Row],[Bank]],Main_Presentation[[#This Row],[ Invoice Amt (SAR)]],Main_Presentation[[#This Row],[Date Recd]],Main_Presentation[[#This Row],[Due Date]],Main_Presentation[[#This Row],[Days]])</f>
        <v>1437.5</v>
      </c>
      <c r="AB123" s="16"/>
    </row>
    <row r="124" spans="1:28" ht="15.75" hidden="1" x14ac:dyDescent="0.25">
      <c r="A124" s="14" t="s">
        <v>33</v>
      </c>
      <c r="B124" s="15">
        <v>45408</v>
      </c>
      <c r="C124" s="26">
        <v>5</v>
      </c>
      <c r="D124" s="55" t="str">
        <f>VLOOKUP(Main_Presentation[[#This Row],[LC Number]],Main_Issuance[],3,0)</f>
        <v>Hassan Taleb</v>
      </c>
      <c r="E124" s="16" t="s">
        <v>856</v>
      </c>
      <c r="F124" s="17" t="str">
        <f>VLOOKUP(Main_Presentation[[#This Row],[LC Number]],Main_Issuance[],5,0)</f>
        <v>Alinma</v>
      </c>
      <c r="G124" s="17" t="str">
        <f>VLOOKUP(Main_Presentation[[#This Row],[LC Number]],Main_Issuance[],6,0)</f>
        <v>KSP</v>
      </c>
      <c r="H124" s="17" t="str">
        <f>VLOOKUP(Main_Presentation[[#This Row],[LC Number]],Main_Issuance[],17,0)</f>
        <v>Credit</v>
      </c>
      <c r="I124" s="17" t="str">
        <f>VLOOKUP(Main_Presentation[[#This Row],[LC Number]],Main_Issuance[],7,0)</f>
        <v>ALBILAD CONCRETE PIPES</v>
      </c>
      <c r="J124" s="17" t="str">
        <f>VLOOKUP(Main_Presentation[[#This Row],[LC Number]],Main_Issuance[],8,0)</f>
        <v>FIRST FIX</v>
      </c>
      <c r="K124" s="17" t="str">
        <f>VLOOKUP(Main_Presentation[[#This Row],[LC Number]],Main_Issuance[],9,0)</f>
        <v>KSP</v>
      </c>
      <c r="L124" s="17">
        <f>VLOOKUP(Main_Presentation[[#This Row],[LC Number]],Main_Issuance[],10,0)</f>
        <v>1020055</v>
      </c>
      <c r="M124" s="17" t="str">
        <f>VLOOKUP(Main_Presentation[[#This Row],[LC Number]],Main_Issuance[],11,0)</f>
        <v>SAR</v>
      </c>
      <c r="N124" s="84">
        <f>VLOOKUP(Main_Presentation[[#This Row],[LC Number]],Main_Issuance[],12,0)</f>
        <v>951342.78</v>
      </c>
      <c r="O124" s="16" t="s">
        <v>20</v>
      </c>
      <c r="P124" s="16" t="s">
        <v>857</v>
      </c>
      <c r="Q124" s="131">
        <v>98463.1</v>
      </c>
      <c r="R124" s="18">
        <v>1</v>
      </c>
      <c r="S124" s="18">
        <f>Main_Presentation[[#This Row],[Invoice Amt (FCY)]]*Main_Presentation[[#This Row],[Rate]]</f>
        <v>98463.1</v>
      </c>
      <c r="T124" s="15">
        <v>45416</v>
      </c>
      <c r="U124" s="26" t="str">
        <f>VLOOKUP(Main_Presentation[[#This Row],[LC Number]],Main_Issuance[],18,0)</f>
        <v>60 Days from Delivery Date</v>
      </c>
      <c r="V124" s="19" t="s">
        <v>22</v>
      </c>
      <c r="W124" s="18" t="s">
        <v>857</v>
      </c>
      <c r="X124" s="16"/>
      <c r="Y124" s="234" t="str">
        <f>TRIM(LEFT(Main_Presentation[[#This Row],[Payment Terms]],3))</f>
        <v>60</v>
      </c>
      <c r="Z124" s="16"/>
      <c r="AA124" s="316" cm="1">
        <f t="array" ref="AA124">Settlement(Main_Presentation[[#This Row],[Bank]],Main_Presentation[[#This Row],[ Invoice Amt (SAR)]],Main_Presentation[[#This Row],[Date Recd]],Main_Presentation[[#This Row],[Due Date]],Main_Presentation[[#This Row],[Days]])</f>
        <v>1437.5</v>
      </c>
      <c r="AB124" s="16"/>
    </row>
    <row r="125" spans="1:28" ht="15.75" hidden="1" x14ac:dyDescent="0.25">
      <c r="A125" s="14" t="s">
        <v>36</v>
      </c>
      <c r="B125" s="15">
        <v>45211</v>
      </c>
      <c r="C125" s="26">
        <v>1</v>
      </c>
      <c r="D125" s="55" t="str">
        <f>VLOOKUP(Main_Presentation[[#This Row],[LC Number]],Main_Issuance[],3,0)</f>
        <v>Hassan Taleb</v>
      </c>
      <c r="E125" s="16" t="s">
        <v>856</v>
      </c>
      <c r="F125" s="17" t="str">
        <f>VLOOKUP(Main_Presentation[[#This Row],[LC Number]],Main_Issuance[],5,0)</f>
        <v>Alinma</v>
      </c>
      <c r="G125" s="17" t="str">
        <f>VLOOKUP(Main_Presentation[[#This Row],[LC Number]],Main_Issuance[],6,0)</f>
        <v>KSP</v>
      </c>
      <c r="H125" s="17" t="str">
        <f>VLOOKUP(Main_Presentation[[#This Row],[LC Number]],Main_Issuance[],17,0)</f>
        <v>Credit</v>
      </c>
      <c r="I125" s="17" t="str">
        <f>VLOOKUP(Main_Presentation[[#This Row],[LC Number]],Main_Issuance[],7,0)</f>
        <v>ARABIAN INTERNATIONAL COMPANY</v>
      </c>
      <c r="J125" s="17" t="str">
        <f>VLOOKUP(Main_Presentation[[#This Row],[LC Number]],Main_Issuance[],8,0)</f>
        <v>FIRST FIX</v>
      </c>
      <c r="K125" s="17" t="str">
        <f>VLOOKUP(Main_Presentation[[#This Row],[LC Number]],Main_Issuance[],9,0)</f>
        <v>KSP</v>
      </c>
      <c r="L125" s="17">
        <f>VLOOKUP(Main_Presentation[[#This Row],[LC Number]],Main_Issuance[],10,0)</f>
        <v>1020055</v>
      </c>
      <c r="M125" s="17" t="str">
        <f>VLOOKUP(Main_Presentation[[#This Row],[LC Number]],Main_Issuance[],11,0)</f>
        <v>SAR</v>
      </c>
      <c r="N125" s="84">
        <f>VLOOKUP(Main_Presentation[[#This Row],[LC Number]],Main_Issuance[],12,0)</f>
        <v>1500000</v>
      </c>
      <c r="O125" s="16" t="s">
        <v>20</v>
      </c>
      <c r="P125" s="16" t="s">
        <v>857</v>
      </c>
      <c r="Q125" s="131">
        <v>802169.95</v>
      </c>
      <c r="R125" s="18">
        <v>1</v>
      </c>
      <c r="S125" s="18">
        <f>Main_Presentation[[#This Row],[Invoice Amt (FCY)]]*Main_Presentation[[#This Row],[Rate]]</f>
        <v>802169.95</v>
      </c>
      <c r="T125" s="15">
        <v>45242</v>
      </c>
      <c r="U125" s="26" t="str">
        <f>VLOOKUP(Main_Presentation[[#This Row],[LC Number]],Main_Issuance[],18,0)</f>
        <v>60 Days from Delivery Date</v>
      </c>
      <c r="V125" s="19" t="s">
        <v>22</v>
      </c>
      <c r="W125" s="18" t="s">
        <v>857</v>
      </c>
      <c r="X125" s="16"/>
      <c r="Y125" s="234" t="str">
        <f>TRIM(LEFT(Main_Presentation[[#This Row],[Payment Terms]],3))</f>
        <v>60</v>
      </c>
      <c r="Z125" s="16"/>
      <c r="AA125" s="316" cm="1">
        <f t="array" ref="AA125">Settlement(Main_Presentation[[#This Row],[Bank]],Main_Presentation[[#This Row],[ Invoice Amt (SAR)]],Main_Presentation[[#This Row],[Date Recd]],Main_Presentation[[#This Row],[Due Date]],Main_Presentation[[#This Row],[Days]])</f>
        <v>1437.5</v>
      </c>
      <c r="AB125" s="16"/>
    </row>
    <row r="126" spans="1:28" ht="15.75" hidden="1" x14ac:dyDescent="0.25">
      <c r="A126" s="14" t="s">
        <v>36</v>
      </c>
      <c r="B126" s="15">
        <v>45264</v>
      </c>
      <c r="C126" s="26">
        <v>2</v>
      </c>
      <c r="D126" s="55" t="str">
        <f>VLOOKUP(Main_Presentation[[#This Row],[LC Number]],Main_Issuance[],3,0)</f>
        <v>Hassan Taleb</v>
      </c>
      <c r="E126" s="16" t="s">
        <v>856</v>
      </c>
      <c r="F126" s="17" t="str">
        <f>VLOOKUP(Main_Presentation[[#This Row],[LC Number]],Main_Issuance[],5,0)</f>
        <v>Alinma</v>
      </c>
      <c r="G126" s="17" t="str">
        <f>VLOOKUP(Main_Presentation[[#This Row],[LC Number]],Main_Issuance[],6,0)</f>
        <v>KSP</v>
      </c>
      <c r="H126" s="17" t="str">
        <f>VLOOKUP(Main_Presentation[[#This Row],[LC Number]],Main_Issuance[],17,0)</f>
        <v>Credit</v>
      </c>
      <c r="I126" s="17" t="str">
        <f>VLOOKUP(Main_Presentation[[#This Row],[LC Number]],Main_Issuance[],7,0)</f>
        <v>ARABIAN INTERNATIONAL COMPANY</v>
      </c>
      <c r="J126" s="17" t="str">
        <f>VLOOKUP(Main_Presentation[[#This Row],[LC Number]],Main_Issuance[],8,0)</f>
        <v>FIRST FIX</v>
      </c>
      <c r="K126" s="17" t="str">
        <f>VLOOKUP(Main_Presentation[[#This Row],[LC Number]],Main_Issuance[],9,0)</f>
        <v>KSP</v>
      </c>
      <c r="L126" s="17">
        <f>VLOOKUP(Main_Presentation[[#This Row],[LC Number]],Main_Issuance[],10,0)</f>
        <v>1020055</v>
      </c>
      <c r="M126" s="17" t="str">
        <f>VLOOKUP(Main_Presentation[[#This Row],[LC Number]],Main_Issuance[],11,0)</f>
        <v>SAR</v>
      </c>
      <c r="N126" s="84">
        <f>VLOOKUP(Main_Presentation[[#This Row],[LC Number]],Main_Issuance[],12,0)</f>
        <v>1500000</v>
      </c>
      <c r="O126" s="16" t="s">
        <v>20</v>
      </c>
      <c r="P126" s="16" t="s">
        <v>857</v>
      </c>
      <c r="Q126" s="131">
        <v>311942.78999999998</v>
      </c>
      <c r="R126" s="18">
        <v>1</v>
      </c>
      <c r="S126" s="18">
        <f>Main_Presentation[[#This Row],[Invoice Amt (FCY)]]*Main_Presentation[[#This Row],[Rate]]</f>
        <v>311942.78999999998</v>
      </c>
      <c r="T126" s="15">
        <v>45302</v>
      </c>
      <c r="U126" s="26" t="str">
        <f>VLOOKUP(Main_Presentation[[#This Row],[LC Number]],Main_Issuance[],18,0)</f>
        <v>60 Days from Delivery Date</v>
      </c>
      <c r="V126" s="19" t="s">
        <v>22</v>
      </c>
      <c r="W126" s="18" t="s">
        <v>857</v>
      </c>
      <c r="X126" s="16"/>
      <c r="Y126" s="234" t="str">
        <f>TRIM(LEFT(Main_Presentation[[#This Row],[Payment Terms]],3))</f>
        <v>60</v>
      </c>
      <c r="Z126" s="16"/>
      <c r="AA126" s="316" cm="1">
        <f t="array" ref="AA126">Settlement(Main_Presentation[[#This Row],[Bank]],Main_Presentation[[#This Row],[ Invoice Amt (SAR)]],Main_Presentation[[#This Row],[Date Recd]],Main_Presentation[[#This Row],[Due Date]],Main_Presentation[[#This Row],[Days]])</f>
        <v>1437.5</v>
      </c>
      <c r="AB126" s="16"/>
    </row>
    <row r="127" spans="1:28" ht="15.75" hidden="1" x14ac:dyDescent="0.25">
      <c r="A127" s="14" t="s">
        <v>36</v>
      </c>
      <c r="B127" s="15">
        <v>45280</v>
      </c>
      <c r="C127" s="26">
        <v>3</v>
      </c>
      <c r="D127" s="55" t="str">
        <f>VLOOKUP(Main_Presentation[[#This Row],[LC Number]],Main_Issuance[],3,0)</f>
        <v>Hassan Taleb</v>
      </c>
      <c r="E127" s="16" t="s">
        <v>856</v>
      </c>
      <c r="F127" s="17" t="str">
        <f>VLOOKUP(Main_Presentation[[#This Row],[LC Number]],Main_Issuance[],5,0)</f>
        <v>Alinma</v>
      </c>
      <c r="G127" s="17" t="str">
        <f>VLOOKUP(Main_Presentation[[#This Row],[LC Number]],Main_Issuance[],6,0)</f>
        <v>KSP</v>
      </c>
      <c r="H127" s="17" t="str">
        <f>VLOOKUP(Main_Presentation[[#This Row],[LC Number]],Main_Issuance[],17,0)</f>
        <v>Credit</v>
      </c>
      <c r="I127" s="17" t="str">
        <f>VLOOKUP(Main_Presentation[[#This Row],[LC Number]],Main_Issuance[],7,0)</f>
        <v>ARABIAN INTERNATIONAL COMPANY</v>
      </c>
      <c r="J127" s="17" t="str">
        <f>VLOOKUP(Main_Presentation[[#This Row],[LC Number]],Main_Issuance[],8,0)</f>
        <v>FIRST FIX</v>
      </c>
      <c r="K127" s="17" t="str">
        <f>VLOOKUP(Main_Presentation[[#This Row],[LC Number]],Main_Issuance[],9,0)</f>
        <v>KSP</v>
      </c>
      <c r="L127" s="17">
        <f>VLOOKUP(Main_Presentation[[#This Row],[LC Number]],Main_Issuance[],10,0)</f>
        <v>1020055</v>
      </c>
      <c r="M127" s="17" t="str">
        <f>VLOOKUP(Main_Presentation[[#This Row],[LC Number]],Main_Issuance[],11,0)</f>
        <v>SAR</v>
      </c>
      <c r="N127" s="84">
        <f>VLOOKUP(Main_Presentation[[#This Row],[LC Number]],Main_Issuance[],12,0)</f>
        <v>1500000</v>
      </c>
      <c r="O127" s="16" t="s">
        <v>20</v>
      </c>
      <c r="P127" s="16" t="s">
        <v>857</v>
      </c>
      <c r="Q127" s="131">
        <v>227876.07</v>
      </c>
      <c r="R127" s="18">
        <v>1</v>
      </c>
      <c r="S127" s="18">
        <f>Main_Presentation[[#This Row],[Invoice Amt (FCY)]]*Main_Presentation[[#This Row],[Rate]]</f>
        <v>227876.07</v>
      </c>
      <c r="T127" s="15">
        <v>45313</v>
      </c>
      <c r="U127" s="26" t="str">
        <f>VLOOKUP(Main_Presentation[[#This Row],[LC Number]],Main_Issuance[],18,0)</f>
        <v>60 Days from Delivery Date</v>
      </c>
      <c r="V127" s="19" t="s">
        <v>22</v>
      </c>
      <c r="W127" s="18" t="s">
        <v>857</v>
      </c>
      <c r="X127" s="16"/>
      <c r="Y127" s="234" t="str">
        <f>TRIM(LEFT(Main_Presentation[[#This Row],[Payment Terms]],3))</f>
        <v>60</v>
      </c>
      <c r="Z127" s="16"/>
      <c r="AA127" s="316" cm="1">
        <f t="array" ref="AA127">Settlement(Main_Presentation[[#This Row],[Bank]],Main_Presentation[[#This Row],[ Invoice Amt (SAR)]],Main_Presentation[[#This Row],[Date Recd]],Main_Presentation[[#This Row],[Due Date]],Main_Presentation[[#This Row],[Days]])</f>
        <v>1437.5</v>
      </c>
      <c r="AB127" s="16"/>
    </row>
    <row r="128" spans="1:28" ht="15.75" hidden="1" x14ac:dyDescent="0.25">
      <c r="A128" s="14" t="s">
        <v>38</v>
      </c>
      <c r="B128" s="15">
        <v>45208</v>
      </c>
      <c r="C128" s="26">
        <v>1</v>
      </c>
      <c r="D128" s="55" t="str">
        <f>VLOOKUP(Main_Presentation[[#This Row],[LC Number]],Main_Issuance[],3,0)</f>
        <v>Hassan Taleb</v>
      </c>
      <c r="E128" s="16" t="s">
        <v>856</v>
      </c>
      <c r="F128" s="17" t="str">
        <f>VLOOKUP(Main_Presentation[[#This Row],[LC Number]],Main_Issuance[],5,0)</f>
        <v>Alinma</v>
      </c>
      <c r="G128" s="17" t="str">
        <f>VLOOKUP(Main_Presentation[[#This Row],[LC Number]],Main_Issuance[],6,0)</f>
        <v>KSP</v>
      </c>
      <c r="H128" s="17" t="str">
        <f>VLOOKUP(Main_Presentation[[#This Row],[LC Number]],Main_Issuance[],17,0)</f>
        <v>Credit</v>
      </c>
      <c r="I128" s="17" t="str">
        <f>VLOOKUP(Main_Presentation[[#This Row],[LC Number]],Main_Issuance[],7,0)</f>
        <v>ELECTRIC HOUSE TRADING COMPANY LLC</v>
      </c>
      <c r="J128" s="17" t="str">
        <f>VLOOKUP(Main_Presentation[[#This Row],[LC Number]],Main_Issuance[],8,0)</f>
        <v>FIRST FIX</v>
      </c>
      <c r="K128" s="17" t="str">
        <f>VLOOKUP(Main_Presentation[[#This Row],[LC Number]],Main_Issuance[],9,0)</f>
        <v>KSP</v>
      </c>
      <c r="L128" s="17">
        <f>VLOOKUP(Main_Presentation[[#This Row],[LC Number]],Main_Issuance[],10,0)</f>
        <v>1020055</v>
      </c>
      <c r="M128" s="17" t="str">
        <f>VLOOKUP(Main_Presentation[[#This Row],[LC Number]],Main_Issuance[],11,0)</f>
        <v>SAR</v>
      </c>
      <c r="N128" s="84">
        <f>VLOOKUP(Main_Presentation[[#This Row],[LC Number]],Main_Issuance[],12,0)</f>
        <v>3991924.87</v>
      </c>
      <c r="O128" s="16" t="s">
        <v>20</v>
      </c>
      <c r="P128" s="16" t="s">
        <v>857</v>
      </c>
      <c r="Q128" s="131">
        <v>2001304.67</v>
      </c>
      <c r="R128" s="18">
        <v>1</v>
      </c>
      <c r="S128" s="18">
        <f>Main_Presentation[[#This Row],[Invoice Amt (FCY)]]*Main_Presentation[[#This Row],[Rate]]</f>
        <v>2001304.67</v>
      </c>
      <c r="T128" s="15">
        <v>45278</v>
      </c>
      <c r="U128" s="26" t="str">
        <f>VLOOKUP(Main_Presentation[[#This Row],[LC Number]],Main_Issuance[],18,0)</f>
        <v>90 Days from Delivery Date</v>
      </c>
      <c r="V128" s="19" t="s">
        <v>22</v>
      </c>
      <c r="W128" s="18" t="s">
        <v>857</v>
      </c>
      <c r="X128" s="16"/>
      <c r="Y128" s="234" t="str">
        <f>TRIM(LEFT(Main_Presentation[[#This Row],[Payment Terms]],3))</f>
        <v>90</v>
      </c>
      <c r="Z128" s="16"/>
      <c r="AA128" s="316" cm="1">
        <f t="array" ref="AA128">Settlement(Main_Presentation[[#This Row],[Bank]],Main_Presentation[[#This Row],[ Invoice Amt (SAR)]],Main_Presentation[[#This Row],[Date Recd]],Main_Presentation[[#This Row],[Due Date]],Main_Presentation[[#This Row],[Days]])</f>
        <v>1918.2</v>
      </c>
      <c r="AB128" s="16"/>
    </row>
    <row r="129" spans="1:28" ht="15.75" hidden="1" x14ac:dyDescent="0.25">
      <c r="A129" s="14" t="s">
        <v>38</v>
      </c>
      <c r="B129" s="15">
        <v>45285</v>
      </c>
      <c r="C129" s="26">
        <v>2</v>
      </c>
      <c r="D129" s="55" t="str">
        <f>VLOOKUP(Main_Presentation[[#This Row],[LC Number]],Main_Issuance[],3,0)</f>
        <v>Hassan Taleb</v>
      </c>
      <c r="E129" s="16" t="s">
        <v>856</v>
      </c>
      <c r="F129" s="17" t="str">
        <f>VLOOKUP(Main_Presentation[[#This Row],[LC Number]],Main_Issuance[],5,0)</f>
        <v>Alinma</v>
      </c>
      <c r="G129" s="17" t="str">
        <f>VLOOKUP(Main_Presentation[[#This Row],[LC Number]],Main_Issuance[],6,0)</f>
        <v>KSP</v>
      </c>
      <c r="H129" s="17" t="str">
        <f>VLOOKUP(Main_Presentation[[#This Row],[LC Number]],Main_Issuance[],17,0)</f>
        <v>Credit</v>
      </c>
      <c r="I129" s="17" t="str">
        <f>VLOOKUP(Main_Presentation[[#This Row],[LC Number]],Main_Issuance[],7,0)</f>
        <v>ELECTRIC HOUSE TRADING COMPANY LLC</v>
      </c>
      <c r="J129" s="17" t="str">
        <f>VLOOKUP(Main_Presentation[[#This Row],[LC Number]],Main_Issuance[],8,0)</f>
        <v>FIRST FIX</v>
      </c>
      <c r="K129" s="17" t="str">
        <f>VLOOKUP(Main_Presentation[[#This Row],[LC Number]],Main_Issuance[],9,0)</f>
        <v>KSP</v>
      </c>
      <c r="L129" s="17">
        <f>VLOOKUP(Main_Presentation[[#This Row],[LC Number]],Main_Issuance[],10,0)</f>
        <v>1020055</v>
      </c>
      <c r="M129" s="17" t="str">
        <f>VLOOKUP(Main_Presentation[[#This Row],[LC Number]],Main_Issuance[],11,0)</f>
        <v>SAR</v>
      </c>
      <c r="N129" s="84">
        <f>VLOOKUP(Main_Presentation[[#This Row],[LC Number]],Main_Issuance[],12,0)</f>
        <v>3991924.87</v>
      </c>
      <c r="O129" s="16" t="s">
        <v>20</v>
      </c>
      <c r="P129" s="16" t="s">
        <v>857</v>
      </c>
      <c r="Q129" s="131">
        <v>1131064.1599999999</v>
      </c>
      <c r="R129" s="18">
        <v>1</v>
      </c>
      <c r="S129" s="18">
        <f>Main_Presentation[[#This Row],[Invoice Amt (FCY)]]*Main_Presentation[[#This Row],[Rate]]</f>
        <v>1131064.1599999999</v>
      </c>
      <c r="T129" s="15">
        <v>44997</v>
      </c>
      <c r="U129" s="26" t="str">
        <f>VLOOKUP(Main_Presentation[[#This Row],[LC Number]],Main_Issuance[],18,0)</f>
        <v>90 Days from Delivery Date</v>
      </c>
      <c r="V129" s="19" t="s">
        <v>22</v>
      </c>
      <c r="W129" s="18" t="s">
        <v>857</v>
      </c>
      <c r="X129" s="16"/>
      <c r="Y129" s="234" t="str">
        <f>TRIM(LEFT(Main_Presentation[[#This Row],[Payment Terms]],3))</f>
        <v>90</v>
      </c>
      <c r="Z129" s="16"/>
      <c r="AA129" s="316" cm="1">
        <f t="array" ref="AA129">Settlement(Main_Presentation[[#This Row],[Bank]],Main_Presentation[[#This Row],[ Invoice Amt (SAR)]],Main_Presentation[[#This Row],[Date Recd]],Main_Presentation[[#This Row],[Due Date]],Main_Presentation[[#This Row],[Days]])</f>
        <v>1437.5</v>
      </c>
      <c r="AB129" s="16"/>
    </row>
    <row r="130" spans="1:28" ht="15.75" hidden="1" x14ac:dyDescent="0.25">
      <c r="A130" s="14" t="s">
        <v>38</v>
      </c>
      <c r="B130" s="15">
        <v>44976</v>
      </c>
      <c r="C130" s="26">
        <v>3</v>
      </c>
      <c r="D130" s="55" t="str">
        <f>VLOOKUP(Main_Presentation[[#This Row],[LC Number]],Main_Issuance[],3,0)</f>
        <v>Hassan Taleb</v>
      </c>
      <c r="E130" s="16" t="s">
        <v>856</v>
      </c>
      <c r="F130" s="17" t="str">
        <f>VLOOKUP(Main_Presentation[[#This Row],[LC Number]],Main_Issuance[],5,0)</f>
        <v>Alinma</v>
      </c>
      <c r="G130" s="17" t="str">
        <f>VLOOKUP(Main_Presentation[[#This Row],[LC Number]],Main_Issuance[],6,0)</f>
        <v>KSP</v>
      </c>
      <c r="H130" s="17" t="str">
        <f>VLOOKUP(Main_Presentation[[#This Row],[LC Number]],Main_Issuance[],17,0)</f>
        <v>Credit</v>
      </c>
      <c r="I130" s="17" t="str">
        <f>VLOOKUP(Main_Presentation[[#This Row],[LC Number]],Main_Issuance[],7,0)</f>
        <v>ELECTRIC HOUSE TRADING COMPANY LLC</v>
      </c>
      <c r="J130" s="17" t="str">
        <f>VLOOKUP(Main_Presentation[[#This Row],[LC Number]],Main_Issuance[],8,0)</f>
        <v>FIRST FIX</v>
      </c>
      <c r="K130" s="17" t="str">
        <f>VLOOKUP(Main_Presentation[[#This Row],[LC Number]],Main_Issuance[],9,0)</f>
        <v>KSP</v>
      </c>
      <c r="L130" s="17">
        <f>VLOOKUP(Main_Presentation[[#This Row],[LC Number]],Main_Issuance[],10,0)</f>
        <v>1020055</v>
      </c>
      <c r="M130" s="17" t="str">
        <f>VLOOKUP(Main_Presentation[[#This Row],[LC Number]],Main_Issuance[],11,0)</f>
        <v>SAR</v>
      </c>
      <c r="N130" s="84">
        <f>VLOOKUP(Main_Presentation[[#This Row],[LC Number]],Main_Issuance[],12,0)</f>
        <v>3991924.87</v>
      </c>
      <c r="O130" s="16" t="s">
        <v>20</v>
      </c>
      <c r="P130" s="16" t="s">
        <v>857</v>
      </c>
      <c r="Q130" s="131">
        <v>859556.04</v>
      </c>
      <c r="R130" s="18">
        <v>1</v>
      </c>
      <c r="S130" s="18">
        <f>Main_Presentation[[#This Row],[Invoice Amt (FCY)]]*Main_Presentation[[#This Row],[Rate]]</f>
        <v>859556.04</v>
      </c>
      <c r="T130" s="15">
        <v>45050</v>
      </c>
      <c r="U130" s="26" t="str">
        <f>VLOOKUP(Main_Presentation[[#This Row],[LC Number]],Main_Issuance[],18,0)</f>
        <v>90 Days from Delivery Date</v>
      </c>
      <c r="V130" s="19" t="s">
        <v>22</v>
      </c>
      <c r="W130" s="18" t="s">
        <v>857</v>
      </c>
      <c r="X130" s="16"/>
      <c r="Y130" s="234" t="str">
        <f>TRIM(LEFT(Main_Presentation[[#This Row],[Payment Terms]],3))</f>
        <v>90</v>
      </c>
      <c r="Z130" s="16"/>
      <c r="AA130" s="316" cm="1">
        <f t="array" ref="AA130">Settlement(Main_Presentation[[#This Row],[Bank]],Main_Presentation[[#This Row],[ Invoice Amt (SAR)]],Main_Presentation[[#This Row],[Date Recd]],Main_Presentation[[#This Row],[Due Date]],Main_Presentation[[#This Row],[Days]])</f>
        <v>1437.5</v>
      </c>
      <c r="AB130" s="16"/>
    </row>
    <row r="131" spans="1:28" ht="15.75" hidden="1" x14ac:dyDescent="0.25">
      <c r="A131" s="14" t="s">
        <v>40</v>
      </c>
      <c r="B131" s="15">
        <v>45279</v>
      </c>
      <c r="C131" s="26">
        <v>1</v>
      </c>
      <c r="D131" s="55" t="str">
        <f>VLOOKUP(Main_Presentation[[#This Row],[LC Number]],Main_Issuance[],3,0)</f>
        <v>Hassan Taleb</v>
      </c>
      <c r="E131" s="16" t="s">
        <v>856</v>
      </c>
      <c r="F131" s="17" t="str">
        <f>VLOOKUP(Main_Presentation[[#This Row],[LC Number]],Main_Issuance[],5,0)</f>
        <v>Alinma</v>
      </c>
      <c r="G131" s="17" t="str">
        <f>VLOOKUP(Main_Presentation[[#This Row],[LC Number]],Main_Issuance[],6,0)</f>
        <v>KSP</v>
      </c>
      <c r="H131" s="17" t="str">
        <f>VLOOKUP(Main_Presentation[[#This Row],[LC Number]],Main_Issuance[],17,0)</f>
        <v>Credit</v>
      </c>
      <c r="I131" s="17" t="str">
        <f>VLOOKUP(Main_Presentation[[#This Row],[LC Number]],Main_Issuance[],7,0)</f>
        <v>AL MOUSA TRADING COMPANY</v>
      </c>
      <c r="J131" s="17" t="str">
        <f>VLOOKUP(Main_Presentation[[#This Row],[LC Number]],Main_Issuance[],8,0)</f>
        <v>FIRST FIX</v>
      </c>
      <c r="K131" s="17" t="str">
        <f>VLOOKUP(Main_Presentation[[#This Row],[LC Number]],Main_Issuance[],9,0)</f>
        <v>KSP</v>
      </c>
      <c r="L131" s="17">
        <f>VLOOKUP(Main_Presentation[[#This Row],[LC Number]],Main_Issuance[],10,0)</f>
        <v>1020055</v>
      </c>
      <c r="M131" s="17" t="str">
        <f>VLOOKUP(Main_Presentation[[#This Row],[LC Number]],Main_Issuance[],11,0)</f>
        <v>SAR</v>
      </c>
      <c r="N131" s="84">
        <f>VLOOKUP(Main_Presentation[[#This Row],[LC Number]],Main_Issuance[],12,0)</f>
        <v>3320000</v>
      </c>
      <c r="O131" s="16" t="s">
        <v>20</v>
      </c>
      <c r="P131" s="16" t="s">
        <v>857</v>
      </c>
      <c r="Q131" s="131">
        <v>1820000</v>
      </c>
      <c r="R131" s="18">
        <v>1</v>
      </c>
      <c r="S131" s="18">
        <f>Main_Presentation[[#This Row],[Invoice Amt (FCY)]]*Main_Presentation[[#This Row],[Rate]]</f>
        <v>1820000</v>
      </c>
      <c r="T131" s="15">
        <v>45311</v>
      </c>
      <c r="U131" s="26" t="str">
        <f>VLOOKUP(Main_Presentation[[#This Row],[LC Number]],Main_Issuance[],18,0)</f>
        <v>60 Days from Delivery Date</v>
      </c>
      <c r="V131" s="19" t="s">
        <v>22</v>
      </c>
      <c r="W131" s="18" t="s">
        <v>857</v>
      </c>
      <c r="X131" s="16"/>
      <c r="Y131" s="234" t="str">
        <f>TRIM(LEFT(Main_Presentation[[#This Row],[Payment Terms]],3))</f>
        <v>60</v>
      </c>
      <c r="Z131" s="16"/>
      <c r="AA131" s="316" cm="1">
        <f t="array" ref="AA131">Settlement(Main_Presentation[[#This Row],[Bank]],Main_Presentation[[#This Row],[ Invoice Amt (SAR)]],Main_Presentation[[#This Row],[Date Recd]],Main_Presentation[[#This Row],[Due Date]],Main_Presentation[[#This Row],[Days]])</f>
        <v>1437.5</v>
      </c>
      <c r="AB131" s="16"/>
    </row>
    <row r="132" spans="1:28" ht="15.75" hidden="1" x14ac:dyDescent="0.25">
      <c r="A132" s="14" t="s">
        <v>40</v>
      </c>
      <c r="B132" s="15">
        <v>45287</v>
      </c>
      <c r="C132" s="26">
        <v>2</v>
      </c>
      <c r="D132" s="55" t="str">
        <f>VLOOKUP(Main_Presentation[[#This Row],[LC Number]],Main_Issuance[],3,0)</f>
        <v>Hassan Taleb</v>
      </c>
      <c r="E132" s="16" t="s">
        <v>856</v>
      </c>
      <c r="F132" s="17" t="str">
        <f>VLOOKUP(Main_Presentation[[#This Row],[LC Number]],Main_Issuance[],5,0)</f>
        <v>Alinma</v>
      </c>
      <c r="G132" s="17" t="str">
        <f>VLOOKUP(Main_Presentation[[#This Row],[LC Number]],Main_Issuance[],6,0)</f>
        <v>KSP</v>
      </c>
      <c r="H132" s="17" t="str">
        <f>VLOOKUP(Main_Presentation[[#This Row],[LC Number]],Main_Issuance[],17,0)</f>
        <v>Credit</v>
      </c>
      <c r="I132" s="17" t="str">
        <f>VLOOKUP(Main_Presentation[[#This Row],[LC Number]],Main_Issuance[],7,0)</f>
        <v>AL MOUSA TRADING COMPANY</v>
      </c>
      <c r="J132" s="17" t="str">
        <f>VLOOKUP(Main_Presentation[[#This Row],[LC Number]],Main_Issuance[],8,0)</f>
        <v>FIRST FIX</v>
      </c>
      <c r="K132" s="17" t="str">
        <f>VLOOKUP(Main_Presentation[[#This Row],[LC Number]],Main_Issuance[],9,0)</f>
        <v>KSP</v>
      </c>
      <c r="L132" s="17">
        <f>VLOOKUP(Main_Presentation[[#This Row],[LC Number]],Main_Issuance[],10,0)</f>
        <v>1020055</v>
      </c>
      <c r="M132" s="17" t="str">
        <f>VLOOKUP(Main_Presentation[[#This Row],[LC Number]],Main_Issuance[],11,0)</f>
        <v>SAR</v>
      </c>
      <c r="N132" s="84">
        <f>VLOOKUP(Main_Presentation[[#This Row],[LC Number]],Main_Issuance[],12,0)</f>
        <v>3320000</v>
      </c>
      <c r="O132" s="16" t="s">
        <v>20</v>
      </c>
      <c r="P132" s="16" t="s">
        <v>857</v>
      </c>
      <c r="Q132" s="131">
        <v>379478.51</v>
      </c>
      <c r="R132" s="18">
        <v>1</v>
      </c>
      <c r="S132" s="18">
        <f>Main_Presentation[[#This Row],[Invoice Amt (FCY)]]*Main_Presentation[[#This Row],[Rate]]</f>
        <v>379478.51</v>
      </c>
      <c r="T132" s="15">
        <v>45333</v>
      </c>
      <c r="U132" s="26" t="str">
        <f>VLOOKUP(Main_Presentation[[#This Row],[LC Number]],Main_Issuance[],18,0)</f>
        <v>60 Days from Delivery Date</v>
      </c>
      <c r="V132" s="19" t="s">
        <v>22</v>
      </c>
      <c r="W132" s="18" t="s">
        <v>857</v>
      </c>
      <c r="X132" s="16"/>
      <c r="Y132" s="234" t="str">
        <f>TRIM(LEFT(Main_Presentation[[#This Row],[Payment Terms]],3))</f>
        <v>60</v>
      </c>
      <c r="Z132" s="16"/>
      <c r="AA132" s="316" cm="1">
        <f t="array" ref="AA132">Settlement(Main_Presentation[[#This Row],[Bank]],Main_Presentation[[#This Row],[ Invoice Amt (SAR)]],Main_Presentation[[#This Row],[Date Recd]],Main_Presentation[[#This Row],[Due Date]],Main_Presentation[[#This Row],[Days]])</f>
        <v>1437.5</v>
      </c>
      <c r="AB132" s="16"/>
    </row>
    <row r="133" spans="1:28" ht="15.75" hidden="1" x14ac:dyDescent="0.25">
      <c r="A133" s="14" t="s">
        <v>40</v>
      </c>
      <c r="B133" s="15">
        <v>45010</v>
      </c>
      <c r="C133" s="26">
        <v>3</v>
      </c>
      <c r="D133" s="55" t="str">
        <f>VLOOKUP(Main_Presentation[[#This Row],[LC Number]],Main_Issuance[],3,0)</f>
        <v>Hassan Taleb</v>
      </c>
      <c r="E133" s="16" t="s">
        <v>856</v>
      </c>
      <c r="F133" s="17" t="str">
        <f>VLOOKUP(Main_Presentation[[#This Row],[LC Number]],Main_Issuance[],5,0)</f>
        <v>Alinma</v>
      </c>
      <c r="G133" s="17" t="str">
        <f>VLOOKUP(Main_Presentation[[#This Row],[LC Number]],Main_Issuance[],6,0)</f>
        <v>KSP</v>
      </c>
      <c r="H133" s="17" t="str">
        <f>VLOOKUP(Main_Presentation[[#This Row],[LC Number]],Main_Issuance[],17,0)</f>
        <v>Credit</v>
      </c>
      <c r="I133" s="17" t="str">
        <f>VLOOKUP(Main_Presentation[[#This Row],[LC Number]],Main_Issuance[],7,0)</f>
        <v>AL MOUSA TRADING COMPANY</v>
      </c>
      <c r="J133" s="17" t="str">
        <f>VLOOKUP(Main_Presentation[[#This Row],[LC Number]],Main_Issuance[],8,0)</f>
        <v>FIRST FIX</v>
      </c>
      <c r="K133" s="17" t="str">
        <f>VLOOKUP(Main_Presentation[[#This Row],[LC Number]],Main_Issuance[],9,0)</f>
        <v>KSP</v>
      </c>
      <c r="L133" s="17">
        <f>VLOOKUP(Main_Presentation[[#This Row],[LC Number]],Main_Issuance[],10,0)</f>
        <v>1020055</v>
      </c>
      <c r="M133" s="17" t="str">
        <f>VLOOKUP(Main_Presentation[[#This Row],[LC Number]],Main_Issuance[],11,0)</f>
        <v>SAR</v>
      </c>
      <c r="N133" s="84">
        <f>VLOOKUP(Main_Presentation[[#This Row],[LC Number]],Main_Issuance[],12,0)</f>
        <v>3320000</v>
      </c>
      <c r="O133" s="16" t="s">
        <v>20</v>
      </c>
      <c r="P133" s="16" t="s">
        <v>857</v>
      </c>
      <c r="Q133" s="131">
        <v>253995.3</v>
      </c>
      <c r="R133" s="18">
        <v>1</v>
      </c>
      <c r="S133" s="18">
        <f>Main_Presentation[[#This Row],[Invoice Amt (FCY)]]*Main_Presentation[[#This Row],[Rate]]</f>
        <v>253995.3</v>
      </c>
      <c r="T133" s="15">
        <v>45410</v>
      </c>
      <c r="U133" s="26" t="str">
        <f>VLOOKUP(Main_Presentation[[#This Row],[LC Number]],Main_Issuance[],18,0)</f>
        <v>60 Days from Delivery Date</v>
      </c>
      <c r="V133" s="19" t="s">
        <v>22</v>
      </c>
      <c r="W133" s="18" t="s">
        <v>857</v>
      </c>
      <c r="X133" s="16"/>
      <c r="Y133" s="234" t="str">
        <f>TRIM(LEFT(Main_Presentation[[#This Row],[Payment Terms]],3))</f>
        <v>60</v>
      </c>
      <c r="Z133" s="16"/>
      <c r="AA133" s="316" cm="1">
        <f t="array" ref="AA133">Settlement(Main_Presentation[[#This Row],[Bank]],Main_Presentation[[#This Row],[ Invoice Amt (SAR)]],Main_Presentation[[#This Row],[Date Recd]],Main_Presentation[[#This Row],[Due Date]],Main_Presentation[[#This Row],[Days]])</f>
        <v>1582.4</v>
      </c>
      <c r="AB133" s="16"/>
    </row>
    <row r="134" spans="1:28" ht="15.75" hidden="1" x14ac:dyDescent="0.25">
      <c r="A134" s="14" t="s">
        <v>40</v>
      </c>
      <c r="B134" s="15">
        <v>45067</v>
      </c>
      <c r="C134" s="26">
        <v>4</v>
      </c>
      <c r="D134" s="55" t="str">
        <f>VLOOKUP(Main_Presentation[[#This Row],[LC Number]],Main_Issuance[],3,0)</f>
        <v>Hassan Taleb</v>
      </c>
      <c r="E134" s="16" t="s">
        <v>856</v>
      </c>
      <c r="F134" s="17" t="str">
        <f>VLOOKUP(Main_Presentation[[#This Row],[LC Number]],Main_Issuance[],5,0)</f>
        <v>Alinma</v>
      </c>
      <c r="G134" s="17" t="str">
        <f>VLOOKUP(Main_Presentation[[#This Row],[LC Number]],Main_Issuance[],6,0)</f>
        <v>KSP</v>
      </c>
      <c r="H134" s="17" t="str">
        <f>VLOOKUP(Main_Presentation[[#This Row],[LC Number]],Main_Issuance[],17,0)</f>
        <v>Credit</v>
      </c>
      <c r="I134" s="17" t="str">
        <f>VLOOKUP(Main_Presentation[[#This Row],[LC Number]],Main_Issuance[],7,0)</f>
        <v>AL MOUSA TRADING COMPANY</v>
      </c>
      <c r="J134" s="17" t="str">
        <f>VLOOKUP(Main_Presentation[[#This Row],[LC Number]],Main_Issuance[],8,0)</f>
        <v>FIRST FIX</v>
      </c>
      <c r="K134" s="17" t="str">
        <f>VLOOKUP(Main_Presentation[[#This Row],[LC Number]],Main_Issuance[],9,0)</f>
        <v>KSP</v>
      </c>
      <c r="L134" s="17">
        <f>VLOOKUP(Main_Presentation[[#This Row],[LC Number]],Main_Issuance[],10,0)</f>
        <v>1020055</v>
      </c>
      <c r="M134" s="17" t="str">
        <f>VLOOKUP(Main_Presentation[[#This Row],[LC Number]],Main_Issuance[],11,0)</f>
        <v>SAR</v>
      </c>
      <c r="N134" s="84">
        <f>VLOOKUP(Main_Presentation[[#This Row],[LC Number]],Main_Issuance[],12,0)</f>
        <v>3320000</v>
      </c>
      <c r="O134" s="16" t="s">
        <v>20</v>
      </c>
      <c r="P134" s="16" t="s">
        <v>857</v>
      </c>
      <c r="Q134" s="131">
        <v>834302</v>
      </c>
      <c r="R134" s="18">
        <v>1</v>
      </c>
      <c r="S134" s="18">
        <f>Main_Presentation[[#This Row],[Invoice Amt (FCY)]]*Main_Presentation[[#This Row],[Rate]]</f>
        <v>834302</v>
      </c>
      <c r="T134" s="15">
        <v>45472</v>
      </c>
      <c r="U134" s="26" t="str">
        <f>VLOOKUP(Main_Presentation[[#This Row],[LC Number]],Main_Issuance[],18,0)</f>
        <v>60 Days from Delivery Date</v>
      </c>
      <c r="V134" s="19" t="s">
        <v>22</v>
      </c>
      <c r="W134" s="18" t="s">
        <v>857</v>
      </c>
      <c r="X134" s="16"/>
      <c r="Y134" s="234" t="str">
        <f>TRIM(LEFT(Main_Presentation[[#This Row],[Payment Terms]],3))</f>
        <v>60</v>
      </c>
      <c r="Z134" s="16"/>
      <c r="AA134" s="316" cm="1">
        <f t="array" ref="AA134">Settlement(Main_Presentation[[#This Row],[Bank]],Main_Presentation[[#This Row],[ Invoice Amt (SAR)]],Main_Presentation[[#This Row],[Date Recd]],Main_Presentation[[#This Row],[Due Date]],Main_Presentation[[#This Row],[Days]])</f>
        <v>5196.8500000000004</v>
      </c>
      <c r="AB134" s="16"/>
    </row>
    <row r="135" spans="1:28" ht="15.75" hidden="1" x14ac:dyDescent="0.25">
      <c r="A135" s="14" t="s">
        <v>42</v>
      </c>
      <c r="B135" s="15">
        <v>45285</v>
      </c>
      <c r="C135" s="26">
        <v>1</v>
      </c>
      <c r="D135" s="55" t="str">
        <f>VLOOKUP(Main_Presentation[[#This Row],[LC Number]],Main_Issuance[],3,0)</f>
        <v>Hassan Taleb</v>
      </c>
      <c r="E135" s="16" t="s">
        <v>856</v>
      </c>
      <c r="F135" s="17" t="str">
        <f>VLOOKUP(Main_Presentation[[#This Row],[LC Number]],Main_Issuance[],5,0)</f>
        <v>Alinma</v>
      </c>
      <c r="G135" s="17" t="str">
        <f>VLOOKUP(Main_Presentation[[#This Row],[LC Number]],Main_Issuance[],6,0)</f>
        <v>KSP</v>
      </c>
      <c r="H135" s="17" t="str">
        <f>VLOOKUP(Main_Presentation[[#This Row],[LC Number]],Main_Issuance[],17,0)</f>
        <v>Credit</v>
      </c>
      <c r="I135" s="17" t="str">
        <f>VLOOKUP(Main_Presentation[[#This Row],[LC Number]],Main_Issuance[],7,0)</f>
        <v>THKM CO</v>
      </c>
      <c r="J135" s="17" t="str">
        <f>VLOOKUP(Main_Presentation[[#This Row],[LC Number]],Main_Issuance[],8,0)</f>
        <v>FIRST FIX</v>
      </c>
      <c r="K135" s="17" t="str">
        <f>VLOOKUP(Main_Presentation[[#This Row],[LC Number]],Main_Issuance[],9,0)</f>
        <v>KSP</v>
      </c>
      <c r="L135" s="17">
        <f>VLOOKUP(Main_Presentation[[#This Row],[LC Number]],Main_Issuance[],10,0)</f>
        <v>1020055</v>
      </c>
      <c r="M135" s="17" t="str">
        <f>VLOOKUP(Main_Presentation[[#This Row],[LC Number]],Main_Issuance[],11,0)</f>
        <v>SAR</v>
      </c>
      <c r="N135" s="84">
        <f>VLOOKUP(Main_Presentation[[#This Row],[LC Number]],Main_Issuance[],12,0)</f>
        <v>2000000</v>
      </c>
      <c r="O135" s="16" t="s">
        <v>20</v>
      </c>
      <c r="P135" s="16" t="s">
        <v>857</v>
      </c>
      <c r="Q135" s="131">
        <v>781651.92</v>
      </c>
      <c r="R135" s="18">
        <v>1</v>
      </c>
      <c r="S135" s="18">
        <f>Main_Presentation[[#This Row],[Invoice Amt (FCY)]]*Main_Presentation[[#This Row],[Rate]]</f>
        <v>781651.92</v>
      </c>
      <c r="T135" s="15">
        <v>45360</v>
      </c>
      <c r="U135" s="26" t="str">
        <f>VLOOKUP(Main_Presentation[[#This Row],[LC Number]],Main_Issuance[],18,0)</f>
        <v>90 Days from Delivery Date</v>
      </c>
      <c r="V135" s="19" t="s">
        <v>22</v>
      </c>
      <c r="W135" s="18" t="s">
        <v>857</v>
      </c>
      <c r="X135" s="16"/>
      <c r="Y135" s="234" t="str">
        <f>TRIM(LEFT(Main_Presentation[[#This Row],[Payment Terms]],3))</f>
        <v>90</v>
      </c>
      <c r="Z135" s="16"/>
      <c r="AA135" s="316" cm="1">
        <f t="array" ref="AA135">Settlement(Main_Presentation[[#This Row],[Bank]],Main_Presentation[[#This Row],[ Invoice Amt (SAR)]],Main_Presentation[[#This Row],[Date Recd]],Main_Presentation[[#This Row],[Due Date]],Main_Presentation[[#This Row],[Days]])</f>
        <v>1437.5</v>
      </c>
      <c r="AB135" s="16"/>
    </row>
    <row r="136" spans="1:28" ht="15.75" hidden="1" x14ac:dyDescent="0.25">
      <c r="A136" s="14" t="s">
        <v>42</v>
      </c>
      <c r="B136" s="15">
        <v>45409</v>
      </c>
      <c r="C136" s="26">
        <v>2</v>
      </c>
      <c r="D136" s="55" t="str">
        <f>VLOOKUP(Main_Presentation[[#This Row],[LC Number]],Main_Issuance[],3,0)</f>
        <v>Hassan Taleb</v>
      </c>
      <c r="E136" s="16" t="s">
        <v>856</v>
      </c>
      <c r="F136" s="17" t="str">
        <f>VLOOKUP(Main_Presentation[[#This Row],[LC Number]],Main_Issuance[],5,0)</f>
        <v>Alinma</v>
      </c>
      <c r="G136" s="17" t="str">
        <f>VLOOKUP(Main_Presentation[[#This Row],[LC Number]],Main_Issuance[],6,0)</f>
        <v>KSP</v>
      </c>
      <c r="H136" s="17" t="str">
        <f>VLOOKUP(Main_Presentation[[#This Row],[LC Number]],Main_Issuance[],17,0)</f>
        <v>Credit</v>
      </c>
      <c r="I136" s="17" t="str">
        <f>VLOOKUP(Main_Presentation[[#This Row],[LC Number]],Main_Issuance[],7,0)</f>
        <v>THKM CO</v>
      </c>
      <c r="J136" s="17" t="str">
        <f>VLOOKUP(Main_Presentation[[#This Row],[LC Number]],Main_Issuance[],8,0)</f>
        <v>FIRST FIX</v>
      </c>
      <c r="K136" s="17" t="str">
        <f>VLOOKUP(Main_Presentation[[#This Row],[LC Number]],Main_Issuance[],9,0)</f>
        <v>KSP</v>
      </c>
      <c r="L136" s="17">
        <f>VLOOKUP(Main_Presentation[[#This Row],[LC Number]],Main_Issuance[],10,0)</f>
        <v>1020055</v>
      </c>
      <c r="M136" s="17" t="str">
        <f>VLOOKUP(Main_Presentation[[#This Row],[LC Number]],Main_Issuance[],11,0)</f>
        <v>SAR</v>
      </c>
      <c r="N136" s="84">
        <f>VLOOKUP(Main_Presentation[[#This Row],[LC Number]],Main_Issuance[],12,0)</f>
        <v>2000000</v>
      </c>
      <c r="O136" s="16" t="s">
        <v>20</v>
      </c>
      <c r="P136" s="16" t="s">
        <v>857</v>
      </c>
      <c r="Q136" s="131">
        <v>440849.56</v>
      </c>
      <c r="R136" s="18">
        <v>1</v>
      </c>
      <c r="S136" s="18">
        <f>Main_Presentation[[#This Row],[Invoice Amt (FCY)]]*Main_Presentation[[#This Row],[Rate]]</f>
        <v>440849.56</v>
      </c>
      <c r="T136" s="15">
        <v>45409</v>
      </c>
      <c r="U136" s="26" t="str">
        <f>VLOOKUP(Main_Presentation[[#This Row],[LC Number]],Main_Issuance[],18,0)</f>
        <v>90 Days from Delivery Date</v>
      </c>
      <c r="V136" s="19" t="s">
        <v>22</v>
      </c>
      <c r="W136" s="18" t="s">
        <v>857</v>
      </c>
      <c r="X136" s="16"/>
      <c r="Y136" s="234" t="str">
        <f>TRIM(LEFT(Main_Presentation[[#This Row],[Payment Terms]],3))</f>
        <v>90</v>
      </c>
      <c r="Z136" s="16"/>
      <c r="AA136" s="316" cm="1">
        <f t="array" ref="AA136">Settlement(Main_Presentation[[#This Row],[Bank]],Main_Presentation[[#This Row],[ Invoice Amt (SAR)]],Main_Presentation[[#This Row],[Date Recd]],Main_Presentation[[#This Row],[Due Date]],Main_Presentation[[#This Row],[Days]])</f>
        <v>1437.5</v>
      </c>
      <c r="AB136" s="16"/>
    </row>
    <row r="137" spans="1:28" ht="15.75" hidden="1" x14ac:dyDescent="0.25">
      <c r="A137" s="14" t="s">
        <v>42</v>
      </c>
      <c r="B137" s="15">
        <v>45365</v>
      </c>
      <c r="C137" s="26">
        <v>3</v>
      </c>
      <c r="D137" s="55" t="str">
        <f>VLOOKUP(Main_Presentation[[#This Row],[LC Number]],Main_Issuance[],3,0)</f>
        <v>Hassan Taleb</v>
      </c>
      <c r="E137" s="16" t="s">
        <v>856</v>
      </c>
      <c r="F137" s="17" t="str">
        <f>VLOOKUP(Main_Presentation[[#This Row],[LC Number]],Main_Issuance[],5,0)</f>
        <v>Alinma</v>
      </c>
      <c r="G137" s="17" t="str">
        <f>VLOOKUP(Main_Presentation[[#This Row],[LC Number]],Main_Issuance[],6,0)</f>
        <v>KSP</v>
      </c>
      <c r="H137" s="17" t="str">
        <f>VLOOKUP(Main_Presentation[[#This Row],[LC Number]],Main_Issuance[],17,0)</f>
        <v>Credit</v>
      </c>
      <c r="I137" s="17" t="str">
        <f>VLOOKUP(Main_Presentation[[#This Row],[LC Number]],Main_Issuance[],7,0)</f>
        <v>THKM CO</v>
      </c>
      <c r="J137" s="17" t="str">
        <f>VLOOKUP(Main_Presentation[[#This Row],[LC Number]],Main_Issuance[],8,0)</f>
        <v>FIRST FIX</v>
      </c>
      <c r="K137" s="17" t="str">
        <f>VLOOKUP(Main_Presentation[[#This Row],[LC Number]],Main_Issuance[],9,0)</f>
        <v>KSP</v>
      </c>
      <c r="L137" s="17">
        <f>VLOOKUP(Main_Presentation[[#This Row],[LC Number]],Main_Issuance[],10,0)</f>
        <v>1020055</v>
      </c>
      <c r="M137" s="17" t="str">
        <f>VLOOKUP(Main_Presentation[[#This Row],[LC Number]],Main_Issuance[],11,0)</f>
        <v>SAR</v>
      </c>
      <c r="N137" s="84">
        <f>VLOOKUP(Main_Presentation[[#This Row],[LC Number]],Main_Issuance[],12,0)</f>
        <v>2000000</v>
      </c>
      <c r="O137" s="16" t="s">
        <v>20</v>
      </c>
      <c r="P137" s="16" t="s">
        <v>857</v>
      </c>
      <c r="Q137" s="131">
        <v>551543.52</v>
      </c>
      <c r="R137" s="18">
        <v>1</v>
      </c>
      <c r="S137" s="18">
        <f>Main_Presentation[[#This Row],[Invoice Amt (FCY)]]*Main_Presentation[[#This Row],[Rate]]</f>
        <v>551543.52</v>
      </c>
      <c r="T137" s="15">
        <v>45420</v>
      </c>
      <c r="U137" s="26" t="str">
        <f>VLOOKUP(Main_Presentation[[#This Row],[LC Number]],Main_Issuance[],18,0)</f>
        <v>90 Days from Delivery Date</v>
      </c>
      <c r="V137" s="19" t="s">
        <v>22</v>
      </c>
      <c r="W137" s="18" t="s">
        <v>857</v>
      </c>
      <c r="X137" s="16"/>
      <c r="Y137" s="234" t="str">
        <f>TRIM(LEFT(Main_Presentation[[#This Row],[Payment Terms]],3))</f>
        <v>90</v>
      </c>
      <c r="Z137" s="16"/>
      <c r="AA137" s="316" cm="1">
        <f t="array" ref="AA137">Settlement(Main_Presentation[[#This Row],[Bank]],Main_Presentation[[#This Row],[ Invoice Amt (SAR)]],Main_Presentation[[#This Row],[Date Recd]],Main_Presentation[[#This Row],[Due Date]],Main_Presentation[[#This Row],[Days]])</f>
        <v>1437.5</v>
      </c>
      <c r="AB137" s="16"/>
    </row>
    <row r="138" spans="1:28" ht="15.75" hidden="1" x14ac:dyDescent="0.25">
      <c r="A138" s="14" t="s">
        <v>42</v>
      </c>
      <c r="B138" s="15">
        <v>45427</v>
      </c>
      <c r="C138" s="26">
        <v>4</v>
      </c>
      <c r="D138" s="55" t="str">
        <f>VLOOKUP(Main_Presentation[[#This Row],[LC Number]],Main_Issuance[],3,0)</f>
        <v>Hassan Taleb</v>
      </c>
      <c r="E138" s="16" t="s">
        <v>856</v>
      </c>
      <c r="F138" s="17" t="str">
        <f>VLOOKUP(Main_Presentation[[#This Row],[LC Number]],Main_Issuance[],5,0)</f>
        <v>Alinma</v>
      </c>
      <c r="G138" s="17" t="str">
        <f>VLOOKUP(Main_Presentation[[#This Row],[LC Number]],Main_Issuance[],6,0)</f>
        <v>KSP</v>
      </c>
      <c r="H138" s="17" t="str">
        <f>VLOOKUP(Main_Presentation[[#This Row],[LC Number]],Main_Issuance[],17,0)</f>
        <v>Credit</v>
      </c>
      <c r="I138" s="17" t="str">
        <f>VLOOKUP(Main_Presentation[[#This Row],[LC Number]],Main_Issuance[],7,0)</f>
        <v>THKM CO</v>
      </c>
      <c r="J138" s="17" t="str">
        <f>VLOOKUP(Main_Presentation[[#This Row],[LC Number]],Main_Issuance[],8,0)</f>
        <v>FIRST FIX</v>
      </c>
      <c r="K138" s="17" t="str">
        <f>VLOOKUP(Main_Presentation[[#This Row],[LC Number]],Main_Issuance[],9,0)</f>
        <v>KSP</v>
      </c>
      <c r="L138" s="17">
        <f>VLOOKUP(Main_Presentation[[#This Row],[LC Number]],Main_Issuance[],10,0)</f>
        <v>1020055</v>
      </c>
      <c r="M138" s="17" t="str">
        <f>VLOOKUP(Main_Presentation[[#This Row],[LC Number]],Main_Issuance[],11,0)</f>
        <v>SAR</v>
      </c>
      <c r="N138" s="84">
        <f>VLOOKUP(Main_Presentation[[#This Row],[LC Number]],Main_Issuance[],12,0)</f>
        <v>2000000</v>
      </c>
      <c r="O138" s="16" t="s">
        <v>20</v>
      </c>
      <c r="P138" s="16" t="s">
        <v>857</v>
      </c>
      <c r="Q138" s="131">
        <v>225465.76</v>
      </c>
      <c r="R138" s="18">
        <v>1</v>
      </c>
      <c r="S138" s="18">
        <f>Main_Presentation[[#This Row],[Invoice Amt (FCY)]]*Main_Presentation[[#This Row],[Rate]]</f>
        <v>225465.76</v>
      </c>
      <c r="T138" s="15">
        <v>45500</v>
      </c>
      <c r="U138" s="26" t="str">
        <f>VLOOKUP(Main_Presentation[[#This Row],[LC Number]],Main_Issuance[],18,0)</f>
        <v>90 Days from Delivery Date</v>
      </c>
      <c r="V138" s="19" t="s">
        <v>22</v>
      </c>
      <c r="W138" s="18" t="s">
        <v>857</v>
      </c>
      <c r="X138" s="16"/>
      <c r="Y138" s="234" t="str">
        <f>TRIM(LEFT(Main_Presentation[[#This Row],[Payment Terms]],3))</f>
        <v>90</v>
      </c>
      <c r="Z138" s="16"/>
      <c r="AA138" s="316" cm="1">
        <f t="array" ref="AA138">Settlement(Main_Presentation[[#This Row],[Bank]],Main_Presentation[[#This Row],[ Invoice Amt (SAR)]],Main_Presentation[[#This Row],[Date Recd]],Main_Presentation[[#This Row],[Due Date]],Main_Presentation[[#This Row],[Days]])</f>
        <v>1437.5</v>
      </c>
      <c r="AB138" s="16"/>
    </row>
    <row r="139" spans="1:28" ht="15.75" hidden="1" x14ac:dyDescent="0.25">
      <c r="A139" s="14" t="s">
        <v>44</v>
      </c>
      <c r="B139" s="15">
        <v>45439</v>
      </c>
      <c r="C139" s="26">
        <v>1</v>
      </c>
      <c r="D139" s="55" t="str">
        <f>VLOOKUP(Main_Presentation[[#This Row],[LC Number]],Main_Issuance[],3,0)</f>
        <v>Hassan Taleb</v>
      </c>
      <c r="E139" s="16" t="s">
        <v>856</v>
      </c>
      <c r="F139" s="17" t="str">
        <f>VLOOKUP(Main_Presentation[[#This Row],[LC Number]],Main_Issuance[],5,0)</f>
        <v>Alinma</v>
      </c>
      <c r="G139" s="17" t="str">
        <f>VLOOKUP(Main_Presentation[[#This Row],[LC Number]],Main_Issuance[],6,0)</f>
        <v>KSP</v>
      </c>
      <c r="H139" s="17" t="str">
        <f>VLOOKUP(Main_Presentation[[#This Row],[LC Number]],Main_Issuance[],17,0)</f>
        <v>Credit</v>
      </c>
      <c r="I139" s="17" t="str">
        <f>VLOOKUP(Main_Presentation[[#This Row],[LC Number]],Main_Issuance[],7,0)</f>
        <v>DEPTH CO</v>
      </c>
      <c r="J139" s="17" t="str">
        <f>VLOOKUP(Main_Presentation[[#This Row],[LC Number]],Main_Issuance[],8,0)</f>
        <v>FIRST FIX</v>
      </c>
      <c r="K139" s="17" t="str">
        <f>VLOOKUP(Main_Presentation[[#This Row],[LC Number]],Main_Issuance[],9,0)</f>
        <v>KSP</v>
      </c>
      <c r="L139" s="17">
        <f>VLOOKUP(Main_Presentation[[#This Row],[LC Number]],Main_Issuance[],10,0)</f>
        <v>1020055</v>
      </c>
      <c r="M139" s="17" t="str">
        <f>VLOOKUP(Main_Presentation[[#This Row],[LC Number]],Main_Issuance[],11,0)</f>
        <v>SAR</v>
      </c>
      <c r="N139" s="84">
        <f>VLOOKUP(Main_Presentation[[#This Row],[LC Number]],Main_Issuance[],12,0)</f>
        <v>2000000</v>
      </c>
      <c r="O139" s="16" t="s">
        <v>20</v>
      </c>
      <c r="P139" s="16" t="s">
        <v>857</v>
      </c>
      <c r="Q139" s="131">
        <v>1951487.53</v>
      </c>
      <c r="R139" s="18">
        <v>1</v>
      </c>
      <c r="S139" s="18">
        <f>Main_Presentation[[#This Row],[Invoice Amt (FCY)]]*Main_Presentation[[#This Row],[Rate]]</f>
        <v>1951487.53</v>
      </c>
      <c r="T139" s="15">
        <v>45487</v>
      </c>
      <c r="U139" s="26" t="str">
        <f>VLOOKUP(Main_Presentation[[#This Row],[LC Number]],Main_Issuance[],18,0)</f>
        <v>60 Days from Delivery Date</v>
      </c>
      <c r="V139" s="19" t="s">
        <v>22</v>
      </c>
      <c r="W139" s="18" t="s">
        <v>857</v>
      </c>
      <c r="X139" s="16"/>
      <c r="Y139" s="234" t="str">
        <f>TRIM(LEFT(Main_Presentation[[#This Row],[Payment Terms]],3))</f>
        <v>60</v>
      </c>
      <c r="Z139" s="16"/>
      <c r="AA139" s="316" cm="1">
        <f t="array" ref="AA139">Settlement(Main_Presentation[[#This Row],[Bank]],Main_Presentation[[#This Row],[ Invoice Amt (SAR)]],Main_Presentation[[#This Row],[Date Recd]],Main_Presentation[[#This Row],[Due Date]],Main_Presentation[[#This Row],[Days]])</f>
        <v>1869.9</v>
      </c>
      <c r="AB139" s="16"/>
    </row>
    <row r="140" spans="1:28" ht="15.75" hidden="1" x14ac:dyDescent="0.25">
      <c r="A140" s="14" t="s">
        <v>46</v>
      </c>
      <c r="B140" s="15">
        <v>45357</v>
      </c>
      <c r="C140" s="26">
        <v>1</v>
      </c>
      <c r="D140" s="55" t="str">
        <f>VLOOKUP(Main_Presentation[[#This Row],[LC Number]],Main_Issuance[],3,0)</f>
        <v>Hassan Taleb</v>
      </c>
      <c r="E140" s="16" t="s">
        <v>856</v>
      </c>
      <c r="F140" s="17" t="str">
        <f>VLOOKUP(Main_Presentation[[#This Row],[LC Number]],Main_Issuance[],5,0)</f>
        <v>Alinma</v>
      </c>
      <c r="G140" s="17" t="str">
        <f>VLOOKUP(Main_Presentation[[#This Row],[LC Number]],Main_Issuance[],6,0)</f>
        <v>KSP</v>
      </c>
      <c r="H140" s="17" t="str">
        <f>VLOOKUP(Main_Presentation[[#This Row],[LC Number]],Main_Issuance[],17,0)</f>
        <v>Credit</v>
      </c>
      <c r="I140" s="17" t="str">
        <f>VLOOKUP(Main_Presentation[[#This Row],[LC Number]],Main_Issuance[],7,0)</f>
        <v>A. Abunayyan Trading Corporation</v>
      </c>
      <c r="J140" s="17" t="str">
        <f>VLOOKUP(Main_Presentation[[#This Row],[LC Number]],Main_Issuance[],8,0)</f>
        <v>FIRST FIX</v>
      </c>
      <c r="K140" s="17" t="str">
        <f>VLOOKUP(Main_Presentation[[#This Row],[LC Number]],Main_Issuance[],9,0)</f>
        <v>KSP</v>
      </c>
      <c r="L140" s="17">
        <f>VLOOKUP(Main_Presentation[[#This Row],[LC Number]],Main_Issuance[],10,0)</f>
        <v>1020055</v>
      </c>
      <c r="M140" s="17" t="str">
        <f>VLOOKUP(Main_Presentation[[#This Row],[LC Number]],Main_Issuance[],11,0)</f>
        <v>SAR</v>
      </c>
      <c r="N140" s="84">
        <f>VLOOKUP(Main_Presentation[[#This Row],[LC Number]],Main_Issuance[],12,0)</f>
        <v>2161425</v>
      </c>
      <c r="O140" s="16" t="s">
        <v>20</v>
      </c>
      <c r="P140" s="16" t="s">
        <v>857</v>
      </c>
      <c r="Q140" s="131">
        <v>2161425</v>
      </c>
      <c r="R140" s="18">
        <v>1</v>
      </c>
      <c r="S140" s="18">
        <f>Main_Presentation[[#This Row],[Invoice Amt (FCY)]]*Main_Presentation[[#This Row],[Rate]]</f>
        <v>2161425</v>
      </c>
      <c r="T140" s="15">
        <v>45420</v>
      </c>
      <c r="U140" s="26" t="str">
        <f>VLOOKUP(Main_Presentation[[#This Row],[LC Number]],Main_Issuance[],18,0)</f>
        <v>90 Days from Delivery Date</v>
      </c>
      <c r="V140" s="19" t="s">
        <v>22</v>
      </c>
      <c r="W140" s="18" t="s">
        <v>857</v>
      </c>
      <c r="X140" s="16"/>
      <c r="Y140" s="234" t="str">
        <f>TRIM(LEFT(Main_Presentation[[#This Row],[Payment Terms]],3))</f>
        <v>90</v>
      </c>
      <c r="Z140" s="16"/>
      <c r="AA140" s="316" cm="1">
        <f t="array" ref="AA140">Settlement(Main_Presentation[[#This Row],[Bank]],Main_Presentation[[#This Row],[ Invoice Amt (SAR)]],Main_Presentation[[#This Row],[Date Recd]],Main_Presentation[[#This Row],[Due Date]],Main_Presentation[[#This Row],[Days]])</f>
        <v>2071.15</v>
      </c>
      <c r="AB140" s="16"/>
    </row>
    <row r="141" spans="1:28" ht="15.75" hidden="1" x14ac:dyDescent="0.25">
      <c r="A141" s="14" t="s">
        <v>257</v>
      </c>
      <c r="B141" s="15">
        <v>45377</v>
      </c>
      <c r="C141" s="26">
        <v>1</v>
      </c>
      <c r="D141" s="55" t="str">
        <f>VLOOKUP(Main_Presentation[[#This Row],[LC Number]],Main_Issuance[],3,0)</f>
        <v>Hassan Taleb</v>
      </c>
      <c r="E141" s="16" t="s">
        <v>856</v>
      </c>
      <c r="F141" s="17" t="str">
        <f>VLOOKUP(Main_Presentation[[#This Row],[LC Number]],Main_Issuance[],5,0)</f>
        <v>Alinma</v>
      </c>
      <c r="G141" s="17" t="str">
        <f>VLOOKUP(Main_Presentation[[#This Row],[LC Number]],Main_Issuance[],6,0)</f>
        <v>KSP</v>
      </c>
      <c r="H141" s="17" t="str">
        <f>VLOOKUP(Main_Presentation[[#This Row],[LC Number]],Main_Issuance[],17,0)</f>
        <v>Credit</v>
      </c>
      <c r="I141" s="17" t="str">
        <f>VLOOKUP(Main_Presentation[[#This Row],[LC Number]],Main_Issuance[],7,0)</f>
        <v>AL SALEM AIR CONDITIONING CO</v>
      </c>
      <c r="J141" s="17" t="str">
        <f>VLOOKUP(Main_Presentation[[#This Row],[LC Number]],Main_Issuance[],8,0)</f>
        <v>FIRST FIX</v>
      </c>
      <c r="K141" s="17" t="str">
        <f>VLOOKUP(Main_Presentation[[#This Row],[LC Number]],Main_Issuance[],9,0)</f>
        <v>KSP</v>
      </c>
      <c r="L141" s="17">
        <f>VLOOKUP(Main_Presentation[[#This Row],[LC Number]],Main_Issuance[],10,0)</f>
        <v>1020055</v>
      </c>
      <c r="M141" s="17" t="str">
        <f>VLOOKUP(Main_Presentation[[#This Row],[LC Number]],Main_Issuance[],11,0)</f>
        <v>SAR</v>
      </c>
      <c r="N141" s="84">
        <f>VLOOKUP(Main_Presentation[[#This Row],[LC Number]],Main_Issuance[],12,0)</f>
        <v>5725000</v>
      </c>
      <c r="O141" s="16" t="s">
        <v>20</v>
      </c>
      <c r="P141" s="16" t="s">
        <v>857</v>
      </c>
      <c r="Q141" s="131">
        <v>2000000</v>
      </c>
      <c r="R141" s="18">
        <v>1</v>
      </c>
      <c r="S141" s="18">
        <f>Main_Presentation[[#This Row],[Invoice Amt (FCY)]]*Main_Presentation[[#This Row],[Rate]]</f>
        <v>2000000</v>
      </c>
      <c r="T141" s="15">
        <v>45410</v>
      </c>
      <c r="U141" s="26" t="str">
        <f>VLOOKUP(Main_Presentation[[#This Row],[LC Number]],Main_Issuance[],18,0)</f>
        <v>45 Days from Delivery Date</v>
      </c>
      <c r="V141" s="19" t="s">
        <v>22</v>
      </c>
      <c r="W141" s="18" t="s">
        <v>857</v>
      </c>
      <c r="X141" s="16"/>
      <c r="Y141" s="234" t="str">
        <f>TRIM(LEFT(Main_Presentation[[#This Row],[Payment Terms]],3))</f>
        <v>45</v>
      </c>
      <c r="Z141" s="16"/>
      <c r="AA141" s="316" cm="1">
        <f t="array" ref="AA141">Settlement(Main_Presentation[[#This Row],[Bank]],Main_Presentation[[#This Row],[ Invoice Amt (SAR)]],Main_Presentation[[#This Row],[Date Recd]],Main_Presentation[[#This Row],[Due Date]],Main_Presentation[[#This Row],[Days]])</f>
        <v>1437.5</v>
      </c>
      <c r="AB141" s="16"/>
    </row>
    <row r="142" spans="1:28" ht="15.75" hidden="1" x14ac:dyDescent="0.25">
      <c r="A142" s="14" t="s">
        <v>257</v>
      </c>
      <c r="B142" s="15">
        <v>45377</v>
      </c>
      <c r="C142" s="26">
        <v>2</v>
      </c>
      <c r="D142" s="55" t="str">
        <f>VLOOKUP(Main_Presentation[[#This Row],[LC Number]],Main_Issuance[],3,0)</f>
        <v>Hassan Taleb</v>
      </c>
      <c r="E142" s="16" t="s">
        <v>856</v>
      </c>
      <c r="F142" s="17" t="str">
        <f>VLOOKUP(Main_Presentation[[#This Row],[LC Number]],Main_Issuance[],5,0)</f>
        <v>Alinma</v>
      </c>
      <c r="G142" s="17" t="str">
        <f>VLOOKUP(Main_Presentation[[#This Row],[LC Number]],Main_Issuance[],6,0)</f>
        <v>KSP</v>
      </c>
      <c r="H142" s="17" t="str">
        <f>VLOOKUP(Main_Presentation[[#This Row],[LC Number]],Main_Issuance[],17,0)</f>
        <v>Credit</v>
      </c>
      <c r="I142" s="17" t="str">
        <f>VLOOKUP(Main_Presentation[[#This Row],[LC Number]],Main_Issuance[],7,0)</f>
        <v>AL SALEM AIR CONDITIONING CO</v>
      </c>
      <c r="J142" s="17" t="str">
        <f>VLOOKUP(Main_Presentation[[#This Row],[LC Number]],Main_Issuance[],8,0)</f>
        <v>FIRST FIX</v>
      </c>
      <c r="K142" s="17" t="str">
        <f>VLOOKUP(Main_Presentation[[#This Row],[LC Number]],Main_Issuance[],9,0)</f>
        <v>KSP</v>
      </c>
      <c r="L142" s="17">
        <f>VLOOKUP(Main_Presentation[[#This Row],[LC Number]],Main_Issuance[],10,0)</f>
        <v>1020055</v>
      </c>
      <c r="M142" s="17" t="str">
        <f>VLOOKUP(Main_Presentation[[#This Row],[LC Number]],Main_Issuance[],11,0)</f>
        <v>SAR</v>
      </c>
      <c r="N142" s="84">
        <f>VLOOKUP(Main_Presentation[[#This Row],[LC Number]],Main_Issuance[],12,0)</f>
        <v>5725000</v>
      </c>
      <c r="O142" s="16" t="s">
        <v>20</v>
      </c>
      <c r="P142" s="16" t="s">
        <v>857</v>
      </c>
      <c r="Q142" s="131">
        <v>2000000</v>
      </c>
      <c r="R142" s="18">
        <v>1</v>
      </c>
      <c r="S142" s="18">
        <f>Main_Presentation[[#This Row],[Invoice Amt (FCY)]]*Main_Presentation[[#This Row],[Rate]]</f>
        <v>2000000</v>
      </c>
      <c r="T142" s="15">
        <v>45410</v>
      </c>
      <c r="U142" s="26" t="str">
        <f>VLOOKUP(Main_Presentation[[#This Row],[LC Number]],Main_Issuance[],18,0)</f>
        <v>45 Days from Delivery Date</v>
      </c>
      <c r="V142" s="19" t="s">
        <v>22</v>
      </c>
      <c r="W142" s="18" t="s">
        <v>857</v>
      </c>
      <c r="X142" s="16"/>
      <c r="Y142" s="234" t="str">
        <f>TRIM(LEFT(Main_Presentation[[#This Row],[Payment Terms]],3))</f>
        <v>45</v>
      </c>
      <c r="Z142" s="16"/>
      <c r="AA142" s="316" cm="1">
        <f t="array" ref="AA142">Settlement(Main_Presentation[[#This Row],[Bank]],Main_Presentation[[#This Row],[ Invoice Amt (SAR)]],Main_Presentation[[#This Row],[Date Recd]],Main_Presentation[[#This Row],[Due Date]],Main_Presentation[[#This Row],[Days]])</f>
        <v>1437.5</v>
      </c>
      <c r="AB142" s="16"/>
    </row>
    <row r="143" spans="1:28" ht="15.75" hidden="1" x14ac:dyDescent="0.25">
      <c r="A143" s="14" t="s">
        <v>48</v>
      </c>
      <c r="B143" s="15">
        <v>45355</v>
      </c>
      <c r="C143" s="26">
        <v>1</v>
      </c>
      <c r="D143" s="55" t="str">
        <f>VLOOKUP(Main_Presentation[[#This Row],[LC Number]],Main_Issuance[],3,0)</f>
        <v>Hassan Taleb</v>
      </c>
      <c r="E143" s="16" t="s">
        <v>856</v>
      </c>
      <c r="F143" s="17" t="str">
        <f>VLOOKUP(Main_Presentation[[#This Row],[LC Number]],Main_Issuance[],5,0)</f>
        <v>Alinma</v>
      </c>
      <c r="G143" s="17" t="str">
        <f>VLOOKUP(Main_Presentation[[#This Row],[LC Number]],Main_Issuance[],6,0)</f>
        <v>KSP</v>
      </c>
      <c r="H143" s="17" t="str">
        <f>VLOOKUP(Main_Presentation[[#This Row],[LC Number]],Main_Issuance[],17,0)</f>
        <v>Credit</v>
      </c>
      <c r="I143" s="17" t="str">
        <f>VLOOKUP(Main_Presentation[[#This Row],[LC Number]],Main_Issuance[],7,0)</f>
        <v>LIGHT TECHNOLOGIES COMPANY</v>
      </c>
      <c r="J143" s="17" t="str">
        <f>VLOOKUP(Main_Presentation[[#This Row],[LC Number]],Main_Issuance[],8,0)</f>
        <v>FIRST FIX</v>
      </c>
      <c r="K143" s="17" t="str">
        <f>VLOOKUP(Main_Presentation[[#This Row],[LC Number]],Main_Issuance[],9,0)</f>
        <v>KSP</v>
      </c>
      <c r="L143" s="17">
        <f>VLOOKUP(Main_Presentation[[#This Row],[LC Number]],Main_Issuance[],10,0)</f>
        <v>1020055</v>
      </c>
      <c r="M143" s="17" t="str">
        <f>VLOOKUP(Main_Presentation[[#This Row],[LC Number]],Main_Issuance[],11,0)</f>
        <v>SAR</v>
      </c>
      <c r="N143" s="84">
        <f>VLOOKUP(Main_Presentation[[#This Row],[LC Number]],Main_Issuance[],12,0)</f>
        <v>9000000</v>
      </c>
      <c r="O143" s="16" t="s">
        <v>20</v>
      </c>
      <c r="P143" s="16" t="s">
        <v>857</v>
      </c>
      <c r="Q143" s="131">
        <v>7500000</v>
      </c>
      <c r="R143" s="18">
        <v>1</v>
      </c>
      <c r="S143" s="18">
        <f>Main_Presentation[[#This Row],[Invoice Amt (FCY)]]*Main_Presentation[[#This Row],[Rate]]</f>
        <v>7500000</v>
      </c>
      <c r="T143" s="15">
        <v>45416</v>
      </c>
      <c r="U143" s="26" t="str">
        <f>VLOOKUP(Main_Presentation[[#This Row],[LC Number]],Main_Issuance[],18,0)</f>
        <v>90 Days from Delivery Date</v>
      </c>
      <c r="V143" s="19" t="s">
        <v>22</v>
      </c>
      <c r="W143" s="18" t="s">
        <v>857</v>
      </c>
      <c r="X143" s="16"/>
      <c r="Y143" s="234" t="str">
        <f>TRIM(LEFT(Main_Presentation[[#This Row],[Payment Terms]],3))</f>
        <v>90</v>
      </c>
      <c r="Z143" s="16"/>
      <c r="AA143" s="316" cm="1">
        <f t="array" ref="AA143">Settlement(Main_Presentation[[#This Row],[Bank]],Main_Presentation[[#This Row],[ Invoice Amt (SAR)]],Main_Presentation[[#This Row],[Date Recd]],Main_Presentation[[#This Row],[Due Date]],Main_Presentation[[#This Row],[Days]])</f>
        <v>7187.5</v>
      </c>
      <c r="AB143" s="16"/>
    </row>
    <row r="144" spans="1:28" ht="15.75" hidden="1" x14ac:dyDescent="0.25">
      <c r="A144" s="14" t="s">
        <v>48</v>
      </c>
      <c r="B144" s="15">
        <v>45456</v>
      </c>
      <c r="C144" s="26">
        <v>2</v>
      </c>
      <c r="D144" s="55" t="str">
        <f>VLOOKUP(Main_Presentation[[#This Row],[LC Number]],Main_Issuance[],3,0)</f>
        <v>Hassan Taleb</v>
      </c>
      <c r="E144" s="16" t="s">
        <v>856</v>
      </c>
      <c r="F144" s="17" t="str">
        <f>VLOOKUP(Main_Presentation[[#This Row],[LC Number]],Main_Issuance[],5,0)</f>
        <v>Alinma</v>
      </c>
      <c r="G144" s="17" t="str">
        <f>VLOOKUP(Main_Presentation[[#This Row],[LC Number]],Main_Issuance[],6,0)</f>
        <v>KSP</v>
      </c>
      <c r="H144" s="17" t="str">
        <f>VLOOKUP(Main_Presentation[[#This Row],[LC Number]],Main_Issuance[],17,0)</f>
        <v>Credit</v>
      </c>
      <c r="I144" s="17" t="str">
        <f>VLOOKUP(Main_Presentation[[#This Row],[LC Number]],Main_Issuance[],7,0)</f>
        <v>LIGHT TECHNOLOGIES COMPANY</v>
      </c>
      <c r="J144" s="17" t="str">
        <f>VLOOKUP(Main_Presentation[[#This Row],[LC Number]],Main_Issuance[],8,0)</f>
        <v>FIRST FIX</v>
      </c>
      <c r="K144" s="17" t="str">
        <f>VLOOKUP(Main_Presentation[[#This Row],[LC Number]],Main_Issuance[],9,0)</f>
        <v>KSP</v>
      </c>
      <c r="L144" s="17">
        <f>VLOOKUP(Main_Presentation[[#This Row],[LC Number]],Main_Issuance[],10,0)</f>
        <v>1020055</v>
      </c>
      <c r="M144" s="17" t="str">
        <f>VLOOKUP(Main_Presentation[[#This Row],[LC Number]],Main_Issuance[],11,0)</f>
        <v>SAR</v>
      </c>
      <c r="N144" s="84">
        <f>VLOOKUP(Main_Presentation[[#This Row],[LC Number]],Main_Issuance[],12,0)</f>
        <v>9000000</v>
      </c>
      <c r="O144" s="16" t="s">
        <v>20</v>
      </c>
      <c r="P144" s="16" t="s">
        <v>857</v>
      </c>
      <c r="Q144" s="131">
        <v>1150000</v>
      </c>
      <c r="R144" s="18">
        <v>1</v>
      </c>
      <c r="S144" s="18">
        <f>Main_Presentation[[#This Row],[Invoice Amt (FCY)]]*Main_Presentation[[#This Row],[Rate]]</f>
        <v>1150000</v>
      </c>
      <c r="T144" s="15">
        <v>45539</v>
      </c>
      <c r="U144" s="26" t="str">
        <f>VLOOKUP(Main_Presentation[[#This Row],[LC Number]],Main_Issuance[],18,0)</f>
        <v>90 Days from Delivery Date</v>
      </c>
      <c r="V144" s="19" t="s">
        <v>22</v>
      </c>
      <c r="W144" s="18" t="s">
        <v>857</v>
      </c>
      <c r="X144" s="16"/>
      <c r="Y144" s="234" t="str">
        <f>TRIM(LEFT(Main_Presentation[[#This Row],[Payment Terms]],3))</f>
        <v>90</v>
      </c>
      <c r="Z144" s="16"/>
      <c r="AA144" s="316" cm="1">
        <f t="array" ref="AA144">Settlement(Main_Presentation[[#This Row],[Bank]],Main_Presentation[[#This Row],[ Invoice Amt (SAR)]],Main_Presentation[[#This Row],[Date Recd]],Main_Presentation[[#This Row],[Due Date]],Main_Presentation[[#This Row],[Days]])</f>
        <v>1653.7</v>
      </c>
      <c r="AB144" s="16"/>
    </row>
    <row r="145" spans="1:28" ht="15.75" hidden="1" x14ac:dyDescent="0.25">
      <c r="A145" s="14" t="s">
        <v>48</v>
      </c>
      <c r="B145" s="15">
        <v>45489</v>
      </c>
      <c r="C145" s="26">
        <v>3</v>
      </c>
      <c r="D145" s="55" t="str">
        <f>VLOOKUP(Main_Presentation[[#This Row],[LC Number]],Main_Issuance[],3,0)</f>
        <v>Hassan Taleb</v>
      </c>
      <c r="E145" s="16" t="s">
        <v>856</v>
      </c>
      <c r="F145" s="17" t="str">
        <f>VLOOKUP(Main_Presentation[[#This Row],[LC Number]],Main_Issuance[],5,0)</f>
        <v>Alinma</v>
      </c>
      <c r="G145" s="17" t="str">
        <f>VLOOKUP(Main_Presentation[[#This Row],[LC Number]],Main_Issuance[],6,0)</f>
        <v>KSP</v>
      </c>
      <c r="H145" s="17" t="str">
        <f>VLOOKUP(Main_Presentation[[#This Row],[LC Number]],Main_Issuance[],17,0)</f>
        <v>Credit</v>
      </c>
      <c r="I145" s="17" t="str">
        <f>VLOOKUP(Main_Presentation[[#This Row],[LC Number]],Main_Issuance[],7,0)</f>
        <v>LIGHT TECHNOLOGIES COMPANY</v>
      </c>
      <c r="J145" s="17" t="str">
        <f>VLOOKUP(Main_Presentation[[#This Row],[LC Number]],Main_Issuance[],8,0)</f>
        <v>FIRST FIX</v>
      </c>
      <c r="K145" s="17" t="str">
        <f>VLOOKUP(Main_Presentation[[#This Row],[LC Number]],Main_Issuance[],9,0)</f>
        <v>KSP</v>
      </c>
      <c r="L145" s="17">
        <f>VLOOKUP(Main_Presentation[[#This Row],[LC Number]],Main_Issuance[],10,0)</f>
        <v>1020055</v>
      </c>
      <c r="M145" s="17" t="str">
        <f>VLOOKUP(Main_Presentation[[#This Row],[LC Number]],Main_Issuance[],11,0)</f>
        <v>SAR</v>
      </c>
      <c r="N145" s="84">
        <f>VLOOKUP(Main_Presentation[[#This Row],[LC Number]],Main_Issuance[],12,0)</f>
        <v>9000000</v>
      </c>
      <c r="O145" s="16" t="s">
        <v>20</v>
      </c>
      <c r="P145" s="16" t="s">
        <v>857</v>
      </c>
      <c r="Q145" s="131">
        <v>350000</v>
      </c>
      <c r="R145" s="18">
        <v>1</v>
      </c>
      <c r="S145" s="18">
        <f>Main_Presentation[[#This Row],[Invoice Amt (FCY)]]*Main_Presentation[[#This Row],[Rate]]</f>
        <v>350000</v>
      </c>
      <c r="T145" s="15">
        <v>45560</v>
      </c>
      <c r="U145" s="26" t="str">
        <f>VLOOKUP(Main_Presentation[[#This Row],[LC Number]],Main_Issuance[],18,0)</f>
        <v>90 Days from Delivery Date</v>
      </c>
      <c r="V145" s="19" t="s">
        <v>22</v>
      </c>
      <c r="W145" s="18" t="s">
        <v>857</v>
      </c>
      <c r="X145" s="16"/>
      <c r="Y145" s="234" t="str">
        <f>TRIM(LEFT(Main_Presentation[[#This Row],[Payment Terms]],3))</f>
        <v>90</v>
      </c>
      <c r="Z145" s="16"/>
      <c r="AA145" s="316" cm="1">
        <f t="array" ref="AA145">Settlement(Main_Presentation[[#This Row],[Bank]],Main_Presentation[[#This Row],[ Invoice Amt (SAR)]],Main_Presentation[[#This Row],[Date Recd]],Main_Presentation[[#This Row],[Due Date]],Main_Presentation[[#This Row],[Days]])</f>
        <v>1437.5</v>
      </c>
      <c r="AB145" s="16"/>
    </row>
    <row r="146" spans="1:28" ht="15.75" hidden="1" x14ac:dyDescent="0.25">
      <c r="A146" s="14" t="s">
        <v>50</v>
      </c>
      <c r="B146" s="15">
        <v>45336</v>
      </c>
      <c r="C146" s="26">
        <v>1</v>
      </c>
      <c r="D146" s="55" t="str">
        <f>VLOOKUP(Main_Presentation[[#This Row],[LC Number]],Main_Issuance[],3,0)</f>
        <v>Hassan Taleb</v>
      </c>
      <c r="E146" s="16" t="s">
        <v>856</v>
      </c>
      <c r="F146" s="17" t="str">
        <f>VLOOKUP(Main_Presentation[[#This Row],[LC Number]],Main_Issuance[],5,0)</f>
        <v>Alinma</v>
      </c>
      <c r="G146" s="17" t="str">
        <f>VLOOKUP(Main_Presentation[[#This Row],[LC Number]],Main_Issuance[],6,0)</f>
        <v>KSP</v>
      </c>
      <c r="H146" s="17" t="str">
        <f>VLOOKUP(Main_Presentation[[#This Row],[LC Number]],Main_Issuance[],17,0)</f>
        <v>Credit</v>
      </c>
      <c r="I146" s="17" t="str">
        <f>VLOOKUP(Main_Presentation[[#This Row],[LC Number]],Main_Issuance[],7,0)</f>
        <v>SAUDI ELECTRIC CO</v>
      </c>
      <c r="J146" s="17" t="str">
        <f>VLOOKUP(Main_Presentation[[#This Row],[LC Number]],Main_Issuance[],8,0)</f>
        <v>FIRST FIX</v>
      </c>
      <c r="K146" s="17" t="str">
        <f>VLOOKUP(Main_Presentation[[#This Row],[LC Number]],Main_Issuance[],9,0)</f>
        <v>KSP</v>
      </c>
      <c r="L146" s="17">
        <f>VLOOKUP(Main_Presentation[[#This Row],[LC Number]],Main_Issuance[],10,0)</f>
        <v>1020055</v>
      </c>
      <c r="M146" s="17" t="str">
        <f>VLOOKUP(Main_Presentation[[#This Row],[LC Number]],Main_Issuance[],11,0)</f>
        <v>SAR</v>
      </c>
      <c r="N146" s="84">
        <f>VLOOKUP(Main_Presentation[[#This Row],[LC Number]],Main_Issuance[],12,0)</f>
        <v>1133900</v>
      </c>
      <c r="O146" s="16" t="s">
        <v>20</v>
      </c>
      <c r="P146" s="16" t="s">
        <v>857</v>
      </c>
      <c r="Q146" s="131">
        <v>1133900</v>
      </c>
      <c r="R146" s="18">
        <v>1</v>
      </c>
      <c r="S146" s="18">
        <f>Main_Presentation[[#This Row],[Invoice Amt (FCY)]]*Main_Presentation[[#This Row],[Rate]]</f>
        <v>1133900</v>
      </c>
      <c r="T146" s="15">
        <v>45413</v>
      </c>
      <c r="U146" s="26" t="str">
        <f>VLOOKUP(Main_Presentation[[#This Row],[LC Number]],Main_Issuance[],18,0)</f>
        <v>90 Days from Delivery Date</v>
      </c>
      <c r="V146" s="19" t="s">
        <v>22</v>
      </c>
      <c r="W146" s="18" t="s">
        <v>857</v>
      </c>
      <c r="X146" s="16"/>
      <c r="Y146" s="234" t="str">
        <f>TRIM(LEFT(Main_Presentation[[#This Row],[Payment Terms]],3))</f>
        <v>90</v>
      </c>
      <c r="Z146" s="16"/>
      <c r="AA146" s="316" cm="1">
        <f t="array" ref="AA146">Settlement(Main_Presentation[[#This Row],[Bank]],Main_Presentation[[#This Row],[ Invoice Amt (SAR)]],Main_Presentation[[#This Row],[Date Recd]],Main_Presentation[[#This Row],[Due Date]],Main_Presentation[[#This Row],[Days]])</f>
        <v>1437.5</v>
      </c>
      <c r="AB146" s="16"/>
    </row>
    <row r="147" spans="1:28" ht="15.75" hidden="1" x14ac:dyDescent="0.25">
      <c r="A147" s="14" t="s">
        <v>52</v>
      </c>
      <c r="B147" s="15">
        <v>45341</v>
      </c>
      <c r="C147" s="26">
        <v>1</v>
      </c>
      <c r="D147" s="55" t="str">
        <f>VLOOKUP(Main_Presentation[[#This Row],[LC Number]],Main_Issuance[],3,0)</f>
        <v>Hassan Taleb</v>
      </c>
      <c r="E147" s="16" t="s">
        <v>856</v>
      </c>
      <c r="F147" s="17" t="str">
        <f>VLOOKUP(Main_Presentation[[#This Row],[LC Number]],Main_Issuance[],5,0)</f>
        <v>Alinma</v>
      </c>
      <c r="G147" s="17" t="str">
        <f>VLOOKUP(Main_Presentation[[#This Row],[LC Number]],Main_Issuance[],6,0)</f>
        <v>KSP</v>
      </c>
      <c r="H147" s="17" t="str">
        <f>VLOOKUP(Main_Presentation[[#This Row],[LC Number]],Main_Issuance[],17,0)</f>
        <v>Credit</v>
      </c>
      <c r="I147" s="17" t="str">
        <f>VLOOKUP(Main_Presentation[[#This Row],[LC Number]],Main_Issuance[],7,0)</f>
        <v>NATIONAL MARKITING CO</v>
      </c>
      <c r="J147" s="17" t="str">
        <f>VLOOKUP(Main_Presentation[[#This Row],[LC Number]],Main_Issuance[],8,0)</f>
        <v>FIRST FIX</v>
      </c>
      <c r="K147" s="17" t="str">
        <f>VLOOKUP(Main_Presentation[[#This Row],[LC Number]],Main_Issuance[],9,0)</f>
        <v>KSP</v>
      </c>
      <c r="L147" s="17">
        <f>VLOOKUP(Main_Presentation[[#This Row],[LC Number]],Main_Issuance[],10,0)</f>
        <v>1020055</v>
      </c>
      <c r="M147" s="17" t="str">
        <f>VLOOKUP(Main_Presentation[[#This Row],[LC Number]],Main_Issuance[],11,0)</f>
        <v>SAR</v>
      </c>
      <c r="N147" s="84">
        <f>VLOOKUP(Main_Presentation[[#This Row],[LC Number]],Main_Issuance[],12,0)</f>
        <v>2565300.11</v>
      </c>
      <c r="O147" s="16" t="s">
        <v>20</v>
      </c>
      <c r="P147" s="16" t="s">
        <v>857</v>
      </c>
      <c r="Q147" s="131">
        <v>2565300.11</v>
      </c>
      <c r="R147" s="18">
        <v>1</v>
      </c>
      <c r="S147" s="18">
        <f>Main_Presentation[[#This Row],[Invoice Amt (FCY)]]*Main_Presentation[[#This Row],[Rate]]</f>
        <v>2565300.11</v>
      </c>
      <c r="T147" s="15">
        <v>45416</v>
      </c>
      <c r="U147" s="26" t="str">
        <f>VLOOKUP(Main_Presentation[[#This Row],[LC Number]],Main_Issuance[],18,0)</f>
        <v>90 Days from Delivery Date</v>
      </c>
      <c r="V147" s="19" t="s">
        <v>22</v>
      </c>
      <c r="W147" s="18" t="s">
        <v>857</v>
      </c>
      <c r="X147" s="16"/>
      <c r="Y147" s="234" t="str">
        <f>TRIM(LEFT(Main_Presentation[[#This Row],[Payment Terms]],3))</f>
        <v>90</v>
      </c>
      <c r="Z147" s="16"/>
      <c r="AA147" s="316" cm="1">
        <f t="array" ref="AA147">Settlement(Main_Presentation[[#This Row],[Bank]],Main_Presentation[[#This Row],[ Invoice Amt (SAR)]],Main_Presentation[[#This Row],[Date Recd]],Main_Presentation[[#This Row],[Due Date]],Main_Presentation[[#This Row],[Days]])</f>
        <v>2458.6999999999998</v>
      </c>
      <c r="AB147" s="16"/>
    </row>
    <row r="148" spans="1:28" ht="15.75" hidden="1" x14ac:dyDescent="0.25">
      <c r="A148" s="14" t="s">
        <v>54</v>
      </c>
      <c r="B148" s="15">
        <v>45342</v>
      </c>
      <c r="C148" s="26">
        <v>1</v>
      </c>
      <c r="D148" s="55" t="str">
        <f>VLOOKUP(Main_Presentation[[#This Row],[LC Number]],Main_Issuance[],3,0)</f>
        <v>Hassan Taleb</v>
      </c>
      <c r="E148" s="16" t="s">
        <v>856</v>
      </c>
      <c r="F148" s="17" t="str">
        <f>VLOOKUP(Main_Presentation[[#This Row],[LC Number]],Main_Issuance[],5,0)</f>
        <v>Alinma</v>
      </c>
      <c r="G148" s="17" t="str">
        <f>VLOOKUP(Main_Presentation[[#This Row],[LC Number]],Main_Issuance[],6,0)</f>
        <v>KSP</v>
      </c>
      <c r="H148" s="17" t="str">
        <f>VLOOKUP(Main_Presentation[[#This Row],[LC Number]],Main_Issuance[],17,0)</f>
        <v>Credit</v>
      </c>
      <c r="I148" s="17" t="str">
        <f>VLOOKUP(Main_Presentation[[#This Row],[LC Number]],Main_Issuance[],7,0)</f>
        <v>ELECTRIC HOUSE CO</v>
      </c>
      <c r="J148" s="17" t="str">
        <f>VLOOKUP(Main_Presentation[[#This Row],[LC Number]],Main_Issuance[],8,0)</f>
        <v>FIRST FIX</v>
      </c>
      <c r="K148" s="17" t="str">
        <f>VLOOKUP(Main_Presentation[[#This Row],[LC Number]],Main_Issuance[],9,0)</f>
        <v>KSP</v>
      </c>
      <c r="L148" s="17">
        <f>VLOOKUP(Main_Presentation[[#This Row],[LC Number]],Main_Issuance[],10,0)</f>
        <v>1020055</v>
      </c>
      <c r="M148" s="17" t="str">
        <f>VLOOKUP(Main_Presentation[[#This Row],[LC Number]],Main_Issuance[],11,0)</f>
        <v>SAR</v>
      </c>
      <c r="N148" s="84">
        <f>VLOOKUP(Main_Presentation[[#This Row],[LC Number]],Main_Issuance[],12,0)</f>
        <v>1500000</v>
      </c>
      <c r="O148" s="16" t="s">
        <v>20</v>
      </c>
      <c r="P148" s="16" t="s">
        <v>857</v>
      </c>
      <c r="Q148" s="131">
        <v>1135178.5</v>
      </c>
      <c r="R148" s="18">
        <v>1</v>
      </c>
      <c r="S148" s="18">
        <f>Main_Presentation[[#This Row],[Invoice Amt (FCY)]]*Main_Presentation[[#This Row],[Rate]]</f>
        <v>1135178.5</v>
      </c>
      <c r="T148" s="15">
        <v>45416</v>
      </c>
      <c r="U148" s="26" t="str">
        <f>VLOOKUP(Main_Presentation[[#This Row],[LC Number]],Main_Issuance[],18,0)</f>
        <v>90 Days from Delivery Date</v>
      </c>
      <c r="V148" s="19" t="s">
        <v>22</v>
      </c>
      <c r="W148" s="18" t="s">
        <v>857</v>
      </c>
      <c r="X148" s="16"/>
      <c r="Y148" s="234" t="str">
        <f>TRIM(LEFT(Main_Presentation[[#This Row],[Payment Terms]],3))</f>
        <v>90</v>
      </c>
      <c r="Z148" s="16"/>
      <c r="AA148" s="316" cm="1">
        <f t="array" ref="AA148">Settlement(Main_Presentation[[#This Row],[Bank]],Main_Presentation[[#This Row],[ Invoice Amt (SAR)]],Main_Presentation[[#This Row],[Date Recd]],Main_Presentation[[#This Row],[Due Date]],Main_Presentation[[#This Row],[Days]])</f>
        <v>1437.5</v>
      </c>
      <c r="AB148" s="16"/>
    </row>
    <row r="149" spans="1:28" ht="15.75" hidden="1" x14ac:dyDescent="0.25">
      <c r="A149" s="14" t="s">
        <v>56</v>
      </c>
      <c r="B149" s="15">
        <v>45479</v>
      </c>
      <c r="C149" s="26">
        <v>1</v>
      </c>
      <c r="D149" s="55" t="str">
        <f>VLOOKUP(Main_Presentation[[#This Row],[LC Number]],Main_Issuance[],3,0)</f>
        <v>Hassan Taleb</v>
      </c>
      <c r="E149" s="16" t="s">
        <v>856</v>
      </c>
      <c r="F149" s="17" t="str">
        <f>VLOOKUP(Main_Presentation[[#This Row],[LC Number]],Main_Issuance[],5,0)</f>
        <v>Alinma</v>
      </c>
      <c r="G149" s="17" t="str">
        <f>VLOOKUP(Main_Presentation[[#This Row],[LC Number]],Main_Issuance[],6,0)</f>
        <v>KSP</v>
      </c>
      <c r="H149" s="17" t="str">
        <f>VLOOKUP(Main_Presentation[[#This Row],[LC Number]],Main_Issuance[],17,0)</f>
        <v>Credit</v>
      </c>
      <c r="I149" s="17" t="str">
        <f>VLOOKUP(Main_Presentation[[#This Row],[LC Number]],Main_Issuance[],7,0)</f>
        <v>RIYAD CO</v>
      </c>
      <c r="J149" s="17" t="str">
        <f>VLOOKUP(Main_Presentation[[#This Row],[LC Number]],Main_Issuance[],8,0)</f>
        <v>FIRST FIX</v>
      </c>
      <c r="K149" s="17" t="str">
        <f>VLOOKUP(Main_Presentation[[#This Row],[LC Number]],Main_Issuance[],9,0)</f>
        <v>KSP</v>
      </c>
      <c r="L149" s="17">
        <f>VLOOKUP(Main_Presentation[[#This Row],[LC Number]],Main_Issuance[],10,0)</f>
        <v>1020055</v>
      </c>
      <c r="M149" s="17" t="str">
        <f>VLOOKUP(Main_Presentation[[#This Row],[LC Number]],Main_Issuance[],11,0)</f>
        <v>SAR</v>
      </c>
      <c r="N149" s="84">
        <f>VLOOKUP(Main_Presentation[[#This Row],[LC Number]],Main_Issuance[],12,0)</f>
        <v>4530823.74</v>
      </c>
      <c r="O149" s="16" t="s">
        <v>20</v>
      </c>
      <c r="P149" s="16" t="s">
        <v>857</v>
      </c>
      <c r="Q149" s="131">
        <v>4530823.74</v>
      </c>
      <c r="R149" s="18">
        <v>1</v>
      </c>
      <c r="S149" s="18">
        <f>Main_Presentation[[#This Row],[Invoice Amt (FCY)]]*Main_Presentation[[#This Row],[Rate]]</f>
        <v>4530823.74</v>
      </c>
      <c r="T149" s="15">
        <v>45479</v>
      </c>
      <c r="U149" s="26" t="str">
        <f>VLOOKUP(Main_Presentation[[#This Row],[LC Number]],Main_Issuance[],18,0)</f>
        <v>90 Days from Delivery Date</v>
      </c>
      <c r="V149" s="19" t="s">
        <v>22</v>
      </c>
      <c r="W149" s="18" t="s">
        <v>857</v>
      </c>
      <c r="X149" s="16"/>
      <c r="Y149" s="234" t="str">
        <f>TRIM(LEFT(Main_Presentation[[#This Row],[Payment Terms]],3))</f>
        <v>90</v>
      </c>
      <c r="Z149" s="16"/>
      <c r="AA149" s="316" cm="1">
        <f t="array" ref="AA149">Settlement(Main_Presentation[[#This Row],[Bank]],Main_Presentation[[#This Row],[ Invoice Amt (SAR)]],Main_Presentation[[#This Row],[Date Recd]],Main_Presentation[[#This Row],[Due Date]],Main_Presentation[[#This Row],[Days]])</f>
        <v>1437.5</v>
      </c>
      <c r="AB149" s="16"/>
    </row>
    <row r="150" spans="1:28" ht="15.75" hidden="1" x14ac:dyDescent="0.25">
      <c r="A150" s="14" t="s">
        <v>258</v>
      </c>
      <c r="B150" s="15">
        <v>45364</v>
      </c>
      <c r="C150" s="26">
        <v>1</v>
      </c>
      <c r="D150" s="55" t="str">
        <f>VLOOKUP(Main_Presentation[[#This Row],[LC Number]],Main_Issuance[],3,0)</f>
        <v>Hassan Taleb</v>
      </c>
      <c r="E150" s="16" t="s">
        <v>856</v>
      </c>
      <c r="F150" s="17" t="str">
        <f>VLOOKUP(Main_Presentation[[#This Row],[LC Number]],Main_Issuance[],5,0)</f>
        <v>Alinma</v>
      </c>
      <c r="G150" s="17" t="str">
        <f>VLOOKUP(Main_Presentation[[#This Row],[LC Number]],Main_Issuance[],6,0)</f>
        <v>KSP</v>
      </c>
      <c r="H150" s="17" t="str">
        <f>VLOOKUP(Main_Presentation[[#This Row],[LC Number]],Main_Issuance[],17,0)</f>
        <v>Credit</v>
      </c>
      <c r="I150" s="17" t="str">
        <f>VLOOKUP(Main_Presentation[[#This Row],[LC Number]],Main_Issuance[],7,0)</f>
        <v xml:space="preserve">MODERN TIMES </v>
      </c>
      <c r="J150" s="17" t="str">
        <f>VLOOKUP(Main_Presentation[[#This Row],[LC Number]],Main_Issuance[],8,0)</f>
        <v>FIRST FIX</v>
      </c>
      <c r="K150" s="17" t="str">
        <f>VLOOKUP(Main_Presentation[[#This Row],[LC Number]],Main_Issuance[],9,0)</f>
        <v>KSP</v>
      </c>
      <c r="L150" s="17">
        <f>VLOOKUP(Main_Presentation[[#This Row],[LC Number]],Main_Issuance[],10,0)</f>
        <v>1020055</v>
      </c>
      <c r="M150" s="17" t="str">
        <f>VLOOKUP(Main_Presentation[[#This Row],[LC Number]],Main_Issuance[],11,0)</f>
        <v>SAR</v>
      </c>
      <c r="N150" s="84">
        <f>VLOOKUP(Main_Presentation[[#This Row],[LC Number]],Main_Issuance[],12,0)</f>
        <v>2846250</v>
      </c>
      <c r="O150" s="16" t="s">
        <v>20</v>
      </c>
      <c r="P150" s="16" t="s">
        <v>857</v>
      </c>
      <c r="Q150" s="131">
        <v>1200000</v>
      </c>
      <c r="R150" s="18">
        <v>1</v>
      </c>
      <c r="S150" s="18">
        <f>Main_Presentation[[#This Row],[Invoice Amt (FCY)]]*Main_Presentation[[#This Row],[Rate]]</f>
        <v>1200000</v>
      </c>
      <c r="T150" s="15">
        <v>45455</v>
      </c>
      <c r="U150" s="26" t="str">
        <f>VLOOKUP(Main_Presentation[[#This Row],[LC Number]],Main_Issuance[],18,0)</f>
        <v>45 Days from Delivery Date</v>
      </c>
      <c r="V150" s="19" t="s">
        <v>22</v>
      </c>
      <c r="W150" s="18" t="s">
        <v>857</v>
      </c>
      <c r="X150" s="16"/>
      <c r="Y150" s="234" t="str">
        <f>TRIM(LEFT(Main_Presentation[[#This Row],[Payment Terms]],3))</f>
        <v>45</v>
      </c>
      <c r="Z150" s="16"/>
      <c r="AA150" s="316" cm="1">
        <f t="array" ref="AA150">Settlement(Main_Presentation[[#This Row],[Bank]],Main_Presentation[[#This Row],[ Invoice Amt (SAR)]],Main_Presentation[[#This Row],[Date Recd]],Main_Presentation[[#This Row],[Due Date]],Main_Presentation[[#This Row],[Days]])</f>
        <v>1725</v>
      </c>
      <c r="AB150" s="16"/>
    </row>
    <row r="151" spans="1:28" ht="15.75" hidden="1" x14ac:dyDescent="0.25">
      <c r="A151" s="14" t="s">
        <v>58</v>
      </c>
      <c r="B151" s="15">
        <v>45433</v>
      </c>
      <c r="C151" s="26">
        <v>1</v>
      </c>
      <c r="D151" s="55" t="str">
        <f>VLOOKUP(Main_Presentation[[#This Row],[LC Number]],Main_Issuance[],3,0)</f>
        <v>Hassan Taleb</v>
      </c>
      <c r="E151" s="16" t="s">
        <v>856</v>
      </c>
      <c r="F151" s="17" t="str">
        <f>VLOOKUP(Main_Presentation[[#This Row],[LC Number]],Main_Issuance[],5,0)</f>
        <v>Alinma</v>
      </c>
      <c r="G151" s="17" t="str">
        <f>VLOOKUP(Main_Presentation[[#This Row],[LC Number]],Main_Issuance[],6,0)</f>
        <v>KSP</v>
      </c>
      <c r="H151" s="17" t="str">
        <f>VLOOKUP(Main_Presentation[[#This Row],[LC Number]],Main_Issuance[],17,0)</f>
        <v>Credit</v>
      </c>
      <c r="I151" s="17" t="str">
        <f>VLOOKUP(Main_Presentation[[#This Row],[LC Number]],Main_Issuance[],7,0)</f>
        <v>MASE CO</v>
      </c>
      <c r="J151" s="17" t="str">
        <f>VLOOKUP(Main_Presentation[[#This Row],[LC Number]],Main_Issuance[],8,0)</f>
        <v>FIRST FIX</v>
      </c>
      <c r="K151" s="17" t="str">
        <f>VLOOKUP(Main_Presentation[[#This Row],[LC Number]],Main_Issuance[],9,0)</f>
        <v>KSP</v>
      </c>
      <c r="L151" s="17">
        <f>VLOOKUP(Main_Presentation[[#This Row],[LC Number]],Main_Issuance[],10,0)</f>
        <v>1020055</v>
      </c>
      <c r="M151" s="17" t="str">
        <f>VLOOKUP(Main_Presentation[[#This Row],[LC Number]],Main_Issuance[],11,0)</f>
        <v>SAR</v>
      </c>
      <c r="N151" s="84">
        <f>VLOOKUP(Main_Presentation[[#This Row],[LC Number]],Main_Issuance[],12,0)</f>
        <v>422050</v>
      </c>
      <c r="O151" s="16" t="s">
        <v>20</v>
      </c>
      <c r="P151" s="16" t="s">
        <v>857</v>
      </c>
      <c r="Q151" s="131">
        <v>376050</v>
      </c>
      <c r="R151" s="18">
        <v>1</v>
      </c>
      <c r="S151" s="18">
        <f>Main_Presentation[[#This Row],[Invoice Amt (FCY)]]*Main_Presentation[[#This Row],[Rate]]</f>
        <v>376050</v>
      </c>
      <c r="T151" s="15">
        <v>45507</v>
      </c>
      <c r="U151" s="26" t="str">
        <f>VLOOKUP(Main_Presentation[[#This Row],[LC Number]],Main_Issuance[],18,0)</f>
        <v>90 Days from Delivery Date</v>
      </c>
      <c r="V151" s="19" t="s">
        <v>22</v>
      </c>
      <c r="W151" s="18" t="s">
        <v>857</v>
      </c>
      <c r="X151" s="16"/>
      <c r="Y151" s="234" t="str">
        <f>TRIM(LEFT(Main_Presentation[[#This Row],[Payment Terms]],3))</f>
        <v>90</v>
      </c>
      <c r="Z151" s="16"/>
      <c r="AA151" s="316" cm="1">
        <f t="array" ref="AA151">Settlement(Main_Presentation[[#This Row],[Bank]],Main_Presentation[[#This Row],[ Invoice Amt (SAR)]],Main_Presentation[[#This Row],[Date Recd]],Main_Presentation[[#This Row],[Due Date]],Main_Presentation[[#This Row],[Days]])</f>
        <v>1437.5</v>
      </c>
      <c r="AB151" s="16"/>
    </row>
    <row r="152" spans="1:28" ht="15.75" hidden="1" x14ac:dyDescent="0.25">
      <c r="A152" s="14" t="s">
        <v>60</v>
      </c>
      <c r="B152" s="15">
        <v>45431</v>
      </c>
      <c r="C152" s="26">
        <v>1</v>
      </c>
      <c r="D152" s="55" t="str">
        <f>VLOOKUP(Main_Presentation[[#This Row],[LC Number]],Main_Issuance[],3,0)</f>
        <v>Hassan Taleb</v>
      </c>
      <c r="E152" s="16" t="s">
        <v>856</v>
      </c>
      <c r="F152" s="17" t="str">
        <f>VLOOKUP(Main_Presentation[[#This Row],[LC Number]],Main_Issuance[],5,0)</f>
        <v>Alinma</v>
      </c>
      <c r="G152" s="17" t="str">
        <f>VLOOKUP(Main_Presentation[[#This Row],[LC Number]],Main_Issuance[],6,0)</f>
        <v>KSP</v>
      </c>
      <c r="H152" s="17" t="str">
        <f>VLOOKUP(Main_Presentation[[#This Row],[LC Number]],Main_Issuance[],17,0)</f>
        <v>Credit</v>
      </c>
      <c r="I152" s="17" t="str">
        <f>VLOOKUP(Main_Presentation[[#This Row],[LC Number]],Main_Issuance[],7,0)</f>
        <v>THKM CO</v>
      </c>
      <c r="J152" s="17" t="str">
        <f>VLOOKUP(Main_Presentation[[#This Row],[LC Number]],Main_Issuance[],8,0)</f>
        <v>FIRST FIX</v>
      </c>
      <c r="K152" s="17" t="str">
        <f>VLOOKUP(Main_Presentation[[#This Row],[LC Number]],Main_Issuance[],9,0)</f>
        <v>KSP</v>
      </c>
      <c r="L152" s="17">
        <f>VLOOKUP(Main_Presentation[[#This Row],[LC Number]],Main_Issuance[],10,0)</f>
        <v>1020055</v>
      </c>
      <c r="M152" s="17" t="str">
        <f>VLOOKUP(Main_Presentation[[#This Row],[LC Number]],Main_Issuance[],11,0)</f>
        <v>SAR</v>
      </c>
      <c r="N152" s="84">
        <f>VLOOKUP(Main_Presentation[[#This Row],[LC Number]],Main_Issuance[],12,0)</f>
        <v>500000</v>
      </c>
      <c r="O152" s="16" t="s">
        <v>20</v>
      </c>
      <c r="P152" s="16" t="s">
        <v>857</v>
      </c>
      <c r="Q152" s="131">
        <v>499320.68</v>
      </c>
      <c r="R152" s="18">
        <v>1</v>
      </c>
      <c r="S152" s="18">
        <f>Main_Presentation[[#This Row],[Invoice Amt (FCY)]]*Main_Presentation[[#This Row],[Rate]]</f>
        <v>499320.68</v>
      </c>
      <c r="T152" s="15">
        <v>45501</v>
      </c>
      <c r="U152" s="26" t="str">
        <f>VLOOKUP(Main_Presentation[[#This Row],[LC Number]],Main_Issuance[],18,0)</f>
        <v>90 Days from Delivery Date</v>
      </c>
      <c r="V152" s="19" t="s">
        <v>22</v>
      </c>
      <c r="W152" s="18" t="s">
        <v>857</v>
      </c>
      <c r="X152" s="16"/>
      <c r="Y152" s="234" t="str">
        <f>TRIM(LEFT(Main_Presentation[[#This Row],[Payment Terms]],3))</f>
        <v>90</v>
      </c>
      <c r="Z152" s="16"/>
      <c r="AA152" s="316" cm="1">
        <f t="array" ref="AA152">Settlement(Main_Presentation[[#This Row],[Bank]],Main_Presentation[[#This Row],[ Invoice Amt (SAR)]],Main_Presentation[[#This Row],[Date Recd]],Main_Presentation[[#This Row],[Due Date]],Main_Presentation[[#This Row],[Days]])</f>
        <v>1437.5</v>
      </c>
      <c r="AB152" s="16"/>
    </row>
    <row r="153" spans="1:28" ht="15.75" hidden="1" x14ac:dyDescent="0.25">
      <c r="A153" s="14" t="s">
        <v>262</v>
      </c>
      <c r="B153" s="15">
        <v>45497</v>
      </c>
      <c r="C153" s="26">
        <v>1</v>
      </c>
      <c r="D153" s="55" t="str">
        <f>VLOOKUP(Main_Presentation[[#This Row],[LC Number]],Main_Issuance[],3,0)</f>
        <v>Hassan Taleb</v>
      </c>
      <c r="E153" s="16" t="s">
        <v>856</v>
      </c>
      <c r="F153" s="17" t="str">
        <f>VLOOKUP(Main_Presentation[[#This Row],[LC Number]],Main_Issuance[],5,0)</f>
        <v>Alinma</v>
      </c>
      <c r="G153" s="17" t="str">
        <f>VLOOKUP(Main_Presentation[[#This Row],[LC Number]],Main_Issuance[],6,0)</f>
        <v>KSP</v>
      </c>
      <c r="H153" s="17" t="str">
        <f>VLOOKUP(Main_Presentation[[#This Row],[LC Number]],Main_Issuance[],17,0)</f>
        <v>Cash</v>
      </c>
      <c r="I153" s="17" t="str">
        <f>VLOOKUP(Main_Presentation[[#This Row],[LC Number]],Main_Issuance[],7,0)</f>
        <v>RIYADH CABLES GROUP COMPANY</v>
      </c>
      <c r="J153" s="17" t="str">
        <f>VLOOKUP(Main_Presentation[[#This Row],[LC Number]],Main_Issuance[],8,0)</f>
        <v>FIRST FIX</v>
      </c>
      <c r="K153" s="17" t="str">
        <f>VLOOKUP(Main_Presentation[[#This Row],[LC Number]],Main_Issuance[],9,0)</f>
        <v>KSP</v>
      </c>
      <c r="L153" s="17">
        <f>VLOOKUP(Main_Presentation[[#This Row],[LC Number]],Main_Issuance[],10,0)</f>
        <v>1020055</v>
      </c>
      <c r="M153" s="17" t="str">
        <f>VLOOKUP(Main_Presentation[[#This Row],[LC Number]],Main_Issuance[],11,0)</f>
        <v>SAR</v>
      </c>
      <c r="N153" s="84">
        <f>VLOOKUP(Main_Presentation[[#This Row],[LC Number]],Main_Issuance[],12,0)</f>
        <v>3000000</v>
      </c>
      <c r="O153" s="16" t="s">
        <v>20</v>
      </c>
      <c r="P153" s="16" t="s">
        <v>857</v>
      </c>
      <c r="Q153" s="131">
        <v>2993950.31</v>
      </c>
      <c r="R153" s="18">
        <v>1</v>
      </c>
      <c r="S153" s="18">
        <f>Main_Presentation[[#This Row],[Invoice Amt (FCY)]]*Main_Presentation[[#This Row],[Rate]]</f>
        <v>2993950.31</v>
      </c>
      <c r="T153" s="15">
        <v>45600</v>
      </c>
      <c r="U153" s="26">
        <f>VLOOKUP(Main_Presentation[[#This Row],[LC Number]],Main_Issuance[],18,0)</f>
        <v>0</v>
      </c>
      <c r="V153" s="19" t="s">
        <v>22</v>
      </c>
      <c r="W153" s="18" t="s">
        <v>857</v>
      </c>
      <c r="X153" s="16"/>
      <c r="Y153" s="234" t="str">
        <f>TRIM(LEFT(Main_Presentation[[#This Row],[Payment Terms]],3))</f>
        <v>0</v>
      </c>
      <c r="Z153" s="16"/>
      <c r="AA153" s="316" cm="1">
        <f t="array" ref="AA153">Settlement(Main_Presentation[[#This Row],[Bank]],Main_Presentation[[#This Row],[ Invoice Amt (SAR)]],Main_Presentation[[#This Row],[Date Recd]],Main_Presentation[[#This Row],[Due Date]],Main_Presentation[[#This Row],[Days]])</f>
        <v>4303.3</v>
      </c>
      <c r="AB153" s="16"/>
    </row>
    <row r="154" spans="1:28" ht="15.75" hidden="1" x14ac:dyDescent="0.25">
      <c r="A154" s="14" t="s">
        <v>264</v>
      </c>
      <c r="B154" s="15">
        <v>45488</v>
      </c>
      <c r="C154" s="26">
        <v>1</v>
      </c>
      <c r="D154" s="55" t="str">
        <f>VLOOKUP(Main_Presentation[[#This Row],[LC Number]],Main_Issuance[],3,0)</f>
        <v>Hassan Taleb</v>
      </c>
      <c r="E154" s="16" t="s">
        <v>856</v>
      </c>
      <c r="F154" s="17" t="str">
        <f>VLOOKUP(Main_Presentation[[#This Row],[LC Number]],Main_Issuance[],5,0)</f>
        <v>Alinma</v>
      </c>
      <c r="G154" s="17" t="str">
        <f>VLOOKUP(Main_Presentation[[#This Row],[LC Number]],Main_Issuance[],6,0)</f>
        <v>KSP</v>
      </c>
      <c r="H154" s="17" t="str">
        <f>VLOOKUP(Main_Presentation[[#This Row],[LC Number]],Main_Issuance[],17,0)</f>
        <v>Credit</v>
      </c>
      <c r="I154" s="17" t="str">
        <f>VLOOKUP(Main_Presentation[[#This Row],[LC Number]],Main_Issuance[],7,0)</f>
        <v>HUDA LIGHTING LLC CO</v>
      </c>
      <c r="J154" s="17" t="str">
        <f>VLOOKUP(Main_Presentation[[#This Row],[LC Number]],Main_Issuance[],8,0)</f>
        <v>FIRST FIX</v>
      </c>
      <c r="K154" s="17" t="str">
        <f>VLOOKUP(Main_Presentation[[#This Row],[LC Number]],Main_Issuance[],9,0)</f>
        <v>KSP</v>
      </c>
      <c r="L154" s="17">
        <f>VLOOKUP(Main_Presentation[[#This Row],[LC Number]],Main_Issuance[],10,0)</f>
        <v>1020055</v>
      </c>
      <c r="M154" s="17" t="str">
        <f>VLOOKUP(Main_Presentation[[#This Row],[LC Number]],Main_Issuance[],11,0)</f>
        <v>SAR</v>
      </c>
      <c r="N154" s="84">
        <f>VLOOKUP(Main_Presentation[[#This Row],[LC Number]],Main_Issuance[],12,0)</f>
        <v>3000000</v>
      </c>
      <c r="O154" s="16" t="s">
        <v>20</v>
      </c>
      <c r="P154" s="16" t="s">
        <v>857</v>
      </c>
      <c r="Q154" s="131">
        <v>977394</v>
      </c>
      <c r="R154" s="18">
        <v>1</v>
      </c>
      <c r="S154" s="18">
        <f>Main_Presentation[[#This Row],[Invoice Amt (FCY)]]*Main_Presentation[[#This Row],[Rate]]</f>
        <v>977394</v>
      </c>
      <c r="T154" s="15">
        <v>45536</v>
      </c>
      <c r="U154" s="26">
        <f>VLOOKUP(Main_Presentation[[#This Row],[LC Number]],Main_Issuance[],18,0)</f>
        <v>0</v>
      </c>
      <c r="V154" s="19" t="s">
        <v>22</v>
      </c>
      <c r="W154" s="18" t="s">
        <v>857</v>
      </c>
      <c r="X154" s="16"/>
      <c r="Y154" s="234" t="str">
        <f>TRIM(LEFT(Main_Presentation[[#This Row],[Payment Terms]],3))</f>
        <v>0</v>
      </c>
      <c r="Z154" s="16"/>
      <c r="AA154" s="316" cm="1">
        <f t="array" ref="AA154">Settlement(Main_Presentation[[#This Row],[Bank]],Main_Presentation[[#This Row],[ Invoice Amt (SAR)]],Main_Presentation[[#This Row],[Date Recd]],Main_Presentation[[#This Row],[Due Date]],Main_Presentation[[#This Row],[Days]])</f>
        <v>1437.5</v>
      </c>
      <c r="AB154" s="16"/>
    </row>
    <row r="155" spans="1:28" ht="15.75" hidden="1" x14ac:dyDescent="0.25">
      <c r="A155" s="14" t="s">
        <v>264</v>
      </c>
      <c r="B155" s="15">
        <v>45517</v>
      </c>
      <c r="C155" s="26">
        <v>2</v>
      </c>
      <c r="D155" s="55" t="str">
        <f>VLOOKUP(Main_Presentation[[#This Row],[LC Number]],Main_Issuance[],3,0)</f>
        <v>Hassan Taleb</v>
      </c>
      <c r="E155" s="16" t="s">
        <v>856</v>
      </c>
      <c r="F155" s="17" t="str">
        <f>VLOOKUP(Main_Presentation[[#This Row],[LC Number]],Main_Issuance[],5,0)</f>
        <v>Alinma</v>
      </c>
      <c r="G155" s="17" t="str">
        <f>VLOOKUP(Main_Presentation[[#This Row],[LC Number]],Main_Issuance[],6,0)</f>
        <v>KSP</v>
      </c>
      <c r="H155" s="17" t="str">
        <f>VLOOKUP(Main_Presentation[[#This Row],[LC Number]],Main_Issuance[],17,0)</f>
        <v>Credit</v>
      </c>
      <c r="I155" s="17" t="str">
        <f>VLOOKUP(Main_Presentation[[#This Row],[LC Number]],Main_Issuance[],7,0)</f>
        <v>HUDA LIGHTING LLC CO</v>
      </c>
      <c r="J155" s="17" t="str">
        <f>VLOOKUP(Main_Presentation[[#This Row],[LC Number]],Main_Issuance[],8,0)</f>
        <v>FIRST FIX</v>
      </c>
      <c r="K155" s="17" t="str">
        <f>VLOOKUP(Main_Presentation[[#This Row],[LC Number]],Main_Issuance[],9,0)</f>
        <v>KSP</v>
      </c>
      <c r="L155" s="17">
        <f>VLOOKUP(Main_Presentation[[#This Row],[LC Number]],Main_Issuance[],10,0)</f>
        <v>1020055</v>
      </c>
      <c r="M155" s="17" t="str">
        <f>VLOOKUP(Main_Presentation[[#This Row],[LC Number]],Main_Issuance[],11,0)</f>
        <v>SAR</v>
      </c>
      <c r="N155" s="84">
        <f>VLOOKUP(Main_Presentation[[#This Row],[LC Number]],Main_Issuance[],12,0)</f>
        <v>3000000</v>
      </c>
      <c r="O155" s="16" t="s">
        <v>20</v>
      </c>
      <c r="P155" s="16" t="s">
        <v>857</v>
      </c>
      <c r="Q155" s="131">
        <v>2022606</v>
      </c>
      <c r="R155" s="18">
        <v>1</v>
      </c>
      <c r="S155" s="18">
        <f>Main_Presentation[[#This Row],[Invoice Amt (FCY)]]*Main_Presentation[[#This Row],[Rate]]</f>
        <v>2022606</v>
      </c>
      <c r="T155" s="15">
        <v>45554</v>
      </c>
      <c r="U155" s="26">
        <f>VLOOKUP(Main_Presentation[[#This Row],[LC Number]],Main_Issuance[],18,0)</f>
        <v>0</v>
      </c>
      <c r="V155" s="19" t="s">
        <v>22</v>
      </c>
      <c r="W155" s="18" t="s">
        <v>857</v>
      </c>
      <c r="X155" s="16"/>
      <c r="Y155" s="234" t="str">
        <f>TRIM(LEFT(Main_Presentation[[#This Row],[Payment Terms]],3))</f>
        <v>0</v>
      </c>
      <c r="Z155" s="16"/>
      <c r="AA155" s="316" cm="1">
        <f t="array" ref="AA155">Settlement(Main_Presentation[[#This Row],[Bank]],Main_Presentation[[#This Row],[ Invoice Amt (SAR)]],Main_Presentation[[#This Row],[Date Recd]],Main_Presentation[[#This Row],[Due Date]],Main_Presentation[[#This Row],[Days]])</f>
        <v>1437.5</v>
      </c>
      <c r="AB155" s="16"/>
    </row>
    <row r="156" spans="1:28" ht="15.75" hidden="1" x14ac:dyDescent="0.25">
      <c r="A156" s="14" t="s">
        <v>265</v>
      </c>
      <c r="B156" s="15">
        <v>45515</v>
      </c>
      <c r="C156" s="26">
        <v>1</v>
      </c>
      <c r="D156" s="55" t="str">
        <f>VLOOKUP(Main_Presentation[[#This Row],[LC Number]],Main_Issuance[],3,0)</f>
        <v>Hassan Taleb</v>
      </c>
      <c r="E156" s="16" t="s">
        <v>856</v>
      </c>
      <c r="F156" s="17" t="str">
        <f>VLOOKUP(Main_Presentation[[#This Row],[LC Number]],Main_Issuance[],5,0)</f>
        <v>Alinma</v>
      </c>
      <c r="G156" s="17" t="str">
        <f>VLOOKUP(Main_Presentation[[#This Row],[LC Number]],Main_Issuance[],6,0)</f>
        <v>KSP</v>
      </c>
      <c r="H156" s="17" t="str">
        <f>VLOOKUP(Main_Presentation[[#This Row],[LC Number]],Main_Issuance[],17,0)</f>
        <v>Credit</v>
      </c>
      <c r="I156" s="17" t="str">
        <f>VLOOKUP(Main_Presentation[[#This Row],[LC Number]],Main_Issuance[],7,0)</f>
        <v>NATIONAL MARKETING EST CO LTD</v>
      </c>
      <c r="J156" s="17" t="str">
        <f>VLOOKUP(Main_Presentation[[#This Row],[LC Number]],Main_Issuance[],8,0)</f>
        <v>FIRST FIX</v>
      </c>
      <c r="K156" s="17" t="str">
        <f>VLOOKUP(Main_Presentation[[#This Row],[LC Number]],Main_Issuance[],9,0)</f>
        <v>KSP</v>
      </c>
      <c r="L156" s="17">
        <f>VLOOKUP(Main_Presentation[[#This Row],[LC Number]],Main_Issuance[],10,0)</f>
        <v>1020055</v>
      </c>
      <c r="M156" s="17" t="str">
        <f>VLOOKUP(Main_Presentation[[#This Row],[LC Number]],Main_Issuance[],11,0)</f>
        <v>SAR</v>
      </c>
      <c r="N156" s="84">
        <f>VLOOKUP(Main_Presentation[[#This Row],[LC Number]],Main_Issuance[],12,0)</f>
        <v>750000</v>
      </c>
      <c r="O156" s="16" t="s">
        <v>20</v>
      </c>
      <c r="P156" s="16" t="s">
        <v>857</v>
      </c>
      <c r="Q156" s="131">
        <v>700000</v>
      </c>
      <c r="R156" s="18">
        <v>1</v>
      </c>
      <c r="S156" s="18">
        <f>Main_Presentation[[#This Row],[Invoice Amt (FCY)]]*Main_Presentation[[#This Row],[Rate]]</f>
        <v>700000</v>
      </c>
      <c r="T156" s="15">
        <v>45578</v>
      </c>
      <c r="U156" s="26">
        <f>VLOOKUP(Main_Presentation[[#This Row],[LC Number]],Main_Issuance[],18,0)</f>
        <v>0</v>
      </c>
      <c r="V156" s="19" t="s">
        <v>22</v>
      </c>
      <c r="W156" s="18" t="s">
        <v>857</v>
      </c>
      <c r="X156" s="16"/>
      <c r="Y156" s="234" t="str">
        <f>TRIM(LEFT(Main_Presentation[[#This Row],[Payment Terms]],3))</f>
        <v>0</v>
      </c>
      <c r="Z156" s="16"/>
      <c r="AA156" s="316" cm="1">
        <f t="array" ref="AA156">Settlement(Main_Presentation[[#This Row],[Bank]],Main_Presentation[[#This Row],[ Invoice Amt (SAR)]],Main_Presentation[[#This Row],[Date Recd]],Main_Presentation[[#This Row],[Due Date]],Main_Presentation[[#This Row],[Days]])</f>
        <v>1437.5</v>
      </c>
      <c r="AB156" s="16"/>
    </row>
    <row r="157" spans="1:28" ht="15.75" hidden="1" x14ac:dyDescent="0.25">
      <c r="A157" s="14" t="s">
        <v>267</v>
      </c>
      <c r="B157" s="15">
        <v>45456</v>
      </c>
      <c r="C157" s="26">
        <v>1</v>
      </c>
      <c r="D157" s="55" t="str">
        <f>VLOOKUP(Main_Presentation[[#This Row],[LC Number]],Main_Issuance[],3,0)</f>
        <v>Hassan Taleb</v>
      </c>
      <c r="E157" s="16" t="s">
        <v>856</v>
      </c>
      <c r="F157" s="17" t="str">
        <f>VLOOKUP(Main_Presentation[[#This Row],[LC Number]],Main_Issuance[],5,0)</f>
        <v>Alinma</v>
      </c>
      <c r="G157" s="17" t="str">
        <f>VLOOKUP(Main_Presentation[[#This Row],[LC Number]],Main_Issuance[],6,0)</f>
        <v>KSP</v>
      </c>
      <c r="H157" s="17" t="str">
        <f>VLOOKUP(Main_Presentation[[#This Row],[LC Number]],Main_Issuance[],17,0)</f>
        <v>Credit</v>
      </c>
      <c r="I157" s="17" t="str">
        <f>VLOOKUP(Main_Presentation[[#This Row],[LC Number]],Main_Issuance[],7,0)</f>
        <v>ZAHID TRACTOR AND HEAVY MACHINERY CO LTD</v>
      </c>
      <c r="J157" s="17" t="str">
        <f>VLOOKUP(Main_Presentation[[#This Row],[LC Number]],Main_Issuance[],8,0)</f>
        <v>FIRST FIX</v>
      </c>
      <c r="K157" s="17" t="str">
        <f>VLOOKUP(Main_Presentation[[#This Row],[LC Number]],Main_Issuance[],9,0)</f>
        <v>KSP</v>
      </c>
      <c r="L157" s="17">
        <f>VLOOKUP(Main_Presentation[[#This Row],[LC Number]],Main_Issuance[],10,0)</f>
        <v>1020055</v>
      </c>
      <c r="M157" s="17" t="str">
        <f>VLOOKUP(Main_Presentation[[#This Row],[LC Number]],Main_Issuance[],11,0)</f>
        <v>SAR</v>
      </c>
      <c r="N157" s="84">
        <f>VLOOKUP(Main_Presentation[[#This Row],[LC Number]],Main_Issuance[],12,0)</f>
        <v>3794618.02</v>
      </c>
      <c r="O157" s="16" t="s">
        <v>20</v>
      </c>
      <c r="P157" s="16" t="s">
        <v>857</v>
      </c>
      <c r="Q157" s="131">
        <v>3794618.02</v>
      </c>
      <c r="R157" s="18">
        <v>1</v>
      </c>
      <c r="S157" s="18">
        <f>Main_Presentation[[#This Row],[Invoice Amt (FCY)]]*Main_Presentation[[#This Row],[Rate]]</f>
        <v>3794618.02</v>
      </c>
      <c r="T157" s="15">
        <v>45539</v>
      </c>
      <c r="U157" s="26">
        <f>VLOOKUP(Main_Presentation[[#This Row],[LC Number]],Main_Issuance[],18,0)</f>
        <v>0</v>
      </c>
      <c r="V157" s="19" t="s">
        <v>22</v>
      </c>
      <c r="W157" s="18" t="s">
        <v>857</v>
      </c>
      <c r="X157" s="16"/>
      <c r="Y157" s="234" t="str">
        <f>TRIM(LEFT(Main_Presentation[[#This Row],[Payment Terms]],3))</f>
        <v>0</v>
      </c>
      <c r="Z157" s="16"/>
      <c r="AA157" s="316" cm="1">
        <f t="array" ref="AA157">Settlement(Main_Presentation[[#This Row],[Bank]],Main_Presentation[[#This Row],[ Invoice Amt (SAR)]],Main_Presentation[[#This Row],[Date Recd]],Main_Presentation[[#This Row],[Due Date]],Main_Presentation[[#This Row],[Days]])</f>
        <v>5454.45</v>
      </c>
      <c r="AB157" s="16"/>
    </row>
    <row r="158" spans="1:28" ht="15.75" hidden="1" x14ac:dyDescent="0.25">
      <c r="A158" s="14" t="s">
        <v>269</v>
      </c>
      <c r="B158" s="15">
        <v>45480</v>
      </c>
      <c r="C158" s="26">
        <v>1</v>
      </c>
      <c r="D158" s="55" t="str">
        <f>VLOOKUP(Main_Presentation[[#This Row],[LC Number]],Main_Issuance[],3,0)</f>
        <v>Hassan Taleb</v>
      </c>
      <c r="E158" s="16" t="s">
        <v>856</v>
      </c>
      <c r="F158" s="17" t="str">
        <f>VLOOKUP(Main_Presentation[[#This Row],[LC Number]],Main_Issuance[],5,0)</f>
        <v>Alinma</v>
      </c>
      <c r="G158" s="17" t="str">
        <f>VLOOKUP(Main_Presentation[[#This Row],[LC Number]],Main_Issuance[],6,0)</f>
        <v>KSP</v>
      </c>
      <c r="H158" s="17" t="str">
        <f>VLOOKUP(Main_Presentation[[#This Row],[LC Number]],Main_Issuance[],17,0)</f>
        <v>Credit</v>
      </c>
      <c r="I158" s="17" t="str">
        <f>VLOOKUP(Main_Presentation[[#This Row],[LC Number]],Main_Issuance[],7,0)</f>
        <v>AL MABANI AL UMUMIYYAH LTD</v>
      </c>
      <c r="J158" s="17" t="str">
        <f>VLOOKUP(Main_Presentation[[#This Row],[LC Number]],Main_Issuance[],8,0)</f>
        <v>FIRST FIX</v>
      </c>
      <c r="K158" s="17" t="str">
        <f>VLOOKUP(Main_Presentation[[#This Row],[LC Number]],Main_Issuance[],9,0)</f>
        <v>KSP</v>
      </c>
      <c r="L158" s="17">
        <f>VLOOKUP(Main_Presentation[[#This Row],[LC Number]],Main_Issuance[],10,0)</f>
        <v>1020055</v>
      </c>
      <c r="M158" s="17" t="str">
        <f>VLOOKUP(Main_Presentation[[#This Row],[LC Number]],Main_Issuance[],11,0)</f>
        <v>SAR</v>
      </c>
      <c r="N158" s="84">
        <f>VLOOKUP(Main_Presentation[[#This Row],[LC Number]],Main_Issuance[],12,0)</f>
        <v>500000</v>
      </c>
      <c r="O158" s="16" t="s">
        <v>20</v>
      </c>
      <c r="P158" s="16" t="s">
        <v>857</v>
      </c>
      <c r="Q158" s="131">
        <v>500000</v>
      </c>
      <c r="R158" s="18">
        <v>1</v>
      </c>
      <c r="S158" s="18">
        <f>Main_Presentation[[#This Row],[Invoice Amt (FCY)]]*Main_Presentation[[#This Row],[Rate]]</f>
        <v>500000</v>
      </c>
      <c r="T158" s="15">
        <v>45532</v>
      </c>
      <c r="U158" s="26">
        <f>VLOOKUP(Main_Presentation[[#This Row],[LC Number]],Main_Issuance[],18,0)</f>
        <v>0</v>
      </c>
      <c r="V158" s="19" t="s">
        <v>22</v>
      </c>
      <c r="W158" s="18" t="s">
        <v>857</v>
      </c>
      <c r="X158" s="16"/>
      <c r="Y158" s="234" t="str">
        <f>TRIM(LEFT(Main_Presentation[[#This Row],[Payment Terms]],3))</f>
        <v>0</v>
      </c>
      <c r="Z158" s="16"/>
      <c r="AA158" s="316" cm="1">
        <f t="array" ref="AA158">Settlement(Main_Presentation[[#This Row],[Bank]],Main_Presentation[[#This Row],[ Invoice Amt (SAR)]],Main_Presentation[[#This Row],[Date Recd]],Main_Presentation[[#This Row],[Due Date]],Main_Presentation[[#This Row],[Days]])</f>
        <v>1437.5</v>
      </c>
      <c r="AB158" s="16"/>
    </row>
    <row r="159" spans="1:28" ht="15.75" hidden="1" x14ac:dyDescent="0.25">
      <c r="A159" s="14" t="s">
        <v>271</v>
      </c>
      <c r="B159" s="15">
        <v>45495</v>
      </c>
      <c r="C159" s="26">
        <v>1</v>
      </c>
      <c r="D159" s="55" t="str">
        <f>VLOOKUP(Main_Presentation[[#This Row],[LC Number]],Main_Issuance[],3,0)</f>
        <v>Hassan Taleb</v>
      </c>
      <c r="E159" s="16" t="s">
        <v>856</v>
      </c>
      <c r="F159" s="17" t="str">
        <f>VLOOKUP(Main_Presentation[[#This Row],[LC Number]],Main_Issuance[],5,0)</f>
        <v>Alinma</v>
      </c>
      <c r="G159" s="17" t="str">
        <f>VLOOKUP(Main_Presentation[[#This Row],[LC Number]],Main_Issuance[],6,0)</f>
        <v>KSP</v>
      </c>
      <c r="H159" s="17" t="str">
        <f>VLOOKUP(Main_Presentation[[#This Row],[LC Number]],Main_Issuance[],17,0)</f>
        <v>Credit</v>
      </c>
      <c r="I159" s="17" t="str">
        <f>VLOOKUP(Main_Presentation[[#This Row],[LC Number]],Main_Issuance[],7,0)</f>
        <v>EMPOWER AIR TECHNOLOGIES CO</v>
      </c>
      <c r="J159" s="17" t="str">
        <f>VLOOKUP(Main_Presentation[[#This Row],[LC Number]],Main_Issuance[],8,0)</f>
        <v>FIRST FIX</v>
      </c>
      <c r="K159" s="17" t="str">
        <f>VLOOKUP(Main_Presentation[[#This Row],[LC Number]],Main_Issuance[],9,0)</f>
        <v>KSP</v>
      </c>
      <c r="L159" s="17">
        <f>VLOOKUP(Main_Presentation[[#This Row],[LC Number]],Main_Issuance[],10,0)</f>
        <v>1020055</v>
      </c>
      <c r="M159" s="17" t="str">
        <f>VLOOKUP(Main_Presentation[[#This Row],[LC Number]],Main_Issuance[],11,0)</f>
        <v>SAR</v>
      </c>
      <c r="N159" s="84">
        <f>VLOOKUP(Main_Presentation[[#This Row],[LC Number]],Main_Issuance[],12,0)</f>
        <v>700000</v>
      </c>
      <c r="O159" s="16" t="s">
        <v>20</v>
      </c>
      <c r="P159" s="16" t="s">
        <v>857</v>
      </c>
      <c r="Q159" s="131">
        <v>700000</v>
      </c>
      <c r="R159" s="18">
        <v>1</v>
      </c>
      <c r="S159" s="18">
        <f>Main_Presentation[[#This Row],[Invoice Amt (FCY)]]*Main_Presentation[[#This Row],[Rate]]</f>
        <v>700000</v>
      </c>
      <c r="T159" s="15">
        <v>45529</v>
      </c>
      <c r="U159" s="26">
        <f>VLOOKUP(Main_Presentation[[#This Row],[LC Number]],Main_Issuance[],18,0)</f>
        <v>0</v>
      </c>
      <c r="V159" s="19" t="s">
        <v>22</v>
      </c>
      <c r="W159" s="18" t="s">
        <v>857</v>
      </c>
      <c r="X159" s="16"/>
      <c r="Y159" s="234" t="str">
        <f>TRIM(LEFT(Main_Presentation[[#This Row],[Payment Terms]],3))</f>
        <v>0</v>
      </c>
      <c r="Z159" s="16"/>
      <c r="AA159" s="316" cm="1">
        <f t="array" ref="AA159">Settlement(Main_Presentation[[#This Row],[Bank]],Main_Presentation[[#This Row],[ Invoice Amt (SAR)]],Main_Presentation[[#This Row],[Date Recd]],Main_Presentation[[#This Row],[Due Date]],Main_Presentation[[#This Row],[Days]])</f>
        <v>1437.5</v>
      </c>
      <c r="AB159" s="16"/>
    </row>
    <row r="160" spans="1:28" ht="15.75" hidden="1" x14ac:dyDescent="0.25">
      <c r="A160" s="14" t="s">
        <v>272</v>
      </c>
      <c r="B160" s="15">
        <v>45497</v>
      </c>
      <c r="C160" s="26">
        <v>1</v>
      </c>
      <c r="D160" s="55" t="str">
        <f>VLOOKUP(Main_Presentation[[#This Row],[LC Number]],Main_Issuance[],3,0)</f>
        <v>Hassan Taleb</v>
      </c>
      <c r="E160" s="16" t="s">
        <v>856</v>
      </c>
      <c r="F160" s="17" t="str">
        <f>VLOOKUP(Main_Presentation[[#This Row],[LC Number]],Main_Issuance[],5,0)</f>
        <v>Alinma</v>
      </c>
      <c r="G160" s="17" t="str">
        <f>VLOOKUP(Main_Presentation[[#This Row],[LC Number]],Main_Issuance[],6,0)</f>
        <v>KSP</v>
      </c>
      <c r="H160" s="17" t="str">
        <f>VLOOKUP(Main_Presentation[[#This Row],[LC Number]],Main_Issuance[],17,0)</f>
        <v>Credit</v>
      </c>
      <c r="I160" s="17" t="str">
        <f>VLOOKUP(Main_Presentation[[#This Row],[LC Number]],Main_Issuance[],7,0)</f>
        <v>ALFANAR ELECTRICAL SYSTEMS</v>
      </c>
      <c r="J160" s="17" t="str">
        <f>VLOOKUP(Main_Presentation[[#This Row],[LC Number]],Main_Issuance[],8,0)</f>
        <v>FIRST FIX</v>
      </c>
      <c r="K160" s="17" t="str">
        <f>VLOOKUP(Main_Presentation[[#This Row],[LC Number]],Main_Issuance[],9,0)</f>
        <v>KSP</v>
      </c>
      <c r="L160" s="17">
        <f>VLOOKUP(Main_Presentation[[#This Row],[LC Number]],Main_Issuance[],10,0)</f>
        <v>1020055</v>
      </c>
      <c r="M160" s="17" t="str">
        <f>VLOOKUP(Main_Presentation[[#This Row],[LC Number]],Main_Issuance[],11,0)</f>
        <v>SAR</v>
      </c>
      <c r="N160" s="84">
        <f>VLOOKUP(Main_Presentation[[#This Row],[LC Number]],Main_Issuance[],12,0)</f>
        <v>1500000</v>
      </c>
      <c r="O160" s="16" t="s">
        <v>20</v>
      </c>
      <c r="P160" s="16" t="s">
        <v>857</v>
      </c>
      <c r="Q160" s="131">
        <v>1500000</v>
      </c>
      <c r="R160" s="18">
        <v>1</v>
      </c>
      <c r="S160" s="18">
        <f>Main_Presentation[[#This Row],[Invoice Amt (FCY)]]*Main_Presentation[[#This Row],[Rate]]</f>
        <v>1500000</v>
      </c>
      <c r="T160" s="15">
        <v>45578</v>
      </c>
      <c r="U160" s="26">
        <f>VLOOKUP(Main_Presentation[[#This Row],[LC Number]],Main_Issuance[],18,0)</f>
        <v>0</v>
      </c>
      <c r="V160" s="19" t="s">
        <v>22</v>
      </c>
      <c r="W160" s="18" t="s">
        <v>857</v>
      </c>
      <c r="X160" s="16"/>
      <c r="Y160" s="234" t="str">
        <f>TRIM(LEFT(Main_Presentation[[#This Row],[Payment Terms]],3))</f>
        <v>0</v>
      </c>
      <c r="Z160" s="16"/>
      <c r="AA160" s="316" cm="1">
        <f t="array" ref="AA160">Settlement(Main_Presentation[[#This Row],[Bank]],Main_Presentation[[#This Row],[ Invoice Amt (SAR)]],Main_Presentation[[#This Row],[Date Recd]],Main_Presentation[[#This Row],[Due Date]],Main_Presentation[[#This Row],[Days]])</f>
        <v>2156.25</v>
      </c>
      <c r="AB160" s="16"/>
    </row>
    <row r="161" spans="1:28" ht="15.75" hidden="1" x14ac:dyDescent="0.25">
      <c r="A161" s="14" t="s">
        <v>273</v>
      </c>
      <c r="B161" s="15">
        <v>45502</v>
      </c>
      <c r="C161" s="26">
        <v>1</v>
      </c>
      <c r="D161" s="55" t="str">
        <f>VLOOKUP(Main_Presentation[[#This Row],[LC Number]],Main_Issuance[],3,0)</f>
        <v>Hassan Taleb</v>
      </c>
      <c r="E161" s="16" t="s">
        <v>856</v>
      </c>
      <c r="F161" s="17" t="str">
        <f>VLOOKUP(Main_Presentation[[#This Row],[LC Number]],Main_Issuance[],5,0)</f>
        <v>Alinma</v>
      </c>
      <c r="G161" s="17" t="str">
        <f>VLOOKUP(Main_Presentation[[#This Row],[LC Number]],Main_Issuance[],6,0)</f>
        <v>KSP</v>
      </c>
      <c r="H161" s="17" t="str">
        <f>VLOOKUP(Main_Presentation[[#This Row],[LC Number]],Main_Issuance[],17,0)</f>
        <v>Credit</v>
      </c>
      <c r="I161" s="17" t="str">
        <f>VLOOKUP(Main_Presentation[[#This Row],[LC Number]],Main_Issuance[],7,0)</f>
        <v>MARIAM AHMAD JAMAL IBRAHIM AND PARTNER TRADING CO</v>
      </c>
      <c r="J161" s="17" t="str">
        <f>VLOOKUP(Main_Presentation[[#This Row],[LC Number]],Main_Issuance[],8,0)</f>
        <v>FIRST FIX</v>
      </c>
      <c r="K161" s="17" t="str">
        <f>VLOOKUP(Main_Presentation[[#This Row],[LC Number]],Main_Issuance[],9,0)</f>
        <v>KSP</v>
      </c>
      <c r="L161" s="17">
        <f>VLOOKUP(Main_Presentation[[#This Row],[LC Number]],Main_Issuance[],10,0)</f>
        <v>1020055</v>
      </c>
      <c r="M161" s="17" t="str">
        <f>VLOOKUP(Main_Presentation[[#This Row],[LC Number]],Main_Issuance[],11,0)</f>
        <v>SAR</v>
      </c>
      <c r="N161" s="84">
        <f>VLOOKUP(Main_Presentation[[#This Row],[LC Number]],Main_Issuance[],12,0)</f>
        <v>755381.98</v>
      </c>
      <c r="O161" s="16" t="s">
        <v>20</v>
      </c>
      <c r="P161" s="16" t="s">
        <v>857</v>
      </c>
      <c r="Q161" s="131">
        <v>755381.98</v>
      </c>
      <c r="R161" s="18">
        <v>1</v>
      </c>
      <c r="S161" s="18">
        <f>Main_Presentation[[#This Row],[Invoice Amt (FCY)]]*Main_Presentation[[#This Row],[Rate]]</f>
        <v>755381.98</v>
      </c>
      <c r="T161" s="15">
        <v>45578</v>
      </c>
      <c r="U161" s="26">
        <f>VLOOKUP(Main_Presentation[[#This Row],[LC Number]],Main_Issuance[],18,0)</f>
        <v>0</v>
      </c>
      <c r="V161" s="19" t="s">
        <v>22</v>
      </c>
      <c r="W161" s="18" t="s">
        <v>857</v>
      </c>
      <c r="X161" s="16"/>
      <c r="Y161" s="234" t="str">
        <f>TRIM(LEFT(Main_Presentation[[#This Row],[Payment Terms]],3))</f>
        <v>0</v>
      </c>
      <c r="Z161" s="16"/>
      <c r="AA161" s="316" cm="1">
        <f t="array" ref="AA161">Settlement(Main_Presentation[[#This Row],[Bank]],Main_Presentation[[#This Row],[ Invoice Amt (SAR)]],Main_Presentation[[#This Row],[Date Recd]],Main_Presentation[[#This Row],[Due Date]],Main_Presentation[[#This Row],[Days]])</f>
        <v>1437.5</v>
      </c>
      <c r="AB161" s="16"/>
    </row>
    <row r="162" spans="1:28" ht="15.75" hidden="1" x14ac:dyDescent="0.25">
      <c r="A162" s="14" t="s">
        <v>281</v>
      </c>
      <c r="B162" s="15">
        <v>45532</v>
      </c>
      <c r="C162" s="26">
        <v>1</v>
      </c>
      <c r="D162" s="55" t="str">
        <f>VLOOKUP(Main_Presentation[[#This Row],[LC Number]],Main_Issuance[],3,0)</f>
        <v>Hassan Taleb</v>
      </c>
      <c r="E162" s="16" t="s">
        <v>856</v>
      </c>
      <c r="F162" s="17" t="str">
        <f>VLOOKUP(Main_Presentation[[#This Row],[LC Number]],Main_Issuance[],5,0)</f>
        <v>Alinma</v>
      </c>
      <c r="G162" s="17" t="str">
        <f>VLOOKUP(Main_Presentation[[#This Row],[LC Number]],Main_Issuance[],6,0)</f>
        <v>KSP</v>
      </c>
      <c r="H162" s="17" t="str">
        <f>VLOOKUP(Main_Presentation[[#This Row],[LC Number]],Main_Issuance[],17,0)</f>
        <v>Credit</v>
      </c>
      <c r="I162" s="17" t="str">
        <f>VLOOKUP(Main_Presentation[[#This Row],[LC Number]],Main_Issuance[],7,0)</f>
        <v>AL MABANI LTD</v>
      </c>
      <c r="J162" s="17" t="str">
        <f>VLOOKUP(Main_Presentation[[#This Row],[LC Number]],Main_Issuance[],8,0)</f>
        <v>FIRST FIX</v>
      </c>
      <c r="K162" s="17" t="str">
        <f>VLOOKUP(Main_Presentation[[#This Row],[LC Number]],Main_Issuance[],9,0)</f>
        <v>KSP</v>
      </c>
      <c r="L162" s="17">
        <f>VLOOKUP(Main_Presentation[[#This Row],[LC Number]],Main_Issuance[],10,0)</f>
        <v>1020055</v>
      </c>
      <c r="M162" s="17" t="str">
        <f>VLOOKUP(Main_Presentation[[#This Row],[LC Number]],Main_Issuance[],11,0)</f>
        <v>SAR</v>
      </c>
      <c r="N162" s="84">
        <f>VLOOKUP(Main_Presentation[[#This Row],[LC Number]],Main_Issuance[],12,0)</f>
        <v>900000</v>
      </c>
      <c r="O162" s="16" t="s">
        <v>20</v>
      </c>
      <c r="P162" s="16" t="s">
        <v>857</v>
      </c>
      <c r="Q162" s="131">
        <v>900000</v>
      </c>
      <c r="R162" s="18">
        <v>1</v>
      </c>
      <c r="S162" s="18">
        <f>Main_Presentation[[#This Row],[Invoice Amt (FCY)]]*Main_Presentation[[#This Row],[Rate]]</f>
        <v>900000</v>
      </c>
      <c r="T162" s="15">
        <v>45615</v>
      </c>
      <c r="U162" s="26">
        <f>VLOOKUP(Main_Presentation[[#This Row],[LC Number]],Main_Issuance[],18,0)</f>
        <v>0</v>
      </c>
      <c r="V162" s="19" t="s">
        <v>22</v>
      </c>
      <c r="W162" s="18" t="s">
        <v>857</v>
      </c>
      <c r="X162" s="16" t="s">
        <v>859</v>
      </c>
      <c r="Y162" s="234" t="str">
        <f>TRIM(LEFT(Main_Presentation[[#This Row],[Payment Terms]],3))</f>
        <v>0</v>
      </c>
      <c r="Z162" s="16"/>
      <c r="AA162" s="316" cm="1">
        <f t="array" ref="AA162">Settlement(Main_Presentation[[#This Row],[Bank]],Main_Presentation[[#This Row],[ Invoice Amt (SAR)]],Main_Presentation[[#This Row],[Date Recd]],Main_Presentation[[#This Row],[Due Date]],Main_Presentation[[#This Row],[Days]])</f>
        <v>1437.5</v>
      </c>
      <c r="AB162" s="16"/>
    </row>
    <row r="163" spans="1:28" ht="15.75" hidden="1" x14ac:dyDescent="0.25">
      <c r="A163" s="14" t="s">
        <v>283</v>
      </c>
      <c r="B163" s="15">
        <v>45538</v>
      </c>
      <c r="C163" s="26">
        <v>1</v>
      </c>
      <c r="D163" s="55" t="str">
        <f>VLOOKUP(Main_Presentation[[#This Row],[LC Number]],Main_Issuance[],3,0)</f>
        <v>Hassan Taleb</v>
      </c>
      <c r="E163" s="16" t="s">
        <v>856</v>
      </c>
      <c r="F163" s="17" t="str">
        <f>VLOOKUP(Main_Presentation[[#This Row],[LC Number]],Main_Issuance[],5,0)</f>
        <v>Alinma</v>
      </c>
      <c r="G163" s="17" t="str">
        <f>VLOOKUP(Main_Presentation[[#This Row],[LC Number]],Main_Issuance[],6,0)</f>
        <v>KSP</v>
      </c>
      <c r="H163" s="17" t="str">
        <f>VLOOKUP(Main_Presentation[[#This Row],[LC Number]],Main_Issuance[],17,0)</f>
        <v>Credit</v>
      </c>
      <c r="I163" s="17" t="str">
        <f>VLOOKUP(Main_Presentation[[#This Row],[LC Number]],Main_Issuance[],7,0)</f>
        <v>ELECTRIC HOUSE LLC</v>
      </c>
      <c r="J163" s="17" t="str">
        <f>VLOOKUP(Main_Presentation[[#This Row],[LC Number]],Main_Issuance[],8,0)</f>
        <v>FIRST FIX</v>
      </c>
      <c r="K163" s="17" t="str">
        <f>VLOOKUP(Main_Presentation[[#This Row],[LC Number]],Main_Issuance[],9,0)</f>
        <v>KSP</v>
      </c>
      <c r="L163" s="17">
        <f>VLOOKUP(Main_Presentation[[#This Row],[LC Number]],Main_Issuance[],10,0)</f>
        <v>1020055</v>
      </c>
      <c r="M163" s="17" t="str">
        <f>VLOOKUP(Main_Presentation[[#This Row],[LC Number]],Main_Issuance[],11,0)</f>
        <v>SAR</v>
      </c>
      <c r="N163" s="84">
        <f>VLOOKUP(Main_Presentation[[#This Row],[LC Number]],Main_Issuance[],12,0)</f>
        <v>2920000</v>
      </c>
      <c r="O163" s="16" t="s">
        <v>20</v>
      </c>
      <c r="P163" s="16" t="s">
        <v>857</v>
      </c>
      <c r="Q163" s="131">
        <v>2920000</v>
      </c>
      <c r="R163" s="18">
        <v>1</v>
      </c>
      <c r="S163" s="18">
        <f>Main_Presentation[[#This Row],[Invoice Amt (FCY)]]*Main_Presentation[[#This Row],[Rate]]</f>
        <v>2920000</v>
      </c>
      <c r="T163" s="15">
        <v>45620</v>
      </c>
      <c r="U163" s="26">
        <f>VLOOKUP(Main_Presentation[[#This Row],[LC Number]],Main_Issuance[],18,0)</f>
        <v>0</v>
      </c>
      <c r="V163" s="19" t="s">
        <v>22</v>
      </c>
      <c r="W163" s="18" t="s">
        <v>857</v>
      </c>
      <c r="X163" s="16"/>
      <c r="Y163" s="234" t="str">
        <f>TRIM(LEFT(Main_Presentation[[#This Row],[Payment Terms]],3))</f>
        <v>0</v>
      </c>
      <c r="Z163" s="16"/>
      <c r="AA163" s="316" cm="1">
        <f t="array" ref="AA163">Settlement(Main_Presentation[[#This Row],[Bank]],Main_Presentation[[#This Row],[ Invoice Amt (SAR)]],Main_Presentation[[#This Row],[Date Recd]],Main_Presentation[[#This Row],[Due Date]],Main_Presentation[[#This Row],[Days]])</f>
        <v>4197.5</v>
      </c>
      <c r="AB163" s="16"/>
    </row>
    <row r="164" spans="1:28" ht="15.75" hidden="1" x14ac:dyDescent="0.25">
      <c r="A164" s="14" t="s">
        <v>285</v>
      </c>
      <c r="B164" s="15">
        <v>45540</v>
      </c>
      <c r="C164" s="26">
        <v>1</v>
      </c>
      <c r="D164" s="55" t="str">
        <f>VLOOKUP(Main_Presentation[[#This Row],[LC Number]],Main_Issuance[],3,0)</f>
        <v>Hassan Taleb</v>
      </c>
      <c r="E164" s="16" t="s">
        <v>856</v>
      </c>
      <c r="F164" s="17" t="str">
        <f>VLOOKUP(Main_Presentation[[#This Row],[LC Number]],Main_Issuance[],5,0)</f>
        <v>Alinma</v>
      </c>
      <c r="G164" s="17" t="str">
        <f>VLOOKUP(Main_Presentation[[#This Row],[LC Number]],Main_Issuance[],6,0)</f>
        <v>KSP</v>
      </c>
      <c r="H164" s="17" t="str">
        <f>VLOOKUP(Main_Presentation[[#This Row],[LC Number]],Main_Issuance[],17,0)</f>
        <v>Credit</v>
      </c>
      <c r="I164" s="17" t="str">
        <f>VLOOKUP(Main_Presentation[[#This Row],[LC Number]],Main_Issuance[],7,0)</f>
        <v>LIGHTING LTD</v>
      </c>
      <c r="J164" s="17" t="str">
        <f>VLOOKUP(Main_Presentation[[#This Row],[LC Number]],Main_Issuance[],8,0)</f>
        <v>FIRST FIX</v>
      </c>
      <c r="K164" s="17" t="str">
        <f>VLOOKUP(Main_Presentation[[#This Row],[LC Number]],Main_Issuance[],9,0)</f>
        <v>KSP</v>
      </c>
      <c r="L164" s="17">
        <f>VLOOKUP(Main_Presentation[[#This Row],[LC Number]],Main_Issuance[],10,0)</f>
        <v>1020055</v>
      </c>
      <c r="M164" s="17" t="str">
        <f>VLOOKUP(Main_Presentation[[#This Row],[LC Number]],Main_Issuance[],11,0)</f>
        <v>SAR</v>
      </c>
      <c r="N164" s="84">
        <f>VLOOKUP(Main_Presentation[[#This Row],[LC Number]],Main_Issuance[],12,0)</f>
        <v>300000</v>
      </c>
      <c r="O164" s="16" t="s">
        <v>20</v>
      </c>
      <c r="P164" s="16" t="s">
        <v>857</v>
      </c>
      <c r="Q164" s="131">
        <v>300000</v>
      </c>
      <c r="R164" s="18">
        <v>1</v>
      </c>
      <c r="S164" s="18">
        <f>Main_Presentation[[#This Row],[Invoice Amt (FCY)]]*Main_Presentation[[#This Row],[Rate]]</f>
        <v>300000</v>
      </c>
      <c r="T164" s="15">
        <v>45623</v>
      </c>
      <c r="U164" s="26">
        <f>VLOOKUP(Main_Presentation[[#This Row],[LC Number]],Main_Issuance[],18,0)</f>
        <v>0</v>
      </c>
      <c r="V164" s="19" t="s">
        <v>22</v>
      </c>
      <c r="W164" s="18" t="s">
        <v>857</v>
      </c>
      <c r="X164" s="16"/>
      <c r="Y164" s="234" t="str">
        <f>TRIM(LEFT(Main_Presentation[[#This Row],[Payment Terms]],3))</f>
        <v>0</v>
      </c>
      <c r="Z164" s="16"/>
      <c r="AA164" s="316" cm="1">
        <f t="array" ref="AA164">Settlement(Main_Presentation[[#This Row],[Bank]],Main_Presentation[[#This Row],[ Invoice Amt (SAR)]],Main_Presentation[[#This Row],[Date Recd]],Main_Presentation[[#This Row],[Due Date]],Main_Presentation[[#This Row],[Days]])</f>
        <v>1437.5</v>
      </c>
      <c r="AB164" s="16"/>
    </row>
    <row r="165" spans="1:28" ht="15.75" hidden="1" x14ac:dyDescent="0.25">
      <c r="A165" s="14" t="s">
        <v>287</v>
      </c>
      <c r="B165" s="15">
        <v>45538</v>
      </c>
      <c r="C165" s="26">
        <v>1</v>
      </c>
      <c r="D165" s="55" t="str">
        <f>VLOOKUP(Main_Presentation[[#This Row],[LC Number]],Main_Issuance[],3,0)</f>
        <v>Hassan Taleb</v>
      </c>
      <c r="E165" s="16" t="s">
        <v>858</v>
      </c>
      <c r="F165" s="17" t="str">
        <f>VLOOKUP(Main_Presentation[[#This Row],[LC Number]],Main_Issuance[],5,0)</f>
        <v>Alinma</v>
      </c>
      <c r="G165" s="17" t="str">
        <f>VLOOKUP(Main_Presentation[[#This Row],[LC Number]],Main_Issuance[],6,0)</f>
        <v>KSP</v>
      </c>
      <c r="H165" s="17" t="str">
        <f>VLOOKUP(Main_Presentation[[#This Row],[LC Number]],Main_Issuance[],17,0)</f>
        <v>Credit</v>
      </c>
      <c r="I165" s="17" t="str">
        <f>VLOOKUP(Main_Presentation[[#This Row],[LC Number]],Main_Issuance[],7,0)</f>
        <v>DEPTH CO</v>
      </c>
      <c r="J165" s="17" t="str">
        <f>VLOOKUP(Main_Presentation[[#This Row],[LC Number]],Main_Issuance[],8,0)</f>
        <v>FIRST FIX</v>
      </c>
      <c r="K165" s="17" t="str">
        <f>VLOOKUP(Main_Presentation[[#This Row],[LC Number]],Main_Issuance[],9,0)</f>
        <v>KSP</v>
      </c>
      <c r="L165" s="17">
        <f>VLOOKUP(Main_Presentation[[#This Row],[LC Number]],Main_Issuance[],10,0)</f>
        <v>1020055</v>
      </c>
      <c r="M165" s="17" t="str">
        <f>VLOOKUP(Main_Presentation[[#This Row],[LC Number]],Main_Issuance[],11,0)</f>
        <v>SAR</v>
      </c>
      <c r="N165" s="84">
        <f>VLOOKUP(Main_Presentation[[#This Row],[LC Number]],Main_Issuance[],12,0)</f>
        <v>1000000</v>
      </c>
      <c r="O165" s="16" t="s">
        <v>20</v>
      </c>
      <c r="P165" s="16" t="s">
        <v>857</v>
      </c>
      <c r="Q165" s="131">
        <v>1000000</v>
      </c>
      <c r="R165" s="18">
        <v>1</v>
      </c>
      <c r="S165" s="18">
        <f>Main_Presentation[[#This Row],[Invoice Amt (FCY)]]*Main_Presentation[[#This Row],[Rate]]</f>
        <v>1000000</v>
      </c>
      <c r="T165" s="15">
        <v>45622</v>
      </c>
      <c r="U165" s="26">
        <f>VLOOKUP(Main_Presentation[[#This Row],[LC Number]],Main_Issuance[],18,0)</f>
        <v>0</v>
      </c>
      <c r="V165" s="19" t="s">
        <v>22</v>
      </c>
      <c r="W165" s="18" t="s">
        <v>857</v>
      </c>
      <c r="X165" s="16"/>
      <c r="Y165" s="234" t="str">
        <f>TRIM(LEFT(Main_Presentation[[#This Row],[Payment Terms]],3))</f>
        <v>0</v>
      </c>
      <c r="Z165" s="16"/>
      <c r="AA165" s="316" cm="1">
        <f t="array" ref="AA165">Settlement(Main_Presentation[[#This Row],[Bank]],Main_Presentation[[#This Row],[ Invoice Amt (SAR)]],Main_Presentation[[#This Row],[Date Recd]],Main_Presentation[[#This Row],[Due Date]],Main_Presentation[[#This Row],[Days]])</f>
        <v>1437.5</v>
      </c>
      <c r="AB165" s="16"/>
    </row>
    <row r="166" spans="1:28" ht="15.75" hidden="1" x14ac:dyDescent="0.25">
      <c r="A166" s="34" t="s">
        <v>254</v>
      </c>
      <c r="B166" s="35">
        <v>45544</v>
      </c>
      <c r="C166" s="36">
        <v>11</v>
      </c>
      <c r="D166" s="55" t="str">
        <f>VLOOKUP(Main_Presentation[[#This Row],[LC Number]],Main_Issuance[],3,0)</f>
        <v>Mohammed Atef</v>
      </c>
      <c r="E166" s="33" t="s">
        <v>858</v>
      </c>
      <c r="F166" s="37" t="str">
        <f>VLOOKUP(Main_Presentation[[#This Row],[LC Number]],Main_Issuance[],5,0)</f>
        <v>Alinma</v>
      </c>
      <c r="G166" s="37" t="str">
        <f>VLOOKUP(Main_Presentation[[#This Row],[LC Number]],Main_Issuance[],6,0)</f>
        <v>KSP</v>
      </c>
      <c r="H166" s="37" t="str">
        <f>VLOOKUP(Main_Presentation[[#This Row],[LC Number]],Main_Issuance[],17,0)</f>
        <v>Credit</v>
      </c>
      <c r="I166" s="37" t="str">
        <f>VLOOKUP(Main_Presentation[[#This Row],[LC Number]],Main_Issuance[],7,0)</f>
        <v>BBH-CHEMTROL INTERNATIONAL ORGANIZATION S.L</v>
      </c>
      <c r="J166" s="37" t="str">
        <f>VLOOKUP(Main_Presentation[[#This Row],[LC Number]],Main_Issuance[],8,0)</f>
        <v>MBL/ICAD</v>
      </c>
      <c r="K166" s="37" t="str">
        <f>VLOOKUP(Main_Presentation[[#This Row],[LC Number]],Main_Issuance[],9,0)</f>
        <v>KSP</v>
      </c>
      <c r="L166" s="37">
        <f>VLOOKUP(Main_Presentation[[#This Row],[LC Number]],Main_Issuance[],10,0)</f>
        <v>1020055</v>
      </c>
      <c r="M166" s="37" t="str">
        <f>VLOOKUP(Main_Presentation[[#This Row],[LC Number]],Main_Issuance[],11,0)</f>
        <v>EUR</v>
      </c>
      <c r="N166" s="85">
        <f>VLOOKUP(Main_Presentation[[#This Row],[LC Number]],Main_Issuance[],12,0)</f>
        <v>8182985</v>
      </c>
      <c r="O166" s="33" t="s">
        <v>20</v>
      </c>
      <c r="P166" s="33" t="s">
        <v>857</v>
      </c>
      <c r="Q166" s="131">
        <v>635579.94999999995</v>
      </c>
      <c r="R166" s="38">
        <v>4.2249999999999996</v>
      </c>
      <c r="S166" s="38">
        <f>Main_Presentation[[#This Row],[Invoice Amt (FCY)]]*Main_Presentation[[#This Row],[Rate]]</f>
        <v>2685325.2887499994</v>
      </c>
      <c r="T166" s="35">
        <v>45559</v>
      </c>
      <c r="U166" s="36" t="str">
        <f>VLOOKUP(Main_Presentation[[#This Row],[LC Number]],Main_Issuance[],18,0)</f>
        <v>30 Days from Shipment Date</v>
      </c>
      <c r="V166" s="39" t="s">
        <v>22</v>
      </c>
      <c r="W166" s="38" t="s">
        <v>857</v>
      </c>
      <c r="X166" s="33"/>
      <c r="Y166" s="234" t="str">
        <f>TRIM(LEFT(Main_Presentation[[#This Row],[Payment Terms]],3))</f>
        <v>30</v>
      </c>
      <c r="Z166" s="16"/>
      <c r="AA166" s="316" cm="1">
        <f t="array" ref="AA166">Settlement(Main_Presentation[[#This Row],[Bank]],Main_Presentation[[#This Row],[ Invoice Amt (SAR)]],Main_Presentation[[#This Row],[Date Recd]],Main_Presentation[[#This Row],[Due Date]],Main_Presentation[[#This Row],[Days]])</f>
        <v>1437.5</v>
      </c>
      <c r="AB166" s="16"/>
    </row>
    <row r="167" spans="1:28" ht="15.75" hidden="1" x14ac:dyDescent="0.25">
      <c r="A167" s="14" t="s">
        <v>275</v>
      </c>
      <c r="B167" s="15">
        <v>45546</v>
      </c>
      <c r="C167" s="26">
        <v>1</v>
      </c>
      <c r="D167" s="55" t="str">
        <f>VLOOKUP(Main_Presentation[[#This Row],[LC Number]],Main_Issuance[],3,0)</f>
        <v>Hassan Taleb</v>
      </c>
      <c r="E167" s="16" t="s">
        <v>856</v>
      </c>
      <c r="F167" s="17" t="str">
        <f>VLOOKUP(Main_Presentation[[#This Row],[LC Number]],Main_Issuance[],5,0)</f>
        <v>Alinma</v>
      </c>
      <c r="G167" s="17" t="str">
        <f>VLOOKUP(Main_Presentation[[#This Row],[LC Number]],Main_Issuance[],6,0)</f>
        <v>KSP</v>
      </c>
      <c r="H167" s="17" t="str">
        <f>VLOOKUP(Main_Presentation[[#This Row],[LC Number]],Main_Issuance[],17,0)</f>
        <v>Credit</v>
      </c>
      <c r="I167" s="17" t="str">
        <f>VLOOKUP(Main_Presentation[[#This Row],[LC Number]],Main_Issuance[],7,0)</f>
        <v>JOHNSON CONTROLS ARABIA LIMITED</v>
      </c>
      <c r="J167" s="17" t="str">
        <f>VLOOKUP(Main_Presentation[[#This Row],[LC Number]],Main_Issuance[],8,0)</f>
        <v>FIRST FIX</v>
      </c>
      <c r="K167" s="17" t="str">
        <f>VLOOKUP(Main_Presentation[[#This Row],[LC Number]],Main_Issuance[],9,0)</f>
        <v>KSP</v>
      </c>
      <c r="L167" s="17">
        <f>VLOOKUP(Main_Presentation[[#This Row],[LC Number]],Main_Issuance[],10,0)</f>
        <v>1020055</v>
      </c>
      <c r="M167" s="17" t="str">
        <f>VLOOKUP(Main_Presentation[[#This Row],[LC Number]],Main_Issuance[],11,0)</f>
        <v>SAR</v>
      </c>
      <c r="N167" s="84">
        <f>VLOOKUP(Main_Presentation[[#This Row],[LC Number]],Main_Issuance[],12,0)</f>
        <v>9787326</v>
      </c>
      <c r="O167" s="16" t="s">
        <v>20</v>
      </c>
      <c r="P167" s="16" t="s">
        <v>857</v>
      </c>
      <c r="Q167" s="131">
        <v>9787326</v>
      </c>
      <c r="R167" s="18">
        <v>1</v>
      </c>
      <c r="S167" s="18">
        <f>Main_Presentation[[#This Row],[Invoice Amt (FCY)]]*Main_Presentation[[#This Row],[Rate]]</f>
        <v>9787326</v>
      </c>
      <c r="T167" s="15">
        <v>45629</v>
      </c>
      <c r="U167" s="26">
        <f>VLOOKUP(Main_Presentation[[#This Row],[LC Number]],Main_Issuance[],18,0)</f>
        <v>0</v>
      </c>
      <c r="V167" s="19" t="s">
        <v>22</v>
      </c>
      <c r="W167" s="18" t="s">
        <v>857</v>
      </c>
      <c r="X167" s="16"/>
      <c r="Y167" s="234" t="str">
        <f>TRIM(LEFT(Main_Presentation[[#This Row],[Payment Terms]],3))</f>
        <v>0</v>
      </c>
      <c r="Z167" s="16"/>
      <c r="AA167" s="316" cm="1">
        <f t="array" ref="AA167">Settlement(Main_Presentation[[#This Row],[Bank]],Main_Presentation[[#This Row],[ Invoice Amt (SAR)]],Main_Presentation[[#This Row],[Date Recd]],Main_Presentation[[#This Row],[Due Date]],Main_Presentation[[#This Row],[Days]])</f>
        <v>14069.1</v>
      </c>
      <c r="AB167" s="16"/>
    </row>
    <row r="168" spans="1:28" ht="15.75" hidden="1" x14ac:dyDescent="0.25">
      <c r="A168" s="14" t="s">
        <v>288</v>
      </c>
      <c r="B168" s="15">
        <v>45546</v>
      </c>
      <c r="C168" s="26">
        <v>1</v>
      </c>
      <c r="D168" s="55" t="str">
        <f>VLOOKUP(Main_Presentation[[#This Row],[LC Number]],Main_Issuance[],3,0)</f>
        <v>Hassan Taleb</v>
      </c>
      <c r="E168" s="16" t="s">
        <v>856</v>
      </c>
      <c r="F168" s="17" t="str">
        <f>VLOOKUP(Main_Presentation[[#This Row],[LC Number]],Main_Issuance[],5,0)</f>
        <v>Alinma</v>
      </c>
      <c r="G168" s="17" t="str">
        <f>VLOOKUP(Main_Presentation[[#This Row],[LC Number]],Main_Issuance[],6,0)</f>
        <v>KSP</v>
      </c>
      <c r="H168" s="17" t="str">
        <f>VLOOKUP(Main_Presentation[[#This Row],[LC Number]],Main_Issuance[],17,0)</f>
        <v>Credit</v>
      </c>
      <c r="I168" s="17" t="str">
        <f>VLOOKUP(Main_Presentation[[#This Row],[LC Number]],Main_Issuance[],7,0)</f>
        <v>NATIONAL EST. CO. LTD</v>
      </c>
      <c r="J168" s="17" t="str">
        <f>VLOOKUP(Main_Presentation[[#This Row],[LC Number]],Main_Issuance[],8,0)</f>
        <v>FIRST FIX</v>
      </c>
      <c r="K168" s="17" t="str">
        <f>VLOOKUP(Main_Presentation[[#This Row],[LC Number]],Main_Issuance[],9,0)</f>
        <v>KSP</v>
      </c>
      <c r="L168" s="17">
        <f>VLOOKUP(Main_Presentation[[#This Row],[LC Number]],Main_Issuance[],10,0)</f>
        <v>1020055</v>
      </c>
      <c r="M168" s="17" t="str">
        <f>VLOOKUP(Main_Presentation[[#This Row],[LC Number]],Main_Issuance[],11,0)</f>
        <v>SAR</v>
      </c>
      <c r="N168" s="84">
        <f>VLOOKUP(Main_Presentation[[#This Row],[LC Number]],Main_Issuance[],12,0)</f>
        <v>539552.68999999994</v>
      </c>
      <c r="O168" s="16" t="s">
        <v>20</v>
      </c>
      <c r="P168" s="16" t="s">
        <v>857</v>
      </c>
      <c r="Q168" s="131">
        <v>539552.68999999994</v>
      </c>
      <c r="R168" s="18">
        <v>1</v>
      </c>
      <c r="S168" s="18">
        <f>Main_Presentation[[#This Row],[Invoice Amt (FCY)]]*Main_Presentation[[#This Row],[Rate]]</f>
        <v>539552.68999999994</v>
      </c>
      <c r="T168" s="15">
        <v>45628</v>
      </c>
      <c r="U168" s="26">
        <f>VLOOKUP(Main_Presentation[[#This Row],[LC Number]],Main_Issuance[],18,0)</f>
        <v>0</v>
      </c>
      <c r="V168" s="19" t="s">
        <v>22</v>
      </c>
      <c r="W168" s="18" t="s">
        <v>857</v>
      </c>
      <c r="X168" s="16"/>
      <c r="Y168" s="234" t="str">
        <f>TRIM(LEFT(Main_Presentation[[#This Row],[Payment Terms]],3))</f>
        <v>0</v>
      </c>
      <c r="Z168" s="16"/>
      <c r="AA168" s="316" cm="1">
        <f t="array" ref="AA168">Settlement(Main_Presentation[[#This Row],[Bank]],Main_Presentation[[#This Row],[ Invoice Amt (SAR)]],Main_Presentation[[#This Row],[Date Recd]],Main_Presentation[[#This Row],[Due Date]],Main_Presentation[[#This Row],[Days]])</f>
        <v>1437.5</v>
      </c>
      <c r="AB168" s="16"/>
    </row>
    <row r="169" spans="1:28" ht="15.75" hidden="1" x14ac:dyDescent="0.25">
      <c r="A169" s="14" t="s">
        <v>298</v>
      </c>
      <c r="B169" s="15">
        <v>45546</v>
      </c>
      <c r="C169" s="26">
        <v>1</v>
      </c>
      <c r="D169" s="55" t="str">
        <f>VLOOKUP(Main_Presentation[[#This Row],[LC Number]],Main_Issuance[],3,0)</f>
        <v>Hassan Taleb</v>
      </c>
      <c r="E169" s="16" t="s">
        <v>856</v>
      </c>
      <c r="F169" s="17" t="str">
        <f>VLOOKUP(Main_Presentation[[#This Row],[LC Number]],Main_Issuance[],5,0)</f>
        <v>Alinma</v>
      </c>
      <c r="G169" s="17" t="str">
        <f>VLOOKUP(Main_Presentation[[#This Row],[LC Number]],Main_Issuance[],6,0)</f>
        <v>KSP</v>
      </c>
      <c r="H169" s="17" t="str">
        <f>VLOOKUP(Main_Presentation[[#This Row],[LC Number]],Main_Issuance[],17,0)</f>
        <v>Credit</v>
      </c>
      <c r="I169" s="17" t="str">
        <f>VLOOKUP(Main_Presentation[[#This Row],[LC Number]],Main_Issuance[],7,0)</f>
        <v>SAFID CO</v>
      </c>
      <c r="J169" s="17" t="str">
        <f>VLOOKUP(Main_Presentation[[#This Row],[LC Number]],Main_Issuance[],8,0)</f>
        <v>FIRST FIX</v>
      </c>
      <c r="K169" s="17" t="str">
        <f>VLOOKUP(Main_Presentation[[#This Row],[LC Number]],Main_Issuance[],9,0)</f>
        <v>KSP</v>
      </c>
      <c r="L169" s="17">
        <f>VLOOKUP(Main_Presentation[[#This Row],[LC Number]],Main_Issuance[],10,0)</f>
        <v>1020055</v>
      </c>
      <c r="M169" s="17" t="str">
        <f>VLOOKUP(Main_Presentation[[#This Row],[LC Number]],Main_Issuance[],11,0)</f>
        <v>SAR</v>
      </c>
      <c r="N169" s="84">
        <f>VLOOKUP(Main_Presentation[[#This Row],[LC Number]],Main_Issuance[],12,0)</f>
        <v>900000</v>
      </c>
      <c r="O169" s="16" t="s">
        <v>20</v>
      </c>
      <c r="P169" s="16" t="s">
        <v>857</v>
      </c>
      <c r="Q169" s="131">
        <v>900000</v>
      </c>
      <c r="R169" s="18">
        <v>1</v>
      </c>
      <c r="S169" s="18">
        <f>Main_Presentation[[#This Row],[Invoice Amt (FCY)]]*Main_Presentation[[#This Row],[Rate]]</f>
        <v>900000</v>
      </c>
      <c r="T169" s="15">
        <v>45634</v>
      </c>
      <c r="U169" s="26">
        <f>VLOOKUP(Main_Presentation[[#This Row],[LC Number]],Main_Issuance[],18,0)</f>
        <v>0</v>
      </c>
      <c r="V169" s="19" t="s">
        <v>22</v>
      </c>
      <c r="W169" s="18" t="s">
        <v>857</v>
      </c>
      <c r="X169" s="16"/>
      <c r="Y169" s="234" t="str">
        <f>TRIM(LEFT(Main_Presentation[[#This Row],[Payment Terms]],3))</f>
        <v>0</v>
      </c>
      <c r="Z169" s="16"/>
      <c r="AA169" s="316" cm="1">
        <f t="array" ref="AA169">Settlement(Main_Presentation[[#This Row],[Bank]],Main_Presentation[[#This Row],[ Invoice Amt (SAR)]],Main_Presentation[[#This Row],[Date Recd]],Main_Presentation[[#This Row],[Due Date]],Main_Presentation[[#This Row],[Days]])</f>
        <v>1437.5</v>
      </c>
      <c r="AB169" s="16"/>
    </row>
    <row r="170" spans="1:28" ht="15.75" hidden="1" x14ac:dyDescent="0.25">
      <c r="A170" s="14" t="s">
        <v>279</v>
      </c>
      <c r="B170" s="15">
        <v>45551</v>
      </c>
      <c r="C170" s="26">
        <v>1</v>
      </c>
      <c r="D170" s="55" t="str">
        <f>VLOOKUP(Main_Presentation[[#This Row],[LC Number]],Main_Issuance[],3,0)</f>
        <v>Hassan Taleb</v>
      </c>
      <c r="E170" s="16" t="s">
        <v>856</v>
      </c>
      <c r="F170" s="17" t="str">
        <f>VLOOKUP(Main_Presentation[[#This Row],[LC Number]],Main_Issuance[],5,0)</f>
        <v>Alinma</v>
      </c>
      <c r="G170" s="17" t="str">
        <f>VLOOKUP(Main_Presentation[[#This Row],[LC Number]],Main_Issuance[],6,0)</f>
        <v>KSP</v>
      </c>
      <c r="H170" s="17" t="str">
        <f>VLOOKUP(Main_Presentation[[#This Row],[LC Number]],Main_Issuance[],17,0)</f>
        <v>Credit</v>
      </c>
      <c r="I170" s="17" t="str">
        <f>VLOOKUP(Main_Presentation[[#This Row],[LC Number]],Main_Issuance[],7,0)</f>
        <v>RIYADH CABLES GROUP CO</v>
      </c>
      <c r="J170" s="17" t="str">
        <f>VLOOKUP(Main_Presentation[[#This Row],[LC Number]],Main_Issuance[],8,0)</f>
        <v>FIRST FIX</v>
      </c>
      <c r="K170" s="17" t="str">
        <f>VLOOKUP(Main_Presentation[[#This Row],[LC Number]],Main_Issuance[],9,0)</f>
        <v>KSP</v>
      </c>
      <c r="L170" s="17">
        <f>VLOOKUP(Main_Presentation[[#This Row],[LC Number]],Main_Issuance[],10,0)</f>
        <v>1020055</v>
      </c>
      <c r="M170" s="17" t="str">
        <f>VLOOKUP(Main_Presentation[[#This Row],[LC Number]],Main_Issuance[],11,0)</f>
        <v>SAR</v>
      </c>
      <c r="N170" s="84">
        <f>VLOOKUP(Main_Presentation[[#This Row],[LC Number]],Main_Issuance[],12,0)</f>
        <v>2000000</v>
      </c>
      <c r="O170" s="16" t="s">
        <v>20</v>
      </c>
      <c r="P170" s="16" t="s">
        <v>857</v>
      </c>
      <c r="Q170" s="131">
        <v>1989919.86</v>
      </c>
      <c r="R170" s="18">
        <v>1</v>
      </c>
      <c r="S170" s="18">
        <f>Main_Presentation[[#This Row],[Invoice Amt (FCY)]]*Main_Presentation[[#This Row],[Rate]]</f>
        <v>1989919.86</v>
      </c>
      <c r="T170" s="15">
        <v>45629</v>
      </c>
      <c r="U170" s="26">
        <f>VLOOKUP(Main_Presentation[[#This Row],[LC Number]],Main_Issuance[],18,0)</f>
        <v>0</v>
      </c>
      <c r="V170" s="19" t="s">
        <v>22</v>
      </c>
      <c r="W170" s="18" t="s">
        <v>857</v>
      </c>
      <c r="X170" s="16"/>
      <c r="Y170" s="234" t="str">
        <f>TRIM(LEFT(Main_Presentation[[#This Row],[Payment Terms]],3))</f>
        <v>0</v>
      </c>
      <c r="Z170" s="16"/>
      <c r="AA170" s="316" cm="1">
        <f t="array" ref="AA170">Settlement(Main_Presentation[[#This Row],[Bank]],Main_Presentation[[#This Row],[ Invoice Amt (SAR)]],Main_Presentation[[#This Row],[Date Recd]],Main_Presentation[[#This Row],[Due Date]],Main_Presentation[[#This Row],[Days]])</f>
        <v>2860.05</v>
      </c>
      <c r="AB170" s="16"/>
    </row>
    <row r="171" spans="1:28" ht="15.75" hidden="1" x14ac:dyDescent="0.25">
      <c r="A171" s="14" t="s">
        <v>290</v>
      </c>
      <c r="B171" s="15">
        <v>45552</v>
      </c>
      <c r="C171" s="26">
        <v>1</v>
      </c>
      <c r="D171" s="55" t="str">
        <f>VLOOKUP(Main_Presentation[[#This Row],[LC Number]],Main_Issuance[],3,0)</f>
        <v>Hassan Taleb</v>
      </c>
      <c r="E171" s="16" t="s">
        <v>856</v>
      </c>
      <c r="F171" s="17" t="str">
        <f>VLOOKUP(Main_Presentation[[#This Row],[LC Number]],Main_Issuance[],5,0)</f>
        <v>Alinma</v>
      </c>
      <c r="G171" s="17" t="str">
        <f>VLOOKUP(Main_Presentation[[#This Row],[LC Number]],Main_Issuance[],6,0)</f>
        <v>KSP</v>
      </c>
      <c r="H171" s="17" t="str">
        <f>VLOOKUP(Main_Presentation[[#This Row],[LC Number]],Main_Issuance[],17,0)</f>
        <v>Credit</v>
      </c>
      <c r="I171" s="17" t="str">
        <f>VLOOKUP(Main_Presentation[[#This Row],[LC Number]],Main_Issuance[],7,0)</f>
        <v>THKM CO</v>
      </c>
      <c r="J171" s="17" t="str">
        <f>VLOOKUP(Main_Presentation[[#This Row],[LC Number]],Main_Issuance[],8,0)</f>
        <v>FIRST FIX</v>
      </c>
      <c r="K171" s="17" t="str">
        <f>VLOOKUP(Main_Presentation[[#This Row],[LC Number]],Main_Issuance[],9,0)</f>
        <v>KSP</v>
      </c>
      <c r="L171" s="17">
        <f>VLOOKUP(Main_Presentation[[#This Row],[LC Number]],Main_Issuance[],10,0)</f>
        <v>1020055</v>
      </c>
      <c r="M171" s="17" t="str">
        <f>VLOOKUP(Main_Presentation[[#This Row],[LC Number]],Main_Issuance[],11,0)</f>
        <v>SAR</v>
      </c>
      <c r="N171" s="84">
        <f>VLOOKUP(Main_Presentation[[#This Row],[LC Number]],Main_Issuance[],12,0)</f>
        <v>327750</v>
      </c>
      <c r="O171" s="16" t="s">
        <v>20</v>
      </c>
      <c r="P171" s="16" t="s">
        <v>857</v>
      </c>
      <c r="Q171" s="131">
        <v>327750</v>
      </c>
      <c r="R171" s="18">
        <v>1</v>
      </c>
      <c r="S171" s="18">
        <f>Main_Presentation[[#This Row],[Invoice Amt (FCY)]]*Main_Presentation[[#This Row],[Rate]]</f>
        <v>327750</v>
      </c>
      <c r="T171" s="15">
        <v>45622</v>
      </c>
      <c r="U171" s="26">
        <f>VLOOKUP(Main_Presentation[[#This Row],[LC Number]],Main_Issuance[],18,0)</f>
        <v>0</v>
      </c>
      <c r="V171" s="19" t="s">
        <v>22</v>
      </c>
      <c r="W171" s="18" t="s">
        <v>857</v>
      </c>
      <c r="X171" s="16"/>
      <c r="Y171" s="234" t="str">
        <f>TRIM(LEFT(Main_Presentation[[#This Row],[Payment Terms]],3))</f>
        <v>0</v>
      </c>
      <c r="Z171" s="16"/>
      <c r="AA171" s="316" cm="1">
        <f t="array" ref="AA171">Settlement(Main_Presentation[[#This Row],[Bank]],Main_Presentation[[#This Row],[ Invoice Amt (SAR)]],Main_Presentation[[#This Row],[Date Recd]],Main_Presentation[[#This Row],[Due Date]],Main_Presentation[[#This Row],[Days]])</f>
        <v>1437.5</v>
      </c>
      <c r="AB171" s="16"/>
    </row>
    <row r="172" spans="1:28" ht="15.75" hidden="1" x14ac:dyDescent="0.25">
      <c r="A172" s="34" t="s">
        <v>254</v>
      </c>
      <c r="B172" s="35">
        <v>45532</v>
      </c>
      <c r="C172" s="36">
        <v>10</v>
      </c>
      <c r="D172" s="55" t="str">
        <f>VLOOKUP(Main_Presentation[[#This Row],[LC Number]],Main_Issuance[],3,0)</f>
        <v>Mohammed Atef</v>
      </c>
      <c r="E172" s="33" t="s">
        <v>856</v>
      </c>
      <c r="F172" s="37" t="str">
        <f>VLOOKUP(Main_Presentation[[#This Row],[LC Number]],Main_Issuance[],5,0)</f>
        <v>Alinma</v>
      </c>
      <c r="G172" s="37" t="str">
        <f>VLOOKUP(Main_Presentation[[#This Row],[LC Number]],Main_Issuance[],6,0)</f>
        <v>KSP</v>
      </c>
      <c r="H172" s="37" t="str">
        <f>VLOOKUP(Main_Presentation[[#This Row],[LC Number]],Main_Issuance[],17,0)</f>
        <v>Credit</v>
      </c>
      <c r="I172" s="37" t="str">
        <f>VLOOKUP(Main_Presentation[[#This Row],[LC Number]],Main_Issuance[],7,0)</f>
        <v>BBH-CHEMTROL INTERNATIONAL ORGANIZATION S.L</v>
      </c>
      <c r="J172" s="37" t="str">
        <f>VLOOKUP(Main_Presentation[[#This Row],[LC Number]],Main_Issuance[],8,0)</f>
        <v>MBL/ICAD</v>
      </c>
      <c r="K172" s="37" t="str">
        <f>VLOOKUP(Main_Presentation[[#This Row],[LC Number]],Main_Issuance[],9,0)</f>
        <v>KSP</v>
      </c>
      <c r="L172" s="37">
        <f>VLOOKUP(Main_Presentation[[#This Row],[LC Number]],Main_Issuance[],10,0)</f>
        <v>1020055</v>
      </c>
      <c r="M172" s="37" t="str">
        <f>VLOOKUP(Main_Presentation[[#This Row],[LC Number]],Main_Issuance[],11,0)</f>
        <v>EUR</v>
      </c>
      <c r="N172" s="85">
        <f>VLOOKUP(Main_Presentation[[#This Row],[LC Number]],Main_Issuance[],12,0)</f>
        <v>8182985</v>
      </c>
      <c r="O172" s="33" t="s">
        <v>20</v>
      </c>
      <c r="P172" s="33" t="s">
        <v>857</v>
      </c>
      <c r="Q172" s="131">
        <v>198815.09</v>
      </c>
      <c r="R172" s="38">
        <v>4.2</v>
      </c>
      <c r="S172" s="38">
        <f>Main_Presentation[[#This Row],[Invoice Amt (FCY)]]*Main_Presentation[[#This Row],[Rate]]</f>
        <v>835023.37800000003</v>
      </c>
      <c r="T172" s="35">
        <v>45554</v>
      </c>
      <c r="U172" s="36" t="str">
        <f>VLOOKUP(Main_Presentation[[#This Row],[LC Number]],Main_Issuance[],18,0)</f>
        <v>30 Days from Shipment Date</v>
      </c>
      <c r="V172" s="39" t="s">
        <v>22</v>
      </c>
      <c r="W172" s="38" t="s">
        <v>857</v>
      </c>
      <c r="X172" s="33"/>
      <c r="Y172" s="234" t="str">
        <f>TRIM(LEFT(Main_Presentation[[#This Row],[Payment Terms]],3))</f>
        <v>30</v>
      </c>
      <c r="Z172" s="16"/>
      <c r="AA172" s="316" cm="1">
        <f t="array" ref="AA172">Settlement(Main_Presentation[[#This Row],[Bank]],Main_Presentation[[#This Row],[ Invoice Amt (SAR)]],Main_Presentation[[#This Row],[Date Recd]],Main_Presentation[[#This Row],[Due Date]],Main_Presentation[[#This Row],[Days]])</f>
        <v>1437.5</v>
      </c>
      <c r="AB172" s="16"/>
    </row>
    <row r="173" spans="1:28" ht="15.75" hidden="1" x14ac:dyDescent="0.25">
      <c r="A173" s="14" t="s">
        <v>100</v>
      </c>
      <c r="B173" s="15">
        <v>44963</v>
      </c>
      <c r="C173" s="26">
        <v>1</v>
      </c>
      <c r="D173" s="55" t="str">
        <f>VLOOKUP(Main_Presentation[[#This Row],[LC Number]],Main_Issuance[],3,0)</f>
        <v>Hassan Taleb</v>
      </c>
      <c r="E173" s="16" t="s">
        <v>856</v>
      </c>
      <c r="F173" s="17" t="str">
        <f>VLOOKUP(Main_Presentation[[#This Row],[LC Number]],Main_Issuance[],5,0)</f>
        <v>Alinma</v>
      </c>
      <c r="G173" s="17" t="str">
        <f>VLOOKUP(Main_Presentation[[#This Row],[LC Number]],Main_Issuance[],6,0)</f>
        <v>KSP</v>
      </c>
      <c r="H173" s="17" t="str">
        <f>VLOOKUP(Main_Presentation[[#This Row],[LC Number]],Main_Issuance[],17,0)</f>
        <v>Credit</v>
      </c>
      <c r="I173" s="17" t="str">
        <f>VLOOKUP(Main_Presentation[[#This Row],[LC Number]],Main_Issuance[],7,0)</f>
        <v>TATA INTERNATIONAL WEST ASIA</v>
      </c>
      <c r="J173" s="17" t="str">
        <f>VLOOKUP(Main_Presentation[[#This Row],[LC Number]],Main_Issuance[],8,0)</f>
        <v>MBL</v>
      </c>
      <c r="K173" s="17" t="str">
        <f>VLOOKUP(Main_Presentation[[#This Row],[LC Number]],Main_Issuance[],9,0)</f>
        <v>KSP</v>
      </c>
      <c r="L173" s="17">
        <f>VLOOKUP(Main_Presentation[[#This Row],[LC Number]],Main_Issuance[],10,0)</f>
        <v>1020055</v>
      </c>
      <c r="M173" s="17" t="str">
        <f>VLOOKUP(Main_Presentation[[#This Row],[LC Number]],Main_Issuance[],11,0)</f>
        <v>USD</v>
      </c>
      <c r="N173" s="84">
        <f>VLOOKUP(Main_Presentation[[#This Row],[LC Number]],Main_Issuance[],12,0)</f>
        <v>14820421.75</v>
      </c>
      <c r="O173" s="16" t="s">
        <v>20</v>
      </c>
      <c r="P173" s="16" t="s">
        <v>857</v>
      </c>
      <c r="Q173" s="131">
        <v>627369.94999999995</v>
      </c>
      <c r="R173" s="18">
        <v>3.7515000000000001</v>
      </c>
      <c r="S173" s="18">
        <f>Main_Presentation[[#This Row],[Invoice Amt (FCY)]]*Main_Presentation[[#This Row],[Rate]]</f>
        <v>2353578.3674249998</v>
      </c>
      <c r="T173" s="15">
        <v>45041</v>
      </c>
      <c r="U173" s="26">
        <f>VLOOKUP(Main_Presentation[[#This Row],[LC Number]],Main_Issuance[],18,0)</f>
        <v>0</v>
      </c>
      <c r="V173" s="19" t="s">
        <v>102</v>
      </c>
      <c r="W173" s="18" t="s">
        <v>857</v>
      </c>
      <c r="X173" s="16"/>
      <c r="Y173" s="234" t="str">
        <f>TRIM(LEFT(Main_Presentation[[#This Row],[Payment Terms]],3))</f>
        <v>0</v>
      </c>
      <c r="Z173" s="16"/>
      <c r="AA173" s="316" cm="1">
        <f t="array" ref="AA173">Settlement(Main_Presentation[[#This Row],[Bank]],Main_Presentation[[#This Row],[ Invoice Amt (SAR)]],Main_Presentation[[#This Row],[Date Recd]],Main_Presentation[[#This Row],[Due Date]],Main_Presentation[[#This Row],[Days]])</f>
        <v>3383.3</v>
      </c>
      <c r="AB173" s="16"/>
    </row>
    <row r="174" spans="1:28" ht="15.75" hidden="1" x14ac:dyDescent="0.25">
      <c r="A174" s="14" t="s">
        <v>100</v>
      </c>
      <c r="B174" s="15">
        <v>44963</v>
      </c>
      <c r="C174" s="26">
        <v>2</v>
      </c>
      <c r="D174" s="55" t="str">
        <f>VLOOKUP(Main_Presentation[[#This Row],[LC Number]],Main_Issuance[],3,0)</f>
        <v>Hassan Taleb</v>
      </c>
      <c r="E174" s="16" t="s">
        <v>856</v>
      </c>
      <c r="F174" s="17" t="str">
        <f>VLOOKUP(Main_Presentation[[#This Row],[LC Number]],Main_Issuance[],5,0)</f>
        <v>Alinma</v>
      </c>
      <c r="G174" s="17" t="str">
        <f>VLOOKUP(Main_Presentation[[#This Row],[LC Number]],Main_Issuance[],6,0)</f>
        <v>KSP</v>
      </c>
      <c r="H174" s="17" t="str">
        <f>VLOOKUP(Main_Presentation[[#This Row],[LC Number]],Main_Issuance[],17,0)</f>
        <v>Credit</v>
      </c>
      <c r="I174" s="17" t="str">
        <f>VLOOKUP(Main_Presentation[[#This Row],[LC Number]],Main_Issuance[],7,0)</f>
        <v>TATA INTERNATIONAL WEST ASIA</v>
      </c>
      <c r="J174" s="17" t="str">
        <f>VLOOKUP(Main_Presentation[[#This Row],[LC Number]],Main_Issuance[],8,0)</f>
        <v>MBL</v>
      </c>
      <c r="K174" s="17" t="str">
        <f>VLOOKUP(Main_Presentation[[#This Row],[LC Number]],Main_Issuance[],9,0)</f>
        <v>KSP</v>
      </c>
      <c r="L174" s="17">
        <f>VLOOKUP(Main_Presentation[[#This Row],[LC Number]],Main_Issuance[],10,0)</f>
        <v>1020055</v>
      </c>
      <c r="M174" s="17" t="str">
        <f>VLOOKUP(Main_Presentation[[#This Row],[LC Number]],Main_Issuance[],11,0)</f>
        <v>USD</v>
      </c>
      <c r="N174" s="84">
        <f>VLOOKUP(Main_Presentation[[#This Row],[LC Number]],Main_Issuance[],12,0)</f>
        <v>14820421.75</v>
      </c>
      <c r="O174" s="16" t="s">
        <v>20</v>
      </c>
      <c r="P174" s="16" t="s">
        <v>857</v>
      </c>
      <c r="Q174" s="131">
        <v>106466.5</v>
      </c>
      <c r="R174" s="18">
        <v>3.7515000000000001</v>
      </c>
      <c r="S174" s="18">
        <f>Main_Presentation[[#This Row],[Invoice Amt (FCY)]]*Main_Presentation[[#This Row],[Rate]]</f>
        <v>399409.07475000003</v>
      </c>
      <c r="T174" s="15">
        <v>45041</v>
      </c>
      <c r="U174" s="26">
        <f>VLOOKUP(Main_Presentation[[#This Row],[LC Number]],Main_Issuance[],18,0)</f>
        <v>0</v>
      </c>
      <c r="V174" s="19" t="s">
        <v>102</v>
      </c>
      <c r="W174" s="18" t="s">
        <v>857</v>
      </c>
      <c r="X174" s="16"/>
      <c r="Y174" s="234" t="str">
        <f>TRIM(LEFT(Main_Presentation[[#This Row],[Payment Terms]],3))</f>
        <v>0</v>
      </c>
      <c r="Z174" s="16"/>
      <c r="AA174" s="316" cm="1">
        <f t="array" ref="AA174">Settlement(Main_Presentation[[#This Row],[Bank]],Main_Presentation[[#This Row],[ Invoice Amt (SAR)]],Main_Presentation[[#This Row],[Date Recd]],Main_Presentation[[#This Row],[Due Date]],Main_Presentation[[#This Row],[Days]])</f>
        <v>1437.5</v>
      </c>
      <c r="AB174" s="16"/>
    </row>
    <row r="175" spans="1:28" ht="15.75" hidden="1" x14ac:dyDescent="0.25">
      <c r="A175" s="14" t="s">
        <v>100</v>
      </c>
      <c r="B175" s="15">
        <v>44972</v>
      </c>
      <c r="C175" s="26">
        <v>3</v>
      </c>
      <c r="D175" s="55" t="str">
        <f>VLOOKUP(Main_Presentation[[#This Row],[LC Number]],Main_Issuance[],3,0)</f>
        <v>Hassan Taleb</v>
      </c>
      <c r="E175" s="16" t="s">
        <v>856</v>
      </c>
      <c r="F175" s="17" t="str">
        <f>VLOOKUP(Main_Presentation[[#This Row],[LC Number]],Main_Issuance[],5,0)</f>
        <v>Alinma</v>
      </c>
      <c r="G175" s="17" t="str">
        <f>VLOOKUP(Main_Presentation[[#This Row],[LC Number]],Main_Issuance[],6,0)</f>
        <v>KSP</v>
      </c>
      <c r="H175" s="17" t="str">
        <f>VLOOKUP(Main_Presentation[[#This Row],[LC Number]],Main_Issuance[],17,0)</f>
        <v>Credit</v>
      </c>
      <c r="I175" s="17" t="str">
        <f>VLOOKUP(Main_Presentation[[#This Row],[LC Number]],Main_Issuance[],7,0)</f>
        <v>TATA INTERNATIONAL WEST ASIA</v>
      </c>
      <c r="J175" s="17" t="str">
        <f>VLOOKUP(Main_Presentation[[#This Row],[LC Number]],Main_Issuance[],8,0)</f>
        <v>MBL</v>
      </c>
      <c r="K175" s="17" t="str">
        <f>VLOOKUP(Main_Presentation[[#This Row],[LC Number]],Main_Issuance[],9,0)</f>
        <v>KSP</v>
      </c>
      <c r="L175" s="17">
        <f>VLOOKUP(Main_Presentation[[#This Row],[LC Number]],Main_Issuance[],10,0)</f>
        <v>1020055</v>
      </c>
      <c r="M175" s="17" t="str">
        <f>VLOOKUP(Main_Presentation[[#This Row],[LC Number]],Main_Issuance[],11,0)</f>
        <v>USD</v>
      </c>
      <c r="N175" s="84">
        <f>VLOOKUP(Main_Presentation[[#This Row],[LC Number]],Main_Issuance[],12,0)</f>
        <v>14820421.75</v>
      </c>
      <c r="O175" s="16" t="s">
        <v>20</v>
      </c>
      <c r="P175" s="16" t="s">
        <v>857</v>
      </c>
      <c r="Q175" s="131">
        <v>490942.9</v>
      </c>
      <c r="R175" s="18">
        <v>3.7515000000000001</v>
      </c>
      <c r="S175" s="18">
        <f>Main_Presentation[[#This Row],[Invoice Amt (FCY)]]*Main_Presentation[[#This Row],[Rate]]</f>
        <v>1841772.2893500002</v>
      </c>
      <c r="T175" s="15">
        <v>45041</v>
      </c>
      <c r="U175" s="26">
        <f>VLOOKUP(Main_Presentation[[#This Row],[LC Number]],Main_Issuance[],18,0)</f>
        <v>0</v>
      </c>
      <c r="V175" s="19" t="s">
        <v>102</v>
      </c>
      <c r="W175" s="18" t="s">
        <v>857</v>
      </c>
      <c r="X175" s="16"/>
      <c r="Y175" s="234" t="str">
        <f>TRIM(LEFT(Main_Presentation[[#This Row],[Payment Terms]],3))</f>
        <v>0</v>
      </c>
      <c r="Z175" s="16"/>
      <c r="AA175" s="316" cm="1">
        <f t="array" ref="AA175">Settlement(Main_Presentation[[#This Row],[Bank]],Main_Presentation[[#This Row],[ Invoice Amt (SAR)]],Main_Presentation[[#This Row],[Date Recd]],Main_Presentation[[#This Row],[Due Date]],Main_Presentation[[#This Row],[Days]])</f>
        <v>1765.25</v>
      </c>
      <c r="AB175" s="16"/>
    </row>
    <row r="176" spans="1:28" ht="15.75" hidden="1" x14ac:dyDescent="0.25">
      <c r="A176" s="14" t="s">
        <v>100</v>
      </c>
      <c r="B176" s="15">
        <v>44983</v>
      </c>
      <c r="C176" s="26">
        <v>4</v>
      </c>
      <c r="D176" s="55" t="str">
        <f>VLOOKUP(Main_Presentation[[#This Row],[LC Number]],Main_Issuance[],3,0)</f>
        <v>Hassan Taleb</v>
      </c>
      <c r="E176" s="16" t="s">
        <v>856</v>
      </c>
      <c r="F176" s="17" t="str">
        <f>VLOOKUP(Main_Presentation[[#This Row],[LC Number]],Main_Issuance[],5,0)</f>
        <v>Alinma</v>
      </c>
      <c r="G176" s="17" t="str">
        <f>VLOOKUP(Main_Presentation[[#This Row],[LC Number]],Main_Issuance[],6,0)</f>
        <v>KSP</v>
      </c>
      <c r="H176" s="17" t="str">
        <f>VLOOKUP(Main_Presentation[[#This Row],[LC Number]],Main_Issuance[],17,0)</f>
        <v>Credit</v>
      </c>
      <c r="I176" s="17" t="str">
        <f>VLOOKUP(Main_Presentation[[#This Row],[LC Number]],Main_Issuance[],7,0)</f>
        <v>TATA INTERNATIONAL WEST ASIA</v>
      </c>
      <c r="J176" s="17" t="str">
        <f>VLOOKUP(Main_Presentation[[#This Row],[LC Number]],Main_Issuance[],8,0)</f>
        <v>MBL</v>
      </c>
      <c r="K176" s="17" t="str">
        <f>VLOOKUP(Main_Presentation[[#This Row],[LC Number]],Main_Issuance[],9,0)</f>
        <v>KSP</v>
      </c>
      <c r="L176" s="17">
        <f>VLOOKUP(Main_Presentation[[#This Row],[LC Number]],Main_Issuance[],10,0)</f>
        <v>1020055</v>
      </c>
      <c r="M176" s="17" t="str">
        <f>VLOOKUP(Main_Presentation[[#This Row],[LC Number]],Main_Issuance[],11,0)</f>
        <v>USD</v>
      </c>
      <c r="N176" s="84">
        <f>VLOOKUP(Main_Presentation[[#This Row],[LC Number]],Main_Issuance[],12,0)</f>
        <v>14820421.75</v>
      </c>
      <c r="O176" s="16" t="s">
        <v>20</v>
      </c>
      <c r="P176" s="16" t="s">
        <v>857</v>
      </c>
      <c r="Q176" s="131">
        <v>447584.24</v>
      </c>
      <c r="R176" s="18">
        <v>3.7549999999999999</v>
      </c>
      <c r="S176" s="18">
        <f>Main_Presentation[[#This Row],[Invoice Amt (FCY)]]*Main_Presentation[[#This Row],[Rate]]</f>
        <v>1680678.8211999999</v>
      </c>
      <c r="T176" s="15">
        <v>45041</v>
      </c>
      <c r="U176" s="26">
        <f>VLOOKUP(Main_Presentation[[#This Row],[LC Number]],Main_Issuance[],18,0)</f>
        <v>0</v>
      </c>
      <c r="V176" s="19" t="s">
        <v>102</v>
      </c>
      <c r="W176" s="18" t="s">
        <v>857</v>
      </c>
      <c r="X176" s="16"/>
      <c r="Y176" s="234" t="str">
        <f>TRIM(LEFT(Main_Presentation[[#This Row],[Payment Terms]],3))</f>
        <v>0</v>
      </c>
      <c r="Z176" s="16"/>
      <c r="AA176" s="316" cm="1">
        <f t="array" ref="AA176">Settlement(Main_Presentation[[#This Row],[Bank]],Main_Presentation[[#This Row],[ Invoice Amt (SAR)]],Main_Presentation[[#This Row],[Date Recd]],Main_Presentation[[#This Row],[Due Date]],Main_Presentation[[#This Row],[Days]])</f>
        <v>1611.15</v>
      </c>
      <c r="AB176" s="16"/>
    </row>
    <row r="177" spans="1:28" ht="15.75" hidden="1" x14ac:dyDescent="0.25">
      <c r="A177" s="14" t="s">
        <v>100</v>
      </c>
      <c r="B177" s="15">
        <v>44983</v>
      </c>
      <c r="C177" s="26">
        <v>5</v>
      </c>
      <c r="D177" s="55" t="str">
        <f>VLOOKUP(Main_Presentation[[#This Row],[LC Number]],Main_Issuance[],3,0)</f>
        <v>Hassan Taleb</v>
      </c>
      <c r="E177" s="16" t="s">
        <v>856</v>
      </c>
      <c r="F177" s="17" t="str">
        <f>VLOOKUP(Main_Presentation[[#This Row],[LC Number]],Main_Issuance[],5,0)</f>
        <v>Alinma</v>
      </c>
      <c r="G177" s="17" t="str">
        <f>VLOOKUP(Main_Presentation[[#This Row],[LC Number]],Main_Issuance[],6,0)</f>
        <v>KSP</v>
      </c>
      <c r="H177" s="17" t="str">
        <f>VLOOKUP(Main_Presentation[[#This Row],[LC Number]],Main_Issuance[],17,0)</f>
        <v>Credit</v>
      </c>
      <c r="I177" s="17" t="str">
        <f>VLOOKUP(Main_Presentation[[#This Row],[LC Number]],Main_Issuance[],7,0)</f>
        <v>TATA INTERNATIONAL WEST ASIA</v>
      </c>
      <c r="J177" s="17" t="str">
        <f>VLOOKUP(Main_Presentation[[#This Row],[LC Number]],Main_Issuance[],8,0)</f>
        <v>MBL</v>
      </c>
      <c r="K177" s="17" t="str">
        <f>VLOOKUP(Main_Presentation[[#This Row],[LC Number]],Main_Issuance[],9,0)</f>
        <v>KSP</v>
      </c>
      <c r="L177" s="17">
        <f>VLOOKUP(Main_Presentation[[#This Row],[LC Number]],Main_Issuance[],10,0)</f>
        <v>1020055</v>
      </c>
      <c r="M177" s="17" t="str">
        <f>VLOOKUP(Main_Presentation[[#This Row],[LC Number]],Main_Issuance[],11,0)</f>
        <v>USD</v>
      </c>
      <c r="N177" s="84">
        <f>VLOOKUP(Main_Presentation[[#This Row],[LC Number]],Main_Issuance[],12,0)</f>
        <v>14820421.75</v>
      </c>
      <c r="O177" s="16" t="s">
        <v>20</v>
      </c>
      <c r="P177" s="16" t="s">
        <v>857</v>
      </c>
      <c r="Q177" s="131">
        <v>31070.13</v>
      </c>
      <c r="R177" s="18">
        <v>3.7549999999999999</v>
      </c>
      <c r="S177" s="18">
        <f>Main_Presentation[[#This Row],[Invoice Amt (FCY)]]*Main_Presentation[[#This Row],[Rate]]</f>
        <v>116668.33815</v>
      </c>
      <c r="T177" s="15">
        <v>45041</v>
      </c>
      <c r="U177" s="26">
        <f>VLOOKUP(Main_Presentation[[#This Row],[LC Number]],Main_Issuance[],18,0)</f>
        <v>0</v>
      </c>
      <c r="V177" s="19" t="s">
        <v>102</v>
      </c>
      <c r="W177" s="18" t="s">
        <v>857</v>
      </c>
      <c r="X177" s="16"/>
      <c r="Y177" s="234" t="str">
        <f>TRIM(LEFT(Main_Presentation[[#This Row],[Payment Terms]],3))</f>
        <v>0</v>
      </c>
      <c r="Z177" s="16"/>
      <c r="AA177" s="316" cm="1">
        <f t="array" ref="AA177">Settlement(Main_Presentation[[#This Row],[Bank]],Main_Presentation[[#This Row],[ Invoice Amt (SAR)]],Main_Presentation[[#This Row],[Date Recd]],Main_Presentation[[#This Row],[Due Date]],Main_Presentation[[#This Row],[Days]])</f>
        <v>1437.5</v>
      </c>
      <c r="AB177" s="16"/>
    </row>
    <row r="178" spans="1:28" ht="15.75" hidden="1" x14ac:dyDescent="0.25">
      <c r="A178" s="14" t="s">
        <v>100</v>
      </c>
      <c r="B178" s="15">
        <v>44990</v>
      </c>
      <c r="C178" s="26">
        <v>6</v>
      </c>
      <c r="D178" s="55" t="str">
        <f>VLOOKUP(Main_Presentation[[#This Row],[LC Number]],Main_Issuance[],3,0)</f>
        <v>Hassan Taleb</v>
      </c>
      <c r="E178" s="16" t="s">
        <v>856</v>
      </c>
      <c r="F178" s="17" t="str">
        <f>VLOOKUP(Main_Presentation[[#This Row],[LC Number]],Main_Issuance[],5,0)</f>
        <v>Alinma</v>
      </c>
      <c r="G178" s="17" t="str">
        <f>VLOOKUP(Main_Presentation[[#This Row],[LC Number]],Main_Issuance[],6,0)</f>
        <v>KSP</v>
      </c>
      <c r="H178" s="17" t="str">
        <f>VLOOKUP(Main_Presentation[[#This Row],[LC Number]],Main_Issuance[],17,0)</f>
        <v>Credit</v>
      </c>
      <c r="I178" s="17" t="str">
        <f>VLOOKUP(Main_Presentation[[#This Row],[LC Number]],Main_Issuance[],7,0)</f>
        <v>TATA INTERNATIONAL WEST ASIA</v>
      </c>
      <c r="J178" s="17" t="str">
        <f>VLOOKUP(Main_Presentation[[#This Row],[LC Number]],Main_Issuance[],8,0)</f>
        <v>MBL</v>
      </c>
      <c r="K178" s="17" t="str">
        <f>VLOOKUP(Main_Presentation[[#This Row],[LC Number]],Main_Issuance[],9,0)</f>
        <v>KSP</v>
      </c>
      <c r="L178" s="17">
        <f>VLOOKUP(Main_Presentation[[#This Row],[LC Number]],Main_Issuance[],10,0)</f>
        <v>1020055</v>
      </c>
      <c r="M178" s="17" t="str">
        <f>VLOOKUP(Main_Presentation[[#This Row],[LC Number]],Main_Issuance[],11,0)</f>
        <v>USD</v>
      </c>
      <c r="N178" s="84">
        <f>VLOOKUP(Main_Presentation[[#This Row],[LC Number]],Main_Issuance[],12,0)</f>
        <v>14820421.75</v>
      </c>
      <c r="O178" s="16" t="s">
        <v>20</v>
      </c>
      <c r="P178" s="16" t="s">
        <v>857</v>
      </c>
      <c r="Q178" s="131">
        <v>1872909.99</v>
      </c>
      <c r="R178" s="18">
        <v>3.7559999999999998</v>
      </c>
      <c r="S178" s="18">
        <f>Main_Presentation[[#This Row],[Invoice Amt (FCY)]]*Main_Presentation[[#This Row],[Rate]]</f>
        <v>7034649.9224399999</v>
      </c>
      <c r="T178" s="15">
        <v>45041</v>
      </c>
      <c r="U178" s="26">
        <f>VLOOKUP(Main_Presentation[[#This Row],[LC Number]],Main_Issuance[],18,0)</f>
        <v>0</v>
      </c>
      <c r="V178" s="19" t="s">
        <v>102</v>
      </c>
      <c r="W178" s="18" t="s">
        <v>857</v>
      </c>
      <c r="X178" s="16"/>
      <c r="Y178" s="234" t="str">
        <f>TRIM(LEFT(Main_Presentation[[#This Row],[Payment Terms]],3))</f>
        <v>0</v>
      </c>
      <c r="Z178" s="16"/>
      <c r="AA178" s="316" cm="1">
        <f t="array" ref="AA178">Settlement(Main_Presentation[[#This Row],[Bank]],Main_Presentation[[#This Row],[ Invoice Amt (SAR)]],Main_Presentation[[#This Row],[Date Recd]],Main_Presentation[[#This Row],[Due Date]],Main_Presentation[[#This Row],[Days]])</f>
        <v>6741.3</v>
      </c>
      <c r="AB178" s="16"/>
    </row>
    <row r="179" spans="1:28" ht="15.75" hidden="1" x14ac:dyDescent="0.25">
      <c r="A179" s="14" t="s">
        <v>100</v>
      </c>
      <c r="B179" s="15">
        <v>44990</v>
      </c>
      <c r="C179" s="26">
        <v>7</v>
      </c>
      <c r="D179" s="55" t="str">
        <f>VLOOKUP(Main_Presentation[[#This Row],[LC Number]],Main_Issuance[],3,0)</f>
        <v>Hassan Taleb</v>
      </c>
      <c r="E179" s="16" t="s">
        <v>856</v>
      </c>
      <c r="F179" s="17" t="str">
        <f>VLOOKUP(Main_Presentation[[#This Row],[LC Number]],Main_Issuance[],5,0)</f>
        <v>Alinma</v>
      </c>
      <c r="G179" s="17" t="str">
        <f>VLOOKUP(Main_Presentation[[#This Row],[LC Number]],Main_Issuance[],6,0)</f>
        <v>KSP</v>
      </c>
      <c r="H179" s="17" t="str">
        <f>VLOOKUP(Main_Presentation[[#This Row],[LC Number]],Main_Issuance[],17,0)</f>
        <v>Credit</v>
      </c>
      <c r="I179" s="17" t="str">
        <f>VLOOKUP(Main_Presentation[[#This Row],[LC Number]],Main_Issuance[],7,0)</f>
        <v>TATA INTERNATIONAL WEST ASIA</v>
      </c>
      <c r="J179" s="17" t="str">
        <f>VLOOKUP(Main_Presentation[[#This Row],[LC Number]],Main_Issuance[],8,0)</f>
        <v>MBL</v>
      </c>
      <c r="K179" s="17" t="str">
        <f>VLOOKUP(Main_Presentation[[#This Row],[LC Number]],Main_Issuance[],9,0)</f>
        <v>KSP</v>
      </c>
      <c r="L179" s="17">
        <f>VLOOKUP(Main_Presentation[[#This Row],[LC Number]],Main_Issuance[],10,0)</f>
        <v>1020055</v>
      </c>
      <c r="M179" s="17" t="str">
        <f>VLOOKUP(Main_Presentation[[#This Row],[LC Number]],Main_Issuance[],11,0)</f>
        <v>USD</v>
      </c>
      <c r="N179" s="84">
        <f>VLOOKUP(Main_Presentation[[#This Row],[LC Number]],Main_Issuance[],12,0)</f>
        <v>14820421.75</v>
      </c>
      <c r="O179" s="16" t="s">
        <v>20</v>
      </c>
      <c r="P179" s="16" t="s">
        <v>857</v>
      </c>
      <c r="Q179" s="131">
        <v>665944.51</v>
      </c>
      <c r="R179" s="18">
        <v>3.7559999999999998</v>
      </c>
      <c r="S179" s="18">
        <f>Main_Presentation[[#This Row],[Invoice Amt (FCY)]]*Main_Presentation[[#This Row],[Rate]]</f>
        <v>2501287.57956</v>
      </c>
      <c r="T179" s="15">
        <v>45041</v>
      </c>
      <c r="U179" s="26">
        <f>VLOOKUP(Main_Presentation[[#This Row],[LC Number]],Main_Issuance[],18,0)</f>
        <v>0</v>
      </c>
      <c r="V179" s="19" t="s">
        <v>102</v>
      </c>
      <c r="W179" s="18" t="s">
        <v>857</v>
      </c>
      <c r="X179" s="16"/>
      <c r="Y179" s="234" t="str">
        <f>TRIM(LEFT(Main_Presentation[[#This Row],[Payment Terms]],3))</f>
        <v>0</v>
      </c>
      <c r="Z179" s="16"/>
      <c r="AA179" s="316" cm="1">
        <f t="array" ref="AA179">Settlement(Main_Presentation[[#This Row],[Bank]],Main_Presentation[[#This Row],[ Invoice Amt (SAR)]],Main_Presentation[[#This Row],[Date Recd]],Main_Presentation[[#This Row],[Due Date]],Main_Presentation[[#This Row],[Days]])</f>
        <v>2396.6</v>
      </c>
      <c r="AB179" s="16"/>
    </row>
    <row r="180" spans="1:28" ht="15.75" hidden="1" x14ac:dyDescent="0.25">
      <c r="A180" s="14" t="s">
        <v>100</v>
      </c>
      <c r="B180" s="15">
        <v>44990</v>
      </c>
      <c r="C180" s="26">
        <v>8</v>
      </c>
      <c r="D180" s="55" t="str">
        <f>VLOOKUP(Main_Presentation[[#This Row],[LC Number]],Main_Issuance[],3,0)</f>
        <v>Hassan Taleb</v>
      </c>
      <c r="E180" s="16" t="s">
        <v>856</v>
      </c>
      <c r="F180" s="17" t="str">
        <f>VLOOKUP(Main_Presentation[[#This Row],[LC Number]],Main_Issuance[],5,0)</f>
        <v>Alinma</v>
      </c>
      <c r="G180" s="17" t="str">
        <f>VLOOKUP(Main_Presentation[[#This Row],[LC Number]],Main_Issuance[],6,0)</f>
        <v>KSP</v>
      </c>
      <c r="H180" s="17" t="str">
        <f>VLOOKUP(Main_Presentation[[#This Row],[LC Number]],Main_Issuance[],17,0)</f>
        <v>Credit</v>
      </c>
      <c r="I180" s="17" t="str">
        <f>VLOOKUP(Main_Presentation[[#This Row],[LC Number]],Main_Issuance[],7,0)</f>
        <v>TATA INTERNATIONAL WEST ASIA</v>
      </c>
      <c r="J180" s="17" t="str">
        <f>VLOOKUP(Main_Presentation[[#This Row],[LC Number]],Main_Issuance[],8,0)</f>
        <v>MBL</v>
      </c>
      <c r="K180" s="17" t="str">
        <f>VLOOKUP(Main_Presentation[[#This Row],[LC Number]],Main_Issuance[],9,0)</f>
        <v>KSP</v>
      </c>
      <c r="L180" s="17">
        <f>VLOOKUP(Main_Presentation[[#This Row],[LC Number]],Main_Issuance[],10,0)</f>
        <v>1020055</v>
      </c>
      <c r="M180" s="17" t="str">
        <f>VLOOKUP(Main_Presentation[[#This Row],[LC Number]],Main_Issuance[],11,0)</f>
        <v>USD</v>
      </c>
      <c r="N180" s="84">
        <f>VLOOKUP(Main_Presentation[[#This Row],[LC Number]],Main_Issuance[],12,0)</f>
        <v>14820421.75</v>
      </c>
      <c r="O180" s="16" t="s">
        <v>20</v>
      </c>
      <c r="P180" s="16" t="s">
        <v>857</v>
      </c>
      <c r="Q180" s="131">
        <v>432854.49</v>
      </c>
      <c r="R180" s="18">
        <v>3.7559999999999998</v>
      </c>
      <c r="S180" s="18">
        <f>Main_Presentation[[#This Row],[Invoice Amt (FCY)]]*Main_Presentation[[#This Row],[Rate]]</f>
        <v>1625801.4644399998</v>
      </c>
      <c r="T180" s="15">
        <v>45041</v>
      </c>
      <c r="U180" s="26">
        <f>VLOOKUP(Main_Presentation[[#This Row],[LC Number]],Main_Issuance[],18,0)</f>
        <v>0</v>
      </c>
      <c r="V180" s="19" t="s">
        <v>102</v>
      </c>
      <c r="W180" s="18" t="s">
        <v>857</v>
      </c>
      <c r="X180" s="16"/>
      <c r="Y180" s="234" t="str">
        <f>TRIM(LEFT(Main_Presentation[[#This Row],[Payment Terms]],3))</f>
        <v>0</v>
      </c>
      <c r="Z180" s="16"/>
      <c r="AA180" s="316" cm="1">
        <f t="array" ref="AA180">Settlement(Main_Presentation[[#This Row],[Bank]],Main_Presentation[[#This Row],[ Invoice Amt (SAR)]],Main_Presentation[[#This Row],[Date Recd]],Main_Presentation[[#This Row],[Due Date]],Main_Presentation[[#This Row],[Days]])</f>
        <v>1558.25</v>
      </c>
      <c r="AB180" s="16"/>
    </row>
    <row r="181" spans="1:28" ht="15.75" hidden="1" x14ac:dyDescent="0.25">
      <c r="A181" s="14" t="s">
        <v>100</v>
      </c>
      <c r="B181" s="15">
        <v>44990</v>
      </c>
      <c r="C181" s="26">
        <v>9</v>
      </c>
      <c r="D181" s="55" t="str">
        <f>VLOOKUP(Main_Presentation[[#This Row],[LC Number]],Main_Issuance[],3,0)</f>
        <v>Hassan Taleb</v>
      </c>
      <c r="E181" s="16" t="s">
        <v>856</v>
      </c>
      <c r="F181" s="17" t="str">
        <f>VLOOKUP(Main_Presentation[[#This Row],[LC Number]],Main_Issuance[],5,0)</f>
        <v>Alinma</v>
      </c>
      <c r="G181" s="17" t="str">
        <f>VLOOKUP(Main_Presentation[[#This Row],[LC Number]],Main_Issuance[],6,0)</f>
        <v>KSP</v>
      </c>
      <c r="H181" s="17" t="str">
        <f>VLOOKUP(Main_Presentation[[#This Row],[LC Number]],Main_Issuance[],17,0)</f>
        <v>Credit</v>
      </c>
      <c r="I181" s="17" t="str">
        <f>VLOOKUP(Main_Presentation[[#This Row],[LC Number]],Main_Issuance[],7,0)</f>
        <v>TATA INTERNATIONAL WEST ASIA</v>
      </c>
      <c r="J181" s="17" t="str">
        <f>VLOOKUP(Main_Presentation[[#This Row],[LC Number]],Main_Issuance[],8,0)</f>
        <v>MBL</v>
      </c>
      <c r="K181" s="17" t="str">
        <f>VLOOKUP(Main_Presentation[[#This Row],[LC Number]],Main_Issuance[],9,0)</f>
        <v>KSP</v>
      </c>
      <c r="L181" s="17">
        <f>VLOOKUP(Main_Presentation[[#This Row],[LC Number]],Main_Issuance[],10,0)</f>
        <v>1020055</v>
      </c>
      <c r="M181" s="17" t="str">
        <f>VLOOKUP(Main_Presentation[[#This Row],[LC Number]],Main_Issuance[],11,0)</f>
        <v>USD</v>
      </c>
      <c r="N181" s="84">
        <f>VLOOKUP(Main_Presentation[[#This Row],[LC Number]],Main_Issuance[],12,0)</f>
        <v>14820421.75</v>
      </c>
      <c r="O181" s="16" t="s">
        <v>20</v>
      </c>
      <c r="P181" s="16" t="s">
        <v>857</v>
      </c>
      <c r="Q181" s="131">
        <v>220915.66</v>
      </c>
      <c r="R181" s="18">
        <v>3.7559999999999998</v>
      </c>
      <c r="S181" s="18">
        <f>Main_Presentation[[#This Row],[Invoice Amt (FCY)]]*Main_Presentation[[#This Row],[Rate]]</f>
        <v>829759.21895999997</v>
      </c>
      <c r="T181" s="15">
        <v>45041</v>
      </c>
      <c r="U181" s="26">
        <f>VLOOKUP(Main_Presentation[[#This Row],[LC Number]],Main_Issuance[],18,0)</f>
        <v>0</v>
      </c>
      <c r="V181" s="19" t="s">
        <v>102</v>
      </c>
      <c r="W181" s="18" t="s">
        <v>857</v>
      </c>
      <c r="X181" s="16"/>
      <c r="Y181" s="234" t="str">
        <f>TRIM(LEFT(Main_Presentation[[#This Row],[Payment Terms]],3))</f>
        <v>0</v>
      </c>
      <c r="Z181" s="16"/>
      <c r="AA181" s="316" cm="1">
        <f t="array" ref="AA181">Settlement(Main_Presentation[[#This Row],[Bank]],Main_Presentation[[#This Row],[ Invoice Amt (SAR)]],Main_Presentation[[#This Row],[Date Recd]],Main_Presentation[[#This Row],[Due Date]],Main_Presentation[[#This Row],[Days]])</f>
        <v>1437.5</v>
      </c>
      <c r="AB181" s="16"/>
    </row>
    <row r="182" spans="1:28" ht="15.75" hidden="1" x14ac:dyDescent="0.25">
      <c r="A182" s="14" t="s">
        <v>100</v>
      </c>
      <c r="B182" s="15">
        <v>44990</v>
      </c>
      <c r="C182" s="26">
        <v>10</v>
      </c>
      <c r="D182" s="55" t="str">
        <f>VLOOKUP(Main_Presentation[[#This Row],[LC Number]],Main_Issuance[],3,0)</f>
        <v>Hassan Taleb</v>
      </c>
      <c r="E182" s="16" t="s">
        <v>856</v>
      </c>
      <c r="F182" s="17" t="str">
        <f>VLOOKUP(Main_Presentation[[#This Row],[LC Number]],Main_Issuance[],5,0)</f>
        <v>Alinma</v>
      </c>
      <c r="G182" s="17" t="str">
        <f>VLOOKUP(Main_Presentation[[#This Row],[LC Number]],Main_Issuance[],6,0)</f>
        <v>KSP</v>
      </c>
      <c r="H182" s="17" t="str">
        <f>VLOOKUP(Main_Presentation[[#This Row],[LC Number]],Main_Issuance[],17,0)</f>
        <v>Credit</v>
      </c>
      <c r="I182" s="17" t="str">
        <f>VLOOKUP(Main_Presentation[[#This Row],[LC Number]],Main_Issuance[],7,0)</f>
        <v>TATA INTERNATIONAL WEST ASIA</v>
      </c>
      <c r="J182" s="17" t="str">
        <f>VLOOKUP(Main_Presentation[[#This Row],[LC Number]],Main_Issuance[],8,0)</f>
        <v>MBL</v>
      </c>
      <c r="K182" s="17" t="str">
        <f>VLOOKUP(Main_Presentation[[#This Row],[LC Number]],Main_Issuance[],9,0)</f>
        <v>KSP</v>
      </c>
      <c r="L182" s="17">
        <f>VLOOKUP(Main_Presentation[[#This Row],[LC Number]],Main_Issuance[],10,0)</f>
        <v>1020055</v>
      </c>
      <c r="M182" s="17" t="str">
        <f>VLOOKUP(Main_Presentation[[#This Row],[LC Number]],Main_Issuance[],11,0)</f>
        <v>USD</v>
      </c>
      <c r="N182" s="84">
        <f>VLOOKUP(Main_Presentation[[#This Row],[LC Number]],Main_Issuance[],12,0)</f>
        <v>14820421.75</v>
      </c>
      <c r="O182" s="16" t="s">
        <v>20</v>
      </c>
      <c r="P182" s="16" t="s">
        <v>857</v>
      </c>
      <c r="Q182" s="131">
        <v>20246.59</v>
      </c>
      <c r="R182" s="18">
        <v>3.7559999999999998</v>
      </c>
      <c r="S182" s="18">
        <f>Main_Presentation[[#This Row],[Invoice Amt (FCY)]]*Main_Presentation[[#This Row],[Rate]]</f>
        <v>76046.192039999994</v>
      </c>
      <c r="T182" s="15">
        <v>45041</v>
      </c>
      <c r="U182" s="26">
        <f>VLOOKUP(Main_Presentation[[#This Row],[LC Number]],Main_Issuance[],18,0)</f>
        <v>0</v>
      </c>
      <c r="V182" s="19" t="s">
        <v>102</v>
      </c>
      <c r="W182" s="18" t="s">
        <v>857</v>
      </c>
      <c r="X182" s="16"/>
      <c r="Y182" s="234" t="str">
        <f>TRIM(LEFT(Main_Presentation[[#This Row],[Payment Terms]],3))</f>
        <v>0</v>
      </c>
      <c r="Z182" s="16"/>
      <c r="AA182" s="316" cm="1">
        <f t="array" ref="AA182">Settlement(Main_Presentation[[#This Row],[Bank]],Main_Presentation[[#This Row],[ Invoice Amt (SAR)]],Main_Presentation[[#This Row],[Date Recd]],Main_Presentation[[#This Row],[Due Date]],Main_Presentation[[#This Row],[Days]])</f>
        <v>1437.5</v>
      </c>
      <c r="AB182" s="16"/>
    </row>
    <row r="183" spans="1:28" ht="15.75" hidden="1" x14ac:dyDescent="0.25">
      <c r="A183" s="14" t="s">
        <v>100</v>
      </c>
      <c r="B183" s="15">
        <v>45006</v>
      </c>
      <c r="C183" s="26">
        <v>11</v>
      </c>
      <c r="D183" s="55" t="str">
        <f>VLOOKUP(Main_Presentation[[#This Row],[LC Number]],Main_Issuance[],3,0)</f>
        <v>Hassan Taleb</v>
      </c>
      <c r="E183" s="16" t="s">
        <v>856</v>
      </c>
      <c r="F183" s="17" t="str">
        <f>VLOOKUP(Main_Presentation[[#This Row],[LC Number]],Main_Issuance[],5,0)</f>
        <v>Alinma</v>
      </c>
      <c r="G183" s="17" t="str">
        <f>VLOOKUP(Main_Presentation[[#This Row],[LC Number]],Main_Issuance[],6,0)</f>
        <v>KSP</v>
      </c>
      <c r="H183" s="17" t="str">
        <f>VLOOKUP(Main_Presentation[[#This Row],[LC Number]],Main_Issuance[],17,0)</f>
        <v>Credit</v>
      </c>
      <c r="I183" s="17" t="str">
        <f>VLOOKUP(Main_Presentation[[#This Row],[LC Number]],Main_Issuance[],7,0)</f>
        <v>TATA INTERNATIONAL WEST ASIA</v>
      </c>
      <c r="J183" s="17" t="str">
        <f>VLOOKUP(Main_Presentation[[#This Row],[LC Number]],Main_Issuance[],8,0)</f>
        <v>MBL</v>
      </c>
      <c r="K183" s="17" t="str">
        <f>VLOOKUP(Main_Presentation[[#This Row],[LC Number]],Main_Issuance[],9,0)</f>
        <v>KSP</v>
      </c>
      <c r="L183" s="17">
        <f>VLOOKUP(Main_Presentation[[#This Row],[LC Number]],Main_Issuance[],10,0)</f>
        <v>1020055</v>
      </c>
      <c r="M183" s="17" t="str">
        <f>VLOOKUP(Main_Presentation[[#This Row],[LC Number]],Main_Issuance[],11,0)</f>
        <v>USD</v>
      </c>
      <c r="N183" s="84">
        <f>VLOOKUP(Main_Presentation[[#This Row],[LC Number]],Main_Issuance[],12,0)</f>
        <v>14820421.75</v>
      </c>
      <c r="O183" s="16" t="s">
        <v>20</v>
      </c>
      <c r="P183" s="16" t="s">
        <v>857</v>
      </c>
      <c r="Q183" s="131">
        <v>2482801.86</v>
      </c>
      <c r="R183" s="18">
        <v>3.7572000000000001</v>
      </c>
      <c r="S183" s="18">
        <f>Main_Presentation[[#This Row],[Invoice Amt (FCY)]]*Main_Presentation[[#This Row],[Rate]]</f>
        <v>9328383.1483919993</v>
      </c>
      <c r="T183" s="15">
        <v>45041</v>
      </c>
      <c r="U183" s="26">
        <f>VLOOKUP(Main_Presentation[[#This Row],[LC Number]],Main_Issuance[],18,0)</f>
        <v>0</v>
      </c>
      <c r="V183" s="19" t="s">
        <v>102</v>
      </c>
      <c r="W183" s="18" t="s">
        <v>857</v>
      </c>
      <c r="X183" s="16"/>
      <c r="Y183" s="234" t="str">
        <f>TRIM(LEFT(Main_Presentation[[#This Row],[Payment Terms]],3))</f>
        <v>0</v>
      </c>
      <c r="Z183" s="16"/>
      <c r="AA183" s="316" cm="1">
        <f t="array" ref="AA183">Settlement(Main_Presentation[[#This Row],[Bank]],Main_Presentation[[#This Row],[ Invoice Amt (SAR)]],Main_Presentation[[#This Row],[Date Recd]],Main_Presentation[[#This Row],[Due Date]],Main_Presentation[[#This Row],[Days]])</f>
        <v>4470.05</v>
      </c>
      <c r="AB183" s="16"/>
    </row>
    <row r="184" spans="1:28" ht="15.75" hidden="1" x14ac:dyDescent="0.25">
      <c r="A184" s="14" t="s">
        <v>100</v>
      </c>
      <c r="B184" s="15">
        <v>45006</v>
      </c>
      <c r="C184" s="26">
        <v>12</v>
      </c>
      <c r="D184" s="55" t="str">
        <f>VLOOKUP(Main_Presentation[[#This Row],[LC Number]],Main_Issuance[],3,0)</f>
        <v>Hassan Taleb</v>
      </c>
      <c r="E184" s="16" t="s">
        <v>856</v>
      </c>
      <c r="F184" s="17" t="str">
        <f>VLOOKUP(Main_Presentation[[#This Row],[LC Number]],Main_Issuance[],5,0)</f>
        <v>Alinma</v>
      </c>
      <c r="G184" s="17" t="str">
        <f>VLOOKUP(Main_Presentation[[#This Row],[LC Number]],Main_Issuance[],6,0)</f>
        <v>KSP</v>
      </c>
      <c r="H184" s="17" t="str">
        <f>VLOOKUP(Main_Presentation[[#This Row],[LC Number]],Main_Issuance[],17,0)</f>
        <v>Credit</v>
      </c>
      <c r="I184" s="17" t="str">
        <f>VLOOKUP(Main_Presentation[[#This Row],[LC Number]],Main_Issuance[],7,0)</f>
        <v>TATA INTERNATIONAL WEST ASIA</v>
      </c>
      <c r="J184" s="17" t="str">
        <f>VLOOKUP(Main_Presentation[[#This Row],[LC Number]],Main_Issuance[],8,0)</f>
        <v>MBL</v>
      </c>
      <c r="K184" s="17" t="str">
        <f>VLOOKUP(Main_Presentation[[#This Row],[LC Number]],Main_Issuance[],9,0)</f>
        <v>KSP</v>
      </c>
      <c r="L184" s="17">
        <f>VLOOKUP(Main_Presentation[[#This Row],[LC Number]],Main_Issuance[],10,0)</f>
        <v>1020055</v>
      </c>
      <c r="M184" s="17" t="str">
        <f>VLOOKUP(Main_Presentation[[#This Row],[LC Number]],Main_Issuance[],11,0)</f>
        <v>USD</v>
      </c>
      <c r="N184" s="84">
        <f>VLOOKUP(Main_Presentation[[#This Row],[LC Number]],Main_Issuance[],12,0)</f>
        <v>14820421.75</v>
      </c>
      <c r="O184" s="16" t="s">
        <v>20</v>
      </c>
      <c r="P184" s="16" t="s">
        <v>857</v>
      </c>
      <c r="Q184" s="131">
        <v>408209.34</v>
      </c>
      <c r="R184" s="18">
        <v>3.7572000000000001</v>
      </c>
      <c r="S184" s="18">
        <f>Main_Presentation[[#This Row],[Invoice Amt (FCY)]]*Main_Presentation[[#This Row],[Rate]]</f>
        <v>1533724.1322480002</v>
      </c>
      <c r="T184" s="15">
        <v>45041</v>
      </c>
      <c r="U184" s="26">
        <f>VLOOKUP(Main_Presentation[[#This Row],[LC Number]],Main_Issuance[],18,0)</f>
        <v>0</v>
      </c>
      <c r="V184" s="19" t="s">
        <v>102</v>
      </c>
      <c r="W184" s="18" t="s">
        <v>857</v>
      </c>
      <c r="X184" s="16"/>
      <c r="Y184" s="234" t="str">
        <f>TRIM(LEFT(Main_Presentation[[#This Row],[Payment Terms]],3))</f>
        <v>0</v>
      </c>
      <c r="Z184" s="16"/>
      <c r="AA184" s="316" cm="1">
        <f t="array" ref="AA184">Settlement(Main_Presentation[[#This Row],[Bank]],Main_Presentation[[#This Row],[ Invoice Amt (SAR)]],Main_Presentation[[#This Row],[Date Recd]],Main_Presentation[[#This Row],[Due Date]],Main_Presentation[[#This Row],[Days]])</f>
        <v>1437.5</v>
      </c>
      <c r="AB184" s="16"/>
    </row>
    <row r="185" spans="1:28" ht="15.75" hidden="1" x14ac:dyDescent="0.25">
      <c r="A185" s="14" t="s">
        <v>100</v>
      </c>
      <c r="B185" s="15">
        <v>45015</v>
      </c>
      <c r="C185" s="26">
        <v>13</v>
      </c>
      <c r="D185" s="55" t="str">
        <f>VLOOKUP(Main_Presentation[[#This Row],[LC Number]],Main_Issuance[],3,0)</f>
        <v>Hassan Taleb</v>
      </c>
      <c r="E185" s="16" t="s">
        <v>856</v>
      </c>
      <c r="F185" s="17" t="str">
        <f>VLOOKUP(Main_Presentation[[#This Row],[LC Number]],Main_Issuance[],5,0)</f>
        <v>Alinma</v>
      </c>
      <c r="G185" s="17" t="str">
        <f>VLOOKUP(Main_Presentation[[#This Row],[LC Number]],Main_Issuance[],6,0)</f>
        <v>KSP</v>
      </c>
      <c r="H185" s="17" t="str">
        <f>VLOOKUP(Main_Presentation[[#This Row],[LC Number]],Main_Issuance[],17,0)</f>
        <v>Credit</v>
      </c>
      <c r="I185" s="17" t="str">
        <f>VLOOKUP(Main_Presentation[[#This Row],[LC Number]],Main_Issuance[],7,0)</f>
        <v>TATA INTERNATIONAL WEST ASIA</v>
      </c>
      <c r="J185" s="17" t="str">
        <f>VLOOKUP(Main_Presentation[[#This Row],[LC Number]],Main_Issuance[],8,0)</f>
        <v>MBL</v>
      </c>
      <c r="K185" s="17" t="str">
        <f>VLOOKUP(Main_Presentation[[#This Row],[LC Number]],Main_Issuance[],9,0)</f>
        <v>KSP</v>
      </c>
      <c r="L185" s="17">
        <f>VLOOKUP(Main_Presentation[[#This Row],[LC Number]],Main_Issuance[],10,0)</f>
        <v>1020055</v>
      </c>
      <c r="M185" s="17" t="str">
        <f>VLOOKUP(Main_Presentation[[#This Row],[LC Number]],Main_Issuance[],11,0)</f>
        <v>USD</v>
      </c>
      <c r="N185" s="84">
        <f>VLOOKUP(Main_Presentation[[#This Row],[LC Number]],Main_Issuance[],12,0)</f>
        <v>14820421.75</v>
      </c>
      <c r="O185" s="16" t="s">
        <v>20</v>
      </c>
      <c r="P185" s="16" t="s">
        <v>857</v>
      </c>
      <c r="Q185" s="131">
        <v>426675.6</v>
      </c>
      <c r="R185" s="18">
        <v>3.7559999999999998</v>
      </c>
      <c r="S185" s="18">
        <f>Main_Presentation[[#This Row],[Invoice Amt (FCY)]]*Main_Presentation[[#This Row],[Rate]]</f>
        <v>1602593.5535999998</v>
      </c>
      <c r="T185" s="15">
        <v>45041</v>
      </c>
      <c r="U185" s="26">
        <f>VLOOKUP(Main_Presentation[[#This Row],[LC Number]],Main_Issuance[],18,0)</f>
        <v>0</v>
      </c>
      <c r="V185" s="19" t="s">
        <v>102</v>
      </c>
      <c r="W185" s="18" t="s">
        <v>857</v>
      </c>
      <c r="X185" s="16"/>
      <c r="Y185" s="234" t="str">
        <f>TRIM(LEFT(Main_Presentation[[#This Row],[Payment Terms]],3))</f>
        <v>0</v>
      </c>
      <c r="Z185" s="16"/>
      <c r="AA185" s="316" cm="1">
        <f t="array" ref="AA185">Settlement(Main_Presentation[[#This Row],[Bank]],Main_Presentation[[#This Row],[ Invoice Amt (SAR)]],Main_Presentation[[#This Row],[Date Recd]],Main_Presentation[[#This Row],[Due Date]],Main_Presentation[[#This Row],[Days]])</f>
        <v>1437.5</v>
      </c>
      <c r="AB185" s="16"/>
    </row>
    <row r="186" spans="1:28" ht="15.75" hidden="1" x14ac:dyDescent="0.25">
      <c r="A186" s="14" t="s">
        <v>100</v>
      </c>
      <c r="B186" s="15">
        <v>45015</v>
      </c>
      <c r="C186" s="26">
        <v>14</v>
      </c>
      <c r="D186" s="55" t="str">
        <f>VLOOKUP(Main_Presentation[[#This Row],[LC Number]],Main_Issuance[],3,0)</f>
        <v>Hassan Taleb</v>
      </c>
      <c r="E186" s="16" t="s">
        <v>856</v>
      </c>
      <c r="F186" s="17" t="str">
        <f>VLOOKUP(Main_Presentation[[#This Row],[LC Number]],Main_Issuance[],5,0)</f>
        <v>Alinma</v>
      </c>
      <c r="G186" s="17" t="str">
        <f>VLOOKUP(Main_Presentation[[#This Row],[LC Number]],Main_Issuance[],6,0)</f>
        <v>KSP</v>
      </c>
      <c r="H186" s="17" t="str">
        <f>VLOOKUP(Main_Presentation[[#This Row],[LC Number]],Main_Issuance[],17,0)</f>
        <v>Credit</v>
      </c>
      <c r="I186" s="17" t="str">
        <f>VLOOKUP(Main_Presentation[[#This Row],[LC Number]],Main_Issuance[],7,0)</f>
        <v>TATA INTERNATIONAL WEST ASIA</v>
      </c>
      <c r="J186" s="17" t="str">
        <f>VLOOKUP(Main_Presentation[[#This Row],[LC Number]],Main_Issuance[],8,0)</f>
        <v>MBL</v>
      </c>
      <c r="K186" s="17" t="str">
        <f>VLOOKUP(Main_Presentation[[#This Row],[LC Number]],Main_Issuance[],9,0)</f>
        <v>KSP</v>
      </c>
      <c r="L186" s="17">
        <f>VLOOKUP(Main_Presentation[[#This Row],[LC Number]],Main_Issuance[],10,0)</f>
        <v>1020055</v>
      </c>
      <c r="M186" s="17" t="str">
        <f>VLOOKUP(Main_Presentation[[#This Row],[LC Number]],Main_Issuance[],11,0)</f>
        <v>USD</v>
      </c>
      <c r="N186" s="84">
        <f>VLOOKUP(Main_Presentation[[#This Row],[LC Number]],Main_Issuance[],12,0)</f>
        <v>14820421.75</v>
      </c>
      <c r="O186" s="16" t="s">
        <v>20</v>
      </c>
      <c r="P186" s="16" t="s">
        <v>857</v>
      </c>
      <c r="Q186" s="131">
        <v>1055823.6000000001</v>
      </c>
      <c r="R186" s="18">
        <v>3.7559999999999998</v>
      </c>
      <c r="S186" s="18">
        <f>Main_Presentation[[#This Row],[Invoice Amt (FCY)]]*Main_Presentation[[#This Row],[Rate]]</f>
        <v>3965673.4416</v>
      </c>
      <c r="T186" s="15">
        <v>45041</v>
      </c>
      <c r="U186" s="26">
        <f>VLOOKUP(Main_Presentation[[#This Row],[LC Number]],Main_Issuance[],18,0)</f>
        <v>0</v>
      </c>
      <c r="V186" s="19" t="s">
        <v>102</v>
      </c>
      <c r="W186" s="18" t="s">
        <v>857</v>
      </c>
      <c r="X186" s="16"/>
      <c r="Y186" s="234" t="str">
        <f>TRIM(LEFT(Main_Presentation[[#This Row],[Payment Terms]],3))</f>
        <v>0</v>
      </c>
      <c r="Z186" s="16"/>
      <c r="AA186" s="316" cm="1">
        <f t="array" ref="AA186">Settlement(Main_Presentation[[#This Row],[Bank]],Main_Presentation[[#This Row],[ Invoice Amt (SAR)]],Main_Presentation[[#This Row],[Date Recd]],Main_Presentation[[#This Row],[Due Date]],Main_Presentation[[#This Row],[Days]])</f>
        <v>1899.8</v>
      </c>
      <c r="AB186" s="16"/>
    </row>
    <row r="187" spans="1:28" ht="15.75" hidden="1" x14ac:dyDescent="0.25">
      <c r="A187" s="14" t="s">
        <v>100</v>
      </c>
      <c r="B187" s="15">
        <v>45020</v>
      </c>
      <c r="C187" s="26">
        <v>15</v>
      </c>
      <c r="D187" s="55" t="str">
        <f>VLOOKUP(Main_Presentation[[#This Row],[LC Number]],Main_Issuance[],3,0)</f>
        <v>Hassan Taleb</v>
      </c>
      <c r="E187" s="16" t="s">
        <v>856</v>
      </c>
      <c r="F187" s="17" t="str">
        <f>VLOOKUP(Main_Presentation[[#This Row],[LC Number]],Main_Issuance[],5,0)</f>
        <v>Alinma</v>
      </c>
      <c r="G187" s="17" t="str">
        <f>VLOOKUP(Main_Presentation[[#This Row],[LC Number]],Main_Issuance[],6,0)</f>
        <v>KSP</v>
      </c>
      <c r="H187" s="17" t="str">
        <f>VLOOKUP(Main_Presentation[[#This Row],[LC Number]],Main_Issuance[],17,0)</f>
        <v>Credit</v>
      </c>
      <c r="I187" s="17" t="str">
        <f>VLOOKUP(Main_Presentation[[#This Row],[LC Number]],Main_Issuance[],7,0)</f>
        <v>TATA INTERNATIONAL WEST ASIA</v>
      </c>
      <c r="J187" s="17" t="str">
        <f>VLOOKUP(Main_Presentation[[#This Row],[LC Number]],Main_Issuance[],8,0)</f>
        <v>MBL</v>
      </c>
      <c r="K187" s="17" t="str">
        <f>VLOOKUP(Main_Presentation[[#This Row],[LC Number]],Main_Issuance[],9,0)</f>
        <v>KSP</v>
      </c>
      <c r="L187" s="17">
        <f>VLOOKUP(Main_Presentation[[#This Row],[LC Number]],Main_Issuance[],10,0)</f>
        <v>1020055</v>
      </c>
      <c r="M187" s="17" t="str">
        <f>VLOOKUP(Main_Presentation[[#This Row],[LC Number]],Main_Issuance[],11,0)</f>
        <v>USD</v>
      </c>
      <c r="N187" s="84">
        <f>VLOOKUP(Main_Presentation[[#This Row],[LC Number]],Main_Issuance[],12,0)</f>
        <v>14820421.75</v>
      </c>
      <c r="O187" s="16" t="s">
        <v>20</v>
      </c>
      <c r="P187" s="16" t="s">
        <v>857</v>
      </c>
      <c r="Q187" s="131">
        <v>7517.16</v>
      </c>
      <c r="R187" s="18">
        <v>3.7549999999999999</v>
      </c>
      <c r="S187" s="18">
        <f>Main_Presentation[[#This Row],[Invoice Amt (FCY)]]*Main_Presentation[[#This Row],[Rate]]</f>
        <v>28226.935799999999</v>
      </c>
      <c r="T187" s="15">
        <v>45041</v>
      </c>
      <c r="U187" s="26">
        <f>VLOOKUP(Main_Presentation[[#This Row],[LC Number]],Main_Issuance[],18,0)</f>
        <v>0</v>
      </c>
      <c r="V187" s="19" t="s">
        <v>102</v>
      </c>
      <c r="W187" s="18" t="s">
        <v>857</v>
      </c>
      <c r="X187" s="16"/>
      <c r="Y187" s="234" t="str">
        <f>TRIM(LEFT(Main_Presentation[[#This Row],[Payment Terms]],3))</f>
        <v>0</v>
      </c>
      <c r="Z187" s="16"/>
      <c r="AA187" s="316" cm="1">
        <f t="array" ref="AA187">Settlement(Main_Presentation[[#This Row],[Bank]],Main_Presentation[[#This Row],[ Invoice Amt (SAR)]],Main_Presentation[[#This Row],[Date Recd]],Main_Presentation[[#This Row],[Due Date]],Main_Presentation[[#This Row],[Days]])</f>
        <v>1437.5</v>
      </c>
      <c r="AB187" s="16"/>
    </row>
    <row r="188" spans="1:28" ht="15.75" hidden="1" x14ac:dyDescent="0.25">
      <c r="A188" s="14" t="s">
        <v>100</v>
      </c>
      <c r="B188" s="15">
        <v>45029</v>
      </c>
      <c r="C188" s="26">
        <v>16</v>
      </c>
      <c r="D188" s="55" t="str">
        <f>VLOOKUP(Main_Presentation[[#This Row],[LC Number]],Main_Issuance[],3,0)</f>
        <v>Hassan Taleb</v>
      </c>
      <c r="E188" s="16" t="s">
        <v>856</v>
      </c>
      <c r="F188" s="17" t="str">
        <f>VLOOKUP(Main_Presentation[[#This Row],[LC Number]],Main_Issuance[],5,0)</f>
        <v>Alinma</v>
      </c>
      <c r="G188" s="17" t="str">
        <f>VLOOKUP(Main_Presentation[[#This Row],[LC Number]],Main_Issuance[],6,0)</f>
        <v>KSP</v>
      </c>
      <c r="H188" s="17" t="str">
        <f>VLOOKUP(Main_Presentation[[#This Row],[LC Number]],Main_Issuance[],17,0)</f>
        <v>Credit</v>
      </c>
      <c r="I188" s="17" t="str">
        <f>VLOOKUP(Main_Presentation[[#This Row],[LC Number]],Main_Issuance[],7,0)</f>
        <v>TATA INTERNATIONAL WEST ASIA</v>
      </c>
      <c r="J188" s="17" t="str">
        <f>VLOOKUP(Main_Presentation[[#This Row],[LC Number]],Main_Issuance[],8,0)</f>
        <v>MBL</v>
      </c>
      <c r="K188" s="17" t="str">
        <f>VLOOKUP(Main_Presentation[[#This Row],[LC Number]],Main_Issuance[],9,0)</f>
        <v>KSP</v>
      </c>
      <c r="L188" s="17">
        <f>VLOOKUP(Main_Presentation[[#This Row],[LC Number]],Main_Issuance[],10,0)</f>
        <v>1020055</v>
      </c>
      <c r="M188" s="17" t="str">
        <f>VLOOKUP(Main_Presentation[[#This Row],[LC Number]],Main_Issuance[],11,0)</f>
        <v>USD</v>
      </c>
      <c r="N188" s="84">
        <f>VLOOKUP(Main_Presentation[[#This Row],[LC Number]],Main_Issuance[],12,0)</f>
        <v>14820421.75</v>
      </c>
      <c r="O188" s="16" t="s">
        <v>20</v>
      </c>
      <c r="P188" s="16" t="s">
        <v>857</v>
      </c>
      <c r="Q188" s="131">
        <v>952005.66937525</v>
      </c>
      <c r="R188" s="18">
        <v>3.7534999999999998</v>
      </c>
      <c r="S188" s="18">
        <f>Main_Presentation[[#This Row],[Invoice Amt (FCY)]]*Main_Presentation[[#This Row],[Rate]]</f>
        <v>3573353.2800000007</v>
      </c>
      <c r="T188" s="15">
        <v>45041</v>
      </c>
      <c r="U188" s="26">
        <f>VLOOKUP(Main_Presentation[[#This Row],[LC Number]],Main_Issuance[],18,0)</f>
        <v>0</v>
      </c>
      <c r="V188" s="19" t="s">
        <v>102</v>
      </c>
      <c r="W188" s="18" t="s">
        <v>857</v>
      </c>
      <c r="X188" s="16"/>
      <c r="Y188" s="234" t="str">
        <f>TRIM(LEFT(Main_Presentation[[#This Row],[Payment Terms]],3))</f>
        <v>0</v>
      </c>
      <c r="Z188" s="16"/>
      <c r="AA188" s="316" cm="1">
        <f t="array" ref="AA188">Settlement(Main_Presentation[[#This Row],[Bank]],Main_Presentation[[#This Row],[ Invoice Amt (SAR)]],Main_Presentation[[#This Row],[Date Recd]],Main_Presentation[[#This Row],[Due Date]],Main_Presentation[[#This Row],[Days]])</f>
        <v>1437.5</v>
      </c>
      <c r="AB188" s="16"/>
    </row>
    <row r="189" spans="1:28" ht="15.75" hidden="1" x14ac:dyDescent="0.25">
      <c r="A189" s="14" t="s">
        <v>100</v>
      </c>
      <c r="B189" s="15">
        <v>45029</v>
      </c>
      <c r="C189" s="26">
        <v>17</v>
      </c>
      <c r="D189" s="55" t="str">
        <f>VLOOKUP(Main_Presentation[[#This Row],[LC Number]],Main_Issuance[],3,0)</f>
        <v>Hassan Taleb</v>
      </c>
      <c r="E189" s="16" t="s">
        <v>856</v>
      </c>
      <c r="F189" s="17" t="str">
        <f>VLOOKUP(Main_Presentation[[#This Row],[LC Number]],Main_Issuance[],5,0)</f>
        <v>Alinma</v>
      </c>
      <c r="G189" s="17" t="str">
        <f>VLOOKUP(Main_Presentation[[#This Row],[LC Number]],Main_Issuance[],6,0)</f>
        <v>KSP</v>
      </c>
      <c r="H189" s="17" t="str">
        <f>VLOOKUP(Main_Presentation[[#This Row],[LC Number]],Main_Issuance[],17,0)</f>
        <v>Credit</v>
      </c>
      <c r="I189" s="17" t="str">
        <f>VLOOKUP(Main_Presentation[[#This Row],[LC Number]],Main_Issuance[],7,0)</f>
        <v>TATA INTERNATIONAL WEST ASIA</v>
      </c>
      <c r="J189" s="17" t="str">
        <f>VLOOKUP(Main_Presentation[[#This Row],[LC Number]],Main_Issuance[],8,0)</f>
        <v>MBL</v>
      </c>
      <c r="K189" s="17" t="str">
        <f>VLOOKUP(Main_Presentation[[#This Row],[LC Number]],Main_Issuance[],9,0)</f>
        <v>KSP</v>
      </c>
      <c r="L189" s="17">
        <f>VLOOKUP(Main_Presentation[[#This Row],[LC Number]],Main_Issuance[],10,0)</f>
        <v>1020055</v>
      </c>
      <c r="M189" s="17" t="str">
        <f>VLOOKUP(Main_Presentation[[#This Row],[LC Number]],Main_Issuance[],11,0)</f>
        <v>USD</v>
      </c>
      <c r="N189" s="84">
        <f>VLOOKUP(Main_Presentation[[#This Row],[LC Number]],Main_Issuance[],12,0)</f>
        <v>14820421.75</v>
      </c>
      <c r="O189" s="16" t="s">
        <v>20</v>
      </c>
      <c r="P189" s="16" t="s">
        <v>857</v>
      </c>
      <c r="Q189" s="131">
        <v>3081220.4342613602</v>
      </c>
      <c r="R189" s="18">
        <v>3.7534999999999998</v>
      </c>
      <c r="S189" s="18">
        <f>Main_Presentation[[#This Row],[Invoice Amt (FCY)]]*Main_Presentation[[#This Row],[Rate]]</f>
        <v>11565360.900000015</v>
      </c>
      <c r="T189" s="15">
        <v>45041</v>
      </c>
      <c r="U189" s="26">
        <f>VLOOKUP(Main_Presentation[[#This Row],[LC Number]],Main_Issuance[],18,0)</f>
        <v>0</v>
      </c>
      <c r="V189" s="19" t="s">
        <v>102</v>
      </c>
      <c r="W189" s="18" t="s">
        <v>857</v>
      </c>
      <c r="X189" s="16"/>
      <c r="Y189" s="234" t="str">
        <f>TRIM(LEFT(Main_Presentation[[#This Row],[Payment Terms]],3))</f>
        <v>0</v>
      </c>
      <c r="Z189" s="16"/>
      <c r="AA189" s="316" cm="1">
        <f t="array" ref="AA189">Settlement(Main_Presentation[[#This Row],[Bank]],Main_Presentation[[#This Row],[ Invoice Amt (SAR)]],Main_Presentation[[#This Row],[Date Recd]],Main_Presentation[[#This Row],[Due Date]],Main_Presentation[[#This Row],[Days]])</f>
        <v>1437.5</v>
      </c>
      <c r="AB189" s="16"/>
    </row>
    <row r="190" spans="1:28" ht="15.75" hidden="1" x14ac:dyDescent="0.25">
      <c r="A190" s="14" t="s">
        <v>100</v>
      </c>
      <c r="B190" s="15">
        <v>45029</v>
      </c>
      <c r="C190" s="26">
        <v>18</v>
      </c>
      <c r="D190" s="55" t="str">
        <f>VLOOKUP(Main_Presentation[[#This Row],[LC Number]],Main_Issuance[],3,0)</f>
        <v>Hassan Taleb</v>
      </c>
      <c r="E190" s="16" t="s">
        <v>856</v>
      </c>
      <c r="F190" s="17" t="str">
        <f>VLOOKUP(Main_Presentation[[#This Row],[LC Number]],Main_Issuance[],5,0)</f>
        <v>Alinma</v>
      </c>
      <c r="G190" s="17" t="str">
        <f>VLOOKUP(Main_Presentation[[#This Row],[LC Number]],Main_Issuance[],6,0)</f>
        <v>KSP</v>
      </c>
      <c r="H190" s="17" t="str">
        <f>VLOOKUP(Main_Presentation[[#This Row],[LC Number]],Main_Issuance[],17,0)</f>
        <v>Credit</v>
      </c>
      <c r="I190" s="17" t="str">
        <f>VLOOKUP(Main_Presentation[[#This Row],[LC Number]],Main_Issuance[],7,0)</f>
        <v>TATA INTERNATIONAL WEST ASIA</v>
      </c>
      <c r="J190" s="17" t="str">
        <f>VLOOKUP(Main_Presentation[[#This Row],[LC Number]],Main_Issuance[],8,0)</f>
        <v>MBL</v>
      </c>
      <c r="K190" s="17" t="str">
        <f>VLOOKUP(Main_Presentation[[#This Row],[LC Number]],Main_Issuance[],9,0)</f>
        <v>KSP</v>
      </c>
      <c r="L190" s="17">
        <f>VLOOKUP(Main_Presentation[[#This Row],[LC Number]],Main_Issuance[],10,0)</f>
        <v>1020055</v>
      </c>
      <c r="M190" s="17" t="str">
        <f>VLOOKUP(Main_Presentation[[#This Row],[LC Number]],Main_Issuance[],11,0)</f>
        <v>USD</v>
      </c>
      <c r="N190" s="84">
        <f>VLOOKUP(Main_Presentation[[#This Row],[LC Number]],Main_Issuance[],12,0)</f>
        <v>14820421.75</v>
      </c>
      <c r="O190" s="16" t="s">
        <v>20</v>
      </c>
      <c r="P190" s="16" t="s">
        <v>857</v>
      </c>
      <c r="Q190" s="131">
        <v>246223.67</v>
      </c>
      <c r="R190" s="18">
        <v>3.7534999999999998</v>
      </c>
      <c r="S190" s="18">
        <f>Main_Presentation[[#This Row],[Invoice Amt (FCY)]]*Main_Presentation[[#This Row],[Rate]]</f>
        <v>924200.54534499999</v>
      </c>
      <c r="T190" s="15">
        <v>45041</v>
      </c>
      <c r="U190" s="26">
        <f>VLOOKUP(Main_Presentation[[#This Row],[LC Number]],Main_Issuance[],18,0)</f>
        <v>0</v>
      </c>
      <c r="V190" s="19" t="s">
        <v>102</v>
      </c>
      <c r="W190" s="18" t="s">
        <v>857</v>
      </c>
      <c r="X190" s="16"/>
      <c r="Y190" s="234" t="str">
        <f>TRIM(LEFT(Main_Presentation[[#This Row],[Payment Terms]],3))</f>
        <v>0</v>
      </c>
      <c r="Z190" s="16"/>
      <c r="AA190" s="316" cm="1">
        <f t="array" ref="AA190">Settlement(Main_Presentation[[#This Row],[Bank]],Main_Presentation[[#This Row],[ Invoice Amt (SAR)]],Main_Presentation[[#This Row],[Date Recd]],Main_Presentation[[#This Row],[Due Date]],Main_Presentation[[#This Row],[Days]])</f>
        <v>1437.5</v>
      </c>
      <c r="AB190" s="16"/>
    </row>
    <row r="191" spans="1:28" ht="15.75" hidden="1" x14ac:dyDescent="0.25">
      <c r="A191" s="14" t="s">
        <v>100</v>
      </c>
      <c r="B191" s="15">
        <v>45043</v>
      </c>
      <c r="C191" s="26">
        <v>19</v>
      </c>
      <c r="D191" s="55" t="str">
        <f>VLOOKUP(Main_Presentation[[#This Row],[LC Number]],Main_Issuance[],3,0)</f>
        <v>Hassan Taleb</v>
      </c>
      <c r="E191" s="16" t="s">
        <v>856</v>
      </c>
      <c r="F191" s="17" t="str">
        <f>VLOOKUP(Main_Presentation[[#This Row],[LC Number]],Main_Issuance[],5,0)</f>
        <v>Alinma</v>
      </c>
      <c r="G191" s="17" t="str">
        <f>VLOOKUP(Main_Presentation[[#This Row],[LC Number]],Main_Issuance[],6,0)</f>
        <v>KSP</v>
      </c>
      <c r="H191" s="17" t="str">
        <f>VLOOKUP(Main_Presentation[[#This Row],[LC Number]],Main_Issuance[],17,0)</f>
        <v>Credit</v>
      </c>
      <c r="I191" s="17" t="str">
        <f>VLOOKUP(Main_Presentation[[#This Row],[LC Number]],Main_Issuance[],7,0)</f>
        <v>TATA INTERNATIONAL WEST ASIA</v>
      </c>
      <c r="J191" s="17" t="str">
        <f>VLOOKUP(Main_Presentation[[#This Row],[LC Number]],Main_Issuance[],8,0)</f>
        <v>MBL</v>
      </c>
      <c r="K191" s="17" t="str">
        <f>VLOOKUP(Main_Presentation[[#This Row],[LC Number]],Main_Issuance[],9,0)</f>
        <v>KSP</v>
      </c>
      <c r="L191" s="17">
        <f>VLOOKUP(Main_Presentation[[#This Row],[LC Number]],Main_Issuance[],10,0)</f>
        <v>1020055</v>
      </c>
      <c r="M191" s="17" t="str">
        <f>VLOOKUP(Main_Presentation[[#This Row],[LC Number]],Main_Issuance[],11,0)</f>
        <v>USD</v>
      </c>
      <c r="N191" s="84">
        <f>VLOOKUP(Main_Presentation[[#This Row],[LC Number]],Main_Issuance[],12,0)</f>
        <v>14820421.75</v>
      </c>
      <c r="O191" s="16" t="s">
        <v>20</v>
      </c>
      <c r="P191" s="16" t="s">
        <v>857</v>
      </c>
      <c r="Q191" s="131">
        <v>9715.86</v>
      </c>
      <c r="R191" s="18">
        <v>3.7570000000000001</v>
      </c>
      <c r="S191" s="18">
        <f>Main_Presentation[[#This Row],[Invoice Amt (FCY)]]*Main_Presentation[[#This Row],[Rate]]</f>
        <v>36502.486020000004</v>
      </c>
      <c r="T191" s="15">
        <v>45041</v>
      </c>
      <c r="U191" s="26">
        <f>VLOOKUP(Main_Presentation[[#This Row],[LC Number]],Main_Issuance[],18,0)</f>
        <v>0</v>
      </c>
      <c r="V191" s="19" t="s">
        <v>102</v>
      </c>
      <c r="W191" s="18" t="s">
        <v>857</v>
      </c>
      <c r="X191" s="16"/>
      <c r="Y191" s="234" t="str">
        <f>TRIM(LEFT(Main_Presentation[[#This Row],[Payment Terms]],3))</f>
        <v>0</v>
      </c>
      <c r="Z191" s="16"/>
      <c r="AA191" s="316" cm="1">
        <f t="array" ref="AA191">Settlement(Main_Presentation[[#This Row],[Bank]],Main_Presentation[[#This Row],[ Invoice Amt (SAR)]],Main_Presentation[[#This Row],[Date Recd]],Main_Presentation[[#This Row],[Due Date]],Main_Presentation[[#This Row],[Days]])</f>
        <v>1437.5</v>
      </c>
      <c r="AB191" s="16"/>
    </row>
    <row r="192" spans="1:28" ht="15.75" hidden="1" x14ac:dyDescent="0.25">
      <c r="A192" s="14" t="s">
        <v>100</v>
      </c>
      <c r="B192" s="15">
        <v>45055</v>
      </c>
      <c r="C192" s="26">
        <v>20</v>
      </c>
      <c r="D192" s="55" t="str">
        <f>VLOOKUP(Main_Presentation[[#This Row],[LC Number]],Main_Issuance[],3,0)</f>
        <v>Hassan Taleb</v>
      </c>
      <c r="E192" s="16" t="s">
        <v>856</v>
      </c>
      <c r="F192" s="17" t="str">
        <f>VLOOKUP(Main_Presentation[[#This Row],[LC Number]],Main_Issuance[],5,0)</f>
        <v>Alinma</v>
      </c>
      <c r="G192" s="17" t="str">
        <f>VLOOKUP(Main_Presentation[[#This Row],[LC Number]],Main_Issuance[],6,0)</f>
        <v>KSP</v>
      </c>
      <c r="H192" s="17" t="str">
        <f>VLOOKUP(Main_Presentation[[#This Row],[LC Number]],Main_Issuance[],17,0)</f>
        <v>Credit</v>
      </c>
      <c r="I192" s="17" t="str">
        <f>VLOOKUP(Main_Presentation[[#This Row],[LC Number]],Main_Issuance[],7,0)</f>
        <v>TATA INTERNATIONAL WEST ASIA</v>
      </c>
      <c r="J192" s="17" t="str">
        <f>VLOOKUP(Main_Presentation[[#This Row],[LC Number]],Main_Issuance[],8,0)</f>
        <v>MBL</v>
      </c>
      <c r="K192" s="17" t="str">
        <f>VLOOKUP(Main_Presentation[[#This Row],[LC Number]],Main_Issuance[],9,0)</f>
        <v>KSP</v>
      </c>
      <c r="L192" s="17">
        <f>VLOOKUP(Main_Presentation[[#This Row],[LC Number]],Main_Issuance[],10,0)</f>
        <v>1020055</v>
      </c>
      <c r="M192" s="17" t="str">
        <f>VLOOKUP(Main_Presentation[[#This Row],[LC Number]],Main_Issuance[],11,0)</f>
        <v>USD</v>
      </c>
      <c r="N192" s="84">
        <f>VLOOKUP(Main_Presentation[[#This Row],[LC Number]],Main_Issuance[],12,0)</f>
        <v>14820421.75</v>
      </c>
      <c r="O192" s="16" t="s">
        <v>20</v>
      </c>
      <c r="P192" s="16" t="s">
        <v>857</v>
      </c>
      <c r="Q192" s="131">
        <v>209297.4</v>
      </c>
      <c r="R192" s="18">
        <v>3.7534999999999998</v>
      </c>
      <c r="S192" s="18">
        <f>Main_Presentation[[#This Row],[Invoice Amt (FCY)]]*Main_Presentation[[#This Row],[Rate]]</f>
        <v>785597.79089999991</v>
      </c>
      <c r="T192" s="15">
        <v>45041</v>
      </c>
      <c r="U192" s="26">
        <f>VLOOKUP(Main_Presentation[[#This Row],[LC Number]],Main_Issuance[],18,0)</f>
        <v>0</v>
      </c>
      <c r="V192" s="19" t="s">
        <v>102</v>
      </c>
      <c r="W192" s="18" t="s">
        <v>857</v>
      </c>
      <c r="X192" s="16"/>
      <c r="Y192" s="234" t="str">
        <f>TRIM(LEFT(Main_Presentation[[#This Row],[Payment Terms]],3))</f>
        <v>0</v>
      </c>
      <c r="Z192" s="16"/>
      <c r="AA192" s="316" cm="1">
        <f t="array" ref="AA192">Settlement(Main_Presentation[[#This Row],[Bank]],Main_Presentation[[#This Row],[ Invoice Amt (SAR)]],Main_Presentation[[#This Row],[Date Recd]],Main_Presentation[[#This Row],[Due Date]],Main_Presentation[[#This Row],[Days]])</f>
        <v>1437.5</v>
      </c>
      <c r="AB192" s="16"/>
    </row>
    <row r="193" spans="1:28" ht="15.75" hidden="1" x14ac:dyDescent="0.25">
      <c r="A193" s="14" t="s">
        <v>100</v>
      </c>
      <c r="B193" s="15">
        <v>45061</v>
      </c>
      <c r="C193" s="26">
        <v>21</v>
      </c>
      <c r="D193" s="55" t="str">
        <f>VLOOKUP(Main_Presentation[[#This Row],[LC Number]],Main_Issuance[],3,0)</f>
        <v>Hassan Taleb</v>
      </c>
      <c r="E193" s="16" t="s">
        <v>856</v>
      </c>
      <c r="F193" s="17" t="str">
        <f>VLOOKUP(Main_Presentation[[#This Row],[LC Number]],Main_Issuance[],5,0)</f>
        <v>Alinma</v>
      </c>
      <c r="G193" s="17" t="str">
        <f>VLOOKUP(Main_Presentation[[#This Row],[LC Number]],Main_Issuance[],6,0)</f>
        <v>KSP</v>
      </c>
      <c r="H193" s="17" t="str">
        <f>VLOOKUP(Main_Presentation[[#This Row],[LC Number]],Main_Issuance[],17,0)</f>
        <v>Credit</v>
      </c>
      <c r="I193" s="17" t="str">
        <f>VLOOKUP(Main_Presentation[[#This Row],[LC Number]],Main_Issuance[],7,0)</f>
        <v>TATA INTERNATIONAL WEST ASIA</v>
      </c>
      <c r="J193" s="17" t="str">
        <f>VLOOKUP(Main_Presentation[[#This Row],[LC Number]],Main_Issuance[],8,0)</f>
        <v>MBL</v>
      </c>
      <c r="K193" s="17" t="str">
        <f>VLOOKUP(Main_Presentation[[#This Row],[LC Number]],Main_Issuance[],9,0)</f>
        <v>KSP</v>
      </c>
      <c r="L193" s="17">
        <f>VLOOKUP(Main_Presentation[[#This Row],[LC Number]],Main_Issuance[],10,0)</f>
        <v>1020055</v>
      </c>
      <c r="M193" s="17" t="str">
        <f>VLOOKUP(Main_Presentation[[#This Row],[LC Number]],Main_Issuance[],11,0)</f>
        <v>USD</v>
      </c>
      <c r="N193" s="84">
        <f>VLOOKUP(Main_Presentation[[#This Row],[LC Number]],Main_Issuance[],12,0)</f>
        <v>14820421.75</v>
      </c>
      <c r="O193" s="16" t="s">
        <v>20</v>
      </c>
      <c r="P193" s="16" t="s">
        <v>857</v>
      </c>
      <c r="Q193" s="131">
        <v>393135.82</v>
      </c>
      <c r="R193" s="18">
        <v>3.7530000000000001</v>
      </c>
      <c r="S193" s="18">
        <f>Main_Presentation[[#This Row],[Invoice Amt (FCY)]]*Main_Presentation[[#This Row],[Rate]]</f>
        <v>1475438.7324600001</v>
      </c>
      <c r="T193" s="15">
        <v>45041</v>
      </c>
      <c r="U193" s="26">
        <f>VLOOKUP(Main_Presentation[[#This Row],[LC Number]],Main_Issuance[],18,0)</f>
        <v>0</v>
      </c>
      <c r="V193" s="19" t="s">
        <v>102</v>
      </c>
      <c r="W193" s="18" t="s">
        <v>857</v>
      </c>
      <c r="X193" s="16"/>
      <c r="Y193" s="234" t="str">
        <f>TRIM(LEFT(Main_Presentation[[#This Row],[Payment Terms]],3))</f>
        <v>0</v>
      </c>
      <c r="Z193" s="16"/>
      <c r="AA193" s="316" cm="1">
        <f t="array" ref="AA193">Settlement(Main_Presentation[[#This Row],[Bank]],Main_Presentation[[#This Row],[ Invoice Amt (SAR)]],Main_Presentation[[#This Row],[Date Recd]],Main_Presentation[[#This Row],[Due Date]],Main_Presentation[[#This Row],[Days]])</f>
        <v>1437.5</v>
      </c>
      <c r="AB193" s="16"/>
    </row>
    <row r="194" spans="1:28" ht="15.75" hidden="1" x14ac:dyDescent="0.25">
      <c r="A194" s="14" t="s">
        <v>103</v>
      </c>
      <c r="B194" s="15">
        <v>45029</v>
      </c>
      <c r="C194" s="26">
        <v>1</v>
      </c>
      <c r="D194" s="55" t="str">
        <f>VLOOKUP(Main_Presentation[[#This Row],[LC Number]],Main_Issuance[],3,0)</f>
        <v>Hassan Taleb</v>
      </c>
      <c r="E194" s="16" t="s">
        <v>856</v>
      </c>
      <c r="F194" s="17" t="str">
        <f>VLOOKUP(Main_Presentation[[#This Row],[LC Number]],Main_Issuance[],5,0)</f>
        <v>Alinma</v>
      </c>
      <c r="G194" s="17" t="str">
        <f>VLOOKUP(Main_Presentation[[#This Row],[LC Number]],Main_Issuance[],6,0)</f>
        <v>KSP</v>
      </c>
      <c r="H194" s="17" t="str">
        <f>VLOOKUP(Main_Presentation[[#This Row],[LC Number]],Main_Issuance[],17,0)</f>
        <v>Credit</v>
      </c>
      <c r="I194" s="17" t="str">
        <f>VLOOKUP(Main_Presentation[[#This Row],[LC Number]],Main_Issuance[],7,0)</f>
        <v>ARCELORMITTAL COMMERICAL SECTION</v>
      </c>
      <c r="J194" s="17" t="str">
        <f>VLOOKUP(Main_Presentation[[#This Row],[LC Number]],Main_Issuance[],8,0)</f>
        <v>MBL</v>
      </c>
      <c r="K194" s="17" t="str">
        <f>VLOOKUP(Main_Presentation[[#This Row],[LC Number]],Main_Issuance[],9,0)</f>
        <v>KSP</v>
      </c>
      <c r="L194" s="17">
        <f>VLOOKUP(Main_Presentation[[#This Row],[LC Number]],Main_Issuance[],10,0)</f>
        <v>1020055</v>
      </c>
      <c r="M194" s="17" t="str">
        <f>VLOOKUP(Main_Presentation[[#This Row],[LC Number]],Main_Issuance[],11,0)</f>
        <v>USD</v>
      </c>
      <c r="N194" s="84">
        <f>VLOOKUP(Main_Presentation[[#This Row],[LC Number]],Main_Issuance[],12,0)</f>
        <v>2496892.84</v>
      </c>
      <c r="O194" s="16" t="s">
        <v>20</v>
      </c>
      <c r="P194" s="16" t="s">
        <v>857</v>
      </c>
      <c r="Q194" s="131">
        <v>2279053.16</v>
      </c>
      <c r="R194" s="18">
        <v>3.7534999999999998</v>
      </c>
      <c r="S194" s="18">
        <f>Main_Presentation[[#This Row],[Invoice Amt (FCY)]]*Main_Presentation[[#This Row],[Rate]]</f>
        <v>8554426.0360599998</v>
      </c>
      <c r="T194" s="15">
        <v>45041</v>
      </c>
      <c r="U194" s="26">
        <f>VLOOKUP(Main_Presentation[[#This Row],[LC Number]],Main_Issuance[],18,0)</f>
        <v>0</v>
      </c>
      <c r="V194" s="19" t="s">
        <v>102</v>
      </c>
      <c r="W194" s="18" t="s">
        <v>857</v>
      </c>
      <c r="X194" s="16"/>
      <c r="Y194" s="234" t="str">
        <f>TRIM(LEFT(Main_Presentation[[#This Row],[Payment Terms]],3))</f>
        <v>0</v>
      </c>
      <c r="Z194" s="16"/>
      <c r="AA194" s="316" cm="1">
        <f t="array" ref="AA194">Settlement(Main_Presentation[[#This Row],[Bank]],Main_Presentation[[#This Row],[ Invoice Amt (SAR)]],Main_Presentation[[#This Row],[Date Recd]],Main_Presentation[[#This Row],[Due Date]],Main_Presentation[[#This Row],[Days]])</f>
        <v>1437.5</v>
      </c>
      <c r="AB194" s="16"/>
    </row>
    <row r="195" spans="1:28" ht="15.75" hidden="1" x14ac:dyDescent="0.25">
      <c r="A195" s="14" t="s">
        <v>108</v>
      </c>
      <c r="B195" s="15">
        <v>45081</v>
      </c>
      <c r="C195" s="26">
        <v>1</v>
      </c>
      <c r="D195" s="55" t="str">
        <f>VLOOKUP(Main_Presentation[[#This Row],[LC Number]],Main_Issuance[],3,0)</f>
        <v>Hassan Taleb</v>
      </c>
      <c r="E195" s="16" t="s">
        <v>856</v>
      </c>
      <c r="F195" s="17" t="str">
        <f>VLOOKUP(Main_Presentation[[#This Row],[LC Number]],Main_Issuance[],5,0)</f>
        <v>Alinma</v>
      </c>
      <c r="G195" s="17" t="str">
        <f>VLOOKUP(Main_Presentation[[#This Row],[LC Number]],Main_Issuance[],6,0)</f>
        <v>KSP</v>
      </c>
      <c r="H195" s="17" t="str">
        <f>VLOOKUP(Main_Presentation[[#This Row],[LC Number]],Main_Issuance[],17,0)</f>
        <v>Credit</v>
      </c>
      <c r="I195" s="17" t="str">
        <f>VLOOKUP(Main_Presentation[[#This Row],[LC Number]],Main_Issuance[],7,0)</f>
        <v>HUDA LIGHTING LLC CO</v>
      </c>
      <c r="J195" s="17" t="str">
        <f>VLOOKUP(Main_Presentation[[#This Row],[LC Number]],Main_Issuance[],8,0)</f>
        <v>FIRST FIX</v>
      </c>
      <c r="K195" s="17" t="str">
        <f>VLOOKUP(Main_Presentation[[#This Row],[LC Number]],Main_Issuance[],9,0)</f>
        <v>KSP</v>
      </c>
      <c r="L195" s="17">
        <f>VLOOKUP(Main_Presentation[[#This Row],[LC Number]],Main_Issuance[],10,0)</f>
        <v>1020055</v>
      </c>
      <c r="M195" s="17" t="str">
        <f>VLOOKUP(Main_Presentation[[#This Row],[LC Number]],Main_Issuance[],11,0)</f>
        <v>SAR</v>
      </c>
      <c r="N195" s="84">
        <f>VLOOKUP(Main_Presentation[[#This Row],[LC Number]],Main_Issuance[],12,0)</f>
        <v>891560.04</v>
      </c>
      <c r="O195" s="16" t="s">
        <v>20</v>
      </c>
      <c r="P195" s="16" t="s">
        <v>857</v>
      </c>
      <c r="Q195" s="131">
        <v>891560.04</v>
      </c>
      <c r="R195" s="18">
        <v>1</v>
      </c>
      <c r="S195" s="18">
        <f>Main_Presentation[[#This Row],[Invoice Amt (FCY)]]*Main_Presentation[[#This Row],[Rate]]</f>
        <v>891560.04</v>
      </c>
      <c r="T195" s="15">
        <v>45041</v>
      </c>
      <c r="U195" s="26">
        <f>VLOOKUP(Main_Presentation[[#This Row],[LC Number]],Main_Issuance[],18,0)</f>
        <v>0</v>
      </c>
      <c r="V195" s="19" t="s">
        <v>22</v>
      </c>
      <c r="W195" s="18" t="s">
        <v>857</v>
      </c>
      <c r="X195" s="16"/>
      <c r="Y195" s="234" t="str">
        <f>TRIM(LEFT(Main_Presentation[[#This Row],[Payment Terms]],3))</f>
        <v>0</v>
      </c>
      <c r="Z195" s="16"/>
      <c r="AA195" s="316" cm="1">
        <f t="array" ref="AA195">Settlement(Main_Presentation[[#This Row],[Bank]],Main_Presentation[[#This Row],[ Invoice Amt (SAR)]],Main_Presentation[[#This Row],[Date Recd]],Main_Presentation[[#This Row],[Due Date]],Main_Presentation[[#This Row],[Days]])</f>
        <v>1437.5</v>
      </c>
      <c r="AB195" s="16"/>
    </row>
    <row r="196" spans="1:28" ht="15.75" hidden="1" x14ac:dyDescent="0.25">
      <c r="A196" s="14" t="s">
        <v>110</v>
      </c>
      <c r="B196" s="15">
        <v>45081</v>
      </c>
      <c r="C196" s="26">
        <v>1</v>
      </c>
      <c r="D196" s="55" t="str">
        <f>VLOOKUP(Main_Presentation[[#This Row],[LC Number]],Main_Issuance[],3,0)</f>
        <v>Hassan Taleb</v>
      </c>
      <c r="E196" s="16" t="s">
        <v>856</v>
      </c>
      <c r="F196" s="17" t="str">
        <f>VLOOKUP(Main_Presentation[[#This Row],[LC Number]],Main_Issuance[],5,0)</f>
        <v>Alinma</v>
      </c>
      <c r="G196" s="17" t="str">
        <f>VLOOKUP(Main_Presentation[[#This Row],[LC Number]],Main_Issuance[],6,0)</f>
        <v>KSP</v>
      </c>
      <c r="H196" s="17" t="str">
        <f>VLOOKUP(Main_Presentation[[#This Row],[LC Number]],Main_Issuance[],17,0)</f>
        <v>Credit</v>
      </c>
      <c r="I196" s="17" t="str">
        <f>VLOOKUP(Main_Presentation[[#This Row],[LC Number]],Main_Issuance[],7,0)</f>
        <v>HUDA LIGHTING LLC CO</v>
      </c>
      <c r="J196" s="17" t="str">
        <f>VLOOKUP(Main_Presentation[[#This Row],[LC Number]],Main_Issuance[],8,0)</f>
        <v>FIRST FIX</v>
      </c>
      <c r="K196" s="17" t="str">
        <f>VLOOKUP(Main_Presentation[[#This Row],[LC Number]],Main_Issuance[],9,0)</f>
        <v>KSP</v>
      </c>
      <c r="L196" s="17">
        <f>VLOOKUP(Main_Presentation[[#This Row],[LC Number]],Main_Issuance[],10,0)</f>
        <v>1020055</v>
      </c>
      <c r="M196" s="17" t="str">
        <f>VLOOKUP(Main_Presentation[[#This Row],[LC Number]],Main_Issuance[],11,0)</f>
        <v>SAR</v>
      </c>
      <c r="N196" s="84">
        <f>VLOOKUP(Main_Presentation[[#This Row],[LC Number]],Main_Issuance[],12,0)</f>
        <v>7788301.3200000003</v>
      </c>
      <c r="O196" s="16" t="s">
        <v>20</v>
      </c>
      <c r="P196" s="16" t="s">
        <v>857</v>
      </c>
      <c r="Q196" s="131">
        <v>7788301.3200000003</v>
      </c>
      <c r="R196" s="18">
        <v>1</v>
      </c>
      <c r="S196" s="18">
        <f>Main_Presentation[[#This Row],[Invoice Amt (FCY)]]*Main_Presentation[[#This Row],[Rate]]</f>
        <v>7788301.3200000003</v>
      </c>
      <c r="T196" s="15">
        <v>45041</v>
      </c>
      <c r="U196" s="26">
        <f>VLOOKUP(Main_Presentation[[#This Row],[LC Number]],Main_Issuance[],18,0)</f>
        <v>0</v>
      </c>
      <c r="V196" s="19" t="s">
        <v>22</v>
      </c>
      <c r="W196" s="18" t="s">
        <v>857</v>
      </c>
      <c r="X196" s="16"/>
      <c r="Y196" s="234" t="str">
        <f>TRIM(LEFT(Main_Presentation[[#This Row],[Payment Terms]],3))</f>
        <v>0</v>
      </c>
      <c r="Z196" s="16"/>
      <c r="AA196" s="316" cm="1">
        <f t="array" ref="AA196">Settlement(Main_Presentation[[#This Row],[Bank]],Main_Presentation[[#This Row],[ Invoice Amt (SAR)]],Main_Presentation[[#This Row],[Date Recd]],Main_Presentation[[#This Row],[Due Date]],Main_Presentation[[#This Row],[Days]])</f>
        <v>1437.5</v>
      </c>
      <c r="AB196" s="16"/>
    </row>
    <row r="197" spans="1:28" ht="15.75" hidden="1" x14ac:dyDescent="0.25">
      <c r="A197" s="14" t="s">
        <v>111</v>
      </c>
      <c r="B197" s="15">
        <v>45075</v>
      </c>
      <c r="C197" s="26">
        <v>1</v>
      </c>
      <c r="D197" s="55" t="str">
        <f>VLOOKUP(Main_Presentation[[#This Row],[LC Number]],Main_Issuance[],3,0)</f>
        <v>Hassan Taleb</v>
      </c>
      <c r="E197" s="16" t="s">
        <v>856</v>
      </c>
      <c r="F197" s="17" t="str">
        <f>VLOOKUP(Main_Presentation[[#This Row],[LC Number]],Main_Issuance[],5,0)</f>
        <v>Alinma</v>
      </c>
      <c r="G197" s="17" t="str">
        <f>VLOOKUP(Main_Presentation[[#This Row],[LC Number]],Main_Issuance[],6,0)</f>
        <v>KSP</v>
      </c>
      <c r="H197" s="17" t="str">
        <f>VLOOKUP(Main_Presentation[[#This Row],[LC Number]],Main_Issuance[],17,0)</f>
        <v>Credit</v>
      </c>
      <c r="I197" s="17" t="str">
        <f>VLOOKUP(Main_Presentation[[#This Row],[LC Number]],Main_Issuance[],7,0)</f>
        <v>AL SALEM AIR CONDITIONING CO</v>
      </c>
      <c r="J197" s="17" t="str">
        <f>VLOOKUP(Main_Presentation[[#This Row],[LC Number]],Main_Issuance[],8,0)</f>
        <v>FIRST FIX</v>
      </c>
      <c r="K197" s="17" t="str">
        <f>VLOOKUP(Main_Presentation[[#This Row],[LC Number]],Main_Issuance[],9,0)</f>
        <v>KSP</v>
      </c>
      <c r="L197" s="17">
        <f>VLOOKUP(Main_Presentation[[#This Row],[LC Number]],Main_Issuance[],10,0)</f>
        <v>1020055</v>
      </c>
      <c r="M197" s="17" t="str">
        <f>VLOOKUP(Main_Presentation[[#This Row],[LC Number]],Main_Issuance[],11,0)</f>
        <v>SAR</v>
      </c>
      <c r="N197" s="84">
        <f>VLOOKUP(Main_Presentation[[#This Row],[LC Number]],Main_Issuance[],12,0)</f>
        <v>1725000</v>
      </c>
      <c r="O197" s="16" t="s">
        <v>20</v>
      </c>
      <c r="P197" s="16" t="s">
        <v>857</v>
      </c>
      <c r="Q197" s="131">
        <v>1725000</v>
      </c>
      <c r="R197" s="18">
        <v>1</v>
      </c>
      <c r="S197" s="18">
        <f>Main_Presentation[[#This Row],[Invoice Amt (FCY)]]*Main_Presentation[[#This Row],[Rate]]</f>
        <v>1725000</v>
      </c>
      <c r="T197" s="15">
        <v>45041</v>
      </c>
      <c r="U197" s="26">
        <f>VLOOKUP(Main_Presentation[[#This Row],[LC Number]],Main_Issuance[],18,0)</f>
        <v>0</v>
      </c>
      <c r="V197" s="19" t="s">
        <v>22</v>
      </c>
      <c r="W197" s="18" t="s">
        <v>857</v>
      </c>
      <c r="X197" s="16"/>
      <c r="Y197" s="234" t="str">
        <f>TRIM(LEFT(Main_Presentation[[#This Row],[Payment Terms]],3))</f>
        <v>0</v>
      </c>
      <c r="Z197" s="16"/>
      <c r="AA197" s="316" cm="1">
        <f t="array" ref="AA197">Settlement(Main_Presentation[[#This Row],[Bank]],Main_Presentation[[#This Row],[ Invoice Amt (SAR)]],Main_Presentation[[#This Row],[Date Recd]],Main_Presentation[[#This Row],[Due Date]],Main_Presentation[[#This Row],[Days]])</f>
        <v>1437.5</v>
      </c>
      <c r="AB197" s="16"/>
    </row>
    <row r="198" spans="1:28" ht="15.75" hidden="1" x14ac:dyDescent="0.25">
      <c r="A198" s="14" t="s">
        <v>114</v>
      </c>
      <c r="B198" s="15">
        <v>45081</v>
      </c>
      <c r="C198" s="26">
        <v>1</v>
      </c>
      <c r="D198" s="55" t="str">
        <f>VLOOKUP(Main_Presentation[[#This Row],[LC Number]],Main_Issuance[],3,0)</f>
        <v>Hassan Taleb</v>
      </c>
      <c r="E198" s="16" t="s">
        <v>856</v>
      </c>
      <c r="F198" s="17" t="str">
        <f>VLOOKUP(Main_Presentation[[#This Row],[LC Number]],Main_Issuance[],5,0)</f>
        <v>Alinma</v>
      </c>
      <c r="G198" s="17" t="str">
        <f>VLOOKUP(Main_Presentation[[#This Row],[LC Number]],Main_Issuance[],6,0)</f>
        <v>KSP</v>
      </c>
      <c r="H198" s="17" t="str">
        <f>VLOOKUP(Main_Presentation[[#This Row],[LC Number]],Main_Issuance[],17,0)</f>
        <v>Credit</v>
      </c>
      <c r="I198" s="17" t="str">
        <f>VLOOKUP(Main_Presentation[[#This Row],[LC Number]],Main_Issuance[],7,0)</f>
        <v>AL-HADBANIA TRADING CO.</v>
      </c>
      <c r="J198" s="17" t="str">
        <f>VLOOKUP(Main_Presentation[[#This Row],[LC Number]],Main_Issuance[],8,0)</f>
        <v>FIRST FIX</v>
      </c>
      <c r="K198" s="17" t="str">
        <f>VLOOKUP(Main_Presentation[[#This Row],[LC Number]],Main_Issuance[],9,0)</f>
        <v>KSP</v>
      </c>
      <c r="L198" s="17">
        <f>VLOOKUP(Main_Presentation[[#This Row],[LC Number]],Main_Issuance[],10,0)</f>
        <v>1020055</v>
      </c>
      <c r="M198" s="17" t="str">
        <f>VLOOKUP(Main_Presentation[[#This Row],[LC Number]],Main_Issuance[],11,0)</f>
        <v>SAR</v>
      </c>
      <c r="N198" s="84">
        <f>VLOOKUP(Main_Presentation[[#This Row],[LC Number]],Main_Issuance[],12,0)</f>
        <v>1603107.56</v>
      </c>
      <c r="O198" s="16" t="s">
        <v>20</v>
      </c>
      <c r="P198" s="16" t="s">
        <v>857</v>
      </c>
      <c r="Q198" s="131">
        <v>1603107.56</v>
      </c>
      <c r="R198" s="18">
        <v>1</v>
      </c>
      <c r="S198" s="18">
        <f>Main_Presentation[[#This Row],[Invoice Amt (FCY)]]*Main_Presentation[[#This Row],[Rate]]</f>
        <v>1603107.56</v>
      </c>
      <c r="T198" s="15">
        <v>45041</v>
      </c>
      <c r="U198" s="26">
        <f>VLOOKUP(Main_Presentation[[#This Row],[LC Number]],Main_Issuance[],18,0)</f>
        <v>0</v>
      </c>
      <c r="V198" s="19" t="s">
        <v>22</v>
      </c>
      <c r="W198" s="18" t="s">
        <v>857</v>
      </c>
      <c r="X198" s="16"/>
      <c r="Y198" s="234" t="str">
        <f>TRIM(LEFT(Main_Presentation[[#This Row],[Payment Terms]],3))</f>
        <v>0</v>
      </c>
      <c r="Z198" s="16"/>
      <c r="AA198" s="316" cm="1">
        <f t="array" ref="AA198">Settlement(Main_Presentation[[#This Row],[Bank]],Main_Presentation[[#This Row],[ Invoice Amt (SAR)]],Main_Presentation[[#This Row],[Date Recd]],Main_Presentation[[#This Row],[Due Date]],Main_Presentation[[#This Row],[Days]])</f>
        <v>1437.5</v>
      </c>
      <c r="AB198" s="16"/>
    </row>
    <row r="199" spans="1:28" ht="15.75" hidden="1" x14ac:dyDescent="0.25">
      <c r="A199" s="14" t="s">
        <v>118</v>
      </c>
      <c r="B199" s="15">
        <v>45140</v>
      </c>
      <c r="C199" s="26">
        <v>1</v>
      </c>
      <c r="D199" s="55" t="str">
        <f>VLOOKUP(Main_Presentation[[#This Row],[LC Number]],Main_Issuance[],3,0)</f>
        <v>Hassan Taleb</v>
      </c>
      <c r="E199" s="16" t="s">
        <v>856</v>
      </c>
      <c r="F199" s="17" t="str">
        <f>VLOOKUP(Main_Presentation[[#This Row],[LC Number]],Main_Issuance[],5,0)</f>
        <v>Alinma</v>
      </c>
      <c r="G199" s="17" t="str">
        <f>VLOOKUP(Main_Presentation[[#This Row],[LC Number]],Main_Issuance[],6,0)</f>
        <v>KSP</v>
      </c>
      <c r="H199" s="17" t="str">
        <f>VLOOKUP(Main_Presentation[[#This Row],[LC Number]],Main_Issuance[],17,0)</f>
        <v>Credit</v>
      </c>
      <c r="I199" s="17" t="str">
        <f>VLOOKUP(Main_Presentation[[#This Row],[LC Number]],Main_Issuance[],7,0)</f>
        <v>LIGHT TECHNOLOGIES COMPANY LTD</v>
      </c>
      <c r="J199" s="17" t="str">
        <f>VLOOKUP(Main_Presentation[[#This Row],[LC Number]],Main_Issuance[],8,0)</f>
        <v>FIRST FIX</v>
      </c>
      <c r="K199" s="17" t="str">
        <f>VLOOKUP(Main_Presentation[[#This Row],[LC Number]],Main_Issuance[],9,0)</f>
        <v>KSP</v>
      </c>
      <c r="L199" s="17">
        <f>VLOOKUP(Main_Presentation[[#This Row],[LC Number]],Main_Issuance[],10,0)</f>
        <v>1020055</v>
      </c>
      <c r="M199" s="17" t="str">
        <f>VLOOKUP(Main_Presentation[[#This Row],[LC Number]],Main_Issuance[],11,0)</f>
        <v>SAR</v>
      </c>
      <c r="N199" s="84">
        <f>VLOOKUP(Main_Presentation[[#This Row],[LC Number]],Main_Issuance[],12,0)</f>
        <v>7364224.5800000001</v>
      </c>
      <c r="O199" s="16" t="s">
        <v>20</v>
      </c>
      <c r="P199" s="16" t="s">
        <v>857</v>
      </c>
      <c r="Q199" s="131">
        <v>7364224.5800000001</v>
      </c>
      <c r="R199" s="18">
        <v>1</v>
      </c>
      <c r="S199" s="18">
        <f>Main_Presentation[[#This Row],[Invoice Amt (FCY)]]*Main_Presentation[[#This Row],[Rate]]</f>
        <v>7364224.5800000001</v>
      </c>
      <c r="T199" s="15">
        <v>45041</v>
      </c>
      <c r="U199" s="26" t="str">
        <f>VLOOKUP(Main_Presentation[[#This Row],[LC Number]],Main_Issuance[],18,0)</f>
        <v>60 Days from Delivery Date</v>
      </c>
      <c r="V199" s="19" t="s">
        <v>22</v>
      </c>
      <c r="W199" s="18" t="s">
        <v>857</v>
      </c>
      <c r="X199" s="16"/>
      <c r="Y199" s="234" t="str">
        <f>TRIM(LEFT(Main_Presentation[[#This Row],[Payment Terms]],3))</f>
        <v>60</v>
      </c>
      <c r="Z199" s="16"/>
      <c r="AA199" s="316" cm="1">
        <f t="array" ref="AA199">Settlement(Main_Presentation[[#This Row],[Bank]],Main_Presentation[[#This Row],[ Invoice Amt (SAR)]],Main_Presentation[[#This Row],[Date Recd]],Main_Presentation[[#This Row],[Due Date]],Main_Presentation[[#This Row],[Days]])</f>
        <v>1437.5</v>
      </c>
      <c r="AB199" s="16"/>
    </row>
    <row r="200" spans="1:28" ht="15.75" hidden="1" x14ac:dyDescent="0.25">
      <c r="A200" s="14" t="s">
        <v>120</v>
      </c>
      <c r="B200" s="15">
        <v>45173</v>
      </c>
      <c r="C200" s="26">
        <v>1</v>
      </c>
      <c r="D200" s="55" t="str">
        <f>VLOOKUP(Main_Presentation[[#This Row],[LC Number]],Main_Issuance[],3,0)</f>
        <v>Hassan Taleb</v>
      </c>
      <c r="E200" s="16" t="s">
        <v>856</v>
      </c>
      <c r="F200" s="17" t="str">
        <f>VLOOKUP(Main_Presentation[[#This Row],[LC Number]],Main_Issuance[],5,0)</f>
        <v>Alinma</v>
      </c>
      <c r="G200" s="17" t="str">
        <f>VLOOKUP(Main_Presentation[[#This Row],[LC Number]],Main_Issuance[],6,0)</f>
        <v>KSP</v>
      </c>
      <c r="H200" s="17" t="str">
        <f>VLOOKUP(Main_Presentation[[#This Row],[LC Number]],Main_Issuance[],17,0)</f>
        <v>Credit</v>
      </c>
      <c r="I200" s="17" t="str">
        <f>VLOOKUP(Main_Presentation[[#This Row],[LC Number]],Main_Issuance[],7,0)</f>
        <v>EMPOWER AIR TECHNOLOGIES CO</v>
      </c>
      <c r="J200" s="17" t="str">
        <f>VLOOKUP(Main_Presentation[[#This Row],[LC Number]],Main_Issuance[],8,0)</f>
        <v>FIRST FIX</v>
      </c>
      <c r="K200" s="17" t="str">
        <f>VLOOKUP(Main_Presentation[[#This Row],[LC Number]],Main_Issuance[],9,0)</f>
        <v>KSP</v>
      </c>
      <c r="L200" s="17">
        <f>VLOOKUP(Main_Presentation[[#This Row],[LC Number]],Main_Issuance[],10,0)</f>
        <v>1020055</v>
      </c>
      <c r="M200" s="17" t="str">
        <f>VLOOKUP(Main_Presentation[[#This Row],[LC Number]],Main_Issuance[],11,0)</f>
        <v>SAR</v>
      </c>
      <c r="N200" s="84">
        <f>VLOOKUP(Main_Presentation[[#This Row],[LC Number]],Main_Issuance[],12,0)</f>
        <v>2200000</v>
      </c>
      <c r="O200" s="16" t="s">
        <v>20</v>
      </c>
      <c r="P200" s="16" t="s">
        <v>857</v>
      </c>
      <c r="Q200" s="131">
        <v>2200000</v>
      </c>
      <c r="R200" s="18">
        <v>1</v>
      </c>
      <c r="S200" s="18">
        <f>Main_Presentation[[#This Row],[Invoice Amt (FCY)]]*Main_Presentation[[#This Row],[Rate]]</f>
        <v>2200000</v>
      </c>
      <c r="T200" s="15">
        <v>45041</v>
      </c>
      <c r="U200" s="26" t="str">
        <f>VLOOKUP(Main_Presentation[[#This Row],[LC Number]],Main_Issuance[],18,0)</f>
        <v>45 Days from Delivery Date</v>
      </c>
      <c r="V200" s="19" t="s">
        <v>22</v>
      </c>
      <c r="W200" s="18" t="s">
        <v>857</v>
      </c>
      <c r="X200" s="16"/>
      <c r="Y200" s="234" t="str">
        <f>TRIM(LEFT(Main_Presentation[[#This Row],[Payment Terms]],3))</f>
        <v>45</v>
      </c>
      <c r="Z200" s="16"/>
      <c r="AA200" s="316" cm="1">
        <f t="array" ref="AA200">Settlement(Main_Presentation[[#This Row],[Bank]],Main_Presentation[[#This Row],[ Invoice Amt (SAR)]],Main_Presentation[[#This Row],[Date Recd]],Main_Presentation[[#This Row],[Due Date]],Main_Presentation[[#This Row],[Days]])</f>
        <v>1437.5</v>
      </c>
      <c r="AB200" s="16"/>
    </row>
    <row r="201" spans="1:28" ht="15.75" hidden="1" x14ac:dyDescent="0.25">
      <c r="A201" s="14" t="s">
        <v>122</v>
      </c>
      <c r="B201" s="15">
        <v>45145</v>
      </c>
      <c r="C201" s="26">
        <v>1</v>
      </c>
      <c r="D201" s="55" t="str">
        <f>VLOOKUP(Main_Presentation[[#This Row],[LC Number]],Main_Issuance[],3,0)</f>
        <v>Hassan Taleb</v>
      </c>
      <c r="E201" s="16" t="s">
        <v>856</v>
      </c>
      <c r="F201" s="17" t="str">
        <f>VLOOKUP(Main_Presentation[[#This Row],[LC Number]],Main_Issuance[],5,0)</f>
        <v>Alinma</v>
      </c>
      <c r="G201" s="17" t="str">
        <f>VLOOKUP(Main_Presentation[[#This Row],[LC Number]],Main_Issuance[],6,0)</f>
        <v>KSP</v>
      </c>
      <c r="H201" s="17" t="str">
        <f>VLOOKUP(Main_Presentation[[#This Row],[LC Number]],Main_Issuance[],17,0)</f>
        <v>Credit</v>
      </c>
      <c r="I201" s="17" t="str">
        <f>VLOOKUP(Main_Presentation[[#This Row],[LC Number]],Main_Issuance[],7,0)</f>
        <v>AL SALEM AIR CONDITIONING CO</v>
      </c>
      <c r="J201" s="17" t="str">
        <f>VLOOKUP(Main_Presentation[[#This Row],[LC Number]],Main_Issuance[],8,0)</f>
        <v>FIRST FIX</v>
      </c>
      <c r="K201" s="17" t="str">
        <f>VLOOKUP(Main_Presentation[[#This Row],[LC Number]],Main_Issuance[],9,0)</f>
        <v>KSP</v>
      </c>
      <c r="L201" s="17">
        <f>VLOOKUP(Main_Presentation[[#This Row],[LC Number]],Main_Issuance[],10,0)</f>
        <v>1020055</v>
      </c>
      <c r="M201" s="17" t="str">
        <f>VLOOKUP(Main_Presentation[[#This Row],[LC Number]],Main_Issuance[],11,0)</f>
        <v>SAR</v>
      </c>
      <c r="N201" s="84">
        <f>VLOOKUP(Main_Presentation[[#This Row],[LC Number]],Main_Issuance[],12,0)</f>
        <v>2504099.35</v>
      </c>
      <c r="O201" s="16" t="s">
        <v>20</v>
      </c>
      <c r="P201" s="16" t="s">
        <v>857</v>
      </c>
      <c r="Q201" s="131">
        <v>2504099.35</v>
      </c>
      <c r="R201" s="18">
        <v>1</v>
      </c>
      <c r="S201" s="18">
        <f>Main_Presentation[[#This Row],[Invoice Amt (FCY)]]*Main_Presentation[[#This Row],[Rate]]</f>
        <v>2504099.35</v>
      </c>
      <c r="T201" s="15">
        <v>45041</v>
      </c>
      <c r="U201" s="26" t="str">
        <f>VLOOKUP(Main_Presentation[[#This Row],[LC Number]],Main_Issuance[],18,0)</f>
        <v>45 Days from Delivery Date</v>
      </c>
      <c r="V201" s="19" t="s">
        <v>22</v>
      </c>
      <c r="W201" s="18" t="s">
        <v>857</v>
      </c>
      <c r="X201" s="16"/>
      <c r="Y201" s="234" t="str">
        <f>TRIM(LEFT(Main_Presentation[[#This Row],[Payment Terms]],3))</f>
        <v>45</v>
      </c>
      <c r="Z201" s="16"/>
      <c r="AA201" s="316" cm="1">
        <f t="array" ref="AA201">Settlement(Main_Presentation[[#This Row],[Bank]],Main_Presentation[[#This Row],[ Invoice Amt (SAR)]],Main_Presentation[[#This Row],[Date Recd]],Main_Presentation[[#This Row],[Due Date]],Main_Presentation[[#This Row],[Days]])</f>
        <v>1437.5</v>
      </c>
      <c r="AB201" s="16"/>
    </row>
    <row r="202" spans="1:28" ht="15.75" hidden="1" x14ac:dyDescent="0.25">
      <c r="A202" s="14" t="s">
        <v>116</v>
      </c>
      <c r="B202" s="15">
        <v>45090</v>
      </c>
      <c r="C202" s="26">
        <v>1</v>
      </c>
      <c r="D202" s="55" t="str">
        <f>VLOOKUP(Main_Presentation[[#This Row],[LC Number]],Main_Issuance[],3,0)</f>
        <v>Hassan Taleb</v>
      </c>
      <c r="E202" s="16" t="s">
        <v>856</v>
      </c>
      <c r="F202" s="17" t="str">
        <f>VLOOKUP(Main_Presentation[[#This Row],[LC Number]],Main_Issuance[],5,0)</f>
        <v>Alinma</v>
      </c>
      <c r="G202" s="17" t="str">
        <f>VLOOKUP(Main_Presentation[[#This Row],[LC Number]],Main_Issuance[],6,0)</f>
        <v>KSP</v>
      </c>
      <c r="H202" s="17" t="str">
        <f>VLOOKUP(Main_Presentation[[#This Row],[LC Number]],Main_Issuance[],17,0)</f>
        <v>Credit</v>
      </c>
      <c r="I202" s="17" t="str">
        <f>VLOOKUP(Main_Presentation[[#This Row],[LC Number]],Main_Issuance[],7,0)</f>
        <v>AL SALEM AIR CONDITIONING CO</v>
      </c>
      <c r="J202" s="17" t="str">
        <f>VLOOKUP(Main_Presentation[[#This Row],[LC Number]],Main_Issuance[],8,0)</f>
        <v>FIRST FIX</v>
      </c>
      <c r="K202" s="17" t="str">
        <f>VLOOKUP(Main_Presentation[[#This Row],[LC Number]],Main_Issuance[],9,0)</f>
        <v>KSP</v>
      </c>
      <c r="L202" s="17">
        <f>VLOOKUP(Main_Presentation[[#This Row],[LC Number]],Main_Issuance[],10,0)</f>
        <v>1020055</v>
      </c>
      <c r="M202" s="17" t="str">
        <f>VLOOKUP(Main_Presentation[[#This Row],[LC Number]],Main_Issuance[],11,0)</f>
        <v>SAR</v>
      </c>
      <c r="N202" s="84">
        <f>VLOOKUP(Main_Presentation[[#This Row],[LC Number]],Main_Issuance[],12,0)</f>
        <v>2573125</v>
      </c>
      <c r="O202" s="16" t="s">
        <v>20</v>
      </c>
      <c r="P202" s="16" t="s">
        <v>857</v>
      </c>
      <c r="Q202" s="131">
        <v>2573125</v>
      </c>
      <c r="R202" s="18">
        <v>1</v>
      </c>
      <c r="S202" s="18">
        <f>Main_Presentation[[#This Row],[Invoice Amt (FCY)]]*Main_Presentation[[#This Row],[Rate]]</f>
        <v>2573125</v>
      </c>
      <c r="T202" s="15">
        <v>45041</v>
      </c>
      <c r="U202" s="26" t="str">
        <f>VLOOKUP(Main_Presentation[[#This Row],[LC Number]],Main_Issuance[],18,0)</f>
        <v>45 Days from Delivery Date</v>
      </c>
      <c r="V202" s="19" t="s">
        <v>22</v>
      </c>
      <c r="W202" s="18" t="s">
        <v>857</v>
      </c>
      <c r="X202" s="16"/>
      <c r="Y202" s="234" t="str">
        <f>TRIM(LEFT(Main_Presentation[[#This Row],[Payment Terms]],3))</f>
        <v>45</v>
      </c>
      <c r="Z202" s="16"/>
      <c r="AA202" s="316" cm="1">
        <f t="array" ref="AA202">Settlement(Main_Presentation[[#This Row],[Bank]],Main_Presentation[[#This Row],[ Invoice Amt (SAR)]],Main_Presentation[[#This Row],[Date Recd]],Main_Presentation[[#This Row],[Due Date]],Main_Presentation[[#This Row],[Days]])</f>
        <v>1437.5</v>
      </c>
      <c r="AB202" s="16"/>
    </row>
    <row r="203" spans="1:28" ht="15.75" hidden="1" x14ac:dyDescent="0.25">
      <c r="A203" s="14" t="s">
        <v>128</v>
      </c>
      <c r="B203" s="15">
        <v>45196</v>
      </c>
      <c r="C203" s="26">
        <v>1</v>
      </c>
      <c r="D203" s="55" t="str">
        <f>VLOOKUP(Main_Presentation[[#This Row],[LC Number]],Main_Issuance[],3,0)</f>
        <v>Hassan Taleb</v>
      </c>
      <c r="E203" s="16" t="s">
        <v>856</v>
      </c>
      <c r="F203" s="17" t="str">
        <f>VLOOKUP(Main_Presentation[[#This Row],[LC Number]],Main_Issuance[],5,0)</f>
        <v>Alinma</v>
      </c>
      <c r="G203" s="17" t="str">
        <f>VLOOKUP(Main_Presentation[[#This Row],[LC Number]],Main_Issuance[],6,0)</f>
        <v>KSP</v>
      </c>
      <c r="H203" s="17" t="str">
        <f>VLOOKUP(Main_Presentation[[#This Row],[LC Number]],Main_Issuance[],17,0)</f>
        <v>Credit</v>
      </c>
      <c r="I203" s="17" t="str">
        <f>VLOOKUP(Main_Presentation[[#This Row],[LC Number]],Main_Issuance[],7,0)</f>
        <v>SAFID CO. LTD</v>
      </c>
      <c r="J203" s="17" t="str">
        <f>VLOOKUP(Main_Presentation[[#This Row],[LC Number]],Main_Issuance[],8,0)</f>
        <v>FIRST FIX</v>
      </c>
      <c r="K203" s="17" t="str">
        <f>VLOOKUP(Main_Presentation[[#This Row],[LC Number]],Main_Issuance[],9,0)</f>
        <v>KSP</v>
      </c>
      <c r="L203" s="17">
        <f>VLOOKUP(Main_Presentation[[#This Row],[LC Number]],Main_Issuance[],10,0)</f>
        <v>1020055</v>
      </c>
      <c r="M203" s="17" t="str">
        <f>VLOOKUP(Main_Presentation[[#This Row],[LC Number]],Main_Issuance[],11,0)</f>
        <v>SAR</v>
      </c>
      <c r="N203" s="84">
        <f>VLOOKUP(Main_Presentation[[#This Row],[LC Number]],Main_Issuance[],12,0)</f>
        <v>1476799.72</v>
      </c>
      <c r="O203" s="16" t="s">
        <v>20</v>
      </c>
      <c r="P203" s="16" t="s">
        <v>857</v>
      </c>
      <c r="Q203" s="131">
        <v>1476799.72</v>
      </c>
      <c r="R203" s="18">
        <v>1</v>
      </c>
      <c r="S203" s="18">
        <f>Main_Presentation[[#This Row],[Invoice Amt (FCY)]]*Main_Presentation[[#This Row],[Rate]]</f>
        <v>1476799.72</v>
      </c>
      <c r="T203" s="15">
        <v>45041</v>
      </c>
      <c r="U203" s="26">
        <f>VLOOKUP(Main_Presentation[[#This Row],[LC Number]],Main_Issuance[],18,0)</f>
        <v>0</v>
      </c>
      <c r="V203" s="19" t="s">
        <v>22</v>
      </c>
      <c r="W203" s="18" t="s">
        <v>857</v>
      </c>
      <c r="X203" s="16"/>
      <c r="Y203" s="234" t="str">
        <f>TRIM(LEFT(Main_Presentation[[#This Row],[Payment Terms]],3))</f>
        <v>0</v>
      </c>
      <c r="Z203" s="16"/>
      <c r="AA203" s="316" cm="1">
        <f t="array" ref="AA203">Settlement(Main_Presentation[[#This Row],[Bank]],Main_Presentation[[#This Row],[ Invoice Amt (SAR)]],Main_Presentation[[#This Row],[Date Recd]],Main_Presentation[[#This Row],[Due Date]],Main_Presentation[[#This Row],[Days]])</f>
        <v>1437.5</v>
      </c>
      <c r="AB203" s="16"/>
    </row>
    <row r="204" spans="1:28" ht="15.75" hidden="1" x14ac:dyDescent="0.25">
      <c r="A204" s="14" t="s">
        <v>132</v>
      </c>
      <c r="B204" s="15">
        <v>45181</v>
      </c>
      <c r="C204" s="26">
        <v>1</v>
      </c>
      <c r="D204" s="55" t="str">
        <f>VLOOKUP(Main_Presentation[[#This Row],[LC Number]],Main_Issuance[],3,0)</f>
        <v>Hassan Taleb</v>
      </c>
      <c r="E204" s="16" t="s">
        <v>856</v>
      </c>
      <c r="F204" s="17" t="str">
        <f>VLOOKUP(Main_Presentation[[#This Row],[LC Number]],Main_Issuance[],5,0)</f>
        <v>Alinma</v>
      </c>
      <c r="G204" s="17" t="str">
        <f>VLOOKUP(Main_Presentation[[#This Row],[LC Number]],Main_Issuance[],6,0)</f>
        <v>KSP</v>
      </c>
      <c r="H204" s="17" t="str">
        <f>VLOOKUP(Main_Presentation[[#This Row],[LC Number]],Main_Issuance[],17,0)</f>
        <v>Credit</v>
      </c>
      <c r="I204" s="17" t="str">
        <f>VLOOKUP(Main_Presentation[[#This Row],[LC Number]],Main_Issuance[],7,0)</f>
        <v>AL FANAR ELECTRICAL SYSTEMS</v>
      </c>
      <c r="J204" s="17" t="str">
        <f>VLOOKUP(Main_Presentation[[#This Row],[LC Number]],Main_Issuance[],8,0)</f>
        <v>FIRST FIX</v>
      </c>
      <c r="K204" s="17" t="str">
        <f>VLOOKUP(Main_Presentation[[#This Row],[LC Number]],Main_Issuance[],9,0)</f>
        <v>KSP</v>
      </c>
      <c r="L204" s="17">
        <f>VLOOKUP(Main_Presentation[[#This Row],[LC Number]],Main_Issuance[],10,0)</f>
        <v>1020055</v>
      </c>
      <c r="M204" s="17" t="str">
        <f>VLOOKUP(Main_Presentation[[#This Row],[LC Number]],Main_Issuance[],11,0)</f>
        <v>SAR</v>
      </c>
      <c r="N204" s="84">
        <f>VLOOKUP(Main_Presentation[[#This Row],[LC Number]],Main_Issuance[],12,0)</f>
        <v>1416451.76</v>
      </c>
      <c r="O204" s="16" t="s">
        <v>20</v>
      </c>
      <c r="P204" s="16" t="s">
        <v>857</v>
      </c>
      <c r="Q204" s="131">
        <v>1185458</v>
      </c>
      <c r="R204" s="18">
        <v>1</v>
      </c>
      <c r="S204" s="18">
        <f>Main_Presentation[[#This Row],[Invoice Amt (FCY)]]*Main_Presentation[[#This Row],[Rate]]</f>
        <v>1185458</v>
      </c>
      <c r="T204" s="15">
        <v>45041</v>
      </c>
      <c r="U204" s="26">
        <f>VLOOKUP(Main_Presentation[[#This Row],[LC Number]],Main_Issuance[],18,0)</f>
        <v>0</v>
      </c>
      <c r="V204" s="19" t="s">
        <v>22</v>
      </c>
      <c r="W204" s="18" t="s">
        <v>857</v>
      </c>
      <c r="X204" s="16"/>
      <c r="Y204" s="234" t="str">
        <f>TRIM(LEFT(Main_Presentation[[#This Row],[Payment Terms]],3))</f>
        <v>0</v>
      </c>
      <c r="Z204" s="16"/>
      <c r="AA204" s="316" cm="1">
        <f t="array" ref="AA204">Settlement(Main_Presentation[[#This Row],[Bank]],Main_Presentation[[#This Row],[ Invoice Amt (SAR)]],Main_Presentation[[#This Row],[Date Recd]],Main_Presentation[[#This Row],[Due Date]],Main_Presentation[[#This Row],[Days]])</f>
        <v>1437.5</v>
      </c>
      <c r="AB204" s="16"/>
    </row>
    <row r="205" spans="1:28" ht="15.75" hidden="1" x14ac:dyDescent="0.25">
      <c r="A205" s="14" t="s">
        <v>132</v>
      </c>
      <c r="B205" s="15">
        <v>45181</v>
      </c>
      <c r="C205" s="26">
        <v>2</v>
      </c>
      <c r="D205" s="55" t="str">
        <f>VLOOKUP(Main_Presentation[[#This Row],[LC Number]],Main_Issuance[],3,0)</f>
        <v>Hassan Taleb</v>
      </c>
      <c r="E205" s="16" t="s">
        <v>856</v>
      </c>
      <c r="F205" s="17" t="str">
        <f>VLOOKUP(Main_Presentation[[#This Row],[LC Number]],Main_Issuance[],5,0)</f>
        <v>Alinma</v>
      </c>
      <c r="G205" s="17" t="str">
        <f>VLOOKUP(Main_Presentation[[#This Row],[LC Number]],Main_Issuance[],6,0)</f>
        <v>KSP</v>
      </c>
      <c r="H205" s="17" t="str">
        <f>VLOOKUP(Main_Presentation[[#This Row],[LC Number]],Main_Issuance[],17,0)</f>
        <v>Credit</v>
      </c>
      <c r="I205" s="17" t="str">
        <f>VLOOKUP(Main_Presentation[[#This Row],[LC Number]],Main_Issuance[],7,0)</f>
        <v>AL FANAR ELECTRICAL SYSTEMS</v>
      </c>
      <c r="J205" s="17" t="str">
        <f>VLOOKUP(Main_Presentation[[#This Row],[LC Number]],Main_Issuance[],8,0)</f>
        <v>FIRST FIX</v>
      </c>
      <c r="K205" s="17" t="str">
        <f>VLOOKUP(Main_Presentation[[#This Row],[LC Number]],Main_Issuance[],9,0)</f>
        <v>KSP</v>
      </c>
      <c r="L205" s="17">
        <f>VLOOKUP(Main_Presentation[[#This Row],[LC Number]],Main_Issuance[],10,0)</f>
        <v>1020055</v>
      </c>
      <c r="M205" s="17" t="str">
        <f>VLOOKUP(Main_Presentation[[#This Row],[LC Number]],Main_Issuance[],11,0)</f>
        <v>SAR</v>
      </c>
      <c r="N205" s="84">
        <f>VLOOKUP(Main_Presentation[[#This Row],[LC Number]],Main_Issuance[],12,0)</f>
        <v>1416451.76</v>
      </c>
      <c r="O205" s="16" t="s">
        <v>20</v>
      </c>
      <c r="P205" s="16" t="s">
        <v>857</v>
      </c>
      <c r="Q205" s="131">
        <v>230993.76</v>
      </c>
      <c r="R205" s="18">
        <v>1</v>
      </c>
      <c r="S205" s="18">
        <f>Main_Presentation[[#This Row],[Invoice Amt (FCY)]]*Main_Presentation[[#This Row],[Rate]]</f>
        <v>230993.76</v>
      </c>
      <c r="T205" s="15">
        <v>45041</v>
      </c>
      <c r="U205" s="26">
        <f>VLOOKUP(Main_Presentation[[#This Row],[LC Number]],Main_Issuance[],18,0)</f>
        <v>0</v>
      </c>
      <c r="V205" s="19" t="s">
        <v>22</v>
      </c>
      <c r="W205" s="18" t="s">
        <v>857</v>
      </c>
      <c r="X205" s="16"/>
      <c r="Y205" s="234" t="str">
        <f>TRIM(LEFT(Main_Presentation[[#This Row],[Payment Terms]],3))</f>
        <v>0</v>
      </c>
      <c r="Z205" s="16"/>
      <c r="AA205" s="316" cm="1">
        <f t="array" ref="AA205">Settlement(Main_Presentation[[#This Row],[Bank]],Main_Presentation[[#This Row],[ Invoice Amt (SAR)]],Main_Presentation[[#This Row],[Date Recd]],Main_Presentation[[#This Row],[Due Date]],Main_Presentation[[#This Row],[Days]])</f>
        <v>1437.5</v>
      </c>
      <c r="AB205" s="16"/>
    </row>
    <row r="206" spans="1:28" ht="15.75" hidden="1" x14ac:dyDescent="0.25">
      <c r="A206" s="14" t="s">
        <v>135</v>
      </c>
      <c r="B206" s="15">
        <v>45189</v>
      </c>
      <c r="C206" s="26">
        <v>1</v>
      </c>
      <c r="D206" s="55" t="str">
        <f>VLOOKUP(Main_Presentation[[#This Row],[LC Number]],Main_Issuance[],3,0)</f>
        <v>Hassan Taleb</v>
      </c>
      <c r="E206" s="16" t="s">
        <v>856</v>
      </c>
      <c r="F206" s="17" t="str">
        <f>VLOOKUP(Main_Presentation[[#This Row],[LC Number]],Main_Issuance[],5,0)</f>
        <v>Alinma</v>
      </c>
      <c r="G206" s="17" t="str">
        <f>VLOOKUP(Main_Presentation[[#This Row],[LC Number]],Main_Issuance[],6,0)</f>
        <v>KSP</v>
      </c>
      <c r="H206" s="17" t="str">
        <f>VLOOKUP(Main_Presentation[[#This Row],[LC Number]],Main_Issuance[],17,0)</f>
        <v>Credit</v>
      </c>
      <c r="I206" s="17" t="str">
        <f>VLOOKUP(Main_Presentation[[#This Row],[LC Number]],Main_Issuance[],7,0)</f>
        <v>ALMAYMANAH FOR CONTRACTING CO LTD</v>
      </c>
      <c r="J206" s="17" t="str">
        <f>VLOOKUP(Main_Presentation[[#This Row],[LC Number]],Main_Issuance[],8,0)</f>
        <v>FIRST FIX</v>
      </c>
      <c r="K206" s="17" t="str">
        <f>VLOOKUP(Main_Presentation[[#This Row],[LC Number]],Main_Issuance[],9,0)</f>
        <v>KSP</v>
      </c>
      <c r="L206" s="17">
        <f>VLOOKUP(Main_Presentation[[#This Row],[LC Number]],Main_Issuance[],10,0)</f>
        <v>1020055</v>
      </c>
      <c r="M206" s="17" t="str">
        <f>VLOOKUP(Main_Presentation[[#This Row],[LC Number]],Main_Issuance[],11,0)</f>
        <v>SAR</v>
      </c>
      <c r="N206" s="84">
        <f>VLOOKUP(Main_Presentation[[#This Row],[LC Number]],Main_Issuance[],12,0)</f>
        <v>786746.67</v>
      </c>
      <c r="O206" s="16" t="s">
        <v>20</v>
      </c>
      <c r="P206" s="16" t="s">
        <v>857</v>
      </c>
      <c r="Q206" s="131">
        <v>786746.67</v>
      </c>
      <c r="R206" s="18">
        <v>1</v>
      </c>
      <c r="S206" s="18">
        <f>Main_Presentation[[#This Row],[Invoice Amt (FCY)]]*Main_Presentation[[#This Row],[Rate]]</f>
        <v>786746.67</v>
      </c>
      <c r="T206" s="15">
        <v>45041</v>
      </c>
      <c r="U206" s="26">
        <f>VLOOKUP(Main_Presentation[[#This Row],[LC Number]],Main_Issuance[],18,0)</f>
        <v>0</v>
      </c>
      <c r="V206" s="19" t="s">
        <v>22</v>
      </c>
      <c r="W206" s="18" t="s">
        <v>857</v>
      </c>
      <c r="X206" s="16"/>
      <c r="Y206" s="234" t="str">
        <f>TRIM(LEFT(Main_Presentation[[#This Row],[Payment Terms]],3))</f>
        <v>0</v>
      </c>
      <c r="Z206" s="16"/>
      <c r="AA206" s="316" cm="1">
        <f t="array" ref="AA206">Settlement(Main_Presentation[[#This Row],[Bank]],Main_Presentation[[#This Row],[ Invoice Amt (SAR)]],Main_Presentation[[#This Row],[Date Recd]],Main_Presentation[[#This Row],[Due Date]],Main_Presentation[[#This Row],[Days]])</f>
        <v>1437.5</v>
      </c>
      <c r="AB206" s="16"/>
    </row>
    <row r="207" spans="1:28" ht="15.75" hidden="1" x14ac:dyDescent="0.25">
      <c r="A207" s="14" t="s">
        <v>141</v>
      </c>
      <c r="B207" s="15">
        <v>45223</v>
      </c>
      <c r="C207" s="26">
        <v>1</v>
      </c>
      <c r="D207" s="55" t="str">
        <f>VLOOKUP(Main_Presentation[[#This Row],[LC Number]],Main_Issuance[],3,0)</f>
        <v>Hassan Taleb</v>
      </c>
      <c r="E207" s="16" t="s">
        <v>856</v>
      </c>
      <c r="F207" s="17" t="str">
        <f>VLOOKUP(Main_Presentation[[#This Row],[LC Number]],Main_Issuance[],5,0)</f>
        <v>Alinma</v>
      </c>
      <c r="G207" s="17" t="str">
        <f>VLOOKUP(Main_Presentation[[#This Row],[LC Number]],Main_Issuance[],6,0)</f>
        <v>KSP</v>
      </c>
      <c r="H207" s="17" t="str">
        <f>VLOOKUP(Main_Presentation[[#This Row],[LC Number]],Main_Issuance[],17,0)</f>
        <v>Credit</v>
      </c>
      <c r="I207" s="17" t="str">
        <f>VLOOKUP(Main_Presentation[[#This Row],[LC Number]],Main_Issuance[],7,0)</f>
        <v xml:space="preserve">OPTIMAL ENGINEERING SOLUTIONS              </v>
      </c>
      <c r="J207" s="17" t="str">
        <f>VLOOKUP(Main_Presentation[[#This Row],[LC Number]],Main_Issuance[],8,0)</f>
        <v>FIRST FIX</v>
      </c>
      <c r="K207" s="17" t="str">
        <f>VLOOKUP(Main_Presentation[[#This Row],[LC Number]],Main_Issuance[],9,0)</f>
        <v>KSP</v>
      </c>
      <c r="L207" s="17">
        <f>VLOOKUP(Main_Presentation[[#This Row],[LC Number]],Main_Issuance[],10,0)</f>
        <v>1020055</v>
      </c>
      <c r="M207" s="17" t="str">
        <f>VLOOKUP(Main_Presentation[[#This Row],[LC Number]],Main_Issuance[],11,0)</f>
        <v>SAR</v>
      </c>
      <c r="N207" s="84">
        <f>VLOOKUP(Main_Presentation[[#This Row],[LC Number]],Main_Issuance[],12,0)</f>
        <v>4000000</v>
      </c>
      <c r="O207" s="16" t="s">
        <v>20</v>
      </c>
      <c r="P207" s="16" t="s">
        <v>857</v>
      </c>
      <c r="Q207" s="131">
        <v>4000000</v>
      </c>
      <c r="R207" s="18">
        <v>1</v>
      </c>
      <c r="S207" s="18">
        <f>Main_Presentation[[#This Row],[Invoice Amt (FCY)]]*Main_Presentation[[#This Row],[Rate]]</f>
        <v>4000000</v>
      </c>
      <c r="T207" s="15">
        <v>45041</v>
      </c>
      <c r="U207" s="26">
        <f>VLOOKUP(Main_Presentation[[#This Row],[LC Number]],Main_Issuance[],18,0)</f>
        <v>0</v>
      </c>
      <c r="V207" s="19" t="s">
        <v>22</v>
      </c>
      <c r="W207" s="18" t="s">
        <v>857</v>
      </c>
      <c r="X207" s="16"/>
      <c r="Y207" s="234" t="str">
        <f>TRIM(LEFT(Main_Presentation[[#This Row],[Payment Terms]],3))</f>
        <v>0</v>
      </c>
      <c r="Z207" s="16"/>
      <c r="AA207" s="316" cm="1">
        <f t="array" ref="AA207">Settlement(Main_Presentation[[#This Row],[Bank]],Main_Presentation[[#This Row],[ Invoice Amt (SAR)]],Main_Presentation[[#This Row],[Date Recd]],Main_Presentation[[#This Row],[Due Date]],Main_Presentation[[#This Row],[Days]])</f>
        <v>1437.5</v>
      </c>
      <c r="AB207" s="16"/>
    </row>
    <row r="208" spans="1:28" ht="15.75" hidden="1" x14ac:dyDescent="0.25">
      <c r="A208" s="14" t="s">
        <v>151</v>
      </c>
      <c r="B208" s="15">
        <v>45208</v>
      </c>
      <c r="C208" s="26">
        <v>1</v>
      </c>
      <c r="D208" s="55" t="str">
        <f>VLOOKUP(Main_Presentation[[#This Row],[LC Number]],Main_Issuance[],3,0)</f>
        <v>Hassan Taleb</v>
      </c>
      <c r="E208" s="16" t="s">
        <v>856</v>
      </c>
      <c r="F208" s="17" t="str">
        <f>VLOOKUP(Main_Presentation[[#This Row],[LC Number]],Main_Issuance[],5,0)</f>
        <v>Alinma</v>
      </c>
      <c r="G208" s="17" t="str">
        <f>VLOOKUP(Main_Presentation[[#This Row],[LC Number]],Main_Issuance[],6,0)</f>
        <v>KSP</v>
      </c>
      <c r="H208" s="17" t="str">
        <f>VLOOKUP(Main_Presentation[[#This Row],[LC Number]],Main_Issuance[],17,0)</f>
        <v>Credit</v>
      </c>
      <c r="I208" s="17" t="str">
        <f>VLOOKUP(Main_Presentation[[#This Row],[LC Number]],Main_Issuance[],7,0)</f>
        <v>CUBE METAL INDUSTRIES CO.</v>
      </c>
      <c r="J208" s="17" t="str">
        <f>VLOOKUP(Main_Presentation[[#This Row],[LC Number]],Main_Issuance[],8,0)</f>
        <v>FIRST FIX</v>
      </c>
      <c r="K208" s="17" t="str">
        <f>VLOOKUP(Main_Presentation[[#This Row],[LC Number]],Main_Issuance[],9,0)</f>
        <v>KSP</v>
      </c>
      <c r="L208" s="17">
        <f>VLOOKUP(Main_Presentation[[#This Row],[LC Number]],Main_Issuance[],10,0)</f>
        <v>1020055</v>
      </c>
      <c r="M208" s="17" t="str">
        <f>VLOOKUP(Main_Presentation[[#This Row],[LC Number]],Main_Issuance[],11,0)</f>
        <v>SAR</v>
      </c>
      <c r="N208" s="84">
        <f>VLOOKUP(Main_Presentation[[#This Row],[LC Number]],Main_Issuance[],12,0)</f>
        <v>1000000</v>
      </c>
      <c r="O208" s="16" t="s">
        <v>20</v>
      </c>
      <c r="P208" s="16" t="s">
        <v>857</v>
      </c>
      <c r="Q208" s="131">
        <v>1000000</v>
      </c>
      <c r="R208" s="18">
        <v>1</v>
      </c>
      <c r="S208" s="18">
        <f>Main_Presentation[[#This Row],[Invoice Amt (FCY)]]*Main_Presentation[[#This Row],[Rate]]</f>
        <v>1000000</v>
      </c>
      <c r="T208" s="15">
        <v>45041</v>
      </c>
      <c r="U208" s="26" t="str">
        <f>VLOOKUP(Main_Presentation[[#This Row],[LC Number]],Main_Issuance[],18,0)</f>
        <v>60 Days from Delivery Date</v>
      </c>
      <c r="V208" s="19" t="s">
        <v>22</v>
      </c>
      <c r="W208" s="18" t="s">
        <v>857</v>
      </c>
      <c r="X208" s="16"/>
      <c r="Y208" s="234" t="str">
        <f>TRIM(LEFT(Main_Presentation[[#This Row],[Payment Terms]],3))</f>
        <v>60</v>
      </c>
      <c r="Z208" s="16"/>
      <c r="AA208" s="316" cm="1">
        <f t="array" ref="AA208">Settlement(Main_Presentation[[#This Row],[Bank]],Main_Presentation[[#This Row],[ Invoice Amt (SAR)]],Main_Presentation[[#This Row],[Date Recd]],Main_Presentation[[#This Row],[Due Date]],Main_Presentation[[#This Row],[Days]])</f>
        <v>1437.5</v>
      </c>
      <c r="AB208" s="16"/>
    </row>
    <row r="209" spans="1:28" ht="15.75" hidden="1" x14ac:dyDescent="0.25">
      <c r="A209" s="14" t="s">
        <v>153</v>
      </c>
      <c r="B209" s="15">
        <v>45167</v>
      </c>
      <c r="C209" s="26">
        <v>1</v>
      </c>
      <c r="D209" s="55" t="str">
        <f>VLOOKUP(Main_Presentation[[#This Row],[LC Number]],Main_Issuance[],3,0)</f>
        <v>Hassan Taleb</v>
      </c>
      <c r="E209" s="16" t="s">
        <v>856</v>
      </c>
      <c r="F209" s="17" t="str">
        <f>VLOOKUP(Main_Presentation[[#This Row],[LC Number]],Main_Issuance[],5,0)</f>
        <v>Alinma</v>
      </c>
      <c r="G209" s="17" t="str">
        <f>VLOOKUP(Main_Presentation[[#This Row],[LC Number]],Main_Issuance[],6,0)</f>
        <v>KSP</v>
      </c>
      <c r="H209" s="17" t="str">
        <f>VLOOKUP(Main_Presentation[[#This Row],[LC Number]],Main_Issuance[],17,0)</f>
        <v>Credit</v>
      </c>
      <c r="I209" s="17" t="str">
        <f>VLOOKUP(Main_Presentation[[#This Row],[LC Number]],Main_Issuance[],7,0)</f>
        <v>ELECTRIC HOUSE TRADING COMPANY LLC</v>
      </c>
      <c r="J209" s="17" t="str">
        <f>VLOOKUP(Main_Presentation[[#This Row],[LC Number]],Main_Issuance[],8,0)</f>
        <v>FIRST FIX</v>
      </c>
      <c r="K209" s="17" t="str">
        <f>VLOOKUP(Main_Presentation[[#This Row],[LC Number]],Main_Issuance[],9,0)</f>
        <v>KSP</v>
      </c>
      <c r="L209" s="17">
        <f>VLOOKUP(Main_Presentation[[#This Row],[LC Number]],Main_Issuance[],10,0)</f>
        <v>1020055</v>
      </c>
      <c r="M209" s="17" t="str">
        <f>VLOOKUP(Main_Presentation[[#This Row],[LC Number]],Main_Issuance[],11,0)</f>
        <v>SAR</v>
      </c>
      <c r="N209" s="84">
        <f>VLOOKUP(Main_Presentation[[#This Row],[LC Number]],Main_Issuance[],12,0)</f>
        <v>752957.98</v>
      </c>
      <c r="O209" s="16" t="s">
        <v>20</v>
      </c>
      <c r="P209" s="16" t="s">
        <v>857</v>
      </c>
      <c r="Q209" s="131">
        <v>752957.98</v>
      </c>
      <c r="R209" s="18">
        <v>1</v>
      </c>
      <c r="S209" s="18">
        <f>Main_Presentation[[#This Row],[Invoice Amt (FCY)]]*Main_Presentation[[#This Row],[Rate]]</f>
        <v>752957.98</v>
      </c>
      <c r="T209" s="15">
        <v>45041</v>
      </c>
      <c r="U209" s="26">
        <f>VLOOKUP(Main_Presentation[[#This Row],[LC Number]],Main_Issuance[],18,0)</f>
        <v>0</v>
      </c>
      <c r="V209" s="19" t="s">
        <v>22</v>
      </c>
      <c r="W209" s="18" t="s">
        <v>857</v>
      </c>
      <c r="X209" s="16"/>
      <c r="Y209" s="234" t="str">
        <f>TRIM(LEFT(Main_Presentation[[#This Row],[Payment Terms]],3))</f>
        <v>0</v>
      </c>
      <c r="Z209" s="16"/>
      <c r="AA209" s="316" cm="1">
        <f t="array" ref="AA209">Settlement(Main_Presentation[[#This Row],[Bank]],Main_Presentation[[#This Row],[ Invoice Amt (SAR)]],Main_Presentation[[#This Row],[Date Recd]],Main_Presentation[[#This Row],[Due Date]],Main_Presentation[[#This Row],[Days]])</f>
        <v>1437.5</v>
      </c>
      <c r="AB209" s="16"/>
    </row>
    <row r="210" spans="1:28" ht="15.75" hidden="1" x14ac:dyDescent="0.25">
      <c r="A210" s="14" t="s">
        <v>154</v>
      </c>
      <c r="B210" s="15">
        <v>45239</v>
      </c>
      <c r="C210" s="26">
        <v>1</v>
      </c>
      <c r="D210" s="55" t="str">
        <f>VLOOKUP(Main_Presentation[[#This Row],[LC Number]],Main_Issuance[],3,0)</f>
        <v>Hassan Taleb</v>
      </c>
      <c r="E210" s="16" t="s">
        <v>856</v>
      </c>
      <c r="F210" s="17" t="str">
        <f>VLOOKUP(Main_Presentation[[#This Row],[LC Number]],Main_Issuance[],5,0)</f>
        <v>Alinma</v>
      </c>
      <c r="G210" s="17" t="str">
        <f>VLOOKUP(Main_Presentation[[#This Row],[LC Number]],Main_Issuance[],6,0)</f>
        <v>KSP</v>
      </c>
      <c r="H210" s="17" t="str">
        <f>VLOOKUP(Main_Presentation[[#This Row],[LC Number]],Main_Issuance[],17,0)</f>
        <v>Credit</v>
      </c>
      <c r="I210" s="16" t="str">
        <f>VLOOKUP(Main_Presentation[[#This Row],[LC Number]],Main_Issuance[],7,0)</f>
        <v>Branch of National Fire Fighting (NAFFCO)</v>
      </c>
      <c r="J210" s="17" t="str">
        <f>VLOOKUP(Main_Presentation[[#This Row],[LC Number]],Main_Issuance[],8,0)</f>
        <v>FIRST FIX</v>
      </c>
      <c r="K210" s="17" t="str">
        <f>VLOOKUP(Main_Presentation[[#This Row],[LC Number]],Main_Issuance[],9,0)</f>
        <v>KSP</v>
      </c>
      <c r="L210" s="17">
        <f>VLOOKUP(Main_Presentation[[#This Row],[LC Number]],Main_Issuance[],10,0)</f>
        <v>1020055</v>
      </c>
      <c r="M210" s="17" t="str">
        <f>VLOOKUP(Main_Presentation[[#This Row],[LC Number]],Main_Issuance[],11,0)</f>
        <v>SAR</v>
      </c>
      <c r="N210" s="84">
        <f>VLOOKUP(Main_Presentation[[#This Row],[LC Number]],Main_Issuance[],12,0)</f>
        <v>800000</v>
      </c>
      <c r="O210" s="16" t="s">
        <v>20</v>
      </c>
      <c r="P210" s="16" t="s">
        <v>857</v>
      </c>
      <c r="Q210" s="131">
        <v>800000</v>
      </c>
      <c r="R210" s="18">
        <v>1</v>
      </c>
      <c r="S210" s="18">
        <f>Main_Presentation[[#This Row],[Invoice Amt (FCY)]]*Main_Presentation[[#This Row],[Rate]]</f>
        <v>800000</v>
      </c>
      <c r="T210" s="15">
        <v>45041</v>
      </c>
      <c r="U210" s="26" t="str">
        <f>VLOOKUP(Main_Presentation[[#This Row],[LC Number]],Main_Issuance[],18,0)</f>
        <v>60 Days from Delivery Date</v>
      </c>
      <c r="V210" s="19" t="s">
        <v>22</v>
      </c>
      <c r="W210" s="18" t="s">
        <v>857</v>
      </c>
      <c r="X210" s="16"/>
      <c r="Y210" s="234" t="str">
        <f>TRIM(LEFT(Main_Presentation[[#This Row],[Payment Terms]],3))</f>
        <v>60</v>
      </c>
      <c r="Z210" s="16"/>
      <c r="AA210" s="316" cm="1">
        <f t="array" ref="AA210">Settlement(Main_Presentation[[#This Row],[Bank]],Main_Presentation[[#This Row],[ Invoice Amt (SAR)]],Main_Presentation[[#This Row],[Date Recd]],Main_Presentation[[#This Row],[Due Date]],Main_Presentation[[#This Row],[Days]])</f>
        <v>1437.5</v>
      </c>
      <c r="AB210" s="16"/>
    </row>
    <row r="211" spans="1:28" ht="15.75" hidden="1" x14ac:dyDescent="0.25">
      <c r="A211" s="14" t="s">
        <v>158</v>
      </c>
      <c r="B211" s="15">
        <v>45208</v>
      </c>
      <c r="C211" s="26">
        <v>1</v>
      </c>
      <c r="D211" s="55" t="str">
        <f>VLOOKUP(Main_Presentation[[#This Row],[LC Number]],Main_Issuance[],3,0)</f>
        <v>Hassan Taleb</v>
      </c>
      <c r="E211" s="16" t="s">
        <v>856</v>
      </c>
      <c r="F211" s="17" t="str">
        <f>VLOOKUP(Main_Presentation[[#This Row],[LC Number]],Main_Issuance[],5,0)</f>
        <v>Alinma</v>
      </c>
      <c r="G211" s="17" t="str">
        <f>VLOOKUP(Main_Presentation[[#This Row],[LC Number]],Main_Issuance[],6,0)</f>
        <v>KSP</v>
      </c>
      <c r="H211" s="17" t="str">
        <f>VLOOKUP(Main_Presentation[[#This Row],[LC Number]],Main_Issuance[],17,0)</f>
        <v>Credit</v>
      </c>
      <c r="I211" s="17" t="str">
        <f>VLOOKUP(Main_Presentation[[#This Row],[LC Number]],Main_Issuance[],7,0)</f>
        <v>POWER CENTER COMPANY FOR INDUSTRIES LLC</v>
      </c>
      <c r="J211" s="17" t="str">
        <f>VLOOKUP(Main_Presentation[[#This Row],[LC Number]],Main_Issuance[],8,0)</f>
        <v>FIRST FIX</v>
      </c>
      <c r="K211" s="17" t="str">
        <f>VLOOKUP(Main_Presentation[[#This Row],[LC Number]],Main_Issuance[],9,0)</f>
        <v>KSP</v>
      </c>
      <c r="L211" s="17">
        <f>VLOOKUP(Main_Presentation[[#This Row],[LC Number]],Main_Issuance[],10,0)</f>
        <v>1020055</v>
      </c>
      <c r="M211" s="17" t="str">
        <f>VLOOKUP(Main_Presentation[[#This Row],[LC Number]],Main_Issuance[],11,0)</f>
        <v>SAR</v>
      </c>
      <c r="N211" s="84">
        <f>VLOOKUP(Main_Presentation[[#This Row],[LC Number]],Main_Issuance[],12,0)</f>
        <v>2211315.2999999998</v>
      </c>
      <c r="O211" s="16" t="s">
        <v>20</v>
      </c>
      <c r="P211" s="16" t="s">
        <v>857</v>
      </c>
      <c r="Q211" s="131">
        <v>2211315.2999999998</v>
      </c>
      <c r="R211" s="18">
        <v>1</v>
      </c>
      <c r="S211" s="18">
        <f>Main_Presentation[[#This Row],[Invoice Amt (FCY)]]*Main_Presentation[[#This Row],[Rate]]</f>
        <v>2211315.2999999998</v>
      </c>
      <c r="T211" s="15">
        <v>45041</v>
      </c>
      <c r="U211" s="26">
        <f>VLOOKUP(Main_Presentation[[#This Row],[LC Number]],Main_Issuance[],18,0)</f>
        <v>0</v>
      </c>
      <c r="V211" s="19" t="s">
        <v>22</v>
      </c>
      <c r="W211" s="18" t="s">
        <v>857</v>
      </c>
      <c r="X211" s="16"/>
      <c r="Y211" s="234" t="str">
        <f>TRIM(LEFT(Main_Presentation[[#This Row],[Payment Terms]],3))</f>
        <v>0</v>
      </c>
      <c r="Z211" s="16"/>
      <c r="AA211" s="316" cm="1">
        <f t="array" ref="AA211">Settlement(Main_Presentation[[#This Row],[Bank]],Main_Presentation[[#This Row],[ Invoice Amt (SAR)]],Main_Presentation[[#This Row],[Date Recd]],Main_Presentation[[#This Row],[Due Date]],Main_Presentation[[#This Row],[Days]])</f>
        <v>1437.5</v>
      </c>
      <c r="AB211" s="16"/>
    </row>
    <row r="212" spans="1:28" ht="15.75" hidden="1" x14ac:dyDescent="0.25">
      <c r="A212" s="14" t="s">
        <v>160</v>
      </c>
      <c r="B212" s="15">
        <v>45217</v>
      </c>
      <c r="C212" s="26">
        <v>1</v>
      </c>
      <c r="D212" s="55" t="str">
        <f>VLOOKUP(Main_Presentation[[#This Row],[LC Number]],Main_Issuance[],3,0)</f>
        <v>Hassan Taleb</v>
      </c>
      <c r="E212" s="16" t="s">
        <v>856</v>
      </c>
      <c r="F212" s="17" t="str">
        <f>VLOOKUP(Main_Presentation[[#This Row],[LC Number]],Main_Issuance[],5,0)</f>
        <v>Alinma</v>
      </c>
      <c r="G212" s="17" t="str">
        <f>VLOOKUP(Main_Presentation[[#This Row],[LC Number]],Main_Issuance[],6,0)</f>
        <v>KSP</v>
      </c>
      <c r="H212" s="17" t="str">
        <f>VLOOKUP(Main_Presentation[[#This Row],[LC Number]],Main_Issuance[],17,0)</f>
        <v>Credit</v>
      </c>
      <c r="I212" s="17" t="str">
        <f>VLOOKUP(Main_Presentation[[#This Row],[LC Number]],Main_Issuance[],7,0)</f>
        <v>ALMABANI ALUMUMIYYAH LTD</v>
      </c>
      <c r="J212" s="17" t="str">
        <f>VLOOKUP(Main_Presentation[[#This Row],[LC Number]],Main_Issuance[],8,0)</f>
        <v>FIRST FIX</v>
      </c>
      <c r="K212" s="17" t="str">
        <f>VLOOKUP(Main_Presentation[[#This Row],[LC Number]],Main_Issuance[],9,0)</f>
        <v>KSP</v>
      </c>
      <c r="L212" s="17">
        <f>VLOOKUP(Main_Presentation[[#This Row],[LC Number]],Main_Issuance[],10,0)</f>
        <v>1020055</v>
      </c>
      <c r="M212" s="17" t="str">
        <f>VLOOKUP(Main_Presentation[[#This Row],[LC Number]],Main_Issuance[],11,0)</f>
        <v>SAR</v>
      </c>
      <c r="N212" s="84">
        <f>VLOOKUP(Main_Presentation[[#This Row],[LC Number]],Main_Issuance[],12,0)</f>
        <v>400000</v>
      </c>
      <c r="O212" s="16" t="s">
        <v>20</v>
      </c>
      <c r="P212" s="16" t="s">
        <v>857</v>
      </c>
      <c r="Q212" s="131">
        <v>400000</v>
      </c>
      <c r="R212" s="18">
        <v>1</v>
      </c>
      <c r="S212" s="18">
        <f>Main_Presentation[[#This Row],[Invoice Amt (FCY)]]*Main_Presentation[[#This Row],[Rate]]</f>
        <v>400000</v>
      </c>
      <c r="T212" s="15">
        <v>45041</v>
      </c>
      <c r="U212" s="26">
        <f>VLOOKUP(Main_Presentation[[#This Row],[LC Number]],Main_Issuance[],18,0)</f>
        <v>0</v>
      </c>
      <c r="V212" s="19" t="s">
        <v>22</v>
      </c>
      <c r="W212" s="18" t="s">
        <v>857</v>
      </c>
      <c r="X212" s="16"/>
      <c r="Y212" s="234" t="str">
        <f>TRIM(LEFT(Main_Presentation[[#This Row],[Payment Terms]],3))</f>
        <v>0</v>
      </c>
      <c r="Z212" s="16"/>
      <c r="AA212" s="316" cm="1">
        <f t="array" ref="AA212">Settlement(Main_Presentation[[#This Row],[Bank]],Main_Presentation[[#This Row],[ Invoice Amt (SAR)]],Main_Presentation[[#This Row],[Date Recd]],Main_Presentation[[#This Row],[Due Date]],Main_Presentation[[#This Row],[Days]])</f>
        <v>1437.5</v>
      </c>
      <c r="AB212" s="16"/>
    </row>
    <row r="213" spans="1:28" ht="15.75" hidden="1" x14ac:dyDescent="0.25">
      <c r="A213" s="14" t="s">
        <v>176</v>
      </c>
      <c r="B213" s="15">
        <v>45211</v>
      </c>
      <c r="C213" s="26">
        <v>1</v>
      </c>
      <c r="D213" s="55" t="str">
        <f>VLOOKUP(Main_Presentation[[#This Row],[LC Number]],Main_Issuance[],3,0)</f>
        <v>Hassan Taleb</v>
      </c>
      <c r="E213" s="16" t="s">
        <v>856</v>
      </c>
      <c r="F213" s="17" t="str">
        <f>VLOOKUP(Main_Presentation[[#This Row],[LC Number]],Main_Issuance[],5,0)</f>
        <v>Alinma</v>
      </c>
      <c r="G213" s="17" t="str">
        <f>VLOOKUP(Main_Presentation[[#This Row],[LC Number]],Main_Issuance[],6,0)</f>
        <v>KSP</v>
      </c>
      <c r="H213" s="17" t="str">
        <f>VLOOKUP(Main_Presentation[[#This Row],[LC Number]],Main_Issuance[],17,0)</f>
        <v>Credit</v>
      </c>
      <c r="I213" s="17" t="str">
        <f>VLOOKUP(Main_Presentation[[#This Row],[LC Number]],Main_Issuance[],7,0)</f>
        <v>ALFANAR ELECTRICAL SYSTEMS</v>
      </c>
      <c r="J213" s="17" t="str">
        <f>VLOOKUP(Main_Presentation[[#This Row],[LC Number]],Main_Issuance[],8,0)</f>
        <v>FIRST FIX</v>
      </c>
      <c r="K213" s="17" t="str">
        <f>VLOOKUP(Main_Presentation[[#This Row],[LC Number]],Main_Issuance[],9,0)</f>
        <v>KSP</v>
      </c>
      <c r="L213" s="17">
        <f>VLOOKUP(Main_Presentation[[#This Row],[LC Number]],Main_Issuance[],10,0)</f>
        <v>1020055</v>
      </c>
      <c r="M213" s="17" t="str">
        <f>VLOOKUP(Main_Presentation[[#This Row],[LC Number]],Main_Issuance[],11,0)</f>
        <v>SAR</v>
      </c>
      <c r="N213" s="84">
        <f>VLOOKUP(Main_Presentation[[#This Row],[LC Number]],Main_Issuance[],12,0)</f>
        <v>6674535.2699999996</v>
      </c>
      <c r="O213" s="16" t="s">
        <v>20</v>
      </c>
      <c r="P213" s="16" t="s">
        <v>857</v>
      </c>
      <c r="Q213" s="131">
        <v>6233525</v>
      </c>
      <c r="R213" s="18">
        <v>1</v>
      </c>
      <c r="S213" s="18">
        <f>Main_Presentation[[#This Row],[Invoice Amt (FCY)]]*Main_Presentation[[#This Row],[Rate]]</f>
        <v>6233525</v>
      </c>
      <c r="T213" s="15">
        <v>45041</v>
      </c>
      <c r="U213" s="26" t="str">
        <f>VLOOKUP(Main_Presentation[[#This Row],[LC Number]],Main_Issuance[],18,0)</f>
        <v>60 Days from Delivery Date</v>
      </c>
      <c r="V213" s="19" t="s">
        <v>22</v>
      </c>
      <c r="W213" s="18" t="s">
        <v>857</v>
      </c>
      <c r="X213" s="16"/>
      <c r="Y213" s="234" t="str">
        <f>TRIM(LEFT(Main_Presentation[[#This Row],[Payment Terms]],3))</f>
        <v>60</v>
      </c>
      <c r="Z213" s="16"/>
      <c r="AA213" s="316" cm="1">
        <f t="array" ref="AA213">Settlement(Main_Presentation[[#This Row],[Bank]],Main_Presentation[[#This Row],[ Invoice Amt (SAR)]],Main_Presentation[[#This Row],[Date Recd]],Main_Presentation[[#This Row],[Due Date]],Main_Presentation[[#This Row],[Days]])</f>
        <v>1437.5</v>
      </c>
      <c r="AB213" s="16"/>
    </row>
    <row r="214" spans="1:28" ht="15.75" hidden="1" x14ac:dyDescent="0.25">
      <c r="A214" s="14" t="s">
        <v>176</v>
      </c>
      <c r="B214" s="15">
        <v>45228</v>
      </c>
      <c r="C214" s="26">
        <v>2</v>
      </c>
      <c r="D214" s="55" t="str">
        <f>VLOOKUP(Main_Presentation[[#This Row],[LC Number]],Main_Issuance[],3,0)</f>
        <v>Hassan Taleb</v>
      </c>
      <c r="E214" s="16" t="s">
        <v>856</v>
      </c>
      <c r="F214" s="17" t="str">
        <f>VLOOKUP(Main_Presentation[[#This Row],[LC Number]],Main_Issuance[],5,0)</f>
        <v>Alinma</v>
      </c>
      <c r="G214" s="17" t="str">
        <f>VLOOKUP(Main_Presentation[[#This Row],[LC Number]],Main_Issuance[],6,0)</f>
        <v>KSP</v>
      </c>
      <c r="H214" s="17" t="str">
        <f>VLOOKUP(Main_Presentation[[#This Row],[LC Number]],Main_Issuance[],17,0)</f>
        <v>Credit</v>
      </c>
      <c r="I214" s="17" t="str">
        <f>VLOOKUP(Main_Presentation[[#This Row],[LC Number]],Main_Issuance[],7,0)</f>
        <v>ALFANAR ELECTRICAL SYSTEMS</v>
      </c>
      <c r="J214" s="17" t="str">
        <f>VLOOKUP(Main_Presentation[[#This Row],[LC Number]],Main_Issuance[],8,0)</f>
        <v>FIRST FIX</v>
      </c>
      <c r="K214" s="17" t="str">
        <f>VLOOKUP(Main_Presentation[[#This Row],[LC Number]],Main_Issuance[],9,0)</f>
        <v>KSP</v>
      </c>
      <c r="L214" s="17">
        <f>VLOOKUP(Main_Presentation[[#This Row],[LC Number]],Main_Issuance[],10,0)</f>
        <v>1020055</v>
      </c>
      <c r="M214" s="17" t="str">
        <f>VLOOKUP(Main_Presentation[[#This Row],[LC Number]],Main_Issuance[],11,0)</f>
        <v>SAR</v>
      </c>
      <c r="N214" s="84">
        <f>VLOOKUP(Main_Presentation[[#This Row],[LC Number]],Main_Issuance[],12,0)</f>
        <v>6674535.2699999996</v>
      </c>
      <c r="O214" s="16" t="s">
        <v>20</v>
      </c>
      <c r="P214" s="16" t="s">
        <v>857</v>
      </c>
      <c r="Q214" s="131">
        <v>441010.27</v>
      </c>
      <c r="R214" s="18">
        <v>1</v>
      </c>
      <c r="S214" s="18">
        <f>Main_Presentation[[#This Row],[Invoice Amt (FCY)]]*Main_Presentation[[#This Row],[Rate]]</f>
        <v>441010.27</v>
      </c>
      <c r="T214" s="15">
        <v>45041</v>
      </c>
      <c r="U214" s="26" t="str">
        <f>VLOOKUP(Main_Presentation[[#This Row],[LC Number]],Main_Issuance[],18,0)</f>
        <v>60 Days from Delivery Date</v>
      </c>
      <c r="V214" s="19" t="s">
        <v>22</v>
      </c>
      <c r="W214" s="18" t="s">
        <v>857</v>
      </c>
      <c r="X214" s="16"/>
      <c r="Y214" s="234" t="str">
        <f>TRIM(LEFT(Main_Presentation[[#This Row],[Payment Terms]],3))</f>
        <v>60</v>
      </c>
      <c r="Z214" s="16"/>
      <c r="AA214" s="316" cm="1">
        <f t="array" ref="AA214">Settlement(Main_Presentation[[#This Row],[Bank]],Main_Presentation[[#This Row],[ Invoice Amt (SAR)]],Main_Presentation[[#This Row],[Date Recd]],Main_Presentation[[#This Row],[Due Date]],Main_Presentation[[#This Row],[Days]])</f>
        <v>1437.5</v>
      </c>
      <c r="AB214" s="16"/>
    </row>
    <row r="215" spans="1:28" ht="15.75" hidden="1" x14ac:dyDescent="0.25">
      <c r="A215" s="14" t="s">
        <v>180</v>
      </c>
      <c r="B215" s="15">
        <v>45230</v>
      </c>
      <c r="C215" s="26">
        <v>1</v>
      </c>
      <c r="D215" s="55" t="str">
        <f>VLOOKUP(Main_Presentation[[#This Row],[LC Number]],Main_Issuance[],3,0)</f>
        <v>Mohammed Atef</v>
      </c>
      <c r="E215" s="16" t="s">
        <v>856</v>
      </c>
      <c r="F215" s="17" t="str">
        <f>VLOOKUP(Main_Presentation[[#This Row],[LC Number]],Main_Issuance[],5,0)</f>
        <v>Alinma</v>
      </c>
      <c r="G215" s="17" t="str">
        <f>VLOOKUP(Main_Presentation[[#This Row],[LC Number]],Main_Issuance[],6,0)</f>
        <v>KSP</v>
      </c>
      <c r="H215" s="17" t="str">
        <f>VLOOKUP(Main_Presentation[[#This Row],[LC Number]],Main_Issuance[],17,0)</f>
        <v>Credit</v>
      </c>
      <c r="I215" s="17" t="str">
        <f>VLOOKUP(Main_Presentation[[#This Row],[LC Number]],Main_Issuance[],7,0)</f>
        <v xml:space="preserve">WESTCON SAUDI COMPANY                          </v>
      </c>
      <c r="J215" s="17" t="str">
        <f>VLOOKUP(Main_Presentation[[#This Row],[LC Number]],Main_Issuance[],8,0)</f>
        <v>ICAD</v>
      </c>
      <c r="K215" s="17" t="str">
        <f>VLOOKUP(Main_Presentation[[#This Row],[LC Number]],Main_Issuance[],9,0)</f>
        <v>KSP</v>
      </c>
      <c r="L215" s="17">
        <f>VLOOKUP(Main_Presentation[[#This Row],[LC Number]],Main_Issuance[],10,0)</f>
        <v>1020055</v>
      </c>
      <c r="M215" s="17" t="str">
        <f>VLOOKUP(Main_Presentation[[#This Row],[LC Number]],Main_Issuance[],11,0)</f>
        <v>SAR</v>
      </c>
      <c r="N215" s="84">
        <f>VLOOKUP(Main_Presentation[[#This Row],[LC Number]],Main_Issuance[],12,0)</f>
        <v>5972293</v>
      </c>
      <c r="O215" s="16" t="s">
        <v>20</v>
      </c>
      <c r="P215" s="16" t="s">
        <v>857</v>
      </c>
      <c r="Q215" s="131">
        <v>5972293</v>
      </c>
      <c r="R215" s="18">
        <v>1</v>
      </c>
      <c r="S215" s="18">
        <f>Main_Presentation[[#This Row],[Invoice Amt (FCY)]]*Main_Presentation[[#This Row],[Rate]]</f>
        <v>5972293</v>
      </c>
      <c r="T215" s="15">
        <v>45041</v>
      </c>
      <c r="U215" s="26">
        <f>VLOOKUP(Main_Presentation[[#This Row],[LC Number]],Main_Issuance[],18,0)</f>
        <v>0</v>
      </c>
      <c r="V215" s="19" t="s">
        <v>22</v>
      </c>
      <c r="W215" s="18" t="s">
        <v>857</v>
      </c>
      <c r="X215" s="16"/>
      <c r="Y215" s="234" t="str">
        <f>TRIM(LEFT(Main_Presentation[[#This Row],[Payment Terms]],3))</f>
        <v>0</v>
      </c>
      <c r="Z215" s="16"/>
      <c r="AA215" s="316" cm="1">
        <f t="array" ref="AA215">Settlement(Main_Presentation[[#This Row],[Bank]],Main_Presentation[[#This Row],[ Invoice Amt (SAR)]],Main_Presentation[[#This Row],[Date Recd]],Main_Presentation[[#This Row],[Due Date]],Main_Presentation[[#This Row],[Days]])</f>
        <v>1437.5</v>
      </c>
      <c r="AB215" s="16"/>
    </row>
    <row r="216" spans="1:28" ht="15.75" hidden="1" x14ac:dyDescent="0.25">
      <c r="A216" s="14" t="s">
        <v>197</v>
      </c>
      <c r="B216" s="15">
        <v>45231</v>
      </c>
      <c r="C216" s="26">
        <v>1</v>
      </c>
      <c r="D216" s="55" t="str">
        <f>VLOOKUP(Main_Presentation[[#This Row],[LC Number]],Main_Issuance[],3,0)</f>
        <v>Hassan Taleb</v>
      </c>
      <c r="E216" s="16" t="s">
        <v>856</v>
      </c>
      <c r="F216" s="17" t="str">
        <f>VLOOKUP(Main_Presentation[[#This Row],[LC Number]],Main_Issuance[],5,0)</f>
        <v>Alinma</v>
      </c>
      <c r="G216" s="17" t="str">
        <f>VLOOKUP(Main_Presentation[[#This Row],[LC Number]],Main_Issuance[],6,0)</f>
        <v>KSP</v>
      </c>
      <c r="H216" s="17" t="str">
        <f>VLOOKUP(Main_Presentation[[#This Row],[LC Number]],Main_Issuance[],17,0)</f>
        <v>Credit</v>
      </c>
      <c r="I216" s="17" t="str">
        <f>VLOOKUP(Main_Presentation[[#This Row],[LC Number]],Main_Issuance[],7,0)</f>
        <v>Saudi Electric Supply Company</v>
      </c>
      <c r="J216" s="17" t="str">
        <f>VLOOKUP(Main_Presentation[[#This Row],[LC Number]],Main_Issuance[],8,0)</f>
        <v>FIRST FIX</v>
      </c>
      <c r="K216" s="17" t="str">
        <f>VLOOKUP(Main_Presentation[[#This Row],[LC Number]],Main_Issuance[],9,0)</f>
        <v>KSP</v>
      </c>
      <c r="L216" s="17">
        <f>VLOOKUP(Main_Presentation[[#This Row],[LC Number]],Main_Issuance[],10,0)</f>
        <v>1020055</v>
      </c>
      <c r="M216" s="17" t="str">
        <f>VLOOKUP(Main_Presentation[[#This Row],[LC Number]],Main_Issuance[],11,0)</f>
        <v>SAR</v>
      </c>
      <c r="N216" s="84">
        <f>VLOOKUP(Main_Presentation[[#This Row],[LC Number]],Main_Issuance[],12,0)</f>
        <v>1350000</v>
      </c>
      <c r="O216" s="16" t="s">
        <v>20</v>
      </c>
      <c r="P216" s="16" t="s">
        <v>857</v>
      </c>
      <c r="Q216" s="131">
        <v>1350000</v>
      </c>
      <c r="R216" s="18">
        <v>1</v>
      </c>
      <c r="S216" s="18">
        <f>Main_Presentation[[#This Row],[Invoice Amt (FCY)]]*Main_Presentation[[#This Row],[Rate]]</f>
        <v>1350000</v>
      </c>
      <c r="T216" s="15">
        <v>45041</v>
      </c>
      <c r="U216" s="26" t="str">
        <f>VLOOKUP(Main_Presentation[[#This Row],[LC Number]],Main_Issuance[],18,0)</f>
        <v>90 Days from Delivery Date</v>
      </c>
      <c r="V216" s="19" t="s">
        <v>22</v>
      </c>
      <c r="W216" s="18" t="s">
        <v>857</v>
      </c>
      <c r="X216" s="16"/>
      <c r="Y216" s="234" t="str">
        <f>TRIM(LEFT(Main_Presentation[[#This Row],[Payment Terms]],3))</f>
        <v>90</v>
      </c>
      <c r="Z216" s="16"/>
      <c r="AA216" s="316" cm="1">
        <f t="array" ref="AA216">Settlement(Main_Presentation[[#This Row],[Bank]],Main_Presentation[[#This Row],[ Invoice Amt (SAR)]],Main_Presentation[[#This Row],[Date Recd]],Main_Presentation[[#This Row],[Due Date]],Main_Presentation[[#This Row],[Days]])</f>
        <v>1437.5</v>
      </c>
      <c r="AB216" s="16"/>
    </row>
    <row r="217" spans="1:28" ht="15.75" hidden="1" x14ac:dyDescent="0.25">
      <c r="A217" s="14" t="s">
        <v>198</v>
      </c>
      <c r="B217" s="15">
        <v>45217</v>
      </c>
      <c r="C217" s="26">
        <v>1</v>
      </c>
      <c r="D217" s="55" t="str">
        <f>VLOOKUP(Main_Presentation[[#This Row],[LC Number]],Main_Issuance[],3,0)</f>
        <v>Hassan Taleb</v>
      </c>
      <c r="E217" s="16" t="s">
        <v>856</v>
      </c>
      <c r="F217" s="17" t="str">
        <f>VLOOKUP(Main_Presentation[[#This Row],[LC Number]],Main_Issuance[],5,0)</f>
        <v>Alinma</v>
      </c>
      <c r="G217" s="17" t="str">
        <f>VLOOKUP(Main_Presentation[[#This Row],[LC Number]],Main_Issuance[],6,0)</f>
        <v>KSP</v>
      </c>
      <c r="H217" s="17" t="str">
        <f>VLOOKUP(Main_Presentation[[#This Row],[LC Number]],Main_Issuance[],17,0)</f>
        <v>Credit</v>
      </c>
      <c r="I217" s="17" t="str">
        <f>VLOOKUP(Main_Presentation[[#This Row],[LC Number]],Main_Issuance[],7,0)</f>
        <v>AL MABANI AL UMUMIYYAH LTD.</v>
      </c>
      <c r="J217" s="17" t="str">
        <f>VLOOKUP(Main_Presentation[[#This Row],[LC Number]],Main_Issuance[],8,0)</f>
        <v>FIRST FIX</v>
      </c>
      <c r="K217" s="17" t="str">
        <f>VLOOKUP(Main_Presentation[[#This Row],[LC Number]],Main_Issuance[],9,0)</f>
        <v>KSP</v>
      </c>
      <c r="L217" s="17">
        <f>VLOOKUP(Main_Presentation[[#This Row],[LC Number]],Main_Issuance[],10,0)</f>
        <v>1020055</v>
      </c>
      <c r="M217" s="17" t="str">
        <f>VLOOKUP(Main_Presentation[[#This Row],[LC Number]],Main_Issuance[],11,0)</f>
        <v>SAR</v>
      </c>
      <c r="N217" s="84">
        <f>VLOOKUP(Main_Presentation[[#This Row],[LC Number]],Main_Issuance[],12,0)</f>
        <v>500000</v>
      </c>
      <c r="O217" s="16" t="s">
        <v>20</v>
      </c>
      <c r="P217" s="16" t="s">
        <v>857</v>
      </c>
      <c r="Q217" s="131">
        <v>450459.17</v>
      </c>
      <c r="R217" s="18">
        <v>1</v>
      </c>
      <c r="S217" s="18">
        <f>Main_Presentation[[#This Row],[Invoice Amt (FCY)]]*Main_Presentation[[#This Row],[Rate]]</f>
        <v>450459.17</v>
      </c>
      <c r="T217" s="15">
        <v>45041</v>
      </c>
      <c r="U217" s="26" t="str">
        <f>VLOOKUP(Main_Presentation[[#This Row],[LC Number]],Main_Issuance[],18,0)</f>
        <v>60 Days from Delivery Date</v>
      </c>
      <c r="V217" s="19" t="s">
        <v>22</v>
      </c>
      <c r="W217" s="18" t="s">
        <v>857</v>
      </c>
      <c r="X217" s="16"/>
      <c r="Y217" s="234" t="str">
        <f>TRIM(LEFT(Main_Presentation[[#This Row],[Payment Terms]],3))</f>
        <v>60</v>
      </c>
      <c r="Z217" s="16"/>
      <c r="AA217" s="316" cm="1">
        <f t="array" ref="AA217">Settlement(Main_Presentation[[#This Row],[Bank]],Main_Presentation[[#This Row],[ Invoice Amt (SAR)]],Main_Presentation[[#This Row],[Date Recd]],Main_Presentation[[#This Row],[Due Date]],Main_Presentation[[#This Row],[Days]])</f>
        <v>1437.5</v>
      </c>
      <c r="AB217" s="16"/>
    </row>
    <row r="218" spans="1:28" ht="15.75" hidden="1" x14ac:dyDescent="0.25">
      <c r="A218" s="14" t="s">
        <v>204</v>
      </c>
      <c r="B218" s="15">
        <v>45230</v>
      </c>
      <c r="C218" s="26">
        <v>1</v>
      </c>
      <c r="D218" s="55" t="str">
        <f>VLOOKUP(Main_Presentation[[#This Row],[LC Number]],Main_Issuance[],3,0)</f>
        <v>Hassan Taleb</v>
      </c>
      <c r="E218" s="16" t="s">
        <v>856</v>
      </c>
      <c r="F218" s="17" t="str">
        <f>VLOOKUP(Main_Presentation[[#This Row],[LC Number]],Main_Issuance[],5,0)</f>
        <v>Alinma</v>
      </c>
      <c r="G218" s="17" t="str">
        <f>VLOOKUP(Main_Presentation[[#This Row],[LC Number]],Main_Issuance[],6,0)</f>
        <v>KSP</v>
      </c>
      <c r="H218" s="17" t="str">
        <f>VLOOKUP(Main_Presentation[[#This Row],[LC Number]],Main_Issuance[],17,0)</f>
        <v>Credit</v>
      </c>
      <c r="I218" s="17" t="str">
        <f>VLOOKUP(Main_Presentation[[#This Row],[LC Number]],Main_Issuance[],7,0)</f>
        <v>T,NAGADI PREFORMED CONCRETE</v>
      </c>
      <c r="J218" s="17" t="str">
        <f>VLOOKUP(Main_Presentation[[#This Row],[LC Number]],Main_Issuance[],8,0)</f>
        <v>FIRST FIX</v>
      </c>
      <c r="K218" s="17" t="str">
        <f>VLOOKUP(Main_Presentation[[#This Row],[LC Number]],Main_Issuance[],9,0)</f>
        <v>KSP</v>
      </c>
      <c r="L218" s="17">
        <f>VLOOKUP(Main_Presentation[[#This Row],[LC Number]],Main_Issuance[],10,0)</f>
        <v>1020055</v>
      </c>
      <c r="M218" s="17" t="str">
        <f>VLOOKUP(Main_Presentation[[#This Row],[LC Number]],Main_Issuance[],11,0)</f>
        <v>SAR</v>
      </c>
      <c r="N218" s="84">
        <f>VLOOKUP(Main_Presentation[[#This Row],[LC Number]],Main_Issuance[],12,0)</f>
        <v>661990.6</v>
      </c>
      <c r="O218" s="16" t="s">
        <v>20</v>
      </c>
      <c r="P218" s="16" t="s">
        <v>857</v>
      </c>
      <c r="Q218" s="131">
        <v>330995.3</v>
      </c>
      <c r="R218" s="18">
        <v>1</v>
      </c>
      <c r="S218" s="18">
        <f>Main_Presentation[[#This Row],[Invoice Amt (FCY)]]*Main_Presentation[[#This Row],[Rate]]</f>
        <v>330995.3</v>
      </c>
      <c r="T218" s="15">
        <v>45041</v>
      </c>
      <c r="U218" s="26" t="str">
        <f>VLOOKUP(Main_Presentation[[#This Row],[LC Number]],Main_Issuance[],18,0)</f>
        <v>60 Days from Delivery Date</v>
      </c>
      <c r="V218" s="19" t="s">
        <v>22</v>
      </c>
      <c r="W218" s="18" t="s">
        <v>857</v>
      </c>
      <c r="X218" s="16"/>
      <c r="Y218" s="234" t="str">
        <f>TRIM(LEFT(Main_Presentation[[#This Row],[Payment Terms]],3))</f>
        <v>60</v>
      </c>
      <c r="Z218" s="16"/>
      <c r="AA218" s="316" cm="1">
        <f t="array" ref="AA218">Settlement(Main_Presentation[[#This Row],[Bank]],Main_Presentation[[#This Row],[ Invoice Amt (SAR)]],Main_Presentation[[#This Row],[Date Recd]],Main_Presentation[[#This Row],[Due Date]],Main_Presentation[[#This Row],[Days]])</f>
        <v>1437.5</v>
      </c>
      <c r="AB218" s="16"/>
    </row>
    <row r="219" spans="1:28" ht="15.75" hidden="1" x14ac:dyDescent="0.25">
      <c r="A219" s="14" t="s">
        <v>204</v>
      </c>
      <c r="B219" s="15">
        <v>45287</v>
      </c>
      <c r="C219" s="26">
        <v>2</v>
      </c>
      <c r="D219" s="55" t="str">
        <f>VLOOKUP(Main_Presentation[[#This Row],[LC Number]],Main_Issuance[],3,0)</f>
        <v>Hassan Taleb</v>
      </c>
      <c r="E219" s="16" t="s">
        <v>856</v>
      </c>
      <c r="F219" s="17" t="str">
        <f>VLOOKUP(Main_Presentation[[#This Row],[LC Number]],Main_Issuance[],5,0)</f>
        <v>Alinma</v>
      </c>
      <c r="G219" s="17" t="str">
        <f>VLOOKUP(Main_Presentation[[#This Row],[LC Number]],Main_Issuance[],6,0)</f>
        <v>KSP</v>
      </c>
      <c r="H219" s="17" t="str">
        <f>VLOOKUP(Main_Presentation[[#This Row],[LC Number]],Main_Issuance[],17,0)</f>
        <v>Credit</v>
      </c>
      <c r="I219" s="17" t="str">
        <f>VLOOKUP(Main_Presentation[[#This Row],[LC Number]],Main_Issuance[],7,0)</f>
        <v>T,NAGADI PREFORMED CONCRETE</v>
      </c>
      <c r="J219" s="17" t="str">
        <f>VLOOKUP(Main_Presentation[[#This Row],[LC Number]],Main_Issuance[],8,0)</f>
        <v>FIRST FIX</v>
      </c>
      <c r="K219" s="17" t="str">
        <f>VLOOKUP(Main_Presentation[[#This Row],[LC Number]],Main_Issuance[],9,0)</f>
        <v>KSP</v>
      </c>
      <c r="L219" s="17">
        <f>VLOOKUP(Main_Presentation[[#This Row],[LC Number]],Main_Issuance[],10,0)</f>
        <v>1020055</v>
      </c>
      <c r="M219" s="17" t="str">
        <f>VLOOKUP(Main_Presentation[[#This Row],[LC Number]],Main_Issuance[],11,0)</f>
        <v>SAR</v>
      </c>
      <c r="N219" s="84">
        <f>VLOOKUP(Main_Presentation[[#This Row],[LC Number]],Main_Issuance[],12,0)</f>
        <v>661990.6</v>
      </c>
      <c r="O219" s="16" t="s">
        <v>20</v>
      </c>
      <c r="P219" s="16" t="s">
        <v>857</v>
      </c>
      <c r="Q219" s="131">
        <v>330995.3</v>
      </c>
      <c r="R219" s="18">
        <v>1</v>
      </c>
      <c r="S219" s="18">
        <f>Main_Presentation[[#This Row],[Invoice Amt (FCY)]]*Main_Presentation[[#This Row],[Rate]]</f>
        <v>330995.3</v>
      </c>
      <c r="T219" s="15">
        <v>45041</v>
      </c>
      <c r="U219" s="26" t="str">
        <f>VLOOKUP(Main_Presentation[[#This Row],[LC Number]],Main_Issuance[],18,0)</f>
        <v>60 Days from Delivery Date</v>
      </c>
      <c r="V219" s="19" t="s">
        <v>22</v>
      </c>
      <c r="W219" s="18" t="s">
        <v>857</v>
      </c>
      <c r="X219" s="16"/>
      <c r="Y219" s="234" t="str">
        <f>TRIM(LEFT(Main_Presentation[[#This Row],[Payment Terms]],3))</f>
        <v>60</v>
      </c>
      <c r="Z219" s="16"/>
      <c r="AA219" s="316" cm="1">
        <f t="array" ref="AA219">Settlement(Main_Presentation[[#This Row],[Bank]],Main_Presentation[[#This Row],[ Invoice Amt (SAR)]],Main_Presentation[[#This Row],[Date Recd]],Main_Presentation[[#This Row],[Due Date]],Main_Presentation[[#This Row],[Days]])</f>
        <v>1437.5</v>
      </c>
      <c r="AB219" s="16"/>
    </row>
    <row r="220" spans="1:28" ht="15.75" hidden="1" x14ac:dyDescent="0.25">
      <c r="A220" s="14" t="s">
        <v>206</v>
      </c>
      <c r="B220" s="15">
        <v>45173</v>
      </c>
      <c r="C220" s="26">
        <v>1</v>
      </c>
      <c r="D220" s="55" t="str">
        <f>VLOOKUP(Main_Presentation[[#This Row],[LC Number]],Main_Issuance[],3,0)</f>
        <v>Hassan Taleb</v>
      </c>
      <c r="E220" s="16" t="s">
        <v>856</v>
      </c>
      <c r="F220" s="17" t="str">
        <f>VLOOKUP(Main_Presentation[[#This Row],[LC Number]],Main_Issuance[],5,0)</f>
        <v>Alinma</v>
      </c>
      <c r="G220" s="17" t="str">
        <f>VLOOKUP(Main_Presentation[[#This Row],[LC Number]],Main_Issuance[],6,0)</f>
        <v>KSP</v>
      </c>
      <c r="H220" s="17" t="str">
        <f>VLOOKUP(Main_Presentation[[#This Row],[LC Number]],Main_Issuance[],17,0)</f>
        <v>Credit</v>
      </c>
      <c r="I220" s="17" t="str">
        <f>VLOOKUP(Main_Presentation[[#This Row],[LC Number]],Main_Issuance[],7,0)</f>
        <v>RIYAD CABLES GROUP COMPANY</v>
      </c>
      <c r="J220" s="17" t="str">
        <f>VLOOKUP(Main_Presentation[[#This Row],[LC Number]],Main_Issuance[],8,0)</f>
        <v>FIRST FIX</v>
      </c>
      <c r="K220" s="17" t="str">
        <f>VLOOKUP(Main_Presentation[[#This Row],[LC Number]],Main_Issuance[],9,0)</f>
        <v>KSP</v>
      </c>
      <c r="L220" s="17">
        <f>VLOOKUP(Main_Presentation[[#This Row],[LC Number]],Main_Issuance[],10,0)</f>
        <v>1020055</v>
      </c>
      <c r="M220" s="17" t="str">
        <f>VLOOKUP(Main_Presentation[[#This Row],[LC Number]],Main_Issuance[],11,0)</f>
        <v>SAR</v>
      </c>
      <c r="N220" s="84">
        <f>VLOOKUP(Main_Presentation[[#This Row],[LC Number]],Main_Issuance[],12,0)</f>
        <v>1260873.8</v>
      </c>
      <c r="O220" s="16" t="s">
        <v>20</v>
      </c>
      <c r="P220" s="16" t="s">
        <v>857</v>
      </c>
      <c r="Q220" s="131">
        <v>1202205.3899999999</v>
      </c>
      <c r="R220" s="18">
        <v>1</v>
      </c>
      <c r="S220" s="18">
        <f>Main_Presentation[[#This Row],[Invoice Amt (FCY)]]*Main_Presentation[[#This Row],[Rate]]</f>
        <v>1202205.3899999999</v>
      </c>
      <c r="T220" s="15">
        <v>45041</v>
      </c>
      <c r="U220" s="26" t="str">
        <f>VLOOKUP(Main_Presentation[[#This Row],[LC Number]],Main_Issuance[],18,0)</f>
        <v>90 Days from Delivery Date</v>
      </c>
      <c r="V220" s="19" t="s">
        <v>22</v>
      </c>
      <c r="W220" s="18" t="s">
        <v>857</v>
      </c>
      <c r="X220" s="16"/>
      <c r="Y220" s="234" t="str">
        <f>TRIM(LEFT(Main_Presentation[[#This Row],[Payment Terms]],3))</f>
        <v>90</v>
      </c>
      <c r="Z220" s="16"/>
      <c r="AA220" s="316" cm="1">
        <f t="array" ref="AA220">Settlement(Main_Presentation[[#This Row],[Bank]],Main_Presentation[[#This Row],[ Invoice Amt (SAR)]],Main_Presentation[[#This Row],[Date Recd]],Main_Presentation[[#This Row],[Due Date]],Main_Presentation[[#This Row],[Days]])</f>
        <v>1437.5</v>
      </c>
      <c r="AB220" s="16"/>
    </row>
    <row r="221" spans="1:28" ht="15.75" hidden="1" x14ac:dyDescent="0.25">
      <c r="A221" s="14" t="s">
        <v>224</v>
      </c>
      <c r="B221" s="15">
        <v>45285</v>
      </c>
      <c r="C221" s="26">
        <v>1</v>
      </c>
      <c r="D221" s="55" t="str">
        <f>VLOOKUP(Main_Presentation[[#This Row],[LC Number]],Main_Issuance[],3,0)</f>
        <v>Hassan Taleb</v>
      </c>
      <c r="E221" s="16" t="s">
        <v>856</v>
      </c>
      <c r="F221" s="17" t="str">
        <f>VLOOKUP(Main_Presentation[[#This Row],[LC Number]],Main_Issuance[],5,0)</f>
        <v>Alinma</v>
      </c>
      <c r="G221" s="17" t="str">
        <f>VLOOKUP(Main_Presentation[[#This Row],[LC Number]],Main_Issuance[],6,0)</f>
        <v>KSP</v>
      </c>
      <c r="H221" s="17" t="str">
        <f>VLOOKUP(Main_Presentation[[#This Row],[LC Number]],Main_Issuance[],17,0)</f>
        <v>Credit</v>
      </c>
      <c r="I221" s="17" t="str">
        <f>VLOOKUP(Main_Presentation[[#This Row],[LC Number]],Main_Issuance[],7,0)</f>
        <v>ALFANAR SYSTEM</v>
      </c>
      <c r="J221" s="17" t="str">
        <f>VLOOKUP(Main_Presentation[[#This Row],[LC Number]],Main_Issuance[],8,0)</f>
        <v>FIRST FIX</v>
      </c>
      <c r="K221" s="17" t="str">
        <f>VLOOKUP(Main_Presentation[[#This Row],[LC Number]],Main_Issuance[],9,0)</f>
        <v>KSP</v>
      </c>
      <c r="L221" s="17">
        <f>VLOOKUP(Main_Presentation[[#This Row],[LC Number]],Main_Issuance[],10,0)</f>
        <v>1020055</v>
      </c>
      <c r="M221" s="17" t="str">
        <f>VLOOKUP(Main_Presentation[[#This Row],[LC Number]],Main_Issuance[],11,0)</f>
        <v>SAR</v>
      </c>
      <c r="N221" s="84">
        <f>VLOOKUP(Main_Presentation[[#This Row],[LC Number]],Main_Issuance[],12,0)</f>
        <v>1960000</v>
      </c>
      <c r="O221" s="16" t="s">
        <v>20</v>
      </c>
      <c r="P221" s="16" t="s">
        <v>857</v>
      </c>
      <c r="Q221" s="131">
        <v>1248574.95</v>
      </c>
      <c r="R221" s="18">
        <v>1</v>
      </c>
      <c r="S221" s="18">
        <f>Main_Presentation[[#This Row],[Invoice Amt (FCY)]]*Main_Presentation[[#This Row],[Rate]]</f>
        <v>1248574.95</v>
      </c>
      <c r="T221" s="15">
        <v>45041</v>
      </c>
      <c r="U221" s="26">
        <f>VLOOKUP(Main_Presentation[[#This Row],[LC Number]],Main_Issuance[],18,0)</f>
        <v>0</v>
      </c>
      <c r="V221" s="19" t="s">
        <v>22</v>
      </c>
      <c r="W221" s="18" t="s">
        <v>857</v>
      </c>
      <c r="X221" s="16"/>
      <c r="Y221" s="234" t="str">
        <f>TRIM(LEFT(Main_Presentation[[#This Row],[Payment Terms]],3))</f>
        <v>0</v>
      </c>
      <c r="Z221" s="16"/>
      <c r="AA221" s="316" cm="1">
        <f t="array" ref="AA221">Settlement(Main_Presentation[[#This Row],[Bank]],Main_Presentation[[#This Row],[ Invoice Amt (SAR)]],Main_Presentation[[#This Row],[Date Recd]],Main_Presentation[[#This Row],[Due Date]],Main_Presentation[[#This Row],[Days]])</f>
        <v>1437.5</v>
      </c>
      <c r="AB221" s="16"/>
    </row>
    <row r="222" spans="1:28" ht="15.75" hidden="1" x14ac:dyDescent="0.25">
      <c r="A222" s="14" t="s">
        <v>224</v>
      </c>
      <c r="B222" s="15">
        <v>45334</v>
      </c>
      <c r="C222" s="26">
        <v>2</v>
      </c>
      <c r="D222" s="55" t="str">
        <f>VLOOKUP(Main_Presentation[[#This Row],[LC Number]],Main_Issuance[],3,0)</f>
        <v>Hassan Taleb</v>
      </c>
      <c r="E222" s="16" t="s">
        <v>856</v>
      </c>
      <c r="F222" s="17" t="str">
        <f>VLOOKUP(Main_Presentation[[#This Row],[LC Number]],Main_Issuance[],5,0)</f>
        <v>Alinma</v>
      </c>
      <c r="G222" s="17" t="str">
        <f>VLOOKUP(Main_Presentation[[#This Row],[LC Number]],Main_Issuance[],6,0)</f>
        <v>KSP</v>
      </c>
      <c r="H222" s="17" t="str">
        <f>VLOOKUP(Main_Presentation[[#This Row],[LC Number]],Main_Issuance[],17,0)</f>
        <v>Credit</v>
      </c>
      <c r="I222" s="17" t="str">
        <f>VLOOKUP(Main_Presentation[[#This Row],[LC Number]],Main_Issuance[],7,0)</f>
        <v>ALFANAR SYSTEM</v>
      </c>
      <c r="J222" s="17" t="str">
        <f>VLOOKUP(Main_Presentation[[#This Row],[LC Number]],Main_Issuance[],8,0)</f>
        <v>FIRST FIX</v>
      </c>
      <c r="K222" s="17" t="str">
        <f>VLOOKUP(Main_Presentation[[#This Row],[LC Number]],Main_Issuance[],9,0)</f>
        <v>KSP</v>
      </c>
      <c r="L222" s="17">
        <f>VLOOKUP(Main_Presentation[[#This Row],[LC Number]],Main_Issuance[],10,0)</f>
        <v>1020055</v>
      </c>
      <c r="M222" s="17" t="str">
        <f>VLOOKUP(Main_Presentation[[#This Row],[LC Number]],Main_Issuance[],11,0)</f>
        <v>SAR</v>
      </c>
      <c r="N222" s="84">
        <f>VLOOKUP(Main_Presentation[[#This Row],[LC Number]],Main_Issuance[],12,0)</f>
        <v>1960000</v>
      </c>
      <c r="O222" s="16" t="s">
        <v>20</v>
      </c>
      <c r="P222" s="16" t="s">
        <v>857</v>
      </c>
      <c r="Q222" s="131">
        <v>711425.05</v>
      </c>
      <c r="R222" s="18">
        <v>1</v>
      </c>
      <c r="S222" s="18">
        <f>Main_Presentation[[#This Row],[Invoice Amt (FCY)]]*Main_Presentation[[#This Row],[Rate]]</f>
        <v>711425.05</v>
      </c>
      <c r="T222" s="15">
        <v>45041</v>
      </c>
      <c r="U222" s="26">
        <f>VLOOKUP(Main_Presentation[[#This Row],[LC Number]],Main_Issuance[],18,0)</f>
        <v>0</v>
      </c>
      <c r="V222" s="19" t="s">
        <v>22</v>
      </c>
      <c r="W222" s="18" t="s">
        <v>857</v>
      </c>
      <c r="X222" s="16"/>
      <c r="Y222" s="234" t="str">
        <f>TRIM(LEFT(Main_Presentation[[#This Row],[Payment Terms]],3))</f>
        <v>0</v>
      </c>
      <c r="Z222" s="16"/>
      <c r="AA222" s="316" cm="1">
        <f t="array" ref="AA222">Settlement(Main_Presentation[[#This Row],[Bank]],Main_Presentation[[#This Row],[ Invoice Amt (SAR)]],Main_Presentation[[#This Row],[Date Recd]],Main_Presentation[[#This Row],[Due Date]],Main_Presentation[[#This Row],[Days]])</f>
        <v>1437.5</v>
      </c>
      <c r="AB222" s="16"/>
    </row>
    <row r="223" spans="1:28" ht="15.75" hidden="1" x14ac:dyDescent="0.25">
      <c r="A223" s="14" t="s">
        <v>238</v>
      </c>
      <c r="B223" s="15">
        <v>45326</v>
      </c>
      <c r="C223" s="26">
        <v>1</v>
      </c>
      <c r="D223" s="55" t="str">
        <f>VLOOKUP(Main_Presentation[[#This Row],[LC Number]],Main_Issuance[],3,0)</f>
        <v>Hassan Taleb</v>
      </c>
      <c r="E223" s="16" t="s">
        <v>856</v>
      </c>
      <c r="F223" s="17" t="str">
        <f>VLOOKUP(Main_Presentation[[#This Row],[LC Number]],Main_Issuance[],5,0)</f>
        <v>Alinma</v>
      </c>
      <c r="G223" s="17" t="str">
        <f>VLOOKUP(Main_Presentation[[#This Row],[LC Number]],Main_Issuance[],6,0)</f>
        <v>KSP</v>
      </c>
      <c r="H223" s="17" t="str">
        <f>VLOOKUP(Main_Presentation[[#This Row],[LC Number]],Main_Issuance[],17,0)</f>
        <v>Credit</v>
      </c>
      <c r="I223" s="17" t="str">
        <f>VLOOKUP(Main_Presentation[[#This Row],[LC Number]],Main_Issuance[],7,0)</f>
        <v>AL MABANI AL UMUMIYYAH LTD.</v>
      </c>
      <c r="J223" s="17" t="str">
        <f>VLOOKUP(Main_Presentation[[#This Row],[LC Number]],Main_Issuance[],8,0)</f>
        <v>FIRST FIX</v>
      </c>
      <c r="K223" s="17" t="str">
        <f>VLOOKUP(Main_Presentation[[#This Row],[LC Number]],Main_Issuance[],9,0)</f>
        <v>KSP</v>
      </c>
      <c r="L223" s="17">
        <f>VLOOKUP(Main_Presentation[[#This Row],[LC Number]],Main_Issuance[],10,0)</f>
        <v>1020055</v>
      </c>
      <c r="M223" s="17" t="str">
        <f>VLOOKUP(Main_Presentation[[#This Row],[LC Number]],Main_Issuance[],11,0)</f>
        <v>SAR</v>
      </c>
      <c r="N223" s="84">
        <f>VLOOKUP(Main_Presentation[[#This Row],[LC Number]],Main_Issuance[],12,0)</f>
        <v>1000000</v>
      </c>
      <c r="O223" s="16" t="s">
        <v>20</v>
      </c>
      <c r="P223" s="16" t="s">
        <v>857</v>
      </c>
      <c r="Q223" s="131">
        <v>1000000</v>
      </c>
      <c r="R223" s="18">
        <v>1</v>
      </c>
      <c r="S223" s="18">
        <f>Main_Presentation[[#This Row],[Invoice Amt (FCY)]]*Main_Presentation[[#This Row],[Rate]]</f>
        <v>1000000</v>
      </c>
      <c r="T223" s="15">
        <v>45041</v>
      </c>
      <c r="U223" s="26">
        <f>VLOOKUP(Main_Presentation[[#This Row],[LC Number]],Main_Issuance[],18,0)</f>
        <v>0</v>
      </c>
      <c r="V223" s="19" t="s">
        <v>22</v>
      </c>
      <c r="W223" s="18" t="s">
        <v>857</v>
      </c>
      <c r="X223" s="16"/>
      <c r="Y223" s="234" t="str">
        <f>TRIM(LEFT(Main_Presentation[[#This Row],[Payment Terms]],3))</f>
        <v>0</v>
      </c>
      <c r="Z223" s="16"/>
      <c r="AA223" s="316" cm="1">
        <f t="array" ref="AA223">Settlement(Main_Presentation[[#This Row],[Bank]],Main_Presentation[[#This Row],[ Invoice Amt (SAR)]],Main_Presentation[[#This Row],[Date Recd]],Main_Presentation[[#This Row],[Due Date]],Main_Presentation[[#This Row],[Days]])</f>
        <v>1437.5</v>
      </c>
      <c r="AB223" s="16"/>
    </row>
    <row r="224" spans="1:28" ht="15.75" hidden="1" x14ac:dyDescent="0.25">
      <c r="A224" s="14" t="s">
        <v>239</v>
      </c>
      <c r="B224" s="15">
        <v>45327</v>
      </c>
      <c r="C224" s="26">
        <v>1</v>
      </c>
      <c r="D224" s="55" t="str">
        <f>VLOOKUP(Main_Presentation[[#This Row],[LC Number]],Main_Issuance[],3,0)</f>
        <v>Hassan Taleb</v>
      </c>
      <c r="E224" s="16" t="s">
        <v>856</v>
      </c>
      <c r="F224" s="17" t="str">
        <f>VLOOKUP(Main_Presentation[[#This Row],[LC Number]],Main_Issuance[],5,0)</f>
        <v>Alinma</v>
      </c>
      <c r="G224" s="17" t="str">
        <f>VLOOKUP(Main_Presentation[[#This Row],[LC Number]],Main_Issuance[],6,0)</f>
        <v>KSP</v>
      </c>
      <c r="H224" s="17" t="str">
        <f>VLOOKUP(Main_Presentation[[#This Row],[LC Number]],Main_Issuance[],17,0)</f>
        <v>Credit</v>
      </c>
      <c r="I224" s="17" t="str">
        <f>VLOOKUP(Main_Presentation[[#This Row],[LC Number]],Main_Issuance[],7,0)</f>
        <v>HUDA LIGHTING LLC CO</v>
      </c>
      <c r="J224" s="17" t="str">
        <f>VLOOKUP(Main_Presentation[[#This Row],[LC Number]],Main_Issuance[],8,0)</f>
        <v>FIRST FIX</v>
      </c>
      <c r="K224" s="17" t="str">
        <f>VLOOKUP(Main_Presentation[[#This Row],[LC Number]],Main_Issuance[],9,0)</f>
        <v>KSP</v>
      </c>
      <c r="L224" s="17">
        <f>VLOOKUP(Main_Presentation[[#This Row],[LC Number]],Main_Issuance[],10,0)</f>
        <v>1020055</v>
      </c>
      <c r="M224" s="17" t="str">
        <f>VLOOKUP(Main_Presentation[[#This Row],[LC Number]],Main_Issuance[],11,0)</f>
        <v>SAR</v>
      </c>
      <c r="N224" s="84">
        <f>VLOOKUP(Main_Presentation[[#This Row],[LC Number]],Main_Issuance[],12,0)</f>
        <v>6084035.2300000004</v>
      </c>
      <c r="O224" s="16" t="s">
        <v>20</v>
      </c>
      <c r="P224" s="16" t="s">
        <v>857</v>
      </c>
      <c r="Q224" s="131">
        <v>6084035.2300000004</v>
      </c>
      <c r="R224" s="18">
        <v>1</v>
      </c>
      <c r="S224" s="18">
        <f>Main_Presentation[[#This Row],[Invoice Amt (FCY)]]*Main_Presentation[[#This Row],[Rate]]</f>
        <v>6084035.2300000004</v>
      </c>
      <c r="T224" s="15">
        <v>45041</v>
      </c>
      <c r="U224" s="26">
        <f>VLOOKUP(Main_Presentation[[#This Row],[LC Number]],Main_Issuance[],18,0)</f>
        <v>0</v>
      </c>
      <c r="V224" s="19" t="s">
        <v>22</v>
      </c>
      <c r="W224" s="18" t="s">
        <v>857</v>
      </c>
      <c r="X224" s="16"/>
      <c r="Y224" s="234" t="str">
        <f>TRIM(LEFT(Main_Presentation[[#This Row],[Payment Terms]],3))</f>
        <v>0</v>
      </c>
      <c r="Z224" s="16"/>
      <c r="AA224" s="316" cm="1">
        <f t="array" ref="AA224">Settlement(Main_Presentation[[#This Row],[Bank]],Main_Presentation[[#This Row],[ Invoice Amt (SAR)]],Main_Presentation[[#This Row],[Date Recd]],Main_Presentation[[#This Row],[Due Date]],Main_Presentation[[#This Row],[Days]])</f>
        <v>1437.5</v>
      </c>
      <c r="AB224" s="16"/>
    </row>
    <row r="225" spans="1:28" ht="15.75" hidden="1" x14ac:dyDescent="0.25">
      <c r="A225" s="14" t="s">
        <v>291</v>
      </c>
      <c r="B225" s="15">
        <v>45559</v>
      </c>
      <c r="C225" s="26">
        <v>1</v>
      </c>
      <c r="D225" s="55" t="str">
        <f>VLOOKUP(Main_Presentation[[#This Row],[LC Number]],Main_Issuance[],3,0)</f>
        <v>Hassan Taleb</v>
      </c>
      <c r="E225" s="16" t="s">
        <v>856</v>
      </c>
      <c r="F225" s="17" t="str">
        <f>VLOOKUP(Main_Presentation[[#This Row],[LC Number]],Main_Issuance[],5,0)</f>
        <v>Alinma</v>
      </c>
      <c r="G225" s="17" t="str">
        <f>VLOOKUP(Main_Presentation[[#This Row],[LC Number]],Main_Issuance[],6,0)</f>
        <v>KSP</v>
      </c>
      <c r="H225" s="17" t="str">
        <f>VLOOKUP(Main_Presentation[[#This Row],[LC Number]],Main_Issuance[],17,0)</f>
        <v>Credit</v>
      </c>
      <c r="I225" s="17" t="str">
        <f>VLOOKUP(Main_Presentation[[#This Row],[LC Number]],Main_Issuance[],7,0)</f>
        <v>POWER CENTER</v>
      </c>
      <c r="J225" s="17" t="str">
        <f>VLOOKUP(Main_Presentation[[#This Row],[LC Number]],Main_Issuance[],8,0)</f>
        <v>FIRST FIX</v>
      </c>
      <c r="K225" s="17" t="str">
        <f>VLOOKUP(Main_Presentation[[#This Row],[LC Number]],Main_Issuance[],9,0)</f>
        <v>KSP</v>
      </c>
      <c r="L225" s="17">
        <f>VLOOKUP(Main_Presentation[[#This Row],[LC Number]],Main_Issuance[],10,0)</f>
        <v>1020055</v>
      </c>
      <c r="M225" s="17" t="str">
        <f>VLOOKUP(Main_Presentation[[#This Row],[LC Number]],Main_Issuance[],11,0)</f>
        <v>SAR</v>
      </c>
      <c r="N225" s="84">
        <f>VLOOKUP(Main_Presentation[[#This Row],[LC Number]],Main_Issuance[],12,0)</f>
        <v>1000000</v>
      </c>
      <c r="O225" s="16" t="s">
        <v>20</v>
      </c>
      <c r="P225" s="16" t="s">
        <v>857</v>
      </c>
      <c r="Q225" s="131">
        <v>1000000</v>
      </c>
      <c r="R225" s="18">
        <v>1</v>
      </c>
      <c r="S225" s="18">
        <f>Main_Presentation[[#This Row],[Invoice Amt (FCY)]]*Main_Presentation[[#This Row],[Rate]]</f>
        <v>1000000</v>
      </c>
      <c r="T225" s="15">
        <v>45641</v>
      </c>
      <c r="U225" s="26">
        <f>VLOOKUP(Main_Presentation[[#This Row],[LC Number]],Main_Issuance[],18,0)</f>
        <v>0</v>
      </c>
      <c r="V225" s="19" t="s">
        <v>90</v>
      </c>
      <c r="W225" s="18" t="s">
        <v>857</v>
      </c>
      <c r="X225" s="16"/>
      <c r="Y225" s="234" t="str">
        <f>TRIM(LEFT(Main_Presentation[[#This Row],[Payment Terms]],3))</f>
        <v>0</v>
      </c>
      <c r="Z225" s="16"/>
      <c r="AA225" s="316" cm="1">
        <f t="array" ref="AA225">Settlement(Main_Presentation[[#This Row],[Bank]],Main_Presentation[[#This Row],[ Invoice Amt (SAR)]],Main_Presentation[[#This Row],[Date Recd]],Main_Presentation[[#This Row],[Due Date]],Main_Presentation[[#This Row],[Days]])</f>
        <v>1437.5</v>
      </c>
      <c r="AB225" s="16"/>
    </row>
    <row r="226" spans="1:28" ht="15.75" hidden="1" x14ac:dyDescent="0.25">
      <c r="A226" s="14" t="s">
        <v>300</v>
      </c>
      <c r="B226" s="15">
        <v>45559</v>
      </c>
      <c r="C226" s="26">
        <v>1</v>
      </c>
      <c r="D226" s="55" t="str">
        <f>VLOOKUP(Main_Presentation[[#This Row],[LC Number]],Main_Issuance[],3,0)</f>
        <v>Hassan Taleb</v>
      </c>
      <c r="E226" s="16" t="s">
        <v>856</v>
      </c>
      <c r="F226" s="17" t="str">
        <f>VLOOKUP(Main_Presentation[[#This Row],[LC Number]],Main_Issuance[],5,0)</f>
        <v>Alinma</v>
      </c>
      <c r="G226" s="17" t="str">
        <f>VLOOKUP(Main_Presentation[[#This Row],[LC Number]],Main_Issuance[],6,0)</f>
        <v>KSP</v>
      </c>
      <c r="H226" s="17" t="str">
        <f>VLOOKUP(Main_Presentation[[#This Row],[LC Number]],Main_Issuance[],17,0)</f>
        <v>Credit</v>
      </c>
      <c r="I226" s="17" t="str">
        <f>VLOOKUP(Main_Presentation[[#This Row],[LC Number]],Main_Issuance[],7,0)</f>
        <v>HUDA LIGHTING CO</v>
      </c>
      <c r="J226" s="17" t="str">
        <f>VLOOKUP(Main_Presentation[[#This Row],[LC Number]],Main_Issuance[],8,0)</f>
        <v>FIRST FIX</v>
      </c>
      <c r="K226" s="17" t="str">
        <f>VLOOKUP(Main_Presentation[[#This Row],[LC Number]],Main_Issuance[],9,0)</f>
        <v>KSP</v>
      </c>
      <c r="L226" s="17">
        <f>VLOOKUP(Main_Presentation[[#This Row],[LC Number]],Main_Issuance[],10,0)</f>
        <v>1020055</v>
      </c>
      <c r="M226" s="17" t="str">
        <f>VLOOKUP(Main_Presentation[[#This Row],[LC Number]],Main_Issuance[],11,0)</f>
        <v>SAR</v>
      </c>
      <c r="N226" s="84">
        <f>VLOOKUP(Main_Presentation[[#This Row],[LC Number]],Main_Issuance[],12,0)</f>
        <v>2000000</v>
      </c>
      <c r="O226" s="16" t="s">
        <v>20</v>
      </c>
      <c r="P226" s="16" t="s">
        <v>857</v>
      </c>
      <c r="Q226" s="131">
        <v>2000000</v>
      </c>
      <c r="R226" s="18">
        <v>1</v>
      </c>
      <c r="S226" s="18">
        <f>Main_Presentation[[#This Row],[Invoice Amt (FCY)]]*Main_Presentation[[#This Row],[Rate]]</f>
        <v>2000000</v>
      </c>
      <c r="T226" s="15">
        <v>45637</v>
      </c>
      <c r="U226" s="26">
        <f>VLOOKUP(Main_Presentation[[#This Row],[LC Number]],Main_Issuance[],18,0)</f>
        <v>0</v>
      </c>
      <c r="V226" s="19" t="s">
        <v>90</v>
      </c>
      <c r="W226" s="18" t="s">
        <v>857</v>
      </c>
      <c r="X226" s="16"/>
      <c r="Y226" s="234" t="str">
        <f>TRIM(LEFT(Main_Presentation[[#This Row],[Payment Terms]],3))</f>
        <v>0</v>
      </c>
      <c r="Z226" s="16"/>
      <c r="AA226" s="316" cm="1">
        <f t="array" ref="AA226">Settlement(Main_Presentation[[#This Row],[Bank]],Main_Presentation[[#This Row],[ Invoice Amt (SAR)]],Main_Presentation[[#This Row],[Date Recd]],Main_Presentation[[#This Row],[Due Date]],Main_Presentation[[#This Row],[Days]])</f>
        <v>2875</v>
      </c>
      <c r="AB226" s="16"/>
    </row>
    <row r="227" spans="1:28" ht="15.75" hidden="1" x14ac:dyDescent="0.25">
      <c r="A227" s="14" t="s">
        <v>54</v>
      </c>
      <c r="B227" s="15">
        <v>45342</v>
      </c>
      <c r="C227" s="26">
        <v>2</v>
      </c>
      <c r="D227" s="55" t="str">
        <f>VLOOKUP(Main_Presentation[[#This Row],[LC Number]],Main_Issuance[],3,0)</f>
        <v>Hassan Taleb</v>
      </c>
      <c r="E227" s="16" t="s">
        <v>856</v>
      </c>
      <c r="F227" s="17" t="str">
        <f>VLOOKUP(Main_Presentation[[#This Row],[LC Number]],Main_Issuance[],5,0)</f>
        <v>Alinma</v>
      </c>
      <c r="G227" s="17" t="str">
        <f>VLOOKUP(Main_Presentation[[#This Row],[LC Number]],Main_Issuance[],6,0)</f>
        <v>KSP</v>
      </c>
      <c r="H227" s="17" t="str">
        <f>VLOOKUP(Main_Presentation[[#This Row],[LC Number]],Main_Issuance[],17,0)</f>
        <v>Credit</v>
      </c>
      <c r="I227" s="17" t="str">
        <f>VLOOKUP(Main_Presentation[[#This Row],[LC Number]],Main_Issuance[],7,0)</f>
        <v>ELECTRIC HOUSE CO</v>
      </c>
      <c r="J227" s="17" t="str">
        <f>VLOOKUP(Main_Presentation[[#This Row],[LC Number]],Main_Issuance[],8,0)</f>
        <v>FIRST FIX</v>
      </c>
      <c r="K227" s="17" t="str">
        <f>VLOOKUP(Main_Presentation[[#This Row],[LC Number]],Main_Issuance[],9,0)</f>
        <v>KSP</v>
      </c>
      <c r="L227" s="17">
        <f>VLOOKUP(Main_Presentation[[#This Row],[LC Number]],Main_Issuance[],10,0)</f>
        <v>1020055</v>
      </c>
      <c r="M227" s="17" t="str">
        <f>VLOOKUP(Main_Presentation[[#This Row],[LC Number]],Main_Issuance[],11,0)</f>
        <v>SAR</v>
      </c>
      <c r="N227" s="84">
        <f>VLOOKUP(Main_Presentation[[#This Row],[LC Number]],Main_Issuance[],12,0)</f>
        <v>1500000</v>
      </c>
      <c r="O227" s="16" t="s">
        <v>20</v>
      </c>
      <c r="P227" s="16" t="s">
        <v>857</v>
      </c>
      <c r="Q227" s="131">
        <v>364821.5</v>
      </c>
      <c r="R227" s="18">
        <v>1</v>
      </c>
      <c r="S227" s="18">
        <f>Main_Presentation[[#This Row],[Invoice Amt (FCY)]]*Main_Presentation[[#This Row],[Rate]]</f>
        <v>364821.5</v>
      </c>
      <c r="T227" s="15">
        <v>45437</v>
      </c>
      <c r="U227" s="26" t="str">
        <f>VLOOKUP(Main_Presentation[[#This Row],[LC Number]],Main_Issuance[],18,0)</f>
        <v>90 Days from Delivery Date</v>
      </c>
      <c r="V227" s="19" t="s">
        <v>22</v>
      </c>
      <c r="W227" s="18" t="s">
        <v>857</v>
      </c>
      <c r="X227" s="16"/>
      <c r="Y227" s="234" t="str">
        <f>TRIM(LEFT(Main_Presentation[[#This Row],[Payment Terms]],3))</f>
        <v>90</v>
      </c>
      <c r="Z227" s="16"/>
      <c r="AA227" s="316" cm="1">
        <f t="array" ref="AA227">Settlement(Main_Presentation[[#This Row],[Bank]],Main_Presentation[[#This Row],[ Invoice Amt (SAR)]],Main_Presentation[[#This Row],[Date Recd]],Main_Presentation[[#This Row],[Due Date]],Main_Presentation[[#This Row],[Days]])</f>
        <v>1437.5</v>
      </c>
      <c r="AB227" s="16"/>
    </row>
    <row r="228" spans="1:28" ht="15.75" hidden="1" x14ac:dyDescent="0.25">
      <c r="A228" s="14" t="s">
        <v>256</v>
      </c>
      <c r="B228" s="15">
        <v>45561</v>
      </c>
      <c r="C228" s="26">
        <v>1</v>
      </c>
      <c r="D228" s="55" t="str">
        <f>VLOOKUP(Main_Presentation[[#This Row],[LC Number]],Main_Issuance[],3,0)</f>
        <v>Hassan Taleb</v>
      </c>
      <c r="E228" s="16" t="s">
        <v>856</v>
      </c>
      <c r="F228" s="17" t="str">
        <f>VLOOKUP(Main_Presentation[[#This Row],[LC Number]],Main_Issuance[],5,0)</f>
        <v>Alinma</v>
      </c>
      <c r="G228" s="17" t="str">
        <f>VLOOKUP(Main_Presentation[[#This Row],[LC Number]],Main_Issuance[],6,0)</f>
        <v>KSP</v>
      </c>
      <c r="H228" s="17" t="str">
        <f>VLOOKUP(Main_Presentation[[#This Row],[LC Number]],Main_Issuance[],17,0)</f>
        <v>Credit</v>
      </c>
      <c r="I228" s="16" t="str">
        <f>VLOOKUP(Main_Presentation[[#This Row],[LC Number]],Main_Issuance[],7,0)</f>
        <v>Branch of National Fire Fighting (NAFFCO)</v>
      </c>
      <c r="J228" s="17" t="str">
        <f>VLOOKUP(Main_Presentation[[#This Row],[LC Number]],Main_Issuance[],8,0)</f>
        <v>FIRST FIX</v>
      </c>
      <c r="K228" s="17" t="str">
        <f>VLOOKUP(Main_Presentation[[#This Row],[LC Number]],Main_Issuance[],9,0)</f>
        <v>KSP</v>
      </c>
      <c r="L228" s="17">
        <f>VLOOKUP(Main_Presentation[[#This Row],[LC Number]],Main_Issuance[],10,0)</f>
        <v>1020055</v>
      </c>
      <c r="M228" s="17" t="str">
        <f>VLOOKUP(Main_Presentation[[#This Row],[LC Number]],Main_Issuance[],11,0)</f>
        <v>SAR</v>
      </c>
      <c r="N228" s="84">
        <f>VLOOKUP(Main_Presentation[[#This Row],[LC Number]],Main_Issuance[],12,0)</f>
        <v>1552500</v>
      </c>
      <c r="O228" s="16" t="s">
        <v>20</v>
      </c>
      <c r="P228" s="16" t="s">
        <v>857</v>
      </c>
      <c r="Q228" s="131">
        <v>1552500</v>
      </c>
      <c r="R228" s="18">
        <v>1</v>
      </c>
      <c r="S228" s="18">
        <f>Main_Presentation[[#This Row],[Invoice Amt (FCY)]]*Main_Presentation[[#This Row],[Rate]]</f>
        <v>1552500</v>
      </c>
      <c r="T228" s="15">
        <v>45613</v>
      </c>
      <c r="U228" s="26" t="str">
        <f>VLOOKUP(Main_Presentation[[#This Row],[LC Number]],Main_Issuance[],18,0)</f>
        <v>60 Days from Delivery Date</v>
      </c>
      <c r="V228" s="19" t="s">
        <v>367</v>
      </c>
      <c r="W228" s="18" t="s">
        <v>857</v>
      </c>
      <c r="X228" s="16"/>
      <c r="Y228" s="234" t="str">
        <f>TRIM(LEFT(Main_Presentation[[#This Row],[Payment Terms]],3))</f>
        <v>60</v>
      </c>
      <c r="Z228" s="16"/>
      <c r="AA228" s="316" cm="1">
        <f t="array" ref="AA228">Settlement(Main_Presentation[[#This Row],[Bank]],Main_Presentation[[#This Row],[ Invoice Amt (SAR)]],Main_Presentation[[#This Row],[Date Recd]],Main_Presentation[[#This Row],[Due Date]],Main_Presentation[[#This Row],[Days]])</f>
        <v>1488.1</v>
      </c>
      <c r="AB228" s="16"/>
    </row>
    <row r="229" spans="1:28" ht="15.75" hidden="1" x14ac:dyDescent="0.25">
      <c r="A229" s="14" t="s">
        <v>293</v>
      </c>
      <c r="B229" s="15">
        <v>45582</v>
      </c>
      <c r="C229" s="26">
        <v>1</v>
      </c>
      <c r="D229" s="55" t="str">
        <f>VLOOKUP(Main_Presentation[[#This Row],[LC Number]],Main_Issuance[],3,0)</f>
        <v>Hassan Taleb</v>
      </c>
      <c r="E229" s="16" t="s">
        <v>856</v>
      </c>
      <c r="F229" s="17" t="str">
        <f>VLOOKUP(Main_Presentation[[#This Row],[LC Number]],Main_Issuance[],5,0)</f>
        <v>Alinma</v>
      </c>
      <c r="G229" s="17" t="str">
        <f>VLOOKUP(Main_Presentation[[#This Row],[LC Number]],Main_Issuance[],6,0)</f>
        <v>KSP</v>
      </c>
      <c r="H229" s="17" t="str">
        <f>VLOOKUP(Main_Presentation[[#This Row],[LC Number]],Main_Issuance[],17,0)</f>
        <v>Credit</v>
      </c>
      <c r="I229" s="17" t="str">
        <f>VLOOKUP(Main_Presentation[[#This Row],[LC Number]],Main_Issuance[],7,0)</f>
        <v>AL MOUSA CO</v>
      </c>
      <c r="J229" s="17" t="str">
        <f>VLOOKUP(Main_Presentation[[#This Row],[LC Number]],Main_Issuance[],8,0)</f>
        <v>FIRST FIX</v>
      </c>
      <c r="K229" s="17" t="str">
        <f>VLOOKUP(Main_Presentation[[#This Row],[LC Number]],Main_Issuance[],9,0)</f>
        <v>KSP</v>
      </c>
      <c r="L229" s="17">
        <f>VLOOKUP(Main_Presentation[[#This Row],[LC Number]],Main_Issuance[],10,0)</f>
        <v>1020055</v>
      </c>
      <c r="M229" s="17" t="str">
        <f>VLOOKUP(Main_Presentation[[#This Row],[LC Number]],Main_Issuance[],11,0)</f>
        <v>SAR</v>
      </c>
      <c r="N229" s="84">
        <f>VLOOKUP(Main_Presentation[[#This Row],[LC Number]],Main_Issuance[],12,0)</f>
        <v>2575000</v>
      </c>
      <c r="O229" s="16" t="s">
        <v>20</v>
      </c>
      <c r="P229" s="16" t="s">
        <v>857</v>
      </c>
      <c r="Q229" s="131">
        <v>2575000</v>
      </c>
      <c r="R229" s="18">
        <v>1</v>
      </c>
      <c r="S229" s="18">
        <f>Main_Presentation[[#This Row],[Invoice Amt (FCY)]]*Main_Presentation[[#This Row],[Rate]]</f>
        <v>2575000</v>
      </c>
      <c r="T229" s="15">
        <v>45657</v>
      </c>
      <c r="U229" s="26" t="str">
        <f>VLOOKUP(Main_Presentation[[#This Row],[LC Number]],Main_Issuance[],18,0)</f>
        <v>90 Days from Applicant Sign date</v>
      </c>
      <c r="V229" s="19" t="s">
        <v>22</v>
      </c>
      <c r="W229" s="18" t="s">
        <v>857</v>
      </c>
      <c r="X229" s="16"/>
      <c r="Y229" s="234" t="str">
        <f>TRIM(LEFT(Main_Presentation[[#This Row],[Payment Terms]],3))</f>
        <v>90</v>
      </c>
      <c r="Z229" s="16"/>
      <c r="AA229" s="316" cm="1">
        <f t="array" ref="AA229">Settlement(Main_Presentation[[#This Row],[Bank]],Main_Presentation[[#This Row],[ Invoice Amt (SAR)]],Main_Presentation[[#This Row],[Date Recd]],Main_Presentation[[#This Row],[Due Date]],Main_Presentation[[#This Row],[Days]])</f>
        <v>2467.9</v>
      </c>
      <c r="AB229" s="16"/>
    </row>
    <row r="230" spans="1:28" ht="15.75" hidden="1" x14ac:dyDescent="0.25">
      <c r="A230" s="14" t="s">
        <v>257</v>
      </c>
      <c r="B230" s="15">
        <v>45613</v>
      </c>
      <c r="C230" s="26">
        <v>3</v>
      </c>
      <c r="D230" s="55" t="str">
        <f>VLOOKUP(Main_Presentation[[#This Row],[LC Number]],Main_Issuance[],3,0)</f>
        <v>Hassan Taleb</v>
      </c>
      <c r="E230" s="16" t="s">
        <v>856</v>
      </c>
      <c r="F230" s="17" t="str">
        <f>VLOOKUP(Main_Presentation[[#This Row],[LC Number]],Main_Issuance[],5,0)</f>
        <v>Alinma</v>
      </c>
      <c r="G230" s="17" t="str">
        <f>VLOOKUP(Main_Presentation[[#This Row],[LC Number]],Main_Issuance[],6,0)</f>
        <v>KSP</v>
      </c>
      <c r="H230" s="17" t="str">
        <f>VLOOKUP(Main_Presentation[[#This Row],[LC Number]],Main_Issuance[],17,0)</f>
        <v>Credit</v>
      </c>
      <c r="I230" s="17" t="str">
        <f>VLOOKUP(Main_Presentation[[#This Row],[LC Number]],Main_Issuance[],7,0)</f>
        <v>AL SALEM AIR CONDITIONING CO</v>
      </c>
      <c r="J230" s="17" t="str">
        <f>VLOOKUP(Main_Presentation[[#This Row],[LC Number]],Main_Issuance[],8,0)</f>
        <v>FIRST FIX</v>
      </c>
      <c r="K230" s="17" t="str">
        <f>VLOOKUP(Main_Presentation[[#This Row],[LC Number]],Main_Issuance[],9,0)</f>
        <v>KSP</v>
      </c>
      <c r="L230" s="17">
        <f>VLOOKUP(Main_Presentation[[#This Row],[LC Number]],Main_Issuance[],10,0)</f>
        <v>1020055</v>
      </c>
      <c r="M230" s="17" t="str">
        <f>VLOOKUP(Main_Presentation[[#This Row],[LC Number]],Main_Issuance[],11,0)</f>
        <v>SAR</v>
      </c>
      <c r="N230" s="84">
        <f>VLOOKUP(Main_Presentation[[#This Row],[LC Number]],Main_Issuance[],12,0)</f>
        <v>5725000</v>
      </c>
      <c r="O230" s="16" t="s">
        <v>20</v>
      </c>
      <c r="P230" s="16" t="s">
        <v>857</v>
      </c>
      <c r="Q230" s="131">
        <v>1725000</v>
      </c>
      <c r="R230" s="18">
        <v>1</v>
      </c>
      <c r="S230" s="18">
        <f>Main_Presentation[[#This Row],[Invoice Amt (FCY)]]*Main_Presentation[[#This Row],[Rate]]</f>
        <v>1725000</v>
      </c>
      <c r="T230" s="15">
        <v>45652</v>
      </c>
      <c r="U230" s="26" t="str">
        <f>VLOOKUP(Main_Presentation[[#This Row],[LC Number]],Main_Issuance[],18,0)</f>
        <v>45 Days from Delivery Date</v>
      </c>
      <c r="V230" s="19" t="s">
        <v>407</v>
      </c>
      <c r="W230" s="18" t="s">
        <v>857</v>
      </c>
      <c r="X230" s="16"/>
      <c r="Y230" s="234" t="str">
        <f>TRIM(LEFT(Main_Presentation[[#This Row],[Payment Terms]],3))</f>
        <v>45</v>
      </c>
      <c r="Z230" s="16"/>
      <c r="AA230" s="316" cm="1">
        <f t="array" ref="AA230">Settlement(Main_Presentation[[#This Row],[Bank]],Main_Presentation[[#This Row],[ Invoice Amt (SAR)]],Main_Presentation[[#This Row],[Date Recd]],Main_Presentation[[#This Row],[Due Date]],Main_Presentation[[#This Row],[Days]])</f>
        <v>1437.5</v>
      </c>
      <c r="AB230" s="16"/>
    </row>
    <row r="231" spans="1:28" ht="15.75" hidden="1" x14ac:dyDescent="0.25">
      <c r="A231" s="34" t="s">
        <v>254</v>
      </c>
      <c r="B231" s="35">
        <v>45532</v>
      </c>
      <c r="C231" s="36">
        <v>12</v>
      </c>
      <c r="D231" s="55" t="str">
        <f>VLOOKUP(Main_Presentation[[#This Row],[LC Number]],Main_Issuance[],3,0)</f>
        <v>Mohammed Atef</v>
      </c>
      <c r="E231" s="33" t="s">
        <v>856</v>
      </c>
      <c r="F231" s="37" t="str">
        <f>VLOOKUP(Main_Presentation[[#This Row],[LC Number]],Main_Issuance[],5,0)</f>
        <v>Alinma</v>
      </c>
      <c r="G231" s="37" t="str">
        <f>VLOOKUP(Main_Presentation[[#This Row],[LC Number]],Main_Issuance[],6,0)</f>
        <v>KSP</v>
      </c>
      <c r="H231" s="37" t="str">
        <f>VLOOKUP(Main_Presentation[[#This Row],[LC Number]],Main_Issuance[],17,0)</f>
        <v>Credit</v>
      </c>
      <c r="I231" s="37" t="str">
        <f>VLOOKUP(Main_Presentation[[#This Row],[LC Number]],Main_Issuance[],7,0)</f>
        <v>BBH-CHEMTROL INTERNATIONAL ORGANIZATION S.L</v>
      </c>
      <c r="J231" s="37" t="str">
        <f>VLOOKUP(Main_Presentation[[#This Row],[LC Number]],Main_Issuance[],8,0)</f>
        <v>MBL/ICAD</v>
      </c>
      <c r="K231" s="37" t="str">
        <f>VLOOKUP(Main_Presentation[[#This Row],[LC Number]],Main_Issuance[],9,0)</f>
        <v>KSP</v>
      </c>
      <c r="L231" s="37">
        <f>VLOOKUP(Main_Presentation[[#This Row],[LC Number]],Main_Issuance[],10,0)</f>
        <v>1020055</v>
      </c>
      <c r="M231" s="37" t="str">
        <f>VLOOKUP(Main_Presentation[[#This Row],[LC Number]],Main_Issuance[],11,0)</f>
        <v>EUR</v>
      </c>
      <c r="N231" s="85">
        <f>VLOOKUP(Main_Presentation[[#This Row],[LC Number]],Main_Issuance[],12,0)</f>
        <v>8182985</v>
      </c>
      <c r="O231" s="33" t="s">
        <v>20</v>
      </c>
      <c r="P231" s="33" t="s">
        <v>857</v>
      </c>
      <c r="Q231" s="131">
        <v>320841.24</v>
      </c>
      <c r="R231" s="38">
        <v>3.9670000000000001</v>
      </c>
      <c r="S231" s="38">
        <f>Main_Presentation[[#This Row],[Invoice Amt (FCY)]]*Main_Presentation[[#This Row],[Rate]]</f>
        <v>1272777.1990799999</v>
      </c>
      <c r="T231" s="35">
        <v>45649</v>
      </c>
      <c r="U231" s="36" t="str">
        <f>VLOOKUP(Main_Presentation[[#This Row],[LC Number]],Main_Issuance[],18,0)</f>
        <v>30 Days from Shipment Date</v>
      </c>
      <c r="V231" s="39" t="s">
        <v>96</v>
      </c>
      <c r="W231" s="229" t="s">
        <v>857</v>
      </c>
      <c r="X231" s="33" t="s">
        <v>883</v>
      </c>
      <c r="Y231" s="234" t="str">
        <f>TRIM(LEFT(Main_Presentation[[#This Row],[Payment Terms]],3))</f>
        <v>30</v>
      </c>
      <c r="Z231" s="16"/>
      <c r="AA231" s="316" cm="1">
        <f t="array" ref="AA231">Settlement(Main_Presentation[[#This Row],[Bank]],Main_Presentation[[#This Row],[ Invoice Amt (SAR)]],Main_Presentation[[#This Row],[Date Recd]],Main_Presentation[[#This Row],[Due Date]],Main_Presentation[[#This Row],[Days]])</f>
        <v>2439.15</v>
      </c>
      <c r="AB231" s="16"/>
    </row>
    <row r="232" spans="1:28" ht="15.75" hidden="1" x14ac:dyDescent="0.25">
      <c r="A232" s="34" t="s">
        <v>254</v>
      </c>
      <c r="B232" s="35">
        <v>45627</v>
      </c>
      <c r="C232" s="36">
        <v>13</v>
      </c>
      <c r="D232" s="55" t="str">
        <f>VLOOKUP(Main_Presentation[[#This Row],[LC Number]],Main_Issuance[],3,0)</f>
        <v>Mohammed Atef</v>
      </c>
      <c r="E232" s="33" t="s">
        <v>856</v>
      </c>
      <c r="F232" s="37" t="str">
        <f>VLOOKUP(Main_Presentation[[#This Row],[LC Number]],Main_Issuance[],5,0)</f>
        <v>Alinma</v>
      </c>
      <c r="G232" s="37" t="str">
        <f>VLOOKUP(Main_Presentation[[#This Row],[LC Number]],Main_Issuance[],6,0)</f>
        <v>KSP</v>
      </c>
      <c r="H232" s="37" t="str">
        <f>VLOOKUP(Main_Presentation[[#This Row],[LC Number]],Main_Issuance[],17,0)</f>
        <v>Credit</v>
      </c>
      <c r="I232" s="37" t="str">
        <f>VLOOKUP(Main_Presentation[[#This Row],[LC Number]],Main_Issuance[],7,0)</f>
        <v>BBH-CHEMTROL INTERNATIONAL ORGANIZATION S.L</v>
      </c>
      <c r="J232" s="37" t="str">
        <f>VLOOKUP(Main_Presentation[[#This Row],[LC Number]],Main_Issuance[],8,0)</f>
        <v>MBL/ICAD</v>
      </c>
      <c r="K232" s="37" t="str">
        <f>VLOOKUP(Main_Presentation[[#This Row],[LC Number]],Main_Issuance[],9,0)</f>
        <v>KSP</v>
      </c>
      <c r="L232" s="37">
        <f>VLOOKUP(Main_Presentation[[#This Row],[LC Number]],Main_Issuance[],10,0)</f>
        <v>1020055</v>
      </c>
      <c r="M232" s="37" t="str">
        <f>VLOOKUP(Main_Presentation[[#This Row],[LC Number]],Main_Issuance[],11,0)</f>
        <v>EUR</v>
      </c>
      <c r="N232" s="85">
        <f>VLOOKUP(Main_Presentation[[#This Row],[LC Number]],Main_Issuance[],12,0)</f>
        <v>8182985</v>
      </c>
      <c r="O232" s="33" t="s">
        <v>20</v>
      </c>
      <c r="P232" s="33" t="s">
        <v>857</v>
      </c>
      <c r="Q232" s="131">
        <v>796757.66</v>
      </c>
      <c r="R232" s="38">
        <v>4</v>
      </c>
      <c r="S232" s="38">
        <f>Main_Presentation[[#This Row],[Invoice Amt (FCY)]]*Main_Presentation[[#This Row],[Rate]]</f>
        <v>3187030.64</v>
      </c>
      <c r="T232" s="35">
        <v>45643</v>
      </c>
      <c r="U232" s="36" t="str">
        <f>VLOOKUP(Main_Presentation[[#This Row],[LC Number]],Main_Issuance[],18,0)</f>
        <v>30 Days from Shipment Date</v>
      </c>
      <c r="V232" s="39" t="s">
        <v>90</v>
      </c>
      <c r="W232" s="38" t="s">
        <v>857</v>
      </c>
      <c r="X232" s="33"/>
      <c r="Y232" s="234" t="str">
        <f>TRIM(LEFT(Main_Presentation[[#This Row],[Payment Terms]],3))</f>
        <v>30</v>
      </c>
      <c r="Z232" s="16"/>
      <c r="AA232" s="316" cm="1">
        <f t="array" ref="AA232">Settlement(Main_Presentation[[#This Row],[Bank]],Main_Presentation[[#This Row],[ Invoice Amt (SAR)]],Main_Presentation[[#This Row],[Date Recd]],Main_Presentation[[#This Row],[Due Date]],Main_Presentation[[#This Row],[Days]])</f>
        <v>1527.2</v>
      </c>
      <c r="AB232" s="16"/>
    </row>
    <row r="233" spans="1:28" ht="15.75" hidden="1" x14ac:dyDescent="0.25">
      <c r="A233" s="14" t="s">
        <v>518</v>
      </c>
      <c r="B233" s="15">
        <v>45638</v>
      </c>
      <c r="C233" s="26">
        <v>1</v>
      </c>
      <c r="D233" s="55" t="str">
        <f>VLOOKUP(Main_Presentation[[#This Row],[LC Number]],Main_Issuance[],3,0)</f>
        <v>Hassan Taleb</v>
      </c>
      <c r="E233" s="16" t="s">
        <v>858</v>
      </c>
      <c r="F233" s="17" t="str">
        <f>VLOOKUP(Main_Presentation[[#This Row],[LC Number]],Main_Issuance[],5,0)</f>
        <v>Alinma</v>
      </c>
      <c r="G233" s="17" t="str">
        <f>VLOOKUP(Main_Presentation[[#This Row],[LC Number]],Main_Issuance[],6,0)</f>
        <v>KSP</v>
      </c>
      <c r="H233" s="17" t="str">
        <f>VLOOKUP(Main_Presentation[[#This Row],[LC Number]],Main_Issuance[],17,0)</f>
        <v>Credit</v>
      </c>
      <c r="I233" s="17" t="str">
        <f>VLOOKUP(Main_Presentation[[#This Row],[LC Number]],Main_Issuance[],7,0)</f>
        <v>Depth Modern Technologies Co.</v>
      </c>
      <c r="J233" s="17" t="str">
        <f>VLOOKUP(Main_Presentation[[#This Row],[LC Number]],Main_Issuance[],8,0)</f>
        <v>FIRST FIX</v>
      </c>
      <c r="K233" s="17" t="str">
        <f>VLOOKUP(Main_Presentation[[#This Row],[LC Number]],Main_Issuance[],9,0)</f>
        <v>KSP</v>
      </c>
      <c r="L233" s="17">
        <f>VLOOKUP(Main_Presentation[[#This Row],[LC Number]],Main_Issuance[],10,0)</f>
        <v>1020055</v>
      </c>
      <c r="M233" s="17" t="str">
        <f>VLOOKUP(Main_Presentation[[#This Row],[LC Number]],Main_Issuance[],11,0)</f>
        <v>SAR</v>
      </c>
      <c r="N233" s="84">
        <f>VLOOKUP(Main_Presentation[[#This Row],[LC Number]],Main_Issuance[],12,0)</f>
        <v>1000000</v>
      </c>
      <c r="O233" s="16" t="s">
        <v>20</v>
      </c>
      <c r="P233" s="16" t="s">
        <v>857</v>
      </c>
      <c r="Q233" s="131">
        <v>1000000</v>
      </c>
      <c r="R233" s="18">
        <v>1</v>
      </c>
      <c r="S233" s="18">
        <f>Main_Presentation[[#This Row],[Invoice Amt (FCY)]]*Main_Presentation[[#This Row],[Rate]]</f>
        <v>1000000</v>
      </c>
      <c r="T233" s="15">
        <v>45721</v>
      </c>
      <c r="U233" s="26" t="str">
        <f>VLOOKUP(Main_Presentation[[#This Row],[LC Number]],Main_Issuance[],18,0)</f>
        <v>90 Days from Invoice Date</v>
      </c>
      <c r="V233" s="19" t="s">
        <v>885</v>
      </c>
      <c r="W233" s="18" t="s">
        <v>378</v>
      </c>
      <c r="X233" s="16"/>
      <c r="Y233" s="234" t="str">
        <f>TRIM(LEFT(Main_Presentation[[#This Row],[Payment Terms]],3))</f>
        <v>90</v>
      </c>
      <c r="Z233" s="16"/>
      <c r="AA233" s="316" cm="1">
        <f t="array" ref="AA233">Settlement(Main_Presentation[[#This Row],[Bank]],Main_Presentation[[#This Row],[ Invoice Amt (SAR)]],Main_Presentation[[#This Row],[Date Recd]],Main_Presentation[[#This Row],[Due Date]],Main_Presentation[[#This Row],[Days]])</f>
        <v>1437.5</v>
      </c>
      <c r="AB233" s="16"/>
    </row>
    <row r="234" spans="1:28" ht="15.75" hidden="1" x14ac:dyDescent="0.25">
      <c r="A234" s="14" t="s">
        <v>258</v>
      </c>
      <c r="B234" s="15">
        <v>45642</v>
      </c>
      <c r="C234" s="26">
        <v>2</v>
      </c>
      <c r="D234" s="55" t="str">
        <f>VLOOKUP(Main_Presentation[[#This Row],[LC Number]],Main_Issuance[],3,0)</f>
        <v>Hassan Taleb</v>
      </c>
      <c r="E234" s="16" t="s">
        <v>856</v>
      </c>
      <c r="F234" s="17" t="str">
        <f>VLOOKUP(Main_Presentation[[#This Row],[LC Number]],Main_Issuance[],5,0)</f>
        <v>Alinma</v>
      </c>
      <c r="G234" s="17" t="str">
        <f>VLOOKUP(Main_Presentation[[#This Row],[LC Number]],Main_Issuance[],6,0)</f>
        <v>KSP</v>
      </c>
      <c r="H234" s="17" t="str">
        <f>VLOOKUP(Main_Presentation[[#This Row],[LC Number]],Main_Issuance[],17,0)</f>
        <v>Credit</v>
      </c>
      <c r="I234" s="17" t="str">
        <f>VLOOKUP(Main_Presentation[[#This Row],[LC Number]],Main_Issuance[],7,0)</f>
        <v xml:space="preserve">MODERN TIMES </v>
      </c>
      <c r="J234" s="17" t="str">
        <f>VLOOKUP(Main_Presentation[[#This Row],[LC Number]],Main_Issuance[],8,0)</f>
        <v>FIRST FIX</v>
      </c>
      <c r="K234" s="17" t="str">
        <f>VLOOKUP(Main_Presentation[[#This Row],[LC Number]],Main_Issuance[],9,0)</f>
        <v>KSP</v>
      </c>
      <c r="L234" s="17">
        <f>VLOOKUP(Main_Presentation[[#This Row],[LC Number]],Main_Issuance[],10,0)</f>
        <v>1020055</v>
      </c>
      <c r="M234" s="17" t="str">
        <f>VLOOKUP(Main_Presentation[[#This Row],[LC Number]],Main_Issuance[],11,0)</f>
        <v>SAR</v>
      </c>
      <c r="N234" s="84">
        <f>VLOOKUP(Main_Presentation[[#This Row],[LC Number]],Main_Issuance[],12,0)</f>
        <v>2846250</v>
      </c>
      <c r="O234" s="16" t="s">
        <v>20</v>
      </c>
      <c r="P234" s="16" t="s">
        <v>857</v>
      </c>
      <c r="Q234" s="131">
        <v>1077000</v>
      </c>
      <c r="R234" s="18">
        <v>1</v>
      </c>
      <c r="S234" s="18">
        <f>Main_Presentation[[#This Row],[Invoice Amt (FCY)]]*Main_Presentation[[#This Row],[Rate]]</f>
        <v>1077000</v>
      </c>
      <c r="T234" s="15">
        <v>45676</v>
      </c>
      <c r="U234" s="26" t="str">
        <f>VLOOKUP(Main_Presentation[[#This Row],[LC Number]],Main_Issuance[],18,0)</f>
        <v>45 Days from Delivery Date</v>
      </c>
      <c r="V234" s="19" t="s">
        <v>22</v>
      </c>
      <c r="W234" s="18" t="s">
        <v>857</v>
      </c>
      <c r="X234" s="16"/>
      <c r="Y234" s="234" t="str">
        <f>TRIM(LEFT(Main_Presentation[[#This Row],[Payment Terms]],3))</f>
        <v>45</v>
      </c>
      <c r="Z234" s="16"/>
      <c r="AA234" s="316" cm="1">
        <f t="array" ref="AA234">Settlement(Main_Presentation[[#This Row],[Bank]],Main_Presentation[[#This Row],[ Invoice Amt (SAR)]],Main_Presentation[[#This Row],[Date Recd]],Main_Presentation[[#This Row],[Due Date]],Main_Presentation[[#This Row],[Days]])</f>
        <v>1437.5</v>
      </c>
      <c r="AB234" s="16"/>
    </row>
    <row r="235" spans="1:28" ht="15.75" hidden="1" x14ac:dyDescent="0.25">
      <c r="A235" s="20" t="s">
        <v>524</v>
      </c>
      <c r="B235" s="15">
        <v>45650</v>
      </c>
      <c r="C235" s="26">
        <v>1</v>
      </c>
      <c r="D235" s="55" t="str">
        <f>VLOOKUP(Main_Presentation[[#This Row],[LC Number]],Main_Issuance[],3,0)</f>
        <v>Hassan Taleb</v>
      </c>
      <c r="E235" s="16" t="s">
        <v>856</v>
      </c>
      <c r="F235" s="17" t="str">
        <f>VLOOKUP(Main_Presentation[[#This Row],[LC Number]],Main_Issuance[],5,0)</f>
        <v>Alinma</v>
      </c>
      <c r="G235" s="17" t="str">
        <f>VLOOKUP(Main_Presentation[[#This Row],[LC Number]],Main_Issuance[],6,0)</f>
        <v>KSP</v>
      </c>
      <c r="H235" s="17" t="str">
        <f>VLOOKUP(Main_Presentation[[#This Row],[LC Number]],Main_Issuance[],17,0)</f>
        <v>Credit</v>
      </c>
      <c r="I235" s="17" t="str">
        <f>VLOOKUP(Main_Presentation[[#This Row],[LC Number]],Main_Issuance[],7,0)</f>
        <v>Power Center Company for Industries LLC</v>
      </c>
      <c r="J235" s="17" t="str">
        <f>VLOOKUP(Main_Presentation[[#This Row],[LC Number]],Main_Issuance[],8,0)</f>
        <v>FIRST FIX</v>
      </c>
      <c r="K235" s="17" t="str">
        <f>VLOOKUP(Main_Presentation[[#This Row],[LC Number]],Main_Issuance[],9,0)</f>
        <v>KSP</v>
      </c>
      <c r="L235" s="17">
        <f>VLOOKUP(Main_Presentation[[#This Row],[LC Number]],Main_Issuance[],10,0)</f>
        <v>1020055</v>
      </c>
      <c r="M235" s="17" t="str">
        <f>VLOOKUP(Main_Presentation[[#This Row],[LC Number]],Main_Issuance[],11,0)</f>
        <v>SAR</v>
      </c>
      <c r="N235" s="84">
        <f>VLOOKUP(Main_Presentation[[#This Row],[LC Number]],Main_Issuance[],12,0)</f>
        <v>2500000</v>
      </c>
      <c r="O235" s="16" t="s">
        <v>20</v>
      </c>
      <c r="P235" s="16" t="s">
        <v>857</v>
      </c>
      <c r="Q235" s="131">
        <v>2500000</v>
      </c>
      <c r="R235" s="18">
        <v>1</v>
      </c>
      <c r="S235" s="18">
        <f>Main_Presentation[[#This Row],[Invoice Amt (FCY)]]*Main_Presentation[[#This Row],[Rate]]</f>
        <v>2500000</v>
      </c>
      <c r="T235" s="15">
        <v>45727</v>
      </c>
      <c r="U235" s="26" t="str">
        <f>VLOOKUP(Main_Presentation[[#This Row],[LC Number]],Main_Issuance[],18,0)</f>
        <v>90 Days from Invoice Date</v>
      </c>
      <c r="V235" s="21" t="s">
        <v>22</v>
      </c>
      <c r="W235" s="22" t="s">
        <v>857</v>
      </c>
      <c r="X235" s="16"/>
      <c r="Y235" s="234" t="str">
        <f>TRIM(LEFT(Main_Presentation[[#This Row],[Payment Terms]],3))</f>
        <v>90</v>
      </c>
      <c r="Z235" s="16"/>
      <c r="AA235" s="316" cm="1">
        <f t="array" ref="AA235">Settlement(Main_Presentation[[#This Row],[Bank]],Main_Presentation[[#This Row],[ Invoice Amt (SAR)]],Main_Presentation[[#This Row],[Date Recd]],Main_Presentation[[#This Row],[Due Date]],Main_Presentation[[#This Row],[Days]])</f>
        <v>2395.4499999999998</v>
      </c>
      <c r="AB235" s="16"/>
    </row>
    <row r="236" spans="1:28" ht="15.75" hidden="1" x14ac:dyDescent="0.25">
      <c r="A236" s="20" t="s">
        <v>525</v>
      </c>
      <c r="B236" s="15">
        <v>45651</v>
      </c>
      <c r="C236" s="26">
        <v>1</v>
      </c>
      <c r="D236" s="55" t="str">
        <f>VLOOKUP(Main_Presentation[[#This Row],[LC Number]],Main_Issuance[],3,0)</f>
        <v>Hassan Taleb</v>
      </c>
      <c r="E236" s="16" t="s">
        <v>856</v>
      </c>
      <c r="F236" s="17" t="str">
        <f>VLOOKUP(Main_Presentation[[#This Row],[LC Number]],Main_Issuance[],5,0)</f>
        <v>Alinma</v>
      </c>
      <c r="G236" s="17" t="str">
        <f>VLOOKUP(Main_Presentation[[#This Row],[LC Number]],Main_Issuance[],6,0)</f>
        <v>KSP</v>
      </c>
      <c r="H236" s="17" t="str">
        <f>VLOOKUP(Main_Presentation[[#This Row],[LC Number]],Main_Issuance[],17,0)</f>
        <v>Credit</v>
      </c>
      <c r="I236" s="17" t="str">
        <f>VLOOKUP(Main_Presentation[[#This Row],[LC Number]],Main_Issuance[],7,0)</f>
        <v>Isam Kabbani &amp; Partners Ltd-Unitech</v>
      </c>
      <c r="J236" s="17" t="str">
        <f>VLOOKUP(Main_Presentation[[#This Row],[LC Number]],Main_Issuance[],8,0)</f>
        <v>FIRST FIX</v>
      </c>
      <c r="K236" s="17" t="str">
        <f>VLOOKUP(Main_Presentation[[#This Row],[LC Number]],Main_Issuance[],9,0)</f>
        <v>KSP</v>
      </c>
      <c r="L236" s="17">
        <f>VLOOKUP(Main_Presentation[[#This Row],[LC Number]],Main_Issuance[],10,0)</f>
        <v>1020055</v>
      </c>
      <c r="M236" s="17" t="str">
        <f>VLOOKUP(Main_Presentation[[#This Row],[LC Number]],Main_Issuance[],11,0)</f>
        <v>SAR</v>
      </c>
      <c r="N236" s="84">
        <f>VLOOKUP(Main_Presentation[[#This Row],[LC Number]],Main_Issuance[],12,0)</f>
        <v>809055.91</v>
      </c>
      <c r="O236" s="16" t="s">
        <v>20</v>
      </c>
      <c r="P236" s="16" t="s">
        <v>857</v>
      </c>
      <c r="Q236" s="131">
        <v>809055.91</v>
      </c>
      <c r="R236" s="18">
        <v>1</v>
      </c>
      <c r="S236" s="18">
        <f>Main_Presentation[[#This Row],[Invoice Amt (FCY)]]*Main_Presentation[[#This Row],[Rate]]</f>
        <v>809055.91</v>
      </c>
      <c r="T236" s="15">
        <v>45732</v>
      </c>
      <c r="U236" s="26" t="str">
        <f>VLOOKUP(Main_Presentation[[#This Row],[LC Number]],Main_Issuance[],18,0)</f>
        <v>90 Days from Invoice Date</v>
      </c>
      <c r="V236" s="21" t="s">
        <v>22</v>
      </c>
      <c r="W236" s="22" t="s">
        <v>857</v>
      </c>
      <c r="X236" s="16"/>
      <c r="Y236" s="234" t="str">
        <f>TRIM(LEFT(Main_Presentation[[#This Row],[Payment Terms]],3))</f>
        <v>90</v>
      </c>
      <c r="Z236" s="16"/>
      <c r="AA236" s="316" cm="1">
        <f t="array" ref="AA236">Settlement(Main_Presentation[[#This Row],[Bank]],Main_Presentation[[#This Row],[ Invoice Amt (SAR)]],Main_Presentation[[#This Row],[Date Recd]],Main_Presentation[[#This Row],[Due Date]],Main_Presentation[[#This Row],[Days]])</f>
        <v>1437.5</v>
      </c>
      <c r="AB236" s="16"/>
    </row>
    <row r="237" spans="1:28" ht="15.75" hidden="1" x14ac:dyDescent="0.25">
      <c r="A237" s="20" t="s">
        <v>520</v>
      </c>
      <c r="B237" s="15">
        <v>45651</v>
      </c>
      <c r="C237" s="26">
        <v>1</v>
      </c>
      <c r="D237" s="55" t="str">
        <f>VLOOKUP(Main_Presentation[[#This Row],[LC Number]],Main_Issuance[],3,0)</f>
        <v>Hassan Taleb</v>
      </c>
      <c r="E237" s="16" t="s">
        <v>856</v>
      </c>
      <c r="F237" s="17" t="str">
        <f>VLOOKUP(Main_Presentation[[#This Row],[LC Number]],Main_Issuance[],5,0)</f>
        <v>Alinma</v>
      </c>
      <c r="G237" s="17" t="str">
        <f>VLOOKUP(Main_Presentation[[#This Row],[LC Number]],Main_Issuance[],6,0)</f>
        <v>KSP</v>
      </c>
      <c r="H237" s="17" t="str">
        <f>VLOOKUP(Main_Presentation[[#This Row],[LC Number]],Main_Issuance[],17,0)</f>
        <v>Credit</v>
      </c>
      <c r="I237" s="17" t="str">
        <f>VLOOKUP(Main_Presentation[[#This Row],[LC Number]],Main_Issuance[],7,0)</f>
        <v>Electric House Trading Company L.L.C.</v>
      </c>
      <c r="J237" s="17" t="str">
        <f>VLOOKUP(Main_Presentation[[#This Row],[LC Number]],Main_Issuance[],8,0)</f>
        <v>FIRST FIX</v>
      </c>
      <c r="K237" s="17" t="str">
        <f>VLOOKUP(Main_Presentation[[#This Row],[LC Number]],Main_Issuance[],9,0)</f>
        <v>KSP</v>
      </c>
      <c r="L237" s="17">
        <f>VLOOKUP(Main_Presentation[[#This Row],[LC Number]],Main_Issuance[],10,0)</f>
        <v>1020055</v>
      </c>
      <c r="M237" s="17" t="str">
        <f>VLOOKUP(Main_Presentation[[#This Row],[LC Number]],Main_Issuance[],11,0)</f>
        <v>SAR</v>
      </c>
      <c r="N237" s="84">
        <f>VLOOKUP(Main_Presentation[[#This Row],[LC Number]],Main_Issuance[],12,0)</f>
        <v>1000000</v>
      </c>
      <c r="O237" s="16" t="s">
        <v>20</v>
      </c>
      <c r="P237" s="16" t="s">
        <v>857</v>
      </c>
      <c r="Q237" s="131">
        <v>1000000</v>
      </c>
      <c r="R237" s="18">
        <v>1</v>
      </c>
      <c r="S237" s="18">
        <f>Main_Presentation[[#This Row],[Invoice Amt (FCY)]]*Main_Presentation[[#This Row],[Rate]]</f>
        <v>1000000</v>
      </c>
      <c r="T237" s="15">
        <v>45739</v>
      </c>
      <c r="U237" s="26" t="str">
        <f>VLOOKUP(Main_Presentation[[#This Row],[LC Number]],Main_Issuance[],18,0)</f>
        <v>90 Days from Invoice Date</v>
      </c>
      <c r="V237" s="21" t="s">
        <v>22</v>
      </c>
      <c r="W237" s="22" t="s">
        <v>857</v>
      </c>
      <c r="X237" s="16"/>
      <c r="Y237" s="234" t="str">
        <f>TRIM(LEFT(Main_Presentation[[#This Row],[Payment Terms]],3))</f>
        <v>90</v>
      </c>
      <c r="Z237" s="16"/>
      <c r="AA237" s="316" cm="1">
        <f t="array" ref="AA237">Settlement(Main_Presentation[[#This Row],[Bank]],Main_Presentation[[#This Row],[ Invoice Amt (SAR)]],Main_Presentation[[#This Row],[Date Recd]],Main_Presentation[[#This Row],[Due Date]],Main_Presentation[[#This Row],[Days]])</f>
        <v>1437.5</v>
      </c>
      <c r="AB237" s="16"/>
    </row>
    <row r="238" spans="1:28" ht="15.75" hidden="1" x14ac:dyDescent="0.25">
      <c r="A238" s="40" t="s">
        <v>254</v>
      </c>
      <c r="B238" s="35">
        <v>45662</v>
      </c>
      <c r="C238" s="36">
        <v>14</v>
      </c>
      <c r="D238" s="55" t="str">
        <f>VLOOKUP(Main_Presentation[[#This Row],[LC Number]],Main_Issuance[],3,0)</f>
        <v>Mohammed Atef</v>
      </c>
      <c r="E238" s="33" t="s">
        <v>856</v>
      </c>
      <c r="F238" s="37" t="str">
        <f>VLOOKUP(Main_Presentation[[#This Row],[LC Number]],Main_Issuance[],5,0)</f>
        <v>Alinma</v>
      </c>
      <c r="G238" s="37" t="str">
        <f>VLOOKUP(Main_Presentation[[#This Row],[LC Number]],Main_Issuance[],6,0)</f>
        <v>KSP</v>
      </c>
      <c r="H238" s="37" t="str">
        <f>VLOOKUP(Main_Presentation[[#This Row],[LC Number]],Main_Issuance[],17,0)</f>
        <v>Credit</v>
      </c>
      <c r="I238" s="37" t="str">
        <f>VLOOKUP(Main_Presentation[[#This Row],[LC Number]],Main_Issuance[],7,0)</f>
        <v>BBH-CHEMTROL INTERNATIONAL ORGANIZATION S.L</v>
      </c>
      <c r="J238" s="37" t="str">
        <f>VLOOKUP(Main_Presentation[[#This Row],[LC Number]],Main_Issuance[],8,0)</f>
        <v>MBL/ICAD</v>
      </c>
      <c r="K238" s="37" t="str">
        <f>VLOOKUP(Main_Presentation[[#This Row],[LC Number]],Main_Issuance[],9,0)</f>
        <v>KSP</v>
      </c>
      <c r="L238" s="37">
        <f>VLOOKUP(Main_Presentation[[#This Row],[LC Number]],Main_Issuance[],10,0)</f>
        <v>1020055</v>
      </c>
      <c r="M238" s="37" t="str">
        <f>VLOOKUP(Main_Presentation[[#This Row],[LC Number]],Main_Issuance[],11,0)</f>
        <v>EUR</v>
      </c>
      <c r="N238" s="85">
        <f>VLOOKUP(Main_Presentation[[#This Row],[LC Number]],Main_Issuance[],12,0)</f>
        <v>8182985</v>
      </c>
      <c r="O238" s="33" t="s">
        <v>20</v>
      </c>
      <c r="P238" s="33" t="s">
        <v>857</v>
      </c>
      <c r="Q238" s="131">
        <v>127579.68</v>
      </c>
      <c r="R238" s="38">
        <v>4</v>
      </c>
      <c r="S238" s="38">
        <f>Main_Presentation[[#This Row],[Invoice Amt (FCY)]]*Main_Presentation[[#This Row],[Rate]]</f>
        <v>510318.72</v>
      </c>
      <c r="T238" s="35">
        <v>45687</v>
      </c>
      <c r="U238" s="36" t="str">
        <f>VLOOKUP(Main_Presentation[[#This Row],[LC Number]],Main_Issuance[],18,0)</f>
        <v>30 Days from Shipment Date</v>
      </c>
      <c r="V238" s="41" t="s">
        <v>22</v>
      </c>
      <c r="W238" s="132" t="s">
        <v>857</v>
      </c>
      <c r="X238" s="33" t="s">
        <v>888</v>
      </c>
      <c r="Y238" s="234" t="str">
        <f>TRIM(LEFT(Main_Presentation[[#This Row],[Payment Terms]],3))</f>
        <v>30</v>
      </c>
      <c r="Z238" s="16"/>
      <c r="AA238" s="316" cm="1">
        <f t="array" ref="AA238">Settlement(Main_Presentation[[#This Row],[Bank]],Main_Presentation[[#This Row],[ Invoice Amt (SAR)]],Main_Presentation[[#This Row],[Date Recd]],Main_Presentation[[#This Row],[Due Date]],Main_Presentation[[#This Row],[Days]])</f>
        <v>1437.5</v>
      </c>
      <c r="AB238" s="16"/>
    </row>
    <row r="239" spans="1:28" ht="15.75" hidden="1" x14ac:dyDescent="0.25">
      <c r="A239" s="20" t="s">
        <v>529</v>
      </c>
      <c r="B239" s="15">
        <v>45664</v>
      </c>
      <c r="C239" s="26">
        <v>1</v>
      </c>
      <c r="D239" s="55" t="str">
        <f>VLOOKUP(Main_Presentation[[#This Row],[LC Number]],Main_Issuance[],3,0)</f>
        <v>Hassan Taleb</v>
      </c>
      <c r="E239" s="16" t="s">
        <v>856</v>
      </c>
      <c r="F239" s="17" t="str">
        <f>VLOOKUP(Main_Presentation[[#This Row],[LC Number]],Main_Issuance[],5,0)</f>
        <v>Alinma</v>
      </c>
      <c r="G239" s="17" t="str">
        <f>VLOOKUP(Main_Presentation[[#This Row],[LC Number]],Main_Issuance[],6,0)</f>
        <v>KSP</v>
      </c>
      <c r="H239" s="17" t="str">
        <f>VLOOKUP(Main_Presentation[[#This Row],[LC Number]],Main_Issuance[],17,0)</f>
        <v>Credit</v>
      </c>
      <c r="I239" s="17" t="str">
        <f>VLOOKUP(Main_Presentation[[#This Row],[LC Number]],Main_Issuance[],7,0)</f>
        <v>Union Pipes Industry Co. Llc.</v>
      </c>
      <c r="J239" s="17" t="str">
        <f>VLOOKUP(Main_Presentation[[#This Row],[LC Number]],Main_Issuance[],8,0)</f>
        <v>FIRST FIX</v>
      </c>
      <c r="K239" s="17" t="str">
        <f>VLOOKUP(Main_Presentation[[#This Row],[LC Number]],Main_Issuance[],9,0)</f>
        <v>KSP</v>
      </c>
      <c r="L239" s="17">
        <f>VLOOKUP(Main_Presentation[[#This Row],[LC Number]],Main_Issuance[],10,0)</f>
        <v>1020055</v>
      </c>
      <c r="M239" s="17" t="str">
        <f>VLOOKUP(Main_Presentation[[#This Row],[LC Number]],Main_Issuance[],11,0)</f>
        <v>SAR</v>
      </c>
      <c r="N239" s="84">
        <f>VLOOKUP(Main_Presentation[[#This Row],[LC Number]],Main_Issuance[],12,0)</f>
        <v>359810.57</v>
      </c>
      <c r="O239" s="16" t="s">
        <v>20</v>
      </c>
      <c r="P239" s="16" t="s">
        <v>857</v>
      </c>
      <c r="Q239" s="131">
        <v>359810.57</v>
      </c>
      <c r="R239" s="18">
        <v>1</v>
      </c>
      <c r="S239" s="18">
        <f>Main_Presentation[[#This Row],[Invoice Amt (FCY)]]*Main_Presentation[[#This Row],[Rate]]</f>
        <v>359810.57</v>
      </c>
      <c r="T239" s="15">
        <v>45722</v>
      </c>
      <c r="U239" s="26" t="str">
        <f>VLOOKUP(Main_Presentation[[#This Row],[LC Number]],Main_Issuance[],18,0)</f>
        <v>90 Days from Invoice Date</v>
      </c>
      <c r="V239" s="21" t="s">
        <v>22</v>
      </c>
      <c r="W239" s="22" t="s">
        <v>857</v>
      </c>
      <c r="X239" s="16"/>
      <c r="Y239" s="234" t="str">
        <f>TRIM(LEFT(Main_Presentation[[#This Row],[Payment Terms]],3))</f>
        <v>90</v>
      </c>
      <c r="Z239" s="16"/>
      <c r="AA239" s="316" cm="1">
        <f t="array" ref="AA239">Settlement(Main_Presentation[[#This Row],[Bank]],Main_Presentation[[#This Row],[ Invoice Amt (SAR)]],Main_Presentation[[#This Row],[Date Recd]],Main_Presentation[[#This Row],[Due Date]],Main_Presentation[[#This Row],[Days]])</f>
        <v>1437.5</v>
      </c>
      <c r="AB239" s="16"/>
    </row>
    <row r="240" spans="1:28" ht="15.75" hidden="1" x14ac:dyDescent="0.25">
      <c r="A240" s="40" t="s">
        <v>254</v>
      </c>
      <c r="B240" s="35">
        <v>45670</v>
      </c>
      <c r="C240" s="36">
        <v>15</v>
      </c>
      <c r="D240" s="55" t="str">
        <f>VLOOKUP(Main_Presentation[[#This Row],[LC Number]],Main_Issuance[],3,0)</f>
        <v>Mohammed Atef</v>
      </c>
      <c r="E240" s="33" t="s">
        <v>856</v>
      </c>
      <c r="F240" s="37" t="str">
        <f>VLOOKUP(Main_Presentation[[#This Row],[LC Number]],Main_Issuance[],5,0)</f>
        <v>Alinma</v>
      </c>
      <c r="G240" s="37" t="str">
        <f>VLOOKUP(Main_Presentation[[#This Row],[LC Number]],Main_Issuance[],6,0)</f>
        <v>KSP</v>
      </c>
      <c r="H240" s="37" t="str">
        <f>VLOOKUP(Main_Presentation[[#This Row],[LC Number]],Main_Issuance[],17,0)</f>
        <v>Credit</v>
      </c>
      <c r="I240" s="37" t="str">
        <f>VLOOKUP(Main_Presentation[[#This Row],[LC Number]],Main_Issuance[],7,0)</f>
        <v>BBH-CHEMTROL INTERNATIONAL ORGANIZATION S.L</v>
      </c>
      <c r="J240" s="37" t="str">
        <f>VLOOKUP(Main_Presentation[[#This Row],[LC Number]],Main_Issuance[],8,0)</f>
        <v>MBL/ICAD</v>
      </c>
      <c r="K240" s="37" t="str">
        <f>VLOOKUP(Main_Presentation[[#This Row],[LC Number]],Main_Issuance[],9,0)</f>
        <v>KSP</v>
      </c>
      <c r="L240" s="37">
        <f>VLOOKUP(Main_Presentation[[#This Row],[LC Number]],Main_Issuance[],10,0)</f>
        <v>1020055</v>
      </c>
      <c r="M240" s="37" t="str">
        <f>VLOOKUP(Main_Presentation[[#This Row],[LC Number]],Main_Issuance[],11,0)</f>
        <v>EUR</v>
      </c>
      <c r="N240" s="85">
        <f>VLOOKUP(Main_Presentation[[#This Row],[LC Number]],Main_Issuance[],12,0)</f>
        <v>8182985</v>
      </c>
      <c r="O240" s="33" t="s">
        <v>20</v>
      </c>
      <c r="P240" s="33" t="s">
        <v>857</v>
      </c>
      <c r="Q240" s="131">
        <v>220782.06</v>
      </c>
      <c r="R240" s="38">
        <v>3.97</v>
      </c>
      <c r="S240" s="38">
        <f>Main_Presentation[[#This Row],[Invoice Amt (FCY)]]*Main_Presentation[[#This Row],[Rate]]</f>
        <v>876504.77820000006</v>
      </c>
      <c r="T240" s="35">
        <v>45680</v>
      </c>
      <c r="U240" s="36" t="str">
        <f>VLOOKUP(Main_Presentation[[#This Row],[LC Number]],Main_Issuance[],18,0)</f>
        <v>30 Days from Shipment Date</v>
      </c>
      <c r="V240" s="39" t="s">
        <v>22</v>
      </c>
      <c r="W240" s="132" t="s">
        <v>857</v>
      </c>
      <c r="X240" s="33" t="s">
        <v>889</v>
      </c>
      <c r="Y240" s="234" t="str">
        <f>TRIM(LEFT(Main_Presentation[[#This Row],[Payment Terms]],3))</f>
        <v>30</v>
      </c>
      <c r="Z240" s="16"/>
      <c r="AA240" s="316" cm="1">
        <f t="array" ref="AA240">Settlement(Main_Presentation[[#This Row],[Bank]],Main_Presentation[[#This Row],[ Invoice Amt (SAR)]],Main_Presentation[[#This Row],[Date Recd]],Main_Presentation[[#This Row],[Due Date]],Main_Presentation[[#This Row],[Days]])</f>
        <v>1437.5</v>
      </c>
      <c r="AB240" s="16"/>
    </row>
    <row r="241" spans="1:28" ht="15.75" hidden="1" x14ac:dyDescent="0.25">
      <c r="A241" s="40" t="s">
        <v>254</v>
      </c>
      <c r="B241" s="35">
        <v>45677</v>
      </c>
      <c r="C241" s="36">
        <v>16</v>
      </c>
      <c r="D241" s="55" t="str">
        <f>VLOOKUP(Main_Presentation[[#This Row],[LC Number]],Main_Issuance[],3,0)</f>
        <v>Mohammed Atef</v>
      </c>
      <c r="E241" s="33" t="s">
        <v>856</v>
      </c>
      <c r="F241" s="37" t="str">
        <f>VLOOKUP(Main_Presentation[[#This Row],[LC Number]],Main_Issuance[],5,0)</f>
        <v>Alinma</v>
      </c>
      <c r="G241" s="37" t="str">
        <f>VLOOKUP(Main_Presentation[[#This Row],[LC Number]],Main_Issuance[],6,0)</f>
        <v>KSP</v>
      </c>
      <c r="H241" s="37" t="str">
        <f>VLOOKUP(Main_Presentation[[#This Row],[LC Number]],Main_Issuance[],17,0)</f>
        <v>Credit</v>
      </c>
      <c r="I241" s="37" t="str">
        <f>VLOOKUP(Main_Presentation[[#This Row],[LC Number]],Main_Issuance[],7,0)</f>
        <v>BBH-CHEMTROL INTERNATIONAL ORGANIZATION S.L</v>
      </c>
      <c r="J241" s="37" t="str">
        <f>VLOOKUP(Main_Presentation[[#This Row],[LC Number]],Main_Issuance[],8,0)</f>
        <v>MBL/ICAD</v>
      </c>
      <c r="K241" s="37" t="str">
        <f>VLOOKUP(Main_Presentation[[#This Row],[LC Number]],Main_Issuance[],9,0)</f>
        <v>KSP</v>
      </c>
      <c r="L241" s="37">
        <f>VLOOKUP(Main_Presentation[[#This Row],[LC Number]],Main_Issuance[],10,0)</f>
        <v>1020055</v>
      </c>
      <c r="M241" s="37" t="str">
        <f>VLOOKUP(Main_Presentation[[#This Row],[LC Number]],Main_Issuance[],11,0)</f>
        <v>EUR</v>
      </c>
      <c r="N241" s="85">
        <f>VLOOKUP(Main_Presentation[[#This Row],[LC Number]],Main_Issuance[],12,0)</f>
        <v>8182985</v>
      </c>
      <c r="O241" s="33" t="s">
        <v>20</v>
      </c>
      <c r="P241" s="33" t="s">
        <v>857</v>
      </c>
      <c r="Q241" s="131">
        <v>399403.95</v>
      </c>
      <c r="R241" s="38">
        <v>3.92</v>
      </c>
      <c r="S241" s="38">
        <f>Main_Presentation[[#This Row],[Invoice Amt (FCY)]]*Main_Presentation[[#This Row],[Rate]]</f>
        <v>1565663.4839999999</v>
      </c>
      <c r="T241" s="35">
        <v>45691</v>
      </c>
      <c r="U241" s="36" t="str">
        <f>VLOOKUP(Main_Presentation[[#This Row],[LC Number]],Main_Issuance[],18,0)</f>
        <v>30 Days from Shipment Date</v>
      </c>
      <c r="V241" s="41" t="s">
        <v>22</v>
      </c>
      <c r="W241" s="132" t="s">
        <v>857</v>
      </c>
      <c r="X241" s="33" t="s">
        <v>892</v>
      </c>
      <c r="Y241" s="234" t="str">
        <f>TRIM(LEFT(Main_Presentation[[#This Row],[Payment Terms]],3))</f>
        <v>30</v>
      </c>
      <c r="Z241" s="16"/>
      <c r="AA241" s="316" cm="1">
        <f t="array" ref="AA241">Settlement(Main_Presentation[[#This Row],[Bank]],Main_Presentation[[#This Row],[ Invoice Amt (SAR)]],Main_Presentation[[#This Row],[Date Recd]],Main_Presentation[[#This Row],[Due Date]],Main_Presentation[[#This Row],[Days]])</f>
        <v>1437.5</v>
      </c>
      <c r="AB241" s="16"/>
    </row>
    <row r="242" spans="1:28" ht="15.75" hidden="1" x14ac:dyDescent="0.25">
      <c r="A242" s="40" t="s">
        <v>254</v>
      </c>
      <c r="B242" s="35">
        <v>45677</v>
      </c>
      <c r="C242" s="36" t="s">
        <v>1309</v>
      </c>
      <c r="D242" s="55" t="str">
        <f>VLOOKUP(Main_Presentation[[#This Row],[LC Number]],Main_Issuance[],3,0)</f>
        <v>Mohammed Atef</v>
      </c>
      <c r="E242" s="33" t="s">
        <v>856</v>
      </c>
      <c r="F242" s="37" t="str">
        <f>VLOOKUP(Main_Presentation[[#This Row],[LC Number]],Main_Issuance[],5,0)</f>
        <v>Alinma</v>
      </c>
      <c r="G242" s="37" t="str">
        <f>VLOOKUP(Main_Presentation[[#This Row],[LC Number]],Main_Issuance[],6,0)</f>
        <v>KSP</v>
      </c>
      <c r="H242" s="37" t="str">
        <f>VLOOKUP(Main_Presentation[[#This Row],[LC Number]],Main_Issuance[],17,0)</f>
        <v>Credit</v>
      </c>
      <c r="I242" s="37" t="str">
        <f>VLOOKUP(Main_Presentation[[#This Row],[LC Number]],Main_Issuance[],7,0)</f>
        <v>BBH-CHEMTROL INTERNATIONAL ORGANIZATION S.L</v>
      </c>
      <c r="J242" s="37" t="str">
        <f>VLOOKUP(Main_Presentation[[#This Row],[LC Number]],Main_Issuance[],8,0)</f>
        <v>MBL/ICAD</v>
      </c>
      <c r="K242" s="37" t="str">
        <f>VLOOKUP(Main_Presentation[[#This Row],[LC Number]],Main_Issuance[],9,0)</f>
        <v>KSP</v>
      </c>
      <c r="L242" s="37">
        <f>VLOOKUP(Main_Presentation[[#This Row],[LC Number]],Main_Issuance[],10,0)</f>
        <v>1020055</v>
      </c>
      <c r="M242" s="37" t="str">
        <f>VLOOKUP(Main_Presentation[[#This Row],[LC Number]],Main_Issuance[],11,0)</f>
        <v>EUR</v>
      </c>
      <c r="N242" s="85">
        <f>VLOOKUP(Main_Presentation[[#This Row],[LC Number]],Main_Issuance[],12,0)</f>
        <v>8182985</v>
      </c>
      <c r="O242" s="33" t="s">
        <v>20</v>
      </c>
      <c r="P242" s="33" t="s">
        <v>857</v>
      </c>
      <c r="Q242" s="131">
        <f>542084.4-36395.4</f>
        <v>505689</v>
      </c>
      <c r="R242" s="38">
        <v>3.9550000000000001</v>
      </c>
      <c r="S242" s="38">
        <f>Main_Presentation[[#This Row],[Invoice Amt (FCY)]]*Main_Presentation[[#This Row],[Rate]]</f>
        <v>1999999.9950000001</v>
      </c>
      <c r="T242" s="35">
        <v>45699</v>
      </c>
      <c r="U242" s="36" t="str">
        <f>VLOOKUP(Main_Presentation[[#This Row],[LC Number]],Main_Issuance[],18,0)</f>
        <v>30 Days from Shipment Date</v>
      </c>
      <c r="V242" s="41" t="s">
        <v>90</v>
      </c>
      <c r="W242" s="132" t="s">
        <v>378</v>
      </c>
      <c r="X242" s="33" t="s">
        <v>893</v>
      </c>
      <c r="Y242" s="234" t="str">
        <f>TRIM(LEFT(Main_Presentation[[#This Row],[Payment Terms]],3))</f>
        <v>30</v>
      </c>
      <c r="Z242" s="16"/>
      <c r="AA242" s="316" cm="1">
        <f t="array" ref="AA242">Settlement(Main_Presentation[[#This Row],[Bank]],Main_Presentation[[#This Row],[ Invoice Amt (SAR)]],Main_Presentation[[#This Row],[Date Recd]],Main_Presentation[[#This Row],[Due Date]],Main_Presentation[[#This Row],[Days]])</f>
        <v>1437.5</v>
      </c>
      <c r="AB242" s="16"/>
    </row>
    <row r="243" spans="1:28" ht="15.75" hidden="1" x14ac:dyDescent="0.25">
      <c r="A243" s="20" t="s">
        <v>516</v>
      </c>
      <c r="B243" s="15">
        <v>45678</v>
      </c>
      <c r="C243" s="26" t="s">
        <v>1299</v>
      </c>
      <c r="D243" s="55" t="str">
        <f>VLOOKUP(Main_Presentation[[#This Row],[LC Number]],Main_Issuance[],3,0)</f>
        <v>Hassan Taleb</v>
      </c>
      <c r="E243" s="16" t="s">
        <v>856</v>
      </c>
      <c r="F243" s="17" t="str">
        <f>VLOOKUP(Main_Presentation[[#This Row],[LC Number]],Main_Issuance[],5,0)</f>
        <v>Alinma</v>
      </c>
      <c r="G243" s="17" t="str">
        <f>VLOOKUP(Main_Presentation[[#This Row],[LC Number]],Main_Issuance[],6,0)</f>
        <v>KSP</v>
      </c>
      <c r="H243" s="17" t="str">
        <f>VLOOKUP(Main_Presentation[[#This Row],[LC Number]],Main_Issuance[],17,0)</f>
        <v>Credit</v>
      </c>
      <c r="I243" s="17" t="str">
        <f>VLOOKUP(Main_Presentation[[#This Row],[LC Number]],Main_Issuance[],7,0)</f>
        <v>Al Mabani Al Umumiyyah Ltd</v>
      </c>
      <c r="J243" s="17" t="str">
        <f>VLOOKUP(Main_Presentation[[#This Row],[LC Number]],Main_Issuance[],8,0)</f>
        <v>FIRST FIX</v>
      </c>
      <c r="K243" s="17" t="str">
        <f>VLOOKUP(Main_Presentation[[#This Row],[LC Number]],Main_Issuance[],9,0)</f>
        <v>KSP</v>
      </c>
      <c r="L243" s="17">
        <f>VLOOKUP(Main_Presentation[[#This Row],[LC Number]],Main_Issuance[],10,0)</f>
        <v>1020055</v>
      </c>
      <c r="M243" s="17" t="str">
        <f>VLOOKUP(Main_Presentation[[#This Row],[LC Number]],Main_Issuance[],11,0)</f>
        <v>SAR</v>
      </c>
      <c r="N243" s="84">
        <f>VLOOKUP(Main_Presentation[[#This Row],[LC Number]],Main_Issuance[],12,0)</f>
        <v>1500000</v>
      </c>
      <c r="O243" s="16" t="s">
        <v>20</v>
      </c>
      <c r="P243" s="16" t="s">
        <v>857</v>
      </c>
      <c r="Q243" s="131">
        <f>1500000-500000</f>
        <v>1000000</v>
      </c>
      <c r="R243" s="18">
        <v>1</v>
      </c>
      <c r="S243" s="18">
        <f>Main_Presentation[[#This Row],[Invoice Amt (FCY)]]*Main_Presentation[[#This Row],[Rate]]</f>
        <v>1000000</v>
      </c>
      <c r="T243" s="15">
        <v>45757</v>
      </c>
      <c r="U243" s="26" t="str">
        <f>VLOOKUP(Main_Presentation[[#This Row],[LC Number]],Main_Issuance[],18,0)</f>
        <v>90 Days from Invoice Date</v>
      </c>
      <c r="V243" s="21" t="s">
        <v>1145</v>
      </c>
      <c r="W243" s="22" t="s">
        <v>378</v>
      </c>
      <c r="X243" s="16"/>
      <c r="Y243" s="234" t="str">
        <f>TRIM(LEFT(Main_Presentation[[#This Row],[Payment Terms]],3))</f>
        <v>90</v>
      </c>
      <c r="Z243" s="16"/>
      <c r="AA243" s="316" cm="1">
        <f t="array" ref="AA243">Settlement(Main_Presentation[[#This Row],[Bank]],Main_Presentation[[#This Row],[ Invoice Amt (SAR)]],Main_Presentation[[#This Row],[Date Recd]],Main_Presentation[[#This Row],[Due Date]],Main_Presentation[[#This Row],[Days]])</f>
        <v>1437.5</v>
      </c>
      <c r="AB243" s="16"/>
    </row>
    <row r="244" spans="1:28" ht="15.75" hidden="1" x14ac:dyDescent="0.25">
      <c r="A244" s="20" t="s">
        <v>527</v>
      </c>
      <c r="B244" s="15">
        <v>45679</v>
      </c>
      <c r="C244" s="26">
        <v>1</v>
      </c>
      <c r="D244" s="55" t="str">
        <f>VLOOKUP(Main_Presentation[[#This Row],[LC Number]],Main_Issuance[],3,0)</f>
        <v>Hassan Taleb</v>
      </c>
      <c r="E244" s="16" t="s">
        <v>856</v>
      </c>
      <c r="F244" s="17" t="str">
        <f>VLOOKUP(Main_Presentation[[#This Row],[LC Number]],Main_Issuance[],5,0)</f>
        <v>Alinma</v>
      </c>
      <c r="G244" s="17" t="str">
        <f>VLOOKUP(Main_Presentation[[#This Row],[LC Number]],Main_Issuance[],6,0)</f>
        <v>KSP</v>
      </c>
      <c r="H244" s="17" t="str">
        <f>VLOOKUP(Main_Presentation[[#This Row],[LC Number]],Main_Issuance[],17,0)</f>
        <v>Credit</v>
      </c>
      <c r="I244" s="17" t="str">
        <f>VLOOKUP(Main_Presentation[[#This Row],[LC Number]],Main_Issuance[],7,0)</f>
        <v>Thkm Alaalmyt Lltaqt Company.</v>
      </c>
      <c r="J244" s="17" t="str">
        <f>VLOOKUP(Main_Presentation[[#This Row],[LC Number]],Main_Issuance[],8,0)</f>
        <v>FIRST FIX</v>
      </c>
      <c r="K244" s="17" t="str">
        <f>VLOOKUP(Main_Presentation[[#This Row],[LC Number]],Main_Issuance[],9,0)</f>
        <v>KSP</v>
      </c>
      <c r="L244" s="17">
        <f>VLOOKUP(Main_Presentation[[#This Row],[LC Number]],Main_Issuance[],10,0)</f>
        <v>1020055</v>
      </c>
      <c r="M244" s="17" t="str">
        <f>VLOOKUP(Main_Presentation[[#This Row],[LC Number]],Main_Issuance[],11,0)</f>
        <v>SAR</v>
      </c>
      <c r="N244" s="86">
        <f>VLOOKUP(Main_Presentation[[#This Row],[LC Number]],Main_Issuance[],12,0)</f>
        <v>301761.59999999998</v>
      </c>
      <c r="O244" s="16" t="s">
        <v>20</v>
      </c>
      <c r="P244" s="16" t="s">
        <v>857</v>
      </c>
      <c r="Q244" s="131">
        <v>245883.8</v>
      </c>
      <c r="R244" s="18">
        <v>1</v>
      </c>
      <c r="S244" s="18">
        <f>Main_Presentation[[#This Row],[Invoice Amt (FCY)]]*Main_Presentation[[#This Row],[Rate]]</f>
        <v>245883.8</v>
      </c>
      <c r="T244" s="15">
        <v>45740</v>
      </c>
      <c r="U244" s="26" t="str">
        <f>VLOOKUP(Main_Presentation[[#This Row],[LC Number]],Main_Issuance[],18,0)</f>
        <v>90 Days from Invoice Date</v>
      </c>
      <c r="V244" s="21" t="s">
        <v>22</v>
      </c>
      <c r="W244" s="22" t="s">
        <v>857</v>
      </c>
      <c r="X244" s="16"/>
      <c r="Y244" s="234" t="str">
        <f>TRIM(LEFT(Main_Presentation[[#This Row],[Payment Terms]],3))</f>
        <v>90</v>
      </c>
      <c r="Z244" s="16"/>
      <c r="AA244" s="316" cm="1">
        <f t="array" ref="AA244">Settlement(Main_Presentation[[#This Row],[Bank]],Main_Presentation[[#This Row],[ Invoice Amt (SAR)]],Main_Presentation[[#This Row],[Date Recd]],Main_Presentation[[#This Row],[Due Date]],Main_Presentation[[#This Row],[Days]])</f>
        <v>1437.5</v>
      </c>
      <c r="AB244" s="16"/>
    </row>
    <row r="245" spans="1:28" ht="15.75" hidden="1" x14ac:dyDescent="0.25">
      <c r="A245" s="20" t="s">
        <v>522</v>
      </c>
      <c r="B245" s="15">
        <v>45680</v>
      </c>
      <c r="C245" s="26" t="s">
        <v>1299</v>
      </c>
      <c r="D245" s="55" t="str">
        <f>VLOOKUP(Main_Presentation[[#This Row],[LC Number]],Main_Issuance[],3,0)</f>
        <v>Hassan Taleb</v>
      </c>
      <c r="E245" s="16" t="s">
        <v>856</v>
      </c>
      <c r="F245" s="17" t="str">
        <f>VLOOKUP(Main_Presentation[[#This Row],[LC Number]],Main_Issuance[],5,0)</f>
        <v>Alinma</v>
      </c>
      <c r="G245" s="17" t="str">
        <f>VLOOKUP(Main_Presentation[[#This Row],[LC Number]],Main_Issuance[],6,0)</f>
        <v>KSP</v>
      </c>
      <c r="H245" s="17" t="str">
        <f>VLOOKUP(Main_Presentation[[#This Row],[LC Number]],Main_Issuance[],17,0)</f>
        <v>Credit</v>
      </c>
      <c r="I245" s="17" t="str">
        <f>VLOOKUP(Main_Presentation[[#This Row],[LC Number]],Main_Issuance[],7,0)</f>
        <v>Johnson Controls Arabia Limited</v>
      </c>
      <c r="J245" s="17" t="str">
        <f>VLOOKUP(Main_Presentation[[#This Row],[LC Number]],Main_Issuance[],8,0)</f>
        <v>FIRST FIX</v>
      </c>
      <c r="K245" s="17" t="str">
        <f>VLOOKUP(Main_Presentation[[#This Row],[LC Number]],Main_Issuance[],9,0)</f>
        <v>KSP</v>
      </c>
      <c r="L245" s="17">
        <f>VLOOKUP(Main_Presentation[[#This Row],[LC Number]],Main_Issuance[],10,0)</f>
        <v>1020055</v>
      </c>
      <c r="M245" s="17" t="str">
        <f>VLOOKUP(Main_Presentation[[#This Row],[LC Number]],Main_Issuance[],11,0)</f>
        <v>SAR</v>
      </c>
      <c r="N245" s="86">
        <f>VLOOKUP(Main_Presentation[[#This Row],[LC Number]],Main_Issuance[],12,0)</f>
        <v>2500000</v>
      </c>
      <c r="O245" s="16" t="s">
        <v>20</v>
      </c>
      <c r="P245" s="16" t="s">
        <v>857</v>
      </c>
      <c r="Q245" s="131">
        <f>2500000-654000-163000</f>
        <v>1683000</v>
      </c>
      <c r="R245" s="18">
        <v>1</v>
      </c>
      <c r="S245" s="18">
        <f>Main_Presentation[[#This Row],[Invoice Amt (FCY)]]*Main_Presentation[[#This Row],[Rate]]</f>
        <v>1683000</v>
      </c>
      <c r="T245" s="15">
        <v>45762</v>
      </c>
      <c r="U245" s="26" t="str">
        <f>VLOOKUP(Main_Presentation[[#This Row],[LC Number]],Main_Issuance[],18,0)</f>
        <v>90 Days from Invoice Date</v>
      </c>
      <c r="V245" s="21" t="s">
        <v>487</v>
      </c>
      <c r="W245" s="22" t="s">
        <v>378</v>
      </c>
      <c r="X245" s="16"/>
      <c r="Y245" s="234" t="str">
        <f>TRIM(LEFT(Main_Presentation[[#This Row],[Payment Terms]],3))</f>
        <v>90</v>
      </c>
      <c r="Z245" s="16"/>
      <c r="AA245" s="316" cm="1">
        <f t="array" ref="AA245">Settlement(Main_Presentation[[#This Row],[Bank]],Main_Presentation[[#This Row],[ Invoice Amt (SAR)]],Main_Presentation[[#This Row],[Date Recd]],Main_Presentation[[#This Row],[Due Date]],Main_Presentation[[#This Row],[Days]])</f>
        <v>2419.6</v>
      </c>
      <c r="AB245" s="16"/>
    </row>
    <row r="246" spans="1:28" ht="15.75" hidden="1" x14ac:dyDescent="0.25">
      <c r="A246" s="40" t="s">
        <v>254</v>
      </c>
      <c r="B246" s="35">
        <v>45692</v>
      </c>
      <c r="C246" s="36">
        <v>18</v>
      </c>
      <c r="D246" s="55" t="str">
        <f>VLOOKUP(Main_Presentation[[#This Row],[LC Number]],Main_Issuance[],3,0)</f>
        <v>Mohammed Atef</v>
      </c>
      <c r="E246" s="33" t="s">
        <v>856</v>
      </c>
      <c r="F246" s="37" t="str">
        <f>VLOOKUP(Main_Presentation[[#This Row],[LC Number]],Main_Issuance[],5,0)</f>
        <v>Alinma</v>
      </c>
      <c r="G246" s="37" t="str">
        <f>VLOOKUP(Main_Presentation[[#This Row],[LC Number]],Main_Issuance[],6,0)</f>
        <v>KSP</v>
      </c>
      <c r="H246" s="37" t="str">
        <f>VLOOKUP(Main_Presentation[[#This Row],[LC Number]],Main_Issuance[],17,0)</f>
        <v>Credit</v>
      </c>
      <c r="I246" s="37" t="str">
        <f>VLOOKUP(Main_Presentation[[#This Row],[LC Number]],Main_Issuance[],7,0)</f>
        <v>BBH-CHEMTROL INTERNATIONAL ORGANIZATION S.L</v>
      </c>
      <c r="J246" s="37" t="str">
        <f>VLOOKUP(Main_Presentation[[#This Row],[LC Number]],Main_Issuance[],8,0)</f>
        <v>MBL/ICAD</v>
      </c>
      <c r="K246" s="37" t="str">
        <f>VLOOKUP(Main_Presentation[[#This Row],[LC Number]],Main_Issuance[],9,0)</f>
        <v>KSP</v>
      </c>
      <c r="L246" s="37">
        <f>VLOOKUP(Main_Presentation[[#This Row],[LC Number]],Main_Issuance[],10,0)</f>
        <v>1020055</v>
      </c>
      <c r="M246" s="37" t="str">
        <f>VLOOKUP(Main_Presentation[[#This Row],[LC Number]],Main_Issuance[],11,0)</f>
        <v>EUR</v>
      </c>
      <c r="N246" s="85">
        <f>VLOOKUP(Main_Presentation[[#This Row],[LC Number]],Main_Issuance[],12,0)</f>
        <v>8182985</v>
      </c>
      <c r="O246" s="33" t="s">
        <v>20</v>
      </c>
      <c r="P246" s="33" t="s">
        <v>857</v>
      </c>
      <c r="Q246" s="131">
        <v>644669.77</v>
      </c>
      <c r="R246" s="38">
        <v>3.94</v>
      </c>
      <c r="S246" s="38">
        <f>Main_Presentation[[#This Row],[Invoice Amt (FCY)]]*Main_Presentation[[#This Row],[Rate]]</f>
        <v>2539998.8938000002</v>
      </c>
      <c r="T246" s="35">
        <v>45692</v>
      </c>
      <c r="U246" s="36" t="str">
        <f>VLOOKUP(Main_Presentation[[#This Row],[LC Number]],Main_Issuance[],18,0)</f>
        <v>30 Days from Shipment Date</v>
      </c>
      <c r="V246" s="41" t="s">
        <v>22</v>
      </c>
      <c r="W246" s="132" t="s">
        <v>857</v>
      </c>
      <c r="X246" s="33" t="s">
        <v>897</v>
      </c>
      <c r="Y246" s="234" t="str">
        <f>TRIM(LEFT(Main_Presentation[[#This Row],[Payment Terms]],3))</f>
        <v>30</v>
      </c>
      <c r="Z246" s="16"/>
      <c r="AA246" s="316" cm="1">
        <f t="array" ref="AA246">Settlement(Main_Presentation[[#This Row],[Bank]],Main_Presentation[[#This Row],[ Invoice Amt (SAR)]],Main_Presentation[[#This Row],[Date Recd]],Main_Presentation[[#This Row],[Due Date]],Main_Presentation[[#This Row],[Days]])</f>
        <v>1437.5</v>
      </c>
      <c r="AB246" s="16"/>
    </row>
    <row r="247" spans="1:28" ht="15.75" hidden="1" x14ac:dyDescent="0.25">
      <c r="A247" s="40" t="s">
        <v>254</v>
      </c>
      <c r="B247" s="35">
        <v>45692</v>
      </c>
      <c r="C247" s="36">
        <v>19</v>
      </c>
      <c r="D247" s="55" t="str">
        <f>VLOOKUP(Main_Presentation[[#This Row],[LC Number]],Main_Issuance[],3,0)</f>
        <v>Mohammed Atef</v>
      </c>
      <c r="E247" s="33" t="s">
        <v>856</v>
      </c>
      <c r="F247" s="37" t="str">
        <f>VLOOKUP(Main_Presentation[[#This Row],[LC Number]],Main_Issuance[],5,0)</f>
        <v>Alinma</v>
      </c>
      <c r="G247" s="37" t="str">
        <f>VLOOKUP(Main_Presentation[[#This Row],[LC Number]],Main_Issuance[],6,0)</f>
        <v>KSP</v>
      </c>
      <c r="H247" s="37" t="str">
        <f>VLOOKUP(Main_Presentation[[#This Row],[LC Number]],Main_Issuance[],17,0)</f>
        <v>Credit</v>
      </c>
      <c r="I247" s="37" t="str">
        <f>VLOOKUP(Main_Presentation[[#This Row],[LC Number]],Main_Issuance[],7,0)</f>
        <v>BBH-CHEMTROL INTERNATIONAL ORGANIZATION S.L</v>
      </c>
      <c r="J247" s="37" t="str">
        <f>VLOOKUP(Main_Presentation[[#This Row],[LC Number]],Main_Issuance[],8,0)</f>
        <v>MBL/ICAD</v>
      </c>
      <c r="K247" s="37" t="str">
        <f>VLOOKUP(Main_Presentation[[#This Row],[LC Number]],Main_Issuance[],9,0)</f>
        <v>KSP</v>
      </c>
      <c r="L247" s="37">
        <f>VLOOKUP(Main_Presentation[[#This Row],[LC Number]],Main_Issuance[],10,0)</f>
        <v>1020055</v>
      </c>
      <c r="M247" s="37" t="str">
        <f>VLOOKUP(Main_Presentation[[#This Row],[LC Number]],Main_Issuance[],11,0)</f>
        <v>EUR</v>
      </c>
      <c r="N247" s="85">
        <f>VLOOKUP(Main_Presentation[[#This Row],[LC Number]],Main_Issuance[],12,0)</f>
        <v>8182985</v>
      </c>
      <c r="O247" s="33" t="s">
        <v>20</v>
      </c>
      <c r="P247" s="33" t="s">
        <v>857</v>
      </c>
      <c r="Q247" s="131">
        <v>337492.19</v>
      </c>
      <c r="R247" s="38">
        <v>3.94</v>
      </c>
      <c r="S247" s="38">
        <f>Main_Presentation[[#This Row],[Invoice Amt (FCY)]]*Main_Presentation[[#This Row],[Rate]]</f>
        <v>1329719.2286</v>
      </c>
      <c r="T247" s="35">
        <v>45692</v>
      </c>
      <c r="U247" s="36" t="str">
        <f>VLOOKUP(Main_Presentation[[#This Row],[LC Number]],Main_Issuance[],18,0)</f>
        <v>30 Days from Shipment Date</v>
      </c>
      <c r="V247" s="41" t="s">
        <v>22</v>
      </c>
      <c r="W247" s="132" t="s">
        <v>857</v>
      </c>
      <c r="X247" s="33" t="s">
        <v>898</v>
      </c>
      <c r="Y247" s="234" t="str">
        <f>TRIM(LEFT(Main_Presentation[[#This Row],[Payment Terms]],3))</f>
        <v>30</v>
      </c>
      <c r="Z247" s="16"/>
      <c r="AA247" s="316" cm="1">
        <f t="array" ref="AA247">Settlement(Main_Presentation[[#This Row],[Bank]],Main_Presentation[[#This Row],[ Invoice Amt (SAR)]],Main_Presentation[[#This Row],[Date Recd]],Main_Presentation[[#This Row],[Due Date]],Main_Presentation[[#This Row],[Days]])</f>
        <v>1437.5</v>
      </c>
      <c r="AB247" s="16"/>
    </row>
    <row r="248" spans="1:28" ht="15.75" hidden="1" x14ac:dyDescent="0.25">
      <c r="A248" s="20" t="s">
        <v>622</v>
      </c>
      <c r="B248" s="15">
        <v>45697</v>
      </c>
      <c r="C248" s="26">
        <v>1</v>
      </c>
      <c r="D248" s="55" t="str">
        <f>VLOOKUP(Main_Presentation[[#This Row],[LC Number]],Main_Issuance[],3,0)</f>
        <v>Hassan Taleb</v>
      </c>
      <c r="E248" s="16" t="s">
        <v>856</v>
      </c>
      <c r="F248" s="17" t="str">
        <f>VLOOKUP(Main_Presentation[[#This Row],[LC Number]],Main_Issuance[],5,0)</f>
        <v>Alinma</v>
      </c>
      <c r="G248" s="17" t="str">
        <f>VLOOKUP(Main_Presentation[[#This Row],[LC Number]],Main_Issuance[],6,0)</f>
        <v>KSP</v>
      </c>
      <c r="H248" s="17" t="str">
        <f>VLOOKUP(Main_Presentation[[#This Row],[LC Number]],Main_Issuance[],17,0)</f>
        <v>Credit</v>
      </c>
      <c r="I248" s="17" t="str">
        <f>VLOOKUP(Main_Presentation[[#This Row],[LC Number]],Main_Issuance[],7,0)</f>
        <v>Prime Star Technologies Co. Ltd.</v>
      </c>
      <c r="J248" s="17" t="str">
        <f>VLOOKUP(Main_Presentation[[#This Row],[LC Number]],Main_Issuance[],8,0)</f>
        <v>FIRST FIX</v>
      </c>
      <c r="K248" s="17" t="str">
        <f>VLOOKUP(Main_Presentation[[#This Row],[LC Number]],Main_Issuance[],9,0)</f>
        <v>KSP</v>
      </c>
      <c r="L248" s="17">
        <f>VLOOKUP(Main_Presentation[[#This Row],[LC Number]],Main_Issuance[],10,0)</f>
        <v>1020055</v>
      </c>
      <c r="M248" s="17" t="str">
        <f>VLOOKUP(Main_Presentation[[#This Row],[LC Number]],Main_Issuance[],11,0)</f>
        <v>SAR</v>
      </c>
      <c r="N248" s="86">
        <f>VLOOKUP(Main_Presentation[[#This Row],[LC Number]],Main_Issuance[],12,0)</f>
        <v>1420509.01</v>
      </c>
      <c r="O248" s="16" t="s">
        <v>20</v>
      </c>
      <c r="P248" s="16" t="s">
        <v>857</v>
      </c>
      <c r="Q248" s="131">
        <v>1420509.01</v>
      </c>
      <c r="R248" s="18">
        <v>1</v>
      </c>
      <c r="S248" s="18">
        <f>Main_Presentation[[#This Row],[Invoice Amt (FCY)]]*Main_Presentation[[#This Row],[Rate]]</f>
        <v>1420509.01</v>
      </c>
      <c r="T248" s="15">
        <v>45775</v>
      </c>
      <c r="U248" s="26" t="str">
        <f>VLOOKUP(Main_Presentation[[#This Row],[LC Number]],Main_Issuance[],18,0)</f>
        <v>90 Days from Invoice Date</v>
      </c>
      <c r="V248" s="21" t="s">
        <v>90</v>
      </c>
      <c r="W248" s="22" t="s">
        <v>378</v>
      </c>
      <c r="X248" s="16"/>
      <c r="Y248" s="234" t="str">
        <f>TRIM(LEFT(Main_Presentation[[#This Row],[Payment Terms]],3))</f>
        <v>90</v>
      </c>
      <c r="Z248" s="16"/>
      <c r="AA248" s="316" cm="1">
        <f t="array" ref="AA248">Settlement(Main_Presentation[[#This Row],[Bank]],Main_Presentation[[#This Row],[ Invoice Amt (SAR)]],Main_Presentation[[#This Row],[Date Recd]],Main_Presentation[[#This Row],[Due Date]],Main_Presentation[[#This Row],[Days]])</f>
        <v>2042.4</v>
      </c>
      <c r="AB248" s="16"/>
    </row>
    <row r="249" spans="1:28" ht="15.75" hidden="1" x14ac:dyDescent="0.25">
      <c r="A249" s="40" t="s">
        <v>254</v>
      </c>
      <c r="B249" s="35">
        <v>45677</v>
      </c>
      <c r="C249" s="36" t="s">
        <v>1308</v>
      </c>
      <c r="D249" s="55" t="str">
        <f>VLOOKUP(Main_Presentation[[#This Row],[LC Number]],Main_Issuance[],3,0)</f>
        <v>Mohammed Atef</v>
      </c>
      <c r="E249" s="33" t="s">
        <v>856</v>
      </c>
      <c r="F249" s="37" t="str">
        <f>VLOOKUP(Main_Presentation[[#This Row],[LC Number]],Main_Issuance[],5,0)</f>
        <v>Alinma</v>
      </c>
      <c r="G249" s="37" t="str">
        <f>VLOOKUP(Main_Presentation[[#This Row],[LC Number]],Main_Issuance[],6,0)</f>
        <v>KSP</v>
      </c>
      <c r="H249" s="37" t="str">
        <f>VLOOKUP(Main_Presentation[[#This Row],[LC Number]],Main_Issuance[],17,0)</f>
        <v>Credit</v>
      </c>
      <c r="I249" s="37" t="str">
        <f>VLOOKUP(Main_Presentation[[#This Row],[LC Number]],Main_Issuance[],7,0)</f>
        <v>BBH-CHEMTROL INTERNATIONAL ORGANIZATION S.L</v>
      </c>
      <c r="J249" s="37" t="str">
        <f>VLOOKUP(Main_Presentation[[#This Row],[LC Number]],Main_Issuance[],8,0)</f>
        <v>MBL/ICAD</v>
      </c>
      <c r="K249" s="37" t="str">
        <f>VLOOKUP(Main_Presentation[[#This Row],[LC Number]],Main_Issuance[],9,0)</f>
        <v>KSP</v>
      </c>
      <c r="L249" s="37">
        <f>VLOOKUP(Main_Presentation[[#This Row],[LC Number]],Main_Issuance[],10,0)</f>
        <v>1020055</v>
      </c>
      <c r="M249" s="37" t="str">
        <f>VLOOKUP(Main_Presentation[[#This Row],[LC Number]],Main_Issuance[],11,0)</f>
        <v>EUR</v>
      </c>
      <c r="N249" s="85">
        <f>VLOOKUP(Main_Presentation[[#This Row],[LC Number]],Main_Issuance[],12,0)</f>
        <v>8182985</v>
      </c>
      <c r="O249" s="33" t="s">
        <v>20</v>
      </c>
      <c r="P249" s="33" t="s">
        <v>857</v>
      </c>
      <c r="Q249" s="131">
        <f>542084.4-505689</f>
        <v>36395.400000000023</v>
      </c>
      <c r="R249" s="38">
        <v>3.9550000000000001</v>
      </c>
      <c r="S249" s="38">
        <f>Main_Presentation[[#This Row],[Invoice Amt (FCY)]]*Main_Presentation[[#This Row],[Rate]]</f>
        <v>143943.80700000009</v>
      </c>
      <c r="T249" s="35">
        <v>45699</v>
      </c>
      <c r="U249" s="36" t="str">
        <f>VLOOKUP(Main_Presentation[[#This Row],[LC Number]],Main_Issuance[],18,0)</f>
        <v>30 Days from Shipment Date</v>
      </c>
      <c r="V249" s="41" t="s">
        <v>22</v>
      </c>
      <c r="W249" s="132" t="s">
        <v>857</v>
      </c>
      <c r="X249" s="33"/>
      <c r="Y249" s="234" t="str">
        <f>TRIM(LEFT(Main_Presentation[[#This Row],[Payment Terms]],3))</f>
        <v>30</v>
      </c>
      <c r="Z249" s="16"/>
      <c r="AA249" s="316" cm="1">
        <f t="array" ref="AA249">Settlement(Main_Presentation[[#This Row],[Bank]],Main_Presentation[[#This Row],[ Invoice Amt (SAR)]],Main_Presentation[[#This Row],[Date Recd]],Main_Presentation[[#This Row],[Due Date]],Main_Presentation[[#This Row],[Days]])</f>
        <v>1437.5</v>
      </c>
      <c r="AB249" s="16"/>
    </row>
    <row r="250" spans="1:28" ht="15.75" hidden="1" x14ac:dyDescent="0.25">
      <c r="A250" s="20" t="s">
        <v>637</v>
      </c>
      <c r="B250" s="15">
        <v>45708</v>
      </c>
      <c r="C250" s="26">
        <v>1</v>
      </c>
      <c r="D250" s="55" t="str">
        <f>VLOOKUP(Main_Presentation[[#This Row],[LC Number]],Main_Issuance[],3,0)</f>
        <v>Hassan Taleb</v>
      </c>
      <c r="E250" s="16" t="s">
        <v>856</v>
      </c>
      <c r="F250" s="16" t="str">
        <f>VLOOKUP(Main_Presentation[[#This Row],[LC Number]],Main_Issuance[],5,0)</f>
        <v>Alinma</v>
      </c>
      <c r="G250" s="16" t="str">
        <f>VLOOKUP(Main_Presentation[[#This Row],[LC Number]],Main_Issuance[],6,0)</f>
        <v>KSP</v>
      </c>
      <c r="H250" s="16" t="str">
        <f>VLOOKUP(Main_Presentation[[#This Row],[LC Number]],Main_Issuance[],17,0)</f>
        <v>Credit</v>
      </c>
      <c r="I250" s="16" t="str">
        <f>VLOOKUP(Main_Presentation[[#This Row],[LC Number]],Main_Issuance[],7,0)</f>
        <v>Safid Co. Ltd.</v>
      </c>
      <c r="J250" s="16" t="str">
        <f>VLOOKUP(Main_Presentation[[#This Row],[LC Number]],Main_Issuance[],8,0)</f>
        <v>FIRST FIX</v>
      </c>
      <c r="K250" s="16" t="str">
        <f>VLOOKUP(Main_Presentation[[#This Row],[LC Number]],Main_Issuance[],9,0)</f>
        <v>KSP</v>
      </c>
      <c r="L250" s="16">
        <f>VLOOKUP(Main_Presentation[[#This Row],[LC Number]],Main_Issuance[],10,0)</f>
        <v>1020055</v>
      </c>
      <c r="M250" s="16" t="str">
        <f>VLOOKUP(Main_Presentation[[#This Row],[LC Number]],Main_Issuance[],11,0)</f>
        <v>SAR</v>
      </c>
      <c r="N250" s="86">
        <f>VLOOKUP(Main_Presentation[[#This Row],[LC Number]],Main_Issuance[],12,0)</f>
        <v>1500000</v>
      </c>
      <c r="O250" s="16" t="s">
        <v>20</v>
      </c>
      <c r="P250" s="16" t="s">
        <v>857</v>
      </c>
      <c r="Q250" s="131">
        <v>1500000</v>
      </c>
      <c r="R250" s="18">
        <v>1</v>
      </c>
      <c r="S250" s="18">
        <f>Main_Presentation[[#This Row],[Invoice Amt (FCY)]]*Main_Presentation[[#This Row],[Rate]]</f>
        <v>1500000</v>
      </c>
      <c r="T250" s="15">
        <v>45784</v>
      </c>
      <c r="U250" s="26" t="str">
        <f>VLOOKUP(Main_Presentation[[#This Row],[LC Number]],Main_Issuance[],18,0)</f>
        <v>90 Days from Invoice Date</v>
      </c>
      <c r="V250" s="21" t="s">
        <v>1271</v>
      </c>
      <c r="W250" s="22" t="s">
        <v>378</v>
      </c>
      <c r="X250" s="16"/>
      <c r="Y250" s="234" t="str">
        <f>TRIM(LEFT(Main_Presentation[[#This Row],[Payment Terms]],3))</f>
        <v>90</v>
      </c>
      <c r="Z250" s="16"/>
      <c r="AA250" s="316" cm="1">
        <f t="array" ref="AA250">Settlement(Main_Presentation[[#This Row],[Bank]],Main_Presentation[[#This Row],[ Invoice Amt (SAR)]],Main_Presentation[[#This Row],[Date Recd]],Main_Presentation[[#This Row],[Due Date]],Main_Presentation[[#This Row],[Days]])</f>
        <v>1437.5</v>
      </c>
      <c r="AB250" s="16"/>
    </row>
    <row r="251" spans="1:28" ht="15.75" hidden="1" x14ac:dyDescent="0.25">
      <c r="A251" s="20" t="s">
        <v>641</v>
      </c>
      <c r="B251" s="15">
        <v>45712</v>
      </c>
      <c r="C251" s="26">
        <v>1</v>
      </c>
      <c r="D251" s="55" t="str">
        <f>VLOOKUP(Main_Presentation[[#This Row],[LC Number]],Main_Issuance[],3,0)</f>
        <v>Hassan Taleb</v>
      </c>
      <c r="E251" s="16" t="s">
        <v>856</v>
      </c>
      <c r="F251" s="16" t="str">
        <f>VLOOKUP(Main_Presentation[[#This Row],[LC Number]],Main_Issuance[],5,0)</f>
        <v>Alinma</v>
      </c>
      <c r="G251" s="16" t="str">
        <f>VLOOKUP(Main_Presentation[[#This Row],[LC Number]],Main_Issuance[],6,0)</f>
        <v>KSP</v>
      </c>
      <c r="H251" s="16" t="str">
        <f>VLOOKUP(Main_Presentation[[#This Row],[LC Number]],Main_Issuance[],17,0)</f>
        <v>Credit</v>
      </c>
      <c r="I251" s="16" t="str">
        <f>VLOOKUP(Main_Presentation[[#This Row],[LC Number]],Main_Issuance[],7,0)</f>
        <v>MUDN DISTRINGUISHED ADVANCE CO</v>
      </c>
      <c r="J251" s="16" t="str">
        <f>VLOOKUP(Main_Presentation[[#This Row],[LC Number]],Main_Issuance[],8,0)</f>
        <v>FIRST FIX</v>
      </c>
      <c r="K251" s="16" t="str">
        <f>VLOOKUP(Main_Presentation[[#This Row],[LC Number]],Main_Issuance[],9,0)</f>
        <v>KSP</v>
      </c>
      <c r="L251" s="16">
        <f>VLOOKUP(Main_Presentation[[#This Row],[LC Number]],Main_Issuance[],10,0)</f>
        <v>1020055</v>
      </c>
      <c r="M251" s="16" t="str">
        <f>VLOOKUP(Main_Presentation[[#This Row],[LC Number]],Main_Issuance[],11,0)</f>
        <v>SAR</v>
      </c>
      <c r="N251" s="86">
        <f>VLOOKUP(Main_Presentation[[#This Row],[LC Number]],Main_Issuance[],12,0)</f>
        <v>1458479.28</v>
      </c>
      <c r="O251" s="16" t="s">
        <v>20</v>
      </c>
      <c r="P251" s="16" t="s">
        <v>857</v>
      </c>
      <c r="Q251" s="131">
        <v>1458479.28</v>
      </c>
      <c r="R251" s="18">
        <v>1</v>
      </c>
      <c r="S251" s="18">
        <f>Main_Presentation[[#This Row],[Invoice Amt (FCY)]]*Main_Presentation[[#This Row],[Rate]]</f>
        <v>1458479.28</v>
      </c>
      <c r="T251" s="15">
        <v>45796</v>
      </c>
      <c r="U251" s="26" t="str">
        <f>VLOOKUP(Main_Presentation[[#This Row],[LC Number]],Main_Issuance[],18,0)</f>
        <v>90 Days from Invoice Date</v>
      </c>
      <c r="V251" s="21" t="s">
        <v>613</v>
      </c>
      <c r="W251" s="22" t="s">
        <v>378</v>
      </c>
      <c r="X251" s="16"/>
      <c r="Y251" s="234" t="str">
        <f>TRIM(LEFT(Main_Presentation[[#This Row],[Payment Terms]],3))</f>
        <v>90</v>
      </c>
      <c r="Z251" s="16"/>
      <c r="AA251" s="316" cm="1">
        <f t="array" ref="AA251">Settlement(Main_Presentation[[#This Row],[Bank]],Main_Presentation[[#This Row],[ Invoice Amt (SAR)]],Main_Presentation[[#This Row],[Date Recd]],Main_Presentation[[#This Row],[Due Date]],Main_Presentation[[#This Row],[Days]])</f>
        <v>2096.4499999999998</v>
      </c>
      <c r="AB251" s="16"/>
    </row>
    <row r="252" spans="1:28" ht="15.75" hidden="1" x14ac:dyDescent="0.25">
      <c r="A252" s="20" t="s">
        <v>588</v>
      </c>
      <c r="B252" s="15">
        <v>45712</v>
      </c>
      <c r="C252" s="26">
        <v>1</v>
      </c>
      <c r="D252" s="55" t="str">
        <f>VLOOKUP(Main_Presentation[[#This Row],[LC Number]],Main_Issuance[],3,0)</f>
        <v>Hassan Taleb</v>
      </c>
      <c r="E252" s="16" t="s">
        <v>856</v>
      </c>
      <c r="F252" s="16" t="str">
        <f>VLOOKUP(Main_Presentation[[#This Row],[LC Number]],Main_Issuance[],5,0)</f>
        <v>Alinma</v>
      </c>
      <c r="G252" s="16" t="str">
        <f>VLOOKUP(Main_Presentation[[#This Row],[LC Number]],Main_Issuance[],6,0)</f>
        <v>KSP</v>
      </c>
      <c r="H252" s="16" t="str">
        <f>VLOOKUP(Main_Presentation[[#This Row],[LC Number]],Main_Issuance[],17,0)</f>
        <v>Credit</v>
      </c>
      <c r="I252" s="16" t="str">
        <f>VLOOKUP(Main_Presentation[[#This Row],[LC Number]],Main_Issuance[],7,0)</f>
        <v>Huda Lighting LLC Co</v>
      </c>
      <c r="J252" s="16" t="str">
        <f>VLOOKUP(Main_Presentation[[#This Row],[LC Number]],Main_Issuance[],8,0)</f>
        <v>FIRST FIX</v>
      </c>
      <c r="K252" s="16" t="str">
        <f>VLOOKUP(Main_Presentation[[#This Row],[LC Number]],Main_Issuance[],9,0)</f>
        <v>KSP</v>
      </c>
      <c r="L252" s="16">
        <f>VLOOKUP(Main_Presentation[[#This Row],[LC Number]],Main_Issuance[],10,0)</f>
        <v>1020055</v>
      </c>
      <c r="M252" s="16" t="str">
        <f>VLOOKUP(Main_Presentation[[#This Row],[LC Number]],Main_Issuance[],11,0)</f>
        <v>SAR</v>
      </c>
      <c r="N252" s="86">
        <f>VLOOKUP(Main_Presentation[[#This Row],[LC Number]],Main_Issuance[],12,0)</f>
        <v>2000000</v>
      </c>
      <c r="O252" s="16" t="s">
        <v>20</v>
      </c>
      <c r="P252" s="16" t="s">
        <v>857</v>
      </c>
      <c r="Q252" s="131">
        <v>1737834</v>
      </c>
      <c r="R252" s="18">
        <v>1</v>
      </c>
      <c r="S252" s="18">
        <f>Main_Presentation[[#This Row],[Invoice Amt (FCY)]]*Main_Presentation[[#This Row],[Rate]]</f>
        <v>1737834</v>
      </c>
      <c r="T252" s="15">
        <v>45784</v>
      </c>
      <c r="U252" s="26" t="str">
        <f>VLOOKUP(Main_Presentation[[#This Row],[LC Number]],Main_Issuance[],18,0)</f>
        <v>90 Days from Invoice Date</v>
      </c>
      <c r="V252" s="21" t="s">
        <v>1271</v>
      </c>
      <c r="W252" s="22" t="s">
        <v>378</v>
      </c>
      <c r="X252" s="16"/>
      <c r="Y252" s="234" t="str">
        <f>TRIM(LEFT(Main_Presentation[[#This Row],[Payment Terms]],3))</f>
        <v>90</v>
      </c>
      <c r="Z252" s="16"/>
      <c r="AA252" s="316" cm="1">
        <f t="array" ref="AA252">Settlement(Main_Presentation[[#This Row],[Bank]],Main_Presentation[[#This Row],[ Invoice Amt (SAR)]],Main_Presentation[[#This Row],[Date Recd]],Main_Presentation[[#This Row],[Due Date]],Main_Presentation[[#This Row],[Days]])</f>
        <v>1665.2</v>
      </c>
      <c r="AB252" s="16"/>
    </row>
    <row r="253" spans="1:28" ht="15.75" hidden="1" x14ac:dyDescent="0.25">
      <c r="A253" s="20" t="s">
        <v>296</v>
      </c>
      <c r="B253" s="15">
        <v>45713</v>
      </c>
      <c r="C253" s="26">
        <v>1</v>
      </c>
      <c r="D253" s="55" t="str">
        <f>VLOOKUP(Main_Presentation[[#This Row],[LC Number]],Main_Issuance[],3,0)</f>
        <v>Hassan Taleb</v>
      </c>
      <c r="E253" s="16" t="s">
        <v>856</v>
      </c>
      <c r="F253" s="16" t="str">
        <f>VLOOKUP(Main_Presentation[[#This Row],[LC Number]],Main_Issuance[],5,0)</f>
        <v>Alinma</v>
      </c>
      <c r="G253" s="16" t="str">
        <f>VLOOKUP(Main_Presentation[[#This Row],[LC Number]],Main_Issuance[],6,0)</f>
        <v>KSP</v>
      </c>
      <c r="H253" s="16" t="str">
        <f>VLOOKUP(Main_Presentation[[#This Row],[LC Number]],Main_Issuance[],17,0)</f>
        <v>Credit</v>
      </c>
      <c r="I253" s="16" t="str">
        <f>VLOOKUP(Main_Presentation[[#This Row],[LC Number]],Main_Issuance[],7,0)</f>
        <v>API EAST</v>
      </c>
      <c r="J253" s="16" t="str">
        <f>VLOOKUP(Main_Presentation[[#This Row],[LC Number]],Main_Issuance[],8,0)</f>
        <v>FIRST FIX</v>
      </c>
      <c r="K253" s="16" t="str">
        <f>VLOOKUP(Main_Presentation[[#This Row],[LC Number]],Main_Issuance[],9,0)</f>
        <v>KSP</v>
      </c>
      <c r="L253" s="16">
        <f>VLOOKUP(Main_Presentation[[#This Row],[LC Number]],Main_Issuance[],10,0)</f>
        <v>1020055</v>
      </c>
      <c r="M253" s="16" t="str">
        <f>VLOOKUP(Main_Presentation[[#This Row],[LC Number]],Main_Issuance[],11,0)</f>
        <v>AED</v>
      </c>
      <c r="N253" s="86">
        <f>VLOOKUP(Main_Presentation[[#This Row],[LC Number]],Main_Issuance[],12,0)</f>
        <v>750000</v>
      </c>
      <c r="O253" s="16" t="s">
        <v>20</v>
      </c>
      <c r="P253" s="16" t="s">
        <v>857</v>
      </c>
      <c r="Q253" s="131">
        <v>750000</v>
      </c>
      <c r="R253" s="18">
        <v>1.0269999999999999</v>
      </c>
      <c r="S253" s="18">
        <f>Main_Presentation[[#This Row],[Invoice Amt (FCY)]]*Main_Presentation[[#This Row],[Rate]]</f>
        <v>770249.99999999988</v>
      </c>
      <c r="T253" s="15">
        <v>45782</v>
      </c>
      <c r="U253" s="26" t="str">
        <f>VLOOKUP(Main_Presentation[[#This Row],[LC Number]],Main_Issuance[],18,0)</f>
        <v>90 Days from Applicant Sign date</v>
      </c>
      <c r="V253" s="21" t="s">
        <v>613</v>
      </c>
      <c r="W253" s="22" t="s">
        <v>378</v>
      </c>
      <c r="X253" s="16"/>
      <c r="Y253" s="234" t="str">
        <f>TRIM(LEFT(Main_Presentation[[#This Row],[Payment Terms]],3))</f>
        <v>90</v>
      </c>
      <c r="Z253" s="16"/>
      <c r="AA253" s="316" cm="1">
        <f t="array" ref="AA253">Settlement(Main_Presentation[[#This Row],[Bank]],Main_Presentation[[#This Row],[ Invoice Amt (SAR)]],Main_Presentation[[#This Row],[Date Recd]],Main_Presentation[[#This Row],[Due Date]],Main_Presentation[[#This Row],[Days]])</f>
        <v>1437.5</v>
      </c>
      <c r="AB253" s="16"/>
    </row>
    <row r="254" spans="1:28" ht="15.75" hidden="1" x14ac:dyDescent="0.25">
      <c r="A254" s="20" t="s">
        <v>628</v>
      </c>
      <c r="B254" s="15">
        <v>45713</v>
      </c>
      <c r="C254" s="26">
        <v>1</v>
      </c>
      <c r="D254" s="55" t="str">
        <f>VLOOKUP(Main_Presentation[[#This Row],[LC Number]],Main_Issuance[],3,0)</f>
        <v>Hassan Taleb</v>
      </c>
      <c r="E254" s="16" t="s">
        <v>856</v>
      </c>
      <c r="F254" s="16" t="str">
        <f>VLOOKUP(Main_Presentation[[#This Row],[LC Number]],Main_Issuance[],5,0)</f>
        <v>Alinma</v>
      </c>
      <c r="G254" s="16" t="str">
        <f>VLOOKUP(Main_Presentation[[#This Row],[LC Number]],Main_Issuance[],6,0)</f>
        <v>KSP</v>
      </c>
      <c r="H254" s="16" t="str">
        <f>VLOOKUP(Main_Presentation[[#This Row],[LC Number]],Main_Issuance[],17,0)</f>
        <v>Credit</v>
      </c>
      <c r="I254" s="16" t="str">
        <f>VLOOKUP(Main_Presentation[[#This Row],[LC Number]],Main_Issuance[],7,0)</f>
        <v>Johnson Controls Arabia Limited</v>
      </c>
      <c r="J254" s="16" t="str">
        <f>VLOOKUP(Main_Presentation[[#This Row],[LC Number]],Main_Issuance[],8,0)</f>
        <v>FIRST FIX</v>
      </c>
      <c r="K254" s="16" t="str">
        <f>VLOOKUP(Main_Presentation[[#This Row],[LC Number]],Main_Issuance[],9,0)</f>
        <v>KSP</v>
      </c>
      <c r="L254" s="16">
        <f>VLOOKUP(Main_Presentation[[#This Row],[LC Number]],Main_Issuance[],10,0)</f>
        <v>1020055</v>
      </c>
      <c r="M254" s="16" t="str">
        <f>VLOOKUP(Main_Presentation[[#This Row],[LC Number]],Main_Issuance[],11,0)</f>
        <v>SAR</v>
      </c>
      <c r="N254" s="86">
        <f>VLOOKUP(Main_Presentation[[#This Row],[LC Number]],Main_Issuance[],12,0)</f>
        <v>2000000</v>
      </c>
      <c r="O254" s="16" t="s">
        <v>20</v>
      </c>
      <c r="P254" s="16" t="s">
        <v>857</v>
      </c>
      <c r="Q254" s="131">
        <v>2000000</v>
      </c>
      <c r="R254" s="18">
        <v>1</v>
      </c>
      <c r="S254" s="18">
        <f>Main_Presentation[[#This Row],[Invoice Amt (FCY)]]*Main_Presentation[[#This Row],[Rate]]</f>
        <v>2000000</v>
      </c>
      <c r="T254" s="15">
        <v>45784</v>
      </c>
      <c r="U254" s="26" t="str">
        <f>VLOOKUP(Main_Presentation[[#This Row],[LC Number]],Main_Issuance[],18,0)</f>
        <v>90 Days from Invoice Date</v>
      </c>
      <c r="V254" s="21" t="s">
        <v>1271</v>
      </c>
      <c r="W254" s="22" t="s">
        <v>378</v>
      </c>
      <c r="X254" s="16"/>
      <c r="Y254" s="234" t="str">
        <f>TRIM(LEFT(Main_Presentation[[#This Row],[Payment Terms]],3))</f>
        <v>90</v>
      </c>
      <c r="Z254" s="16"/>
      <c r="AA254" s="316" cm="1">
        <f t="array" ref="AA254">Settlement(Main_Presentation[[#This Row],[Bank]],Main_Presentation[[#This Row],[ Invoice Amt (SAR)]],Main_Presentation[[#This Row],[Date Recd]],Main_Presentation[[#This Row],[Due Date]],Main_Presentation[[#This Row],[Days]])</f>
        <v>1917.05</v>
      </c>
      <c r="AB254" s="16"/>
    </row>
    <row r="255" spans="1:28" ht="15.75" hidden="1" x14ac:dyDescent="0.25">
      <c r="A255" s="20" t="s">
        <v>586</v>
      </c>
      <c r="B255" s="15">
        <v>45713</v>
      </c>
      <c r="C255" s="26">
        <v>1</v>
      </c>
      <c r="D255" s="55" t="str">
        <f>VLOOKUP(Main_Presentation[[#This Row],[LC Number]],Main_Issuance[],3,0)</f>
        <v>Hassan Taleb</v>
      </c>
      <c r="E255" s="16" t="s">
        <v>856</v>
      </c>
      <c r="F255" s="16" t="str">
        <f>VLOOKUP(Main_Presentation[[#This Row],[LC Number]],Main_Issuance[],5,0)</f>
        <v>Alinma</v>
      </c>
      <c r="G255" s="16" t="str">
        <f>VLOOKUP(Main_Presentation[[#This Row],[LC Number]],Main_Issuance[],6,0)</f>
        <v>KSP</v>
      </c>
      <c r="H255" s="16" t="str">
        <f>VLOOKUP(Main_Presentation[[#This Row],[LC Number]],Main_Issuance[],17,0)</f>
        <v>Credit</v>
      </c>
      <c r="I255" s="16" t="str">
        <f>VLOOKUP(Main_Presentation[[#This Row],[LC Number]],Main_Issuance[],7,0)</f>
        <v>AL MOUSA TRADING CO.</v>
      </c>
      <c r="J255" s="16" t="str">
        <f>VLOOKUP(Main_Presentation[[#This Row],[LC Number]],Main_Issuance[],8,0)</f>
        <v>FIRST FIX</v>
      </c>
      <c r="K255" s="16" t="str">
        <f>VLOOKUP(Main_Presentation[[#This Row],[LC Number]],Main_Issuance[],9,0)</f>
        <v>KSP</v>
      </c>
      <c r="L255" s="16">
        <f>VLOOKUP(Main_Presentation[[#This Row],[LC Number]],Main_Issuance[],10,0)</f>
        <v>1020055</v>
      </c>
      <c r="M255" s="16" t="str">
        <f>VLOOKUP(Main_Presentation[[#This Row],[LC Number]],Main_Issuance[],11,0)</f>
        <v>SAR</v>
      </c>
      <c r="N255" s="86">
        <f>VLOOKUP(Main_Presentation[[#This Row],[LC Number]],Main_Issuance[],12,0)</f>
        <v>1500000</v>
      </c>
      <c r="O255" s="16" t="s">
        <v>20</v>
      </c>
      <c r="P255" s="16" t="s">
        <v>857</v>
      </c>
      <c r="Q255" s="131">
        <v>1500000</v>
      </c>
      <c r="R255" s="18">
        <v>1</v>
      </c>
      <c r="S255" s="18">
        <f>Main_Presentation[[#This Row],[Invoice Amt (FCY)]]*Main_Presentation[[#This Row],[Rate]]</f>
        <v>1500000</v>
      </c>
      <c r="T255" s="15">
        <v>45784</v>
      </c>
      <c r="U255" s="26" t="str">
        <f>VLOOKUP(Main_Presentation[[#This Row],[LC Number]],Main_Issuance[],18,0)</f>
        <v>90 Days from Invoice Date</v>
      </c>
      <c r="V255" s="21" t="s">
        <v>1271</v>
      </c>
      <c r="W255" s="22" t="s">
        <v>378</v>
      </c>
      <c r="X255" s="16"/>
      <c r="Y255" s="234" t="str">
        <f>TRIM(LEFT(Main_Presentation[[#This Row],[Payment Terms]],3))</f>
        <v>90</v>
      </c>
      <c r="Z255" s="16"/>
      <c r="AA255" s="316" cm="1">
        <f t="array" ref="AA255">Settlement(Main_Presentation[[#This Row],[Bank]],Main_Presentation[[#This Row],[ Invoice Amt (SAR)]],Main_Presentation[[#This Row],[Date Recd]],Main_Presentation[[#This Row],[Due Date]],Main_Presentation[[#This Row],[Days]])</f>
        <v>1437.5</v>
      </c>
      <c r="AB255" s="16"/>
    </row>
    <row r="256" spans="1:28" ht="15.75" hidden="1" x14ac:dyDescent="0.25">
      <c r="A256" s="20" t="s">
        <v>584</v>
      </c>
      <c r="B256" s="15">
        <v>45721</v>
      </c>
      <c r="C256" s="26">
        <v>1</v>
      </c>
      <c r="D256" s="55" t="str">
        <f>VLOOKUP(Main_Presentation[[#This Row],[LC Number]],Main_Issuance[],3,0)</f>
        <v>Hassan Taleb</v>
      </c>
      <c r="E256" s="16" t="s">
        <v>856</v>
      </c>
      <c r="F256" s="16" t="str">
        <f>VLOOKUP(Main_Presentation[[#This Row],[LC Number]],Main_Issuance[],5,0)</f>
        <v>Alinma</v>
      </c>
      <c r="G256" s="16" t="str">
        <f>VLOOKUP(Main_Presentation[[#This Row],[LC Number]],Main_Issuance[],6,0)</f>
        <v>KSP</v>
      </c>
      <c r="H256" s="16" t="str">
        <f>VLOOKUP(Main_Presentation[[#This Row],[LC Number]],Main_Issuance[],17,0)</f>
        <v>Credit</v>
      </c>
      <c r="I256" s="16" t="str">
        <f>VLOOKUP(Main_Presentation[[#This Row],[LC Number]],Main_Issuance[],7,0)</f>
        <v>ALFANAR ELECTRICAL SYSTEMS.</v>
      </c>
      <c r="J256" s="16" t="str">
        <f>VLOOKUP(Main_Presentation[[#This Row],[LC Number]],Main_Issuance[],8,0)</f>
        <v>FIRST FIX</v>
      </c>
      <c r="K256" s="16" t="str">
        <f>VLOOKUP(Main_Presentation[[#This Row],[LC Number]],Main_Issuance[],9,0)</f>
        <v>KSP</v>
      </c>
      <c r="L256" s="16">
        <f>VLOOKUP(Main_Presentation[[#This Row],[LC Number]],Main_Issuance[],10,0)</f>
        <v>1020055</v>
      </c>
      <c r="M256" s="16" t="str">
        <f>VLOOKUP(Main_Presentation[[#This Row],[LC Number]],Main_Issuance[],11,0)</f>
        <v>SAR</v>
      </c>
      <c r="N256" s="86">
        <f>VLOOKUP(Main_Presentation[[#This Row],[LC Number]],Main_Issuance[],12,0)</f>
        <v>3000000</v>
      </c>
      <c r="O256" s="16" t="s">
        <v>20</v>
      </c>
      <c r="P256" s="16" t="s">
        <v>857</v>
      </c>
      <c r="Q256" s="131">
        <v>2945463.53</v>
      </c>
      <c r="R256" s="18">
        <v>1</v>
      </c>
      <c r="S256" s="18">
        <f>Main_Presentation[[#This Row],[Invoice Amt (FCY)]]*Main_Presentation[[#This Row],[Rate]]</f>
        <v>2945463.53</v>
      </c>
      <c r="T256" s="15">
        <v>45797</v>
      </c>
      <c r="U256" s="26" t="str">
        <f>VLOOKUP(Main_Presentation[[#This Row],[LC Number]],Main_Issuance[],18,0)</f>
        <v>90 Days from Invoice Date</v>
      </c>
      <c r="V256" s="21" t="s">
        <v>613</v>
      </c>
      <c r="W256" s="22" t="s">
        <v>378</v>
      </c>
      <c r="X256" s="16"/>
      <c r="Y256" s="234" t="str">
        <f>TRIM(LEFT(Main_Presentation[[#This Row],[Payment Terms]],3))</f>
        <v>90</v>
      </c>
      <c r="Z256" s="16"/>
      <c r="AA256" s="316" cm="1">
        <f t="array" ref="AA256">Settlement(Main_Presentation[[#This Row],[Bank]],Main_Presentation[[#This Row],[ Invoice Amt (SAR)]],Main_Presentation[[#This Row],[Date Recd]],Main_Presentation[[#This Row],[Due Date]],Main_Presentation[[#This Row],[Days]])</f>
        <v>2823.25</v>
      </c>
      <c r="AB256" s="16"/>
    </row>
    <row r="257" spans="1:28" ht="15.75" hidden="1" x14ac:dyDescent="0.25">
      <c r="A257" s="20" t="s">
        <v>527</v>
      </c>
      <c r="B257" s="15">
        <v>45722</v>
      </c>
      <c r="C257" s="26">
        <v>2</v>
      </c>
      <c r="D257" s="55" t="str">
        <f>VLOOKUP(Main_Presentation[[#This Row],[LC Number]],Main_Issuance[],3,0)</f>
        <v>Hassan Taleb</v>
      </c>
      <c r="E257" s="16" t="s">
        <v>856</v>
      </c>
      <c r="F257" s="16" t="str">
        <f>VLOOKUP(Main_Presentation[[#This Row],[LC Number]],Main_Issuance[],5,0)</f>
        <v>Alinma</v>
      </c>
      <c r="G257" s="16" t="str">
        <f>VLOOKUP(Main_Presentation[[#This Row],[LC Number]],Main_Issuance[],6,0)</f>
        <v>KSP</v>
      </c>
      <c r="H257" s="16" t="str">
        <f>VLOOKUP(Main_Presentation[[#This Row],[LC Number]],Main_Issuance[],17,0)</f>
        <v>Credit</v>
      </c>
      <c r="I257" s="16" t="str">
        <f>VLOOKUP(Main_Presentation[[#This Row],[LC Number]],Main_Issuance[],7,0)</f>
        <v>Thkm Alaalmyt Lltaqt Company.</v>
      </c>
      <c r="J257" s="16" t="str">
        <f>VLOOKUP(Main_Presentation[[#This Row],[LC Number]],Main_Issuance[],8,0)</f>
        <v>FIRST FIX</v>
      </c>
      <c r="K257" s="16" t="str">
        <f>VLOOKUP(Main_Presentation[[#This Row],[LC Number]],Main_Issuance[],9,0)</f>
        <v>KSP</v>
      </c>
      <c r="L257" s="16">
        <f>VLOOKUP(Main_Presentation[[#This Row],[LC Number]],Main_Issuance[],10,0)</f>
        <v>1020055</v>
      </c>
      <c r="M257" s="16" t="str">
        <f>VLOOKUP(Main_Presentation[[#This Row],[LC Number]],Main_Issuance[],11,0)</f>
        <v>SAR</v>
      </c>
      <c r="N257" s="86">
        <f>VLOOKUP(Main_Presentation[[#This Row],[LC Number]],Main_Issuance[],12,0)</f>
        <v>301761.59999999998</v>
      </c>
      <c r="O257" s="16" t="s">
        <v>20</v>
      </c>
      <c r="P257" s="16" t="s">
        <v>857</v>
      </c>
      <c r="Q257" s="131">
        <v>55877.8</v>
      </c>
      <c r="R257" s="18">
        <v>1</v>
      </c>
      <c r="S257" s="18">
        <f>Main_Presentation[[#This Row],[Invoice Amt (FCY)]]*Main_Presentation[[#This Row],[Rate]]</f>
        <v>55877.8</v>
      </c>
      <c r="T257" s="15">
        <v>45796</v>
      </c>
      <c r="U257" s="26" t="str">
        <f>VLOOKUP(Main_Presentation[[#This Row],[LC Number]],Main_Issuance[],18,0)</f>
        <v>90 Days from Invoice Date</v>
      </c>
      <c r="V257" s="21" t="s">
        <v>613</v>
      </c>
      <c r="W257" s="22" t="s">
        <v>378</v>
      </c>
      <c r="X257" s="16"/>
      <c r="Y257" s="234" t="str">
        <f>TRIM(LEFT(Main_Presentation[[#This Row],[Payment Terms]],3))</f>
        <v>90</v>
      </c>
      <c r="Z257" s="16"/>
      <c r="AA257" s="316" cm="1">
        <f t="array" ref="AA257">Settlement(Main_Presentation[[#This Row],[Bank]],Main_Presentation[[#This Row],[ Invoice Amt (SAR)]],Main_Presentation[[#This Row],[Date Recd]],Main_Presentation[[#This Row],[Due Date]],Main_Presentation[[#This Row],[Days]])</f>
        <v>1437.5</v>
      </c>
      <c r="AB257" s="16"/>
    </row>
    <row r="258" spans="1:28" ht="15.75" hidden="1" x14ac:dyDescent="0.25">
      <c r="A258" s="20" t="s">
        <v>633</v>
      </c>
      <c r="B258" s="15">
        <v>45727</v>
      </c>
      <c r="C258" s="26">
        <v>1</v>
      </c>
      <c r="D258" s="55" t="str">
        <f>VLOOKUP(Main_Presentation[[#This Row],[LC Number]],Main_Issuance[],3,0)</f>
        <v>Hassan Taleb</v>
      </c>
      <c r="E258" s="16" t="s">
        <v>856</v>
      </c>
      <c r="F258" s="16" t="str">
        <f>VLOOKUP(Main_Presentation[[#This Row],[LC Number]],Main_Issuance[],5,0)</f>
        <v>Alinma</v>
      </c>
      <c r="G258" s="16" t="str">
        <f>VLOOKUP(Main_Presentation[[#This Row],[LC Number]],Main_Issuance[],6,0)</f>
        <v>KSP</v>
      </c>
      <c r="H258" s="16" t="str">
        <f>VLOOKUP(Main_Presentation[[#This Row],[LC Number]],Main_Issuance[],17,0)</f>
        <v>Credit</v>
      </c>
      <c r="I258" s="16" t="str">
        <f>VLOOKUP(Main_Presentation[[#This Row],[LC Number]],Main_Issuance[],7,0)</f>
        <v>ARABIAN INTERNATIONAL COMPANY</v>
      </c>
      <c r="J258" s="16" t="str">
        <f>VLOOKUP(Main_Presentation[[#This Row],[LC Number]],Main_Issuance[],8,0)</f>
        <v>FIRST FIX</v>
      </c>
      <c r="K258" s="16" t="str">
        <f>VLOOKUP(Main_Presentation[[#This Row],[LC Number]],Main_Issuance[],9,0)</f>
        <v>KSP</v>
      </c>
      <c r="L258" s="16">
        <f>VLOOKUP(Main_Presentation[[#This Row],[LC Number]],Main_Issuance[],10,0)</f>
        <v>1020055</v>
      </c>
      <c r="M258" s="16" t="str">
        <f>VLOOKUP(Main_Presentation[[#This Row],[LC Number]],Main_Issuance[],11,0)</f>
        <v>SAR</v>
      </c>
      <c r="N258" s="86">
        <f>VLOOKUP(Main_Presentation[[#This Row],[LC Number]],Main_Issuance[],12,0)</f>
        <v>350000</v>
      </c>
      <c r="O258" s="16" t="s">
        <v>20</v>
      </c>
      <c r="P258" s="16" t="s">
        <v>857</v>
      </c>
      <c r="Q258" s="131">
        <v>350000</v>
      </c>
      <c r="R258" s="18">
        <v>1</v>
      </c>
      <c r="S258" s="18">
        <f>Main_Presentation[[#This Row],[Invoice Amt (FCY)]]*Main_Presentation[[#This Row],[Rate]]</f>
        <v>350000</v>
      </c>
      <c r="T258" s="15">
        <v>45809</v>
      </c>
      <c r="U258" s="26" t="str">
        <f>VLOOKUP(Main_Presentation[[#This Row],[LC Number]],Main_Issuance[],18,0)</f>
        <v>90 Days from Invoice Date</v>
      </c>
      <c r="V258" s="21" t="s">
        <v>22</v>
      </c>
      <c r="W258" s="22" t="s">
        <v>857</v>
      </c>
      <c r="X258" s="16"/>
      <c r="Y258" s="234" t="str">
        <f>TRIM(LEFT(Main_Presentation[[#This Row],[Payment Terms]],3))</f>
        <v>90</v>
      </c>
      <c r="Z258" s="16"/>
      <c r="AA258" s="316" cm="1">
        <f t="array" ref="AA258">Settlement(Main_Presentation[[#This Row],[Bank]],Main_Presentation[[#This Row],[ Invoice Amt (SAR)]],Main_Presentation[[#This Row],[Date Recd]],Main_Presentation[[#This Row],[Due Date]],Main_Presentation[[#This Row],[Days]])</f>
        <v>1437.5</v>
      </c>
      <c r="AB258" s="16"/>
    </row>
    <row r="259" spans="1:28" ht="15.75" hidden="1" x14ac:dyDescent="0.25">
      <c r="A259" s="20" t="s">
        <v>651</v>
      </c>
      <c r="B259" s="15">
        <v>45728</v>
      </c>
      <c r="C259" s="26">
        <v>1</v>
      </c>
      <c r="D259" s="55" t="str">
        <f>VLOOKUP(Main_Presentation[[#This Row],[LC Number]],Main_Issuance[],3,0)</f>
        <v>Hassan Taleb</v>
      </c>
      <c r="E259" s="16" t="s">
        <v>856</v>
      </c>
      <c r="F259" s="16" t="str">
        <f>VLOOKUP(Main_Presentation[[#This Row],[LC Number]],Main_Issuance[],5,0)</f>
        <v>Alinma</v>
      </c>
      <c r="G259" s="16" t="str">
        <f>VLOOKUP(Main_Presentation[[#This Row],[LC Number]],Main_Issuance[],6,0)</f>
        <v>KSP</v>
      </c>
      <c r="H259" s="16" t="str">
        <f>VLOOKUP(Main_Presentation[[#This Row],[LC Number]],Main_Issuance[],17,0)</f>
        <v>Credit</v>
      </c>
      <c r="I259" s="16" t="str">
        <f>VLOOKUP(Main_Presentation[[#This Row],[LC Number]],Main_Issuance[],7,0)</f>
        <v>AL BILAD CONCRETE PIPE CO.LTD</v>
      </c>
      <c r="J259" s="16" t="str">
        <f>VLOOKUP(Main_Presentation[[#This Row],[LC Number]],Main_Issuance[],8,0)</f>
        <v>FIRST FIX</v>
      </c>
      <c r="K259" s="16" t="str">
        <f>VLOOKUP(Main_Presentation[[#This Row],[LC Number]],Main_Issuance[],9,0)</f>
        <v>KSP</v>
      </c>
      <c r="L259" s="16">
        <f>VLOOKUP(Main_Presentation[[#This Row],[LC Number]],Main_Issuance[],10,0)</f>
        <v>1020055</v>
      </c>
      <c r="M259" s="16" t="str">
        <f>VLOOKUP(Main_Presentation[[#This Row],[LC Number]],Main_Issuance[],11,0)</f>
        <v>SAR</v>
      </c>
      <c r="N259" s="86">
        <f>VLOOKUP(Main_Presentation[[#This Row],[LC Number]],Main_Issuance[],12,0)</f>
        <v>750000</v>
      </c>
      <c r="O259" s="16" t="s">
        <v>20</v>
      </c>
      <c r="P259" s="16" t="s">
        <v>857</v>
      </c>
      <c r="Q259" s="131">
        <v>272314.83</v>
      </c>
      <c r="R259" s="18">
        <v>1</v>
      </c>
      <c r="S259" s="18">
        <f>Main_Presentation[[#This Row],[Invoice Amt (FCY)]]*Main_Presentation[[#This Row],[Rate]]</f>
        <v>272314.83</v>
      </c>
      <c r="T259" s="15">
        <v>45796</v>
      </c>
      <c r="U259" s="26" t="str">
        <f>VLOOKUP(Main_Presentation[[#This Row],[LC Number]],Main_Issuance[],18,0)</f>
        <v>90 Days from Invoice Date</v>
      </c>
      <c r="V259" s="21" t="s">
        <v>613</v>
      </c>
      <c r="W259" s="22" t="s">
        <v>378</v>
      </c>
      <c r="X259" s="16"/>
      <c r="Y259" s="234" t="str">
        <f>TRIM(LEFT(Main_Presentation[[#This Row],[Payment Terms]],3))</f>
        <v>90</v>
      </c>
      <c r="Z259" s="16"/>
      <c r="AA259" s="316" cm="1">
        <f t="array" ref="AA259">Settlement(Main_Presentation[[#This Row],[Bank]],Main_Presentation[[#This Row],[ Invoice Amt (SAR)]],Main_Presentation[[#This Row],[Date Recd]],Main_Presentation[[#This Row],[Due Date]],Main_Presentation[[#This Row],[Days]])</f>
        <v>1437.5</v>
      </c>
      <c r="AB259" s="16"/>
    </row>
    <row r="260" spans="1:28" ht="15.75" hidden="1" x14ac:dyDescent="0.25">
      <c r="A260" s="20" t="s">
        <v>649</v>
      </c>
      <c r="B260" s="15">
        <v>45728</v>
      </c>
      <c r="C260" s="26">
        <v>1</v>
      </c>
      <c r="D260" s="55" t="str">
        <f>VLOOKUP(Main_Presentation[[#This Row],[LC Number]],Main_Issuance[],3,0)</f>
        <v>Hassan Taleb</v>
      </c>
      <c r="E260" s="16" t="s">
        <v>856</v>
      </c>
      <c r="F260" s="16" t="str">
        <f>VLOOKUP(Main_Presentation[[#This Row],[LC Number]],Main_Issuance[],5,0)</f>
        <v>Alinma</v>
      </c>
      <c r="G260" s="16" t="str">
        <f>VLOOKUP(Main_Presentation[[#This Row],[LC Number]],Main_Issuance[],6,0)</f>
        <v>KSP</v>
      </c>
      <c r="H260" s="16" t="str">
        <f>VLOOKUP(Main_Presentation[[#This Row],[LC Number]],Main_Issuance[],17,0)</f>
        <v>Credit</v>
      </c>
      <c r="I260" s="16" t="str">
        <f>VLOOKUP(Main_Presentation[[#This Row],[LC Number]],Main_Issuance[],7,0)</f>
        <v>National Marketing Est. Co. Ltd.</v>
      </c>
      <c r="J260" s="16" t="str">
        <f>VLOOKUP(Main_Presentation[[#This Row],[LC Number]],Main_Issuance[],8,0)</f>
        <v>FIRST FIX</v>
      </c>
      <c r="K260" s="16" t="str">
        <f>VLOOKUP(Main_Presentation[[#This Row],[LC Number]],Main_Issuance[],9,0)</f>
        <v>KSP</v>
      </c>
      <c r="L260" s="16">
        <f>VLOOKUP(Main_Presentation[[#This Row],[LC Number]],Main_Issuance[],10,0)</f>
        <v>1020055</v>
      </c>
      <c r="M260" s="16" t="str">
        <f>VLOOKUP(Main_Presentation[[#This Row],[LC Number]],Main_Issuance[],11,0)</f>
        <v>SAR</v>
      </c>
      <c r="N260" s="86">
        <f>VLOOKUP(Main_Presentation[[#This Row],[LC Number]],Main_Issuance[],12,0)</f>
        <v>407334.49</v>
      </c>
      <c r="O260" s="16" t="s">
        <v>20</v>
      </c>
      <c r="P260" s="16" t="s">
        <v>857</v>
      </c>
      <c r="Q260" s="131">
        <v>407334.49</v>
      </c>
      <c r="R260" s="18">
        <v>1</v>
      </c>
      <c r="S260" s="18">
        <f>Main_Presentation[[#This Row],[Invoice Amt (FCY)]]*Main_Presentation[[#This Row],[Rate]]</f>
        <v>407334.49</v>
      </c>
      <c r="T260" s="15">
        <v>45796</v>
      </c>
      <c r="U260" s="26" t="str">
        <f>VLOOKUP(Main_Presentation[[#This Row],[LC Number]],Main_Issuance[],18,0)</f>
        <v>90 Days from Invoice Date</v>
      </c>
      <c r="V260" s="21" t="s">
        <v>613</v>
      </c>
      <c r="W260" s="22" t="s">
        <v>378</v>
      </c>
      <c r="X260" s="16"/>
      <c r="Y260" s="234" t="str">
        <f>TRIM(LEFT(Main_Presentation[[#This Row],[Payment Terms]],3))</f>
        <v>90</v>
      </c>
      <c r="Z260" s="16"/>
      <c r="AA260" s="316" cm="1">
        <f t="array" ref="AA260">Settlement(Main_Presentation[[#This Row],[Bank]],Main_Presentation[[#This Row],[ Invoice Amt (SAR)]],Main_Presentation[[#This Row],[Date Recd]],Main_Presentation[[#This Row],[Due Date]],Main_Presentation[[#This Row],[Days]])</f>
        <v>1437.5</v>
      </c>
      <c r="AB260" s="16"/>
    </row>
    <row r="261" spans="1:28" ht="15.75" hidden="1" x14ac:dyDescent="0.25">
      <c r="A261" s="20" t="s">
        <v>536</v>
      </c>
      <c r="B261" s="15">
        <v>45733</v>
      </c>
      <c r="C261" s="26">
        <v>1</v>
      </c>
      <c r="D261" s="55" t="str">
        <f>VLOOKUP(Main_Presentation[[#This Row],[LC Number]],Main_Issuance[],3,0)</f>
        <v>Nadim Salhieh</v>
      </c>
      <c r="E261" s="16" t="s">
        <v>856</v>
      </c>
      <c r="F261" s="16" t="str">
        <f>VLOOKUP(Main_Presentation[[#This Row],[LC Number]],Main_Issuance[],5,0)</f>
        <v>Alinma</v>
      </c>
      <c r="G261" s="16" t="str">
        <f>VLOOKUP(Main_Presentation[[#This Row],[LC Number]],Main_Issuance[],6,0)</f>
        <v>KSP</v>
      </c>
      <c r="H261" s="16" t="str">
        <f>VLOOKUP(Main_Presentation[[#This Row],[LC Number]],Main_Issuance[],17,0)</f>
        <v>Credit</v>
      </c>
      <c r="I261" s="16" t="str">
        <f>VLOOKUP(Main_Presentation[[#This Row],[LC Number]],Main_Issuance[],7,0)</f>
        <v>LSI PROJECTS LIMITED</v>
      </c>
      <c r="J261" s="16" t="str">
        <f>VLOOKUP(Main_Presentation[[#This Row],[LC Number]],Main_Issuance[],8,0)</f>
        <v>MBL/ICAD</v>
      </c>
      <c r="K261" s="16" t="str">
        <f>VLOOKUP(Main_Presentation[[#This Row],[LC Number]],Main_Issuance[],9,0)</f>
        <v>KSP</v>
      </c>
      <c r="L261" s="16">
        <f>VLOOKUP(Main_Presentation[[#This Row],[LC Number]],Main_Issuance[],10,0)</f>
        <v>1020055</v>
      </c>
      <c r="M261" s="16" t="str">
        <f>VLOOKUP(Main_Presentation[[#This Row],[LC Number]],Main_Issuance[],11,0)</f>
        <v>GBP</v>
      </c>
      <c r="N261" s="86">
        <f>VLOOKUP(Main_Presentation[[#This Row],[LC Number]],Main_Issuance[],12,0)</f>
        <v>373015</v>
      </c>
      <c r="O261" s="16" t="s">
        <v>20</v>
      </c>
      <c r="P261" s="16" t="s">
        <v>857</v>
      </c>
      <c r="Q261" s="131">
        <v>250880.36</v>
      </c>
      <c r="R261" s="18">
        <v>5.0599999999999996</v>
      </c>
      <c r="S261" s="18">
        <f>Main_Presentation[[#This Row],[Invoice Amt (FCY)]]*Main_Presentation[[#This Row],[Rate]]</f>
        <v>1269454.6215999997</v>
      </c>
      <c r="T261" s="15">
        <v>45775</v>
      </c>
      <c r="U261" s="26" t="str">
        <f>VLOOKUP(Main_Presentation[[#This Row],[LC Number]],Main_Issuance[],18,0)</f>
        <v>60 Days from Shipment Date</v>
      </c>
      <c r="V261" s="21" t="s">
        <v>90</v>
      </c>
      <c r="W261" s="22" t="s">
        <v>378</v>
      </c>
      <c r="X261" s="16"/>
      <c r="Y261" s="234" t="str">
        <f>TRIM(LEFT(Main_Presentation[[#This Row],[Payment Terms]],3))</f>
        <v>60</v>
      </c>
      <c r="Z261" s="16"/>
      <c r="AA261" s="316" cm="1">
        <f t="array" ref="AA261">Settlement(Main_Presentation[[#This Row],[Bank]],Main_Presentation[[#This Row],[ Invoice Amt (SAR)]],Main_Presentation[[#This Row],[Date Recd]],Main_Presentation[[#This Row],[Due Date]],Main_Presentation[[#This Row],[Days]])</f>
        <v>1437.5</v>
      </c>
      <c r="AB261" s="16"/>
    </row>
    <row r="262" spans="1:28" ht="15.75" hidden="1" x14ac:dyDescent="0.25">
      <c r="A262" s="20" t="s">
        <v>663</v>
      </c>
      <c r="B262" s="15">
        <v>45733</v>
      </c>
      <c r="C262" s="26">
        <v>1</v>
      </c>
      <c r="D262" s="55" t="str">
        <f>VLOOKUP(Main_Presentation[[#This Row],[LC Number]],Main_Issuance[],3,0)</f>
        <v>Hassan Taleb</v>
      </c>
      <c r="E262" s="16" t="s">
        <v>858</v>
      </c>
      <c r="F262" s="16" t="str">
        <f>VLOOKUP(Main_Presentation[[#This Row],[LC Number]],Main_Issuance[],5,0)</f>
        <v>Alinma</v>
      </c>
      <c r="G262" s="16" t="str">
        <f>VLOOKUP(Main_Presentation[[#This Row],[LC Number]],Main_Issuance[],6,0)</f>
        <v>KSP</v>
      </c>
      <c r="H262" s="16" t="str">
        <f>VLOOKUP(Main_Presentation[[#This Row],[LC Number]],Main_Issuance[],17,0)</f>
        <v>Credit</v>
      </c>
      <c r="I262" s="16" t="str">
        <f>VLOOKUP(Main_Presentation[[#This Row],[LC Number]],Main_Issuance[],7,0)</f>
        <v>Kingdom Deserts Contracting Co.</v>
      </c>
      <c r="J262" s="16" t="str">
        <f>VLOOKUP(Main_Presentation[[#This Row],[LC Number]],Main_Issuance[],8,0)</f>
        <v>FIRST FIX</v>
      </c>
      <c r="K262" s="16" t="str">
        <f>VLOOKUP(Main_Presentation[[#This Row],[LC Number]],Main_Issuance[],9,0)</f>
        <v>KSP</v>
      </c>
      <c r="L262" s="16">
        <f>VLOOKUP(Main_Presentation[[#This Row],[LC Number]],Main_Issuance[],10,0)</f>
        <v>1020055</v>
      </c>
      <c r="M262" s="16" t="str">
        <f>VLOOKUP(Main_Presentation[[#This Row],[LC Number]],Main_Issuance[],11,0)</f>
        <v>SAR</v>
      </c>
      <c r="N262" s="86">
        <f>VLOOKUP(Main_Presentation[[#This Row],[LC Number]],Main_Issuance[],12,0)</f>
        <v>900400</v>
      </c>
      <c r="O262" s="16" t="s">
        <v>20</v>
      </c>
      <c r="P262" s="16" t="s">
        <v>857</v>
      </c>
      <c r="Q262" s="131">
        <v>900400</v>
      </c>
      <c r="R262" s="18">
        <v>1</v>
      </c>
      <c r="S262" s="131">
        <f>Main_Presentation[[#This Row],[Invoice Amt (FCY)]]*Main_Presentation[[#This Row],[Rate]]</f>
        <v>900400</v>
      </c>
      <c r="T262" s="15">
        <v>45809</v>
      </c>
      <c r="U262" s="26" t="str">
        <f>VLOOKUP(Main_Presentation[[#This Row],[LC Number]],Main_Issuance[],18,0)</f>
        <v>90 Days from Invoice Date</v>
      </c>
      <c r="V262" s="21" t="s">
        <v>22</v>
      </c>
      <c r="W262" s="22" t="s">
        <v>857</v>
      </c>
      <c r="X262" s="16"/>
      <c r="Y262" s="234" t="str">
        <f>TRIM(LEFT(Main_Presentation[[#This Row],[Payment Terms]],3))</f>
        <v>90</v>
      </c>
      <c r="Z262" s="16"/>
      <c r="AA262" s="316" cm="1">
        <f t="array" ref="AA262">Settlement(Main_Presentation[[#This Row],[Bank]],Main_Presentation[[#This Row],[ Invoice Amt (SAR)]],Main_Presentation[[#This Row],[Date Recd]],Main_Presentation[[#This Row],[Due Date]],Main_Presentation[[#This Row],[Days]])</f>
        <v>1437.5</v>
      </c>
      <c r="AB262" s="16"/>
    </row>
    <row r="263" spans="1:28" ht="15.75" hidden="1" x14ac:dyDescent="0.25">
      <c r="A263" s="20" t="s">
        <v>665</v>
      </c>
      <c r="B263" s="15">
        <v>45739</v>
      </c>
      <c r="C263" s="26">
        <v>1</v>
      </c>
      <c r="D263" s="55" t="str">
        <f>VLOOKUP(Main_Presentation[[#This Row],[LC Number]],Main_Issuance[],3,0)</f>
        <v>Hassan Taleb</v>
      </c>
      <c r="E263" s="16" t="s">
        <v>858</v>
      </c>
      <c r="F263" s="16" t="str">
        <f>VLOOKUP(Main_Presentation[[#This Row],[LC Number]],Main_Issuance[],5,0)</f>
        <v>Alinma</v>
      </c>
      <c r="G263" s="16" t="str">
        <f>VLOOKUP(Main_Presentation[[#This Row],[LC Number]],Main_Issuance[],6,0)</f>
        <v>KSP</v>
      </c>
      <c r="H263" s="16" t="str">
        <f>VLOOKUP(Main_Presentation[[#This Row],[LC Number]],Main_Issuance[],17,0)</f>
        <v>Credit</v>
      </c>
      <c r="I263" s="16" t="str">
        <f>VLOOKUP(Main_Presentation[[#This Row],[LC Number]],Main_Issuance[],7,0)</f>
        <v>MODERN HOUSING CONTRACTING CO.</v>
      </c>
      <c r="J263" s="16" t="str">
        <f>VLOOKUP(Main_Presentation[[#This Row],[LC Number]],Main_Issuance[],8,0)</f>
        <v>FIRST FIX</v>
      </c>
      <c r="K263" s="16" t="str">
        <f>VLOOKUP(Main_Presentation[[#This Row],[LC Number]],Main_Issuance[],9,0)</f>
        <v>KSP</v>
      </c>
      <c r="L263" s="16">
        <f>VLOOKUP(Main_Presentation[[#This Row],[LC Number]],Main_Issuance[],10,0)</f>
        <v>1020055</v>
      </c>
      <c r="M263" s="16" t="str">
        <f>VLOOKUP(Main_Presentation[[#This Row],[LC Number]],Main_Issuance[],11,0)</f>
        <v>SAR</v>
      </c>
      <c r="N263" s="86">
        <f>VLOOKUP(Main_Presentation[[#This Row],[LC Number]],Main_Issuance[],12,0)</f>
        <v>400000</v>
      </c>
      <c r="O263" s="16" t="s">
        <v>20</v>
      </c>
      <c r="P263" s="16" t="s">
        <v>857</v>
      </c>
      <c r="Q263" s="131">
        <v>400000</v>
      </c>
      <c r="R263" s="18">
        <v>1</v>
      </c>
      <c r="S263" s="131">
        <f>Main_Presentation[[#This Row],[Invoice Amt (FCY)]]*Main_Presentation[[#This Row],[Rate]]</f>
        <v>400000</v>
      </c>
      <c r="T263" s="15">
        <v>45809</v>
      </c>
      <c r="U263" s="26" t="str">
        <f>VLOOKUP(Main_Presentation[[#This Row],[LC Number]],Main_Issuance[],18,0)</f>
        <v>90 Days from Invoice Date</v>
      </c>
      <c r="V263" s="21" t="s">
        <v>22</v>
      </c>
      <c r="W263" s="22" t="s">
        <v>857</v>
      </c>
      <c r="X263" s="16"/>
      <c r="Y263" s="234" t="str">
        <f>TRIM(LEFT(Main_Presentation[[#This Row],[Payment Terms]],3))</f>
        <v>90</v>
      </c>
      <c r="Z263" s="16"/>
      <c r="AA263" s="316" cm="1">
        <f t="array" ref="AA263">Settlement(Main_Presentation[[#This Row],[Bank]],Main_Presentation[[#This Row],[ Invoice Amt (SAR)]],Main_Presentation[[#This Row],[Date Recd]],Main_Presentation[[#This Row],[Due Date]],Main_Presentation[[#This Row],[Days]])</f>
        <v>1437.5</v>
      </c>
      <c r="AB263" s="16"/>
    </row>
    <row r="264" spans="1:28" ht="15.75" hidden="1" x14ac:dyDescent="0.25">
      <c r="A264" s="40" t="s">
        <v>254</v>
      </c>
      <c r="B264" s="35">
        <v>45740</v>
      </c>
      <c r="C264" s="36">
        <v>20</v>
      </c>
      <c r="D264" s="55" t="str">
        <f>VLOOKUP(Main_Presentation[[#This Row],[LC Number]],Main_Issuance[],3,0)</f>
        <v>Mohammed Atef</v>
      </c>
      <c r="E264" s="33" t="s">
        <v>856</v>
      </c>
      <c r="F264" s="33" t="str">
        <f>VLOOKUP(Main_Presentation[[#This Row],[LC Number]],Main_Issuance[],5,0)</f>
        <v>Alinma</v>
      </c>
      <c r="G264" s="33" t="str">
        <f>VLOOKUP(Main_Presentation[[#This Row],[LC Number]],Main_Issuance[],6,0)</f>
        <v>KSP</v>
      </c>
      <c r="H264" s="33" t="str">
        <f>VLOOKUP(Main_Presentation[[#This Row],[LC Number]],Main_Issuance[],17,0)</f>
        <v>Credit</v>
      </c>
      <c r="I264" s="33" t="str">
        <f>VLOOKUP(Main_Presentation[[#This Row],[LC Number]],Main_Issuance[],7,0)</f>
        <v>BBH-CHEMTROL INTERNATIONAL ORGANIZATION S.L</v>
      </c>
      <c r="J264" s="33" t="str">
        <f>VLOOKUP(Main_Presentation[[#This Row],[LC Number]],Main_Issuance[],8,0)</f>
        <v>MBL/ICAD</v>
      </c>
      <c r="K264" s="33" t="str">
        <f>VLOOKUP(Main_Presentation[[#This Row],[LC Number]],Main_Issuance[],9,0)</f>
        <v>KSP</v>
      </c>
      <c r="L264" s="33">
        <f>VLOOKUP(Main_Presentation[[#This Row],[LC Number]],Main_Issuance[],10,0)</f>
        <v>1020055</v>
      </c>
      <c r="M264" s="33" t="str">
        <f>VLOOKUP(Main_Presentation[[#This Row],[LC Number]],Main_Issuance[],11,0)</f>
        <v>EUR</v>
      </c>
      <c r="N264" s="130">
        <f>VLOOKUP(Main_Presentation[[#This Row],[LC Number]],Main_Issuance[],12,0)</f>
        <v>8182985</v>
      </c>
      <c r="O264" s="33" t="s">
        <v>20</v>
      </c>
      <c r="P264" s="33" t="s">
        <v>857</v>
      </c>
      <c r="Q264" s="131">
        <v>94620.88</v>
      </c>
      <c r="R264" s="38">
        <v>4.32</v>
      </c>
      <c r="S264" s="38">
        <f>Main_Presentation[[#This Row],[Invoice Amt (FCY)]]*Main_Presentation[[#This Row],[Rate]]</f>
        <v>408762.20160000003</v>
      </c>
      <c r="T264" s="35">
        <v>45763</v>
      </c>
      <c r="U264" s="36" t="str">
        <f>VLOOKUP(Main_Presentation[[#This Row],[LC Number]],Main_Issuance[],18,0)</f>
        <v>30 Days from Shipment Date</v>
      </c>
      <c r="V264" s="41" t="s">
        <v>511</v>
      </c>
      <c r="W264" s="132" t="s">
        <v>378</v>
      </c>
      <c r="X264" s="33" t="s">
        <v>905</v>
      </c>
      <c r="Y264" s="234" t="str">
        <f>TRIM(LEFT(Main_Presentation[[#This Row],[Payment Terms]],3))</f>
        <v>30</v>
      </c>
      <c r="Z264" s="16"/>
      <c r="AA264" s="316" cm="1">
        <f t="array" ref="AA264">Settlement(Main_Presentation[[#This Row],[Bank]],Main_Presentation[[#This Row],[ Invoice Amt (SAR)]],Main_Presentation[[#This Row],[Date Recd]],Main_Presentation[[#This Row],[Due Date]],Main_Presentation[[#This Row],[Days]])</f>
        <v>1437.5</v>
      </c>
      <c r="AB264" s="16"/>
    </row>
    <row r="265" spans="1:28" ht="15.75" hidden="1" x14ac:dyDescent="0.25">
      <c r="A265" s="40" t="s">
        <v>254</v>
      </c>
      <c r="B265" s="35">
        <v>45742</v>
      </c>
      <c r="C265" s="36" t="s">
        <v>1307</v>
      </c>
      <c r="D265" s="55" t="str">
        <f>VLOOKUP(Main_Presentation[[#This Row],[LC Number]],Main_Issuance[],3,0)</f>
        <v>Mohammed Atef</v>
      </c>
      <c r="E265" s="33" t="s">
        <v>856</v>
      </c>
      <c r="F265" s="33" t="str">
        <f>VLOOKUP(Main_Presentation[[#This Row],[LC Number]],Main_Issuance[],5,0)</f>
        <v>Alinma</v>
      </c>
      <c r="G265" s="33" t="str">
        <f>VLOOKUP(Main_Presentation[[#This Row],[LC Number]],Main_Issuance[],6,0)</f>
        <v>KSP</v>
      </c>
      <c r="H265" s="33" t="str">
        <f>VLOOKUP(Main_Presentation[[#This Row],[LC Number]],Main_Issuance[],17,0)</f>
        <v>Credit</v>
      </c>
      <c r="I265" s="33" t="str">
        <f>VLOOKUP(Main_Presentation[[#This Row],[LC Number]],Main_Issuance[],7,0)</f>
        <v>BBH-CHEMTROL INTERNATIONAL ORGANIZATION S.L</v>
      </c>
      <c r="J265" s="33" t="str">
        <f>VLOOKUP(Main_Presentation[[#This Row],[LC Number]],Main_Issuance[],8,0)</f>
        <v>MBL/ICAD</v>
      </c>
      <c r="K265" s="33" t="str">
        <f>VLOOKUP(Main_Presentation[[#This Row],[LC Number]],Main_Issuance[],9,0)</f>
        <v>KSP</v>
      </c>
      <c r="L265" s="33">
        <f>VLOOKUP(Main_Presentation[[#This Row],[LC Number]],Main_Issuance[],10,0)</f>
        <v>1020055</v>
      </c>
      <c r="M265" s="33" t="str">
        <f>VLOOKUP(Main_Presentation[[#This Row],[LC Number]],Main_Issuance[],11,0)</f>
        <v>EUR</v>
      </c>
      <c r="N265" s="130">
        <f>VLOOKUP(Main_Presentation[[#This Row],[LC Number]],Main_Issuance[],12,0)</f>
        <v>8182985</v>
      </c>
      <c r="O265" s="33" t="s">
        <v>20</v>
      </c>
      <c r="P265" s="33" t="s">
        <v>857</v>
      </c>
      <c r="Q265" s="131">
        <f>180481.73-74768.52-67695.2</f>
        <v>38018.010000000009</v>
      </c>
      <c r="R265" s="38">
        <v>4.4000000000000004</v>
      </c>
      <c r="S265" s="38">
        <f>Main_Presentation[[#This Row],[Invoice Amt (FCY)]]*Main_Presentation[[#This Row],[Rate]]</f>
        <v>167279.24400000006</v>
      </c>
      <c r="T265" s="15">
        <v>45768</v>
      </c>
      <c r="U265" s="36" t="str">
        <f>VLOOKUP(Main_Presentation[[#This Row],[LC Number]],Main_Issuance[],18,0)</f>
        <v>30 Days from Shipment Date</v>
      </c>
      <c r="V265" s="41" t="s">
        <v>511</v>
      </c>
      <c r="W265" s="132" t="s">
        <v>378</v>
      </c>
      <c r="X265" s="33" t="s">
        <v>906</v>
      </c>
      <c r="Y265" s="234" t="str">
        <f>TRIM(LEFT(Main_Presentation[[#This Row],[Payment Terms]],3))</f>
        <v>30</v>
      </c>
      <c r="Z265" s="16"/>
      <c r="AA265" s="316" cm="1">
        <f t="array" ref="AA265">Settlement(Main_Presentation[[#This Row],[Bank]],Main_Presentation[[#This Row],[ Invoice Amt (SAR)]],Main_Presentation[[#This Row],[Date Recd]],Main_Presentation[[#This Row],[Due Date]],Main_Presentation[[#This Row],[Days]])</f>
        <v>1437.5</v>
      </c>
      <c r="AB265" s="16"/>
    </row>
    <row r="266" spans="1:28" ht="15.75" hidden="1" x14ac:dyDescent="0.25">
      <c r="A266" s="20" t="s">
        <v>656</v>
      </c>
      <c r="B266" s="15">
        <v>45742</v>
      </c>
      <c r="C266" s="26">
        <v>1</v>
      </c>
      <c r="D266" s="55" t="str">
        <f>VLOOKUP(Main_Presentation[[#This Row],[LC Number]],Main_Issuance[],3,0)</f>
        <v>Hassan Taleb</v>
      </c>
      <c r="E266" s="16" t="s">
        <v>856</v>
      </c>
      <c r="F266" s="16" t="str">
        <f>VLOOKUP(Main_Presentation[[#This Row],[LC Number]],Main_Issuance[],5,0)</f>
        <v>Alinma</v>
      </c>
      <c r="G266" s="16" t="str">
        <f>VLOOKUP(Main_Presentation[[#This Row],[LC Number]],Main_Issuance[],6,0)</f>
        <v>KSP</v>
      </c>
      <c r="H266" s="16" t="str">
        <f>VLOOKUP(Main_Presentation[[#This Row],[LC Number]],Main_Issuance[],17,0)</f>
        <v>Credit</v>
      </c>
      <c r="I266" s="16" t="str">
        <f>VLOOKUP(Main_Presentation[[#This Row],[LC Number]],Main_Issuance[],7,0)</f>
        <v>Electric House Trading Company L.L.C.</v>
      </c>
      <c r="J266" s="16" t="str">
        <f>VLOOKUP(Main_Presentation[[#This Row],[LC Number]],Main_Issuance[],8,0)</f>
        <v>FIRST FIX</v>
      </c>
      <c r="K266" s="16" t="str">
        <f>VLOOKUP(Main_Presentation[[#This Row],[LC Number]],Main_Issuance[],9,0)</f>
        <v>KSP</v>
      </c>
      <c r="L266" s="16">
        <f>VLOOKUP(Main_Presentation[[#This Row],[LC Number]],Main_Issuance[],10,0)</f>
        <v>1020055</v>
      </c>
      <c r="M266" s="16" t="str">
        <f>VLOOKUP(Main_Presentation[[#This Row],[LC Number]],Main_Issuance[],11,0)</f>
        <v>SAR</v>
      </c>
      <c r="N266" s="86">
        <f>VLOOKUP(Main_Presentation[[#This Row],[LC Number]],Main_Issuance[],12,0)</f>
        <v>400000</v>
      </c>
      <c r="O266" s="16" t="s">
        <v>20</v>
      </c>
      <c r="P266" s="16" t="s">
        <v>857</v>
      </c>
      <c r="Q266" s="131">
        <v>400000</v>
      </c>
      <c r="R266" s="18">
        <v>1</v>
      </c>
      <c r="S266" s="18">
        <f>Main_Presentation[[#This Row],[Invoice Amt (FCY)]]*Main_Presentation[[#This Row],[Rate]]</f>
        <v>400000</v>
      </c>
      <c r="T266" s="15">
        <v>45825</v>
      </c>
      <c r="U266" s="26" t="str">
        <f>VLOOKUP(Main_Presentation[[#This Row],[LC Number]],Main_Issuance[],18,0)</f>
        <v>90 Days from Invoice Date</v>
      </c>
      <c r="V266" s="21" t="s">
        <v>22</v>
      </c>
      <c r="W266" s="22" t="s">
        <v>857</v>
      </c>
      <c r="X266" s="16"/>
      <c r="Y266" s="234" t="str">
        <f>TRIM(LEFT(Main_Presentation[[#This Row],[Payment Terms]],3))</f>
        <v>90</v>
      </c>
      <c r="Z266" s="16"/>
      <c r="AA266" s="316" cm="1">
        <f t="array" ref="AA266">Settlement(Main_Presentation[[#This Row],[Bank]],Main_Presentation[[#This Row],[ Invoice Amt (SAR)]],Main_Presentation[[#This Row],[Date Recd]],Main_Presentation[[#This Row],[Due Date]],Main_Presentation[[#This Row],[Days]])</f>
        <v>1437.5</v>
      </c>
      <c r="AB266" s="16"/>
    </row>
    <row r="267" spans="1:28" ht="15.75" hidden="1" x14ac:dyDescent="0.25">
      <c r="A267" s="20" t="s">
        <v>626</v>
      </c>
      <c r="B267" s="15">
        <v>45743</v>
      </c>
      <c r="C267" s="26">
        <v>1</v>
      </c>
      <c r="D267" s="55" t="str">
        <f>VLOOKUP(Main_Presentation[[#This Row],[LC Number]],Main_Issuance[],3,0)</f>
        <v>Hassan Taleb</v>
      </c>
      <c r="E267" s="16" t="s">
        <v>856</v>
      </c>
      <c r="F267" s="16" t="str">
        <f>VLOOKUP(Main_Presentation[[#This Row],[LC Number]],Main_Issuance[],5,0)</f>
        <v>Alinma</v>
      </c>
      <c r="G267" s="16" t="str">
        <f>VLOOKUP(Main_Presentation[[#This Row],[LC Number]],Main_Issuance[],6,0)</f>
        <v>KSP</v>
      </c>
      <c r="H267" s="16" t="str">
        <f>VLOOKUP(Main_Presentation[[#This Row],[LC Number]],Main_Issuance[],17,0)</f>
        <v>Credit</v>
      </c>
      <c r="I267" s="16" t="str">
        <f>VLOOKUP(Main_Presentation[[#This Row],[LC Number]],Main_Issuance[],7,0)</f>
        <v>Power Center Company for Industries LLC</v>
      </c>
      <c r="J267" s="16" t="str">
        <f>VLOOKUP(Main_Presentation[[#This Row],[LC Number]],Main_Issuance[],8,0)</f>
        <v>FIRST FIX</v>
      </c>
      <c r="K267" s="16" t="str">
        <f>VLOOKUP(Main_Presentation[[#This Row],[LC Number]],Main_Issuance[],9,0)</f>
        <v>KSP</v>
      </c>
      <c r="L267" s="16">
        <f>VLOOKUP(Main_Presentation[[#This Row],[LC Number]],Main_Issuance[],10,0)</f>
        <v>1020055</v>
      </c>
      <c r="M267" s="16" t="str">
        <f>VLOOKUP(Main_Presentation[[#This Row],[LC Number]],Main_Issuance[],11,0)</f>
        <v>SAR</v>
      </c>
      <c r="N267" s="86">
        <f>VLOOKUP(Main_Presentation[[#This Row],[LC Number]],Main_Issuance[],12,0)</f>
        <v>2000000</v>
      </c>
      <c r="O267" s="16" t="s">
        <v>20</v>
      </c>
      <c r="P267" s="16" t="s">
        <v>857</v>
      </c>
      <c r="Q267" s="131">
        <v>2000000</v>
      </c>
      <c r="R267" s="18">
        <v>1</v>
      </c>
      <c r="S267" s="18">
        <f>Main_Presentation[[#This Row],[Invoice Amt (FCY)]]*Main_Presentation[[#This Row],[Rate]]</f>
        <v>2000000</v>
      </c>
      <c r="T267" s="15">
        <v>45825</v>
      </c>
      <c r="U267" s="26" t="str">
        <f>VLOOKUP(Main_Presentation[[#This Row],[LC Number]],Main_Issuance[],18,0)</f>
        <v>90 Days from Invoice Date</v>
      </c>
      <c r="V267" s="21" t="s">
        <v>22</v>
      </c>
      <c r="W267" s="22" t="s">
        <v>857</v>
      </c>
      <c r="X267" s="16"/>
      <c r="Y267" s="234" t="str">
        <f>TRIM(LEFT(Main_Presentation[[#This Row],[Payment Terms]],3))</f>
        <v>90</v>
      </c>
      <c r="Z267" s="16"/>
      <c r="AA267" s="316" cm="1">
        <f t="array" ref="AA267">Settlement(Main_Presentation[[#This Row],[Bank]],Main_Presentation[[#This Row],[ Invoice Amt (SAR)]],Main_Presentation[[#This Row],[Date Recd]],Main_Presentation[[#This Row],[Due Date]],Main_Presentation[[#This Row],[Days]])</f>
        <v>2875</v>
      </c>
      <c r="AB267" s="16"/>
    </row>
    <row r="268" spans="1:28" ht="15.75" hidden="1" x14ac:dyDescent="0.25">
      <c r="A268" s="20" t="s">
        <v>254</v>
      </c>
      <c r="B268" s="15">
        <v>45753</v>
      </c>
      <c r="C268" s="26">
        <v>22</v>
      </c>
      <c r="D268" s="55" t="str">
        <f>VLOOKUP(Main_Presentation[[#This Row],[LC Number]],Main_Issuance[],3,0)</f>
        <v>Mohammed Atef</v>
      </c>
      <c r="E268" s="16" t="s">
        <v>856</v>
      </c>
      <c r="F268" s="16" t="str">
        <f>VLOOKUP(Main_Presentation[[#This Row],[LC Number]],Main_Issuance[],5,0)</f>
        <v>Alinma</v>
      </c>
      <c r="G268" s="16" t="str">
        <f>VLOOKUP(Main_Presentation[[#This Row],[LC Number]],Main_Issuance[],6,0)</f>
        <v>KSP</v>
      </c>
      <c r="H268" s="16" t="str">
        <f>VLOOKUP(Main_Presentation[[#This Row],[LC Number]],Main_Issuance[],17,0)</f>
        <v>Credit</v>
      </c>
      <c r="I268" s="16" t="str">
        <f>VLOOKUP(Main_Presentation[[#This Row],[LC Number]],Main_Issuance[],7,0)</f>
        <v>BBH-CHEMTROL INTERNATIONAL ORGANIZATION S.L</v>
      </c>
      <c r="J268" s="16" t="str">
        <f>VLOOKUP(Main_Presentation[[#This Row],[LC Number]],Main_Issuance[],8,0)</f>
        <v>MBL/ICAD</v>
      </c>
      <c r="K268" s="16" t="str">
        <f>VLOOKUP(Main_Presentation[[#This Row],[LC Number]],Main_Issuance[],9,0)</f>
        <v>KSP</v>
      </c>
      <c r="L268" s="16">
        <f>VLOOKUP(Main_Presentation[[#This Row],[LC Number]],Main_Issuance[],10,0)</f>
        <v>1020055</v>
      </c>
      <c r="M268" s="16" t="str">
        <f>VLOOKUP(Main_Presentation[[#This Row],[LC Number]],Main_Issuance[],11,0)</f>
        <v>EUR</v>
      </c>
      <c r="N268" s="86">
        <f>VLOOKUP(Main_Presentation[[#This Row],[LC Number]],Main_Issuance[],12,0)</f>
        <v>8182985</v>
      </c>
      <c r="O268" s="33" t="s">
        <v>20</v>
      </c>
      <c r="P268" s="16" t="s">
        <v>857</v>
      </c>
      <c r="Q268" s="131">
        <v>233049.53</v>
      </c>
      <c r="R268" s="38">
        <v>4.4000000000000004</v>
      </c>
      <c r="S268" s="18">
        <f>Main_Presentation[[#This Row],[Invoice Amt (FCY)]]*Main_Presentation[[#This Row],[Rate]]</f>
        <v>1025417.932</v>
      </c>
      <c r="T268" s="15">
        <v>45768</v>
      </c>
      <c r="U268" s="26" t="str">
        <f>VLOOKUP(Main_Presentation[[#This Row],[LC Number]],Main_Issuance[],18,0)</f>
        <v>30 Days from Shipment Date</v>
      </c>
      <c r="V268" s="21" t="s">
        <v>613</v>
      </c>
      <c r="W268" s="22" t="s">
        <v>378</v>
      </c>
      <c r="X268" s="16" t="s">
        <v>1105</v>
      </c>
      <c r="Y268" s="234" t="str">
        <f>TRIM(LEFT(Main_Presentation[[#This Row],[Payment Terms]],3))</f>
        <v>30</v>
      </c>
      <c r="Z268" s="16"/>
      <c r="AA268" s="316" cm="1">
        <f t="array" ref="AA268">Settlement(Main_Presentation[[#This Row],[Bank]],Main_Presentation[[#This Row],[ Invoice Amt (SAR)]],Main_Presentation[[#This Row],[Date Recd]],Main_Presentation[[#This Row],[Due Date]],Main_Presentation[[#This Row],[Days]])</f>
        <v>1437.5</v>
      </c>
      <c r="AB268" s="16"/>
    </row>
    <row r="269" spans="1:28" ht="15.75" hidden="1" x14ac:dyDescent="0.25">
      <c r="A269" s="20" t="s">
        <v>590</v>
      </c>
      <c r="B269" s="15">
        <v>45753</v>
      </c>
      <c r="C269" s="26">
        <v>1</v>
      </c>
      <c r="D269" s="55" t="str">
        <f>VLOOKUP(Main_Presentation[[#This Row],[LC Number]],Main_Issuance[],3,0)</f>
        <v>Hassan Taleb</v>
      </c>
      <c r="E269" s="16" t="s">
        <v>856</v>
      </c>
      <c r="F269" s="16" t="str">
        <f>VLOOKUP(Main_Presentation[[#This Row],[LC Number]],Main_Issuance[],5,0)</f>
        <v>Alinma</v>
      </c>
      <c r="G269" s="16" t="str">
        <f>VLOOKUP(Main_Presentation[[#This Row],[LC Number]],Main_Issuance[],6,0)</f>
        <v>KSP</v>
      </c>
      <c r="H269" s="16" t="str">
        <f>VLOOKUP(Main_Presentation[[#This Row],[LC Number]],Main_Issuance[],17,0)</f>
        <v>Credit</v>
      </c>
      <c r="I269" s="16" t="str">
        <f>VLOOKUP(Main_Presentation[[#This Row],[LC Number]],Main_Issuance[],7,0)</f>
        <v>Optimal Engineering Solutions</v>
      </c>
      <c r="J269" s="16" t="str">
        <f>VLOOKUP(Main_Presentation[[#This Row],[LC Number]],Main_Issuance[],8,0)</f>
        <v>FIRST FIX</v>
      </c>
      <c r="K269" s="16" t="str">
        <f>VLOOKUP(Main_Presentation[[#This Row],[LC Number]],Main_Issuance[],9,0)</f>
        <v>KSP</v>
      </c>
      <c r="L269" s="16">
        <f>VLOOKUP(Main_Presentation[[#This Row],[LC Number]],Main_Issuance[],10,0)</f>
        <v>1020055</v>
      </c>
      <c r="M269" s="16" t="str">
        <f>VLOOKUP(Main_Presentation[[#This Row],[LC Number]],Main_Issuance[],11,0)</f>
        <v>SAR</v>
      </c>
      <c r="N269" s="86">
        <f>VLOOKUP(Main_Presentation[[#This Row],[LC Number]],Main_Issuance[],12,0)</f>
        <v>3000000</v>
      </c>
      <c r="O269" s="16" t="s">
        <v>20</v>
      </c>
      <c r="P269" s="16" t="s">
        <v>857</v>
      </c>
      <c r="Q269" s="131">
        <v>3000000</v>
      </c>
      <c r="R269" s="18">
        <v>1</v>
      </c>
      <c r="S269" s="18">
        <f>Main_Presentation[[#This Row],[Invoice Amt (FCY)]]*Main_Presentation[[#This Row],[Rate]]</f>
        <v>3000000</v>
      </c>
      <c r="T269" s="15">
        <v>45833</v>
      </c>
      <c r="U269" s="26" t="str">
        <f>VLOOKUP(Main_Presentation[[#This Row],[LC Number]],Main_Issuance[],18,0)</f>
        <v>90 Days from Invoice Date</v>
      </c>
      <c r="V269" s="21" t="s">
        <v>1271</v>
      </c>
      <c r="W269" s="22" t="s">
        <v>378</v>
      </c>
      <c r="X269" s="16"/>
      <c r="Y269" s="234" t="str">
        <f>TRIM(LEFT(Main_Presentation[[#This Row],[Payment Terms]],3))</f>
        <v>90</v>
      </c>
      <c r="Z269" s="16"/>
      <c r="AA269" s="316" cm="1">
        <f t="array" ref="AA269">Settlement(Main_Presentation[[#This Row],[Bank]],Main_Presentation[[#This Row],[ Invoice Amt (SAR)]],Main_Presentation[[#This Row],[Date Recd]],Main_Presentation[[#This Row],[Due Date]],Main_Presentation[[#This Row],[Days]])</f>
        <v>4312.5</v>
      </c>
      <c r="AB269" s="16"/>
    </row>
    <row r="270" spans="1:28" ht="15.75" hidden="1" x14ac:dyDescent="0.25">
      <c r="A270" s="129" t="s">
        <v>597</v>
      </c>
      <c r="B270" s="15">
        <v>45760</v>
      </c>
      <c r="C270" s="26">
        <v>1</v>
      </c>
      <c r="D270" s="55" t="str">
        <f>VLOOKUP(Main_Presentation[[#This Row],[LC Number]],Main_Issuance[],3,0)</f>
        <v>Hassan Taleb</v>
      </c>
      <c r="E270" s="16" t="s">
        <v>858</v>
      </c>
      <c r="F270" s="16" t="str">
        <f>VLOOKUP(Main_Presentation[[#This Row],[LC Number]],Main_Issuance[],5,0)</f>
        <v>Alinma</v>
      </c>
      <c r="G270" s="16" t="str">
        <f>VLOOKUP(Main_Presentation[[#This Row],[LC Number]],Main_Issuance[],6,0)</f>
        <v>KSP</v>
      </c>
      <c r="H270" s="16" t="str">
        <f>VLOOKUP(Main_Presentation[[#This Row],[LC Number]],Main_Issuance[],17,0)</f>
        <v>Credit</v>
      </c>
      <c r="I270" s="16" t="str">
        <f>VLOOKUP(Main_Presentation[[#This Row],[LC Number]],Main_Issuance[],7,0)</f>
        <v>ARABIAN INTERNATIONAL COMPANY</v>
      </c>
      <c r="J270" s="16" t="str">
        <f>VLOOKUP(Main_Presentation[[#This Row],[LC Number]],Main_Issuance[],8,0)</f>
        <v>FIRST FIX</v>
      </c>
      <c r="K270" s="16" t="str">
        <f>VLOOKUP(Main_Presentation[[#This Row],[LC Number]],Main_Issuance[],9,0)</f>
        <v>KSP</v>
      </c>
      <c r="L270" s="16">
        <f>VLOOKUP(Main_Presentation[[#This Row],[LC Number]],Main_Issuance[],10,0)</f>
        <v>1020055</v>
      </c>
      <c r="M270" s="16" t="str">
        <f>VLOOKUP(Main_Presentation[[#This Row],[LC Number]],Main_Issuance[],11,0)</f>
        <v>SAR</v>
      </c>
      <c r="N270" s="86">
        <f>VLOOKUP(Main_Presentation[[#This Row],[LC Number]],Main_Issuance[],12,0)</f>
        <v>500000</v>
      </c>
      <c r="O270" s="16" t="s">
        <v>20</v>
      </c>
      <c r="P270" s="16" t="s">
        <v>857</v>
      </c>
      <c r="Q270" s="131">
        <v>500000</v>
      </c>
      <c r="R270" s="18">
        <v>1</v>
      </c>
      <c r="S270" s="18">
        <f>Main_Presentation[[#This Row],[Invoice Amt (FCY)]]*Main_Presentation[[#This Row],[Rate]]</f>
        <v>500000</v>
      </c>
      <c r="T270" s="15">
        <v>45834</v>
      </c>
      <c r="U270" s="26" t="str">
        <f>VLOOKUP(Main_Presentation[[#This Row],[LC Number]],Main_Issuance[],18,0)</f>
        <v>90 Days from Invoice Date</v>
      </c>
      <c r="V270" s="21" t="s">
        <v>213</v>
      </c>
      <c r="W270" s="22" t="s">
        <v>378</v>
      </c>
      <c r="X270" s="16"/>
      <c r="Y270" s="234" t="str">
        <f>TRIM(LEFT(Main_Presentation[[#This Row],[Payment Terms]],3))</f>
        <v>90</v>
      </c>
      <c r="Z270" s="16"/>
      <c r="AA270" s="316" cm="1">
        <f t="array" ref="AA270">Settlement(Main_Presentation[[#This Row],[Bank]],Main_Presentation[[#This Row],[ Invoice Amt (SAR)]],Main_Presentation[[#This Row],[Date Recd]],Main_Presentation[[#This Row],[Due Date]],Main_Presentation[[#This Row],[Days]])</f>
        <v>1437.5</v>
      </c>
      <c r="AB270" s="16"/>
    </row>
    <row r="271" spans="1:28" ht="15.75" hidden="1" x14ac:dyDescent="0.25">
      <c r="A271" s="129" t="s">
        <v>647</v>
      </c>
      <c r="B271" s="137">
        <v>45781</v>
      </c>
      <c r="C271" s="138">
        <v>2</v>
      </c>
      <c r="D271" s="139" t="str">
        <f>VLOOKUP(Main_Presentation[[#This Row],[LC Number]],Main_Issuance[],3,0)</f>
        <v>Hassan Taleb</v>
      </c>
      <c r="E271" s="140" t="s">
        <v>858</v>
      </c>
      <c r="F271" s="140" t="str">
        <f>VLOOKUP(Main_Presentation[[#This Row],[LC Number]],Main_Issuance[],5,0)</f>
        <v>Alinma</v>
      </c>
      <c r="G271" s="140" t="str">
        <f>VLOOKUP(Main_Presentation[[#This Row],[LC Number]],Main_Issuance[],6,0)</f>
        <v>KSP</v>
      </c>
      <c r="H271" s="140" t="str">
        <f>VLOOKUP(Main_Presentation[[#This Row],[LC Number]],Main_Issuance[],17,0)</f>
        <v>Credit</v>
      </c>
      <c r="I271" s="140" t="str">
        <f>VLOOKUP(Main_Presentation[[#This Row],[LC Number]],Main_Issuance[],7,0)</f>
        <v>Jamil Ali Nasser Al-Zadjali Factory For Industry</v>
      </c>
      <c r="J271" s="140" t="str">
        <f>VLOOKUP(Main_Presentation[[#This Row],[LC Number]],Main_Issuance[],8,0)</f>
        <v>FIRST FIX</v>
      </c>
      <c r="K271" s="140" t="str">
        <f>VLOOKUP(Main_Presentation[[#This Row],[LC Number]],Main_Issuance[],9,0)</f>
        <v>KSP</v>
      </c>
      <c r="L271" s="140">
        <f>VLOOKUP(Main_Presentation[[#This Row],[LC Number]],Main_Issuance[],10,0)</f>
        <v>1020055</v>
      </c>
      <c r="M271" s="140" t="str">
        <f>VLOOKUP(Main_Presentation[[#This Row],[LC Number]],Main_Issuance[],11,0)</f>
        <v>SAR</v>
      </c>
      <c r="N271" s="141">
        <f>VLOOKUP(Main_Presentation[[#This Row],[LC Number]],Main_Issuance[],12,0)</f>
        <v>400000</v>
      </c>
      <c r="O271" s="140" t="s">
        <v>20</v>
      </c>
      <c r="P271" s="140" t="s">
        <v>857</v>
      </c>
      <c r="Q271" s="131">
        <v>250000</v>
      </c>
      <c r="R271" s="131">
        <v>1</v>
      </c>
      <c r="S271" s="131">
        <f>Main_Presentation[[#This Row],[Invoice Amt (FCY)]]*Main_Presentation[[#This Row],[Rate]]</f>
        <v>250000</v>
      </c>
      <c r="T271" s="137">
        <v>45827</v>
      </c>
      <c r="U271" s="138" t="str">
        <f>VLOOKUP(Main_Presentation[[#This Row],[LC Number]],Main_Issuance[],18,0)</f>
        <v>90 Days from Invoice Date</v>
      </c>
      <c r="V271" s="143" t="s">
        <v>22</v>
      </c>
      <c r="W271" s="145" t="s">
        <v>857</v>
      </c>
      <c r="X271" s="140"/>
      <c r="Y271" s="400" t="str">
        <f>TRIM(LEFT(Main_Presentation[[#This Row],[Payment Terms]],3))</f>
        <v>90</v>
      </c>
      <c r="Z271" s="140"/>
      <c r="AA271" s="316" cm="1">
        <f t="array" ref="AA271">Settlement(Main_Presentation[[#This Row],[Bank]],Main_Presentation[[#This Row],[ Invoice Amt (SAR)]],Main_Presentation[[#This Row],[Date Recd]],Main_Presentation[[#This Row],[Due Date]],Main_Presentation[[#This Row],[Days]])</f>
        <v>1437.5</v>
      </c>
      <c r="AB271" s="140"/>
    </row>
    <row r="272" spans="1:28" ht="15.75" hidden="1" x14ac:dyDescent="0.25">
      <c r="A272" s="129" t="s">
        <v>652</v>
      </c>
      <c r="B272" s="15">
        <v>45756</v>
      </c>
      <c r="C272" s="26">
        <v>1</v>
      </c>
      <c r="D272" s="55" t="str">
        <f>VLOOKUP(Main_Presentation[[#This Row],[LC Number]],Main_Issuance[],3,0)</f>
        <v>Hassan Taleb</v>
      </c>
      <c r="E272" s="16" t="s">
        <v>856</v>
      </c>
      <c r="F272" s="16" t="str">
        <f>VLOOKUP(Main_Presentation[[#This Row],[LC Number]],Main_Issuance[],5,0)</f>
        <v>Alinma</v>
      </c>
      <c r="G272" s="16" t="str">
        <f>VLOOKUP(Main_Presentation[[#This Row],[LC Number]],Main_Issuance[],6,0)</f>
        <v>KSP</v>
      </c>
      <c r="H272" s="16" t="str">
        <f>VLOOKUP(Main_Presentation[[#This Row],[LC Number]],Main_Issuance[],17,0)</f>
        <v>Credit</v>
      </c>
      <c r="I272" s="16" t="str">
        <f>VLOOKUP(Main_Presentation[[#This Row],[LC Number]],Main_Issuance[],7,0)</f>
        <v>ALFANAR ELECTRICAL SYSTEMS.</v>
      </c>
      <c r="J272" s="16" t="str">
        <f>VLOOKUP(Main_Presentation[[#This Row],[LC Number]],Main_Issuance[],8,0)</f>
        <v>FIRST FIX</v>
      </c>
      <c r="K272" s="16" t="str">
        <f>VLOOKUP(Main_Presentation[[#This Row],[LC Number]],Main_Issuance[],9,0)</f>
        <v>KSP</v>
      </c>
      <c r="L272" s="16">
        <f>VLOOKUP(Main_Presentation[[#This Row],[LC Number]],Main_Issuance[],10,0)</f>
        <v>1020055</v>
      </c>
      <c r="M272" s="16" t="str">
        <f>VLOOKUP(Main_Presentation[[#This Row],[LC Number]],Main_Issuance[],11,0)</f>
        <v>SAR</v>
      </c>
      <c r="N272" s="86">
        <f>VLOOKUP(Main_Presentation[[#This Row],[LC Number]],Main_Issuance[],12,0)</f>
        <v>1500000</v>
      </c>
      <c r="O272" s="16" t="s">
        <v>20</v>
      </c>
      <c r="P272" s="16" t="s">
        <v>857</v>
      </c>
      <c r="Q272" s="131">
        <v>280239.99</v>
      </c>
      <c r="R272" s="18">
        <v>1</v>
      </c>
      <c r="S272" s="18">
        <f>Main_Presentation[[#This Row],[Invoice Amt (FCY)]]*Main_Presentation[[#This Row],[Rate]]</f>
        <v>280239.99</v>
      </c>
      <c r="T272" s="15">
        <v>45825</v>
      </c>
      <c r="U272" s="26" t="str">
        <f>VLOOKUP(Main_Presentation[[#This Row],[LC Number]],Main_Issuance[],18,0)</f>
        <v>90 Days from Invoice Date</v>
      </c>
      <c r="V272" s="21" t="s">
        <v>22</v>
      </c>
      <c r="W272" s="22" t="s">
        <v>857</v>
      </c>
      <c r="X272" s="16"/>
      <c r="Y272" s="234" t="str">
        <f>TRIM(LEFT(Main_Presentation[[#This Row],[Payment Terms]],3))</f>
        <v>90</v>
      </c>
      <c r="Z272" s="16"/>
      <c r="AA272" s="316" cm="1">
        <f t="array" ref="AA272">Settlement(Main_Presentation[[#This Row],[Bank]],Main_Presentation[[#This Row],[ Invoice Amt (SAR)]],Main_Presentation[[#This Row],[Date Recd]],Main_Presentation[[#This Row],[Due Date]],Main_Presentation[[#This Row],[Days]])</f>
        <v>1437.5</v>
      </c>
      <c r="AB272" s="16"/>
    </row>
    <row r="273" spans="1:28" ht="15.75" hidden="1" x14ac:dyDescent="0.25">
      <c r="A273" s="129" t="s">
        <v>588</v>
      </c>
      <c r="B273" s="15">
        <v>45764</v>
      </c>
      <c r="C273" s="26">
        <v>2</v>
      </c>
      <c r="D273" s="55" t="str">
        <f>VLOOKUP(Main_Presentation[[#This Row],[LC Number]],Main_Issuance[],3,0)</f>
        <v>Hassan Taleb</v>
      </c>
      <c r="E273" s="16" t="s">
        <v>858</v>
      </c>
      <c r="F273" s="16" t="str">
        <f>VLOOKUP(Main_Presentation[[#This Row],[LC Number]],Main_Issuance[],5,0)</f>
        <v>Alinma</v>
      </c>
      <c r="G273" s="16" t="str">
        <f>VLOOKUP(Main_Presentation[[#This Row],[LC Number]],Main_Issuance[],6,0)</f>
        <v>KSP</v>
      </c>
      <c r="H273" s="16" t="str">
        <f>VLOOKUP(Main_Presentation[[#This Row],[LC Number]],Main_Issuance[],17,0)</f>
        <v>Credit</v>
      </c>
      <c r="I273" s="16" t="str">
        <f>VLOOKUP(Main_Presentation[[#This Row],[LC Number]],Main_Issuance[],7,0)</f>
        <v>Huda Lighting LLC Co</v>
      </c>
      <c r="J273" s="16" t="str">
        <f>VLOOKUP(Main_Presentation[[#This Row],[LC Number]],Main_Issuance[],8,0)</f>
        <v>FIRST FIX</v>
      </c>
      <c r="K273" s="16" t="str">
        <f>VLOOKUP(Main_Presentation[[#This Row],[LC Number]],Main_Issuance[],9,0)</f>
        <v>KSP</v>
      </c>
      <c r="L273" s="16">
        <f>VLOOKUP(Main_Presentation[[#This Row],[LC Number]],Main_Issuance[],10,0)</f>
        <v>1020055</v>
      </c>
      <c r="M273" s="16" t="str">
        <f>VLOOKUP(Main_Presentation[[#This Row],[LC Number]],Main_Issuance[],11,0)</f>
        <v>SAR</v>
      </c>
      <c r="N273" s="86">
        <f>VLOOKUP(Main_Presentation[[#This Row],[LC Number]],Main_Issuance[],12,0)</f>
        <v>2000000</v>
      </c>
      <c r="O273" s="16" t="s">
        <v>20</v>
      </c>
      <c r="P273" s="16" t="s">
        <v>857</v>
      </c>
      <c r="Q273" s="131">
        <v>262166</v>
      </c>
      <c r="R273" s="18">
        <v>1</v>
      </c>
      <c r="S273" s="18">
        <f>Main_Presentation[[#This Row],[Invoice Amt (FCY)]]*Main_Presentation[[#This Row],[Rate]]</f>
        <v>262166</v>
      </c>
      <c r="T273" s="15">
        <v>45825</v>
      </c>
      <c r="U273" s="26" t="str">
        <f>VLOOKUP(Main_Presentation[[#This Row],[LC Number]],Main_Issuance[],18,0)</f>
        <v>90 Days from Invoice Date</v>
      </c>
      <c r="V273" s="21" t="s">
        <v>22</v>
      </c>
      <c r="W273" s="22" t="s">
        <v>857</v>
      </c>
      <c r="X273" s="16"/>
      <c r="Y273" s="234" t="str">
        <f>TRIM(LEFT(Main_Presentation[[#This Row],[Payment Terms]],3))</f>
        <v>90</v>
      </c>
      <c r="Z273" s="16"/>
      <c r="AA273" s="316" cm="1">
        <f t="array" ref="AA273">Settlement(Main_Presentation[[#This Row],[Bank]],Main_Presentation[[#This Row],[ Invoice Amt (SAR)]],Main_Presentation[[#This Row],[Date Recd]],Main_Presentation[[#This Row],[Due Date]],Main_Presentation[[#This Row],[Days]])</f>
        <v>1437.5</v>
      </c>
      <c r="AB273" s="16"/>
    </row>
    <row r="274" spans="1:28" ht="15.75" hidden="1" x14ac:dyDescent="0.25">
      <c r="A274" s="129" t="s">
        <v>584</v>
      </c>
      <c r="B274" s="15">
        <v>45767</v>
      </c>
      <c r="C274" s="26">
        <v>2</v>
      </c>
      <c r="D274" s="55" t="str">
        <f>VLOOKUP(Main_Presentation[[#This Row],[LC Number]],Main_Issuance[],3,0)</f>
        <v>Hassan Taleb</v>
      </c>
      <c r="E274" s="16" t="s">
        <v>858</v>
      </c>
      <c r="F274" s="16" t="str">
        <f>VLOOKUP(Main_Presentation[[#This Row],[LC Number]],Main_Issuance[],5,0)</f>
        <v>Alinma</v>
      </c>
      <c r="G274" s="16" t="str">
        <f>VLOOKUP(Main_Presentation[[#This Row],[LC Number]],Main_Issuance[],6,0)</f>
        <v>KSP</v>
      </c>
      <c r="H274" s="16" t="str">
        <f>VLOOKUP(Main_Presentation[[#This Row],[LC Number]],Main_Issuance[],17,0)</f>
        <v>Credit</v>
      </c>
      <c r="I274" s="16" t="str">
        <f>VLOOKUP(Main_Presentation[[#This Row],[LC Number]],Main_Issuance[],7,0)</f>
        <v>ALFANAR ELECTRICAL SYSTEMS.</v>
      </c>
      <c r="J274" s="16" t="str">
        <f>VLOOKUP(Main_Presentation[[#This Row],[LC Number]],Main_Issuance[],8,0)</f>
        <v>FIRST FIX</v>
      </c>
      <c r="K274" s="16" t="str">
        <f>VLOOKUP(Main_Presentation[[#This Row],[LC Number]],Main_Issuance[],9,0)</f>
        <v>KSP</v>
      </c>
      <c r="L274" s="16">
        <f>VLOOKUP(Main_Presentation[[#This Row],[LC Number]],Main_Issuance[],10,0)</f>
        <v>1020055</v>
      </c>
      <c r="M274" s="16" t="str">
        <f>VLOOKUP(Main_Presentation[[#This Row],[LC Number]],Main_Issuance[],11,0)</f>
        <v>SAR</v>
      </c>
      <c r="N274" s="86">
        <f>VLOOKUP(Main_Presentation[[#This Row],[LC Number]],Main_Issuance[],12,0)</f>
        <v>3000000</v>
      </c>
      <c r="O274" s="16" t="s">
        <v>20</v>
      </c>
      <c r="P274" s="16" t="s">
        <v>857</v>
      </c>
      <c r="Q274" s="131">
        <v>54536.47</v>
      </c>
      <c r="R274" s="18">
        <v>1</v>
      </c>
      <c r="S274" s="18">
        <f>Main_Presentation[[#This Row],[Invoice Amt (FCY)]]*Main_Presentation[[#This Row],[Rate]]</f>
        <v>54536.47</v>
      </c>
      <c r="T274" s="15">
        <v>45825</v>
      </c>
      <c r="U274" s="26" t="str">
        <f>VLOOKUP(Main_Presentation[[#This Row],[LC Number]],Main_Issuance[],18,0)</f>
        <v>90 Days from Invoice Date</v>
      </c>
      <c r="V274" s="21" t="s">
        <v>22</v>
      </c>
      <c r="W274" s="22" t="s">
        <v>857</v>
      </c>
      <c r="X274" s="16"/>
      <c r="Y274" s="234" t="str">
        <f>TRIM(LEFT(Main_Presentation[[#This Row],[Payment Terms]],3))</f>
        <v>90</v>
      </c>
      <c r="Z274" s="16"/>
      <c r="AA274" s="316" cm="1">
        <f t="array" ref="AA274">Settlement(Main_Presentation[[#This Row],[Bank]],Main_Presentation[[#This Row],[ Invoice Amt (SAR)]],Main_Presentation[[#This Row],[Date Recd]],Main_Presentation[[#This Row],[Due Date]],Main_Presentation[[#This Row],[Days]])</f>
        <v>1437.5</v>
      </c>
      <c r="AB274" s="16"/>
    </row>
    <row r="275" spans="1:28" ht="15.75" hidden="1" x14ac:dyDescent="0.25">
      <c r="A275" s="20" t="s">
        <v>516</v>
      </c>
      <c r="B275" s="15">
        <v>45678</v>
      </c>
      <c r="C275" s="26" t="s">
        <v>1300</v>
      </c>
      <c r="D275" s="55" t="str">
        <f>VLOOKUP(Main_Presentation[[#This Row],[LC Number]],Main_Issuance[],3,0)</f>
        <v>Hassan Taleb</v>
      </c>
      <c r="E275" s="16" t="s">
        <v>856</v>
      </c>
      <c r="F275" s="17" t="str">
        <f>VLOOKUP(Main_Presentation[[#This Row],[LC Number]],Main_Issuance[],5,0)</f>
        <v>Alinma</v>
      </c>
      <c r="G275" s="17" t="str">
        <f>VLOOKUP(Main_Presentation[[#This Row],[LC Number]],Main_Issuance[],6,0)</f>
        <v>KSP</v>
      </c>
      <c r="H275" s="17" t="str">
        <f>VLOOKUP(Main_Presentation[[#This Row],[LC Number]],Main_Issuance[],17,0)</f>
        <v>Credit</v>
      </c>
      <c r="I275" s="17" t="str">
        <f>VLOOKUP(Main_Presentation[[#This Row],[LC Number]],Main_Issuance[],7,0)</f>
        <v>Al Mabani Al Umumiyyah Ltd</v>
      </c>
      <c r="J275" s="17" t="str">
        <f>VLOOKUP(Main_Presentation[[#This Row],[LC Number]],Main_Issuance[],8,0)</f>
        <v>FIRST FIX</v>
      </c>
      <c r="K275" s="17" t="str">
        <f>VLOOKUP(Main_Presentation[[#This Row],[LC Number]],Main_Issuance[],9,0)</f>
        <v>KSP</v>
      </c>
      <c r="L275" s="17">
        <f>VLOOKUP(Main_Presentation[[#This Row],[LC Number]],Main_Issuance[],10,0)</f>
        <v>1020055</v>
      </c>
      <c r="M275" s="17" t="str">
        <f>VLOOKUP(Main_Presentation[[#This Row],[LC Number]],Main_Issuance[],11,0)</f>
        <v>SAR</v>
      </c>
      <c r="N275" s="84">
        <f>VLOOKUP(Main_Presentation[[#This Row],[LC Number]],Main_Issuance[],12,0)</f>
        <v>1500000</v>
      </c>
      <c r="O275" s="16" t="s">
        <v>20</v>
      </c>
      <c r="P275" s="16" t="s">
        <v>857</v>
      </c>
      <c r="Q275" s="131">
        <f>1500000-1000000</f>
        <v>500000</v>
      </c>
      <c r="R275" s="18">
        <v>1</v>
      </c>
      <c r="S275" s="18">
        <f>Main_Presentation[[#This Row],[Invoice Amt (FCY)]]*Main_Presentation[[#This Row],[Rate]]</f>
        <v>500000</v>
      </c>
      <c r="T275" s="15">
        <v>45757</v>
      </c>
      <c r="U275" s="26" t="str">
        <f>VLOOKUP(Main_Presentation[[#This Row],[LC Number]],Main_Issuance[],18,0)</f>
        <v>90 Days from Invoice Date</v>
      </c>
      <c r="V275" s="21" t="s">
        <v>90</v>
      </c>
      <c r="W275" s="22" t="s">
        <v>378</v>
      </c>
      <c r="X275" s="16"/>
      <c r="Y275" s="234" t="str">
        <f>TRIM(LEFT(Main_Presentation[[#This Row],[Payment Terms]],3))</f>
        <v>90</v>
      </c>
      <c r="Z275" s="16"/>
      <c r="AA275" s="316" cm="1">
        <f t="array" ref="AA275">Settlement(Main_Presentation[[#This Row],[Bank]],Main_Presentation[[#This Row],[ Invoice Amt (SAR)]],Main_Presentation[[#This Row],[Date Recd]],Main_Presentation[[#This Row],[Due Date]],Main_Presentation[[#This Row],[Days]])</f>
        <v>1437.5</v>
      </c>
      <c r="AB275" s="16"/>
    </row>
    <row r="276" spans="1:28" ht="15.75" hidden="1" x14ac:dyDescent="0.25">
      <c r="A276" s="20" t="s">
        <v>652</v>
      </c>
      <c r="B276" s="15">
        <v>45777</v>
      </c>
      <c r="C276" s="26">
        <v>2</v>
      </c>
      <c r="D276" s="55" t="str">
        <f>VLOOKUP(Main_Presentation[[#This Row],[LC Number]],Main_Issuance[],3,0)</f>
        <v>Hassan Taleb</v>
      </c>
      <c r="E276" s="16" t="s">
        <v>856</v>
      </c>
      <c r="F276" s="16" t="str">
        <f>VLOOKUP(Main_Presentation[[#This Row],[LC Number]],Main_Issuance[],5,0)</f>
        <v>Alinma</v>
      </c>
      <c r="G276" s="16" t="str">
        <f>VLOOKUP(Main_Presentation[[#This Row],[LC Number]],Main_Issuance[],6,0)</f>
        <v>KSP</v>
      </c>
      <c r="H276" s="16" t="str">
        <f>VLOOKUP(Main_Presentation[[#This Row],[LC Number]],Main_Issuance[],17,0)</f>
        <v>Credit</v>
      </c>
      <c r="I276" s="16" t="str">
        <f>VLOOKUP(Main_Presentation[[#This Row],[LC Number]],Main_Issuance[],7,0)</f>
        <v>ALFANAR ELECTRICAL SYSTEMS.</v>
      </c>
      <c r="J276" s="16" t="str">
        <f>VLOOKUP(Main_Presentation[[#This Row],[LC Number]],Main_Issuance[],8,0)</f>
        <v>FIRST FIX</v>
      </c>
      <c r="K276" s="16" t="str">
        <f>VLOOKUP(Main_Presentation[[#This Row],[LC Number]],Main_Issuance[],9,0)</f>
        <v>KSP</v>
      </c>
      <c r="L276" s="16">
        <f>VLOOKUP(Main_Presentation[[#This Row],[LC Number]],Main_Issuance[],10,0)</f>
        <v>1020055</v>
      </c>
      <c r="M276" s="16" t="str">
        <f>VLOOKUP(Main_Presentation[[#This Row],[LC Number]],Main_Issuance[],11,0)</f>
        <v>SAR</v>
      </c>
      <c r="N276" s="86">
        <f>VLOOKUP(Main_Presentation[[#This Row],[LC Number]],Main_Issuance[],12,0)</f>
        <v>1500000</v>
      </c>
      <c r="O276" s="16" t="s">
        <v>20</v>
      </c>
      <c r="P276" s="16" t="s">
        <v>857</v>
      </c>
      <c r="Q276" s="131">
        <v>1177628.78</v>
      </c>
      <c r="R276" s="18">
        <v>1</v>
      </c>
      <c r="S276" s="18">
        <f>Main_Presentation[[#This Row],[Invoice Amt (FCY)]]*Main_Presentation[[#This Row],[Rate]]</f>
        <v>1177628.78</v>
      </c>
      <c r="T276" s="15">
        <v>45859</v>
      </c>
      <c r="U276" s="26" t="str">
        <f>VLOOKUP(Main_Presentation[[#This Row],[LC Number]],Main_Issuance[],18,0)</f>
        <v>90 Days from Invoice Date</v>
      </c>
      <c r="V276" s="21" t="s">
        <v>22</v>
      </c>
      <c r="W276" s="22" t="s">
        <v>857</v>
      </c>
      <c r="X276" s="16"/>
      <c r="Y276" s="234" t="str">
        <f>TRIM(LEFT(Main_Presentation[[#This Row],[Payment Terms]],3))</f>
        <v>90</v>
      </c>
      <c r="Z276" s="16"/>
      <c r="AA276" s="316" cm="1">
        <f t="array" ref="AA276">Settlement(Main_Presentation[[#This Row],[Bank]],Main_Presentation[[#This Row],[ Invoice Amt (SAR)]],Main_Presentation[[#This Row],[Date Recd]],Main_Presentation[[#This Row],[Due Date]],Main_Presentation[[#This Row],[Days]])</f>
        <v>1692.8</v>
      </c>
      <c r="AB276" s="16"/>
    </row>
    <row r="277" spans="1:28" ht="15.75" hidden="1" x14ac:dyDescent="0.25">
      <c r="A277" s="20" t="s">
        <v>792</v>
      </c>
      <c r="B277" s="15">
        <v>45763</v>
      </c>
      <c r="C277" s="26">
        <v>1</v>
      </c>
      <c r="D277" s="55" t="str">
        <f>VLOOKUP(Main_Presentation[[#This Row],[LC Number]],Main_Issuance[],3,0)</f>
        <v>Hassan Taleb</v>
      </c>
      <c r="E277" s="16" t="s">
        <v>858</v>
      </c>
      <c r="F277" s="16" t="str">
        <f>VLOOKUP(Main_Presentation[[#This Row],[LC Number]],Main_Issuance[],5,0)</f>
        <v>Alinma</v>
      </c>
      <c r="G277" s="16" t="str">
        <f>VLOOKUP(Main_Presentation[[#This Row],[LC Number]],Main_Issuance[],6,0)</f>
        <v>KSP</v>
      </c>
      <c r="H277" s="16" t="str">
        <f>VLOOKUP(Main_Presentation[[#This Row],[LC Number]],Main_Issuance[],17,0)</f>
        <v>Credit</v>
      </c>
      <c r="I277" s="16" t="str">
        <f>VLOOKUP(Main_Presentation[[#This Row],[LC Number]],Main_Issuance[],7,0)</f>
        <v>DEPTH MODERN TECHNOLOGIES.</v>
      </c>
      <c r="J277" s="16" t="str">
        <f>VLOOKUP(Main_Presentation[[#This Row],[LC Number]],Main_Issuance[],8,0)</f>
        <v>FIRST FIX</v>
      </c>
      <c r="K277" s="16" t="str">
        <f>VLOOKUP(Main_Presentation[[#This Row],[LC Number]],Main_Issuance[],9,0)</f>
        <v>KSP</v>
      </c>
      <c r="L277" s="16">
        <f>VLOOKUP(Main_Presentation[[#This Row],[LC Number]],Main_Issuance[],10,0)</f>
        <v>1020055</v>
      </c>
      <c r="M277" s="16" t="str">
        <f>VLOOKUP(Main_Presentation[[#This Row],[LC Number]],Main_Issuance[],11,0)</f>
        <v>SAR</v>
      </c>
      <c r="N277" s="86">
        <f>VLOOKUP(Main_Presentation[[#This Row],[LC Number]],Main_Issuance[],12,0)</f>
        <v>3000000</v>
      </c>
      <c r="O277" s="16" t="s">
        <v>20</v>
      </c>
      <c r="P277" s="16" t="s">
        <v>857</v>
      </c>
      <c r="Q277" s="131">
        <v>3000000</v>
      </c>
      <c r="R277" s="18">
        <v>1</v>
      </c>
      <c r="S277" s="18">
        <f>Main_Presentation[[#This Row],[Invoice Amt (FCY)]]*Main_Presentation[[#This Row],[Rate]]</f>
        <v>3000000</v>
      </c>
      <c r="T277" s="15">
        <v>45851</v>
      </c>
      <c r="U277" s="26" t="str">
        <f>VLOOKUP(Main_Presentation[[#This Row],[LC Number]],Main_Issuance[],18,0)</f>
        <v>90 Days from Invoice Date</v>
      </c>
      <c r="V277" s="21" t="s">
        <v>90</v>
      </c>
      <c r="W277" s="22" t="s">
        <v>378</v>
      </c>
      <c r="X277" s="16"/>
      <c r="Y277" s="234" t="str">
        <f>TRIM(LEFT(Main_Presentation[[#This Row],[Payment Terms]],3))</f>
        <v>90</v>
      </c>
      <c r="Z277" s="16"/>
      <c r="AA277" s="316" cm="1">
        <f t="array" ref="AA277">Settlement(Main_Presentation[[#This Row],[Bank]],Main_Presentation[[#This Row],[ Invoice Amt (SAR)]],Main_Presentation[[#This Row],[Date Recd]],Main_Presentation[[#This Row],[Due Date]],Main_Presentation[[#This Row],[Days]])</f>
        <v>4312.5</v>
      </c>
      <c r="AB277" s="16"/>
    </row>
    <row r="278" spans="1:28" ht="15.75" hidden="1" x14ac:dyDescent="0.25">
      <c r="A278" s="20" t="s">
        <v>522</v>
      </c>
      <c r="B278" s="15">
        <v>45680</v>
      </c>
      <c r="C278" s="26" t="s">
        <v>1300</v>
      </c>
      <c r="D278" s="55" t="str">
        <f>VLOOKUP(Main_Presentation[[#This Row],[LC Number]],Main_Issuance[],3,0)</f>
        <v>Hassan Taleb</v>
      </c>
      <c r="E278" s="16" t="s">
        <v>856</v>
      </c>
      <c r="F278" s="17" t="str">
        <f>VLOOKUP(Main_Presentation[[#This Row],[LC Number]],Main_Issuance[],5,0)</f>
        <v>Alinma</v>
      </c>
      <c r="G278" s="17" t="str">
        <f>VLOOKUP(Main_Presentation[[#This Row],[LC Number]],Main_Issuance[],6,0)</f>
        <v>KSP</v>
      </c>
      <c r="H278" s="17" t="str">
        <f>VLOOKUP(Main_Presentation[[#This Row],[LC Number]],Main_Issuance[],17,0)</f>
        <v>Credit</v>
      </c>
      <c r="I278" s="17" t="str">
        <f>VLOOKUP(Main_Presentation[[#This Row],[LC Number]],Main_Issuance[],7,0)</f>
        <v>Johnson Controls Arabia Limited</v>
      </c>
      <c r="J278" s="17" t="str">
        <f>VLOOKUP(Main_Presentation[[#This Row],[LC Number]],Main_Issuance[],8,0)</f>
        <v>FIRST FIX</v>
      </c>
      <c r="K278" s="17" t="str">
        <f>VLOOKUP(Main_Presentation[[#This Row],[LC Number]],Main_Issuance[],9,0)</f>
        <v>KSP</v>
      </c>
      <c r="L278" s="17">
        <f>VLOOKUP(Main_Presentation[[#This Row],[LC Number]],Main_Issuance[],10,0)</f>
        <v>1020055</v>
      </c>
      <c r="M278" s="17" t="str">
        <f>VLOOKUP(Main_Presentation[[#This Row],[LC Number]],Main_Issuance[],11,0)</f>
        <v>SAR</v>
      </c>
      <c r="N278" s="86">
        <f>VLOOKUP(Main_Presentation[[#This Row],[LC Number]],Main_Issuance[],12,0)</f>
        <v>2500000</v>
      </c>
      <c r="O278" s="16" t="s">
        <v>20</v>
      </c>
      <c r="P278" s="16" t="s">
        <v>857</v>
      </c>
      <c r="Q278" s="131">
        <f>2500000-654000-1683000</f>
        <v>163000</v>
      </c>
      <c r="R278" s="18">
        <v>1</v>
      </c>
      <c r="S278" s="18">
        <f>Main_Presentation[[#This Row],[Invoice Amt (FCY)]]*Main_Presentation[[#This Row],[Rate]]</f>
        <v>163000</v>
      </c>
      <c r="T278" s="15">
        <v>45762</v>
      </c>
      <c r="U278" s="26" t="str">
        <f>VLOOKUP(Main_Presentation[[#This Row],[LC Number]],Main_Issuance[],18,0)</f>
        <v>90 Days from Invoice Date</v>
      </c>
      <c r="V278" s="21" t="s">
        <v>871</v>
      </c>
      <c r="W278" s="22" t="s">
        <v>378</v>
      </c>
      <c r="X278" s="16"/>
      <c r="Y278" s="234" t="str">
        <f>TRIM(LEFT(Main_Presentation[[#This Row],[Payment Terms]],3))</f>
        <v>90</v>
      </c>
      <c r="Z278" s="16"/>
      <c r="AA278" s="316" cm="1">
        <f t="array" ref="AA278">Settlement(Main_Presentation[[#This Row],[Bank]],Main_Presentation[[#This Row],[ Invoice Amt (SAR)]],Main_Presentation[[#This Row],[Date Recd]],Main_Presentation[[#This Row],[Due Date]],Main_Presentation[[#This Row],[Days]])</f>
        <v>1437.5</v>
      </c>
      <c r="AB278" s="16"/>
    </row>
    <row r="279" spans="1:28" ht="15.75" hidden="1" x14ac:dyDescent="0.25">
      <c r="A279" s="20" t="s">
        <v>522</v>
      </c>
      <c r="B279" s="15">
        <v>45680</v>
      </c>
      <c r="C279" s="26" t="s">
        <v>1301</v>
      </c>
      <c r="D279" s="55" t="str">
        <f>VLOOKUP(Main_Presentation[[#This Row],[LC Number]],Main_Issuance[],3,0)</f>
        <v>Hassan Taleb</v>
      </c>
      <c r="E279" s="16" t="s">
        <v>856</v>
      </c>
      <c r="F279" s="17" t="str">
        <f>VLOOKUP(Main_Presentation[[#This Row],[LC Number]],Main_Issuance[],5,0)</f>
        <v>Alinma</v>
      </c>
      <c r="G279" s="17" t="str">
        <f>VLOOKUP(Main_Presentation[[#This Row],[LC Number]],Main_Issuance[],6,0)</f>
        <v>KSP</v>
      </c>
      <c r="H279" s="17" t="str">
        <f>VLOOKUP(Main_Presentation[[#This Row],[LC Number]],Main_Issuance[],17,0)</f>
        <v>Credit</v>
      </c>
      <c r="I279" s="17" t="str">
        <f>VLOOKUP(Main_Presentation[[#This Row],[LC Number]],Main_Issuance[],7,0)</f>
        <v>Johnson Controls Arabia Limited</v>
      </c>
      <c r="J279" s="17" t="str">
        <f>VLOOKUP(Main_Presentation[[#This Row],[LC Number]],Main_Issuance[],8,0)</f>
        <v>FIRST FIX</v>
      </c>
      <c r="K279" s="17" t="str">
        <f>VLOOKUP(Main_Presentation[[#This Row],[LC Number]],Main_Issuance[],9,0)</f>
        <v>KSP</v>
      </c>
      <c r="L279" s="17">
        <f>VLOOKUP(Main_Presentation[[#This Row],[LC Number]],Main_Issuance[],10,0)</f>
        <v>1020055</v>
      </c>
      <c r="M279" s="17" t="str">
        <f>VLOOKUP(Main_Presentation[[#This Row],[LC Number]],Main_Issuance[],11,0)</f>
        <v>SAR</v>
      </c>
      <c r="N279" s="86">
        <f>VLOOKUP(Main_Presentation[[#This Row],[LC Number]],Main_Issuance[],12,0)</f>
        <v>2500000</v>
      </c>
      <c r="O279" s="16" t="s">
        <v>20</v>
      </c>
      <c r="P279" s="16" t="s">
        <v>857</v>
      </c>
      <c r="Q279" s="131">
        <f>2500000-1683000-163000</f>
        <v>654000</v>
      </c>
      <c r="R279" s="18">
        <v>1</v>
      </c>
      <c r="S279" s="18">
        <f>Main_Presentation[[#This Row],[Invoice Amt (FCY)]]*Main_Presentation[[#This Row],[Rate]]</f>
        <v>654000</v>
      </c>
      <c r="T279" s="15">
        <v>45762</v>
      </c>
      <c r="U279" s="26" t="str">
        <f>VLOOKUP(Main_Presentation[[#This Row],[LC Number]],Main_Issuance[],18,0)</f>
        <v>90 Days from Invoice Date</v>
      </c>
      <c r="V279" s="21" t="s">
        <v>1145</v>
      </c>
      <c r="W279" s="22" t="s">
        <v>378</v>
      </c>
      <c r="X279" s="16"/>
      <c r="Y279" s="234" t="str">
        <f>TRIM(LEFT(Main_Presentation[[#This Row],[Payment Terms]],3))</f>
        <v>90</v>
      </c>
      <c r="Z279" s="16"/>
      <c r="AA279" s="316" cm="1">
        <f t="array" ref="AA279">Settlement(Main_Presentation[[#This Row],[Bank]],Main_Presentation[[#This Row],[ Invoice Amt (SAR)]],Main_Presentation[[#This Row],[Date Recd]],Main_Presentation[[#This Row],[Due Date]],Main_Presentation[[#This Row],[Days]])</f>
        <v>1437.5</v>
      </c>
      <c r="AB279" s="16"/>
    </row>
    <row r="280" spans="1:28" ht="15.75" hidden="1" x14ac:dyDescent="0.25">
      <c r="A280" s="20" t="s">
        <v>651</v>
      </c>
      <c r="B280" s="15">
        <v>45839</v>
      </c>
      <c r="C280" s="26">
        <v>2</v>
      </c>
      <c r="D280" s="55" t="str">
        <f>VLOOKUP(Main_Presentation[[#This Row],[LC Number]],Main_Issuance[],3,0)</f>
        <v>Hassan Taleb</v>
      </c>
      <c r="E280" s="16" t="s">
        <v>856</v>
      </c>
      <c r="F280" s="16" t="str">
        <f>VLOOKUP(Main_Presentation[[#This Row],[LC Number]],Main_Issuance[],5,0)</f>
        <v>Alinma</v>
      </c>
      <c r="G280" s="16" t="str">
        <f>VLOOKUP(Main_Presentation[[#This Row],[LC Number]],Main_Issuance[],6,0)</f>
        <v>KSP</v>
      </c>
      <c r="H280" s="16" t="str">
        <f>VLOOKUP(Main_Presentation[[#This Row],[LC Number]],Main_Issuance[],17,0)</f>
        <v>Credit</v>
      </c>
      <c r="I280" s="16" t="str">
        <f>VLOOKUP(Main_Presentation[[#This Row],[LC Number]],Main_Issuance[],7,0)</f>
        <v>AL BILAD CONCRETE PIPE CO.LTD</v>
      </c>
      <c r="J280" s="16" t="str">
        <f>VLOOKUP(Main_Presentation[[#This Row],[LC Number]],Main_Issuance[],8,0)</f>
        <v>FIRST FIX</v>
      </c>
      <c r="K280" s="16" t="str">
        <f>VLOOKUP(Main_Presentation[[#This Row],[LC Number]],Main_Issuance[],9,0)</f>
        <v>KSP</v>
      </c>
      <c r="L280" s="16">
        <f>VLOOKUP(Main_Presentation[[#This Row],[LC Number]],Main_Issuance[],10,0)</f>
        <v>1020055</v>
      </c>
      <c r="M280" s="16" t="str">
        <f>VLOOKUP(Main_Presentation[[#This Row],[LC Number]],Main_Issuance[],11,0)</f>
        <v>SAR</v>
      </c>
      <c r="N280" s="86">
        <f>VLOOKUP(Main_Presentation[[#This Row],[LC Number]],Main_Issuance[],12,0)</f>
        <v>750000</v>
      </c>
      <c r="O280" s="16" t="s">
        <v>20</v>
      </c>
      <c r="P280" s="16" t="s">
        <v>857</v>
      </c>
      <c r="Q280" s="131">
        <v>112790.85</v>
      </c>
      <c r="R280" s="18">
        <v>1</v>
      </c>
      <c r="S280" s="38">
        <f>Main_Presentation[[#This Row],[Invoice Amt (FCY)]]*Main_Presentation[[#This Row],[Rate]]</f>
        <v>112790.85</v>
      </c>
      <c r="T280" s="15">
        <v>45859</v>
      </c>
      <c r="U280" s="26" t="str">
        <f>VLOOKUP(Main_Presentation[[#This Row],[LC Number]],Main_Issuance[],18,0)</f>
        <v>90 Days from Invoice Date</v>
      </c>
      <c r="V280" s="21" t="s">
        <v>22</v>
      </c>
      <c r="W280" s="22" t="s">
        <v>857</v>
      </c>
      <c r="X280" s="16"/>
      <c r="Y280" s="234" t="str">
        <f>TRIM(LEFT(Main_Presentation[[#This Row],[Payment Terms]],3))</f>
        <v>90</v>
      </c>
      <c r="Z280" s="16"/>
      <c r="AA280" s="316" cm="1">
        <f t="array" ref="AA280">Settlement(Main_Presentation[[#This Row],[Bank]],Main_Presentation[[#This Row],[ Invoice Amt (SAR)]],Main_Presentation[[#This Row],[Date Recd]],Main_Presentation[[#This Row],[Due Date]],Main_Presentation[[#This Row],[Days]])</f>
        <v>1437.5</v>
      </c>
      <c r="AB280" s="16"/>
    </row>
    <row r="281" spans="1:28" ht="15.75" hidden="1" x14ac:dyDescent="0.25">
      <c r="A281" s="20" t="s">
        <v>818</v>
      </c>
      <c r="B281" s="15">
        <v>45771</v>
      </c>
      <c r="C281" s="26">
        <v>1</v>
      </c>
      <c r="D281" s="55" t="str">
        <f>VLOOKUP(Main_Presentation[[#This Row],[LC Number]],Main_Issuance[],3,0)</f>
        <v>Hassan Taleb</v>
      </c>
      <c r="E281" s="16" t="s">
        <v>856</v>
      </c>
      <c r="F281" s="16" t="str">
        <f>VLOOKUP(Main_Presentation[[#This Row],[LC Number]],Main_Issuance[],5,0)</f>
        <v>Alinma</v>
      </c>
      <c r="G281" s="16" t="str">
        <f>VLOOKUP(Main_Presentation[[#This Row],[LC Number]],Main_Issuance[],6,0)</f>
        <v>KSP</v>
      </c>
      <c r="H281" s="16" t="str">
        <f>VLOOKUP(Main_Presentation[[#This Row],[LC Number]],Main_Issuance[],17,0)</f>
        <v>Credit</v>
      </c>
      <c r="I281" s="16" t="str">
        <f>VLOOKUP(Main_Presentation[[#This Row],[LC Number]],Main_Issuance[],7,0)</f>
        <v>National Marketing Est.Co.Ltd</v>
      </c>
      <c r="J281" s="16" t="str">
        <f>VLOOKUP(Main_Presentation[[#This Row],[LC Number]],Main_Issuance[],8,0)</f>
        <v>FIRST FIX</v>
      </c>
      <c r="K281" s="16" t="str">
        <f>VLOOKUP(Main_Presentation[[#This Row],[LC Number]],Main_Issuance[],9,0)</f>
        <v>KSP</v>
      </c>
      <c r="L281" s="16">
        <f>VLOOKUP(Main_Presentation[[#This Row],[LC Number]],Main_Issuance[],10,0)</f>
        <v>1020055</v>
      </c>
      <c r="M281" s="16" t="str">
        <f>VLOOKUP(Main_Presentation[[#This Row],[LC Number]],Main_Issuance[],11,0)</f>
        <v>SAR</v>
      </c>
      <c r="N281" s="86">
        <f>VLOOKUP(Main_Presentation[[#This Row],[LC Number]],Main_Issuance[],12,0)</f>
        <v>234893.88</v>
      </c>
      <c r="O281" s="16" t="s">
        <v>20</v>
      </c>
      <c r="P281" s="16" t="s">
        <v>857</v>
      </c>
      <c r="Q281" s="131">
        <v>234893.88</v>
      </c>
      <c r="R281" s="18">
        <v>1</v>
      </c>
      <c r="S281" s="38">
        <f>Main_Presentation[[#This Row],[Invoice Amt (FCY)]]*Main_Presentation[[#This Row],[Rate]]</f>
        <v>234893.88</v>
      </c>
      <c r="T281" s="15">
        <v>45860</v>
      </c>
      <c r="U281" s="26" t="str">
        <f>VLOOKUP(Main_Presentation[[#This Row],[LC Number]],Main_Issuance[],18,0)</f>
        <v>90 Days from Invoice Date</v>
      </c>
      <c r="V281" s="21" t="s">
        <v>22</v>
      </c>
      <c r="W281" s="22" t="s">
        <v>857</v>
      </c>
      <c r="X281" s="16"/>
      <c r="Y281" s="234" t="str">
        <f>TRIM(LEFT(Main_Presentation[[#This Row],[Payment Terms]],3))</f>
        <v>90</v>
      </c>
      <c r="Z281" s="16"/>
      <c r="AA281" s="316" cm="1">
        <f t="array" ref="AA281">Settlement(Main_Presentation[[#This Row],[Bank]],Main_Presentation[[#This Row],[ Invoice Amt (SAR)]],Main_Presentation[[#This Row],[Date Recd]],Main_Presentation[[#This Row],[Due Date]],Main_Presentation[[#This Row],[Days]])</f>
        <v>1437.5</v>
      </c>
      <c r="AB281" s="16"/>
    </row>
    <row r="282" spans="1:28" ht="15.75" hidden="1" x14ac:dyDescent="0.25">
      <c r="A282" s="20" t="s">
        <v>631</v>
      </c>
      <c r="B282" s="15">
        <v>45778</v>
      </c>
      <c r="C282" s="26">
        <v>1</v>
      </c>
      <c r="D282" s="55" t="str">
        <f>VLOOKUP(Main_Presentation[[#This Row],[LC Number]],Main_Issuance[],3,0)</f>
        <v>Hassan Taleb</v>
      </c>
      <c r="E282" s="16" t="s">
        <v>856</v>
      </c>
      <c r="F282" s="16" t="str">
        <f>VLOOKUP(Main_Presentation[[#This Row],[LC Number]],Main_Issuance[],5,0)</f>
        <v>Alinma</v>
      </c>
      <c r="G282" s="16" t="str">
        <f>VLOOKUP(Main_Presentation[[#This Row],[LC Number]],Main_Issuance[],6,0)</f>
        <v>KSP</v>
      </c>
      <c r="H282" s="16" t="str">
        <f>VLOOKUP(Main_Presentation[[#This Row],[LC Number]],Main_Issuance[],17,0)</f>
        <v>Credit</v>
      </c>
      <c r="I282" s="16" t="str">
        <f>VLOOKUP(Main_Presentation[[#This Row],[LC Number]],Main_Issuance[],7,0)</f>
        <v>AL MOUSA TRADING CO.</v>
      </c>
      <c r="J282" s="16" t="str">
        <f>VLOOKUP(Main_Presentation[[#This Row],[LC Number]],Main_Issuance[],8,0)</f>
        <v>FIRST FIX</v>
      </c>
      <c r="K282" s="16" t="str">
        <f>VLOOKUP(Main_Presentation[[#This Row],[LC Number]],Main_Issuance[],9,0)</f>
        <v>KSP</v>
      </c>
      <c r="L282" s="16">
        <f>VLOOKUP(Main_Presentation[[#This Row],[LC Number]],Main_Issuance[],10,0)</f>
        <v>1020055</v>
      </c>
      <c r="M282" s="16" t="str">
        <f>VLOOKUP(Main_Presentation[[#This Row],[LC Number]],Main_Issuance[],11,0)</f>
        <v>SAR</v>
      </c>
      <c r="N282" s="86">
        <f>VLOOKUP(Main_Presentation[[#This Row],[LC Number]],Main_Issuance[],12,0)</f>
        <v>650000</v>
      </c>
      <c r="O282" s="16" t="s">
        <v>20</v>
      </c>
      <c r="P282" s="16" t="s">
        <v>857</v>
      </c>
      <c r="Q282" s="131">
        <v>650000</v>
      </c>
      <c r="R282" s="18">
        <v>1</v>
      </c>
      <c r="S282" s="38">
        <f>Main_Presentation[[#This Row],[Invoice Amt (FCY)]]*Main_Presentation[[#This Row],[Rate]]</f>
        <v>650000</v>
      </c>
      <c r="T282" s="15">
        <v>45860</v>
      </c>
      <c r="U282" s="26" t="str">
        <f>VLOOKUP(Main_Presentation[[#This Row],[LC Number]],Main_Issuance[],18,0)</f>
        <v>90 Days from Invoice Date</v>
      </c>
      <c r="V282" s="21" t="s">
        <v>22</v>
      </c>
      <c r="W282" s="22" t="s">
        <v>857</v>
      </c>
      <c r="X282" s="16"/>
      <c r="Y282" s="234" t="str">
        <f>TRIM(LEFT(Main_Presentation[[#This Row],[Payment Terms]],3))</f>
        <v>90</v>
      </c>
      <c r="Z282" s="16"/>
      <c r="AA282" s="316" cm="1">
        <f t="array" ref="AA282">Settlement(Main_Presentation[[#This Row],[Bank]],Main_Presentation[[#This Row],[ Invoice Amt (SAR)]],Main_Presentation[[#This Row],[Date Recd]],Main_Presentation[[#This Row],[Due Date]],Main_Presentation[[#This Row],[Days]])</f>
        <v>1437.5</v>
      </c>
      <c r="AB282" s="16"/>
    </row>
    <row r="283" spans="1:28" ht="15.75" hidden="1" x14ac:dyDescent="0.25">
      <c r="A283" s="129" t="s">
        <v>645</v>
      </c>
      <c r="B283" s="137">
        <v>45776</v>
      </c>
      <c r="C283" s="138">
        <v>1</v>
      </c>
      <c r="D283" s="139" t="str">
        <f>VLOOKUP(Main_Presentation[[#This Row],[LC Number]],Main_Issuance[],3,0)</f>
        <v>Hassan Taleb</v>
      </c>
      <c r="E283" s="140" t="s">
        <v>858</v>
      </c>
      <c r="F283" s="140" t="str">
        <f>VLOOKUP(Main_Presentation[[#This Row],[LC Number]],Main_Issuance[],5,0)</f>
        <v>Alinma</v>
      </c>
      <c r="G283" s="140" t="str">
        <f>VLOOKUP(Main_Presentation[[#This Row],[LC Number]],Main_Issuance[],6,0)</f>
        <v>KSP</v>
      </c>
      <c r="H283" s="140" t="str">
        <f>VLOOKUP(Main_Presentation[[#This Row],[LC Number]],Main_Issuance[],17,0)</f>
        <v>Credit</v>
      </c>
      <c r="I283" s="140" t="str">
        <f>VLOOKUP(Main_Presentation[[#This Row],[LC Number]],Main_Issuance[],7,0)</f>
        <v>MARIAM TRADING CO. &amp; PARTNER</v>
      </c>
      <c r="J283" s="140" t="str">
        <f>VLOOKUP(Main_Presentation[[#This Row],[LC Number]],Main_Issuance[],8,0)</f>
        <v>FIRST FIX</v>
      </c>
      <c r="K283" s="140" t="str">
        <f>VLOOKUP(Main_Presentation[[#This Row],[LC Number]],Main_Issuance[],9,0)</f>
        <v>KSP</v>
      </c>
      <c r="L283" s="140">
        <f>VLOOKUP(Main_Presentation[[#This Row],[LC Number]],Main_Issuance[],10,0)</f>
        <v>1020055</v>
      </c>
      <c r="M283" s="140" t="str">
        <f>VLOOKUP(Main_Presentation[[#This Row],[LC Number]],Main_Issuance[],11,0)</f>
        <v>SAR</v>
      </c>
      <c r="N283" s="141">
        <f>VLOOKUP(Main_Presentation[[#This Row],[LC Number]],Main_Issuance[],12,0)</f>
        <v>413369.1</v>
      </c>
      <c r="O283" s="140" t="s">
        <v>20</v>
      </c>
      <c r="P283" s="140" t="s">
        <v>857</v>
      </c>
      <c r="Q283" s="131">
        <v>413369.1</v>
      </c>
      <c r="R283" s="131">
        <v>1</v>
      </c>
      <c r="S283" s="142">
        <f>Main_Presentation[[#This Row],[Invoice Amt (FCY)]]*Main_Presentation[[#This Row],[Rate]]</f>
        <v>413369.1</v>
      </c>
      <c r="T283" s="15">
        <v>45859</v>
      </c>
      <c r="U283" s="138" t="str">
        <f>VLOOKUP(Main_Presentation[[#This Row],[LC Number]],Main_Issuance[],18,0)</f>
        <v>90 Days from Invoice Date</v>
      </c>
      <c r="V283" s="21" t="s">
        <v>22</v>
      </c>
      <c r="W283" s="22" t="s">
        <v>857</v>
      </c>
      <c r="X283" s="140"/>
      <c r="Y283" s="400" t="str">
        <f>TRIM(LEFT(Main_Presentation[[#This Row],[Payment Terms]],3))</f>
        <v>90</v>
      </c>
      <c r="Z283" s="140"/>
      <c r="AA283" s="316" cm="1">
        <f t="array" ref="AA283">Settlement(Main_Presentation[[#This Row],[Bank]],Main_Presentation[[#This Row],[ Invoice Amt (SAR)]],Main_Presentation[[#This Row],[Date Recd]],Main_Presentation[[#This Row],[Due Date]],Main_Presentation[[#This Row],[Days]])</f>
        <v>1437.5</v>
      </c>
      <c r="AB283" s="140"/>
    </row>
    <row r="284" spans="1:28" ht="15.75" hidden="1" x14ac:dyDescent="0.25">
      <c r="A284" s="20" t="s">
        <v>533</v>
      </c>
      <c r="B284" s="15">
        <v>45781</v>
      </c>
      <c r="C284" s="26">
        <v>1</v>
      </c>
      <c r="D284" s="55" t="str">
        <f>VLOOKUP(Main_Presentation[[#This Row],[LC Number]],Main_Issuance[],3,0)</f>
        <v>Nadim Salhieh</v>
      </c>
      <c r="E284" s="16" t="s">
        <v>856</v>
      </c>
      <c r="F284" s="16" t="str">
        <f>VLOOKUP(Main_Presentation[[#This Row],[LC Number]],Main_Issuance[],5,0)</f>
        <v>Alinma</v>
      </c>
      <c r="G284" s="16" t="str">
        <f>VLOOKUP(Main_Presentation[[#This Row],[LC Number]],Main_Issuance[],6,0)</f>
        <v>KSP</v>
      </c>
      <c r="H284" s="16" t="str">
        <f>VLOOKUP(Main_Presentation[[#This Row],[LC Number]],Main_Issuance[],17,0)</f>
        <v>Credit</v>
      </c>
      <c r="I284" s="16" t="str">
        <f>VLOOKUP(Main_Presentation[[#This Row],[LC Number]],Main_Issuance[],7,0)</f>
        <v>LSI PROJECTS LIMITED</v>
      </c>
      <c r="J284" s="16" t="str">
        <f>VLOOKUP(Main_Presentation[[#This Row],[LC Number]],Main_Issuance[],8,0)</f>
        <v>MBL/ICAD</v>
      </c>
      <c r="K284" s="16" t="str">
        <f>VLOOKUP(Main_Presentation[[#This Row],[LC Number]],Main_Issuance[],9,0)</f>
        <v>KSP</v>
      </c>
      <c r="L284" s="16">
        <f>VLOOKUP(Main_Presentation[[#This Row],[LC Number]],Main_Issuance[],10,0)</f>
        <v>1020055</v>
      </c>
      <c r="M284" s="16" t="str">
        <f>VLOOKUP(Main_Presentation[[#This Row],[LC Number]],Main_Issuance[],11,0)</f>
        <v>GBP</v>
      </c>
      <c r="N284" s="86">
        <f>VLOOKUP(Main_Presentation[[#This Row],[LC Number]],Main_Issuance[],12,0)</f>
        <v>131292</v>
      </c>
      <c r="O284" s="16" t="s">
        <v>20</v>
      </c>
      <c r="P284" s="16" t="s">
        <v>857</v>
      </c>
      <c r="Q284" s="131">
        <v>87471.26</v>
      </c>
      <c r="R284" s="18">
        <v>5.08</v>
      </c>
      <c r="S284" s="18">
        <f>Main_Presentation[[#This Row],[Invoice Amt (FCY)]]*Main_Presentation[[#This Row],[Rate]]</f>
        <v>444354.00079999998</v>
      </c>
      <c r="T284" s="15">
        <v>45799</v>
      </c>
      <c r="U284" s="26" t="str">
        <f>VLOOKUP(Main_Presentation[[#This Row],[LC Number]],Main_Issuance[],18,0)</f>
        <v>60 Days from Shipment Date</v>
      </c>
      <c r="V284" s="21" t="s">
        <v>613</v>
      </c>
      <c r="W284" s="22" t="s">
        <v>378</v>
      </c>
      <c r="X284" s="16"/>
      <c r="Y284" s="234" t="str">
        <f>TRIM(LEFT(Main_Presentation[[#This Row],[Payment Terms]],3))</f>
        <v>60</v>
      </c>
      <c r="Z284" s="16"/>
      <c r="AA284" s="316" cm="1">
        <f t="array" ref="AA284">Settlement(Main_Presentation[[#This Row],[Bank]],Main_Presentation[[#This Row],[ Invoice Amt (SAR)]],Main_Presentation[[#This Row],[Date Recd]],Main_Presentation[[#This Row],[Due Date]],Main_Presentation[[#This Row],[Days]])</f>
        <v>1437.5</v>
      </c>
      <c r="AB284" s="16"/>
    </row>
    <row r="285" spans="1:28" ht="15.75" hidden="1" x14ac:dyDescent="0.25">
      <c r="A285" s="129" t="s">
        <v>814</v>
      </c>
      <c r="B285" s="15">
        <v>45785</v>
      </c>
      <c r="C285" s="26">
        <v>1</v>
      </c>
      <c r="D285" s="55" t="str">
        <f>VLOOKUP(Main_Presentation[[#This Row],[LC Number]],Main_Issuance[],3,0)</f>
        <v>Hassan Taleb</v>
      </c>
      <c r="E285" s="16" t="s">
        <v>858</v>
      </c>
      <c r="F285" s="16" t="str">
        <f>VLOOKUP(Main_Presentation[[#This Row],[LC Number]],Main_Issuance[],5,0)</f>
        <v>Alinma</v>
      </c>
      <c r="G285" s="16" t="str">
        <f>VLOOKUP(Main_Presentation[[#This Row],[LC Number]],Main_Issuance[],6,0)</f>
        <v>KSP</v>
      </c>
      <c r="H285" s="16" t="str">
        <f>VLOOKUP(Main_Presentation[[#This Row],[LC Number]],Main_Issuance[],17,0)</f>
        <v>Credit</v>
      </c>
      <c r="I285" s="16" t="str">
        <f>VLOOKUP(Main_Presentation[[#This Row],[LC Number]],Main_Issuance[],7,0)</f>
        <v>Saudi Electric Supply Company</v>
      </c>
      <c r="J285" s="16" t="str">
        <f>VLOOKUP(Main_Presentation[[#This Row],[LC Number]],Main_Issuance[],8,0)</f>
        <v>FIRST FIX</v>
      </c>
      <c r="K285" s="16" t="str">
        <f>VLOOKUP(Main_Presentation[[#This Row],[LC Number]],Main_Issuance[],9,0)</f>
        <v>KSP</v>
      </c>
      <c r="L285" s="16">
        <f>VLOOKUP(Main_Presentation[[#This Row],[LC Number]],Main_Issuance[],10,0)</f>
        <v>1020055</v>
      </c>
      <c r="M285" s="16" t="str">
        <f>VLOOKUP(Main_Presentation[[#This Row],[LC Number]],Main_Issuance[],11,0)</f>
        <v>SAR</v>
      </c>
      <c r="N285" s="86">
        <f>VLOOKUP(Main_Presentation[[#This Row],[LC Number]],Main_Issuance[],12,0)</f>
        <v>200422.65</v>
      </c>
      <c r="O285" s="140" t="s">
        <v>20</v>
      </c>
      <c r="P285" s="16" t="s">
        <v>857</v>
      </c>
      <c r="Q285" s="131">
        <v>200422.65</v>
      </c>
      <c r="R285" s="18">
        <v>1</v>
      </c>
      <c r="S285" s="18">
        <f>Main_Presentation[[#This Row],[Invoice Amt (FCY)]]*Main_Presentation[[#This Row],[Rate]]</f>
        <v>200422.65</v>
      </c>
      <c r="T285" s="15">
        <v>45860</v>
      </c>
      <c r="U285" s="26" t="str">
        <f>VLOOKUP(Main_Presentation[[#This Row],[LC Number]],Main_Issuance[],18,0)</f>
        <v>90 Days from Invoice Date</v>
      </c>
      <c r="V285" s="21" t="s">
        <v>22</v>
      </c>
      <c r="W285" s="22" t="s">
        <v>857</v>
      </c>
      <c r="X285" s="16"/>
      <c r="Y285" s="234" t="str">
        <f>TRIM(LEFT(Main_Presentation[[#This Row],[Payment Terms]],3))</f>
        <v>90</v>
      </c>
      <c r="Z285" s="16"/>
      <c r="AA285" s="316" cm="1">
        <f t="array" ref="AA285">Settlement(Main_Presentation[[#This Row],[Bank]],Main_Presentation[[#This Row],[ Invoice Amt (SAR)]],Main_Presentation[[#This Row],[Date Recd]],Main_Presentation[[#This Row],[Due Date]],Main_Presentation[[#This Row],[Days]])</f>
        <v>1437.5</v>
      </c>
      <c r="AB285" s="16"/>
    </row>
    <row r="286" spans="1:28" ht="15.75" hidden="1" x14ac:dyDescent="0.25">
      <c r="A286" s="129" t="s">
        <v>801</v>
      </c>
      <c r="B286" s="137">
        <v>45781</v>
      </c>
      <c r="C286" s="138">
        <v>1</v>
      </c>
      <c r="D286" s="139" t="str">
        <f>VLOOKUP(Main_Presentation[[#This Row],[LC Number]],Main_Issuance[],3,0)</f>
        <v>Hassan Taleb</v>
      </c>
      <c r="E286" s="140" t="s">
        <v>858</v>
      </c>
      <c r="F286" s="140" t="str">
        <f>VLOOKUP(Main_Presentation[[#This Row],[LC Number]],Main_Issuance[],5,0)</f>
        <v>Alinma</v>
      </c>
      <c r="G286" s="140" t="str">
        <f>VLOOKUP(Main_Presentation[[#This Row],[LC Number]],Main_Issuance[],6,0)</f>
        <v>KSP</v>
      </c>
      <c r="H286" s="140" t="str">
        <f>VLOOKUP(Main_Presentation[[#This Row],[LC Number]],Main_Issuance[],17,0)</f>
        <v>Credit</v>
      </c>
      <c r="I286" s="140" t="str">
        <f>VLOOKUP(Main_Presentation[[#This Row],[LC Number]],Main_Issuance[],7,0)</f>
        <v>DAIKIN AIRCONDITIONING SA, LLC</v>
      </c>
      <c r="J286" s="140" t="str">
        <f>VLOOKUP(Main_Presentation[[#This Row],[LC Number]],Main_Issuance[],8,0)</f>
        <v>FIRST FIX</v>
      </c>
      <c r="K286" s="140" t="str">
        <f>VLOOKUP(Main_Presentation[[#This Row],[LC Number]],Main_Issuance[],9,0)</f>
        <v>KSP</v>
      </c>
      <c r="L286" s="140">
        <f>VLOOKUP(Main_Presentation[[#This Row],[LC Number]],Main_Issuance[],10,0)</f>
        <v>1020055</v>
      </c>
      <c r="M286" s="140" t="str">
        <f>VLOOKUP(Main_Presentation[[#This Row],[LC Number]],Main_Issuance[],11,0)</f>
        <v>SAR</v>
      </c>
      <c r="N286" s="141">
        <f>VLOOKUP(Main_Presentation[[#This Row],[LC Number]],Main_Issuance[],12,0)</f>
        <v>177325.35</v>
      </c>
      <c r="O286" s="140" t="s">
        <v>20</v>
      </c>
      <c r="P286" s="140" t="s">
        <v>857</v>
      </c>
      <c r="Q286" s="131">
        <v>176690.77</v>
      </c>
      <c r="R286" s="131">
        <v>1</v>
      </c>
      <c r="S286" s="131">
        <f>Main_Presentation[[#This Row],[Invoice Amt (FCY)]]*Main_Presentation[[#This Row],[Rate]]</f>
        <v>176690.77</v>
      </c>
      <c r="T286" s="15">
        <v>45859</v>
      </c>
      <c r="U286" s="138" t="str">
        <f>VLOOKUP(Main_Presentation[[#This Row],[LC Number]],Main_Issuance[],18,0)</f>
        <v>90 Days from Invoice Date</v>
      </c>
      <c r="V286" s="21" t="s">
        <v>22</v>
      </c>
      <c r="W286" s="22" t="s">
        <v>857</v>
      </c>
      <c r="X286" s="140"/>
      <c r="Y286" s="400" t="str">
        <f>TRIM(LEFT(Main_Presentation[[#This Row],[Payment Terms]],3))</f>
        <v>90</v>
      </c>
      <c r="Z286" s="140"/>
      <c r="AA286" s="316" cm="1">
        <f t="array" ref="AA286">Settlement(Main_Presentation[[#This Row],[Bank]],Main_Presentation[[#This Row],[ Invoice Amt (SAR)]],Main_Presentation[[#This Row],[Date Recd]],Main_Presentation[[#This Row],[Due Date]],Main_Presentation[[#This Row],[Days]])</f>
        <v>1437.5</v>
      </c>
      <c r="AB286" s="140"/>
    </row>
    <row r="287" spans="1:28" ht="15.75" hidden="1" x14ac:dyDescent="0.25">
      <c r="A287" s="20" t="s">
        <v>796</v>
      </c>
      <c r="B287" s="15">
        <v>45784</v>
      </c>
      <c r="C287" s="26">
        <v>1</v>
      </c>
      <c r="D287" s="55" t="str">
        <f>VLOOKUP(Main_Presentation[[#This Row],[LC Number]],Main_Issuance[],3,0)</f>
        <v>Hassan Taleb</v>
      </c>
      <c r="E287" s="16" t="s">
        <v>856</v>
      </c>
      <c r="F287" s="16" t="str">
        <f>VLOOKUP(Main_Presentation[[#This Row],[LC Number]],Main_Issuance[],5,0)</f>
        <v>Alinma</v>
      </c>
      <c r="G287" s="16" t="str">
        <f>VLOOKUP(Main_Presentation[[#This Row],[LC Number]],Main_Issuance[],6,0)</f>
        <v>KSP</v>
      </c>
      <c r="H287" s="16" t="str">
        <f>VLOOKUP(Main_Presentation[[#This Row],[LC Number]],Main_Issuance[],17,0)</f>
        <v>Credit</v>
      </c>
      <c r="I287" s="16" t="str">
        <f>VLOOKUP(Main_Presentation[[#This Row],[LC Number]],Main_Issuance[],7,0)</f>
        <v>Riyadh Cable Group Of Company</v>
      </c>
      <c r="J287" s="16" t="str">
        <f>VLOOKUP(Main_Presentation[[#This Row],[LC Number]],Main_Issuance[],8,0)</f>
        <v>FIRST FIX</v>
      </c>
      <c r="K287" s="16" t="str">
        <f>VLOOKUP(Main_Presentation[[#This Row],[LC Number]],Main_Issuance[],9,0)</f>
        <v>KSP</v>
      </c>
      <c r="L287" s="16">
        <f>VLOOKUP(Main_Presentation[[#This Row],[LC Number]],Main_Issuance[],10,0)</f>
        <v>1020055</v>
      </c>
      <c r="M287" s="16" t="str">
        <f>VLOOKUP(Main_Presentation[[#This Row],[LC Number]],Main_Issuance[],11,0)</f>
        <v>SAR</v>
      </c>
      <c r="N287" s="86">
        <f>VLOOKUP(Main_Presentation[[#This Row],[LC Number]],Main_Issuance[],12,0)</f>
        <v>1519664.37</v>
      </c>
      <c r="O287" s="16" t="s">
        <v>20</v>
      </c>
      <c r="P287" s="16" t="s">
        <v>857</v>
      </c>
      <c r="Q287" s="131">
        <v>1499834.16</v>
      </c>
      <c r="R287" s="18">
        <v>1</v>
      </c>
      <c r="S287" s="18">
        <f>Main_Presentation[[#This Row],[Invoice Amt (FCY)]]*Main_Presentation[[#This Row],[Rate]]</f>
        <v>1499834.16</v>
      </c>
      <c r="T287" s="15">
        <v>45860</v>
      </c>
      <c r="U287" s="26" t="str">
        <f>VLOOKUP(Main_Presentation[[#This Row],[LC Number]],Main_Issuance[],18,0)</f>
        <v>90 Days from Invoice Date</v>
      </c>
      <c r="V287" s="21" t="s">
        <v>22</v>
      </c>
      <c r="W287" s="22" t="s">
        <v>857</v>
      </c>
      <c r="X287" s="16"/>
      <c r="Y287" s="234" t="str">
        <f>TRIM(LEFT(Main_Presentation[[#This Row],[Payment Terms]],3))</f>
        <v>90</v>
      </c>
      <c r="Z287" s="16"/>
      <c r="AA287" s="316" cm="1">
        <f t="array" ref="AA287">Settlement(Main_Presentation[[#This Row],[Bank]],Main_Presentation[[#This Row],[ Invoice Amt (SAR)]],Main_Presentation[[#This Row],[Date Recd]],Main_Presentation[[#This Row],[Due Date]],Main_Presentation[[#This Row],[Days]])</f>
        <v>1437.5</v>
      </c>
      <c r="AB287" s="16"/>
    </row>
    <row r="288" spans="1:28" ht="15.75" hidden="1" x14ac:dyDescent="0.25">
      <c r="A288" s="20" t="s">
        <v>824</v>
      </c>
      <c r="B288" s="15">
        <v>45782</v>
      </c>
      <c r="C288" s="26">
        <v>1</v>
      </c>
      <c r="D288" s="55" t="str">
        <f>VLOOKUP(Main_Presentation[[#This Row],[LC Number]],Main_Issuance[],3,0)</f>
        <v>Hassan Taleb</v>
      </c>
      <c r="E288" s="16" t="s">
        <v>856</v>
      </c>
      <c r="F288" s="16" t="str">
        <f>VLOOKUP(Main_Presentation[[#This Row],[LC Number]],Main_Issuance[],5,0)</f>
        <v>Alinma</v>
      </c>
      <c r="G288" s="16" t="str">
        <f>VLOOKUP(Main_Presentation[[#This Row],[LC Number]],Main_Issuance[],6,0)</f>
        <v>KSP</v>
      </c>
      <c r="H288" s="16" t="str">
        <f>VLOOKUP(Main_Presentation[[#This Row],[LC Number]],Main_Issuance[],17,0)</f>
        <v>Credit</v>
      </c>
      <c r="I288" s="16" t="str">
        <f>VLOOKUP(Main_Presentation[[#This Row],[LC Number]],Main_Issuance[],7,0)</f>
        <v>SAFID CO.LTD</v>
      </c>
      <c r="J288" s="16" t="str">
        <f>VLOOKUP(Main_Presentation[[#This Row],[LC Number]],Main_Issuance[],8,0)</f>
        <v>FIRST FIX</v>
      </c>
      <c r="K288" s="16" t="str">
        <f>VLOOKUP(Main_Presentation[[#This Row],[LC Number]],Main_Issuance[],9,0)</f>
        <v>KSP</v>
      </c>
      <c r="L288" s="16">
        <f>VLOOKUP(Main_Presentation[[#This Row],[LC Number]],Main_Issuance[],10,0)</f>
        <v>1020055</v>
      </c>
      <c r="M288" s="16" t="str">
        <f>VLOOKUP(Main_Presentation[[#This Row],[LC Number]],Main_Issuance[],11,0)</f>
        <v>SAR</v>
      </c>
      <c r="N288" s="86">
        <f>VLOOKUP(Main_Presentation[[#This Row],[LC Number]],Main_Issuance[],12,0)</f>
        <v>500000</v>
      </c>
      <c r="O288" s="16" t="s">
        <v>20</v>
      </c>
      <c r="P288" s="16" t="s">
        <v>857</v>
      </c>
      <c r="Q288" s="131">
        <v>500000</v>
      </c>
      <c r="R288" s="18">
        <v>1</v>
      </c>
      <c r="S288" s="18">
        <f>Main_Presentation[[#This Row],[Invoice Amt (FCY)]]*Main_Presentation[[#This Row],[Rate]]</f>
        <v>500000</v>
      </c>
      <c r="T288" s="15">
        <v>45860</v>
      </c>
      <c r="U288" s="26" t="str">
        <f>VLOOKUP(Main_Presentation[[#This Row],[LC Number]],Main_Issuance[],18,0)</f>
        <v>90 Days from Invoice Date</v>
      </c>
      <c r="V288" s="21" t="s">
        <v>22</v>
      </c>
      <c r="W288" s="22" t="s">
        <v>857</v>
      </c>
      <c r="X288" s="16"/>
      <c r="Y288" s="234" t="str">
        <f>TRIM(LEFT(Main_Presentation[[#This Row],[Payment Terms]],3))</f>
        <v>90</v>
      </c>
      <c r="Z288" s="16"/>
      <c r="AA288" s="316" cm="1">
        <f t="array" ref="AA288">Settlement(Main_Presentation[[#This Row],[Bank]],Main_Presentation[[#This Row],[ Invoice Amt (SAR)]],Main_Presentation[[#This Row],[Date Recd]],Main_Presentation[[#This Row],[Due Date]],Main_Presentation[[#This Row],[Days]])</f>
        <v>1437.5</v>
      </c>
      <c r="AB288" s="16"/>
    </row>
    <row r="289" spans="1:28" ht="15.75" hidden="1" x14ac:dyDescent="0.25">
      <c r="A289" s="129" t="s">
        <v>827</v>
      </c>
      <c r="B289" s="15">
        <v>45784</v>
      </c>
      <c r="C289" s="26">
        <v>1</v>
      </c>
      <c r="D289" s="55" t="str">
        <f>VLOOKUP(Main_Presentation[[#This Row],[LC Number]],Main_Issuance[],3,0)</f>
        <v>Hassan Taleb</v>
      </c>
      <c r="E289" s="16" t="s">
        <v>858</v>
      </c>
      <c r="F289" s="16" t="str">
        <f>VLOOKUP(Main_Presentation[[#This Row],[LC Number]],Main_Issuance[],5,0)</f>
        <v>Alinma</v>
      </c>
      <c r="G289" s="16" t="str">
        <f>VLOOKUP(Main_Presentation[[#This Row],[LC Number]],Main_Issuance[],6,0)</f>
        <v>KSP</v>
      </c>
      <c r="H289" s="16" t="str">
        <f>VLOOKUP(Main_Presentation[[#This Row],[LC Number]],Main_Issuance[],17,0)</f>
        <v>Credit</v>
      </c>
      <c r="I289" s="16" t="str">
        <f>VLOOKUP(Main_Presentation[[#This Row],[LC Number]],Main_Issuance[],7,0)</f>
        <v>ISAM KABBANI &amp; PARTNERS LTD-UNITECH</v>
      </c>
      <c r="J289" s="16" t="str">
        <f>VLOOKUP(Main_Presentation[[#This Row],[LC Number]],Main_Issuance[],8,0)</f>
        <v>FIRST FIX</v>
      </c>
      <c r="K289" s="16" t="str">
        <f>VLOOKUP(Main_Presentation[[#This Row],[LC Number]],Main_Issuance[],9,0)</f>
        <v>KSP</v>
      </c>
      <c r="L289" s="16">
        <f>VLOOKUP(Main_Presentation[[#This Row],[LC Number]],Main_Issuance[],10,0)</f>
        <v>1020055</v>
      </c>
      <c r="M289" s="16" t="str">
        <f>VLOOKUP(Main_Presentation[[#This Row],[LC Number]],Main_Issuance[],11,0)</f>
        <v>SAR</v>
      </c>
      <c r="N289" s="86">
        <f>VLOOKUP(Main_Presentation[[#This Row],[LC Number]],Main_Issuance[],12,0)</f>
        <v>200000</v>
      </c>
      <c r="O289" s="140" t="s">
        <v>20</v>
      </c>
      <c r="P289" s="16" t="s">
        <v>857</v>
      </c>
      <c r="Q289" s="131">
        <v>200000</v>
      </c>
      <c r="R289" s="18">
        <v>1</v>
      </c>
      <c r="S289" s="18">
        <f>Main_Presentation[[#This Row],[Invoice Amt (FCY)]]*Main_Presentation[[#This Row],[Rate]]</f>
        <v>200000</v>
      </c>
      <c r="T289" s="15">
        <v>45859</v>
      </c>
      <c r="U289" s="26" t="str">
        <f>VLOOKUP(Main_Presentation[[#This Row],[LC Number]],Main_Issuance[],18,0)</f>
        <v>90 Days from Invoice Date</v>
      </c>
      <c r="V289" s="21" t="s">
        <v>22</v>
      </c>
      <c r="W289" s="22" t="s">
        <v>857</v>
      </c>
      <c r="X289" s="16"/>
      <c r="Y289" s="234" t="str">
        <f>TRIM(LEFT(Main_Presentation[[#This Row],[Payment Terms]],3))</f>
        <v>90</v>
      </c>
      <c r="Z289" s="16"/>
      <c r="AA289" s="316" cm="1">
        <f t="array" ref="AA289">Settlement(Main_Presentation[[#This Row],[Bank]],Main_Presentation[[#This Row],[ Invoice Amt (SAR)]],Main_Presentation[[#This Row],[Date Recd]],Main_Presentation[[#This Row],[Due Date]],Main_Presentation[[#This Row],[Days]])</f>
        <v>1437.5</v>
      </c>
      <c r="AB289" s="16"/>
    </row>
    <row r="290" spans="1:28" ht="15.75" hidden="1" x14ac:dyDescent="0.25">
      <c r="A290" s="20" t="s">
        <v>797</v>
      </c>
      <c r="B290" s="15">
        <v>45777</v>
      </c>
      <c r="C290" s="26">
        <v>1</v>
      </c>
      <c r="D290" s="55" t="str">
        <f>VLOOKUP(Main_Presentation[[#This Row],[LC Number]],Main_Issuance[],3,0)</f>
        <v>Hassan Taleb</v>
      </c>
      <c r="E290" s="16" t="s">
        <v>856</v>
      </c>
      <c r="F290" s="16" t="str">
        <f>VLOOKUP(Main_Presentation[[#This Row],[LC Number]],Main_Issuance[],5,0)</f>
        <v>Alinma</v>
      </c>
      <c r="G290" s="16" t="str">
        <f>VLOOKUP(Main_Presentation[[#This Row],[LC Number]],Main_Issuance[],6,0)</f>
        <v>KSP</v>
      </c>
      <c r="H290" s="16" t="str">
        <f>VLOOKUP(Main_Presentation[[#This Row],[LC Number]],Main_Issuance[],17,0)</f>
        <v>Credit</v>
      </c>
      <c r="I290" s="16" t="str">
        <f>VLOOKUP(Main_Presentation[[#This Row],[LC Number]],Main_Issuance[],7,0)</f>
        <v>AL-SAYED CENTER A/C FOR MATERIALS COMPANY</v>
      </c>
      <c r="J290" s="16" t="str">
        <f>VLOOKUP(Main_Presentation[[#This Row],[LC Number]],Main_Issuance[],8,0)</f>
        <v>FIRST FIX</v>
      </c>
      <c r="K290" s="16" t="str">
        <f>VLOOKUP(Main_Presentation[[#This Row],[LC Number]],Main_Issuance[],9,0)</f>
        <v>KSP</v>
      </c>
      <c r="L290" s="16">
        <f>VLOOKUP(Main_Presentation[[#This Row],[LC Number]],Main_Issuance[],10,0)</f>
        <v>1020055</v>
      </c>
      <c r="M290" s="16" t="str">
        <f>VLOOKUP(Main_Presentation[[#This Row],[LC Number]],Main_Issuance[],11,0)</f>
        <v>SAR</v>
      </c>
      <c r="N290" s="86">
        <f>VLOOKUP(Main_Presentation[[#This Row],[LC Number]],Main_Issuance[],12,0)</f>
        <v>404174.93</v>
      </c>
      <c r="O290" s="16" t="s">
        <v>20</v>
      </c>
      <c r="P290" s="16" t="s">
        <v>857</v>
      </c>
      <c r="Q290" s="131">
        <v>404174.93</v>
      </c>
      <c r="R290" s="18">
        <v>1</v>
      </c>
      <c r="S290" s="18">
        <f>Main_Presentation[[#This Row],[Invoice Amt (FCY)]]*Main_Presentation[[#This Row],[Rate]]</f>
        <v>404174.93</v>
      </c>
      <c r="T290" s="15">
        <v>45860</v>
      </c>
      <c r="U290" s="26" t="str">
        <f>VLOOKUP(Main_Presentation[[#This Row],[LC Number]],Main_Issuance[],18,0)</f>
        <v>90 Days from Invoice Date</v>
      </c>
      <c r="V290" s="21" t="s">
        <v>22</v>
      </c>
      <c r="W290" s="22" t="s">
        <v>857</v>
      </c>
      <c r="X290" s="16"/>
      <c r="Y290" s="234" t="str">
        <f>TRIM(LEFT(Main_Presentation[[#This Row],[Payment Terms]],3))</f>
        <v>90</v>
      </c>
      <c r="Z290" s="16"/>
      <c r="AA290" s="316" cm="1">
        <f t="array" ref="AA290">Settlement(Main_Presentation[[#This Row],[Bank]],Main_Presentation[[#This Row],[ Invoice Amt (SAR)]],Main_Presentation[[#This Row],[Date Recd]],Main_Presentation[[#This Row],[Due Date]],Main_Presentation[[#This Row],[Days]])</f>
        <v>1437.5</v>
      </c>
      <c r="AB290" s="16"/>
    </row>
    <row r="291" spans="1:28" ht="15.75" hidden="1" x14ac:dyDescent="0.25">
      <c r="A291" s="129" t="s">
        <v>808</v>
      </c>
      <c r="B291" s="15">
        <v>45782</v>
      </c>
      <c r="C291" s="26">
        <v>1</v>
      </c>
      <c r="D291" s="55" t="str">
        <f>VLOOKUP(Main_Presentation[[#This Row],[LC Number]],Main_Issuance[],3,0)</f>
        <v>Hassan Taleb</v>
      </c>
      <c r="E291" s="16" t="s">
        <v>858</v>
      </c>
      <c r="F291" s="16" t="str">
        <f>VLOOKUP(Main_Presentation[[#This Row],[LC Number]],Main_Issuance[],5,0)</f>
        <v>Alinma</v>
      </c>
      <c r="G291" s="16" t="str">
        <f>VLOOKUP(Main_Presentation[[#This Row],[LC Number]],Main_Issuance[],6,0)</f>
        <v>KSP</v>
      </c>
      <c r="H291" s="16" t="str">
        <f>VLOOKUP(Main_Presentation[[#This Row],[LC Number]],Main_Issuance[],17,0)</f>
        <v>Credit</v>
      </c>
      <c r="I291" s="16" t="str">
        <f>VLOOKUP(Main_Presentation[[#This Row],[LC Number]],Main_Issuance[],7,0)</f>
        <v>Rawabi Al Mahfar Trading Co.</v>
      </c>
      <c r="J291" s="16" t="str">
        <f>VLOOKUP(Main_Presentation[[#This Row],[LC Number]],Main_Issuance[],8,0)</f>
        <v>FIRST FIX</v>
      </c>
      <c r="K291" s="16" t="str">
        <f>VLOOKUP(Main_Presentation[[#This Row],[LC Number]],Main_Issuance[],9,0)</f>
        <v>KSP</v>
      </c>
      <c r="L291" s="16">
        <f>VLOOKUP(Main_Presentation[[#This Row],[LC Number]],Main_Issuance[],10,0)</f>
        <v>1020055</v>
      </c>
      <c r="M291" s="16" t="str">
        <f>VLOOKUP(Main_Presentation[[#This Row],[LC Number]],Main_Issuance[],11,0)</f>
        <v>SAR</v>
      </c>
      <c r="N291" s="86">
        <f>VLOOKUP(Main_Presentation[[#This Row],[LC Number]],Main_Issuance[],12,0)</f>
        <v>450975.31</v>
      </c>
      <c r="O291" s="140" t="s">
        <v>20</v>
      </c>
      <c r="P291" s="16" t="s">
        <v>857</v>
      </c>
      <c r="Q291" s="131">
        <v>450975.3</v>
      </c>
      <c r="R291" s="18">
        <v>1</v>
      </c>
      <c r="S291" s="18">
        <f>Main_Presentation[[#This Row],[Invoice Amt (FCY)]]*Main_Presentation[[#This Row],[Rate]]</f>
        <v>450975.3</v>
      </c>
      <c r="T291" s="15">
        <v>45860</v>
      </c>
      <c r="U291" s="26" t="str">
        <f>VLOOKUP(Main_Presentation[[#This Row],[LC Number]],Main_Issuance[],18,0)</f>
        <v>90 Days from Invoice Date</v>
      </c>
      <c r="V291" s="21" t="s">
        <v>22</v>
      </c>
      <c r="W291" s="22" t="s">
        <v>857</v>
      </c>
      <c r="X291" s="16"/>
      <c r="Y291" s="234" t="str">
        <f>TRIM(LEFT(Main_Presentation[[#This Row],[Payment Terms]],3))</f>
        <v>90</v>
      </c>
      <c r="Z291" s="16"/>
      <c r="AA291" s="316" cm="1">
        <f t="array" ref="AA291">Settlement(Main_Presentation[[#This Row],[Bank]],Main_Presentation[[#This Row],[ Invoice Amt (SAR)]],Main_Presentation[[#This Row],[Date Recd]],Main_Presentation[[#This Row],[Due Date]],Main_Presentation[[#This Row],[Days]])</f>
        <v>1437.5</v>
      </c>
      <c r="AB291" s="16"/>
    </row>
    <row r="292" spans="1:28" ht="15.75" hidden="1" x14ac:dyDescent="0.25">
      <c r="A292" s="20" t="s">
        <v>254</v>
      </c>
      <c r="B292" s="15">
        <v>45742</v>
      </c>
      <c r="C292" s="26" t="s">
        <v>1306</v>
      </c>
      <c r="D292" s="55" t="str">
        <f>VLOOKUP(Main_Presentation[[#This Row],[LC Number]],Main_Issuance[],3,0)</f>
        <v>Mohammed Atef</v>
      </c>
      <c r="E292" s="16" t="s">
        <v>856</v>
      </c>
      <c r="F292" s="16" t="str">
        <f>VLOOKUP(Main_Presentation[[#This Row],[LC Number]],Main_Issuance[],5,0)</f>
        <v>Alinma</v>
      </c>
      <c r="G292" s="16" t="str">
        <f>VLOOKUP(Main_Presentation[[#This Row],[LC Number]],Main_Issuance[],6,0)</f>
        <v>KSP</v>
      </c>
      <c r="H292" s="16" t="str">
        <f>VLOOKUP(Main_Presentation[[#This Row],[LC Number]],Main_Issuance[],17,0)</f>
        <v>Credit</v>
      </c>
      <c r="I292" s="16" t="str">
        <f>VLOOKUP(Main_Presentation[[#This Row],[LC Number]],Main_Issuance[],7,0)</f>
        <v>BBH-CHEMTROL INTERNATIONAL ORGANIZATION S.L</v>
      </c>
      <c r="J292" s="16" t="str">
        <f>VLOOKUP(Main_Presentation[[#This Row],[LC Number]],Main_Issuance[],8,0)</f>
        <v>MBL/ICAD</v>
      </c>
      <c r="K292" s="16" t="str">
        <f>VLOOKUP(Main_Presentation[[#This Row],[LC Number]],Main_Issuance[],9,0)</f>
        <v>KSP</v>
      </c>
      <c r="L292" s="16">
        <f>VLOOKUP(Main_Presentation[[#This Row],[LC Number]],Main_Issuance[],10,0)</f>
        <v>1020055</v>
      </c>
      <c r="M292" s="16" t="str">
        <f>VLOOKUP(Main_Presentation[[#This Row],[LC Number]],Main_Issuance[],11,0)</f>
        <v>EUR</v>
      </c>
      <c r="N292" s="86">
        <f>VLOOKUP(Main_Presentation[[#This Row],[LC Number]],Main_Issuance[],12,0)</f>
        <v>8182985</v>
      </c>
      <c r="O292" s="33" t="s">
        <v>20</v>
      </c>
      <c r="P292" s="16" t="s">
        <v>857</v>
      </c>
      <c r="Q292" s="131">
        <f>180481.73-38018.01-67695.2</f>
        <v>74768.52</v>
      </c>
      <c r="R292" s="38">
        <v>4.4000000000000004</v>
      </c>
      <c r="S292" s="18">
        <f>Main_Presentation[[#This Row],[Invoice Amt (FCY)]]*Main_Presentation[[#This Row],[Rate]]</f>
        <v>328981.48800000007</v>
      </c>
      <c r="T292" s="15">
        <v>45768</v>
      </c>
      <c r="U292" s="26" t="str">
        <f>VLOOKUP(Main_Presentation[[#This Row],[LC Number]],Main_Issuance[],18,0)</f>
        <v>30 Days from Shipment Date</v>
      </c>
      <c r="V292" s="21" t="s">
        <v>871</v>
      </c>
      <c r="W292" s="22" t="s">
        <v>378</v>
      </c>
      <c r="X292" s="16"/>
      <c r="Y292" s="234" t="str">
        <f>TRIM(LEFT(Main_Presentation[[#This Row],[Payment Terms]],3))</f>
        <v>30</v>
      </c>
      <c r="Z292" s="16"/>
      <c r="AA292" s="316" cm="1">
        <f t="array" ref="AA292">Settlement(Main_Presentation[[#This Row],[Bank]],Main_Presentation[[#This Row],[ Invoice Amt (SAR)]],Main_Presentation[[#This Row],[Date Recd]],Main_Presentation[[#This Row],[Due Date]],Main_Presentation[[#This Row],[Days]])</f>
        <v>1437.5</v>
      </c>
      <c r="AB292" s="16"/>
    </row>
    <row r="293" spans="1:28" ht="15.75" hidden="1" x14ac:dyDescent="0.25">
      <c r="A293" s="20" t="s">
        <v>254</v>
      </c>
      <c r="B293" s="15">
        <v>45742</v>
      </c>
      <c r="C293" s="26" t="s">
        <v>1305</v>
      </c>
      <c r="D293" s="55" t="str">
        <f>VLOOKUP(Main_Presentation[[#This Row],[LC Number]],Main_Issuance[],3,0)</f>
        <v>Mohammed Atef</v>
      </c>
      <c r="E293" s="16" t="s">
        <v>856</v>
      </c>
      <c r="F293" s="16" t="str">
        <f>VLOOKUP(Main_Presentation[[#This Row],[LC Number]],Main_Issuance[],5,0)</f>
        <v>Alinma</v>
      </c>
      <c r="G293" s="16" t="str">
        <f>VLOOKUP(Main_Presentation[[#This Row],[LC Number]],Main_Issuance[],6,0)</f>
        <v>KSP</v>
      </c>
      <c r="H293" s="16" t="str">
        <f>VLOOKUP(Main_Presentation[[#This Row],[LC Number]],Main_Issuance[],17,0)</f>
        <v>Credit</v>
      </c>
      <c r="I293" s="16" t="str">
        <f>VLOOKUP(Main_Presentation[[#This Row],[LC Number]],Main_Issuance[],7,0)</f>
        <v>BBH-CHEMTROL INTERNATIONAL ORGANIZATION S.L</v>
      </c>
      <c r="J293" s="16" t="str">
        <f>VLOOKUP(Main_Presentation[[#This Row],[LC Number]],Main_Issuance[],8,0)</f>
        <v>MBL/ICAD</v>
      </c>
      <c r="K293" s="16" t="str">
        <f>VLOOKUP(Main_Presentation[[#This Row],[LC Number]],Main_Issuance[],9,0)</f>
        <v>KSP</v>
      </c>
      <c r="L293" s="16">
        <f>VLOOKUP(Main_Presentation[[#This Row],[LC Number]],Main_Issuance[],10,0)</f>
        <v>1020055</v>
      </c>
      <c r="M293" s="16" t="str">
        <f>VLOOKUP(Main_Presentation[[#This Row],[LC Number]],Main_Issuance[],11,0)</f>
        <v>EUR</v>
      </c>
      <c r="N293" s="86">
        <f>VLOOKUP(Main_Presentation[[#This Row],[LC Number]],Main_Issuance[],12,0)</f>
        <v>8182985</v>
      </c>
      <c r="O293" s="33" t="s">
        <v>20</v>
      </c>
      <c r="P293" s="16" t="s">
        <v>857</v>
      </c>
      <c r="Q293" s="131">
        <f>180481.73-74768.52-38018.01</f>
        <v>67695.200000000012</v>
      </c>
      <c r="R293" s="38">
        <v>4.4000000000000004</v>
      </c>
      <c r="S293" s="18">
        <f>Main_Presentation[[#This Row],[Invoice Amt (FCY)]]*Main_Presentation[[#This Row],[Rate]]</f>
        <v>297858.88000000006</v>
      </c>
      <c r="T293" s="15">
        <v>45768</v>
      </c>
      <c r="U293" s="26" t="str">
        <f>VLOOKUP(Main_Presentation[[#This Row],[LC Number]],Main_Issuance[],18,0)</f>
        <v>30 Days from Shipment Date</v>
      </c>
      <c r="V293" s="21" t="s">
        <v>613</v>
      </c>
      <c r="W293" s="22" t="s">
        <v>378</v>
      </c>
      <c r="X293" s="16"/>
      <c r="Y293" s="234" t="str">
        <f>TRIM(LEFT(Main_Presentation[[#This Row],[Payment Terms]],3))</f>
        <v>30</v>
      </c>
      <c r="Z293" s="16"/>
      <c r="AA293" s="316" cm="1">
        <f t="array" ref="AA293">Settlement(Main_Presentation[[#This Row],[Bank]],Main_Presentation[[#This Row],[ Invoice Amt (SAR)]],Main_Presentation[[#This Row],[Date Recd]],Main_Presentation[[#This Row],[Due Date]],Main_Presentation[[#This Row],[Days]])</f>
        <v>1437.5</v>
      </c>
      <c r="AB293" s="16"/>
    </row>
    <row r="294" spans="1:28" ht="15.75" hidden="1" x14ac:dyDescent="0.25">
      <c r="A294" s="129" t="s">
        <v>803</v>
      </c>
      <c r="B294" s="15">
        <v>45785</v>
      </c>
      <c r="C294" s="26">
        <v>1</v>
      </c>
      <c r="D294" s="55" t="str">
        <f>VLOOKUP(Main_Presentation[[#This Row],[LC Number]],Main_Issuance[],3,0)</f>
        <v>Hassan Taleb</v>
      </c>
      <c r="E294" s="16" t="s">
        <v>858</v>
      </c>
      <c r="F294" s="16" t="str">
        <f>VLOOKUP(Main_Presentation[[#This Row],[LC Number]],Main_Issuance[],5,0)</f>
        <v>Alinma</v>
      </c>
      <c r="G294" s="16" t="str">
        <f>VLOOKUP(Main_Presentation[[#This Row],[LC Number]],Main_Issuance[],6,0)</f>
        <v>KSP</v>
      </c>
      <c r="H294" s="16" t="str">
        <f>VLOOKUP(Main_Presentation[[#This Row],[LC Number]],Main_Issuance[],17,0)</f>
        <v>Credit</v>
      </c>
      <c r="I294" s="16" t="str">
        <f>VLOOKUP(Main_Presentation[[#This Row],[LC Number]],Main_Issuance[],7,0)</f>
        <v>AL-HADBANIA TRADING COMPANY.</v>
      </c>
      <c r="J294" s="16" t="str">
        <f>VLOOKUP(Main_Presentation[[#This Row],[LC Number]],Main_Issuance[],8,0)</f>
        <v>FIRST FIX</v>
      </c>
      <c r="K294" s="16" t="str">
        <f>VLOOKUP(Main_Presentation[[#This Row],[LC Number]],Main_Issuance[],9,0)</f>
        <v>KSP</v>
      </c>
      <c r="L294" s="16">
        <f>VLOOKUP(Main_Presentation[[#This Row],[LC Number]],Main_Issuance[],10,0)</f>
        <v>1020055</v>
      </c>
      <c r="M294" s="16" t="str">
        <f>VLOOKUP(Main_Presentation[[#This Row],[LC Number]],Main_Issuance[],11,0)</f>
        <v>SAR</v>
      </c>
      <c r="N294" s="86">
        <f>VLOOKUP(Main_Presentation[[#This Row],[LC Number]],Main_Issuance[],12,0)</f>
        <v>300000.5</v>
      </c>
      <c r="O294" s="140" t="s">
        <v>20</v>
      </c>
      <c r="P294" s="16" t="s">
        <v>857</v>
      </c>
      <c r="Q294" s="131">
        <v>300000</v>
      </c>
      <c r="R294" s="18">
        <v>1</v>
      </c>
      <c r="S294" s="131">
        <f>Main_Presentation[[#This Row],[Invoice Amt (FCY)]]*Main_Presentation[[#This Row],[Rate]]</f>
        <v>300000</v>
      </c>
      <c r="T294" s="15">
        <v>45861</v>
      </c>
      <c r="U294" s="26" t="str">
        <f>VLOOKUP(Main_Presentation[[#This Row],[LC Number]],Main_Issuance[],18,0)</f>
        <v>90 Days from Invoice Date</v>
      </c>
      <c r="V294" s="21" t="s">
        <v>22</v>
      </c>
      <c r="W294" s="22" t="s">
        <v>857</v>
      </c>
      <c r="X294" s="16"/>
      <c r="Y294" s="234" t="str">
        <f>TRIM(LEFT(Main_Presentation[[#This Row],[Payment Terms]],3))</f>
        <v>90</v>
      </c>
      <c r="Z294" s="16"/>
      <c r="AA294" s="316" cm="1">
        <f t="array" ref="AA294">Settlement(Main_Presentation[[#This Row],[Bank]],Main_Presentation[[#This Row],[ Invoice Amt (SAR)]],Main_Presentation[[#This Row],[Date Recd]],Main_Presentation[[#This Row],[Due Date]],Main_Presentation[[#This Row],[Days]])</f>
        <v>1437.5</v>
      </c>
      <c r="AB294" s="16"/>
    </row>
    <row r="295" spans="1:28" ht="15.75" hidden="1" x14ac:dyDescent="0.25">
      <c r="A295" s="20" t="s">
        <v>794</v>
      </c>
      <c r="B295" s="15">
        <v>45797</v>
      </c>
      <c r="C295" s="26">
        <v>1</v>
      </c>
      <c r="D295" s="55" t="str">
        <f>VLOOKUP(Main_Presentation[[#This Row],[LC Number]],Main_Issuance[],3,0)</f>
        <v>Hassan Taleb</v>
      </c>
      <c r="E295" s="16" t="s">
        <v>856</v>
      </c>
      <c r="F295" s="16" t="str">
        <f>VLOOKUP(Main_Presentation[[#This Row],[LC Number]],Main_Issuance[],5,0)</f>
        <v>Alinma</v>
      </c>
      <c r="G295" s="16" t="str">
        <f>VLOOKUP(Main_Presentation[[#This Row],[LC Number]],Main_Issuance[],6,0)</f>
        <v>KSP</v>
      </c>
      <c r="H295" s="16" t="str">
        <f>VLOOKUP(Main_Presentation[[#This Row],[LC Number]],Main_Issuance[],17,0)</f>
        <v>Credit</v>
      </c>
      <c r="I295" s="16" t="str">
        <f>VLOOKUP(Main_Presentation[[#This Row],[LC Number]],Main_Issuance[],7,0)</f>
        <v>Al Fanar Electrical Systems</v>
      </c>
      <c r="J295" s="16" t="str">
        <f>VLOOKUP(Main_Presentation[[#This Row],[LC Number]],Main_Issuance[],8,0)</f>
        <v>FIRST FIX</v>
      </c>
      <c r="K295" s="16" t="str">
        <f>VLOOKUP(Main_Presentation[[#This Row],[LC Number]],Main_Issuance[],9,0)</f>
        <v>KSP</v>
      </c>
      <c r="L295" s="16">
        <f>VLOOKUP(Main_Presentation[[#This Row],[LC Number]],Main_Issuance[],10,0)</f>
        <v>1020055</v>
      </c>
      <c r="M295" s="16" t="str">
        <f>VLOOKUP(Main_Presentation[[#This Row],[LC Number]],Main_Issuance[],11,0)</f>
        <v>SAR</v>
      </c>
      <c r="N295" s="86">
        <f>VLOOKUP(Main_Presentation[[#This Row],[LC Number]],Main_Issuance[],12,0)</f>
        <v>2626749.98</v>
      </c>
      <c r="O295" s="140" t="s">
        <v>20</v>
      </c>
      <c r="P295" s="16" t="s">
        <v>857</v>
      </c>
      <c r="Q295" s="131">
        <v>527299.98</v>
      </c>
      <c r="R295" s="18">
        <v>1</v>
      </c>
      <c r="S295" s="131">
        <f>Main_Presentation[[#This Row],[Invoice Amt (FCY)]]*Main_Presentation[[#This Row],[Rate]]</f>
        <v>527299.98</v>
      </c>
      <c r="T295" s="15">
        <v>45861</v>
      </c>
      <c r="U295" s="26" t="str">
        <f>VLOOKUP(Main_Presentation[[#This Row],[LC Number]],Main_Issuance[],18,0)</f>
        <v>90 Days from Invoice Date</v>
      </c>
      <c r="V295" s="21" t="s">
        <v>22</v>
      </c>
      <c r="W295" s="22" t="s">
        <v>857</v>
      </c>
      <c r="X295" s="16"/>
      <c r="Y295" s="234" t="str">
        <f>TRIM(LEFT(Main_Presentation[[#This Row],[Payment Terms]],3))</f>
        <v>90</v>
      </c>
      <c r="Z295" s="16"/>
      <c r="AA295" s="316" cm="1">
        <f t="array" ref="AA295">Settlement(Main_Presentation[[#This Row],[Bank]],Main_Presentation[[#This Row],[ Invoice Amt (SAR)]],Main_Presentation[[#This Row],[Date Recd]],Main_Presentation[[#This Row],[Due Date]],Main_Presentation[[#This Row],[Days]])</f>
        <v>1437.5</v>
      </c>
      <c r="AB295" s="16"/>
    </row>
    <row r="296" spans="1:28" ht="15.75" hidden="1" x14ac:dyDescent="0.25">
      <c r="A296" s="129" t="s">
        <v>812</v>
      </c>
      <c r="B296" s="15">
        <v>45797</v>
      </c>
      <c r="C296" s="26">
        <v>1</v>
      </c>
      <c r="D296" s="55" t="str">
        <f>VLOOKUP(Main_Presentation[[#This Row],[LC Number]],Main_Issuance[],3,0)</f>
        <v>Hassan Taleb</v>
      </c>
      <c r="E296" s="16" t="s">
        <v>858</v>
      </c>
      <c r="F296" s="16" t="str">
        <f>VLOOKUP(Main_Presentation[[#This Row],[LC Number]],Main_Issuance[],5,0)</f>
        <v>Alinma</v>
      </c>
      <c r="G296" s="16" t="str">
        <f>VLOOKUP(Main_Presentation[[#This Row],[LC Number]],Main_Issuance[],6,0)</f>
        <v>KSP</v>
      </c>
      <c r="H296" s="16" t="str">
        <f>VLOOKUP(Main_Presentation[[#This Row],[LC Number]],Main_Issuance[],17,0)</f>
        <v>Credit</v>
      </c>
      <c r="I296" s="16" t="str">
        <f>VLOOKUP(Main_Presentation[[#This Row],[LC Number]],Main_Issuance[],7,0)</f>
        <v>Project Supply For Trading Est.</v>
      </c>
      <c r="J296" s="16" t="str">
        <f>VLOOKUP(Main_Presentation[[#This Row],[LC Number]],Main_Issuance[],8,0)</f>
        <v>FIRST FIX</v>
      </c>
      <c r="K296" s="16" t="str">
        <f>VLOOKUP(Main_Presentation[[#This Row],[LC Number]],Main_Issuance[],9,0)</f>
        <v>KSP</v>
      </c>
      <c r="L296" s="16">
        <f>VLOOKUP(Main_Presentation[[#This Row],[LC Number]],Main_Issuance[],10,0)</f>
        <v>1020055</v>
      </c>
      <c r="M296" s="16" t="str">
        <f>VLOOKUP(Main_Presentation[[#This Row],[LC Number]],Main_Issuance[],11,0)</f>
        <v>SAR</v>
      </c>
      <c r="N296" s="86">
        <f>VLOOKUP(Main_Presentation[[#This Row],[LC Number]],Main_Issuance[],12,0)</f>
        <v>332775</v>
      </c>
      <c r="O296" s="140" t="s">
        <v>20</v>
      </c>
      <c r="P296" s="16" t="s">
        <v>857</v>
      </c>
      <c r="Q296" s="131">
        <v>332775</v>
      </c>
      <c r="R296" s="18">
        <v>1</v>
      </c>
      <c r="S296" s="131">
        <f>Main_Presentation[[#This Row],[Invoice Amt (FCY)]]*Main_Presentation[[#This Row],[Rate]]</f>
        <v>332775</v>
      </c>
      <c r="T296" s="15">
        <v>45861</v>
      </c>
      <c r="U296" s="26" t="str">
        <f>VLOOKUP(Main_Presentation[[#This Row],[LC Number]],Main_Issuance[],18,0)</f>
        <v>90 Days from Invoice Date</v>
      </c>
      <c r="V296" s="21" t="s">
        <v>22</v>
      </c>
      <c r="W296" s="22" t="s">
        <v>857</v>
      </c>
      <c r="X296" s="16"/>
      <c r="Y296" s="234" t="str">
        <f>TRIM(LEFT(Main_Presentation[[#This Row],[Payment Terms]],3))</f>
        <v>90</v>
      </c>
      <c r="Z296" s="16"/>
      <c r="AA296" s="316" cm="1">
        <f t="array" ref="AA296">Settlement(Main_Presentation[[#This Row],[Bank]],Main_Presentation[[#This Row],[ Invoice Amt (SAR)]],Main_Presentation[[#This Row],[Date Recd]],Main_Presentation[[#This Row],[Due Date]],Main_Presentation[[#This Row],[Days]])</f>
        <v>1437.5</v>
      </c>
      <c r="AB296" s="16"/>
    </row>
    <row r="297" spans="1:28" ht="15.75" hidden="1" x14ac:dyDescent="0.25">
      <c r="A297" s="129" t="s">
        <v>806</v>
      </c>
      <c r="B297" s="15">
        <v>45789</v>
      </c>
      <c r="C297" s="26">
        <v>1</v>
      </c>
      <c r="D297" s="55" t="str">
        <f>VLOOKUP(Main_Presentation[[#This Row],[LC Number]],Main_Issuance[],3,0)</f>
        <v>Hassan Taleb</v>
      </c>
      <c r="E297" s="16" t="s">
        <v>858</v>
      </c>
      <c r="F297" s="16" t="str">
        <f>VLOOKUP(Main_Presentation[[#This Row],[LC Number]],Main_Issuance[],5,0)</f>
        <v>Alinma</v>
      </c>
      <c r="G297" s="16" t="str">
        <f>VLOOKUP(Main_Presentation[[#This Row],[LC Number]],Main_Issuance[],6,0)</f>
        <v>KSP</v>
      </c>
      <c r="H297" s="16" t="str">
        <f>VLOOKUP(Main_Presentation[[#This Row],[LC Number]],Main_Issuance[],17,0)</f>
        <v>Credit</v>
      </c>
      <c r="I297" s="16" t="str">
        <f>VLOOKUP(Main_Presentation[[#This Row],[LC Number]],Main_Issuance[],7,0)</f>
        <v>Ideal Caliber Company Ltd</v>
      </c>
      <c r="J297" s="16" t="str">
        <f>VLOOKUP(Main_Presentation[[#This Row],[LC Number]],Main_Issuance[],8,0)</f>
        <v>FIRST FIX</v>
      </c>
      <c r="K297" s="16" t="str">
        <f>VLOOKUP(Main_Presentation[[#This Row],[LC Number]],Main_Issuance[],9,0)</f>
        <v>KSP</v>
      </c>
      <c r="L297" s="16">
        <f>VLOOKUP(Main_Presentation[[#This Row],[LC Number]],Main_Issuance[],10,0)</f>
        <v>1020055</v>
      </c>
      <c r="M297" s="16" t="str">
        <f>VLOOKUP(Main_Presentation[[#This Row],[LC Number]],Main_Issuance[],11,0)</f>
        <v>SAR</v>
      </c>
      <c r="N297" s="86">
        <f>VLOOKUP(Main_Presentation[[#This Row],[LC Number]],Main_Issuance[],12,0)</f>
        <v>464036.5</v>
      </c>
      <c r="O297" s="140" t="s">
        <v>20</v>
      </c>
      <c r="P297" s="16" t="s">
        <v>857</v>
      </c>
      <c r="Q297" s="131">
        <v>464036.5</v>
      </c>
      <c r="R297" s="18">
        <v>1</v>
      </c>
      <c r="S297" s="131">
        <f>Main_Presentation[[#This Row],[Invoice Amt (FCY)]]*Main_Presentation[[#This Row],[Rate]]</f>
        <v>464036.5</v>
      </c>
      <c r="T297" s="15">
        <v>45859</v>
      </c>
      <c r="U297" s="26" t="str">
        <f>VLOOKUP(Main_Presentation[[#This Row],[LC Number]],Main_Issuance[],18,0)</f>
        <v>90 Days from Invoice Date</v>
      </c>
      <c r="V297" s="21" t="s">
        <v>22</v>
      </c>
      <c r="W297" s="22" t="s">
        <v>857</v>
      </c>
      <c r="X297" s="16"/>
      <c r="Y297" s="234" t="str">
        <f>TRIM(LEFT(Main_Presentation[[#This Row],[Payment Terms]],3))</f>
        <v>90</v>
      </c>
      <c r="Z297" s="16"/>
      <c r="AA297" s="316" cm="1">
        <f t="array" ref="AA297">Settlement(Main_Presentation[[#This Row],[Bank]],Main_Presentation[[#This Row],[ Invoice Amt (SAR)]],Main_Presentation[[#This Row],[Date Recd]],Main_Presentation[[#This Row],[Due Date]],Main_Presentation[[#This Row],[Days]])</f>
        <v>1437.5</v>
      </c>
      <c r="AB297" s="16"/>
    </row>
    <row r="298" spans="1:28" ht="15.75" hidden="1" x14ac:dyDescent="0.25">
      <c r="A298" s="129" t="s">
        <v>829</v>
      </c>
      <c r="B298" s="15">
        <v>45796</v>
      </c>
      <c r="C298" s="26">
        <v>1</v>
      </c>
      <c r="D298" s="55" t="str">
        <f>VLOOKUP(Main_Presentation[[#This Row],[LC Number]],Main_Issuance[],3,0)</f>
        <v>Hassan Taleb</v>
      </c>
      <c r="E298" s="16" t="s">
        <v>858</v>
      </c>
      <c r="F298" s="16" t="str">
        <f>VLOOKUP(Main_Presentation[[#This Row],[LC Number]],Main_Issuance[],5,0)</f>
        <v>Alinma</v>
      </c>
      <c r="G298" s="16" t="str">
        <f>VLOOKUP(Main_Presentation[[#This Row],[LC Number]],Main_Issuance[],6,0)</f>
        <v>KSP</v>
      </c>
      <c r="H298" s="16" t="str">
        <f>VLOOKUP(Main_Presentation[[#This Row],[LC Number]],Main_Issuance[],17,0)</f>
        <v>Credit</v>
      </c>
      <c r="I298" s="16" t="str">
        <f>VLOOKUP(Main_Presentation[[#This Row],[LC Number]],Main_Issuance[],7,0)</f>
        <v>UNIVERSAL BUILDING MATERIALS MERCHANTS CO.LTD</v>
      </c>
      <c r="J298" s="16" t="str">
        <f>VLOOKUP(Main_Presentation[[#This Row],[LC Number]],Main_Issuance[],8,0)</f>
        <v>FIRST FIX</v>
      </c>
      <c r="K298" s="16" t="str">
        <f>VLOOKUP(Main_Presentation[[#This Row],[LC Number]],Main_Issuance[],9,0)</f>
        <v>KSP</v>
      </c>
      <c r="L298" s="16">
        <f>VLOOKUP(Main_Presentation[[#This Row],[LC Number]],Main_Issuance[],10,0)</f>
        <v>1020055</v>
      </c>
      <c r="M298" s="16" t="str">
        <f>VLOOKUP(Main_Presentation[[#This Row],[LC Number]],Main_Issuance[],11,0)</f>
        <v>SAR</v>
      </c>
      <c r="N298" s="86">
        <f>VLOOKUP(Main_Presentation[[#This Row],[LC Number]],Main_Issuance[],12,0)</f>
        <v>300597.8</v>
      </c>
      <c r="O298" s="140" t="s">
        <v>20</v>
      </c>
      <c r="P298" s="16" t="s">
        <v>857</v>
      </c>
      <c r="Q298" s="131">
        <v>300597.8</v>
      </c>
      <c r="R298" s="18">
        <v>1</v>
      </c>
      <c r="S298" s="131">
        <f>Main_Presentation[[#This Row],[Invoice Amt (FCY)]]*Main_Presentation[[#This Row],[Rate]]</f>
        <v>300597.8</v>
      </c>
      <c r="T298" s="15">
        <v>45861</v>
      </c>
      <c r="U298" s="26" t="str">
        <f>VLOOKUP(Main_Presentation[[#This Row],[LC Number]],Main_Issuance[],18,0)</f>
        <v>90 Days from Invoice Date</v>
      </c>
      <c r="V298" s="21" t="s">
        <v>22</v>
      </c>
      <c r="W298" s="22" t="s">
        <v>857</v>
      </c>
      <c r="X298" s="16"/>
      <c r="Y298" s="234" t="str">
        <f>TRIM(LEFT(Main_Presentation[[#This Row],[Payment Terms]],3))</f>
        <v>90</v>
      </c>
      <c r="Z298" s="16"/>
      <c r="AA298" s="316" cm="1">
        <f t="array" ref="AA298">Settlement(Main_Presentation[[#This Row],[Bank]],Main_Presentation[[#This Row],[ Invoice Amt (SAR)]],Main_Presentation[[#This Row],[Date Recd]],Main_Presentation[[#This Row],[Due Date]],Main_Presentation[[#This Row],[Days]])</f>
        <v>1437.5</v>
      </c>
      <c r="AB298" s="16"/>
    </row>
    <row r="299" spans="1:28" ht="15.75" hidden="1" x14ac:dyDescent="0.25">
      <c r="A299" s="335" t="s">
        <v>250</v>
      </c>
      <c r="B299" s="336">
        <v>45299</v>
      </c>
      <c r="C299" s="337">
        <v>1</v>
      </c>
      <c r="D299" s="338" t="str">
        <f>VLOOKUP(Main_Presentation[[#This Row],[LC Number]],Main_Issuance[],3,0)</f>
        <v>Dipu Sir</v>
      </c>
      <c r="E299" s="339" t="s">
        <v>856</v>
      </c>
      <c r="F299" s="340" t="str">
        <f>VLOOKUP(Main_Presentation[[#This Row],[LC Number]],Main_Issuance[],5,0)</f>
        <v>Alinma</v>
      </c>
      <c r="G299" s="340" t="str">
        <f>VLOOKUP(Main_Presentation[[#This Row],[LC Number]],Main_Issuance[],6,0)</f>
        <v>KSP</v>
      </c>
      <c r="H299" s="340" t="str">
        <f>VLOOKUP(Main_Presentation[[#This Row],[LC Number]],Main_Issuance[],17,0)</f>
        <v>Credit</v>
      </c>
      <c r="I299" s="340" t="str">
        <f>VLOOKUP(Main_Presentation[[#This Row],[LC Number]],Main_Issuance[],7,0)</f>
        <v>CANME GROUP CORPORATION 1965 SA LLU</v>
      </c>
      <c r="J299" s="340" t="str">
        <f>VLOOKUP(Main_Presentation[[#This Row],[LC Number]],Main_Issuance[],8,0)</f>
        <v>MBL</v>
      </c>
      <c r="K299" s="340" t="str">
        <f>VLOOKUP(Main_Presentation[[#This Row],[LC Number]],Main_Issuance[],9,0)</f>
        <v>L01-YAMMAMA</v>
      </c>
      <c r="L299" s="340">
        <f>VLOOKUP(Main_Presentation[[#This Row],[LC Number]],Main_Issuance[],10,0)</f>
        <v>1020015</v>
      </c>
      <c r="M299" s="340" t="str">
        <f>VLOOKUP(Main_Presentation[[#This Row],[LC Number]],Main_Issuance[],11,0)</f>
        <v>EUR</v>
      </c>
      <c r="N299" s="341">
        <f>VLOOKUP(Main_Presentation[[#This Row],[LC Number]],Main_Issuance[],12,0)</f>
        <v>3740702.82</v>
      </c>
      <c r="O299" s="339" t="s">
        <v>20</v>
      </c>
      <c r="P299" s="339" t="s">
        <v>857</v>
      </c>
      <c r="Q299" s="342">
        <v>1555783.16</v>
      </c>
      <c r="R299" s="342">
        <v>4.1349999999999998</v>
      </c>
      <c r="S299" s="342">
        <f>Main_Presentation[[#This Row],[Invoice Amt (FCY)]]*Main_Presentation[[#This Row],[Rate]]</f>
        <v>6433163.3665999994</v>
      </c>
      <c r="T299" s="336">
        <v>45314</v>
      </c>
      <c r="U299" s="337" t="str">
        <f>VLOOKUP(Main_Presentation[[#This Row],[LC Number]],Main_Issuance[],18,0)</f>
        <v>30 Day from Shipment Date -10% LC at sight</v>
      </c>
      <c r="V299" s="343" t="s">
        <v>213</v>
      </c>
      <c r="W299" s="342" t="s">
        <v>857</v>
      </c>
      <c r="X299" s="339"/>
      <c r="Y299" s="401" t="str">
        <f>TRIM(LEFT(Main_Presentation[[#This Row],[Payment Terms]],3))</f>
        <v>30</v>
      </c>
      <c r="Z299" s="339"/>
      <c r="AA299" s="316" cm="1">
        <f t="array" ref="AA299">Settlement(Main_Presentation[[#This Row],[Bank]],Main_Presentation[[#This Row],[ Invoice Amt (SAR)]],Main_Presentation[[#This Row],[Date Recd]],Main_Presentation[[#This Row],[Due Date]],Main_Presentation[[#This Row],[Days]])</f>
        <v>1437.5</v>
      </c>
      <c r="AB299" s="339"/>
    </row>
    <row r="300" spans="1:28" ht="15.75" hidden="1" x14ac:dyDescent="0.25">
      <c r="A300" s="335" t="s">
        <v>250</v>
      </c>
      <c r="B300" s="336">
        <v>45334</v>
      </c>
      <c r="C300" s="337">
        <v>2</v>
      </c>
      <c r="D300" s="338" t="str">
        <f>VLOOKUP(Main_Presentation[[#This Row],[LC Number]],Main_Issuance[],3,0)</f>
        <v>Dipu Sir</v>
      </c>
      <c r="E300" s="339" t="s">
        <v>856</v>
      </c>
      <c r="F300" s="340" t="str">
        <f>VLOOKUP(Main_Presentation[[#This Row],[LC Number]],Main_Issuance[],5,0)</f>
        <v>Alinma</v>
      </c>
      <c r="G300" s="340" t="str">
        <f>VLOOKUP(Main_Presentation[[#This Row],[LC Number]],Main_Issuance[],6,0)</f>
        <v>KSP</v>
      </c>
      <c r="H300" s="340" t="str">
        <f>VLOOKUP(Main_Presentation[[#This Row],[LC Number]],Main_Issuance[],17,0)</f>
        <v>Credit</v>
      </c>
      <c r="I300" s="340" t="str">
        <f>VLOOKUP(Main_Presentation[[#This Row],[LC Number]],Main_Issuance[],7,0)</f>
        <v>CANME GROUP CORPORATION 1965 SA LLU</v>
      </c>
      <c r="J300" s="340" t="str">
        <f>VLOOKUP(Main_Presentation[[#This Row],[LC Number]],Main_Issuance[],8,0)</f>
        <v>MBL</v>
      </c>
      <c r="K300" s="340" t="str">
        <f>VLOOKUP(Main_Presentation[[#This Row],[LC Number]],Main_Issuance[],9,0)</f>
        <v>L01-YAMMAMA</v>
      </c>
      <c r="L300" s="340">
        <f>VLOOKUP(Main_Presentation[[#This Row],[LC Number]],Main_Issuance[],10,0)</f>
        <v>1020015</v>
      </c>
      <c r="M300" s="340" t="str">
        <f>VLOOKUP(Main_Presentation[[#This Row],[LC Number]],Main_Issuance[],11,0)</f>
        <v>EUR</v>
      </c>
      <c r="N300" s="341">
        <f>VLOOKUP(Main_Presentation[[#This Row],[LC Number]],Main_Issuance[],12,0)</f>
        <v>3740702.82</v>
      </c>
      <c r="O300" s="339" t="s">
        <v>20</v>
      </c>
      <c r="P300" s="339" t="s">
        <v>857</v>
      </c>
      <c r="Q300" s="342">
        <v>963154.38</v>
      </c>
      <c r="R300" s="342">
        <v>4.0999999999999996</v>
      </c>
      <c r="S300" s="342">
        <f>Main_Presentation[[#This Row],[Invoice Amt (FCY)]]*Main_Presentation[[#This Row],[Rate]]</f>
        <v>3948932.9579999996</v>
      </c>
      <c r="T300" s="336">
        <v>45352</v>
      </c>
      <c r="U300" s="337" t="str">
        <f>VLOOKUP(Main_Presentation[[#This Row],[LC Number]],Main_Issuance[],18,0)</f>
        <v>30 Day from Shipment Date -10% LC at sight</v>
      </c>
      <c r="V300" s="343" t="s">
        <v>213</v>
      </c>
      <c r="W300" s="342" t="s">
        <v>857</v>
      </c>
      <c r="X300" s="339"/>
      <c r="Y300" s="401" t="str">
        <f>TRIM(LEFT(Main_Presentation[[#This Row],[Payment Terms]],3))</f>
        <v>30</v>
      </c>
      <c r="Z300" s="339"/>
      <c r="AA300" s="316" cm="1">
        <f t="array" ref="AA300">Settlement(Main_Presentation[[#This Row],[Bank]],Main_Presentation[[#This Row],[ Invoice Amt (SAR)]],Main_Presentation[[#This Row],[Date Recd]],Main_Presentation[[#This Row],[Due Date]],Main_Presentation[[#This Row],[Days]])</f>
        <v>1891.75</v>
      </c>
      <c r="AB300" s="339"/>
    </row>
    <row r="301" spans="1:28" ht="15.75" hidden="1" x14ac:dyDescent="0.25">
      <c r="A301" s="335" t="s">
        <v>250</v>
      </c>
      <c r="B301" s="336">
        <v>45357</v>
      </c>
      <c r="C301" s="337">
        <v>3</v>
      </c>
      <c r="D301" s="338" t="str">
        <f>VLOOKUP(Main_Presentation[[#This Row],[LC Number]],Main_Issuance[],3,0)</f>
        <v>Dipu Sir</v>
      </c>
      <c r="E301" s="339" t="s">
        <v>856</v>
      </c>
      <c r="F301" s="340" t="str">
        <f>VLOOKUP(Main_Presentation[[#This Row],[LC Number]],Main_Issuance[],5,0)</f>
        <v>Alinma</v>
      </c>
      <c r="G301" s="340" t="str">
        <f>VLOOKUP(Main_Presentation[[#This Row],[LC Number]],Main_Issuance[],6,0)</f>
        <v>KSP</v>
      </c>
      <c r="H301" s="340" t="str">
        <f>VLOOKUP(Main_Presentation[[#This Row],[LC Number]],Main_Issuance[],17,0)</f>
        <v>Credit</v>
      </c>
      <c r="I301" s="340" t="str">
        <f>VLOOKUP(Main_Presentation[[#This Row],[LC Number]],Main_Issuance[],7,0)</f>
        <v>CANME GROUP CORPORATION 1965 SA LLU</v>
      </c>
      <c r="J301" s="340" t="str">
        <f>VLOOKUP(Main_Presentation[[#This Row],[LC Number]],Main_Issuance[],8,0)</f>
        <v>MBL</v>
      </c>
      <c r="K301" s="340" t="str">
        <f>VLOOKUP(Main_Presentation[[#This Row],[LC Number]],Main_Issuance[],9,0)</f>
        <v>L01-YAMMAMA</v>
      </c>
      <c r="L301" s="340">
        <f>VLOOKUP(Main_Presentation[[#This Row],[LC Number]],Main_Issuance[],10,0)</f>
        <v>1020015</v>
      </c>
      <c r="M301" s="340" t="str">
        <f>VLOOKUP(Main_Presentation[[#This Row],[LC Number]],Main_Issuance[],11,0)</f>
        <v>EUR</v>
      </c>
      <c r="N301" s="341">
        <f>VLOOKUP(Main_Presentation[[#This Row],[LC Number]],Main_Issuance[],12,0)</f>
        <v>3740702.82</v>
      </c>
      <c r="O301" s="339" t="s">
        <v>20</v>
      </c>
      <c r="P301" s="339" t="s">
        <v>857</v>
      </c>
      <c r="Q301" s="342">
        <v>326637.78000000003</v>
      </c>
      <c r="R301" s="342">
        <v>4.08</v>
      </c>
      <c r="S301" s="342">
        <f>Main_Presentation[[#This Row],[Invoice Amt (FCY)]]*Main_Presentation[[#This Row],[Rate]]</f>
        <v>1332682.1424000002</v>
      </c>
      <c r="T301" s="336">
        <v>45377</v>
      </c>
      <c r="U301" s="337" t="str">
        <f>VLOOKUP(Main_Presentation[[#This Row],[LC Number]],Main_Issuance[],18,0)</f>
        <v>30 Day from Shipment Date -10% LC at sight</v>
      </c>
      <c r="V301" s="343" t="s">
        <v>213</v>
      </c>
      <c r="W301" s="342" t="s">
        <v>857</v>
      </c>
      <c r="X301" s="339"/>
      <c r="Y301" s="401" t="str">
        <f>TRIM(LEFT(Main_Presentation[[#This Row],[Payment Terms]],3))</f>
        <v>30</v>
      </c>
      <c r="Z301" s="339"/>
      <c r="AA301" s="316" cm="1">
        <f t="array" ref="AA301">Settlement(Main_Presentation[[#This Row],[Bank]],Main_Presentation[[#This Row],[ Invoice Amt (SAR)]],Main_Presentation[[#This Row],[Date Recd]],Main_Presentation[[#This Row],[Due Date]],Main_Presentation[[#This Row],[Days]])</f>
        <v>1437.5</v>
      </c>
      <c r="AB301" s="339"/>
    </row>
    <row r="302" spans="1:28" ht="15.75" hidden="1" x14ac:dyDescent="0.25">
      <c r="A302" s="335" t="s">
        <v>250</v>
      </c>
      <c r="B302" s="336">
        <v>45413</v>
      </c>
      <c r="C302" s="337">
        <v>4</v>
      </c>
      <c r="D302" s="338" t="str">
        <f>VLOOKUP(Main_Presentation[[#This Row],[LC Number]],Main_Issuance[],3,0)</f>
        <v>Dipu Sir</v>
      </c>
      <c r="E302" s="339" t="s">
        <v>856</v>
      </c>
      <c r="F302" s="340" t="str">
        <f>VLOOKUP(Main_Presentation[[#This Row],[LC Number]],Main_Issuance[],5,0)</f>
        <v>Alinma</v>
      </c>
      <c r="G302" s="340" t="str">
        <f>VLOOKUP(Main_Presentation[[#This Row],[LC Number]],Main_Issuance[],6,0)</f>
        <v>KSP</v>
      </c>
      <c r="H302" s="340" t="str">
        <f>VLOOKUP(Main_Presentation[[#This Row],[LC Number]],Main_Issuance[],17,0)</f>
        <v>Credit</v>
      </c>
      <c r="I302" s="340" t="str">
        <f>VLOOKUP(Main_Presentation[[#This Row],[LC Number]],Main_Issuance[],7,0)</f>
        <v>CANME GROUP CORPORATION 1965 SA LLU</v>
      </c>
      <c r="J302" s="340" t="str">
        <f>VLOOKUP(Main_Presentation[[#This Row],[LC Number]],Main_Issuance[],8,0)</f>
        <v>MBL</v>
      </c>
      <c r="K302" s="340" t="str">
        <f>VLOOKUP(Main_Presentation[[#This Row],[LC Number]],Main_Issuance[],9,0)</f>
        <v>L01-YAMMAMA</v>
      </c>
      <c r="L302" s="340">
        <f>VLOOKUP(Main_Presentation[[#This Row],[LC Number]],Main_Issuance[],10,0)</f>
        <v>1020015</v>
      </c>
      <c r="M302" s="340" t="str">
        <f>VLOOKUP(Main_Presentation[[#This Row],[LC Number]],Main_Issuance[],11,0)</f>
        <v>EUR</v>
      </c>
      <c r="N302" s="341">
        <f>VLOOKUP(Main_Presentation[[#This Row],[LC Number]],Main_Issuance[],12,0)</f>
        <v>3740702.82</v>
      </c>
      <c r="O302" s="339" t="s">
        <v>20</v>
      </c>
      <c r="P302" s="339" t="s">
        <v>857</v>
      </c>
      <c r="Q302" s="342">
        <v>172864.8</v>
      </c>
      <c r="R302" s="342">
        <v>4.0221999999999998</v>
      </c>
      <c r="S302" s="342">
        <f>Main_Presentation[[#This Row],[Invoice Amt (FCY)]]*Main_Presentation[[#This Row],[Rate]]</f>
        <v>695296.79855999991</v>
      </c>
      <c r="T302" s="336">
        <v>45413</v>
      </c>
      <c r="U302" s="337" t="str">
        <f>VLOOKUP(Main_Presentation[[#This Row],[LC Number]],Main_Issuance[],18,0)</f>
        <v>30 Day from Shipment Date -10% LC at sight</v>
      </c>
      <c r="V302" s="343" t="s">
        <v>213</v>
      </c>
      <c r="W302" s="342" t="s">
        <v>857</v>
      </c>
      <c r="X302" s="339"/>
      <c r="Y302" s="401" t="str">
        <f>TRIM(LEFT(Main_Presentation[[#This Row],[Payment Terms]],3))</f>
        <v>30</v>
      </c>
      <c r="Z302" s="339"/>
      <c r="AA302" s="316" cm="1">
        <f t="array" ref="AA302">Settlement(Main_Presentation[[#This Row],[Bank]],Main_Presentation[[#This Row],[ Invoice Amt (SAR)]],Main_Presentation[[#This Row],[Date Recd]],Main_Presentation[[#This Row],[Due Date]],Main_Presentation[[#This Row],[Days]])</f>
        <v>1437.5</v>
      </c>
      <c r="AB302" s="339"/>
    </row>
    <row r="303" spans="1:28" ht="15.75" hidden="1" x14ac:dyDescent="0.25">
      <c r="A303" s="335" t="s">
        <v>250</v>
      </c>
      <c r="B303" s="336">
        <v>45427</v>
      </c>
      <c r="C303" s="337">
        <v>5</v>
      </c>
      <c r="D303" s="338" t="str">
        <f>VLOOKUP(Main_Presentation[[#This Row],[LC Number]],Main_Issuance[],3,0)</f>
        <v>Dipu Sir</v>
      </c>
      <c r="E303" s="339" t="s">
        <v>856</v>
      </c>
      <c r="F303" s="340" t="str">
        <f>VLOOKUP(Main_Presentation[[#This Row],[LC Number]],Main_Issuance[],5,0)</f>
        <v>Alinma</v>
      </c>
      <c r="G303" s="340" t="str">
        <f>VLOOKUP(Main_Presentation[[#This Row],[LC Number]],Main_Issuance[],6,0)</f>
        <v>KSP</v>
      </c>
      <c r="H303" s="340" t="str">
        <f>VLOOKUP(Main_Presentation[[#This Row],[LC Number]],Main_Issuance[],17,0)</f>
        <v>Credit</v>
      </c>
      <c r="I303" s="340" t="str">
        <f>VLOOKUP(Main_Presentation[[#This Row],[LC Number]],Main_Issuance[],7,0)</f>
        <v>CANME GROUP CORPORATION 1965 SA LLU</v>
      </c>
      <c r="J303" s="340" t="str">
        <f>VLOOKUP(Main_Presentation[[#This Row],[LC Number]],Main_Issuance[],8,0)</f>
        <v>MBL</v>
      </c>
      <c r="K303" s="340" t="str">
        <f>VLOOKUP(Main_Presentation[[#This Row],[LC Number]],Main_Issuance[],9,0)</f>
        <v>L01-YAMMAMA</v>
      </c>
      <c r="L303" s="340">
        <f>VLOOKUP(Main_Presentation[[#This Row],[LC Number]],Main_Issuance[],10,0)</f>
        <v>1020015</v>
      </c>
      <c r="M303" s="340" t="str">
        <f>VLOOKUP(Main_Presentation[[#This Row],[LC Number]],Main_Issuance[],11,0)</f>
        <v>EUR</v>
      </c>
      <c r="N303" s="341">
        <f>VLOOKUP(Main_Presentation[[#This Row],[LC Number]],Main_Issuance[],12,0)</f>
        <v>3740702.82</v>
      </c>
      <c r="O303" s="339" t="s">
        <v>20</v>
      </c>
      <c r="P303" s="339" t="s">
        <v>857</v>
      </c>
      <c r="Q303" s="342">
        <v>36293.08</v>
      </c>
      <c r="R303" s="342">
        <v>4.1050000000000004</v>
      </c>
      <c r="S303" s="342">
        <f>Main_Presentation[[#This Row],[Invoice Amt (FCY)]]*Main_Presentation[[#This Row],[Rate]]</f>
        <v>148983.09340000001</v>
      </c>
      <c r="T303" s="336">
        <v>45467</v>
      </c>
      <c r="U303" s="337" t="str">
        <f>VLOOKUP(Main_Presentation[[#This Row],[LC Number]],Main_Issuance[],18,0)</f>
        <v>30 Day from Shipment Date -10% LC at sight</v>
      </c>
      <c r="V303" s="343" t="s">
        <v>213</v>
      </c>
      <c r="W303" s="342" t="s">
        <v>857</v>
      </c>
      <c r="X303" s="339"/>
      <c r="Y303" s="401" t="str">
        <f>TRIM(LEFT(Main_Presentation[[#This Row],[Payment Terms]],3))</f>
        <v>30</v>
      </c>
      <c r="Z303" s="339"/>
      <c r="AA303" s="316" cm="1">
        <f t="array" ref="AA303">Settlement(Main_Presentation[[#This Row],[Bank]],Main_Presentation[[#This Row],[ Invoice Amt (SAR)]],Main_Presentation[[#This Row],[Date Recd]],Main_Presentation[[#This Row],[Due Date]],Main_Presentation[[#This Row],[Days]])</f>
        <v>1437.5</v>
      </c>
      <c r="AB303" s="339"/>
    </row>
    <row r="304" spans="1:28" ht="15.75" hidden="1" x14ac:dyDescent="0.25">
      <c r="A304" s="335" t="s">
        <v>250</v>
      </c>
      <c r="B304" s="336">
        <v>45432</v>
      </c>
      <c r="C304" s="337">
        <v>6</v>
      </c>
      <c r="D304" s="338" t="str">
        <f>VLOOKUP(Main_Presentation[[#This Row],[LC Number]],Main_Issuance[],3,0)</f>
        <v>Dipu Sir</v>
      </c>
      <c r="E304" s="339" t="s">
        <v>856</v>
      </c>
      <c r="F304" s="340" t="str">
        <f>VLOOKUP(Main_Presentation[[#This Row],[LC Number]],Main_Issuance[],5,0)</f>
        <v>Alinma</v>
      </c>
      <c r="G304" s="340" t="str">
        <f>VLOOKUP(Main_Presentation[[#This Row],[LC Number]],Main_Issuance[],6,0)</f>
        <v>KSP</v>
      </c>
      <c r="H304" s="340" t="str">
        <f>VLOOKUP(Main_Presentation[[#This Row],[LC Number]],Main_Issuance[],17,0)</f>
        <v>Credit</v>
      </c>
      <c r="I304" s="340" t="str">
        <f>VLOOKUP(Main_Presentation[[#This Row],[LC Number]],Main_Issuance[],7,0)</f>
        <v>CANME GROUP CORPORATION 1965 SA LLU</v>
      </c>
      <c r="J304" s="340" t="str">
        <f>VLOOKUP(Main_Presentation[[#This Row],[LC Number]],Main_Issuance[],8,0)</f>
        <v>MBL</v>
      </c>
      <c r="K304" s="340" t="str">
        <f>VLOOKUP(Main_Presentation[[#This Row],[LC Number]],Main_Issuance[],9,0)</f>
        <v>L01-YAMMAMA</v>
      </c>
      <c r="L304" s="340">
        <f>VLOOKUP(Main_Presentation[[#This Row],[LC Number]],Main_Issuance[],10,0)</f>
        <v>1020015</v>
      </c>
      <c r="M304" s="340" t="str">
        <f>VLOOKUP(Main_Presentation[[#This Row],[LC Number]],Main_Issuance[],11,0)</f>
        <v>EUR</v>
      </c>
      <c r="N304" s="341">
        <f>VLOOKUP(Main_Presentation[[#This Row],[LC Number]],Main_Issuance[],12,0)</f>
        <v>3740702.82</v>
      </c>
      <c r="O304" s="339" t="s">
        <v>20</v>
      </c>
      <c r="P304" s="339" t="s">
        <v>857</v>
      </c>
      <c r="Q304" s="342">
        <v>107017.5</v>
      </c>
      <c r="R304" s="342">
        <v>4.13</v>
      </c>
      <c r="S304" s="342">
        <f>Main_Presentation[[#This Row],[Invoice Amt (FCY)]]*Main_Presentation[[#This Row],[Rate]]</f>
        <v>441982.27499999997</v>
      </c>
      <c r="T304" s="336">
        <v>45440</v>
      </c>
      <c r="U304" s="337" t="str">
        <f>VLOOKUP(Main_Presentation[[#This Row],[LC Number]],Main_Issuance[],18,0)</f>
        <v>30 Day from Shipment Date -10% LC at sight</v>
      </c>
      <c r="V304" s="343" t="s">
        <v>213</v>
      </c>
      <c r="W304" s="342" t="s">
        <v>857</v>
      </c>
      <c r="X304" s="339"/>
      <c r="Y304" s="401" t="str">
        <f>TRIM(LEFT(Main_Presentation[[#This Row],[Payment Terms]],3))</f>
        <v>30</v>
      </c>
      <c r="Z304" s="339"/>
      <c r="AA304" s="316" cm="1">
        <f t="array" ref="AA304">Settlement(Main_Presentation[[#This Row],[Bank]],Main_Presentation[[#This Row],[ Invoice Amt (SAR)]],Main_Presentation[[#This Row],[Date Recd]],Main_Presentation[[#This Row],[Due Date]],Main_Presentation[[#This Row],[Days]])</f>
        <v>1437.5</v>
      </c>
      <c r="AB304" s="339"/>
    </row>
    <row r="305" spans="1:28" ht="15.75" hidden="1" x14ac:dyDescent="0.25">
      <c r="A305" s="335" t="s">
        <v>250</v>
      </c>
      <c r="B305" s="336">
        <v>45432</v>
      </c>
      <c r="C305" s="337">
        <v>7</v>
      </c>
      <c r="D305" s="338" t="str">
        <f>VLOOKUP(Main_Presentation[[#This Row],[LC Number]],Main_Issuance[],3,0)</f>
        <v>Dipu Sir</v>
      </c>
      <c r="E305" s="339" t="s">
        <v>856</v>
      </c>
      <c r="F305" s="340" t="str">
        <f>VLOOKUP(Main_Presentation[[#This Row],[LC Number]],Main_Issuance[],5,0)</f>
        <v>Alinma</v>
      </c>
      <c r="G305" s="340" t="str">
        <f>VLOOKUP(Main_Presentation[[#This Row],[LC Number]],Main_Issuance[],6,0)</f>
        <v>KSP</v>
      </c>
      <c r="H305" s="340" t="str">
        <f>VLOOKUP(Main_Presentation[[#This Row],[LC Number]],Main_Issuance[],17,0)</f>
        <v>Credit</v>
      </c>
      <c r="I305" s="340" t="str">
        <f>VLOOKUP(Main_Presentation[[#This Row],[LC Number]],Main_Issuance[],7,0)</f>
        <v>CANME GROUP CORPORATION 1965 SA LLU</v>
      </c>
      <c r="J305" s="340" t="str">
        <f>VLOOKUP(Main_Presentation[[#This Row],[LC Number]],Main_Issuance[],8,0)</f>
        <v>MBL</v>
      </c>
      <c r="K305" s="340" t="str">
        <f>VLOOKUP(Main_Presentation[[#This Row],[LC Number]],Main_Issuance[],9,0)</f>
        <v>L01-YAMMAMA</v>
      </c>
      <c r="L305" s="340">
        <f>VLOOKUP(Main_Presentation[[#This Row],[LC Number]],Main_Issuance[],10,0)</f>
        <v>1020015</v>
      </c>
      <c r="M305" s="340" t="str">
        <f>VLOOKUP(Main_Presentation[[#This Row],[LC Number]],Main_Issuance[],11,0)</f>
        <v>EUR</v>
      </c>
      <c r="N305" s="341">
        <f>VLOOKUP(Main_Presentation[[#This Row],[LC Number]],Main_Issuance[],12,0)</f>
        <v>3740702.82</v>
      </c>
      <c r="O305" s="339" t="s">
        <v>20</v>
      </c>
      <c r="P305" s="339" t="s">
        <v>857</v>
      </c>
      <c r="Q305" s="342">
        <v>190267.2</v>
      </c>
      <c r="R305" s="342">
        <v>4.13</v>
      </c>
      <c r="S305" s="342">
        <f>Main_Presentation[[#This Row],[Invoice Amt (FCY)]]*Main_Presentation[[#This Row],[Rate]]</f>
        <v>785803.53600000008</v>
      </c>
      <c r="T305" s="336">
        <v>45439</v>
      </c>
      <c r="U305" s="337" t="str">
        <f>VLOOKUP(Main_Presentation[[#This Row],[LC Number]],Main_Issuance[],18,0)</f>
        <v>30 Day from Shipment Date -10% LC at sight</v>
      </c>
      <c r="V305" s="343" t="s">
        <v>213</v>
      </c>
      <c r="W305" s="342" t="s">
        <v>857</v>
      </c>
      <c r="X305" s="339"/>
      <c r="Y305" s="401" t="str">
        <f>TRIM(LEFT(Main_Presentation[[#This Row],[Payment Terms]],3))</f>
        <v>30</v>
      </c>
      <c r="Z305" s="339"/>
      <c r="AA305" s="316" cm="1">
        <f t="array" ref="AA305">Settlement(Main_Presentation[[#This Row],[Bank]],Main_Presentation[[#This Row],[ Invoice Amt (SAR)]],Main_Presentation[[#This Row],[Date Recd]],Main_Presentation[[#This Row],[Due Date]],Main_Presentation[[#This Row],[Days]])</f>
        <v>1437.5</v>
      </c>
      <c r="AB305" s="339"/>
    </row>
    <row r="306" spans="1:28" ht="15.75" hidden="1" x14ac:dyDescent="0.25">
      <c r="A306" s="335" t="s">
        <v>250</v>
      </c>
      <c r="B306" s="336">
        <v>45481</v>
      </c>
      <c r="C306" s="337">
        <v>8</v>
      </c>
      <c r="D306" s="338" t="str">
        <f>VLOOKUP(Main_Presentation[[#This Row],[LC Number]],Main_Issuance[],3,0)</f>
        <v>Dipu Sir</v>
      </c>
      <c r="E306" s="339" t="s">
        <v>856</v>
      </c>
      <c r="F306" s="340" t="str">
        <f>VLOOKUP(Main_Presentation[[#This Row],[LC Number]],Main_Issuance[],5,0)</f>
        <v>Alinma</v>
      </c>
      <c r="G306" s="340" t="str">
        <f>VLOOKUP(Main_Presentation[[#This Row],[LC Number]],Main_Issuance[],6,0)</f>
        <v>KSP</v>
      </c>
      <c r="H306" s="340" t="str">
        <f>VLOOKUP(Main_Presentation[[#This Row],[LC Number]],Main_Issuance[],17,0)</f>
        <v>Credit</v>
      </c>
      <c r="I306" s="340" t="str">
        <f>VLOOKUP(Main_Presentation[[#This Row],[LC Number]],Main_Issuance[],7,0)</f>
        <v>CANME GROUP CORPORATION 1965 SA LLU</v>
      </c>
      <c r="J306" s="340" t="str">
        <f>VLOOKUP(Main_Presentation[[#This Row],[LC Number]],Main_Issuance[],8,0)</f>
        <v>MBL</v>
      </c>
      <c r="K306" s="340" t="str">
        <f>VLOOKUP(Main_Presentation[[#This Row],[LC Number]],Main_Issuance[],9,0)</f>
        <v>L01-YAMMAMA</v>
      </c>
      <c r="L306" s="340">
        <f>VLOOKUP(Main_Presentation[[#This Row],[LC Number]],Main_Issuance[],10,0)</f>
        <v>1020015</v>
      </c>
      <c r="M306" s="340" t="str">
        <f>VLOOKUP(Main_Presentation[[#This Row],[LC Number]],Main_Issuance[],11,0)</f>
        <v>EUR</v>
      </c>
      <c r="N306" s="341">
        <f>VLOOKUP(Main_Presentation[[#This Row],[LC Number]],Main_Issuance[],12,0)</f>
        <v>3740702.82</v>
      </c>
      <c r="O306" s="339" t="s">
        <v>20</v>
      </c>
      <c r="P306" s="339" t="s">
        <v>857</v>
      </c>
      <c r="Q306" s="342">
        <v>330781.15999999997</v>
      </c>
      <c r="R306" s="342">
        <v>4.1020000000000003</v>
      </c>
      <c r="S306" s="342">
        <f>Main_Presentation[[#This Row],[Invoice Amt (FCY)]]*Main_Presentation[[#This Row],[Rate]]</f>
        <v>1356864.3183200001</v>
      </c>
      <c r="T306" s="336">
        <v>45501</v>
      </c>
      <c r="U306" s="337" t="str">
        <f>VLOOKUP(Main_Presentation[[#This Row],[LC Number]],Main_Issuance[],18,0)</f>
        <v>30 Day from Shipment Date -10% LC at sight</v>
      </c>
      <c r="V306" s="343" t="s">
        <v>213</v>
      </c>
      <c r="W306" s="342" t="s">
        <v>857</v>
      </c>
      <c r="X306" s="339"/>
      <c r="Y306" s="401" t="str">
        <f>TRIM(LEFT(Main_Presentation[[#This Row],[Payment Terms]],3))</f>
        <v>30</v>
      </c>
      <c r="Z306" s="339"/>
      <c r="AA306" s="316" cm="1">
        <f t="array" ref="AA306">Settlement(Main_Presentation[[#This Row],[Bank]],Main_Presentation[[#This Row],[ Invoice Amt (SAR)]],Main_Presentation[[#This Row],[Date Recd]],Main_Presentation[[#This Row],[Due Date]],Main_Presentation[[#This Row],[Days]])</f>
        <v>1437.5</v>
      </c>
      <c r="AB306" s="339"/>
    </row>
    <row r="307" spans="1:28" ht="15.75" hidden="1" x14ac:dyDescent="0.25">
      <c r="A307" s="335" t="s">
        <v>250</v>
      </c>
      <c r="B307" s="336">
        <v>45487</v>
      </c>
      <c r="C307" s="337">
        <v>9</v>
      </c>
      <c r="D307" s="338" t="str">
        <f>VLOOKUP(Main_Presentation[[#This Row],[LC Number]],Main_Issuance[],3,0)</f>
        <v>Dipu Sir</v>
      </c>
      <c r="E307" s="339" t="s">
        <v>856</v>
      </c>
      <c r="F307" s="340" t="str">
        <f>VLOOKUP(Main_Presentation[[#This Row],[LC Number]],Main_Issuance[],5,0)</f>
        <v>Alinma</v>
      </c>
      <c r="G307" s="340" t="str">
        <f>VLOOKUP(Main_Presentation[[#This Row],[LC Number]],Main_Issuance[],6,0)</f>
        <v>KSP</v>
      </c>
      <c r="H307" s="340" t="str">
        <f>VLOOKUP(Main_Presentation[[#This Row],[LC Number]],Main_Issuance[],17,0)</f>
        <v>Credit</v>
      </c>
      <c r="I307" s="340" t="str">
        <f>VLOOKUP(Main_Presentation[[#This Row],[LC Number]],Main_Issuance[],7,0)</f>
        <v>CANME GROUP CORPORATION 1965 SA LLU</v>
      </c>
      <c r="J307" s="340" t="str">
        <f>VLOOKUP(Main_Presentation[[#This Row],[LC Number]],Main_Issuance[],8,0)</f>
        <v>MBL</v>
      </c>
      <c r="K307" s="340" t="str">
        <f>VLOOKUP(Main_Presentation[[#This Row],[LC Number]],Main_Issuance[],9,0)</f>
        <v>L01-YAMMAMA</v>
      </c>
      <c r="L307" s="340">
        <f>VLOOKUP(Main_Presentation[[#This Row],[LC Number]],Main_Issuance[],10,0)</f>
        <v>1020015</v>
      </c>
      <c r="M307" s="340" t="str">
        <f>VLOOKUP(Main_Presentation[[#This Row],[LC Number]],Main_Issuance[],11,0)</f>
        <v>EUR</v>
      </c>
      <c r="N307" s="341">
        <f>VLOOKUP(Main_Presentation[[#This Row],[LC Number]],Main_Issuance[],12,0)</f>
        <v>3740702.82</v>
      </c>
      <c r="O307" s="339" t="s">
        <v>20</v>
      </c>
      <c r="P307" s="339" t="s">
        <v>857</v>
      </c>
      <c r="Q307" s="342">
        <v>21140.799999999999</v>
      </c>
      <c r="R307" s="342">
        <v>4.2571000000000003</v>
      </c>
      <c r="S307" s="342">
        <f>Main_Presentation[[#This Row],[Invoice Amt (FCY)]]*Main_Presentation[[#This Row],[Rate]]</f>
        <v>89998.499680000008</v>
      </c>
      <c r="T307" s="336">
        <v>45530</v>
      </c>
      <c r="U307" s="337" t="str">
        <f>VLOOKUP(Main_Presentation[[#This Row],[LC Number]],Main_Issuance[],18,0)</f>
        <v>30 Day from Shipment Date -10% LC at sight</v>
      </c>
      <c r="V307" s="343" t="s">
        <v>213</v>
      </c>
      <c r="W307" s="342" t="s">
        <v>857</v>
      </c>
      <c r="X307" s="339"/>
      <c r="Y307" s="401" t="str">
        <f>TRIM(LEFT(Main_Presentation[[#This Row],[Payment Terms]],3))</f>
        <v>30</v>
      </c>
      <c r="Z307" s="339"/>
      <c r="AA307" s="316" cm="1">
        <f t="array" ref="AA307">Settlement(Main_Presentation[[#This Row],[Bank]],Main_Presentation[[#This Row],[ Invoice Amt (SAR)]],Main_Presentation[[#This Row],[Date Recd]],Main_Presentation[[#This Row],[Due Date]],Main_Presentation[[#This Row],[Days]])</f>
        <v>1437.5</v>
      </c>
      <c r="AB307" s="339"/>
    </row>
    <row r="308" spans="1:28" ht="15.75" hidden="1" x14ac:dyDescent="0.25">
      <c r="A308" s="335" t="s">
        <v>250</v>
      </c>
      <c r="B308" s="336">
        <v>45503</v>
      </c>
      <c r="C308" s="337">
        <v>10</v>
      </c>
      <c r="D308" s="338" t="str">
        <f>VLOOKUP(Main_Presentation[[#This Row],[LC Number]],Main_Issuance[],3,0)</f>
        <v>Dipu Sir</v>
      </c>
      <c r="E308" s="339" t="s">
        <v>856</v>
      </c>
      <c r="F308" s="340" t="str">
        <f>VLOOKUP(Main_Presentation[[#This Row],[LC Number]],Main_Issuance[],5,0)</f>
        <v>Alinma</v>
      </c>
      <c r="G308" s="340" t="str">
        <f>VLOOKUP(Main_Presentation[[#This Row],[LC Number]],Main_Issuance[],6,0)</f>
        <v>KSP</v>
      </c>
      <c r="H308" s="340" t="str">
        <f>VLOOKUP(Main_Presentation[[#This Row],[LC Number]],Main_Issuance[],17,0)</f>
        <v>Credit</v>
      </c>
      <c r="I308" s="340" t="str">
        <f>VLOOKUP(Main_Presentation[[#This Row],[LC Number]],Main_Issuance[],7,0)</f>
        <v>CANME GROUP CORPORATION 1965 SA LLU</v>
      </c>
      <c r="J308" s="340" t="str">
        <f>VLOOKUP(Main_Presentation[[#This Row],[LC Number]],Main_Issuance[],8,0)</f>
        <v>MBL</v>
      </c>
      <c r="K308" s="340" t="str">
        <f>VLOOKUP(Main_Presentation[[#This Row],[LC Number]],Main_Issuance[],9,0)</f>
        <v>L01-YAMMAMA</v>
      </c>
      <c r="L308" s="340">
        <f>VLOOKUP(Main_Presentation[[#This Row],[LC Number]],Main_Issuance[],10,0)</f>
        <v>1020015</v>
      </c>
      <c r="M308" s="340" t="str">
        <f>VLOOKUP(Main_Presentation[[#This Row],[LC Number]],Main_Issuance[],11,0)</f>
        <v>EUR</v>
      </c>
      <c r="N308" s="341">
        <f>VLOOKUP(Main_Presentation[[#This Row],[LC Number]],Main_Issuance[],12,0)</f>
        <v>3740702.82</v>
      </c>
      <c r="O308" s="339" t="s">
        <v>20</v>
      </c>
      <c r="P308" s="339" t="s">
        <v>857</v>
      </c>
      <c r="Q308" s="342">
        <v>36753.26</v>
      </c>
      <c r="R308" s="342">
        <v>4.1200225499999998</v>
      </c>
      <c r="S308" s="342">
        <f>Main_Presentation[[#This Row],[Invoice Amt (FCY)]]*Main_Presentation[[#This Row],[Rate]]</f>
        <v>151424.259986013</v>
      </c>
      <c r="T308" s="336">
        <v>45591</v>
      </c>
      <c r="U308" s="337" t="str">
        <f>VLOOKUP(Main_Presentation[[#This Row],[LC Number]],Main_Issuance[],18,0)</f>
        <v>30 Day from Shipment Date -10% LC at sight</v>
      </c>
      <c r="V308" s="343" t="s">
        <v>213</v>
      </c>
      <c r="W308" s="342" t="s">
        <v>857</v>
      </c>
      <c r="X308" s="339"/>
      <c r="Y308" s="401" t="str">
        <f>TRIM(LEFT(Main_Presentation[[#This Row],[Payment Terms]],3))</f>
        <v>30</v>
      </c>
      <c r="Z308" s="339"/>
      <c r="AA308" s="316" cm="1">
        <f t="array" ref="AA308">Settlement(Main_Presentation[[#This Row],[Bank]],Main_Presentation[[#This Row],[ Invoice Amt (SAR)]],Main_Presentation[[#This Row],[Date Recd]],Main_Presentation[[#This Row],[Due Date]],Main_Presentation[[#This Row],[Days]])</f>
        <v>1437.5</v>
      </c>
      <c r="AB308" s="339"/>
    </row>
    <row r="309" spans="1:28" ht="15.75" hidden="1" x14ac:dyDescent="0.25">
      <c r="A309" s="14" t="s">
        <v>211</v>
      </c>
      <c r="B309" s="15">
        <v>45061</v>
      </c>
      <c r="C309" s="26">
        <v>1</v>
      </c>
      <c r="D309" s="55" t="str">
        <f>VLOOKUP(Main_Presentation[[#This Row],[LC Number]],Main_Issuance[],3,0)</f>
        <v>Dipu Sir</v>
      </c>
      <c r="E309" s="16" t="s">
        <v>856</v>
      </c>
      <c r="F309" s="17" t="str">
        <f>VLOOKUP(Main_Presentation[[#This Row],[LC Number]],Main_Issuance[],5,0)</f>
        <v>Alinma</v>
      </c>
      <c r="G309" s="17" t="str">
        <f>VLOOKUP(Main_Presentation[[#This Row],[LC Number]],Main_Issuance[],6,0)</f>
        <v>KSP</v>
      </c>
      <c r="H309" s="17" t="str">
        <f>VLOOKUP(Main_Presentation[[#This Row],[LC Number]],Main_Issuance[],17,0)</f>
        <v>Credit</v>
      </c>
      <c r="I309" s="17" t="str">
        <f>VLOOKUP(Main_Presentation[[#This Row],[LC Number]],Main_Issuance[],7,0)</f>
        <v>GREEN CONCRETE CJSC 6550 AL QIRAWAN</v>
      </c>
      <c r="J309" s="17" t="str">
        <f>VLOOKUP(Main_Presentation[[#This Row],[LC Number]],Main_Issuance[],8,0)</f>
        <v>MBL</v>
      </c>
      <c r="K309" s="17" t="str">
        <f>VLOOKUP(Main_Presentation[[#This Row],[LC Number]],Main_Issuance[],9,0)</f>
        <v>L01-YAMMAMA</v>
      </c>
      <c r="L309" s="17">
        <f>VLOOKUP(Main_Presentation[[#This Row],[LC Number]],Main_Issuance[],10,0)</f>
        <v>1020015</v>
      </c>
      <c r="M309" s="17" t="str">
        <f>VLOOKUP(Main_Presentation[[#This Row],[LC Number]],Main_Issuance[],11,0)</f>
        <v>SAR</v>
      </c>
      <c r="N309" s="84">
        <f>VLOOKUP(Main_Presentation[[#This Row],[LC Number]],Main_Issuance[],12,0)</f>
        <v>17700000</v>
      </c>
      <c r="O309" s="16" t="s">
        <v>20</v>
      </c>
      <c r="P309" s="16" t="s">
        <v>857</v>
      </c>
      <c r="Q309" s="131">
        <v>1447607.35</v>
      </c>
      <c r="R309" s="18">
        <v>1</v>
      </c>
      <c r="S309" s="18">
        <f>Main_Presentation[[#This Row],[Invoice Amt (FCY)]]*Main_Presentation[[#This Row],[Rate]]</f>
        <v>1447607.35</v>
      </c>
      <c r="T309" s="15">
        <v>45041</v>
      </c>
      <c r="U309" s="26">
        <f>VLOOKUP(Main_Presentation[[#This Row],[LC Number]],Main_Issuance[],18,0)</f>
        <v>0</v>
      </c>
      <c r="V309" s="19" t="s">
        <v>213</v>
      </c>
      <c r="W309" s="18" t="s">
        <v>857</v>
      </c>
      <c r="X309" s="16"/>
      <c r="Y309" s="234" t="str">
        <f>TRIM(LEFT(Main_Presentation[[#This Row],[Payment Terms]],3))</f>
        <v>0</v>
      </c>
      <c r="Z309" s="16"/>
      <c r="AA309" s="316" cm="1">
        <f t="array" ref="AA309">Settlement(Main_Presentation[[#This Row],[Bank]],Main_Presentation[[#This Row],[ Invoice Amt (SAR)]],Main_Presentation[[#This Row],[Date Recd]],Main_Presentation[[#This Row],[Due Date]],Main_Presentation[[#This Row],[Days]])</f>
        <v>1437.5</v>
      </c>
      <c r="AB309" s="16"/>
    </row>
    <row r="310" spans="1:28" ht="15.75" hidden="1" x14ac:dyDescent="0.25">
      <c r="A310" s="14" t="s">
        <v>211</v>
      </c>
      <c r="B310" s="15">
        <v>45061</v>
      </c>
      <c r="C310" s="26">
        <v>2</v>
      </c>
      <c r="D310" s="55" t="str">
        <f>VLOOKUP(Main_Presentation[[#This Row],[LC Number]],Main_Issuance[],3,0)</f>
        <v>Dipu Sir</v>
      </c>
      <c r="E310" s="16" t="s">
        <v>856</v>
      </c>
      <c r="F310" s="17" t="str">
        <f>VLOOKUP(Main_Presentation[[#This Row],[LC Number]],Main_Issuance[],5,0)</f>
        <v>Alinma</v>
      </c>
      <c r="G310" s="17" t="str">
        <f>VLOOKUP(Main_Presentation[[#This Row],[LC Number]],Main_Issuance[],6,0)</f>
        <v>KSP</v>
      </c>
      <c r="H310" s="17" t="str">
        <f>VLOOKUP(Main_Presentation[[#This Row],[LC Number]],Main_Issuance[],17,0)</f>
        <v>Credit</v>
      </c>
      <c r="I310" s="17" t="str">
        <f>VLOOKUP(Main_Presentation[[#This Row],[LC Number]],Main_Issuance[],7,0)</f>
        <v>GREEN CONCRETE CJSC 6550 AL QIRAWAN</v>
      </c>
      <c r="J310" s="17" t="str">
        <f>VLOOKUP(Main_Presentation[[#This Row],[LC Number]],Main_Issuance[],8,0)</f>
        <v>MBL</v>
      </c>
      <c r="K310" s="17" t="str">
        <f>VLOOKUP(Main_Presentation[[#This Row],[LC Number]],Main_Issuance[],9,0)</f>
        <v>L01-YAMMAMA</v>
      </c>
      <c r="L310" s="17">
        <f>VLOOKUP(Main_Presentation[[#This Row],[LC Number]],Main_Issuance[],10,0)</f>
        <v>1020015</v>
      </c>
      <c r="M310" s="17" t="str">
        <f>VLOOKUP(Main_Presentation[[#This Row],[LC Number]],Main_Issuance[],11,0)</f>
        <v>SAR</v>
      </c>
      <c r="N310" s="84">
        <f>VLOOKUP(Main_Presentation[[#This Row],[LC Number]],Main_Issuance[],12,0)</f>
        <v>17700000</v>
      </c>
      <c r="O310" s="16" t="s">
        <v>20</v>
      </c>
      <c r="P310" s="16" t="s">
        <v>857</v>
      </c>
      <c r="Q310" s="131">
        <v>1034870.05</v>
      </c>
      <c r="R310" s="18">
        <v>1</v>
      </c>
      <c r="S310" s="18">
        <f>Main_Presentation[[#This Row],[Invoice Amt (FCY)]]*Main_Presentation[[#This Row],[Rate]]</f>
        <v>1034870.05</v>
      </c>
      <c r="T310" s="15">
        <v>45041</v>
      </c>
      <c r="U310" s="26">
        <f>VLOOKUP(Main_Presentation[[#This Row],[LC Number]],Main_Issuance[],18,0)</f>
        <v>0</v>
      </c>
      <c r="V310" s="19" t="s">
        <v>213</v>
      </c>
      <c r="W310" s="18" t="s">
        <v>857</v>
      </c>
      <c r="X310" s="16"/>
      <c r="Y310" s="234" t="str">
        <f>TRIM(LEFT(Main_Presentation[[#This Row],[Payment Terms]],3))</f>
        <v>0</v>
      </c>
      <c r="Z310" s="16"/>
      <c r="AA310" s="316" cm="1">
        <f t="array" ref="AA310">Settlement(Main_Presentation[[#This Row],[Bank]],Main_Presentation[[#This Row],[ Invoice Amt (SAR)]],Main_Presentation[[#This Row],[Date Recd]],Main_Presentation[[#This Row],[Due Date]],Main_Presentation[[#This Row],[Days]])</f>
        <v>1437.5</v>
      </c>
      <c r="AB310" s="16"/>
    </row>
    <row r="311" spans="1:28" ht="15.75" hidden="1" x14ac:dyDescent="0.25">
      <c r="A311" s="14" t="s">
        <v>211</v>
      </c>
      <c r="B311" s="15">
        <v>45090</v>
      </c>
      <c r="C311" s="26">
        <v>3</v>
      </c>
      <c r="D311" s="55" t="str">
        <f>VLOOKUP(Main_Presentation[[#This Row],[LC Number]],Main_Issuance[],3,0)</f>
        <v>Dipu Sir</v>
      </c>
      <c r="E311" s="16" t="s">
        <v>856</v>
      </c>
      <c r="F311" s="17" t="str">
        <f>VLOOKUP(Main_Presentation[[#This Row],[LC Number]],Main_Issuance[],5,0)</f>
        <v>Alinma</v>
      </c>
      <c r="G311" s="17" t="str">
        <f>VLOOKUP(Main_Presentation[[#This Row],[LC Number]],Main_Issuance[],6,0)</f>
        <v>KSP</v>
      </c>
      <c r="H311" s="17" t="str">
        <f>VLOOKUP(Main_Presentation[[#This Row],[LC Number]],Main_Issuance[],17,0)</f>
        <v>Credit</v>
      </c>
      <c r="I311" s="17" t="str">
        <f>VLOOKUP(Main_Presentation[[#This Row],[LC Number]],Main_Issuance[],7,0)</f>
        <v>GREEN CONCRETE CJSC 6550 AL QIRAWAN</v>
      </c>
      <c r="J311" s="17" t="str">
        <f>VLOOKUP(Main_Presentation[[#This Row],[LC Number]],Main_Issuance[],8,0)</f>
        <v>MBL</v>
      </c>
      <c r="K311" s="17" t="str">
        <f>VLOOKUP(Main_Presentation[[#This Row],[LC Number]],Main_Issuance[],9,0)</f>
        <v>L01-YAMMAMA</v>
      </c>
      <c r="L311" s="17">
        <f>VLOOKUP(Main_Presentation[[#This Row],[LC Number]],Main_Issuance[],10,0)</f>
        <v>1020015</v>
      </c>
      <c r="M311" s="17" t="str">
        <f>VLOOKUP(Main_Presentation[[#This Row],[LC Number]],Main_Issuance[],11,0)</f>
        <v>SAR</v>
      </c>
      <c r="N311" s="84">
        <f>VLOOKUP(Main_Presentation[[#This Row],[LC Number]],Main_Issuance[],12,0)</f>
        <v>17700000</v>
      </c>
      <c r="O311" s="16" t="s">
        <v>20</v>
      </c>
      <c r="P311" s="16" t="s">
        <v>857</v>
      </c>
      <c r="Q311" s="131">
        <v>2797308.3</v>
      </c>
      <c r="R311" s="18">
        <v>1</v>
      </c>
      <c r="S311" s="18">
        <f>Main_Presentation[[#This Row],[Invoice Amt (FCY)]]*Main_Presentation[[#This Row],[Rate]]</f>
        <v>2797308.3</v>
      </c>
      <c r="T311" s="15">
        <v>45041</v>
      </c>
      <c r="U311" s="26">
        <f>VLOOKUP(Main_Presentation[[#This Row],[LC Number]],Main_Issuance[],18,0)</f>
        <v>0</v>
      </c>
      <c r="V311" s="19" t="s">
        <v>213</v>
      </c>
      <c r="W311" s="18" t="s">
        <v>857</v>
      </c>
      <c r="X311" s="16"/>
      <c r="Y311" s="234" t="str">
        <f>TRIM(LEFT(Main_Presentation[[#This Row],[Payment Terms]],3))</f>
        <v>0</v>
      </c>
      <c r="Z311" s="16"/>
      <c r="AA311" s="316" cm="1">
        <f t="array" ref="AA311">Settlement(Main_Presentation[[#This Row],[Bank]],Main_Presentation[[#This Row],[ Invoice Amt (SAR)]],Main_Presentation[[#This Row],[Date Recd]],Main_Presentation[[#This Row],[Due Date]],Main_Presentation[[#This Row],[Days]])</f>
        <v>1437.5</v>
      </c>
      <c r="AB311" s="16"/>
    </row>
    <row r="312" spans="1:28" ht="15.75" hidden="1" x14ac:dyDescent="0.25">
      <c r="A312" s="14" t="s">
        <v>211</v>
      </c>
      <c r="B312" s="15">
        <v>45118</v>
      </c>
      <c r="C312" s="26">
        <v>4</v>
      </c>
      <c r="D312" s="55" t="str">
        <f>VLOOKUP(Main_Presentation[[#This Row],[LC Number]],Main_Issuance[],3,0)</f>
        <v>Dipu Sir</v>
      </c>
      <c r="E312" s="16" t="s">
        <v>856</v>
      </c>
      <c r="F312" s="17" t="str">
        <f>VLOOKUP(Main_Presentation[[#This Row],[LC Number]],Main_Issuance[],5,0)</f>
        <v>Alinma</v>
      </c>
      <c r="G312" s="17" t="str">
        <f>VLOOKUP(Main_Presentation[[#This Row],[LC Number]],Main_Issuance[],6,0)</f>
        <v>KSP</v>
      </c>
      <c r="H312" s="17" t="str">
        <f>VLOOKUP(Main_Presentation[[#This Row],[LC Number]],Main_Issuance[],17,0)</f>
        <v>Credit</v>
      </c>
      <c r="I312" s="17" t="str">
        <f>VLOOKUP(Main_Presentation[[#This Row],[LC Number]],Main_Issuance[],7,0)</f>
        <v>GREEN CONCRETE CJSC 6550 AL QIRAWAN</v>
      </c>
      <c r="J312" s="17" t="str">
        <f>VLOOKUP(Main_Presentation[[#This Row],[LC Number]],Main_Issuance[],8,0)</f>
        <v>MBL</v>
      </c>
      <c r="K312" s="17" t="str">
        <f>VLOOKUP(Main_Presentation[[#This Row],[LC Number]],Main_Issuance[],9,0)</f>
        <v>L01-YAMMAMA</v>
      </c>
      <c r="L312" s="17">
        <f>VLOOKUP(Main_Presentation[[#This Row],[LC Number]],Main_Issuance[],10,0)</f>
        <v>1020015</v>
      </c>
      <c r="M312" s="17" t="str">
        <f>VLOOKUP(Main_Presentation[[#This Row],[LC Number]],Main_Issuance[],11,0)</f>
        <v>SAR</v>
      </c>
      <c r="N312" s="84">
        <f>VLOOKUP(Main_Presentation[[#This Row],[LC Number]],Main_Issuance[],12,0)</f>
        <v>17700000</v>
      </c>
      <c r="O312" s="16" t="s">
        <v>20</v>
      </c>
      <c r="P312" s="16" t="s">
        <v>857</v>
      </c>
      <c r="Q312" s="131">
        <v>1040866.15</v>
      </c>
      <c r="R312" s="18">
        <v>1</v>
      </c>
      <c r="S312" s="18">
        <f>Main_Presentation[[#This Row],[Invoice Amt (FCY)]]*Main_Presentation[[#This Row],[Rate]]</f>
        <v>1040866.15</v>
      </c>
      <c r="T312" s="15">
        <v>45041</v>
      </c>
      <c r="U312" s="26">
        <f>VLOOKUP(Main_Presentation[[#This Row],[LC Number]],Main_Issuance[],18,0)</f>
        <v>0</v>
      </c>
      <c r="V312" s="19" t="s">
        <v>213</v>
      </c>
      <c r="W312" s="18" t="s">
        <v>857</v>
      </c>
      <c r="X312" s="16"/>
      <c r="Y312" s="234" t="str">
        <f>TRIM(LEFT(Main_Presentation[[#This Row],[Payment Terms]],3))</f>
        <v>0</v>
      </c>
      <c r="Z312" s="16"/>
      <c r="AA312" s="316" cm="1">
        <f t="array" ref="AA312">Settlement(Main_Presentation[[#This Row],[Bank]],Main_Presentation[[#This Row],[ Invoice Amt (SAR)]],Main_Presentation[[#This Row],[Date Recd]],Main_Presentation[[#This Row],[Due Date]],Main_Presentation[[#This Row],[Days]])</f>
        <v>1437.5</v>
      </c>
      <c r="AB312" s="16"/>
    </row>
    <row r="313" spans="1:28" ht="15.75" hidden="1" x14ac:dyDescent="0.25">
      <c r="A313" s="14" t="s">
        <v>211</v>
      </c>
      <c r="B313" s="15">
        <v>45134</v>
      </c>
      <c r="C313" s="26">
        <v>5</v>
      </c>
      <c r="D313" s="55" t="str">
        <f>VLOOKUP(Main_Presentation[[#This Row],[LC Number]],Main_Issuance[],3,0)</f>
        <v>Dipu Sir</v>
      </c>
      <c r="E313" s="16" t="s">
        <v>856</v>
      </c>
      <c r="F313" s="17" t="str">
        <f>VLOOKUP(Main_Presentation[[#This Row],[LC Number]],Main_Issuance[],5,0)</f>
        <v>Alinma</v>
      </c>
      <c r="G313" s="17" t="str">
        <f>VLOOKUP(Main_Presentation[[#This Row],[LC Number]],Main_Issuance[],6,0)</f>
        <v>KSP</v>
      </c>
      <c r="H313" s="17" t="str">
        <f>VLOOKUP(Main_Presentation[[#This Row],[LC Number]],Main_Issuance[],17,0)</f>
        <v>Credit</v>
      </c>
      <c r="I313" s="17" t="str">
        <f>VLOOKUP(Main_Presentation[[#This Row],[LC Number]],Main_Issuance[],7,0)</f>
        <v>GREEN CONCRETE CJSC 6550 AL QIRAWAN</v>
      </c>
      <c r="J313" s="17" t="str">
        <f>VLOOKUP(Main_Presentation[[#This Row],[LC Number]],Main_Issuance[],8,0)</f>
        <v>MBL</v>
      </c>
      <c r="K313" s="17" t="str">
        <f>VLOOKUP(Main_Presentation[[#This Row],[LC Number]],Main_Issuance[],9,0)</f>
        <v>L01-YAMMAMA</v>
      </c>
      <c r="L313" s="17">
        <f>VLOOKUP(Main_Presentation[[#This Row],[LC Number]],Main_Issuance[],10,0)</f>
        <v>1020015</v>
      </c>
      <c r="M313" s="17" t="str">
        <f>VLOOKUP(Main_Presentation[[#This Row],[LC Number]],Main_Issuance[],11,0)</f>
        <v>SAR</v>
      </c>
      <c r="N313" s="84">
        <f>VLOOKUP(Main_Presentation[[#This Row],[LC Number]],Main_Issuance[],12,0)</f>
        <v>17700000</v>
      </c>
      <c r="O313" s="16" t="s">
        <v>20</v>
      </c>
      <c r="P313" s="16" t="s">
        <v>857</v>
      </c>
      <c r="Q313" s="131">
        <v>356412</v>
      </c>
      <c r="R313" s="18">
        <v>1</v>
      </c>
      <c r="S313" s="18">
        <f>Main_Presentation[[#This Row],[Invoice Amt (FCY)]]*Main_Presentation[[#This Row],[Rate]]</f>
        <v>356412</v>
      </c>
      <c r="T313" s="15">
        <v>45041</v>
      </c>
      <c r="U313" s="26">
        <f>VLOOKUP(Main_Presentation[[#This Row],[LC Number]],Main_Issuance[],18,0)</f>
        <v>0</v>
      </c>
      <c r="V313" s="19" t="s">
        <v>213</v>
      </c>
      <c r="W313" s="18" t="s">
        <v>857</v>
      </c>
      <c r="X313" s="16"/>
      <c r="Y313" s="234" t="str">
        <f>TRIM(LEFT(Main_Presentation[[#This Row],[Payment Terms]],3))</f>
        <v>0</v>
      </c>
      <c r="Z313" s="16"/>
      <c r="AA313" s="316" cm="1">
        <f t="array" ref="AA313">Settlement(Main_Presentation[[#This Row],[Bank]],Main_Presentation[[#This Row],[ Invoice Amt (SAR)]],Main_Presentation[[#This Row],[Date Recd]],Main_Presentation[[#This Row],[Due Date]],Main_Presentation[[#This Row],[Days]])</f>
        <v>1437.5</v>
      </c>
      <c r="AB313" s="16"/>
    </row>
    <row r="314" spans="1:28" ht="15.75" hidden="1" x14ac:dyDescent="0.25">
      <c r="A314" s="14" t="s">
        <v>211</v>
      </c>
      <c r="B314" s="15">
        <v>45175</v>
      </c>
      <c r="C314" s="26">
        <v>7</v>
      </c>
      <c r="D314" s="55" t="str">
        <f>VLOOKUP(Main_Presentation[[#This Row],[LC Number]],Main_Issuance[],3,0)</f>
        <v>Dipu Sir</v>
      </c>
      <c r="E314" s="16" t="s">
        <v>856</v>
      </c>
      <c r="F314" s="17" t="str">
        <f>VLOOKUP(Main_Presentation[[#This Row],[LC Number]],Main_Issuance[],5,0)</f>
        <v>Alinma</v>
      </c>
      <c r="G314" s="17" t="str">
        <f>VLOOKUP(Main_Presentation[[#This Row],[LC Number]],Main_Issuance[],6,0)</f>
        <v>KSP</v>
      </c>
      <c r="H314" s="17" t="str">
        <f>VLOOKUP(Main_Presentation[[#This Row],[LC Number]],Main_Issuance[],17,0)</f>
        <v>Credit</v>
      </c>
      <c r="I314" s="17" t="str">
        <f>VLOOKUP(Main_Presentation[[#This Row],[LC Number]],Main_Issuance[],7,0)</f>
        <v>GREEN CONCRETE CJSC 6550 AL QIRAWAN</v>
      </c>
      <c r="J314" s="17" t="str">
        <f>VLOOKUP(Main_Presentation[[#This Row],[LC Number]],Main_Issuance[],8,0)</f>
        <v>MBL</v>
      </c>
      <c r="K314" s="17" t="str">
        <f>VLOOKUP(Main_Presentation[[#This Row],[LC Number]],Main_Issuance[],9,0)</f>
        <v>L01-YAMMAMA</v>
      </c>
      <c r="L314" s="17">
        <f>VLOOKUP(Main_Presentation[[#This Row],[LC Number]],Main_Issuance[],10,0)</f>
        <v>1020015</v>
      </c>
      <c r="M314" s="17" t="str">
        <f>VLOOKUP(Main_Presentation[[#This Row],[LC Number]],Main_Issuance[],11,0)</f>
        <v>SAR</v>
      </c>
      <c r="N314" s="84">
        <f>VLOOKUP(Main_Presentation[[#This Row],[LC Number]],Main_Issuance[],12,0)</f>
        <v>17700000</v>
      </c>
      <c r="O314" s="16" t="s">
        <v>20</v>
      </c>
      <c r="P314" s="16" t="s">
        <v>857</v>
      </c>
      <c r="Q314" s="131">
        <v>499080.45</v>
      </c>
      <c r="R314" s="18">
        <v>1</v>
      </c>
      <c r="S314" s="18">
        <f>Main_Presentation[[#This Row],[Invoice Amt (FCY)]]*Main_Presentation[[#This Row],[Rate]]</f>
        <v>499080.45</v>
      </c>
      <c r="T314" s="15">
        <v>45041</v>
      </c>
      <c r="U314" s="26">
        <f>VLOOKUP(Main_Presentation[[#This Row],[LC Number]],Main_Issuance[],18,0)</f>
        <v>0</v>
      </c>
      <c r="V314" s="19" t="s">
        <v>213</v>
      </c>
      <c r="W314" s="18" t="s">
        <v>857</v>
      </c>
      <c r="X314" s="16"/>
      <c r="Y314" s="234" t="str">
        <f>TRIM(LEFT(Main_Presentation[[#This Row],[Payment Terms]],3))</f>
        <v>0</v>
      </c>
      <c r="Z314" s="16"/>
      <c r="AA314" s="316" cm="1">
        <f t="array" ref="AA314">Settlement(Main_Presentation[[#This Row],[Bank]],Main_Presentation[[#This Row],[ Invoice Amt (SAR)]],Main_Presentation[[#This Row],[Date Recd]],Main_Presentation[[#This Row],[Due Date]],Main_Presentation[[#This Row],[Days]])</f>
        <v>1437.5</v>
      </c>
      <c r="AB314" s="16"/>
    </row>
    <row r="315" spans="1:28" ht="15.75" hidden="1" x14ac:dyDescent="0.25">
      <c r="A315" s="14" t="s">
        <v>211</v>
      </c>
      <c r="B315" s="15">
        <v>45175</v>
      </c>
      <c r="C315" s="26">
        <v>6</v>
      </c>
      <c r="D315" s="55" t="str">
        <f>VLOOKUP(Main_Presentation[[#This Row],[LC Number]],Main_Issuance[],3,0)</f>
        <v>Dipu Sir</v>
      </c>
      <c r="E315" s="16" t="s">
        <v>856</v>
      </c>
      <c r="F315" s="17" t="str">
        <f>VLOOKUP(Main_Presentation[[#This Row],[LC Number]],Main_Issuance[],5,0)</f>
        <v>Alinma</v>
      </c>
      <c r="G315" s="17" t="str">
        <f>VLOOKUP(Main_Presentation[[#This Row],[LC Number]],Main_Issuance[],6,0)</f>
        <v>KSP</v>
      </c>
      <c r="H315" s="17" t="str">
        <f>VLOOKUP(Main_Presentation[[#This Row],[LC Number]],Main_Issuance[],17,0)</f>
        <v>Credit</v>
      </c>
      <c r="I315" s="17" t="str">
        <f>VLOOKUP(Main_Presentation[[#This Row],[LC Number]],Main_Issuance[],7,0)</f>
        <v>GREEN CONCRETE CJSC 6550 AL QIRAWAN</v>
      </c>
      <c r="J315" s="17" t="str">
        <f>VLOOKUP(Main_Presentation[[#This Row],[LC Number]],Main_Issuance[],8,0)</f>
        <v>MBL</v>
      </c>
      <c r="K315" s="17" t="str">
        <f>VLOOKUP(Main_Presentation[[#This Row],[LC Number]],Main_Issuance[],9,0)</f>
        <v>L01-YAMMAMA</v>
      </c>
      <c r="L315" s="17">
        <f>VLOOKUP(Main_Presentation[[#This Row],[LC Number]],Main_Issuance[],10,0)</f>
        <v>1020015</v>
      </c>
      <c r="M315" s="17" t="str">
        <f>VLOOKUP(Main_Presentation[[#This Row],[LC Number]],Main_Issuance[],11,0)</f>
        <v>SAR</v>
      </c>
      <c r="N315" s="84">
        <f>VLOOKUP(Main_Presentation[[#This Row],[LC Number]],Main_Issuance[],12,0)</f>
        <v>17700000</v>
      </c>
      <c r="O315" s="16" t="s">
        <v>20</v>
      </c>
      <c r="P315" s="16" t="s">
        <v>857</v>
      </c>
      <c r="Q315" s="131">
        <v>574180.05000000005</v>
      </c>
      <c r="R315" s="18">
        <v>1</v>
      </c>
      <c r="S315" s="18">
        <f>Main_Presentation[[#This Row],[Invoice Amt (FCY)]]*Main_Presentation[[#This Row],[Rate]]</f>
        <v>574180.05000000005</v>
      </c>
      <c r="T315" s="15">
        <v>45041</v>
      </c>
      <c r="U315" s="26">
        <f>VLOOKUP(Main_Presentation[[#This Row],[LC Number]],Main_Issuance[],18,0)</f>
        <v>0</v>
      </c>
      <c r="V315" s="19" t="s">
        <v>213</v>
      </c>
      <c r="W315" s="18" t="s">
        <v>857</v>
      </c>
      <c r="X315" s="16"/>
      <c r="Y315" s="234" t="str">
        <f>TRIM(LEFT(Main_Presentation[[#This Row],[Payment Terms]],3))</f>
        <v>0</v>
      </c>
      <c r="Z315" s="16"/>
      <c r="AA315" s="316" cm="1">
        <f t="array" ref="AA315">Settlement(Main_Presentation[[#This Row],[Bank]],Main_Presentation[[#This Row],[ Invoice Amt (SAR)]],Main_Presentation[[#This Row],[Date Recd]],Main_Presentation[[#This Row],[Due Date]],Main_Presentation[[#This Row],[Days]])</f>
        <v>1437.5</v>
      </c>
      <c r="AB315" s="16"/>
    </row>
    <row r="316" spans="1:28" ht="15.75" hidden="1" x14ac:dyDescent="0.25">
      <c r="A316" s="14" t="s">
        <v>211</v>
      </c>
      <c r="B316" s="15">
        <v>45194</v>
      </c>
      <c r="C316" s="26">
        <v>8</v>
      </c>
      <c r="D316" s="55" t="str">
        <f>VLOOKUP(Main_Presentation[[#This Row],[LC Number]],Main_Issuance[],3,0)</f>
        <v>Dipu Sir</v>
      </c>
      <c r="E316" s="16" t="s">
        <v>856</v>
      </c>
      <c r="F316" s="17" t="str">
        <f>VLOOKUP(Main_Presentation[[#This Row],[LC Number]],Main_Issuance[],5,0)</f>
        <v>Alinma</v>
      </c>
      <c r="G316" s="17" t="str">
        <f>VLOOKUP(Main_Presentation[[#This Row],[LC Number]],Main_Issuance[],6,0)</f>
        <v>KSP</v>
      </c>
      <c r="H316" s="17" t="str">
        <f>VLOOKUP(Main_Presentation[[#This Row],[LC Number]],Main_Issuance[],17,0)</f>
        <v>Credit</v>
      </c>
      <c r="I316" s="17" t="str">
        <f>VLOOKUP(Main_Presentation[[#This Row],[LC Number]],Main_Issuance[],7,0)</f>
        <v>GREEN CONCRETE CJSC 6550 AL QIRAWAN</v>
      </c>
      <c r="J316" s="17" t="str">
        <f>VLOOKUP(Main_Presentation[[#This Row],[LC Number]],Main_Issuance[],8,0)</f>
        <v>MBL</v>
      </c>
      <c r="K316" s="17" t="str">
        <f>VLOOKUP(Main_Presentation[[#This Row],[LC Number]],Main_Issuance[],9,0)</f>
        <v>L01-YAMMAMA</v>
      </c>
      <c r="L316" s="17">
        <f>VLOOKUP(Main_Presentation[[#This Row],[LC Number]],Main_Issuance[],10,0)</f>
        <v>1020015</v>
      </c>
      <c r="M316" s="17" t="str">
        <f>VLOOKUP(Main_Presentation[[#This Row],[LC Number]],Main_Issuance[],11,0)</f>
        <v>SAR</v>
      </c>
      <c r="N316" s="84">
        <f>VLOOKUP(Main_Presentation[[#This Row],[LC Number]],Main_Issuance[],12,0)</f>
        <v>17700000</v>
      </c>
      <c r="O316" s="16" t="s">
        <v>20</v>
      </c>
      <c r="P316" s="16" t="s">
        <v>857</v>
      </c>
      <c r="Q316" s="131">
        <v>1962362.3</v>
      </c>
      <c r="R316" s="18">
        <v>1</v>
      </c>
      <c r="S316" s="18">
        <f>Main_Presentation[[#This Row],[Invoice Amt (FCY)]]*Main_Presentation[[#This Row],[Rate]]</f>
        <v>1962362.3</v>
      </c>
      <c r="T316" s="15">
        <v>45041</v>
      </c>
      <c r="U316" s="26">
        <f>VLOOKUP(Main_Presentation[[#This Row],[LC Number]],Main_Issuance[],18,0)</f>
        <v>0</v>
      </c>
      <c r="V316" s="19" t="s">
        <v>213</v>
      </c>
      <c r="W316" s="18" t="s">
        <v>857</v>
      </c>
      <c r="X316" s="16"/>
      <c r="Y316" s="234" t="str">
        <f>TRIM(LEFT(Main_Presentation[[#This Row],[Payment Terms]],3))</f>
        <v>0</v>
      </c>
      <c r="Z316" s="16"/>
      <c r="AA316" s="316" cm="1">
        <f t="array" ref="AA316">Settlement(Main_Presentation[[#This Row],[Bank]],Main_Presentation[[#This Row],[ Invoice Amt (SAR)]],Main_Presentation[[#This Row],[Date Recd]],Main_Presentation[[#This Row],[Due Date]],Main_Presentation[[#This Row],[Days]])</f>
        <v>1437.5</v>
      </c>
      <c r="AB316" s="16"/>
    </row>
    <row r="317" spans="1:28" ht="15.75" hidden="1" x14ac:dyDescent="0.25">
      <c r="A317" s="14" t="s">
        <v>211</v>
      </c>
      <c r="B317" s="15">
        <v>45194</v>
      </c>
      <c r="C317" s="26">
        <v>9</v>
      </c>
      <c r="D317" s="55" t="str">
        <f>VLOOKUP(Main_Presentation[[#This Row],[LC Number]],Main_Issuance[],3,0)</f>
        <v>Dipu Sir</v>
      </c>
      <c r="E317" s="16" t="s">
        <v>856</v>
      </c>
      <c r="F317" s="17" t="str">
        <f>VLOOKUP(Main_Presentation[[#This Row],[LC Number]],Main_Issuance[],5,0)</f>
        <v>Alinma</v>
      </c>
      <c r="G317" s="17" t="str">
        <f>VLOOKUP(Main_Presentation[[#This Row],[LC Number]],Main_Issuance[],6,0)</f>
        <v>KSP</v>
      </c>
      <c r="H317" s="17" t="str">
        <f>VLOOKUP(Main_Presentation[[#This Row],[LC Number]],Main_Issuance[],17,0)</f>
        <v>Credit</v>
      </c>
      <c r="I317" s="17" t="str">
        <f>VLOOKUP(Main_Presentation[[#This Row],[LC Number]],Main_Issuance[],7,0)</f>
        <v>GREEN CONCRETE CJSC 6550 AL QIRAWAN</v>
      </c>
      <c r="J317" s="17" t="str">
        <f>VLOOKUP(Main_Presentation[[#This Row],[LC Number]],Main_Issuance[],8,0)</f>
        <v>MBL</v>
      </c>
      <c r="K317" s="17" t="str">
        <f>VLOOKUP(Main_Presentation[[#This Row],[LC Number]],Main_Issuance[],9,0)</f>
        <v>L01-YAMMAMA</v>
      </c>
      <c r="L317" s="17">
        <f>VLOOKUP(Main_Presentation[[#This Row],[LC Number]],Main_Issuance[],10,0)</f>
        <v>1020015</v>
      </c>
      <c r="M317" s="17" t="str">
        <f>VLOOKUP(Main_Presentation[[#This Row],[LC Number]],Main_Issuance[],11,0)</f>
        <v>SAR</v>
      </c>
      <c r="N317" s="84">
        <f>VLOOKUP(Main_Presentation[[#This Row],[LC Number]],Main_Issuance[],12,0)</f>
        <v>17700000</v>
      </c>
      <c r="O317" s="16" t="s">
        <v>20</v>
      </c>
      <c r="P317" s="16" t="s">
        <v>857</v>
      </c>
      <c r="Q317" s="131">
        <v>1349921.75</v>
      </c>
      <c r="R317" s="18">
        <v>1</v>
      </c>
      <c r="S317" s="18">
        <f>Main_Presentation[[#This Row],[Invoice Amt (FCY)]]*Main_Presentation[[#This Row],[Rate]]</f>
        <v>1349921.75</v>
      </c>
      <c r="T317" s="15">
        <v>45041</v>
      </c>
      <c r="U317" s="26">
        <f>VLOOKUP(Main_Presentation[[#This Row],[LC Number]],Main_Issuance[],18,0)</f>
        <v>0</v>
      </c>
      <c r="V317" s="19" t="s">
        <v>213</v>
      </c>
      <c r="W317" s="18" t="s">
        <v>857</v>
      </c>
      <c r="X317" s="16"/>
      <c r="Y317" s="234" t="str">
        <f>TRIM(LEFT(Main_Presentation[[#This Row],[Payment Terms]],3))</f>
        <v>0</v>
      </c>
      <c r="Z317" s="16"/>
      <c r="AA317" s="316" cm="1">
        <f t="array" ref="AA317">Settlement(Main_Presentation[[#This Row],[Bank]],Main_Presentation[[#This Row],[ Invoice Amt (SAR)]],Main_Presentation[[#This Row],[Date Recd]],Main_Presentation[[#This Row],[Due Date]],Main_Presentation[[#This Row],[Days]])</f>
        <v>1437.5</v>
      </c>
      <c r="AB317" s="16"/>
    </row>
    <row r="318" spans="1:28" ht="15.75" hidden="1" x14ac:dyDescent="0.25">
      <c r="A318" s="14" t="s">
        <v>211</v>
      </c>
      <c r="B318" s="15">
        <v>45244</v>
      </c>
      <c r="C318" s="26">
        <v>10</v>
      </c>
      <c r="D318" s="55" t="str">
        <f>VLOOKUP(Main_Presentation[[#This Row],[LC Number]],Main_Issuance[],3,0)</f>
        <v>Dipu Sir</v>
      </c>
      <c r="E318" s="16" t="s">
        <v>856</v>
      </c>
      <c r="F318" s="17" t="str">
        <f>VLOOKUP(Main_Presentation[[#This Row],[LC Number]],Main_Issuance[],5,0)</f>
        <v>Alinma</v>
      </c>
      <c r="G318" s="17" t="str">
        <f>VLOOKUP(Main_Presentation[[#This Row],[LC Number]],Main_Issuance[],6,0)</f>
        <v>KSP</v>
      </c>
      <c r="H318" s="17" t="str">
        <f>VLOOKUP(Main_Presentation[[#This Row],[LC Number]],Main_Issuance[],17,0)</f>
        <v>Credit</v>
      </c>
      <c r="I318" s="17" t="str">
        <f>VLOOKUP(Main_Presentation[[#This Row],[LC Number]],Main_Issuance[],7,0)</f>
        <v>GREEN CONCRETE CJSC 6550 AL QIRAWAN</v>
      </c>
      <c r="J318" s="17" t="str">
        <f>VLOOKUP(Main_Presentation[[#This Row],[LC Number]],Main_Issuance[],8,0)</f>
        <v>MBL</v>
      </c>
      <c r="K318" s="17" t="str">
        <f>VLOOKUP(Main_Presentation[[#This Row],[LC Number]],Main_Issuance[],9,0)</f>
        <v>L01-YAMMAMA</v>
      </c>
      <c r="L318" s="17">
        <f>VLOOKUP(Main_Presentation[[#This Row],[LC Number]],Main_Issuance[],10,0)</f>
        <v>1020015</v>
      </c>
      <c r="M318" s="17" t="str">
        <f>VLOOKUP(Main_Presentation[[#This Row],[LC Number]],Main_Issuance[],11,0)</f>
        <v>SAR</v>
      </c>
      <c r="N318" s="84">
        <f>VLOOKUP(Main_Presentation[[#This Row],[LC Number]],Main_Issuance[],12,0)</f>
        <v>17700000</v>
      </c>
      <c r="O318" s="16" t="s">
        <v>20</v>
      </c>
      <c r="P318" s="16" t="s">
        <v>857</v>
      </c>
      <c r="Q318" s="131">
        <v>639460.94999999995</v>
      </c>
      <c r="R318" s="18">
        <v>1</v>
      </c>
      <c r="S318" s="18">
        <f>Main_Presentation[[#This Row],[Invoice Amt (FCY)]]*Main_Presentation[[#This Row],[Rate]]</f>
        <v>639460.94999999995</v>
      </c>
      <c r="T318" s="15">
        <v>45041</v>
      </c>
      <c r="U318" s="26">
        <f>VLOOKUP(Main_Presentation[[#This Row],[LC Number]],Main_Issuance[],18,0)</f>
        <v>0</v>
      </c>
      <c r="V318" s="19" t="s">
        <v>213</v>
      </c>
      <c r="W318" s="18" t="s">
        <v>857</v>
      </c>
      <c r="X318" s="16"/>
      <c r="Y318" s="234" t="str">
        <f>TRIM(LEFT(Main_Presentation[[#This Row],[Payment Terms]],3))</f>
        <v>0</v>
      </c>
      <c r="Z318" s="16"/>
      <c r="AA318" s="316" cm="1">
        <f t="array" ref="AA318">Settlement(Main_Presentation[[#This Row],[Bank]],Main_Presentation[[#This Row],[ Invoice Amt (SAR)]],Main_Presentation[[#This Row],[Date Recd]],Main_Presentation[[#This Row],[Due Date]],Main_Presentation[[#This Row],[Days]])</f>
        <v>1437.5</v>
      </c>
      <c r="AB318" s="16"/>
    </row>
    <row r="319" spans="1:28" ht="15.75" hidden="1" x14ac:dyDescent="0.25">
      <c r="A319" s="14" t="s">
        <v>211</v>
      </c>
      <c r="B319" s="15">
        <v>45271</v>
      </c>
      <c r="C319" s="26">
        <v>11</v>
      </c>
      <c r="D319" s="55" t="str">
        <f>VLOOKUP(Main_Presentation[[#This Row],[LC Number]],Main_Issuance[],3,0)</f>
        <v>Dipu Sir</v>
      </c>
      <c r="E319" s="16" t="s">
        <v>856</v>
      </c>
      <c r="F319" s="17" t="str">
        <f>VLOOKUP(Main_Presentation[[#This Row],[LC Number]],Main_Issuance[],5,0)</f>
        <v>Alinma</v>
      </c>
      <c r="G319" s="17" t="str">
        <f>VLOOKUP(Main_Presentation[[#This Row],[LC Number]],Main_Issuance[],6,0)</f>
        <v>KSP</v>
      </c>
      <c r="H319" s="17" t="str">
        <f>VLOOKUP(Main_Presentation[[#This Row],[LC Number]],Main_Issuance[],17,0)</f>
        <v>Credit</v>
      </c>
      <c r="I319" s="17" t="str">
        <f>VLOOKUP(Main_Presentation[[#This Row],[LC Number]],Main_Issuance[],7,0)</f>
        <v>GREEN CONCRETE CJSC 6550 AL QIRAWAN</v>
      </c>
      <c r="J319" s="17" t="str">
        <f>VLOOKUP(Main_Presentation[[#This Row],[LC Number]],Main_Issuance[],8,0)</f>
        <v>MBL</v>
      </c>
      <c r="K319" s="17" t="str">
        <f>VLOOKUP(Main_Presentation[[#This Row],[LC Number]],Main_Issuance[],9,0)</f>
        <v>L01-YAMMAMA</v>
      </c>
      <c r="L319" s="17">
        <f>VLOOKUP(Main_Presentation[[#This Row],[LC Number]],Main_Issuance[],10,0)</f>
        <v>1020015</v>
      </c>
      <c r="M319" s="17" t="str">
        <f>VLOOKUP(Main_Presentation[[#This Row],[LC Number]],Main_Issuance[],11,0)</f>
        <v>SAR</v>
      </c>
      <c r="N319" s="84">
        <f>VLOOKUP(Main_Presentation[[#This Row],[LC Number]],Main_Issuance[],12,0)</f>
        <v>17700000</v>
      </c>
      <c r="O319" s="16" t="s">
        <v>20</v>
      </c>
      <c r="P319" s="16" t="s">
        <v>857</v>
      </c>
      <c r="Q319" s="131">
        <v>1243774.45</v>
      </c>
      <c r="R319" s="18">
        <v>1</v>
      </c>
      <c r="S319" s="18">
        <f>Main_Presentation[[#This Row],[Invoice Amt (FCY)]]*Main_Presentation[[#This Row],[Rate]]</f>
        <v>1243774.45</v>
      </c>
      <c r="T319" s="15">
        <v>45041</v>
      </c>
      <c r="U319" s="26">
        <f>VLOOKUP(Main_Presentation[[#This Row],[LC Number]],Main_Issuance[],18,0)</f>
        <v>0</v>
      </c>
      <c r="V319" s="19" t="s">
        <v>213</v>
      </c>
      <c r="W319" s="18" t="s">
        <v>857</v>
      </c>
      <c r="X319" s="16"/>
      <c r="Y319" s="234" t="str">
        <f>TRIM(LEFT(Main_Presentation[[#This Row],[Payment Terms]],3))</f>
        <v>0</v>
      </c>
      <c r="Z319" s="16"/>
      <c r="AA319" s="316" cm="1">
        <f t="array" ref="AA319">Settlement(Main_Presentation[[#This Row],[Bank]],Main_Presentation[[#This Row],[ Invoice Amt (SAR)]],Main_Presentation[[#This Row],[Date Recd]],Main_Presentation[[#This Row],[Due Date]],Main_Presentation[[#This Row],[Days]])</f>
        <v>1437.5</v>
      </c>
      <c r="AB319" s="16"/>
    </row>
    <row r="320" spans="1:28" ht="15.75" hidden="1" x14ac:dyDescent="0.25">
      <c r="A320" s="14" t="s">
        <v>211</v>
      </c>
      <c r="B320" s="15">
        <v>45271</v>
      </c>
      <c r="C320" s="26">
        <v>12</v>
      </c>
      <c r="D320" s="55" t="str">
        <f>VLOOKUP(Main_Presentation[[#This Row],[LC Number]],Main_Issuance[],3,0)</f>
        <v>Dipu Sir</v>
      </c>
      <c r="E320" s="16" t="s">
        <v>856</v>
      </c>
      <c r="F320" s="17" t="str">
        <f>VLOOKUP(Main_Presentation[[#This Row],[LC Number]],Main_Issuance[],5,0)</f>
        <v>Alinma</v>
      </c>
      <c r="G320" s="17" t="str">
        <f>VLOOKUP(Main_Presentation[[#This Row],[LC Number]],Main_Issuance[],6,0)</f>
        <v>KSP</v>
      </c>
      <c r="H320" s="17" t="str">
        <f>VLOOKUP(Main_Presentation[[#This Row],[LC Number]],Main_Issuance[],17,0)</f>
        <v>Credit</v>
      </c>
      <c r="I320" s="17" t="str">
        <f>VLOOKUP(Main_Presentation[[#This Row],[LC Number]],Main_Issuance[],7,0)</f>
        <v>GREEN CONCRETE CJSC 6550 AL QIRAWAN</v>
      </c>
      <c r="J320" s="17" t="str">
        <f>VLOOKUP(Main_Presentation[[#This Row],[LC Number]],Main_Issuance[],8,0)</f>
        <v>MBL</v>
      </c>
      <c r="K320" s="17" t="str">
        <f>VLOOKUP(Main_Presentation[[#This Row],[LC Number]],Main_Issuance[],9,0)</f>
        <v>L01-YAMMAMA</v>
      </c>
      <c r="L320" s="17">
        <f>VLOOKUP(Main_Presentation[[#This Row],[LC Number]],Main_Issuance[],10,0)</f>
        <v>1020015</v>
      </c>
      <c r="M320" s="17" t="str">
        <f>VLOOKUP(Main_Presentation[[#This Row],[LC Number]],Main_Issuance[],11,0)</f>
        <v>SAR</v>
      </c>
      <c r="N320" s="84">
        <f>VLOOKUP(Main_Presentation[[#This Row],[LC Number]],Main_Issuance[],12,0)</f>
        <v>17700000</v>
      </c>
      <c r="O320" s="16" t="s">
        <v>20</v>
      </c>
      <c r="P320" s="16" t="s">
        <v>857</v>
      </c>
      <c r="Q320" s="131">
        <v>238395</v>
      </c>
      <c r="R320" s="18">
        <v>1</v>
      </c>
      <c r="S320" s="18">
        <f>Main_Presentation[[#This Row],[Invoice Amt (FCY)]]*Main_Presentation[[#This Row],[Rate]]</f>
        <v>238395</v>
      </c>
      <c r="T320" s="15">
        <v>45041</v>
      </c>
      <c r="U320" s="26">
        <f>VLOOKUP(Main_Presentation[[#This Row],[LC Number]],Main_Issuance[],18,0)</f>
        <v>0</v>
      </c>
      <c r="V320" s="19" t="s">
        <v>213</v>
      </c>
      <c r="W320" s="18" t="s">
        <v>857</v>
      </c>
      <c r="X320" s="16"/>
      <c r="Y320" s="234" t="str">
        <f>TRIM(LEFT(Main_Presentation[[#This Row],[Payment Terms]],3))</f>
        <v>0</v>
      </c>
      <c r="Z320" s="16"/>
      <c r="AA320" s="316" cm="1">
        <f t="array" ref="AA320">Settlement(Main_Presentation[[#This Row],[Bank]],Main_Presentation[[#This Row],[ Invoice Amt (SAR)]],Main_Presentation[[#This Row],[Date Recd]],Main_Presentation[[#This Row],[Due Date]],Main_Presentation[[#This Row],[Days]])</f>
        <v>1437.5</v>
      </c>
      <c r="AB320" s="16"/>
    </row>
    <row r="321" spans="1:28" ht="15.75" hidden="1" x14ac:dyDescent="0.25">
      <c r="A321" s="14" t="s">
        <v>211</v>
      </c>
      <c r="B321" s="15">
        <v>45301</v>
      </c>
      <c r="C321" s="26">
        <v>13</v>
      </c>
      <c r="D321" s="55" t="str">
        <f>VLOOKUP(Main_Presentation[[#This Row],[LC Number]],Main_Issuance[],3,0)</f>
        <v>Dipu Sir</v>
      </c>
      <c r="E321" s="16" t="s">
        <v>856</v>
      </c>
      <c r="F321" s="17" t="str">
        <f>VLOOKUP(Main_Presentation[[#This Row],[LC Number]],Main_Issuance[],5,0)</f>
        <v>Alinma</v>
      </c>
      <c r="G321" s="17" t="str">
        <f>VLOOKUP(Main_Presentation[[#This Row],[LC Number]],Main_Issuance[],6,0)</f>
        <v>KSP</v>
      </c>
      <c r="H321" s="17" t="str">
        <f>VLOOKUP(Main_Presentation[[#This Row],[LC Number]],Main_Issuance[],17,0)</f>
        <v>Credit</v>
      </c>
      <c r="I321" s="17" t="str">
        <f>VLOOKUP(Main_Presentation[[#This Row],[LC Number]],Main_Issuance[],7,0)</f>
        <v>GREEN CONCRETE CJSC 6550 AL QIRAWAN</v>
      </c>
      <c r="J321" s="17" t="str">
        <f>VLOOKUP(Main_Presentation[[#This Row],[LC Number]],Main_Issuance[],8,0)</f>
        <v>MBL</v>
      </c>
      <c r="K321" s="17" t="str">
        <f>VLOOKUP(Main_Presentation[[#This Row],[LC Number]],Main_Issuance[],9,0)</f>
        <v>L01-YAMMAMA</v>
      </c>
      <c r="L321" s="17">
        <f>VLOOKUP(Main_Presentation[[#This Row],[LC Number]],Main_Issuance[],10,0)</f>
        <v>1020015</v>
      </c>
      <c r="M321" s="17" t="str">
        <f>VLOOKUP(Main_Presentation[[#This Row],[LC Number]],Main_Issuance[],11,0)</f>
        <v>SAR</v>
      </c>
      <c r="N321" s="84">
        <f>VLOOKUP(Main_Presentation[[#This Row],[LC Number]],Main_Issuance[],12,0)</f>
        <v>17700000</v>
      </c>
      <c r="O321" s="16" t="s">
        <v>20</v>
      </c>
      <c r="P321" s="16" t="s">
        <v>857</v>
      </c>
      <c r="Q321" s="131">
        <v>488026.65</v>
      </c>
      <c r="R321" s="18">
        <v>1</v>
      </c>
      <c r="S321" s="18">
        <f>Main_Presentation[[#This Row],[Invoice Amt (FCY)]]*Main_Presentation[[#This Row],[Rate]]</f>
        <v>488026.65</v>
      </c>
      <c r="T321" s="15">
        <v>45041</v>
      </c>
      <c r="U321" s="26">
        <f>VLOOKUP(Main_Presentation[[#This Row],[LC Number]],Main_Issuance[],18,0)</f>
        <v>0</v>
      </c>
      <c r="V321" s="19" t="s">
        <v>213</v>
      </c>
      <c r="W321" s="18" t="s">
        <v>857</v>
      </c>
      <c r="X321" s="16"/>
      <c r="Y321" s="234" t="str">
        <f>TRIM(LEFT(Main_Presentation[[#This Row],[Payment Terms]],3))</f>
        <v>0</v>
      </c>
      <c r="Z321" s="16"/>
      <c r="AA321" s="316" cm="1">
        <f t="array" ref="AA321">Settlement(Main_Presentation[[#This Row],[Bank]],Main_Presentation[[#This Row],[ Invoice Amt (SAR)]],Main_Presentation[[#This Row],[Date Recd]],Main_Presentation[[#This Row],[Due Date]],Main_Presentation[[#This Row],[Days]])</f>
        <v>1437.5</v>
      </c>
      <c r="AB321" s="16"/>
    </row>
    <row r="322" spans="1:28" ht="15.75" hidden="1" x14ac:dyDescent="0.25">
      <c r="A322" s="14" t="s">
        <v>211</v>
      </c>
      <c r="B322" s="15">
        <v>45327</v>
      </c>
      <c r="C322" s="26">
        <v>14</v>
      </c>
      <c r="D322" s="55" t="str">
        <f>VLOOKUP(Main_Presentation[[#This Row],[LC Number]],Main_Issuance[],3,0)</f>
        <v>Dipu Sir</v>
      </c>
      <c r="E322" s="16" t="s">
        <v>856</v>
      </c>
      <c r="F322" s="17" t="str">
        <f>VLOOKUP(Main_Presentation[[#This Row],[LC Number]],Main_Issuance[],5,0)</f>
        <v>Alinma</v>
      </c>
      <c r="G322" s="17" t="str">
        <f>VLOOKUP(Main_Presentation[[#This Row],[LC Number]],Main_Issuance[],6,0)</f>
        <v>KSP</v>
      </c>
      <c r="H322" s="17" t="str">
        <f>VLOOKUP(Main_Presentation[[#This Row],[LC Number]],Main_Issuance[],17,0)</f>
        <v>Credit</v>
      </c>
      <c r="I322" s="17" t="str">
        <f>VLOOKUP(Main_Presentation[[#This Row],[LC Number]],Main_Issuance[],7,0)</f>
        <v>GREEN CONCRETE CJSC 6550 AL QIRAWAN</v>
      </c>
      <c r="J322" s="17" t="str">
        <f>VLOOKUP(Main_Presentation[[#This Row],[LC Number]],Main_Issuance[],8,0)</f>
        <v>MBL</v>
      </c>
      <c r="K322" s="17" t="str">
        <f>VLOOKUP(Main_Presentation[[#This Row],[LC Number]],Main_Issuance[],9,0)</f>
        <v>L01-YAMMAMA</v>
      </c>
      <c r="L322" s="17">
        <f>VLOOKUP(Main_Presentation[[#This Row],[LC Number]],Main_Issuance[],10,0)</f>
        <v>1020015</v>
      </c>
      <c r="M322" s="17" t="str">
        <f>VLOOKUP(Main_Presentation[[#This Row],[LC Number]],Main_Issuance[],11,0)</f>
        <v>SAR</v>
      </c>
      <c r="N322" s="84">
        <f>VLOOKUP(Main_Presentation[[#This Row],[LC Number]],Main_Issuance[],12,0)</f>
        <v>17700000</v>
      </c>
      <c r="O322" s="16" t="s">
        <v>20</v>
      </c>
      <c r="P322" s="16" t="s">
        <v>857</v>
      </c>
      <c r="Q322" s="131">
        <v>750493.45</v>
      </c>
      <c r="R322" s="18">
        <v>1</v>
      </c>
      <c r="S322" s="18">
        <f>Main_Presentation[[#This Row],[Invoice Amt (FCY)]]*Main_Presentation[[#This Row],[Rate]]</f>
        <v>750493.45</v>
      </c>
      <c r="T322" s="15">
        <v>45041</v>
      </c>
      <c r="U322" s="26">
        <f>VLOOKUP(Main_Presentation[[#This Row],[LC Number]],Main_Issuance[],18,0)</f>
        <v>0</v>
      </c>
      <c r="V322" s="19" t="s">
        <v>213</v>
      </c>
      <c r="W322" s="18" t="s">
        <v>857</v>
      </c>
      <c r="X322" s="16"/>
      <c r="Y322" s="234" t="str">
        <f>TRIM(LEFT(Main_Presentation[[#This Row],[Payment Terms]],3))</f>
        <v>0</v>
      </c>
      <c r="Z322" s="16"/>
      <c r="AA322" s="316" cm="1">
        <f t="array" ref="AA322">Settlement(Main_Presentation[[#This Row],[Bank]],Main_Presentation[[#This Row],[ Invoice Amt (SAR)]],Main_Presentation[[#This Row],[Date Recd]],Main_Presentation[[#This Row],[Due Date]],Main_Presentation[[#This Row],[Days]])</f>
        <v>1437.5</v>
      </c>
      <c r="AB322" s="16"/>
    </row>
    <row r="323" spans="1:28" ht="15.75" hidden="1" x14ac:dyDescent="0.25">
      <c r="A323" s="14" t="s">
        <v>302</v>
      </c>
      <c r="B323" s="15">
        <v>45631</v>
      </c>
      <c r="C323" s="26">
        <v>1</v>
      </c>
      <c r="D323" s="55" t="str">
        <f>VLOOKUP(Main_Presentation[[#This Row],[LC Number]],Main_Issuance[],3,0)</f>
        <v>Rabih Makhoul</v>
      </c>
      <c r="E323" s="16" t="s">
        <v>856</v>
      </c>
      <c r="F323" s="17" t="str">
        <f>VLOOKUP(Main_Presentation[[#This Row],[LC Number]],Main_Issuance[],5,0)</f>
        <v>Alinma</v>
      </c>
      <c r="G323" s="17" t="str">
        <f>VLOOKUP(Main_Presentation[[#This Row],[LC Number]],Main_Issuance[],6,0)</f>
        <v>KSP</v>
      </c>
      <c r="H323" s="17" t="str">
        <f>VLOOKUP(Main_Presentation[[#This Row],[LC Number]],Main_Issuance[],17,0)</f>
        <v>Credit</v>
      </c>
      <c r="I323" s="17" t="str">
        <f>VLOOKUP(Main_Presentation[[#This Row],[LC Number]],Main_Issuance[],7,0)</f>
        <v>Al Faisal Steel Products Co.</v>
      </c>
      <c r="J323" s="17" t="str">
        <f>VLOOKUP(Main_Presentation[[#This Row],[LC Number]],Main_Issuance[],8,0)</f>
        <v>MBL</v>
      </c>
      <c r="K323" s="17" t="str">
        <f>VLOOKUP(Main_Presentation[[#This Row],[LC Number]],Main_Issuance[],9,0)</f>
        <v>Neom - The Line</v>
      </c>
      <c r="L323" s="17">
        <f>VLOOKUP(Main_Presentation[[#This Row],[LC Number]],Main_Issuance[],10,0)</f>
        <v>1020098</v>
      </c>
      <c r="M323" s="17" t="str">
        <f>VLOOKUP(Main_Presentation[[#This Row],[LC Number]],Main_Issuance[],11,0)</f>
        <v>SAR</v>
      </c>
      <c r="N323" s="84">
        <f>VLOOKUP(Main_Presentation[[#This Row],[LC Number]],Main_Issuance[],12,0)</f>
        <v>3059710.07</v>
      </c>
      <c r="O323" s="16" t="s">
        <v>20</v>
      </c>
      <c r="P323" s="16" t="s">
        <v>857</v>
      </c>
      <c r="Q323" s="131">
        <v>1970061.04</v>
      </c>
      <c r="R323" s="18">
        <v>1</v>
      </c>
      <c r="S323" s="18">
        <f>Main_Presentation[[#This Row],[Invoice Amt (FCY)]]*Main_Presentation[[#This Row],[Rate]]</f>
        <v>1970061.04</v>
      </c>
      <c r="T323" s="15">
        <v>45667</v>
      </c>
      <c r="U323" s="26" t="str">
        <f>VLOOKUP(Main_Presentation[[#This Row],[LC Number]],Main_Issuance[],18,0)</f>
        <v>45 Days from Invoice Date</v>
      </c>
      <c r="V323" s="19" t="s">
        <v>22</v>
      </c>
      <c r="W323" s="22" t="s">
        <v>378</v>
      </c>
      <c r="X323" s="16"/>
      <c r="Y323" s="234" t="str">
        <f>TRIM(LEFT(Main_Presentation[[#This Row],[Payment Terms]],3))</f>
        <v>45</v>
      </c>
      <c r="Z323" s="16"/>
      <c r="AA323" s="316" cm="1">
        <f t="array" ref="AA323">Settlement(Main_Presentation[[#This Row],[Bank]],Main_Presentation[[#This Row],[ Invoice Amt (SAR)]],Main_Presentation[[#This Row],[Date Recd]],Main_Presentation[[#This Row],[Due Date]],Main_Presentation[[#This Row],[Days]])</f>
        <v>1437.5</v>
      </c>
      <c r="AB323" s="16"/>
    </row>
    <row r="324" spans="1:28" ht="15.75" hidden="1" x14ac:dyDescent="0.25">
      <c r="A324" s="20" t="s">
        <v>302</v>
      </c>
      <c r="B324" s="15">
        <v>45726</v>
      </c>
      <c r="C324" s="26">
        <v>2</v>
      </c>
      <c r="D324" s="55" t="str">
        <f>VLOOKUP(Main_Presentation[[#This Row],[LC Number]],Main_Issuance[],3,0)</f>
        <v>Rabih Makhoul</v>
      </c>
      <c r="E324" s="16" t="s">
        <v>856</v>
      </c>
      <c r="F324" s="16" t="str">
        <f>VLOOKUP(Main_Presentation[[#This Row],[LC Number]],Main_Issuance[],5,0)</f>
        <v>Alinma</v>
      </c>
      <c r="G324" s="16" t="str">
        <f>VLOOKUP(Main_Presentation[[#This Row],[LC Number]],Main_Issuance[],6,0)</f>
        <v>KSP</v>
      </c>
      <c r="H324" s="16" t="str">
        <f>VLOOKUP(Main_Presentation[[#This Row],[LC Number]],Main_Issuance[],17,0)</f>
        <v>Credit</v>
      </c>
      <c r="I324" s="16" t="str">
        <f>VLOOKUP(Main_Presentation[[#This Row],[LC Number]],Main_Issuance[],7,0)</f>
        <v>Al Faisal Steel Products Co.</v>
      </c>
      <c r="J324" s="16" t="str">
        <f>VLOOKUP(Main_Presentation[[#This Row],[LC Number]],Main_Issuance[],8,0)</f>
        <v>MBL</v>
      </c>
      <c r="K324" s="16" t="str">
        <f>VLOOKUP(Main_Presentation[[#This Row],[LC Number]],Main_Issuance[],9,0)</f>
        <v>Neom - The Line</v>
      </c>
      <c r="L324" s="16">
        <f>VLOOKUP(Main_Presentation[[#This Row],[LC Number]],Main_Issuance[],10,0)</f>
        <v>1020098</v>
      </c>
      <c r="M324" s="16" t="str">
        <f>VLOOKUP(Main_Presentation[[#This Row],[LC Number]],Main_Issuance[],11,0)</f>
        <v>SAR</v>
      </c>
      <c r="N324" s="86">
        <f>VLOOKUP(Main_Presentation[[#This Row],[LC Number]],Main_Issuance[],12,0)</f>
        <v>3059710.07</v>
      </c>
      <c r="O324" s="16" t="s">
        <v>20</v>
      </c>
      <c r="P324" s="16" t="s">
        <v>857</v>
      </c>
      <c r="Q324" s="131">
        <v>1089072.28</v>
      </c>
      <c r="R324" s="18">
        <v>1</v>
      </c>
      <c r="S324" s="18">
        <f>Main_Presentation[[#This Row],[Invoice Amt (FCY)]]*Main_Presentation[[#This Row],[Rate]]</f>
        <v>1089072.28</v>
      </c>
      <c r="T324" s="15">
        <v>45754</v>
      </c>
      <c r="U324" s="26" t="str">
        <f>VLOOKUP(Main_Presentation[[#This Row],[LC Number]],Main_Issuance[],18,0)</f>
        <v>45 Days from Invoice Date</v>
      </c>
      <c r="V324" s="21" t="s">
        <v>511</v>
      </c>
      <c r="W324" s="22" t="s">
        <v>378</v>
      </c>
      <c r="X324" s="16"/>
      <c r="Y324" s="234" t="str">
        <f>TRIM(LEFT(Main_Presentation[[#This Row],[Payment Terms]],3))</f>
        <v>45</v>
      </c>
      <c r="Z324" s="16"/>
      <c r="AA324" s="316" cm="1">
        <f t="array" ref="AA324">Settlement(Main_Presentation[[#This Row],[Bank]],Main_Presentation[[#This Row],[ Invoice Amt (SAR)]],Main_Presentation[[#This Row],[Date Recd]],Main_Presentation[[#This Row],[Due Date]],Main_Presentation[[#This Row],[Days]])</f>
        <v>1437.5</v>
      </c>
      <c r="AB324" s="16"/>
    </row>
    <row r="325" spans="1:28" ht="15.75" hidden="1" x14ac:dyDescent="0.25">
      <c r="A325" s="20" t="s">
        <v>741</v>
      </c>
      <c r="B325" s="15">
        <v>45771</v>
      </c>
      <c r="C325" s="26">
        <v>1</v>
      </c>
      <c r="D325" s="55" t="str">
        <f>VLOOKUP(Main_Presentation[[#This Row],[LC Number]],Main_Issuance[],3,0)</f>
        <v>Hassan Taleb</v>
      </c>
      <c r="E325" s="16" t="s">
        <v>856</v>
      </c>
      <c r="F325" s="16" t="str">
        <f>VLOOKUP(Main_Presentation[[#This Row],[LC Number]],Main_Issuance[],5,0)</f>
        <v>Alinma</v>
      </c>
      <c r="G325" s="16" t="str">
        <f>VLOOKUP(Main_Presentation[[#This Row],[LC Number]],Main_Issuance[],6,0)</f>
        <v>KSP</v>
      </c>
      <c r="H325" s="16" t="str">
        <f>VLOOKUP(Main_Presentation[[#This Row],[LC Number]],Main_Issuance[],17,0)</f>
        <v>Credit</v>
      </c>
      <c r="I325" s="16" t="str">
        <f>VLOOKUP(Main_Presentation[[#This Row],[LC Number]],Main_Issuance[],7,0)</f>
        <v>Roots Innovative Industrial Co</v>
      </c>
      <c r="J325" s="16" t="str">
        <f>VLOOKUP(Main_Presentation[[#This Row],[LC Number]],Main_Issuance[],8,0)</f>
        <v>FIRST FIX</v>
      </c>
      <c r="K325" s="16" t="str">
        <f>VLOOKUP(Main_Presentation[[#This Row],[LC Number]],Main_Issuance[],9,0)</f>
        <v>Old Dues</v>
      </c>
      <c r="L325" s="16">
        <f>VLOOKUP(Main_Presentation[[#This Row],[LC Number]],Main_Issuance[],10,0)</f>
        <v>0</v>
      </c>
      <c r="M325" s="16" t="str">
        <f>VLOOKUP(Main_Presentation[[#This Row],[LC Number]],Main_Issuance[],11,0)</f>
        <v>SAR</v>
      </c>
      <c r="N325" s="86">
        <f>VLOOKUP(Main_Presentation[[#This Row],[LC Number]],Main_Issuance[],12,0)</f>
        <v>2500000</v>
      </c>
      <c r="O325" s="16" t="s">
        <v>20</v>
      </c>
      <c r="P325" s="16" t="s">
        <v>857</v>
      </c>
      <c r="Q325" s="131">
        <v>2500000</v>
      </c>
      <c r="R325" s="18">
        <v>1</v>
      </c>
      <c r="S325" s="38">
        <f>Main_Presentation[[#This Row],[Invoice Amt (FCY)]]*Main_Presentation[[#This Row],[Rate]]</f>
        <v>2500000</v>
      </c>
      <c r="T325" s="15">
        <v>45860</v>
      </c>
      <c r="U325" s="26" t="str">
        <f>VLOOKUP(Main_Presentation[[#This Row],[LC Number]],Main_Issuance[],18,0)</f>
        <v>90 Days from Invoice Date</v>
      </c>
      <c r="V325" s="21" t="s">
        <v>22</v>
      </c>
      <c r="W325" s="132" t="s">
        <v>378</v>
      </c>
      <c r="X325" s="16"/>
      <c r="Y325" s="234" t="str">
        <f>TRIM(LEFT(Main_Presentation[[#This Row],[Payment Terms]],3))</f>
        <v>90</v>
      </c>
      <c r="Z325" s="16"/>
      <c r="AA325" s="316" cm="1">
        <f t="array" ref="AA325">Settlement(Main_Presentation[[#This Row],[Bank]],Main_Presentation[[#This Row],[ Invoice Amt (SAR)]],Main_Presentation[[#This Row],[Date Recd]],Main_Presentation[[#This Row],[Due Date]],Main_Presentation[[#This Row],[Days]])</f>
        <v>3593.75</v>
      </c>
      <c r="AB325" s="16"/>
    </row>
    <row r="326" spans="1:28" ht="15.75" hidden="1" x14ac:dyDescent="0.25">
      <c r="A326" s="20" t="s">
        <v>1191</v>
      </c>
      <c r="B326" s="15">
        <v>45784</v>
      </c>
      <c r="C326" s="26">
        <v>1</v>
      </c>
      <c r="D326" s="55" t="str">
        <f>VLOOKUP(Main_Presentation[[#This Row],[LC Number]],Main_Issuance[],3,0)</f>
        <v>Rabih Makhoul</v>
      </c>
      <c r="E326" s="16" t="s">
        <v>858</v>
      </c>
      <c r="F326" s="16" t="str">
        <f>VLOOKUP(Main_Presentation[[#This Row],[LC Number]],Main_Issuance[],5,0)</f>
        <v>Alinma</v>
      </c>
      <c r="G326" s="16" t="str">
        <f>VLOOKUP(Main_Presentation[[#This Row],[LC Number]],Main_Issuance[],6,0)</f>
        <v>KSP</v>
      </c>
      <c r="H326" s="16" t="str">
        <f>VLOOKUP(Main_Presentation[[#This Row],[LC Number]],Main_Issuance[],17,0)</f>
        <v>Credit</v>
      </c>
      <c r="I326" s="16" t="str">
        <f>VLOOKUP(Main_Presentation[[#This Row],[LC Number]],Main_Issuance[],7,0)</f>
        <v>Awtad Jeddah for General Contracting Company</v>
      </c>
      <c r="J326" s="16" t="str">
        <f>VLOOKUP(Main_Presentation[[#This Row],[LC Number]],Main_Issuance[],8,0)</f>
        <v>MBL</v>
      </c>
      <c r="K326" s="16" t="str">
        <f>VLOOKUP(Main_Presentation[[#This Row],[LC Number]],Main_Issuance[],9,0)</f>
        <v>Rabigh Power Plant</v>
      </c>
      <c r="L326" s="16">
        <f>VLOOKUP(Main_Presentation[[#This Row],[LC Number]],Main_Issuance[],10,0)</f>
        <v>1020107</v>
      </c>
      <c r="M326" s="16" t="str">
        <f>VLOOKUP(Main_Presentation[[#This Row],[LC Number]],Main_Issuance[],11,0)</f>
        <v>SAR</v>
      </c>
      <c r="N326" s="86">
        <f>VLOOKUP(Main_Presentation[[#This Row],[LC Number]],Main_Issuance[],12,0)</f>
        <v>5233040.5</v>
      </c>
      <c r="O326" s="140" t="s">
        <v>20</v>
      </c>
      <c r="P326" s="16" t="s">
        <v>857</v>
      </c>
      <c r="Q326" s="131">
        <v>689500</v>
      </c>
      <c r="R326" s="18">
        <v>1</v>
      </c>
      <c r="S326" s="18">
        <f>Main_Presentation[[#This Row],[Invoice Amt (FCY)]]*Main_Presentation[[#This Row],[Rate]]</f>
        <v>689500</v>
      </c>
      <c r="T326" s="15">
        <v>45823</v>
      </c>
      <c r="U326" s="26" t="str">
        <f>VLOOKUP(Main_Presentation[[#This Row],[LC Number]],Main_Issuance[],18,0)</f>
        <v>45 Days from Applicant Sign on Invoice</v>
      </c>
      <c r="V326" s="21" t="s">
        <v>511</v>
      </c>
      <c r="W326" s="22" t="s">
        <v>857</v>
      </c>
      <c r="X326" s="16"/>
      <c r="Y326" s="234" t="str">
        <f>TRIM(LEFT(Main_Presentation[[#This Row],[Payment Terms]],3))</f>
        <v>45</v>
      </c>
      <c r="Z326" s="16"/>
      <c r="AA326" s="316" cm="1">
        <f t="array" ref="AA326">Settlement(Main_Presentation[[#This Row],[Bank]],Main_Presentation[[#This Row],[ Invoice Amt (SAR)]],Main_Presentation[[#This Row],[Date Recd]],Main_Presentation[[#This Row],[Due Date]],Main_Presentation[[#This Row],[Days]])</f>
        <v>1437.5</v>
      </c>
      <c r="AB326" s="16"/>
    </row>
    <row r="327" spans="1:28" ht="15.75" hidden="1" x14ac:dyDescent="0.25">
      <c r="A327" s="20" t="s">
        <v>794</v>
      </c>
      <c r="B327" s="15">
        <v>45797</v>
      </c>
      <c r="C327" s="26">
        <v>2</v>
      </c>
      <c r="D327" s="55" t="str">
        <f>VLOOKUP(Main_Presentation[[#This Row],[LC Number]],Main_Issuance[],3,0)</f>
        <v>Hassan Taleb</v>
      </c>
      <c r="E327" s="16" t="s">
        <v>856</v>
      </c>
      <c r="F327" s="16" t="str">
        <f>VLOOKUP(Main_Presentation[[#This Row],[LC Number]],Main_Issuance[],5,0)</f>
        <v>Alinma</v>
      </c>
      <c r="G327" s="16" t="str">
        <f>VLOOKUP(Main_Presentation[[#This Row],[LC Number]],Main_Issuance[],6,0)</f>
        <v>KSP</v>
      </c>
      <c r="H327" s="16" t="str">
        <f>VLOOKUP(Main_Presentation[[#This Row],[LC Number]],Main_Issuance[],17,0)</f>
        <v>Credit</v>
      </c>
      <c r="I327" s="16" t="str">
        <f>VLOOKUP(Main_Presentation[[#This Row],[LC Number]],Main_Issuance[],7,0)</f>
        <v>Al Fanar Electrical Systems</v>
      </c>
      <c r="J327" s="16" t="str">
        <f>VLOOKUP(Main_Presentation[[#This Row],[LC Number]],Main_Issuance[],8,0)</f>
        <v>FIRST FIX</v>
      </c>
      <c r="K327" s="16" t="str">
        <f>VLOOKUP(Main_Presentation[[#This Row],[LC Number]],Main_Issuance[],9,0)</f>
        <v>KSP</v>
      </c>
      <c r="L327" s="16">
        <f>VLOOKUP(Main_Presentation[[#This Row],[LC Number]],Main_Issuance[],10,0)</f>
        <v>1020055</v>
      </c>
      <c r="M327" s="16" t="str">
        <f>VLOOKUP(Main_Presentation[[#This Row],[LC Number]],Main_Issuance[],11,0)</f>
        <v>SAR</v>
      </c>
      <c r="N327" s="86">
        <f>VLOOKUP(Main_Presentation[[#This Row],[LC Number]],Main_Issuance[],12,0)</f>
        <v>2626749.98</v>
      </c>
      <c r="O327" s="16" t="s">
        <v>20</v>
      </c>
      <c r="P327" s="16" t="s">
        <v>857</v>
      </c>
      <c r="Q327" s="131">
        <v>200000</v>
      </c>
      <c r="R327" s="18">
        <v>1</v>
      </c>
      <c r="S327" s="18">
        <f>Main_Presentation[[#This Row],[Invoice Amt (FCY)]]*Main_Presentation[[#This Row],[Rate]]</f>
        <v>200000</v>
      </c>
      <c r="T327" s="15">
        <v>45867</v>
      </c>
      <c r="U327" s="26" t="str">
        <f>VLOOKUP(Main_Presentation[[#This Row],[LC Number]],Main_Issuance[],18,0)</f>
        <v>90 Days from Invoice Date</v>
      </c>
      <c r="V327" s="21" t="s">
        <v>22</v>
      </c>
      <c r="W327" s="22" t="s">
        <v>857</v>
      </c>
      <c r="X327" s="16"/>
      <c r="Y327" s="234" t="str">
        <f>TRIM(LEFT(Main_Presentation[[#This Row],[Payment Terms]],3))</f>
        <v>90</v>
      </c>
      <c r="Z327" s="16"/>
      <c r="AA327" s="316" cm="1">
        <f t="array" ref="AA327">Settlement(Main_Presentation[[#This Row],[Bank]],Main_Presentation[[#This Row],[ Invoice Amt (SAR)]],Main_Presentation[[#This Row],[Date Recd]],Main_Presentation[[#This Row],[Due Date]],Main_Presentation[[#This Row],[Days]])</f>
        <v>1437.5</v>
      </c>
      <c r="AB327" s="16"/>
    </row>
    <row r="328" spans="1:28" ht="15.75" hidden="1" x14ac:dyDescent="0.25">
      <c r="A328" s="129" t="s">
        <v>822</v>
      </c>
      <c r="B328" s="15">
        <v>45797</v>
      </c>
      <c r="C328" s="26">
        <v>1</v>
      </c>
      <c r="D328" s="55" t="str">
        <f>VLOOKUP(Main_Presentation[[#This Row],[LC Number]],Main_Issuance[],3,0)</f>
        <v>Hassan Taleb</v>
      </c>
      <c r="E328" s="16" t="s">
        <v>858</v>
      </c>
      <c r="F328" s="16" t="str">
        <f>VLOOKUP(Main_Presentation[[#This Row],[LC Number]],Main_Issuance[],5,0)</f>
        <v>Alinma</v>
      </c>
      <c r="G328" s="16" t="str">
        <f>VLOOKUP(Main_Presentation[[#This Row],[LC Number]],Main_Issuance[],6,0)</f>
        <v>KSP</v>
      </c>
      <c r="H328" s="16" t="str">
        <f>VLOOKUP(Main_Presentation[[#This Row],[LC Number]],Main_Issuance[],17,0)</f>
        <v>Credit</v>
      </c>
      <c r="I328" s="16" t="str">
        <f>VLOOKUP(Main_Presentation[[#This Row],[LC Number]],Main_Issuance[],7,0)</f>
        <v>Mariam Ahmad Jamal Ibrahim &amp; Partner Trading  Company</v>
      </c>
      <c r="J328" s="16" t="str">
        <f>VLOOKUP(Main_Presentation[[#This Row],[LC Number]],Main_Issuance[],8,0)</f>
        <v>FIRST FIX</v>
      </c>
      <c r="K328" s="16" t="str">
        <f>VLOOKUP(Main_Presentation[[#This Row],[LC Number]],Main_Issuance[],9,0)</f>
        <v>KSP</v>
      </c>
      <c r="L328" s="16">
        <f>VLOOKUP(Main_Presentation[[#This Row],[LC Number]],Main_Issuance[],10,0)</f>
        <v>1020055</v>
      </c>
      <c r="M328" s="16" t="str">
        <f>VLOOKUP(Main_Presentation[[#This Row],[LC Number]],Main_Issuance[],11,0)</f>
        <v>SAR</v>
      </c>
      <c r="N328" s="86">
        <f>VLOOKUP(Main_Presentation[[#This Row],[LC Number]],Main_Issuance[],12,0)</f>
        <v>400000</v>
      </c>
      <c r="O328" s="16" t="s">
        <v>20</v>
      </c>
      <c r="P328" s="16" t="s">
        <v>857</v>
      </c>
      <c r="Q328" s="131">
        <v>400000</v>
      </c>
      <c r="R328" s="18">
        <v>1</v>
      </c>
      <c r="S328" s="18">
        <f>Main_Presentation[[#This Row],[Invoice Amt (FCY)]]*Main_Presentation[[#This Row],[Rate]]</f>
        <v>400000</v>
      </c>
      <c r="T328" s="15">
        <v>45867</v>
      </c>
      <c r="U328" s="26" t="str">
        <f>VLOOKUP(Main_Presentation[[#This Row],[LC Number]],Main_Issuance[],18,0)</f>
        <v>90 Days from Invoice Date</v>
      </c>
      <c r="V328" s="21" t="s">
        <v>22</v>
      </c>
      <c r="W328" s="22" t="s">
        <v>857</v>
      </c>
      <c r="X328" s="16"/>
      <c r="Y328" s="234" t="str">
        <f>TRIM(LEFT(Main_Presentation[[#This Row],[Payment Terms]],3))</f>
        <v>90</v>
      </c>
      <c r="Z328" s="16"/>
      <c r="AA328" s="316" cm="1">
        <f t="array" ref="AA328">Settlement(Main_Presentation[[#This Row],[Bank]],Main_Presentation[[#This Row],[ Invoice Amt (SAR)]],Main_Presentation[[#This Row],[Date Recd]],Main_Presentation[[#This Row],[Due Date]],Main_Presentation[[#This Row],[Days]])</f>
        <v>1437.5</v>
      </c>
      <c r="AB328" s="16"/>
    </row>
    <row r="329" spans="1:28" ht="15.75" hidden="1" x14ac:dyDescent="0.25">
      <c r="A329" s="129" t="s">
        <v>815</v>
      </c>
      <c r="B329" s="15">
        <v>45790</v>
      </c>
      <c r="C329" s="26">
        <v>1</v>
      </c>
      <c r="D329" s="55" t="str">
        <f>VLOOKUP(Main_Presentation[[#This Row],[LC Number]],Main_Issuance[],3,0)</f>
        <v>Hassan Taleb</v>
      </c>
      <c r="E329" s="16" t="s">
        <v>858</v>
      </c>
      <c r="F329" s="16" t="str">
        <f>VLOOKUP(Main_Presentation[[#This Row],[LC Number]],Main_Issuance[],5,0)</f>
        <v>Alinma</v>
      </c>
      <c r="G329" s="16" t="str">
        <f>VLOOKUP(Main_Presentation[[#This Row],[LC Number]],Main_Issuance[],6,0)</f>
        <v>KSP</v>
      </c>
      <c r="H329" s="16" t="str">
        <f>VLOOKUP(Main_Presentation[[#This Row],[LC Number]],Main_Issuance[],17,0)</f>
        <v>Credit</v>
      </c>
      <c r="I329" s="16" t="str">
        <f>VLOOKUP(Main_Presentation[[#This Row],[LC Number]],Main_Issuance[],7,0)</f>
        <v>Afaq Al Malaz Trading Co Ltd</v>
      </c>
      <c r="J329" s="16" t="str">
        <f>VLOOKUP(Main_Presentation[[#This Row],[LC Number]],Main_Issuance[],8,0)</f>
        <v>FIRST FIX</v>
      </c>
      <c r="K329" s="16" t="str">
        <f>VLOOKUP(Main_Presentation[[#This Row],[LC Number]],Main_Issuance[],9,0)</f>
        <v>KSP</v>
      </c>
      <c r="L329" s="16">
        <f>VLOOKUP(Main_Presentation[[#This Row],[LC Number]],Main_Issuance[],10,0)</f>
        <v>1020055</v>
      </c>
      <c r="M329" s="16" t="str">
        <f>VLOOKUP(Main_Presentation[[#This Row],[LC Number]],Main_Issuance[],11,0)</f>
        <v>SAR</v>
      </c>
      <c r="N329" s="86">
        <f>VLOOKUP(Main_Presentation[[#This Row],[LC Number]],Main_Issuance[],12,0)</f>
        <v>450984.51</v>
      </c>
      <c r="O329" s="16" t="s">
        <v>20</v>
      </c>
      <c r="P329" s="16" t="s">
        <v>857</v>
      </c>
      <c r="Q329" s="131">
        <v>316440.59999999998</v>
      </c>
      <c r="R329" s="18">
        <v>1</v>
      </c>
      <c r="S329" s="18">
        <f>Main_Presentation[[#This Row],[Invoice Amt (FCY)]]*Main_Presentation[[#This Row],[Rate]]</f>
        <v>316440.59999999998</v>
      </c>
      <c r="T329" s="15">
        <v>45867</v>
      </c>
      <c r="U329" s="26" t="str">
        <f>VLOOKUP(Main_Presentation[[#This Row],[LC Number]],Main_Issuance[],18,0)</f>
        <v>90 Days from Invoice Date</v>
      </c>
      <c r="V329" s="21" t="s">
        <v>22</v>
      </c>
      <c r="W329" s="22" t="s">
        <v>857</v>
      </c>
      <c r="X329" s="16"/>
      <c r="Y329" s="234" t="str">
        <f>TRIM(LEFT(Main_Presentation[[#This Row],[Payment Terms]],3))</f>
        <v>90</v>
      </c>
      <c r="Z329" s="16"/>
      <c r="AA329" s="316" cm="1">
        <f t="array" ref="AA329">Settlement(Main_Presentation[[#This Row],[Bank]],Main_Presentation[[#This Row],[ Invoice Amt (SAR)]],Main_Presentation[[#This Row],[Date Recd]],Main_Presentation[[#This Row],[Due Date]],Main_Presentation[[#This Row],[Days]])</f>
        <v>1437.5</v>
      </c>
      <c r="AB329" s="16"/>
    </row>
    <row r="330" spans="1:28" ht="15.75" hidden="1" x14ac:dyDescent="0.25">
      <c r="A330" s="20" t="s">
        <v>757</v>
      </c>
      <c r="B330" s="15">
        <v>45784</v>
      </c>
      <c r="C330" s="26">
        <v>1</v>
      </c>
      <c r="D330" s="55" t="str">
        <f>VLOOKUP(Main_Presentation[[#This Row],[LC Number]],Main_Issuance[],3,0)</f>
        <v>Rabih Makhoul</v>
      </c>
      <c r="E330" s="16" t="s">
        <v>856</v>
      </c>
      <c r="F330" s="16" t="str">
        <f>VLOOKUP(Main_Presentation[[#This Row],[LC Number]],Main_Issuance[],5,0)</f>
        <v>Alinma</v>
      </c>
      <c r="G330" s="16" t="str">
        <f>VLOOKUP(Main_Presentation[[#This Row],[LC Number]],Main_Issuance[],6,0)</f>
        <v>KSP</v>
      </c>
      <c r="H330" s="16" t="str">
        <f>VLOOKUP(Main_Presentation[[#This Row],[LC Number]],Main_Issuance[],17,0)</f>
        <v>Credit</v>
      </c>
      <c r="I330" s="16" t="str">
        <f>VLOOKUP(Main_Presentation[[#This Row],[LC Number]],Main_Issuance[],7,0)</f>
        <v>TECHNICAL TOOLS TRADING CO</v>
      </c>
      <c r="J330" s="16" t="str">
        <f>VLOOKUP(Main_Presentation[[#This Row],[LC Number]],Main_Issuance[],8,0)</f>
        <v>FIRST FIX</v>
      </c>
      <c r="K330" s="16" t="str">
        <f>VLOOKUP(Main_Presentation[[#This Row],[LC Number]],Main_Issuance[],9,0)</f>
        <v>JCD SPMI</v>
      </c>
      <c r="L330" s="16">
        <f>VLOOKUP(Main_Presentation[[#This Row],[LC Number]],Main_Issuance[],10,0)</f>
        <v>1020100</v>
      </c>
      <c r="M330" s="16" t="str">
        <f>VLOOKUP(Main_Presentation[[#This Row],[LC Number]],Main_Issuance[],11,0)</f>
        <v>SAR</v>
      </c>
      <c r="N330" s="86">
        <f>VLOOKUP(Main_Presentation[[#This Row],[LC Number]],Main_Issuance[],12,0)</f>
        <v>250000</v>
      </c>
      <c r="O330" s="16" t="s">
        <v>20</v>
      </c>
      <c r="P330" s="16" t="s">
        <v>857</v>
      </c>
      <c r="Q330" s="131">
        <v>250000</v>
      </c>
      <c r="R330" s="18">
        <v>1</v>
      </c>
      <c r="S330" s="18">
        <f>Main_Presentation[[#This Row],[Invoice Amt (FCY)]]*Main_Presentation[[#This Row],[Rate]]</f>
        <v>250000</v>
      </c>
      <c r="T330" s="15">
        <v>45867</v>
      </c>
      <c r="U330" s="26" t="str">
        <f>VLOOKUP(Main_Presentation[[#This Row],[LC Number]],Main_Issuance[],18,0)</f>
        <v>90 Days from Invoice Date</v>
      </c>
      <c r="V330" s="21" t="s">
        <v>511</v>
      </c>
      <c r="W330" s="22" t="s">
        <v>378</v>
      </c>
      <c r="X330" s="16"/>
      <c r="Y330" s="234" t="str">
        <f>TRIM(LEFT(Main_Presentation[[#This Row],[Payment Terms]],3))</f>
        <v>90</v>
      </c>
      <c r="Z330" s="16"/>
      <c r="AA330" s="316" cm="1">
        <f t="array" ref="AA330">Settlement(Main_Presentation[[#This Row],[Bank]],Main_Presentation[[#This Row],[ Invoice Amt (SAR)]],Main_Presentation[[#This Row],[Date Recd]],Main_Presentation[[#This Row],[Due Date]],Main_Presentation[[#This Row],[Days]])</f>
        <v>1437.5</v>
      </c>
      <c r="AB330" s="16"/>
    </row>
    <row r="331" spans="1:28" ht="15.75" hidden="1" x14ac:dyDescent="0.25">
      <c r="A331" s="129" t="s">
        <v>759</v>
      </c>
      <c r="B331" s="15">
        <v>45789</v>
      </c>
      <c r="C331" s="26">
        <v>1</v>
      </c>
      <c r="D331" s="55" t="str">
        <f>VLOOKUP(Main_Presentation[[#This Row],[LC Number]],Main_Issuance[],3,0)</f>
        <v>Rabih Makhoul</v>
      </c>
      <c r="E331" s="16" t="s">
        <v>858</v>
      </c>
      <c r="F331" s="16" t="str">
        <f>VLOOKUP(Main_Presentation[[#This Row],[LC Number]],Main_Issuance[],5,0)</f>
        <v>Alinma</v>
      </c>
      <c r="G331" s="16" t="str">
        <f>VLOOKUP(Main_Presentation[[#This Row],[LC Number]],Main_Issuance[],6,0)</f>
        <v>KSP</v>
      </c>
      <c r="H331" s="16" t="str">
        <f>VLOOKUP(Main_Presentation[[#This Row],[LC Number]],Main_Issuance[],17,0)</f>
        <v>Credit</v>
      </c>
      <c r="I331" s="16" t="str">
        <f>VLOOKUP(Main_Presentation[[#This Row],[LC Number]],Main_Issuance[],7,0)</f>
        <v>MAHMOUD ALTAHENI &amp; PARTNERS TRADING CO.</v>
      </c>
      <c r="J331" s="16" t="str">
        <f>VLOOKUP(Main_Presentation[[#This Row],[LC Number]],Main_Issuance[],8,0)</f>
        <v>FIRST FIX</v>
      </c>
      <c r="K331" s="16" t="str">
        <f>VLOOKUP(Main_Presentation[[#This Row],[LC Number]],Main_Issuance[],9,0)</f>
        <v>JCD SPMI</v>
      </c>
      <c r="L331" s="16">
        <f>VLOOKUP(Main_Presentation[[#This Row],[LC Number]],Main_Issuance[],10,0)</f>
        <v>1020100</v>
      </c>
      <c r="M331" s="16" t="str">
        <f>VLOOKUP(Main_Presentation[[#This Row],[LC Number]],Main_Issuance[],11,0)</f>
        <v>SAR</v>
      </c>
      <c r="N331" s="86">
        <f>VLOOKUP(Main_Presentation[[#This Row],[LC Number]],Main_Issuance[],12,0)</f>
        <v>700000</v>
      </c>
      <c r="O331" s="140" t="s">
        <v>20</v>
      </c>
      <c r="P331" s="16" t="s">
        <v>857</v>
      </c>
      <c r="Q331" s="131">
        <v>700000</v>
      </c>
      <c r="R331" s="18">
        <v>1</v>
      </c>
      <c r="S331" s="18">
        <f>Main_Presentation[[#This Row],[Invoice Amt (FCY)]]*Main_Presentation[[#This Row],[Rate]]</f>
        <v>700000</v>
      </c>
      <c r="T331" s="15">
        <v>45847</v>
      </c>
      <c r="U331" s="26" t="str">
        <f>VLOOKUP(Main_Presentation[[#This Row],[LC Number]],Main_Issuance[],18,0)</f>
        <v>90 Days from Invoice Date</v>
      </c>
      <c r="V331" s="21" t="s">
        <v>882</v>
      </c>
      <c r="W331" s="22" t="s">
        <v>378</v>
      </c>
      <c r="X331" s="16"/>
      <c r="Y331" s="234" t="str">
        <f>TRIM(LEFT(Main_Presentation[[#This Row],[Payment Terms]],3))</f>
        <v>90</v>
      </c>
      <c r="Z331" s="16"/>
      <c r="AA331" s="316" cm="1">
        <f t="array" ref="AA331">Settlement(Main_Presentation[[#This Row],[Bank]],Main_Presentation[[#This Row],[ Invoice Amt (SAR)]],Main_Presentation[[#This Row],[Date Recd]],Main_Presentation[[#This Row],[Due Date]],Main_Presentation[[#This Row],[Days]])</f>
        <v>1437.5</v>
      </c>
      <c r="AB331" s="16"/>
    </row>
    <row r="332" spans="1:28" ht="15.75" hidden="1" x14ac:dyDescent="0.25">
      <c r="A332" s="20" t="s">
        <v>761</v>
      </c>
      <c r="B332" s="15">
        <v>45790</v>
      </c>
      <c r="C332" s="26">
        <v>1</v>
      </c>
      <c r="D332" s="55" t="str">
        <f>VLOOKUP(Main_Presentation[[#This Row],[LC Number]],Main_Issuance[],3,0)</f>
        <v>Rabih Makhoul</v>
      </c>
      <c r="E332" s="16" t="s">
        <v>856</v>
      </c>
      <c r="F332" s="16" t="str">
        <f>VLOOKUP(Main_Presentation[[#This Row],[LC Number]],Main_Issuance[],5,0)</f>
        <v>Alinma</v>
      </c>
      <c r="G332" s="16" t="str">
        <f>VLOOKUP(Main_Presentation[[#This Row],[LC Number]],Main_Issuance[],6,0)</f>
        <v>KSP</v>
      </c>
      <c r="H332" s="16" t="str">
        <f>VLOOKUP(Main_Presentation[[#This Row],[LC Number]],Main_Issuance[],17,0)</f>
        <v>Credit</v>
      </c>
      <c r="I332" s="16" t="str">
        <f>VLOOKUP(Main_Presentation[[#This Row],[LC Number]],Main_Issuance[],7,0)</f>
        <v>NATIONAL MARKETING EST.CO.LTD</v>
      </c>
      <c r="J332" s="16" t="str">
        <f>VLOOKUP(Main_Presentation[[#This Row],[LC Number]],Main_Issuance[],8,0)</f>
        <v>FIRST FIX</v>
      </c>
      <c r="K332" s="16" t="str">
        <f>VLOOKUP(Main_Presentation[[#This Row],[LC Number]],Main_Issuance[],9,0)</f>
        <v>JCD SPMI</v>
      </c>
      <c r="L332" s="16">
        <f>VLOOKUP(Main_Presentation[[#This Row],[LC Number]],Main_Issuance[],10,0)</f>
        <v>1020100</v>
      </c>
      <c r="M332" s="16" t="str">
        <f>VLOOKUP(Main_Presentation[[#This Row],[LC Number]],Main_Issuance[],11,0)</f>
        <v>SAR</v>
      </c>
      <c r="N332" s="86">
        <f>VLOOKUP(Main_Presentation[[#This Row],[LC Number]],Main_Issuance[],12,0)</f>
        <v>400000</v>
      </c>
      <c r="O332" s="16" t="s">
        <v>20</v>
      </c>
      <c r="P332" s="16" t="s">
        <v>857</v>
      </c>
      <c r="Q332" s="131">
        <v>400000</v>
      </c>
      <c r="R332" s="18">
        <v>1</v>
      </c>
      <c r="S332" s="18">
        <f>Main_Presentation[[#This Row],[Invoice Amt (FCY)]]*Main_Presentation[[#This Row],[Rate]]</f>
        <v>400000</v>
      </c>
      <c r="T332" s="15">
        <v>45869</v>
      </c>
      <c r="U332" s="26" t="str">
        <f>VLOOKUP(Main_Presentation[[#This Row],[LC Number]],Main_Issuance[],18,0)</f>
        <v>90 Days from Invoice Date</v>
      </c>
      <c r="V332" s="21" t="s">
        <v>511</v>
      </c>
      <c r="W332" s="22" t="s">
        <v>378</v>
      </c>
      <c r="X332" s="16"/>
      <c r="Y332" s="234" t="str">
        <f>TRIM(LEFT(Main_Presentation[[#This Row],[Payment Terms]],3))</f>
        <v>90</v>
      </c>
      <c r="Z332" s="16"/>
      <c r="AA332" s="316" cm="1">
        <f t="array" ref="AA332">Settlement(Main_Presentation[[#This Row],[Bank]],Main_Presentation[[#This Row],[ Invoice Amt (SAR)]],Main_Presentation[[#This Row],[Date Recd]],Main_Presentation[[#This Row],[Due Date]],Main_Presentation[[#This Row],[Days]])</f>
        <v>1437.5</v>
      </c>
      <c r="AB332" s="16"/>
    </row>
    <row r="333" spans="1:28" ht="15.75" hidden="1" x14ac:dyDescent="0.25">
      <c r="A333" s="129" t="s">
        <v>1196</v>
      </c>
      <c r="B333" s="15">
        <v>45796</v>
      </c>
      <c r="C333" s="26">
        <v>1</v>
      </c>
      <c r="D333" s="55" t="str">
        <f>VLOOKUP(Main_Presentation[[#This Row],[LC Number]],Main_Issuance[],3,0)</f>
        <v>Rabih Makhoul</v>
      </c>
      <c r="E333" s="16" t="s">
        <v>858</v>
      </c>
      <c r="F333" s="16" t="str">
        <f>VLOOKUP(Main_Presentation[[#This Row],[LC Number]],Main_Issuance[],5,0)</f>
        <v>Alinma</v>
      </c>
      <c r="G333" s="16" t="str">
        <f>VLOOKUP(Main_Presentation[[#This Row],[LC Number]],Main_Issuance[],6,0)</f>
        <v>KSP</v>
      </c>
      <c r="H333" s="16" t="str">
        <f>VLOOKUP(Main_Presentation[[#This Row],[LC Number]],Main_Issuance[],17,0)</f>
        <v>Credit</v>
      </c>
      <c r="I333" s="16" t="str">
        <f>VLOOKUP(Main_Presentation[[#This Row],[LC Number]],Main_Issuance[],7,0)</f>
        <v>Almansha Almubasher Trading Company</v>
      </c>
      <c r="J333" s="16" t="str">
        <f>VLOOKUP(Main_Presentation[[#This Row],[LC Number]],Main_Issuance[],8,0)</f>
        <v>FIRST FIX</v>
      </c>
      <c r="K333" s="16" t="str">
        <f>VLOOKUP(Main_Presentation[[#This Row],[LC Number]],Main_Issuance[],9,0)</f>
        <v>JCD SPMI</v>
      </c>
      <c r="L333" s="16">
        <f>VLOOKUP(Main_Presentation[[#This Row],[LC Number]],Main_Issuance[],10,0)</f>
        <v>1020100</v>
      </c>
      <c r="M333" s="16" t="str">
        <f>VLOOKUP(Main_Presentation[[#This Row],[LC Number]],Main_Issuance[],11,0)</f>
        <v>SAR</v>
      </c>
      <c r="N333" s="86">
        <f>VLOOKUP(Main_Presentation[[#This Row],[LC Number]],Main_Issuance[],12,0)</f>
        <v>150000</v>
      </c>
      <c r="O333" s="16" t="s">
        <v>20</v>
      </c>
      <c r="P333" s="16" t="s">
        <v>857</v>
      </c>
      <c r="Q333" s="131">
        <v>150000</v>
      </c>
      <c r="R333" s="18">
        <v>1</v>
      </c>
      <c r="S333" s="18">
        <f>Main_Presentation[[#This Row],[Invoice Amt (FCY)]]*Main_Presentation[[#This Row],[Rate]]</f>
        <v>150000</v>
      </c>
      <c r="T333" s="15">
        <v>45869</v>
      </c>
      <c r="U333" s="26" t="str">
        <f>VLOOKUP(Main_Presentation[[#This Row],[LC Number]],Main_Issuance[],18,0)</f>
        <v>90 Days from Invoice Date</v>
      </c>
      <c r="V333" s="21" t="s">
        <v>511</v>
      </c>
      <c r="W333" s="22" t="s">
        <v>378</v>
      </c>
      <c r="X333" s="16"/>
      <c r="Y333" s="234" t="str">
        <f>TRIM(LEFT(Main_Presentation[[#This Row],[Payment Terms]],3))</f>
        <v>90</v>
      </c>
      <c r="Z333" s="16"/>
      <c r="AA333" s="316" cm="1">
        <f t="array" ref="AA333">Settlement(Main_Presentation[[#This Row],[Bank]],Main_Presentation[[#This Row],[ Invoice Amt (SAR)]],Main_Presentation[[#This Row],[Date Recd]],Main_Presentation[[#This Row],[Due Date]],Main_Presentation[[#This Row],[Days]])</f>
        <v>1437.5</v>
      </c>
      <c r="AB333" s="16"/>
    </row>
    <row r="334" spans="1:28" ht="15.75" hidden="1" x14ac:dyDescent="0.25">
      <c r="A334" s="20" t="s">
        <v>816</v>
      </c>
      <c r="B334" s="15">
        <v>45806</v>
      </c>
      <c r="C334" s="26">
        <v>1</v>
      </c>
      <c r="D334" s="55" t="str">
        <f>VLOOKUP(Main_Presentation[[#This Row],[LC Number]],Main_Issuance[],3,0)</f>
        <v>Hassan Taleb</v>
      </c>
      <c r="E334" s="16" t="s">
        <v>856</v>
      </c>
      <c r="F334" s="16" t="str">
        <f>VLOOKUP(Main_Presentation[[#This Row],[LC Number]],Main_Issuance[],5,0)</f>
        <v>Alinma</v>
      </c>
      <c r="G334" s="16" t="str">
        <f>VLOOKUP(Main_Presentation[[#This Row],[LC Number]],Main_Issuance[],6,0)</f>
        <v>KSP</v>
      </c>
      <c r="H334" s="16" t="str">
        <f>VLOOKUP(Main_Presentation[[#This Row],[LC Number]],Main_Issuance[],17,0)</f>
        <v>Credit</v>
      </c>
      <c r="I334" s="16" t="str">
        <f>VLOOKUP(Main_Presentation[[#This Row],[LC Number]],Main_Issuance[],7,0)</f>
        <v>Gulf Grilles Company -GGC</v>
      </c>
      <c r="J334" s="16" t="str">
        <f>VLOOKUP(Main_Presentation[[#This Row],[LC Number]],Main_Issuance[],8,0)</f>
        <v>FIRST FIX</v>
      </c>
      <c r="K334" s="16" t="str">
        <f>VLOOKUP(Main_Presentation[[#This Row],[LC Number]],Main_Issuance[],9,0)</f>
        <v>KSP</v>
      </c>
      <c r="L334" s="16">
        <f>VLOOKUP(Main_Presentation[[#This Row],[LC Number]],Main_Issuance[],10,0)</f>
        <v>1020055</v>
      </c>
      <c r="M334" s="16" t="str">
        <f>VLOOKUP(Main_Presentation[[#This Row],[LC Number]],Main_Issuance[],11,0)</f>
        <v>SAR</v>
      </c>
      <c r="N334" s="86">
        <f>VLOOKUP(Main_Presentation[[#This Row],[LC Number]],Main_Issuance[],12,0)</f>
        <v>517624.02</v>
      </c>
      <c r="O334" s="16" t="s">
        <v>20</v>
      </c>
      <c r="P334" s="16" t="s">
        <v>857</v>
      </c>
      <c r="Q334" s="131">
        <v>517624.02</v>
      </c>
      <c r="R334" s="18">
        <v>1</v>
      </c>
      <c r="S334" s="18">
        <f>Main_Presentation[[#This Row],[Invoice Amt (FCY)]]*Main_Presentation[[#This Row],[Rate]]</f>
        <v>517624.02</v>
      </c>
      <c r="T334" s="15">
        <v>45869</v>
      </c>
      <c r="U334" s="26" t="str">
        <f>VLOOKUP(Main_Presentation[[#This Row],[LC Number]],Main_Issuance[],18,0)</f>
        <v>90 Days from Invoice Date</v>
      </c>
      <c r="V334" s="21" t="s">
        <v>22</v>
      </c>
      <c r="W334" s="22" t="s">
        <v>857</v>
      </c>
      <c r="X334" s="16"/>
      <c r="Y334" s="234" t="str">
        <f>TRIM(LEFT(Main_Presentation[[#This Row],[Payment Terms]],3))</f>
        <v>90</v>
      </c>
      <c r="Z334" s="16"/>
      <c r="AA334" s="316" cm="1">
        <f t="array" ref="AA334">Settlement(Main_Presentation[[#This Row],[Bank]],Main_Presentation[[#This Row],[ Invoice Amt (SAR)]],Main_Presentation[[#This Row],[Date Recd]],Main_Presentation[[#This Row],[Due Date]],Main_Presentation[[#This Row],[Days]])</f>
        <v>1437.5</v>
      </c>
      <c r="AB334" s="16"/>
    </row>
    <row r="335" spans="1:28" ht="15.75" hidden="1" x14ac:dyDescent="0.25">
      <c r="A335" s="20" t="s">
        <v>481</v>
      </c>
      <c r="B335" s="15">
        <v>45803</v>
      </c>
      <c r="C335" s="26">
        <v>1</v>
      </c>
      <c r="D335" s="55" t="str">
        <f>VLOOKUP(Main_Presentation[[#This Row],[LC Number]],Main_Issuance[],3,0)</f>
        <v>Rabih Makhoul</v>
      </c>
      <c r="E335" s="16" t="s">
        <v>858</v>
      </c>
      <c r="F335" s="16" t="str">
        <f>VLOOKUP(Main_Presentation[[#This Row],[LC Number]],Main_Issuance[],5,0)</f>
        <v>Alinma</v>
      </c>
      <c r="G335" s="16" t="str">
        <f>VLOOKUP(Main_Presentation[[#This Row],[LC Number]],Main_Issuance[],6,0)</f>
        <v>KSP</v>
      </c>
      <c r="H335" s="16" t="str">
        <f>VLOOKUP(Main_Presentation[[#This Row],[LC Number]],Main_Issuance[],17,0)</f>
        <v>Credit</v>
      </c>
      <c r="I335" s="16" t="str">
        <f>VLOOKUP(Main_Presentation[[#This Row],[LC Number]],Main_Issuance[],7,0)</f>
        <v>Bahra Advanced Cable Manufacture Co.Ltd</v>
      </c>
      <c r="J335" s="16" t="str">
        <f>VLOOKUP(Main_Presentation[[#This Row],[LC Number]],Main_Issuance[],8,0)</f>
        <v>FIRST FIX</v>
      </c>
      <c r="K335" s="16" t="str">
        <f>VLOOKUP(Main_Presentation[[#This Row],[LC Number]],Main_Issuance[],9,0)</f>
        <v>JCD SPMI</v>
      </c>
      <c r="L335" s="16">
        <f>VLOOKUP(Main_Presentation[[#This Row],[LC Number]],Main_Issuance[],10,0)</f>
        <v>1020100</v>
      </c>
      <c r="M335" s="16" t="str">
        <f>VLOOKUP(Main_Presentation[[#This Row],[LC Number]],Main_Issuance[],11,0)</f>
        <v>SAR</v>
      </c>
      <c r="N335" s="86">
        <f>VLOOKUP(Main_Presentation[[#This Row],[LC Number]],Main_Issuance[],12,0)</f>
        <v>900000</v>
      </c>
      <c r="O335" s="16" t="s">
        <v>20</v>
      </c>
      <c r="P335" s="16" t="s">
        <v>857</v>
      </c>
      <c r="Q335" s="131">
        <v>840873.63</v>
      </c>
      <c r="R335" s="18">
        <v>1</v>
      </c>
      <c r="S335" s="18">
        <f>Main_Presentation[[#This Row],[Invoice Amt (FCY)]]*Main_Presentation[[#This Row],[Rate]]</f>
        <v>840873.63</v>
      </c>
      <c r="T335" s="15">
        <v>45867</v>
      </c>
      <c r="U335" s="26" t="str">
        <f>VLOOKUP(Main_Presentation[[#This Row],[LC Number]],Main_Issuance[],18,0)</f>
        <v>90 Days from Invoice Date</v>
      </c>
      <c r="V335" s="21" t="s">
        <v>511</v>
      </c>
      <c r="W335" s="22" t="s">
        <v>378</v>
      </c>
      <c r="X335" s="16"/>
      <c r="Y335" s="234" t="str">
        <f>TRIM(LEFT(Main_Presentation[[#This Row],[Payment Terms]],3))</f>
        <v>90</v>
      </c>
      <c r="Z335" s="16"/>
      <c r="AA335" s="316" cm="1">
        <f t="array" ref="AA335">Settlement(Main_Presentation[[#This Row],[Bank]],Main_Presentation[[#This Row],[ Invoice Amt (SAR)]],Main_Presentation[[#This Row],[Date Recd]],Main_Presentation[[#This Row],[Due Date]],Main_Presentation[[#This Row],[Days]])</f>
        <v>1437.5</v>
      </c>
      <c r="AB335" s="16"/>
    </row>
    <row r="336" spans="1:28" ht="15.75" hidden="1" x14ac:dyDescent="0.25">
      <c r="A336" s="14" t="s">
        <v>456</v>
      </c>
      <c r="B336" s="15">
        <v>45613</v>
      </c>
      <c r="C336" s="26">
        <v>1</v>
      </c>
      <c r="D336" s="55" t="str">
        <f>VLOOKUP(Main_Presentation[[#This Row],[LC Number]],Main_Issuance[],3,0)</f>
        <v>Mohammed Kotb</v>
      </c>
      <c r="E336" s="16" t="s">
        <v>858</v>
      </c>
      <c r="F336" s="17" t="str">
        <f>VLOOKUP(Main_Presentation[[#This Row],[LC Number]],Main_Issuance[],5,0)</f>
        <v>BAB</v>
      </c>
      <c r="G336" s="17" t="str">
        <f>VLOOKUP(Main_Presentation[[#This Row],[LC Number]],Main_Issuance[],6,0)</f>
        <v>Multipurpose</v>
      </c>
      <c r="H336" s="17" t="str">
        <f>VLOOKUP(Main_Presentation[[#This Row],[LC Number]],Main_Issuance[],17,0)</f>
        <v>Credit</v>
      </c>
      <c r="I336" s="17" t="str">
        <f>VLOOKUP(Main_Presentation[[#This Row],[LC Number]],Main_Issuance[],7,0)</f>
        <v>Qawaed Aleskan Company General Contracting</v>
      </c>
      <c r="J336" s="17" t="str">
        <f>VLOOKUP(Main_Presentation[[#This Row],[LC Number]],Main_Issuance[],8,0)</f>
        <v>MBL</v>
      </c>
      <c r="K336" s="17" t="str">
        <f>VLOOKUP(Main_Presentation[[#This Row],[LC Number]],Main_Issuance[],9,0)</f>
        <v>ABHA</v>
      </c>
      <c r="L336" s="17">
        <f>VLOOKUP(Main_Presentation[[#This Row],[LC Number]],Main_Issuance[],10,0)</f>
        <v>1020070</v>
      </c>
      <c r="M336" s="17" t="str">
        <f>VLOOKUP(Main_Presentation[[#This Row],[LC Number]],Main_Issuance[],11,0)</f>
        <v>SAR</v>
      </c>
      <c r="N336" s="84">
        <f>VLOOKUP(Main_Presentation[[#This Row],[LC Number]],Main_Issuance[],12,0)</f>
        <v>127650</v>
      </c>
      <c r="O336" s="16" t="s">
        <v>20</v>
      </c>
      <c r="P336" s="16" t="s">
        <v>857</v>
      </c>
      <c r="Q336" s="131">
        <v>127650</v>
      </c>
      <c r="R336" s="18">
        <v>1</v>
      </c>
      <c r="S336" s="18">
        <f>Main_Presentation[[#This Row],[Invoice Amt (FCY)]]*Main_Presentation[[#This Row],[Rate]]</f>
        <v>127650</v>
      </c>
      <c r="T336" s="15">
        <v>45623</v>
      </c>
      <c r="U336" s="26" t="str">
        <f>VLOOKUP(Main_Presentation[[#This Row],[LC Number]],Main_Issuance[],18,0)</f>
        <v>Sight</v>
      </c>
      <c r="V336" s="19" t="s">
        <v>483</v>
      </c>
      <c r="W336" s="22" t="s">
        <v>378</v>
      </c>
      <c r="X336" s="16"/>
      <c r="Y336" s="234" t="str">
        <f>TRIM(LEFT(Main_Presentation[[#This Row],[Payment Terms]],3))</f>
        <v>Sig</v>
      </c>
      <c r="Z336" s="16"/>
      <c r="AA336" s="316" t="e" cm="1">
        <f t="array" ref="AA336">Settlement(Main_Presentation[[#This Row],[Bank]],Main_Presentation[[#This Row],[ Invoice Amt (SAR)]],Main_Presentation[[#This Row],[Date Recd]],Main_Presentation[[#This Row],[Due Date]],Main_Presentation[[#This Row],[Days]])</f>
        <v>#VALUE!</v>
      </c>
      <c r="AB336" s="16"/>
    </row>
    <row r="337" spans="1:28" ht="15.75" hidden="1" x14ac:dyDescent="0.25">
      <c r="A337" s="20" t="s">
        <v>476</v>
      </c>
      <c r="B337" s="15">
        <v>45665</v>
      </c>
      <c r="C337" s="26">
        <v>1</v>
      </c>
      <c r="D337" s="55" t="str">
        <f>VLOOKUP(Main_Presentation[[#This Row],[LC Number]],Main_Issuance[],3,0)</f>
        <v>Rabih Makhoul</v>
      </c>
      <c r="E337" s="16" t="s">
        <v>856</v>
      </c>
      <c r="F337" s="16" t="str">
        <f>VLOOKUP(Main_Presentation[[#This Row],[LC Number]],Main_Issuance[],5,0)</f>
        <v>BAB</v>
      </c>
      <c r="G337" s="16" t="str">
        <f>VLOOKUP(Main_Presentation[[#This Row],[LC Number]],Main_Issuance[],6,0)</f>
        <v>Multipurpose</v>
      </c>
      <c r="H337" s="16" t="str">
        <f>VLOOKUP(Main_Presentation[[#This Row],[LC Number]],Main_Issuance[],17,0)</f>
        <v>Credit</v>
      </c>
      <c r="I337" s="16" t="str">
        <f>VLOOKUP(Main_Presentation[[#This Row],[LC Number]],Main_Issuance[],7,0)</f>
        <v>Al Maymanah for Contracting Co. Ltd.</v>
      </c>
      <c r="J337" s="16" t="str">
        <f>VLOOKUP(Main_Presentation[[#This Row],[LC Number]],Main_Issuance[],8,0)</f>
        <v>FIRST FIX</v>
      </c>
      <c r="K337" s="16" t="str">
        <f>VLOOKUP(Main_Presentation[[#This Row],[LC Number]],Main_Issuance[],9,0)</f>
        <v>JCD SPMI</v>
      </c>
      <c r="L337" s="16">
        <f>VLOOKUP(Main_Presentation[[#This Row],[LC Number]],Main_Issuance[],10,0)</f>
        <v>1020100</v>
      </c>
      <c r="M337" s="16" t="str">
        <f>VLOOKUP(Main_Presentation[[#This Row],[LC Number]],Main_Issuance[],11,0)</f>
        <v>SAR</v>
      </c>
      <c r="N337" s="86">
        <f>VLOOKUP(Main_Presentation[[#This Row],[LC Number]],Main_Issuance[],12,0)</f>
        <v>1900000</v>
      </c>
      <c r="O337" s="16" t="s">
        <v>20</v>
      </c>
      <c r="P337" s="16" t="s">
        <v>857</v>
      </c>
      <c r="Q337" s="131">
        <v>1000000</v>
      </c>
      <c r="R337" s="18">
        <v>1</v>
      </c>
      <c r="S337" s="18">
        <f>Main_Presentation[[#This Row],[Invoice Amt (FCY)]]*Main_Presentation[[#This Row],[Rate]]</f>
        <v>1000000</v>
      </c>
      <c r="T337" s="15">
        <v>45706</v>
      </c>
      <c r="U337" s="26" t="str">
        <f>VLOOKUP(Main_Presentation[[#This Row],[LC Number]],Main_Issuance[],18,0)</f>
        <v>90 Days from Invoice Date</v>
      </c>
      <c r="V337" s="21" t="s">
        <v>304</v>
      </c>
      <c r="W337" s="22" t="s">
        <v>378</v>
      </c>
      <c r="X337" s="16"/>
      <c r="Y337" s="234" t="str">
        <f>TRIM(LEFT(Main_Presentation[[#This Row],[Payment Terms]],3))</f>
        <v>90</v>
      </c>
      <c r="Z337" s="16"/>
      <c r="AA337" s="316" cm="1">
        <f t="array" ref="AA337">Settlement(Main_Presentation[[#This Row],[Bank]],Main_Presentation[[#This Row],[ Invoice Amt (SAR)]],Main_Presentation[[#This Row],[Date Recd]],Main_Presentation[[#This Row],[Due Date]],Main_Presentation[[#This Row],[Days]])</f>
        <v>0</v>
      </c>
      <c r="AB337" s="16"/>
    </row>
    <row r="338" spans="1:28" ht="15.75" hidden="1" x14ac:dyDescent="0.25">
      <c r="A338" s="20" t="s">
        <v>476</v>
      </c>
      <c r="B338" s="15">
        <v>45665</v>
      </c>
      <c r="C338" s="26">
        <v>2</v>
      </c>
      <c r="D338" s="55" t="str">
        <f>VLOOKUP(Main_Presentation[[#This Row],[LC Number]],Main_Issuance[],3,0)</f>
        <v>Rabih Makhoul</v>
      </c>
      <c r="E338" s="16" t="s">
        <v>856</v>
      </c>
      <c r="F338" s="16" t="str">
        <f>VLOOKUP(Main_Presentation[[#This Row],[LC Number]],Main_Issuance[],5,0)</f>
        <v>BAB</v>
      </c>
      <c r="G338" s="16" t="str">
        <f>VLOOKUP(Main_Presentation[[#This Row],[LC Number]],Main_Issuance[],6,0)</f>
        <v>Multipurpose</v>
      </c>
      <c r="H338" s="16" t="str">
        <f>VLOOKUP(Main_Presentation[[#This Row],[LC Number]],Main_Issuance[],17,0)</f>
        <v>Credit</v>
      </c>
      <c r="I338" s="16" t="str">
        <f>VLOOKUP(Main_Presentation[[#This Row],[LC Number]],Main_Issuance[],7,0)</f>
        <v>Al Maymanah for Contracting Co. Ltd.</v>
      </c>
      <c r="J338" s="16" t="str">
        <f>VLOOKUP(Main_Presentation[[#This Row],[LC Number]],Main_Issuance[],8,0)</f>
        <v>FIRST FIX</v>
      </c>
      <c r="K338" s="16" t="str">
        <f>VLOOKUP(Main_Presentation[[#This Row],[LC Number]],Main_Issuance[],9,0)</f>
        <v>JCD SPMI</v>
      </c>
      <c r="L338" s="16">
        <f>VLOOKUP(Main_Presentation[[#This Row],[LC Number]],Main_Issuance[],10,0)</f>
        <v>1020100</v>
      </c>
      <c r="M338" s="16" t="str">
        <f>VLOOKUP(Main_Presentation[[#This Row],[LC Number]],Main_Issuance[],11,0)</f>
        <v>SAR</v>
      </c>
      <c r="N338" s="86">
        <f>VLOOKUP(Main_Presentation[[#This Row],[LC Number]],Main_Issuance[],12,0)</f>
        <v>1900000</v>
      </c>
      <c r="O338" s="16" t="s">
        <v>20</v>
      </c>
      <c r="P338" s="16" t="s">
        <v>857</v>
      </c>
      <c r="Q338" s="131">
        <v>609500</v>
      </c>
      <c r="R338" s="18">
        <v>1</v>
      </c>
      <c r="S338" s="18">
        <f>Main_Presentation[[#This Row],[Invoice Amt (FCY)]]*Main_Presentation[[#This Row],[Rate]]</f>
        <v>609500</v>
      </c>
      <c r="T338" s="15">
        <v>45706</v>
      </c>
      <c r="U338" s="26" t="str">
        <f>VLOOKUP(Main_Presentation[[#This Row],[LC Number]],Main_Issuance[],18,0)</f>
        <v>90 Days from Invoice Date</v>
      </c>
      <c r="V338" s="21" t="s">
        <v>304</v>
      </c>
      <c r="W338" s="22" t="s">
        <v>378</v>
      </c>
      <c r="X338" s="16"/>
      <c r="Y338" s="234" t="str">
        <f>TRIM(LEFT(Main_Presentation[[#This Row],[Payment Terms]],3))</f>
        <v>90</v>
      </c>
      <c r="Z338" s="16"/>
      <c r="AA338" s="316" cm="1">
        <f t="array" ref="AA338">Settlement(Main_Presentation[[#This Row],[Bank]],Main_Presentation[[#This Row],[ Invoice Amt (SAR)]],Main_Presentation[[#This Row],[Date Recd]],Main_Presentation[[#This Row],[Due Date]],Main_Presentation[[#This Row],[Days]])</f>
        <v>0</v>
      </c>
      <c r="AB338" s="16"/>
    </row>
    <row r="339" spans="1:28" ht="15.75" hidden="1" x14ac:dyDescent="0.25">
      <c r="A339" s="20" t="s">
        <v>476</v>
      </c>
      <c r="B339" s="15">
        <v>45665</v>
      </c>
      <c r="C339" s="26">
        <v>3</v>
      </c>
      <c r="D339" s="55" t="str">
        <f>VLOOKUP(Main_Presentation[[#This Row],[LC Number]],Main_Issuance[],3,0)</f>
        <v>Rabih Makhoul</v>
      </c>
      <c r="E339" s="16" t="s">
        <v>856</v>
      </c>
      <c r="F339" s="16" t="str">
        <f>VLOOKUP(Main_Presentation[[#This Row],[LC Number]],Main_Issuance[],5,0)</f>
        <v>BAB</v>
      </c>
      <c r="G339" s="16" t="str">
        <f>VLOOKUP(Main_Presentation[[#This Row],[LC Number]],Main_Issuance[],6,0)</f>
        <v>Multipurpose</v>
      </c>
      <c r="H339" s="16" t="str">
        <f>VLOOKUP(Main_Presentation[[#This Row],[LC Number]],Main_Issuance[],17,0)</f>
        <v>Credit</v>
      </c>
      <c r="I339" s="16" t="str">
        <f>VLOOKUP(Main_Presentation[[#This Row],[LC Number]],Main_Issuance[],7,0)</f>
        <v>Al Maymanah for Contracting Co. Ltd.</v>
      </c>
      <c r="J339" s="16" t="str">
        <f>VLOOKUP(Main_Presentation[[#This Row],[LC Number]],Main_Issuance[],8,0)</f>
        <v>FIRST FIX</v>
      </c>
      <c r="K339" s="16" t="str">
        <f>VLOOKUP(Main_Presentation[[#This Row],[LC Number]],Main_Issuance[],9,0)</f>
        <v>JCD SPMI</v>
      </c>
      <c r="L339" s="16">
        <f>VLOOKUP(Main_Presentation[[#This Row],[LC Number]],Main_Issuance[],10,0)</f>
        <v>1020100</v>
      </c>
      <c r="M339" s="16" t="str">
        <f>VLOOKUP(Main_Presentation[[#This Row],[LC Number]],Main_Issuance[],11,0)</f>
        <v>SAR</v>
      </c>
      <c r="N339" s="86">
        <f>VLOOKUP(Main_Presentation[[#This Row],[LC Number]],Main_Issuance[],12,0)</f>
        <v>1900000</v>
      </c>
      <c r="O339" s="16" t="s">
        <v>20</v>
      </c>
      <c r="P339" s="16" t="s">
        <v>857</v>
      </c>
      <c r="Q339" s="131">
        <v>284050</v>
      </c>
      <c r="R339" s="18">
        <v>1</v>
      </c>
      <c r="S339" s="18">
        <f>Main_Presentation[[#This Row],[Invoice Amt (FCY)]]*Main_Presentation[[#This Row],[Rate]]</f>
        <v>284050</v>
      </c>
      <c r="T339" s="15">
        <v>45712</v>
      </c>
      <c r="U339" s="26" t="str">
        <f>VLOOKUP(Main_Presentation[[#This Row],[LC Number]],Main_Issuance[],18,0)</f>
        <v>90 Days from Invoice Date</v>
      </c>
      <c r="V339" s="21" t="s">
        <v>483</v>
      </c>
      <c r="W339" s="22" t="s">
        <v>378</v>
      </c>
      <c r="X339" s="16"/>
      <c r="Y339" s="234" t="str">
        <f>TRIM(LEFT(Main_Presentation[[#This Row],[Payment Terms]],3))</f>
        <v>90</v>
      </c>
      <c r="Z339" s="16"/>
      <c r="AA339" s="316" cm="1">
        <f t="array" ref="AA339">Settlement(Main_Presentation[[#This Row],[Bank]],Main_Presentation[[#This Row],[ Invoice Amt (SAR)]],Main_Presentation[[#This Row],[Date Recd]],Main_Presentation[[#This Row],[Due Date]],Main_Presentation[[#This Row],[Days]])</f>
        <v>0</v>
      </c>
      <c r="AB339" s="16"/>
    </row>
    <row r="340" spans="1:28" ht="15.75" hidden="1" x14ac:dyDescent="0.25">
      <c r="A340" s="20" t="s">
        <v>471</v>
      </c>
      <c r="B340" s="15">
        <v>45672</v>
      </c>
      <c r="C340" s="26">
        <v>1</v>
      </c>
      <c r="D340" s="55" t="str">
        <f>VLOOKUP(Main_Presentation[[#This Row],[LC Number]],Main_Issuance[],3,0)</f>
        <v>Rabih Makhoul</v>
      </c>
      <c r="E340" s="16" t="s">
        <v>858</v>
      </c>
      <c r="F340" s="16" t="str">
        <f>VLOOKUP(Main_Presentation[[#This Row],[LC Number]],Main_Issuance[],5,0)</f>
        <v>BAB</v>
      </c>
      <c r="G340" s="16" t="str">
        <f>VLOOKUP(Main_Presentation[[#This Row],[LC Number]],Main_Issuance[],6,0)</f>
        <v>Multipurpose</v>
      </c>
      <c r="H340" s="16" t="str">
        <f>VLOOKUP(Main_Presentation[[#This Row],[LC Number]],Main_Issuance[],17,0)</f>
        <v>Credit</v>
      </c>
      <c r="I340" s="16" t="str">
        <f>VLOOKUP(Main_Presentation[[#This Row],[LC Number]],Main_Issuance[],7,0)</f>
        <v>Branch of National Fire Fighting (NAFFCO)</v>
      </c>
      <c r="J340" s="16" t="str">
        <f>VLOOKUP(Main_Presentation[[#This Row],[LC Number]],Main_Issuance[],8,0)</f>
        <v>FIRST FIX</v>
      </c>
      <c r="K340" s="16" t="str">
        <f>VLOOKUP(Main_Presentation[[#This Row],[LC Number]],Main_Issuance[],9,0)</f>
        <v>JCD SPMI</v>
      </c>
      <c r="L340" s="16">
        <f>VLOOKUP(Main_Presentation[[#This Row],[LC Number]],Main_Issuance[],10,0)</f>
        <v>1020100</v>
      </c>
      <c r="M340" s="16" t="str">
        <f>VLOOKUP(Main_Presentation[[#This Row],[LC Number]],Main_Issuance[],11,0)</f>
        <v>SAR</v>
      </c>
      <c r="N340" s="84">
        <f>VLOOKUP(Main_Presentation[[#This Row],[LC Number]],Main_Issuance[],12,0)</f>
        <v>2500000</v>
      </c>
      <c r="O340" s="16" t="s">
        <v>20</v>
      </c>
      <c r="P340" s="16" t="s">
        <v>857</v>
      </c>
      <c r="Q340" s="131">
        <v>2154117.0299999998</v>
      </c>
      <c r="R340" s="18">
        <v>1</v>
      </c>
      <c r="S340" s="18">
        <f>Main_Presentation[[#This Row],[Invoice Amt (FCY)]]*Main_Presentation[[#This Row],[Rate]]</f>
        <v>2154117.0299999998</v>
      </c>
      <c r="T340" s="15">
        <v>45722</v>
      </c>
      <c r="U340" s="26" t="str">
        <f>VLOOKUP(Main_Presentation[[#This Row],[LC Number]],Main_Issuance[],18,0)</f>
        <v>90 Days from Invoice Date</v>
      </c>
      <c r="V340" s="21" t="s">
        <v>304</v>
      </c>
      <c r="W340" s="22" t="s">
        <v>378</v>
      </c>
      <c r="X340" s="16"/>
      <c r="Y340" s="234" t="str">
        <f>TRIM(LEFT(Main_Presentation[[#This Row],[Payment Terms]],3))</f>
        <v>90</v>
      </c>
      <c r="Z340" s="16"/>
      <c r="AA340" s="316" cm="1">
        <f t="array" ref="AA340">Settlement(Main_Presentation[[#This Row],[Bank]],Main_Presentation[[#This Row],[ Invoice Amt (SAR)]],Main_Presentation[[#This Row],[Date Recd]],Main_Presentation[[#This Row],[Due Date]],Main_Presentation[[#This Row],[Days]])</f>
        <v>0</v>
      </c>
      <c r="AB340" s="16"/>
    </row>
    <row r="341" spans="1:28" ht="15.75" hidden="1" x14ac:dyDescent="0.25">
      <c r="A341" s="20" t="s">
        <v>506</v>
      </c>
      <c r="B341" s="15">
        <v>45687</v>
      </c>
      <c r="C341" s="26">
        <v>1</v>
      </c>
      <c r="D341" s="55" t="str">
        <f>VLOOKUP(Main_Presentation[[#This Row],[LC Number]],Main_Issuance[],3,0)</f>
        <v>Rabih Makhoul</v>
      </c>
      <c r="E341" s="16" t="s">
        <v>858</v>
      </c>
      <c r="F341" s="17" t="str">
        <f>VLOOKUP(Main_Presentation[[#This Row],[LC Number]],Main_Issuance[],5,0)</f>
        <v>BAB</v>
      </c>
      <c r="G341" s="17" t="str">
        <f>VLOOKUP(Main_Presentation[[#This Row],[LC Number]],Main_Issuance[],6,0)</f>
        <v>Oceanarium</v>
      </c>
      <c r="H341" s="17" t="str">
        <f>VLOOKUP(Main_Presentation[[#This Row],[LC Number]],Main_Issuance[],17,0)</f>
        <v>Credit</v>
      </c>
      <c r="I341" s="17" t="str">
        <f>VLOOKUP(Main_Presentation[[#This Row],[LC Number]],Main_Issuance[],7,0)</f>
        <v>Ajzal United for Safety Co Ltd</v>
      </c>
      <c r="J341" s="17" t="str">
        <f>VLOOKUP(Main_Presentation[[#This Row],[LC Number]],Main_Issuance[],8,0)</f>
        <v>MBL</v>
      </c>
      <c r="K341" s="17" t="str">
        <f>VLOOKUP(Main_Presentation[[#This Row],[LC Number]],Main_Issuance[],9,0)</f>
        <v>JCD SPMI</v>
      </c>
      <c r="L341" s="17">
        <f>VLOOKUP(Main_Presentation[[#This Row],[LC Number]],Main_Issuance[],10,0)</f>
        <v>1020100</v>
      </c>
      <c r="M341" s="17" t="str">
        <f>VLOOKUP(Main_Presentation[[#This Row],[LC Number]],Main_Issuance[],11,0)</f>
        <v>SAR</v>
      </c>
      <c r="N341" s="84">
        <f>VLOOKUP(Main_Presentation[[#This Row],[LC Number]],Main_Issuance[],12,0)</f>
        <v>11166675</v>
      </c>
      <c r="O341" s="16" t="s">
        <v>20</v>
      </c>
      <c r="P341" s="16" t="s">
        <v>857</v>
      </c>
      <c r="Q341" s="131">
        <v>4314108.34</v>
      </c>
      <c r="R341" s="18">
        <v>1</v>
      </c>
      <c r="S341" s="18">
        <f>Main_Presentation[[#This Row],[Invoice Amt (FCY)]]*Main_Presentation[[#This Row],[Rate]]</f>
        <v>4314108.34</v>
      </c>
      <c r="T341" s="15">
        <v>45725</v>
      </c>
      <c r="U341" s="26" t="str">
        <f>VLOOKUP(Main_Presentation[[#This Row],[LC Number]],Main_Issuance[],18,0)</f>
        <v>60 Days from Invoice Date</v>
      </c>
      <c r="V341" s="21" t="s">
        <v>304</v>
      </c>
      <c r="W341" s="22" t="s">
        <v>378</v>
      </c>
      <c r="X341" s="16"/>
      <c r="Y341" s="234" t="str">
        <f>TRIM(LEFT(Main_Presentation[[#This Row],[Payment Terms]],3))</f>
        <v>60</v>
      </c>
      <c r="Z341" s="16"/>
      <c r="AA341" s="316" cm="1">
        <f t="array" ref="AA341">Settlement(Main_Presentation[[#This Row],[Bank]],Main_Presentation[[#This Row],[ Invoice Amt (SAR)]],Main_Presentation[[#This Row],[Date Recd]],Main_Presentation[[#This Row],[Due Date]],Main_Presentation[[#This Row],[Days]])</f>
        <v>0</v>
      </c>
      <c r="AB341" s="16"/>
    </row>
    <row r="342" spans="1:28" ht="15.75" hidden="1" x14ac:dyDescent="0.25">
      <c r="A342" s="20" t="s">
        <v>506</v>
      </c>
      <c r="B342" s="15">
        <v>45722</v>
      </c>
      <c r="C342" s="26">
        <v>2</v>
      </c>
      <c r="D342" s="55" t="str">
        <f>VLOOKUP(Main_Presentation[[#This Row],[LC Number]],Main_Issuance[],3,0)</f>
        <v>Rabih Makhoul</v>
      </c>
      <c r="E342" s="16" t="s">
        <v>858</v>
      </c>
      <c r="F342" s="16" t="str">
        <f>VLOOKUP(Main_Presentation[[#This Row],[LC Number]],Main_Issuance[],5,0)</f>
        <v>BAB</v>
      </c>
      <c r="G342" s="16" t="str">
        <f>VLOOKUP(Main_Presentation[[#This Row],[LC Number]],Main_Issuance[],6,0)</f>
        <v>Oceanarium</v>
      </c>
      <c r="H342" s="16" t="str">
        <f>VLOOKUP(Main_Presentation[[#This Row],[LC Number]],Main_Issuance[],17,0)</f>
        <v>Credit</v>
      </c>
      <c r="I342" s="16" t="str">
        <f>VLOOKUP(Main_Presentation[[#This Row],[LC Number]],Main_Issuance[],7,0)</f>
        <v>Ajzal United for Safety Co Ltd</v>
      </c>
      <c r="J342" s="16" t="str">
        <f>VLOOKUP(Main_Presentation[[#This Row],[LC Number]],Main_Issuance[],8,0)</f>
        <v>MBL</v>
      </c>
      <c r="K342" s="16" t="str">
        <f>VLOOKUP(Main_Presentation[[#This Row],[LC Number]],Main_Issuance[],9,0)</f>
        <v>JCD SPMI</v>
      </c>
      <c r="L342" s="16">
        <f>VLOOKUP(Main_Presentation[[#This Row],[LC Number]],Main_Issuance[],10,0)</f>
        <v>1020100</v>
      </c>
      <c r="M342" s="16" t="str">
        <f>VLOOKUP(Main_Presentation[[#This Row],[LC Number]],Main_Issuance[],11,0)</f>
        <v>SAR</v>
      </c>
      <c r="N342" s="86">
        <f>VLOOKUP(Main_Presentation[[#This Row],[LC Number]],Main_Issuance[],12,0)</f>
        <v>11166675</v>
      </c>
      <c r="O342" s="16" t="s">
        <v>20</v>
      </c>
      <c r="P342" s="16" t="s">
        <v>857</v>
      </c>
      <c r="Q342" s="131">
        <v>2343337.11</v>
      </c>
      <c r="R342" s="18">
        <v>1</v>
      </c>
      <c r="S342" s="18">
        <f>Main_Presentation[[#This Row],[Invoice Amt (FCY)]]*Main_Presentation[[#This Row],[Rate]]</f>
        <v>2343337.11</v>
      </c>
      <c r="T342" s="15">
        <v>45754</v>
      </c>
      <c r="U342" s="26" t="str">
        <f>VLOOKUP(Main_Presentation[[#This Row],[LC Number]],Main_Issuance[],18,0)</f>
        <v>60 Days from Invoice Date</v>
      </c>
      <c r="V342" s="21" t="s">
        <v>90</v>
      </c>
      <c r="W342" s="22" t="s">
        <v>378</v>
      </c>
      <c r="X342" s="16" t="s">
        <v>1120</v>
      </c>
      <c r="Y342" s="234" t="str">
        <f>TRIM(LEFT(Main_Presentation[[#This Row],[Payment Terms]],3))</f>
        <v>60</v>
      </c>
      <c r="Z342" s="16"/>
      <c r="AA342" s="316" cm="1">
        <f t="array" ref="AA342">Settlement(Main_Presentation[[#This Row],[Bank]],Main_Presentation[[#This Row],[ Invoice Amt (SAR)]],Main_Presentation[[#This Row],[Date Recd]],Main_Presentation[[#This Row],[Due Date]],Main_Presentation[[#This Row],[Days]])</f>
        <v>0</v>
      </c>
      <c r="AB342" s="16"/>
    </row>
    <row r="343" spans="1:28" ht="15.75" hidden="1" x14ac:dyDescent="0.25">
      <c r="A343" s="20" t="s">
        <v>506</v>
      </c>
      <c r="B343" s="15">
        <v>45763</v>
      </c>
      <c r="C343" s="26">
        <v>3</v>
      </c>
      <c r="D343" s="55" t="str">
        <f>VLOOKUP(Main_Presentation[[#This Row],[LC Number]],Main_Issuance[],3,0)</f>
        <v>Rabih Makhoul</v>
      </c>
      <c r="E343" s="16" t="s">
        <v>858</v>
      </c>
      <c r="F343" s="16" t="str">
        <f>VLOOKUP(Main_Presentation[[#This Row],[LC Number]],Main_Issuance[],5,0)</f>
        <v>BAB</v>
      </c>
      <c r="G343" s="16" t="str">
        <f>VLOOKUP(Main_Presentation[[#This Row],[LC Number]],Main_Issuance[],6,0)</f>
        <v>Oceanarium</v>
      </c>
      <c r="H343" s="16" t="str">
        <f>VLOOKUP(Main_Presentation[[#This Row],[LC Number]],Main_Issuance[],17,0)</f>
        <v>Credit</v>
      </c>
      <c r="I343" s="16" t="str">
        <f>VLOOKUP(Main_Presentation[[#This Row],[LC Number]],Main_Issuance[],7,0)</f>
        <v>Ajzal United for Safety Co Ltd</v>
      </c>
      <c r="J343" s="16" t="str">
        <f>VLOOKUP(Main_Presentation[[#This Row],[LC Number]],Main_Issuance[],8,0)</f>
        <v>MBL</v>
      </c>
      <c r="K343" s="16" t="str">
        <f>VLOOKUP(Main_Presentation[[#This Row],[LC Number]],Main_Issuance[],9,0)</f>
        <v>JCD SPMI</v>
      </c>
      <c r="L343" s="16">
        <f>VLOOKUP(Main_Presentation[[#This Row],[LC Number]],Main_Issuance[],10,0)</f>
        <v>1020100</v>
      </c>
      <c r="M343" s="16" t="str">
        <f>VLOOKUP(Main_Presentation[[#This Row],[LC Number]],Main_Issuance[],11,0)</f>
        <v>SAR</v>
      </c>
      <c r="N343" s="86">
        <f>VLOOKUP(Main_Presentation[[#This Row],[LC Number]],Main_Issuance[],12,0)</f>
        <v>11166675</v>
      </c>
      <c r="O343" s="16" t="s">
        <v>20</v>
      </c>
      <c r="P343" s="16" t="s">
        <v>378</v>
      </c>
      <c r="Q343" s="131">
        <v>930474.94</v>
      </c>
      <c r="R343" s="18">
        <v>1</v>
      </c>
      <c r="S343" s="18">
        <f>Main_Presentation[[#This Row],[Invoice Amt (FCY)]]*Main_Presentation[[#This Row],[Rate]]</f>
        <v>930474.94</v>
      </c>
      <c r="T343" s="15">
        <v>45797</v>
      </c>
      <c r="U343" s="26" t="str">
        <f>VLOOKUP(Main_Presentation[[#This Row],[LC Number]],Main_Issuance[],18,0)</f>
        <v>60 Days from Invoice Date</v>
      </c>
      <c r="V343" s="21" t="s">
        <v>410</v>
      </c>
      <c r="W343" s="22" t="s">
        <v>378</v>
      </c>
      <c r="X343" s="16"/>
      <c r="Y343" s="234" t="str">
        <f>TRIM(LEFT(Main_Presentation[[#This Row],[Payment Terms]],3))</f>
        <v>60</v>
      </c>
      <c r="Z343" s="16"/>
      <c r="AA343" s="316" cm="1">
        <f t="array" ref="AA343">Settlement(Main_Presentation[[#This Row],[Bank]],Main_Presentation[[#This Row],[ Invoice Amt (SAR)]],Main_Presentation[[#This Row],[Date Recd]],Main_Presentation[[#This Row],[Due Date]],Main_Presentation[[#This Row],[Days]])</f>
        <v>0</v>
      </c>
      <c r="AB343" s="16"/>
    </row>
    <row r="344" spans="1:28" ht="15.75" hidden="1" x14ac:dyDescent="0.25">
      <c r="A344" s="20" t="s">
        <v>706</v>
      </c>
      <c r="B344" s="15">
        <v>45782</v>
      </c>
      <c r="C344" s="26">
        <v>3</v>
      </c>
      <c r="D344" s="55" t="str">
        <f>VLOOKUP(Main_Presentation[[#This Row],[LC Number]],Main_Issuance[],3,0)</f>
        <v>Rabih Makhoul</v>
      </c>
      <c r="E344" s="16" t="s">
        <v>858</v>
      </c>
      <c r="F344" s="16" t="str">
        <f>VLOOKUP(Main_Presentation[[#This Row],[LC Number]],Main_Issuance[],5,0)</f>
        <v>BAB</v>
      </c>
      <c r="G344" s="16" t="str">
        <f>VLOOKUP(Main_Presentation[[#This Row],[LC Number]],Main_Issuance[],6,0)</f>
        <v>Oceanarium</v>
      </c>
      <c r="H344" s="16" t="str">
        <f>VLOOKUP(Main_Presentation[[#This Row],[LC Number]],Main_Issuance[],17,0)</f>
        <v>Credit</v>
      </c>
      <c r="I344" s="16" t="str">
        <f>VLOOKUP(Main_Presentation[[#This Row],[LC Number]],Main_Issuance[],7,0)</f>
        <v>TAMEER STEEL FACTORY CO LTD</v>
      </c>
      <c r="J344" s="16" t="str">
        <f>VLOOKUP(Main_Presentation[[#This Row],[LC Number]],Main_Issuance[],8,0)</f>
        <v>MBL</v>
      </c>
      <c r="K344" s="16" t="str">
        <f>VLOOKUP(Main_Presentation[[#This Row],[LC Number]],Main_Issuance[],9,0)</f>
        <v>Neom - The Line</v>
      </c>
      <c r="L344" s="16">
        <f>VLOOKUP(Main_Presentation[[#This Row],[LC Number]],Main_Issuance[],10,0)</f>
        <v>1020098</v>
      </c>
      <c r="M344" s="16" t="str">
        <f>VLOOKUP(Main_Presentation[[#This Row],[LC Number]],Main_Issuance[],11,0)</f>
        <v>SAR</v>
      </c>
      <c r="N344" s="86">
        <f>VLOOKUP(Main_Presentation[[#This Row],[LC Number]],Main_Issuance[],12,0)</f>
        <v>11821448</v>
      </c>
      <c r="O344" s="16" t="s">
        <v>20</v>
      </c>
      <c r="P344" s="16" t="s">
        <v>857</v>
      </c>
      <c r="Q344" s="131">
        <v>5982300</v>
      </c>
      <c r="R344" s="18">
        <v>1</v>
      </c>
      <c r="S344" s="18">
        <f>Main_Presentation[[#This Row],[Invoice Amt (FCY)]]*Main_Presentation[[#This Row],[Rate]]</f>
        <v>5982300</v>
      </c>
      <c r="T344" s="15">
        <v>45804</v>
      </c>
      <c r="U344" s="26" t="str">
        <f>VLOOKUP(Main_Presentation[[#This Row],[LC Number]],Main_Issuance[],18,0)</f>
        <v>45 Days from Invoice Date</v>
      </c>
      <c r="V344" s="21" t="s">
        <v>304</v>
      </c>
      <c r="W344" s="22" t="s">
        <v>857</v>
      </c>
      <c r="X344" s="16"/>
      <c r="Y344" s="234" t="str">
        <f>TRIM(LEFT(Main_Presentation[[#This Row],[Payment Terms]],3))</f>
        <v>45</v>
      </c>
      <c r="Z344" s="16"/>
      <c r="AA344" s="316" cm="1">
        <f t="array" ref="AA344">Settlement(Main_Presentation[[#This Row],[Bank]],Main_Presentation[[#This Row],[ Invoice Amt (SAR)]],Main_Presentation[[#This Row],[Date Recd]],Main_Presentation[[#This Row],[Due Date]],Main_Presentation[[#This Row],[Days]])</f>
        <v>0</v>
      </c>
      <c r="AB344" s="16"/>
    </row>
    <row r="345" spans="1:28" ht="15.75" hidden="1" x14ac:dyDescent="0.25">
      <c r="A345" s="20" t="s">
        <v>506</v>
      </c>
      <c r="B345" s="15">
        <v>45768</v>
      </c>
      <c r="C345" s="26">
        <v>4</v>
      </c>
      <c r="D345" s="55" t="str">
        <f>VLOOKUP(Main_Presentation[[#This Row],[LC Number]],Main_Issuance[],3,0)</f>
        <v>Rabih Makhoul</v>
      </c>
      <c r="E345" s="16" t="s">
        <v>858</v>
      </c>
      <c r="F345" s="16" t="str">
        <f>VLOOKUP(Main_Presentation[[#This Row],[LC Number]],Main_Issuance[],5,0)</f>
        <v>BAB</v>
      </c>
      <c r="G345" s="16" t="str">
        <f>VLOOKUP(Main_Presentation[[#This Row],[LC Number]],Main_Issuance[],6,0)</f>
        <v>Oceanarium</v>
      </c>
      <c r="H345" s="16" t="str">
        <f>VLOOKUP(Main_Presentation[[#This Row],[LC Number]],Main_Issuance[],17,0)</f>
        <v>Credit</v>
      </c>
      <c r="I345" s="16" t="str">
        <f>VLOOKUP(Main_Presentation[[#This Row],[LC Number]],Main_Issuance[],7,0)</f>
        <v>Ajzal United for Safety Co Ltd</v>
      </c>
      <c r="J345" s="16" t="str">
        <f>VLOOKUP(Main_Presentation[[#This Row],[LC Number]],Main_Issuance[],8,0)</f>
        <v>MBL</v>
      </c>
      <c r="K345" s="16" t="str">
        <f>VLOOKUP(Main_Presentation[[#This Row],[LC Number]],Main_Issuance[],9,0)</f>
        <v>JCD SPMI</v>
      </c>
      <c r="L345" s="16">
        <f>VLOOKUP(Main_Presentation[[#This Row],[LC Number]],Main_Issuance[],10,0)</f>
        <v>1020100</v>
      </c>
      <c r="M345" s="16" t="str">
        <f>VLOOKUP(Main_Presentation[[#This Row],[LC Number]],Main_Issuance[],11,0)</f>
        <v>SAR</v>
      </c>
      <c r="N345" s="86">
        <f>VLOOKUP(Main_Presentation[[#This Row],[LC Number]],Main_Issuance[],12,0)</f>
        <v>11166675</v>
      </c>
      <c r="O345" s="16" t="s">
        <v>20</v>
      </c>
      <c r="P345" s="16" t="s">
        <v>857</v>
      </c>
      <c r="Q345" s="131">
        <v>1013681.9</v>
      </c>
      <c r="R345" s="18">
        <v>1</v>
      </c>
      <c r="S345" s="18">
        <f>Main_Presentation[[#This Row],[Invoice Amt (FCY)]]*Main_Presentation[[#This Row],[Rate]]</f>
        <v>1013681.9</v>
      </c>
      <c r="T345" s="15">
        <v>45823</v>
      </c>
      <c r="U345" s="26" t="str">
        <f>VLOOKUP(Main_Presentation[[#This Row],[LC Number]],Main_Issuance[],18,0)</f>
        <v>60 Days from Invoice Date</v>
      </c>
      <c r="V345" s="21" t="s">
        <v>304</v>
      </c>
      <c r="W345" s="22" t="s">
        <v>378</v>
      </c>
      <c r="X345" s="16"/>
      <c r="Y345" s="234" t="str">
        <f>TRIM(LEFT(Main_Presentation[[#This Row],[Payment Terms]],3))</f>
        <v>60</v>
      </c>
      <c r="Z345" s="16"/>
      <c r="AA345" s="316" cm="1">
        <f t="array" ref="AA345">Settlement(Main_Presentation[[#This Row],[Bank]],Main_Presentation[[#This Row],[ Invoice Amt (SAR)]],Main_Presentation[[#This Row],[Date Recd]],Main_Presentation[[#This Row],[Due Date]],Main_Presentation[[#This Row],[Days]])</f>
        <v>0</v>
      </c>
      <c r="AB345" s="16"/>
    </row>
    <row r="346" spans="1:28" ht="15.75" hidden="1" x14ac:dyDescent="0.25">
      <c r="A346" s="20" t="s">
        <v>460</v>
      </c>
      <c r="B346" s="15">
        <v>45656</v>
      </c>
      <c r="C346" s="26">
        <v>1</v>
      </c>
      <c r="D346" s="55" t="str">
        <f>VLOOKUP(Main_Presentation[[#This Row],[LC Number]],Main_Issuance[],3,0)</f>
        <v>Hassan Taleb</v>
      </c>
      <c r="E346" s="16" t="s">
        <v>856</v>
      </c>
      <c r="F346" s="16" t="str">
        <f>VLOOKUP(Main_Presentation[[#This Row],[LC Number]],Main_Issuance[],5,0)</f>
        <v>BAB</v>
      </c>
      <c r="G346" s="16" t="str">
        <f>VLOOKUP(Main_Presentation[[#This Row],[LC Number]],Main_Issuance[],6,0)</f>
        <v>Multipurpose</v>
      </c>
      <c r="H346" s="16" t="str">
        <f>VLOOKUP(Main_Presentation[[#This Row],[LC Number]],Main_Issuance[],17,0)</f>
        <v>Credit</v>
      </c>
      <c r="I346" s="16" t="str">
        <f>VLOOKUP(Main_Presentation[[#This Row],[LC Number]],Main_Issuance[],7,0)</f>
        <v>Depa Saudi Arabia for Contracting and Interior Decorating Co. Ltd.</v>
      </c>
      <c r="J346" s="16" t="str">
        <f>VLOOKUP(Main_Presentation[[#This Row],[LC Number]],Main_Issuance[],8,0)</f>
        <v>MBL</v>
      </c>
      <c r="K346" s="16" t="str">
        <f>VLOOKUP(Main_Presentation[[#This Row],[LC Number]],Main_Issuance[],9,0)</f>
        <v>KSP</v>
      </c>
      <c r="L346" s="16">
        <f>VLOOKUP(Main_Presentation[[#This Row],[LC Number]],Main_Issuance[],10,0)</f>
        <v>1020055</v>
      </c>
      <c r="M346" s="16" t="str">
        <f>VLOOKUP(Main_Presentation[[#This Row],[LC Number]],Main_Issuance[],11,0)</f>
        <v>SAR</v>
      </c>
      <c r="N346" s="86">
        <f>VLOOKUP(Main_Presentation[[#This Row],[LC Number]],Main_Issuance[],12,0)</f>
        <v>18000000</v>
      </c>
      <c r="O346" s="16" t="s">
        <v>20</v>
      </c>
      <c r="P346" s="16" t="s">
        <v>857</v>
      </c>
      <c r="Q346" s="131">
        <v>2354265.0499999998</v>
      </c>
      <c r="R346" s="18">
        <v>1</v>
      </c>
      <c r="S346" s="18">
        <f>Main_Presentation[[#This Row],[Invoice Amt (FCY)]]*Main_Presentation[[#This Row],[Rate]]</f>
        <v>2354265.0499999998</v>
      </c>
      <c r="T346" s="15">
        <v>45659</v>
      </c>
      <c r="U346" s="26" t="str">
        <f>VLOOKUP(Main_Presentation[[#This Row],[LC Number]],Main_Issuance[],18,0)</f>
        <v>30 Days from Invoice Date</v>
      </c>
      <c r="V346" s="19" t="s">
        <v>22</v>
      </c>
      <c r="W346" s="18" t="s">
        <v>857</v>
      </c>
      <c r="X346" s="16"/>
      <c r="Y346" s="234" t="str">
        <f>TRIM(LEFT(Main_Presentation[[#This Row],[Payment Terms]],3))</f>
        <v>30</v>
      </c>
      <c r="Z346" s="16"/>
      <c r="AA346" s="316" cm="1">
        <f t="array" ref="AA346">Settlement(Main_Presentation[[#This Row],[Bank]],Main_Presentation[[#This Row],[ Invoice Amt (SAR)]],Main_Presentation[[#This Row],[Date Recd]],Main_Presentation[[#This Row],[Due Date]],Main_Presentation[[#This Row],[Days]])</f>
        <v>0</v>
      </c>
      <c r="AB346" s="16"/>
    </row>
    <row r="347" spans="1:28" ht="15.75" hidden="1" x14ac:dyDescent="0.25">
      <c r="A347" s="20" t="s">
        <v>558</v>
      </c>
      <c r="B347" s="15">
        <v>45659</v>
      </c>
      <c r="C347" s="26">
        <v>1</v>
      </c>
      <c r="D347" s="55" t="str">
        <f>VLOOKUP(Main_Presentation[[#This Row],[LC Number]],Main_Issuance[],3,0)</f>
        <v>Hassan Taleb</v>
      </c>
      <c r="E347" s="16" t="s">
        <v>858</v>
      </c>
      <c r="F347" s="16" t="str">
        <f>VLOOKUP(Main_Presentation[[#This Row],[LC Number]],Main_Issuance[],5,0)</f>
        <v>BAB</v>
      </c>
      <c r="G347" s="16" t="str">
        <f>VLOOKUP(Main_Presentation[[#This Row],[LC Number]],Main_Issuance[],6,0)</f>
        <v>Oceanarium</v>
      </c>
      <c r="H347" s="16" t="str">
        <f>VLOOKUP(Main_Presentation[[#This Row],[LC Number]],Main_Issuance[],17,0)</f>
        <v>Credit</v>
      </c>
      <c r="I347" s="16" t="str">
        <f>VLOOKUP(Main_Presentation[[#This Row],[LC Number]],Main_Issuance[],7,0)</f>
        <v>Huda Lighting</v>
      </c>
      <c r="J347" s="16" t="str">
        <f>VLOOKUP(Main_Presentation[[#This Row],[LC Number]],Main_Issuance[],8,0)</f>
        <v>FIRST FIX</v>
      </c>
      <c r="K347" s="16" t="str">
        <f>VLOOKUP(Main_Presentation[[#This Row],[LC Number]],Main_Issuance[],9,0)</f>
        <v>KSP</v>
      </c>
      <c r="L347" s="16">
        <f>VLOOKUP(Main_Presentation[[#This Row],[LC Number]],Main_Issuance[],10,0)</f>
        <v>1020055</v>
      </c>
      <c r="M347" s="16" t="str">
        <f>VLOOKUP(Main_Presentation[[#This Row],[LC Number]],Main_Issuance[],11,0)</f>
        <v>SAR</v>
      </c>
      <c r="N347" s="86">
        <f>VLOOKUP(Main_Presentation[[#This Row],[LC Number]],Main_Issuance[],12,0)</f>
        <v>2003904.69</v>
      </c>
      <c r="O347" s="16" t="s">
        <v>20</v>
      </c>
      <c r="P347" s="16" t="s">
        <v>857</v>
      </c>
      <c r="Q347" s="131">
        <v>2003904.69</v>
      </c>
      <c r="R347" s="18">
        <v>1</v>
      </c>
      <c r="S347" s="18">
        <f>Main_Presentation[[#This Row],[Invoice Amt (FCY)]]*Main_Presentation[[#This Row],[Rate]]</f>
        <v>2003904.69</v>
      </c>
      <c r="T347" s="15">
        <v>45733</v>
      </c>
      <c r="U347" s="26" t="str">
        <f>VLOOKUP(Main_Presentation[[#This Row],[LC Number]],Main_Issuance[],18,0)</f>
        <v>90 Days from Invoice Date</v>
      </c>
      <c r="V347" s="21" t="s">
        <v>887</v>
      </c>
      <c r="W347" s="22" t="s">
        <v>378</v>
      </c>
      <c r="X347" s="16"/>
      <c r="Y347" s="234" t="str">
        <f>TRIM(LEFT(Main_Presentation[[#This Row],[Payment Terms]],3))</f>
        <v>90</v>
      </c>
      <c r="Z347" s="16"/>
      <c r="AA347" s="316" cm="1">
        <f t="array" ref="AA347">Settlement(Main_Presentation[[#This Row],[Bank]],Main_Presentation[[#This Row],[ Invoice Amt (SAR)]],Main_Presentation[[#This Row],[Date Recd]],Main_Presentation[[#This Row],[Due Date]],Main_Presentation[[#This Row],[Days]])</f>
        <v>0</v>
      </c>
      <c r="AB347" s="16"/>
    </row>
    <row r="348" spans="1:28" ht="15.75" hidden="1" x14ac:dyDescent="0.25">
      <c r="A348" s="20" t="s">
        <v>556</v>
      </c>
      <c r="B348" s="15">
        <v>45664</v>
      </c>
      <c r="C348" s="26">
        <v>1</v>
      </c>
      <c r="D348" s="55" t="str">
        <f>VLOOKUP(Main_Presentation[[#This Row],[LC Number]],Main_Issuance[],3,0)</f>
        <v>Hassan Taleb</v>
      </c>
      <c r="E348" s="16" t="s">
        <v>858</v>
      </c>
      <c r="F348" s="16" t="str">
        <f>VLOOKUP(Main_Presentation[[#This Row],[LC Number]],Main_Issuance[],5,0)</f>
        <v>BAB</v>
      </c>
      <c r="G348" s="16" t="str">
        <f>VLOOKUP(Main_Presentation[[#This Row],[LC Number]],Main_Issuance[],6,0)</f>
        <v>Oceanarium</v>
      </c>
      <c r="H348" s="16" t="str">
        <f>VLOOKUP(Main_Presentation[[#This Row],[LC Number]],Main_Issuance[],17,0)</f>
        <v>Credit</v>
      </c>
      <c r="I348" s="16" t="str">
        <f>VLOOKUP(Main_Presentation[[#This Row],[LC Number]],Main_Issuance[],7,0)</f>
        <v>AL-HADBANIA TRADING COMPANY.</v>
      </c>
      <c r="J348" s="16" t="str">
        <f>VLOOKUP(Main_Presentation[[#This Row],[LC Number]],Main_Issuance[],8,0)</f>
        <v>FIRST FIX</v>
      </c>
      <c r="K348" s="16" t="str">
        <f>VLOOKUP(Main_Presentation[[#This Row],[LC Number]],Main_Issuance[],9,0)</f>
        <v>KSP</v>
      </c>
      <c r="L348" s="16">
        <f>VLOOKUP(Main_Presentation[[#This Row],[LC Number]],Main_Issuance[],10,0)</f>
        <v>1020055</v>
      </c>
      <c r="M348" s="16" t="str">
        <f>VLOOKUP(Main_Presentation[[#This Row],[LC Number]],Main_Issuance[],11,0)</f>
        <v>SAR</v>
      </c>
      <c r="N348" s="86">
        <f>VLOOKUP(Main_Presentation[[#This Row],[LC Number]],Main_Issuance[],12,0)</f>
        <v>1500000</v>
      </c>
      <c r="O348" s="16" t="s">
        <v>20</v>
      </c>
      <c r="P348" s="16" t="s">
        <v>857</v>
      </c>
      <c r="Q348" s="131">
        <v>1500000</v>
      </c>
      <c r="R348" s="18">
        <v>1</v>
      </c>
      <c r="S348" s="18">
        <f>Main_Presentation[[#This Row],[Invoice Amt (FCY)]]*Main_Presentation[[#This Row],[Rate]]</f>
        <v>1500000</v>
      </c>
      <c r="T348" s="15">
        <v>45739</v>
      </c>
      <c r="U348" s="26" t="str">
        <f>VLOOKUP(Main_Presentation[[#This Row],[LC Number]],Main_Issuance[],18,0)</f>
        <v>90 Days from Invoice Date</v>
      </c>
      <c r="V348" s="21" t="s">
        <v>483</v>
      </c>
      <c r="W348" s="22" t="s">
        <v>378</v>
      </c>
      <c r="X348" s="16"/>
      <c r="Y348" s="234" t="str">
        <f>TRIM(LEFT(Main_Presentation[[#This Row],[Payment Terms]],3))</f>
        <v>90</v>
      </c>
      <c r="Z348" s="16"/>
      <c r="AA348" s="316" cm="1">
        <f t="array" ref="AA348">Settlement(Main_Presentation[[#This Row],[Bank]],Main_Presentation[[#This Row],[ Invoice Amt (SAR)]],Main_Presentation[[#This Row],[Date Recd]],Main_Presentation[[#This Row],[Due Date]],Main_Presentation[[#This Row],[Days]])</f>
        <v>0</v>
      </c>
      <c r="AB348" s="16"/>
    </row>
    <row r="349" spans="1:28" ht="15.75" hidden="1" x14ac:dyDescent="0.25">
      <c r="A349" s="20" t="s">
        <v>573</v>
      </c>
      <c r="B349" s="15">
        <v>45666</v>
      </c>
      <c r="C349" s="26">
        <v>1</v>
      </c>
      <c r="D349" s="55" t="str">
        <f>VLOOKUP(Main_Presentation[[#This Row],[LC Number]],Main_Issuance[],3,0)</f>
        <v>Hassan Taleb</v>
      </c>
      <c r="E349" s="16" t="s">
        <v>858</v>
      </c>
      <c r="F349" s="16" t="str">
        <f>VLOOKUP(Main_Presentation[[#This Row],[LC Number]],Main_Issuance[],5,0)</f>
        <v>BAB</v>
      </c>
      <c r="G349" s="16" t="str">
        <f>VLOOKUP(Main_Presentation[[#This Row],[LC Number]],Main_Issuance[],6,0)</f>
        <v>Oceanarium</v>
      </c>
      <c r="H349" s="16" t="str">
        <f>VLOOKUP(Main_Presentation[[#This Row],[LC Number]],Main_Issuance[],17,0)</f>
        <v>Credit</v>
      </c>
      <c r="I349" s="16" t="str">
        <f>VLOOKUP(Main_Presentation[[#This Row],[LC Number]],Main_Issuance[],7,0)</f>
        <v>AL WEFAQ CONTRACTING COMPANY</v>
      </c>
      <c r="J349" s="16" t="str">
        <f>VLOOKUP(Main_Presentation[[#This Row],[LC Number]],Main_Issuance[],8,0)</f>
        <v>FIRST FIX</v>
      </c>
      <c r="K349" s="16" t="str">
        <f>VLOOKUP(Main_Presentation[[#This Row],[LC Number]],Main_Issuance[],9,0)</f>
        <v>KSP</v>
      </c>
      <c r="L349" s="16">
        <f>VLOOKUP(Main_Presentation[[#This Row],[LC Number]],Main_Issuance[],10,0)</f>
        <v>1020055</v>
      </c>
      <c r="M349" s="16" t="str">
        <f>VLOOKUP(Main_Presentation[[#This Row],[LC Number]],Main_Issuance[],11,0)</f>
        <v>SAR</v>
      </c>
      <c r="N349" s="86">
        <f>VLOOKUP(Main_Presentation[[#This Row],[LC Number]],Main_Issuance[],12,0)</f>
        <v>128535.5</v>
      </c>
      <c r="O349" s="16" t="s">
        <v>20</v>
      </c>
      <c r="P349" s="16" t="s">
        <v>857</v>
      </c>
      <c r="Q349" s="131">
        <v>128535.5</v>
      </c>
      <c r="R349" s="18">
        <v>1</v>
      </c>
      <c r="S349" s="18">
        <f>Main_Presentation[[#This Row],[Invoice Amt (FCY)]]*Main_Presentation[[#This Row],[Rate]]</f>
        <v>128535.5</v>
      </c>
      <c r="T349" s="15">
        <v>45739</v>
      </c>
      <c r="U349" s="26" t="str">
        <f>VLOOKUP(Main_Presentation[[#This Row],[LC Number]],Main_Issuance[],18,0)</f>
        <v>90 Days from Invoice Date</v>
      </c>
      <c r="V349" s="21" t="s">
        <v>304</v>
      </c>
      <c r="W349" s="22" t="s">
        <v>378</v>
      </c>
      <c r="X349" s="16"/>
      <c r="Y349" s="234" t="str">
        <f>TRIM(LEFT(Main_Presentation[[#This Row],[Payment Terms]],3))</f>
        <v>90</v>
      </c>
      <c r="Z349" s="16"/>
      <c r="AA349" s="316" cm="1">
        <f t="array" ref="AA349">Settlement(Main_Presentation[[#This Row],[Bank]],Main_Presentation[[#This Row],[ Invoice Amt (SAR)]],Main_Presentation[[#This Row],[Date Recd]],Main_Presentation[[#This Row],[Due Date]],Main_Presentation[[#This Row],[Days]])</f>
        <v>0</v>
      </c>
      <c r="AB349" s="16"/>
    </row>
    <row r="350" spans="1:28" ht="15.75" hidden="1" x14ac:dyDescent="0.25">
      <c r="A350" s="20" t="s">
        <v>568</v>
      </c>
      <c r="B350" s="15">
        <v>45666</v>
      </c>
      <c r="C350" s="26">
        <v>1</v>
      </c>
      <c r="D350" s="55" t="str">
        <f>VLOOKUP(Main_Presentation[[#This Row],[LC Number]],Main_Issuance[],3,0)</f>
        <v>Hassan Taleb</v>
      </c>
      <c r="E350" s="16" t="s">
        <v>858</v>
      </c>
      <c r="F350" s="16" t="str">
        <f>VLOOKUP(Main_Presentation[[#This Row],[LC Number]],Main_Issuance[],5,0)</f>
        <v>BAB</v>
      </c>
      <c r="G350" s="16" t="str">
        <f>VLOOKUP(Main_Presentation[[#This Row],[LC Number]],Main_Issuance[],6,0)</f>
        <v>Oceanarium</v>
      </c>
      <c r="H350" s="16" t="str">
        <f>VLOOKUP(Main_Presentation[[#This Row],[LC Number]],Main_Issuance[],17,0)</f>
        <v>Credit</v>
      </c>
      <c r="I350" s="16" t="str">
        <f>VLOOKUP(Main_Presentation[[#This Row],[LC Number]],Main_Issuance[],7,0)</f>
        <v>Safid Co.Ltd</v>
      </c>
      <c r="J350" s="16" t="str">
        <f>VLOOKUP(Main_Presentation[[#This Row],[LC Number]],Main_Issuance[],8,0)</f>
        <v>FIRST FIX</v>
      </c>
      <c r="K350" s="16" t="str">
        <f>VLOOKUP(Main_Presentation[[#This Row],[LC Number]],Main_Issuance[],9,0)</f>
        <v>KSP</v>
      </c>
      <c r="L350" s="16">
        <f>VLOOKUP(Main_Presentation[[#This Row],[LC Number]],Main_Issuance[],10,0)</f>
        <v>1020055</v>
      </c>
      <c r="M350" s="16" t="str">
        <f>VLOOKUP(Main_Presentation[[#This Row],[LC Number]],Main_Issuance[],11,0)</f>
        <v>SAR</v>
      </c>
      <c r="N350" s="86">
        <f>VLOOKUP(Main_Presentation[[#This Row],[LC Number]],Main_Issuance[],12,0)</f>
        <v>1500000</v>
      </c>
      <c r="O350" s="16" t="s">
        <v>20</v>
      </c>
      <c r="P350" s="16" t="s">
        <v>857</v>
      </c>
      <c r="Q350" s="131">
        <v>1500000</v>
      </c>
      <c r="R350" s="18">
        <v>1</v>
      </c>
      <c r="S350" s="18">
        <f>Main_Presentation[[#This Row],[Invoice Amt (FCY)]]*Main_Presentation[[#This Row],[Rate]]</f>
        <v>1500000</v>
      </c>
      <c r="T350" s="15">
        <v>45746</v>
      </c>
      <c r="U350" s="26" t="str">
        <f>VLOOKUP(Main_Presentation[[#This Row],[LC Number]],Main_Issuance[],18,0)</f>
        <v>90 Days from Invoice Date</v>
      </c>
      <c r="V350" s="21" t="s">
        <v>1108</v>
      </c>
      <c r="W350" s="22" t="s">
        <v>378</v>
      </c>
      <c r="X350" s="16"/>
      <c r="Y350" s="234" t="str">
        <f>TRIM(LEFT(Main_Presentation[[#This Row],[Payment Terms]],3))</f>
        <v>90</v>
      </c>
      <c r="Z350" s="16"/>
      <c r="AA350" s="316" cm="1">
        <f t="array" ref="AA350">Settlement(Main_Presentation[[#This Row],[Bank]],Main_Presentation[[#This Row],[ Invoice Amt (SAR)]],Main_Presentation[[#This Row],[Date Recd]],Main_Presentation[[#This Row],[Due Date]],Main_Presentation[[#This Row],[Days]])</f>
        <v>0</v>
      </c>
      <c r="AB350" s="16"/>
    </row>
    <row r="351" spans="1:28" ht="15.75" hidden="1" x14ac:dyDescent="0.25">
      <c r="A351" s="20" t="s">
        <v>562</v>
      </c>
      <c r="B351" s="15">
        <v>45670</v>
      </c>
      <c r="C351" s="26">
        <v>1</v>
      </c>
      <c r="D351" s="55" t="str">
        <f>VLOOKUP(Main_Presentation[[#This Row],[LC Number]],Main_Issuance[],3,0)</f>
        <v>Hassan Taleb</v>
      </c>
      <c r="E351" s="16" t="s">
        <v>858</v>
      </c>
      <c r="F351" s="16" t="str">
        <f>VLOOKUP(Main_Presentation[[#This Row],[LC Number]],Main_Issuance[],5,0)</f>
        <v>BAB</v>
      </c>
      <c r="G351" s="16" t="str">
        <f>VLOOKUP(Main_Presentation[[#This Row],[LC Number]],Main_Issuance[],6,0)</f>
        <v>Oceanarium</v>
      </c>
      <c r="H351" s="16" t="str">
        <f>VLOOKUP(Main_Presentation[[#This Row],[LC Number]],Main_Issuance[],17,0)</f>
        <v>Credit</v>
      </c>
      <c r="I351" s="16" t="str">
        <f>VLOOKUP(Main_Presentation[[#This Row],[LC Number]],Main_Issuance[],7,0)</f>
        <v>Daikin Airconditioning Sa, Llc</v>
      </c>
      <c r="J351" s="16" t="str">
        <f>VLOOKUP(Main_Presentation[[#This Row],[LC Number]],Main_Issuance[],8,0)</f>
        <v>FIRST FIX</v>
      </c>
      <c r="K351" s="16" t="str">
        <f>VLOOKUP(Main_Presentation[[#This Row],[LC Number]],Main_Issuance[],9,0)</f>
        <v>KSP</v>
      </c>
      <c r="L351" s="16">
        <f>VLOOKUP(Main_Presentation[[#This Row],[LC Number]],Main_Issuance[],10,0)</f>
        <v>1020055</v>
      </c>
      <c r="M351" s="16" t="str">
        <f>VLOOKUP(Main_Presentation[[#This Row],[LC Number]],Main_Issuance[],11,0)</f>
        <v>SAR</v>
      </c>
      <c r="N351" s="86">
        <f>VLOOKUP(Main_Presentation[[#This Row],[LC Number]],Main_Issuance[],12,0)</f>
        <v>593400</v>
      </c>
      <c r="O351" s="16" t="s">
        <v>20</v>
      </c>
      <c r="P351" s="16" t="s">
        <v>857</v>
      </c>
      <c r="Q351" s="131">
        <v>593400</v>
      </c>
      <c r="R351" s="18">
        <v>1</v>
      </c>
      <c r="S351" s="18">
        <f>Main_Presentation[[#This Row],[Invoice Amt (FCY)]]*Main_Presentation[[#This Row],[Rate]]</f>
        <v>593400</v>
      </c>
      <c r="T351" s="15">
        <v>45698</v>
      </c>
      <c r="U351" s="26" t="str">
        <f>VLOOKUP(Main_Presentation[[#This Row],[LC Number]],Main_Issuance[],18,0)</f>
        <v>60 Days from Invoice Date</v>
      </c>
      <c r="V351" s="21" t="s">
        <v>90</v>
      </c>
      <c r="W351" s="22" t="s">
        <v>378</v>
      </c>
      <c r="X351" s="16"/>
      <c r="Y351" s="234" t="str">
        <f>TRIM(LEFT(Main_Presentation[[#This Row],[Payment Terms]],3))</f>
        <v>60</v>
      </c>
      <c r="Z351" s="16"/>
      <c r="AA351" s="316" cm="1">
        <f t="array" ref="AA351">Settlement(Main_Presentation[[#This Row],[Bank]],Main_Presentation[[#This Row],[ Invoice Amt (SAR)]],Main_Presentation[[#This Row],[Date Recd]],Main_Presentation[[#This Row],[Due Date]],Main_Presentation[[#This Row],[Days]])</f>
        <v>0</v>
      </c>
      <c r="AB351" s="16"/>
    </row>
    <row r="352" spans="1:28" ht="15.75" hidden="1" x14ac:dyDescent="0.25">
      <c r="A352" s="20" t="s">
        <v>570</v>
      </c>
      <c r="B352" s="15">
        <v>45673</v>
      </c>
      <c r="C352" s="26" t="s">
        <v>1299</v>
      </c>
      <c r="D352" s="55" t="str">
        <f>VLOOKUP(Main_Presentation[[#This Row],[LC Number]],Main_Issuance[],3,0)</f>
        <v>Hassan Taleb</v>
      </c>
      <c r="E352" s="16" t="s">
        <v>858</v>
      </c>
      <c r="F352" s="16" t="str">
        <f>VLOOKUP(Main_Presentation[[#This Row],[LC Number]],Main_Issuance[],5,0)</f>
        <v>BAB</v>
      </c>
      <c r="G352" s="16" t="str">
        <f>VLOOKUP(Main_Presentation[[#This Row],[LC Number]],Main_Issuance[],6,0)</f>
        <v>Oceanarium</v>
      </c>
      <c r="H352" s="16" t="str">
        <f>VLOOKUP(Main_Presentation[[#This Row],[LC Number]],Main_Issuance[],17,0)</f>
        <v>Credit</v>
      </c>
      <c r="I352" s="16" t="str">
        <f>VLOOKUP(Main_Presentation[[#This Row],[LC Number]],Main_Issuance[],7,0)</f>
        <v>Building System Intelligent (BSICO)</v>
      </c>
      <c r="J352" s="16" t="str">
        <f>VLOOKUP(Main_Presentation[[#This Row],[LC Number]],Main_Issuance[],8,0)</f>
        <v>FIRST FIX</v>
      </c>
      <c r="K352" s="16" t="str">
        <f>VLOOKUP(Main_Presentation[[#This Row],[LC Number]],Main_Issuance[],9,0)</f>
        <v>KSP</v>
      </c>
      <c r="L352" s="16">
        <f>VLOOKUP(Main_Presentation[[#This Row],[LC Number]],Main_Issuance[],10,0)</f>
        <v>1020055</v>
      </c>
      <c r="M352" s="16" t="str">
        <f>VLOOKUP(Main_Presentation[[#This Row],[LC Number]],Main_Issuance[],11,0)</f>
        <v>SAR</v>
      </c>
      <c r="N352" s="86">
        <f>VLOOKUP(Main_Presentation[[#This Row],[LC Number]],Main_Issuance[],12,0)</f>
        <v>804752.18</v>
      </c>
      <c r="O352" s="16" t="s">
        <v>20</v>
      </c>
      <c r="P352" s="16" t="s">
        <v>857</v>
      </c>
      <c r="Q352" s="131">
        <f>804752.18-519537.08</f>
        <v>285215.10000000003</v>
      </c>
      <c r="R352" s="18">
        <v>1</v>
      </c>
      <c r="S352" s="18">
        <f>Main_Presentation[[#This Row],[Invoice Amt (FCY)]]*Main_Presentation[[#This Row],[Rate]]</f>
        <v>285215.10000000003</v>
      </c>
      <c r="T352" s="15">
        <v>45735</v>
      </c>
      <c r="U352" s="26" t="str">
        <f>VLOOKUP(Main_Presentation[[#This Row],[LC Number]],Main_Issuance[],18,0)</f>
        <v>90 Days from Invoice Date</v>
      </c>
      <c r="V352" s="21" t="s">
        <v>891</v>
      </c>
      <c r="W352" s="22" t="s">
        <v>378</v>
      </c>
      <c r="X352" s="16"/>
      <c r="Y352" s="234" t="str">
        <f>TRIM(LEFT(Main_Presentation[[#This Row],[Payment Terms]],3))</f>
        <v>90</v>
      </c>
      <c r="Z352" s="16"/>
      <c r="AA352" s="316" cm="1">
        <f t="array" ref="AA352">Settlement(Main_Presentation[[#This Row],[Bank]],Main_Presentation[[#This Row],[ Invoice Amt (SAR)]],Main_Presentation[[#This Row],[Date Recd]],Main_Presentation[[#This Row],[Due Date]],Main_Presentation[[#This Row],[Days]])</f>
        <v>0</v>
      </c>
      <c r="AB352" s="16"/>
    </row>
    <row r="353" spans="1:28" ht="15.75" hidden="1" x14ac:dyDescent="0.25">
      <c r="A353" s="20" t="s">
        <v>570</v>
      </c>
      <c r="B353" s="15">
        <v>45673</v>
      </c>
      <c r="C353" s="26" t="s">
        <v>1300</v>
      </c>
      <c r="D353" s="55" t="str">
        <f>VLOOKUP(Main_Presentation[[#This Row],[LC Number]],Main_Issuance[],3,0)</f>
        <v>Hassan Taleb</v>
      </c>
      <c r="E353" s="16" t="s">
        <v>858</v>
      </c>
      <c r="F353" s="16" t="str">
        <f>VLOOKUP(Main_Presentation[[#This Row],[LC Number]],Main_Issuance[],5,0)</f>
        <v>BAB</v>
      </c>
      <c r="G353" s="16" t="str">
        <f>VLOOKUP(Main_Presentation[[#This Row],[LC Number]],Main_Issuance[],6,0)</f>
        <v>Oceanarium</v>
      </c>
      <c r="H353" s="16" t="str">
        <f>VLOOKUP(Main_Presentation[[#This Row],[LC Number]],Main_Issuance[],17,0)</f>
        <v>Credit</v>
      </c>
      <c r="I353" s="16" t="str">
        <f>VLOOKUP(Main_Presentation[[#This Row],[LC Number]],Main_Issuance[],7,0)</f>
        <v>Building System Intelligent (BSICO)</v>
      </c>
      <c r="J353" s="16" t="str">
        <f>VLOOKUP(Main_Presentation[[#This Row],[LC Number]],Main_Issuance[],8,0)</f>
        <v>FIRST FIX</v>
      </c>
      <c r="K353" s="16" t="str">
        <f>VLOOKUP(Main_Presentation[[#This Row],[LC Number]],Main_Issuance[],9,0)</f>
        <v>KSP</v>
      </c>
      <c r="L353" s="16">
        <f>VLOOKUP(Main_Presentation[[#This Row],[LC Number]],Main_Issuance[],10,0)</f>
        <v>1020055</v>
      </c>
      <c r="M353" s="16" t="str">
        <f>VLOOKUP(Main_Presentation[[#This Row],[LC Number]],Main_Issuance[],11,0)</f>
        <v>SAR</v>
      </c>
      <c r="N353" s="86">
        <f>VLOOKUP(Main_Presentation[[#This Row],[LC Number]],Main_Issuance[],12,0)</f>
        <v>804752.18</v>
      </c>
      <c r="O353" s="16" t="s">
        <v>20</v>
      </c>
      <c r="P353" s="16" t="s">
        <v>857</v>
      </c>
      <c r="Q353" s="131">
        <f>804752.18-285215.1</f>
        <v>519537.08000000007</v>
      </c>
      <c r="R353" s="18">
        <v>1</v>
      </c>
      <c r="S353" s="18">
        <f>Main_Presentation[[#This Row],[Invoice Amt (FCY)]]*Main_Presentation[[#This Row],[Rate]]</f>
        <v>519537.08000000007</v>
      </c>
      <c r="T353" s="15">
        <v>45735</v>
      </c>
      <c r="U353" s="26" t="str">
        <f>VLOOKUP(Main_Presentation[[#This Row],[LC Number]],Main_Issuance[],18,0)</f>
        <v>90 Days from Invoice Date</v>
      </c>
      <c r="V353" s="19" t="s">
        <v>304</v>
      </c>
      <c r="W353" s="22" t="s">
        <v>378</v>
      </c>
      <c r="X353" s="16"/>
      <c r="Y353" s="234" t="str">
        <f>TRIM(LEFT(Main_Presentation[[#This Row],[Payment Terms]],3))</f>
        <v>90</v>
      </c>
      <c r="Z353" s="16"/>
      <c r="AA353" s="316" cm="1">
        <f t="array" ref="AA353">Settlement(Main_Presentation[[#This Row],[Bank]],Main_Presentation[[#This Row],[ Invoice Amt (SAR)]],Main_Presentation[[#This Row],[Date Recd]],Main_Presentation[[#This Row],[Due Date]],Main_Presentation[[#This Row],[Days]])</f>
        <v>0</v>
      </c>
      <c r="AB353" s="16"/>
    </row>
    <row r="354" spans="1:28" ht="15.75" hidden="1" x14ac:dyDescent="0.25">
      <c r="A354" s="20" t="s">
        <v>561</v>
      </c>
      <c r="B354" s="15">
        <v>45677</v>
      </c>
      <c r="C354" s="26">
        <v>1</v>
      </c>
      <c r="D354" s="55" t="str">
        <f>VLOOKUP(Main_Presentation[[#This Row],[LC Number]],Main_Issuance[],3,0)</f>
        <v>Hassan Taleb</v>
      </c>
      <c r="E354" s="16" t="s">
        <v>856</v>
      </c>
      <c r="F354" s="16" t="str">
        <f>VLOOKUP(Main_Presentation[[#This Row],[LC Number]],Main_Issuance[],5,0)</f>
        <v>BAB</v>
      </c>
      <c r="G354" s="16" t="str">
        <f>VLOOKUP(Main_Presentation[[#This Row],[LC Number]],Main_Issuance[],6,0)</f>
        <v>Oceanarium</v>
      </c>
      <c r="H354" s="16" t="str">
        <f>VLOOKUP(Main_Presentation[[#This Row],[LC Number]],Main_Issuance[],17,0)</f>
        <v>Credit</v>
      </c>
      <c r="I354" s="16" t="str">
        <f>VLOOKUP(Main_Presentation[[#This Row],[LC Number]],Main_Issuance[],7,0)</f>
        <v>Al Mousa Trading Co</v>
      </c>
      <c r="J354" s="16" t="str">
        <f>VLOOKUP(Main_Presentation[[#This Row],[LC Number]],Main_Issuance[],8,0)</f>
        <v>FIRST FIX</v>
      </c>
      <c r="K354" s="16" t="str">
        <f>VLOOKUP(Main_Presentation[[#This Row],[LC Number]],Main_Issuance[],9,0)</f>
        <v>KSP</v>
      </c>
      <c r="L354" s="16">
        <f>VLOOKUP(Main_Presentation[[#This Row],[LC Number]],Main_Issuance[],10,0)</f>
        <v>1020055</v>
      </c>
      <c r="M354" s="16" t="str">
        <f>VLOOKUP(Main_Presentation[[#This Row],[LC Number]],Main_Issuance[],11,0)</f>
        <v>SAR</v>
      </c>
      <c r="N354" s="86">
        <f>VLOOKUP(Main_Presentation[[#This Row],[LC Number]],Main_Issuance[],12,0)</f>
        <v>530482.57999999996</v>
      </c>
      <c r="O354" s="16" t="s">
        <v>20</v>
      </c>
      <c r="P354" s="16" t="s">
        <v>857</v>
      </c>
      <c r="Q354" s="131">
        <v>530482.57999999996</v>
      </c>
      <c r="R354" s="18">
        <v>1</v>
      </c>
      <c r="S354" s="18">
        <f>Main_Presentation[[#This Row],[Invoice Amt (FCY)]]*Main_Presentation[[#This Row],[Rate]]</f>
        <v>530482.57999999996</v>
      </c>
      <c r="T354" s="15">
        <v>45734</v>
      </c>
      <c r="U354" s="26" t="str">
        <f>VLOOKUP(Main_Presentation[[#This Row],[LC Number]],Main_Issuance[],18,0)</f>
        <v>90 Days from Invoice Date</v>
      </c>
      <c r="V354" s="21" t="s">
        <v>483</v>
      </c>
      <c r="W354" s="22" t="s">
        <v>378</v>
      </c>
      <c r="X354" s="16"/>
      <c r="Y354" s="234" t="str">
        <f>TRIM(LEFT(Main_Presentation[[#This Row],[Payment Terms]],3))</f>
        <v>90</v>
      </c>
      <c r="Z354" s="16"/>
      <c r="AA354" s="316" cm="1">
        <f t="array" ref="AA354">Settlement(Main_Presentation[[#This Row],[Bank]],Main_Presentation[[#This Row],[ Invoice Amt (SAR)]],Main_Presentation[[#This Row],[Date Recd]],Main_Presentation[[#This Row],[Due Date]],Main_Presentation[[#This Row],[Days]])</f>
        <v>0</v>
      </c>
      <c r="AB354" s="16"/>
    </row>
    <row r="355" spans="1:28" ht="15.75" hidden="1" x14ac:dyDescent="0.25">
      <c r="A355" s="20" t="s">
        <v>565</v>
      </c>
      <c r="B355" s="15">
        <v>45678</v>
      </c>
      <c r="C355" s="26">
        <v>1</v>
      </c>
      <c r="D355" s="55" t="str">
        <f>VLOOKUP(Main_Presentation[[#This Row],[LC Number]],Main_Issuance[],3,0)</f>
        <v>Hassan Taleb</v>
      </c>
      <c r="E355" s="16" t="s">
        <v>858</v>
      </c>
      <c r="F355" s="16" t="str">
        <f>VLOOKUP(Main_Presentation[[#This Row],[LC Number]],Main_Issuance[],5,0)</f>
        <v>BAB</v>
      </c>
      <c r="G355" s="16" t="str">
        <f>VLOOKUP(Main_Presentation[[#This Row],[LC Number]],Main_Issuance[],6,0)</f>
        <v>Oceanarium</v>
      </c>
      <c r="H355" s="16" t="str">
        <f>VLOOKUP(Main_Presentation[[#This Row],[LC Number]],Main_Issuance[],17,0)</f>
        <v>Credit</v>
      </c>
      <c r="I355" s="16" t="str">
        <f>VLOOKUP(Main_Presentation[[#This Row],[LC Number]],Main_Issuance[],7,0)</f>
        <v>Al Mabani Al Ummumiyah Ltd</v>
      </c>
      <c r="J355" s="16" t="str">
        <f>VLOOKUP(Main_Presentation[[#This Row],[LC Number]],Main_Issuance[],8,0)</f>
        <v>FIRST FIX</v>
      </c>
      <c r="K355" s="16" t="str">
        <f>VLOOKUP(Main_Presentation[[#This Row],[LC Number]],Main_Issuance[],9,0)</f>
        <v>KSP</v>
      </c>
      <c r="L355" s="16">
        <f>VLOOKUP(Main_Presentation[[#This Row],[LC Number]],Main_Issuance[],10,0)</f>
        <v>1020055</v>
      </c>
      <c r="M355" s="16" t="str">
        <f>VLOOKUP(Main_Presentation[[#This Row],[LC Number]],Main_Issuance[],11,0)</f>
        <v>SAR</v>
      </c>
      <c r="N355" s="86">
        <f>VLOOKUP(Main_Presentation[[#This Row],[LC Number]],Main_Issuance[],12,0)</f>
        <v>500000</v>
      </c>
      <c r="O355" s="16" t="s">
        <v>20</v>
      </c>
      <c r="P355" s="16" t="s">
        <v>857</v>
      </c>
      <c r="Q355" s="131">
        <v>500000</v>
      </c>
      <c r="R355" s="18">
        <v>1</v>
      </c>
      <c r="S355" s="18">
        <f>Main_Presentation[[#This Row],[Invoice Amt (FCY)]]*Main_Presentation[[#This Row],[Rate]]</f>
        <v>500000</v>
      </c>
      <c r="T355" s="15">
        <v>45739</v>
      </c>
      <c r="U355" s="26" t="str">
        <f>VLOOKUP(Main_Presentation[[#This Row],[LC Number]],Main_Issuance[],18,0)</f>
        <v>90 Days from Invoice Date</v>
      </c>
      <c r="V355" s="21" t="s">
        <v>304</v>
      </c>
      <c r="W355" s="22" t="s">
        <v>378</v>
      </c>
      <c r="X355" s="16" t="s">
        <v>894</v>
      </c>
      <c r="Y355" s="234" t="str">
        <f>TRIM(LEFT(Main_Presentation[[#This Row],[Payment Terms]],3))</f>
        <v>90</v>
      </c>
      <c r="Z355" s="16"/>
      <c r="AA355" s="316" cm="1">
        <f t="array" ref="AA355">Settlement(Main_Presentation[[#This Row],[Bank]],Main_Presentation[[#This Row],[ Invoice Amt (SAR)]],Main_Presentation[[#This Row],[Date Recd]],Main_Presentation[[#This Row],[Due Date]],Main_Presentation[[#This Row],[Days]])</f>
        <v>0</v>
      </c>
      <c r="AB355" s="16"/>
    </row>
    <row r="356" spans="1:28" ht="15.75" hidden="1" x14ac:dyDescent="0.25">
      <c r="A356" s="20" t="s">
        <v>594</v>
      </c>
      <c r="B356" s="15">
        <v>45678</v>
      </c>
      <c r="C356" s="26">
        <v>1</v>
      </c>
      <c r="D356" s="55" t="str">
        <f>VLOOKUP(Main_Presentation[[#This Row],[LC Number]],Main_Issuance[],3,0)</f>
        <v>Hassan Taleb</v>
      </c>
      <c r="E356" s="16" t="s">
        <v>858</v>
      </c>
      <c r="F356" s="16" t="str">
        <f>VLOOKUP(Main_Presentation[[#This Row],[LC Number]],Main_Issuance[],5,0)</f>
        <v>BAB</v>
      </c>
      <c r="G356" s="16" t="str">
        <f>VLOOKUP(Main_Presentation[[#This Row],[LC Number]],Main_Issuance[],6,0)</f>
        <v>Multipurpose</v>
      </c>
      <c r="H356" s="16" t="str">
        <f>VLOOKUP(Main_Presentation[[#This Row],[LC Number]],Main_Issuance[],17,0)</f>
        <v>Credit</v>
      </c>
      <c r="I356" s="16" t="str">
        <f>VLOOKUP(Main_Presentation[[#This Row],[LC Number]],Main_Issuance[],7,0)</f>
        <v>DEPTH MODERN TECHNOLOGIES</v>
      </c>
      <c r="J356" s="16" t="str">
        <f>VLOOKUP(Main_Presentation[[#This Row],[LC Number]],Main_Issuance[],8,0)</f>
        <v>FIRST FIX</v>
      </c>
      <c r="K356" s="16" t="str">
        <f>VLOOKUP(Main_Presentation[[#This Row],[LC Number]],Main_Issuance[],9,0)</f>
        <v>KSP</v>
      </c>
      <c r="L356" s="16">
        <f>VLOOKUP(Main_Presentation[[#This Row],[LC Number]],Main_Issuance[],10,0)</f>
        <v>1020055</v>
      </c>
      <c r="M356" s="16" t="str">
        <f>VLOOKUP(Main_Presentation[[#This Row],[LC Number]],Main_Issuance[],11,0)</f>
        <v>SAR</v>
      </c>
      <c r="N356" s="86">
        <f>VLOOKUP(Main_Presentation[[#This Row],[LC Number]],Main_Issuance[],12,0)</f>
        <v>3000000</v>
      </c>
      <c r="O356" s="16" t="s">
        <v>20</v>
      </c>
      <c r="P356" s="16" t="s">
        <v>857</v>
      </c>
      <c r="Q356" s="131">
        <v>3000000</v>
      </c>
      <c r="R356" s="18">
        <v>1</v>
      </c>
      <c r="S356" s="18">
        <f>Main_Presentation[[#This Row],[Invoice Amt (FCY)]]*Main_Presentation[[#This Row],[Rate]]</f>
        <v>3000000</v>
      </c>
      <c r="T356" s="15">
        <v>45755</v>
      </c>
      <c r="U356" s="26" t="str">
        <f>VLOOKUP(Main_Presentation[[#This Row],[LC Number]],Main_Issuance[],18,0)</f>
        <v>90 Days from Invoice Date</v>
      </c>
      <c r="V356" s="21" t="s">
        <v>1107</v>
      </c>
      <c r="W356" s="22" t="s">
        <v>378</v>
      </c>
      <c r="X356" s="16"/>
      <c r="Y356" s="234" t="str">
        <f>TRIM(LEFT(Main_Presentation[[#This Row],[Payment Terms]],3))</f>
        <v>90</v>
      </c>
      <c r="Z356" s="16"/>
      <c r="AA356" s="316" cm="1">
        <f t="array" ref="AA356">Settlement(Main_Presentation[[#This Row],[Bank]],Main_Presentation[[#This Row],[ Invoice Amt (SAR)]],Main_Presentation[[#This Row],[Date Recd]],Main_Presentation[[#This Row],[Due Date]],Main_Presentation[[#This Row],[Days]])</f>
        <v>0</v>
      </c>
      <c r="AB356" s="16"/>
    </row>
    <row r="357" spans="1:28" ht="15.75" hidden="1" x14ac:dyDescent="0.25">
      <c r="A357" s="20" t="s">
        <v>575</v>
      </c>
      <c r="B357" s="15">
        <v>45679</v>
      </c>
      <c r="C357" s="26">
        <v>1</v>
      </c>
      <c r="D357" s="55" t="str">
        <f>VLOOKUP(Main_Presentation[[#This Row],[LC Number]],Main_Issuance[],3,0)</f>
        <v>Hassan Taleb</v>
      </c>
      <c r="E357" s="16" t="s">
        <v>858</v>
      </c>
      <c r="F357" s="16" t="str">
        <f>VLOOKUP(Main_Presentation[[#This Row],[LC Number]],Main_Issuance[],5,0)</f>
        <v>BAB</v>
      </c>
      <c r="G357" s="16" t="str">
        <f>VLOOKUP(Main_Presentation[[#This Row],[LC Number]],Main_Issuance[],6,0)</f>
        <v>Oceanarium</v>
      </c>
      <c r="H357" s="16" t="str">
        <f>VLOOKUP(Main_Presentation[[#This Row],[LC Number]],Main_Issuance[],17,0)</f>
        <v>Credit</v>
      </c>
      <c r="I357" s="16" t="str">
        <f>VLOOKUP(Main_Presentation[[#This Row],[LC Number]],Main_Issuance[],7,0)</f>
        <v>ARAB EAGLE CO</v>
      </c>
      <c r="J357" s="16" t="str">
        <f>VLOOKUP(Main_Presentation[[#This Row],[LC Number]],Main_Issuance[],8,0)</f>
        <v>FIRST FIX</v>
      </c>
      <c r="K357" s="16" t="str">
        <f>VLOOKUP(Main_Presentation[[#This Row],[LC Number]],Main_Issuance[],9,0)</f>
        <v>KSP</v>
      </c>
      <c r="L357" s="16">
        <f>VLOOKUP(Main_Presentation[[#This Row],[LC Number]],Main_Issuance[],10,0)</f>
        <v>1020055</v>
      </c>
      <c r="M357" s="16" t="str">
        <f>VLOOKUP(Main_Presentation[[#This Row],[LC Number]],Main_Issuance[],11,0)</f>
        <v>SAR</v>
      </c>
      <c r="N357" s="86">
        <f>VLOOKUP(Main_Presentation[[#This Row],[LC Number]],Main_Issuance[],12,0)</f>
        <v>1000475.49</v>
      </c>
      <c r="O357" s="16" t="s">
        <v>20</v>
      </c>
      <c r="P357" s="16" t="s">
        <v>857</v>
      </c>
      <c r="Q357" s="131">
        <v>1000475.48</v>
      </c>
      <c r="R357" s="18">
        <v>1</v>
      </c>
      <c r="S357" s="18">
        <f>Main_Presentation[[#This Row],[Invoice Amt (FCY)]]*Main_Presentation[[#This Row],[Rate]]</f>
        <v>1000475.48</v>
      </c>
      <c r="T357" s="15">
        <v>45745</v>
      </c>
      <c r="U357" s="26" t="str">
        <f>VLOOKUP(Main_Presentation[[#This Row],[LC Number]],Main_Issuance[],18,0)</f>
        <v>90 Days from Invoice Date</v>
      </c>
      <c r="V357" s="21" t="s">
        <v>1108</v>
      </c>
      <c r="W357" s="22" t="s">
        <v>378</v>
      </c>
      <c r="X357" s="16"/>
      <c r="Y357" s="234" t="str">
        <f>TRIM(LEFT(Main_Presentation[[#This Row],[Payment Terms]],3))</f>
        <v>90</v>
      </c>
      <c r="Z357" s="16"/>
      <c r="AA357" s="316" cm="1">
        <f t="array" ref="AA357">Settlement(Main_Presentation[[#This Row],[Bank]],Main_Presentation[[#This Row],[ Invoice Amt (SAR)]],Main_Presentation[[#This Row],[Date Recd]],Main_Presentation[[#This Row],[Due Date]],Main_Presentation[[#This Row],[Days]])</f>
        <v>0</v>
      </c>
      <c r="AB357" s="16"/>
    </row>
    <row r="358" spans="1:28" ht="15.75" hidden="1" x14ac:dyDescent="0.25">
      <c r="A358" s="20" t="s">
        <v>1868</v>
      </c>
      <c r="B358" s="15">
        <v>45680</v>
      </c>
      <c r="C358" s="26">
        <v>1</v>
      </c>
      <c r="D358" s="55" t="str">
        <f>VLOOKUP(Main_Presentation[[#This Row],[LC Number]],Main_Issuance[],3,0)</f>
        <v>Hassan Taleb</v>
      </c>
      <c r="E358" s="16" t="s">
        <v>856</v>
      </c>
      <c r="F358" s="16" t="str">
        <f>VLOOKUP(Main_Presentation[[#This Row],[LC Number]],Main_Issuance[],5,0)</f>
        <v>BAB</v>
      </c>
      <c r="G358" s="16" t="str">
        <f>VLOOKUP(Main_Presentation[[#This Row],[LC Number]],Main_Issuance[],6,0)</f>
        <v>Oceanarium</v>
      </c>
      <c r="H358" s="16" t="str">
        <f>VLOOKUP(Main_Presentation[[#This Row],[LC Number]],Main_Issuance[],17,0)</f>
        <v>Credit</v>
      </c>
      <c r="I358" s="16" t="str">
        <f>VLOOKUP(Main_Presentation[[#This Row],[LC Number]],Main_Issuance[],7,0)</f>
        <v>ALFANAR ELECTRICAL SYSTEMS</v>
      </c>
      <c r="J358" s="16" t="str">
        <f>VLOOKUP(Main_Presentation[[#This Row],[LC Number]],Main_Issuance[],8,0)</f>
        <v>FIRST FIX</v>
      </c>
      <c r="K358" s="16" t="str">
        <f>VLOOKUP(Main_Presentation[[#This Row],[LC Number]],Main_Issuance[],9,0)</f>
        <v>KSP</v>
      </c>
      <c r="L358" s="16">
        <f>VLOOKUP(Main_Presentation[[#This Row],[LC Number]],Main_Issuance[],10,0)</f>
        <v>1020055</v>
      </c>
      <c r="M358" s="16" t="str">
        <f>VLOOKUP(Main_Presentation[[#This Row],[LC Number]],Main_Issuance[],11,0)</f>
        <v>SAR</v>
      </c>
      <c r="N358" s="86">
        <f>VLOOKUP(Main_Presentation[[#This Row],[LC Number]],Main_Issuance[],12,0)</f>
        <v>988870.39</v>
      </c>
      <c r="O358" s="16" t="s">
        <v>20</v>
      </c>
      <c r="P358" s="16" t="s">
        <v>857</v>
      </c>
      <c r="Q358" s="131">
        <v>988870.39</v>
      </c>
      <c r="R358" s="18">
        <v>1</v>
      </c>
      <c r="S358" s="18">
        <f>Main_Presentation[[#This Row],[Invoice Amt (FCY)]]*Main_Presentation[[#This Row],[Rate]]</f>
        <v>988870.39</v>
      </c>
      <c r="T358" s="15">
        <v>45740</v>
      </c>
      <c r="U358" s="26" t="str">
        <f>VLOOKUP(Main_Presentation[[#This Row],[LC Number]],Main_Issuance[],18,0)</f>
        <v>90 Days from Invoice Date</v>
      </c>
      <c r="V358" s="21" t="s">
        <v>483</v>
      </c>
      <c r="W358" s="22" t="s">
        <v>378</v>
      </c>
      <c r="X358" s="16"/>
      <c r="Y358" s="234" t="str">
        <f>TRIM(LEFT(Main_Presentation[[#This Row],[Payment Terms]],3))</f>
        <v>90</v>
      </c>
      <c r="Z358" s="16"/>
      <c r="AA358" s="316" cm="1">
        <f t="array" ref="AA358">Settlement(Main_Presentation[[#This Row],[Bank]],Main_Presentation[[#This Row],[ Invoice Amt (SAR)]],Main_Presentation[[#This Row],[Date Recd]],Main_Presentation[[#This Row],[Due Date]],Main_Presentation[[#This Row],[Days]])</f>
        <v>0</v>
      </c>
      <c r="AB358" s="16"/>
    </row>
    <row r="359" spans="1:28" ht="15.75" hidden="1" x14ac:dyDescent="0.25">
      <c r="A359" s="20" t="s">
        <v>564</v>
      </c>
      <c r="B359" s="15">
        <v>45680</v>
      </c>
      <c r="C359" s="26">
        <v>1</v>
      </c>
      <c r="D359" s="55" t="str">
        <f>VLOOKUP(Main_Presentation[[#This Row],[LC Number]],Main_Issuance[],3,0)</f>
        <v>Hassan Taleb</v>
      </c>
      <c r="E359" s="16" t="s">
        <v>856</v>
      </c>
      <c r="F359" s="16" t="str">
        <f>VLOOKUP(Main_Presentation[[#This Row],[LC Number]],Main_Issuance[],5,0)</f>
        <v>BAB</v>
      </c>
      <c r="G359" s="16" t="str">
        <f>VLOOKUP(Main_Presentation[[#This Row],[LC Number]],Main_Issuance[],6,0)</f>
        <v>Oceanarium</v>
      </c>
      <c r="H359" s="16" t="str">
        <f>VLOOKUP(Main_Presentation[[#This Row],[LC Number]],Main_Issuance[],17,0)</f>
        <v>Credit</v>
      </c>
      <c r="I359" s="16" t="str">
        <f>VLOOKUP(Main_Presentation[[#This Row],[LC Number]],Main_Issuance[],7,0)</f>
        <v>Al Fanar Co. Ltd.</v>
      </c>
      <c r="J359" s="16" t="str">
        <f>VLOOKUP(Main_Presentation[[#This Row],[LC Number]],Main_Issuance[],8,0)</f>
        <v>FIRST FIX</v>
      </c>
      <c r="K359" s="16" t="str">
        <f>VLOOKUP(Main_Presentation[[#This Row],[LC Number]],Main_Issuance[],9,0)</f>
        <v>KSP</v>
      </c>
      <c r="L359" s="16">
        <f>VLOOKUP(Main_Presentation[[#This Row],[LC Number]],Main_Issuance[],10,0)</f>
        <v>1020055</v>
      </c>
      <c r="M359" s="16" t="str">
        <f>VLOOKUP(Main_Presentation[[#This Row],[LC Number]],Main_Issuance[],11,0)</f>
        <v>SAR</v>
      </c>
      <c r="N359" s="86">
        <f>VLOOKUP(Main_Presentation[[#This Row],[LC Number]],Main_Issuance[],12,0)</f>
        <v>2000000</v>
      </c>
      <c r="O359" s="16" t="s">
        <v>20</v>
      </c>
      <c r="P359" s="16" t="s">
        <v>857</v>
      </c>
      <c r="Q359" s="131">
        <v>2000000</v>
      </c>
      <c r="R359" s="18">
        <v>1</v>
      </c>
      <c r="S359" s="18">
        <f>Main_Presentation[[#This Row],[Invoice Amt (FCY)]]*Main_Presentation[[#This Row],[Rate]]</f>
        <v>2000000</v>
      </c>
      <c r="T359" s="15">
        <v>45757</v>
      </c>
      <c r="U359" s="26" t="str">
        <f>VLOOKUP(Main_Presentation[[#This Row],[LC Number]],Main_Issuance[],18,0)</f>
        <v>90 Days from Invoice Date</v>
      </c>
      <c r="V359" s="21" t="s">
        <v>367</v>
      </c>
      <c r="W359" s="22" t="s">
        <v>378</v>
      </c>
      <c r="X359" s="16"/>
      <c r="Y359" s="234" t="str">
        <f>TRIM(LEFT(Main_Presentation[[#This Row],[Payment Terms]],3))</f>
        <v>90</v>
      </c>
      <c r="Z359" s="16"/>
      <c r="AA359" s="316" cm="1">
        <f t="array" ref="AA359">Settlement(Main_Presentation[[#This Row],[Bank]],Main_Presentation[[#This Row],[ Invoice Amt (SAR)]],Main_Presentation[[#This Row],[Date Recd]],Main_Presentation[[#This Row],[Due Date]],Main_Presentation[[#This Row],[Days]])</f>
        <v>0</v>
      </c>
      <c r="AB359" s="16"/>
    </row>
    <row r="360" spans="1:28" ht="15.75" hidden="1" x14ac:dyDescent="0.25">
      <c r="A360" s="20" t="s">
        <v>606</v>
      </c>
      <c r="B360" s="15">
        <v>45685</v>
      </c>
      <c r="C360" s="26">
        <v>1</v>
      </c>
      <c r="D360" s="55" t="str">
        <f>VLOOKUP(Main_Presentation[[#This Row],[LC Number]],Main_Issuance[],3,0)</f>
        <v>Hassan Taleb</v>
      </c>
      <c r="E360" s="16" t="s">
        <v>858</v>
      </c>
      <c r="F360" s="17" t="str">
        <f>VLOOKUP(Main_Presentation[[#This Row],[LC Number]],Main_Issuance[],5,0)</f>
        <v>BAB</v>
      </c>
      <c r="G360" s="17" t="str">
        <f>VLOOKUP(Main_Presentation[[#This Row],[LC Number]],Main_Issuance[],6,0)</f>
        <v>Multipurpose</v>
      </c>
      <c r="H360" s="17" t="str">
        <f>VLOOKUP(Main_Presentation[[#This Row],[LC Number]],Main_Issuance[],17,0)</f>
        <v>Credit</v>
      </c>
      <c r="I360" s="17" t="str">
        <f>VLOOKUP(Main_Presentation[[#This Row],[LC Number]],Main_Issuance[],7,0)</f>
        <v>ALAM AL WEFAQ FOR CONTRACTING CO.</v>
      </c>
      <c r="J360" s="17" t="str">
        <f>VLOOKUP(Main_Presentation[[#This Row],[LC Number]],Main_Issuance[],8,0)</f>
        <v>FIRST FIX</v>
      </c>
      <c r="K360" s="17" t="str">
        <f>VLOOKUP(Main_Presentation[[#This Row],[LC Number]],Main_Issuance[],9,0)</f>
        <v>KSP</v>
      </c>
      <c r="L360" s="17">
        <f>VLOOKUP(Main_Presentation[[#This Row],[LC Number]],Main_Issuance[],10,0)</f>
        <v>1020055</v>
      </c>
      <c r="M360" s="17" t="str">
        <f>VLOOKUP(Main_Presentation[[#This Row],[LC Number]],Main_Issuance[],11,0)</f>
        <v>SAR</v>
      </c>
      <c r="N360" s="84">
        <f>VLOOKUP(Main_Presentation[[#This Row],[LC Number]],Main_Issuance[],12,0)</f>
        <v>436052.14</v>
      </c>
      <c r="O360" s="16" t="s">
        <v>20</v>
      </c>
      <c r="P360" s="16" t="s">
        <v>857</v>
      </c>
      <c r="Q360" s="131">
        <v>436052.14</v>
      </c>
      <c r="R360" s="18">
        <v>1</v>
      </c>
      <c r="S360" s="18">
        <f>Main_Presentation[[#This Row],[Invoice Amt (FCY)]]*Main_Presentation[[#This Row],[Rate]]</f>
        <v>436052.14</v>
      </c>
      <c r="T360" s="15">
        <v>45755</v>
      </c>
      <c r="U360" s="26" t="str">
        <f>VLOOKUP(Main_Presentation[[#This Row],[LC Number]],Main_Issuance[],18,0)</f>
        <v>90 Days from Invoice Date</v>
      </c>
      <c r="V360" s="21" t="s">
        <v>1107</v>
      </c>
      <c r="W360" s="22" t="s">
        <v>378</v>
      </c>
      <c r="X360" s="16"/>
      <c r="Y360" s="234" t="str">
        <f>TRIM(LEFT(Main_Presentation[[#This Row],[Payment Terms]],3))</f>
        <v>90</v>
      </c>
      <c r="Z360" s="16"/>
      <c r="AA360" s="316" cm="1">
        <f t="array" ref="AA360">Settlement(Main_Presentation[[#This Row],[Bank]],Main_Presentation[[#This Row],[ Invoice Amt (SAR)]],Main_Presentation[[#This Row],[Date Recd]],Main_Presentation[[#This Row],[Due Date]],Main_Presentation[[#This Row],[Days]])</f>
        <v>0</v>
      </c>
      <c r="AB360" s="16"/>
    </row>
    <row r="361" spans="1:28" ht="15.75" hidden="1" x14ac:dyDescent="0.25">
      <c r="A361" s="20" t="s">
        <v>572</v>
      </c>
      <c r="B361" s="15">
        <v>45691</v>
      </c>
      <c r="C361" s="26">
        <v>1</v>
      </c>
      <c r="D361" s="55" t="str">
        <f>VLOOKUP(Main_Presentation[[#This Row],[LC Number]],Main_Issuance[],3,0)</f>
        <v>Hassan Taleb</v>
      </c>
      <c r="E361" s="16" t="s">
        <v>856</v>
      </c>
      <c r="F361" s="17" t="str">
        <f>VLOOKUP(Main_Presentation[[#This Row],[LC Number]],Main_Issuance[],5,0)</f>
        <v>BAB</v>
      </c>
      <c r="G361" s="17" t="str">
        <f>VLOOKUP(Main_Presentation[[#This Row],[LC Number]],Main_Issuance[],6,0)</f>
        <v>Oceanarium</v>
      </c>
      <c r="H361" s="17" t="str">
        <f>VLOOKUP(Main_Presentation[[#This Row],[LC Number]],Main_Issuance[],17,0)</f>
        <v>Credit</v>
      </c>
      <c r="I361" s="17" t="str">
        <f>VLOOKUP(Main_Presentation[[#This Row],[LC Number]],Main_Issuance[],7,0)</f>
        <v>Riyadh Cable Group Of Company</v>
      </c>
      <c r="J361" s="17" t="str">
        <f>VLOOKUP(Main_Presentation[[#This Row],[LC Number]],Main_Issuance[],8,0)</f>
        <v>FIRST FIX</v>
      </c>
      <c r="K361" s="17" t="str">
        <f>VLOOKUP(Main_Presentation[[#This Row],[LC Number]],Main_Issuance[],9,0)</f>
        <v>KSP</v>
      </c>
      <c r="L361" s="17">
        <f>VLOOKUP(Main_Presentation[[#This Row],[LC Number]],Main_Issuance[],10,0)</f>
        <v>1020055</v>
      </c>
      <c r="M361" s="17" t="str">
        <f>VLOOKUP(Main_Presentation[[#This Row],[LC Number]],Main_Issuance[],11,0)</f>
        <v>SAR</v>
      </c>
      <c r="N361" s="84">
        <f>VLOOKUP(Main_Presentation[[#This Row],[LC Number]],Main_Issuance[],12,0)</f>
        <v>531394.88</v>
      </c>
      <c r="O361" s="16" t="s">
        <v>20</v>
      </c>
      <c r="P361" s="16" t="s">
        <v>857</v>
      </c>
      <c r="Q361" s="131">
        <v>297263.39</v>
      </c>
      <c r="R361" s="18">
        <v>1</v>
      </c>
      <c r="S361" s="18">
        <f>Main_Presentation[[#This Row],[Invoice Amt (FCY)]]*Main_Presentation[[#This Row],[Rate]]</f>
        <v>297263.39</v>
      </c>
      <c r="T361" s="15">
        <v>45743</v>
      </c>
      <c r="U361" s="26" t="str">
        <f>VLOOKUP(Main_Presentation[[#This Row],[LC Number]],Main_Issuance[],18,0)</f>
        <v>90 Days from Invoice Date</v>
      </c>
      <c r="V361" s="21" t="s">
        <v>90</v>
      </c>
      <c r="W361" s="22" t="s">
        <v>378</v>
      </c>
      <c r="X361" s="16"/>
      <c r="Y361" s="234" t="str">
        <f>TRIM(LEFT(Main_Presentation[[#This Row],[Payment Terms]],3))</f>
        <v>90</v>
      </c>
      <c r="Z361" s="16"/>
      <c r="AA361" s="316" cm="1">
        <f t="array" ref="AA361">Settlement(Main_Presentation[[#This Row],[Bank]],Main_Presentation[[#This Row],[ Invoice Amt (SAR)]],Main_Presentation[[#This Row],[Date Recd]],Main_Presentation[[#This Row],[Due Date]],Main_Presentation[[#This Row],[Days]])</f>
        <v>0</v>
      </c>
      <c r="AB361" s="16"/>
    </row>
    <row r="362" spans="1:28" ht="15.75" hidden="1" x14ac:dyDescent="0.25">
      <c r="A362" s="20" t="s">
        <v>592</v>
      </c>
      <c r="B362" s="15">
        <v>45692</v>
      </c>
      <c r="C362" s="26">
        <v>1</v>
      </c>
      <c r="D362" s="55" t="str">
        <f>VLOOKUP(Main_Presentation[[#This Row],[LC Number]],Main_Issuance[],3,0)</f>
        <v>Hassan Taleb</v>
      </c>
      <c r="E362" s="16" t="s">
        <v>858</v>
      </c>
      <c r="F362" s="17" t="str">
        <f>VLOOKUP(Main_Presentation[[#This Row],[LC Number]],Main_Issuance[],5,0)</f>
        <v>BAB</v>
      </c>
      <c r="G362" s="17" t="str">
        <f>VLOOKUP(Main_Presentation[[#This Row],[LC Number]],Main_Issuance[],6,0)</f>
        <v>Multipurpose</v>
      </c>
      <c r="H362" s="17" t="str">
        <f>VLOOKUP(Main_Presentation[[#This Row],[LC Number]],Main_Issuance[],17,0)</f>
        <v>Credit</v>
      </c>
      <c r="I362" s="17" t="str">
        <f>VLOOKUP(Main_Presentation[[#This Row],[LC Number]],Main_Issuance[],7,0)</f>
        <v>Light Technologies Company LTD / Lightech.</v>
      </c>
      <c r="J362" s="17" t="str">
        <f>VLOOKUP(Main_Presentation[[#This Row],[LC Number]],Main_Issuance[],8,0)</f>
        <v>FIRST FIX</v>
      </c>
      <c r="K362" s="17" t="str">
        <f>VLOOKUP(Main_Presentation[[#This Row],[LC Number]],Main_Issuance[],9,0)</f>
        <v>KSP</v>
      </c>
      <c r="L362" s="17">
        <f>VLOOKUP(Main_Presentation[[#This Row],[LC Number]],Main_Issuance[],10,0)</f>
        <v>1020055</v>
      </c>
      <c r="M362" s="17" t="str">
        <f>VLOOKUP(Main_Presentation[[#This Row],[LC Number]],Main_Issuance[],11,0)</f>
        <v>SAR</v>
      </c>
      <c r="N362" s="84">
        <f>VLOOKUP(Main_Presentation[[#This Row],[LC Number]],Main_Issuance[],12,0)</f>
        <v>3000000</v>
      </c>
      <c r="O362" s="16" t="s">
        <v>20</v>
      </c>
      <c r="P362" s="16" t="s">
        <v>857</v>
      </c>
      <c r="Q362" s="131">
        <v>3000000</v>
      </c>
      <c r="R362" s="18">
        <v>1</v>
      </c>
      <c r="S362" s="18">
        <f>Main_Presentation[[#This Row],[Invoice Amt (FCY)]]*Main_Presentation[[#This Row],[Rate]]</f>
        <v>3000000</v>
      </c>
      <c r="T362" s="15">
        <v>45757</v>
      </c>
      <c r="U362" s="26" t="str">
        <f>VLOOKUP(Main_Presentation[[#This Row],[LC Number]],Main_Issuance[],18,0)</f>
        <v>90 Days from Invoice Date</v>
      </c>
      <c r="V362" s="21" t="s">
        <v>367</v>
      </c>
      <c r="W362" s="22" t="s">
        <v>378</v>
      </c>
      <c r="X362" s="16"/>
      <c r="Y362" s="234" t="str">
        <f>TRIM(LEFT(Main_Presentation[[#This Row],[Payment Terms]],3))</f>
        <v>90</v>
      </c>
      <c r="Z362" s="16"/>
      <c r="AA362" s="316" cm="1">
        <f t="array" ref="AA362">Settlement(Main_Presentation[[#This Row],[Bank]],Main_Presentation[[#This Row],[ Invoice Amt (SAR)]],Main_Presentation[[#This Row],[Date Recd]],Main_Presentation[[#This Row],[Due Date]],Main_Presentation[[#This Row],[Days]])</f>
        <v>0</v>
      </c>
      <c r="AB362" s="16"/>
    </row>
    <row r="363" spans="1:28" ht="15.75" hidden="1" x14ac:dyDescent="0.25">
      <c r="A363" s="20" t="s">
        <v>559</v>
      </c>
      <c r="B363" s="15">
        <v>45693</v>
      </c>
      <c r="C363" s="26">
        <v>1</v>
      </c>
      <c r="D363" s="55" t="str">
        <f>VLOOKUP(Main_Presentation[[#This Row],[LC Number]],Main_Issuance[],3,0)</f>
        <v>Hassan Taleb</v>
      </c>
      <c r="E363" s="16" t="s">
        <v>856</v>
      </c>
      <c r="F363" s="17" t="str">
        <f>VLOOKUP(Main_Presentation[[#This Row],[LC Number]],Main_Issuance[],5,0)</f>
        <v>BAB</v>
      </c>
      <c r="G363" s="17" t="str">
        <f>VLOOKUP(Main_Presentation[[#This Row],[LC Number]],Main_Issuance[],6,0)</f>
        <v>Oceanarium</v>
      </c>
      <c r="H363" s="17" t="str">
        <f>VLOOKUP(Main_Presentation[[#This Row],[LC Number]],Main_Issuance[],17,0)</f>
        <v>Credit</v>
      </c>
      <c r="I363" s="17" t="str">
        <f>VLOOKUP(Main_Presentation[[#This Row],[LC Number]],Main_Issuance[],7,0)</f>
        <v>Light Technologies Company Ltd. (Lightech)</v>
      </c>
      <c r="J363" s="17" t="str">
        <f>VLOOKUP(Main_Presentation[[#This Row],[LC Number]],Main_Issuance[],8,0)</f>
        <v>FIRST FIX</v>
      </c>
      <c r="K363" s="17" t="str">
        <f>VLOOKUP(Main_Presentation[[#This Row],[LC Number]],Main_Issuance[],9,0)</f>
        <v>KSP</v>
      </c>
      <c r="L363" s="17">
        <f>VLOOKUP(Main_Presentation[[#This Row],[LC Number]],Main_Issuance[],10,0)</f>
        <v>1020055</v>
      </c>
      <c r="M363" s="17" t="str">
        <f>VLOOKUP(Main_Presentation[[#This Row],[LC Number]],Main_Issuance[],11,0)</f>
        <v>SAR</v>
      </c>
      <c r="N363" s="84">
        <f>VLOOKUP(Main_Presentation[[#This Row],[LC Number]],Main_Issuance[],12,0)</f>
        <v>3582817.67</v>
      </c>
      <c r="O363" s="16" t="s">
        <v>20</v>
      </c>
      <c r="P363" s="16" t="s">
        <v>857</v>
      </c>
      <c r="Q363" s="131">
        <v>3582817.67</v>
      </c>
      <c r="R363" s="18">
        <v>1</v>
      </c>
      <c r="S363" s="18">
        <f>Main_Presentation[[#This Row],[Invoice Amt (FCY)]]*Main_Presentation[[#This Row],[Rate]]</f>
        <v>3582817.67</v>
      </c>
      <c r="T363" s="15">
        <v>45733</v>
      </c>
      <c r="U363" s="26" t="str">
        <f>VLOOKUP(Main_Presentation[[#This Row],[LC Number]],Main_Issuance[],18,0)</f>
        <v>90 Days from Invoice Date</v>
      </c>
      <c r="V363" s="21" t="s">
        <v>887</v>
      </c>
      <c r="W363" s="22" t="s">
        <v>378</v>
      </c>
      <c r="X363" s="16"/>
      <c r="Y363" s="234" t="str">
        <f>TRIM(LEFT(Main_Presentation[[#This Row],[Payment Terms]],3))</f>
        <v>90</v>
      </c>
      <c r="Z363" s="16"/>
      <c r="AA363" s="316" cm="1">
        <f t="array" ref="AA363">Settlement(Main_Presentation[[#This Row],[Bank]],Main_Presentation[[#This Row],[ Invoice Amt (SAR)]],Main_Presentation[[#This Row],[Date Recd]],Main_Presentation[[#This Row],[Due Date]],Main_Presentation[[#This Row],[Days]])</f>
        <v>0</v>
      </c>
      <c r="AB363" s="16"/>
    </row>
    <row r="364" spans="1:28" ht="15.75" hidden="1" x14ac:dyDescent="0.25">
      <c r="A364" s="20" t="s">
        <v>583</v>
      </c>
      <c r="B364" s="15">
        <v>45698</v>
      </c>
      <c r="C364" s="26">
        <v>1</v>
      </c>
      <c r="D364" s="55" t="str">
        <f>VLOOKUP(Main_Presentation[[#This Row],[LC Number]],Main_Issuance[],3,0)</f>
        <v>Hassan Taleb</v>
      </c>
      <c r="E364" s="16" t="s">
        <v>858</v>
      </c>
      <c r="F364" s="17" t="str">
        <f>VLOOKUP(Main_Presentation[[#This Row],[LC Number]],Main_Issuance[],5,0)</f>
        <v>BAB</v>
      </c>
      <c r="G364" s="17" t="str">
        <f>VLOOKUP(Main_Presentation[[#This Row],[LC Number]],Main_Issuance[],6,0)</f>
        <v>Multipurpose</v>
      </c>
      <c r="H364" s="17" t="str">
        <f>VLOOKUP(Main_Presentation[[#This Row],[LC Number]],Main_Issuance[],17,0)</f>
        <v>Credit</v>
      </c>
      <c r="I364" s="17" t="str">
        <f>VLOOKUP(Main_Presentation[[#This Row],[LC Number]],Main_Issuance[],7,0)</f>
        <v>Johnson Controls Arabia Limited</v>
      </c>
      <c r="J364" s="17" t="str">
        <f>VLOOKUP(Main_Presentation[[#This Row],[LC Number]],Main_Issuance[],8,0)</f>
        <v>FIRST FIX</v>
      </c>
      <c r="K364" s="17" t="str">
        <f>VLOOKUP(Main_Presentation[[#This Row],[LC Number]],Main_Issuance[],9,0)</f>
        <v>KSP</v>
      </c>
      <c r="L364" s="17">
        <f>VLOOKUP(Main_Presentation[[#This Row],[LC Number]],Main_Issuance[],10,0)</f>
        <v>1020055</v>
      </c>
      <c r="M364" s="17" t="str">
        <f>VLOOKUP(Main_Presentation[[#This Row],[LC Number]],Main_Issuance[],11,0)</f>
        <v>SAR</v>
      </c>
      <c r="N364" s="84">
        <f>VLOOKUP(Main_Presentation[[#This Row],[LC Number]],Main_Issuance[],12,0)</f>
        <v>6700000</v>
      </c>
      <c r="O364" s="16" t="s">
        <v>20</v>
      </c>
      <c r="P364" s="16" t="s">
        <v>857</v>
      </c>
      <c r="Q364" s="131">
        <v>6700000</v>
      </c>
      <c r="R364" s="18">
        <v>1</v>
      </c>
      <c r="S364" s="18">
        <f>Main_Presentation[[#This Row],[Invoice Amt (FCY)]]*Main_Presentation[[#This Row],[Rate]]</f>
        <v>6700000</v>
      </c>
      <c r="T364" s="15">
        <v>45760</v>
      </c>
      <c r="U364" s="26" t="str">
        <f>VLOOKUP(Main_Presentation[[#This Row],[LC Number]],Main_Issuance[],18,0)</f>
        <v>90 Days from Invoice Date</v>
      </c>
      <c r="V364" s="21" t="s">
        <v>367</v>
      </c>
      <c r="W364" s="22" t="s">
        <v>378</v>
      </c>
      <c r="X364" s="16"/>
      <c r="Y364" s="234" t="str">
        <f>TRIM(LEFT(Main_Presentation[[#This Row],[Payment Terms]],3))</f>
        <v>90</v>
      </c>
      <c r="Z364" s="16"/>
      <c r="AA364" s="316" cm="1">
        <f t="array" ref="AA364">Settlement(Main_Presentation[[#This Row],[Bank]],Main_Presentation[[#This Row],[ Invoice Amt (SAR)]],Main_Presentation[[#This Row],[Date Recd]],Main_Presentation[[#This Row],[Due Date]],Main_Presentation[[#This Row],[Days]])</f>
        <v>0</v>
      </c>
      <c r="AB364" s="16"/>
    </row>
    <row r="365" spans="1:28" ht="15.75" hidden="1" x14ac:dyDescent="0.25">
      <c r="A365" s="20" t="s">
        <v>604</v>
      </c>
      <c r="B365" s="15">
        <v>45707</v>
      </c>
      <c r="C365" s="26">
        <v>1</v>
      </c>
      <c r="D365" s="55" t="str">
        <f>VLOOKUP(Main_Presentation[[#This Row],[LC Number]],Main_Issuance[],3,0)</f>
        <v>Hassan Taleb</v>
      </c>
      <c r="E365" s="16" t="s">
        <v>856</v>
      </c>
      <c r="F365" s="16" t="str">
        <f>VLOOKUP(Main_Presentation[[#This Row],[LC Number]],Main_Issuance[],5,0)</f>
        <v>BAB</v>
      </c>
      <c r="G365" s="16" t="str">
        <f>VLOOKUP(Main_Presentation[[#This Row],[LC Number]],Main_Issuance[],6,0)</f>
        <v>Multipurpose</v>
      </c>
      <c r="H365" s="16" t="str">
        <f>VLOOKUP(Main_Presentation[[#This Row],[LC Number]],Main_Issuance[],17,0)</f>
        <v>Credit</v>
      </c>
      <c r="I365" s="16" t="str">
        <f>VLOOKUP(Main_Presentation[[#This Row],[LC Number]],Main_Issuance[],7,0)</f>
        <v>Universal Building Materials Merchants Co. Ltd</v>
      </c>
      <c r="J365" s="16" t="str">
        <f>VLOOKUP(Main_Presentation[[#This Row],[LC Number]],Main_Issuance[],8,0)</f>
        <v>FIRST FIX</v>
      </c>
      <c r="K365" s="16" t="str">
        <f>VLOOKUP(Main_Presentation[[#This Row],[LC Number]],Main_Issuance[],9,0)</f>
        <v>KSP</v>
      </c>
      <c r="L365" s="16">
        <f>VLOOKUP(Main_Presentation[[#This Row],[LC Number]],Main_Issuance[],10,0)</f>
        <v>1020055</v>
      </c>
      <c r="M365" s="16" t="str">
        <f>VLOOKUP(Main_Presentation[[#This Row],[LC Number]],Main_Issuance[],11,0)</f>
        <v>SAR</v>
      </c>
      <c r="N365" s="86">
        <f>VLOOKUP(Main_Presentation[[#This Row],[LC Number]],Main_Issuance[],12,0)</f>
        <v>431393.05</v>
      </c>
      <c r="O365" s="16" t="s">
        <v>20</v>
      </c>
      <c r="P365" s="16" t="s">
        <v>857</v>
      </c>
      <c r="Q365" s="131">
        <v>431393.05</v>
      </c>
      <c r="R365" s="18">
        <v>1</v>
      </c>
      <c r="S365" s="18">
        <f>Main_Presentation[[#This Row],[Invoice Amt (FCY)]]*Main_Presentation[[#This Row],[Rate]]</f>
        <v>431393.05</v>
      </c>
      <c r="T365" s="15">
        <v>45770</v>
      </c>
      <c r="U365" s="26" t="str">
        <f>VLOOKUP(Main_Presentation[[#This Row],[LC Number]],Main_Issuance[],18,0)</f>
        <v>90 Days from Invoice Date</v>
      </c>
      <c r="V365" s="21" t="s">
        <v>304</v>
      </c>
      <c r="W365" s="22" t="s">
        <v>378</v>
      </c>
      <c r="X365" s="16"/>
      <c r="Y365" s="234" t="str">
        <f>TRIM(LEFT(Main_Presentation[[#This Row],[Payment Terms]],3))</f>
        <v>90</v>
      </c>
      <c r="Z365" s="16"/>
      <c r="AA365" s="316" cm="1">
        <f t="array" ref="AA365">Settlement(Main_Presentation[[#This Row],[Bank]],Main_Presentation[[#This Row],[ Invoice Amt (SAR)]],Main_Presentation[[#This Row],[Date Recd]],Main_Presentation[[#This Row],[Due Date]],Main_Presentation[[#This Row],[Days]])</f>
        <v>0</v>
      </c>
      <c r="AB365" s="16"/>
    </row>
    <row r="366" spans="1:28" ht="15.75" hidden="1" x14ac:dyDescent="0.25">
      <c r="A366" s="20" t="s">
        <v>1867</v>
      </c>
      <c r="B366" s="15">
        <v>45718</v>
      </c>
      <c r="C366" s="26">
        <v>1</v>
      </c>
      <c r="D366" s="55" t="str">
        <f>VLOOKUP(Main_Presentation[[#This Row],[LC Number]],Main_Issuance[],3,0)</f>
        <v>Hassan Taleb</v>
      </c>
      <c r="E366" s="16" t="s">
        <v>858</v>
      </c>
      <c r="F366" s="16" t="str">
        <f>VLOOKUP(Main_Presentation[[#This Row],[LC Number]],Main_Issuance[],5,0)</f>
        <v>BAB</v>
      </c>
      <c r="G366" s="16" t="str">
        <f>VLOOKUP(Main_Presentation[[#This Row],[LC Number]],Main_Issuance[],6,0)</f>
        <v>Multipurpose</v>
      </c>
      <c r="H366" s="16" t="str">
        <f>VLOOKUP(Main_Presentation[[#This Row],[LC Number]],Main_Issuance[],17,0)</f>
        <v>Credit</v>
      </c>
      <c r="I366" s="16" t="str">
        <f>VLOOKUP(Main_Presentation[[#This Row],[LC Number]],Main_Issuance[],7,0)</f>
        <v>Branch of National Fire Fighting (NAFFCO)</v>
      </c>
      <c r="J366" s="16" t="str">
        <f>VLOOKUP(Main_Presentation[[#This Row],[LC Number]],Main_Issuance[],8,0)</f>
        <v>FIRST FIX</v>
      </c>
      <c r="K366" s="16" t="str">
        <f>VLOOKUP(Main_Presentation[[#This Row],[LC Number]],Main_Issuance[],9,0)</f>
        <v>KSP</v>
      </c>
      <c r="L366" s="16">
        <f>VLOOKUP(Main_Presentation[[#This Row],[LC Number]],Main_Issuance[],10,0)</f>
        <v>1020055</v>
      </c>
      <c r="M366" s="16" t="str">
        <f>VLOOKUP(Main_Presentation[[#This Row],[LC Number]],Main_Issuance[],11,0)</f>
        <v>SAR</v>
      </c>
      <c r="N366" s="86">
        <f>VLOOKUP(Main_Presentation[[#This Row],[LC Number]],Main_Issuance[],12,0)</f>
        <v>665985.3600000001</v>
      </c>
      <c r="O366" s="16" t="s">
        <v>20</v>
      </c>
      <c r="P366" s="16" t="s">
        <v>857</v>
      </c>
      <c r="Q366" s="131">
        <v>665985.36</v>
      </c>
      <c r="R366" s="18">
        <v>1</v>
      </c>
      <c r="S366" s="18">
        <f>Main_Presentation[[#This Row],[Invoice Amt (FCY)]]*Main_Presentation[[#This Row],[Rate]]</f>
        <v>665985.36</v>
      </c>
      <c r="T366" s="15">
        <v>45760</v>
      </c>
      <c r="U366" s="26" t="str">
        <f>VLOOKUP(Main_Presentation[[#This Row],[LC Number]],Main_Issuance[],18,0)</f>
        <v>90 Days from Invoice Date</v>
      </c>
      <c r="V366" s="21" t="s">
        <v>367</v>
      </c>
      <c r="W366" s="22" t="s">
        <v>378</v>
      </c>
      <c r="X366" s="16"/>
      <c r="Y366" s="234" t="str">
        <f>TRIM(LEFT(Main_Presentation[[#This Row],[Payment Terms]],3))</f>
        <v>90</v>
      </c>
      <c r="Z366" s="16"/>
      <c r="AA366" s="316" cm="1">
        <f t="array" ref="AA366">Settlement(Main_Presentation[[#This Row],[Bank]],Main_Presentation[[#This Row],[ Invoice Amt (SAR)]],Main_Presentation[[#This Row],[Date Recd]],Main_Presentation[[#This Row],[Due Date]],Main_Presentation[[#This Row],[Days]])</f>
        <v>0</v>
      </c>
      <c r="AB366" s="16"/>
    </row>
    <row r="367" spans="1:28" ht="15.75" hidden="1" x14ac:dyDescent="0.25">
      <c r="A367" s="20" t="s">
        <v>602</v>
      </c>
      <c r="B367" s="15">
        <v>45718</v>
      </c>
      <c r="C367" s="26">
        <v>1</v>
      </c>
      <c r="D367" s="55" t="str">
        <f>VLOOKUP(Main_Presentation[[#This Row],[LC Number]],Main_Issuance[],3,0)</f>
        <v>Hassan Taleb</v>
      </c>
      <c r="E367" s="16" t="s">
        <v>858</v>
      </c>
      <c r="F367" s="16" t="str">
        <f>VLOOKUP(Main_Presentation[[#This Row],[LC Number]],Main_Issuance[],5,0)</f>
        <v>BAB</v>
      </c>
      <c r="G367" s="16" t="str">
        <f>VLOOKUP(Main_Presentation[[#This Row],[LC Number]],Main_Issuance[],6,0)</f>
        <v>Multipurpose</v>
      </c>
      <c r="H367" s="16" t="str">
        <f>VLOOKUP(Main_Presentation[[#This Row],[LC Number]],Main_Issuance[],17,0)</f>
        <v>Credit</v>
      </c>
      <c r="I367" s="16" t="str">
        <f>VLOOKUP(Main_Presentation[[#This Row],[LC Number]],Main_Issuance[],7,0)</f>
        <v>RAWABI AL MAHFAR TRADING COMPANY LLC.</v>
      </c>
      <c r="J367" s="16" t="str">
        <f>VLOOKUP(Main_Presentation[[#This Row],[LC Number]],Main_Issuance[],8,0)</f>
        <v>FIRST FIX</v>
      </c>
      <c r="K367" s="16" t="str">
        <f>VLOOKUP(Main_Presentation[[#This Row],[LC Number]],Main_Issuance[],9,0)</f>
        <v>KSP</v>
      </c>
      <c r="L367" s="16">
        <f>VLOOKUP(Main_Presentation[[#This Row],[LC Number]],Main_Issuance[],10,0)</f>
        <v>1020055</v>
      </c>
      <c r="M367" s="16" t="str">
        <f>VLOOKUP(Main_Presentation[[#This Row],[LC Number]],Main_Issuance[],11,0)</f>
        <v>SAR</v>
      </c>
      <c r="N367" s="86">
        <f>VLOOKUP(Main_Presentation[[#This Row],[LC Number]],Main_Issuance[],12,0)</f>
        <v>507379.58</v>
      </c>
      <c r="O367" s="16" t="s">
        <v>20</v>
      </c>
      <c r="P367" s="16" t="s">
        <v>857</v>
      </c>
      <c r="Q367" s="131">
        <v>507379.57</v>
      </c>
      <c r="R367" s="18">
        <v>1</v>
      </c>
      <c r="S367" s="18">
        <f>Main_Presentation[[#This Row],[Invoice Amt (FCY)]]*Main_Presentation[[#This Row],[Rate]]</f>
        <v>507379.57</v>
      </c>
      <c r="T367" s="15">
        <v>45754</v>
      </c>
      <c r="U367" s="26" t="str">
        <f>VLOOKUP(Main_Presentation[[#This Row],[LC Number]],Main_Issuance[],18,0)</f>
        <v>90 Days from Invoice Date</v>
      </c>
      <c r="V367" s="21" t="s">
        <v>90</v>
      </c>
      <c r="W367" s="22" t="s">
        <v>378</v>
      </c>
      <c r="X367" s="16" t="s">
        <v>904</v>
      </c>
      <c r="Y367" s="234" t="str">
        <f>TRIM(LEFT(Main_Presentation[[#This Row],[Payment Terms]],3))</f>
        <v>90</v>
      </c>
      <c r="Z367" s="16"/>
      <c r="AA367" s="316" cm="1">
        <f t="array" ref="AA367">Settlement(Main_Presentation[[#This Row],[Bank]],Main_Presentation[[#This Row],[ Invoice Amt (SAR)]],Main_Presentation[[#This Row],[Date Recd]],Main_Presentation[[#This Row],[Due Date]],Main_Presentation[[#This Row],[Days]])</f>
        <v>0</v>
      </c>
      <c r="AB367" s="16"/>
    </row>
    <row r="368" spans="1:28" ht="15.75" hidden="1" x14ac:dyDescent="0.25">
      <c r="A368" s="20" t="s">
        <v>600</v>
      </c>
      <c r="B368" s="15">
        <v>45720</v>
      </c>
      <c r="C368" s="26">
        <v>1</v>
      </c>
      <c r="D368" s="55" t="str">
        <f>VLOOKUP(Main_Presentation[[#This Row],[LC Number]],Main_Issuance[],3,0)</f>
        <v>Hassan Taleb</v>
      </c>
      <c r="E368" s="16" t="s">
        <v>858</v>
      </c>
      <c r="F368" s="16" t="str">
        <f>VLOOKUP(Main_Presentation[[#This Row],[LC Number]],Main_Issuance[],5,0)</f>
        <v>BAB</v>
      </c>
      <c r="G368" s="16" t="str">
        <f>VLOOKUP(Main_Presentation[[#This Row],[LC Number]],Main_Issuance[],6,0)</f>
        <v>Multipurpose</v>
      </c>
      <c r="H368" s="16" t="str">
        <f>VLOOKUP(Main_Presentation[[#This Row],[LC Number]],Main_Issuance[],17,0)</f>
        <v>Credit</v>
      </c>
      <c r="I368" s="16" t="str">
        <f>VLOOKUP(Main_Presentation[[#This Row],[LC Number]],Main_Issuance[],7,0)</f>
        <v>IDEAL CALIBER COMPANY.</v>
      </c>
      <c r="J368" s="16" t="str">
        <f>VLOOKUP(Main_Presentation[[#This Row],[LC Number]],Main_Issuance[],8,0)</f>
        <v>FIRST FIX</v>
      </c>
      <c r="K368" s="16" t="str">
        <f>VLOOKUP(Main_Presentation[[#This Row],[LC Number]],Main_Issuance[],9,0)</f>
        <v>KSP</v>
      </c>
      <c r="L368" s="16">
        <f>VLOOKUP(Main_Presentation[[#This Row],[LC Number]],Main_Issuance[],10,0)</f>
        <v>1020055</v>
      </c>
      <c r="M368" s="16" t="str">
        <f>VLOOKUP(Main_Presentation[[#This Row],[LC Number]],Main_Issuance[],11,0)</f>
        <v>SAR</v>
      </c>
      <c r="N368" s="86">
        <f>VLOOKUP(Main_Presentation[[#This Row],[LC Number]],Main_Issuance[],12,0)</f>
        <v>576618.84</v>
      </c>
      <c r="O368" s="16" t="s">
        <v>20</v>
      </c>
      <c r="P368" s="16" t="s">
        <v>857</v>
      </c>
      <c r="Q368" s="131">
        <v>576618.84</v>
      </c>
      <c r="R368" s="18">
        <v>1</v>
      </c>
      <c r="S368" s="18">
        <f>Main_Presentation[[#This Row],[Invoice Amt (FCY)]]*Main_Presentation[[#This Row],[Rate]]</f>
        <v>576618.84</v>
      </c>
      <c r="T368" s="15">
        <v>45781</v>
      </c>
      <c r="U368" s="26" t="str">
        <f>VLOOKUP(Main_Presentation[[#This Row],[LC Number]],Main_Issuance[],18,0)</f>
        <v>90 Days from Invoice Date</v>
      </c>
      <c r="V368" s="21" t="s">
        <v>304</v>
      </c>
      <c r="W368" s="22" t="s">
        <v>378</v>
      </c>
      <c r="X368" s="16"/>
      <c r="Y368" s="234" t="str">
        <f>TRIM(LEFT(Main_Presentation[[#This Row],[Payment Terms]],3))</f>
        <v>90</v>
      </c>
      <c r="Z368" s="16"/>
      <c r="AA368" s="316" cm="1">
        <f t="array" ref="AA368">Settlement(Main_Presentation[[#This Row],[Bank]],Main_Presentation[[#This Row],[ Invoice Amt (SAR)]],Main_Presentation[[#This Row],[Date Recd]],Main_Presentation[[#This Row],[Due Date]],Main_Presentation[[#This Row],[Days]])</f>
        <v>0</v>
      </c>
      <c r="AB368" s="16"/>
    </row>
    <row r="369" spans="1:28" ht="15.75" hidden="1" x14ac:dyDescent="0.25">
      <c r="A369" s="20" t="s">
        <v>567</v>
      </c>
      <c r="B369" s="15">
        <v>45728</v>
      </c>
      <c r="C369" s="26">
        <v>1</v>
      </c>
      <c r="D369" s="55" t="str">
        <f>VLOOKUP(Main_Presentation[[#This Row],[LC Number]],Main_Issuance[],3,0)</f>
        <v>Hassan Taleb</v>
      </c>
      <c r="E369" s="16" t="s">
        <v>858</v>
      </c>
      <c r="F369" s="17" t="str">
        <f>VLOOKUP(Main_Presentation[[#This Row],[LC Number]],Main_Issuance[],5,0)</f>
        <v>BAB</v>
      </c>
      <c r="G369" s="17" t="str">
        <f>VLOOKUP(Main_Presentation[[#This Row],[LC Number]],Main_Issuance[],6,0)</f>
        <v>Oceanarium</v>
      </c>
      <c r="H369" s="17" t="str">
        <f>VLOOKUP(Main_Presentation[[#This Row],[LC Number]],Main_Issuance[],17,0)</f>
        <v>Credit</v>
      </c>
      <c r="I369" s="17" t="str">
        <f>VLOOKUP(Main_Presentation[[#This Row],[LC Number]],Main_Issuance[],7,0)</f>
        <v>Mariam Ahmad Jamal Ibrahim &amp; Partner Trading Co.</v>
      </c>
      <c r="J369" s="17" t="str">
        <f>VLOOKUP(Main_Presentation[[#This Row],[LC Number]],Main_Issuance[],8,0)</f>
        <v>FIRST FIX</v>
      </c>
      <c r="K369" s="17" t="str">
        <f>VLOOKUP(Main_Presentation[[#This Row],[LC Number]],Main_Issuance[],9,0)</f>
        <v>KSP</v>
      </c>
      <c r="L369" s="17">
        <f>VLOOKUP(Main_Presentation[[#This Row],[LC Number]],Main_Issuance[],10,0)</f>
        <v>1020055</v>
      </c>
      <c r="M369" s="17" t="str">
        <f>VLOOKUP(Main_Presentation[[#This Row],[LC Number]],Main_Issuance[],11,0)</f>
        <v>SAR</v>
      </c>
      <c r="N369" s="84">
        <f>VLOOKUP(Main_Presentation[[#This Row],[LC Number]],Main_Issuance[],12,0)</f>
        <v>400000</v>
      </c>
      <c r="O369" s="16" t="s">
        <v>20</v>
      </c>
      <c r="P369" s="16" t="s">
        <v>378</v>
      </c>
      <c r="Q369" s="131">
        <v>400000</v>
      </c>
      <c r="R369" s="18">
        <v>1</v>
      </c>
      <c r="S369" s="131">
        <f>Main_Presentation[[#This Row],[Invoice Amt (FCY)]]*Main_Presentation[[#This Row],[Rate]]</f>
        <v>400000</v>
      </c>
      <c r="T369" s="15">
        <v>45761</v>
      </c>
      <c r="U369" s="26" t="str">
        <f>VLOOKUP(Main_Presentation[[#This Row],[LC Number]],Main_Issuance[],18,0)</f>
        <v>90 Days from Invoice Date</v>
      </c>
      <c r="V369" s="21" t="s">
        <v>367</v>
      </c>
      <c r="W369" s="22" t="s">
        <v>378</v>
      </c>
      <c r="X369" s="16"/>
      <c r="Y369" s="234" t="str">
        <f>TRIM(LEFT(Main_Presentation[[#This Row],[Payment Terms]],3))</f>
        <v>90</v>
      </c>
      <c r="Z369" s="16"/>
      <c r="AA369" s="316" cm="1">
        <f t="array" ref="AA369">Settlement(Main_Presentation[[#This Row],[Bank]],Main_Presentation[[#This Row],[ Invoice Amt (SAR)]],Main_Presentation[[#This Row],[Date Recd]],Main_Presentation[[#This Row],[Due Date]],Main_Presentation[[#This Row],[Days]])</f>
        <v>0</v>
      </c>
      <c r="AB369" s="16"/>
    </row>
    <row r="370" spans="1:28" ht="15.75" hidden="1" x14ac:dyDescent="0.25">
      <c r="A370" s="20" t="s">
        <v>577</v>
      </c>
      <c r="B370" s="15">
        <v>45732</v>
      </c>
      <c r="C370" s="26">
        <v>1</v>
      </c>
      <c r="D370" s="55" t="str">
        <f>VLOOKUP(Main_Presentation[[#This Row],[LC Number]],Main_Issuance[],3,0)</f>
        <v>Hassan Taleb</v>
      </c>
      <c r="E370" s="16" t="s">
        <v>858</v>
      </c>
      <c r="F370" s="16" t="str">
        <f>VLOOKUP(Main_Presentation[[#This Row],[LC Number]],Main_Issuance[],5,0)</f>
        <v>BAB</v>
      </c>
      <c r="G370" s="16" t="str">
        <f>VLOOKUP(Main_Presentation[[#This Row],[LC Number]],Main_Issuance[],6,0)</f>
        <v>Oceanarium</v>
      </c>
      <c r="H370" s="16" t="str">
        <f>VLOOKUP(Main_Presentation[[#This Row],[LC Number]],Main_Issuance[],17,0)</f>
        <v>Credit</v>
      </c>
      <c r="I370" s="16" t="str">
        <f>VLOOKUP(Main_Presentation[[#This Row],[LC Number]],Main_Issuance[],7,0)</f>
        <v>Energy Concept Co Ltd</v>
      </c>
      <c r="J370" s="16" t="str">
        <f>VLOOKUP(Main_Presentation[[#This Row],[LC Number]],Main_Issuance[],8,0)</f>
        <v>FIRST FIX</v>
      </c>
      <c r="K370" s="16" t="str">
        <f>VLOOKUP(Main_Presentation[[#This Row],[LC Number]],Main_Issuance[],9,0)</f>
        <v>KSP</v>
      </c>
      <c r="L370" s="16">
        <f>VLOOKUP(Main_Presentation[[#This Row],[LC Number]],Main_Issuance[],10,0)</f>
        <v>1020055</v>
      </c>
      <c r="M370" s="16" t="str">
        <f>VLOOKUP(Main_Presentation[[#This Row],[LC Number]],Main_Issuance[],11,0)</f>
        <v>SAR</v>
      </c>
      <c r="N370" s="86">
        <f>VLOOKUP(Main_Presentation[[#This Row],[LC Number]],Main_Issuance[],12,0)</f>
        <v>500000</v>
      </c>
      <c r="O370" s="16" t="s">
        <v>20</v>
      </c>
      <c r="P370" s="16" t="s">
        <v>857</v>
      </c>
      <c r="Q370" s="131">
        <v>500000</v>
      </c>
      <c r="R370" s="18">
        <v>1</v>
      </c>
      <c r="S370" s="131">
        <f>Main_Presentation[[#This Row],[Invoice Amt (FCY)]]*Main_Presentation[[#This Row],[Rate]]</f>
        <v>500000</v>
      </c>
      <c r="T370" s="15">
        <v>45775</v>
      </c>
      <c r="U370" s="26" t="str">
        <f>VLOOKUP(Main_Presentation[[#This Row],[LC Number]],Main_Issuance[],18,0)</f>
        <v>90 Days from Invoice Date</v>
      </c>
      <c r="V370" s="21" t="s">
        <v>304</v>
      </c>
      <c r="W370" s="22" t="s">
        <v>378</v>
      </c>
      <c r="X370" s="16"/>
      <c r="Y370" s="234" t="str">
        <f>TRIM(LEFT(Main_Presentation[[#This Row],[Payment Terms]],3))</f>
        <v>90</v>
      </c>
      <c r="Z370" s="16"/>
      <c r="AA370" s="316" cm="1">
        <f t="array" ref="AA370">Settlement(Main_Presentation[[#This Row],[Bank]],Main_Presentation[[#This Row],[ Invoice Amt (SAR)]],Main_Presentation[[#This Row],[Date Recd]],Main_Presentation[[#This Row],[Due Date]],Main_Presentation[[#This Row],[Days]])</f>
        <v>0</v>
      </c>
      <c r="AB370" s="16"/>
    </row>
    <row r="371" spans="1:28" ht="15.75" hidden="1" x14ac:dyDescent="0.25">
      <c r="A371" s="20" t="s">
        <v>598</v>
      </c>
      <c r="B371" s="15">
        <v>45739</v>
      </c>
      <c r="C371" s="26">
        <v>1</v>
      </c>
      <c r="D371" s="55" t="str">
        <f>VLOOKUP(Main_Presentation[[#This Row],[LC Number]],Main_Issuance[],3,0)</f>
        <v>Hassan Taleb</v>
      </c>
      <c r="E371" s="16" t="s">
        <v>858</v>
      </c>
      <c r="F371" s="16" t="str">
        <f>VLOOKUP(Main_Presentation[[#This Row],[LC Number]],Main_Issuance[],5,0)</f>
        <v>BAB</v>
      </c>
      <c r="G371" s="16" t="str">
        <f>VLOOKUP(Main_Presentation[[#This Row],[LC Number]],Main_Issuance[],6,0)</f>
        <v>Multipurpose</v>
      </c>
      <c r="H371" s="16" t="str">
        <f>VLOOKUP(Main_Presentation[[#This Row],[LC Number]],Main_Issuance[],17,0)</f>
        <v>Credit</v>
      </c>
      <c r="I371" s="16" t="str">
        <f>VLOOKUP(Main_Presentation[[#This Row],[LC Number]],Main_Issuance[],7,0)</f>
        <v>Jamil Ali Nasser AlZadjali Factory for Industry</v>
      </c>
      <c r="J371" s="16" t="str">
        <f>VLOOKUP(Main_Presentation[[#This Row],[LC Number]],Main_Issuance[],8,0)</f>
        <v>FIRST FIX</v>
      </c>
      <c r="K371" s="16" t="str">
        <f>VLOOKUP(Main_Presentation[[#This Row],[LC Number]],Main_Issuance[],9,0)</f>
        <v>KSP</v>
      </c>
      <c r="L371" s="16">
        <f>VLOOKUP(Main_Presentation[[#This Row],[LC Number]],Main_Issuance[],10,0)</f>
        <v>1020055</v>
      </c>
      <c r="M371" s="16" t="str">
        <f>VLOOKUP(Main_Presentation[[#This Row],[LC Number]],Main_Issuance[],11,0)</f>
        <v>SAR</v>
      </c>
      <c r="N371" s="86">
        <f>VLOOKUP(Main_Presentation[[#This Row],[LC Number]],Main_Issuance[],12,0)</f>
        <v>451362.57</v>
      </c>
      <c r="O371" s="16" t="s">
        <v>20</v>
      </c>
      <c r="P371" s="16" t="s">
        <v>857</v>
      </c>
      <c r="Q371" s="131">
        <v>451362.57</v>
      </c>
      <c r="R371" s="18">
        <v>1</v>
      </c>
      <c r="S371" s="131">
        <f>Main_Presentation[[#This Row],[Invoice Amt (FCY)]]*Main_Presentation[[#This Row],[Rate]]</f>
        <v>451362.57</v>
      </c>
      <c r="T371" s="15">
        <v>45760</v>
      </c>
      <c r="U371" s="26" t="str">
        <f>VLOOKUP(Main_Presentation[[#This Row],[LC Number]],Main_Issuance[],18,0)</f>
        <v>90 Days from Invoice Date</v>
      </c>
      <c r="V371" s="21" t="s">
        <v>367</v>
      </c>
      <c r="W371" s="22" t="s">
        <v>378</v>
      </c>
      <c r="X371" s="16"/>
      <c r="Y371" s="234" t="str">
        <f>TRIM(LEFT(Main_Presentation[[#This Row],[Payment Terms]],3))</f>
        <v>90</v>
      </c>
      <c r="Z371" s="16"/>
      <c r="AA371" s="316" cm="1">
        <f t="array" ref="AA371">Settlement(Main_Presentation[[#This Row],[Bank]],Main_Presentation[[#This Row],[ Invoice Amt (SAR)]],Main_Presentation[[#This Row],[Date Recd]],Main_Presentation[[#This Row],[Due Date]],Main_Presentation[[#This Row],[Days]])</f>
        <v>0</v>
      </c>
      <c r="AB371" s="16"/>
    </row>
    <row r="372" spans="1:28" ht="15.75" hidden="1" x14ac:dyDescent="0.25">
      <c r="A372" s="20" t="s">
        <v>572</v>
      </c>
      <c r="B372" s="15">
        <v>45741</v>
      </c>
      <c r="C372" s="26">
        <v>2</v>
      </c>
      <c r="D372" s="55" t="str">
        <f>VLOOKUP(Main_Presentation[[#This Row],[LC Number]],Main_Issuance[],3,0)</f>
        <v>Hassan Taleb</v>
      </c>
      <c r="E372" s="16" t="s">
        <v>856</v>
      </c>
      <c r="F372" s="16" t="str">
        <f>VLOOKUP(Main_Presentation[[#This Row],[LC Number]],Main_Issuance[],5,0)</f>
        <v>BAB</v>
      </c>
      <c r="G372" s="16" t="str">
        <f>VLOOKUP(Main_Presentation[[#This Row],[LC Number]],Main_Issuance[],6,0)</f>
        <v>Oceanarium</v>
      </c>
      <c r="H372" s="16" t="str">
        <f>VLOOKUP(Main_Presentation[[#This Row],[LC Number]],Main_Issuance[],17,0)</f>
        <v>Credit</v>
      </c>
      <c r="I372" s="16" t="str">
        <f>VLOOKUP(Main_Presentation[[#This Row],[LC Number]],Main_Issuance[],7,0)</f>
        <v>Riyadh Cable Group Of Company</v>
      </c>
      <c r="J372" s="16" t="str">
        <f>VLOOKUP(Main_Presentation[[#This Row],[LC Number]],Main_Issuance[],8,0)</f>
        <v>FIRST FIX</v>
      </c>
      <c r="K372" s="16" t="str">
        <f>VLOOKUP(Main_Presentation[[#This Row],[LC Number]],Main_Issuance[],9,0)</f>
        <v>KSP</v>
      </c>
      <c r="L372" s="16">
        <f>VLOOKUP(Main_Presentation[[#This Row],[LC Number]],Main_Issuance[],10,0)</f>
        <v>1020055</v>
      </c>
      <c r="M372" s="16" t="str">
        <f>VLOOKUP(Main_Presentation[[#This Row],[LC Number]],Main_Issuance[],11,0)</f>
        <v>SAR</v>
      </c>
      <c r="N372" s="86">
        <f>VLOOKUP(Main_Presentation[[#This Row],[LC Number]],Main_Issuance[],12,0)</f>
        <v>531394.88</v>
      </c>
      <c r="O372" s="16" t="s">
        <v>20</v>
      </c>
      <c r="P372" s="16" t="s">
        <v>857</v>
      </c>
      <c r="Q372" s="166">
        <v>194791.52</v>
      </c>
      <c r="R372" s="18">
        <v>1</v>
      </c>
      <c r="S372" s="18">
        <f>Main_Presentation[[#This Row],[Invoice Amt (FCY)]]*Main_Presentation[[#This Row],[Rate]]</f>
        <v>194791.52</v>
      </c>
      <c r="T372" s="15">
        <v>45742</v>
      </c>
      <c r="U372" s="26" t="str">
        <f>VLOOKUP(Main_Presentation[[#This Row],[LC Number]],Main_Issuance[],18,0)</f>
        <v>90 Days from Invoice Date</v>
      </c>
      <c r="V372" s="21" t="s">
        <v>90</v>
      </c>
      <c r="W372" s="22" t="s">
        <v>378</v>
      </c>
      <c r="X372" s="16"/>
      <c r="Y372" s="234" t="str">
        <f>TRIM(LEFT(Main_Presentation[[#This Row],[Payment Terms]],3))</f>
        <v>90</v>
      </c>
      <c r="Z372" s="16"/>
      <c r="AA372" s="316" cm="1">
        <f t="array" ref="AA372">Settlement(Main_Presentation[[#This Row],[Bank]],Main_Presentation[[#This Row],[ Invoice Amt (SAR)]],Main_Presentation[[#This Row],[Date Recd]],Main_Presentation[[#This Row],[Due Date]],Main_Presentation[[#This Row],[Days]])</f>
        <v>0</v>
      </c>
      <c r="AB372" s="16"/>
    </row>
    <row r="373" spans="1:28" ht="15.75" hidden="1" x14ac:dyDescent="0.25">
      <c r="A373" s="129" t="s">
        <v>581</v>
      </c>
      <c r="B373" s="137">
        <v>45812</v>
      </c>
      <c r="C373" s="138">
        <v>1</v>
      </c>
      <c r="D373" s="139" t="str">
        <f>VLOOKUP(Main_Presentation[[#This Row],[LC Number]],Main_Issuance[],3,0)</f>
        <v>Hassan Taleb</v>
      </c>
      <c r="E373" s="140" t="s">
        <v>858</v>
      </c>
      <c r="F373" s="140" t="str">
        <f>VLOOKUP(Main_Presentation[[#This Row],[LC Number]],Main_Issuance[],5,0)</f>
        <v>BAB</v>
      </c>
      <c r="G373" s="140" t="str">
        <f>VLOOKUP(Main_Presentation[[#This Row],[LC Number]],Main_Issuance[],6,0)</f>
        <v>Oceanarium</v>
      </c>
      <c r="H373" s="140" t="str">
        <f>VLOOKUP(Main_Presentation[[#This Row],[LC Number]],Main_Issuance[],17,0)</f>
        <v>Credit</v>
      </c>
      <c r="I373" s="140" t="str">
        <f>VLOOKUP(Main_Presentation[[#This Row],[LC Number]],Main_Issuance[],7,0)</f>
        <v>Alfa Laval Arabia for Maintenance Company</v>
      </c>
      <c r="J373" s="140" t="str">
        <f>VLOOKUP(Main_Presentation[[#This Row],[LC Number]],Main_Issuance[],8,0)</f>
        <v>FIRST FIX</v>
      </c>
      <c r="K373" s="140" t="str">
        <f>VLOOKUP(Main_Presentation[[#This Row],[LC Number]],Main_Issuance[],9,0)</f>
        <v>KSP</v>
      </c>
      <c r="L373" s="140">
        <f>VLOOKUP(Main_Presentation[[#This Row],[LC Number]],Main_Issuance[],10,0)</f>
        <v>1020055</v>
      </c>
      <c r="M373" s="140" t="str">
        <f>VLOOKUP(Main_Presentation[[#This Row],[LC Number]],Main_Issuance[],11,0)</f>
        <v>SAR</v>
      </c>
      <c r="N373" s="141">
        <f>VLOOKUP(Main_Presentation[[#This Row],[LC Number]],Main_Issuance[],12,0)</f>
        <v>1584497.6</v>
      </c>
      <c r="O373" s="140" t="s">
        <v>20</v>
      </c>
      <c r="P373" s="140" t="s">
        <v>857</v>
      </c>
      <c r="Q373" s="131">
        <v>1584497.6</v>
      </c>
      <c r="R373" s="131">
        <v>1</v>
      </c>
      <c r="S373" s="131">
        <f>Main_Presentation[[#This Row],[Invoice Amt (FCY)]]*Main_Presentation[[#This Row],[Rate]]</f>
        <v>1584497.6</v>
      </c>
      <c r="T373" s="137">
        <v>45830</v>
      </c>
      <c r="U373" s="138" t="str">
        <f>VLOOKUP(Main_Presentation[[#This Row],[LC Number]],Main_Issuance[],18,0)</f>
        <v>90 Days from Invoice Date</v>
      </c>
      <c r="V373" s="143" t="s">
        <v>304</v>
      </c>
      <c r="W373" s="145" t="s">
        <v>378</v>
      </c>
      <c r="X373" s="140"/>
      <c r="Y373" s="400" t="str">
        <f>TRIM(LEFT(Main_Presentation[[#This Row],[Payment Terms]],3))</f>
        <v>90</v>
      </c>
      <c r="Z373" s="140"/>
      <c r="AA373" s="316" cm="1">
        <f t="array" ref="AA373">Settlement(Main_Presentation[[#This Row],[Bank]],Main_Presentation[[#This Row],[ Invoice Amt (SAR)]],Main_Presentation[[#This Row],[Date Recd]],Main_Presentation[[#This Row],[Due Date]],Main_Presentation[[#This Row],[Days]])</f>
        <v>0</v>
      </c>
      <c r="AB373" s="140"/>
    </row>
    <row r="374" spans="1:28" ht="15.75" hidden="1" x14ac:dyDescent="0.25">
      <c r="A374" s="14" t="s">
        <v>464</v>
      </c>
      <c r="B374" s="15">
        <v>45637</v>
      </c>
      <c r="C374" s="26">
        <v>1</v>
      </c>
      <c r="D374" s="55" t="str">
        <f>VLOOKUP(Main_Presentation[[#This Row],[LC Number]],Main_Issuance[],3,0)</f>
        <v>Rabih Makhoul</v>
      </c>
      <c r="E374" s="16" t="s">
        <v>858</v>
      </c>
      <c r="F374" s="17" t="str">
        <f>VLOOKUP(Main_Presentation[[#This Row],[LC Number]],Main_Issuance[],5,0)</f>
        <v>BAB</v>
      </c>
      <c r="G374" s="17" t="str">
        <f>VLOOKUP(Main_Presentation[[#This Row],[LC Number]],Main_Issuance[],6,0)</f>
        <v>Multipurpose</v>
      </c>
      <c r="H374" s="17" t="str">
        <f>VLOOKUP(Main_Presentation[[#This Row],[LC Number]],Main_Issuance[],17,0)</f>
        <v>Credit</v>
      </c>
      <c r="I374" s="17" t="str">
        <f>VLOOKUP(Main_Presentation[[#This Row],[LC Number]],Main_Issuance[],7,0)</f>
        <v>Abdulah Abdin Albukhari Factory For Industry.</v>
      </c>
      <c r="J374" s="17" t="str">
        <f>VLOOKUP(Main_Presentation[[#This Row],[LC Number]],Main_Issuance[],8,0)</f>
        <v>MBL</v>
      </c>
      <c r="K374" s="17" t="str">
        <f>VLOOKUP(Main_Presentation[[#This Row],[LC Number]],Main_Issuance[],9,0)</f>
        <v>Neom - The Line</v>
      </c>
      <c r="L374" s="17">
        <f>VLOOKUP(Main_Presentation[[#This Row],[LC Number]],Main_Issuance[],10,0)</f>
        <v>1020098</v>
      </c>
      <c r="M374" s="17" t="str">
        <f>VLOOKUP(Main_Presentation[[#This Row],[LC Number]],Main_Issuance[],11,0)</f>
        <v>SAR</v>
      </c>
      <c r="N374" s="84">
        <f>VLOOKUP(Main_Presentation[[#This Row],[LC Number]],Main_Issuance[],12,0)</f>
        <v>10000000</v>
      </c>
      <c r="O374" s="16" t="s">
        <v>20</v>
      </c>
      <c r="P374" s="16" t="s">
        <v>857</v>
      </c>
      <c r="Q374" s="131">
        <v>3402303.75</v>
      </c>
      <c r="R374" s="18">
        <v>1</v>
      </c>
      <c r="S374" s="18">
        <f>Main_Presentation[[#This Row],[Invoice Amt (FCY)]]*Main_Presentation[[#This Row],[Rate]]</f>
        <v>3402303.75</v>
      </c>
      <c r="T374" s="15">
        <v>45657</v>
      </c>
      <c r="U374" s="26" t="str">
        <f>VLOOKUP(Main_Presentation[[#This Row],[LC Number]],Main_Issuance[],18,0)</f>
        <v>45 Days from Invoice Date</v>
      </c>
      <c r="V374" s="19" t="s">
        <v>304</v>
      </c>
      <c r="W374" s="22" t="s">
        <v>857</v>
      </c>
      <c r="X374" s="16"/>
      <c r="Y374" s="234" t="str">
        <f>TRIM(LEFT(Main_Presentation[[#This Row],[Payment Terms]],3))</f>
        <v>45</v>
      </c>
      <c r="Z374" s="16"/>
      <c r="AA374" s="316" cm="1">
        <f t="array" ref="AA374">Settlement(Main_Presentation[[#This Row],[Bank]],Main_Presentation[[#This Row],[ Invoice Amt (SAR)]],Main_Presentation[[#This Row],[Date Recd]],Main_Presentation[[#This Row],[Due Date]],Main_Presentation[[#This Row],[Days]])</f>
        <v>0</v>
      </c>
      <c r="AB374" s="16"/>
    </row>
    <row r="375" spans="1:28" ht="15.75" hidden="1" x14ac:dyDescent="0.25">
      <c r="A375" s="14" t="s">
        <v>464</v>
      </c>
      <c r="B375" s="15">
        <v>45637</v>
      </c>
      <c r="C375" s="26">
        <v>2</v>
      </c>
      <c r="D375" s="55" t="str">
        <f>VLOOKUP(Main_Presentation[[#This Row],[LC Number]],Main_Issuance[],3,0)</f>
        <v>Rabih Makhoul</v>
      </c>
      <c r="E375" s="16" t="s">
        <v>858</v>
      </c>
      <c r="F375" s="17" t="str">
        <f>VLOOKUP(Main_Presentation[[#This Row],[LC Number]],Main_Issuance[],5,0)</f>
        <v>BAB</v>
      </c>
      <c r="G375" s="17" t="str">
        <f>VLOOKUP(Main_Presentation[[#This Row],[LC Number]],Main_Issuance[],6,0)</f>
        <v>Multipurpose</v>
      </c>
      <c r="H375" s="17" t="str">
        <f>VLOOKUP(Main_Presentation[[#This Row],[LC Number]],Main_Issuance[],17,0)</f>
        <v>Credit</v>
      </c>
      <c r="I375" s="17" t="str">
        <f>VLOOKUP(Main_Presentation[[#This Row],[LC Number]],Main_Issuance[],7,0)</f>
        <v>Abdulah Abdin Albukhari Factory For Industry.</v>
      </c>
      <c r="J375" s="17" t="str">
        <f>VLOOKUP(Main_Presentation[[#This Row],[LC Number]],Main_Issuance[],8,0)</f>
        <v>MBL</v>
      </c>
      <c r="K375" s="17" t="str">
        <f>VLOOKUP(Main_Presentation[[#This Row],[LC Number]],Main_Issuance[],9,0)</f>
        <v>Neom - The Line</v>
      </c>
      <c r="L375" s="17">
        <f>VLOOKUP(Main_Presentation[[#This Row],[LC Number]],Main_Issuance[],10,0)</f>
        <v>1020098</v>
      </c>
      <c r="M375" s="17" t="str">
        <f>VLOOKUP(Main_Presentation[[#This Row],[LC Number]],Main_Issuance[],11,0)</f>
        <v>SAR</v>
      </c>
      <c r="N375" s="84">
        <f>VLOOKUP(Main_Presentation[[#This Row],[LC Number]],Main_Issuance[],12,0)</f>
        <v>10000000</v>
      </c>
      <c r="O375" s="16" t="s">
        <v>20</v>
      </c>
      <c r="P375" s="16" t="s">
        <v>857</v>
      </c>
      <c r="Q375" s="131">
        <v>4103775</v>
      </c>
      <c r="R375" s="18">
        <v>1</v>
      </c>
      <c r="S375" s="18">
        <f>Main_Presentation[[#This Row],[Invoice Amt (FCY)]]*Main_Presentation[[#This Row],[Rate]]</f>
        <v>4103775</v>
      </c>
      <c r="T375" s="15">
        <v>45665</v>
      </c>
      <c r="U375" s="26" t="str">
        <f>VLOOKUP(Main_Presentation[[#This Row],[LC Number]],Main_Issuance[],18,0)</f>
        <v>45 Days from Invoice Date</v>
      </c>
      <c r="V375" s="19" t="s">
        <v>304</v>
      </c>
      <c r="W375" s="22" t="s">
        <v>857</v>
      </c>
      <c r="X375" s="16"/>
      <c r="Y375" s="234" t="str">
        <f>TRIM(LEFT(Main_Presentation[[#This Row],[Payment Terms]],3))</f>
        <v>45</v>
      </c>
      <c r="Z375" s="16"/>
      <c r="AA375" s="316" cm="1">
        <f t="array" ref="AA375">Settlement(Main_Presentation[[#This Row],[Bank]],Main_Presentation[[#This Row],[ Invoice Amt (SAR)]],Main_Presentation[[#This Row],[Date Recd]],Main_Presentation[[#This Row],[Due Date]],Main_Presentation[[#This Row],[Days]])</f>
        <v>0</v>
      </c>
      <c r="AB375" s="16"/>
    </row>
    <row r="376" spans="1:28" ht="15.75" hidden="1" x14ac:dyDescent="0.25">
      <c r="A376" s="20" t="s">
        <v>555</v>
      </c>
      <c r="B376" s="15">
        <v>45652</v>
      </c>
      <c r="C376" s="26">
        <v>1</v>
      </c>
      <c r="D376" s="55" t="str">
        <f>VLOOKUP(Main_Presentation[[#This Row],[LC Number]],Main_Issuance[],3,0)</f>
        <v>Rabih Makhoul</v>
      </c>
      <c r="E376" s="16" t="s">
        <v>858</v>
      </c>
      <c r="F376" s="16" t="str">
        <f>VLOOKUP(Main_Presentation[[#This Row],[LC Number]],Main_Issuance[],5,0)</f>
        <v>BAB</v>
      </c>
      <c r="G376" s="16" t="str">
        <f>VLOOKUP(Main_Presentation[[#This Row],[LC Number]],Main_Issuance[],6,0)</f>
        <v>Oceanarium</v>
      </c>
      <c r="H376" s="16" t="str">
        <f>VLOOKUP(Main_Presentation[[#This Row],[LC Number]],Main_Issuance[],17,0)</f>
        <v>Credit</v>
      </c>
      <c r="I376" s="16" t="str">
        <f>VLOOKUP(Main_Presentation[[#This Row],[LC Number]],Main_Issuance[],7,0)</f>
        <v>Abdulah Abdin Albukhari Factory For Industry.</v>
      </c>
      <c r="J376" s="16" t="str">
        <f>VLOOKUP(Main_Presentation[[#This Row],[LC Number]],Main_Issuance[],8,0)</f>
        <v>MBL</v>
      </c>
      <c r="K376" s="16" t="str">
        <f>VLOOKUP(Main_Presentation[[#This Row],[LC Number]],Main_Issuance[],9,0)</f>
        <v>Neom - The Line</v>
      </c>
      <c r="L376" s="16">
        <f>VLOOKUP(Main_Presentation[[#This Row],[LC Number]],Main_Issuance[],10,0)</f>
        <v>1020098</v>
      </c>
      <c r="M376" s="16" t="str">
        <f>VLOOKUP(Main_Presentation[[#This Row],[LC Number]],Main_Issuance[],11,0)</f>
        <v>SAR</v>
      </c>
      <c r="N376" s="86">
        <f>VLOOKUP(Main_Presentation[[#This Row],[LC Number]],Main_Issuance[],12,0)</f>
        <v>50000000</v>
      </c>
      <c r="O376" s="16" t="s">
        <v>20</v>
      </c>
      <c r="P376" s="16" t="s">
        <v>857</v>
      </c>
      <c r="Q376" s="131">
        <v>5163730</v>
      </c>
      <c r="R376" s="18">
        <v>1</v>
      </c>
      <c r="S376" s="18">
        <f>Main_Presentation[[#This Row],[Invoice Amt (FCY)]]*Main_Presentation[[#This Row],[Rate]]</f>
        <v>5163730</v>
      </c>
      <c r="T376" s="15">
        <v>45677</v>
      </c>
      <c r="U376" s="26" t="str">
        <f>VLOOKUP(Main_Presentation[[#This Row],[LC Number]],Main_Issuance[],18,0)</f>
        <v>45 Days from Invoice Date</v>
      </c>
      <c r="V376" s="19" t="s">
        <v>304</v>
      </c>
      <c r="W376" s="22" t="s">
        <v>857</v>
      </c>
      <c r="X376" s="16"/>
      <c r="Y376" s="234" t="str">
        <f>TRIM(LEFT(Main_Presentation[[#This Row],[Payment Terms]],3))</f>
        <v>45</v>
      </c>
      <c r="Z376" s="16"/>
      <c r="AA376" s="316" cm="1">
        <f t="array" ref="AA376">Settlement(Main_Presentation[[#This Row],[Bank]],Main_Presentation[[#This Row],[ Invoice Amt (SAR)]],Main_Presentation[[#This Row],[Date Recd]],Main_Presentation[[#This Row],[Due Date]],Main_Presentation[[#This Row],[Days]])</f>
        <v>0</v>
      </c>
      <c r="AB376" s="16"/>
    </row>
    <row r="377" spans="1:28" ht="15.75" hidden="1" x14ac:dyDescent="0.25">
      <c r="A377" s="20" t="s">
        <v>555</v>
      </c>
      <c r="B377" s="15">
        <v>45669</v>
      </c>
      <c r="C377" s="26">
        <v>2</v>
      </c>
      <c r="D377" s="55" t="str">
        <f>VLOOKUP(Main_Presentation[[#This Row],[LC Number]],Main_Issuance[],3,0)</f>
        <v>Rabih Makhoul</v>
      </c>
      <c r="E377" s="16" t="s">
        <v>858</v>
      </c>
      <c r="F377" s="16" t="str">
        <f>VLOOKUP(Main_Presentation[[#This Row],[LC Number]],Main_Issuance[],5,0)</f>
        <v>BAB</v>
      </c>
      <c r="G377" s="16" t="str">
        <f>VLOOKUP(Main_Presentation[[#This Row],[LC Number]],Main_Issuance[],6,0)</f>
        <v>Oceanarium</v>
      </c>
      <c r="H377" s="16" t="str">
        <f>VLOOKUP(Main_Presentation[[#This Row],[LC Number]],Main_Issuance[],17,0)</f>
        <v>Credit</v>
      </c>
      <c r="I377" s="16" t="str">
        <f>VLOOKUP(Main_Presentation[[#This Row],[LC Number]],Main_Issuance[],7,0)</f>
        <v>Abdulah Abdin Albukhari Factory For Industry.</v>
      </c>
      <c r="J377" s="16" t="str">
        <f>VLOOKUP(Main_Presentation[[#This Row],[LC Number]],Main_Issuance[],8,0)</f>
        <v>MBL</v>
      </c>
      <c r="K377" s="16" t="str">
        <f>VLOOKUP(Main_Presentation[[#This Row],[LC Number]],Main_Issuance[],9,0)</f>
        <v>Neom - The Line</v>
      </c>
      <c r="L377" s="16">
        <f>VLOOKUP(Main_Presentation[[#This Row],[LC Number]],Main_Issuance[],10,0)</f>
        <v>1020098</v>
      </c>
      <c r="M377" s="16" t="str">
        <f>VLOOKUP(Main_Presentation[[#This Row],[LC Number]],Main_Issuance[],11,0)</f>
        <v>SAR</v>
      </c>
      <c r="N377" s="86">
        <f>VLOOKUP(Main_Presentation[[#This Row],[LC Number]],Main_Issuance[],12,0)</f>
        <v>50000000</v>
      </c>
      <c r="O377" s="16" t="s">
        <v>20</v>
      </c>
      <c r="P377" s="16" t="s">
        <v>857</v>
      </c>
      <c r="Q377" s="131">
        <v>4058925</v>
      </c>
      <c r="R377" s="18">
        <v>1</v>
      </c>
      <c r="S377" s="18">
        <f>Main_Presentation[[#This Row],[Invoice Amt (FCY)]]*Main_Presentation[[#This Row],[Rate]]</f>
        <v>4058925</v>
      </c>
      <c r="T377" s="15">
        <v>45680</v>
      </c>
      <c r="U377" s="26" t="str">
        <f>VLOOKUP(Main_Presentation[[#This Row],[LC Number]],Main_Issuance[],18,0)</f>
        <v>45 Days from Invoice Date</v>
      </c>
      <c r="V377" s="21" t="s">
        <v>882</v>
      </c>
      <c r="W377" s="22" t="s">
        <v>378</v>
      </c>
      <c r="X377" s="16"/>
      <c r="Y377" s="234" t="str">
        <f>TRIM(LEFT(Main_Presentation[[#This Row],[Payment Terms]],3))</f>
        <v>45</v>
      </c>
      <c r="Z377" s="16"/>
      <c r="AA377" s="316" cm="1">
        <f t="array" ref="AA377">Settlement(Main_Presentation[[#This Row],[Bank]],Main_Presentation[[#This Row],[ Invoice Amt (SAR)]],Main_Presentation[[#This Row],[Date Recd]],Main_Presentation[[#This Row],[Due Date]],Main_Presentation[[#This Row],[Days]])</f>
        <v>0</v>
      </c>
      <c r="AB377" s="16"/>
    </row>
    <row r="378" spans="1:28" ht="15.75" hidden="1" x14ac:dyDescent="0.25">
      <c r="A378" s="20" t="s">
        <v>555</v>
      </c>
      <c r="B378" s="15">
        <v>45671</v>
      </c>
      <c r="C378" s="26">
        <v>3</v>
      </c>
      <c r="D378" s="55" t="str">
        <f>VLOOKUP(Main_Presentation[[#This Row],[LC Number]],Main_Issuance[],3,0)</f>
        <v>Rabih Makhoul</v>
      </c>
      <c r="E378" s="16" t="s">
        <v>858</v>
      </c>
      <c r="F378" s="16" t="str">
        <f>VLOOKUP(Main_Presentation[[#This Row],[LC Number]],Main_Issuance[],5,0)</f>
        <v>BAB</v>
      </c>
      <c r="G378" s="16" t="str">
        <f>VLOOKUP(Main_Presentation[[#This Row],[LC Number]],Main_Issuance[],6,0)</f>
        <v>Oceanarium</v>
      </c>
      <c r="H378" s="16" t="str">
        <f>VLOOKUP(Main_Presentation[[#This Row],[LC Number]],Main_Issuance[],17,0)</f>
        <v>Credit</v>
      </c>
      <c r="I378" s="16" t="str">
        <f>VLOOKUP(Main_Presentation[[#This Row],[LC Number]],Main_Issuance[],7,0)</f>
        <v>Abdulah Abdin Albukhari Factory For Industry.</v>
      </c>
      <c r="J378" s="16" t="str">
        <f>VLOOKUP(Main_Presentation[[#This Row],[LC Number]],Main_Issuance[],8,0)</f>
        <v>MBL</v>
      </c>
      <c r="K378" s="16" t="str">
        <f>VLOOKUP(Main_Presentation[[#This Row],[LC Number]],Main_Issuance[],9,0)</f>
        <v>Neom - The Line</v>
      </c>
      <c r="L378" s="16">
        <f>VLOOKUP(Main_Presentation[[#This Row],[LC Number]],Main_Issuance[],10,0)</f>
        <v>1020098</v>
      </c>
      <c r="M378" s="16" t="str">
        <f>VLOOKUP(Main_Presentation[[#This Row],[LC Number]],Main_Issuance[],11,0)</f>
        <v>SAR</v>
      </c>
      <c r="N378" s="86">
        <f>VLOOKUP(Main_Presentation[[#This Row],[LC Number]],Main_Issuance[],12,0)</f>
        <v>50000000</v>
      </c>
      <c r="O378" s="16" t="s">
        <v>20</v>
      </c>
      <c r="P378" s="16" t="s">
        <v>857</v>
      </c>
      <c r="Q378" s="131">
        <v>5686980</v>
      </c>
      <c r="R378" s="18">
        <v>1</v>
      </c>
      <c r="S378" s="18">
        <f>Main_Presentation[[#This Row],[Invoice Amt (FCY)]]*Main_Presentation[[#This Row],[Rate]]</f>
        <v>5686980</v>
      </c>
      <c r="T378" s="15">
        <v>45694</v>
      </c>
      <c r="U378" s="26" t="str">
        <f>VLOOKUP(Main_Presentation[[#This Row],[LC Number]],Main_Issuance[],18,0)</f>
        <v>45 Days from Invoice Date</v>
      </c>
      <c r="V378" s="21" t="s">
        <v>304</v>
      </c>
      <c r="W378" s="22" t="s">
        <v>857</v>
      </c>
      <c r="X378" s="16"/>
      <c r="Y378" s="234" t="str">
        <f>TRIM(LEFT(Main_Presentation[[#This Row],[Payment Terms]],3))</f>
        <v>45</v>
      </c>
      <c r="Z378" s="16"/>
      <c r="AA378" s="316" cm="1">
        <f t="array" ref="AA378">Settlement(Main_Presentation[[#This Row],[Bank]],Main_Presentation[[#This Row],[ Invoice Amt (SAR)]],Main_Presentation[[#This Row],[Date Recd]],Main_Presentation[[#This Row],[Due Date]],Main_Presentation[[#This Row],[Days]])</f>
        <v>0</v>
      </c>
      <c r="AB378" s="16"/>
    </row>
    <row r="379" spans="1:28" ht="15.75" hidden="1" x14ac:dyDescent="0.25">
      <c r="A379" s="20" t="s">
        <v>555</v>
      </c>
      <c r="B379" s="15">
        <v>45671</v>
      </c>
      <c r="C379" s="26">
        <v>4</v>
      </c>
      <c r="D379" s="55" t="str">
        <f>VLOOKUP(Main_Presentation[[#This Row],[LC Number]],Main_Issuance[],3,0)</f>
        <v>Rabih Makhoul</v>
      </c>
      <c r="E379" s="16" t="s">
        <v>858</v>
      </c>
      <c r="F379" s="16" t="str">
        <f>VLOOKUP(Main_Presentation[[#This Row],[LC Number]],Main_Issuance[],5,0)</f>
        <v>BAB</v>
      </c>
      <c r="G379" s="16" t="str">
        <f>VLOOKUP(Main_Presentation[[#This Row],[LC Number]],Main_Issuance[],6,0)</f>
        <v>Oceanarium</v>
      </c>
      <c r="H379" s="16" t="str">
        <f>VLOOKUP(Main_Presentation[[#This Row],[LC Number]],Main_Issuance[],17,0)</f>
        <v>Credit</v>
      </c>
      <c r="I379" s="16" t="str">
        <f>VLOOKUP(Main_Presentation[[#This Row],[LC Number]],Main_Issuance[],7,0)</f>
        <v>Abdulah Abdin Albukhari Factory For Industry.</v>
      </c>
      <c r="J379" s="16" t="str">
        <f>VLOOKUP(Main_Presentation[[#This Row],[LC Number]],Main_Issuance[],8,0)</f>
        <v>MBL</v>
      </c>
      <c r="K379" s="16" t="str">
        <f>VLOOKUP(Main_Presentation[[#This Row],[LC Number]],Main_Issuance[],9,0)</f>
        <v>Neom - The Line</v>
      </c>
      <c r="L379" s="16">
        <f>VLOOKUP(Main_Presentation[[#This Row],[LC Number]],Main_Issuance[],10,0)</f>
        <v>1020098</v>
      </c>
      <c r="M379" s="16" t="str">
        <f>VLOOKUP(Main_Presentation[[#This Row],[LC Number]],Main_Issuance[],11,0)</f>
        <v>SAR</v>
      </c>
      <c r="N379" s="86">
        <f>VLOOKUP(Main_Presentation[[#This Row],[LC Number]],Main_Issuance[],12,0)</f>
        <v>50000000</v>
      </c>
      <c r="O379" s="16" t="s">
        <v>20</v>
      </c>
      <c r="P379" s="16" t="s">
        <v>857</v>
      </c>
      <c r="Q379" s="131">
        <v>5669040</v>
      </c>
      <c r="R379" s="18">
        <v>1</v>
      </c>
      <c r="S379" s="18">
        <f>Main_Presentation[[#This Row],[Invoice Amt (FCY)]]*Main_Presentation[[#This Row],[Rate]]</f>
        <v>5669040</v>
      </c>
      <c r="T379" s="15">
        <v>45700</v>
      </c>
      <c r="U379" s="26" t="str">
        <f>VLOOKUP(Main_Presentation[[#This Row],[LC Number]],Main_Issuance[],18,0)</f>
        <v>45 Days from Invoice Date</v>
      </c>
      <c r="V379" s="21" t="s">
        <v>304</v>
      </c>
      <c r="W379" s="22" t="s">
        <v>857</v>
      </c>
      <c r="X379" s="16"/>
      <c r="Y379" s="234" t="str">
        <f>TRIM(LEFT(Main_Presentation[[#This Row],[Payment Terms]],3))</f>
        <v>45</v>
      </c>
      <c r="Z379" s="16"/>
      <c r="AA379" s="316" cm="1">
        <f t="array" ref="AA379">Settlement(Main_Presentation[[#This Row],[Bank]],Main_Presentation[[#This Row],[ Invoice Amt (SAR)]],Main_Presentation[[#This Row],[Date Recd]],Main_Presentation[[#This Row],[Due Date]],Main_Presentation[[#This Row],[Days]])</f>
        <v>0</v>
      </c>
      <c r="AB379" s="16"/>
    </row>
    <row r="380" spans="1:28" ht="15.75" hidden="1" x14ac:dyDescent="0.25">
      <c r="A380" s="20" t="s">
        <v>555</v>
      </c>
      <c r="B380" s="15">
        <v>45671</v>
      </c>
      <c r="C380" s="26">
        <v>5</v>
      </c>
      <c r="D380" s="55" t="str">
        <f>VLOOKUP(Main_Presentation[[#This Row],[LC Number]],Main_Issuance[],3,0)</f>
        <v>Rabih Makhoul</v>
      </c>
      <c r="E380" s="16" t="s">
        <v>858</v>
      </c>
      <c r="F380" s="16" t="str">
        <f>VLOOKUP(Main_Presentation[[#This Row],[LC Number]],Main_Issuance[],5,0)</f>
        <v>BAB</v>
      </c>
      <c r="G380" s="16" t="str">
        <f>VLOOKUP(Main_Presentation[[#This Row],[LC Number]],Main_Issuance[],6,0)</f>
        <v>Oceanarium</v>
      </c>
      <c r="H380" s="16" t="str">
        <f>VLOOKUP(Main_Presentation[[#This Row],[LC Number]],Main_Issuance[],17,0)</f>
        <v>Credit</v>
      </c>
      <c r="I380" s="16" t="str">
        <f>VLOOKUP(Main_Presentation[[#This Row],[LC Number]],Main_Issuance[],7,0)</f>
        <v>Abdulah Abdin Albukhari Factory For Industry.</v>
      </c>
      <c r="J380" s="16" t="str">
        <f>VLOOKUP(Main_Presentation[[#This Row],[LC Number]],Main_Issuance[],8,0)</f>
        <v>MBL</v>
      </c>
      <c r="K380" s="16" t="str">
        <f>VLOOKUP(Main_Presentation[[#This Row],[LC Number]],Main_Issuance[],9,0)</f>
        <v>Neom - The Line</v>
      </c>
      <c r="L380" s="16">
        <f>VLOOKUP(Main_Presentation[[#This Row],[LC Number]],Main_Issuance[],10,0)</f>
        <v>1020098</v>
      </c>
      <c r="M380" s="16" t="str">
        <f>VLOOKUP(Main_Presentation[[#This Row],[LC Number]],Main_Issuance[],11,0)</f>
        <v>SAR</v>
      </c>
      <c r="N380" s="86">
        <f>VLOOKUP(Main_Presentation[[#This Row],[LC Number]],Main_Issuance[],12,0)</f>
        <v>50000000</v>
      </c>
      <c r="O380" s="16" t="s">
        <v>20</v>
      </c>
      <c r="P380" s="16" t="s">
        <v>857</v>
      </c>
      <c r="Q380" s="131">
        <v>5706415</v>
      </c>
      <c r="R380" s="18">
        <v>1</v>
      </c>
      <c r="S380" s="18">
        <f>Main_Presentation[[#This Row],[Invoice Amt (FCY)]]*Main_Presentation[[#This Row],[Rate]]</f>
        <v>5706415</v>
      </c>
      <c r="T380" s="15">
        <v>45687</v>
      </c>
      <c r="U380" s="26" t="str">
        <f>VLOOKUP(Main_Presentation[[#This Row],[LC Number]],Main_Issuance[],18,0)</f>
        <v>45 Days from Invoice Date</v>
      </c>
      <c r="V380" s="19" t="s">
        <v>304</v>
      </c>
      <c r="W380" s="22" t="s">
        <v>857</v>
      </c>
      <c r="X380" s="16"/>
      <c r="Y380" s="234" t="str">
        <f>TRIM(LEFT(Main_Presentation[[#This Row],[Payment Terms]],3))</f>
        <v>45</v>
      </c>
      <c r="Z380" s="16"/>
      <c r="AA380" s="316" cm="1">
        <f t="array" ref="AA380">Settlement(Main_Presentation[[#This Row],[Bank]],Main_Presentation[[#This Row],[ Invoice Amt (SAR)]],Main_Presentation[[#This Row],[Date Recd]],Main_Presentation[[#This Row],[Due Date]],Main_Presentation[[#This Row],[Days]])</f>
        <v>0</v>
      </c>
      <c r="AB380" s="16"/>
    </row>
    <row r="381" spans="1:28" ht="15.75" hidden="1" x14ac:dyDescent="0.25">
      <c r="A381" s="20" t="s">
        <v>531</v>
      </c>
      <c r="B381" s="15">
        <v>45678</v>
      </c>
      <c r="C381" s="26">
        <v>1</v>
      </c>
      <c r="D381" s="55" t="str">
        <f>VLOOKUP(Main_Presentation[[#This Row],[LC Number]],Main_Issuance[],3,0)</f>
        <v>Rabih Makhoul</v>
      </c>
      <c r="E381" s="16" t="s">
        <v>858</v>
      </c>
      <c r="F381" s="16" t="str">
        <f>VLOOKUP(Main_Presentation[[#This Row],[LC Number]],Main_Issuance[],5,0)</f>
        <v>BAB</v>
      </c>
      <c r="G381" s="16" t="str">
        <f>VLOOKUP(Main_Presentation[[#This Row],[LC Number]],Main_Issuance[],6,0)</f>
        <v>Oceanarium</v>
      </c>
      <c r="H381" s="16" t="str">
        <f>VLOOKUP(Main_Presentation[[#This Row],[LC Number]],Main_Issuance[],17,0)</f>
        <v>Credit</v>
      </c>
      <c r="I381" s="16" t="str">
        <f>VLOOKUP(Main_Presentation[[#This Row],[LC Number]],Main_Issuance[],7,0)</f>
        <v>Soliman Saleh Al Mohileb And Sons Holding Company (Closed Joint)</v>
      </c>
      <c r="J381" s="16" t="str">
        <f>VLOOKUP(Main_Presentation[[#This Row],[LC Number]],Main_Issuance[],8,0)</f>
        <v>MBL</v>
      </c>
      <c r="K381" s="16" t="str">
        <f>VLOOKUP(Main_Presentation[[#This Row],[LC Number]],Main_Issuance[],9,0)</f>
        <v>Neom - The Line</v>
      </c>
      <c r="L381" s="16">
        <f>VLOOKUP(Main_Presentation[[#This Row],[LC Number]],Main_Issuance[],10,0)</f>
        <v>1020098</v>
      </c>
      <c r="M381" s="16" t="str">
        <f>VLOOKUP(Main_Presentation[[#This Row],[LC Number]],Main_Issuance[],11,0)</f>
        <v>SAR</v>
      </c>
      <c r="N381" s="86">
        <f>VLOOKUP(Main_Presentation[[#This Row],[LC Number]],Main_Issuance[],12,0)</f>
        <v>9000429</v>
      </c>
      <c r="O381" s="16" t="s">
        <v>20</v>
      </c>
      <c r="P381" s="16" t="s">
        <v>857</v>
      </c>
      <c r="Q381" s="131">
        <v>860982</v>
      </c>
      <c r="R381" s="18">
        <v>1</v>
      </c>
      <c r="S381" s="18">
        <f>Main_Presentation[[#This Row],[Invoice Amt (FCY)]]*Main_Presentation[[#This Row],[Rate]]</f>
        <v>860982</v>
      </c>
      <c r="T381" s="15">
        <v>45684</v>
      </c>
      <c r="U381" s="26" t="str">
        <f>VLOOKUP(Main_Presentation[[#This Row],[LC Number]],Main_Issuance[],18,0)</f>
        <v>30 Days from Invoice Date</v>
      </c>
      <c r="V381" s="21" t="s">
        <v>882</v>
      </c>
      <c r="W381" s="22" t="s">
        <v>378</v>
      </c>
      <c r="X381" s="16"/>
      <c r="Y381" s="234" t="str">
        <f>TRIM(LEFT(Main_Presentation[[#This Row],[Payment Terms]],3))</f>
        <v>30</v>
      </c>
      <c r="Z381" s="16"/>
      <c r="AA381" s="316" cm="1">
        <f t="array" ref="AA381">Settlement(Main_Presentation[[#This Row],[Bank]],Main_Presentation[[#This Row],[ Invoice Amt (SAR)]],Main_Presentation[[#This Row],[Date Recd]],Main_Presentation[[#This Row],[Due Date]],Main_Presentation[[#This Row],[Days]])</f>
        <v>0</v>
      </c>
      <c r="AB381" s="16"/>
    </row>
    <row r="382" spans="1:28" ht="15.75" hidden="1" x14ac:dyDescent="0.25">
      <c r="A382" s="20" t="s">
        <v>531</v>
      </c>
      <c r="B382" s="15">
        <v>45678</v>
      </c>
      <c r="C382" s="26">
        <v>2</v>
      </c>
      <c r="D382" s="55" t="str">
        <f>VLOOKUP(Main_Presentation[[#This Row],[LC Number]],Main_Issuance[],3,0)</f>
        <v>Rabih Makhoul</v>
      </c>
      <c r="E382" s="16" t="s">
        <v>858</v>
      </c>
      <c r="F382" s="16" t="str">
        <f>VLOOKUP(Main_Presentation[[#This Row],[LC Number]],Main_Issuance[],5,0)</f>
        <v>BAB</v>
      </c>
      <c r="G382" s="16" t="str">
        <f>VLOOKUP(Main_Presentation[[#This Row],[LC Number]],Main_Issuance[],6,0)</f>
        <v>Oceanarium</v>
      </c>
      <c r="H382" s="16" t="str">
        <f>VLOOKUP(Main_Presentation[[#This Row],[LC Number]],Main_Issuance[],17,0)</f>
        <v>Credit</v>
      </c>
      <c r="I382" s="16" t="str">
        <f>VLOOKUP(Main_Presentation[[#This Row],[LC Number]],Main_Issuance[],7,0)</f>
        <v>Soliman Saleh Al Mohileb And Sons Holding Company (Closed Joint)</v>
      </c>
      <c r="J382" s="16" t="str">
        <f>VLOOKUP(Main_Presentation[[#This Row],[LC Number]],Main_Issuance[],8,0)</f>
        <v>MBL</v>
      </c>
      <c r="K382" s="16" t="str">
        <f>VLOOKUP(Main_Presentation[[#This Row],[LC Number]],Main_Issuance[],9,0)</f>
        <v>Neom - The Line</v>
      </c>
      <c r="L382" s="16">
        <f>VLOOKUP(Main_Presentation[[#This Row],[LC Number]],Main_Issuance[],10,0)</f>
        <v>1020098</v>
      </c>
      <c r="M382" s="16" t="str">
        <f>VLOOKUP(Main_Presentation[[#This Row],[LC Number]],Main_Issuance[],11,0)</f>
        <v>SAR</v>
      </c>
      <c r="N382" s="86">
        <f>VLOOKUP(Main_Presentation[[#This Row],[LC Number]],Main_Issuance[],12,0)</f>
        <v>9000429</v>
      </c>
      <c r="O382" s="16" t="s">
        <v>20</v>
      </c>
      <c r="P382" s="16" t="s">
        <v>857</v>
      </c>
      <c r="Q382" s="131">
        <v>645736.5</v>
      </c>
      <c r="R382" s="18">
        <v>1</v>
      </c>
      <c r="S382" s="18">
        <f>Main_Presentation[[#This Row],[Invoice Amt (FCY)]]*Main_Presentation[[#This Row],[Rate]]</f>
        <v>645736.5</v>
      </c>
      <c r="T382" s="15">
        <v>45684</v>
      </c>
      <c r="U382" s="26" t="str">
        <f>VLOOKUP(Main_Presentation[[#This Row],[LC Number]],Main_Issuance[],18,0)</f>
        <v>30 Days from Invoice Date</v>
      </c>
      <c r="V382" s="21" t="s">
        <v>882</v>
      </c>
      <c r="W382" s="22" t="s">
        <v>378</v>
      </c>
      <c r="X382" s="16"/>
      <c r="Y382" s="234" t="str">
        <f>TRIM(LEFT(Main_Presentation[[#This Row],[Payment Terms]],3))</f>
        <v>30</v>
      </c>
      <c r="Z382" s="16"/>
      <c r="AA382" s="316" cm="1">
        <f t="array" ref="AA382">Settlement(Main_Presentation[[#This Row],[Bank]],Main_Presentation[[#This Row],[ Invoice Amt (SAR)]],Main_Presentation[[#This Row],[Date Recd]],Main_Presentation[[#This Row],[Due Date]],Main_Presentation[[#This Row],[Days]])</f>
        <v>0</v>
      </c>
      <c r="AB382" s="16"/>
    </row>
    <row r="383" spans="1:28" ht="15.75" hidden="1" x14ac:dyDescent="0.25">
      <c r="A383" s="20" t="s">
        <v>531</v>
      </c>
      <c r="B383" s="15">
        <v>45679</v>
      </c>
      <c r="C383" s="26" t="s">
        <v>1304</v>
      </c>
      <c r="D383" s="55" t="str">
        <f>VLOOKUP(Main_Presentation[[#This Row],[LC Number]],Main_Issuance[],3,0)</f>
        <v>Rabih Makhoul</v>
      </c>
      <c r="E383" s="16" t="s">
        <v>858</v>
      </c>
      <c r="F383" s="16" t="str">
        <f>VLOOKUP(Main_Presentation[[#This Row],[LC Number]],Main_Issuance[],5,0)</f>
        <v>BAB</v>
      </c>
      <c r="G383" s="16" t="str">
        <f>VLOOKUP(Main_Presentation[[#This Row],[LC Number]],Main_Issuance[],6,0)</f>
        <v>Oceanarium</v>
      </c>
      <c r="H383" s="16" t="str">
        <f>VLOOKUP(Main_Presentation[[#This Row],[LC Number]],Main_Issuance[],17,0)</f>
        <v>Credit</v>
      </c>
      <c r="I383" s="16" t="str">
        <f>VLOOKUP(Main_Presentation[[#This Row],[LC Number]],Main_Issuance[],7,0)</f>
        <v>Soliman Saleh Al Mohileb And Sons Holding Company (Closed Joint)</v>
      </c>
      <c r="J383" s="16" t="str">
        <f>VLOOKUP(Main_Presentation[[#This Row],[LC Number]],Main_Issuance[],8,0)</f>
        <v>MBL</v>
      </c>
      <c r="K383" s="16" t="str">
        <f>VLOOKUP(Main_Presentation[[#This Row],[LC Number]],Main_Issuance[],9,0)</f>
        <v>Neom - The Line</v>
      </c>
      <c r="L383" s="16">
        <f>VLOOKUP(Main_Presentation[[#This Row],[LC Number]],Main_Issuance[],10,0)</f>
        <v>1020098</v>
      </c>
      <c r="M383" s="16" t="str">
        <f>VLOOKUP(Main_Presentation[[#This Row],[LC Number]],Main_Issuance[],11,0)</f>
        <v>SAR</v>
      </c>
      <c r="N383" s="86">
        <f>VLOOKUP(Main_Presentation[[#This Row],[LC Number]],Main_Issuance[],12,0)</f>
        <v>9000429</v>
      </c>
      <c r="O383" s="16" t="s">
        <v>20</v>
      </c>
      <c r="P383" s="16" t="s">
        <v>857</v>
      </c>
      <c r="Q383" s="131">
        <f>1074468-698738.84</f>
        <v>375729.16000000003</v>
      </c>
      <c r="R383" s="18">
        <v>1</v>
      </c>
      <c r="S383" s="18">
        <f>Main_Presentation[[#This Row],[Invoice Amt (FCY)]]*Main_Presentation[[#This Row],[Rate]]</f>
        <v>375729.16000000003</v>
      </c>
      <c r="T383" s="15">
        <v>45684</v>
      </c>
      <c r="U383" s="26" t="str">
        <f>VLOOKUP(Main_Presentation[[#This Row],[LC Number]],Main_Issuance[],18,0)</f>
        <v>30 Days from Invoice Date</v>
      </c>
      <c r="V383" s="21" t="s">
        <v>483</v>
      </c>
      <c r="W383" s="22" t="s">
        <v>857</v>
      </c>
      <c r="X383" s="16"/>
      <c r="Y383" s="234" t="str">
        <f>TRIM(LEFT(Main_Presentation[[#This Row],[Payment Terms]],3))</f>
        <v>30</v>
      </c>
      <c r="Z383" s="16"/>
      <c r="AA383" s="316" cm="1">
        <f t="array" ref="AA383">Settlement(Main_Presentation[[#This Row],[Bank]],Main_Presentation[[#This Row],[ Invoice Amt (SAR)]],Main_Presentation[[#This Row],[Date Recd]],Main_Presentation[[#This Row],[Due Date]],Main_Presentation[[#This Row],[Days]])</f>
        <v>0</v>
      </c>
      <c r="AB383" s="16"/>
    </row>
    <row r="384" spans="1:28" ht="15.75" hidden="1" x14ac:dyDescent="0.25">
      <c r="A384" s="20" t="s">
        <v>372</v>
      </c>
      <c r="B384" s="15">
        <v>45685</v>
      </c>
      <c r="C384" s="26">
        <v>1</v>
      </c>
      <c r="D384" s="55" t="str">
        <f>VLOOKUP(Main_Presentation[[#This Row],[LC Number]],Main_Issuance[],3,0)</f>
        <v>Rabih Makhoul</v>
      </c>
      <c r="E384" s="16" t="s">
        <v>895</v>
      </c>
      <c r="F384" s="17" t="str">
        <f>VLOOKUP(Main_Presentation[[#This Row],[LC Number]],Main_Issuance[],5,0)</f>
        <v>BAB</v>
      </c>
      <c r="G384" s="17" t="str">
        <f>VLOOKUP(Main_Presentation[[#This Row],[LC Number]],Main_Issuance[],6,0)</f>
        <v>Multipurpose</v>
      </c>
      <c r="H384" s="17" t="str">
        <f>VLOOKUP(Main_Presentation[[#This Row],[LC Number]],Main_Issuance[],17,0)</f>
        <v>Credit</v>
      </c>
      <c r="I384" s="17" t="str">
        <f>VLOOKUP(Main_Presentation[[#This Row],[LC Number]],Main_Issuance[],7,0)</f>
        <v>Al Faisal Steel Products Co.</v>
      </c>
      <c r="J384" s="17" t="str">
        <f>VLOOKUP(Main_Presentation[[#This Row],[LC Number]],Main_Issuance[],8,0)</f>
        <v>MBL</v>
      </c>
      <c r="K384" s="17" t="str">
        <f>VLOOKUP(Main_Presentation[[#This Row],[LC Number]],Main_Issuance[],9,0)</f>
        <v>Neom - The Line</v>
      </c>
      <c r="L384" s="17">
        <f>VLOOKUP(Main_Presentation[[#This Row],[LC Number]],Main_Issuance[],10,0)</f>
        <v>1020098</v>
      </c>
      <c r="M384" s="17" t="str">
        <f>VLOOKUP(Main_Presentation[[#This Row],[LC Number]],Main_Issuance[],11,0)</f>
        <v>SAR</v>
      </c>
      <c r="N384" s="84">
        <f>VLOOKUP(Main_Presentation[[#This Row],[LC Number]],Main_Issuance[],12,0)</f>
        <v>1792213.13</v>
      </c>
      <c r="O384" s="16" t="s">
        <v>20</v>
      </c>
      <c r="P384" s="16" t="s">
        <v>378</v>
      </c>
      <c r="Q384" s="131">
        <v>1793279.73</v>
      </c>
      <c r="R384" s="18">
        <v>1</v>
      </c>
      <c r="S384" s="18">
        <f>Main_Presentation[[#This Row],[Invoice Amt (FCY)]]*Main_Presentation[[#This Row],[Rate]]</f>
        <v>1793279.73</v>
      </c>
      <c r="T384" s="15">
        <v>45685</v>
      </c>
      <c r="U384" s="26">
        <f>VLOOKUP(Main_Presentation[[#This Row],[LC Number]],Main_Issuance[],18,0)</f>
        <v>0</v>
      </c>
      <c r="V384" s="21" t="s">
        <v>22</v>
      </c>
      <c r="W384" s="22" t="s">
        <v>378</v>
      </c>
      <c r="X384" s="217" t="s">
        <v>896</v>
      </c>
      <c r="Y384" s="234" t="str">
        <f>TRIM(LEFT(Main_Presentation[[#This Row],[Payment Terms]],3))</f>
        <v>0</v>
      </c>
      <c r="Z384" s="16"/>
      <c r="AA384" s="316" cm="1">
        <f t="array" ref="AA384">Settlement(Main_Presentation[[#This Row],[Bank]],Main_Presentation[[#This Row],[ Invoice Amt (SAR)]],Main_Presentation[[#This Row],[Date Recd]],Main_Presentation[[#This Row],[Due Date]],Main_Presentation[[#This Row],[Days]])</f>
        <v>0</v>
      </c>
      <c r="AB384" s="16"/>
    </row>
    <row r="385" spans="1:28" ht="15.75" hidden="1" x14ac:dyDescent="0.25">
      <c r="A385" s="20" t="s">
        <v>555</v>
      </c>
      <c r="B385" s="15">
        <v>45690</v>
      </c>
      <c r="C385" s="26">
        <v>6</v>
      </c>
      <c r="D385" s="55" t="str">
        <f>VLOOKUP(Main_Presentation[[#This Row],[LC Number]],Main_Issuance[],3,0)</f>
        <v>Rabih Makhoul</v>
      </c>
      <c r="E385" s="16" t="s">
        <v>858</v>
      </c>
      <c r="F385" s="17" t="str">
        <f>VLOOKUP(Main_Presentation[[#This Row],[LC Number]],Main_Issuance[],5,0)</f>
        <v>BAB</v>
      </c>
      <c r="G385" s="17" t="str">
        <f>VLOOKUP(Main_Presentation[[#This Row],[LC Number]],Main_Issuance[],6,0)</f>
        <v>Oceanarium</v>
      </c>
      <c r="H385" s="17" t="str">
        <f>VLOOKUP(Main_Presentation[[#This Row],[LC Number]],Main_Issuance[],17,0)</f>
        <v>Credit</v>
      </c>
      <c r="I385" s="17" t="str">
        <f>VLOOKUP(Main_Presentation[[#This Row],[LC Number]],Main_Issuance[],7,0)</f>
        <v>Abdulah Abdin Albukhari Factory For Industry.</v>
      </c>
      <c r="J385" s="17" t="str">
        <f>VLOOKUP(Main_Presentation[[#This Row],[LC Number]],Main_Issuance[],8,0)</f>
        <v>MBL</v>
      </c>
      <c r="K385" s="17" t="str">
        <f>VLOOKUP(Main_Presentation[[#This Row],[LC Number]],Main_Issuance[],9,0)</f>
        <v>Neom - The Line</v>
      </c>
      <c r="L385" s="17">
        <f>VLOOKUP(Main_Presentation[[#This Row],[LC Number]],Main_Issuance[],10,0)</f>
        <v>1020098</v>
      </c>
      <c r="M385" s="17" t="str">
        <f>VLOOKUP(Main_Presentation[[#This Row],[LC Number]],Main_Issuance[],11,0)</f>
        <v>SAR</v>
      </c>
      <c r="N385" s="84">
        <f>VLOOKUP(Main_Presentation[[#This Row],[LC Number]],Main_Issuance[],12,0)</f>
        <v>50000000</v>
      </c>
      <c r="O385" s="16" t="s">
        <v>20</v>
      </c>
      <c r="P385" s="16" t="s">
        <v>857</v>
      </c>
      <c r="Q385" s="131">
        <v>3135188</v>
      </c>
      <c r="R385" s="18">
        <v>1</v>
      </c>
      <c r="S385" s="18">
        <f>Main_Presentation[[#This Row],[Invoice Amt (FCY)]]*Main_Presentation[[#This Row],[Rate]]</f>
        <v>3135188</v>
      </c>
      <c r="T385" s="15">
        <v>45712</v>
      </c>
      <c r="U385" s="26" t="str">
        <f>VLOOKUP(Main_Presentation[[#This Row],[LC Number]],Main_Issuance[],18,0)</f>
        <v>45 Days from Invoice Date</v>
      </c>
      <c r="V385" s="21" t="s">
        <v>483</v>
      </c>
      <c r="W385" s="22" t="s">
        <v>378</v>
      </c>
      <c r="X385" s="16"/>
      <c r="Y385" s="234" t="str">
        <f>TRIM(LEFT(Main_Presentation[[#This Row],[Payment Terms]],3))</f>
        <v>45</v>
      </c>
      <c r="Z385" s="16"/>
      <c r="AA385" s="316" cm="1">
        <f t="array" ref="AA385">Settlement(Main_Presentation[[#This Row],[Bank]],Main_Presentation[[#This Row],[ Invoice Amt (SAR)]],Main_Presentation[[#This Row],[Date Recd]],Main_Presentation[[#This Row],[Due Date]],Main_Presentation[[#This Row],[Days]])</f>
        <v>0</v>
      </c>
      <c r="AB385" s="16"/>
    </row>
    <row r="386" spans="1:28" ht="15.75" hidden="1" x14ac:dyDescent="0.25">
      <c r="A386" s="20" t="s">
        <v>531</v>
      </c>
      <c r="B386" s="15">
        <v>45679</v>
      </c>
      <c r="C386" s="26" t="s">
        <v>1303</v>
      </c>
      <c r="D386" s="55" t="str">
        <f>VLOOKUP(Main_Presentation[[#This Row],[LC Number]],Main_Issuance[],3,0)</f>
        <v>Rabih Makhoul</v>
      </c>
      <c r="E386" s="16" t="s">
        <v>858</v>
      </c>
      <c r="F386" s="16" t="str">
        <f>VLOOKUP(Main_Presentation[[#This Row],[LC Number]],Main_Issuance[],5,0)</f>
        <v>BAB</v>
      </c>
      <c r="G386" s="16" t="str">
        <f>VLOOKUP(Main_Presentation[[#This Row],[LC Number]],Main_Issuance[],6,0)</f>
        <v>Oceanarium</v>
      </c>
      <c r="H386" s="16" t="str">
        <f>VLOOKUP(Main_Presentation[[#This Row],[LC Number]],Main_Issuance[],17,0)</f>
        <v>Credit</v>
      </c>
      <c r="I386" s="16" t="str">
        <f>VLOOKUP(Main_Presentation[[#This Row],[LC Number]],Main_Issuance[],7,0)</f>
        <v>Soliman Saleh Al Mohileb And Sons Holding Company (Closed Joint)</v>
      </c>
      <c r="J386" s="16" t="str">
        <f>VLOOKUP(Main_Presentation[[#This Row],[LC Number]],Main_Issuance[],8,0)</f>
        <v>MBL</v>
      </c>
      <c r="K386" s="16" t="str">
        <f>VLOOKUP(Main_Presentation[[#This Row],[LC Number]],Main_Issuance[],9,0)</f>
        <v>Neom - The Line</v>
      </c>
      <c r="L386" s="16">
        <f>VLOOKUP(Main_Presentation[[#This Row],[LC Number]],Main_Issuance[],10,0)</f>
        <v>1020098</v>
      </c>
      <c r="M386" s="16" t="str">
        <f>VLOOKUP(Main_Presentation[[#This Row],[LC Number]],Main_Issuance[],11,0)</f>
        <v>SAR</v>
      </c>
      <c r="N386" s="86">
        <f>VLOOKUP(Main_Presentation[[#This Row],[LC Number]],Main_Issuance[],12,0)</f>
        <v>9000429</v>
      </c>
      <c r="O386" s="16" t="s">
        <v>20</v>
      </c>
      <c r="P386" s="16" t="s">
        <v>857</v>
      </c>
      <c r="Q386" s="131">
        <f>1074468-375729.16</f>
        <v>698738.84000000008</v>
      </c>
      <c r="R386" s="18">
        <v>1</v>
      </c>
      <c r="S386" s="18">
        <f>Main_Presentation[[#This Row],[Invoice Amt (FCY)]]*Main_Presentation[[#This Row],[Rate]]</f>
        <v>698738.84000000008</v>
      </c>
      <c r="T386" s="15">
        <v>45684</v>
      </c>
      <c r="U386" s="26" t="str">
        <f>VLOOKUP(Main_Presentation[[#This Row],[LC Number]],Main_Issuance[],18,0)</f>
        <v>30 Days from Invoice Date</v>
      </c>
      <c r="V386" s="21" t="s">
        <v>304</v>
      </c>
      <c r="W386" s="22" t="s">
        <v>857</v>
      </c>
      <c r="X386" s="16"/>
      <c r="Y386" s="234" t="str">
        <f>TRIM(LEFT(Main_Presentation[[#This Row],[Payment Terms]],3))</f>
        <v>30</v>
      </c>
      <c r="Z386" s="16"/>
      <c r="AA386" s="316" cm="1">
        <f t="array" ref="AA386">Settlement(Main_Presentation[[#This Row],[Bank]],Main_Presentation[[#This Row],[ Invoice Amt (SAR)]],Main_Presentation[[#This Row],[Date Recd]],Main_Presentation[[#This Row],[Due Date]],Main_Presentation[[#This Row],[Days]])</f>
        <v>0</v>
      </c>
      <c r="AB386" s="16"/>
    </row>
    <row r="387" spans="1:28" ht="15.75" hidden="1" x14ac:dyDescent="0.25">
      <c r="A387" s="20" t="s">
        <v>531</v>
      </c>
      <c r="B387" s="15">
        <v>45706</v>
      </c>
      <c r="C387" s="26">
        <v>4</v>
      </c>
      <c r="D387" s="55" t="str">
        <f>VLOOKUP(Main_Presentation[[#This Row],[LC Number]],Main_Issuance[],3,0)</f>
        <v>Rabih Makhoul</v>
      </c>
      <c r="E387" s="16" t="s">
        <v>858</v>
      </c>
      <c r="F387" s="16" t="str">
        <f>VLOOKUP(Main_Presentation[[#This Row],[LC Number]],Main_Issuance[],5,0)</f>
        <v>BAB</v>
      </c>
      <c r="G387" s="16" t="str">
        <f>VLOOKUP(Main_Presentation[[#This Row],[LC Number]],Main_Issuance[],6,0)</f>
        <v>Oceanarium</v>
      </c>
      <c r="H387" s="16" t="str">
        <f>VLOOKUP(Main_Presentation[[#This Row],[LC Number]],Main_Issuance[],17,0)</f>
        <v>Credit</v>
      </c>
      <c r="I387" s="16" t="str">
        <f>VLOOKUP(Main_Presentation[[#This Row],[LC Number]],Main_Issuance[],7,0)</f>
        <v>Soliman Saleh Al Mohileb And Sons Holding Company (Closed Joint)</v>
      </c>
      <c r="J387" s="16" t="str">
        <f>VLOOKUP(Main_Presentation[[#This Row],[LC Number]],Main_Issuance[],8,0)</f>
        <v>MBL</v>
      </c>
      <c r="K387" s="16" t="str">
        <f>VLOOKUP(Main_Presentation[[#This Row],[LC Number]],Main_Issuance[],9,0)</f>
        <v>Neom - The Line</v>
      </c>
      <c r="L387" s="16">
        <f>VLOOKUP(Main_Presentation[[#This Row],[LC Number]],Main_Issuance[],10,0)</f>
        <v>1020098</v>
      </c>
      <c r="M387" s="16" t="str">
        <f>VLOOKUP(Main_Presentation[[#This Row],[LC Number]],Main_Issuance[],11,0)</f>
        <v>SAR</v>
      </c>
      <c r="N387" s="86">
        <f>VLOOKUP(Main_Presentation[[#This Row],[LC Number]],Main_Issuance[],12,0)</f>
        <v>9000429</v>
      </c>
      <c r="O387" s="16" t="s">
        <v>20</v>
      </c>
      <c r="P387" s="16" t="s">
        <v>857</v>
      </c>
      <c r="Q387" s="131">
        <v>3411670.5</v>
      </c>
      <c r="R387" s="18">
        <v>1</v>
      </c>
      <c r="S387" s="18">
        <f>Main_Presentation[[#This Row],[Invoice Amt (FCY)]]*Main_Presentation[[#This Row],[Rate]]</f>
        <v>3411670.5</v>
      </c>
      <c r="T387" s="15">
        <v>45714</v>
      </c>
      <c r="U387" s="26" t="str">
        <f>VLOOKUP(Main_Presentation[[#This Row],[LC Number]],Main_Issuance[],18,0)</f>
        <v>30 Days from Invoice Date</v>
      </c>
      <c r="V387" s="21" t="s">
        <v>304</v>
      </c>
      <c r="W387" s="22" t="s">
        <v>857</v>
      </c>
      <c r="X387" s="16" t="s">
        <v>903</v>
      </c>
      <c r="Y387" s="234" t="str">
        <f>TRIM(LEFT(Main_Presentation[[#This Row],[Payment Terms]],3))</f>
        <v>30</v>
      </c>
      <c r="Z387" s="16"/>
      <c r="AA387" s="316" cm="1">
        <f t="array" ref="AA387">Settlement(Main_Presentation[[#This Row],[Bank]],Main_Presentation[[#This Row],[ Invoice Amt (SAR)]],Main_Presentation[[#This Row],[Date Recd]],Main_Presentation[[#This Row],[Due Date]],Main_Presentation[[#This Row],[Days]])</f>
        <v>0</v>
      </c>
      <c r="AB387" s="16"/>
    </row>
    <row r="388" spans="1:28" ht="15.75" hidden="1" x14ac:dyDescent="0.25">
      <c r="A388" s="20" t="s">
        <v>531</v>
      </c>
      <c r="B388" s="15">
        <v>45706</v>
      </c>
      <c r="C388" s="26">
        <v>5</v>
      </c>
      <c r="D388" s="55" t="str">
        <f>VLOOKUP(Main_Presentation[[#This Row],[LC Number]],Main_Issuance[],3,0)</f>
        <v>Rabih Makhoul</v>
      </c>
      <c r="E388" s="16" t="s">
        <v>858</v>
      </c>
      <c r="F388" s="16" t="str">
        <f>VLOOKUP(Main_Presentation[[#This Row],[LC Number]],Main_Issuance[],5,0)</f>
        <v>BAB</v>
      </c>
      <c r="G388" s="16" t="str">
        <f>VLOOKUP(Main_Presentation[[#This Row],[LC Number]],Main_Issuance[],6,0)</f>
        <v>Oceanarium</v>
      </c>
      <c r="H388" s="16" t="str">
        <f>VLOOKUP(Main_Presentation[[#This Row],[LC Number]],Main_Issuance[],17,0)</f>
        <v>Credit</v>
      </c>
      <c r="I388" s="16" t="str">
        <f>VLOOKUP(Main_Presentation[[#This Row],[LC Number]],Main_Issuance[],7,0)</f>
        <v>Soliman Saleh Al Mohileb And Sons Holding Company (Closed Joint)</v>
      </c>
      <c r="J388" s="16" t="str">
        <f>VLOOKUP(Main_Presentation[[#This Row],[LC Number]],Main_Issuance[],8,0)</f>
        <v>MBL</v>
      </c>
      <c r="K388" s="16" t="str">
        <f>VLOOKUP(Main_Presentation[[#This Row],[LC Number]],Main_Issuance[],9,0)</f>
        <v>Neom - The Line</v>
      </c>
      <c r="L388" s="16">
        <f>VLOOKUP(Main_Presentation[[#This Row],[LC Number]],Main_Issuance[],10,0)</f>
        <v>1020098</v>
      </c>
      <c r="M388" s="16" t="str">
        <f>VLOOKUP(Main_Presentation[[#This Row],[LC Number]],Main_Issuance[],11,0)</f>
        <v>SAR</v>
      </c>
      <c r="N388" s="86">
        <f>VLOOKUP(Main_Presentation[[#This Row],[LC Number]],Main_Issuance[],12,0)</f>
        <v>9000429</v>
      </c>
      <c r="O388" s="16" t="s">
        <v>20</v>
      </c>
      <c r="P388" s="16" t="s">
        <v>857</v>
      </c>
      <c r="Q388" s="131">
        <v>1180038</v>
      </c>
      <c r="R388" s="18">
        <v>1</v>
      </c>
      <c r="S388" s="18">
        <f>Main_Presentation[[#This Row],[Invoice Amt (FCY)]]*Main_Presentation[[#This Row],[Rate]]</f>
        <v>1180038</v>
      </c>
      <c r="T388" s="15">
        <v>45714</v>
      </c>
      <c r="U388" s="26" t="str">
        <f>VLOOKUP(Main_Presentation[[#This Row],[LC Number]],Main_Issuance[],18,0)</f>
        <v>30 Days from Invoice Date</v>
      </c>
      <c r="V388" s="21" t="s">
        <v>304</v>
      </c>
      <c r="W388" s="22" t="s">
        <v>857</v>
      </c>
      <c r="X388" s="16" t="s">
        <v>903</v>
      </c>
      <c r="Y388" s="234" t="str">
        <f>TRIM(LEFT(Main_Presentation[[#This Row],[Payment Terms]],3))</f>
        <v>30</v>
      </c>
      <c r="Z388" s="16"/>
      <c r="AA388" s="316" cm="1">
        <f t="array" ref="AA388">Settlement(Main_Presentation[[#This Row],[Bank]],Main_Presentation[[#This Row],[ Invoice Amt (SAR)]],Main_Presentation[[#This Row],[Date Recd]],Main_Presentation[[#This Row],[Due Date]],Main_Presentation[[#This Row],[Days]])</f>
        <v>0</v>
      </c>
      <c r="AB388" s="16"/>
    </row>
    <row r="389" spans="1:28" ht="15.75" hidden="1" x14ac:dyDescent="0.25">
      <c r="A389" s="20" t="s">
        <v>531</v>
      </c>
      <c r="B389" s="15">
        <v>45718</v>
      </c>
      <c r="C389" s="26">
        <v>6</v>
      </c>
      <c r="D389" s="55" t="str">
        <f>VLOOKUP(Main_Presentation[[#This Row],[LC Number]],Main_Issuance[],3,0)</f>
        <v>Rabih Makhoul</v>
      </c>
      <c r="E389" s="16" t="s">
        <v>858</v>
      </c>
      <c r="F389" s="16" t="str">
        <f>VLOOKUP(Main_Presentation[[#This Row],[LC Number]],Main_Issuance[],5,0)</f>
        <v>BAB</v>
      </c>
      <c r="G389" s="16" t="str">
        <f>VLOOKUP(Main_Presentation[[#This Row],[LC Number]],Main_Issuance[],6,0)</f>
        <v>Oceanarium</v>
      </c>
      <c r="H389" s="16" t="str">
        <f>VLOOKUP(Main_Presentation[[#This Row],[LC Number]],Main_Issuance[],17,0)</f>
        <v>Credit</v>
      </c>
      <c r="I389" s="16" t="str">
        <f>VLOOKUP(Main_Presentation[[#This Row],[LC Number]],Main_Issuance[],7,0)</f>
        <v>Soliman Saleh Al Mohileb And Sons Holding Company (Closed Joint)</v>
      </c>
      <c r="J389" s="16" t="str">
        <f>VLOOKUP(Main_Presentation[[#This Row],[LC Number]],Main_Issuance[],8,0)</f>
        <v>MBL</v>
      </c>
      <c r="K389" s="16" t="str">
        <f>VLOOKUP(Main_Presentation[[#This Row],[LC Number]],Main_Issuance[],9,0)</f>
        <v>Neom - The Line</v>
      </c>
      <c r="L389" s="16">
        <f>VLOOKUP(Main_Presentation[[#This Row],[LC Number]],Main_Issuance[],10,0)</f>
        <v>1020098</v>
      </c>
      <c r="M389" s="16" t="str">
        <f>VLOOKUP(Main_Presentation[[#This Row],[LC Number]],Main_Issuance[],11,0)</f>
        <v>SAR</v>
      </c>
      <c r="N389" s="86">
        <f>VLOOKUP(Main_Presentation[[#This Row],[LC Number]],Main_Issuance[],12,0)</f>
        <v>9000429</v>
      </c>
      <c r="O389" s="16" t="s">
        <v>20</v>
      </c>
      <c r="P389" s="16" t="s">
        <v>857</v>
      </c>
      <c r="Q389" s="131">
        <v>1479739.5</v>
      </c>
      <c r="R389" s="18">
        <v>1</v>
      </c>
      <c r="S389" s="18">
        <f>Main_Presentation[[#This Row],[Invoice Amt (FCY)]]*Main_Presentation[[#This Row],[Rate]]</f>
        <v>1479739.5</v>
      </c>
      <c r="T389" s="15">
        <v>45733</v>
      </c>
      <c r="U389" s="26" t="str">
        <f>VLOOKUP(Main_Presentation[[#This Row],[LC Number]],Main_Issuance[],18,0)</f>
        <v>30 Days from Invoice Date</v>
      </c>
      <c r="V389" s="21" t="s">
        <v>899</v>
      </c>
      <c r="W389" s="22" t="s">
        <v>378</v>
      </c>
      <c r="X389" s="16"/>
      <c r="Y389" s="234" t="str">
        <f>TRIM(LEFT(Main_Presentation[[#This Row],[Payment Terms]],3))</f>
        <v>30</v>
      </c>
      <c r="Z389" s="16"/>
      <c r="AA389" s="316" cm="1">
        <f t="array" ref="AA389">Settlement(Main_Presentation[[#This Row],[Bank]],Main_Presentation[[#This Row],[ Invoice Amt (SAR)]],Main_Presentation[[#This Row],[Date Recd]],Main_Presentation[[#This Row],[Due Date]],Main_Presentation[[#This Row],[Days]])</f>
        <v>0</v>
      </c>
      <c r="AB389" s="16"/>
    </row>
    <row r="390" spans="1:28" ht="15.75" hidden="1" x14ac:dyDescent="0.25">
      <c r="A390" s="129" t="s">
        <v>503</v>
      </c>
      <c r="B390" s="137">
        <v>45725</v>
      </c>
      <c r="C390" s="138">
        <v>1</v>
      </c>
      <c r="D390" s="139" t="str">
        <f>VLOOKUP(Main_Presentation[[#This Row],[LC Number]],Main_Issuance[],3,0)</f>
        <v>Rabih Makhoul</v>
      </c>
      <c r="E390" s="140" t="s">
        <v>858</v>
      </c>
      <c r="F390" s="140" t="str">
        <f>VLOOKUP(Main_Presentation[[#This Row],[LC Number]],Main_Issuance[],5,0)</f>
        <v>BAB</v>
      </c>
      <c r="G390" s="140" t="str">
        <f>VLOOKUP(Main_Presentation[[#This Row],[LC Number]],Main_Issuance[],6,0)</f>
        <v>Multipurpose</v>
      </c>
      <c r="H390" s="140" t="str">
        <f>VLOOKUP(Main_Presentation[[#This Row],[LC Number]],Main_Issuance[],17,0)</f>
        <v>Credit</v>
      </c>
      <c r="I390" s="140" t="str">
        <f>VLOOKUP(Main_Presentation[[#This Row],[LC Number]],Main_Issuance[],7,0)</f>
        <v>Al Faisal Steel Products Co.</v>
      </c>
      <c r="J390" s="140" t="str">
        <f>VLOOKUP(Main_Presentation[[#This Row],[LC Number]],Main_Issuance[],8,0)</f>
        <v>MBL</v>
      </c>
      <c r="K390" s="140" t="str">
        <f>VLOOKUP(Main_Presentation[[#This Row],[LC Number]],Main_Issuance[],9,0)</f>
        <v>Neom - The Line</v>
      </c>
      <c r="L390" s="140">
        <f>VLOOKUP(Main_Presentation[[#This Row],[LC Number]],Main_Issuance[],10,0)</f>
        <v>1020098</v>
      </c>
      <c r="M390" s="140" t="str">
        <f>VLOOKUP(Main_Presentation[[#This Row],[LC Number]],Main_Issuance[],11,0)</f>
        <v>SAR</v>
      </c>
      <c r="N390" s="141">
        <f>VLOOKUP(Main_Presentation[[#This Row],[LC Number]],Main_Issuance[],12,0)</f>
        <v>2868897.74</v>
      </c>
      <c r="O390" s="140" t="s">
        <v>910</v>
      </c>
      <c r="P390" s="140" t="s">
        <v>378</v>
      </c>
      <c r="Q390" s="131">
        <v>2868883.6</v>
      </c>
      <c r="R390" s="131">
        <v>1</v>
      </c>
      <c r="S390" s="131">
        <f>Main_Presentation[[#This Row],[Invoice Amt (FCY)]]*Main_Presentation[[#This Row],[Rate]]</f>
        <v>2868883.6</v>
      </c>
      <c r="T390" s="137">
        <v>45771</v>
      </c>
      <c r="U390" s="138" t="str">
        <f>VLOOKUP(Main_Presentation[[#This Row],[LC Number]],Main_Issuance[],18,0)</f>
        <v>45 Days from Invoice Date</v>
      </c>
      <c r="V390" s="143"/>
      <c r="W390" s="145" t="s">
        <v>378</v>
      </c>
      <c r="X390" s="140" t="s">
        <v>1335</v>
      </c>
      <c r="Y390" s="400" t="str">
        <f>TRIM(LEFT(Main_Presentation[[#This Row],[Payment Terms]],3))</f>
        <v>45</v>
      </c>
      <c r="Z390" s="140"/>
      <c r="AA390" s="316" cm="1">
        <f t="array" ref="AA390">Settlement(Main_Presentation[[#This Row],[Bank]],Main_Presentation[[#This Row],[ Invoice Amt (SAR)]],Main_Presentation[[#This Row],[Date Recd]],Main_Presentation[[#This Row],[Due Date]],Main_Presentation[[#This Row],[Days]])</f>
        <v>0</v>
      </c>
      <c r="AB390" s="140"/>
    </row>
    <row r="391" spans="1:28" ht="15.75" hidden="1" x14ac:dyDescent="0.25">
      <c r="A391" s="129" t="s">
        <v>579</v>
      </c>
      <c r="B391" s="137">
        <v>45726</v>
      </c>
      <c r="C391" s="138">
        <v>1</v>
      </c>
      <c r="D391" s="139" t="str">
        <f>VLOOKUP(Main_Presentation[[#This Row],[LC Number]],Main_Issuance[],3,0)</f>
        <v>Rabih Makhoul</v>
      </c>
      <c r="E391" s="140" t="s">
        <v>858</v>
      </c>
      <c r="F391" s="140" t="str">
        <f>VLOOKUP(Main_Presentation[[#This Row],[LC Number]],Main_Issuance[],5,0)</f>
        <v>BAB</v>
      </c>
      <c r="G391" s="140" t="str">
        <f>VLOOKUP(Main_Presentation[[#This Row],[LC Number]],Main_Issuance[],6,0)</f>
        <v>Oceanarium</v>
      </c>
      <c r="H391" s="140" t="str">
        <f>VLOOKUP(Main_Presentation[[#This Row],[LC Number]],Main_Issuance[],17,0)</f>
        <v>Credit</v>
      </c>
      <c r="I391" s="140" t="str">
        <f>VLOOKUP(Main_Presentation[[#This Row],[LC Number]],Main_Issuance[],7,0)</f>
        <v>Al Faisal Steel Products Co.</v>
      </c>
      <c r="J391" s="140" t="str">
        <f>VLOOKUP(Main_Presentation[[#This Row],[LC Number]],Main_Issuance[],8,0)</f>
        <v>MBL</v>
      </c>
      <c r="K391" s="140" t="str">
        <f>VLOOKUP(Main_Presentation[[#This Row],[LC Number]],Main_Issuance[],9,0)</f>
        <v>Neom - The Line</v>
      </c>
      <c r="L391" s="140">
        <f>VLOOKUP(Main_Presentation[[#This Row],[LC Number]],Main_Issuance[],10,0)</f>
        <v>1020098</v>
      </c>
      <c r="M391" s="140" t="str">
        <f>VLOOKUP(Main_Presentation[[#This Row],[LC Number]],Main_Issuance[],11,0)</f>
        <v>SAR</v>
      </c>
      <c r="N391" s="141">
        <f>VLOOKUP(Main_Presentation[[#This Row],[LC Number]],Main_Issuance[],12,0)</f>
        <v>2974166.33</v>
      </c>
      <c r="O391" s="140" t="s">
        <v>910</v>
      </c>
      <c r="P391" s="140" t="s">
        <v>378</v>
      </c>
      <c r="Q391" s="131">
        <v>1436354.79</v>
      </c>
      <c r="R391" s="131">
        <v>1</v>
      </c>
      <c r="S391" s="131">
        <f>Main_Presentation[[#This Row],[Invoice Amt (FCY)]]*Main_Presentation[[#This Row],[Rate]]</f>
        <v>1436354.79</v>
      </c>
      <c r="T391" s="137">
        <v>45771</v>
      </c>
      <c r="U391" s="138" t="str">
        <f>VLOOKUP(Main_Presentation[[#This Row],[LC Number]],Main_Issuance[],18,0)</f>
        <v>45 Days from Invoice Date</v>
      </c>
      <c r="V391" s="143"/>
      <c r="W391" s="145" t="s">
        <v>378</v>
      </c>
      <c r="X391" s="140" t="s">
        <v>1335</v>
      </c>
      <c r="Y391" s="400" t="str">
        <f>TRIM(LEFT(Main_Presentation[[#This Row],[Payment Terms]],3))</f>
        <v>45</v>
      </c>
      <c r="Z391" s="140"/>
      <c r="AA391" s="316" cm="1">
        <f t="array" ref="AA391">Settlement(Main_Presentation[[#This Row],[Bank]],Main_Presentation[[#This Row],[ Invoice Amt (SAR)]],Main_Presentation[[#This Row],[Date Recd]],Main_Presentation[[#This Row],[Due Date]],Main_Presentation[[#This Row],[Days]])</f>
        <v>0</v>
      </c>
      <c r="AB391" s="140"/>
    </row>
    <row r="392" spans="1:28" ht="15.75" hidden="1" x14ac:dyDescent="0.25">
      <c r="A392" s="20" t="s">
        <v>555</v>
      </c>
      <c r="B392" s="15">
        <v>45727</v>
      </c>
      <c r="C392" s="26">
        <v>7</v>
      </c>
      <c r="D392" s="55" t="str">
        <f>VLOOKUP(Main_Presentation[[#This Row],[LC Number]],Main_Issuance[],3,0)</f>
        <v>Rabih Makhoul</v>
      </c>
      <c r="E392" s="16" t="s">
        <v>858</v>
      </c>
      <c r="F392" s="16" t="str">
        <f>VLOOKUP(Main_Presentation[[#This Row],[LC Number]],Main_Issuance[],5,0)</f>
        <v>BAB</v>
      </c>
      <c r="G392" s="16" t="str">
        <f>VLOOKUP(Main_Presentation[[#This Row],[LC Number]],Main_Issuance[],6,0)</f>
        <v>Oceanarium</v>
      </c>
      <c r="H392" s="16" t="str">
        <f>VLOOKUP(Main_Presentation[[#This Row],[LC Number]],Main_Issuance[],17,0)</f>
        <v>Credit</v>
      </c>
      <c r="I392" s="16" t="str">
        <f>VLOOKUP(Main_Presentation[[#This Row],[LC Number]],Main_Issuance[],7,0)</f>
        <v>Abdulah Abdin Albukhari Factory For Industry.</v>
      </c>
      <c r="J392" s="16" t="str">
        <f>VLOOKUP(Main_Presentation[[#This Row],[LC Number]],Main_Issuance[],8,0)</f>
        <v>MBL</v>
      </c>
      <c r="K392" s="16" t="str">
        <f>VLOOKUP(Main_Presentation[[#This Row],[LC Number]],Main_Issuance[],9,0)</f>
        <v>Neom - The Line</v>
      </c>
      <c r="L392" s="16">
        <f>VLOOKUP(Main_Presentation[[#This Row],[LC Number]],Main_Issuance[],10,0)</f>
        <v>1020098</v>
      </c>
      <c r="M392" s="16" t="str">
        <f>VLOOKUP(Main_Presentation[[#This Row],[LC Number]],Main_Issuance[],11,0)</f>
        <v>SAR</v>
      </c>
      <c r="N392" s="86">
        <f>VLOOKUP(Main_Presentation[[#This Row],[LC Number]],Main_Issuance[],12,0)</f>
        <v>50000000</v>
      </c>
      <c r="O392" s="16" t="s">
        <v>910</v>
      </c>
      <c r="P392" s="16" t="s">
        <v>378</v>
      </c>
      <c r="Q392" s="131">
        <v>6382500</v>
      </c>
      <c r="R392" s="18">
        <v>1</v>
      </c>
      <c r="S392" s="131">
        <f>Main_Presentation[[#This Row],[Invoice Amt (FCY)]]*Main_Presentation[[#This Row],[Rate]]</f>
        <v>6382500</v>
      </c>
      <c r="T392" s="15">
        <v>45771</v>
      </c>
      <c r="U392" s="26" t="str">
        <f>VLOOKUP(Main_Presentation[[#This Row],[LC Number]],Main_Issuance[],18,0)</f>
        <v>45 Days from Invoice Date</v>
      </c>
      <c r="V392" s="21"/>
      <c r="W392" s="22" t="s">
        <v>378</v>
      </c>
      <c r="X392" s="16" t="s">
        <v>1335</v>
      </c>
      <c r="Y392" s="234" t="str">
        <f>TRIM(LEFT(Main_Presentation[[#This Row],[Payment Terms]],3))</f>
        <v>45</v>
      </c>
      <c r="Z392" s="16"/>
      <c r="AA392" s="316" cm="1">
        <f t="array" ref="AA392">Settlement(Main_Presentation[[#This Row],[Bank]],Main_Presentation[[#This Row],[ Invoice Amt (SAR)]],Main_Presentation[[#This Row],[Date Recd]],Main_Presentation[[#This Row],[Due Date]],Main_Presentation[[#This Row],[Days]])</f>
        <v>0</v>
      </c>
      <c r="AB392" s="16"/>
    </row>
    <row r="393" spans="1:28" ht="15.75" hidden="1" x14ac:dyDescent="0.25">
      <c r="A393" s="20" t="s">
        <v>555</v>
      </c>
      <c r="B393" s="15">
        <v>45727</v>
      </c>
      <c r="C393" s="26">
        <v>8</v>
      </c>
      <c r="D393" s="55" t="str">
        <f>VLOOKUP(Main_Presentation[[#This Row],[LC Number]],Main_Issuance[],3,0)</f>
        <v>Rabih Makhoul</v>
      </c>
      <c r="E393" s="16" t="s">
        <v>858</v>
      </c>
      <c r="F393" s="16" t="str">
        <f>VLOOKUP(Main_Presentation[[#This Row],[LC Number]],Main_Issuance[],5,0)</f>
        <v>BAB</v>
      </c>
      <c r="G393" s="16" t="str">
        <f>VLOOKUP(Main_Presentation[[#This Row],[LC Number]],Main_Issuance[],6,0)</f>
        <v>Oceanarium</v>
      </c>
      <c r="H393" s="16" t="str">
        <f>VLOOKUP(Main_Presentation[[#This Row],[LC Number]],Main_Issuance[],17,0)</f>
        <v>Credit</v>
      </c>
      <c r="I393" s="16" t="str">
        <f>VLOOKUP(Main_Presentation[[#This Row],[LC Number]],Main_Issuance[],7,0)</f>
        <v>Abdulah Abdin Albukhari Factory For Industry.</v>
      </c>
      <c r="J393" s="16" t="str">
        <f>VLOOKUP(Main_Presentation[[#This Row],[LC Number]],Main_Issuance[],8,0)</f>
        <v>MBL</v>
      </c>
      <c r="K393" s="16" t="str">
        <f>VLOOKUP(Main_Presentation[[#This Row],[LC Number]],Main_Issuance[],9,0)</f>
        <v>Neom - The Line</v>
      </c>
      <c r="L393" s="16">
        <f>VLOOKUP(Main_Presentation[[#This Row],[LC Number]],Main_Issuance[],10,0)</f>
        <v>1020098</v>
      </c>
      <c r="M393" s="16" t="str">
        <f>VLOOKUP(Main_Presentation[[#This Row],[LC Number]],Main_Issuance[],11,0)</f>
        <v>SAR</v>
      </c>
      <c r="N393" s="86">
        <f>VLOOKUP(Main_Presentation[[#This Row],[LC Number]],Main_Issuance[],12,0)</f>
        <v>50000000</v>
      </c>
      <c r="O393" s="16" t="s">
        <v>910</v>
      </c>
      <c r="P393" s="16" t="s">
        <v>378</v>
      </c>
      <c r="Q393" s="131">
        <v>6389400</v>
      </c>
      <c r="R393" s="18">
        <v>1</v>
      </c>
      <c r="S393" s="131">
        <f>Main_Presentation[[#This Row],[Invoice Amt (FCY)]]*Main_Presentation[[#This Row],[Rate]]</f>
        <v>6389400</v>
      </c>
      <c r="T393" s="15">
        <v>45771</v>
      </c>
      <c r="U393" s="26" t="str">
        <f>VLOOKUP(Main_Presentation[[#This Row],[LC Number]],Main_Issuance[],18,0)</f>
        <v>45 Days from Invoice Date</v>
      </c>
      <c r="V393" s="21"/>
      <c r="W393" s="22" t="s">
        <v>378</v>
      </c>
      <c r="X393" s="16" t="s">
        <v>1335</v>
      </c>
      <c r="Y393" s="234" t="str">
        <f>TRIM(LEFT(Main_Presentation[[#This Row],[Payment Terms]],3))</f>
        <v>45</v>
      </c>
      <c r="Z393" s="16"/>
      <c r="AA393" s="316" cm="1">
        <f t="array" ref="AA393">Settlement(Main_Presentation[[#This Row],[Bank]],Main_Presentation[[#This Row],[ Invoice Amt (SAR)]],Main_Presentation[[#This Row],[Date Recd]],Main_Presentation[[#This Row],[Due Date]],Main_Presentation[[#This Row],[Days]])</f>
        <v>0</v>
      </c>
      <c r="AB393" s="16"/>
    </row>
    <row r="394" spans="1:28" ht="15.75" hidden="1" x14ac:dyDescent="0.25">
      <c r="A394" s="20" t="s">
        <v>555</v>
      </c>
      <c r="B394" s="15">
        <v>45727</v>
      </c>
      <c r="C394" s="26">
        <v>9</v>
      </c>
      <c r="D394" s="55" t="str">
        <f>VLOOKUP(Main_Presentation[[#This Row],[LC Number]],Main_Issuance[],3,0)</f>
        <v>Rabih Makhoul</v>
      </c>
      <c r="E394" s="16" t="s">
        <v>858</v>
      </c>
      <c r="F394" s="16" t="str">
        <f>VLOOKUP(Main_Presentation[[#This Row],[LC Number]],Main_Issuance[],5,0)</f>
        <v>BAB</v>
      </c>
      <c r="G394" s="16" t="str">
        <f>VLOOKUP(Main_Presentation[[#This Row],[LC Number]],Main_Issuance[],6,0)</f>
        <v>Oceanarium</v>
      </c>
      <c r="H394" s="16" t="str">
        <f>VLOOKUP(Main_Presentation[[#This Row],[LC Number]],Main_Issuance[],17,0)</f>
        <v>Credit</v>
      </c>
      <c r="I394" s="16" t="str">
        <f>VLOOKUP(Main_Presentation[[#This Row],[LC Number]],Main_Issuance[],7,0)</f>
        <v>Abdulah Abdin Albukhari Factory For Industry.</v>
      </c>
      <c r="J394" s="16" t="str">
        <f>VLOOKUP(Main_Presentation[[#This Row],[LC Number]],Main_Issuance[],8,0)</f>
        <v>MBL</v>
      </c>
      <c r="K394" s="16" t="str">
        <f>VLOOKUP(Main_Presentation[[#This Row],[LC Number]],Main_Issuance[],9,0)</f>
        <v>Neom - The Line</v>
      </c>
      <c r="L394" s="16">
        <f>VLOOKUP(Main_Presentation[[#This Row],[LC Number]],Main_Issuance[],10,0)</f>
        <v>1020098</v>
      </c>
      <c r="M394" s="16" t="str">
        <f>VLOOKUP(Main_Presentation[[#This Row],[LC Number]],Main_Issuance[],11,0)</f>
        <v>SAR</v>
      </c>
      <c r="N394" s="86">
        <f>VLOOKUP(Main_Presentation[[#This Row],[LC Number]],Main_Issuance[],12,0)</f>
        <v>50000000</v>
      </c>
      <c r="O394" s="16" t="s">
        <v>910</v>
      </c>
      <c r="P394" s="16" t="s">
        <v>378</v>
      </c>
      <c r="Q394" s="131">
        <v>6642630</v>
      </c>
      <c r="R394" s="18">
        <v>1</v>
      </c>
      <c r="S394" s="131">
        <f>Main_Presentation[[#This Row],[Invoice Amt (FCY)]]*Main_Presentation[[#This Row],[Rate]]</f>
        <v>6642630</v>
      </c>
      <c r="T394" s="15">
        <v>45771</v>
      </c>
      <c r="U394" s="26" t="str">
        <f>VLOOKUP(Main_Presentation[[#This Row],[LC Number]],Main_Issuance[],18,0)</f>
        <v>45 Days from Invoice Date</v>
      </c>
      <c r="V394" s="21"/>
      <c r="W394" s="22" t="s">
        <v>378</v>
      </c>
      <c r="X394" s="16" t="s">
        <v>1335</v>
      </c>
      <c r="Y394" s="234" t="str">
        <f>TRIM(LEFT(Main_Presentation[[#This Row],[Payment Terms]],3))</f>
        <v>45</v>
      </c>
      <c r="Z394" s="16"/>
      <c r="AA394" s="316" cm="1">
        <f t="array" ref="AA394">Settlement(Main_Presentation[[#This Row],[Bank]],Main_Presentation[[#This Row],[ Invoice Amt (SAR)]],Main_Presentation[[#This Row],[Date Recd]],Main_Presentation[[#This Row],[Due Date]],Main_Presentation[[#This Row],[Days]])</f>
        <v>0</v>
      </c>
      <c r="AB394" s="16"/>
    </row>
    <row r="395" spans="1:28" ht="15.75" hidden="1" x14ac:dyDescent="0.25">
      <c r="A395" s="20" t="s">
        <v>464</v>
      </c>
      <c r="B395" s="15">
        <v>45728</v>
      </c>
      <c r="C395" s="26">
        <v>3</v>
      </c>
      <c r="D395" s="55" t="str">
        <f>VLOOKUP(Main_Presentation[[#This Row],[LC Number]],Main_Issuance[],3,0)</f>
        <v>Rabih Makhoul</v>
      </c>
      <c r="E395" s="16" t="s">
        <v>858</v>
      </c>
      <c r="F395" s="17" t="str">
        <f>VLOOKUP(Main_Presentation[[#This Row],[LC Number]],Main_Issuance[],5,0)</f>
        <v>BAB</v>
      </c>
      <c r="G395" s="17" t="str">
        <f>VLOOKUP(Main_Presentation[[#This Row],[LC Number]],Main_Issuance[],6,0)</f>
        <v>Multipurpose</v>
      </c>
      <c r="H395" s="17" t="str">
        <f>VLOOKUP(Main_Presentation[[#This Row],[LC Number]],Main_Issuance[],17,0)</f>
        <v>Credit</v>
      </c>
      <c r="I395" s="17" t="str">
        <f>VLOOKUP(Main_Presentation[[#This Row],[LC Number]],Main_Issuance[],7,0)</f>
        <v>Abdulah Abdin Albukhari Factory For Industry.</v>
      </c>
      <c r="J395" s="17" t="str">
        <f>VLOOKUP(Main_Presentation[[#This Row],[LC Number]],Main_Issuance[],8,0)</f>
        <v>MBL</v>
      </c>
      <c r="K395" s="17" t="str">
        <f>VLOOKUP(Main_Presentation[[#This Row],[LC Number]],Main_Issuance[],9,0)</f>
        <v>Neom - The Line</v>
      </c>
      <c r="L395" s="17">
        <f>VLOOKUP(Main_Presentation[[#This Row],[LC Number]],Main_Issuance[],10,0)</f>
        <v>1020098</v>
      </c>
      <c r="M395" s="17" t="str">
        <f>VLOOKUP(Main_Presentation[[#This Row],[LC Number]],Main_Issuance[],11,0)</f>
        <v>SAR</v>
      </c>
      <c r="N395" s="84">
        <f>VLOOKUP(Main_Presentation[[#This Row],[LC Number]],Main_Issuance[],12,0)</f>
        <v>10000000</v>
      </c>
      <c r="O395" s="16" t="s">
        <v>910</v>
      </c>
      <c r="P395" s="16" t="s">
        <v>378</v>
      </c>
      <c r="Q395" s="131">
        <v>2210760</v>
      </c>
      <c r="R395" s="18">
        <v>1</v>
      </c>
      <c r="S395" s="131">
        <f>Main_Presentation[[#This Row],[Invoice Amt (FCY)]]*Main_Presentation[[#This Row],[Rate]]</f>
        <v>2210760</v>
      </c>
      <c r="T395" s="15">
        <v>45771</v>
      </c>
      <c r="U395" s="26" t="str">
        <f>VLOOKUP(Main_Presentation[[#This Row],[LC Number]],Main_Issuance[],18,0)</f>
        <v>45 Days from Invoice Date</v>
      </c>
      <c r="V395" s="21"/>
      <c r="W395" s="22" t="s">
        <v>378</v>
      </c>
      <c r="X395" s="16" t="s">
        <v>1335</v>
      </c>
      <c r="Y395" s="234" t="str">
        <f>TRIM(LEFT(Main_Presentation[[#This Row],[Payment Terms]],3))</f>
        <v>45</v>
      </c>
      <c r="Z395" s="16"/>
      <c r="AA395" s="316" cm="1">
        <f t="array" ref="AA395">Settlement(Main_Presentation[[#This Row],[Bank]],Main_Presentation[[#This Row],[ Invoice Amt (SAR)]],Main_Presentation[[#This Row],[Date Recd]],Main_Presentation[[#This Row],[Due Date]],Main_Presentation[[#This Row],[Days]])</f>
        <v>0</v>
      </c>
      <c r="AB395" s="16"/>
    </row>
    <row r="396" spans="1:28" ht="15.75" hidden="1" x14ac:dyDescent="0.25">
      <c r="A396" s="20" t="s">
        <v>706</v>
      </c>
      <c r="B396" s="15">
        <v>45729</v>
      </c>
      <c r="C396" s="26">
        <v>1</v>
      </c>
      <c r="D396" s="55" t="str">
        <f>VLOOKUP(Main_Presentation[[#This Row],[LC Number]],Main_Issuance[],3,0)</f>
        <v>Rabih Makhoul</v>
      </c>
      <c r="E396" s="16" t="s">
        <v>858</v>
      </c>
      <c r="F396" s="16" t="str">
        <f>VLOOKUP(Main_Presentation[[#This Row],[LC Number]],Main_Issuance[],5,0)</f>
        <v>BAB</v>
      </c>
      <c r="G396" s="16" t="str">
        <f>VLOOKUP(Main_Presentation[[#This Row],[LC Number]],Main_Issuance[],6,0)</f>
        <v>Oceanarium</v>
      </c>
      <c r="H396" s="16" t="str">
        <f>VLOOKUP(Main_Presentation[[#This Row],[LC Number]],Main_Issuance[],17,0)</f>
        <v>Credit</v>
      </c>
      <c r="I396" s="16" t="str">
        <f>VLOOKUP(Main_Presentation[[#This Row],[LC Number]],Main_Issuance[],7,0)</f>
        <v>TAMEER STEEL FACTORY CO LTD</v>
      </c>
      <c r="J396" s="16" t="str">
        <f>VLOOKUP(Main_Presentation[[#This Row],[LC Number]],Main_Issuance[],8,0)</f>
        <v>MBL</v>
      </c>
      <c r="K396" s="16" t="str">
        <f>VLOOKUP(Main_Presentation[[#This Row],[LC Number]],Main_Issuance[],9,0)</f>
        <v>Neom - The Line</v>
      </c>
      <c r="L396" s="16">
        <f>VLOOKUP(Main_Presentation[[#This Row],[LC Number]],Main_Issuance[],10,0)</f>
        <v>1020098</v>
      </c>
      <c r="M396" s="16" t="str">
        <f>VLOOKUP(Main_Presentation[[#This Row],[LC Number]],Main_Issuance[],11,0)</f>
        <v>SAR</v>
      </c>
      <c r="N396" s="86">
        <f>VLOOKUP(Main_Presentation[[#This Row],[LC Number]],Main_Issuance[],12,0)</f>
        <v>11821448</v>
      </c>
      <c r="O396" s="16" t="s">
        <v>910</v>
      </c>
      <c r="P396" s="16" t="s">
        <v>378</v>
      </c>
      <c r="Q396" s="131">
        <v>5982300</v>
      </c>
      <c r="R396" s="18">
        <v>1</v>
      </c>
      <c r="S396" s="131">
        <f>Main_Presentation[[#This Row],[Invoice Amt (FCY)]]*Main_Presentation[[#This Row],[Rate]]</f>
        <v>5982300</v>
      </c>
      <c r="T396" s="15">
        <v>45771</v>
      </c>
      <c r="U396" s="26" t="str">
        <f>VLOOKUP(Main_Presentation[[#This Row],[LC Number]],Main_Issuance[],18,0)</f>
        <v>45 Days from Invoice Date</v>
      </c>
      <c r="V396" s="21"/>
      <c r="W396" s="22" t="s">
        <v>378</v>
      </c>
      <c r="X396" s="16" t="s">
        <v>1335</v>
      </c>
      <c r="Y396" s="234" t="str">
        <f>TRIM(LEFT(Main_Presentation[[#This Row],[Payment Terms]],3))</f>
        <v>45</v>
      </c>
      <c r="Z396" s="16"/>
      <c r="AA396" s="316" cm="1">
        <f t="array" ref="AA396">Settlement(Main_Presentation[[#This Row],[Bank]],Main_Presentation[[#This Row],[ Invoice Amt (SAR)]],Main_Presentation[[#This Row],[Date Recd]],Main_Presentation[[#This Row],[Due Date]],Main_Presentation[[#This Row],[Days]])</f>
        <v>0</v>
      </c>
      <c r="AB396" s="16"/>
    </row>
    <row r="397" spans="1:28" ht="15.75" hidden="1" x14ac:dyDescent="0.25">
      <c r="A397" s="20" t="s">
        <v>706</v>
      </c>
      <c r="B397" s="15">
        <v>45742</v>
      </c>
      <c r="C397" s="26">
        <v>2</v>
      </c>
      <c r="D397" s="55" t="str">
        <f>VLOOKUP(Main_Presentation[[#This Row],[LC Number]],Main_Issuance[],3,0)</f>
        <v>Rabih Makhoul</v>
      </c>
      <c r="E397" s="16" t="s">
        <v>858</v>
      </c>
      <c r="F397" s="16" t="str">
        <f>VLOOKUP(Main_Presentation[[#This Row],[LC Number]],Main_Issuance[],5,0)</f>
        <v>BAB</v>
      </c>
      <c r="G397" s="16" t="str">
        <f>VLOOKUP(Main_Presentation[[#This Row],[LC Number]],Main_Issuance[],6,0)</f>
        <v>Oceanarium</v>
      </c>
      <c r="H397" s="16" t="str">
        <f>VLOOKUP(Main_Presentation[[#This Row],[LC Number]],Main_Issuance[],17,0)</f>
        <v>Credit</v>
      </c>
      <c r="I397" s="16" t="str">
        <f>VLOOKUP(Main_Presentation[[#This Row],[LC Number]],Main_Issuance[],7,0)</f>
        <v>TAMEER STEEL FACTORY CO LTD</v>
      </c>
      <c r="J397" s="16" t="str">
        <f>VLOOKUP(Main_Presentation[[#This Row],[LC Number]],Main_Issuance[],8,0)</f>
        <v>MBL</v>
      </c>
      <c r="K397" s="16" t="str">
        <f>VLOOKUP(Main_Presentation[[#This Row],[LC Number]],Main_Issuance[],9,0)</f>
        <v>Neom - The Line</v>
      </c>
      <c r="L397" s="16">
        <f>VLOOKUP(Main_Presentation[[#This Row],[LC Number]],Main_Issuance[],10,0)</f>
        <v>1020098</v>
      </c>
      <c r="M397" s="16" t="str">
        <f>VLOOKUP(Main_Presentation[[#This Row],[LC Number]],Main_Issuance[],11,0)</f>
        <v>SAR</v>
      </c>
      <c r="N397" s="86">
        <f>VLOOKUP(Main_Presentation[[#This Row],[LC Number]],Main_Issuance[],12,0)</f>
        <v>11821448</v>
      </c>
      <c r="O397" s="16" t="s">
        <v>20</v>
      </c>
      <c r="P397" s="16" t="s">
        <v>857</v>
      </c>
      <c r="Q397" s="131">
        <v>3784535</v>
      </c>
      <c r="R397" s="18">
        <v>1</v>
      </c>
      <c r="S397" s="18">
        <f>Main_Presentation[[#This Row],[Invoice Amt (FCY)]]*Main_Presentation[[#This Row],[Rate]]</f>
        <v>3784535</v>
      </c>
      <c r="T397" s="15">
        <v>45763</v>
      </c>
      <c r="U397" s="26" t="str">
        <f>VLOOKUP(Main_Presentation[[#This Row],[LC Number]],Main_Issuance[],18,0)</f>
        <v>45 Days from Invoice Date</v>
      </c>
      <c r="V397" s="21" t="s">
        <v>483</v>
      </c>
      <c r="W397" s="22" t="s">
        <v>378</v>
      </c>
      <c r="X397" s="16"/>
      <c r="Y397" s="234" t="str">
        <f>TRIM(LEFT(Main_Presentation[[#This Row],[Payment Terms]],3))</f>
        <v>45</v>
      </c>
      <c r="Z397" s="16"/>
      <c r="AA397" s="316" cm="1">
        <f t="array" ref="AA397">Settlement(Main_Presentation[[#This Row],[Bank]],Main_Presentation[[#This Row],[ Invoice Amt (SAR)]],Main_Presentation[[#This Row],[Date Recd]],Main_Presentation[[#This Row],[Due Date]],Main_Presentation[[#This Row],[Days]])</f>
        <v>0</v>
      </c>
      <c r="AB397" s="16"/>
    </row>
    <row r="398" spans="1:28" ht="15.75" hidden="1" x14ac:dyDescent="0.25">
      <c r="A398" s="129" t="s">
        <v>579</v>
      </c>
      <c r="B398" s="15">
        <v>45757</v>
      </c>
      <c r="C398" s="26" t="s">
        <v>1591</v>
      </c>
      <c r="D398" s="55" t="str">
        <f>VLOOKUP(Main_Presentation[[#This Row],[LC Number]],Main_Issuance[],3,0)</f>
        <v>Rabih Makhoul</v>
      </c>
      <c r="E398" s="16" t="s">
        <v>856</v>
      </c>
      <c r="F398" s="16" t="str">
        <f>VLOOKUP(Main_Presentation[[#This Row],[LC Number]],Main_Issuance[],5,0)</f>
        <v>BAB</v>
      </c>
      <c r="G398" s="16" t="str">
        <f>VLOOKUP(Main_Presentation[[#This Row],[LC Number]],Main_Issuance[],6,0)</f>
        <v>Oceanarium</v>
      </c>
      <c r="H398" s="16" t="str">
        <f>VLOOKUP(Main_Presentation[[#This Row],[LC Number]],Main_Issuance[],17,0)</f>
        <v>Credit</v>
      </c>
      <c r="I398" s="16" t="str">
        <f>VLOOKUP(Main_Presentation[[#This Row],[LC Number]],Main_Issuance[],7,0)</f>
        <v>Al Faisal Steel Products Co.</v>
      </c>
      <c r="J398" s="16" t="str">
        <f>VLOOKUP(Main_Presentation[[#This Row],[LC Number]],Main_Issuance[],8,0)</f>
        <v>MBL</v>
      </c>
      <c r="K398" s="16" t="str">
        <f>VLOOKUP(Main_Presentation[[#This Row],[LC Number]],Main_Issuance[],9,0)</f>
        <v>Neom - The Line</v>
      </c>
      <c r="L398" s="16">
        <f>VLOOKUP(Main_Presentation[[#This Row],[LC Number]],Main_Issuance[],10,0)</f>
        <v>1020098</v>
      </c>
      <c r="M398" s="16" t="str">
        <f>VLOOKUP(Main_Presentation[[#This Row],[LC Number]],Main_Issuance[],11,0)</f>
        <v>SAR</v>
      </c>
      <c r="N398" s="86">
        <f>VLOOKUP(Main_Presentation[[#This Row],[LC Number]],Main_Issuance[],12,0)</f>
        <v>2974166.33</v>
      </c>
      <c r="O398" s="16" t="s">
        <v>20</v>
      </c>
      <c r="P398" s="16" t="s">
        <v>857</v>
      </c>
      <c r="Q398" s="131">
        <f>1537811.54-203423.3</f>
        <v>1334388.24</v>
      </c>
      <c r="R398" s="18">
        <v>1</v>
      </c>
      <c r="S398" s="18">
        <f>Main_Presentation[[#This Row],[Invoice Amt (FCY)]]*Main_Presentation[[#This Row],[Rate]]</f>
        <v>1334388.24</v>
      </c>
      <c r="T398" s="15">
        <v>45762</v>
      </c>
      <c r="U398" s="26" t="str">
        <f>VLOOKUP(Main_Presentation[[#This Row],[LC Number]],Main_Issuance[],18,0)</f>
        <v>45 Days from Invoice Date</v>
      </c>
      <c r="V398" s="21" t="s">
        <v>1108</v>
      </c>
      <c r="W398" s="22" t="s">
        <v>378</v>
      </c>
      <c r="X398" s="16"/>
      <c r="Y398" s="234" t="str">
        <f>TRIM(LEFT(Main_Presentation[[#This Row],[Payment Terms]],3))</f>
        <v>45</v>
      </c>
      <c r="Z398" s="16"/>
      <c r="AA398" s="316" cm="1">
        <f t="array" ref="AA398">Settlement(Main_Presentation[[#This Row],[Bank]],Main_Presentation[[#This Row],[ Invoice Amt (SAR)]],Main_Presentation[[#This Row],[Date Recd]],Main_Presentation[[#This Row],[Due Date]],Main_Presentation[[#This Row],[Days]])</f>
        <v>0</v>
      </c>
      <c r="AB398" s="16"/>
    </row>
    <row r="399" spans="1:28" ht="15.75" hidden="1" x14ac:dyDescent="0.25">
      <c r="A399" s="20" t="s">
        <v>579</v>
      </c>
      <c r="B399" s="15">
        <v>45757</v>
      </c>
      <c r="C399" s="26" t="s">
        <v>1302</v>
      </c>
      <c r="D399" s="55" t="str">
        <f>VLOOKUP(Main_Presentation[[#This Row],[LC Number]],Main_Issuance[],3,0)</f>
        <v>Rabih Makhoul</v>
      </c>
      <c r="E399" s="16" t="s">
        <v>856</v>
      </c>
      <c r="F399" s="16" t="str">
        <f>VLOOKUP(Main_Presentation[[#This Row],[LC Number]],Main_Issuance[],5,0)</f>
        <v>BAB</v>
      </c>
      <c r="G399" s="16" t="str">
        <f>VLOOKUP(Main_Presentation[[#This Row],[LC Number]],Main_Issuance[],6,0)</f>
        <v>Oceanarium</v>
      </c>
      <c r="H399" s="16" t="str">
        <f>VLOOKUP(Main_Presentation[[#This Row],[LC Number]],Main_Issuance[],17,0)</f>
        <v>Credit</v>
      </c>
      <c r="I399" s="16" t="str">
        <f>VLOOKUP(Main_Presentation[[#This Row],[LC Number]],Main_Issuance[],7,0)</f>
        <v>Al Faisal Steel Products Co.</v>
      </c>
      <c r="J399" s="16" t="str">
        <f>VLOOKUP(Main_Presentation[[#This Row],[LC Number]],Main_Issuance[],8,0)</f>
        <v>MBL</v>
      </c>
      <c r="K399" s="16" t="str">
        <f>VLOOKUP(Main_Presentation[[#This Row],[LC Number]],Main_Issuance[],9,0)</f>
        <v>Neom - The Line</v>
      </c>
      <c r="L399" s="16">
        <f>VLOOKUP(Main_Presentation[[#This Row],[LC Number]],Main_Issuance[],10,0)</f>
        <v>1020098</v>
      </c>
      <c r="M399" s="16" t="str">
        <f>VLOOKUP(Main_Presentation[[#This Row],[LC Number]],Main_Issuance[],11,0)</f>
        <v>SAR</v>
      </c>
      <c r="N399" s="86">
        <f>VLOOKUP(Main_Presentation[[#This Row],[LC Number]],Main_Issuance[],12,0)</f>
        <v>2974166.33</v>
      </c>
      <c r="O399" s="16" t="s">
        <v>20</v>
      </c>
      <c r="P399" s="16" t="s">
        <v>857</v>
      </c>
      <c r="Q399" s="131">
        <f>1537811.54-1334388.24</f>
        <v>203423.30000000005</v>
      </c>
      <c r="R399" s="18">
        <v>1</v>
      </c>
      <c r="S399" s="18">
        <f>Main_Presentation[[#This Row],[Invoice Amt (FCY)]]*Main_Presentation[[#This Row],[Rate]]</f>
        <v>203423.30000000005</v>
      </c>
      <c r="T399" s="15">
        <v>45762</v>
      </c>
      <c r="U399" s="26" t="str">
        <f>VLOOKUP(Main_Presentation[[#This Row],[LC Number]],Main_Issuance[],18,0)</f>
        <v>45 Days from Invoice Date</v>
      </c>
      <c r="V399" s="21" t="s">
        <v>90</v>
      </c>
      <c r="W399" s="22" t="s">
        <v>378</v>
      </c>
      <c r="X399" s="16"/>
      <c r="Y399" s="234" t="str">
        <f>TRIM(LEFT(Main_Presentation[[#This Row],[Payment Terms]],3))</f>
        <v>45</v>
      </c>
      <c r="Z399" s="16"/>
      <c r="AA399" s="316" cm="1">
        <f t="array" ref="AA399">Settlement(Main_Presentation[[#This Row],[Bank]],Main_Presentation[[#This Row],[ Invoice Amt (SAR)]],Main_Presentation[[#This Row],[Date Recd]],Main_Presentation[[#This Row],[Due Date]],Main_Presentation[[#This Row],[Days]])</f>
        <v>0</v>
      </c>
      <c r="AB399" s="16"/>
    </row>
    <row r="400" spans="1:28" ht="15.75" hidden="1" x14ac:dyDescent="0.25">
      <c r="A400" s="129" t="s">
        <v>508</v>
      </c>
      <c r="B400" s="15">
        <v>45771</v>
      </c>
      <c r="C400" s="26">
        <v>1</v>
      </c>
      <c r="D400" s="55" t="str">
        <f>VLOOKUP(Main_Presentation[[#This Row],[LC Number]],Main_Issuance[],3,0)</f>
        <v>Rabih Makhoul</v>
      </c>
      <c r="E400" s="16" t="s">
        <v>856</v>
      </c>
      <c r="F400" s="16" t="str">
        <f>VLOOKUP(Main_Presentation[[#This Row],[LC Number]],Main_Issuance[],5,0)</f>
        <v>BAB</v>
      </c>
      <c r="G400" s="16" t="str">
        <f>VLOOKUP(Main_Presentation[[#This Row],[LC Number]],Main_Issuance[],6,0)</f>
        <v>Multipurpose</v>
      </c>
      <c r="H400" s="16" t="str">
        <f>VLOOKUP(Main_Presentation[[#This Row],[LC Number]],Main_Issuance[],17,0)</f>
        <v>Credit</v>
      </c>
      <c r="I400" s="16" t="str">
        <f>VLOOKUP(Main_Presentation[[#This Row],[LC Number]],Main_Issuance[],7,0)</f>
        <v>Future Pipe Industries LLC</v>
      </c>
      <c r="J400" s="16" t="str">
        <f>VLOOKUP(Main_Presentation[[#This Row],[LC Number]],Main_Issuance[],8,0)</f>
        <v>MBL</v>
      </c>
      <c r="K400" s="16" t="str">
        <f>VLOOKUP(Main_Presentation[[#This Row],[LC Number]],Main_Issuance[],9,0)</f>
        <v>Rabigh Power Plant</v>
      </c>
      <c r="L400" s="16">
        <f>VLOOKUP(Main_Presentation[[#This Row],[LC Number]],Main_Issuance[],10,0)</f>
        <v>1020107</v>
      </c>
      <c r="M400" s="16" t="str">
        <f>VLOOKUP(Main_Presentation[[#This Row],[LC Number]],Main_Issuance[],11,0)</f>
        <v>SAR</v>
      </c>
      <c r="N400" s="86">
        <f>VLOOKUP(Main_Presentation[[#This Row],[LC Number]],Main_Issuance[],12,0)</f>
        <v>4262455.25</v>
      </c>
      <c r="O400" s="16" t="s">
        <v>20</v>
      </c>
      <c r="P400" s="16" t="s">
        <v>378</v>
      </c>
      <c r="Q400" s="131">
        <v>4262444.8</v>
      </c>
      <c r="R400" s="18">
        <v>1</v>
      </c>
      <c r="S400" s="18">
        <f>Main_Presentation[[#This Row],[Invoice Amt (FCY)]]*Main_Presentation[[#This Row],[Rate]]</f>
        <v>4262444.8</v>
      </c>
      <c r="T400" s="15">
        <v>45777</v>
      </c>
      <c r="U400" s="26" t="str">
        <f>VLOOKUP(Main_Presentation[[#This Row],[LC Number]],Main_Issuance[],18,0)</f>
        <v>20 Days from Invoice Date</v>
      </c>
      <c r="V400" s="21" t="s">
        <v>304</v>
      </c>
      <c r="W400" s="22" t="s">
        <v>378</v>
      </c>
      <c r="X400" s="16" t="s">
        <v>1258</v>
      </c>
      <c r="Y400" s="234" t="str">
        <f>TRIM(LEFT(Main_Presentation[[#This Row],[Payment Terms]],3))</f>
        <v>20</v>
      </c>
      <c r="Z400" s="16"/>
      <c r="AA400" s="316" cm="1">
        <f t="array" ref="AA400">Settlement(Main_Presentation[[#This Row],[Bank]],Main_Presentation[[#This Row],[ Invoice Amt (SAR)]],Main_Presentation[[#This Row],[Date Recd]],Main_Presentation[[#This Row],[Due Date]],Main_Presentation[[#This Row],[Days]])</f>
        <v>0</v>
      </c>
      <c r="AB400" s="16"/>
    </row>
    <row r="401" spans="1:28" ht="15.75" hidden="1" x14ac:dyDescent="0.25">
      <c r="A401" s="129" t="s">
        <v>506</v>
      </c>
      <c r="B401" s="137">
        <v>45798</v>
      </c>
      <c r="C401" s="138">
        <v>5</v>
      </c>
      <c r="D401" s="139" t="str">
        <f>VLOOKUP(Main_Presentation[[#This Row],[LC Number]],Main_Issuance[],3,0)</f>
        <v>Rabih Makhoul</v>
      </c>
      <c r="E401" s="140" t="s">
        <v>858</v>
      </c>
      <c r="F401" s="140" t="str">
        <f>VLOOKUP(Main_Presentation[[#This Row],[LC Number]],Main_Issuance[],5,0)</f>
        <v>BAB</v>
      </c>
      <c r="G401" s="140" t="str">
        <f>VLOOKUP(Main_Presentation[[#This Row],[LC Number]],Main_Issuance[],6,0)</f>
        <v>Oceanarium</v>
      </c>
      <c r="H401" s="140" t="str">
        <f>VLOOKUP(Main_Presentation[[#This Row],[LC Number]],Main_Issuance[],17,0)</f>
        <v>Credit</v>
      </c>
      <c r="I401" s="140" t="str">
        <f>VLOOKUP(Main_Presentation[[#This Row],[LC Number]],Main_Issuance[],7,0)</f>
        <v>Ajzal United for Safety Co Ltd</v>
      </c>
      <c r="J401" s="140" t="str">
        <f>VLOOKUP(Main_Presentation[[#This Row],[LC Number]],Main_Issuance[],8,0)</f>
        <v>MBL</v>
      </c>
      <c r="K401" s="140" t="str">
        <f>VLOOKUP(Main_Presentation[[#This Row],[LC Number]],Main_Issuance[],9,0)</f>
        <v>JCD SPMI</v>
      </c>
      <c r="L401" s="140">
        <f>VLOOKUP(Main_Presentation[[#This Row],[LC Number]],Main_Issuance[],10,0)</f>
        <v>1020100</v>
      </c>
      <c r="M401" s="140" t="str">
        <f>VLOOKUP(Main_Presentation[[#This Row],[LC Number]],Main_Issuance[],11,0)</f>
        <v>SAR</v>
      </c>
      <c r="N401" s="141">
        <f>VLOOKUP(Main_Presentation[[#This Row],[LC Number]],Main_Issuance[],12,0)</f>
        <v>11166675</v>
      </c>
      <c r="O401" s="140" t="s">
        <v>910</v>
      </c>
      <c r="P401" s="140" t="s">
        <v>378</v>
      </c>
      <c r="Q401" s="131">
        <v>1230950.26</v>
      </c>
      <c r="R401" s="131">
        <v>1</v>
      </c>
      <c r="S401" s="131">
        <f>Main_Presentation[[#This Row],[Invoice Amt (FCY)]]*Main_Presentation[[#This Row],[Rate]]</f>
        <v>1230950.26</v>
      </c>
      <c r="T401" s="137">
        <v>45827</v>
      </c>
      <c r="U401" s="138" t="str">
        <f>VLOOKUP(Main_Presentation[[#This Row],[LC Number]],Main_Issuance[],18,0)</f>
        <v>60 Days from Invoice Date</v>
      </c>
      <c r="V401" s="143"/>
      <c r="W401" s="145" t="s">
        <v>378</v>
      </c>
      <c r="X401" s="140"/>
      <c r="Y401" s="400" t="str">
        <f>TRIM(LEFT(Main_Presentation[[#This Row],[Payment Terms]],3))</f>
        <v>60</v>
      </c>
      <c r="Z401" s="140"/>
      <c r="AA401" s="316" cm="1">
        <f t="array" ref="AA401">Settlement(Main_Presentation[[#This Row],[Bank]],Main_Presentation[[#This Row],[ Invoice Amt (SAR)]],Main_Presentation[[#This Row],[Date Recd]],Main_Presentation[[#This Row],[Due Date]],Main_Presentation[[#This Row],[Days]])</f>
        <v>0</v>
      </c>
      <c r="AB401" s="140"/>
    </row>
    <row r="402" spans="1:28" ht="15.75" hidden="1" x14ac:dyDescent="0.25">
      <c r="A402" s="20" t="s">
        <v>617</v>
      </c>
      <c r="B402" s="15">
        <v>45729</v>
      </c>
      <c r="C402" s="26">
        <v>1</v>
      </c>
      <c r="D402" s="55" t="str">
        <f>VLOOKUP(Main_Presentation[[#This Row],[LC Number]],Main_Issuance[],3,0)</f>
        <v>Hassan Taleb</v>
      </c>
      <c r="E402" s="16" t="s">
        <v>856</v>
      </c>
      <c r="F402" s="16" t="str">
        <f>VLOOKUP(Main_Presentation[[#This Row],[LC Number]],Main_Issuance[],5,0)</f>
        <v>Jazira</v>
      </c>
      <c r="G402" s="16" t="str">
        <f>VLOOKUP(Main_Presentation[[#This Row],[LC Number]],Main_Issuance[],6,0)</f>
        <v>RCRC</v>
      </c>
      <c r="H402" s="16" t="str">
        <f>VLOOKUP(Main_Presentation[[#This Row],[LC Number]],Main_Issuance[],17,0)</f>
        <v>Credit</v>
      </c>
      <c r="I402" s="16" t="str">
        <f>VLOOKUP(Main_Presentation[[#This Row],[LC Number]],Main_Issuance[],7,0)</f>
        <v>Rabigh Solb Industry Factory Company</v>
      </c>
      <c r="J402" s="16" t="str">
        <f>VLOOKUP(Main_Presentation[[#This Row],[LC Number]],Main_Issuance[],8,0)</f>
        <v>FIRST FIX</v>
      </c>
      <c r="K402" s="16" t="str">
        <f>VLOOKUP(Main_Presentation[[#This Row],[LC Number]],Main_Issuance[],9,0)</f>
        <v>RCRC</v>
      </c>
      <c r="L402" s="16">
        <f>VLOOKUP(Main_Presentation[[#This Row],[LC Number]],Main_Issuance[],10,0)</f>
        <v>1020106</v>
      </c>
      <c r="M402" s="16" t="str">
        <f>VLOOKUP(Main_Presentation[[#This Row],[LC Number]],Main_Issuance[],11,0)</f>
        <v>SAR</v>
      </c>
      <c r="N402" s="86">
        <f>VLOOKUP(Main_Presentation[[#This Row],[LC Number]],Main_Issuance[],12,0)</f>
        <v>715921</v>
      </c>
      <c r="O402" s="16" t="s">
        <v>20</v>
      </c>
      <c r="P402" s="16" t="s">
        <v>857</v>
      </c>
      <c r="Q402" s="131">
        <v>715921</v>
      </c>
      <c r="R402" s="18">
        <v>1</v>
      </c>
      <c r="S402" s="18">
        <f>Main_Presentation[[#This Row],[Invoice Amt (FCY)]]*Main_Presentation[[#This Row],[Rate]]</f>
        <v>715921</v>
      </c>
      <c r="T402" s="15">
        <v>45753</v>
      </c>
      <c r="U402" s="26" t="str">
        <f>VLOOKUP(Main_Presentation[[#This Row],[LC Number]],Main_Issuance[],18,0)</f>
        <v>60 Days from Invoice Date</v>
      </c>
      <c r="V402" s="21" t="s">
        <v>613</v>
      </c>
      <c r="W402" s="22" t="s">
        <v>857</v>
      </c>
      <c r="X402" s="16"/>
      <c r="Y402" s="234" t="str">
        <f>TRIM(LEFT(Main_Presentation[[#This Row],[Payment Terms]],3))</f>
        <v>60</v>
      </c>
      <c r="Z402" s="16"/>
      <c r="AA402" s="316" cm="1">
        <f t="array" ref="AA402">Settlement(Main_Presentation[[#This Row],[Bank]],Main_Presentation[[#This Row],[ Invoice Amt (SAR)]],Main_Presentation[[#This Row],[Date Recd]],Main_Presentation[[#This Row],[Due Date]],Main_Presentation[[#This Row],[Days]])</f>
        <v>1031.55</v>
      </c>
      <c r="AB402" s="16"/>
    </row>
    <row r="403" spans="1:28" ht="15.75" hidden="1" x14ac:dyDescent="0.25">
      <c r="A403" s="20" t="s">
        <v>615</v>
      </c>
      <c r="B403" s="15">
        <v>45741</v>
      </c>
      <c r="C403" s="26">
        <v>1</v>
      </c>
      <c r="D403" s="55" t="str">
        <f>VLOOKUP(Main_Presentation[[#This Row],[LC Number]],Main_Issuance[],3,0)</f>
        <v>Hassan Taleb</v>
      </c>
      <c r="E403" s="16" t="s">
        <v>858</v>
      </c>
      <c r="F403" s="16" t="str">
        <f>VLOOKUP(Main_Presentation[[#This Row],[LC Number]],Main_Issuance[],5,0)</f>
        <v>Jazira</v>
      </c>
      <c r="G403" s="16" t="str">
        <f>VLOOKUP(Main_Presentation[[#This Row],[LC Number]],Main_Issuance[],6,0)</f>
        <v>RCRC</v>
      </c>
      <c r="H403" s="16" t="str">
        <f>VLOOKUP(Main_Presentation[[#This Row],[LC Number]],Main_Issuance[],17,0)</f>
        <v>Credit</v>
      </c>
      <c r="I403" s="16" t="str">
        <f>VLOOKUP(Main_Presentation[[#This Row],[LC Number]],Main_Issuance[],7,0)</f>
        <v>Elsewedy Cables Co.</v>
      </c>
      <c r="J403" s="16" t="str">
        <f>VLOOKUP(Main_Presentation[[#This Row],[LC Number]],Main_Issuance[],8,0)</f>
        <v>FIRST FIX</v>
      </c>
      <c r="K403" s="16" t="str">
        <f>VLOOKUP(Main_Presentation[[#This Row],[LC Number]],Main_Issuance[],9,0)</f>
        <v>RCRC</v>
      </c>
      <c r="L403" s="16">
        <f>VLOOKUP(Main_Presentation[[#This Row],[LC Number]],Main_Issuance[],10,0)</f>
        <v>1020106</v>
      </c>
      <c r="M403" s="16" t="str">
        <f>VLOOKUP(Main_Presentation[[#This Row],[LC Number]],Main_Issuance[],11,0)</f>
        <v>SAR</v>
      </c>
      <c r="N403" s="86">
        <f>VLOOKUP(Main_Presentation[[#This Row],[LC Number]],Main_Issuance[],12,0)</f>
        <v>2103975.9500000002</v>
      </c>
      <c r="O403" s="16" t="s">
        <v>20</v>
      </c>
      <c r="P403" s="16" t="s">
        <v>857</v>
      </c>
      <c r="Q403" s="131">
        <v>2103975.9500000002</v>
      </c>
      <c r="R403" s="18">
        <v>1</v>
      </c>
      <c r="S403" s="18">
        <f>Main_Presentation[[#This Row],[Invoice Amt (FCY)]]*Main_Presentation[[#This Row],[Rate]]</f>
        <v>2103975.9500000002</v>
      </c>
      <c r="T403" s="15">
        <v>45785</v>
      </c>
      <c r="U403" s="26" t="str">
        <f>VLOOKUP(Main_Presentation[[#This Row],[LC Number]],Main_Issuance[],18,0)</f>
        <v>90 Days from Invoice Date</v>
      </c>
      <c r="V403" s="21" t="s">
        <v>613</v>
      </c>
      <c r="W403" s="22" t="s">
        <v>857</v>
      </c>
      <c r="X403" s="16"/>
      <c r="Y403" s="234" t="str">
        <f>TRIM(LEFT(Main_Presentation[[#This Row],[Payment Terms]],3))</f>
        <v>90</v>
      </c>
      <c r="Z403" s="16"/>
      <c r="AA403" s="316" cm="1">
        <f t="array" ref="AA403">Settlement(Main_Presentation[[#This Row],[Bank]],Main_Presentation[[#This Row],[ Invoice Amt (SAR)]],Main_Presentation[[#This Row],[Date Recd]],Main_Presentation[[#This Row],[Due Date]],Main_Presentation[[#This Row],[Days]])</f>
        <v>2360.9499999999998</v>
      </c>
      <c r="AB403" s="16"/>
    </row>
    <row r="404" spans="1:28" ht="15.75" hidden="1" x14ac:dyDescent="0.25">
      <c r="A404" s="20" t="s">
        <v>619</v>
      </c>
      <c r="B404" s="15">
        <v>45753</v>
      </c>
      <c r="C404" s="26">
        <v>1</v>
      </c>
      <c r="D404" s="55" t="str">
        <f>VLOOKUP(Main_Presentation[[#This Row],[LC Number]],Main_Issuance[],3,0)</f>
        <v>Hassan Taleb</v>
      </c>
      <c r="E404" s="16" t="s">
        <v>856</v>
      </c>
      <c r="F404" s="16" t="str">
        <f>VLOOKUP(Main_Presentation[[#This Row],[LC Number]],Main_Issuance[],5,0)</f>
        <v>Jazira</v>
      </c>
      <c r="G404" s="16" t="str">
        <f>VLOOKUP(Main_Presentation[[#This Row],[LC Number]],Main_Issuance[],6,0)</f>
        <v>RCRC</v>
      </c>
      <c r="H404" s="16" t="str">
        <f>VLOOKUP(Main_Presentation[[#This Row],[LC Number]],Main_Issuance[],17,0)</f>
        <v>Credit</v>
      </c>
      <c r="I404" s="16" t="str">
        <f>VLOOKUP(Main_Presentation[[#This Row],[LC Number]],Main_Issuance[],7,0)</f>
        <v>National Marketing Est.</v>
      </c>
      <c r="J404" s="16" t="str">
        <f>VLOOKUP(Main_Presentation[[#This Row],[LC Number]],Main_Issuance[],8,0)</f>
        <v>FIRST FIX</v>
      </c>
      <c r="K404" s="16" t="str">
        <f>VLOOKUP(Main_Presentation[[#This Row],[LC Number]],Main_Issuance[],9,0)</f>
        <v>RCRC</v>
      </c>
      <c r="L404" s="16">
        <f>VLOOKUP(Main_Presentation[[#This Row],[LC Number]],Main_Issuance[],10,0)</f>
        <v>1020106</v>
      </c>
      <c r="M404" s="16" t="str">
        <f>VLOOKUP(Main_Presentation[[#This Row],[LC Number]],Main_Issuance[],11,0)</f>
        <v>SAR</v>
      </c>
      <c r="N404" s="86">
        <f>VLOOKUP(Main_Presentation[[#This Row],[LC Number]],Main_Issuance[],12,0)</f>
        <v>4370000</v>
      </c>
      <c r="O404" s="16" t="s">
        <v>20</v>
      </c>
      <c r="P404" s="16" t="s">
        <v>857</v>
      </c>
      <c r="Q404" s="131">
        <v>3282724.96</v>
      </c>
      <c r="R404" s="18">
        <v>1</v>
      </c>
      <c r="S404" s="18">
        <f>Main_Presentation[[#This Row],[Invoice Amt (FCY)]]*Main_Presentation[[#This Row],[Rate]]</f>
        <v>3282724.96</v>
      </c>
      <c r="T404" s="15">
        <v>45774</v>
      </c>
      <c r="U404" s="26" t="str">
        <f>VLOOKUP(Main_Presentation[[#This Row],[LC Number]],Main_Issuance[],18,0)</f>
        <v>120 Days from Invoice Date</v>
      </c>
      <c r="V404" s="21" t="s">
        <v>613</v>
      </c>
      <c r="W404" s="22" t="s">
        <v>857</v>
      </c>
      <c r="X404" s="16"/>
      <c r="Y404" s="234" t="str">
        <f>TRIM(LEFT(Main_Presentation[[#This Row],[Payment Terms]],3))</f>
        <v>120</v>
      </c>
      <c r="Z404" s="16"/>
      <c r="AA404" s="316" cm="1">
        <f t="array" ref="AA404">Settlement(Main_Presentation[[#This Row],[Bank]],Main_Presentation[[#This Row],[ Invoice Amt (SAR)]],Main_Presentation[[#This Row],[Date Recd]],Main_Presentation[[#This Row],[Due Date]],Main_Presentation[[#This Row],[Days]])</f>
        <v>3491.4</v>
      </c>
      <c r="AB404" s="16"/>
    </row>
    <row r="405" spans="1:28" ht="15.75" hidden="1" x14ac:dyDescent="0.25">
      <c r="A405" s="129" t="s">
        <v>694</v>
      </c>
      <c r="B405" s="15">
        <v>45782</v>
      </c>
      <c r="C405" s="26">
        <v>1</v>
      </c>
      <c r="D405" s="55" t="str">
        <f>VLOOKUP(Main_Presentation[[#This Row],[LC Number]],Main_Issuance[],3,0)</f>
        <v>Hassan Taleb</v>
      </c>
      <c r="E405" s="16" t="s">
        <v>858</v>
      </c>
      <c r="F405" s="16" t="str">
        <f>VLOOKUP(Main_Presentation[[#This Row],[LC Number]],Main_Issuance[],5,0)</f>
        <v>Jazira</v>
      </c>
      <c r="G405" s="16" t="str">
        <f>VLOOKUP(Main_Presentation[[#This Row],[LC Number]],Main_Issuance[],6,0)</f>
        <v>RCRC</v>
      </c>
      <c r="H405" s="16" t="str">
        <f>VLOOKUP(Main_Presentation[[#This Row],[LC Number]],Main_Issuance[],17,0)</f>
        <v>Credit</v>
      </c>
      <c r="I405" s="16" t="str">
        <f>VLOOKUP(Main_Presentation[[#This Row],[LC Number]],Main_Issuance[],7,0)</f>
        <v>MOHAMMED RAMADAN SHAT FACTORY FOR METAL</v>
      </c>
      <c r="J405" s="16" t="str">
        <f>VLOOKUP(Main_Presentation[[#This Row],[LC Number]],Main_Issuance[],8,0)</f>
        <v>FIRST FIX</v>
      </c>
      <c r="K405" s="16" t="str">
        <f>VLOOKUP(Main_Presentation[[#This Row],[LC Number]],Main_Issuance[],9,0)</f>
        <v>RCRC</v>
      </c>
      <c r="L405" s="16">
        <f>VLOOKUP(Main_Presentation[[#This Row],[LC Number]],Main_Issuance[],10,0)</f>
        <v>1020106</v>
      </c>
      <c r="M405" s="16" t="str">
        <f>VLOOKUP(Main_Presentation[[#This Row],[LC Number]],Main_Issuance[],11,0)</f>
        <v>SAR</v>
      </c>
      <c r="N405" s="86">
        <f>VLOOKUP(Main_Presentation[[#This Row],[LC Number]],Main_Issuance[],12,0)</f>
        <v>1112374.18</v>
      </c>
      <c r="O405" s="16" t="s">
        <v>20</v>
      </c>
      <c r="P405" s="16" t="s">
        <v>857</v>
      </c>
      <c r="Q405" s="131">
        <v>136238.91</v>
      </c>
      <c r="R405" s="18">
        <v>1</v>
      </c>
      <c r="S405" s="38">
        <f>Main_Presentation[[#This Row],[Invoice Amt (FCY)]]*Main_Presentation[[#This Row],[Rate]]</f>
        <v>136238.91</v>
      </c>
      <c r="T405" s="15">
        <v>45844</v>
      </c>
      <c r="U405" s="26" t="str">
        <f>VLOOKUP(Main_Presentation[[#This Row],[LC Number]],Main_Issuance[],18,0)</f>
        <v>90 Days from Invoice Date</v>
      </c>
      <c r="V405" s="21" t="s">
        <v>96</v>
      </c>
      <c r="W405" s="132" t="s">
        <v>378</v>
      </c>
      <c r="X405" s="16"/>
      <c r="Y405" s="234" t="str">
        <f>TRIM(LEFT(Main_Presentation[[#This Row],[Payment Terms]],3))</f>
        <v>90</v>
      </c>
      <c r="Z405" s="16"/>
      <c r="AA405" s="316" cm="1">
        <f t="array" ref="AA405">Settlement(Main_Presentation[[#This Row],[Bank]],Main_Presentation[[#This Row],[ Invoice Amt (SAR)]],Main_Presentation[[#This Row],[Date Recd]],Main_Presentation[[#This Row],[Due Date]],Main_Presentation[[#This Row],[Days]])</f>
        <v>977.5</v>
      </c>
      <c r="AB405" s="16"/>
    </row>
    <row r="406" spans="1:28" ht="15.75" hidden="1" x14ac:dyDescent="0.25">
      <c r="A406" s="129" t="s">
        <v>733</v>
      </c>
      <c r="B406" s="15">
        <v>45778</v>
      </c>
      <c r="C406" s="26">
        <v>1</v>
      </c>
      <c r="D406" s="55" t="str">
        <f>VLOOKUP(Main_Presentation[[#This Row],[LC Number]],Main_Issuance[],3,0)</f>
        <v>Hassan Taleb</v>
      </c>
      <c r="E406" s="16" t="s">
        <v>856</v>
      </c>
      <c r="F406" s="16" t="str">
        <f>VLOOKUP(Main_Presentation[[#This Row],[LC Number]],Main_Issuance[],5,0)</f>
        <v>Jazira</v>
      </c>
      <c r="G406" s="16" t="str">
        <f>VLOOKUP(Main_Presentation[[#This Row],[LC Number]],Main_Issuance[],6,0)</f>
        <v>RCRC</v>
      </c>
      <c r="H406" s="16" t="str">
        <f>VLOOKUP(Main_Presentation[[#This Row],[LC Number]],Main_Issuance[],17,0)</f>
        <v>Credit</v>
      </c>
      <c r="I406" s="16" t="str">
        <f>VLOOKUP(Main_Presentation[[#This Row],[LC Number]],Main_Issuance[],7,0)</f>
        <v>ALFANAR ELECTRICAL SYSTEMS</v>
      </c>
      <c r="J406" s="16" t="str">
        <f>VLOOKUP(Main_Presentation[[#This Row],[LC Number]],Main_Issuance[],8,0)</f>
        <v>FIRST FIX</v>
      </c>
      <c r="K406" s="16" t="str">
        <f>VLOOKUP(Main_Presentation[[#This Row],[LC Number]],Main_Issuance[],9,0)</f>
        <v>RCRC</v>
      </c>
      <c r="L406" s="16">
        <f>VLOOKUP(Main_Presentation[[#This Row],[LC Number]],Main_Issuance[],10,0)</f>
        <v>1020106</v>
      </c>
      <c r="M406" s="16" t="str">
        <f>VLOOKUP(Main_Presentation[[#This Row],[LC Number]],Main_Issuance[],11,0)</f>
        <v>SAR</v>
      </c>
      <c r="N406" s="86">
        <f>VLOOKUP(Main_Presentation[[#This Row],[LC Number]],Main_Issuance[],12,0)</f>
        <v>8002636.4299999997</v>
      </c>
      <c r="O406" s="16" t="s">
        <v>20</v>
      </c>
      <c r="P406" s="16" t="s">
        <v>857</v>
      </c>
      <c r="Q406" s="131">
        <v>2667545.56</v>
      </c>
      <c r="R406" s="18">
        <v>1</v>
      </c>
      <c r="S406" s="38">
        <f>Main_Presentation[[#This Row],[Invoice Amt (FCY)]]*Main_Presentation[[#This Row],[Rate]]</f>
        <v>2667545.56</v>
      </c>
      <c r="T406" s="15">
        <v>45811</v>
      </c>
      <c r="U406" s="26" t="str">
        <f>VLOOKUP(Main_Presentation[[#This Row],[LC Number]],Main_Issuance[],18,0)</f>
        <v>90 Days from Invoice Date</v>
      </c>
      <c r="V406" s="21" t="s">
        <v>1450</v>
      </c>
      <c r="W406" s="132" t="s">
        <v>378</v>
      </c>
      <c r="X406" s="16"/>
      <c r="Y406" s="234" t="str">
        <f>TRIM(LEFT(Main_Presentation[[#This Row],[Payment Terms]],3))</f>
        <v>90</v>
      </c>
      <c r="Z406" s="16"/>
      <c r="AA406" s="316" cm="1">
        <f t="array" ref="AA406">Settlement(Main_Presentation[[#This Row],[Bank]],Main_Presentation[[#This Row],[ Invoice Amt (SAR)]],Main_Presentation[[#This Row],[Date Recd]],Main_Presentation[[#This Row],[Due Date]],Main_Presentation[[#This Row],[Days]])</f>
        <v>2901.45</v>
      </c>
      <c r="AB406" s="16"/>
    </row>
    <row r="407" spans="1:28" ht="15.75" hidden="1" x14ac:dyDescent="0.25">
      <c r="A407" s="20" t="s">
        <v>619</v>
      </c>
      <c r="B407" s="15">
        <v>45764</v>
      </c>
      <c r="C407" s="26">
        <v>2</v>
      </c>
      <c r="D407" s="55" t="str">
        <f>VLOOKUP(Main_Presentation[[#This Row],[LC Number]],Main_Issuance[],3,0)</f>
        <v>Hassan Taleb</v>
      </c>
      <c r="E407" s="16" t="s">
        <v>856</v>
      </c>
      <c r="F407" s="16" t="str">
        <f>VLOOKUP(Main_Presentation[[#This Row],[LC Number]],Main_Issuance[],5,0)</f>
        <v>Jazira</v>
      </c>
      <c r="G407" s="16" t="str">
        <f>VLOOKUP(Main_Presentation[[#This Row],[LC Number]],Main_Issuance[],6,0)</f>
        <v>RCRC</v>
      </c>
      <c r="H407" s="16" t="str">
        <f>VLOOKUP(Main_Presentation[[#This Row],[LC Number]],Main_Issuance[],17,0)</f>
        <v>Credit</v>
      </c>
      <c r="I407" s="16" t="str">
        <f>VLOOKUP(Main_Presentation[[#This Row],[LC Number]],Main_Issuance[],7,0)</f>
        <v>National Marketing Est.</v>
      </c>
      <c r="J407" s="16" t="str">
        <f>VLOOKUP(Main_Presentation[[#This Row],[LC Number]],Main_Issuance[],8,0)</f>
        <v>FIRST FIX</v>
      </c>
      <c r="K407" s="16" t="str">
        <f>VLOOKUP(Main_Presentation[[#This Row],[LC Number]],Main_Issuance[],9,0)</f>
        <v>RCRC</v>
      </c>
      <c r="L407" s="16">
        <f>VLOOKUP(Main_Presentation[[#This Row],[LC Number]],Main_Issuance[],10,0)</f>
        <v>1020106</v>
      </c>
      <c r="M407" s="16" t="str">
        <f>VLOOKUP(Main_Presentation[[#This Row],[LC Number]],Main_Issuance[],11,0)</f>
        <v>SAR</v>
      </c>
      <c r="N407" s="86">
        <f>VLOOKUP(Main_Presentation[[#This Row],[LC Number]],Main_Issuance[],12,0)</f>
        <v>4370000</v>
      </c>
      <c r="O407" s="16" t="s">
        <v>20</v>
      </c>
      <c r="P407" s="16" t="s">
        <v>857</v>
      </c>
      <c r="Q407" s="131">
        <v>1087275.04</v>
      </c>
      <c r="R407" s="18">
        <v>1</v>
      </c>
      <c r="S407" s="18">
        <f>Main_Presentation[[#This Row],[Invoice Amt (FCY)]]*Main_Presentation[[#This Row],[Rate]]</f>
        <v>1087275.04</v>
      </c>
      <c r="T407" s="15">
        <v>45796</v>
      </c>
      <c r="U407" s="26" t="str">
        <f>VLOOKUP(Main_Presentation[[#This Row],[LC Number]],Main_Issuance[],18,0)</f>
        <v>120 Days from Invoice Date</v>
      </c>
      <c r="V407" s="21" t="s">
        <v>613</v>
      </c>
      <c r="W407" s="22" t="s">
        <v>857</v>
      </c>
      <c r="X407" s="16"/>
      <c r="Y407" s="234" t="str">
        <f>TRIM(LEFT(Main_Presentation[[#This Row],[Payment Terms]],3))</f>
        <v>120</v>
      </c>
      <c r="Z407" s="16"/>
      <c r="AA407" s="316" cm="1">
        <f t="array" ref="AA407">Settlement(Main_Presentation[[#This Row],[Bank]],Main_Presentation[[#This Row],[ Invoice Amt (SAR)]],Main_Presentation[[#This Row],[Date Recd]],Main_Presentation[[#This Row],[Due Date]],Main_Presentation[[#This Row],[Days]])</f>
        <v>1386.9</v>
      </c>
      <c r="AB407" s="16"/>
    </row>
    <row r="408" spans="1:28" ht="15.75" hidden="1" x14ac:dyDescent="0.25">
      <c r="A408" s="129" t="s">
        <v>694</v>
      </c>
      <c r="B408" s="15">
        <v>45782</v>
      </c>
      <c r="C408" s="26">
        <v>2</v>
      </c>
      <c r="D408" s="55" t="str">
        <f>VLOOKUP(Main_Presentation[[#This Row],[LC Number]],Main_Issuance[],3,0)</f>
        <v>Hassan Taleb</v>
      </c>
      <c r="E408" s="16" t="s">
        <v>858</v>
      </c>
      <c r="F408" s="16" t="str">
        <f>VLOOKUP(Main_Presentation[[#This Row],[LC Number]],Main_Issuance[],5,0)</f>
        <v>Jazira</v>
      </c>
      <c r="G408" s="16" t="str">
        <f>VLOOKUP(Main_Presentation[[#This Row],[LC Number]],Main_Issuance[],6,0)</f>
        <v>RCRC</v>
      </c>
      <c r="H408" s="16" t="str">
        <f>VLOOKUP(Main_Presentation[[#This Row],[LC Number]],Main_Issuance[],17,0)</f>
        <v>Credit</v>
      </c>
      <c r="I408" s="16" t="str">
        <f>VLOOKUP(Main_Presentation[[#This Row],[LC Number]],Main_Issuance[],7,0)</f>
        <v>MOHAMMED RAMADAN SHAT FACTORY FOR METAL</v>
      </c>
      <c r="J408" s="16" t="str">
        <f>VLOOKUP(Main_Presentation[[#This Row],[LC Number]],Main_Issuance[],8,0)</f>
        <v>FIRST FIX</v>
      </c>
      <c r="K408" s="16" t="str">
        <f>VLOOKUP(Main_Presentation[[#This Row],[LC Number]],Main_Issuance[],9,0)</f>
        <v>RCRC</v>
      </c>
      <c r="L408" s="16">
        <f>VLOOKUP(Main_Presentation[[#This Row],[LC Number]],Main_Issuance[],10,0)</f>
        <v>1020106</v>
      </c>
      <c r="M408" s="16" t="str">
        <f>VLOOKUP(Main_Presentation[[#This Row],[LC Number]],Main_Issuance[],11,0)</f>
        <v>SAR</v>
      </c>
      <c r="N408" s="86">
        <f>VLOOKUP(Main_Presentation[[#This Row],[LC Number]],Main_Issuance[],12,0)</f>
        <v>1112374.18</v>
      </c>
      <c r="O408" s="16" t="s">
        <v>20</v>
      </c>
      <c r="P408" s="16" t="s">
        <v>857</v>
      </c>
      <c r="Q408" s="131">
        <v>194501.99</v>
      </c>
      <c r="R408" s="18">
        <v>1</v>
      </c>
      <c r="S408" s="18">
        <f>Main_Presentation[[#This Row],[Invoice Amt (FCY)]]*Main_Presentation[[#This Row],[Rate]]</f>
        <v>194501.99</v>
      </c>
      <c r="T408" s="15">
        <v>45844</v>
      </c>
      <c r="U408" s="26" t="str">
        <f>VLOOKUP(Main_Presentation[[#This Row],[LC Number]],Main_Issuance[],18,0)</f>
        <v>90 Days from Invoice Date</v>
      </c>
      <c r="V408" s="21" t="s">
        <v>96</v>
      </c>
      <c r="W408" s="22" t="s">
        <v>378</v>
      </c>
      <c r="X408" s="16"/>
      <c r="Y408" s="234" t="str">
        <f>TRIM(LEFT(Main_Presentation[[#This Row],[Payment Terms]],3))</f>
        <v>90</v>
      </c>
      <c r="Z408" s="16"/>
      <c r="AA408" s="316" cm="1">
        <f t="array" ref="AA408">Settlement(Main_Presentation[[#This Row],[Bank]],Main_Presentation[[#This Row],[ Invoice Amt (SAR)]],Main_Presentation[[#This Row],[Date Recd]],Main_Presentation[[#This Row],[Due Date]],Main_Presentation[[#This Row],[Days]])</f>
        <v>977.5</v>
      </c>
      <c r="AB408" s="16"/>
    </row>
    <row r="409" spans="1:28" ht="15.75" hidden="1" x14ac:dyDescent="0.25">
      <c r="A409" s="129" t="s">
        <v>698</v>
      </c>
      <c r="B409" s="137">
        <v>45795</v>
      </c>
      <c r="C409" s="138">
        <v>1</v>
      </c>
      <c r="D409" s="139" t="str">
        <f>VLOOKUP(Main_Presentation[[#This Row],[LC Number]],Main_Issuance[],3,0)</f>
        <v>Hassan Taleb</v>
      </c>
      <c r="E409" s="140" t="s">
        <v>858</v>
      </c>
      <c r="F409" s="140" t="str">
        <f>VLOOKUP(Main_Presentation[[#This Row],[LC Number]],Main_Issuance[],5,0)</f>
        <v>Jazira</v>
      </c>
      <c r="G409" s="140" t="str">
        <f>VLOOKUP(Main_Presentation[[#This Row],[LC Number]],Main_Issuance[],6,0)</f>
        <v>RCRC</v>
      </c>
      <c r="H409" s="140" t="str">
        <f>VLOOKUP(Main_Presentation[[#This Row],[LC Number]],Main_Issuance[],17,0)</f>
        <v>Credit</v>
      </c>
      <c r="I409" s="140" t="str">
        <f>VLOOKUP(Main_Presentation[[#This Row],[LC Number]],Main_Issuance[],7,0)</f>
        <v>Union Pipes Industry</v>
      </c>
      <c r="J409" s="140" t="str">
        <f>VLOOKUP(Main_Presentation[[#This Row],[LC Number]],Main_Issuance[],8,0)</f>
        <v>FIRST FIX</v>
      </c>
      <c r="K409" s="140" t="str">
        <f>VLOOKUP(Main_Presentation[[#This Row],[LC Number]],Main_Issuance[],9,0)</f>
        <v>RCRC</v>
      </c>
      <c r="L409" s="140">
        <f>VLOOKUP(Main_Presentation[[#This Row],[LC Number]],Main_Issuance[],10,0)</f>
        <v>1020106</v>
      </c>
      <c r="M409" s="140" t="str">
        <f>VLOOKUP(Main_Presentation[[#This Row],[LC Number]],Main_Issuance[],11,0)</f>
        <v>SAR</v>
      </c>
      <c r="N409" s="141">
        <f>VLOOKUP(Main_Presentation[[#This Row],[LC Number]],Main_Issuance[],12,0)</f>
        <v>666690.68999999994</v>
      </c>
      <c r="O409" s="140" t="s">
        <v>20</v>
      </c>
      <c r="P409" s="140" t="s">
        <v>857</v>
      </c>
      <c r="Q409" s="131">
        <v>622981.28</v>
      </c>
      <c r="R409" s="131">
        <v>1</v>
      </c>
      <c r="S409" s="131">
        <f>Main_Presentation[[#This Row],[Invoice Amt (FCY)]]*Main_Presentation[[#This Row],[Rate]]</f>
        <v>622981.28</v>
      </c>
      <c r="T409" s="137">
        <v>45847</v>
      </c>
      <c r="U409" s="138" t="str">
        <f>VLOOKUP(Main_Presentation[[#This Row],[LC Number]],Main_Issuance[],18,0)</f>
        <v>90 Days from Invoice Date</v>
      </c>
      <c r="V409" s="143" t="s">
        <v>613</v>
      </c>
      <c r="W409" s="145" t="s">
        <v>857</v>
      </c>
      <c r="X409" s="140"/>
      <c r="Y409" s="400" t="str">
        <f>TRIM(LEFT(Main_Presentation[[#This Row],[Payment Terms]],3))</f>
        <v>90</v>
      </c>
      <c r="Z409" s="140"/>
      <c r="AA409" s="316" cm="1">
        <f t="array" ref="AA409">Settlement(Main_Presentation[[#This Row],[Bank]],Main_Presentation[[#This Row],[ Invoice Amt (SAR)]],Main_Presentation[[#This Row],[Date Recd]],Main_Presentation[[#This Row],[Due Date]],Main_Presentation[[#This Row],[Days]])</f>
        <v>1240.8499999999999</v>
      </c>
      <c r="AB409" s="140"/>
    </row>
    <row r="410" spans="1:28" ht="15.75" hidden="1" x14ac:dyDescent="0.25">
      <c r="A410" s="129" t="s">
        <v>696</v>
      </c>
      <c r="B410" s="137">
        <v>45796</v>
      </c>
      <c r="C410" s="138">
        <v>1</v>
      </c>
      <c r="D410" s="139" t="str">
        <f>VLOOKUP(Main_Presentation[[#This Row],[LC Number]],Main_Issuance[],3,0)</f>
        <v>Hassan Taleb</v>
      </c>
      <c r="E410" s="140" t="s">
        <v>858</v>
      </c>
      <c r="F410" s="140" t="str">
        <f>VLOOKUP(Main_Presentation[[#This Row],[LC Number]],Main_Issuance[],5,0)</f>
        <v>Jazira</v>
      </c>
      <c r="G410" s="140" t="str">
        <f>VLOOKUP(Main_Presentation[[#This Row],[LC Number]],Main_Issuance[],6,0)</f>
        <v>RCRC</v>
      </c>
      <c r="H410" s="140" t="str">
        <f>VLOOKUP(Main_Presentation[[#This Row],[LC Number]],Main_Issuance[],17,0)</f>
        <v>Credit</v>
      </c>
      <c r="I410" s="140" t="str">
        <f>VLOOKUP(Main_Presentation[[#This Row],[LC Number]],Main_Issuance[],7,0)</f>
        <v>Saudi Hepco Co. Ltd</v>
      </c>
      <c r="J410" s="140" t="str">
        <f>VLOOKUP(Main_Presentation[[#This Row],[LC Number]],Main_Issuance[],8,0)</f>
        <v>FIRST FIX</v>
      </c>
      <c r="K410" s="140" t="str">
        <f>VLOOKUP(Main_Presentation[[#This Row],[LC Number]],Main_Issuance[],9,0)</f>
        <v>RCRC</v>
      </c>
      <c r="L410" s="140">
        <f>VLOOKUP(Main_Presentation[[#This Row],[LC Number]],Main_Issuance[],10,0)</f>
        <v>1020106</v>
      </c>
      <c r="M410" s="140" t="str">
        <f>VLOOKUP(Main_Presentation[[#This Row],[LC Number]],Main_Issuance[],11,0)</f>
        <v>SAR</v>
      </c>
      <c r="N410" s="141">
        <f>VLOOKUP(Main_Presentation[[#This Row],[LC Number]],Main_Issuance[],12,0)</f>
        <v>1513032.73</v>
      </c>
      <c r="O410" s="140" t="s">
        <v>20</v>
      </c>
      <c r="P410" s="140" t="s">
        <v>857</v>
      </c>
      <c r="Q410" s="131">
        <v>1000000</v>
      </c>
      <c r="R410" s="131">
        <v>1</v>
      </c>
      <c r="S410" s="131">
        <f>Main_Presentation[[#This Row],[Invoice Amt (FCY)]]*Main_Presentation[[#This Row],[Rate]]</f>
        <v>1000000</v>
      </c>
      <c r="T410" s="137">
        <v>45847</v>
      </c>
      <c r="U410" s="138" t="str">
        <f>VLOOKUP(Main_Presentation[[#This Row],[LC Number]],Main_Issuance[],18,0)</f>
        <v>90 Days from Invoice Date</v>
      </c>
      <c r="V410" s="143" t="s">
        <v>613</v>
      </c>
      <c r="W410" s="145" t="s">
        <v>857</v>
      </c>
      <c r="X410" s="140"/>
      <c r="Y410" s="400" t="str">
        <f>TRIM(LEFT(Main_Presentation[[#This Row],[Payment Terms]],3))</f>
        <v>90</v>
      </c>
      <c r="Z410" s="140"/>
      <c r="AA410" s="316" cm="1">
        <f t="array" ref="AA410">Settlement(Main_Presentation[[#This Row],[Bank]],Main_Presentation[[#This Row],[ Invoice Amt (SAR)]],Main_Presentation[[#This Row],[Date Recd]],Main_Presentation[[#This Row],[Due Date]],Main_Presentation[[#This Row],[Days]])</f>
        <v>1782.5</v>
      </c>
      <c r="AB410" s="140"/>
    </row>
    <row r="411" spans="1:28" ht="15.75" hidden="1" x14ac:dyDescent="0.25">
      <c r="A411" s="14" t="s">
        <v>79</v>
      </c>
      <c r="B411" s="15">
        <v>45426</v>
      </c>
      <c r="C411" s="26">
        <v>1</v>
      </c>
      <c r="D411" s="55" t="str">
        <f>VLOOKUP(Main_Presentation[[#This Row],[LC Number]],Main_Issuance[],3,0)</f>
        <v>Mohammed Kotb</v>
      </c>
      <c r="E411" s="16" t="s">
        <v>856</v>
      </c>
      <c r="F411" s="17" t="str">
        <f>VLOOKUP(Main_Presentation[[#This Row],[LC Number]],Main_Issuance[],5,0)</f>
        <v>Riyad</v>
      </c>
      <c r="G411" s="17" t="str">
        <f>VLOOKUP(Main_Presentation[[#This Row],[LC Number]],Main_Issuance[],6,0)</f>
        <v>Multipurpose</v>
      </c>
      <c r="H411" s="17" t="str">
        <f>VLOOKUP(Main_Presentation[[#This Row],[LC Number]],Main_Issuance[],17,0)</f>
        <v>Credit</v>
      </c>
      <c r="I411" s="17" t="str">
        <f>VLOOKUP(Main_Presentation[[#This Row],[LC Number]],Main_Issuance[],7,0)</f>
        <v>ELECTRIC HOUSE TRADING COMPANY LLC</v>
      </c>
      <c r="J411" s="17" t="str">
        <f>VLOOKUP(Main_Presentation[[#This Row],[LC Number]],Main_Issuance[],8,0)</f>
        <v>ICAD</v>
      </c>
      <c r="K411" s="17" t="str">
        <f>VLOOKUP(Main_Presentation[[#This Row],[LC Number]],Main_Issuance[],9,0)</f>
        <v>ABHA</v>
      </c>
      <c r="L411" s="17">
        <f>VLOOKUP(Main_Presentation[[#This Row],[LC Number]],Main_Issuance[],10,0)</f>
        <v>1020070</v>
      </c>
      <c r="M411" s="17" t="str">
        <f>VLOOKUP(Main_Presentation[[#This Row],[LC Number]],Main_Issuance[],11,0)</f>
        <v>SAR</v>
      </c>
      <c r="N411" s="84">
        <f>VLOOKUP(Main_Presentation[[#This Row],[LC Number]],Main_Issuance[],12,0)</f>
        <v>7021761.2000000002</v>
      </c>
      <c r="O411" s="16" t="s">
        <v>20</v>
      </c>
      <c r="P411" s="16" t="s">
        <v>857</v>
      </c>
      <c r="Q411" s="131">
        <v>3933398.78</v>
      </c>
      <c r="R411" s="18">
        <v>1</v>
      </c>
      <c r="S411" s="18">
        <f>Main_Presentation[[#This Row],[Invoice Amt (FCY)]]*Main_Presentation[[#This Row],[Rate]]</f>
        <v>3933398.78</v>
      </c>
      <c r="T411" s="15">
        <v>45508</v>
      </c>
      <c r="U411" s="26">
        <f>VLOOKUP(Main_Presentation[[#This Row],[LC Number]],Main_Issuance[],18,0)</f>
        <v>0</v>
      </c>
      <c r="V411" s="19" t="s">
        <v>377</v>
      </c>
      <c r="W411" s="18" t="s">
        <v>857</v>
      </c>
      <c r="X411" s="16"/>
      <c r="Y411" s="234" t="str">
        <f>TRIM(LEFT(Main_Presentation[[#This Row],[Payment Terms]],3))</f>
        <v>0</v>
      </c>
      <c r="Z411" s="16"/>
      <c r="AA411" s="316" cm="1">
        <f t="array" ref="AA411">Settlement(Main_Presentation[[#This Row],[Bank]],Main_Presentation[[#This Row],[ Invoice Amt (SAR)]],Main_Presentation[[#This Row],[Date Recd]],Main_Presentation[[#This Row],[Due Date]],Main_Presentation[[#This Row],[Days]])</f>
        <v>16962.5</v>
      </c>
      <c r="AB411" s="16"/>
    </row>
    <row r="412" spans="1:28" ht="15.75" hidden="1" x14ac:dyDescent="0.25">
      <c r="A412" s="14" t="s">
        <v>79</v>
      </c>
      <c r="B412" s="15">
        <v>45448</v>
      </c>
      <c r="C412" s="26">
        <v>2</v>
      </c>
      <c r="D412" s="55" t="str">
        <f>VLOOKUP(Main_Presentation[[#This Row],[LC Number]],Main_Issuance[],3,0)</f>
        <v>Mohammed Kotb</v>
      </c>
      <c r="E412" s="16" t="s">
        <v>856</v>
      </c>
      <c r="F412" s="17" t="str">
        <f>VLOOKUP(Main_Presentation[[#This Row],[LC Number]],Main_Issuance[],5,0)</f>
        <v>Riyad</v>
      </c>
      <c r="G412" s="17" t="str">
        <f>VLOOKUP(Main_Presentation[[#This Row],[LC Number]],Main_Issuance[],6,0)</f>
        <v>Multipurpose</v>
      </c>
      <c r="H412" s="17" t="str">
        <f>VLOOKUP(Main_Presentation[[#This Row],[LC Number]],Main_Issuance[],17,0)</f>
        <v>Credit</v>
      </c>
      <c r="I412" s="17" t="str">
        <f>VLOOKUP(Main_Presentation[[#This Row],[LC Number]],Main_Issuance[],7,0)</f>
        <v>ELECTRIC HOUSE TRADING COMPANY LLC</v>
      </c>
      <c r="J412" s="17" t="str">
        <f>VLOOKUP(Main_Presentation[[#This Row],[LC Number]],Main_Issuance[],8,0)</f>
        <v>ICAD</v>
      </c>
      <c r="K412" s="17" t="str">
        <f>VLOOKUP(Main_Presentation[[#This Row],[LC Number]],Main_Issuance[],9,0)</f>
        <v>ABHA</v>
      </c>
      <c r="L412" s="17">
        <f>VLOOKUP(Main_Presentation[[#This Row],[LC Number]],Main_Issuance[],10,0)</f>
        <v>1020070</v>
      </c>
      <c r="M412" s="17" t="str">
        <f>VLOOKUP(Main_Presentation[[#This Row],[LC Number]],Main_Issuance[],11,0)</f>
        <v>SAR</v>
      </c>
      <c r="N412" s="84">
        <f>VLOOKUP(Main_Presentation[[#This Row],[LC Number]],Main_Issuance[],12,0)</f>
        <v>7021761.2000000002</v>
      </c>
      <c r="O412" s="16" t="s">
        <v>20</v>
      </c>
      <c r="P412" s="16" t="s">
        <v>857</v>
      </c>
      <c r="Q412" s="131">
        <v>3088362.42</v>
      </c>
      <c r="R412" s="18">
        <v>1</v>
      </c>
      <c r="S412" s="18">
        <f>Main_Presentation[[#This Row],[Invoice Amt (FCY)]]*Main_Presentation[[#This Row],[Rate]]</f>
        <v>3088362.42</v>
      </c>
      <c r="T412" s="15">
        <v>45531</v>
      </c>
      <c r="U412" s="26">
        <f>VLOOKUP(Main_Presentation[[#This Row],[LC Number]],Main_Issuance[],18,0)</f>
        <v>0</v>
      </c>
      <c r="V412" s="19" t="s">
        <v>377</v>
      </c>
      <c r="W412" s="18" t="s">
        <v>857</v>
      </c>
      <c r="X412" s="16"/>
      <c r="Y412" s="234" t="str">
        <f>TRIM(LEFT(Main_Presentation[[#This Row],[Payment Terms]],3))</f>
        <v>0</v>
      </c>
      <c r="Z412" s="16"/>
      <c r="AA412" s="316" cm="1">
        <f t="array" ref="AA412">Settlement(Main_Presentation[[#This Row],[Bank]],Main_Presentation[[#This Row],[ Invoice Amt (SAR)]],Main_Presentation[[#This Row],[Date Recd]],Main_Presentation[[#This Row],[Due Date]],Main_Presentation[[#This Row],[Days]])</f>
        <v>13318.15</v>
      </c>
      <c r="AB412" s="16"/>
    </row>
    <row r="413" spans="1:28" ht="15.75" hidden="1" x14ac:dyDescent="0.25">
      <c r="A413" s="14" t="s">
        <v>82</v>
      </c>
      <c r="B413" s="15">
        <v>45419</v>
      </c>
      <c r="C413" s="26">
        <v>1</v>
      </c>
      <c r="D413" s="55" t="str">
        <f>VLOOKUP(Main_Presentation[[#This Row],[LC Number]],Main_Issuance[],3,0)</f>
        <v>Mohammed Kotb</v>
      </c>
      <c r="E413" s="16" t="s">
        <v>856</v>
      </c>
      <c r="F413" s="17" t="str">
        <f>VLOOKUP(Main_Presentation[[#This Row],[LC Number]],Main_Issuance[],5,0)</f>
        <v>Riyad</v>
      </c>
      <c r="G413" s="17" t="str">
        <f>VLOOKUP(Main_Presentation[[#This Row],[LC Number]],Main_Issuance[],6,0)</f>
        <v>Multipurpose</v>
      </c>
      <c r="H413" s="17" t="str">
        <f>VLOOKUP(Main_Presentation[[#This Row],[LC Number]],Main_Issuance[],17,0)</f>
        <v>Credit</v>
      </c>
      <c r="I413" s="17" t="str">
        <f>VLOOKUP(Main_Presentation[[#This Row],[LC Number]],Main_Issuance[],7,0)</f>
        <v>TRINDEL ARABIA LTD. CO</v>
      </c>
      <c r="J413" s="17" t="str">
        <f>VLOOKUP(Main_Presentation[[#This Row],[LC Number]],Main_Issuance[],8,0)</f>
        <v>ICAD</v>
      </c>
      <c r="K413" s="17" t="str">
        <f>VLOOKUP(Main_Presentation[[#This Row],[LC Number]],Main_Issuance[],9,0)</f>
        <v>ABHA</v>
      </c>
      <c r="L413" s="17">
        <f>VLOOKUP(Main_Presentation[[#This Row],[LC Number]],Main_Issuance[],10,0)</f>
        <v>1020070</v>
      </c>
      <c r="M413" s="17" t="str">
        <f>VLOOKUP(Main_Presentation[[#This Row],[LC Number]],Main_Issuance[],11,0)</f>
        <v>SAR</v>
      </c>
      <c r="N413" s="84">
        <f>VLOOKUP(Main_Presentation[[#This Row],[LC Number]],Main_Issuance[],12,0)</f>
        <v>934375</v>
      </c>
      <c r="O413" s="16" t="s">
        <v>20</v>
      </c>
      <c r="P413" s="16" t="s">
        <v>857</v>
      </c>
      <c r="Q413" s="131">
        <v>934375</v>
      </c>
      <c r="R413" s="18">
        <v>1</v>
      </c>
      <c r="S413" s="18">
        <f>Main_Presentation[[#This Row],[Invoice Amt (FCY)]]*Main_Presentation[[#This Row],[Rate]]</f>
        <v>934375</v>
      </c>
      <c r="T413" s="15">
        <v>45452</v>
      </c>
      <c r="U413" s="26">
        <f>VLOOKUP(Main_Presentation[[#This Row],[LC Number]],Main_Issuance[],18,0)</f>
        <v>0</v>
      </c>
      <c r="V413" s="19" t="s">
        <v>377</v>
      </c>
      <c r="W413" s="18" t="s">
        <v>857</v>
      </c>
      <c r="X413" s="16"/>
      <c r="Y413" s="234" t="str">
        <f>TRIM(LEFT(Main_Presentation[[#This Row],[Payment Terms]],3))</f>
        <v>0</v>
      </c>
      <c r="Z413" s="16"/>
      <c r="AA413" s="316" cm="1">
        <f t="array" ref="AA413">Settlement(Main_Presentation[[#This Row],[Bank]],Main_Presentation[[#This Row],[ Invoice Amt (SAR)]],Main_Presentation[[#This Row],[Date Recd]],Main_Presentation[[#This Row],[Due Date]],Main_Presentation[[#This Row],[Days]])</f>
        <v>1343.2</v>
      </c>
      <c r="AB413" s="16"/>
    </row>
    <row r="414" spans="1:28" ht="15.75" hidden="1" x14ac:dyDescent="0.25">
      <c r="A414" s="14" t="s">
        <v>309</v>
      </c>
      <c r="B414" s="15">
        <v>45517</v>
      </c>
      <c r="C414" s="26">
        <v>1</v>
      </c>
      <c r="D414" s="55" t="str">
        <f>VLOOKUP(Main_Presentation[[#This Row],[LC Number]],Main_Issuance[],3,0)</f>
        <v>Mohammed Kotb</v>
      </c>
      <c r="E414" s="16" t="s">
        <v>856</v>
      </c>
      <c r="F414" s="17" t="str">
        <f>VLOOKUP(Main_Presentation[[#This Row],[LC Number]],Main_Issuance[],5,0)</f>
        <v>Riyad</v>
      </c>
      <c r="G414" s="17" t="str">
        <f>VLOOKUP(Main_Presentation[[#This Row],[LC Number]],Main_Issuance[],6,0)</f>
        <v>Multipurpose</v>
      </c>
      <c r="H414" s="17" t="str">
        <f>VLOOKUP(Main_Presentation[[#This Row],[LC Number]],Main_Issuance[],17,0)</f>
        <v>Credit</v>
      </c>
      <c r="I414" s="17" t="str">
        <f>VLOOKUP(Main_Presentation[[#This Row],[LC Number]],Main_Issuance[],7,0)</f>
        <v>AL FANAR CO. LTD</v>
      </c>
      <c r="J414" s="17" t="str">
        <f>VLOOKUP(Main_Presentation[[#This Row],[LC Number]],Main_Issuance[],8,0)</f>
        <v>ICAD</v>
      </c>
      <c r="K414" s="17" t="str">
        <f>VLOOKUP(Main_Presentation[[#This Row],[LC Number]],Main_Issuance[],9,0)</f>
        <v>ABHA</v>
      </c>
      <c r="L414" s="17">
        <f>VLOOKUP(Main_Presentation[[#This Row],[LC Number]],Main_Issuance[],10,0)</f>
        <v>1020070</v>
      </c>
      <c r="M414" s="17" t="str">
        <f>VLOOKUP(Main_Presentation[[#This Row],[LC Number]],Main_Issuance[],11,0)</f>
        <v>SAR</v>
      </c>
      <c r="N414" s="84">
        <f>VLOOKUP(Main_Presentation[[#This Row],[LC Number]],Main_Issuance[],12,0)</f>
        <v>1409150.2</v>
      </c>
      <c r="O414" s="16" t="s">
        <v>20</v>
      </c>
      <c r="P414" s="16" t="s">
        <v>857</v>
      </c>
      <c r="Q414" s="131">
        <v>337582.04</v>
      </c>
      <c r="R414" s="18">
        <v>1</v>
      </c>
      <c r="S414" s="18">
        <f>Main_Presentation[[#This Row],[Invoice Amt (FCY)]]*Main_Presentation[[#This Row],[Rate]]</f>
        <v>337582.04</v>
      </c>
      <c r="T414" s="15">
        <v>45573</v>
      </c>
      <c r="U414" s="26" t="str">
        <f>VLOOKUP(Main_Presentation[[#This Row],[LC Number]],Main_Issuance[],18,0)</f>
        <v>90 Days from Invoice Date</v>
      </c>
      <c r="V414" s="19" t="s">
        <v>377</v>
      </c>
      <c r="W414" s="18" t="s">
        <v>857</v>
      </c>
      <c r="X414" s="16"/>
      <c r="Y414" s="234" t="str">
        <f>TRIM(LEFT(Main_Presentation[[#This Row],[Payment Terms]],3))</f>
        <v>90</v>
      </c>
      <c r="Z414" s="16"/>
      <c r="AA414" s="316" cm="1">
        <f t="array" ref="AA414">Settlement(Main_Presentation[[#This Row],[Bank]],Main_Presentation[[#This Row],[ Invoice Amt (SAR)]],Main_Presentation[[#This Row],[Date Recd]],Main_Presentation[[#This Row],[Due Date]],Main_Presentation[[#This Row],[Days]])</f>
        <v>970.6</v>
      </c>
      <c r="AB414" s="16"/>
    </row>
    <row r="415" spans="1:28" ht="15.75" hidden="1" x14ac:dyDescent="0.25">
      <c r="A415" s="14" t="s">
        <v>92</v>
      </c>
      <c r="B415" s="15">
        <v>45481</v>
      </c>
      <c r="C415" s="26">
        <v>1</v>
      </c>
      <c r="D415" s="55" t="str">
        <f>VLOOKUP(Main_Presentation[[#This Row],[LC Number]],Main_Issuance[],3,0)</f>
        <v>Mohammed Kotb</v>
      </c>
      <c r="E415" s="16" t="s">
        <v>856</v>
      </c>
      <c r="F415" s="17" t="str">
        <f>VLOOKUP(Main_Presentation[[#This Row],[LC Number]],Main_Issuance[],5,0)</f>
        <v>Riyad</v>
      </c>
      <c r="G415" s="17" t="str">
        <f>VLOOKUP(Main_Presentation[[#This Row],[LC Number]],Main_Issuance[],6,0)</f>
        <v>Multipurpose</v>
      </c>
      <c r="H415" s="17" t="str">
        <f>VLOOKUP(Main_Presentation[[#This Row],[LC Number]],Main_Issuance[],17,0)</f>
        <v>Credit</v>
      </c>
      <c r="I415" s="17" t="str">
        <f>VLOOKUP(Main_Presentation[[#This Row],[LC Number]],Main_Issuance[],7,0)</f>
        <v>DAIKIN AIR CONDITIONING SAUDI ARABI</v>
      </c>
      <c r="J415" s="17" t="str">
        <f>VLOOKUP(Main_Presentation[[#This Row],[LC Number]],Main_Issuance[],8,0)</f>
        <v>ICAD</v>
      </c>
      <c r="K415" s="17" t="str">
        <f>VLOOKUP(Main_Presentation[[#This Row],[LC Number]],Main_Issuance[],9,0)</f>
        <v>ABHA</v>
      </c>
      <c r="L415" s="17">
        <f>VLOOKUP(Main_Presentation[[#This Row],[LC Number]],Main_Issuance[],10,0)</f>
        <v>1020070</v>
      </c>
      <c r="M415" s="17" t="str">
        <f>VLOOKUP(Main_Presentation[[#This Row],[LC Number]],Main_Issuance[],11,0)</f>
        <v>SAR</v>
      </c>
      <c r="N415" s="84">
        <f>VLOOKUP(Main_Presentation[[#This Row],[LC Number]],Main_Issuance[],12,0)</f>
        <v>4783058.92</v>
      </c>
      <c r="O415" s="16" t="s">
        <v>20</v>
      </c>
      <c r="P415" s="16" t="s">
        <v>857</v>
      </c>
      <c r="Q415" s="131">
        <v>2759457.05</v>
      </c>
      <c r="R415" s="18">
        <v>1</v>
      </c>
      <c r="S415" s="18">
        <f>Main_Presentation[[#This Row],[Invoice Amt (FCY)]]*Main_Presentation[[#This Row],[Rate]]</f>
        <v>2759457.05</v>
      </c>
      <c r="T415" s="15">
        <v>45574</v>
      </c>
      <c r="U415" s="26">
        <f>VLOOKUP(Main_Presentation[[#This Row],[LC Number]],Main_Issuance[],18,0)</f>
        <v>0</v>
      </c>
      <c r="V415" s="19" t="s">
        <v>377</v>
      </c>
      <c r="W415" s="18" t="s">
        <v>857</v>
      </c>
      <c r="X415" s="16" t="s">
        <v>862</v>
      </c>
      <c r="Y415" s="234" t="str">
        <f>TRIM(LEFT(Main_Presentation[[#This Row],[Payment Terms]],3))</f>
        <v>0</v>
      </c>
      <c r="Z415" s="16"/>
      <c r="AA415" s="316" cm="1">
        <f t="array" ref="AA415">Settlement(Main_Presentation[[#This Row],[Bank]],Main_Presentation[[#This Row],[ Invoice Amt (SAR)]],Main_Presentation[[#This Row],[Date Recd]],Main_Presentation[[#This Row],[Due Date]],Main_Presentation[[#This Row],[Days]])</f>
        <v>11900.2</v>
      </c>
      <c r="AB415" s="16"/>
    </row>
    <row r="416" spans="1:28" ht="15.75" hidden="1" x14ac:dyDescent="0.25">
      <c r="A416" s="14" t="s">
        <v>92</v>
      </c>
      <c r="B416" s="15">
        <v>45517</v>
      </c>
      <c r="C416" s="26">
        <v>2</v>
      </c>
      <c r="D416" s="55" t="str">
        <f>VLOOKUP(Main_Presentation[[#This Row],[LC Number]],Main_Issuance[],3,0)</f>
        <v>Mohammed Kotb</v>
      </c>
      <c r="E416" s="16" t="s">
        <v>856</v>
      </c>
      <c r="F416" s="17" t="str">
        <f>VLOOKUP(Main_Presentation[[#This Row],[LC Number]],Main_Issuance[],5,0)</f>
        <v>Riyad</v>
      </c>
      <c r="G416" s="17" t="str">
        <f>VLOOKUP(Main_Presentation[[#This Row],[LC Number]],Main_Issuance[],6,0)</f>
        <v>Multipurpose</v>
      </c>
      <c r="H416" s="17" t="str">
        <f>VLOOKUP(Main_Presentation[[#This Row],[LC Number]],Main_Issuance[],17,0)</f>
        <v>Credit</v>
      </c>
      <c r="I416" s="17" t="str">
        <f>VLOOKUP(Main_Presentation[[#This Row],[LC Number]],Main_Issuance[],7,0)</f>
        <v>DAIKIN AIR CONDITIONING SAUDI ARABI</v>
      </c>
      <c r="J416" s="17" t="str">
        <f>VLOOKUP(Main_Presentation[[#This Row],[LC Number]],Main_Issuance[],8,0)</f>
        <v>ICAD</v>
      </c>
      <c r="K416" s="17" t="str">
        <f>VLOOKUP(Main_Presentation[[#This Row],[LC Number]],Main_Issuance[],9,0)</f>
        <v>ABHA</v>
      </c>
      <c r="L416" s="17">
        <f>VLOOKUP(Main_Presentation[[#This Row],[LC Number]],Main_Issuance[],10,0)</f>
        <v>1020070</v>
      </c>
      <c r="M416" s="17" t="str">
        <f>VLOOKUP(Main_Presentation[[#This Row],[LC Number]],Main_Issuance[],11,0)</f>
        <v>SAR</v>
      </c>
      <c r="N416" s="84">
        <f>VLOOKUP(Main_Presentation[[#This Row],[LC Number]],Main_Issuance[],12,0)</f>
        <v>4783058.92</v>
      </c>
      <c r="O416" s="16" t="s">
        <v>20</v>
      </c>
      <c r="P416" s="16" t="s">
        <v>857</v>
      </c>
      <c r="Q416" s="131">
        <v>2023601.87</v>
      </c>
      <c r="R416" s="18">
        <v>1</v>
      </c>
      <c r="S416" s="18">
        <f>Main_Presentation[[#This Row],[Invoice Amt (FCY)]]*Main_Presentation[[#This Row],[Rate]]</f>
        <v>2023601.87</v>
      </c>
      <c r="T416" s="15">
        <v>45579</v>
      </c>
      <c r="U416" s="26">
        <f>VLOOKUP(Main_Presentation[[#This Row],[LC Number]],Main_Issuance[],18,0)</f>
        <v>0</v>
      </c>
      <c r="V416" s="19" t="s">
        <v>377</v>
      </c>
      <c r="W416" s="18" t="s">
        <v>857</v>
      </c>
      <c r="X416" s="16"/>
      <c r="Y416" s="234" t="str">
        <f>TRIM(LEFT(Main_Presentation[[#This Row],[Payment Terms]],3))</f>
        <v>0</v>
      </c>
      <c r="Z416" s="16"/>
      <c r="AA416" s="316" cm="1">
        <f t="array" ref="AA416">Settlement(Main_Presentation[[#This Row],[Bank]],Main_Presentation[[#This Row],[ Invoice Amt (SAR)]],Main_Presentation[[#This Row],[Date Recd]],Main_Presentation[[#This Row],[Due Date]],Main_Presentation[[#This Row],[Days]])</f>
        <v>5817.85</v>
      </c>
      <c r="AB416" s="16"/>
    </row>
    <row r="417" spans="1:28" ht="15.75" hidden="1" x14ac:dyDescent="0.25">
      <c r="A417" s="14" t="s">
        <v>309</v>
      </c>
      <c r="B417" s="15">
        <v>45560</v>
      </c>
      <c r="C417" s="26">
        <v>2</v>
      </c>
      <c r="D417" s="55" t="str">
        <f>VLOOKUP(Main_Presentation[[#This Row],[LC Number]],Main_Issuance[],3,0)</f>
        <v>Mohammed Kotb</v>
      </c>
      <c r="E417" s="16" t="s">
        <v>858</v>
      </c>
      <c r="F417" s="17" t="str">
        <f>VLOOKUP(Main_Presentation[[#This Row],[LC Number]],Main_Issuance[],5,0)</f>
        <v>Riyad</v>
      </c>
      <c r="G417" s="17" t="str">
        <f>VLOOKUP(Main_Presentation[[#This Row],[LC Number]],Main_Issuance[],6,0)</f>
        <v>Multipurpose</v>
      </c>
      <c r="H417" s="17" t="str">
        <f>VLOOKUP(Main_Presentation[[#This Row],[LC Number]],Main_Issuance[],17,0)</f>
        <v>Credit</v>
      </c>
      <c r="I417" s="17" t="str">
        <f>VLOOKUP(Main_Presentation[[#This Row],[LC Number]],Main_Issuance[],7,0)</f>
        <v>AL FANAR CO. LTD</v>
      </c>
      <c r="J417" s="17" t="str">
        <f>VLOOKUP(Main_Presentation[[#This Row],[LC Number]],Main_Issuance[],8,0)</f>
        <v>ICAD</v>
      </c>
      <c r="K417" s="17" t="str">
        <f>VLOOKUP(Main_Presentation[[#This Row],[LC Number]],Main_Issuance[],9,0)</f>
        <v>ABHA</v>
      </c>
      <c r="L417" s="17">
        <f>VLOOKUP(Main_Presentation[[#This Row],[LC Number]],Main_Issuance[],10,0)</f>
        <v>1020070</v>
      </c>
      <c r="M417" s="17" t="str">
        <f>VLOOKUP(Main_Presentation[[#This Row],[LC Number]],Main_Issuance[],11,0)</f>
        <v>SAR</v>
      </c>
      <c r="N417" s="84">
        <f>VLOOKUP(Main_Presentation[[#This Row],[LC Number]],Main_Issuance[],12,0)</f>
        <v>1409150.2</v>
      </c>
      <c r="O417" s="16" t="s">
        <v>20</v>
      </c>
      <c r="P417" s="16" t="s">
        <v>857</v>
      </c>
      <c r="Q417" s="131">
        <v>1071568.1599999999</v>
      </c>
      <c r="R417" s="18">
        <v>1</v>
      </c>
      <c r="S417" s="18">
        <f>Main_Presentation[[#This Row],[Invoice Amt (FCY)]]*Main_Presentation[[#This Row],[Rate]]</f>
        <v>1071568.1599999999</v>
      </c>
      <c r="T417" s="15">
        <v>45579</v>
      </c>
      <c r="U417" s="26" t="str">
        <f>VLOOKUP(Main_Presentation[[#This Row],[LC Number]],Main_Issuance[],18,0)</f>
        <v>90 Days from Invoice Date</v>
      </c>
      <c r="V417" s="19" t="s">
        <v>377</v>
      </c>
      <c r="W417" s="18" t="s">
        <v>857</v>
      </c>
      <c r="X417" s="16" t="s">
        <v>867</v>
      </c>
      <c r="Y417" s="234" t="str">
        <f>TRIM(LEFT(Main_Presentation[[#This Row],[Payment Terms]],3))</f>
        <v>90</v>
      </c>
      <c r="Z417" s="16"/>
      <c r="AA417" s="316" cm="1">
        <f t="array" ref="AA417">Settlement(Main_Presentation[[#This Row],[Bank]],Main_Presentation[[#This Row],[ Invoice Amt (SAR)]],Main_Presentation[[#This Row],[Date Recd]],Main_Presentation[[#This Row],[Due Date]],Main_Presentation[[#This Row],[Days]])</f>
        <v>1539.85</v>
      </c>
      <c r="AB417" s="16"/>
    </row>
    <row r="418" spans="1:28" ht="15.75" hidden="1" x14ac:dyDescent="0.25">
      <c r="A418" s="14" t="s">
        <v>726</v>
      </c>
      <c r="B418" s="15">
        <v>45634</v>
      </c>
      <c r="C418" s="26">
        <v>3</v>
      </c>
      <c r="D418" s="55" t="str">
        <f>VLOOKUP(Main_Presentation[[#This Row],[LC Number]],Main_Issuance[],3,0)</f>
        <v>Mohammed Kotb</v>
      </c>
      <c r="E418" s="16" t="s">
        <v>856</v>
      </c>
      <c r="F418" s="17" t="str">
        <f>VLOOKUP(Main_Presentation[[#This Row],[LC Number]],Main_Issuance[],5,0)</f>
        <v>Riyad</v>
      </c>
      <c r="G418" s="17" t="str">
        <f>VLOOKUP(Main_Presentation[[#This Row],[LC Number]],Main_Issuance[],6,0)</f>
        <v>Cash</v>
      </c>
      <c r="H418" s="17" t="str">
        <f>VLOOKUP(Main_Presentation[[#This Row],[LC Number]],Main_Issuance[],17,0)</f>
        <v>Cash</v>
      </c>
      <c r="I418" s="17" t="str">
        <f>VLOOKUP(Main_Presentation[[#This Row],[LC Number]],Main_Issuance[],7,0)</f>
        <v>AL FANAR CO. LTD</v>
      </c>
      <c r="J418" s="17" t="str">
        <f>VLOOKUP(Main_Presentation[[#This Row],[LC Number]],Main_Issuance[],8,0)</f>
        <v>ICAD</v>
      </c>
      <c r="K418" s="17" t="str">
        <f>VLOOKUP(Main_Presentation[[#This Row],[LC Number]],Main_Issuance[],9,0)</f>
        <v>ABHA</v>
      </c>
      <c r="L418" s="17">
        <f>VLOOKUP(Main_Presentation[[#This Row],[LC Number]],Main_Issuance[],10,0)</f>
        <v>1020070</v>
      </c>
      <c r="M418" s="17" t="str">
        <f>VLOOKUP(Main_Presentation[[#This Row],[LC Number]],Main_Issuance[],11,0)</f>
        <v>SAR</v>
      </c>
      <c r="N418" s="84">
        <f>VLOOKUP(Main_Presentation[[#This Row],[LC Number]],Main_Issuance[],12,0)</f>
        <v>1326959.55</v>
      </c>
      <c r="O418" s="16" t="s">
        <v>20</v>
      </c>
      <c r="P418" s="16" t="s">
        <v>857</v>
      </c>
      <c r="Q418" s="131">
        <v>1285240</v>
      </c>
      <c r="R418" s="18">
        <v>1</v>
      </c>
      <c r="S418" s="18">
        <f>Main_Presentation[[#This Row],[Invoice Amt (FCY)]]*Main_Presentation[[#This Row],[Rate]]</f>
        <v>1285240</v>
      </c>
      <c r="T418" s="15">
        <v>45699</v>
      </c>
      <c r="U418" s="26" t="str">
        <f>VLOOKUP(Main_Presentation[[#This Row],[LC Number]],Main_Issuance[],18,0)</f>
        <v>90 Days from Invoice Date</v>
      </c>
      <c r="V418" s="17" t="s">
        <v>377</v>
      </c>
      <c r="W418" s="22" t="s">
        <v>857</v>
      </c>
      <c r="X418" s="16"/>
      <c r="Y418" s="234" t="str">
        <f>TRIM(LEFT(Main_Presentation[[#This Row],[Payment Terms]],3))</f>
        <v>90</v>
      </c>
      <c r="Z418" s="16"/>
      <c r="AA418" s="316" cm="1">
        <f t="array" ref="AA418">Settlement(Main_Presentation[[#This Row],[Bank]],Main_Presentation[[#This Row],[ Invoice Amt (SAR)]],Main_Presentation[[#This Row],[Date Recd]],Main_Presentation[[#This Row],[Due Date]],Main_Presentation[[#This Row],[Days]])</f>
        <v>3694.95</v>
      </c>
      <c r="AB418" s="16"/>
    </row>
    <row r="419" spans="1:28" ht="15.75" hidden="1" x14ac:dyDescent="0.25">
      <c r="A419" s="14" t="s">
        <v>726</v>
      </c>
      <c r="B419" s="15">
        <v>45706</v>
      </c>
      <c r="C419" s="26">
        <v>4</v>
      </c>
      <c r="D419" s="55" t="str">
        <f>VLOOKUP(Main_Presentation[[#This Row],[LC Number]],Main_Issuance[],3,0)</f>
        <v>Mohammed Kotb</v>
      </c>
      <c r="E419" s="16" t="s">
        <v>856</v>
      </c>
      <c r="F419" s="17" t="str">
        <f>VLOOKUP(Main_Presentation[[#This Row],[LC Number]],Main_Issuance[],5,0)</f>
        <v>Riyad</v>
      </c>
      <c r="G419" s="17" t="str">
        <f>VLOOKUP(Main_Presentation[[#This Row],[LC Number]],Main_Issuance[],6,0)</f>
        <v>Cash</v>
      </c>
      <c r="H419" s="17" t="str">
        <f>VLOOKUP(Main_Presentation[[#This Row],[LC Number]],Main_Issuance[],17,0)</f>
        <v>Cash</v>
      </c>
      <c r="I419" s="17" t="str">
        <f>VLOOKUP(Main_Presentation[[#This Row],[LC Number]],Main_Issuance[],7,0)</f>
        <v>AL FANAR CO. LTD</v>
      </c>
      <c r="J419" s="17" t="str">
        <f>VLOOKUP(Main_Presentation[[#This Row],[LC Number]],Main_Issuance[],8,0)</f>
        <v>ICAD</v>
      </c>
      <c r="K419" s="17" t="str">
        <f>VLOOKUP(Main_Presentation[[#This Row],[LC Number]],Main_Issuance[],9,0)</f>
        <v>ABHA</v>
      </c>
      <c r="L419" s="17">
        <f>VLOOKUP(Main_Presentation[[#This Row],[LC Number]],Main_Issuance[],10,0)</f>
        <v>1020070</v>
      </c>
      <c r="M419" s="17" t="str">
        <f>VLOOKUP(Main_Presentation[[#This Row],[LC Number]],Main_Issuance[],11,0)</f>
        <v>SAR</v>
      </c>
      <c r="N419" s="84">
        <f>VLOOKUP(Main_Presentation[[#This Row],[LC Number]],Main_Issuance[],12,0)</f>
        <v>1326959.55</v>
      </c>
      <c r="O419" s="16" t="s">
        <v>20</v>
      </c>
      <c r="P419" s="16" t="s">
        <v>857</v>
      </c>
      <c r="Q419" s="131">
        <v>41719</v>
      </c>
      <c r="R419" s="18">
        <v>1</v>
      </c>
      <c r="S419" s="18">
        <f>Main_Presentation[[#This Row],[Invoice Amt (FCY)]]*Main_Presentation[[#This Row],[Rate]]</f>
        <v>41719</v>
      </c>
      <c r="T419" s="15">
        <v>45755</v>
      </c>
      <c r="U419" s="26" t="str">
        <f>VLOOKUP(Main_Presentation[[#This Row],[LC Number]],Main_Issuance[],18,0)</f>
        <v>90 Days from Invoice Date</v>
      </c>
      <c r="V419" s="17" t="s">
        <v>377</v>
      </c>
      <c r="W419" s="22" t="s">
        <v>857</v>
      </c>
      <c r="X419" s="16"/>
      <c r="Y419" s="234" t="str">
        <f>TRIM(LEFT(Main_Presentation[[#This Row],[Payment Terms]],3))</f>
        <v>90</v>
      </c>
      <c r="Z419" s="16"/>
      <c r="AA419" s="316" cm="1">
        <f t="array" ref="AA419">Settlement(Main_Presentation[[#This Row],[Bank]],Main_Presentation[[#This Row],[ Invoice Amt (SAR)]],Main_Presentation[[#This Row],[Date Recd]],Main_Presentation[[#This Row],[Due Date]],Main_Presentation[[#This Row],[Days]])</f>
        <v>230</v>
      </c>
      <c r="AB419" s="16"/>
    </row>
    <row r="420" spans="1:28" ht="15.75" hidden="1" x14ac:dyDescent="0.25">
      <c r="A420" s="14" t="s">
        <v>88</v>
      </c>
      <c r="B420" s="15">
        <v>45454</v>
      </c>
      <c r="C420" s="26">
        <v>1</v>
      </c>
      <c r="D420" s="55" t="str">
        <f>VLOOKUP(Main_Presentation[[#This Row],[LC Number]],Main_Issuance[],3,0)</f>
        <v>Bassam Marawie</v>
      </c>
      <c r="E420" s="16" t="s">
        <v>856</v>
      </c>
      <c r="F420" s="17" t="str">
        <f>VLOOKUP(Main_Presentation[[#This Row],[LC Number]],Main_Issuance[],5,0)</f>
        <v>Riyad</v>
      </c>
      <c r="G420" s="17" t="str">
        <f>VLOOKUP(Main_Presentation[[#This Row],[LC Number]],Main_Issuance[],6,0)</f>
        <v>Multipurpose</v>
      </c>
      <c r="H420" s="17" t="str">
        <f>VLOOKUP(Main_Presentation[[#This Row],[LC Number]],Main_Issuance[],17,0)</f>
        <v>Credit</v>
      </c>
      <c r="I420" s="17" t="str">
        <f>VLOOKUP(Main_Presentation[[#This Row],[LC Number]],Main_Issuance[],7,0)</f>
        <v>APTEC SAUDI ARABIA</v>
      </c>
      <c r="J420" s="17" t="str">
        <f>VLOOKUP(Main_Presentation[[#This Row],[LC Number]],Main_Issuance[],8,0)</f>
        <v>ICAD</v>
      </c>
      <c r="K420" s="17" t="str">
        <f>VLOOKUP(Main_Presentation[[#This Row],[LC Number]],Main_Issuance[],9,0)</f>
        <v>ADF</v>
      </c>
      <c r="L420" s="17">
        <f>VLOOKUP(Main_Presentation[[#This Row],[LC Number]],Main_Issuance[],10,0)</f>
        <v>1020001</v>
      </c>
      <c r="M420" s="17" t="str">
        <f>VLOOKUP(Main_Presentation[[#This Row],[LC Number]],Main_Issuance[],11,0)</f>
        <v>SAR</v>
      </c>
      <c r="N420" s="84">
        <f>VLOOKUP(Main_Presentation[[#This Row],[LC Number]],Main_Issuance[],12,0)</f>
        <v>4339603.43</v>
      </c>
      <c r="O420" s="16" t="s">
        <v>20</v>
      </c>
      <c r="P420" s="16" t="s">
        <v>857</v>
      </c>
      <c r="Q420" s="131">
        <v>2815565.86</v>
      </c>
      <c r="R420" s="18">
        <v>1</v>
      </c>
      <c r="S420" s="18">
        <f>Main_Presentation[[#This Row],[Invoice Amt (FCY)]]*Main_Presentation[[#This Row],[Rate]]</f>
        <v>2815565.86</v>
      </c>
      <c r="T420" s="15">
        <v>45454</v>
      </c>
      <c r="U420" s="26">
        <f>VLOOKUP(Main_Presentation[[#This Row],[LC Number]],Main_Issuance[],18,0)</f>
        <v>0</v>
      </c>
      <c r="V420" s="19" t="s">
        <v>90</v>
      </c>
      <c r="W420" s="18" t="s">
        <v>857</v>
      </c>
      <c r="X420" s="16"/>
      <c r="Y420" s="234" t="str">
        <f>TRIM(LEFT(Main_Presentation[[#This Row],[Payment Terms]],3))</f>
        <v>0</v>
      </c>
      <c r="Z420" s="16"/>
      <c r="AA420" s="316" cm="1">
        <f t="array" ref="AA420">Settlement(Main_Presentation[[#This Row],[Bank]],Main_Presentation[[#This Row],[ Invoice Amt (SAR)]],Main_Presentation[[#This Row],[Date Recd]],Main_Presentation[[#This Row],[Due Date]],Main_Presentation[[#This Row],[Days]])</f>
        <v>230</v>
      </c>
      <c r="AB420" s="16"/>
    </row>
    <row r="421" spans="1:28" ht="15.75" hidden="1" x14ac:dyDescent="0.25">
      <c r="A421" s="14" t="s">
        <v>513</v>
      </c>
      <c r="B421" s="15">
        <v>45523</v>
      </c>
      <c r="C421" s="26">
        <v>1</v>
      </c>
      <c r="D421" s="55" t="str">
        <f>VLOOKUP(Main_Presentation[[#This Row],[LC Number]],Main_Issuance[],3,0)</f>
        <v>Bassam Marawie</v>
      </c>
      <c r="E421" s="16" t="s">
        <v>856</v>
      </c>
      <c r="F421" s="17" t="str">
        <f>VLOOKUP(Main_Presentation[[#This Row],[LC Number]],Main_Issuance[],5,0)</f>
        <v>Riyad</v>
      </c>
      <c r="G421" s="17" t="str">
        <f>VLOOKUP(Main_Presentation[[#This Row],[LC Number]],Main_Issuance[],6,0)</f>
        <v>Multipurpose</v>
      </c>
      <c r="H421" s="17" t="str">
        <f>VLOOKUP(Main_Presentation[[#This Row],[LC Number]],Main_Issuance[],17,0)</f>
        <v>Credit</v>
      </c>
      <c r="I421" s="17" t="str">
        <f>VLOOKUP(Main_Presentation[[#This Row],[LC Number]],Main_Issuance[],7,0)</f>
        <v>SPECIALIZED SECURITY SERVICES</v>
      </c>
      <c r="J421" s="17" t="str">
        <f>VLOOKUP(Main_Presentation[[#This Row],[LC Number]],Main_Issuance[],8,0)</f>
        <v>ICAD</v>
      </c>
      <c r="K421" s="17" t="str">
        <f>VLOOKUP(Main_Presentation[[#This Row],[LC Number]],Main_Issuance[],9,0)</f>
        <v>ADF</v>
      </c>
      <c r="L421" s="17">
        <f>VLOOKUP(Main_Presentation[[#This Row],[LC Number]],Main_Issuance[],10,0)</f>
        <v>1020001</v>
      </c>
      <c r="M421" s="17" t="str">
        <f>VLOOKUP(Main_Presentation[[#This Row],[LC Number]],Main_Issuance[],11,0)</f>
        <v>SAR</v>
      </c>
      <c r="N421" s="84">
        <f>VLOOKUP(Main_Presentation[[#This Row],[LC Number]],Main_Issuance[],12,0)</f>
        <v>8343884.8700000001</v>
      </c>
      <c r="O421" s="16" t="s">
        <v>20</v>
      </c>
      <c r="P421" s="16" t="s">
        <v>857</v>
      </c>
      <c r="Q421" s="131">
        <v>2946990.35</v>
      </c>
      <c r="R421" s="18">
        <v>1</v>
      </c>
      <c r="S421" s="18">
        <f>Main_Presentation[[#This Row],[Invoice Amt (FCY)]]*Main_Presentation[[#This Row],[Rate]]</f>
        <v>2946990.35</v>
      </c>
      <c r="T421" s="15">
        <v>45574</v>
      </c>
      <c r="U421" s="26">
        <f>VLOOKUP(Main_Presentation[[#This Row],[LC Number]],Main_Issuance[],18,0)</f>
        <v>0</v>
      </c>
      <c r="V421" s="19" t="s">
        <v>90</v>
      </c>
      <c r="W421" s="18" t="s">
        <v>857</v>
      </c>
      <c r="X421" s="16" t="s">
        <v>861</v>
      </c>
      <c r="Y421" s="234" t="str">
        <f>TRIM(LEFT(Main_Presentation[[#This Row],[Payment Terms]],3))</f>
        <v>0</v>
      </c>
      <c r="Z421" s="16"/>
      <c r="AA421" s="316" cm="1">
        <f t="array" ref="AA421">Settlement(Main_Presentation[[#This Row],[Bank]],Main_Presentation[[#This Row],[ Invoice Amt (SAR)]],Main_Presentation[[#This Row],[Date Recd]],Main_Presentation[[#This Row],[Due Date]],Main_Presentation[[#This Row],[Days]])</f>
        <v>8472.0499999999993</v>
      </c>
      <c r="AB421" s="16"/>
    </row>
    <row r="422" spans="1:28" ht="15.75" hidden="1" x14ac:dyDescent="0.25">
      <c r="A422" s="14" t="s">
        <v>88</v>
      </c>
      <c r="B422" s="15">
        <v>45552</v>
      </c>
      <c r="C422" s="26">
        <v>2</v>
      </c>
      <c r="D422" s="55" t="str">
        <f>VLOOKUP(Main_Presentation[[#This Row],[LC Number]],Main_Issuance[],3,0)</f>
        <v>Bassam Marawie</v>
      </c>
      <c r="E422" s="16" t="s">
        <v>858</v>
      </c>
      <c r="F422" s="17" t="str">
        <f>VLOOKUP(Main_Presentation[[#This Row],[LC Number]],Main_Issuance[],5,0)</f>
        <v>Riyad</v>
      </c>
      <c r="G422" s="17" t="str">
        <f>VLOOKUP(Main_Presentation[[#This Row],[LC Number]],Main_Issuance[],6,0)</f>
        <v>Multipurpose</v>
      </c>
      <c r="H422" s="17" t="str">
        <f>VLOOKUP(Main_Presentation[[#This Row],[LC Number]],Main_Issuance[],17,0)</f>
        <v>Credit</v>
      </c>
      <c r="I422" s="17" t="str">
        <f>VLOOKUP(Main_Presentation[[#This Row],[LC Number]],Main_Issuance[],7,0)</f>
        <v>APTEC SAUDI ARABIA</v>
      </c>
      <c r="J422" s="17" t="str">
        <f>VLOOKUP(Main_Presentation[[#This Row],[LC Number]],Main_Issuance[],8,0)</f>
        <v>ICAD</v>
      </c>
      <c r="K422" s="17" t="str">
        <f>VLOOKUP(Main_Presentation[[#This Row],[LC Number]],Main_Issuance[],9,0)</f>
        <v>ADF</v>
      </c>
      <c r="L422" s="17">
        <f>VLOOKUP(Main_Presentation[[#This Row],[LC Number]],Main_Issuance[],10,0)</f>
        <v>1020001</v>
      </c>
      <c r="M422" s="17" t="str">
        <f>VLOOKUP(Main_Presentation[[#This Row],[LC Number]],Main_Issuance[],11,0)</f>
        <v>SAR</v>
      </c>
      <c r="N422" s="84">
        <f>VLOOKUP(Main_Presentation[[#This Row],[LC Number]],Main_Issuance[],12,0)</f>
        <v>4339603.43</v>
      </c>
      <c r="O422" s="16" t="s">
        <v>20</v>
      </c>
      <c r="P422" s="16" t="s">
        <v>857</v>
      </c>
      <c r="Q422" s="131">
        <v>1306358.96</v>
      </c>
      <c r="R422" s="18">
        <v>1</v>
      </c>
      <c r="S422" s="18">
        <f>Main_Presentation[[#This Row],[Invoice Amt (FCY)]]*Main_Presentation[[#This Row],[Rate]]</f>
        <v>1306358.96</v>
      </c>
      <c r="T422" s="15">
        <v>45579</v>
      </c>
      <c r="U422" s="26">
        <f>VLOOKUP(Main_Presentation[[#This Row],[LC Number]],Main_Issuance[],18,0)</f>
        <v>0</v>
      </c>
      <c r="V422" s="19" t="s">
        <v>90</v>
      </c>
      <c r="W422" s="18" t="s">
        <v>857</v>
      </c>
      <c r="X422" s="16" t="s">
        <v>865</v>
      </c>
      <c r="Y422" s="234" t="str">
        <f>TRIM(LEFT(Main_Presentation[[#This Row],[Payment Terms]],3))</f>
        <v>0</v>
      </c>
      <c r="Z422" s="16"/>
      <c r="AA422" s="316" cm="1">
        <f t="array" ref="AA422">Settlement(Main_Presentation[[#This Row],[Bank]],Main_Presentation[[#This Row],[ Invoice Amt (SAR)]],Main_Presentation[[#This Row],[Date Recd]],Main_Presentation[[#This Row],[Due Date]],Main_Presentation[[#This Row],[Days]])</f>
        <v>1877.95</v>
      </c>
      <c r="AB422" s="16"/>
    </row>
    <row r="423" spans="1:28" ht="15.75" hidden="1" x14ac:dyDescent="0.25">
      <c r="A423" s="14" t="s">
        <v>312</v>
      </c>
      <c r="B423" s="15">
        <v>45560</v>
      </c>
      <c r="C423" s="26">
        <v>1</v>
      </c>
      <c r="D423" s="55" t="str">
        <f>VLOOKUP(Main_Presentation[[#This Row],[LC Number]],Main_Issuance[],3,0)</f>
        <v>Bassam Marawie</v>
      </c>
      <c r="E423" s="16" t="s">
        <v>856</v>
      </c>
      <c r="F423" s="17" t="str">
        <f>VLOOKUP(Main_Presentation[[#This Row],[LC Number]],Main_Issuance[],5,0)</f>
        <v>Riyad</v>
      </c>
      <c r="G423" s="17" t="str">
        <f>VLOOKUP(Main_Presentation[[#This Row],[LC Number]],Main_Issuance[],6,0)</f>
        <v>Multipurpose</v>
      </c>
      <c r="H423" s="17" t="str">
        <f>VLOOKUP(Main_Presentation[[#This Row],[LC Number]],Main_Issuance[],17,0)</f>
        <v>Credit</v>
      </c>
      <c r="I423" s="17" t="str">
        <f>VLOOKUP(Main_Presentation[[#This Row],[LC Number]],Main_Issuance[],7,0)</f>
        <v>APTEC SAUDI ARABIA</v>
      </c>
      <c r="J423" s="17" t="str">
        <f>VLOOKUP(Main_Presentation[[#This Row],[LC Number]],Main_Issuance[],8,0)</f>
        <v>ICAD</v>
      </c>
      <c r="K423" s="17" t="str">
        <f>VLOOKUP(Main_Presentation[[#This Row],[LC Number]],Main_Issuance[],9,0)</f>
        <v>ADF</v>
      </c>
      <c r="L423" s="17">
        <f>VLOOKUP(Main_Presentation[[#This Row],[LC Number]],Main_Issuance[],10,0)</f>
        <v>1020001</v>
      </c>
      <c r="M423" s="17" t="str">
        <f>VLOOKUP(Main_Presentation[[#This Row],[LC Number]],Main_Issuance[],11,0)</f>
        <v>SAR</v>
      </c>
      <c r="N423" s="84">
        <f>VLOOKUP(Main_Presentation[[#This Row],[LC Number]],Main_Issuance[],12,0)</f>
        <v>5540467.0099999998</v>
      </c>
      <c r="O423" s="16" t="s">
        <v>20</v>
      </c>
      <c r="P423" s="16" t="s">
        <v>857</v>
      </c>
      <c r="Q423" s="131">
        <v>5540367.0099999998</v>
      </c>
      <c r="R423" s="18">
        <v>1</v>
      </c>
      <c r="S423" s="18">
        <f>Main_Presentation[[#This Row],[Invoice Amt (FCY)]]*Main_Presentation[[#This Row],[Rate]]</f>
        <v>5540367.0099999998</v>
      </c>
      <c r="T423" s="15">
        <v>45579</v>
      </c>
      <c r="U423" s="26">
        <f>VLOOKUP(Main_Presentation[[#This Row],[LC Number]],Main_Issuance[],18,0)</f>
        <v>0</v>
      </c>
      <c r="V423" s="19" t="s">
        <v>90</v>
      </c>
      <c r="W423" s="18" t="s">
        <v>857</v>
      </c>
      <c r="X423" s="16" t="s">
        <v>866</v>
      </c>
      <c r="Y423" s="234" t="str">
        <f>TRIM(LEFT(Main_Presentation[[#This Row],[Payment Terms]],3))</f>
        <v>0</v>
      </c>
      <c r="Z423" s="16"/>
      <c r="AA423" s="316" cm="1">
        <f t="array" ref="AA423">Settlement(Main_Presentation[[#This Row],[Bank]],Main_Presentation[[#This Row],[ Invoice Amt (SAR)]],Main_Presentation[[#This Row],[Date Recd]],Main_Presentation[[#This Row],[Due Date]],Main_Presentation[[#This Row],[Days]])</f>
        <v>7963.75</v>
      </c>
      <c r="AB423" s="16"/>
    </row>
    <row r="424" spans="1:28" ht="15.75" hidden="1" x14ac:dyDescent="0.25">
      <c r="A424" s="14" t="s">
        <v>513</v>
      </c>
      <c r="B424" s="15">
        <v>45560</v>
      </c>
      <c r="C424" s="26">
        <v>2</v>
      </c>
      <c r="D424" s="55" t="str">
        <f>VLOOKUP(Main_Presentation[[#This Row],[LC Number]],Main_Issuance[],3,0)</f>
        <v>Bassam Marawie</v>
      </c>
      <c r="E424" s="16" t="s">
        <v>856</v>
      </c>
      <c r="F424" s="17" t="str">
        <f>VLOOKUP(Main_Presentation[[#This Row],[LC Number]],Main_Issuance[],5,0)</f>
        <v>Riyad</v>
      </c>
      <c r="G424" s="17" t="str">
        <f>VLOOKUP(Main_Presentation[[#This Row],[LC Number]],Main_Issuance[],6,0)</f>
        <v>Multipurpose</v>
      </c>
      <c r="H424" s="17" t="str">
        <f>VLOOKUP(Main_Presentation[[#This Row],[LC Number]],Main_Issuance[],17,0)</f>
        <v>Credit</v>
      </c>
      <c r="I424" s="17" t="str">
        <f>VLOOKUP(Main_Presentation[[#This Row],[LC Number]],Main_Issuance[],7,0)</f>
        <v>SPECIALIZED SECURITY SERVICES</v>
      </c>
      <c r="J424" s="17" t="str">
        <f>VLOOKUP(Main_Presentation[[#This Row],[LC Number]],Main_Issuance[],8,0)</f>
        <v>ICAD</v>
      </c>
      <c r="K424" s="17" t="str">
        <f>VLOOKUP(Main_Presentation[[#This Row],[LC Number]],Main_Issuance[],9,0)</f>
        <v>ADF</v>
      </c>
      <c r="L424" s="17">
        <f>VLOOKUP(Main_Presentation[[#This Row],[LC Number]],Main_Issuance[],10,0)</f>
        <v>1020001</v>
      </c>
      <c r="M424" s="17" t="str">
        <f>VLOOKUP(Main_Presentation[[#This Row],[LC Number]],Main_Issuance[],11,0)</f>
        <v>SAR</v>
      </c>
      <c r="N424" s="84">
        <f>VLOOKUP(Main_Presentation[[#This Row],[LC Number]],Main_Issuance[],12,0)</f>
        <v>8343884.8700000001</v>
      </c>
      <c r="O424" s="16" t="s">
        <v>20</v>
      </c>
      <c r="P424" s="16" t="s">
        <v>857</v>
      </c>
      <c r="Q424" s="131">
        <v>4644550.7699999996</v>
      </c>
      <c r="R424" s="18">
        <v>1</v>
      </c>
      <c r="S424" s="18">
        <f>Main_Presentation[[#This Row],[Invoice Amt (FCY)]]*Main_Presentation[[#This Row],[Rate]]</f>
        <v>4644550.7699999996</v>
      </c>
      <c r="T424" s="15">
        <v>45579</v>
      </c>
      <c r="U424" s="26">
        <f>VLOOKUP(Main_Presentation[[#This Row],[LC Number]],Main_Issuance[],18,0)</f>
        <v>0</v>
      </c>
      <c r="V424" s="19" t="s">
        <v>90</v>
      </c>
      <c r="W424" s="18" t="s">
        <v>857</v>
      </c>
      <c r="X424" s="16" t="s">
        <v>868</v>
      </c>
      <c r="Y424" s="234" t="str">
        <f>TRIM(LEFT(Main_Presentation[[#This Row],[Payment Terms]],3))</f>
        <v>0</v>
      </c>
      <c r="Z424" s="16"/>
      <c r="AA424" s="316" cm="1">
        <f t="array" ref="AA424">Settlement(Main_Presentation[[#This Row],[Bank]],Main_Presentation[[#This Row],[ Invoice Amt (SAR)]],Main_Presentation[[#This Row],[Date Recd]],Main_Presentation[[#This Row],[Due Date]],Main_Presentation[[#This Row],[Days]])</f>
        <v>6676.9</v>
      </c>
      <c r="AB424" s="16"/>
    </row>
    <row r="425" spans="1:28" ht="15.75" hidden="1" x14ac:dyDescent="0.25">
      <c r="A425" s="14" t="s">
        <v>313</v>
      </c>
      <c r="B425" s="15">
        <v>45596</v>
      </c>
      <c r="C425" s="26">
        <v>3</v>
      </c>
      <c r="D425" s="55" t="str">
        <f>VLOOKUP(Main_Presentation[[#This Row],[LC Number]],Main_Issuance[],3,0)</f>
        <v>Bassam Marawie</v>
      </c>
      <c r="E425" s="16" t="s">
        <v>856</v>
      </c>
      <c r="F425" s="17" t="str">
        <f>VLOOKUP(Main_Presentation[[#This Row],[LC Number]],Main_Issuance[],5,0)</f>
        <v>Riyad</v>
      </c>
      <c r="G425" s="17" t="str">
        <f>VLOOKUP(Main_Presentation[[#This Row],[LC Number]],Main_Issuance[],6,0)</f>
        <v>Cash</v>
      </c>
      <c r="H425" s="17" t="str">
        <f>VLOOKUP(Main_Presentation[[#This Row],[LC Number]],Main_Issuance[],17,0)</f>
        <v>Cash</v>
      </c>
      <c r="I425" s="17" t="str">
        <f>VLOOKUP(Main_Presentation[[#This Row],[LC Number]],Main_Issuance[],7,0)</f>
        <v>SPECIALIZED SECURITY SERVICES</v>
      </c>
      <c r="J425" s="17" t="str">
        <f>VLOOKUP(Main_Presentation[[#This Row],[LC Number]],Main_Issuance[],8,0)</f>
        <v>ICAD</v>
      </c>
      <c r="K425" s="17" t="str">
        <f>VLOOKUP(Main_Presentation[[#This Row],[LC Number]],Main_Issuance[],9,0)</f>
        <v>ADF</v>
      </c>
      <c r="L425" s="17">
        <f>VLOOKUP(Main_Presentation[[#This Row],[LC Number]],Main_Issuance[],10,0)</f>
        <v>1020001</v>
      </c>
      <c r="M425" s="17" t="str">
        <f>VLOOKUP(Main_Presentation[[#This Row],[LC Number]],Main_Issuance[],11,0)</f>
        <v>SAR</v>
      </c>
      <c r="N425" s="84">
        <f>VLOOKUP(Main_Presentation[[#This Row],[LC Number]],Main_Issuance[],12,0)</f>
        <v>4219083.67</v>
      </c>
      <c r="O425" s="16" t="s">
        <v>20</v>
      </c>
      <c r="P425" s="16" t="s">
        <v>857</v>
      </c>
      <c r="Q425" s="131">
        <f>4971427.42-752343.75</f>
        <v>4219083.67</v>
      </c>
      <c r="R425" s="18">
        <v>1</v>
      </c>
      <c r="S425" s="18">
        <f>Main_Presentation[[#This Row],[Invoice Amt (FCY)]]*Main_Presentation[[#This Row],[Rate]]</f>
        <v>4219083.67</v>
      </c>
      <c r="T425" s="15">
        <v>45620</v>
      </c>
      <c r="U425" s="26">
        <f>VLOOKUP(Main_Presentation[[#This Row],[LC Number]],Main_Issuance[],18,0)</f>
        <v>0</v>
      </c>
      <c r="V425" s="19" t="s">
        <v>90</v>
      </c>
      <c r="W425" s="18" t="s">
        <v>857</v>
      </c>
      <c r="X425" s="16" t="s">
        <v>875</v>
      </c>
      <c r="Y425" s="234" t="str">
        <f>TRIM(LEFT(Main_Presentation[[#This Row],[Payment Terms]],3))</f>
        <v>0</v>
      </c>
      <c r="Z425" s="16"/>
      <c r="AA425" s="316" cm="1">
        <f t="array" ref="AA425">Settlement(Main_Presentation[[#This Row],[Bank]],Main_Presentation[[#This Row],[ Invoice Amt (SAR)]],Main_Presentation[[#This Row],[Date Recd]],Main_Presentation[[#This Row],[Due Date]],Main_Presentation[[#This Row],[Days]])</f>
        <v>6065.1</v>
      </c>
      <c r="AB425" s="16"/>
    </row>
    <row r="426" spans="1:28" ht="15.75" hidden="1" x14ac:dyDescent="0.25">
      <c r="A426" s="14" t="s">
        <v>513</v>
      </c>
      <c r="B426" s="15">
        <v>45596</v>
      </c>
      <c r="C426" s="26">
        <v>3</v>
      </c>
      <c r="D426" s="55" t="str">
        <f>VLOOKUP(Main_Presentation[[#This Row],[LC Number]],Main_Issuance[],3,0)</f>
        <v>Bassam Marawie</v>
      </c>
      <c r="E426" s="16" t="s">
        <v>856</v>
      </c>
      <c r="F426" s="17" t="str">
        <f>VLOOKUP(Main_Presentation[[#This Row],[LC Number]],Main_Issuance[],5,0)</f>
        <v>Riyad</v>
      </c>
      <c r="G426" s="17" t="str">
        <f>VLOOKUP(Main_Presentation[[#This Row],[LC Number]],Main_Issuance[],6,0)</f>
        <v>Multipurpose</v>
      </c>
      <c r="H426" s="17" t="str">
        <f>VLOOKUP(Main_Presentation[[#This Row],[LC Number]],Main_Issuance[],17,0)</f>
        <v>Credit</v>
      </c>
      <c r="I426" s="17" t="str">
        <f>VLOOKUP(Main_Presentation[[#This Row],[LC Number]],Main_Issuance[],7,0)</f>
        <v>SPECIALIZED SECURITY SERVICES</v>
      </c>
      <c r="J426" s="17" t="str">
        <f>VLOOKUP(Main_Presentation[[#This Row],[LC Number]],Main_Issuance[],8,0)</f>
        <v>ICAD</v>
      </c>
      <c r="K426" s="17" t="str">
        <f>VLOOKUP(Main_Presentation[[#This Row],[LC Number]],Main_Issuance[],9,0)</f>
        <v>ADF</v>
      </c>
      <c r="L426" s="17">
        <f>VLOOKUP(Main_Presentation[[#This Row],[LC Number]],Main_Issuance[],10,0)</f>
        <v>1020001</v>
      </c>
      <c r="M426" s="17" t="str">
        <f>VLOOKUP(Main_Presentation[[#This Row],[LC Number]],Main_Issuance[],11,0)</f>
        <v>SAR</v>
      </c>
      <c r="N426" s="84">
        <f>VLOOKUP(Main_Presentation[[#This Row],[LC Number]],Main_Issuance[],12,0)</f>
        <v>8343884.8700000001</v>
      </c>
      <c r="O426" s="16" t="s">
        <v>20</v>
      </c>
      <c r="P426" s="16" t="s">
        <v>857</v>
      </c>
      <c r="Q426" s="131">
        <v>752343.75</v>
      </c>
      <c r="R426" s="18">
        <v>1</v>
      </c>
      <c r="S426" s="18">
        <f>Main_Presentation[[#This Row],[Invoice Amt (FCY)]]*Main_Presentation[[#This Row],[Rate]]</f>
        <v>752343.75</v>
      </c>
      <c r="T426" s="15">
        <v>45620</v>
      </c>
      <c r="U426" s="26">
        <f>VLOOKUP(Main_Presentation[[#This Row],[LC Number]],Main_Issuance[],18,0)</f>
        <v>0</v>
      </c>
      <c r="V426" s="19" t="s">
        <v>377</v>
      </c>
      <c r="W426" s="22" t="s">
        <v>378</v>
      </c>
      <c r="X426" s="16" t="s">
        <v>875</v>
      </c>
      <c r="Y426" s="234" t="str">
        <f>TRIM(LEFT(Main_Presentation[[#This Row],[Payment Terms]],3))</f>
        <v>0</v>
      </c>
      <c r="Z426" s="16"/>
      <c r="AA426" s="316" cm="1">
        <f t="array" ref="AA426">Settlement(Main_Presentation[[#This Row],[Bank]],Main_Presentation[[#This Row],[ Invoice Amt (SAR)]],Main_Presentation[[#This Row],[Date Recd]],Main_Presentation[[#This Row],[Due Date]],Main_Presentation[[#This Row],[Days]])</f>
        <v>1081</v>
      </c>
      <c r="AB426" s="16"/>
    </row>
    <row r="427" spans="1:28" ht="15.75" hidden="1" x14ac:dyDescent="0.25">
      <c r="A427" s="14" t="s">
        <v>725</v>
      </c>
      <c r="B427" s="15">
        <v>45645</v>
      </c>
      <c r="C427" s="26">
        <v>2</v>
      </c>
      <c r="D427" s="55" t="str">
        <f>VLOOKUP(Main_Presentation[[#This Row],[LC Number]],Main_Issuance[],3,0)</f>
        <v>Bassam Marawie</v>
      </c>
      <c r="E427" s="16" t="s">
        <v>858</v>
      </c>
      <c r="F427" s="17" t="str">
        <f>VLOOKUP(Main_Presentation[[#This Row],[LC Number]],Main_Issuance[],5,0)</f>
        <v>Riyad</v>
      </c>
      <c r="G427" s="17" t="str">
        <f>VLOOKUP(Main_Presentation[[#This Row],[LC Number]],Main_Issuance[],6,0)</f>
        <v>Cash</v>
      </c>
      <c r="H427" s="17" t="str">
        <f>VLOOKUP(Main_Presentation[[#This Row],[LC Number]],Main_Issuance[],17,0)</f>
        <v>Cash</v>
      </c>
      <c r="I427" s="17" t="str">
        <f>VLOOKUP(Main_Presentation[[#This Row],[LC Number]],Main_Issuance[],7,0)</f>
        <v>APTEC SAUDI ARABIA</v>
      </c>
      <c r="J427" s="17" t="str">
        <f>VLOOKUP(Main_Presentation[[#This Row],[LC Number]],Main_Issuance[],8,0)</f>
        <v>ICAD</v>
      </c>
      <c r="K427" s="17" t="str">
        <f>VLOOKUP(Main_Presentation[[#This Row],[LC Number]],Main_Issuance[],9,0)</f>
        <v>ADF</v>
      </c>
      <c r="L427" s="17">
        <f>VLOOKUP(Main_Presentation[[#This Row],[LC Number]],Main_Issuance[],10,0)</f>
        <v>1020001</v>
      </c>
      <c r="M427" s="17" t="str">
        <f>VLOOKUP(Main_Presentation[[#This Row],[LC Number]],Main_Issuance[],11,0)</f>
        <v>SAR</v>
      </c>
      <c r="N427" s="84">
        <f>VLOOKUP(Main_Presentation[[#This Row],[LC Number]],Main_Issuance[],12,0)</f>
        <v>2878521.22</v>
      </c>
      <c r="O427" s="16" t="s">
        <v>20</v>
      </c>
      <c r="P427" s="16" t="s">
        <v>857</v>
      </c>
      <c r="Q427" s="131">
        <v>1630501.23</v>
      </c>
      <c r="R427" s="18">
        <v>1</v>
      </c>
      <c r="S427" s="18">
        <f>Main_Presentation[[#This Row],[Invoice Amt (FCY)]]*Main_Presentation[[#This Row],[Rate]]</f>
        <v>1630501.23</v>
      </c>
      <c r="T427" s="15">
        <v>45704</v>
      </c>
      <c r="U427" s="26">
        <f>VLOOKUP(Main_Presentation[[#This Row],[LC Number]],Main_Issuance[],18,0)</f>
        <v>0</v>
      </c>
      <c r="V427" s="19" t="s">
        <v>90</v>
      </c>
      <c r="W427" s="18" t="s">
        <v>857</v>
      </c>
      <c r="X427" s="16"/>
      <c r="Y427" s="234" t="str">
        <f>TRIM(LEFT(Main_Presentation[[#This Row],[Payment Terms]],3))</f>
        <v>0</v>
      </c>
      <c r="Z427" s="16"/>
      <c r="AA427" s="316" cm="1">
        <f t="array" ref="AA427">Settlement(Main_Presentation[[#This Row],[Bank]],Main_Presentation[[#This Row],[ Invoice Amt (SAR)]],Main_Presentation[[#This Row],[Date Recd]],Main_Presentation[[#This Row],[Due Date]],Main_Presentation[[#This Row],[Days]])</f>
        <v>4687.3999999999996</v>
      </c>
      <c r="AB427" s="16"/>
    </row>
    <row r="428" spans="1:28" ht="15.75" hidden="1" x14ac:dyDescent="0.25">
      <c r="A428" s="14" t="s">
        <v>75</v>
      </c>
      <c r="B428" s="15">
        <v>45411</v>
      </c>
      <c r="C428" s="26">
        <v>1</v>
      </c>
      <c r="D428" s="55" t="str">
        <f>VLOOKUP(Main_Presentation[[#This Row],[LC Number]],Main_Issuance[],3,0)</f>
        <v>Rabih Makhoul</v>
      </c>
      <c r="E428" s="16" t="s">
        <v>856</v>
      </c>
      <c r="F428" s="17" t="str">
        <f>VLOOKUP(Main_Presentation[[#This Row],[LC Number]],Main_Issuance[],5,0)</f>
        <v>Riyad</v>
      </c>
      <c r="G428" s="17" t="str">
        <f>VLOOKUP(Main_Presentation[[#This Row],[LC Number]],Main_Issuance[],6,0)</f>
        <v>Multipurpose</v>
      </c>
      <c r="H428" s="17" t="str">
        <f>VLOOKUP(Main_Presentation[[#This Row],[LC Number]],Main_Issuance[],17,0)</f>
        <v>Credit</v>
      </c>
      <c r="I428" s="17" t="str">
        <f>VLOOKUP(Main_Presentation[[#This Row],[LC Number]],Main_Issuance[],7,0)</f>
        <v>PETER CREMER GMBH</v>
      </c>
      <c r="J428" s="17" t="str">
        <f>VLOOKUP(Main_Presentation[[#This Row],[LC Number]],Main_Issuance[],8,0)</f>
        <v>MBL</v>
      </c>
      <c r="K428" s="17" t="str">
        <f>VLOOKUP(Main_Presentation[[#This Row],[LC Number]],Main_Issuance[],9,0)</f>
        <v>JCD</v>
      </c>
      <c r="L428" s="17">
        <f>VLOOKUP(Main_Presentation[[#This Row],[LC Number]],Main_Issuance[],10,0)</f>
        <v>1020051</v>
      </c>
      <c r="M428" s="17" t="str">
        <f>VLOOKUP(Main_Presentation[[#This Row],[LC Number]],Main_Issuance[],11,0)</f>
        <v>USD</v>
      </c>
      <c r="N428" s="84">
        <f>VLOOKUP(Main_Presentation[[#This Row],[LC Number]],Main_Issuance[],12,0)</f>
        <v>6638408.9000000004</v>
      </c>
      <c r="O428" s="16" t="s">
        <v>20</v>
      </c>
      <c r="P428" s="16" t="s">
        <v>857</v>
      </c>
      <c r="Q428" s="131">
        <v>6638408.9000000004</v>
      </c>
      <c r="R428" s="18">
        <v>3.7513000000000001</v>
      </c>
      <c r="S428" s="18">
        <f>Main_Presentation[[#This Row],[Invoice Amt (FCY)]]*Main_Presentation[[#This Row],[Rate]]</f>
        <v>24902663.306570001</v>
      </c>
      <c r="T428" s="15">
        <v>45549</v>
      </c>
      <c r="U428" s="26" t="str">
        <f>VLOOKUP(Main_Presentation[[#This Row],[LC Number]],Main_Issuance[],18,0)</f>
        <v xml:space="preserve">21 days from the shipment </v>
      </c>
      <c r="V428" s="19" t="s">
        <v>407</v>
      </c>
      <c r="W428" s="18" t="s">
        <v>857</v>
      </c>
      <c r="X428" s="16"/>
      <c r="Y428" s="234" t="str">
        <f>TRIM(LEFT(Main_Presentation[[#This Row],[Payment Terms]],3))</f>
        <v>21</v>
      </c>
      <c r="Z428" s="16"/>
      <c r="AA428" s="316" cm="1">
        <f t="array" ref="AA428">Settlement(Main_Presentation[[#This Row],[Bank]],Main_Presentation[[#This Row],[ Invoice Amt (SAR)]],Main_Presentation[[#This Row],[Date Recd]],Main_Presentation[[#This Row],[Due Date]],Main_Presentation[[#This Row],[Days]])</f>
        <v>143189.95000000001</v>
      </c>
      <c r="AB428" s="16"/>
    </row>
    <row r="429" spans="1:28" ht="15.75" hidden="1" x14ac:dyDescent="0.25">
      <c r="A429" s="14" t="s">
        <v>210</v>
      </c>
      <c r="B429" s="15">
        <v>45326</v>
      </c>
      <c r="C429" s="26">
        <v>1</v>
      </c>
      <c r="D429" s="55" t="str">
        <f>VLOOKUP(Main_Presentation[[#This Row],[LC Number]],Main_Issuance[],3,0)</f>
        <v>Rabih Makhoul</v>
      </c>
      <c r="E429" s="16" t="s">
        <v>856</v>
      </c>
      <c r="F429" s="17" t="str">
        <f>VLOOKUP(Main_Presentation[[#This Row],[LC Number]],Main_Issuance[],5,0)</f>
        <v>Riyad</v>
      </c>
      <c r="G429" s="17" t="str">
        <f>VLOOKUP(Main_Presentation[[#This Row],[LC Number]],Main_Issuance[],6,0)</f>
        <v>Multipurpose</v>
      </c>
      <c r="H429" s="17" t="str">
        <f>VLOOKUP(Main_Presentation[[#This Row],[LC Number]],Main_Issuance[],17,0)</f>
        <v>Credit</v>
      </c>
      <c r="I429" s="17" t="str">
        <f>VLOOKUP(Main_Presentation[[#This Row],[LC Number]],Main_Issuance[],7,0)</f>
        <v>SAUDI LIEBHERR COMPANY LIMITED</v>
      </c>
      <c r="J429" s="17" t="str">
        <f>VLOOKUP(Main_Presentation[[#This Row],[LC Number]],Main_Issuance[],8,0)</f>
        <v>MBL</v>
      </c>
      <c r="K429" s="17" t="str">
        <f>VLOOKUP(Main_Presentation[[#This Row],[LC Number]],Main_Issuance[],9,0)</f>
        <v>JCD</v>
      </c>
      <c r="L429" s="17">
        <f>VLOOKUP(Main_Presentation[[#This Row],[LC Number]],Main_Issuance[],10,0)</f>
        <v>1020051</v>
      </c>
      <c r="M429" s="17" t="str">
        <f>VLOOKUP(Main_Presentation[[#This Row],[LC Number]],Main_Issuance[],11,0)</f>
        <v>EUR</v>
      </c>
      <c r="N429" s="84">
        <f>VLOOKUP(Main_Presentation[[#This Row],[LC Number]],Main_Issuance[],12,0)</f>
        <v>1004640</v>
      </c>
      <c r="O429" s="16" t="s">
        <v>20</v>
      </c>
      <c r="P429" s="16" t="s">
        <v>857</v>
      </c>
      <c r="Q429" s="131">
        <v>1004640</v>
      </c>
      <c r="R429" s="18">
        <v>4.0540000000000003</v>
      </c>
      <c r="S429" s="18">
        <f>Main_Presentation[[#This Row],[Invoice Amt (FCY)]]*Main_Presentation[[#This Row],[Rate]]</f>
        <v>4072810.56</v>
      </c>
      <c r="T429" s="15">
        <v>45041</v>
      </c>
      <c r="U429" s="26">
        <f>VLOOKUP(Main_Presentation[[#This Row],[LC Number]],Main_Issuance[],18,0)</f>
        <v>0</v>
      </c>
      <c r="V429" s="19" t="s">
        <v>407</v>
      </c>
      <c r="W429" s="18" t="s">
        <v>857</v>
      </c>
      <c r="X429" s="16"/>
      <c r="Y429" s="234" t="str">
        <f>TRIM(LEFT(Main_Presentation[[#This Row],[Payment Terms]],3))</f>
        <v>0</v>
      </c>
      <c r="Z429" s="16"/>
      <c r="AA429" s="316" cm="1">
        <f t="array" ref="AA429">Settlement(Main_Presentation[[#This Row],[Bank]],Main_Presentation[[#This Row],[ Invoice Amt (SAR)]],Main_Presentation[[#This Row],[Date Recd]],Main_Presentation[[#This Row],[Due Date]],Main_Presentation[[#This Row],[Days]])</f>
        <v>230</v>
      </c>
      <c r="AB429" s="16"/>
    </row>
    <row r="430" spans="1:28" ht="15.75" hidden="1" x14ac:dyDescent="0.25">
      <c r="A430" s="20" t="s">
        <v>306</v>
      </c>
      <c r="B430" s="15">
        <v>45678</v>
      </c>
      <c r="C430" s="26">
        <v>101</v>
      </c>
      <c r="D430" s="55" t="str">
        <f>VLOOKUP(Main_Presentation[[#This Row],[LC Number]],Main_Issuance[],3,0)</f>
        <v>Dipu Sir</v>
      </c>
      <c r="E430" s="16" t="s">
        <v>858</v>
      </c>
      <c r="F430" s="17" t="str">
        <f>VLOOKUP(Main_Presentation[[#This Row],[LC Number]],Main_Issuance[],5,0)</f>
        <v>Riyad</v>
      </c>
      <c r="G430" s="17" t="str">
        <f>VLOOKUP(Main_Presentation[[#This Row],[LC Number]],Main_Issuance[],6,0)</f>
        <v>Cash</v>
      </c>
      <c r="H430" s="17" t="str">
        <f>VLOOKUP(Main_Presentation[[#This Row],[LC Number]],Main_Issuance[],17,0)</f>
        <v>Cash</v>
      </c>
      <c r="I430" s="17" t="str">
        <f>VLOOKUP(Main_Presentation[[#This Row],[LC Number]],Main_Issuance[],7,0)</f>
        <v>ATELIER HOSPITALITY SRL</v>
      </c>
      <c r="J430" s="17" t="str">
        <f>VLOOKUP(Main_Presentation[[#This Row],[LC Number]],Main_Issuance[],8,0)</f>
        <v>MBL</v>
      </c>
      <c r="K430" s="17" t="str">
        <f>VLOOKUP(Main_Presentation[[#This Row],[LC Number]],Main_Issuance[],9,0)</f>
        <v>L01-YAMMAMA</v>
      </c>
      <c r="L430" s="17">
        <f>VLOOKUP(Main_Presentation[[#This Row],[LC Number]],Main_Issuance[],10,0)</f>
        <v>1020015</v>
      </c>
      <c r="M430" s="17" t="str">
        <f>VLOOKUP(Main_Presentation[[#This Row],[LC Number]],Main_Issuance[],11,0)</f>
        <v>EUR</v>
      </c>
      <c r="N430" s="84">
        <f>VLOOKUP(Main_Presentation[[#This Row],[LC Number]],Main_Issuance[],12,0)</f>
        <v>50762045.400000006</v>
      </c>
      <c r="O430" s="16" t="s">
        <v>910</v>
      </c>
      <c r="P430" s="16" t="s">
        <v>378</v>
      </c>
      <c r="Q430" s="131">
        <v>46366.8</v>
      </c>
      <c r="R430" s="18">
        <v>4.5700901448959899</v>
      </c>
      <c r="S430" s="18">
        <f>Main_Presentation[[#This Row],[Invoice Amt (FCY)]]*Main_Presentation[[#This Row],[Rate]]</f>
        <v>211900.45573036341</v>
      </c>
      <c r="T430" s="15">
        <v>45795</v>
      </c>
      <c r="U430" s="26" t="str">
        <f>VLOOKUP(Main_Presentation[[#This Row],[LC Number]],Main_Issuance[],18,0)</f>
        <v>30 days from the date of comm. inv.</v>
      </c>
      <c r="V430" s="21"/>
      <c r="W430" s="22" t="s">
        <v>378</v>
      </c>
      <c r="X430" s="16"/>
      <c r="Y430" s="234" t="str">
        <f>TRIM(LEFT(Main_Presentation[[#This Row],[Payment Terms]],3))</f>
        <v>30</v>
      </c>
      <c r="Z430" s="16"/>
      <c r="AA430" s="316" cm="1">
        <f t="array" ref="AA430">Settlement(Main_Presentation[[#This Row],[Bank]],Main_Presentation[[#This Row],[ Invoice Amt (SAR)]],Main_Presentation[[#This Row],[Date Recd]],Main_Presentation[[#This Row],[Due Date]],Main_Presentation[[#This Row],[Days]])</f>
        <v>1219</v>
      </c>
      <c r="AB430" s="16"/>
    </row>
    <row r="431" spans="1:28" ht="15.75" hidden="1" x14ac:dyDescent="0.25">
      <c r="A431" s="20" t="s">
        <v>306</v>
      </c>
      <c r="B431" s="15">
        <v>45713</v>
      </c>
      <c r="C431" s="26">
        <v>113</v>
      </c>
      <c r="D431" s="55" t="str">
        <f>VLOOKUP(Main_Presentation[[#This Row],[LC Number]],Main_Issuance[],3,0)</f>
        <v>Dipu Sir</v>
      </c>
      <c r="E431" s="16" t="s">
        <v>858</v>
      </c>
      <c r="F431" s="17" t="str">
        <f>VLOOKUP(Main_Presentation[[#This Row],[LC Number]],Main_Issuance[],5,0)</f>
        <v>Riyad</v>
      </c>
      <c r="G431" s="17" t="str">
        <f>VLOOKUP(Main_Presentation[[#This Row],[LC Number]],Main_Issuance[],6,0)</f>
        <v>Cash</v>
      </c>
      <c r="H431" s="17" t="str">
        <f>VLOOKUP(Main_Presentation[[#This Row],[LC Number]],Main_Issuance[],17,0)</f>
        <v>Cash</v>
      </c>
      <c r="I431" s="17" t="str">
        <f>VLOOKUP(Main_Presentation[[#This Row],[LC Number]],Main_Issuance[],7,0)</f>
        <v>ATELIER HOSPITALITY SRL</v>
      </c>
      <c r="J431" s="17" t="str">
        <f>VLOOKUP(Main_Presentation[[#This Row],[LC Number]],Main_Issuance[],8,0)</f>
        <v>MBL</v>
      </c>
      <c r="K431" s="17" t="str">
        <f>VLOOKUP(Main_Presentation[[#This Row],[LC Number]],Main_Issuance[],9,0)</f>
        <v>L01-YAMMAMA</v>
      </c>
      <c r="L431" s="17">
        <f>VLOOKUP(Main_Presentation[[#This Row],[LC Number]],Main_Issuance[],10,0)</f>
        <v>1020015</v>
      </c>
      <c r="M431" s="17" t="str">
        <f>VLOOKUP(Main_Presentation[[#This Row],[LC Number]],Main_Issuance[],11,0)</f>
        <v>EUR</v>
      </c>
      <c r="N431" s="84">
        <f>VLOOKUP(Main_Presentation[[#This Row],[LC Number]],Main_Issuance[],12,0)</f>
        <v>50762045.400000006</v>
      </c>
      <c r="O431" s="16" t="s">
        <v>20</v>
      </c>
      <c r="P431" s="16" t="s">
        <v>857</v>
      </c>
      <c r="Q431" s="131">
        <v>4698.32</v>
      </c>
      <c r="R431" s="18">
        <v>4.5700910112550899</v>
      </c>
      <c r="S431" s="18">
        <f>Main_Presentation[[#This Row],[Invoice Amt (FCY)]]*Main_Presentation[[#This Row],[Rate]]</f>
        <v>21471.750000000011</v>
      </c>
      <c r="T431" s="15">
        <v>45792</v>
      </c>
      <c r="U431" s="26" t="str">
        <f>VLOOKUP(Main_Presentation[[#This Row],[LC Number]],Main_Issuance[],18,0)</f>
        <v>30 days from the date of comm. inv.</v>
      </c>
      <c r="V431" s="17" t="str">
        <f>VLOOKUP(Main_Presentation[[#This Row],[LC Number]],Main_Issuance[],9,0)</f>
        <v>L01-YAMMAMA</v>
      </c>
      <c r="W431" s="22" t="s">
        <v>857</v>
      </c>
      <c r="X431" s="16" t="s">
        <v>903</v>
      </c>
      <c r="Y431" s="402" t="str">
        <f>TRIM(LEFT(Main_Presentation[[#This Row],[Payment Terms]],3))</f>
        <v>30</v>
      </c>
      <c r="Z431" s="16"/>
      <c r="AA431" s="316" cm="1">
        <f t="array" ref="AA431">Settlement(Main_Presentation[[#This Row],[Bank]],Main_Presentation[[#This Row],[ Invoice Amt (SAR)]],Main_Presentation[[#This Row],[Date Recd]],Main_Presentation[[#This Row],[Due Date]],Main_Presentation[[#This Row],[Days]])</f>
        <v>230</v>
      </c>
      <c r="AB431" s="16"/>
    </row>
    <row r="432" spans="1:28" ht="15.75" hidden="1" x14ac:dyDescent="0.25">
      <c r="A432" s="20" t="s">
        <v>306</v>
      </c>
      <c r="B432" s="15">
        <v>45714</v>
      </c>
      <c r="C432" s="26">
        <v>114</v>
      </c>
      <c r="D432" s="55" t="str">
        <f>VLOOKUP(Main_Presentation[[#This Row],[LC Number]],Main_Issuance[],3,0)</f>
        <v>Dipu Sir</v>
      </c>
      <c r="E432" s="16" t="s">
        <v>858</v>
      </c>
      <c r="F432" s="17" t="str">
        <f>VLOOKUP(Main_Presentation[[#This Row],[LC Number]],Main_Issuance[],5,0)</f>
        <v>Riyad</v>
      </c>
      <c r="G432" s="17" t="str">
        <f>VLOOKUP(Main_Presentation[[#This Row],[LC Number]],Main_Issuance[],6,0)</f>
        <v>Cash</v>
      </c>
      <c r="H432" s="17" t="str">
        <f>VLOOKUP(Main_Presentation[[#This Row],[LC Number]],Main_Issuance[],17,0)</f>
        <v>Cash</v>
      </c>
      <c r="I432" s="17" t="str">
        <f>VLOOKUP(Main_Presentation[[#This Row],[LC Number]],Main_Issuance[],7,0)</f>
        <v>ATELIER HOSPITALITY SRL</v>
      </c>
      <c r="J432" s="17" t="str">
        <f>VLOOKUP(Main_Presentation[[#This Row],[LC Number]],Main_Issuance[],8,0)</f>
        <v>MBL</v>
      </c>
      <c r="K432" s="17" t="str">
        <f>VLOOKUP(Main_Presentation[[#This Row],[LC Number]],Main_Issuance[],9,0)</f>
        <v>L01-YAMMAMA</v>
      </c>
      <c r="L432" s="17">
        <f>VLOOKUP(Main_Presentation[[#This Row],[LC Number]],Main_Issuance[],10,0)</f>
        <v>1020015</v>
      </c>
      <c r="M432" s="17" t="str">
        <f>VLOOKUP(Main_Presentation[[#This Row],[LC Number]],Main_Issuance[],11,0)</f>
        <v>EUR</v>
      </c>
      <c r="N432" s="84">
        <f>VLOOKUP(Main_Presentation[[#This Row],[LC Number]],Main_Issuance[],12,0)</f>
        <v>50762045.400000006</v>
      </c>
      <c r="O432" s="16" t="s">
        <v>20</v>
      </c>
      <c r="P432" s="16" t="s">
        <v>857</v>
      </c>
      <c r="Q432" s="131">
        <v>192533.75</v>
      </c>
      <c r="R432" s="18">
        <v>4.5700901448959899</v>
      </c>
      <c r="S432" s="18">
        <f>Main_Presentation[[#This Row],[Invoice Amt (FCY)]]*Main_Presentation[[#This Row],[Rate]]</f>
        <v>879896.59343486826</v>
      </c>
      <c r="T432" s="15">
        <v>45804</v>
      </c>
      <c r="U432" s="26" t="str">
        <f>VLOOKUP(Main_Presentation[[#This Row],[LC Number]],Main_Issuance[],18,0)</f>
        <v>30 days from the date of comm. inv.</v>
      </c>
      <c r="V432" s="17" t="str">
        <f>VLOOKUP(Main_Presentation[[#This Row],[LC Number]],Main_Issuance[],9,0)</f>
        <v>L01-YAMMAMA</v>
      </c>
      <c r="W432" s="22" t="s">
        <v>857</v>
      </c>
      <c r="X432" s="16"/>
      <c r="Y432" s="402" t="str">
        <f>TRIM(LEFT(Main_Presentation[[#This Row],[Payment Terms]],3))</f>
        <v>30</v>
      </c>
      <c r="Z432" s="16"/>
      <c r="AA432" s="316" cm="1">
        <f t="array" ref="AA432">Settlement(Main_Presentation[[#This Row],[Bank]],Main_Presentation[[#This Row],[ Invoice Amt (SAR)]],Main_Presentation[[#This Row],[Date Recd]],Main_Presentation[[#This Row],[Due Date]],Main_Presentation[[#This Row],[Days]])</f>
        <v>3795</v>
      </c>
      <c r="AB432" s="16"/>
    </row>
    <row r="433" spans="1:28" ht="15.75" hidden="1" x14ac:dyDescent="0.25">
      <c r="A433" s="14" t="s">
        <v>306</v>
      </c>
      <c r="B433" s="15">
        <v>45235</v>
      </c>
      <c r="C433" s="26">
        <v>1</v>
      </c>
      <c r="D433" s="55" t="str">
        <f>VLOOKUP(Main_Presentation[[#This Row],[LC Number]],Main_Issuance[],3,0)</f>
        <v>Dipu Sir</v>
      </c>
      <c r="E433" s="16" t="s">
        <v>856</v>
      </c>
      <c r="F433" s="17" t="str">
        <f>VLOOKUP(Main_Presentation[[#This Row],[LC Number]],Main_Issuance[],5,0)</f>
        <v>Riyad</v>
      </c>
      <c r="G433" s="17" t="str">
        <f>VLOOKUP(Main_Presentation[[#This Row],[LC Number]],Main_Issuance[],6,0)</f>
        <v>Cash</v>
      </c>
      <c r="H433" s="17" t="str">
        <f>VLOOKUP(Main_Presentation[[#This Row],[LC Number]],Main_Issuance[],17,0)</f>
        <v>Cash</v>
      </c>
      <c r="I433" s="17" t="str">
        <f>VLOOKUP(Main_Presentation[[#This Row],[LC Number]],Main_Issuance[],7,0)</f>
        <v>ATELIER HOSPITALITY SRL</v>
      </c>
      <c r="J433" s="17" t="str">
        <f>VLOOKUP(Main_Presentation[[#This Row],[LC Number]],Main_Issuance[],8,0)</f>
        <v>MBL</v>
      </c>
      <c r="K433" s="17" t="str">
        <f>VLOOKUP(Main_Presentation[[#This Row],[LC Number]],Main_Issuance[],9,0)</f>
        <v>L01-YAMMAMA</v>
      </c>
      <c r="L433" s="17">
        <f>VLOOKUP(Main_Presentation[[#This Row],[LC Number]],Main_Issuance[],10,0)</f>
        <v>1020015</v>
      </c>
      <c r="M433" s="17" t="str">
        <f>VLOOKUP(Main_Presentation[[#This Row],[LC Number]],Main_Issuance[],11,0)</f>
        <v>EUR</v>
      </c>
      <c r="N433" s="84">
        <f>VLOOKUP(Main_Presentation[[#This Row],[LC Number]],Main_Issuance[],12,0)</f>
        <v>50762045.400000006</v>
      </c>
      <c r="O433" s="16" t="s">
        <v>20</v>
      </c>
      <c r="P433" s="16" t="s">
        <v>857</v>
      </c>
      <c r="Q433" s="131">
        <v>59094.48</v>
      </c>
      <c r="R433" s="18">
        <v>4.5848000064688499</v>
      </c>
      <c r="S433" s="18">
        <f>Main_Presentation[[#This Row],[Invoice Amt (FCY)]]*Main_Presentation[[#This Row],[Rate]]</f>
        <v>270936.37228627334</v>
      </c>
      <c r="T433" s="15">
        <v>45239</v>
      </c>
      <c r="U433" s="26" t="str">
        <f>VLOOKUP(Main_Presentation[[#This Row],[LC Number]],Main_Issuance[],18,0)</f>
        <v>30 days from the date of comm. inv.</v>
      </c>
      <c r="V433" s="19" t="s">
        <v>213</v>
      </c>
      <c r="W433" s="18" t="s">
        <v>857</v>
      </c>
      <c r="X433" s="16"/>
      <c r="Y433" s="234" t="str">
        <f>TRIM(LEFT(Main_Presentation[[#This Row],[Payment Terms]],3))</f>
        <v>30</v>
      </c>
      <c r="Z433" s="16"/>
      <c r="AA433" s="316" cm="1">
        <f t="array" ref="AA433">Settlement(Main_Presentation[[#This Row],[Bank]],Main_Presentation[[#This Row],[ Invoice Amt (SAR)]],Main_Presentation[[#This Row],[Date Recd]],Main_Presentation[[#This Row],[Due Date]],Main_Presentation[[#This Row],[Days]])</f>
        <v>230</v>
      </c>
      <c r="AB433" s="16"/>
    </row>
    <row r="434" spans="1:28" ht="15.75" hidden="1" x14ac:dyDescent="0.25">
      <c r="A434" s="14" t="s">
        <v>306</v>
      </c>
      <c r="B434" s="15">
        <v>45279</v>
      </c>
      <c r="C434" s="26">
        <v>2</v>
      </c>
      <c r="D434" s="55" t="str">
        <f>VLOOKUP(Main_Presentation[[#This Row],[LC Number]],Main_Issuance[],3,0)</f>
        <v>Dipu Sir</v>
      </c>
      <c r="E434" s="16" t="s">
        <v>856</v>
      </c>
      <c r="F434" s="17" t="str">
        <f>VLOOKUP(Main_Presentation[[#This Row],[LC Number]],Main_Issuance[],5,0)</f>
        <v>Riyad</v>
      </c>
      <c r="G434" s="17" t="str">
        <f>VLOOKUP(Main_Presentation[[#This Row],[LC Number]],Main_Issuance[],6,0)</f>
        <v>Cash</v>
      </c>
      <c r="H434" s="17" t="str">
        <f>VLOOKUP(Main_Presentation[[#This Row],[LC Number]],Main_Issuance[],17,0)</f>
        <v>Cash</v>
      </c>
      <c r="I434" s="17" t="str">
        <f>VLOOKUP(Main_Presentation[[#This Row],[LC Number]],Main_Issuance[],7,0)</f>
        <v>ATELIER HOSPITALITY SRL</v>
      </c>
      <c r="J434" s="17" t="str">
        <f>VLOOKUP(Main_Presentation[[#This Row],[LC Number]],Main_Issuance[],8,0)</f>
        <v>MBL</v>
      </c>
      <c r="K434" s="17" t="str">
        <f>VLOOKUP(Main_Presentation[[#This Row],[LC Number]],Main_Issuance[],9,0)</f>
        <v>L01-YAMMAMA</v>
      </c>
      <c r="L434" s="17">
        <f>VLOOKUP(Main_Presentation[[#This Row],[LC Number]],Main_Issuance[],10,0)</f>
        <v>1020015</v>
      </c>
      <c r="M434" s="17" t="str">
        <f>VLOOKUP(Main_Presentation[[#This Row],[LC Number]],Main_Issuance[],11,0)</f>
        <v>EUR</v>
      </c>
      <c r="N434" s="84">
        <f>VLOOKUP(Main_Presentation[[#This Row],[LC Number]],Main_Issuance[],12,0)</f>
        <v>50762045.400000006</v>
      </c>
      <c r="O434" s="16" t="s">
        <v>20</v>
      </c>
      <c r="P434" s="16" t="s">
        <v>857</v>
      </c>
      <c r="Q434" s="131">
        <v>91075.35</v>
      </c>
      <c r="R434" s="18">
        <v>4.5848000064688499</v>
      </c>
      <c r="S434" s="18">
        <f>Main_Presentation[[#This Row],[Invoice Amt (FCY)]]*Main_Presentation[[#This Row],[Rate]]</f>
        <v>417562.26526915282</v>
      </c>
      <c r="T434" s="15">
        <v>45279</v>
      </c>
      <c r="U434" s="26" t="str">
        <f>VLOOKUP(Main_Presentation[[#This Row],[LC Number]],Main_Issuance[],18,0)</f>
        <v>30 days from the date of comm. inv.</v>
      </c>
      <c r="V434" s="19" t="s">
        <v>213</v>
      </c>
      <c r="W434" s="18" t="s">
        <v>857</v>
      </c>
      <c r="X434" s="16"/>
      <c r="Y434" s="234" t="str">
        <f>TRIM(LEFT(Main_Presentation[[#This Row],[Payment Terms]],3))</f>
        <v>30</v>
      </c>
      <c r="Z434" s="16"/>
      <c r="AA434" s="316" cm="1">
        <f t="array" ref="AA434">Settlement(Main_Presentation[[#This Row],[Bank]],Main_Presentation[[#This Row],[ Invoice Amt (SAR)]],Main_Presentation[[#This Row],[Date Recd]],Main_Presentation[[#This Row],[Due Date]],Main_Presentation[[#This Row],[Days]])</f>
        <v>230</v>
      </c>
      <c r="AB434" s="16"/>
    </row>
    <row r="435" spans="1:28" ht="15.75" hidden="1" x14ac:dyDescent="0.25">
      <c r="A435" s="14" t="s">
        <v>306</v>
      </c>
      <c r="B435" s="15">
        <v>45279</v>
      </c>
      <c r="C435" s="26">
        <v>3</v>
      </c>
      <c r="D435" s="55" t="str">
        <f>VLOOKUP(Main_Presentation[[#This Row],[LC Number]],Main_Issuance[],3,0)</f>
        <v>Dipu Sir</v>
      </c>
      <c r="E435" s="16" t="s">
        <v>856</v>
      </c>
      <c r="F435" s="17" t="str">
        <f>VLOOKUP(Main_Presentation[[#This Row],[LC Number]],Main_Issuance[],5,0)</f>
        <v>Riyad</v>
      </c>
      <c r="G435" s="17" t="str">
        <f>VLOOKUP(Main_Presentation[[#This Row],[LC Number]],Main_Issuance[],6,0)</f>
        <v>Cash</v>
      </c>
      <c r="H435" s="17" t="str">
        <f>VLOOKUP(Main_Presentation[[#This Row],[LC Number]],Main_Issuance[],17,0)</f>
        <v>Cash</v>
      </c>
      <c r="I435" s="17" t="str">
        <f>VLOOKUP(Main_Presentation[[#This Row],[LC Number]],Main_Issuance[],7,0)</f>
        <v>ATELIER HOSPITALITY SRL</v>
      </c>
      <c r="J435" s="17" t="str">
        <f>VLOOKUP(Main_Presentation[[#This Row],[LC Number]],Main_Issuance[],8,0)</f>
        <v>MBL</v>
      </c>
      <c r="K435" s="17" t="str">
        <f>VLOOKUP(Main_Presentation[[#This Row],[LC Number]],Main_Issuance[],9,0)</f>
        <v>L01-YAMMAMA</v>
      </c>
      <c r="L435" s="17">
        <f>VLOOKUP(Main_Presentation[[#This Row],[LC Number]],Main_Issuance[],10,0)</f>
        <v>1020015</v>
      </c>
      <c r="M435" s="17" t="str">
        <f>VLOOKUP(Main_Presentation[[#This Row],[LC Number]],Main_Issuance[],11,0)</f>
        <v>EUR</v>
      </c>
      <c r="N435" s="84">
        <f>VLOOKUP(Main_Presentation[[#This Row],[LC Number]],Main_Issuance[],12,0)</f>
        <v>50762045.400000006</v>
      </c>
      <c r="O435" s="16" t="s">
        <v>20</v>
      </c>
      <c r="P435" s="16" t="s">
        <v>857</v>
      </c>
      <c r="Q435" s="131">
        <v>109930.37</v>
      </c>
      <c r="R435" s="18">
        <v>4.5848000064688499</v>
      </c>
      <c r="S435" s="18">
        <f>Main_Presentation[[#This Row],[Invoice Amt (FCY)]]*Main_Presentation[[#This Row],[Rate]]</f>
        <v>504008.76108712301</v>
      </c>
      <c r="T435" s="15">
        <v>45281</v>
      </c>
      <c r="U435" s="26" t="str">
        <f>VLOOKUP(Main_Presentation[[#This Row],[LC Number]],Main_Issuance[],18,0)</f>
        <v>30 days from the date of comm. inv.</v>
      </c>
      <c r="V435" s="19" t="s">
        <v>213</v>
      </c>
      <c r="W435" s="18" t="s">
        <v>857</v>
      </c>
      <c r="X435" s="16"/>
      <c r="Y435" s="234" t="str">
        <f>TRIM(LEFT(Main_Presentation[[#This Row],[Payment Terms]],3))</f>
        <v>30</v>
      </c>
      <c r="Z435" s="16"/>
      <c r="AA435" s="316" cm="1">
        <f t="array" ref="AA435">Settlement(Main_Presentation[[#This Row],[Bank]],Main_Presentation[[#This Row],[ Invoice Amt (SAR)]],Main_Presentation[[#This Row],[Date Recd]],Main_Presentation[[#This Row],[Due Date]],Main_Presentation[[#This Row],[Days]])</f>
        <v>230</v>
      </c>
      <c r="AB435" s="16"/>
    </row>
    <row r="436" spans="1:28" ht="15.75" hidden="1" x14ac:dyDescent="0.25">
      <c r="A436" s="14" t="s">
        <v>306</v>
      </c>
      <c r="B436" s="15">
        <v>45279</v>
      </c>
      <c r="C436" s="26">
        <v>4</v>
      </c>
      <c r="D436" s="55" t="str">
        <f>VLOOKUP(Main_Presentation[[#This Row],[LC Number]],Main_Issuance[],3,0)</f>
        <v>Dipu Sir</v>
      </c>
      <c r="E436" s="16" t="s">
        <v>856</v>
      </c>
      <c r="F436" s="17" t="str">
        <f>VLOOKUP(Main_Presentation[[#This Row],[LC Number]],Main_Issuance[],5,0)</f>
        <v>Riyad</v>
      </c>
      <c r="G436" s="17" t="str">
        <f>VLOOKUP(Main_Presentation[[#This Row],[LC Number]],Main_Issuance[],6,0)</f>
        <v>Cash</v>
      </c>
      <c r="H436" s="17" t="str">
        <f>VLOOKUP(Main_Presentation[[#This Row],[LC Number]],Main_Issuance[],17,0)</f>
        <v>Cash</v>
      </c>
      <c r="I436" s="17" t="str">
        <f>VLOOKUP(Main_Presentation[[#This Row],[LC Number]],Main_Issuance[],7,0)</f>
        <v>ATELIER HOSPITALITY SRL</v>
      </c>
      <c r="J436" s="17" t="str">
        <f>VLOOKUP(Main_Presentation[[#This Row],[LC Number]],Main_Issuance[],8,0)</f>
        <v>MBL</v>
      </c>
      <c r="K436" s="17" t="str">
        <f>VLOOKUP(Main_Presentation[[#This Row],[LC Number]],Main_Issuance[],9,0)</f>
        <v>L01-YAMMAMA</v>
      </c>
      <c r="L436" s="17">
        <f>VLOOKUP(Main_Presentation[[#This Row],[LC Number]],Main_Issuance[],10,0)</f>
        <v>1020015</v>
      </c>
      <c r="M436" s="17" t="str">
        <f>VLOOKUP(Main_Presentation[[#This Row],[LC Number]],Main_Issuance[],11,0)</f>
        <v>EUR</v>
      </c>
      <c r="N436" s="84">
        <f>VLOOKUP(Main_Presentation[[#This Row],[LC Number]],Main_Issuance[],12,0)</f>
        <v>50762045.400000006</v>
      </c>
      <c r="O436" s="16" t="s">
        <v>20</v>
      </c>
      <c r="P436" s="16" t="s">
        <v>857</v>
      </c>
      <c r="Q436" s="131">
        <v>85332.01</v>
      </c>
      <c r="R436" s="18">
        <v>4.5848000064688499</v>
      </c>
      <c r="S436" s="18">
        <f>Main_Presentation[[#This Row],[Invoice Amt (FCY)]]*Main_Presentation[[#This Row],[Rate]]</f>
        <v>391230.19999999995</v>
      </c>
      <c r="T436" s="15">
        <v>45281</v>
      </c>
      <c r="U436" s="26" t="str">
        <f>VLOOKUP(Main_Presentation[[#This Row],[LC Number]],Main_Issuance[],18,0)</f>
        <v>30 days from the date of comm. inv.</v>
      </c>
      <c r="V436" s="19" t="s">
        <v>213</v>
      </c>
      <c r="W436" s="18" t="s">
        <v>857</v>
      </c>
      <c r="X436" s="16"/>
      <c r="Y436" s="234" t="str">
        <f>TRIM(LEFT(Main_Presentation[[#This Row],[Payment Terms]],3))</f>
        <v>30</v>
      </c>
      <c r="Z436" s="16"/>
      <c r="AA436" s="316" cm="1">
        <f t="array" ref="AA436">Settlement(Main_Presentation[[#This Row],[Bank]],Main_Presentation[[#This Row],[ Invoice Amt (SAR)]],Main_Presentation[[#This Row],[Date Recd]],Main_Presentation[[#This Row],[Due Date]],Main_Presentation[[#This Row],[Days]])</f>
        <v>230</v>
      </c>
      <c r="AB436" s="16"/>
    </row>
    <row r="437" spans="1:28" ht="15.75" hidden="1" x14ac:dyDescent="0.25">
      <c r="A437" s="14" t="s">
        <v>306</v>
      </c>
      <c r="B437" s="15">
        <v>45279</v>
      </c>
      <c r="C437" s="26">
        <v>5</v>
      </c>
      <c r="D437" s="55" t="str">
        <f>VLOOKUP(Main_Presentation[[#This Row],[LC Number]],Main_Issuance[],3,0)</f>
        <v>Dipu Sir</v>
      </c>
      <c r="E437" s="16" t="s">
        <v>856</v>
      </c>
      <c r="F437" s="17" t="str">
        <f>VLOOKUP(Main_Presentation[[#This Row],[LC Number]],Main_Issuance[],5,0)</f>
        <v>Riyad</v>
      </c>
      <c r="G437" s="17" t="str">
        <f>VLOOKUP(Main_Presentation[[#This Row],[LC Number]],Main_Issuance[],6,0)</f>
        <v>Cash</v>
      </c>
      <c r="H437" s="17" t="str">
        <f>VLOOKUP(Main_Presentation[[#This Row],[LC Number]],Main_Issuance[],17,0)</f>
        <v>Cash</v>
      </c>
      <c r="I437" s="17" t="str">
        <f>VLOOKUP(Main_Presentation[[#This Row],[LC Number]],Main_Issuance[],7,0)</f>
        <v>ATELIER HOSPITALITY SRL</v>
      </c>
      <c r="J437" s="17" t="str">
        <f>VLOOKUP(Main_Presentation[[#This Row],[LC Number]],Main_Issuance[],8,0)</f>
        <v>MBL</v>
      </c>
      <c r="K437" s="17" t="str">
        <f>VLOOKUP(Main_Presentation[[#This Row],[LC Number]],Main_Issuance[],9,0)</f>
        <v>L01-YAMMAMA</v>
      </c>
      <c r="L437" s="17">
        <f>VLOOKUP(Main_Presentation[[#This Row],[LC Number]],Main_Issuance[],10,0)</f>
        <v>1020015</v>
      </c>
      <c r="M437" s="17" t="str">
        <f>VLOOKUP(Main_Presentation[[#This Row],[LC Number]],Main_Issuance[],11,0)</f>
        <v>EUR</v>
      </c>
      <c r="N437" s="84">
        <f>VLOOKUP(Main_Presentation[[#This Row],[LC Number]],Main_Issuance[],12,0)</f>
        <v>50762045.400000006</v>
      </c>
      <c r="O437" s="16" t="s">
        <v>20</v>
      </c>
      <c r="P437" s="16" t="s">
        <v>857</v>
      </c>
      <c r="Q437" s="131">
        <v>193611.86</v>
      </c>
      <c r="R437" s="18">
        <v>4.5848000064688499</v>
      </c>
      <c r="S437" s="18">
        <f>Main_Presentation[[#This Row],[Invoice Amt (FCY)]]*Main_Presentation[[#This Row],[Rate]]</f>
        <v>887671.65698044596</v>
      </c>
      <c r="T437" s="15">
        <v>45281</v>
      </c>
      <c r="U437" s="26" t="str">
        <f>VLOOKUP(Main_Presentation[[#This Row],[LC Number]],Main_Issuance[],18,0)</f>
        <v>30 days from the date of comm. inv.</v>
      </c>
      <c r="V437" s="19" t="s">
        <v>213</v>
      </c>
      <c r="W437" s="18" t="s">
        <v>857</v>
      </c>
      <c r="X437" s="16"/>
      <c r="Y437" s="234" t="str">
        <f>TRIM(LEFT(Main_Presentation[[#This Row],[Payment Terms]],3))</f>
        <v>30</v>
      </c>
      <c r="Z437" s="16"/>
      <c r="AA437" s="316" cm="1">
        <f t="array" ref="AA437">Settlement(Main_Presentation[[#This Row],[Bank]],Main_Presentation[[#This Row],[ Invoice Amt (SAR)]],Main_Presentation[[#This Row],[Date Recd]],Main_Presentation[[#This Row],[Due Date]],Main_Presentation[[#This Row],[Days]])</f>
        <v>230</v>
      </c>
      <c r="AB437" s="16"/>
    </row>
    <row r="438" spans="1:28" ht="15.75" hidden="1" x14ac:dyDescent="0.25">
      <c r="A438" s="14" t="s">
        <v>306</v>
      </c>
      <c r="B438" s="15">
        <v>45279</v>
      </c>
      <c r="C438" s="26">
        <v>6</v>
      </c>
      <c r="D438" s="55" t="str">
        <f>VLOOKUP(Main_Presentation[[#This Row],[LC Number]],Main_Issuance[],3,0)</f>
        <v>Dipu Sir</v>
      </c>
      <c r="E438" s="16" t="s">
        <v>856</v>
      </c>
      <c r="F438" s="17" t="str">
        <f>VLOOKUP(Main_Presentation[[#This Row],[LC Number]],Main_Issuance[],5,0)</f>
        <v>Riyad</v>
      </c>
      <c r="G438" s="17" t="str">
        <f>VLOOKUP(Main_Presentation[[#This Row],[LC Number]],Main_Issuance[],6,0)</f>
        <v>Cash</v>
      </c>
      <c r="H438" s="17" t="str">
        <f>VLOOKUP(Main_Presentation[[#This Row],[LC Number]],Main_Issuance[],17,0)</f>
        <v>Cash</v>
      </c>
      <c r="I438" s="17" t="str">
        <f>VLOOKUP(Main_Presentation[[#This Row],[LC Number]],Main_Issuance[],7,0)</f>
        <v>ATELIER HOSPITALITY SRL</v>
      </c>
      <c r="J438" s="17" t="str">
        <f>VLOOKUP(Main_Presentation[[#This Row],[LC Number]],Main_Issuance[],8,0)</f>
        <v>MBL</v>
      </c>
      <c r="K438" s="17" t="str">
        <f>VLOOKUP(Main_Presentation[[#This Row],[LC Number]],Main_Issuance[],9,0)</f>
        <v>L01-YAMMAMA</v>
      </c>
      <c r="L438" s="17">
        <f>VLOOKUP(Main_Presentation[[#This Row],[LC Number]],Main_Issuance[],10,0)</f>
        <v>1020015</v>
      </c>
      <c r="M438" s="17" t="str">
        <f>VLOOKUP(Main_Presentation[[#This Row],[LC Number]],Main_Issuance[],11,0)</f>
        <v>EUR</v>
      </c>
      <c r="N438" s="84">
        <f>VLOOKUP(Main_Presentation[[#This Row],[LC Number]],Main_Issuance[],12,0)</f>
        <v>50762045.400000006</v>
      </c>
      <c r="O438" s="16" t="s">
        <v>20</v>
      </c>
      <c r="P438" s="16" t="s">
        <v>857</v>
      </c>
      <c r="Q438" s="131">
        <v>287010.15999999997</v>
      </c>
      <c r="R438" s="18">
        <v>4.5848000064688499</v>
      </c>
      <c r="S438" s="18">
        <f>Main_Presentation[[#This Row],[Invoice Amt (FCY)]]*Main_Presentation[[#This Row],[Rate]]</f>
        <v>1315884.1834246255</v>
      </c>
      <c r="T438" s="15">
        <v>45284</v>
      </c>
      <c r="U438" s="26" t="str">
        <f>VLOOKUP(Main_Presentation[[#This Row],[LC Number]],Main_Issuance[],18,0)</f>
        <v>30 days from the date of comm. inv.</v>
      </c>
      <c r="V438" s="19" t="s">
        <v>213</v>
      </c>
      <c r="W438" s="18" t="s">
        <v>857</v>
      </c>
      <c r="X438" s="16"/>
      <c r="Y438" s="234" t="str">
        <f>TRIM(LEFT(Main_Presentation[[#This Row],[Payment Terms]],3))</f>
        <v>30</v>
      </c>
      <c r="Z438" s="16"/>
      <c r="AA438" s="316" cm="1">
        <f t="array" ref="AA438">Settlement(Main_Presentation[[#This Row],[Bank]],Main_Presentation[[#This Row],[ Invoice Amt (SAR)]],Main_Presentation[[#This Row],[Date Recd]],Main_Presentation[[#This Row],[Due Date]],Main_Presentation[[#This Row],[Days]])</f>
        <v>230</v>
      </c>
      <c r="AB438" s="16"/>
    </row>
    <row r="439" spans="1:28" ht="15.75" hidden="1" x14ac:dyDescent="0.25">
      <c r="A439" s="14" t="s">
        <v>306</v>
      </c>
      <c r="B439" s="15">
        <v>45285</v>
      </c>
      <c r="C439" s="26">
        <v>7</v>
      </c>
      <c r="D439" s="55" t="str">
        <f>VLOOKUP(Main_Presentation[[#This Row],[LC Number]],Main_Issuance[],3,0)</f>
        <v>Dipu Sir</v>
      </c>
      <c r="E439" s="16" t="s">
        <v>856</v>
      </c>
      <c r="F439" s="17" t="str">
        <f>VLOOKUP(Main_Presentation[[#This Row],[LC Number]],Main_Issuance[],5,0)</f>
        <v>Riyad</v>
      </c>
      <c r="G439" s="17" t="str">
        <f>VLOOKUP(Main_Presentation[[#This Row],[LC Number]],Main_Issuance[],6,0)</f>
        <v>Cash</v>
      </c>
      <c r="H439" s="17" t="str">
        <f>VLOOKUP(Main_Presentation[[#This Row],[LC Number]],Main_Issuance[],17,0)</f>
        <v>Cash</v>
      </c>
      <c r="I439" s="17" t="str">
        <f>VLOOKUP(Main_Presentation[[#This Row],[LC Number]],Main_Issuance[],7,0)</f>
        <v>ATELIER HOSPITALITY SRL</v>
      </c>
      <c r="J439" s="17" t="str">
        <f>VLOOKUP(Main_Presentation[[#This Row],[LC Number]],Main_Issuance[],8,0)</f>
        <v>MBL</v>
      </c>
      <c r="K439" s="17" t="str">
        <f>VLOOKUP(Main_Presentation[[#This Row],[LC Number]],Main_Issuance[],9,0)</f>
        <v>L01-YAMMAMA</v>
      </c>
      <c r="L439" s="17">
        <f>VLOOKUP(Main_Presentation[[#This Row],[LC Number]],Main_Issuance[],10,0)</f>
        <v>1020015</v>
      </c>
      <c r="M439" s="17" t="str">
        <f>VLOOKUP(Main_Presentation[[#This Row],[LC Number]],Main_Issuance[],11,0)</f>
        <v>EUR</v>
      </c>
      <c r="N439" s="84">
        <f>VLOOKUP(Main_Presentation[[#This Row],[LC Number]],Main_Issuance[],12,0)</f>
        <v>50762045.400000006</v>
      </c>
      <c r="O439" s="16" t="s">
        <v>20</v>
      </c>
      <c r="P439" s="16" t="s">
        <v>857</v>
      </c>
      <c r="Q439" s="131">
        <v>449479.83</v>
      </c>
      <c r="R439" s="18">
        <v>4.5848000064688499</v>
      </c>
      <c r="S439" s="18">
        <f>Main_Presentation[[#This Row],[Invoice Amt (FCY)]]*Main_Presentation[[#This Row],[Rate]]</f>
        <v>2060775.1274916176</v>
      </c>
      <c r="T439" s="15">
        <v>45286</v>
      </c>
      <c r="U439" s="26" t="str">
        <f>VLOOKUP(Main_Presentation[[#This Row],[LC Number]],Main_Issuance[],18,0)</f>
        <v>30 days from the date of comm. inv.</v>
      </c>
      <c r="V439" s="19" t="s">
        <v>213</v>
      </c>
      <c r="W439" s="18" t="s">
        <v>857</v>
      </c>
      <c r="X439" s="16"/>
      <c r="Y439" s="234" t="str">
        <f>TRIM(LEFT(Main_Presentation[[#This Row],[Payment Terms]],3))</f>
        <v>30</v>
      </c>
      <c r="Z439" s="16"/>
      <c r="AA439" s="316" cm="1">
        <f t="array" ref="AA439">Settlement(Main_Presentation[[#This Row],[Bank]],Main_Presentation[[#This Row],[ Invoice Amt (SAR)]],Main_Presentation[[#This Row],[Date Recd]],Main_Presentation[[#This Row],[Due Date]],Main_Presentation[[#This Row],[Days]])</f>
        <v>230</v>
      </c>
      <c r="AB439" s="16"/>
    </row>
    <row r="440" spans="1:28" ht="15.75" hidden="1" x14ac:dyDescent="0.25">
      <c r="A440" s="14" t="s">
        <v>306</v>
      </c>
      <c r="B440" s="15">
        <v>45286</v>
      </c>
      <c r="C440" s="26">
        <v>8</v>
      </c>
      <c r="D440" s="55" t="str">
        <f>VLOOKUP(Main_Presentation[[#This Row],[LC Number]],Main_Issuance[],3,0)</f>
        <v>Dipu Sir</v>
      </c>
      <c r="E440" s="16" t="s">
        <v>856</v>
      </c>
      <c r="F440" s="17" t="str">
        <f>VLOOKUP(Main_Presentation[[#This Row],[LC Number]],Main_Issuance[],5,0)</f>
        <v>Riyad</v>
      </c>
      <c r="G440" s="17" t="str">
        <f>VLOOKUP(Main_Presentation[[#This Row],[LC Number]],Main_Issuance[],6,0)</f>
        <v>Cash</v>
      </c>
      <c r="H440" s="17" t="str">
        <f>VLOOKUP(Main_Presentation[[#This Row],[LC Number]],Main_Issuance[],17,0)</f>
        <v>Cash</v>
      </c>
      <c r="I440" s="17" t="str">
        <f>VLOOKUP(Main_Presentation[[#This Row],[LC Number]],Main_Issuance[],7,0)</f>
        <v>ATELIER HOSPITALITY SRL</v>
      </c>
      <c r="J440" s="17" t="str">
        <f>VLOOKUP(Main_Presentation[[#This Row],[LC Number]],Main_Issuance[],8,0)</f>
        <v>MBL</v>
      </c>
      <c r="K440" s="17" t="str">
        <f>VLOOKUP(Main_Presentation[[#This Row],[LC Number]],Main_Issuance[],9,0)</f>
        <v>L01-YAMMAMA</v>
      </c>
      <c r="L440" s="17">
        <f>VLOOKUP(Main_Presentation[[#This Row],[LC Number]],Main_Issuance[],10,0)</f>
        <v>1020015</v>
      </c>
      <c r="M440" s="17" t="str">
        <f>VLOOKUP(Main_Presentation[[#This Row],[LC Number]],Main_Issuance[],11,0)</f>
        <v>EUR</v>
      </c>
      <c r="N440" s="84">
        <f>VLOOKUP(Main_Presentation[[#This Row],[LC Number]],Main_Issuance[],12,0)</f>
        <v>50762045.400000006</v>
      </c>
      <c r="O440" s="16" t="s">
        <v>20</v>
      </c>
      <c r="P440" s="16" t="s">
        <v>857</v>
      </c>
      <c r="Q440" s="131">
        <v>5659.06</v>
      </c>
      <c r="R440" s="18">
        <v>4.5848000064688499</v>
      </c>
      <c r="S440" s="18">
        <f>Main_Presentation[[#This Row],[Invoice Amt (FCY)]]*Main_Presentation[[#This Row],[Rate]]</f>
        <v>25945.658324607612</v>
      </c>
      <c r="T440" s="15">
        <v>45294</v>
      </c>
      <c r="U440" s="26" t="str">
        <f>VLOOKUP(Main_Presentation[[#This Row],[LC Number]],Main_Issuance[],18,0)</f>
        <v>30 days from the date of comm. inv.</v>
      </c>
      <c r="V440" s="19" t="s">
        <v>213</v>
      </c>
      <c r="W440" s="18" t="s">
        <v>857</v>
      </c>
      <c r="X440" s="16"/>
      <c r="Y440" s="234" t="str">
        <f>TRIM(LEFT(Main_Presentation[[#This Row],[Payment Terms]],3))</f>
        <v>30</v>
      </c>
      <c r="Z440" s="16"/>
      <c r="AA440" s="316" cm="1">
        <f t="array" ref="AA440">Settlement(Main_Presentation[[#This Row],[Bank]],Main_Presentation[[#This Row],[ Invoice Amt (SAR)]],Main_Presentation[[#This Row],[Date Recd]],Main_Presentation[[#This Row],[Due Date]],Main_Presentation[[#This Row],[Days]])</f>
        <v>230</v>
      </c>
      <c r="AB440" s="16"/>
    </row>
    <row r="441" spans="1:28" ht="15.75" hidden="1" x14ac:dyDescent="0.25">
      <c r="A441" s="14" t="s">
        <v>306</v>
      </c>
      <c r="B441" s="15">
        <v>45286</v>
      </c>
      <c r="C441" s="26">
        <v>9</v>
      </c>
      <c r="D441" s="55" t="str">
        <f>VLOOKUP(Main_Presentation[[#This Row],[LC Number]],Main_Issuance[],3,0)</f>
        <v>Dipu Sir</v>
      </c>
      <c r="E441" s="16" t="s">
        <v>856</v>
      </c>
      <c r="F441" s="17" t="str">
        <f>VLOOKUP(Main_Presentation[[#This Row],[LC Number]],Main_Issuance[],5,0)</f>
        <v>Riyad</v>
      </c>
      <c r="G441" s="17" t="str">
        <f>VLOOKUP(Main_Presentation[[#This Row],[LC Number]],Main_Issuance[],6,0)</f>
        <v>Cash</v>
      </c>
      <c r="H441" s="17" t="str">
        <f>VLOOKUP(Main_Presentation[[#This Row],[LC Number]],Main_Issuance[],17,0)</f>
        <v>Cash</v>
      </c>
      <c r="I441" s="17" t="str">
        <f>VLOOKUP(Main_Presentation[[#This Row],[LC Number]],Main_Issuance[],7,0)</f>
        <v>ATELIER HOSPITALITY SRL</v>
      </c>
      <c r="J441" s="17" t="str">
        <f>VLOOKUP(Main_Presentation[[#This Row],[LC Number]],Main_Issuance[],8,0)</f>
        <v>MBL</v>
      </c>
      <c r="K441" s="17" t="str">
        <f>VLOOKUP(Main_Presentation[[#This Row],[LC Number]],Main_Issuance[],9,0)</f>
        <v>L01-YAMMAMA</v>
      </c>
      <c r="L441" s="17">
        <f>VLOOKUP(Main_Presentation[[#This Row],[LC Number]],Main_Issuance[],10,0)</f>
        <v>1020015</v>
      </c>
      <c r="M441" s="17" t="str">
        <f>VLOOKUP(Main_Presentation[[#This Row],[LC Number]],Main_Issuance[],11,0)</f>
        <v>EUR</v>
      </c>
      <c r="N441" s="84">
        <f>VLOOKUP(Main_Presentation[[#This Row],[LC Number]],Main_Issuance[],12,0)</f>
        <v>50762045.400000006</v>
      </c>
      <c r="O441" s="16" t="s">
        <v>20</v>
      </c>
      <c r="P441" s="16" t="s">
        <v>857</v>
      </c>
      <c r="Q441" s="131">
        <v>105798.2</v>
      </c>
      <c r="R441" s="18">
        <v>4.5848000064688499</v>
      </c>
      <c r="S441" s="18">
        <f>Main_Presentation[[#This Row],[Invoice Amt (FCY)]]*Main_Presentation[[#This Row],[Rate]]</f>
        <v>485063.58804439264</v>
      </c>
      <c r="T441" s="15">
        <v>45294</v>
      </c>
      <c r="U441" s="26" t="str">
        <f>VLOOKUP(Main_Presentation[[#This Row],[LC Number]],Main_Issuance[],18,0)</f>
        <v>30 days from the date of comm. inv.</v>
      </c>
      <c r="V441" s="19" t="s">
        <v>213</v>
      </c>
      <c r="W441" s="18" t="s">
        <v>857</v>
      </c>
      <c r="X441" s="16"/>
      <c r="Y441" s="234" t="str">
        <f>TRIM(LEFT(Main_Presentation[[#This Row],[Payment Terms]],3))</f>
        <v>30</v>
      </c>
      <c r="Z441" s="16"/>
      <c r="AA441" s="316" cm="1">
        <f t="array" ref="AA441">Settlement(Main_Presentation[[#This Row],[Bank]],Main_Presentation[[#This Row],[ Invoice Amt (SAR)]],Main_Presentation[[#This Row],[Date Recd]],Main_Presentation[[#This Row],[Due Date]],Main_Presentation[[#This Row],[Days]])</f>
        <v>230</v>
      </c>
      <c r="AB441" s="16"/>
    </row>
    <row r="442" spans="1:28" ht="15.75" hidden="1" x14ac:dyDescent="0.25">
      <c r="A442" s="14" t="s">
        <v>306</v>
      </c>
      <c r="B442" s="15">
        <v>44927</v>
      </c>
      <c r="C442" s="26">
        <v>10</v>
      </c>
      <c r="D442" s="55" t="str">
        <f>VLOOKUP(Main_Presentation[[#This Row],[LC Number]],Main_Issuance[],3,0)</f>
        <v>Dipu Sir</v>
      </c>
      <c r="E442" s="16" t="s">
        <v>856</v>
      </c>
      <c r="F442" s="17" t="str">
        <f>VLOOKUP(Main_Presentation[[#This Row],[LC Number]],Main_Issuance[],5,0)</f>
        <v>Riyad</v>
      </c>
      <c r="G442" s="17" t="str">
        <f>VLOOKUP(Main_Presentation[[#This Row],[LC Number]],Main_Issuance[],6,0)</f>
        <v>Cash</v>
      </c>
      <c r="H442" s="17" t="str">
        <f>VLOOKUP(Main_Presentation[[#This Row],[LC Number]],Main_Issuance[],17,0)</f>
        <v>Cash</v>
      </c>
      <c r="I442" s="17" t="str">
        <f>VLOOKUP(Main_Presentation[[#This Row],[LC Number]],Main_Issuance[],7,0)</f>
        <v>ATELIER HOSPITALITY SRL</v>
      </c>
      <c r="J442" s="17" t="str">
        <f>VLOOKUP(Main_Presentation[[#This Row],[LC Number]],Main_Issuance[],8,0)</f>
        <v>MBL</v>
      </c>
      <c r="K442" s="17" t="str">
        <f>VLOOKUP(Main_Presentation[[#This Row],[LC Number]],Main_Issuance[],9,0)</f>
        <v>L01-YAMMAMA</v>
      </c>
      <c r="L442" s="17">
        <f>VLOOKUP(Main_Presentation[[#This Row],[LC Number]],Main_Issuance[],10,0)</f>
        <v>1020015</v>
      </c>
      <c r="M442" s="17" t="str">
        <f>VLOOKUP(Main_Presentation[[#This Row],[LC Number]],Main_Issuance[],11,0)</f>
        <v>EUR</v>
      </c>
      <c r="N442" s="84">
        <f>VLOOKUP(Main_Presentation[[#This Row],[LC Number]],Main_Issuance[],12,0)</f>
        <v>50762045.400000006</v>
      </c>
      <c r="O442" s="16" t="s">
        <v>20</v>
      </c>
      <c r="P442" s="16" t="s">
        <v>857</v>
      </c>
      <c r="Q442" s="131">
        <v>64290.8</v>
      </c>
      <c r="R442" s="18">
        <v>4.5848000064688499</v>
      </c>
      <c r="S442" s="18">
        <f>Main_Presentation[[#This Row],[Invoice Amt (FCY)]]*Main_Presentation[[#This Row],[Rate]]</f>
        <v>294760.46025588753</v>
      </c>
      <c r="T442" s="15">
        <v>45293</v>
      </c>
      <c r="U442" s="26" t="str">
        <f>VLOOKUP(Main_Presentation[[#This Row],[LC Number]],Main_Issuance[],18,0)</f>
        <v>30 days from the date of comm. inv.</v>
      </c>
      <c r="V442" s="19" t="s">
        <v>213</v>
      </c>
      <c r="W442" s="18" t="s">
        <v>857</v>
      </c>
      <c r="X442" s="16"/>
      <c r="Y442" s="234" t="str">
        <f>TRIM(LEFT(Main_Presentation[[#This Row],[Payment Terms]],3))</f>
        <v>30</v>
      </c>
      <c r="Z442" s="16"/>
      <c r="AA442" s="316" cm="1">
        <f t="array" ref="AA442">Settlement(Main_Presentation[[#This Row],[Bank]],Main_Presentation[[#This Row],[ Invoice Amt (SAR)]],Main_Presentation[[#This Row],[Date Recd]],Main_Presentation[[#This Row],[Due Date]],Main_Presentation[[#This Row],[Days]])</f>
        <v>5084.1499999999996</v>
      </c>
      <c r="AB442" s="16"/>
    </row>
    <row r="443" spans="1:28" ht="15.75" hidden="1" x14ac:dyDescent="0.25">
      <c r="A443" s="14" t="s">
        <v>306</v>
      </c>
      <c r="B443" s="15">
        <v>44927</v>
      </c>
      <c r="C443" s="26">
        <v>11</v>
      </c>
      <c r="D443" s="55" t="str">
        <f>VLOOKUP(Main_Presentation[[#This Row],[LC Number]],Main_Issuance[],3,0)</f>
        <v>Dipu Sir</v>
      </c>
      <c r="E443" s="16" t="s">
        <v>856</v>
      </c>
      <c r="F443" s="17" t="str">
        <f>VLOOKUP(Main_Presentation[[#This Row],[LC Number]],Main_Issuance[],5,0)</f>
        <v>Riyad</v>
      </c>
      <c r="G443" s="17" t="str">
        <f>VLOOKUP(Main_Presentation[[#This Row],[LC Number]],Main_Issuance[],6,0)</f>
        <v>Cash</v>
      </c>
      <c r="H443" s="17" t="str">
        <f>VLOOKUP(Main_Presentation[[#This Row],[LC Number]],Main_Issuance[],17,0)</f>
        <v>Cash</v>
      </c>
      <c r="I443" s="17" t="str">
        <f>VLOOKUP(Main_Presentation[[#This Row],[LC Number]],Main_Issuance[],7,0)</f>
        <v>ATELIER HOSPITALITY SRL</v>
      </c>
      <c r="J443" s="17" t="str">
        <f>VLOOKUP(Main_Presentation[[#This Row],[LC Number]],Main_Issuance[],8,0)</f>
        <v>MBL</v>
      </c>
      <c r="K443" s="17" t="str">
        <f>VLOOKUP(Main_Presentation[[#This Row],[LC Number]],Main_Issuance[],9,0)</f>
        <v>L01-YAMMAMA</v>
      </c>
      <c r="L443" s="17">
        <f>VLOOKUP(Main_Presentation[[#This Row],[LC Number]],Main_Issuance[],10,0)</f>
        <v>1020015</v>
      </c>
      <c r="M443" s="17" t="str">
        <f>VLOOKUP(Main_Presentation[[#This Row],[LC Number]],Main_Issuance[],11,0)</f>
        <v>EUR</v>
      </c>
      <c r="N443" s="84">
        <f>VLOOKUP(Main_Presentation[[#This Row],[LC Number]],Main_Issuance[],12,0)</f>
        <v>50762045.400000006</v>
      </c>
      <c r="O443" s="16" t="s">
        <v>20</v>
      </c>
      <c r="P443" s="16" t="s">
        <v>857</v>
      </c>
      <c r="Q443" s="131">
        <v>193707.85</v>
      </c>
      <c r="R443" s="18">
        <v>4.5848000064688499</v>
      </c>
      <c r="S443" s="18">
        <f>Main_Presentation[[#This Row],[Invoice Amt (FCY)]]*Main_Presentation[[#This Row],[Rate]]</f>
        <v>888111.75193306699</v>
      </c>
      <c r="T443" s="15">
        <v>45293</v>
      </c>
      <c r="U443" s="26" t="str">
        <f>VLOOKUP(Main_Presentation[[#This Row],[LC Number]],Main_Issuance[],18,0)</f>
        <v>30 days from the date of comm. inv.</v>
      </c>
      <c r="V443" s="19" t="s">
        <v>213</v>
      </c>
      <c r="W443" s="18" t="s">
        <v>857</v>
      </c>
      <c r="X443" s="16"/>
      <c r="Y443" s="234" t="str">
        <f>TRIM(LEFT(Main_Presentation[[#This Row],[Payment Terms]],3))</f>
        <v>30</v>
      </c>
      <c r="Z443" s="16"/>
      <c r="AA443" s="316" cm="1">
        <f t="array" ref="AA443">Settlement(Main_Presentation[[#This Row],[Bank]],Main_Presentation[[#This Row],[ Invoice Amt (SAR)]],Main_Presentation[[#This Row],[Date Recd]],Main_Presentation[[#This Row],[Due Date]],Main_Presentation[[#This Row],[Days]])</f>
        <v>15320.3</v>
      </c>
      <c r="AB443" s="16"/>
    </row>
    <row r="444" spans="1:28" ht="15.75" hidden="1" x14ac:dyDescent="0.25">
      <c r="A444" s="14" t="s">
        <v>306</v>
      </c>
      <c r="B444" s="15">
        <v>45286</v>
      </c>
      <c r="C444" s="26">
        <v>12</v>
      </c>
      <c r="D444" s="55" t="str">
        <f>VLOOKUP(Main_Presentation[[#This Row],[LC Number]],Main_Issuance[],3,0)</f>
        <v>Dipu Sir</v>
      </c>
      <c r="E444" s="16" t="s">
        <v>856</v>
      </c>
      <c r="F444" s="17" t="str">
        <f>VLOOKUP(Main_Presentation[[#This Row],[LC Number]],Main_Issuance[],5,0)</f>
        <v>Riyad</v>
      </c>
      <c r="G444" s="17" t="str">
        <f>VLOOKUP(Main_Presentation[[#This Row],[LC Number]],Main_Issuance[],6,0)</f>
        <v>Cash</v>
      </c>
      <c r="H444" s="17" t="str">
        <f>VLOOKUP(Main_Presentation[[#This Row],[LC Number]],Main_Issuance[],17,0)</f>
        <v>Cash</v>
      </c>
      <c r="I444" s="17" t="str">
        <f>VLOOKUP(Main_Presentation[[#This Row],[LC Number]],Main_Issuance[],7,0)</f>
        <v>ATELIER HOSPITALITY SRL</v>
      </c>
      <c r="J444" s="17" t="str">
        <f>VLOOKUP(Main_Presentation[[#This Row],[LC Number]],Main_Issuance[],8,0)</f>
        <v>MBL</v>
      </c>
      <c r="K444" s="17" t="str">
        <f>VLOOKUP(Main_Presentation[[#This Row],[LC Number]],Main_Issuance[],9,0)</f>
        <v>L01-YAMMAMA</v>
      </c>
      <c r="L444" s="17">
        <f>VLOOKUP(Main_Presentation[[#This Row],[LC Number]],Main_Issuance[],10,0)</f>
        <v>1020015</v>
      </c>
      <c r="M444" s="17" t="str">
        <f>VLOOKUP(Main_Presentation[[#This Row],[LC Number]],Main_Issuance[],11,0)</f>
        <v>EUR</v>
      </c>
      <c r="N444" s="84">
        <f>VLOOKUP(Main_Presentation[[#This Row],[LC Number]],Main_Issuance[],12,0)</f>
        <v>50762045.400000006</v>
      </c>
      <c r="O444" s="16" t="s">
        <v>20</v>
      </c>
      <c r="P444" s="16" t="s">
        <v>857</v>
      </c>
      <c r="Q444" s="131">
        <v>407242.09</v>
      </c>
      <c r="R444" s="18">
        <v>4.5848000064688499</v>
      </c>
      <c r="S444" s="18">
        <f>Main_Presentation[[#This Row],[Invoice Amt (FCY)]]*Main_Presentation[[#This Row],[Rate]]</f>
        <v>1867123.5368663881</v>
      </c>
      <c r="T444" s="15">
        <v>45294</v>
      </c>
      <c r="U444" s="26" t="str">
        <f>VLOOKUP(Main_Presentation[[#This Row],[LC Number]],Main_Issuance[],18,0)</f>
        <v>30 days from the date of comm. inv.</v>
      </c>
      <c r="V444" s="19" t="s">
        <v>213</v>
      </c>
      <c r="W444" s="18" t="s">
        <v>857</v>
      </c>
      <c r="X444" s="16"/>
      <c r="Y444" s="234" t="str">
        <f>TRIM(LEFT(Main_Presentation[[#This Row],[Payment Terms]],3))</f>
        <v>30</v>
      </c>
      <c r="Z444" s="16"/>
      <c r="AA444" s="316" cm="1">
        <f t="array" ref="AA444">Settlement(Main_Presentation[[#This Row],[Bank]],Main_Presentation[[#This Row],[ Invoice Amt (SAR)]],Main_Presentation[[#This Row],[Date Recd]],Main_Presentation[[#This Row],[Due Date]],Main_Presentation[[#This Row],[Days]])</f>
        <v>230</v>
      </c>
      <c r="AB444" s="16"/>
    </row>
    <row r="445" spans="1:28" ht="15.75" hidden="1" x14ac:dyDescent="0.25">
      <c r="A445" s="14" t="s">
        <v>306</v>
      </c>
      <c r="B445" s="15">
        <v>44927</v>
      </c>
      <c r="C445" s="26">
        <v>13</v>
      </c>
      <c r="D445" s="55" t="str">
        <f>VLOOKUP(Main_Presentation[[#This Row],[LC Number]],Main_Issuance[],3,0)</f>
        <v>Dipu Sir</v>
      </c>
      <c r="E445" s="16" t="s">
        <v>856</v>
      </c>
      <c r="F445" s="17" t="str">
        <f>VLOOKUP(Main_Presentation[[#This Row],[LC Number]],Main_Issuance[],5,0)</f>
        <v>Riyad</v>
      </c>
      <c r="G445" s="17" t="str">
        <f>VLOOKUP(Main_Presentation[[#This Row],[LC Number]],Main_Issuance[],6,0)</f>
        <v>Cash</v>
      </c>
      <c r="H445" s="17" t="str">
        <f>VLOOKUP(Main_Presentation[[#This Row],[LC Number]],Main_Issuance[],17,0)</f>
        <v>Cash</v>
      </c>
      <c r="I445" s="17" t="str">
        <f>VLOOKUP(Main_Presentation[[#This Row],[LC Number]],Main_Issuance[],7,0)</f>
        <v>ATELIER HOSPITALITY SRL</v>
      </c>
      <c r="J445" s="17" t="str">
        <f>VLOOKUP(Main_Presentation[[#This Row],[LC Number]],Main_Issuance[],8,0)</f>
        <v>MBL</v>
      </c>
      <c r="K445" s="17" t="str">
        <f>VLOOKUP(Main_Presentation[[#This Row],[LC Number]],Main_Issuance[],9,0)</f>
        <v>L01-YAMMAMA</v>
      </c>
      <c r="L445" s="17">
        <f>VLOOKUP(Main_Presentation[[#This Row],[LC Number]],Main_Issuance[],10,0)</f>
        <v>1020015</v>
      </c>
      <c r="M445" s="17" t="str">
        <f>VLOOKUP(Main_Presentation[[#This Row],[LC Number]],Main_Issuance[],11,0)</f>
        <v>EUR</v>
      </c>
      <c r="N445" s="84">
        <f>VLOOKUP(Main_Presentation[[#This Row],[LC Number]],Main_Issuance[],12,0)</f>
        <v>50762045.400000006</v>
      </c>
      <c r="O445" s="16" t="s">
        <v>20</v>
      </c>
      <c r="P445" s="16" t="s">
        <v>857</v>
      </c>
      <c r="Q445" s="131">
        <v>29156.42</v>
      </c>
      <c r="R445" s="18">
        <v>4.5848000064688499</v>
      </c>
      <c r="S445" s="18">
        <f>Main_Presentation[[#This Row],[Invoice Amt (FCY)]]*Main_Presentation[[#This Row],[Rate]]</f>
        <v>133676.3546046085</v>
      </c>
      <c r="T445" s="15">
        <v>45294</v>
      </c>
      <c r="U445" s="26" t="str">
        <f>VLOOKUP(Main_Presentation[[#This Row],[LC Number]],Main_Issuance[],18,0)</f>
        <v>30 days from the date of comm. inv.</v>
      </c>
      <c r="V445" s="19" t="s">
        <v>213</v>
      </c>
      <c r="W445" s="18" t="s">
        <v>857</v>
      </c>
      <c r="X445" s="16"/>
      <c r="Y445" s="234" t="str">
        <f>TRIM(LEFT(Main_Presentation[[#This Row],[Payment Terms]],3))</f>
        <v>30</v>
      </c>
      <c r="Z445" s="16"/>
      <c r="AA445" s="316" cm="1">
        <f t="array" ref="AA445">Settlement(Main_Presentation[[#This Row],[Bank]],Main_Presentation[[#This Row],[ Invoice Amt (SAR)]],Main_Presentation[[#This Row],[Date Recd]],Main_Presentation[[#This Row],[Due Date]],Main_Presentation[[#This Row],[Days]])</f>
        <v>2305.75</v>
      </c>
      <c r="AB445" s="16"/>
    </row>
    <row r="446" spans="1:28" ht="15.75" hidden="1" x14ac:dyDescent="0.25">
      <c r="A446" s="14" t="s">
        <v>306</v>
      </c>
      <c r="B446" s="15">
        <v>45298</v>
      </c>
      <c r="C446" s="26">
        <v>14</v>
      </c>
      <c r="D446" s="55" t="str">
        <f>VLOOKUP(Main_Presentation[[#This Row],[LC Number]],Main_Issuance[],3,0)</f>
        <v>Dipu Sir</v>
      </c>
      <c r="E446" s="16" t="s">
        <v>856</v>
      </c>
      <c r="F446" s="17" t="str">
        <f>VLOOKUP(Main_Presentation[[#This Row],[LC Number]],Main_Issuance[],5,0)</f>
        <v>Riyad</v>
      </c>
      <c r="G446" s="17" t="str">
        <f>VLOOKUP(Main_Presentation[[#This Row],[LC Number]],Main_Issuance[],6,0)</f>
        <v>Cash</v>
      </c>
      <c r="H446" s="17" t="str">
        <f>VLOOKUP(Main_Presentation[[#This Row],[LC Number]],Main_Issuance[],17,0)</f>
        <v>Cash</v>
      </c>
      <c r="I446" s="17" t="str">
        <f>VLOOKUP(Main_Presentation[[#This Row],[LC Number]],Main_Issuance[],7,0)</f>
        <v>ATELIER HOSPITALITY SRL</v>
      </c>
      <c r="J446" s="17" t="str">
        <f>VLOOKUP(Main_Presentation[[#This Row],[LC Number]],Main_Issuance[],8,0)</f>
        <v>MBL</v>
      </c>
      <c r="K446" s="17" t="str">
        <f>VLOOKUP(Main_Presentation[[#This Row],[LC Number]],Main_Issuance[],9,0)</f>
        <v>L01-YAMMAMA</v>
      </c>
      <c r="L446" s="17">
        <f>VLOOKUP(Main_Presentation[[#This Row],[LC Number]],Main_Issuance[],10,0)</f>
        <v>1020015</v>
      </c>
      <c r="M446" s="17" t="str">
        <f>VLOOKUP(Main_Presentation[[#This Row],[LC Number]],Main_Issuance[],11,0)</f>
        <v>EUR</v>
      </c>
      <c r="N446" s="84">
        <f>VLOOKUP(Main_Presentation[[#This Row],[LC Number]],Main_Issuance[],12,0)</f>
        <v>50762045.400000006</v>
      </c>
      <c r="O446" s="16" t="s">
        <v>20</v>
      </c>
      <c r="P446" s="16" t="s">
        <v>857</v>
      </c>
      <c r="Q446" s="131">
        <v>603995.05000000005</v>
      </c>
      <c r="R446" s="18">
        <v>4.5848000064688499</v>
      </c>
      <c r="S446" s="18">
        <f>Main_Presentation[[#This Row],[Invoice Amt (FCY)]]*Main_Presentation[[#This Row],[Rate]]</f>
        <v>2769196.5091471537</v>
      </c>
      <c r="T446" s="15">
        <v>45299</v>
      </c>
      <c r="U446" s="26" t="str">
        <f>VLOOKUP(Main_Presentation[[#This Row],[LC Number]],Main_Issuance[],18,0)</f>
        <v>30 days from the date of comm. inv.</v>
      </c>
      <c r="V446" s="19" t="s">
        <v>213</v>
      </c>
      <c r="W446" s="18" t="s">
        <v>857</v>
      </c>
      <c r="X446" s="16"/>
      <c r="Y446" s="234" t="str">
        <f>TRIM(LEFT(Main_Presentation[[#This Row],[Payment Terms]],3))</f>
        <v>30</v>
      </c>
      <c r="Z446" s="16"/>
      <c r="AA446" s="316" cm="1">
        <f t="array" ref="AA446">Settlement(Main_Presentation[[#This Row],[Bank]],Main_Presentation[[#This Row],[ Invoice Amt (SAR)]],Main_Presentation[[#This Row],[Date Recd]],Main_Presentation[[#This Row],[Due Date]],Main_Presentation[[#This Row],[Days]])</f>
        <v>230</v>
      </c>
      <c r="AB446" s="16"/>
    </row>
    <row r="447" spans="1:28" ht="15.75" hidden="1" x14ac:dyDescent="0.25">
      <c r="A447" s="14" t="s">
        <v>306</v>
      </c>
      <c r="B447" s="15">
        <v>45298</v>
      </c>
      <c r="C447" s="26">
        <v>15</v>
      </c>
      <c r="D447" s="55" t="str">
        <f>VLOOKUP(Main_Presentation[[#This Row],[LC Number]],Main_Issuance[],3,0)</f>
        <v>Dipu Sir</v>
      </c>
      <c r="E447" s="16" t="s">
        <v>856</v>
      </c>
      <c r="F447" s="17" t="str">
        <f>VLOOKUP(Main_Presentation[[#This Row],[LC Number]],Main_Issuance[],5,0)</f>
        <v>Riyad</v>
      </c>
      <c r="G447" s="17" t="str">
        <f>VLOOKUP(Main_Presentation[[#This Row],[LC Number]],Main_Issuance[],6,0)</f>
        <v>Cash</v>
      </c>
      <c r="H447" s="17" t="str">
        <f>VLOOKUP(Main_Presentation[[#This Row],[LC Number]],Main_Issuance[],17,0)</f>
        <v>Cash</v>
      </c>
      <c r="I447" s="17" t="str">
        <f>VLOOKUP(Main_Presentation[[#This Row],[LC Number]],Main_Issuance[],7,0)</f>
        <v>ATELIER HOSPITALITY SRL</v>
      </c>
      <c r="J447" s="17" t="str">
        <f>VLOOKUP(Main_Presentation[[#This Row],[LC Number]],Main_Issuance[],8,0)</f>
        <v>MBL</v>
      </c>
      <c r="K447" s="17" t="str">
        <f>VLOOKUP(Main_Presentation[[#This Row],[LC Number]],Main_Issuance[],9,0)</f>
        <v>L01-YAMMAMA</v>
      </c>
      <c r="L447" s="17">
        <f>VLOOKUP(Main_Presentation[[#This Row],[LC Number]],Main_Issuance[],10,0)</f>
        <v>1020015</v>
      </c>
      <c r="M447" s="17" t="str">
        <f>VLOOKUP(Main_Presentation[[#This Row],[LC Number]],Main_Issuance[],11,0)</f>
        <v>EUR</v>
      </c>
      <c r="N447" s="84">
        <f>VLOOKUP(Main_Presentation[[#This Row],[LC Number]],Main_Issuance[],12,0)</f>
        <v>50762045.400000006</v>
      </c>
      <c r="O447" s="16" t="s">
        <v>20</v>
      </c>
      <c r="P447" s="16" t="s">
        <v>857</v>
      </c>
      <c r="Q447" s="131">
        <v>86900.29</v>
      </c>
      <c r="R447" s="18">
        <v>4.5848000064688499</v>
      </c>
      <c r="S447" s="18">
        <f>Main_Presentation[[#This Row],[Invoice Amt (FCY)]]*Main_Presentation[[#This Row],[Rate]]</f>
        <v>398420.4501541449</v>
      </c>
      <c r="T447" s="15">
        <v>45301</v>
      </c>
      <c r="U447" s="26" t="str">
        <f>VLOOKUP(Main_Presentation[[#This Row],[LC Number]],Main_Issuance[],18,0)</f>
        <v>30 days from the date of comm. inv.</v>
      </c>
      <c r="V447" s="19" t="s">
        <v>213</v>
      </c>
      <c r="W447" s="18" t="s">
        <v>857</v>
      </c>
      <c r="X447" s="16"/>
      <c r="Y447" s="234" t="str">
        <f>TRIM(LEFT(Main_Presentation[[#This Row],[Payment Terms]],3))</f>
        <v>30</v>
      </c>
      <c r="Z447" s="16"/>
      <c r="AA447" s="316" cm="1">
        <f t="array" ref="AA447">Settlement(Main_Presentation[[#This Row],[Bank]],Main_Presentation[[#This Row],[ Invoice Amt (SAR)]],Main_Presentation[[#This Row],[Date Recd]],Main_Presentation[[#This Row],[Due Date]],Main_Presentation[[#This Row],[Days]])</f>
        <v>230</v>
      </c>
      <c r="AB447" s="16"/>
    </row>
    <row r="448" spans="1:28" ht="15.75" hidden="1" x14ac:dyDescent="0.25">
      <c r="A448" s="14" t="s">
        <v>306</v>
      </c>
      <c r="B448" s="15">
        <v>45305</v>
      </c>
      <c r="C448" s="26">
        <v>16</v>
      </c>
      <c r="D448" s="55" t="str">
        <f>VLOOKUP(Main_Presentation[[#This Row],[LC Number]],Main_Issuance[],3,0)</f>
        <v>Dipu Sir</v>
      </c>
      <c r="E448" s="16" t="s">
        <v>856</v>
      </c>
      <c r="F448" s="17" t="str">
        <f>VLOOKUP(Main_Presentation[[#This Row],[LC Number]],Main_Issuance[],5,0)</f>
        <v>Riyad</v>
      </c>
      <c r="G448" s="17" t="str">
        <f>VLOOKUP(Main_Presentation[[#This Row],[LC Number]],Main_Issuance[],6,0)</f>
        <v>Cash</v>
      </c>
      <c r="H448" s="17" t="str">
        <f>VLOOKUP(Main_Presentation[[#This Row],[LC Number]],Main_Issuance[],17,0)</f>
        <v>Cash</v>
      </c>
      <c r="I448" s="17" t="str">
        <f>VLOOKUP(Main_Presentation[[#This Row],[LC Number]],Main_Issuance[],7,0)</f>
        <v>ATELIER HOSPITALITY SRL</v>
      </c>
      <c r="J448" s="17" t="str">
        <f>VLOOKUP(Main_Presentation[[#This Row],[LC Number]],Main_Issuance[],8,0)</f>
        <v>MBL</v>
      </c>
      <c r="K448" s="17" t="str">
        <f>VLOOKUP(Main_Presentation[[#This Row],[LC Number]],Main_Issuance[],9,0)</f>
        <v>L01-YAMMAMA</v>
      </c>
      <c r="L448" s="17">
        <f>VLOOKUP(Main_Presentation[[#This Row],[LC Number]],Main_Issuance[],10,0)</f>
        <v>1020015</v>
      </c>
      <c r="M448" s="17" t="str">
        <f>VLOOKUP(Main_Presentation[[#This Row],[LC Number]],Main_Issuance[],11,0)</f>
        <v>EUR</v>
      </c>
      <c r="N448" s="84">
        <f>VLOOKUP(Main_Presentation[[#This Row],[LC Number]],Main_Issuance[],12,0)</f>
        <v>50762045.400000006</v>
      </c>
      <c r="O448" s="16" t="s">
        <v>20</v>
      </c>
      <c r="P448" s="16" t="s">
        <v>857</v>
      </c>
      <c r="Q448" s="131">
        <v>529788.57999999996</v>
      </c>
      <c r="R448" s="18">
        <v>4.5848000064688499</v>
      </c>
      <c r="S448" s="18">
        <f>Main_Presentation[[#This Row],[Invoice Amt (FCY)]]*Main_Presentation[[#This Row],[Rate]]</f>
        <v>2428974.6850111224</v>
      </c>
      <c r="T448" s="15">
        <v>45307</v>
      </c>
      <c r="U448" s="26" t="str">
        <f>VLOOKUP(Main_Presentation[[#This Row],[LC Number]],Main_Issuance[],18,0)</f>
        <v>30 days from the date of comm. inv.</v>
      </c>
      <c r="V448" s="19" t="s">
        <v>213</v>
      </c>
      <c r="W448" s="18" t="s">
        <v>857</v>
      </c>
      <c r="X448" s="16"/>
      <c r="Y448" s="234" t="str">
        <f>TRIM(LEFT(Main_Presentation[[#This Row],[Payment Terms]],3))</f>
        <v>30</v>
      </c>
      <c r="Z448" s="16"/>
      <c r="AA448" s="316" cm="1">
        <f t="array" ref="AA448">Settlement(Main_Presentation[[#This Row],[Bank]],Main_Presentation[[#This Row],[ Invoice Amt (SAR)]],Main_Presentation[[#This Row],[Date Recd]],Main_Presentation[[#This Row],[Due Date]],Main_Presentation[[#This Row],[Days]])</f>
        <v>230</v>
      </c>
      <c r="AB448" s="16"/>
    </row>
    <row r="449" spans="1:28" ht="15.75" hidden="1" x14ac:dyDescent="0.25">
      <c r="A449" s="14" t="s">
        <v>306</v>
      </c>
      <c r="B449" s="15">
        <v>45305</v>
      </c>
      <c r="C449" s="26">
        <v>17</v>
      </c>
      <c r="D449" s="55" t="str">
        <f>VLOOKUP(Main_Presentation[[#This Row],[LC Number]],Main_Issuance[],3,0)</f>
        <v>Dipu Sir</v>
      </c>
      <c r="E449" s="16" t="s">
        <v>856</v>
      </c>
      <c r="F449" s="17" t="str">
        <f>VLOOKUP(Main_Presentation[[#This Row],[LC Number]],Main_Issuance[],5,0)</f>
        <v>Riyad</v>
      </c>
      <c r="G449" s="17" t="str">
        <f>VLOOKUP(Main_Presentation[[#This Row],[LC Number]],Main_Issuance[],6,0)</f>
        <v>Cash</v>
      </c>
      <c r="H449" s="17" t="str">
        <f>VLOOKUP(Main_Presentation[[#This Row],[LC Number]],Main_Issuance[],17,0)</f>
        <v>Cash</v>
      </c>
      <c r="I449" s="17" t="str">
        <f>VLOOKUP(Main_Presentation[[#This Row],[LC Number]],Main_Issuance[],7,0)</f>
        <v>ATELIER HOSPITALITY SRL</v>
      </c>
      <c r="J449" s="17" t="str">
        <f>VLOOKUP(Main_Presentation[[#This Row],[LC Number]],Main_Issuance[],8,0)</f>
        <v>MBL</v>
      </c>
      <c r="K449" s="17" t="str">
        <f>VLOOKUP(Main_Presentation[[#This Row],[LC Number]],Main_Issuance[],9,0)</f>
        <v>L01-YAMMAMA</v>
      </c>
      <c r="L449" s="17">
        <f>VLOOKUP(Main_Presentation[[#This Row],[LC Number]],Main_Issuance[],10,0)</f>
        <v>1020015</v>
      </c>
      <c r="M449" s="17" t="str">
        <f>VLOOKUP(Main_Presentation[[#This Row],[LC Number]],Main_Issuance[],11,0)</f>
        <v>EUR</v>
      </c>
      <c r="N449" s="84">
        <f>VLOOKUP(Main_Presentation[[#This Row],[LC Number]],Main_Issuance[],12,0)</f>
        <v>50762045.400000006</v>
      </c>
      <c r="O449" s="16" t="s">
        <v>20</v>
      </c>
      <c r="P449" s="16" t="s">
        <v>857</v>
      </c>
      <c r="Q449" s="131">
        <v>35350.26</v>
      </c>
      <c r="R449" s="18">
        <v>4.5848000064688499</v>
      </c>
      <c r="S449" s="18">
        <f>Main_Presentation[[#This Row],[Invoice Amt (FCY)]]*Main_Presentation[[#This Row],[Rate]]</f>
        <v>162073.87227667554</v>
      </c>
      <c r="T449" s="15">
        <v>45307</v>
      </c>
      <c r="U449" s="26" t="str">
        <f>VLOOKUP(Main_Presentation[[#This Row],[LC Number]],Main_Issuance[],18,0)</f>
        <v>30 days from the date of comm. inv.</v>
      </c>
      <c r="V449" s="19" t="s">
        <v>213</v>
      </c>
      <c r="W449" s="18" t="s">
        <v>857</v>
      </c>
      <c r="X449" s="16"/>
      <c r="Y449" s="234" t="str">
        <f>TRIM(LEFT(Main_Presentation[[#This Row],[Payment Terms]],3))</f>
        <v>30</v>
      </c>
      <c r="Z449" s="16"/>
      <c r="AA449" s="316" cm="1">
        <f t="array" ref="AA449">Settlement(Main_Presentation[[#This Row],[Bank]],Main_Presentation[[#This Row],[ Invoice Amt (SAR)]],Main_Presentation[[#This Row],[Date Recd]],Main_Presentation[[#This Row],[Due Date]],Main_Presentation[[#This Row],[Days]])</f>
        <v>230</v>
      </c>
      <c r="AB449" s="16"/>
    </row>
    <row r="450" spans="1:28" ht="15.75" hidden="1" x14ac:dyDescent="0.25">
      <c r="A450" s="14" t="s">
        <v>306</v>
      </c>
      <c r="B450" s="15">
        <v>45305</v>
      </c>
      <c r="C450" s="26">
        <v>18</v>
      </c>
      <c r="D450" s="55" t="str">
        <f>VLOOKUP(Main_Presentation[[#This Row],[LC Number]],Main_Issuance[],3,0)</f>
        <v>Dipu Sir</v>
      </c>
      <c r="E450" s="16" t="s">
        <v>856</v>
      </c>
      <c r="F450" s="17" t="str">
        <f>VLOOKUP(Main_Presentation[[#This Row],[LC Number]],Main_Issuance[],5,0)</f>
        <v>Riyad</v>
      </c>
      <c r="G450" s="17" t="str">
        <f>VLOOKUP(Main_Presentation[[#This Row],[LC Number]],Main_Issuance[],6,0)</f>
        <v>Cash</v>
      </c>
      <c r="H450" s="17" t="str">
        <f>VLOOKUP(Main_Presentation[[#This Row],[LC Number]],Main_Issuance[],17,0)</f>
        <v>Cash</v>
      </c>
      <c r="I450" s="17" t="str">
        <f>VLOOKUP(Main_Presentation[[#This Row],[LC Number]],Main_Issuance[],7,0)</f>
        <v>ATELIER HOSPITALITY SRL</v>
      </c>
      <c r="J450" s="17" t="str">
        <f>VLOOKUP(Main_Presentation[[#This Row],[LC Number]],Main_Issuance[],8,0)</f>
        <v>MBL</v>
      </c>
      <c r="K450" s="17" t="str">
        <f>VLOOKUP(Main_Presentation[[#This Row],[LC Number]],Main_Issuance[],9,0)</f>
        <v>L01-YAMMAMA</v>
      </c>
      <c r="L450" s="17">
        <f>VLOOKUP(Main_Presentation[[#This Row],[LC Number]],Main_Issuance[],10,0)</f>
        <v>1020015</v>
      </c>
      <c r="M450" s="17" t="str">
        <f>VLOOKUP(Main_Presentation[[#This Row],[LC Number]],Main_Issuance[],11,0)</f>
        <v>EUR</v>
      </c>
      <c r="N450" s="84">
        <f>VLOOKUP(Main_Presentation[[#This Row],[LC Number]],Main_Issuance[],12,0)</f>
        <v>50762045.400000006</v>
      </c>
      <c r="O450" s="16" t="s">
        <v>20</v>
      </c>
      <c r="P450" s="16" t="s">
        <v>857</v>
      </c>
      <c r="Q450" s="131">
        <v>304149.92</v>
      </c>
      <c r="R450" s="18">
        <v>4.5848000064688499</v>
      </c>
      <c r="S450" s="18">
        <f>Main_Presentation[[#This Row],[Invoice Amt (FCY)]]*Main_Presentation[[#This Row],[Rate]]</f>
        <v>1394466.5551835001</v>
      </c>
      <c r="T450" s="15">
        <v>45307</v>
      </c>
      <c r="U450" s="26" t="str">
        <f>VLOOKUP(Main_Presentation[[#This Row],[LC Number]],Main_Issuance[],18,0)</f>
        <v>30 days from the date of comm. inv.</v>
      </c>
      <c r="V450" s="19" t="s">
        <v>213</v>
      </c>
      <c r="W450" s="18" t="s">
        <v>857</v>
      </c>
      <c r="X450" s="16"/>
      <c r="Y450" s="234" t="str">
        <f>TRIM(LEFT(Main_Presentation[[#This Row],[Payment Terms]],3))</f>
        <v>30</v>
      </c>
      <c r="Z450" s="16"/>
      <c r="AA450" s="316" cm="1">
        <f t="array" ref="AA450">Settlement(Main_Presentation[[#This Row],[Bank]],Main_Presentation[[#This Row],[ Invoice Amt (SAR)]],Main_Presentation[[#This Row],[Date Recd]],Main_Presentation[[#This Row],[Due Date]],Main_Presentation[[#This Row],[Days]])</f>
        <v>230</v>
      </c>
      <c r="AB450" s="16"/>
    </row>
    <row r="451" spans="1:28" ht="15.75" hidden="1" x14ac:dyDescent="0.25">
      <c r="A451" s="14" t="s">
        <v>306</v>
      </c>
      <c r="B451" s="15">
        <v>45305</v>
      </c>
      <c r="C451" s="26">
        <v>19</v>
      </c>
      <c r="D451" s="55" t="str">
        <f>VLOOKUP(Main_Presentation[[#This Row],[LC Number]],Main_Issuance[],3,0)</f>
        <v>Dipu Sir</v>
      </c>
      <c r="E451" s="16" t="s">
        <v>856</v>
      </c>
      <c r="F451" s="17" t="str">
        <f>VLOOKUP(Main_Presentation[[#This Row],[LC Number]],Main_Issuance[],5,0)</f>
        <v>Riyad</v>
      </c>
      <c r="G451" s="17" t="str">
        <f>VLOOKUP(Main_Presentation[[#This Row],[LC Number]],Main_Issuance[],6,0)</f>
        <v>Cash</v>
      </c>
      <c r="H451" s="17" t="str">
        <f>VLOOKUP(Main_Presentation[[#This Row],[LC Number]],Main_Issuance[],17,0)</f>
        <v>Cash</v>
      </c>
      <c r="I451" s="17" t="str">
        <f>VLOOKUP(Main_Presentation[[#This Row],[LC Number]],Main_Issuance[],7,0)</f>
        <v>ATELIER HOSPITALITY SRL</v>
      </c>
      <c r="J451" s="17" t="str">
        <f>VLOOKUP(Main_Presentation[[#This Row],[LC Number]],Main_Issuance[],8,0)</f>
        <v>MBL</v>
      </c>
      <c r="K451" s="17" t="str">
        <f>VLOOKUP(Main_Presentation[[#This Row],[LC Number]],Main_Issuance[],9,0)</f>
        <v>L01-YAMMAMA</v>
      </c>
      <c r="L451" s="17">
        <f>VLOOKUP(Main_Presentation[[#This Row],[LC Number]],Main_Issuance[],10,0)</f>
        <v>1020015</v>
      </c>
      <c r="M451" s="17" t="str">
        <f>VLOOKUP(Main_Presentation[[#This Row],[LC Number]],Main_Issuance[],11,0)</f>
        <v>EUR</v>
      </c>
      <c r="N451" s="84">
        <f>VLOOKUP(Main_Presentation[[#This Row],[LC Number]],Main_Issuance[],12,0)</f>
        <v>50762045.400000006</v>
      </c>
      <c r="O451" s="16" t="s">
        <v>20</v>
      </c>
      <c r="P451" s="16" t="s">
        <v>857</v>
      </c>
      <c r="Q451" s="131">
        <v>347398.43</v>
      </c>
      <c r="R451" s="18">
        <v>4.5848000064688499</v>
      </c>
      <c r="S451" s="18">
        <f>Main_Presentation[[#This Row],[Invoice Amt (FCY)]]*Main_Presentation[[#This Row],[Rate]]</f>
        <v>1592752.3241112682</v>
      </c>
      <c r="T451" s="15">
        <v>45307</v>
      </c>
      <c r="U451" s="26" t="str">
        <f>VLOOKUP(Main_Presentation[[#This Row],[LC Number]],Main_Issuance[],18,0)</f>
        <v>30 days from the date of comm. inv.</v>
      </c>
      <c r="V451" s="19" t="s">
        <v>213</v>
      </c>
      <c r="W451" s="18" t="s">
        <v>857</v>
      </c>
      <c r="X451" s="16"/>
      <c r="Y451" s="234" t="str">
        <f>TRIM(LEFT(Main_Presentation[[#This Row],[Payment Terms]],3))</f>
        <v>30</v>
      </c>
      <c r="Z451" s="16"/>
      <c r="AA451" s="316" cm="1">
        <f t="array" ref="AA451">Settlement(Main_Presentation[[#This Row],[Bank]],Main_Presentation[[#This Row],[ Invoice Amt (SAR)]],Main_Presentation[[#This Row],[Date Recd]],Main_Presentation[[#This Row],[Due Date]],Main_Presentation[[#This Row],[Days]])</f>
        <v>230</v>
      </c>
      <c r="AB451" s="16"/>
    </row>
    <row r="452" spans="1:28" ht="15.75" hidden="1" x14ac:dyDescent="0.25">
      <c r="A452" s="232" t="s">
        <v>306</v>
      </c>
      <c r="B452" s="137">
        <v>45307</v>
      </c>
      <c r="C452" s="138">
        <v>20</v>
      </c>
      <c r="D452" s="139" t="str">
        <f>VLOOKUP(Main_Presentation[[#This Row],[LC Number]],Main_Issuance[],3,0)</f>
        <v>Dipu Sir</v>
      </c>
      <c r="E452" s="140" t="s">
        <v>856</v>
      </c>
      <c r="F452" s="230" t="str">
        <f>VLOOKUP(Main_Presentation[[#This Row],[LC Number]],Main_Issuance[],5,0)</f>
        <v>Riyad</v>
      </c>
      <c r="G452" s="230" t="str">
        <f>VLOOKUP(Main_Presentation[[#This Row],[LC Number]],Main_Issuance[],6,0)</f>
        <v>Cash</v>
      </c>
      <c r="H452" s="230" t="str">
        <f>VLOOKUP(Main_Presentation[[#This Row],[LC Number]],Main_Issuance[],17,0)</f>
        <v>Cash</v>
      </c>
      <c r="I452" s="230" t="str">
        <f>VLOOKUP(Main_Presentation[[#This Row],[LC Number]],Main_Issuance[],7,0)</f>
        <v>ATELIER HOSPITALITY SRL</v>
      </c>
      <c r="J452" s="230" t="str">
        <f>VLOOKUP(Main_Presentation[[#This Row],[LC Number]],Main_Issuance[],8,0)</f>
        <v>MBL</v>
      </c>
      <c r="K452" s="230" t="str">
        <f>VLOOKUP(Main_Presentation[[#This Row],[LC Number]],Main_Issuance[],9,0)</f>
        <v>L01-YAMMAMA</v>
      </c>
      <c r="L452" s="230">
        <f>VLOOKUP(Main_Presentation[[#This Row],[LC Number]],Main_Issuance[],10,0)</f>
        <v>1020015</v>
      </c>
      <c r="M452" s="230" t="str">
        <f>VLOOKUP(Main_Presentation[[#This Row],[LC Number]],Main_Issuance[],11,0)</f>
        <v>EUR</v>
      </c>
      <c r="N452" s="231">
        <f>VLOOKUP(Main_Presentation[[#This Row],[LC Number]],Main_Issuance[],12,0)</f>
        <v>50762045.400000006</v>
      </c>
      <c r="O452" s="140" t="s">
        <v>20</v>
      </c>
      <c r="P452" s="140" t="s">
        <v>857</v>
      </c>
      <c r="Q452" s="131">
        <v>101731.68</v>
      </c>
      <c r="R452" s="18">
        <v>4.5848000064688499</v>
      </c>
      <c r="S452" s="131">
        <f>Main_Presentation[[#This Row],[Invoice Amt (FCY)]]*Main_Presentation[[#This Row],[Rate]]</f>
        <v>466419.40712208691</v>
      </c>
      <c r="T452" s="137">
        <v>45313</v>
      </c>
      <c r="U452" s="138" t="str">
        <f>VLOOKUP(Main_Presentation[[#This Row],[LC Number]],Main_Issuance[],18,0)</f>
        <v>30 days from the date of comm. inv.</v>
      </c>
      <c r="V452" s="115" t="s">
        <v>213</v>
      </c>
      <c r="W452" s="131" t="s">
        <v>857</v>
      </c>
      <c r="X452" s="140"/>
      <c r="Y452" s="400" t="str">
        <f>TRIM(LEFT(Main_Presentation[[#This Row],[Payment Terms]],3))</f>
        <v>30</v>
      </c>
      <c r="Z452" s="140"/>
      <c r="AA452" s="316" cm="1">
        <f t="array" ref="AA452">Settlement(Main_Presentation[[#This Row],[Bank]],Main_Presentation[[#This Row],[ Invoice Amt (SAR)]],Main_Presentation[[#This Row],[Date Recd]],Main_Presentation[[#This Row],[Due Date]],Main_Presentation[[#This Row],[Days]])</f>
        <v>230</v>
      </c>
      <c r="AB452" s="140"/>
    </row>
    <row r="453" spans="1:28" ht="15.75" hidden="1" x14ac:dyDescent="0.25">
      <c r="A453" s="232" t="s">
        <v>306</v>
      </c>
      <c r="B453" s="137">
        <v>45307</v>
      </c>
      <c r="C453" s="138">
        <v>21</v>
      </c>
      <c r="D453" s="139" t="str">
        <f>VLOOKUP(Main_Presentation[[#This Row],[LC Number]],Main_Issuance[],3,0)</f>
        <v>Dipu Sir</v>
      </c>
      <c r="E453" s="140" t="s">
        <v>856</v>
      </c>
      <c r="F453" s="230" t="str">
        <f>VLOOKUP(Main_Presentation[[#This Row],[LC Number]],Main_Issuance[],5,0)</f>
        <v>Riyad</v>
      </c>
      <c r="G453" s="230" t="str">
        <f>VLOOKUP(Main_Presentation[[#This Row],[LC Number]],Main_Issuance[],6,0)</f>
        <v>Cash</v>
      </c>
      <c r="H453" s="230" t="str">
        <f>VLOOKUP(Main_Presentation[[#This Row],[LC Number]],Main_Issuance[],17,0)</f>
        <v>Cash</v>
      </c>
      <c r="I453" s="230" t="str">
        <f>VLOOKUP(Main_Presentation[[#This Row],[LC Number]],Main_Issuance[],7,0)</f>
        <v>ATELIER HOSPITALITY SRL</v>
      </c>
      <c r="J453" s="230" t="str">
        <f>VLOOKUP(Main_Presentation[[#This Row],[LC Number]],Main_Issuance[],8,0)</f>
        <v>MBL</v>
      </c>
      <c r="K453" s="230" t="str">
        <f>VLOOKUP(Main_Presentation[[#This Row],[LC Number]],Main_Issuance[],9,0)</f>
        <v>L01-YAMMAMA</v>
      </c>
      <c r="L453" s="230">
        <f>VLOOKUP(Main_Presentation[[#This Row],[LC Number]],Main_Issuance[],10,0)</f>
        <v>1020015</v>
      </c>
      <c r="M453" s="230" t="str">
        <f>VLOOKUP(Main_Presentation[[#This Row],[LC Number]],Main_Issuance[],11,0)</f>
        <v>EUR</v>
      </c>
      <c r="N453" s="231">
        <f>VLOOKUP(Main_Presentation[[#This Row],[LC Number]],Main_Issuance[],12,0)</f>
        <v>50762045.400000006</v>
      </c>
      <c r="O453" s="140" t="s">
        <v>20</v>
      </c>
      <c r="P453" s="140" t="s">
        <v>857</v>
      </c>
      <c r="Q453" s="131">
        <v>216805.57</v>
      </c>
      <c r="R453" s="18">
        <v>4.5848000064688499</v>
      </c>
      <c r="S453" s="131">
        <f>Main_Presentation[[#This Row],[Invoice Amt (FCY)]]*Main_Presentation[[#This Row],[Rate]]</f>
        <v>994010.17873848276</v>
      </c>
      <c r="T453" s="137">
        <v>45313</v>
      </c>
      <c r="U453" s="138" t="str">
        <f>VLOOKUP(Main_Presentation[[#This Row],[LC Number]],Main_Issuance[],18,0)</f>
        <v>30 days from the date of comm. inv.</v>
      </c>
      <c r="V453" s="115" t="s">
        <v>213</v>
      </c>
      <c r="W453" s="131" t="s">
        <v>857</v>
      </c>
      <c r="X453" s="140"/>
      <c r="Y453" s="400" t="str">
        <f>TRIM(LEFT(Main_Presentation[[#This Row],[Payment Terms]],3))</f>
        <v>30</v>
      </c>
      <c r="Z453" s="140"/>
      <c r="AA453" s="316" cm="1">
        <f t="array" ref="AA453">Settlement(Main_Presentation[[#This Row],[Bank]],Main_Presentation[[#This Row],[ Invoice Amt (SAR)]],Main_Presentation[[#This Row],[Date Recd]],Main_Presentation[[#This Row],[Due Date]],Main_Presentation[[#This Row],[Days]])</f>
        <v>230</v>
      </c>
      <c r="AB453" s="140"/>
    </row>
    <row r="454" spans="1:28" ht="15.75" hidden="1" x14ac:dyDescent="0.25">
      <c r="A454" s="14" t="s">
        <v>306</v>
      </c>
      <c r="B454" s="15">
        <v>45307</v>
      </c>
      <c r="C454" s="26">
        <v>22</v>
      </c>
      <c r="D454" s="55" t="str">
        <f>VLOOKUP(Main_Presentation[[#This Row],[LC Number]],Main_Issuance[],3,0)</f>
        <v>Dipu Sir</v>
      </c>
      <c r="E454" s="16" t="s">
        <v>856</v>
      </c>
      <c r="F454" s="17" t="str">
        <f>VLOOKUP(Main_Presentation[[#This Row],[LC Number]],Main_Issuance[],5,0)</f>
        <v>Riyad</v>
      </c>
      <c r="G454" s="17" t="str">
        <f>VLOOKUP(Main_Presentation[[#This Row],[LC Number]],Main_Issuance[],6,0)</f>
        <v>Cash</v>
      </c>
      <c r="H454" s="17" t="str">
        <f>VLOOKUP(Main_Presentation[[#This Row],[LC Number]],Main_Issuance[],17,0)</f>
        <v>Cash</v>
      </c>
      <c r="I454" s="17" t="str">
        <f>VLOOKUP(Main_Presentation[[#This Row],[LC Number]],Main_Issuance[],7,0)</f>
        <v>ATELIER HOSPITALITY SRL</v>
      </c>
      <c r="J454" s="17" t="str">
        <f>VLOOKUP(Main_Presentation[[#This Row],[LC Number]],Main_Issuance[],8,0)</f>
        <v>MBL</v>
      </c>
      <c r="K454" s="17" t="str">
        <f>VLOOKUP(Main_Presentation[[#This Row],[LC Number]],Main_Issuance[],9,0)</f>
        <v>L01-YAMMAMA</v>
      </c>
      <c r="L454" s="17">
        <f>VLOOKUP(Main_Presentation[[#This Row],[LC Number]],Main_Issuance[],10,0)</f>
        <v>1020015</v>
      </c>
      <c r="M454" s="17" t="str">
        <f>VLOOKUP(Main_Presentation[[#This Row],[LC Number]],Main_Issuance[],11,0)</f>
        <v>EUR</v>
      </c>
      <c r="N454" s="84">
        <f>VLOOKUP(Main_Presentation[[#This Row],[LC Number]],Main_Issuance[],12,0)</f>
        <v>50762045.400000006</v>
      </c>
      <c r="O454" s="16" t="s">
        <v>20</v>
      </c>
      <c r="P454" s="16" t="s">
        <v>857</v>
      </c>
      <c r="Q454" s="131">
        <v>91605.97</v>
      </c>
      <c r="R454" s="18">
        <v>4.5848000064688499</v>
      </c>
      <c r="S454" s="18">
        <f>Main_Presentation[[#This Row],[Invoice Amt (FCY)]]*Main_Presentation[[#This Row],[Rate]]</f>
        <v>419995.05184858525</v>
      </c>
      <c r="T454" s="15">
        <v>45313</v>
      </c>
      <c r="U454" s="26" t="str">
        <f>VLOOKUP(Main_Presentation[[#This Row],[LC Number]],Main_Issuance[],18,0)</f>
        <v>30 days from the date of comm. inv.</v>
      </c>
      <c r="V454" s="19" t="s">
        <v>213</v>
      </c>
      <c r="W454" s="18" t="s">
        <v>857</v>
      </c>
      <c r="X454" s="16"/>
      <c r="Y454" s="234" t="str">
        <f>TRIM(LEFT(Main_Presentation[[#This Row],[Payment Terms]],3))</f>
        <v>30</v>
      </c>
      <c r="Z454" s="16"/>
      <c r="AA454" s="316" cm="1">
        <f t="array" ref="AA454">Settlement(Main_Presentation[[#This Row],[Bank]],Main_Presentation[[#This Row],[ Invoice Amt (SAR)]],Main_Presentation[[#This Row],[Date Recd]],Main_Presentation[[#This Row],[Due Date]],Main_Presentation[[#This Row],[Days]])</f>
        <v>230</v>
      </c>
      <c r="AB454" s="16"/>
    </row>
    <row r="455" spans="1:28" ht="15.75" hidden="1" x14ac:dyDescent="0.25">
      <c r="A455" s="14" t="s">
        <v>306</v>
      </c>
      <c r="B455" s="15">
        <v>45307</v>
      </c>
      <c r="C455" s="26">
        <v>23</v>
      </c>
      <c r="D455" s="55" t="str">
        <f>VLOOKUP(Main_Presentation[[#This Row],[LC Number]],Main_Issuance[],3,0)</f>
        <v>Dipu Sir</v>
      </c>
      <c r="E455" s="16" t="s">
        <v>856</v>
      </c>
      <c r="F455" s="17" t="str">
        <f>VLOOKUP(Main_Presentation[[#This Row],[LC Number]],Main_Issuance[],5,0)</f>
        <v>Riyad</v>
      </c>
      <c r="G455" s="17" t="str">
        <f>VLOOKUP(Main_Presentation[[#This Row],[LC Number]],Main_Issuance[],6,0)</f>
        <v>Cash</v>
      </c>
      <c r="H455" s="17" t="str">
        <f>VLOOKUP(Main_Presentation[[#This Row],[LC Number]],Main_Issuance[],17,0)</f>
        <v>Cash</v>
      </c>
      <c r="I455" s="17" t="str">
        <f>VLOOKUP(Main_Presentation[[#This Row],[LC Number]],Main_Issuance[],7,0)</f>
        <v>ATELIER HOSPITALITY SRL</v>
      </c>
      <c r="J455" s="17" t="str">
        <f>VLOOKUP(Main_Presentation[[#This Row],[LC Number]],Main_Issuance[],8,0)</f>
        <v>MBL</v>
      </c>
      <c r="K455" s="17" t="str">
        <f>VLOOKUP(Main_Presentation[[#This Row],[LC Number]],Main_Issuance[],9,0)</f>
        <v>L01-YAMMAMA</v>
      </c>
      <c r="L455" s="17">
        <f>VLOOKUP(Main_Presentation[[#This Row],[LC Number]],Main_Issuance[],10,0)</f>
        <v>1020015</v>
      </c>
      <c r="M455" s="17" t="str">
        <f>VLOOKUP(Main_Presentation[[#This Row],[LC Number]],Main_Issuance[],11,0)</f>
        <v>EUR</v>
      </c>
      <c r="N455" s="84">
        <f>VLOOKUP(Main_Presentation[[#This Row],[LC Number]],Main_Issuance[],12,0)</f>
        <v>50762045.400000006</v>
      </c>
      <c r="O455" s="16" t="s">
        <v>20</v>
      </c>
      <c r="P455" s="16" t="s">
        <v>857</v>
      </c>
      <c r="Q455" s="131">
        <v>175254.08</v>
      </c>
      <c r="R455" s="18">
        <v>4.5848000064688499</v>
      </c>
      <c r="S455" s="18">
        <f>Main_Presentation[[#This Row],[Invoice Amt (FCY)]]*Main_Presentation[[#This Row],[Rate]]</f>
        <v>803504.90711769229</v>
      </c>
      <c r="T455" s="15">
        <v>45313</v>
      </c>
      <c r="U455" s="26" t="str">
        <f>VLOOKUP(Main_Presentation[[#This Row],[LC Number]],Main_Issuance[],18,0)</f>
        <v>30 days from the date of comm. inv.</v>
      </c>
      <c r="V455" s="19" t="s">
        <v>213</v>
      </c>
      <c r="W455" s="18" t="s">
        <v>857</v>
      </c>
      <c r="X455" s="16"/>
      <c r="Y455" s="234" t="str">
        <f>TRIM(LEFT(Main_Presentation[[#This Row],[Payment Terms]],3))</f>
        <v>30</v>
      </c>
      <c r="Z455" s="16"/>
      <c r="AA455" s="316" cm="1">
        <f t="array" ref="AA455">Settlement(Main_Presentation[[#This Row],[Bank]],Main_Presentation[[#This Row],[ Invoice Amt (SAR)]],Main_Presentation[[#This Row],[Date Recd]],Main_Presentation[[#This Row],[Due Date]],Main_Presentation[[#This Row],[Days]])</f>
        <v>230</v>
      </c>
      <c r="AB455" s="16"/>
    </row>
    <row r="456" spans="1:28" ht="15.75" hidden="1" x14ac:dyDescent="0.25">
      <c r="A456" s="14" t="s">
        <v>306</v>
      </c>
      <c r="B456" s="15">
        <v>45307</v>
      </c>
      <c r="C456" s="26">
        <v>24</v>
      </c>
      <c r="D456" s="55" t="str">
        <f>VLOOKUP(Main_Presentation[[#This Row],[LC Number]],Main_Issuance[],3,0)</f>
        <v>Dipu Sir</v>
      </c>
      <c r="E456" s="16" t="s">
        <v>856</v>
      </c>
      <c r="F456" s="17" t="str">
        <f>VLOOKUP(Main_Presentation[[#This Row],[LC Number]],Main_Issuance[],5,0)</f>
        <v>Riyad</v>
      </c>
      <c r="G456" s="17" t="str">
        <f>VLOOKUP(Main_Presentation[[#This Row],[LC Number]],Main_Issuance[],6,0)</f>
        <v>Cash</v>
      </c>
      <c r="H456" s="17" t="str">
        <f>VLOOKUP(Main_Presentation[[#This Row],[LC Number]],Main_Issuance[],17,0)</f>
        <v>Cash</v>
      </c>
      <c r="I456" s="17" t="str">
        <f>VLOOKUP(Main_Presentation[[#This Row],[LC Number]],Main_Issuance[],7,0)</f>
        <v>ATELIER HOSPITALITY SRL</v>
      </c>
      <c r="J456" s="17" t="str">
        <f>VLOOKUP(Main_Presentation[[#This Row],[LC Number]],Main_Issuance[],8,0)</f>
        <v>MBL</v>
      </c>
      <c r="K456" s="17" t="str">
        <f>VLOOKUP(Main_Presentation[[#This Row],[LC Number]],Main_Issuance[],9,0)</f>
        <v>L01-YAMMAMA</v>
      </c>
      <c r="L456" s="17">
        <f>VLOOKUP(Main_Presentation[[#This Row],[LC Number]],Main_Issuance[],10,0)</f>
        <v>1020015</v>
      </c>
      <c r="M456" s="17" t="str">
        <f>VLOOKUP(Main_Presentation[[#This Row],[LC Number]],Main_Issuance[],11,0)</f>
        <v>EUR</v>
      </c>
      <c r="N456" s="84">
        <f>VLOOKUP(Main_Presentation[[#This Row],[LC Number]],Main_Issuance[],12,0)</f>
        <v>50762045.400000006</v>
      </c>
      <c r="O456" s="16" t="s">
        <v>20</v>
      </c>
      <c r="P456" s="16" t="s">
        <v>857</v>
      </c>
      <c r="Q456" s="131">
        <v>365007.41</v>
      </c>
      <c r="R456" s="18">
        <v>4.5848000064688499</v>
      </c>
      <c r="S456" s="18">
        <f>Main_Presentation[[#This Row],[Invoice Amt (FCY)]]*Main_Presentation[[#This Row],[Rate]]</f>
        <v>1673485.9757291779</v>
      </c>
      <c r="T456" s="15">
        <v>45313</v>
      </c>
      <c r="U456" s="26" t="str">
        <f>VLOOKUP(Main_Presentation[[#This Row],[LC Number]],Main_Issuance[],18,0)</f>
        <v>30 days from the date of comm. inv.</v>
      </c>
      <c r="V456" s="19" t="s">
        <v>213</v>
      </c>
      <c r="W456" s="18" t="s">
        <v>857</v>
      </c>
      <c r="X456" s="16"/>
      <c r="Y456" s="234" t="str">
        <f>TRIM(LEFT(Main_Presentation[[#This Row],[Payment Terms]],3))</f>
        <v>30</v>
      </c>
      <c r="Z456" s="16"/>
      <c r="AA456" s="316" cm="1">
        <f t="array" ref="AA456">Settlement(Main_Presentation[[#This Row],[Bank]],Main_Presentation[[#This Row],[ Invoice Amt (SAR)]],Main_Presentation[[#This Row],[Date Recd]],Main_Presentation[[#This Row],[Due Date]],Main_Presentation[[#This Row],[Days]])</f>
        <v>230</v>
      </c>
      <c r="AB456" s="16"/>
    </row>
    <row r="457" spans="1:28" ht="15.75" hidden="1" x14ac:dyDescent="0.25">
      <c r="A457" s="14" t="s">
        <v>306</v>
      </c>
      <c r="B457" s="15">
        <v>45307</v>
      </c>
      <c r="C457" s="26">
        <v>25</v>
      </c>
      <c r="D457" s="55" t="str">
        <f>VLOOKUP(Main_Presentation[[#This Row],[LC Number]],Main_Issuance[],3,0)</f>
        <v>Dipu Sir</v>
      </c>
      <c r="E457" s="16" t="s">
        <v>856</v>
      </c>
      <c r="F457" s="17" t="str">
        <f>VLOOKUP(Main_Presentation[[#This Row],[LC Number]],Main_Issuance[],5,0)</f>
        <v>Riyad</v>
      </c>
      <c r="G457" s="17" t="str">
        <f>VLOOKUP(Main_Presentation[[#This Row],[LC Number]],Main_Issuance[],6,0)</f>
        <v>Cash</v>
      </c>
      <c r="H457" s="17" t="str">
        <f>VLOOKUP(Main_Presentation[[#This Row],[LC Number]],Main_Issuance[],17,0)</f>
        <v>Cash</v>
      </c>
      <c r="I457" s="17" t="str">
        <f>VLOOKUP(Main_Presentation[[#This Row],[LC Number]],Main_Issuance[],7,0)</f>
        <v>ATELIER HOSPITALITY SRL</v>
      </c>
      <c r="J457" s="17" t="str">
        <f>VLOOKUP(Main_Presentation[[#This Row],[LC Number]],Main_Issuance[],8,0)</f>
        <v>MBL</v>
      </c>
      <c r="K457" s="17" t="str">
        <f>VLOOKUP(Main_Presentation[[#This Row],[LC Number]],Main_Issuance[],9,0)</f>
        <v>L01-YAMMAMA</v>
      </c>
      <c r="L457" s="17">
        <f>VLOOKUP(Main_Presentation[[#This Row],[LC Number]],Main_Issuance[],10,0)</f>
        <v>1020015</v>
      </c>
      <c r="M457" s="17" t="str">
        <f>VLOOKUP(Main_Presentation[[#This Row],[LC Number]],Main_Issuance[],11,0)</f>
        <v>EUR</v>
      </c>
      <c r="N457" s="84">
        <f>VLOOKUP(Main_Presentation[[#This Row],[LC Number]],Main_Issuance[],12,0)</f>
        <v>50762045.400000006</v>
      </c>
      <c r="O457" s="16" t="s">
        <v>20</v>
      </c>
      <c r="P457" s="16" t="s">
        <v>857</v>
      </c>
      <c r="Q457" s="131">
        <v>128625.45</v>
      </c>
      <c r="R457" s="18">
        <v>4.5848000064688499</v>
      </c>
      <c r="S457" s="18">
        <f>Main_Presentation[[#This Row],[Invoice Amt (FCY)]]*Main_Presentation[[#This Row],[Rate]]</f>
        <v>589721.96399205877</v>
      </c>
      <c r="T457" s="15">
        <v>45313</v>
      </c>
      <c r="U457" s="26" t="str">
        <f>VLOOKUP(Main_Presentation[[#This Row],[LC Number]],Main_Issuance[],18,0)</f>
        <v>30 days from the date of comm. inv.</v>
      </c>
      <c r="V457" s="19" t="s">
        <v>213</v>
      </c>
      <c r="W457" s="18" t="s">
        <v>857</v>
      </c>
      <c r="X457" s="16"/>
      <c r="Y457" s="234" t="str">
        <f>TRIM(LEFT(Main_Presentation[[#This Row],[Payment Terms]],3))</f>
        <v>30</v>
      </c>
      <c r="Z457" s="16"/>
      <c r="AA457" s="316" cm="1">
        <f t="array" ref="AA457">Settlement(Main_Presentation[[#This Row],[Bank]],Main_Presentation[[#This Row],[ Invoice Amt (SAR)]],Main_Presentation[[#This Row],[Date Recd]],Main_Presentation[[#This Row],[Due Date]],Main_Presentation[[#This Row],[Days]])</f>
        <v>230</v>
      </c>
      <c r="AB457" s="16"/>
    </row>
    <row r="458" spans="1:28" ht="15.75" hidden="1" x14ac:dyDescent="0.25">
      <c r="A458" s="14" t="s">
        <v>306</v>
      </c>
      <c r="B458" s="15">
        <v>45307</v>
      </c>
      <c r="C458" s="26">
        <v>26</v>
      </c>
      <c r="D458" s="55" t="str">
        <f>VLOOKUP(Main_Presentation[[#This Row],[LC Number]],Main_Issuance[],3,0)</f>
        <v>Dipu Sir</v>
      </c>
      <c r="E458" s="16" t="s">
        <v>856</v>
      </c>
      <c r="F458" s="17" t="str">
        <f>VLOOKUP(Main_Presentation[[#This Row],[LC Number]],Main_Issuance[],5,0)</f>
        <v>Riyad</v>
      </c>
      <c r="G458" s="17" t="str">
        <f>VLOOKUP(Main_Presentation[[#This Row],[LC Number]],Main_Issuance[],6,0)</f>
        <v>Cash</v>
      </c>
      <c r="H458" s="17" t="str">
        <f>VLOOKUP(Main_Presentation[[#This Row],[LC Number]],Main_Issuance[],17,0)</f>
        <v>Cash</v>
      </c>
      <c r="I458" s="17" t="str">
        <f>VLOOKUP(Main_Presentation[[#This Row],[LC Number]],Main_Issuance[],7,0)</f>
        <v>ATELIER HOSPITALITY SRL</v>
      </c>
      <c r="J458" s="17" t="str">
        <f>VLOOKUP(Main_Presentation[[#This Row],[LC Number]],Main_Issuance[],8,0)</f>
        <v>MBL</v>
      </c>
      <c r="K458" s="17" t="str">
        <f>VLOOKUP(Main_Presentation[[#This Row],[LC Number]],Main_Issuance[],9,0)</f>
        <v>L01-YAMMAMA</v>
      </c>
      <c r="L458" s="17">
        <f>VLOOKUP(Main_Presentation[[#This Row],[LC Number]],Main_Issuance[],10,0)</f>
        <v>1020015</v>
      </c>
      <c r="M458" s="17" t="str">
        <f>VLOOKUP(Main_Presentation[[#This Row],[LC Number]],Main_Issuance[],11,0)</f>
        <v>EUR</v>
      </c>
      <c r="N458" s="84">
        <f>VLOOKUP(Main_Presentation[[#This Row],[LC Number]],Main_Issuance[],12,0)</f>
        <v>50762045.400000006</v>
      </c>
      <c r="O458" s="16" t="s">
        <v>20</v>
      </c>
      <c r="P458" s="16" t="s">
        <v>857</v>
      </c>
      <c r="Q458" s="131">
        <v>68880.990000000005</v>
      </c>
      <c r="R458" s="18">
        <v>4.5848000064688499</v>
      </c>
      <c r="S458" s="18">
        <f>Main_Presentation[[#This Row],[Invoice Amt (FCY)]]*Main_Presentation[[#This Row],[Rate]]</f>
        <v>315805.56339758082</v>
      </c>
      <c r="T458" s="15">
        <v>45313</v>
      </c>
      <c r="U458" s="26" t="str">
        <f>VLOOKUP(Main_Presentation[[#This Row],[LC Number]],Main_Issuance[],18,0)</f>
        <v>30 days from the date of comm. inv.</v>
      </c>
      <c r="V458" s="19" t="s">
        <v>213</v>
      </c>
      <c r="W458" s="18" t="s">
        <v>857</v>
      </c>
      <c r="X458" s="16"/>
      <c r="Y458" s="234" t="str">
        <f>TRIM(LEFT(Main_Presentation[[#This Row],[Payment Terms]],3))</f>
        <v>30</v>
      </c>
      <c r="Z458" s="16"/>
      <c r="AA458" s="316" cm="1">
        <f t="array" ref="AA458">Settlement(Main_Presentation[[#This Row],[Bank]],Main_Presentation[[#This Row],[ Invoice Amt (SAR)]],Main_Presentation[[#This Row],[Date Recd]],Main_Presentation[[#This Row],[Due Date]],Main_Presentation[[#This Row],[Days]])</f>
        <v>230</v>
      </c>
      <c r="AB458" s="16"/>
    </row>
    <row r="459" spans="1:28" ht="15.75" hidden="1" x14ac:dyDescent="0.25">
      <c r="A459" s="14" t="s">
        <v>306</v>
      </c>
      <c r="B459" s="15">
        <v>45308</v>
      </c>
      <c r="C459" s="26">
        <v>27</v>
      </c>
      <c r="D459" s="55" t="str">
        <f>VLOOKUP(Main_Presentation[[#This Row],[LC Number]],Main_Issuance[],3,0)</f>
        <v>Dipu Sir</v>
      </c>
      <c r="E459" s="16" t="s">
        <v>856</v>
      </c>
      <c r="F459" s="17" t="str">
        <f>VLOOKUP(Main_Presentation[[#This Row],[LC Number]],Main_Issuance[],5,0)</f>
        <v>Riyad</v>
      </c>
      <c r="G459" s="17" t="str">
        <f>VLOOKUP(Main_Presentation[[#This Row],[LC Number]],Main_Issuance[],6,0)</f>
        <v>Cash</v>
      </c>
      <c r="H459" s="17" t="str">
        <f>VLOOKUP(Main_Presentation[[#This Row],[LC Number]],Main_Issuance[],17,0)</f>
        <v>Cash</v>
      </c>
      <c r="I459" s="17" t="str">
        <f>VLOOKUP(Main_Presentation[[#This Row],[LC Number]],Main_Issuance[],7,0)</f>
        <v>ATELIER HOSPITALITY SRL</v>
      </c>
      <c r="J459" s="17" t="str">
        <f>VLOOKUP(Main_Presentation[[#This Row],[LC Number]],Main_Issuance[],8,0)</f>
        <v>MBL</v>
      </c>
      <c r="K459" s="17" t="str">
        <f>VLOOKUP(Main_Presentation[[#This Row],[LC Number]],Main_Issuance[],9,0)</f>
        <v>L01-YAMMAMA</v>
      </c>
      <c r="L459" s="17">
        <f>VLOOKUP(Main_Presentation[[#This Row],[LC Number]],Main_Issuance[],10,0)</f>
        <v>1020015</v>
      </c>
      <c r="M459" s="17" t="str">
        <f>VLOOKUP(Main_Presentation[[#This Row],[LC Number]],Main_Issuance[],11,0)</f>
        <v>EUR</v>
      </c>
      <c r="N459" s="84">
        <f>VLOOKUP(Main_Presentation[[#This Row],[LC Number]],Main_Issuance[],12,0)</f>
        <v>50762045.400000006</v>
      </c>
      <c r="O459" s="16" t="s">
        <v>20</v>
      </c>
      <c r="P459" s="16" t="s">
        <v>857</v>
      </c>
      <c r="Q459" s="131">
        <v>409603.54</v>
      </c>
      <c r="R459" s="18">
        <v>4.5848000064688499</v>
      </c>
      <c r="S459" s="18">
        <f>Main_Presentation[[#This Row],[Invoice Amt (FCY)]]*Main_Presentation[[#This Row],[Rate]]</f>
        <v>1877950.3128416636</v>
      </c>
      <c r="T459" s="15">
        <v>45313</v>
      </c>
      <c r="U459" s="26" t="str">
        <f>VLOOKUP(Main_Presentation[[#This Row],[LC Number]],Main_Issuance[],18,0)</f>
        <v>30 days from the date of comm. inv.</v>
      </c>
      <c r="V459" s="19" t="s">
        <v>213</v>
      </c>
      <c r="W459" s="18" t="s">
        <v>857</v>
      </c>
      <c r="X459" s="16"/>
      <c r="Y459" s="234" t="str">
        <f>TRIM(LEFT(Main_Presentation[[#This Row],[Payment Terms]],3))</f>
        <v>30</v>
      </c>
      <c r="Z459" s="16"/>
      <c r="AA459" s="316" cm="1">
        <f t="array" ref="AA459">Settlement(Main_Presentation[[#This Row],[Bank]],Main_Presentation[[#This Row],[ Invoice Amt (SAR)]],Main_Presentation[[#This Row],[Date Recd]],Main_Presentation[[#This Row],[Due Date]],Main_Presentation[[#This Row],[Days]])</f>
        <v>230</v>
      </c>
      <c r="AB459" s="16"/>
    </row>
    <row r="460" spans="1:28" ht="15.75" hidden="1" x14ac:dyDescent="0.25">
      <c r="A460" s="14" t="s">
        <v>306</v>
      </c>
      <c r="B460" s="15">
        <v>45312</v>
      </c>
      <c r="C460" s="26">
        <v>28</v>
      </c>
      <c r="D460" s="55" t="str">
        <f>VLOOKUP(Main_Presentation[[#This Row],[LC Number]],Main_Issuance[],3,0)</f>
        <v>Dipu Sir</v>
      </c>
      <c r="E460" s="16" t="s">
        <v>856</v>
      </c>
      <c r="F460" s="17" t="str">
        <f>VLOOKUP(Main_Presentation[[#This Row],[LC Number]],Main_Issuance[],5,0)</f>
        <v>Riyad</v>
      </c>
      <c r="G460" s="17" t="str">
        <f>VLOOKUP(Main_Presentation[[#This Row],[LC Number]],Main_Issuance[],6,0)</f>
        <v>Cash</v>
      </c>
      <c r="H460" s="17" t="str">
        <f>VLOOKUP(Main_Presentation[[#This Row],[LC Number]],Main_Issuance[],17,0)</f>
        <v>Cash</v>
      </c>
      <c r="I460" s="17" t="str">
        <f>VLOOKUP(Main_Presentation[[#This Row],[LC Number]],Main_Issuance[],7,0)</f>
        <v>ATELIER HOSPITALITY SRL</v>
      </c>
      <c r="J460" s="17" t="str">
        <f>VLOOKUP(Main_Presentation[[#This Row],[LC Number]],Main_Issuance[],8,0)</f>
        <v>MBL</v>
      </c>
      <c r="K460" s="17" t="str">
        <f>VLOOKUP(Main_Presentation[[#This Row],[LC Number]],Main_Issuance[],9,0)</f>
        <v>L01-YAMMAMA</v>
      </c>
      <c r="L460" s="17">
        <f>VLOOKUP(Main_Presentation[[#This Row],[LC Number]],Main_Issuance[],10,0)</f>
        <v>1020015</v>
      </c>
      <c r="M460" s="17" t="str">
        <f>VLOOKUP(Main_Presentation[[#This Row],[LC Number]],Main_Issuance[],11,0)</f>
        <v>EUR</v>
      </c>
      <c r="N460" s="84">
        <f>VLOOKUP(Main_Presentation[[#This Row],[LC Number]],Main_Issuance[],12,0)</f>
        <v>50762045.400000006</v>
      </c>
      <c r="O460" s="16" t="s">
        <v>20</v>
      </c>
      <c r="P460" s="16" t="s">
        <v>857</v>
      </c>
      <c r="Q460" s="131">
        <v>87280.18</v>
      </c>
      <c r="R460" s="18">
        <v>4.5848000064688499</v>
      </c>
      <c r="S460" s="18">
        <f>Main_Presentation[[#This Row],[Invoice Amt (FCY)]]*Main_Presentation[[#This Row],[Rate]]</f>
        <v>400162.16982860235</v>
      </c>
      <c r="T460" s="15">
        <v>45313</v>
      </c>
      <c r="U460" s="26" t="str">
        <f>VLOOKUP(Main_Presentation[[#This Row],[LC Number]],Main_Issuance[],18,0)</f>
        <v>30 days from the date of comm. inv.</v>
      </c>
      <c r="V460" s="19" t="s">
        <v>213</v>
      </c>
      <c r="W460" s="18" t="s">
        <v>857</v>
      </c>
      <c r="X460" s="16"/>
      <c r="Y460" s="234" t="str">
        <f>TRIM(LEFT(Main_Presentation[[#This Row],[Payment Terms]],3))</f>
        <v>30</v>
      </c>
      <c r="Z460" s="16"/>
      <c r="AA460" s="316" cm="1">
        <f t="array" ref="AA460">Settlement(Main_Presentation[[#This Row],[Bank]],Main_Presentation[[#This Row],[ Invoice Amt (SAR)]],Main_Presentation[[#This Row],[Date Recd]],Main_Presentation[[#This Row],[Due Date]],Main_Presentation[[#This Row],[Days]])</f>
        <v>230</v>
      </c>
      <c r="AB460" s="16"/>
    </row>
    <row r="461" spans="1:28" ht="15.75" hidden="1" x14ac:dyDescent="0.25">
      <c r="A461" s="14" t="s">
        <v>306</v>
      </c>
      <c r="B461" s="15">
        <v>45312</v>
      </c>
      <c r="C461" s="26">
        <v>29</v>
      </c>
      <c r="D461" s="55" t="str">
        <f>VLOOKUP(Main_Presentation[[#This Row],[LC Number]],Main_Issuance[],3,0)</f>
        <v>Dipu Sir</v>
      </c>
      <c r="E461" s="16" t="s">
        <v>856</v>
      </c>
      <c r="F461" s="17" t="str">
        <f>VLOOKUP(Main_Presentation[[#This Row],[LC Number]],Main_Issuance[],5,0)</f>
        <v>Riyad</v>
      </c>
      <c r="G461" s="17" t="str">
        <f>VLOOKUP(Main_Presentation[[#This Row],[LC Number]],Main_Issuance[],6,0)</f>
        <v>Cash</v>
      </c>
      <c r="H461" s="17" t="str">
        <f>VLOOKUP(Main_Presentation[[#This Row],[LC Number]],Main_Issuance[],17,0)</f>
        <v>Cash</v>
      </c>
      <c r="I461" s="17" t="str">
        <f>VLOOKUP(Main_Presentation[[#This Row],[LC Number]],Main_Issuance[],7,0)</f>
        <v>ATELIER HOSPITALITY SRL</v>
      </c>
      <c r="J461" s="17" t="str">
        <f>VLOOKUP(Main_Presentation[[#This Row],[LC Number]],Main_Issuance[],8,0)</f>
        <v>MBL</v>
      </c>
      <c r="K461" s="17" t="str">
        <f>VLOOKUP(Main_Presentation[[#This Row],[LC Number]],Main_Issuance[],9,0)</f>
        <v>L01-YAMMAMA</v>
      </c>
      <c r="L461" s="17">
        <f>VLOOKUP(Main_Presentation[[#This Row],[LC Number]],Main_Issuance[],10,0)</f>
        <v>1020015</v>
      </c>
      <c r="M461" s="17" t="str">
        <f>VLOOKUP(Main_Presentation[[#This Row],[LC Number]],Main_Issuance[],11,0)</f>
        <v>EUR</v>
      </c>
      <c r="N461" s="84">
        <f>VLOOKUP(Main_Presentation[[#This Row],[LC Number]],Main_Issuance[],12,0)</f>
        <v>50762045.400000006</v>
      </c>
      <c r="O461" s="16" t="s">
        <v>20</v>
      </c>
      <c r="P461" s="16" t="s">
        <v>857</v>
      </c>
      <c r="Q461" s="131">
        <v>70486.64</v>
      </c>
      <c r="R461" s="18">
        <v>4.5848000064688499</v>
      </c>
      <c r="S461" s="18">
        <f>Main_Presentation[[#This Row],[Invoice Amt (FCY)]]*Main_Presentation[[#This Row],[Rate]]</f>
        <v>323167.14752796746</v>
      </c>
      <c r="T461" s="15">
        <v>45313</v>
      </c>
      <c r="U461" s="26" t="str">
        <f>VLOOKUP(Main_Presentation[[#This Row],[LC Number]],Main_Issuance[],18,0)</f>
        <v>30 days from the date of comm. inv.</v>
      </c>
      <c r="V461" s="19" t="s">
        <v>213</v>
      </c>
      <c r="W461" s="18" t="s">
        <v>857</v>
      </c>
      <c r="X461" s="16"/>
      <c r="Y461" s="234" t="str">
        <f>TRIM(LEFT(Main_Presentation[[#This Row],[Payment Terms]],3))</f>
        <v>30</v>
      </c>
      <c r="Z461" s="16"/>
      <c r="AA461" s="316" cm="1">
        <f t="array" ref="AA461">Settlement(Main_Presentation[[#This Row],[Bank]],Main_Presentation[[#This Row],[ Invoice Amt (SAR)]],Main_Presentation[[#This Row],[Date Recd]],Main_Presentation[[#This Row],[Due Date]],Main_Presentation[[#This Row],[Days]])</f>
        <v>230</v>
      </c>
      <c r="AB461" s="16"/>
    </row>
    <row r="462" spans="1:28" ht="15.75" hidden="1" x14ac:dyDescent="0.25">
      <c r="A462" s="14" t="s">
        <v>306</v>
      </c>
      <c r="B462" s="15">
        <v>45312</v>
      </c>
      <c r="C462" s="26">
        <v>30</v>
      </c>
      <c r="D462" s="55" t="str">
        <f>VLOOKUP(Main_Presentation[[#This Row],[LC Number]],Main_Issuance[],3,0)</f>
        <v>Dipu Sir</v>
      </c>
      <c r="E462" s="16" t="s">
        <v>856</v>
      </c>
      <c r="F462" s="17" t="str">
        <f>VLOOKUP(Main_Presentation[[#This Row],[LC Number]],Main_Issuance[],5,0)</f>
        <v>Riyad</v>
      </c>
      <c r="G462" s="17" t="str">
        <f>VLOOKUP(Main_Presentation[[#This Row],[LC Number]],Main_Issuance[],6,0)</f>
        <v>Cash</v>
      </c>
      <c r="H462" s="17" t="str">
        <f>VLOOKUP(Main_Presentation[[#This Row],[LC Number]],Main_Issuance[],17,0)</f>
        <v>Cash</v>
      </c>
      <c r="I462" s="17" t="str">
        <f>VLOOKUP(Main_Presentation[[#This Row],[LC Number]],Main_Issuance[],7,0)</f>
        <v>ATELIER HOSPITALITY SRL</v>
      </c>
      <c r="J462" s="17" t="str">
        <f>VLOOKUP(Main_Presentation[[#This Row],[LC Number]],Main_Issuance[],8,0)</f>
        <v>MBL</v>
      </c>
      <c r="K462" s="17" t="str">
        <f>VLOOKUP(Main_Presentation[[#This Row],[LC Number]],Main_Issuance[],9,0)</f>
        <v>L01-YAMMAMA</v>
      </c>
      <c r="L462" s="17">
        <f>VLOOKUP(Main_Presentation[[#This Row],[LC Number]],Main_Issuance[],10,0)</f>
        <v>1020015</v>
      </c>
      <c r="M462" s="17" t="str">
        <f>VLOOKUP(Main_Presentation[[#This Row],[LC Number]],Main_Issuance[],11,0)</f>
        <v>EUR</v>
      </c>
      <c r="N462" s="84">
        <f>VLOOKUP(Main_Presentation[[#This Row],[LC Number]],Main_Issuance[],12,0)</f>
        <v>50762045.400000006</v>
      </c>
      <c r="O462" s="16" t="s">
        <v>20</v>
      </c>
      <c r="P462" s="16" t="s">
        <v>857</v>
      </c>
      <c r="Q462" s="131">
        <v>86129.06</v>
      </c>
      <c r="R462" s="18">
        <v>4.5848000064688499</v>
      </c>
      <c r="S462" s="18">
        <f>Main_Presentation[[#This Row],[Invoice Amt (FCY)]]*Main_Presentation[[#This Row],[Rate]]</f>
        <v>394884.51484515594</v>
      </c>
      <c r="T462" s="15">
        <v>45313</v>
      </c>
      <c r="U462" s="26" t="str">
        <f>VLOOKUP(Main_Presentation[[#This Row],[LC Number]],Main_Issuance[],18,0)</f>
        <v>30 days from the date of comm. inv.</v>
      </c>
      <c r="V462" s="19" t="s">
        <v>213</v>
      </c>
      <c r="W462" s="18" t="s">
        <v>857</v>
      </c>
      <c r="X462" s="16"/>
      <c r="Y462" s="234" t="str">
        <f>TRIM(LEFT(Main_Presentation[[#This Row],[Payment Terms]],3))</f>
        <v>30</v>
      </c>
      <c r="Z462" s="16"/>
      <c r="AA462" s="316" cm="1">
        <f t="array" ref="AA462">Settlement(Main_Presentation[[#This Row],[Bank]],Main_Presentation[[#This Row],[ Invoice Amt (SAR)]],Main_Presentation[[#This Row],[Date Recd]],Main_Presentation[[#This Row],[Due Date]],Main_Presentation[[#This Row],[Days]])</f>
        <v>230</v>
      </c>
      <c r="AB462" s="16"/>
    </row>
    <row r="463" spans="1:28" ht="15.75" hidden="1" x14ac:dyDescent="0.25">
      <c r="A463" s="14" t="s">
        <v>306</v>
      </c>
      <c r="B463" s="15">
        <v>45312</v>
      </c>
      <c r="C463" s="26">
        <v>31</v>
      </c>
      <c r="D463" s="55" t="str">
        <f>VLOOKUP(Main_Presentation[[#This Row],[LC Number]],Main_Issuance[],3,0)</f>
        <v>Dipu Sir</v>
      </c>
      <c r="E463" s="16" t="s">
        <v>856</v>
      </c>
      <c r="F463" s="17" t="str">
        <f>VLOOKUP(Main_Presentation[[#This Row],[LC Number]],Main_Issuance[],5,0)</f>
        <v>Riyad</v>
      </c>
      <c r="G463" s="17" t="str">
        <f>VLOOKUP(Main_Presentation[[#This Row],[LC Number]],Main_Issuance[],6,0)</f>
        <v>Cash</v>
      </c>
      <c r="H463" s="17" t="str">
        <f>VLOOKUP(Main_Presentation[[#This Row],[LC Number]],Main_Issuance[],17,0)</f>
        <v>Cash</v>
      </c>
      <c r="I463" s="17" t="str">
        <f>VLOOKUP(Main_Presentation[[#This Row],[LC Number]],Main_Issuance[],7,0)</f>
        <v>ATELIER HOSPITALITY SRL</v>
      </c>
      <c r="J463" s="17" t="str">
        <f>VLOOKUP(Main_Presentation[[#This Row],[LC Number]],Main_Issuance[],8,0)</f>
        <v>MBL</v>
      </c>
      <c r="K463" s="17" t="str">
        <f>VLOOKUP(Main_Presentation[[#This Row],[LC Number]],Main_Issuance[],9,0)</f>
        <v>L01-YAMMAMA</v>
      </c>
      <c r="L463" s="17">
        <f>VLOOKUP(Main_Presentation[[#This Row],[LC Number]],Main_Issuance[],10,0)</f>
        <v>1020015</v>
      </c>
      <c r="M463" s="17" t="str">
        <f>VLOOKUP(Main_Presentation[[#This Row],[LC Number]],Main_Issuance[],11,0)</f>
        <v>EUR</v>
      </c>
      <c r="N463" s="84">
        <f>VLOOKUP(Main_Presentation[[#This Row],[LC Number]],Main_Issuance[],12,0)</f>
        <v>50762045.400000006</v>
      </c>
      <c r="O463" s="16" t="s">
        <v>20</v>
      </c>
      <c r="P463" s="16" t="s">
        <v>857</v>
      </c>
      <c r="Q463" s="131">
        <v>55443.02</v>
      </c>
      <c r="R463" s="18">
        <v>4.5848000064688499</v>
      </c>
      <c r="S463" s="18">
        <f>Main_Presentation[[#This Row],[Invoice Amt (FCY)]]*Main_Presentation[[#This Row],[Rate]]</f>
        <v>254195.15845465256</v>
      </c>
      <c r="T463" s="15">
        <v>45313</v>
      </c>
      <c r="U463" s="26" t="str">
        <f>VLOOKUP(Main_Presentation[[#This Row],[LC Number]],Main_Issuance[],18,0)</f>
        <v>30 days from the date of comm. inv.</v>
      </c>
      <c r="V463" s="19" t="s">
        <v>213</v>
      </c>
      <c r="W463" s="18" t="s">
        <v>857</v>
      </c>
      <c r="X463" s="16"/>
      <c r="Y463" s="234" t="str">
        <f>TRIM(LEFT(Main_Presentation[[#This Row],[Payment Terms]],3))</f>
        <v>30</v>
      </c>
      <c r="Z463" s="16"/>
      <c r="AA463" s="316" cm="1">
        <f t="array" ref="AA463">Settlement(Main_Presentation[[#This Row],[Bank]],Main_Presentation[[#This Row],[ Invoice Amt (SAR)]],Main_Presentation[[#This Row],[Date Recd]],Main_Presentation[[#This Row],[Due Date]],Main_Presentation[[#This Row],[Days]])</f>
        <v>230</v>
      </c>
      <c r="AB463" s="16"/>
    </row>
    <row r="464" spans="1:28" ht="15.75" hidden="1" x14ac:dyDescent="0.25">
      <c r="A464" s="14" t="s">
        <v>306</v>
      </c>
      <c r="B464" s="15">
        <v>45312</v>
      </c>
      <c r="C464" s="26">
        <v>32</v>
      </c>
      <c r="D464" s="55" t="str">
        <f>VLOOKUP(Main_Presentation[[#This Row],[LC Number]],Main_Issuance[],3,0)</f>
        <v>Dipu Sir</v>
      </c>
      <c r="E464" s="16" t="s">
        <v>856</v>
      </c>
      <c r="F464" s="17" t="str">
        <f>VLOOKUP(Main_Presentation[[#This Row],[LC Number]],Main_Issuance[],5,0)</f>
        <v>Riyad</v>
      </c>
      <c r="G464" s="17" t="str">
        <f>VLOOKUP(Main_Presentation[[#This Row],[LC Number]],Main_Issuance[],6,0)</f>
        <v>Cash</v>
      </c>
      <c r="H464" s="17" t="str">
        <f>VLOOKUP(Main_Presentation[[#This Row],[LC Number]],Main_Issuance[],17,0)</f>
        <v>Cash</v>
      </c>
      <c r="I464" s="17" t="str">
        <f>VLOOKUP(Main_Presentation[[#This Row],[LC Number]],Main_Issuance[],7,0)</f>
        <v>ATELIER HOSPITALITY SRL</v>
      </c>
      <c r="J464" s="17" t="str">
        <f>VLOOKUP(Main_Presentation[[#This Row],[LC Number]],Main_Issuance[],8,0)</f>
        <v>MBL</v>
      </c>
      <c r="K464" s="17" t="str">
        <f>VLOOKUP(Main_Presentation[[#This Row],[LC Number]],Main_Issuance[],9,0)</f>
        <v>L01-YAMMAMA</v>
      </c>
      <c r="L464" s="17">
        <f>VLOOKUP(Main_Presentation[[#This Row],[LC Number]],Main_Issuance[],10,0)</f>
        <v>1020015</v>
      </c>
      <c r="M464" s="17" t="str">
        <f>VLOOKUP(Main_Presentation[[#This Row],[LC Number]],Main_Issuance[],11,0)</f>
        <v>EUR</v>
      </c>
      <c r="N464" s="84">
        <f>VLOOKUP(Main_Presentation[[#This Row],[LC Number]],Main_Issuance[],12,0)</f>
        <v>50762045.400000006</v>
      </c>
      <c r="O464" s="16" t="s">
        <v>20</v>
      </c>
      <c r="P464" s="16" t="s">
        <v>857</v>
      </c>
      <c r="Q464" s="131">
        <v>192110.09</v>
      </c>
      <c r="R464" s="18">
        <v>4.5848000064688499</v>
      </c>
      <c r="S464" s="18">
        <f>Main_Presentation[[#This Row],[Invoice Amt (FCY)]]*Main_Presentation[[#This Row],[Rate]]</f>
        <v>880786.34187473136</v>
      </c>
      <c r="T464" s="15">
        <v>45313</v>
      </c>
      <c r="U464" s="26" t="str">
        <f>VLOOKUP(Main_Presentation[[#This Row],[LC Number]],Main_Issuance[],18,0)</f>
        <v>30 days from the date of comm. inv.</v>
      </c>
      <c r="V464" s="19" t="s">
        <v>213</v>
      </c>
      <c r="W464" s="18" t="s">
        <v>857</v>
      </c>
      <c r="X464" s="16"/>
      <c r="Y464" s="234" t="str">
        <f>TRIM(LEFT(Main_Presentation[[#This Row],[Payment Terms]],3))</f>
        <v>30</v>
      </c>
      <c r="Z464" s="16"/>
      <c r="AA464" s="316" cm="1">
        <f t="array" ref="AA464">Settlement(Main_Presentation[[#This Row],[Bank]],Main_Presentation[[#This Row],[ Invoice Amt (SAR)]],Main_Presentation[[#This Row],[Date Recd]],Main_Presentation[[#This Row],[Due Date]],Main_Presentation[[#This Row],[Days]])</f>
        <v>230</v>
      </c>
      <c r="AB464" s="16"/>
    </row>
    <row r="465" spans="1:28" ht="15.75" hidden="1" x14ac:dyDescent="0.25">
      <c r="A465" s="14" t="s">
        <v>306</v>
      </c>
      <c r="B465" s="15">
        <v>45312</v>
      </c>
      <c r="C465" s="26">
        <v>33</v>
      </c>
      <c r="D465" s="55" t="str">
        <f>VLOOKUP(Main_Presentation[[#This Row],[LC Number]],Main_Issuance[],3,0)</f>
        <v>Dipu Sir</v>
      </c>
      <c r="E465" s="16" t="s">
        <v>856</v>
      </c>
      <c r="F465" s="17" t="str">
        <f>VLOOKUP(Main_Presentation[[#This Row],[LC Number]],Main_Issuance[],5,0)</f>
        <v>Riyad</v>
      </c>
      <c r="G465" s="17" t="str">
        <f>VLOOKUP(Main_Presentation[[#This Row],[LC Number]],Main_Issuance[],6,0)</f>
        <v>Cash</v>
      </c>
      <c r="H465" s="17" t="str">
        <f>VLOOKUP(Main_Presentation[[#This Row],[LC Number]],Main_Issuance[],17,0)</f>
        <v>Cash</v>
      </c>
      <c r="I465" s="17" t="str">
        <f>VLOOKUP(Main_Presentation[[#This Row],[LC Number]],Main_Issuance[],7,0)</f>
        <v>ATELIER HOSPITALITY SRL</v>
      </c>
      <c r="J465" s="17" t="str">
        <f>VLOOKUP(Main_Presentation[[#This Row],[LC Number]],Main_Issuance[],8,0)</f>
        <v>MBL</v>
      </c>
      <c r="K465" s="17" t="str">
        <f>VLOOKUP(Main_Presentation[[#This Row],[LC Number]],Main_Issuance[],9,0)</f>
        <v>L01-YAMMAMA</v>
      </c>
      <c r="L465" s="17">
        <f>VLOOKUP(Main_Presentation[[#This Row],[LC Number]],Main_Issuance[],10,0)</f>
        <v>1020015</v>
      </c>
      <c r="M465" s="17" t="str">
        <f>VLOOKUP(Main_Presentation[[#This Row],[LC Number]],Main_Issuance[],11,0)</f>
        <v>EUR</v>
      </c>
      <c r="N465" s="84">
        <f>VLOOKUP(Main_Presentation[[#This Row],[LC Number]],Main_Issuance[],12,0)</f>
        <v>50762045.400000006</v>
      </c>
      <c r="O465" s="16" t="s">
        <v>20</v>
      </c>
      <c r="P465" s="16" t="s">
        <v>857</v>
      </c>
      <c r="Q465" s="131">
        <v>147073.44</v>
      </c>
      <c r="R465" s="18">
        <v>4.5848000064688499</v>
      </c>
      <c r="S465" s="18">
        <f>Main_Presentation[[#This Row],[Invoice Amt (FCY)]]*Main_Presentation[[#This Row],[Rate]]</f>
        <v>674302.30866339605</v>
      </c>
      <c r="T465" s="15">
        <v>45313</v>
      </c>
      <c r="U465" s="26" t="str">
        <f>VLOOKUP(Main_Presentation[[#This Row],[LC Number]],Main_Issuance[],18,0)</f>
        <v>30 days from the date of comm. inv.</v>
      </c>
      <c r="V465" s="19" t="s">
        <v>213</v>
      </c>
      <c r="W465" s="18" t="s">
        <v>857</v>
      </c>
      <c r="X465" s="16"/>
      <c r="Y465" s="234" t="str">
        <f>TRIM(LEFT(Main_Presentation[[#This Row],[Payment Terms]],3))</f>
        <v>30</v>
      </c>
      <c r="Z465" s="16"/>
      <c r="AA465" s="316" cm="1">
        <f t="array" ref="AA465">Settlement(Main_Presentation[[#This Row],[Bank]],Main_Presentation[[#This Row],[ Invoice Amt (SAR)]],Main_Presentation[[#This Row],[Date Recd]],Main_Presentation[[#This Row],[Due Date]],Main_Presentation[[#This Row],[Days]])</f>
        <v>230</v>
      </c>
      <c r="AB465" s="16"/>
    </row>
    <row r="466" spans="1:28" ht="15.75" hidden="1" x14ac:dyDescent="0.25">
      <c r="A466" s="14" t="s">
        <v>306</v>
      </c>
      <c r="B466" s="15">
        <v>45312</v>
      </c>
      <c r="C466" s="26">
        <v>34</v>
      </c>
      <c r="D466" s="55" t="str">
        <f>VLOOKUP(Main_Presentation[[#This Row],[LC Number]],Main_Issuance[],3,0)</f>
        <v>Dipu Sir</v>
      </c>
      <c r="E466" s="16" t="s">
        <v>856</v>
      </c>
      <c r="F466" s="17" t="str">
        <f>VLOOKUP(Main_Presentation[[#This Row],[LC Number]],Main_Issuance[],5,0)</f>
        <v>Riyad</v>
      </c>
      <c r="G466" s="17" t="str">
        <f>VLOOKUP(Main_Presentation[[#This Row],[LC Number]],Main_Issuance[],6,0)</f>
        <v>Cash</v>
      </c>
      <c r="H466" s="17" t="str">
        <f>VLOOKUP(Main_Presentation[[#This Row],[LC Number]],Main_Issuance[],17,0)</f>
        <v>Cash</v>
      </c>
      <c r="I466" s="17" t="str">
        <f>VLOOKUP(Main_Presentation[[#This Row],[LC Number]],Main_Issuance[],7,0)</f>
        <v>ATELIER HOSPITALITY SRL</v>
      </c>
      <c r="J466" s="17" t="str">
        <f>VLOOKUP(Main_Presentation[[#This Row],[LC Number]],Main_Issuance[],8,0)</f>
        <v>MBL</v>
      </c>
      <c r="K466" s="17" t="str">
        <f>VLOOKUP(Main_Presentation[[#This Row],[LC Number]],Main_Issuance[],9,0)</f>
        <v>L01-YAMMAMA</v>
      </c>
      <c r="L466" s="17">
        <f>VLOOKUP(Main_Presentation[[#This Row],[LC Number]],Main_Issuance[],10,0)</f>
        <v>1020015</v>
      </c>
      <c r="M466" s="17" t="str">
        <f>VLOOKUP(Main_Presentation[[#This Row],[LC Number]],Main_Issuance[],11,0)</f>
        <v>EUR</v>
      </c>
      <c r="N466" s="84">
        <f>VLOOKUP(Main_Presentation[[#This Row],[LC Number]],Main_Issuance[],12,0)</f>
        <v>50762045.400000006</v>
      </c>
      <c r="O466" s="16" t="s">
        <v>20</v>
      </c>
      <c r="P466" s="16" t="s">
        <v>857</v>
      </c>
      <c r="Q466" s="131">
        <v>337451.16</v>
      </c>
      <c r="R466" s="18">
        <v>4.5848000064688499</v>
      </c>
      <c r="S466" s="18">
        <f>Main_Presentation[[#This Row],[Invoice Amt (FCY)]]*Main_Presentation[[#This Row],[Rate]]</f>
        <v>1547146.0805509207</v>
      </c>
      <c r="T466" s="15">
        <v>45313</v>
      </c>
      <c r="U466" s="26" t="str">
        <f>VLOOKUP(Main_Presentation[[#This Row],[LC Number]],Main_Issuance[],18,0)</f>
        <v>30 days from the date of comm. inv.</v>
      </c>
      <c r="V466" s="19" t="s">
        <v>213</v>
      </c>
      <c r="W466" s="18" t="s">
        <v>857</v>
      </c>
      <c r="X466" s="16"/>
      <c r="Y466" s="234" t="str">
        <f>TRIM(LEFT(Main_Presentation[[#This Row],[Payment Terms]],3))</f>
        <v>30</v>
      </c>
      <c r="Z466" s="16"/>
      <c r="AA466" s="316" cm="1">
        <f t="array" ref="AA466">Settlement(Main_Presentation[[#This Row],[Bank]],Main_Presentation[[#This Row],[ Invoice Amt (SAR)]],Main_Presentation[[#This Row],[Date Recd]],Main_Presentation[[#This Row],[Due Date]],Main_Presentation[[#This Row],[Days]])</f>
        <v>230</v>
      </c>
      <c r="AB466" s="16"/>
    </row>
    <row r="467" spans="1:28" ht="15.75" hidden="1" x14ac:dyDescent="0.25">
      <c r="A467" s="14" t="s">
        <v>306</v>
      </c>
      <c r="B467" s="15">
        <v>45312</v>
      </c>
      <c r="C467" s="26">
        <v>35</v>
      </c>
      <c r="D467" s="55" t="str">
        <f>VLOOKUP(Main_Presentation[[#This Row],[LC Number]],Main_Issuance[],3,0)</f>
        <v>Dipu Sir</v>
      </c>
      <c r="E467" s="16" t="s">
        <v>856</v>
      </c>
      <c r="F467" s="17" t="str">
        <f>VLOOKUP(Main_Presentation[[#This Row],[LC Number]],Main_Issuance[],5,0)</f>
        <v>Riyad</v>
      </c>
      <c r="G467" s="17" t="str">
        <f>VLOOKUP(Main_Presentation[[#This Row],[LC Number]],Main_Issuance[],6,0)</f>
        <v>Cash</v>
      </c>
      <c r="H467" s="17" t="str">
        <f>VLOOKUP(Main_Presentation[[#This Row],[LC Number]],Main_Issuance[],17,0)</f>
        <v>Cash</v>
      </c>
      <c r="I467" s="17" t="str">
        <f>VLOOKUP(Main_Presentation[[#This Row],[LC Number]],Main_Issuance[],7,0)</f>
        <v>ATELIER HOSPITALITY SRL</v>
      </c>
      <c r="J467" s="17" t="str">
        <f>VLOOKUP(Main_Presentation[[#This Row],[LC Number]],Main_Issuance[],8,0)</f>
        <v>MBL</v>
      </c>
      <c r="K467" s="17" t="str">
        <f>VLOOKUP(Main_Presentation[[#This Row],[LC Number]],Main_Issuance[],9,0)</f>
        <v>L01-YAMMAMA</v>
      </c>
      <c r="L467" s="17">
        <f>VLOOKUP(Main_Presentation[[#This Row],[LC Number]],Main_Issuance[],10,0)</f>
        <v>1020015</v>
      </c>
      <c r="M467" s="17" t="str">
        <f>VLOOKUP(Main_Presentation[[#This Row],[LC Number]],Main_Issuance[],11,0)</f>
        <v>EUR</v>
      </c>
      <c r="N467" s="84">
        <f>VLOOKUP(Main_Presentation[[#This Row],[LC Number]],Main_Issuance[],12,0)</f>
        <v>50762045.400000006</v>
      </c>
      <c r="O467" s="16" t="s">
        <v>20</v>
      </c>
      <c r="P467" s="16" t="s">
        <v>857</v>
      </c>
      <c r="Q467" s="131">
        <v>169725.42</v>
      </c>
      <c r="R467" s="18">
        <v>4.5848000064688499</v>
      </c>
      <c r="S467" s="18">
        <f>Main_Presentation[[#This Row],[Invoice Amt (FCY)]]*Main_Presentation[[#This Row],[Rate]]</f>
        <v>778157.10671392828</v>
      </c>
      <c r="T467" s="15">
        <v>45313</v>
      </c>
      <c r="U467" s="26" t="str">
        <f>VLOOKUP(Main_Presentation[[#This Row],[LC Number]],Main_Issuance[],18,0)</f>
        <v>30 days from the date of comm. inv.</v>
      </c>
      <c r="V467" s="19" t="s">
        <v>213</v>
      </c>
      <c r="W467" s="18" t="s">
        <v>857</v>
      </c>
      <c r="X467" s="16"/>
      <c r="Y467" s="234" t="str">
        <f>TRIM(LEFT(Main_Presentation[[#This Row],[Payment Terms]],3))</f>
        <v>30</v>
      </c>
      <c r="Z467" s="16"/>
      <c r="AA467" s="316" cm="1">
        <f t="array" ref="AA467">Settlement(Main_Presentation[[#This Row],[Bank]],Main_Presentation[[#This Row],[ Invoice Amt (SAR)]],Main_Presentation[[#This Row],[Date Recd]],Main_Presentation[[#This Row],[Due Date]],Main_Presentation[[#This Row],[Days]])</f>
        <v>230</v>
      </c>
      <c r="AB467" s="16"/>
    </row>
    <row r="468" spans="1:28" ht="15.75" hidden="1" x14ac:dyDescent="0.25">
      <c r="A468" s="14" t="s">
        <v>306</v>
      </c>
      <c r="B468" s="15">
        <v>45315</v>
      </c>
      <c r="C468" s="26">
        <v>36</v>
      </c>
      <c r="D468" s="55" t="str">
        <f>VLOOKUP(Main_Presentation[[#This Row],[LC Number]],Main_Issuance[],3,0)</f>
        <v>Dipu Sir</v>
      </c>
      <c r="E468" s="16" t="s">
        <v>856</v>
      </c>
      <c r="F468" s="17" t="str">
        <f>VLOOKUP(Main_Presentation[[#This Row],[LC Number]],Main_Issuance[],5,0)</f>
        <v>Riyad</v>
      </c>
      <c r="G468" s="17" t="str">
        <f>VLOOKUP(Main_Presentation[[#This Row],[LC Number]],Main_Issuance[],6,0)</f>
        <v>Cash</v>
      </c>
      <c r="H468" s="17" t="str">
        <f>VLOOKUP(Main_Presentation[[#This Row],[LC Number]],Main_Issuance[],17,0)</f>
        <v>Cash</v>
      </c>
      <c r="I468" s="17" t="str">
        <f>VLOOKUP(Main_Presentation[[#This Row],[LC Number]],Main_Issuance[],7,0)</f>
        <v>ATELIER HOSPITALITY SRL</v>
      </c>
      <c r="J468" s="17" t="str">
        <f>VLOOKUP(Main_Presentation[[#This Row],[LC Number]],Main_Issuance[],8,0)</f>
        <v>MBL</v>
      </c>
      <c r="K468" s="17" t="str">
        <f>VLOOKUP(Main_Presentation[[#This Row],[LC Number]],Main_Issuance[],9,0)</f>
        <v>L01-YAMMAMA</v>
      </c>
      <c r="L468" s="17">
        <f>VLOOKUP(Main_Presentation[[#This Row],[LC Number]],Main_Issuance[],10,0)</f>
        <v>1020015</v>
      </c>
      <c r="M468" s="17" t="str">
        <f>VLOOKUP(Main_Presentation[[#This Row],[LC Number]],Main_Issuance[],11,0)</f>
        <v>EUR</v>
      </c>
      <c r="N468" s="84">
        <f>VLOOKUP(Main_Presentation[[#This Row],[LC Number]],Main_Issuance[],12,0)</f>
        <v>50762045.400000006</v>
      </c>
      <c r="O468" s="16" t="s">
        <v>20</v>
      </c>
      <c r="P468" s="16" t="s">
        <v>857</v>
      </c>
      <c r="Q468" s="131">
        <v>55016.44</v>
      </c>
      <c r="R468" s="18">
        <v>4.5848000064688499</v>
      </c>
      <c r="S468" s="18">
        <f>Main_Presentation[[#This Row],[Invoice Amt (FCY)]]*Main_Presentation[[#This Row],[Rate]]</f>
        <v>252239.3744678931</v>
      </c>
      <c r="T468" s="15">
        <v>45319</v>
      </c>
      <c r="U468" s="26" t="str">
        <f>VLOOKUP(Main_Presentation[[#This Row],[LC Number]],Main_Issuance[],18,0)</f>
        <v>30 days from the date of comm. inv.</v>
      </c>
      <c r="V468" s="19" t="s">
        <v>213</v>
      </c>
      <c r="W468" s="18" t="s">
        <v>857</v>
      </c>
      <c r="X468" s="16"/>
      <c r="Y468" s="234" t="str">
        <f>TRIM(LEFT(Main_Presentation[[#This Row],[Payment Terms]],3))</f>
        <v>30</v>
      </c>
      <c r="Z468" s="16"/>
      <c r="AA468" s="316" cm="1">
        <f t="array" ref="AA468">Settlement(Main_Presentation[[#This Row],[Bank]],Main_Presentation[[#This Row],[ Invoice Amt (SAR)]],Main_Presentation[[#This Row],[Date Recd]],Main_Presentation[[#This Row],[Due Date]],Main_Presentation[[#This Row],[Days]])</f>
        <v>230</v>
      </c>
      <c r="AB468" s="16"/>
    </row>
    <row r="469" spans="1:28" ht="15.75" hidden="1" x14ac:dyDescent="0.25">
      <c r="A469" s="14" t="s">
        <v>306</v>
      </c>
      <c r="B469" s="15">
        <v>45315</v>
      </c>
      <c r="C469" s="26">
        <v>37</v>
      </c>
      <c r="D469" s="55" t="str">
        <f>VLOOKUP(Main_Presentation[[#This Row],[LC Number]],Main_Issuance[],3,0)</f>
        <v>Dipu Sir</v>
      </c>
      <c r="E469" s="16" t="s">
        <v>856</v>
      </c>
      <c r="F469" s="17" t="str">
        <f>VLOOKUP(Main_Presentation[[#This Row],[LC Number]],Main_Issuance[],5,0)</f>
        <v>Riyad</v>
      </c>
      <c r="G469" s="17" t="str">
        <f>VLOOKUP(Main_Presentation[[#This Row],[LC Number]],Main_Issuance[],6,0)</f>
        <v>Cash</v>
      </c>
      <c r="H469" s="17" t="str">
        <f>VLOOKUP(Main_Presentation[[#This Row],[LC Number]],Main_Issuance[],17,0)</f>
        <v>Cash</v>
      </c>
      <c r="I469" s="17" t="str">
        <f>VLOOKUP(Main_Presentation[[#This Row],[LC Number]],Main_Issuance[],7,0)</f>
        <v>ATELIER HOSPITALITY SRL</v>
      </c>
      <c r="J469" s="17" t="str">
        <f>VLOOKUP(Main_Presentation[[#This Row],[LC Number]],Main_Issuance[],8,0)</f>
        <v>MBL</v>
      </c>
      <c r="K469" s="17" t="str">
        <f>VLOOKUP(Main_Presentation[[#This Row],[LC Number]],Main_Issuance[],9,0)</f>
        <v>L01-YAMMAMA</v>
      </c>
      <c r="L469" s="17">
        <f>VLOOKUP(Main_Presentation[[#This Row],[LC Number]],Main_Issuance[],10,0)</f>
        <v>1020015</v>
      </c>
      <c r="M469" s="17" t="str">
        <f>VLOOKUP(Main_Presentation[[#This Row],[LC Number]],Main_Issuance[],11,0)</f>
        <v>EUR</v>
      </c>
      <c r="N469" s="84">
        <f>VLOOKUP(Main_Presentation[[#This Row],[LC Number]],Main_Issuance[],12,0)</f>
        <v>50762045.400000006</v>
      </c>
      <c r="O469" s="16" t="s">
        <v>20</v>
      </c>
      <c r="P469" s="16" t="s">
        <v>857</v>
      </c>
      <c r="Q469" s="131">
        <v>118805.64</v>
      </c>
      <c r="R469" s="18">
        <v>4.5848000064688499</v>
      </c>
      <c r="S469" s="18">
        <f>Main_Presentation[[#This Row],[Invoice Amt (FCY)]]*Main_Presentation[[#This Row],[Rate]]</f>
        <v>544700.09904053586</v>
      </c>
      <c r="T469" s="15">
        <v>45319</v>
      </c>
      <c r="U469" s="26" t="str">
        <f>VLOOKUP(Main_Presentation[[#This Row],[LC Number]],Main_Issuance[],18,0)</f>
        <v>30 days from the date of comm. inv.</v>
      </c>
      <c r="V469" s="19" t="s">
        <v>213</v>
      </c>
      <c r="W469" s="18" t="s">
        <v>857</v>
      </c>
      <c r="X469" s="16"/>
      <c r="Y469" s="234" t="str">
        <f>TRIM(LEFT(Main_Presentation[[#This Row],[Payment Terms]],3))</f>
        <v>30</v>
      </c>
      <c r="Z469" s="16"/>
      <c r="AA469" s="316" cm="1">
        <f t="array" ref="AA469">Settlement(Main_Presentation[[#This Row],[Bank]],Main_Presentation[[#This Row],[ Invoice Amt (SAR)]],Main_Presentation[[#This Row],[Date Recd]],Main_Presentation[[#This Row],[Due Date]],Main_Presentation[[#This Row],[Days]])</f>
        <v>230</v>
      </c>
      <c r="AB469" s="16"/>
    </row>
    <row r="470" spans="1:28" ht="15.75" hidden="1" x14ac:dyDescent="0.25">
      <c r="A470" s="14" t="s">
        <v>306</v>
      </c>
      <c r="B470" s="15">
        <v>45319</v>
      </c>
      <c r="C470" s="26">
        <v>38</v>
      </c>
      <c r="D470" s="55" t="str">
        <f>VLOOKUP(Main_Presentation[[#This Row],[LC Number]],Main_Issuance[],3,0)</f>
        <v>Dipu Sir</v>
      </c>
      <c r="E470" s="16" t="s">
        <v>856</v>
      </c>
      <c r="F470" s="17" t="str">
        <f>VLOOKUP(Main_Presentation[[#This Row],[LC Number]],Main_Issuance[],5,0)</f>
        <v>Riyad</v>
      </c>
      <c r="G470" s="17" t="str">
        <f>VLOOKUP(Main_Presentation[[#This Row],[LC Number]],Main_Issuance[],6,0)</f>
        <v>Cash</v>
      </c>
      <c r="H470" s="17" t="str">
        <f>VLOOKUP(Main_Presentation[[#This Row],[LC Number]],Main_Issuance[],17,0)</f>
        <v>Cash</v>
      </c>
      <c r="I470" s="17" t="str">
        <f>VLOOKUP(Main_Presentation[[#This Row],[LC Number]],Main_Issuance[],7,0)</f>
        <v>ATELIER HOSPITALITY SRL</v>
      </c>
      <c r="J470" s="17" t="str">
        <f>VLOOKUP(Main_Presentation[[#This Row],[LC Number]],Main_Issuance[],8,0)</f>
        <v>MBL</v>
      </c>
      <c r="K470" s="17" t="str">
        <f>VLOOKUP(Main_Presentation[[#This Row],[LC Number]],Main_Issuance[],9,0)</f>
        <v>L01-YAMMAMA</v>
      </c>
      <c r="L470" s="17">
        <f>VLOOKUP(Main_Presentation[[#This Row],[LC Number]],Main_Issuance[],10,0)</f>
        <v>1020015</v>
      </c>
      <c r="M470" s="17" t="str">
        <f>VLOOKUP(Main_Presentation[[#This Row],[LC Number]],Main_Issuance[],11,0)</f>
        <v>EUR</v>
      </c>
      <c r="N470" s="84">
        <f>VLOOKUP(Main_Presentation[[#This Row],[LC Number]],Main_Issuance[],12,0)</f>
        <v>50762045.400000006</v>
      </c>
      <c r="O470" s="16" t="s">
        <v>20</v>
      </c>
      <c r="P470" s="16" t="s">
        <v>857</v>
      </c>
      <c r="Q470" s="131">
        <v>940492.63</v>
      </c>
      <c r="R470" s="18">
        <v>4.5848000064688499</v>
      </c>
      <c r="S470" s="18">
        <f>Main_Presentation[[#This Row],[Invoice Amt (FCY)]]*Main_Presentation[[#This Row],[Rate]]</f>
        <v>4311970.6161079053</v>
      </c>
      <c r="T470" s="15">
        <v>45326</v>
      </c>
      <c r="U470" s="26" t="str">
        <f>VLOOKUP(Main_Presentation[[#This Row],[LC Number]],Main_Issuance[],18,0)</f>
        <v>30 days from the date of comm. inv.</v>
      </c>
      <c r="V470" s="19" t="s">
        <v>213</v>
      </c>
      <c r="W470" s="18" t="s">
        <v>857</v>
      </c>
      <c r="X470" s="16"/>
      <c r="Y470" s="234" t="str">
        <f>TRIM(LEFT(Main_Presentation[[#This Row],[Payment Terms]],3))</f>
        <v>30</v>
      </c>
      <c r="Z470" s="16"/>
      <c r="AA470" s="316" cm="1">
        <f t="array" ref="AA470">Settlement(Main_Presentation[[#This Row],[Bank]],Main_Presentation[[#This Row],[ Invoice Amt (SAR)]],Main_Presentation[[#This Row],[Date Recd]],Main_Presentation[[#This Row],[Due Date]],Main_Presentation[[#This Row],[Days]])</f>
        <v>230</v>
      </c>
      <c r="AB470" s="16"/>
    </row>
    <row r="471" spans="1:28" ht="15.75" hidden="1" x14ac:dyDescent="0.25">
      <c r="A471" s="14" t="s">
        <v>306</v>
      </c>
      <c r="B471" s="15">
        <v>45326</v>
      </c>
      <c r="C471" s="26">
        <v>39</v>
      </c>
      <c r="D471" s="55" t="str">
        <f>VLOOKUP(Main_Presentation[[#This Row],[LC Number]],Main_Issuance[],3,0)</f>
        <v>Dipu Sir</v>
      </c>
      <c r="E471" s="16" t="s">
        <v>856</v>
      </c>
      <c r="F471" s="17" t="str">
        <f>VLOOKUP(Main_Presentation[[#This Row],[LC Number]],Main_Issuance[],5,0)</f>
        <v>Riyad</v>
      </c>
      <c r="G471" s="17" t="str">
        <f>VLOOKUP(Main_Presentation[[#This Row],[LC Number]],Main_Issuance[],6,0)</f>
        <v>Cash</v>
      </c>
      <c r="H471" s="17" t="str">
        <f>VLOOKUP(Main_Presentation[[#This Row],[LC Number]],Main_Issuance[],17,0)</f>
        <v>Cash</v>
      </c>
      <c r="I471" s="17" t="str">
        <f>VLOOKUP(Main_Presentation[[#This Row],[LC Number]],Main_Issuance[],7,0)</f>
        <v>ATELIER HOSPITALITY SRL</v>
      </c>
      <c r="J471" s="17" t="str">
        <f>VLOOKUP(Main_Presentation[[#This Row],[LC Number]],Main_Issuance[],8,0)</f>
        <v>MBL</v>
      </c>
      <c r="K471" s="17" t="str">
        <f>VLOOKUP(Main_Presentation[[#This Row],[LC Number]],Main_Issuance[],9,0)</f>
        <v>L01-YAMMAMA</v>
      </c>
      <c r="L471" s="17">
        <f>VLOOKUP(Main_Presentation[[#This Row],[LC Number]],Main_Issuance[],10,0)</f>
        <v>1020015</v>
      </c>
      <c r="M471" s="17" t="str">
        <f>VLOOKUP(Main_Presentation[[#This Row],[LC Number]],Main_Issuance[],11,0)</f>
        <v>EUR</v>
      </c>
      <c r="N471" s="84">
        <f>VLOOKUP(Main_Presentation[[#This Row],[LC Number]],Main_Issuance[],12,0)</f>
        <v>50762045.400000006</v>
      </c>
      <c r="O471" s="16" t="s">
        <v>20</v>
      </c>
      <c r="P471" s="16" t="s">
        <v>857</v>
      </c>
      <c r="Q471" s="131">
        <v>679706.26</v>
      </c>
      <c r="R471" s="18">
        <v>4.5848000064688499</v>
      </c>
      <c r="S471" s="18">
        <f>Main_Presentation[[#This Row],[Invoice Amt (FCY)]]*Main_Presentation[[#This Row],[Rate]]</f>
        <v>3116317.2652449179</v>
      </c>
      <c r="T471" s="15">
        <v>45327</v>
      </c>
      <c r="U471" s="26" t="str">
        <f>VLOOKUP(Main_Presentation[[#This Row],[LC Number]],Main_Issuance[],18,0)</f>
        <v>30 days from the date of comm. inv.</v>
      </c>
      <c r="V471" s="19" t="s">
        <v>213</v>
      </c>
      <c r="W471" s="18" t="s">
        <v>857</v>
      </c>
      <c r="X471" s="16"/>
      <c r="Y471" s="234" t="str">
        <f>TRIM(LEFT(Main_Presentation[[#This Row],[Payment Terms]],3))</f>
        <v>30</v>
      </c>
      <c r="Z471" s="16"/>
      <c r="AA471" s="316" cm="1">
        <f t="array" ref="AA471">Settlement(Main_Presentation[[#This Row],[Bank]],Main_Presentation[[#This Row],[ Invoice Amt (SAR)]],Main_Presentation[[#This Row],[Date Recd]],Main_Presentation[[#This Row],[Due Date]],Main_Presentation[[#This Row],[Days]])</f>
        <v>230</v>
      </c>
      <c r="AB471" s="16"/>
    </row>
    <row r="472" spans="1:28" ht="15.75" hidden="1" x14ac:dyDescent="0.25">
      <c r="A472" s="14" t="s">
        <v>306</v>
      </c>
      <c r="B472" s="15">
        <v>45326</v>
      </c>
      <c r="C472" s="26">
        <v>40</v>
      </c>
      <c r="D472" s="55" t="str">
        <f>VLOOKUP(Main_Presentation[[#This Row],[LC Number]],Main_Issuance[],3,0)</f>
        <v>Dipu Sir</v>
      </c>
      <c r="E472" s="16" t="s">
        <v>856</v>
      </c>
      <c r="F472" s="17" t="str">
        <f>VLOOKUP(Main_Presentation[[#This Row],[LC Number]],Main_Issuance[],5,0)</f>
        <v>Riyad</v>
      </c>
      <c r="G472" s="17" t="str">
        <f>VLOOKUP(Main_Presentation[[#This Row],[LC Number]],Main_Issuance[],6,0)</f>
        <v>Cash</v>
      </c>
      <c r="H472" s="17" t="str">
        <f>VLOOKUP(Main_Presentation[[#This Row],[LC Number]],Main_Issuance[],17,0)</f>
        <v>Cash</v>
      </c>
      <c r="I472" s="17" t="str">
        <f>VLOOKUP(Main_Presentation[[#This Row],[LC Number]],Main_Issuance[],7,0)</f>
        <v>ATELIER HOSPITALITY SRL</v>
      </c>
      <c r="J472" s="17" t="str">
        <f>VLOOKUP(Main_Presentation[[#This Row],[LC Number]],Main_Issuance[],8,0)</f>
        <v>MBL</v>
      </c>
      <c r="K472" s="17" t="str">
        <f>VLOOKUP(Main_Presentation[[#This Row],[LC Number]],Main_Issuance[],9,0)</f>
        <v>L01-YAMMAMA</v>
      </c>
      <c r="L472" s="17">
        <f>VLOOKUP(Main_Presentation[[#This Row],[LC Number]],Main_Issuance[],10,0)</f>
        <v>1020015</v>
      </c>
      <c r="M472" s="17" t="str">
        <f>VLOOKUP(Main_Presentation[[#This Row],[LC Number]],Main_Issuance[],11,0)</f>
        <v>EUR</v>
      </c>
      <c r="N472" s="84">
        <f>VLOOKUP(Main_Presentation[[#This Row],[LC Number]],Main_Issuance[],12,0)</f>
        <v>50762045.400000006</v>
      </c>
      <c r="O472" s="16" t="s">
        <v>20</v>
      </c>
      <c r="P472" s="16" t="s">
        <v>857</v>
      </c>
      <c r="Q472" s="131">
        <v>347922</v>
      </c>
      <c r="R472" s="18">
        <v>4.5848000064688499</v>
      </c>
      <c r="S472" s="18">
        <f>Main_Presentation[[#This Row],[Invoice Amt (FCY)]]*Main_Presentation[[#This Row],[Rate]]</f>
        <v>1595152.7878506551</v>
      </c>
      <c r="T472" s="15">
        <v>45331</v>
      </c>
      <c r="U472" s="26" t="str">
        <f>VLOOKUP(Main_Presentation[[#This Row],[LC Number]],Main_Issuance[],18,0)</f>
        <v>30 days from the date of comm. inv.</v>
      </c>
      <c r="V472" s="19" t="s">
        <v>213</v>
      </c>
      <c r="W472" s="18" t="s">
        <v>857</v>
      </c>
      <c r="X472" s="16"/>
      <c r="Y472" s="234" t="str">
        <f>TRIM(LEFT(Main_Presentation[[#This Row],[Payment Terms]],3))</f>
        <v>30</v>
      </c>
      <c r="Z472" s="16"/>
      <c r="AA472" s="316" cm="1">
        <f t="array" ref="AA472">Settlement(Main_Presentation[[#This Row],[Bank]],Main_Presentation[[#This Row],[ Invoice Amt (SAR)]],Main_Presentation[[#This Row],[Date Recd]],Main_Presentation[[#This Row],[Due Date]],Main_Presentation[[#This Row],[Days]])</f>
        <v>230</v>
      </c>
      <c r="AB472" s="16"/>
    </row>
    <row r="473" spans="1:28" ht="15.75" hidden="1" x14ac:dyDescent="0.25">
      <c r="A473" s="14" t="s">
        <v>306</v>
      </c>
      <c r="B473" s="15">
        <v>45327</v>
      </c>
      <c r="C473" s="26">
        <v>41</v>
      </c>
      <c r="D473" s="55" t="str">
        <f>VLOOKUP(Main_Presentation[[#This Row],[LC Number]],Main_Issuance[],3,0)</f>
        <v>Dipu Sir</v>
      </c>
      <c r="E473" s="16" t="s">
        <v>856</v>
      </c>
      <c r="F473" s="17" t="str">
        <f>VLOOKUP(Main_Presentation[[#This Row],[LC Number]],Main_Issuance[],5,0)</f>
        <v>Riyad</v>
      </c>
      <c r="G473" s="17" t="str">
        <f>VLOOKUP(Main_Presentation[[#This Row],[LC Number]],Main_Issuance[],6,0)</f>
        <v>Cash</v>
      </c>
      <c r="H473" s="17" t="str">
        <f>VLOOKUP(Main_Presentation[[#This Row],[LC Number]],Main_Issuance[],17,0)</f>
        <v>Cash</v>
      </c>
      <c r="I473" s="17" t="str">
        <f>VLOOKUP(Main_Presentation[[#This Row],[LC Number]],Main_Issuance[],7,0)</f>
        <v>ATELIER HOSPITALITY SRL</v>
      </c>
      <c r="J473" s="17" t="str">
        <f>VLOOKUP(Main_Presentation[[#This Row],[LC Number]],Main_Issuance[],8,0)</f>
        <v>MBL</v>
      </c>
      <c r="K473" s="17" t="str">
        <f>VLOOKUP(Main_Presentation[[#This Row],[LC Number]],Main_Issuance[],9,0)</f>
        <v>L01-YAMMAMA</v>
      </c>
      <c r="L473" s="17">
        <f>VLOOKUP(Main_Presentation[[#This Row],[LC Number]],Main_Issuance[],10,0)</f>
        <v>1020015</v>
      </c>
      <c r="M473" s="17" t="str">
        <f>VLOOKUP(Main_Presentation[[#This Row],[LC Number]],Main_Issuance[],11,0)</f>
        <v>EUR</v>
      </c>
      <c r="N473" s="84">
        <f>VLOOKUP(Main_Presentation[[#This Row],[LC Number]],Main_Issuance[],12,0)</f>
        <v>50762045.400000006</v>
      </c>
      <c r="O473" s="16" t="s">
        <v>20</v>
      </c>
      <c r="P473" s="16" t="s">
        <v>857</v>
      </c>
      <c r="Q473" s="131">
        <v>248761.22</v>
      </c>
      <c r="R473" s="18">
        <v>4.5848000064688499</v>
      </c>
      <c r="S473" s="18">
        <f>Main_Presentation[[#This Row],[Invoice Amt (FCY)]]*Main_Presentation[[#This Row],[Rate]]</f>
        <v>1140520.4430651991</v>
      </c>
      <c r="T473" s="15">
        <v>45342</v>
      </c>
      <c r="U473" s="26" t="str">
        <f>VLOOKUP(Main_Presentation[[#This Row],[LC Number]],Main_Issuance[],18,0)</f>
        <v>30 days from the date of comm. inv.</v>
      </c>
      <c r="V473" s="19" t="s">
        <v>213</v>
      </c>
      <c r="W473" s="18" t="s">
        <v>857</v>
      </c>
      <c r="X473" s="16"/>
      <c r="Y473" s="234" t="str">
        <f>TRIM(LEFT(Main_Presentation[[#This Row],[Payment Terms]],3))</f>
        <v>30</v>
      </c>
      <c r="Z473" s="16"/>
      <c r="AA473" s="316" cm="1">
        <f t="array" ref="AA473">Settlement(Main_Presentation[[#This Row],[Bank]],Main_Presentation[[#This Row],[ Invoice Amt (SAR)]],Main_Presentation[[#This Row],[Date Recd]],Main_Presentation[[#This Row],[Due Date]],Main_Presentation[[#This Row],[Days]])</f>
        <v>230</v>
      </c>
      <c r="AB473" s="16"/>
    </row>
    <row r="474" spans="1:28" ht="15.75" hidden="1" x14ac:dyDescent="0.25">
      <c r="A474" s="14" t="s">
        <v>306</v>
      </c>
      <c r="B474" s="15">
        <v>45330</v>
      </c>
      <c r="C474" s="26">
        <v>42</v>
      </c>
      <c r="D474" s="55" t="str">
        <f>VLOOKUP(Main_Presentation[[#This Row],[LC Number]],Main_Issuance[],3,0)</f>
        <v>Dipu Sir</v>
      </c>
      <c r="E474" s="16" t="s">
        <v>856</v>
      </c>
      <c r="F474" s="17" t="str">
        <f>VLOOKUP(Main_Presentation[[#This Row],[LC Number]],Main_Issuance[],5,0)</f>
        <v>Riyad</v>
      </c>
      <c r="G474" s="17" t="str">
        <f>VLOOKUP(Main_Presentation[[#This Row],[LC Number]],Main_Issuance[],6,0)</f>
        <v>Cash</v>
      </c>
      <c r="H474" s="17" t="str">
        <f>VLOOKUP(Main_Presentation[[#This Row],[LC Number]],Main_Issuance[],17,0)</f>
        <v>Cash</v>
      </c>
      <c r="I474" s="17" t="str">
        <f>VLOOKUP(Main_Presentation[[#This Row],[LC Number]],Main_Issuance[],7,0)</f>
        <v>ATELIER HOSPITALITY SRL</v>
      </c>
      <c r="J474" s="17" t="str">
        <f>VLOOKUP(Main_Presentation[[#This Row],[LC Number]],Main_Issuance[],8,0)</f>
        <v>MBL</v>
      </c>
      <c r="K474" s="17" t="str">
        <f>VLOOKUP(Main_Presentation[[#This Row],[LC Number]],Main_Issuance[],9,0)</f>
        <v>L01-YAMMAMA</v>
      </c>
      <c r="L474" s="17">
        <f>VLOOKUP(Main_Presentation[[#This Row],[LC Number]],Main_Issuance[],10,0)</f>
        <v>1020015</v>
      </c>
      <c r="M474" s="17" t="str">
        <f>VLOOKUP(Main_Presentation[[#This Row],[LC Number]],Main_Issuance[],11,0)</f>
        <v>EUR</v>
      </c>
      <c r="N474" s="84">
        <f>VLOOKUP(Main_Presentation[[#This Row],[LC Number]],Main_Issuance[],12,0)</f>
        <v>50762045.400000006</v>
      </c>
      <c r="O474" s="16" t="s">
        <v>20</v>
      </c>
      <c r="P474" s="16" t="s">
        <v>857</v>
      </c>
      <c r="Q474" s="131">
        <v>192775.97</v>
      </c>
      <c r="R474" s="18">
        <v>4.5848000064688499</v>
      </c>
      <c r="S474" s="18">
        <f>Main_Presentation[[#This Row],[Invoice Amt (FCY)]]*Main_Presentation[[#This Row],[Rate]]</f>
        <v>883839.26850303879</v>
      </c>
      <c r="T474" s="15">
        <v>45347</v>
      </c>
      <c r="U474" s="26" t="str">
        <f>VLOOKUP(Main_Presentation[[#This Row],[LC Number]],Main_Issuance[],18,0)</f>
        <v>30 days from the date of comm. inv.</v>
      </c>
      <c r="V474" s="19" t="s">
        <v>213</v>
      </c>
      <c r="W474" s="18" t="s">
        <v>857</v>
      </c>
      <c r="X474" s="16"/>
      <c r="Y474" s="234" t="str">
        <f>TRIM(LEFT(Main_Presentation[[#This Row],[Payment Terms]],3))</f>
        <v>30</v>
      </c>
      <c r="Z474" s="16"/>
      <c r="AA474" s="316" cm="1">
        <f t="array" ref="AA474">Settlement(Main_Presentation[[#This Row],[Bank]],Main_Presentation[[#This Row],[ Invoice Amt (SAR)]],Main_Presentation[[#This Row],[Date Recd]],Main_Presentation[[#This Row],[Due Date]],Main_Presentation[[#This Row],[Days]])</f>
        <v>1270.75</v>
      </c>
      <c r="AB474" s="16"/>
    </row>
    <row r="475" spans="1:28" ht="15.75" hidden="1" x14ac:dyDescent="0.25">
      <c r="A475" s="14" t="s">
        <v>306</v>
      </c>
      <c r="B475" s="15">
        <v>45333</v>
      </c>
      <c r="C475" s="26">
        <v>43</v>
      </c>
      <c r="D475" s="55" t="str">
        <f>VLOOKUP(Main_Presentation[[#This Row],[LC Number]],Main_Issuance[],3,0)</f>
        <v>Dipu Sir</v>
      </c>
      <c r="E475" s="16" t="s">
        <v>856</v>
      </c>
      <c r="F475" s="17" t="str">
        <f>VLOOKUP(Main_Presentation[[#This Row],[LC Number]],Main_Issuance[],5,0)</f>
        <v>Riyad</v>
      </c>
      <c r="G475" s="17" t="str">
        <f>VLOOKUP(Main_Presentation[[#This Row],[LC Number]],Main_Issuance[],6,0)</f>
        <v>Cash</v>
      </c>
      <c r="H475" s="17" t="str">
        <f>VLOOKUP(Main_Presentation[[#This Row],[LC Number]],Main_Issuance[],17,0)</f>
        <v>Cash</v>
      </c>
      <c r="I475" s="17" t="str">
        <f>VLOOKUP(Main_Presentation[[#This Row],[LC Number]],Main_Issuance[],7,0)</f>
        <v>ATELIER HOSPITALITY SRL</v>
      </c>
      <c r="J475" s="17" t="str">
        <f>VLOOKUP(Main_Presentation[[#This Row],[LC Number]],Main_Issuance[],8,0)</f>
        <v>MBL</v>
      </c>
      <c r="K475" s="17" t="str">
        <f>VLOOKUP(Main_Presentation[[#This Row],[LC Number]],Main_Issuance[],9,0)</f>
        <v>L01-YAMMAMA</v>
      </c>
      <c r="L475" s="17">
        <f>VLOOKUP(Main_Presentation[[#This Row],[LC Number]],Main_Issuance[],10,0)</f>
        <v>1020015</v>
      </c>
      <c r="M475" s="17" t="str">
        <f>VLOOKUP(Main_Presentation[[#This Row],[LC Number]],Main_Issuance[],11,0)</f>
        <v>EUR</v>
      </c>
      <c r="N475" s="84">
        <f>VLOOKUP(Main_Presentation[[#This Row],[LC Number]],Main_Issuance[],12,0)</f>
        <v>50762045.400000006</v>
      </c>
      <c r="O475" s="16" t="s">
        <v>20</v>
      </c>
      <c r="P475" s="16" t="s">
        <v>857</v>
      </c>
      <c r="Q475" s="131">
        <v>134703.48000000001</v>
      </c>
      <c r="R475" s="18">
        <v>4.5848000064688499</v>
      </c>
      <c r="S475" s="18">
        <f>Main_Presentation[[#This Row],[Invoice Amt (FCY)]]*Main_Presentation[[#This Row],[Rate]]</f>
        <v>617588.51597537659</v>
      </c>
      <c r="T475" s="15">
        <v>45347</v>
      </c>
      <c r="U475" s="26" t="str">
        <f>VLOOKUP(Main_Presentation[[#This Row],[LC Number]],Main_Issuance[],18,0)</f>
        <v>30 days from the date of comm. inv.</v>
      </c>
      <c r="V475" s="19" t="s">
        <v>213</v>
      </c>
      <c r="W475" s="18" t="s">
        <v>857</v>
      </c>
      <c r="X475" s="16"/>
      <c r="Y475" s="234" t="str">
        <f>TRIM(LEFT(Main_Presentation[[#This Row],[Payment Terms]],3))</f>
        <v>30</v>
      </c>
      <c r="Z475" s="16"/>
      <c r="AA475" s="316" cm="1">
        <f t="array" ref="AA475">Settlement(Main_Presentation[[#This Row],[Bank]],Main_Presentation[[#This Row],[ Invoice Amt (SAR)]],Main_Presentation[[#This Row],[Date Recd]],Main_Presentation[[#This Row],[Due Date]],Main_Presentation[[#This Row],[Days]])</f>
        <v>230</v>
      </c>
      <c r="AB475" s="16"/>
    </row>
    <row r="476" spans="1:28" ht="15.75" hidden="1" x14ac:dyDescent="0.25">
      <c r="A476" s="14" t="s">
        <v>306</v>
      </c>
      <c r="B476" s="15">
        <v>45333</v>
      </c>
      <c r="C476" s="26">
        <v>44</v>
      </c>
      <c r="D476" s="55" t="str">
        <f>VLOOKUP(Main_Presentation[[#This Row],[LC Number]],Main_Issuance[],3,0)</f>
        <v>Dipu Sir</v>
      </c>
      <c r="E476" s="16" t="s">
        <v>856</v>
      </c>
      <c r="F476" s="17" t="str">
        <f>VLOOKUP(Main_Presentation[[#This Row],[LC Number]],Main_Issuance[],5,0)</f>
        <v>Riyad</v>
      </c>
      <c r="G476" s="17" t="str">
        <f>VLOOKUP(Main_Presentation[[#This Row],[LC Number]],Main_Issuance[],6,0)</f>
        <v>Cash</v>
      </c>
      <c r="H476" s="17" t="str">
        <f>VLOOKUP(Main_Presentation[[#This Row],[LC Number]],Main_Issuance[],17,0)</f>
        <v>Cash</v>
      </c>
      <c r="I476" s="17" t="str">
        <f>VLOOKUP(Main_Presentation[[#This Row],[LC Number]],Main_Issuance[],7,0)</f>
        <v>ATELIER HOSPITALITY SRL</v>
      </c>
      <c r="J476" s="17" t="str">
        <f>VLOOKUP(Main_Presentation[[#This Row],[LC Number]],Main_Issuance[],8,0)</f>
        <v>MBL</v>
      </c>
      <c r="K476" s="17" t="str">
        <f>VLOOKUP(Main_Presentation[[#This Row],[LC Number]],Main_Issuance[],9,0)</f>
        <v>L01-YAMMAMA</v>
      </c>
      <c r="L476" s="17">
        <f>VLOOKUP(Main_Presentation[[#This Row],[LC Number]],Main_Issuance[],10,0)</f>
        <v>1020015</v>
      </c>
      <c r="M476" s="17" t="str">
        <f>VLOOKUP(Main_Presentation[[#This Row],[LC Number]],Main_Issuance[],11,0)</f>
        <v>EUR</v>
      </c>
      <c r="N476" s="84">
        <f>VLOOKUP(Main_Presentation[[#This Row],[LC Number]],Main_Issuance[],12,0)</f>
        <v>50762045.400000006</v>
      </c>
      <c r="O476" s="16" t="s">
        <v>20</v>
      </c>
      <c r="P476" s="16" t="s">
        <v>857</v>
      </c>
      <c r="Q476" s="131">
        <v>512942.4</v>
      </c>
      <c r="R476" s="18">
        <v>4.5848000064688499</v>
      </c>
      <c r="S476" s="18">
        <f>Main_Presentation[[#This Row],[Invoice Amt (FCY)]]*Main_Presentation[[#This Row],[Rate]]</f>
        <v>2351738.3188381474</v>
      </c>
      <c r="T476" s="15">
        <v>45347</v>
      </c>
      <c r="U476" s="26" t="str">
        <f>VLOOKUP(Main_Presentation[[#This Row],[LC Number]],Main_Issuance[],18,0)</f>
        <v>30 days from the date of comm. inv.</v>
      </c>
      <c r="V476" s="19" t="s">
        <v>213</v>
      </c>
      <c r="W476" s="18" t="s">
        <v>857</v>
      </c>
      <c r="X476" s="16"/>
      <c r="Y476" s="234" t="str">
        <f>TRIM(LEFT(Main_Presentation[[#This Row],[Payment Terms]],3))</f>
        <v>30</v>
      </c>
      <c r="Z476" s="16"/>
      <c r="AA476" s="316" cm="1">
        <f t="array" ref="AA476">Settlement(Main_Presentation[[#This Row],[Bank]],Main_Presentation[[#This Row],[ Invoice Amt (SAR)]],Main_Presentation[[#This Row],[Date Recd]],Main_Presentation[[#This Row],[Due Date]],Main_Presentation[[#This Row],[Days]])</f>
        <v>230</v>
      </c>
      <c r="AB476" s="16"/>
    </row>
    <row r="477" spans="1:28" ht="15.75" hidden="1" x14ac:dyDescent="0.25">
      <c r="A477" s="14" t="s">
        <v>306</v>
      </c>
      <c r="B477" s="15">
        <v>45333</v>
      </c>
      <c r="C477" s="26">
        <v>45</v>
      </c>
      <c r="D477" s="55" t="str">
        <f>VLOOKUP(Main_Presentation[[#This Row],[LC Number]],Main_Issuance[],3,0)</f>
        <v>Dipu Sir</v>
      </c>
      <c r="E477" s="16" t="s">
        <v>856</v>
      </c>
      <c r="F477" s="17" t="str">
        <f>VLOOKUP(Main_Presentation[[#This Row],[LC Number]],Main_Issuance[],5,0)</f>
        <v>Riyad</v>
      </c>
      <c r="G477" s="17" t="str">
        <f>VLOOKUP(Main_Presentation[[#This Row],[LC Number]],Main_Issuance[],6,0)</f>
        <v>Cash</v>
      </c>
      <c r="H477" s="17" t="str">
        <f>VLOOKUP(Main_Presentation[[#This Row],[LC Number]],Main_Issuance[],17,0)</f>
        <v>Cash</v>
      </c>
      <c r="I477" s="17" t="str">
        <f>VLOOKUP(Main_Presentation[[#This Row],[LC Number]],Main_Issuance[],7,0)</f>
        <v>ATELIER HOSPITALITY SRL</v>
      </c>
      <c r="J477" s="17" t="str">
        <f>VLOOKUP(Main_Presentation[[#This Row],[LC Number]],Main_Issuance[],8,0)</f>
        <v>MBL</v>
      </c>
      <c r="K477" s="17" t="str">
        <f>VLOOKUP(Main_Presentation[[#This Row],[LC Number]],Main_Issuance[],9,0)</f>
        <v>L01-YAMMAMA</v>
      </c>
      <c r="L477" s="17">
        <f>VLOOKUP(Main_Presentation[[#This Row],[LC Number]],Main_Issuance[],10,0)</f>
        <v>1020015</v>
      </c>
      <c r="M477" s="17" t="str">
        <f>VLOOKUP(Main_Presentation[[#This Row],[LC Number]],Main_Issuance[],11,0)</f>
        <v>EUR</v>
      </c>
      <c r="N477" s="84">
        <f>VLOOKUP(Main_Presentation[[#This Row],[LC Number]],Main_Issuance[],12,0)</f>
        <v>50762045.400000006</v>
      </c>
      <c r="O477" s="16" t="s">
        <v>20</v>
      </c>
      <c r="P477" s="16" t="s">
        <v>857</v>
      </c>
      <c r="Q477" s="131">
        <v>709172.09</v>
      </c>
      <c r="R477" s="18">
        <v>4.5848000064688499</v>
      </c>
      <c r="S477" s="18">
        <f>Main_Presentation[[#This Row],[Invoice Amt (FCY)]]*Main_Presentation[[#This Row],[Rate]]</f>
        <v>3251412.2028195276</v>
      </c>
      <c r="T477" s="15">
        <v>45358</v>
      </c>
      <c r="U477" s="26" t="str">
        <f>VLOOKUP(Main_Presentation[[#This Row],[LC Number]],Main_Issuance[],18,0)</f>
        <v>30 days from the date of comm. inv.</v>
      </c>
      <c r="V477" s="19" t="s">
        <v>213</v>
      </c>
      <c r="W477" s="18" t="s">
        <v>857</v>
      </c>
      <c r="X477" s="16"/>
      <c r="Y477" s="234" t="str">
        <f>TRIM(LEFT(Main_Presentation[[#This Row],[Payment Terms]],3))</f>
        <v>30</v>
      </c>
      <c r="Z477" s="16"/>
      <c r="AA477" s="316" cm="1">
        <f t="array" ref="AA477">Settlement(Main_Presentation[[#This Row],[Bank]],Main_Presentation[[#This Row],[ Invoice Amt (SAR)]],Main_Presentation[[#This Row],[Date Recd]],Main_Presentation[[#This Row],[Due Date]],Main_Presentation[[#This Row],[Days]])</f>
        <v>4673.6000000000004</v>
      </c>
      <c r="AB477" s="16"/>
    </row>
    <row r="478" spans="1:28" ht="15.75" hidden="1" x14ac:dyDescent="0.25">
      <c r="A478" s="14" t="s">
        <v>306</v>
      </c>
      <c r="B478" s="15">
        <v>45333</v>
      </c>
      <c r="C478" s="26">
        <v>46</v>
      </c>
      <c r="D478" s="55" t="str">
        <f>VLOOKUP(Main_Presentation[[#This Row],[LC Number]],Main_Issuance[],3,0)</f>
        <v>Dipu Sir</v>
      </c>
      <c r="E478" s="16" t="s">
        <v>856</v>
      </c>
      <c r="F478" s="17" t="str">
        <f>VLOOKUP(Main_Presentation[[#This Row],[LC Number]],Main_Issuance[],5,0)</f>
        <v>Riyad</v>
      </c>
      <c r="G478" s="17" t="str">
        <f>VLOOKUP(Main_Presentation[[#This Row],[LC Number]],Main_Issuance[],6,0)</f>
        <v>Cash</v>
      </c>
      <c r="H478" s="17" t="str">
        <f>VLOOKUP(Main_Presentation[[#This Row],[LC Number]],Main_Issuance[],17,0)</f>
        <v>Cash</v>
      </c>
      <c r="I478" s="17" t="str">
        <f>VLOOKUP(Main_Presentation[[#This Row],[LC Number]],Main_Issuance[],7,0)</f>
        <v>ATELIER HOSPITALITY SRL</v>
      </c>
      <c r="J478" s="17" t="str">
        <f>VLOOKUP(Main_Presentation[[#This Row],[LC Number]],Main_Issuance[],8,0)</f>
        <v>MBL</v>
      </c>
      <c r="K478" s="17" t="str">
        <f>VLOOKUP(Main_Presentation[[#This Row],[LC Number]],Main_Issuance[],9,0)</f>
        <v>L01-YAMMAMA</v>
      </c>
      <c r="L478" s="17">
        <f>VLOOKUP(Main_Presentation[[#This Row],[LC Number]],Main_Issuance[],10,0)</f>
        <v>1020015</v>
      </c>
      <c r="M478" s="17" t="str">
        <f>VLOOKUP(Main_Presentation[[#This Row],[LC Number]],Main_Issuance[],11,0)</f>
        <v>EUR</v>
      </c>
      <c r="N478" s="84">
        <f>VLOOKUP(Main_Presentation[[#This Row],[LC Number]],Main_Issuance[],12,0)</f>
        <v>50762045.400000006</v>
      </c>
      <c r="O478" s="16" t="s">
        <v>20</v>
      </c>
      <c r="P478" s="16" t="s">
        <v>857</v>
      </c>
      <c r="Q478" s="131">
        <v>99851.32</v>
      </c>
      <c r="R478" s="18">
        <v>4.5848000064688499</v>
      </c>
      <c r="S478" s="18">
        <f>Main_Presentation[[#This Row],[Invoice Amt (FCY)]]*Main_Presentation[[#This Row],[Rate]]</f>
        <v>457798.33258192323</v>
      </c>
      <c r="T478" s="15">
        <v>45347</v>
      </c>
      <c r="U478" s="26" t="str">
        <f>VLOOKUP(Main_Presentation[[#This Row],[LC Number]],Main_Issuance[],18,0)</f>
        <v>30 days from the date of comm. inv.</v>
      </c>
      <c r="V478" s="19" t="s">
        <v>213</v>
      </c>
      <c r="W478" s="18" t="s">
        <v>857</v>
      </c>
      <c r="X478" s="16"/>
      <c r="Y478" s="234" t="str">
        <f>TRIM(LEFT(Main_Presentation[[#This Row],[Payment Terms]],3))</f>
        <v>30</v>
      </c>
      <c r="Z478" s="16"/>
      <c r="AA478" s="316" cm="1">
        <f t="array" ref="AA478">Settlement(Main_Presentation[[#This Row],[Bank]],Main_Presentation[[#This Row],[ Invoice Amt (SAR)]],Main_Presentation[[#This Row],[Date Recd]],Main_Presentation[[#This Row],[Due Date]],Main_Presentation[[#This Row],[Days]])</f>
        <v>230</v>
      </c>
      <c r="AB478" s="16"/>
    </row>
    <row r="479" spans="1:28" ht="15.75" hidden="1" x14ac:dyDescent="0.25">
      <c r="A479" s="14" t="s">
        <v>306</v>
      </c>
      <c r="B479" s="15">
        <v>45343</v>
      </c>
      <c r="C479" s="26">
        <v>47</v>
      </c>
      <c r="D479" s="55" t="str">
        <f>VLOOKUP(Main_Presentation[[#This Row],[LC Number]],Main_Issuance[],3,0)</f>
        <v>Dipu Sir</v>
      </c>
      <c r="E479" s="16" t="s">
        <v>856</v>
      </c>
      <c r="F479" s="17" t="str">
        <f>VLOOKUP(Main_Presentation[[#This Row],[LC Number]],Main_Issuance[],5,0)</f>
        <v>Riyad</v>
      </c>
      <c r="G479" s="17" t="str">
        <f>VLOOKUP(Main_Presentation[[#This Row],[LC Number]],Main_Issuance[],6,0)</f>
        <v>Cash</v>
      </c>
      <c r="H479" s="17" t="str">
        <f>VLOOKUP(Main_Presentation[[#This Row],[LC Number]],Main_Issuance[],17,0)</f>
        <v>Cash</v>
      </c>
      <c r="I479" s="17" t="str">
        <f>VLOOKUP(Main_Presentation[[#This Row],[LC Number]],Main_Issuance[],7,0)</f>
        <v>ATELIER HOSPITALITY SRL</v>
      </c>
      <c r="J479" s="17" t="str">
        <f>VLOOKUP(Main_Presentation[[#This Row],[LC Number]],Main_Issuance[],8,0)</f>
        <v>MBL</v>
      </c>
      <c r="K479" s="17" t="str">
        <f>VLOOKUP(Main_Presentation[[#This Row],[LC Number]],Main_Issuance[],9,0)</f>
        <v>L01-YAMMAMA</v>
      </c>
      <c r="L479" s="17">
        <f>VLOOKUP(Main_Presentation[[#This Row],[LC Number]],Main_Issuance[],10,0)</f>
        <v>1020015</v>
      </c>
      <c r="M479" s="17" t="str">
        <f>VLOOKUP(Main_Presentation[[#This Row],[LC Number]],Main_Issuance[],11,0)</f>
        <v>EUR</v>
      </c>
      <c r="N479" s="84">
        <f>VLOOKUP(Main_Presentation[[#This Row],[LC Number]],Main_Issuance[],12,0)</f>
        <v>50762045.400000006</v>
      </c>
      <c r="O479" s="16" t="s">
        <v>20</v>
      </c>
      <c r="P479" s="16" t="s">
        <v>857</v>
      </c>
      <c r="Q479" s="131">
        <v>459332.06</v>
      </c>
      <c r="R479" s="18">
        <v>4.5848000064688499</v>
      </c>
      <c r="S479" s="18">
        <f>Main_Presentation[[#This Row],[Invoice Amt (FCY)]]*Main_Presentation[[#This Row],[Rate]]</f>
        <v>2105945.6316593504</v>
      </c>
      <c r="T479" s="15">
        <v>45370</v>
      </c>
      <c r="U479" s="26" t="str">
        <f>VLOOKUP(Main_Presentation[[#This Row],[LC Number]],Main_Issuance[],18,0)</f>
        <v>30 days from the date of comm. inv.</v>
      </c>
      <c r="V479" s="19" t="s">
        <v>213</v>
      </c>
      <c r="W479" s="18" t="s">
        <v>857</v>
      </c>
      <c r="X479" s="16"/>
      <c r="Y479" s="234" t="str">
        <f>TRIM(LEFT(Main_Presentation[[#This Row],[Payment Terms]],3))</f>
        <v>30</v>
      </c>
      <c r="Z479" s="16"/>
      <c r="AA479" s="316" cm="1">
        <f t="array" ref="AA479">Settlement(Main_Presentation[[#This Row],[Bank]],Main_Presentation[[#This Row],[ Invoice Amt (SAR)]],Main_Presentation[[#This Row],[Date Recd]],Main_Presentation[[#This Row],[Due Date]],Main_Presentation[[#This Row],[Days]])</f>
        <v>3026.8</v>
      </c>
      <c r="AB479" s="16"/>
    </row>
    <row r="480" spans="1:28" ht="15.75" hidden="1" x14ac:dyDescent="0.25">
      <c r="A480" s="14" t="s">
        <v>306</v>
      </c>
      <c r="B480" s="15">
        <v>45351</v>
      </c>
      <c r="C480" s="26">
        <v>48</v>
      </c>
      <c r="D480" s="55" t="str">
        <f>VLOOKUP(Main_Presentation[[#This Row],[LC Number]],Main_Issuance[],3,0)</f>
        <v>Dipu Sir</v>
      </c>
      <c r="E480" s="16" t="s">
        <v>856</v>
      </c>
      <c r="F480" s="17" t="str">
        <f>VLOOKUP(Main_Presentation[[#This Row],[LC Number]],Main_Issuance[],5,0)</f>
        <v>Riyad</v>
      </c>
      <c r="G480" s="17" t="str">
        <f>VLOOKUP(Main_Presentation[[#This Row],[LC Number]],Main_Issuance[],6,0)</f>
        <v>Cash</v>
      </c>
      <c r="H480" s="17" t="str">
        <f>VLOOKUP(Main_Presentation[[#This Row],[LC Number]],Main_Issuance[],17,0)</f>
        <v>Cash</v>
      </c>
      <c r="I480" s="17" t="str">
        <f>VLOOKUP(Main_Presentation[[#This Row],[LC Number]],Main_Issuance[],7,0)</f>
        <v>ATELIER HOSPITALITY SRL</v>
      </c>
      <c r="J480" s="17" t="str">
        <f>VLOOKUP(Main_Presentation[[#This Row],[LC Number]],Main_Issuance[],8,0)</f>
        <v>MBL</v>
      </c>
      <c r="K480" s="17" t="str">
        <f>VLOOKUP(Main_Presentation[[#This Row],[LC Number]],Main_Issuance[],9,0)</f>
        <v>L01-YAMMAMA</v>
      </c>
      <c r="L480" s="17">
        <f>VLOOKUP(Main_Presentation[[#This Row],[LC Number]],Main_Issuance[],10,0)</f>
        <v>1020015</v>
      </c>
      <c r="M480" s="17" t="str">
        <f>VLOOKUP(Main_Presentation[[#This Row],[LC Number]],Main_Issuance[],11,0)</f>
        <v>EUR</v>
      </c>
      <c r="N480" s="84">
        <f>VLOOKUP(Main_Presentation[[#This Row],[LC Number]],Main_Issuance[],12,0)</f>
        <v>50762045.400000006</v>
      </c>
      <c r="O480" s="16" t="s">
        <v>20</v>
      </c>
      <c r="P480" s="16" t="s">
        <v>857</v>
      </c>
      <c r="Q480" s="131">
        <v>87469.72</v>
      </c>
      <c r="R480" s="18">
        <v>4.5848000064688499</v>
      </c>
      <c r="S480" s="18">
        <f>Main_Presentation[[#This Row],[Invoice Amt (FCY)]]*Main_Presentation[[#This Row],[Rate]]</f>
        <v>401031.17282182851</v>
      </c>
      <c r="T480" s="15">
        <v>45364</v>
      </c>
      <c r="U480" s="26" t="str">
        <f>VLOOKUP(Main_Presentation[[#This Row],[LC Number]],Main_Issuance[],18,0)</f>
        <v>30 days from the date of comm. inv.</v>
      </c>
      <c r="V480" s="19" t="s">
        <v>213</v>
      </c>
      <c r="W480" s="18" t="s">
        <v>857</v>
      </c>
      <c r="X480" s="16"/>
      <c r="Y480" s="234" t="str">
        <f>TRIM(LEFT(Main_Presentation[[#This Row],[Payment Terms]],3))</f>
        <v>30</v>
      </c>
      <c r="Z480" s="16"/>
      <c r="AA480" s="316" cm="1">
        <f t="array" ref="AA480">Settlement(Main_Presentation[[#This Row],[Bank]],Main_Presentation[[#This Row],[ Invoice Amt (SAR)]],Main_Presentation[[#This Row],[Date Recd]],Main_Presentation[[#This Row],[Due Date]],Main_Presentation[[#This Row],[Days]])</f>
        <v>230</v>
      </c>
      <c r="AB480" s="16"/>
    </row>
    <row r="481" spans="1:28" ht="15.75" hidden="1" x14ac:dyDescent="0.25">
      <c r="A481" s="14" t="s">
        <v>306</v>
      </c>
      <c r="B481" s="15">
        <v>45354</v>
      </c>
      <c r="C481" s="26">
        <v>49</v>
      </c>
      <c r="D481" s="55" t="str">
        <f>VLOOKUP(Main_Presentation[[#This Row],[LC Number]],Main_Issuance[],3,0)</f>
        <v>Dipu Sir</v>
      </c>
      <c r="E481" s="16" t="s">
        <v>856</v>
      </c>
      <c r="F481" s="17" t="str">
        <f>VLOOKUP(Main_Presentation[[#This Row],[LC Number]],Main_Issuance[],5,0)</f>
        <v>Riyad</v>
      </c>
      <c r="G481" s="17" t="str">
        <f>VLOOKUP(Main_Presentation[[#This Row],[LC Number]],Main_Issuance[],6,0)</f>
        <v>Cash</v>
      </c>
      <c r="H481" s="17" t="str">
        <f>VLOOKUP(Main_Presentation[[#This Row],[LC Number]],Main_Issuance[],17,0)</f>
        <v>Cash</v>
      </c>
      <c r="I481" s="17" t="str">
        <f>VLOOKUP(Main_Presentation[[#This Row],[LC Number]],Main_Issuance[],7,0)</f>
        <v>ATELIER HOSPITALITY SRL</v>
      </c>
      <c r="J481" s="17" t="str">
        <f>VLOOKUP(Main_Presentation[[#This Row],[LC Number]],Main_Issuance[],8,0)</f>
        <v>MBL</v>
      </c>
      <c r="K481" s="17" t="str">
        <f>VLOOKUP(Main_Presentation[[#This Row],[LC Number]],Main_Issuance[],9,0)</f>
        <v>L01-YAMMAMA</v>
      </c>
      <c r="L481" s="17">
        <f>VLOOKUP(Main_Presentation[[#This Row],[LC Number]],Main_Issuance[],10,0)</f>
        <v>1020015</v>
      </c>
      <c r="M481" s="17" t="str">
        <f>VLOOKUP(Main_Presentation[[#This Row],[LC Number]],Main_Issuance[],11,0)</f>
        <v>EUR</v>
      </c>
      <c r="N481" s="84">
        <f>VLOOKUP(Main_Presentation[[#This Row],[LC Number]],Main_Issuance[],12,0)</f>
        <v>50762045.400000006</v>
      </c>
      <c r="O481" s="16" t="s">
        <v>20</v>
      </c>
      <c r="P481" s="16" t="s">
        <v>857</v>
      </c>
      <c r="Q481" s="131">
        <v>256454.95</v>
      </c>
      <c r="R481" s="18">
        <v>4.5848000064688499</v>
      </c>
      <c r="S481" s="18">
        <f>Main_Presentation[[#This Row],[Invoice Amt (FCY)]]*Main_Presentation[[#This Row],[Rate]]</f>
        <v>1175794.6564189687</v>
      </c>
      <c r="T481" s="15">
        <v>45361</v>
      </c>
      <c r="U481" s="26" t="str">
        <f>VLOOKUP(Main_Presentation[[#This Row],[LC Number]],Main_Issuance[],18,0)</f>
        <v>30 days from the date of comm. inv.</v>
      </c>
      <c r="V481" s="19" t="s">
        <v>213</v>
      </c>
      <c r="W481" s="18" t="s">
        <v>857</v>
      </c>
      <c r="X481" s="16"/>
      <c r="Y481" s="234" t="str">
        <f>TRIM(LEFT(Main_Presentation[[#This Row],[Payment Terms]],3))</f>
        <v>30</v>
      </c>
      <c r="Z481" s="16"/>
      <c r="AA481" s="316" cm="1">
        <f t="array" ref="AA481">Settlement(Main_Presentation[[#This Row],[Bank]],Main_Presentation[[#This Row],[ Invoice Amt (SAR)]],Main_Presentation[[#This Row],[Date Recd]],Main_Presentation[[#This Row],[Due Date]],Main_Presentation[[#This Row],[Days]])</f>
        <v>230</v>
      </c>
      <c r="AB481" s="16"/>
    </row>
    <row r="482" spans="1:28" ht="15.75" hidden="1" x14ac:dyDescent="0.25">
      <c r="A482" s="14" t="s">
        <v>306</v>
      </c>
      <c r="B482" s="15">
        <v>45358</v>
      </c>
      <c r="C482" s="26">
        <v>50</v>
      </c>
      <c r="D482" s="55" t="str">
        <f>VLOOKUP(Main_Presentation[[#This Row],[LC Number]],Main_Issuance[],3,0)</f>
        <v>Dipu Sir</v>
      </c>
      <c r="E482" s="16" t="s">
        <v>856</v>
      </c>
      <c r="F482" s="17" t="str">
        <f>VLOOKUP(Main_Presentation[[#This Row],[LC Number]],Main_Issuance[],5,0)</f>
        <v>Riyad</v>
      </c>
      <c r="G482" s="17" t="str">
        <f>VLOOKUP(Main_Presentation[[#This Row],[LC Number]],Main_Issuance[],6,0)</f>
        <v>Cash</v>
      </c>
      <c r="H482" s="17" t="str">
        <f>VLOOKUP(Main_Presentation[[#This Row],[LC Number]],Main_Issuance[],17,0)</f>
        <v>Cash</v>
      </c>
      <c r="I482" s="17" t="str">
        <f>VLOOKUP(Main_Presentation[[#This Row],[LC Number]],Main_Issuance[],7,0)</f>
        <v>ATELIER HOSPITALITY SRL</v>
      </c>
      <c r="J482" s="17" t="str">
        <f>VLOOKUP(Main_Presentation[[#This Row],[LC Number]],Main_Issuance[],8,0)</f>
        <v>MBL</v>
      </c>
      <c r="K482" s="17" t="str">
        <f>VLOOKUP(Main_Presentation[[#This Row],[LC Number]],Main_Issuance[],9,0)</f>
        <v>L01-YAMMAMA</v>
      </c>
      <c r="L482" s="17">
        <f>VLOOKUP(Main_Presentation[[#This Row],[LC Number]],Main_Issuance[],10,0)</f>
        <v>1020015</v>
      </c>
      <c r="M482" s="17" t="str">
        <f>VLOOKUP(Main_Presentation[[#This Row],[LC Number]],Main_Issuance[],11,0)</f>
        <v>EUR</v>
      </c>
      <c r="N482" s="84">
        <f>VLOOKUP(Main_Presentation[[#This Row],[LC Number]],Main_Issuance[],12,0)</f>
        <v>50762045.400000006</v>
      </c>
      <c r="O482" s="16" t="s">
        <v>20</v>
      </c>
      <c r="P482" s="16" t="s">
        <v>857</v>
      </c>
      <c r="Q482" s="131">
        <v>741236.67</v>
      </c>
      <c r="R482" s="18">
        <v>4.5848000064688499</v>
      </c>
      <c r="S482" s="18">
        <f>Main_Presentation[[#This Row],[Invoice Amt (FCY)]]*Main_Presentation[[#This Row],[Rate]]</f>
        <v>3398421.8894109488</v>
      </c>
      <c r="T482" s="15">
        <v>45369</v>
      </c>
      <c r="U482" s="26" t="str">
        <f>VLOOKUP(Main_Presentation[[#This Row],[LC Number]],Main_Issuance[],18,0)</f>
        <v>30 days from the date of comm. inv.</v>
      </c>
      <c r="V482" s="19" t="s">
        <v>213</v>
      </c>
      <c r="W482" s="18" t="s">
        <v>857</v>
      </c>
      <c r="X482" s="16"/>
      <c r="Y482" s="234" t="str">
        <f>TRIM(LEFT(Main_Presentation[[#This Row],[Payment Terms]],3))</f>
        <v>30</v>
      </c>
      <c r="Z482" s="16"/>
      <c r="AA482" s="316" cm="1">
        <f t="array" ref="AA482">Settlement(Main_Presentation[[#This Row],[Bank]],Main_Presentation[[#This Row],[ Invoice Amt (SAR)]],Main_Presentation[[#This Row],[Date Recd]],Main_Presentation[[#This Row],[Due Date]],Main_Presentation[[#This Row],[Days]])</f>
        <v>230</v>
      </c>
      <c r="AB482" s="16"/>
    </row>
    <row r="483" spans="1:28" ht="15.75" hidden="1" x14ac:dyDescent="0.25">
      <c r="A483" s="14" t="s">
        <v>306</v>
      </c>
      <c r="B483" s="15">
        <v>45358</v>
      </c>
      <c r="C483" s="26">
        <v>51</v>
      </c>
      <c r="D483" s="55" t="str">
        <f>VLOOKUP(Main_Presentation[[#This Row],[LC Number]],Main_Issuance[],3,0)</f>
        <v>Dipu Sir</v>
      </c>
      <c r="E483" s="16" t="s">
        <v>856</v>
      </c>
      <c r="F483" s="17" t="str">
        <f>VLOOKUP(Main_Presentation[[#This Row],[LC Number]],Main_Issuance[],5,0)</f>
        <v>Riyad</v>
      </c>
      <c r="G483" s="17" t="str">
        <f>VLOOKUP(Main_Presentation[[#This Row],[LC Number]],Main_Issuance[],6,0)</f>
        <v>Cash</v>
      </c>
      <c r="H483" s="17" t="str">
        <f>VLOOKUP(Main_Presentation[[#This Row],[LC Number]],Main_Issuance[],17,0)</f>
        <v>Cash</v>
      </c>
      <c r="I483" s="17" t="str">
        <f>VLOOKUP(Main_Presentation[[#This Row],[LC Number]],Main_Issuance[],7,0)</f>
        <v>ATELIER HOSPITALITY SRL</v>
      </c>
      <c r="J483" s="17" t="str">
        <f>VLOOKUP(Main_Presentation[[#This Row],[LC Number]],Main_Issuance[],8,0)</f>
        <v>MBL</v>
      </c>
      <c r="K483" s="17" t="str">
        <f>VLOOKUP(Main_Presentation[[#This Row],[LC Number]],Main_Issuance[],9,0)</f>
        <v>L01-YAMMAMA</v>
      </c>
      <c r="L483" s="17">
        <f>VLOOKUP(Main_Presentation[[#This Row],[LC Number]],Main_Issuance[],10,0)</f>
        <v>1020015</v>
      </c>
      <c r="M483" s="17" t="str">
        <f>VLOOKUP(Main_Presentation[[#This Row],[LC Number]],Main_Issuance[],11,0)</f>
        <v>EUR</v>
      </c>
      <c r="N483" s="84">
        <f>VLOOKUP(Main_Presentation[[#This Row],[LC Number]],Main_Issuance[],12,0)</f>
        <v>50762045.400000006</v>
      </c>
      <c r="O483" s="16" t="s">
        <v>20</v>
      </c>
      <c r="P483" s="16" t="s">
        <v>857</v>
      </c>
      <c r="Q483" s="131">
        <v>367471.41</v>
      </c>
      <c r="R483" s="18">
        <v>4.5848000064688499</v>
      </c>
      <c r="S483" s="18">
        <f>Main_Presentation[[#This Row],[Invoice Amt (FCY)]]*Main_Presentation[[#This Row],[Rate]]</f>
        <v>1684782.9229451173</v>
      </c>
      <c r="T483" s="15">
        <v>45369</v>
      </c>
      <c r="U483" s="26" t="str">
        <f>VLOOKUP(Main_Presentation[[#This Row],[LC Number]],Main_Issuance[],18,0)</f>
        <v>30 days from the date of comm. inv.</v>
      </c>
      <c r="V483" s="19" t="s">
        <v>213</v>
      </c>
      <c r="W483" s="18" t="s">
        <v>857</v>
      </c>
      <c r="X483" s="16"/>
      <c r="Y483" s="234" t="str">
        <f>TRIM(LEFT(Main_Presentation[[#This Row],[Payment Terms]],3))</f>
        <v>30</v>
      </c>
      <c r="Z483" s="16"/>
      <c r="AA483" s="316" cm="1">
        <f t="array" ref="AA483">Settlement(Main_Presentation[[#This Row],[Bank]],Main_Presentation[[#This Row],[ Invoice Amt (SAR)]],Main_Presentation[[#This Row],[Date Recd]],Main_Presentation[[#This Row],[Due Date]],Main_Presentation[[#This Row],[Days]])</f>
        <v>230</v>
      </c>
      <c r="AB483" s="16"/>
    </row>
    <row r="484" spans="1:28" ht="15.75" hidden="1" x14ac:dyDescent="0.25">
      <c r="A484" s="14" t="s">
        <v>306</v>
      </c>
      <c r="B484" s="15">
        <v>45358</v>
      </c>
      <c r="C484" s="26">
        <v>52</v>
      </c>
      <c r="D484" s="55" t="str">
        <f>VLOOKUP(Main_Presentation[[#This Row],[LC Number]],Main_Issuance[],3,0)</f>
        <v>Dipu Sir</v>
      </c>
      <c r="E484" s="16" t="s">
        <v>856</v>
      </c>
      <c r="F484" s="17" t="str">
        <f>VLOOKUP(Main_Presentation[[#This Row],[LC Number]],Main_Issuance[],5,0)</f>
        <v>Riyad</v>
      </c>
      <c r="G484" s="17" t="str">
        <f>VLOOKUP(Main_Presentation[[#This Row],[LC Number]],Main_Issuance[],6,0)</f>
        <v>Cash</v>
      </c>
      <c r="H484" s="17" t="str">
        <f>VLOOKUP(Main_Presentation[[#This Row],[LC Number]],Main_Issuance[],17,0)</f>
        <v>Cash</v>
      </c>
      <c r="I484" s="17" t="str">
        <f>VLOOKUP(Main_Presentation[[#This Row],[LC Number]],Main_Issuance[],7,0)</f>
        <v>ATELIER HOSPITALITY SRL</v>
      </c>
      <c r="J484" s="17" t="str">
        <f>VLOOKUP(Main_Presentation[[#This Row],[LC Number]],Main_Issuance[],8,0)</f>
        <v>MBL</v>
      </c>
      <c r="K484" s="17" t="str">
        <f>VLOOKUP(Main_Presentation[[#This Row],[LC Number]],Main_Issuance[],9,0)</f>
        <v>L01-YAMMAMA</v>
      </c>
      <c r="L484" s="17">
        <f>VLOOKUP(Main_Presentation[[#This Row],[LC Number]],Main_Issuance[],10,0)</f>
        <v>1020015</v>
      </c>
      <c r="M484" s="17" t="str">
        <f>VLOOKUP(Main_Presentation[[#This Row],[LC Number]],Main_Issuance[],11,0)</f>
        <v>EUR</v>
      </c>
      <c r="N484" s="84">
        <f>VLOOKUP(Main_Presentation[[#This Row],[LC Number]],Main_Issuance[],12,0)</f>
        <v>50762045.400000006</v>
      </c>
      <c r="O484" s="16" t="s">
        <v>20</v>
      </c>
      <c r="P484" s="16" t="s">
        <v>857</v>
      </c>
      <c r="Q484" s="131">
        <v>2524963.94</v>
      </c>
      <c r="R484" s="18">
        <v>4.5848000064688499</v>
      </c>
      <c r="S484" s="18">
        <f>Main_Presentation[[#This Row],[Invoice Amt (FCY)]]*Main_Presentation[[#This Row],[Rate]]</f>
        <v>11576454.688445613</v>
      </c>
      <c r="T484" s="15">
        <v>45371</v>
      </c>
      <c r="U484" s="26" t="str">
        <f>VLOOKUP(Main_Presentation[[#This Row],[LC Number]],Main_Issuance[],18,0)</f>
        <v>30 days from the date of comm. inv.</v>
      </c>
      <c r="V484" s="19" t="s">
        <v>213</v>
      </c>
      <c r="W484" s="18" t="s">
        <v>857</v>
      </c>
      <c r="X484" s="16"/>
      <c r="Y484" s="234" t="str">
        <f>TRIM(LEFT(Main_Presentation[[#This Row],[Payment Terms]],3))</f>
        <v>30</v>
      </c>
      <c r="Z484" s="16"/>
      <c r="AA484" s="316" cm="1">
        <f t="array" ref="AA484">Settlement(Main_Presentation[[#This Row],[Bank]],Main_Presentation[[#This Row],[ Invoice Amt (SAR)]],Main_Presentation[[#This Row],[Date Recd]],Main_Presentation[[#This Row],[Due Date]],Main_Presentation[[#This Row],[Days]])</f>
        <v>230</v>
      </c>
      <c r="AB484" s="16"/>
    </row>
    <row r="485" spans="1:28" ht="15.75" hidden="1" x14ac:dyDescent="0.25">
      <c r="A485" s="14" t="s">
        <v>306</v>
      </c>
      <c r="B485" s="15">
        <v>45362</v>
      </c>
      <c r="C485" s="26">
        <v>53</v>
      </c>
      <c r="D485" s="55" t="str">
        <f>VLOOKUP(Main_Presentation[[#This Row],[LC Number]],Main_Issuance[],3,0)</f>
        <v>Dipu Sir</v>
      </c>
      <c r="E485" s="16" t="s">
        <v>856</v>
      </c>
      <c r="F485" s="17" t="str">
        <f>VLOOKUP(Main_Presentation[[#This Row],[LC Number]],Main_Issuance[],5,0)</f>
        <v>Riyad</v>
      </c>
      <c r="G485" s="17" t="str">
        <f>VLOOKUP(Main_Presentation[[#This Row],[LC Number]],Main_Issuance[],6,0)</f>
        <v>Cash</v>
      </c>
      <c r="H485" s="17" t="str">
        <f>VLOOKUP(Main_Presentation[[#This Row],[LC Number]],Main_Issuance[],17,0)</f>
        <v>Cash</v>
      </c>
      <c r="I485" s="17" t="str">
        <f>VLOOKUP(Main_Presentation[[#This Row],[LC Number]],Main_Issuance[],7,0)</f>
        <v>ATELIER HOSPITALITY SRL</v>
      </c>
      <c r="J485" s="17" t="str">
        <f>VLOOKUP(Main_Presentation[[#This Row],[LC Number]],Main_Issuance[],8,0)</f>
        <v>MBL</v>
      </c>
      <c r="K485" s="17" t="str">
        <f>VLOOKUP(Main_Presentation[[#This Row],[LC Number]],Main_Issuance[],9,0)</f>
        <v>L01-YAMMAMA</v>
      </c>
      <c r="L485" s="17">
        <f>VLOOKUP(Main_Presentation[[#This Row],[LC Number]],Main_Issuance[],10,0)</f>
        <v>1020015</v>
      </c>
      <c r="M485" s="17" t="str">
        <f>VLOOKUP(Main_Presentation[[#This Row],[LC Number]],Main_Issuance[],11,0)</f>
        <v>EUR</v>
      </c>
      <c r="N485" s="84">
        <f>VLOOKUP(Main_Presentation[[#This Row],[LC Number]],Main_Issuance[],12,0)</f>
        <v>50762045.400000006</v>
      </c>
      <c r="O485" s="16" t="s">
        <v>20</v>
      </c>
      <c r="P485" s="16" t="s">
        <v>857</v>
      </c>
      <c r="Q485" s="131">
        <v>90108.29</v>
      </c>
      <c r="R485" s="18">
        <v>4.5848000064688499</v>
      </c>
      <c r="S485" s="18">
        <f>Main_Presentation[[#This Row],[Invoice Amt (FCY)]]*Main_Presentation[[#This Row],[Rate]]</f>
        <v>413128.488574897</v>
      </c>
      <c r="T485" s="15">
        <v>45371</v>
      </c>
      <c r="U485" s="26" t="str">
        <f>VLOOKUP(Main_Presentation[[#This Row],[LC Number]],Main_Issuance[],18,0)</f>
        <v>30 days from the date of comm. inv.</v>
      </c>
      <c r="V485" s="19" t="s">
        <v>213</v>
      </c>
      <c r="W485" s="18" t="s">
        <v>857</v>
      </c>
      <c r="X485" s="16"/>
      <c r="Y485" s="234" t="str">
        <f>TRIM(LEFT(Main_Presentation[[#This Row],[Payment Terms]],3))</f>
        <v>30</v>
      </c>
      <c r="Z485" s="16"/>
      <c r="AA485" s="316" cm="1">
        <f t="array" ref="AA485">Settlement(Main_Presentation[[#This Row],[Bank]],Main_Presentation[[#This Row],[ Invoice Amt (SAR)]],Main_Presentation[[#This Row],[Date Recd]],Main_Presentation[[#This Row],[Due Date]],Main_Presentation[[#This Row],[Days]])</f>
        <v>230</v>
      </c>
      <c r="AB485" s="16"/>
    </row>
    <row r="486" spans="1:28" ht="15.75" hidden="1" x14ac:dyDescent="0.25">
      <c r="A486" s="14" t="s">
        <v>306</v>
      </c>
      <c r="B486" s="15">
        <v>45365</v>
      </c>
      <c r="C486" s="26">
        <v>54</v>
      </c>
      <c r="D486" s="55" t="str">
        <f>VLOOKUP(Main_Presentation[[#This Row],[LC Number]],Main_Issuance[],3,0)</f>
        <v>Dipu Sir</v>
      </c>
      <c r="E486" s="16" t="s">
        <v>856</v>
      </c>
      <c r="F486" s="17" t="str">
        <f>VLOOKUP(Main_Presentation[[#This Row],[LC Number]],Main_Issuance[],5,0)</f>
        <v>Riyad</v>
      </c>
      <c r="G486" s="17" t="str">
        <f>VLOOKUP(Main_Presentation[[#This Row],[LC Number]],Main_Issuance[],6,0)</f>
        <v>Cash</v>
      </c>
      <c r="H486" s="17" t="str">
        <f>VLOOKUP(Main_Presentation[[#This Row],[LC Number]],Main_Issuance[],17,0)</f>
        <v>Cash</v>
      </c>
      <c r="I486" s="17" t="str">
        <f>VLOOKUP(Main_Presentation[[#This Row],[LC Number]],Main_Issuance[],7,0)</f>
        <v>ATELIER HOSPITALITY SRL</v>
      </c>
      <c r="J486" s="17" t="str">
        <f>VLOOKUP(Main_Presentation[[#This Row],[LC Number]],Main_Issuance[],8,0)</f>
        <v>MBL</v>
      </c>
      <c r="K486" s="17" t="str">
        <f>VLOOKUP(Main_Presentation[[#This Row],[LC Number]],Main_Issuance[],9,0)</f>
        <v>L01-YAMMAMA</v>
      </c>
      <c r="L486" s="17">
        <f>VLOOKUP(Main_Presentation[[#This Row],[LC Number]],Main_Issuance[],10,0)</f>
        <v>1020015</v>
      </c>
      <c r="M486" s="17" t="str">
        <f>VLOOKUP(Main_Presentation[[#This Row],[LC Number]],Main_Issuance[],11,0)</f>
        <v>EUR</v>
      </c>
      <c r="N486" s="84">
        <f>VLOOKUP(Main_Presentation[[#This Row],[LC Number]],Main_Issuance[],12,0)</f>
        <v>50762045.400000006</v>
      </c>
      <c r="O486" s="16" t="s">
        <v>20</v>
      </c>
      <c r="P486" s="16" t="s">
        <v>857</v>
      </c>
      <c r="Q486" s="131">
        <v>69591.710000000006</v>
      </c>
      <c r="R486" s="18">
        <v>4.5848000064688499</v>
      </c>
      <c r="S486" s="18">
        <f>Main_Presentation[[#This Row],[Invoice Amt (FCY)]]*Main_Presentation[[#This Row],[Rate]]</f>
        <v>319064.07245817833</v>
      </c>
      <c r="T486" s="15">
        <v>45386</v>
      </c>
      <c r="U486" s="26" t="str">
        <f>VLOOKUP(Main_Presentation[[#This Row],[LC Number]],Main_Issuance[],18,0)</f>
        <v>30 days from the date of comm. inv.</v>
      </c>
      <c r="V486" s="19" t="s">
        <v>213</v>
      </c>
      <c r="W486" s="18" t="s">
        <v>857</v>
      </c>
      <c r="X486" s="16"/>
      <c r="Y486" s="234" t="str">
        <f>TRIM(LEFT(Main_Presentation[[#This Row],[Payment Terms]],3))</f>
        <v>30</v>
      </c>
      <c r="Z486" s="16"/>
      <c r="AA486" s="316" cm="1">
        <f t="array" ref="AA486">Settlement(Main_Presentation[[#This Row],[Bank]],Main_Presentation[[#This Row],[ Invoice Amt (SAR)]],Main_Presentation[[#This Row],[Date Recd]],Main_Presentation[[#This Row],[Due Date]],Main_Presentation[[#This Row],[Days]])</f>
        <v>458.85</v>
      </c>
      <c r="AB486" s="16"/>
    </row>
    <row r="487" spans="1:28" ht="15.75" hidden="1" x14ac:dyDescent="0.25">
      <c r="A487" s="14" t="s">
        <v>306</v>
      </c>
      <c r="B487" s="15">
        <v>45371</v>
      </c>
      <c r="C487" s="26">
        <v>55</v>
      </c>
      <c r="D487" s="55" t="str">
        <f>VLOOKUP(Main_Presentation[[#This Row],[LC Number]],Main_Issuance[],3,0)</f>
        <v>Dipu Sir</v>
      </c>
      <c r="E487" s="16" t="s">
        <v>856</v>
      </c>
      <c r="F487" s="17" t="str">
        <f>VLOOKUP(Main_Presentation[[#This Row],[LC Number]],Main_Issuance[],5,0)</f>
        <v>Riyad</v>
      </c>
      <c r="G487" s="17" t="str">
        <f>VLOOKUP(Main_Presentation[[#This Row],[LC Number]],Main_Issuance[],6,0)</f>
        <v>Cash</v>
      </c>
      <c r="H487" s="17" t="str">
        <f>VLOOKUP(Main_Presentation[[#This Row],[LC Number]],Main_Issuance[],17,0)</f>
        <v>Cash</v>
      </c>
      <c r="I487" s="17" t="str">
        <f>VLOOKUP(Main_Presentation[[#This Row],[LC Number]],Main_Issuance[],7,0)</f>
        <v>ATELIER HOSPITALITY SRL</v>
      </c>
      <c r="J487" s="17" t="str">
        <f>VLOOKUP(Main_Presentation[[#This Row],[LC Number]],Main_Issuance[],8,0)</f>
        <v>MBL</v>
      </c>
      <c r="K487" s="17" t="str">
        <f>VLOOKUP(Main_Presentation[[#This Row],[LC Number]],Main_Issuance[],9,0)</f>
        <v>L01-YAMMAMA</v>
      </c>
      <c r="L487" s="17">
        <f>VLOOKUP(Main_Presentation[[#This Row],[LC Number]],Main_Issuance[],10,0)</f>
        <v>1020015</v>
      </c>
      <c r="M487" s="17" t="str">
        <f>VLOOKUP(Main_Presentation[[#This Row],[LC Number]],Main_Issuance[],11,0)</f>
        <v>EUR</v>
      </c>
      <c r="N487" s="84">
        <f>VLOOKUP(Main_Presentation[[#This Row],[LC Number]],Main_Issuance[],12,0)</f>
        <v>50762045.400000006</v>
      </c>
      <c r="O487" s="16" t="s">
        <v>20</v>
      </c>
      <c r="P487" s="16" t="s">
        <v>857</v>
      </c>
      <c r="Q487" s="131">
        <v>373181.36</v>
      </c>
      <c r="R487" s="18">
        <v>4.5848000064688499</v>
      </c>
      <c r="S487" s="18">
        <f>Main_Presentation[[#This Row],[Invoice Amt (FCY)]]*Main_Presentation[[#This Row],[Rate]]</f>
        <v>1710961.9017420541</v>
      </c>
      <c r="T487" s="15">
        <v>45386</v>
      </c>
      <c r="U487" s="26" t="str">
        <f>VLOOKUP(Main_Presentation[[#This Row],[LC Number]],Main_Issuance[],18,0)</f>
        <v>30 days from the date of comm. inv.</v>
      </c>
      <c r="V487" s="19" t="s">
        <v>213</v>
      </c>
      <c r="W487" s="18" t="s">
        <v>857</v>
      </c>
      <c r="X487" s="16"/>
      <c r="Y487" s="234" t="str">
        <f>TRIM(LEFT(Main_Presentation[[#This Row],[Payment Terms]],3))</f>
        <v>30</v>
      </c>
      <c r="Z487" s="16"/>
      <c r="AA487" s="316" cm="1">
        <f t="array" ref="AA487">Settlement(Main_Presentation[[#This Row],[Bank]],Main_Presentation[[#This Row],[ Invoice Amt (SAR)]],Main_Presentation[[#This Row],[Date Recd]],Main_Presentation[[#This Row],[Due Date]],Main_Presentation[[#This Row],[Days]])</f>
        <v>230</v>
      </c>
      <c r="AB487" s="16"/>
    </row>
    <row r="488" spans="1:28" ht="15.75" hidden="1" x14ac:dyDescent="0.25">
      <c r="A488" s="14" t="s">
        <v>306</v>
      </c>
      <c r="B488" s="15">
        <v>45375</v>
      </c>
      <c r="C488" s="26">
        <v>56</v>
      </c>
      <c r="D488" s="55" t="str">
        <f>VLOOKUP(Main_Presentation[[#This Row],[LC Number]],Main_Issuance[],3,0)</f>
        <v>Dipu Sir</v>
      </c>
      <c r="E488" s="16" t="s">
        <v>856</v>
      </c>
      <c r="F488" s="17" t="str">
        <f>VLOOKUP(Main_Presentation[[#This Row],[LC Number]],Main_Issuance[],5,0)</f>
        <v>Riyad</v>
      </c>
      <c r="G488" s="17" t="str">
        <f>VLOOKUP(Main_Presentation[[#This Row],[LC Number]],Main_Issuance[],6,0)</f>
        <v>Cash</v>
      </c>
      <c r="H488" s="17" t="str">
        <f>VLOOKUP(Main_Presentation[[#This Row],[LC Number]],Main_Issuance[],17,0)</f>
        <v>Cash</v>
      </c>
      <c r="I488" s="17" t="str">
        <f>VLOOKUP(Main_Presentation[[#This Row],[LC Number]],Main_Issuance[],7,0)</f>
        <v>ATELIER HOSPITALITY SRL</v>
      </c>
      <c r="J488" s="17" t="str">
        <f>VLOOKUP(Main_Presentation[[#This Row],[LC Number]],Main_Issuance[],8,0)</f>
        <v>MBL</v>
      </c>
      <c r="K488" s="17" t="str">
        <f>VLOOKUP(Main_Presentation[[#This Row],[LC Number]],Main_Issuance[],9,0)</f>
        <v>L01-YAMMAMA</v>
      </c>
      <c r="L488" s="17">
        <f>VLOOKUP(Main_Presentation[[#This Row],[LC Number]],Main_Issuance[],10,0)</f>
        <v>1020015</v>
      </c>
      <c r="M488" s="17" t="str">
        <f>VLOOKUP(Main_Presentation[[#This Row],[LC Number]],Main_Issuance[],11,0)</f>
        <v>EUR</v>
      </c>
      <c r="N488" s="84">
        <f>VLOOKUP(Main_Presentation[[#This Row],[LC Number]],Main_Issuance[],12,0)</f>
        <v>50762045.400000006</v>
      </c>
      <c r="O488" s="16" t="s">
        <v>20</v>
      </c>
      <c r="P488" s="16" t="s">
        <v>857</v>
      </c>
      <c r="Q488" s="131">
        <v>131670.47</v>
      </c>
      <c r="R488" s="18">
        <v>4.5848000064688499</v>
      </c>
      <c r="S488" s="18">
        <f>Main_Presentation[[#This Row],[Invoice Amt (FCY)]]*Main_Presentation[[#This Row],[Rate]]</f>
        <v>603682.77170775656</v>
      </c>
      <c r="T488" s="15">
        <v>45376</v>
      </c>
      <c r="U488" s="26" t="str">
        <f>VLOOKUP(Main_Presentation[[#This Row],[LC Number]],Main_Issuance[],18,0)</f>
        <v>30 days from the date of comm. inv.</v>
      </c>
      <c r="V488" s="19" t="s">
        <v>213</v>
      </c>
      <c r="W488" s="18" t="s">
        <v>857</v>
      </c>
      <c r="X488" s="16"/>
      <c r="Y488" s="234" t="str">
        <f>TRIM(LEFT(Main_Presentation[[#This Row],[Payment Terms]],3))</f>
        <v>30</v>
      </c>
      <c r="Z488" s="16"/>
      <c r="AA488" s="316" cm="1">
        <f t="array" ref="AA488">Settlement(Main_Presentation[[#This Row],[Bank]],Main_Presentation[[#This Row],[ Invoice Amt (SAR)]],Main_Presentation[[#This Row],[Date Recd]],Main_Presentation[[#This Row],[Due Date]],Main_Presentation[[#This Row],[Days]])</f>
        <v>230</v>
      </c>
      <c r="AB488" s="16"/>
    </row>
    <row r="489" spans="1:28" ht="15.75" hidden="1" x14ac:dyDescent="0.25">
      <c r="A489" s="14" t="s">
        <v>306</v>
      </c>
      <c r="B489" s="15">
        <v>45384</v>
      </c>
      <c r="C489" s="26">
        <v>57</v>
      </c>
      <c r="D489" s="55" t="str">
        <f>VLOOKUP(Main_Presentation[[#This Row],[LC Number]],Main_Issuance[],3,0)</f>
        <v>Dipu Sir</v>
      </c>
      <c r="E489" s="16" t="s">
        <v>856</v>
      </c>
      <c r="F489" s="17" t="str">
        <f>VLOOKUP(Main_Presentation[[#This Row],[LC Number]],Main_Issuance[],5,0)</f>
        <v>Riyad</v>
      </c>
      <c r="G489" s="17" t="str">
        <f>VLOOKUP(Main_Presentation[[#This Row],[LC Number]],Main_Issuance[],6,0)</f>
        <v>Cash</v>
      </c>
      <c r="H489" s="17" t="str">
        <f>VLOOKUP(Main_Presentation[[#This Row],[LC Number]],Main_Issuance[],17,0)</f>
        <v>Cash</v>
      </c>
      <c r="I489" s="17" t="str">
        <f>VLOOKUP(Main_Presentation[[#This Row],[LC Number]],Main_Issuance[],7,0)</f>
        <v>ATELIER HOSPITALITY SRL</v>
      </c>
      <c r="J489" s="17" t="str">
        <f>VLOOKUP(Main_Presentation[[#This Row],[LC Number]],Main_Issuance[],8,0)</f>
        <v>MBL</v>
      </c>
      <c r="K489" s="17" t="str">
        <f>VLOOKUP(Main_Presentation[[#This Row],[LC Number]],Main_Issuance[],9,0)</f>
        <v>L01-YAMMAMA</v>
      </c>
      <c r="L489" s="17">
        <f>VLOOKUP(Main_Presentation[[#This Row],[LC Number]],Main_Issuance[],10,0)</f>
        <v>1020015</v>
      </c>
      <c r="M489" s="17" t="str">
        <f>VLOOKUP(Main_Presentation[[#This Row],[LC Number]],Main_Issuance[],11,0)</f>
        <v>EUR</v>
      </c>
      <c r="N489" s="84">
        <f>VLOOKUP(Main_Presentation[[#This Row],[LC Number]],Main_Issuance[],12,0)</f>
        <v>50762045.400000006</v>
      </c>
      <c r="O489" s="16" t="s">
        <v>20</v>
      </c>
      <c r="P489" s="16" t="s">
        <v>857</v>
      </c>
      <c r="Q489" s="131">
        <v>851617.66</v>
      </c>
      <c r="R489" s="18">
        <v>4.5848000064688499</v>
      </c>
      <c r="S489" s="18">
        <f>Main_Presentation[[#This Row],[Invoice Amt (FCY)]]*Main_Presentation[[#This Row],[Rate]]</f>
        <v>3904496.6530769868</v>
      </c>
      <c r="T489" s="15">
        <v>45398</v>
      </c>
      <c r="U489" s="26" t="str">
        <f>VLOOKUP(Main_Presentation[[#This Row],[LC Number]],Main_Issuance[],18,0)</f>
        <v>30 days from the date of comm. inv.</v>
      </c>
      <c r="V489" s="19" t="s">
        <v>213</v>
      </c>
      <c r="W489" s="22" t="s">
        <v>857</v>
      </c>
      <c r="X489" s="16"/>
      <c r="Y489" s="234" t="str">
        <f>TRIM(LEFT(Main_Presentation[[#This Row],[Payment Terms]],3))</f>
        <v>30</v>
      </c>
      <c r="Z489" s="16"/>
      <c r="AA489" s="316" cm="1">
        <f t="array" ref="AA489">Settlement(Main_Presentation[[#This Row],[Bank]],Main_Presentation[[#This Row],[ Invoice Amt (SAR)]],Main_Presentation[[#This Row],[Date Recd]],Main_Presentation[[#This Row],[Due Date]],Main_Presentation[[#This Row],[Days]])</f>
        <v>230</v>
      </c>
      <c r="AB489" s="16"/>
    </row>
    <row r="490" spans="1:28" ht="15.75" hidden="1" x14ac:dyDescent="0.25">
      <c r="A490" s="14" t="s">
        <v>306</v>
      </c>
      <c r="B490" s="15">
        <v>45393</v>
      </c>
      <c r="C490" s="26">
        <v>58</v>
      </c>
      <c r="D490" s="55" t="str">
        <f>VLOOKUP(Main_Presentation[[#This Row],[LC Number]],Main_Issuance[],3,0)</f>
        <v>Dipu Sir</v>
      </c>
      <c r="E490" s="16" t="s">
        <v>856</v>
      </c>
      <c r="F490" s="17" t="str">
        <f>VLOOKUP(Main_Presentation[[#This Row],[LC Number]],Main_Issuance[],5,0)</f>
        <v>Riyad</v>
      </c>
      <c r="G490" s="17" t="str">
        <f>VLOOKUP(Main_Presentation[[#This Row],[LC Number]],Main_Issuance[],6,0)</f>
        <v>Cash</v>
      </c>
      <c r="H490" s="17" t="str">
        <f>VLOOKUP(Main_Presentation[[#This Row],[LC Number]],Main_Issuance[],17,0)</f>
        <v>Cash</v>
      </c>
      <c r="I490" s="17" t="str">
        <f>VLOOKUP(Main_Presentation[[#This Row],[LC Number]],Main_Issuance[],7,0)</f>
        <v>ATELIER HOSPITALITY SRL</v>
      </c>
      <c r="J490" s="17" t="str">
        <f>VLOOKUP(Main_Presentation[[#This Row],[LC Number]],Main_Issuance[],8,0)</f>
        <v>MBL</v>
      </c>
      <c r="K490" s="17" t="str">
        <f>VLOOKUP(Main_Presentation[[#This Row],[LC Number]],Main_Issuance[],9,0)</f>
        <v>L01-YAMMAMA</v>
      </c>
      <c r="L490" s="17">
        <f>VLOOKUP(Main_Presentation[[#This Row],[LC Number]],Main_Issuance[],10,0)</f>
        <v>1020015</v>
      </c>
      <c r="M490" s="17" t="str">
        <f>VLOOKUP(Main_Presentation[[#This Row],[LC Number]],Main_Issuance[],11,0)</f>
        <v>EUR</v>
      </c>
      <c r="N490" s="84">
        <f>VLOOKUP(Main_Presentation[[#This Row],[LC Number]],Main_Issuance[],12,0)</f>
        <v>50762045.400000006</v>
      </c>
      <c r="O490" s="16" t="s">
        <v>20</v>
      </c>
      <c r="P490" s="16" t="s">
        <v>857</v>
      </c>
      <c r="Q490" s="131">
        <v>958027.06</v>
      </c>
      <c r="R490" s="18">
        <v>4.5848000064688499</v>
      </c>
      <c r="S490" s="18">
        <f>Main_Presentation[[#This Row],[Invoice Amt (FCY)]]*Main_Presentation[[#This Row],[Rate]]</f>
        <v>4392362.4708853336</v>
      </c>
      <c r="T490" s="15">
        <v>45404</v>
      </c>
      <c r="U490" s="26" t="str">
        <f>VLOOKUP(Main_Presentation[[#This Row],[LC Number]],Main_Issuance[],18,0)</f>
        <v>30 days from the date of comm. inv.</v>
      </c>
      <c r="V490" s="19" t="s">
        <v>213</v>
      </c>
      <c r="W490" s="22" t="s">
        <v>857</v>
      </c>
      <c r="X490" s="16"/>
      <c r="Y490" s="234" t="str">
        <f>TRIM(LEFT(Main_Presentation[[#This Row],[Payment Terms]],3))</f>
        <v>30</v>
      </c>
      <c r="Z490" s="16"/>
      <c r="AA490" s="316" cm="1">
        <f t="array" ref="AA490">Settlement(Main_Presentation[[#This Row],[Bank]],Main_Presentation[[#This Row],[ Invoice Amt (SAR)]],Main_Presentation[[#This Row],[Date Recd]],Main_Presentation[[#This Row],[Due Date]],Main_Presentation[[#This Row],[Days]])</f>
        <v>230</v>
      </c>
      <c r="AB490" s="16"/>
    </row>
    <row r="491" spans="1:28" ht="15.75" hidden="1" x14ac:dyDescent="0.25">
      <c r="A491" s="14" t="s">
        <v>306</v>
      </c>
      <c r="B491" s="15">
        <v>45393</v>
      </c>
      <c r="C491" s="26">
        <v>59</v>
      </c>
      <c r="D491" s="55" t="str">
        <f>VLOOKUP(Main_Presentation[[#This Row],[LC Number]],Main_Issuance[],3,0)</f>
        <v>Dipu Sir</v>
      </c>
      <c r="E491" s="16" t="s">
        <v>856</v>
      </c>
      <c r="F491" s="17" t="str">
        <f>VLOOKUP(Main_Presentation[[#This Row],[LC Number]],Main_Issuance[],5,0)</f>
        <v>Riyad</v>
      </c>
      <c r="G491" s="17" t="str">
        <f>VLOOKUP(Main_Presentation[[#This Row],[LC Number]],Main_Issuance[],6,0)</f>
        <v>Cash</v>
      </c>
      <c r="H491" s="17" t="str">
        <f>VLOOKUP(Main_Presentation[[#This Row],[LC Number]],Main_Issuance[],17,0)</f>
        <v>Cash</v>
      </c>
      <c r="I491" s="17" t="str">
        <f>VLOOKUP(Main_Presentation[[#This Row],[LC Number]],Main_Issuance[],7,0)</f>
        <v>ATELIER HOSPITALITY SRL</v>
      </c>
      <c r="J491" s="17" t="str">
        <f>VLOOKUP(Main_Presentation[[#This Row],[LC Number]],Main_Issuance[],8,0)</f>
        <v>MBL</v>
      </c>
      <c r="K491" s="17" t="str">
        <f>VLOOKUP(Main_Presentation[[#This Row],[LC Number]],Main_Issuance[],9,0)</f>
        <v>L01-YAMMAMA</v>
      </c>
      <c r="L491" s="17">
        <f>VLOOKUP(Main_Presentation[[#This Row],[LC Number]],Main_Issuance[],10,0)</f>
        <v>1020015</v>
      </c>
      <c r="M491" s="17" t="str">
        <f>VLOOKUP(Main_Presentation[[#This Row],[LC Number]],Main_Issuance[],11,0)</f>
        <v>EUR</v>
      </c>
      <c r="N491" s="84">
        <f>VLOOKUP(Main_Presentation[[#This Row],[LC Number]],Main_Issuance[],12,0)</f>
        <v>50762045.400000006</v>
      </c>
      <c r="O491" s="16" t="s">
        <v>20</v>
      </c>
      <c r="P491" s="16" t="s">
        <v>857</v>
      </c>
      <c r="Q491" s="131">
        <v>431495.06</v>
      </c>
      <c r="R491" s="18">
        <v>4.5848000064688499</v>
      </c>
      <c r="S491" s="18">
        <f>Main_Presentation[[#This Row],[Invoice Amt (FCY)]]*Main_Presentation[[#This Row],[Rate]]</f>
        <v>1978318.5538792768</v>
      </c>
      <c r="T491" s="15">
        <v>45404</v>
      </c>
      <c r="U491" s="26" t="str">
        <f>VLOOKUP(Main_Presentation[[#This Row],[LC Number]],Main_Issuance[],18,0)</f>
        <v>30 days from the date of comm. inv.</v>
      </c>
      <c r="V491" s="19" t="s">
        <v>213</v>
      </c>
      <c r="W491" s="22" t="s">
        <v>857</v>
      </c>
      <c r="X491" s="16"/>
      <c r="Y491" s="234" t="str">
        <f>TRIM(LEFT(Main_Presentation[[#This Row],[Payment Terms]],3))</f>
        <v>30</v>
      </c>
      <c r="Z491" s="16"/>
      <c r="AA491" s="316" cm="1">
        <f t="array" ref="AA491">Settlement(Main_Presentation[[#This Row],[Bank]],Main_Presentation[[#This Row],[ Invoice Amt (SAR)]],Main_Presentation[[#This Row],[Date Recd]],Main_Presentation[[#This Row],[Due Date]],Main_Presentation[[#This Row],[Days]])</f>
        <v>230</v>
      </c>
      <c r="AB491" s="16"/>
    </row>
    <row r="492" spans="1:28" ht="15.75" hidden="1" x14ac:dyDescent="0.25">
      <c r="A492" s="14" t="s">
        <v>306</v>
      </c>
      <c r="B492" s="15">
        <v>45398</v>
      </c>
      <c r="C492" s="26">
        <v>60</v>
      </c>
      <c r="D492" s="55" t="str">
        <f>VLOOKUP(Main_Presentation[[#This Row],[LC Number]],Main_Issuance[],3,0)</f>
        <v>Dipu Sir</v>
      </c>
      <c r="E492" s="16" t="s">
        <v>856</v>
      </c>
      <c r="F492" s="17" t="str">
        <f>VLOOKUP(Main_Presentation[[#This Row],[LC Number]],Main_Issuance[],5,0)</f>
        <v>Riyad</v>
      </c>
      <c r="G492" s="17" t="str">
        <f>VLOOKUP(Main_Presentation[[#This Row],[LC Number]],Main_Issuance[],6,0)</f>
        <v>Cash</v>
      </c>
      <c r="H492" s="17" t="str">
        <f>VLOOKUP(Main_Presentation[[#This Row],[LC Number]],Main_Issuance[],17,0)</f>
        <v>Cash</v>
      </c>
      <c r="I492" s="17" t="str">
        <f>VLOOKUP(Main_Presentation[[#This Row],[LC Number]],Main_Issuance[],7,0)</f>
        <v>ATELIER HOSPITALITY SRL</v>
      </c>
      <c r="J492" s="17" t="str">
        <f>VLOOKUP(Main_Presentation[[#This Row],[LC Number]],Main_Issuance[],8,0)</f>
        <v>MBL</v>
      </c>
      <c r="K492" s="17" t="str">
        <f>VLOOKUP(Main_Presentation[[#This Row],[LC Number]],Main_Issuance[],9,0)</f>
        <v>L01-YAMMAMA</v>
      </c>
      <c r="L492" s="17">
        <f>VLOOKUP(Main_Presentation[[#This Row],[LC Number]],Main_Issuance[],10,0)</f>
        <v>1020015</v>
      </c>
      <c r="M492" s="17" t="str">
        <f>VLOOKUP(Main_Presentation[[#This Row],[LC Number]],Main_Issuance[],11,0)</f>
        <v>EUR</v>
      </c>
      <c r="N492" s="84">
        <f>VLOOKUP(Main_Presentation[[#This Row],[LC Number]],Main_Issuance[],12,0)</f>
        <v>50762045.400000006</v>
      </c>
      <c r="O492" s="16" t="s">
        <v>20</v>
      </c>
      <c r="P492" s="16" t="s">
        <v>857</v>
      </c>
      <c r="Q492" s="131">
        <v>405615.09</v>
      </c>
      <c r="R492" s="18">
        <v>4.5848000064688499</v>
      </c>
      <c r="S492" s="18">
        <f>Main_Presentation[[#This Row],[Invoice Amt (FCY)]]*Main_Presentation[[#This Row],[Rate]]</f>
        <v>1859664.0672558632</v>
      </c>
      <c r="T492" s="15">
        <v>45406</v>
      </c>
      <c r="U492" s="26" t="str">
        <f>VLOOKUP(Main_Presentation[[#This Row],[LC Number]],Main_Issuance[],18,0)</f>
        <v>30 days from the date of comm. inv.</v>
      </c>
      <c r="V492" s="19" t="s">
        <v>213</v>
      </c>
      <c r="W492" s="22" t="s">
        <v>857</v>
      </c>
      <c r="X492" s="16"/>
      <c r="Y492" s="234" t="str">
        <f>TRIM(LEFT(Main_Presentation[[#This Row],[Payment Terms]],3))</f>
        <v>30</v>
      </c>
      <c r="Z492" s="16"/>
      <c r="AA492" s="316" cm="1">
        <f t="array" ref="AA492">Settlement(Main_Presentation[[#This Row],[Bank]],Main_Presentation[[#This Row],[ Invoice Amt (SAR)]],Main_Presentation[[#This Row],[Date Recd]],Main_Presentation[[#This Row],[Due Date]],Main_Presentation[[#This Row],[Days]])</f>
        <v>230</v>
      </c>
      <c r="AB492" s="16"/>
    </row>
    <row r="493" spans="1:28" ht="15.75" hidden="1" x14ac:dyDescent="0.25">
      <c r="A493" s="14" t="s">
        <v>306</v>
      </c>
      <c r="B493" s="15">
        <v>45398</v>
      </c>
      <c r="C493" s="26">
        <v>61</v>
      </c>
      <c r="D493" s="55" t="str">
        <f>VLOOKUP(Main_Presentation[[#This Row],[LC Number]],Main_Issuance[],3,0)</f>
        <v>Dipu Sir</v>
      </c>
      <c r="E493" s="16" t="s">
        <v>856</v>
      </c>
      <c r="F493" s="17" t="str">
        <f>VLOOKUP(Main_Presentation[[#This Row],[LC Number]],Main_Issuance[],5,0)</f>
        <v>Riyad</v>
      </c>
      <c r="G493" s="17" t="str">
        <f>VLOOKUP(Main_Presentation[[#This Row],[LC Number]],Main_Issuance[],6,0)</f>
        <v>Cash</v>
      </c>
      <c r="H493" s="17" t="str">
        <f>VLOOKUP(Main_Presentation[[#This Row],[LC Number]],Main_Issuance[],17,0)</f>
        <v>Cash</v>
      </c>
      <c r="I493" s="17" t="str">
        <f>VLOOKUP(Main_Presentation[[#This Row],[LC Number]],Main_Issuance[],7,0)</f>
        <v>ATELIER HOSPITALITY SRL</v>
      </c>
      <c r="J493" s="17" t="str">
        <f>VLOOKUP(Main_Presentation[[#This Row],[LC Number]],Main_Issuance[],8,0)</f>
        <v>MBL</v>
      </c>
      <c r="K493" s="17" t="str">
        <f>VLOOKUP(Main_Presentation[[#This Row],[LC Number]],Main_Issuance[],9,0)</f>
        <v>L01-YAMMAMA</v>
      </c>
      <c r="L493" s="17">
        <f>VLOOKUP(Main_Presentation[[#This Row],[LC Number]],Main_Issuance[],10,0)</f>
        <v>1020015</v>
      </c>
      <c r="M493" s="17" t="str">
        <f>VLOOKUP(Main_Presentation[[#This Row],[LC Number]],Main_Issuance[],11,0)</f>
        <v>EUR</v>
      </c>
      <c r="N493" s="84">
        <f>VLOOKUP(Main_Presentation[[#This Row],[LC Number]],Main_Issuance[],12,0)</f>
        <v>50762045.400000006</v>
      </c>
      <c r="O493" s="16" t="s">
        <v>20</v>
      </c>
      <c r="P493" s="16" t="s">
        <v>857</v>
      </c>
      <c r="Q493" s="131">
        <v>540720.81000000006</v>
      </c>
      <c r="R493" s="18">
        <v>4.5848000064688499</v>
      </c>
      <c r="S493" s="18">
        <f>Main_Presentation[[#This Row],[Invoice Amt (FCY)]]*Main_Presentation[[#This Row],[Rate]]</f>
        <v>2479096.7731858422</v>
      </c>
      <c r="T493" s="15">
        <v>45410</v>
      </c>
      <c r="U493" s="26" t="str">
        <f>VLOOKUP(Main_Presentation[[#This Row],[LC Number]],Main_Issuance[],18,0)</f>
        <v>30 days from the date of comm. inv.</v>
      </c>
      <c r="V493" s="19" t="s">
        <v>213</v>
      </c>
      <c r="W493" s="22" t="s">
        <v>857</v>
      </c>
      <c r="X493" s="16"/>
      <c r="Y493" s="234" t="str">
        <f>TRIM(LEFT(Main_Presentation[[#This Row],[Payment Terms]],3))</f>
        <v>30</v>
      </c>
      <c r="Z493" s="16"/>
      <c r="AA493" s="316" cm="1">
        <f t="array" ref="AA493">Settlement(Main_Presentation[[#This Row],[Bank]],Main_Presentation[[#This Row],[ Invoice Amt (SAR)]],Main_Presentation[[#This Row],[Date Recd]],Main_Presentation[[#This Row],[Due Date]],Main_Presentation[[#This Row],[Days]])</f>
        <v>230</v>
      </c>
      <c r="AB493" s="16"/>
    </row>
    <row r="494" spans="1:28" ht="15.75" hidden="1" x14ac:dyDescent="0.25">
      <c r="A494" s="14" t="s">
        <v>306</v>
      </c>
      <c r="B494" s="15">
        <v>45406</v>
      </c>
      <c r="C494" s="26">
        <v>62</v>
      </c>
      <c r="D494" s="55" t="str">
        <f>VLOOKUP(Main_Presentation[[#This Row],[LC Number]],Main_Issuance[],3,0)</f>
        <v>Dipu Sir</v>
      </c>
      <c r="E494" s="16" t="s">
        <v>856</v>
      </c>
      <c r="F494" s="17" t="str">
        <f>VLOOKUP(Main_Presentation[[#This Row],[LC Number]],Main_Issuance[],5,0)</f>
        <v>Riyad</v>
      </c>
      <c r="G494" s="17" t="str">
        <f>VLOOKUP(Main_Presentation[[#This Row],[LC Number]],Main_Issuance[],6,0)</f>
        <v>Cash</v>
      </c>
      <c r="H494" s="17" t="str">
        <f>VLOOKUP(Main_Presentation[[#This Row],[LC Number]],Main_Issuance[],17,0)</f>
        <v>Cash</v>
      </c>
      <c r="I494" s="17" t="str">
        <f>VLOOKUP(Main_Presentation[[#This Row],[LC Number]],Main_Issuance[],7,0)</f>
        <v>ATELIER HOSPITALITY SRL</v>
      </c>
      <c r="J494" s="17" t="str">
        <f>VLOOKUP(Main_Presentation[[#This Row],[LC Number]],Main_Issuance[],8,0)</f>
        <v>MBL</v>
      </c>
      <c r="K494" s="17" t="str">
        <f>VLOOKUP(Main_Presentation[[#This Row],[LC Number]],Main_Issuance[],9,0)</f>
        <v>L01-YAMMAMA</v>
      </c>
      <c r="L494" s="17">
        <f>VLOOKUP(Main_Presentation[[#This Row],[LC Number]],Main_Issuance[],10,0)</f>
        <v>1020015</v>
      </c>
      <c r="M494" s="17" t="str">
        <f>VLOOKUP(Main_Presentation[[#This Row],[LC Number]],Main_Issuance[],11,0)</f>
        <v>EUR</v>
      </c>
      <c r="N494" s="84">
        <f>VLOOKUP(Main_Presentation[[#This Row],[LC Number]],Main_Issuance[],12,0)</f>
        <v>50762045.400000006</v>
      </c>
      <c r="O494" s="16" t="s">
        <v>20</v>
      </c>
      <c r="P494" s="16" t="s">
        <v>857</v>
      </c>
      <c r="Q494" s="131">
        <v>756730.07</v>
      </c>
      <c r="R494" s="18">
        <v>4.5848000064688499</v>
      </c>
      <c r="S494" s="18">
        <f>Main_Presentation[[#This Row],[Invoice Amt (FCY)]]*Main_Presentation[[#This Row],[Rate]]</f>
        <v>3469456.0298311729</v>
      </c>
      <c r="T494" s="15">
        <v>45407</v>
      </c>
      <c r="U494" s="26" t="str">
        <f>VLOOKUP(Main_Presentation[[#This Row],[LC Number]],Main_Issuance[],18,0)</f>
        <v>30 days from the date of comm. inv.</v>
      </c>
      <c r="V494" s="19" t="s">
        <v>213</v>
      </c>
      <c r="W494" s="18" t="s">
        <v>857</v>
      </c>
      <c r="X494" s="16"/>
      <c r="Y494" s="234" t="str">
        <f>TRIM(LEFT(Main_Presentation[[#This Row],[Payment Terms]],3))</f>
        <v>30</v>
      </c>
      <c r="Z494" s="16"/>
      <c r="AA494" s="316" cm="1">
        <f t="array" ref="AA494">Settlement(Main_Presentation[[#This Row],[Bank]],Main_Presentation[[#This Row],[ Invoice Amt (SAR)]],Main_Presentation[[#This Row],[Date Recd]],Main_Presentation[[#This Row],[Due Date]],Main_Presentation[[#This Row],[Days]])</f>
        <v>230</v>
      </c>
      <c r="AB494" s="16"/>
    </row>
    <row r="495" spans="1:28" ht="15.75" hidden="1" x14ac:dyDescent="0.25">
      <c r="A495" s="14" t="s">
        <v>306</v>
      </c>
      <c r="B495" s="15">
        <v>45412</v>
      </c>
      <c r="C495" s="26">
        <v>63</v>
      </c>
      <c r="D495" s="55" t="str">
        <f>VLOOKUP(Main_Presentation[[#This Row],[LC Number]],Main_Issuance[],3,0)</f>
        <v>Dipu Sir</v>
      </c>
      <c r="E495" s="16" t="s">
        <v>856</v>
      </c>
      <c r="F495" s="17" t="str">
        <f>VLOOKUP(Main_Presentation[[#This Row],[LC Number]],Main_Issuance[],5,0)</f>
        <v>Riyad</v>
      </c>
      <c r="G495" s="17" t="str">
        <f>VLOOKUP(Main_Presentation[[#This Row],[LC Number]],Main_Issuance[],6,0)</f>
        <v>Cash</v>
      </c>
      <c r="H495" s="17" t="str">
        <f>VLOOKUP(Main_Presentation[[#This Row],[LC Number]],Main_Issuance[],17,0)</f>
        <v>Cash</v>
      </c>
      <c r="I495" s="17" t="str">
        <f>VLOOKUP(Main_Presentation[[#This Row],[LC Number]],Main_Issuance[],7,0)</f>
        <v>ATELIER HOSPITALITY SRL</v>
      </c>
      <c r="J495" s="17" t="str">
        <f>VLOOKUP(Main_Presentation[[#This Row],[LC Number]],Main_Issuance[],8,0)</f>
        <v>MBL</v>
      </c>
      <c r="K495" s="17" t="str">
        <f>VLOOKUP(Main_Presentation[[#This Row],[LC Number]],Main_Issuance[],9,0)</f>
        <v>L01-YAMMAMA</v>
      </c>
      <c r="L495" s="17">
        <f>VLOOKUP(Main_Presentation[[#This Row],[LC Number]],Main_Issuance[],10,0)</f>
        <v>1020015</v>
      </c>
      <c r="M495" s="17" t="str">
        <f>VLOOKUP(Main_Presentation[[#This Row],[LC Number]],Main_Issuance[],11,0)</f>
        <v>EUR</v>
      </c>
      <c r="N495" s="84">
        <f>VLOOKUP(Main_Presentation[[#This Row],[LC Number]],Main_Issuance[],12,0)</f>
        <v>50762045.400000006</v>
      </c>
      <c r="O495" s="16" t="s">
        <v>20</v>
      </c>
      <c r="P495" s="16" t="s">
        <v>857</v>
      </c>
      <c r="Q495" s="131">
        <v>1817488.61</v>
      </c>
      <c r="R495" s="18">
        <v>4.5848000064688499</v>
      </c>
      <c r="S495" s="18">
        <f>Main_Presentation[[#This Row],[Invoice Amt (FCY)]]*Main_Presentation[[#This Row],[Rate]]</f>
        <v>8332821.790885061</v>
      </c>
      <c r="T495" s="15">
        <v>45421</v>
      </c>
      <c r="U495" s="26" t="str">
        <f>VLOOKUP(Main_Presentation[[#This Row],[LC Number]],Main_Issuance[],18,0)</f>
        <v>30 days from the date of comm. inv.</v>
      </c>
      <c r="V495" s="19" t="s">
        <v>213</v>
      </c>
      <c r="W495" s="18" t="s">
        <v>857</v>
      </c>
      <c r="X495" s="16"/>
      <c r="Y495" s="234" t="str">
        <f>TRIM(LEFT(Main_Presentation[[#This Row],[Payment Terms]],3))</f>
        <v>30</v>
      </c>
      <c r="Z495" s="16"/>
      <c r="AA495" s="316" cm="1">
        <f t="array" ref="AA495">Settlement(Main_Presentation[[#This Row],[Bank]],Main_Presentation[[#This Row],[ Invoice Amt (SAR)]],Main_Presentation[[#This Row],[Date Recd]],Main_Presentation[[#This Row],[Due Date]],Main_Presentation[[#This Row],[Days]])</f>
        <v>230</v>
      </c>
      <c r="AB495" s="16"/>
    </row>
    <row r="496" spans="1:28" ht="15.75" hidden="1" x14ac:dyDescent="0.25">
      <c r="A496" s="14" t="s">
        <v>306</v>
      </c>
      <c r="B496" s="15">
        <v>45418</v>
      </c>
      <c r="C496" s="26">
        <v>64</v>
      </c>
      <c r="D496" s="55" t="str">
        <f>VLOOKUP(Main_Presentation[[#This Row],[LC Number]],Main_Issuance[],3,0)</f>
        <v>Dipu Sir</v>
      </c>
      <c r="E496" s="16" t="s">
        <v>856</v>
      </c>
      <c r="F496" s="17" t="str">
        <f>VLOOKUP(Main_Presentation[[#This Row],[LC Number]],Main_Issuance[],5,0)</f>
        <v>Riyad</v>
      </c>
      <c r="G496" s="17" t="str">
        <f>VLOOKUP(Main_Presentation[[#This Row],[LC Number]],Main_Issuance[],6,0)</f>
        <v>Cash</v>
      </c>
      <c r="H496" s="17" t="str">
        <f>VLOOKUP(Main_Presentation[[#This Row],[LC Number]],Main_Issuance[],17,0)</f>
        <v>Cash</v>
      </c>
      <c r="I496" s="17" t="str">
        <f>VLOOKUP(Main_Presentation[[#This Row],[LC Number]],Main_Issuance[],7,0)</f>
        <v>ATELIER HOSPITALITY SRL</v>
      </c>
      <c r="J496" s="17" t="str">
        <f>VLOOKUP(Main_Presentation[[#This Row],[LC Number]],Main_Issuance[],8,0)</f>
        <v>MBL</v>
      </c>
      <c r="K496" s="17" t="str">
        <f>VLOOKUP(Main_Presentation[[#This Row],[LC Number]],Main_Issuance[],9,0)</f>
        <v>L01-YAMMAMA</v>
      </c>
      <c r="L496" s="17">
        <f>VLOOKUP(Main_Presentation[[#This Row],[LC Number]],Main_Issuance[],10,0)</f>
        <v>1020015</v>
      </c>
      <c r="M496" s="17" t="str">
        <f>VLOOKUP(Main_Presentation[[#This Row],[LC Number]],Main_Issuance[],11,0)</f>
        <v>EUR</v>
      </c>
      <c r="N496" s="84">
        <f>VLOOKUP(Main_Presentation[[#This Row],[LC Number]],Main_Issuance[],12,0)</f>
        <v>50762045.400000006</v>
      </c>
      <c r="O496" s="16" t="s">
        <v>20</v>
      </c>
      <c r="P496" s="16" t="s">
        <v>857</v>
      </c>
      <c r="Q496" s="131">
        <v>54263.39</v>
      </c>
      <c r="R496" s="18">
        <v>4.5848000064688499</v>
      </c>
      <c r="S496" s="18">
        <f>Main_Presentation[[#This Row],[Invoice Amt (FCY)]]*Main_Presentation[[#This Row],[Rate]]</f>
        <v>248786.79082302173</v>
      </c>
      <c r="T496" s="15">
        <v>45439</v>
      </c>
      <c r="U496" s="26" t="str">
        <f>VLOOKUP(Main_Presentation[[#This Row],[LC Number]],Main_Issuance[],18,0)</f>
        <v>30 days from the date of comm. inv.</v>
      </c>
      <c r="V496" s="19" t="s">
        <v>213</v>
      </c>
      <c r="W496" s="18" t="s">
        <v>857</v>
      </c>
      <c r="X496" s="16"/>
      <c r="Y496" s="234" t="str">
        <f>TRIM(LEFT(Main_Presentation[[#This Row],[Payment Terms]],3))</f>
        <v>30</v>
      </c>
      <c r="Z496" s="16"/>
      <c r="AA496" s="316" cm="1">
        <f t="array" ref="AA496">Settlement(Main_Presentation[[#This Row],[Bank]],Main_Presentation[[#This Row],[ Invoice Amt (SAR)]],Main_Presentation[[#This Row],[Date Recd]],Main_Presentation[[#This Row],[Due Date]],Main_Presentation[[#This Row],[Days]])</f>
        <v>357.65</v>
      </c>
      <c r="AB496" s="16"/>
    </row>
    <row r="497" spans="1:28" ht="15.75" hidden="1" x14ac:dyDescent="0.25">
      <c r="A497" s="14" t="s">
        <v>306</v>
      </c>
      <c r="B497" s="15">
        <v>45418</v>
      </c>
      <c r="C497" s="26">
        <v>65</v>
      </c>
      <c r="D497" s="55" t="str">
        <f>VLOOKUP(Main_Presentation[[#This Row],[LC Number]],Main_Issuance[],3,0)</f>
        <v>Dipu Sir</v>
      </c>
      <c r="E497" s="16" t="s">
        <v>856</v>
      </c>
      <c r="F497" s="17" t="str">
        <f>VLOOKUP(Main_Presentation[[#This Row],[LC Number]],Main_Issuance[],5,0)</f>
        <v>Riyad</v>
      </c>
      <c r="G497" s="17" t="str">
        <f>VLOOKUP(Main_Presentation[[#This Row],[LC Number]],Main_Issuance[],6,0)</f>
        <v>Cash</v>
      </c>
      <c r="H497" s="17" t="str">
        <f>VLOOKUP(Main_Presentation[[#This Row],[LC Number]],Main_Issuance[],17,0)</f>
        <v>Cash</v>
      </c>
      <c r="I497" s="17" t="str">
        <f>VLOOKUP(Main_Presentation[[#This Row],[LC Number]],Main_Issuance[],7,0)</f>
        <v>ATELIER HOSPITALITY SRL</v>
      </c>
      <c r="J497" s="17" t="str">
        <f>VLOOKUP(Main_Presentation[[#This Row],[LC Number]],Main_Issuance[],8,0)</f>
        <v>MBL</v>
      </c>
      <c r="K497" s="17" t="str">
        <f>VLOOKUP(Main_Presentation[[#This Row],[LC Number]],Main_Issuance[],9,0)</f>
        <v>L01-YAMMAMA</v>
      </c>
      <c r="L497" s="17">
        <f>VLOOKUP(Main_Presentation[[#This Row],[LC Number]],Main_Issuance[],10,0)</f>
        <v>1020015</v>
      </c>
      <c r="M497" s="17" t="str">
        <f>VLOOKUP(Main_Presentation[[#This Row],[LC Number]],Main_Issuance[],11,0)</f>
        <v>EUR</v>
      </c>
      <c r="N497" s="84">
        <f>VLOOKUP(Main_Presentation[[#This Row],[LC Number]],Main_Issuance[],12,0)</f>
        <v>50762045.400000006</v>
      </c>
      <c r="O497" s="16" t="s">
        <v>20</v>
      </c>
      <c r="P497" s="16" t="s">
        <v>857</v>
      </c>
      <c r="Q497" s="131">
        <v>252716.15</v>
      </c>
      <c r="R497" s="18">
        <v>4.5848000064688499</v>
      </c>
      <c r="S497" s="18">
        <f>Main_Presentation[[#This Row],[Invoice Amt (FCY)]]*Main_Presentation[[#This Row],[Rate]]</f>
        <v>1158653.0061547828</v>
      </c>
      <c r="T497" s="15">
        <v>45435</v>
      </c>
      <c r="U497" s="26" t="str">
        <f>VLOOKUP(Main_Presentation[[#This Row],[LC Number]],Main_Issuance[],18,0)</f>
        <v>30 days from the date of comm. inv.</v>
      </c>
      <c r="V497" s="19" t="s">
        <v>213</v>
      </c>
      <c r="W497" s="18" t="s">
        <v>857</v>
      </c>
      <c r="X497" s="16"/>
      <c r="Y497" s="234" t="str">
        <f>TRIM(LEFT(Main_Presentation[[#This Row],[Payment Terms]],3))</f>
        <v>30</v>
      </c>
      <c r="Z497" s="16"/>
      <c r="AA497" s="316" cm="1">
        <f t="array" ref="AA497">Settlement(Main_Presentation[[#This Row],[Bank]],Main_Presentation[[#This Row],[ Invoice Amt (SAR)]],Main_Presentation[[#This Row],[Date Recd]],Main_Presentation[[#This Row],[Due Date]],Main_Presentation[[#This Row],[Days]])</f>
        <v>1665.2</v>
      </c>
      <c r="AB497" s="16"/>
    </row>
    <row r="498" spans="1:28" ht="15.75" hidden="1" x14ac:dyDescent="0.25">
      <c r="A498" s="14" t="s">
        <v>306</v>
      </c>
      <c r="B498" s="15">
        <v>45425</v>
      </c>
      <c r="C498" s="26">
        <v>66</v>
      </c>
      <c r="D498" s="55" t="str">
        <f>VLOOKUP(Main_Presentation[[#This Row],[LC Number]],Main_Issuance[],3,0)</f>
        <v>Dipu Sir</v>
      </c>
      <c r="E498" s="16" t="s">
        <v>856</v>
      </c>
      <c r="F498" s="17" t="str">
        <f>VLOOKUP(Main_Presentation[[#This Row],[LC Number]],Main_Issuance[],5,0)</f>
        <v>Riyad</v>
      </c>
      <c r="G498" s="17" t="str">
        <f>VLOOKUP(Main_Presentation[[#This Row],[LC Number]],Main_Issuance[],6,0)</f>
        <v>Cash</v>
      </c>
      <c r="H498" s="17" t="str">
        <f>VLOOKUP(Main_Presentation[[#This Row],[LC Number]],Main_Issuance[],17,0)</f>
        <v>Cash</v>
      </c>
      <c r="I498" s="17" t="str">
        <f>VLOOKUP(Main_Presentation[[#This Row],[LC Number]],Main_Issuance[],7,0)</f>
        <v>ATELIER HOSPITALITY SRL</v>
      </c>
      <c r="J498" s="17" t="str">
        <f>VLOOKUP(Main_Presentation[[#This Row],[LC Number]],Main_Issuance[],8,0)</f>
        <v>MBL</v>
      </c>
      <c r="K498" s="17" t="str">
        <f>VLOOKUP(Main_Presentation[[#This Row],[LC Number]],Main_Issuance[],9,0)</f>
        <v>L01-YAMMAMA</v>
      </c>
      <c r="L498" s="17">
        <f>VLOOKUP(Main_Presentation[[#This Row],[LC Number]],Main_Issuance[],10,0)</f>
        <v>1020015</v>
      </c>
      <c r="M498" s="17" t="str">
        <f>VLOOKUP(Main_Presentation[[#This Row],[LC Number]],Main_Issuance[],11,0)</f>
        <v>EUR</v>
      </c>
      <c r="N498" s="84">
        <f>VLOOKUP(Main_Presentation[[#This Row],[LC Number]],Main_Issuance[],12,0)</f>
        <v>50762045.400000006</v>
      </c>
      <c r="O498" s="16" t="s">
        <v>20</v>
      </c>
      <c r="P498" s="16" t="s">
        <v>857</v>
      </c>
      <c r="Q498" s="131">
        <v>236446.64</v>
      </c>
      <c r="R498" s="18">
        <v>4.5848000064688499</v>
      </c>
      <c r="S498" s="18">
        <f>Main_Presentation[[#This Row],[Invoice Amt (FCY)]]*Main_Presentation[[#This Row],[Rate]]</f>
        <v>1084060.5566015379</v>
      </c>
      <c r="T498" s="15">
        <v>45441</v>
      </c>
      <c r="U498" s="26" t="str">
        <f>VLOOKUP(Main_Presentation[[#This Row],[LC Number]],Main_Issuance[],18,0)</f>
        <v>30 days from the date of comm. inv.</v>
      </c>
      <c r="V498" s="19" t="s">
        <v>213</v>
      </c>
      <c r="W498" s="18" t="s">
        <v>857</v>
      </c>
      <c r="X498" s="16"/>
      <c r="Y498" s="234" t="str">
        <f>TRIM(LEFT(Main_Presentation[[#This Row],[Payment Terms]],3))</f>
        <v>30</v>
      </c>
      <c r="Z498" s="16"/>
      <c r="AA498" s="316" cm="1">
        <f t="array" ref="AA498">Settlement(Main_Presentation[[#This Row],[Bank]],Main_Presentation[[#This Row],[ Invoice Amt (SAR)]],Main_Presentation[[#This Row],[Date Recd]],Main_Presentation[[#This Row],[Due Date]],Main_Presentation[[#This Row],[Days]])</f>
        <v>1558.25</v>
      </c>
      <c r="AB498" s="16"/>
    </row>
    <row r="499" spans="1:28" ht="15.75" hidden="1" x14ac:dyDescent="0.25">
      <c r="A499" s="14" t="s">
        <v>306</v>
      </c>
      <c r="B499" s="15">
        <v>45432</v>
      </c>
      <c r="C499" s="26">
        <v>68</v>
      </c>
      <c r="D499" s="55" t="str">
        <f>VLOOKUP(Main_Presentation[[#This Row],[LC Number]],Main_Issuance[],3,0)</f>
        <v>Dipu Sir</v>
      </c>
      <c r="E499" s="16" t="s">
        <v>856</v>
      </c>
      <c r="F499" s="17" t="str">
        <f>VLOOKUP(Main_Presentation[[#This Row],[LC Number]],Main_Issuance[],5,0)</f>
        <v>Riyad</v>
      </c>
      <c r="G499" s="17" t="str">
        <f>VLOOKUP(Main_Presentation[[#This Row],[LC Number]],Main_Issuance[],6,0)</f>
        <v>Cash</v>
      </c>
      <c r="H499" s="17" t="str">
        <f>VLOOKUP(Main_Presentation[[#This Row],[LC Number]],Main_Issuance[],17,0)</f>
        <v>Cash</v>
      </c>
      <c r="I499" s="17" t="str">
        <f>VLOOKUP(Main_Presentation[[#This Row],[LC Number]],Main_Issuance[],7,0)</f>
        <v>ATELIER HOSPITALITY SRL</v>
      </c>
      <c r="J499" s="17" t="str">
        <f>VLOOKUP(Main_Presentation[[#This Row],[LC Number]],Main_Issuance[],8,0)</f>
        <v>MBL</v>
      </c>
      <c r="K499" s="17" t="str">
        <f>VLOOKUP(Main_Presentation[[#This Row],[LC Number]],Main_Issuance[],9,0)</f>
        <v>L01-YAMMAMA</v>
      </c>
      <c r="L499" s="17">
        <f>VLOOKUP(Main_Presentation[[#This Row],[LC Number]],Main_Issuance[],10,0)</f>
        <v>1020015</v>
      </c>
      <c r="M499" s="17" t="str">
        <f>VLOOKUP(Main_Presentation[[#This Row],[LC Number]],Main_Issuance[],11,0)</f>
        <v>EUR</v>
      </c>
      <c r="N499" s="84">
        <f>VLOOKUP(Main_Presentation[[#This Row],[LC Number]],Main_Issuance[],12,0)</f>
        <v>50762045.400000006</v>
      </c>
      <c r="O499" s="16" t="s">
        <v>20</v>
      </c>
      <c r="P499" s="16" t="s">
        <v>857</v>
      </c>
      <c r="Q499" s="131">
        <v>718612.74</v>
      </c>
      <c r="R499" s="18">
        <v>4.5848000064688499</v>
      </c>
      <c r="S499" s="18">
        <f>Main_Presentation[[#This Row],[Invoice Amt (FCY)]]*Main_Presentation[[#This Row],[Rate]]</f>
        <v>3294695.6950005977</v>
      </c>
      <c r="T499" s="15">
        <v>45442</v>
      </c>
      <c r="U499" s="26" t="str">
        <f>VLOOKUP(Main_Presentation[[#This Row],[LC Number]],Main_Issuance[],18,0)</f>
        <v>30 days from the date of comm. inv.</v>
      </c>
      <c r="V499" s="19" t="s">
        <v>213</v>
      </c>
      <c r="W499" s="18" t="s">
        <v>857</v>
      </c>
      <c r="X499" s="16"/>
      <c r="Y499" s="234" t="str">
        <f>TRIM(LEFT(Main_Presentation[[#This Row],[Payment Terms]],3))</f>
        <v>30</v>
      </c>
      <c r="Z499" s="16"/>
      <c r="AA499" s="316" cm="1">
        <f t="array" ref="AA499">Settlement(Main_Presentation[[#This Row],[Bank]],Main_Presentation[[#This Row],[ Invoice Amt (SAR)]],Main_Presentation[[#This Row],[Date Recd]],Main_Presentation[[#This Row],[Due Date]],Main_Presentation[[#This Row],[Days]])</f>
        <v>230</v>
      </c>
      <c r="AB499" s="16"/>
    </row>
    <row r="500" spans="1:28" ht="15.75" hidden="1" x14ac:dyDescent="0.25">
      <c r="A500" s="14" t="s">
        <v>306</v>
      </c>
      <c r="B500" s="15">
        <v>45432</v>
      </c>
      <c r="C500" s="26">
        <v>69</v>
      </c>
      <c r="D500" s="55" t="str">
        <f>VLOOKUP(Main_Presentation[[#This Row],[LC Number]],Main_Issuance[],3,0)</f>
        <v>Dipu Sir</v>
      </c>
      <c r="E500" s="16" t="s">
        <v>856</v>
      </c>
      <c r="F500" s="17" t="str">
        <f>VLOOKUP(Main_Presentation[[#This Row],[LC Number]],Main_Issuance[],5,0)</f>
        <v>Riyad</v>
      </c>
      <c r="G500" s="17" t="str">
        <f>VLOOKUP(Main_Presentation[[#This Row],[LC Number]],Main_Issuance[],6,0)</f>
        <v>Cash</v>
      </c>
      <c r="H500" s="17" t="str">
        <f>VLOOKUP(Main_Presentation[[#This Row],[LC Number]],Main_Issuance[],17,0)</f>
        <v>Cash</v>
      </c>
      <c r="I500" s="17" t="str">
        <f>VLOOKUP(Main_Presentation[[#This Row],[LC Number]],Main_Issuance[],7,0)</f>
        <v>ATELIER HOSPITALITY SRL</v>
      </c>
      <c r="J500" s="17" t="str">
        <f>VLOOKUP(Main_Presentation[[#This Row],[LC Number]],Main_Issuance[],8,0)</f>
        <v>MBL</v>
      </c>
      <c r="K500" s="17" t="str">
        <f>VLOOKUP(Main_Presentation[[#This Row],[LC Number]],Main_Issuance[],9,0)</f>
        <v>L01-YAMMAMA</v>
      </c>
      <c r="L500" s="17">
        <f>VLOOKUP(Main_Presentation[[#This Row],[LC Number]],Main_Issuance[],10,0)</f>
        <v>1020015</v>
      </c>
      <c r="M500" s="17" t="str">
        <f>VLOOKUP(Main_Presentation[[#This Row],[LC Number]],Main_Issuance[],11,0)</f>
        <v>EUR</v>
      </c>
      <c r="N500" s="84">
        <f>VLOOKUP(Main_Presentation[[#This Row],[LC Number]],Main_Issuance[],12,0)</f>
        <v>50762045.400000006</v>
      </c>
      <c r="O500" s="16" t="s">
        <v>20</v>
      </c>
      <c r="P500" s="16" t="s">
        <v>857</v>
      </c>
      <c r="Q500" s="131">
        <v>22394.36</v>
      </c>
      <c r="R500" s="18">
        <v>4.5848000064688499</v>
      </c>
      <c r="S500" s="18">
        <f>Main_Presentation[[#This Row],[Invoice Amt (FCY)]]*Main_Presentation[[#This Row],[Rate]]</f>
        <v>102673.66187286575</v>
      </c>
      <c r="T500" s="15">
        <v>45442</v>
      </c>
      <c r="U500" s="26" t="str">
        <f>VLOOKUP(Main_Presentation[[#This Row],[LC Number]],Main_Issuance[],18,0)</f>
        <v>30 days from the date of comm. inv.</v>
      </c>
      <c r="V500" s="19" t="s">
        <v>213</v>
      </c>
      <c r="W500" s="18" t="s">
        <v>857</v>
      </c>
      <c r="X500" s="16"/>
      <c r="Y500" s="234" t="str">
        <f>TRIM(LEFT(Main_Presentation[[#This Row],[Payment Terms]],3))</f>
        <v>30</v>
      </c>
      <c r="Z500" s="16"/>
      <c r="AA500" s="316" cm="1">
        <f t="array" ref="AA500">Settlement(Main_Presentation[[#This Row],[Bank]],Main_Presentation[[#This Row],[ Invoice Amt (SAR)]],Main_Presentation[[#This Row],[Date Recd]],Main_Presentation[[#This Row],[Due Date]],Main_Presentation[[#This Row],[Days]])</f>
        <v>230</v>
      </c>
      <c r="AB500" s="16"/>
    </row>
    <row r="501" spans="1:28" ht="15.75" hidden="1" x14ac:dyDescent="0.25">
      <c r="A501" s="14" t="s">
        <v>306</v>
      </c>
      <c r="B501" s="15">
        <v>45442</v>
      </c>
      <c r="C501" s="26">
        <v>70</v>
      </c>
      <c r="D501" s="55" t="str">
        <f>VLOOKUP(Main_Presentation[[#This Row],[LC Number]],Main_Issuance[],3,0)</f>
        <v>Dipu Sir</v>
      </c>
      <c r="E501" s="16" t="s">
        <v>856</v>
      </c>
      <c r="F501" s="17" t="str">
        <f>VLOOKUP(Main_Presentation[[#This Row],[LC Number]],Main_Issuance[],5,0)</f>
        <v>Riyad</v>
      </c>
      <c r="G501" s="17" t="str">
        <f>VLOOKUP(Main_Presentation[[#This Row],[LC Number]],Main_Issuance[],6,0)</f>
        <v>Cash</v>
      </c>
      <c r="H501" s="17" t="str">
        <f>VLOOKUP(Main_Presentation[[#This Row],[LC Number]],Main_Issuance[],17,0)</f>
        <v>Cash</v>
      </c>
      <c r="I501" s="17" t="str">
        <f>VLOOKUP(Main_Presentation[[#This Row],[LC Number]],Main_Issuance[],7,0)</f>
        <v>ATELIER HOSPITALITY SRL</v>
      </c>
      <c r="J501" s="17" t="str">
        <f>VLOOKUP(Main_Presentation[[#This Row],[LC Number]],Main_Issuance[],8,0)</f>
        <v>MBL</v>
      </c>
      <c r="K501" s="17" t="str">
        <f>VLOOKUP(Main_Presentation[[#This Row],[LC Number]],Main_Issuance[],9,0)</f>
        <v>L01-YAMMAMA</v>
      </c>
      <c r="L501" s="17">
        <f>VLOOKUP(Main_Presentation[[#This Row],[LC Number]],Main_Issuance[],10,0)</f>
        <v>1020015</v>
      </c>
      <c r="M501" s="17" t="str">
        <f>VLOOKUP(Main_Presentation[[#This Row],[LC Number]],Main_Issuance[],11,0)</f>
        <v>EUR</v>
      </c>
      <c r="N501" s="84">
        <f>VLOOKUP(Main_Presentation[[#This Row],[LC Number]],Main_Issuance[],12,0)</f>
        <v>50762045.400000006</v>
      </c>
      <c r="O501" s="16" t="s">
        <v>20</v>
      </c>
      <c r="P501" s="16" t="s">
        <v>857</v>
      </c>
      <c r="Q501" s="131">
        <v>752078.2</v>
      </c>
      <c r="R501" s="18">
        <v>4.5848000064688499</v>
      </c>
      <c r="S501" s="18">
        <f>Main_Presentation[[#This Row],[Invoice Amt (FCY)]]*Main_Presentation[[#This Row],[Rate]]</f>
        <v>3448128.1362250806</v>
      </c>
      <c r="T501" s="15">
        <v>45453</v>
      </c>
      <c r="U501" s="26" t="str">
        <f>VLOOKUP(Main_Presentation[[#This Row],[LC Number]],Main_Issuance[],18,0)</f>
        <v>30 days from the date of comm. inv.</v>
      </c>
      <c r="V501" s="19" t="s">
        <v>213</v>
      </c>
      <c r="W501" s="18" t="s">
        <v>857</v>
      </c>
      <c r="X501" s="16"/>
      <c r="Y501" s="234" t="str">
        <f>TRIM(LEFT(Main_Presentation[[#This Row],[Payment Terms]],3))</f>
        <v>30</v>
      </c>
      <c r="Z501" s="16"/>
      <c r="AA501" s="316" cm="1">
        <f t="array" ref="AA501">Settlement(Main_Presentation[[#This Row],[Bank]],Main_Presentation[[#This Row],[ Invoice Amt (SAR)]],Main_Presentation[[#This Row],[Date Recd]],Main_Presentation[[#This Row],[Due Date]],Main_Presentation[[#This Row],[Days]])</f>
        <v>230</v>
      </c>
      <c r="AB501" s="16"/>
    </row>
    <row r="502" spans="1:28" ht="15.75" hidden="1" x14ac:dyDescent="0.25">
      <c r="A502" s="14" t="s">
        <v>306</v>
      </c>
      <c r="B502" s="15">
        <v>45447</v>
      </c>
      <c r="C502" s="26">
        <v>72</v>
      </c>
      <c r="D502" s="55" t="str">
        <f>VLOOKUP(Main_Presentation[[#This Row],[LC Number]],Main_Issuance[],3,0)</f>
        <v>Dipu Sir</v>
      </c>
      <c r="E502" s="16" t="s">
        <v>856</v>
      </c>
      <c r="F502" s="17" t="str">
        <f>VLOOKUP(Main_Presentation[[#This Row],[LC Number]],Main_Issuance[],5,0)</f>
        <v>Riyad</v>
      </c>
      <c r="G502" s="17" t="str">
        <f>VLOOKUP(Main_Presentation[[#This Row],[LC Number]],Main_Issuance[],6,0)</f>
        <v>Cash</v>
      </c>
      <c r="H502" s="17" t="str">
        <f>VLOOKUP(Main_Presentation[[#This Row],[LC Number]],Main_Issuance[],17,0)</f>
        <v>Cash</v>
      </c>
      <c r="I502" s="17" t="str">
        <f>VLOOKUP(Main_Presentation[[#This Row],[LC Number]],Main_Issuance[],7,0)</f>
        <v>ATELIER HOSPITALITY SRL</v>
      </c>
      <c r="J502" s="17" t="str">
        <f>VLOOKUP(Main_Presentation[[#This Row],[LC Number]],Main_Issuance[],8,0)</f>
        <v>MBL</v>
      </c>
      <c r="K502" s="17" t="str">
        <f>VLOOKUP(Main_Presentation[[#This Row],[LC Number]],Main_Issuance[],9,0)</f>
        <v>L01-YAMMAMA</v>
      </c>
      <c r="L502" s="17">
        <f>VLOOKUP(Main_Presentation[[#This Row],[LC Number]],Main_Issuance[],10,0)</f>
        <v>1020015</v>
      </c>
      <c r="M502" s="17" t="str">
        <f>VLOOKUP(Main_Presentation[[#This Row],[LC Number]],Main_Issuance[],11,0)</f>
        <v>EUR</v>
      </c>
      <c r="N502" s="84">
        <f>VLOOKUP(Main_Presentation[[#This Row],[LC Number]],Main_Issuance[],12,0)</f>
        <v>50762045.400000006</v>
      </c>
      <c r="O502" s="16" t="s">
        <v>20</v>
      </c>
      <c r="P502" s="16" t="s">
        <v>857</v>
      </c>
      <c r="Q502" s="131">
        <v>3545690.77</v>
      </c>
      <c r="R502" s="18">
        <v>4.5848000064688499</v>
      </c>
      <c r="S502" s="18">
        <f>Main_Presentation[[#This Row],[Invoice Amt (FCY)]]*Main_Presentation[[#This Row],[Rate]]</f>
        <v>16256283.065232541</v>
      </c>
      <c r="T502" s="15">
        <v>45460</v>
      </c>
      <c r="U502" s="26" t="str">
        <f>VLOOKUP(Main_Presentation[[#This Row],[LC Number]],Main_Issuance[],18,0)</f>
        <v>30 days from the date of comm. inv.</v>
      </c>
      <c r="V502" s="19" t="s">
        <v>213</v>
      </c>
      <c r="W502" s="18" t="s">
        <v>857</v>
      </c>
      <c r="X502" s="16"/>
      <c r="Y502" s="234" t="str">
        <f>TRIM(LEFT(Main_Presentation[[#This Row],[Payment Terms]],3))</f>
        <v>30</v>
      </c>
      <c r="Z502" s="16"/>
      <c r="AA502" s="316" cm="1">
        <f t="array" ref="AA502">Settlement(Main_Presentation[[#This Row],[Bank]],Main_Presentation[[#This Row],[ Invoice Amt (SAR)]],Main_Presentation[[#This Row],[Date Recd]],Main_Presentation[[#This Row],[Due Date]],Main_Presentation[[#This Row],[Days]])</f>
        <v>230</v>
      </c>
      <c r="AB502" s="16"/>
    </row>
    <row r="503" spans="1:28" ht="15.75" hidden="1" x14ac:dyDescent="0.25">
      <c r="A503" s="14" t="s">
        <v>306</v>
      </c>
      <c r="B503" s="15">
        <v>45454</v>
      </c>
      <c r="C503" s="26">
        <v>73</v>
      </c>
      <c r="D503" s="55" t="str">
        <f>VLOOKUP(Main_Presentation[[#This Row],[LC Number]],Main_Issuance[],3,0)</f>
        <v>Dipu Sir</v>
      </c>
      <c r="E503" s="16" t="s">
        <v>856</v>
      </c>
      <c r="F503" s="17" t="str">
        <f>VLOOKUP(Main_Presentation[[#This Row],[LC Number]],Main_Issuance[],5,0)</f>
        <v>Riyad</v>
      </c>
      <c r="G503" s="17" t="str">
        <f>VLOOKUP(Main_Presentation[[#This Row],[LC Number]],Main_Issuance[],6,0)</f>
        <v>Cash</v>
      </c>
      <c r="H503" s="17" t="str">
        <f>VLOOKUP(Main_Presentation[[#This Row],[LC Number]],Main_Issuance[],17,0)</f>
        <v>Cash</v>
      </c>
      <c r="I503" s="17" t="str">
        <f>VLOOKUP(Main_Presentation[[#This Row],[LC Number]],Main_Issuance[],7,0)</f>
        <v>ATELIER HOSPITALITY SRL</v>
      </c>
      <c r="J503" s="17" t="str">
        <f>VLOOKUP(Main_Presentation[[#This Row],[LC Number]],Main_Issuance[],8,0)</f>
        <v>MBL</v>
      </c>
      <c r="K503" s="17" t="str">
        <f>VLOOKUP(Main_Presentation[[#This Row],[LC Number]],Main_Issuance[],9,0)</f>
        <v>L01-YAMMAMA</v>
      </c>
      <c r="L503" s="17">
        <f>VLOOKUP(Main_Presentation[[#This Row],[LC Number]],Main_Issuance[],10,0)</f>
        <v>1020015</v>
      </c>
      <c r="M503" s="17" t="str">
        <f>VLOOKUP(Main_Presentation[[#This Row],[LC Number]],Main_Issuance[],11,0)</f>
        <v>EUR</v>
      </c>
      <c r="N503" s="84">
        <f>VLOOKUP(Main_Presentation[[#This Row],[LC Number]],Main_Issuance[],12,0)</f>
        <v>50762045.400000006</v>
      </c>
      <c r="O503" s="16" t="s">
        <v>20</v>
      </c>
      <c r="P503" s="16" t="s">
        <v>857</v>
      </c>
      <c r="Q503" s="131">
        <v>2054.17</v>
      </c>
      <c r="R503" s="18">
        <v>4.58480067375144</v>
      </c>
      <c r="S503" s="18">
        <f>Main_Presentation[[#This Row],[Invoice Amt (FCY)]]*Main_Presentation[[#This Row],[Rate]]</f>
        <v>9417.9599999999955</v>
      </c>
      <c r="T503" s="15">
        <v>45452</v>
      </c>
      <c r="U503" s="26" t="str">
        <f>VLOOKUP(Main_Presentation[[#This Row],[LC Number]],Main_Issuance[],18,0)</f>
        <v>30 days from the date of comm. inv.</v>
      </c>
      <c r="V503" s="19" t="s">
        <v>213</v>
      </c>
      <c r="W503" s="18" t="s">
        <v>857</v>
      </c>
      <c r="X503" s="16"/>
      <c r="Y503" s="234" t="str">
        <f>TRIM(LEFT(Main_Presentation[[#This Row],[Payment Terms]],3))</f>
        <v>30</v>
      </c>
      <c r="Z503" s="16"/>
      <c r="AA503" s="316" cm="1">
        <f t="array" ref="AA503">Settlement(Main_Presentation[[#This Row],[Bank]],Main_Presentation[[#This Row],[ Invoice Amt (SAR)]],Main_Presentation[[#This Row],[Date Recd]],Main_Presentation[[#This Row],[Due Date]],Main_Presentation[[#This Row],[Days]])</f>
        <v>230</v>
      </c>
      <c r="AB503" s="16"/>
    </row>
    <row r="504" spans="1:28" ht="15.75" hidden="1" x14ac:dyDescent="0.25">
      <c r="A504" s="14" t="s">
        <v>306</v>
      </c>
      <c r="B504" s="15">
        <v>45468</v>
      </c>
      <c r="C504" s="26">
        <v>74</v>
      </c>
      <c r="D504" s="55" t="str">
        <f>VLOOKUP(Main_Presentation[[#This Row],[LC Number]],Main_Issuance[],3,0)</f>
        <v>Dipu Sir</v>
      </c>
      <c r="E504" s="16" t="s">
        <v>856</v>
      </c>
      <c r="F504" s="17" t="str">
        <f>VLOOKUP(Main_Presentation[[#This Row],[LC Number]],Main_Issuance[],5,0)</f>
        <v>Riyad</v>
      </c>
      <c r="G504" s="17" t="str">
        <f>VLOOKUP(Main_Presentation[[#This Row],[LC Number]],Main_Issuance[],6,0)</f>
        <v>Cash</v>
      </c>
      <c r="H504" s="17" t="str">
        <f>VLOOKUP(Main_Presentation[[#This Row],[LC Number]],Main_Issuance[],17,0)</f>
        <v>Cash</v>
      </c>
      <c r="I504" s="17" t="str">
        <f>VLOOKUP(Main_Presentation[[#This Row],[LC Number]],Main_Issuance[],7,0)</f>
        <v>ATELIER HOSPITALITY SRL</v>
      </c>
      <c r="J504" s="17" t="str">
        <f>VLOOKUP(Main_Presentation[[#This Row],[LC Number]],Main_Issuance[],8,0)</f>
        <v>MBL</v>
      </c>
      <c r="K504" s="17" t="str">
        <f>VLOOKUP(Main_Presentation[[#This Row],[LC Number]],Main_Issuance[],9,0)</f>
        <v>L01-YAMMAMA</v>
      </c>
      <c r="L504" s="17">
        <f>VLOOKUP(Main_Presentation[[#This Row],[LC Number]],Main_Issuance[],10,0)</f>
        <v>1020015</v>
      </c>
      <c r="M504" s="17" t="str">
        <f>VLOOKUP(Main_Presentation[[#This Row],[LC Number]],Main_Issuance[],11,0)</f>
        <v>EUR</v>
      </c>
      <c r="N504" s="84">
        <f>VLOOKUP(Main_Presentation[[#This Row],[LC Number]],Main_Issuance[],12,0)</f>
        <v>50762045.400000006</v>
      </c>
      <c r="O504" s="16" t="s">
        <v>20</v>
      </c>
      <c r="P504" s="16" t="s">
        <v>857</v>
      </c>
      <c r="Q504" s="131">
        <v>318418.49</v>
      </c>
      <c r="R504" s="18">
        <v>4.5848000064688499</v>
      </c>
      <c r="S504" s="18">
        <f>Main_Presentation[[#This Row],[Invoice Amt (FCY)]]*Main_Presentation[[#This Row],[Rate]]</f>
        <v>1459885.0950118015</v>
      </c>
      <c r="T504" s="15">
        <v>45481</v>
      </c>
      <c r="U504" s="26" t="str">
        <f>VLOOKUP(Main_Presentation[[#This Row],[LC Number]],Main_Issuance[],18,0)</f>
        <v>30 days from the date of comm. inv.</v>
      </c>
      <c r="V504" s="19" t="s">
        <v>213</v>
      </c>
      <c r="W504" s="18" t="s">
        <v>857</v>
      </c>
      <c r="X504" s="16"/>
      <c r="Y504" s="234" t="str">
        <f>TRIM(LEFT(Main_Presentation[[#This Row],[Payment Terms]],3))</f>
        <v>30</v>
      </c>
      <c r="Z504" s="16"/>
      <c r="AA504" s="316" cm="1">
        <f t="array" ref="AA504">Settlement(Main_Presentation[[#This Row],[Bank]],Main_Presentation[[#This Row],[ Invoice Amt (SAR)]],Main_Presentation[[#This Row],[Date Recd]],Main_Presentation[[#This Row],[Due Date]],Main_Presentation[[#This Row],[Days]])</f>
        <v>230</v>
      </c>
      <c r="AB504" s="16"/>
    </row>
    <row r="505" spans="1:28" ht="15.75" hidden="1" x14ac:dyDescent="0.25">
      <c r="A505" s="14" t="s">
        <v>306</v>
      </c>
      <c r="B505" s="15">
        <v>45468</v>
      </c>
      <c r="C505" s="26">
        <v>75</v>
      </c>
      <c r="D505" s="55" t="str">
        <f>VLOOKUP(Main_Presentation[[#This Row],[LC Number]],Main_Issuance[],3,0)</f>
        <v>Dipu Sir</v>
      </c>
      <c r="E505" s="16" t="s">
        <v>856</v>
      </c>
      <c r="F505" s="17" t="str">
        <f>VLOOKUP(Main_Presentation[[#This Row],[LC Number]],Main_Issuance[],5,0)</f>
        <v>Riyad</v>
      </c>
      <c r="G505" s="17" t="str">
        <f>VLOOKUP(Main_Presentation[[#This Row],[LC Number]],Main_Issuance[],6,0)</f>
        <v>Cash</v>
      </c>
      <c r="H505" s="17" t="str">
        <f>VLOOKUP(Main_Presentation[[#This Row],[LC Number]],Main_Issuance[],17,0)</f>
        <v>Cash</v>
      </c>
      <c r="I505" s="17" t="str">
        <f>VLOOKUP(Main_Presentation[[#This Row],[LC Number]],Main_Issuance[],7,0)</f>
        <v>ATELIER HOSPITALITY SRL</v>
      </c>
      <c r="J505" s="17" t="str">
        <f>VLOOKUP(Main_Presentation[[#This Row],[LC Number]],Main_Issuance[],8,0)</f>
        <v>MBL</v>
      </c>
      <c r="K505" s="17" t="str">
        <f>VLOOKUP(Main_Presentation[[#This Row],[LC Number]],Main_Issuance[],9,0)</f>
        <v>L01-YAMMAMA</v>
      </c>
      <c r="L505" s="17">
        <f>VLOOKUP(Main_Presentation[[#This Row],[LC Number]],Main_Issuance[],10,0)</f>
        <v>1020015</v>
      </c>
      <c r="M505" s="17" t="str">
        <f>VLOOKUP(Main_Presentation[[#This Row],[LC Number]],Main_Issuance[],11,0)</f>
        <v>EUR</v>
      </c>
      <c r="N505" s="84">
        <f>VLOOKUP(Main_Presentation[[#This Row],[LC Number]],Main_Issuance[],12,0)</f>
        <v>50762045.400000006</v>
      </c>
      <c r="O505" s="16" t="s">
        <v>20</v>
      </c>
      <c r="P505" s="16" t="s">
        <v>857</v>
      </c>
      <c r="Q505" s="131">
        <v>283517.90999999997</v>
      </c>
      <c r="R505" s="18">
        <v>4.5848000064688499</v>
      </c>
      <c r="S505" s="18">
        <f>Main_Presentation[[#This Row],[Invoice Amt (FCY)]]*Main_Presentation[[#This Row],[Rate]]</f>
        <v>1299872.9156020347</v>
      </c>
      <c r="T505" s="15">
        <v>45481</v>
      </c>
      <c r="U505" s="26" t="str">
        <f>VLOOKUP(Main_Presentation[[#This Row],[LC Number]],Main_Issuance[],18,0)</f>
        <v>30 days from the date of comm. inv.</v>
      </c>
      <c r="V505" s="19" t="s">
        <v>213</v>
      </c>
      <c r="W505" s="18" t="s">
        <v>857</v>
      </c>
      <c r="X505" s="16"/>
      <c r="Y505" s="234" t="str">
        <f>TRIM(LEFT(Main_Presentation[[#This Row],[Payment Terms]],3))</f>
        <v>30</v>
      </c>
      <c r="Z505" s="16"/>
      <c r="AA505" s="316" cm="1">
        <f t="array" ref="AA505">Settlement(Main_Presentation[[#This Row],[Bank]],Main_Presentation[[#This Row],[ Invoice Amt (SAR)]],Main_Presentation[[#This Row],[Date Recd]],Main_Presentation[[#This Row],[Due Date]],Main_Presentation[[#This Row],[Days]])</f>
        <v>230</v>
      </c>
      <c r="AB505" s="16"/>
    </row>
    <row r="506" spans="1:28" ht="15.75" hidden="1" x14ac:dyDescent="0.25">
      <c r="A506" s="14" t="s">
        <v>306</v>
      </c>
      <c r="B506" s="15">
        <v>45470</v>
      </c>
      <c r="C506" s="26">
        <v>76</v>
      </c>
      <c r="D506" s="55" t="str">
        <f>VLOOKUP(Main_Presentation[[#This Row],[LC Number]],Main_Issuance[],3,0)</f>
        <v>Dipu Sir</v>
      </c>
      <c r="E506" s="16" t="s">
        <v>858</v>
      </c>
      <c r="F506" s="17" t="str">
        <f>VLOOKUP(Main_Presentation[[#This Row],[LC Number]],Main_Issuance[],5,0)</f>
        <v>Riyad</v>
      </c>
      <c r="G506" s="17" t="str">
        <f>VLOOKUP(Main_Presentation[[#This Row],[LC Number]],Main_Issuance[],6,0)</f>
        <v>Cash</v>
      </c>
      <c r="H506" s="17" t="str">
        <f>VLOOKUP(Main_Presentation[[#This Row],[LC Number]],Main_Issuance[],17,0)</f>
        <v>Cash</v>
      </c>
      <c r="I506" s="17" t="str">
        <f>VLOOKUP(Main_Presentation[[#This Row],[LC Number]],Main_Issuance[],7,0)</f>
        <v>ATELIER HOSPITALITY SRL</v>
      </c>
      <c r="J506" s="17" t="str">
        <f>VLOOKUP(Main_Presentation[[#This Row],[LC Number]],Main_Issuance[],8,0)</f>
        <v>MBL</v>
      </c>
      <c r="K506" s="17" t="str">
        <f>VLOOKUP(Main_Presentation[[#This Row],[LC Number]],Main_Issuance[],9,0)</f>
        <v>L01-YAMMAMA</v>
      </c>
      <c r="L506" s="17">
        <f>VLOOKUP(Main_Presentation[[#This Row],[LC Number]],Main_Issuance[],10,0)</f>
        <v>1020015</v>
      </c>
      <c r="M506" s="17" t="str">
        <f>VLOOKUP(Main_Presentation[[#This Row],[LC Number]],Main_Issuance[],11,0)</f>
        <v>EUR</v>
      </c>
      <c r="N506" s="84">
        <f>VLOOKUP(Main_Presentation[[#This Row],[LC Number]],Main_Issuance[],12,0)</f>
        <v>50762045.400000006</v>
      </c>
      <c r="O506" s="16" t="s">
        <v>20</v>
      </c>
      <c r="P506" s="16" t="s">
        <v>857</v>
      </c>
      <c r="Q506" s="131">
        <v>131091.01999999999</v>
      </c>
      <c r="R506" s="18">
        <v>4.5848000064688499</v>
      </c>
      <c r="S506" s="18">
        <f>Main_Presentation[[#This Row],[Invoice Amt (FCY)]]*Main_Presentation[[#This Row],[Rate]]</f>
        <v>601026.10934400803</v>
      </c>
      <c r="T506" s="15">
        <v>45501</v>
      </c>
      <c r="U506" s="26" t="str">
        <f>VLOOKUP(Main_Presentation[[#This Row],[LC Number]],Main_Issuance[],18,0)</f>
        <v>30 days from the date of comm. inv.</v>
      </c>
      <c r="V506" s="19" t="s">
        <v>213</v>
      </c>
      <c r="W506" s="18" t="s">
        <v>857</v>
      </c>
      <c r="X506" s="16"/>
      <c r="Y506" s="234" t="str">
        <f>TRIM(LEFT(Main_Presentation[[#This Row],[Payment Terms]],3))</f>
        <v>30</v>
      </c>
      <c r="Z506" s="16"/>
      <c r="AA506" s="316" cm="1">
        <f t="array" ref="AA506">Settlement(Main_Presentation[[#This Row],[Bank]],Main_Presentation[[#This Row],[ Invoice Amt (SAR)]],Main_Presentation[[#This Row],[Date Recd]],Main_Presentation[[#This Row],[Due Date]],Main_Presentation[[#This Row],[Days]])</f>
        <v>863.65</v>
      </c>
      <c r="AB506" s="16"/>
    </row>
    <row r="507" spans="1:28" ht="15.75" hidden="1" x14ac:dyDescent="0.25">
      <c r="A507" s="14" t="s">
        <v>306</v>
      </c>
      <c r="B507" s="15">
        <v>45475</v>
      </c>
      <c r="C507" s="26">
        <v>77</v>
      </c>
      <c r="D507" s="55" t="str">
        <f>VLOOKUP(Main_Presentation[[#This Row],[LC Number]],Main_Issuance[],3,0)</f>
        <v>Dipu Sir</v>
      </c>
      <c r="E507" s="16" t="s">
        <v>856</v>
      </c>
      <c r="F507" s="17" t="str">
        <f>VLOOKUP(Main_Presentation[[#This Row],[LC Number]],Main_Issuance[],5,0)</f>
        <v>Riyad</v>
      </c>
      <c r="G507" s="17" t="str">
        <f>VLOOKUP(Main_Presentation[[#This Row],[LC Number]],Main_Issuance[],6,0)</f>
        <v>Cash</v>
      </c>
      <c r="H507" s="17" t="str">
        <f>VLOOKUP(Main_Presentation[[#This Row],[LC Number]],Main_Issuance[],17,0)</f>
        <v>Cash</v>
      </c>
      <c r="I507" s="17" t="str">
        <f>VLOOKUP(Main_Presentation[[#This Row],[LC Number]],Main_Issuance[],7,0)</f>
        <v>ATELIER HOSPITALITY SRL</v>
      </c>
      <c r="J507" s="17" t="str">
        <f>VLOOKUP(Main_Presentation[[#This Row],[LC Number]],Main_Issuance[],8,0)</f>
        <v>MBL</v>
      </c>
      <c r="K507" s="17" t="str">
        <f>VLOOKUP(Main_Presentation[[#This Row],[LC Number]],Main_Issuance[],9,0)</f>
        <v>L01-YAMMAMA</v>
      </c>
      <c r="L507" s="17">
        <f>VLOOKUP(Main_Presentation[[#This Row],[LC Number]],Main_Issuance[],10,0)</f>
        <v>1020015</v>
      </c>
      <c r="M507" s="17" t="str">
        <f>VLOOKUP(Main_Presentation[[#This Row],[LC Number]],Main_Issuance[],11,0)</f>
        <v>EUR</v>
      </c>
      <c r="N507" s="84">
        <f>VLOOKUP(Main_Presentation[[#This Row],[LC Number]],Main_Issuance[],12,0)</f>
        <v>50762045.400000006</v>
      </c>
      <c r="O507" s="16" t="s">
        <v>20</v>
      </c>
      <c r="P507" s="16" t="s">
        <v>857</v>
      </c>
      <c r="Q507" s="131">
        <v>918138.43</v>
      </c>
      <c r="R507" s="18">
        <v>4.5848000064688499</v>
      </c>
      <c r="S507" s="18">
        <f>Main_Presentation[[#This Row],[Invoice Amt (FCY)]]*Main_Presentation[[#This Row],[Rate]]</f>
        <v>4209481.0798033001</v>
      </c>
      <c r="T507" s="15">
        <v>45503</v>
      </c>
      <c r="U507" s="26" t="str">
        <f>VLOOKUP(Main_Presentation[[#This Row],[LC Number]],Main_Issuance[],18,0)</f>
        <v>30 days from the date of comm. inv.</v>
      </c>
      <c r="V507" s="19" t="s">
        <v>213</v>
      </c>
      <c r="W507" s="18" t="s">
        <v>857</v>
      </c>
      <c r="X507" s="16"/>
      <c r="Y507" s="234" t="str">
        <f>TRIM(LEFT(Main_Presentation[[#This Row],[Payment Terms]],3))</f>
        <v>30</v>
      </c>
      <c r="Z507" s="16"/>
      <c r="AA507" s="316" cm="1">
        <f t="array" ref="AA507">Settlement(Main_Presentation[[#This Row],[Bank]],Main_Presentation[[#This Row],[ Invoice Amt (SAR)]],Main_Presentation[[#This Row],[Date Recd]],Main_Presentation[[#This Row],[Due Date]],Main_Presentation[[#This Row],[Days]])</f>
        <v>6051.3</v>
      </c>
      <c r="AB507" s="16"/>
    </row>
    <row r="508" spans="1:28" ht="15.75" hidden="1" x14ac:dyDescent="0.25">
      <c r="A508" s="14" t="s">
        <v>306</v>
      </c>
      <c r="B508" s="15">
        <v>45475</v>
      </c>
      <c r="C508" s="26">
        <v>78</v>
      </c>
      <c r="D508" s="55" t="str">
        <f>VLOOKUP(Main_Presentation[[#This Row],[LC Number]],Main_Issuance[],3,0)</f>
        <v>Dipu Sir</v>
      </c>
      <c r="E508" s="16" t="s">
        <v>856</v>
      </c>
      <c r="F508" s="17" t="str">
        <f>VLOOKUP(Main_Presentation[[#This Row],[LC Number]],Main_Issuance[],5,0)</f>
        <v>Riyad</v>
      </c>
      <c r="G508" s="17" t="str">
        <f>VLOOKUP(Main_Presentation[[#This Row],[LC Number]],Main_Issuance[],6,0)</f>
        <v>Cash</v>
      </c>
      <c r="H508" s="17" t="str">
        <f>VLOOKUP(Main_Presentation[[#This Row],[LC Number]],Main_Issuance[],17,0)</f>
        <v>Cash</v>
      </c>
      <c r="I508" s="17" t="str">
        <f>VLOOKUP(Main_Presentation[[#This Row],[LC Number]],Main_Issuance[],7,0)</f>
        <v>ATELIER HOSPITALITY SRL</v>
      </c>
      <c r="J508" s="17" t="str">
        <f>VLOOKUP(Main_Presentation[[#This Row],[LC Number]],Main_Issuance[],8,0)</f>
        <v>MBL</v>
      </c>
      <c r="K508" s="17" t="str">
        <f>VLOOKUP(Main_Presentation[[#This Row],[LC Number]],Main_Issuance[],9,0)</f>
        <v>L01-YAMMAMA</v>
      </c>
      <c r="L508" s="17">
        <f>VLOOKUP(Main_Presentation[[#This Row],[LC Number]],Main_Issuance[],10,0)</f>
        <v>1020015</v>
      </c>
      <c r="M508" s="17" t="str">
        <f>VLOOKUP(Main_Presentation[[#This Row],[LC Number]],Main_Issuance[],11,0)</f>
        <v>EUR</v>
      </c>
      <c r="N508" s="84">
        <f>VLOOKUP(Main_Presentation[[#This Row],[LC Number]],Main_Issuance[],12,0)</f>
        <v>50762045.400000006</v>
      </c>
      <c r="O508" s="16" t="s">
        <v>20</v>
      </c>
      <c r="P508" s="16" t="s">
        <v>857</v>
      </c>
      <c r="Q508" s="131">
        <v>723023.24</v>
      </c>
      <c r="R508" s="18">
        <v>4.5848000064688499</v>
      </c>
      <c r="S508" s="18">
        <f>Main_Presentation[[#This Row],[Invoice Amt (FCY)]]*Main_Presentation[[#This Row],[Rate]]</f>
        <v>3314916.9554291288</v>
      </c>
      <c r="T508" s="15">
        <v>45495</v>
      </c>
      <c r="U508" s="26" t="str">
        <f>VLOOKUP(Main_Presentation[[#This Row],[LC Number]],Main_Issuance[],18,0)</f>
        <v>30 days from the date of comm. inv.</v>
      </c>
      <c r="V508" s="19" t="s">
        <v>213</v>
      </c>
      <c r="W508" s="18" t="s">
        <v>857</v>
      </c>
      <c r="X508" s="16"/>
      <c r="Y508" s="234" t="str">
        <f>TRIM(LEFT(Main_Presentation[[#This Row],[Payment Terms]],3))</f>
        <v>30</v>
      </c>
      <c r="Z508" s="16"/>
      <c r="AA508" s="316" cm="1">
        <f t="array" ref="AA508">Settlement(Main_Presentation[[#This Row],[Bank]],Main_Presentation[[#This Row],[ Invoice Amt (SAR)]],Main_Presentation[[#This Row],[Date Recd]],Main_Presentation[[#This Row],[Due Date]],Main_Presentation[[#This Row],[Days]])</f>
        <v>4765.6000000000004</v>
      </c>
      <c r="AB508" s="16"/>
    </row>
    <row r="509" spans="1:28" ht="15.75" hidden="1" x14ac:dyDescent="0.25">
      <c r="A509" s="14" t="s">
        <v>306</v>
      </c>
      <c r="B509" s="15">
        <v>45494</v>
      </c>
      <c r="C509" s="26">
        <v>79</v>
      </c>
      <c r="D509" s="55" t="str">
        <f>VLOOKUP(Main_Presentation[[#This Row],[LC Number]],Main_Issuance[],3,0)</f>
        <v>Dipu Sir</v>
      </c>
      <c r="E509" s="16" t="s">
        <v>856</v>
      </c>
      <c r="F509" s="17" t="str">
        <f>VLOOKUP(Main_Presentation[[#This Row],[LC Number]],Main_Issuance[],5,0)</f>
        <v>Riyad</v>
      </c>
      <c r="G509" s="17" t="str">
        <f>VLOOKUP(Main_Presentation[[#This Row],[LC Number]],Main_Issuance[],6,0)</f>
        <v>Cash</v>
      </c>
      <c r="H509" s="17" t="str">
        <f>VLOOKUP(Main_Presentation[[#This Row],[LC Number]],Main_Issuance[],17,0)</f>
        <v>Cash</v>
      </c>
      <c r="I509" s="17" t="str">
        <f>VLOOKUP(Main_Presentation[[#This Row],[LC Number]],Main_Issuance[],7,0)</f>
        <v>ATELIER HOSPITALITY SRL</v>
      </c>
      <c r="J509" s="17" t="str">
        <f>VLOOKUP(Main_Presentation[[#This Row],[LC Number]],Main_Issuance[],8,0)</f>
        <v>MBL</v>
      </c>
      <c r="K509" s="17" t="str">
        <f>VLOOKUP(Main_Presentation[[#This Row],[LC Number]],Main_Issuance[],9,0)</f>
        <v>L01-YAMMAMA</v>
      </c>
      <c r="L509" s="17">
        <f>VLOOKUP(Main_Presentation[[#This Row],[LC Number]],Main_Issuance[],10,0)</f>
        <v>1020015</v>
      </c>
      <c r="M509" s="17" t="str">
        <f>VLOOKUP(Main_Presentation[[#This Row],[LC Number]],Main_Issuance[],11,0)</f>
        <v>EUR</v>
      </c>
      <c r="N509" s="84">
        <f>VLOOKUP(Main_Presentation[[#This Row],[LC Number]],Main_Issuance[],12,0)</f>
        <v>50762045.400000006</v>
      </c>
      <c r="O509" s="16" t="s">
        <v>20</v>
      </c>
      <c r="P509" s="16" t="s">
        <v>857</v>
      </c>
      <c r="Q509" s="131">
        <v>195201.6</v>
      </c>
      <c r="R509" s="18">
        <v>4.5848000064688499</v>
      </c>
      <c r="S509" s="18">
        <f>Main_Presentation[[#This Row],[Invoice Amt (FCY)]]*Main_Presentation[[#This Row],[Rate]]</f>
        <v>894960.29694272985</v>
      </c>
      <c r="T509" s="15">
        <v>45502</v>
      </c>
      <c r="U509" s="26" t="str">
        <f>VLOOKUP(Main_Presentation[[#This Row],[LC Number]],Main_Issuance[],18,0)</f>
        <v>30 days from the date of comm. inv.</v>
      </c>
      <c r="V509" s="19" t="s">
        <v>213</v>
      </c>
      <c r="W509" s="18" t="s">
        <v>857</v>
      </c>
      <c r="X509" s="16"/>
      <c r="Y509" s="234" t="str">
        <f>TRIM(LEFT(Main_Presentation[[#This Row],[Payment Terms]],3))</f>
        <v>30</v>
      </c>
      <c r="Z509" s="16"/>
      <c r="AA509" s="316" cm="1">
        <f t="array" ref="AA509">Settlement(Main_Presentation[[#This Row],[Bank]],Main_Presentation[[#This Row],[ Invoice Amt (SAR)]],Main_Presentation[[#This Row],[Date Recd]],Main_Presentation[[#This Row],[Due Date]],Main_Presentation[[#This Row],[Days]])</f>
        <v>230</v>
      </c>
      <c r="AB509" s="16"/>
    </row>
    <row r="510" spans="1:28" ht="15.75" hidden="1" x14ac:dyDescent="0.25">
      <c r="A510" s="14" t="s">
        <v>306</v>
      </c>
      <c r="B510" s="15">
        <v>45509</v>
      </c>
      <c r="C510" s="26">
        <v>80</v>
      </c>
      <c r="D510" s="55" t="str">
        <f>VLOOKUP(Main_Presentation[[#This Row],[LC Number]],Main_Issuance[],3,0)</f>
        <v>Dipu Sir</v>
      </c>
      <c r="E510" s="16" t="s">
        <v>856</v>
      </c>
      <c r="F510" s="17" t="str">
        <f>VLOOKUP(Main_Presentation[[#This Row],[LC Number]],Main_Issuance[],5,0)</f>
        <v>Riyad</v>
      </c>
      <c r="G510" s="17" t="str">
        <f>VLOOKUP(Main_Presentation[[#This Row],[LC Number]],Main_Issuance[],6,0)</f>
        <v>Cash</v>
      </c>
      <c r="H510" s="17" t="str">
        <f>VLOOKUP(Main_Presentation[[#This Row],[LC Number]],Main_Issuance[],17,0)</f>
        <v>Cash</v>
      </c>
      <c r="I510" s="17" t="str">
        <f>VLOOKUP(Main_Presentation[[#This Row],[LC Number]],Main_Issuance[],7,0)</f>
        <v>ATELIER HOSPITALITY SRL</v>
      </c>
      <c r="J510" s="17" t="str">
        <f>VLOOKUP(Main_Presentation[[#This Row],[LC Number]],Main_Issuance[],8,0)</f>
        <v>MBL</v>
      </c>
      <c r="K510" s="17" t="str">
        <f>VLOOKUP(Main_Presentation[[#This Row],[LC Number]],Main_Issuance[],9,0)</f>
        <v>L01-YAMMAMA</v>
      </c>
      <c r="L510" s="17">
        <f>VLOOKUP(Main_Presentation[[#This Row],[LC Number]],Main_Issuance[],10,0)</f>
        <v>1020015</v>
      </c>
      <c r="M510" s="17" t="str">
        <f>VLOOKUP(Main_Presentation[[#This Row],[LC Number]],Main_Issuance[],11,0)</f>
        <v>EUR</v>
      </c>
      <c r="N510" s="84">
        <f>VLOOKUP(Main_Presentation[[#This Row],[LC Number]],Main_Issuance[],12,0)</f>
        <v>50762045.400000006</v>
      </c>
      <c r="O510" s="16" t="s">
        <v>20</v>
      </c>
      <c r="P510" s="16" t="s">
        <v>857</v>
      </c>
      <c r="Q510" s="131">
        <v>516149.49</v>
      </c>
      <c r="R510" s="18">
        <v>4.5848000064688499</v>
      </c>
      <c r="S510" s="18">
        <f>Main_Presentation[[#This Row],[Invoice Amt (FCY)]]*Main_Presentation[[#This Row],[Rate]]</f>
        <v>2366442.1850908934</v>
      </c>
      <c r="T510" s="15">
        <v>45523</v>
      </c>
      <c r="U510" s="26" t="str">
        <f>VLOOKUP(Main_Presentation[[#This Row],[LC Number]],Main_Issuance[],18,0)</f>
        <v>30 days from the date of comm. inv.</v>
      </c>
      <c r="V510" s="19" t="s">
        <v>213</v>
      </c>
      <c r="W510" s="18" t="s">
        <v>857</v>
      </c>
      <c r="X510" s="16"/>
      <c r="Y510" s="234" t="str">
        <f>TRIM(LEFT(Main_Presentation[[#This Row],[Payment Terms]],3))</f>
        <v>30</v>
      </c>
      <c r="Z510" s="16"/>
      <c r="AA510" s="316" cm="1">
        <f t="array" ref="AA510">Settlement(Main_Presentation[[#This Row],[Bank]],Main_Presentation[[#This Row],[ Invoice Amt (SAR)]],Main_Presentation[[#This Row],[Date Recd]],Main_Presentation[[#This Row],[Due Date]],Main_Presentation[[#This Row],[Days]])</f>
        <v>230</v>
      </c>
      <c r="AB510" s="16"/>
    </row>
    <row r="511" spans="1:28" ht="15.75" hidden="1" x14ac:dyDescent="0.25">
      <c r="A511" s="14" t="s">
        <v>306</v>
      </c>
      <c r="B511" s="15">
        <v>45509</v>
      </c>
      <c r="C511" s="26">
        <v>81</v>
      </c>
      <c r="D511" s="55" t="str">
        <f>VLOOKUP(Main_Presentation[[#This Row],[LC Number]],Main_Issuance[],3,0)</f>
        <v>Dipu Sir</v>
      </c>
      <c r="E511" s="16" t="s">
        <v>856</v>
      </c>
      <c r="F511" s="17" t="str">
        <f>VLOOKUP(Main_Presentation[[#This Row],[LC Number]],Main_Issuance[],5,0)</f>
        <v>Riyad</v>
      </c>
      <c r="G511" s="17" t="str">
        <f>VLOOKUP(Main_Presentation[[#This Row],[LC Number]],Main_Issuance[],6,0)</f>
        <v>Cash</v>
      </c>
      <c r="H511" s="17" t="str">
        <f>VLOOKUP(Main_Presentation[[#This Row],[LC Number]],Main_Issuance[],17,0)</f>
        <v>Cash</v>
      </c>
      <c r="I511" s="17" t="str">
        <f>VLOOKUP(Main_Presentation[[#This Row],[LC Number]],Main_Issuance[],7,0)</f>
        <v>ATELIER HOSPITALITY SRL</v>
      </c>
      <c r="J511" s="17" t="str">
        <f>VLOOKUP(Main_Presentation[[#This Row],[LC Number]],Main_Issuance[],8,0)</f>
        <v>MBL</v>
      </c>
      <c r="K511" s="17" t="str">
        <f>VLOOKUP(Main_Presentation[[#This Row],[LC Number]],Main_Issuance[],9,0)</f>
        <v>L01-YAMMAMA</v>
      </c>
      <c r="L511" s="17">
        <f>VLOOKUP(Main_Presentation[[#This Row],[LC Number]],Main_Issuance[],10,0)</f>
        <v>1020015</v>
      </c>
      <c r="M511" s="17" t="str">
        <f>VLOOKUP(Main_Presentation[[#This Row],[LC Number]],Main_Issuance[],11,0)</f>
        <v>EUR</v>
      </c>
      <c r="N511" s="84">
        <f>VLOOKUP(Main_Presentation[[#This Row],[LC Number]],Main_Issuance[],12,0)</f>
        <v>50762045.400000006</v>
      </c>
      <c r="O511" s="16" t="s">
        <v>20</v>
      </c>
      <c r="P511" s="16" t="s">
        <v>857</v>
      </c>
      <c r="Q511" s="131">
        <v>420513.81</v>
      </c>
      <c r="R511" s="18">
        <v>4.5848000064688499</v>
      </c>
      <c r="S511" s="18">
        <f>Main_Presentation[[#This Row],[Invoice Amt (FCY)]]*Main_Presentation[[#This Row],[Rate]]</f>
        <v>1927971.7188082407</v>
      </c>
      <c r="T511" s="15">
        <v>45532</v>
      </c>
      <c r="U511" s="26" t="str">
        <f>VLOOKUP(Main_Presentation[[#This Row],[LC Number]],Main_Issuance[],18,0)</f>
        <v>30 days from the date of comm. inv.</v>
      </c>
      <c r="V511" s="19" t="s">
        <v>213</v>
      </c>
      <c r="W511" s="18" t="s">
        <v>857</v>
      </c>
      <c r="X511" s="16"/>
      <c r="Y511" s="234" t="str">
        <f>TRIM(LEFT(Main_Presentation[[#This Row],[Payment Terms]],3))</f>
        <v>30</v>
      </c>
      <c r="Z511" s="16"/>
      <c r="AA511" s="316" cm="1">
        <f t="array" ref="AA511">Settlement(Main_Presentation[[#This Row],[Bank]],Main_Presentation[[#This Row],[ Invoice Amt (SAR)]],Main_Presentation[[#This Row],[Date Recd]],Main_Presentation[[#This Row],[Due Date]],Main_Presentation[[#This Row],[Days]])</f>
        <v>2771.5</v>
      </c>
      <c r="AB511" s="16"/>
    </row>
    <row r="512" spans="1:28" ht="15.75" hidden="1" x14ac:dyDescent="0.25">
      <c r="A512" s="14" t="s">
        <v>306</v>
      </c>
      <c r="B512" s="15">
        <v>45516</v>
      </c>
      <c r="C512" s="26">
        <v>82</v>
      </c>
      <c r="D512" s="55" t="str">
        <f>VLOOKUP(Main_Presentation[[#This Row],[LC Number]],Main_Issuance[],3,0)</f>
        <v>Dipu Sir</v>
      </c>
      <c r="E512" s="16" t="s">
        <v>856</v>
      </c>
      <c r="F512" s="17" t="str">
        <f>VLOOKUP(Main_Presentation[[#This Row],[LC Number]],Main_Issuance[],5,0)</f>
        <v>Riyad</v>
      </c>
      <c r="G512" s="17" t="str">
        <f>VLOOKUP(Main_Presentation[[#This Row],[LC Number]],Main_Issuance[],6,0)</f>
        <v>Cash</v>
      </c>
      <c r="H512" s="17" t="str">
        <f>VLOOKUP(Main_Presentation[[#This Row],[LC Number]],Main_Issuance[],17,0)</f>
        <v>Cash</v>
      </c>
      <c r="I512" s="17" t="str">
        <f>VLOOKUP(Main_Presentation[[#This Row],[LC Number]],Main_Issuance[],7,0)</f>
        <v>ATELIER HOSPITALITY SRL</v>
      </c>
      <c r="J512" s="17" t="str">
        <f>VLOOKUP(Main_Presentation[[#This Row],[LC Number]],Main_Issuance[],8,0)</f>
        <v>MBL</v>
      </c>
      <c r="K512" s="17" t="str">
        <f>VLOOKUP(Main_Presentation[[#This Row],[LC Number]],Main_Issuance[],9,0)</f>
        <v>L01-YAMMAMA</v>
      </c>
      <c r="L512" s="17">
        <f>VLOOKUP(Main_Presentation[[#This Row],[LC Number]],Main_Issuance[],10,0)</f>
        <v>1020015</v>
      </c>
      <c r="M512" s="17" t="str">
        <f>VLOOKUP(Main_Presentation[[#This Row],[LC Number]],Main_Issuance[],11,0)</f>
        <v>EUR</v>
      </c>
      <c r="N512" s="84">
        <f>VLOOKUP(Main_Presentation[[#This Row],[LC Number]],Main_Issuance[],12,0)</f>
        <v>50762045.400000006</v>
      </c>
      <c r="O512" s="16" t="s">
        <v>20</v>
      </c>
      <c r="P512" s="16" t="s">
        <v>857</v>
      </c>
      <c r="Q512" s="131">
        <v>223130.76</v>
      </c>
      <c r="R512" s="18">
        <v>4.5848000064688499</v>
      </c>
      <c r="S512" s="18">
        <f>Main_Presentation[[#This Row],[Invoice Amt (FCY)]]*Main_Presentation[[#This Row],[Rate]]</f>
        <v>1023009.9098913994</v>
      </c>
      <c r="T512" s="15">
        <v>45518</v>
      </c>
      <c r="U512" s="26" t="str">
        <f>VLOOKUP(Main_Presentation[[#This Row],[LC Number]],Main_Issuance[],18,0)</f>
        <v>30 days from the date of comm. inv.</v>
      </c>
      <c r="V512" s="19" t="s">
        <v>213</v>
      </c>
      <c r="W512" s="18" t="s">
        <v>857</v>
      </c>
      <c r="X512" s="16"/>
      <c r="Y512" s="234" t="str">
        <f>TRIM(LEFT(Main_Presentation[[#This Row],[Payment Terms]],3))</f>
        <v>30</v>
      </c>
      <c r="Z512" s="16"/>
      <c r="AA512" s="316" cm="1">
        <f t="array" ref="AA512">Settlement(Main_Presentation[[#This Row],[Bank]],Main_Presentation[[#This Row],[ Invoice Amt (SAR)]],Main_Presentation[[#This Row],[Date Recd]],Main_Presentation[[#This Row],[Due Date]],Main_Presentation[[#This Row],[Days]])</f>
        <v>230</v>
      </c>
      <c r="AB512" s="16"/>
    </row>
    <row r="513" spans="1:28" ht="15.75" hidden="1" x14ac:dyDescent="0.25">
      <c r="A513" s="14" t="s">
        <v>306</v>
      </c>
      <c r="B513" s="15">
        <v>45516</v>
      </c>
      <c r="C513" s="26">
        <v>83</v>
      </c>
      <c r="D513" s="55" t="str">
        <f>VLOOKUP(Main_Presentation[[#This Row],[LC Number]],Main_Issuance[],3,0)</f>
        <v>Dipu Sir</v>
      </c>
      <c r="E513" s="16" t="s">
        <v>856</v>
      </c>
      <c r="F513" s="17" t="str">
        <f>VLOOKUP(Main_Presentation[[#This Row],[LC Number]],Main_Issuance[],5,0)</f>
        <v>Riyad</v>
      </c>
      <c r="G513" s="17" t="str">
        <f>VLOOKUP(Main_Presentation[[#This Row],[LC Number]],Main_Issuance[],6,0)</f>
        <v>Cash</v>
      </c>
      <c r="H513" s="17" t="str">
        <f>VLOOKUP(Main_Presentation[[#This Row],[LC Number]],Main_Issuance[],17,0)</f>
        <v>Cash</v>
      </c>
      <c r="I513" s="17" t="str">
        <f>VLOOKUP(Main_Presentation[[#This Row],[LC Number]],Main_Issuance[],7,0)</f>
        <v>ATELIER HOSPITALITY SRL</v>
      </c>
      <c r="J513" s="17" t="str">
        <f>VLOOKUP(Main_Presentation[[#This Row],[LC Number]],Main_Issuance[],8,0)</f>
        <v>MBL</v>
      </c>
      <c r="K513" s="17" t="str">
        <f>VLOOKUP(Main_Presentation[[#This Row],[LC Number]],Main_Issuance[],9,0)</f>
        <v>L01-YAMMAMA</v>
      </c>
      <c r="L513" s="17">
        <f>VLOOKUP(Main_Presentation[[#This Row],[LC Number]],Main_Issuance[],10,0)</f>
        <v>1020015</v>
      </c>
      <c r="M513" s="17" t="str">
        <f>VLOOKUP(Main_Presentation[[#This Row],[LC Number]],Main_Issuance[],11,0)</f>
        <v>EUR</v>
      </c>
      <c r="N513" s="84">
        <f>VLOOKUP(Main_Presentation[[#This Row],[LC Number]],Main_Issuance[],12,0)</f>
        <v>50762045.400000006</v>
      </c>
      <c r="O513" s="16" t="s">
        <v>20</v>
      </c>
      <c r="P513" s="16" t="s">
        <v>857</v>
      </c>
      <c r="Q513" s="131">
        <v>5583.09</v>
      </c>
      <c r="R513" s="18">
        <v>4.5848000064688499</v>
      </c>
      <c r="S513" s="18">
        <f>Main_Presentation[[#This Row],[Invoice Amt (FCY)]]*Main_Presentation[[#This Row],[Rate]]</f>
        <v>25597.351068116172</v>
      </c>
      <c r="T513" s="15">
        <v>45519</v>
      </c>
      <c r="U513" s="26" t="str">
        <f>VLOOKUP(Main_Presentation[[#This Row],[LC Number]],Main_Issuance[],18,0)</f>
        <v>30 days from the date of comm. inv.</v>
      </c>
      <c r="V513" s="19" t="s">
        <v>213</v>
      </c>
      <c r="W513" s="18" t="s">
        <v>857</v>
      </c>
      <c r="X513" s="16"/>
      <c r="Y513" s="234" t="str">
        <f>TRIM(LEFT(Main_Presentation[[#This Row],[Payment Terms]],3))</f>
        <v>30</v>
      </c>
      <c r="Z513" s="16"/>
      <c r="AA513" s="316" cm="1">
        <f t="array" ref="AA513">Settlement(Main_Presentation[[#This Row],[Bank]],Main_Presentation[[#This Row],[ Invoice Amt (SAR)]],Main_Presentation[[#This Row],[Date Recd]],Main_Presentation[[#This Row],[Due Date]],Main_Presentation[[#This Row],[Days]])</f>
        <v>230</v>
      </c>
      <c r="AB513" s="16"/>
    </row>
    <row r="514" spans="1:28" ht="15.75" hidden="1" x14ac:dyDescent="0.25">
      <c r="A514" s="14" t="s">
        <v>306</v>
      </c>
      <c r="B514" s="15">
        <v>45539</v>
      </c>
      <c r="C514" s="26">
        <v>84</v>
      </c>
      <c r="D514" s="55" t="str">
        <f>VLOOKUP(Main_Presentation[[#This Row],[LC Number]],Main_Issuance[],3,0)</f>
        <v>Dipu Sir</v>
      </c>
      <c r="E514" s="16" t="s">
        <v>858</v>
      </c>
      <c r="F514" s="17" t="str">
        <f>VLOOKUP(Main_Presentation[[#This Row],[LC Number]],Main_Issuance[],5,0)</f>
        <v>Riyad</v>
      </c>
      <c r="G514" s="17" t="str">
        <f>VLOOKUP(Main_Presentation[[#This Row],[LC Number]],Main_Issuance[],6,0)</f>
        <v>Cash</v>
      </c>
      <c r="H514" s="17" t="str">
        <f>VLOOKUP(Main_Presentation[[#This Row],[LC Number]],Main_Issuance[],17,0)</f>
        <v>Cash</v>
      </c>
      <c r="I514" s="17" t="str">
        <f>VLOOKUP(Main_Presentation[[#This Row],[LC Number]],Main_Issuance[],7,0)</f>
        <v>ATELIER HOSPITALITY SRL</v>
      </c>
      <c r="J514" s="17" t="str">
        <f>VLOOKUP(Main_Presentation[[#This Row],[LC Number]],Main_Issuance[],8,0)</f>
        <v>MBL</v>
      </c>
      <c r="K514" s="17" t="str">
        <f>VLOOKUP(Main_Presentation[[#This Row],[LC Number]],Main_Issuance[],9,0)</f>
        <v>L01-YAMMAMA</v>
      </c>
      <c r="L514" s="17">
        <f>VLOOKUP(Main_Presentation[[#This Row],[LC Number]],Main_Issuance[],10,0)</f>
        <v>1020015</v>
      </c>
      <c r="M514" s="17" t="str">
        <f>VLOOKUP(Main_Presentation[[#This Row],[LC Number]],Main_Issuance[],11,0)</f>
        <v>EUR</v>
      </c>
      <c r="N514" s="84">
        <f>VLOOKUP(Main_Presentation[[#This Row],[LC Number]],Main_Issuance[],12,0)</f>
        <v>50762045.400000006</v>
      </c>
      <c r="O514" s="16" t="s">
        <v>20</v>
      </c>
      <c r="P514" s="16" t="s">
        <v>857</v>
      </c>
      <c r="Q514" s="131">
        <v>1398893.91</v>
      </c>
      <c r="R514" s="18">
        <v>4.5848000064688499</v>
      </c>
      <c r="S514" s="18">
        <f>Main_Presentation[[#This Row],[Invoice Amt (FCY)]]*Main_Presentation[[#This Row],[Rate]]</f>
        <v>6413648.8076172341</v>
      </c>
      <c r="T514" s="15">
        <v>45545</v>
      </c>
      <c r="U514" s="26" t="str">
        <f>VLOOKUP(Main_Presentation[[#This Row],[LC Number]],Main_Issuance[],18,0)</f>
        <v>30 days from the date of comm. inv.</v>
      </c>
      <c r="V514" s="19" t="s">
        <v>213</v>
      </c>
      <c r="W514" s="18" t="s">
        <v>857</v>
      </c>
      <c r="X514" s="16"/>
      <c r="Y514" s="234" t="str">
        <f>TRIM(LEFT(Main_Presentation[[#This Row],[Payment Terms]],3))</f>
        <v>30</v>
      </c>
      <c r="Z514" s="16"/>
      <c r="AA514" s="316" cm="1">
        <f t="array" ref="AA514">Settlement(Main_Presentation[[#This Row],[Bank]],Main_Presentation[[#This Row],[ Invoice Amt (SAR)]],Main_Presentation[[#This Row],[Date Recd]],Main_Presentation[[#This Row],[Due Date]],Main_Presentation[[#This Row],[Days]])</f>
        <v>230</v>
      </c>
      <c r="AB514" s="16"/>
    </row>
    <row r="515" spans="1:28" ht="15.75" hidden="1" x14ac:dyDescent="0.25">
      <c r="A515" s="14" t="s">
        <v>306</v>
      </c>
      <c r="B515" s="15">
        <v>45539</v>
      </c>
      <c r="C515" s="26">
        <v>85</v>
      </c>
      <c r="D515" s="55" t="str">
        <f>VLOOKUP(Main_Presentation[[#This Row],[LC Number]],Main_Issuance[],3,0)</f>
        <v>Dipu Sir</v>
      </c>
      <c r="E515" s="16" t="s">
        <v>858</v>
      </c>
      <c r="F515" s="17" t="str">
        <f>VLOOKUP(Main_Presentation[[#This Row],[LC Number]],Main_Issuance[],5,0)</f>
        <v>Riyad</v>
      </c>
      <c r="G515" s="17" t="str">
        <f>VLOOKUP(Main_Presentation[[#This Row],[LC Number]],Main_Issuance[],6,0)</f>
        <v>Cash</v>
      </c>
      <c r="H515" s="17" t="str">
        <f>VLOOKUP(Main_Presentation[[#This Row],[LC Number]],Main_Issuance[],17,0)</f>
        <v>Cash</v>
      </c>
      <c r="I515" s="17" t="str">
        <f>VLOOKUP(Main_Presentation[[#This Row],[LC Number]],Main_Issuance[],7,0)</f>
        <v>ATELIER HOSPITALITY SRL</v>
      </c>
      <c r="J515" s="17" t="str">
        <f>VLOOKUP(Main_Presentation[[#This Row],[LC Number]],Main_Issuance[],8,0)</f>
        <v>MBL</v>
      </c>
      <c r="K515" s="17" t="str">
        <f>VLOOKUP(Main_Presentation[[#This Row],[LC Number]],Main_Issuance[],9,0)</f>
        <v>L01-YAMMAMA</v>
      </c>
      <c r="L515" s="17">
        <f>VLOOKUP(Main_Presentation[[#This Row],[LC Number]],Main_Issuance[],10,0)</f>
        <v>1020015</v>
      </c>
      <c r="M515" s="17" t="str">
        <f>VLOOKUP(Main_Presentation[[#This Row],[LC Number]],Main_Issuance[],11,0)</f>
        <v>EUR</v>
      </c>
      <c r="N515" s="84">
        <f>VLOOKUP(Main_Presentation[[#This Row],[LC Number]],Main_Issuance[],12,0)</f>
        <v>50762045.400000006</v>
      </c>
      <c r="O515" s="16" t="s">
        <v>20</v>
      </c>
      <c r="P515" s="16" t="s">
        <v>857</v>
      </c>
      <c r="Q515" s="131">
        <v>395993.9</v>
      </c>
      <c r="R515" s="18">
        <v>4.5848000064688499</v>
      </c>
      <c r="S515" s="18">
        <f>Main_Presentation[[#This Row],[Invoice Amt (FCY)]]*Main_Presentation[[#This Row],[Rate]]</f>
        <v>1815552.8352816252</v>
      </c>
      <c r="T515" s="15">
        <v>45545</v>
      </c>
      <c r="U515" s="26" t="str">
        <f>VLOOKUP(Main_Presentation[[#This Row],[LC Number]],Main_Issuance[],18,0)</f>
        <v>30 days from the date of comm. inv.</v>
      </c>
      <c r="V515" s="19" t="s">
        <v>213</v>
      </c>
      <c r="W515" s="18" t="s">
        <v>857</v>
      </c>
      <c r="X515" s="16"/>
      <c r="Y515" s="234" t="str">
        <f>TRIM(LEFT(Main_Presentation[[#This Row],[Payment Terms]],3))</f>
        <v>30</v>
      </c>
      <c r="Z515" s="16"/>
      <c r="AA515" s="316" cm="1">
        <f t="array" ref="AA515">Settlement(Main_Presentation[[#This Row],[Bank]],Main_Presentation[[#This Row],[ Invoice Amt (SAR)]],Main_Presentation[[#This Row],[Date Recd]],Main_Presentation[[#This Row],[Due Date]],Main_Presentation[[#This Row],[Days]])</f>
        <v>230</v>
      </c>
      <c r="AB515" s="16"/>
    </row>
    <row r="516" spans="1:28" ht="15.75" hidden="1" x14ac:dyDescent="0.25">
      <c r="A516" s="335" t="s">
        <v>69</v>
      </c>
      <c r="B516" s="336">
        <v>45279</v>
      </c>
      <c r="C516" s="337">
        <v>1</v>
      </c>
      <c r="D516" s="338" t="str">
        <f>VLOOKUP(Main_Presentation[[#This Row],[LC Number]],Main_Issuance[],3,0)</f>
        <v>Dipu Sir</v>
      </c>
      <c r="E516" s="339" t="s">
        <v>856</v>
      </c>
      <c r="F516" s="340" t="str">
        <f>VLOOKUP(Main_Presentation[[#This Row],[LC Number]],Main_Issuance[],5,0)</f>
        <v>Riyad</v>
      </c>
      <c r="G516" s="340" t="str">
        <f>VLOOKUP(Main_Presentation[[#This Row],[LC Number]],Main_Issuance[],6,0)</f>
        <v>Cash</v>
      </c>
      <c r="H516" s="340" t="str">
        <f>VLOOKUP(Main_Presentation[[#This Row],[LC Number]],Main_Issuance[],17,0)</f>
        <v>Cash</v>
      </c>
      <c r="I516" s="340" t="str">
        <f>VLOOKUP(Main_Presentation[[#This Row],[LC Number]],Main_Issuance[],7,0)</f>
        <v>TDM SL</v>
      </c>
      <c r="J516" s="340" t="str">
        <f>VLOOKUP(Main_Presentation[[#This Row],[LC Number]],Main_Issuance[],8,0)</f>
        <v>MBL</v>
      </c>
      <c r="K516" s="340" t="str">
        <f>VLOOKUP(Main_Presentation[[#This Row],[LC Number]],Main_Issuance[],9,0)</f>
        <v>L01-YAMMAMA</v>
      </c>
      <c r="L516" s="340">
        <f>VLOOKUP(Main_Presentation[[#This Row],[LC Number]],Main_Issuance[],10,0)</f>
        <v>1020015</v>
      </c>
      <c r="M516" s="340" t="str">
        <f>VLOOKUP(Main_Presentation[[#This Row],[LC Number]],Main_Issuance[],11,0)</f>
        <v>EUR</v>
      </c>
      <c r="N516" s="341">
        <f>VLOOKUP(Main_Presentation[[#This Row],[LC Number]],Main_Issuance[],12,0)</f>
        <v>5927186</v>
      </c>
      <c r="O516" s="339" t="s">
        <v>20</v>
      </c>
      <c r="P516" s="339" t="s">
        <v>857</v>
      </c>
      <c r="Q516" s="342">
        <v>1288392.8799999999</v>
      </c>
      <c r="R516" s="342">
        <v>4.12</v>
      </c>
      <c r="S516" s="342">
        <f>Main_Presentation[[#This Row],[Invoice Amt (FCY)]]*Main_Presentation[[#This Row],[Rate]]</f>
        <v>5308178.6655999999</v>
      </c>
      <c r="T516" s="336">
        <v>45280</v>
      </c>
      <c r="U516" s="337" t="str">
        <f>VLOOKUP(Main_Presentation[[#This Row],[LC Number]],Main_Issuance[],18,0)</f>
        <v xml:space="preserve">21 days from the shipment </v>
      </c>
      <c r="V516" s="343" t="s">
        <v>213</v>
      </c>
      <c r="W516" s="344" t="s">
        <v>857</v>
      </c>
      <c r="X516" s="339"/>
      <c r="Y516" s="401" t="str">
        <f>TRIM(LEFT(Main_Presentation[[#This Row],[Payment Terms]],3))</f>
        <v>21</v>
      </c>
      <c r="Z516" s="339"/>
      <c r="AA516" s="316" cm="1">
        <f t="array" ref="AA516">Settlement(Main_Presentation[[#This Row],[Bank]],Main_Presentation[[#This Row],[ Invoice Amt (SAR)]],Main_Presentation[[#This Row],[Date Recd]],Main_Presentation[[#This Row],[Due Date]],Main_Presentation[[#This Row],[Days]])</f>
        <v>230</v>
      </c>
      <c r="AB516" s="339"/>
    </row>
    <row r="517" spans="1:28" ht="15.75" hidden="1" x14ac:dyDescent="0.25">
      <c r="A517" s="335" t="s">
        <v>69</v>
      </c>
      <c r="B517" s="336">
        <v>45285</v>
      </c>
      <c r="C517" s="337">
        <v>2</v>
      </c>
      <c r="D517" s="338" t="str">
        <f>VLOOKUP(Main_Presentation[[#This Row],[LC Number]],Main_Issuance[],3,0)</f>
        <v>Dipu Sir</v>
      </c>
      <c r="E517" s="339" t="s">
        <v>856</v>
      </c>
      <c r="F517" s="340" t="str">
        <f>VLOOKUP(Main_Presentation[[#This Row],[LC Number]],Main_Issuance[],5,0)</f>
        <v>Riyad</v>
      </c>
      <c r="G517" s="340" t="str">
        <f>VLOOKUP(Main_Presentation[[#This Row],[LC Number]],Main_Issuance[],6,0)</f>
        <v>Cash</v>
      </c>
      <c r="H517" s="340" t="str">
        <f>VLOOKUP(Main_Presentation[[#This Row],[LC Number]],Main_Issuance[],17,0)</f>
        <v>Cash</v>
      </c>
      <c r="I517" s="340" t="str">
        <f>VLOOKUP(Main_Presentation[[#This Row],[LC Number]],Main_Issuance[],7,0)</f>
        <v>TDM SL</v>
      </c>
      <c r="J517" s="340" t="str">
        <f>VLOOKUP(Main_Presentation[[#This Row],[LC Number]],Main_Issuance[],8,0)</f>
        <v>MBL</v>
      </c>
      <c r="K517" s="340" t="str">
        <f>VLOOKUP(Main_Presentation[[#This Row],[LC Number]],Main_Issuance[],9,0)</f>
        <v>L01-YAMMAMA</v>
      </c>
      <c r="L517" s="340">
        <f>VLOOKUP(Main_Presentation[[#This Row],[LC Number]],Main_Issuance[],10,0)</f>
        <v>1020015</v>
      </c>
      <c r="M517" s="340" t="str">
        <f>VLOOKUP(Main_Presentation[[#This Row],[LC Number]],Main_Issuance[],11,0)</f>
        <v>EUR</v>
      </c>
      <c r="N517" s="341">
        <f>VLOOKUP(Main_Presentation[[#This Row],[LC Number]],Main_Issuance[],12,0)</f>
        <v>5927186</v>
      </c>
      <c r="O517" s="339" t="s">
        <v>20</v>
      </c>
      <c r="P517" s="339" t="s">
        <v>857</v>
      </c>
      <c r="Q517" s="342">
        <v>1652102.64</v>
      </c>
      <c r="R517" s="342">
        <v>4.1449999999999996</v>
      </c>
      <c r="S517" s="342">
        <f>Main_Presentation[[#This Row],[Invoice Amt (FCY)]]*Main_Presentation[[#This Row],[Rate]]</f>
        <v>6847965.4427999984</v>
      </c>
      <c r="T517" s="336">
        <v>45286</v>
      </c>
      <c r="U517" s="337" t="str">
        <f>VLOOKUP(Main_Presentation[[#This Row],[LC Number]],Main_Issuance[],18,0)</f>
        <v xml:space="preserve">21 days from the shipment </v>
      </c>
      <c r="V517" s="343" t="s">
        <v>213</v>
      </c>
      <c r="W517" s="344" t="s">
        <v>857</v>
      </c>
      <c r="X517" s="339"/>
      <c r="Y517" s="401" t="str">
        <f>TRIM(LEFT(Main_Presentation[[#This Row],[Payment Terms]],3))</f>
        <v>21</v>
      </c>
      <c r="Z517" s="339"/>
      <c r="AA517" s="316" cm="1">
        <f t="array" ref="AA517">Settlement(Main_Presentation[[#This Row],[Bank]],Main_Presentation[[#This Row],[ Invoice Amt (SAR)]],Main_Presentation[[#This Row],[Date Recd]],Main_Presentation[[#This Row],[Due Date]],Main_Presentation[[#This Row],[Days]])</f>
        <v>230</v>
      </c>
      <c r="AB517" s="339"/>
    </row>
    <row r="518" spans="1:28" ht="15.75" hidden="1" x14ac:dyDescent="0.25">
      <c r="A518" s="335" t="s">
        <v>69</v>
      </c>
      <c r="B518" s="336">
        <v>44982</v>
      </c>
      <c r="C518" s="337">
        <v>3</v>
      </c>
      <c r="D518" s="338" t="str">
        <f>VLOOKUP(Main_Presentation[[#This Row],[LC Number]],Main_Issuance[],3,0)</f>
        <v>Dipu Sir</v>
      </c>
      <c r="E518" s="339" t="s">
        <v>856</v>
      </c>
      <c r="F518" s="340" t="str">
        <f>VLOOKUP(Main_Presentation[[#This Row],[LC Number]],Main_Issuance[],5,0)</f>
        <v>Riyad</v>
      </c>
      <c r="G518" s="340" t="str">
        <f>VLOOKUP(Main_Presentation[[#This Row],[LC Number]],Main_Issuance[],6,0)</f>
        <v>Cash</v>
      </c>
      <c r="H518" s="340" t="str">
        <f>VLOOKUP(Main_Presentation[[#This Row],[LC Number]],Main_Issuance[],17,0)</f>
        <v>Cash</v>
      </c>
      <c r="I518" s="340" t="str">
        <f>VLOOKUP(Main_Presentation[[#This Row],[LC Number]],Main_Issuance[],7,0)</f>
        <v>TDM SL</v>
      </c>
      <c r="J518" s="340" t="str">
        <f>VLOOKUP(Main_Presentation[[#This Row],[LC Number]],Main_Issuance[],8,0)</f>
        <v>MBL</v>
      </c>
      <c r="K518" s="340" t="str">
        <f>VLOOKUP(Main_Presentation[[#This Row],[LC Number]],Main_Issuance[],9,0)</f>
        <v>L01-YAMMAMA</v>
      </c>
      <c r="L518" s="340">
        <f>VLOOKUP(Main_Presentation[[#This Row],[LC Number]],Main_Issuance[],10,0)</f>
        <v>1020015</v>
      </c>
      <c r="M518" s="340" t="str">
        <f>VLOOKUP(Main_Presentation[[#This Row],[LC Number]],Main_Issuance[],11,0)</f>
        <v>EUR</v>
      </c>
      <c r="N518" s="341">
        <f>VLOOKUP(Main_Presentation[[#This Row],[LC Number]],Main_Issuance[],12,0)</f>
        <v>5927186</v>
      </c>
      <c r="O518" s="339" t="s">
        <v>20</v>
      </c>
      <c r="P518" s="339" t="s">
        <v>857</v>
      </c>
      <c r="Q518" s="342">
        <v>1689291.9</v>
      </c>
      <c r="R518" s="342">
        <v>4.085</v>
      </c>
      <c r="S518" s="342">
        <f>Main_Presentation[[#This Row],[Invoice Amt (FCY)]]*Main_Presentation[[#This Row],[Rate]]</f>
        <v>6900757.4114999995</v>
      </c>
      <c r="T518" s="336">
        <v>44978</v>
      </c>
      <c r="U518" s="337" t="str">
        <f>VLOOKUP(Main_Presentation[[#This Row],[LC Number]],Main_Issuance[],18,0)</f>
        <v xml:space="preserve">21 days from the shipment </v>
      </c>
      <c r="V518" s="343" t="s">
        <v>213</v>
      </c>
      <c r="W518" s="344" t="s">
        <v>857</v>
      </c>
      <c r="X518" s="339"/>
      <c r="Y518" s="401" t="str">
        <f>TRIM(LEFT(Main_Presentation[[#This Row],[Payment Terms]],3))</f>
        <v>21</v>
      </c>
      <c r="Z518" s="339"/>
      <c r="AA518" s="316" cm="1">
        <f t="array" ref="AA518">Settlement(Main_Presentation[[#This Row],[Bank]],Main_Presentation[[#This Row],[ Invoice Amt (SAR)]],Main_Presentation[[#This Row],[Date Recd]],Main_Presentation[[#This Row],[Due Date]],Main_Presentation[[#This Row],[Days]])</f>
        <v>230</v>
      </c>
      <c r="AB518" s="339"/>
    </row>
    <row r="519" spans="1:28" ht="15.75" hidden="1" x14ac:dyDescent="0.25">
      <c r="A519" s="335" t="s">
        <v>69</v>
      </c>
      <c r="B519" s="336">
        <v>45019</v>
      </c>
      <c r="C519" s="337">
        <v>5</v>
      </c>
      <c r="D519" s="338" t="str">
        <f>VLOOKUP(Main_Presentation[[#This Row],[LC Number]],Main_Issuance[],3,0)</f>
        <v>Dipu Sir</v>
      </c>
      <c r="E519" s="339" t="s">
        <v>856</v>
      </c>
      <c r="F519" s="340" t="str">
        <f>VLOOKUP(Main_Presentation[[#This Row],[LC Number]],Main_Issuance[],5,0)</f>
        <v>Riyad</v>
      </c>
      <c r="G519" s="340" t="str">
        <f>VLOOKUP(Main_Presentation[[#This Row],[LC Number]],Main_Issuance[],6,0)</f>
        <v>Cash</v>
      </c>
      <c r="H519" s="340" t="str">
        <f>VLOOKUP(Main_Presentation[[#This Row],[LC Number]],Main_Issuance[],17,0)</f>
        <v>Cash</v>
      </c>
      <c r="I519" s="340" t="str">
        <f>VLOOKUP(Main_Presentation[[#This Row],[LC Number]],Main_Issuance[],7,0)</f>
        <v>TDM SL</v>
      </c>
      <c r="J519" s="340" t="str">
        <f>VLOOKUP(Main_Presentation[[#This Row],[LC Number]],Main_Issuance[],8,0)</f>
        <v>MBL</v>
      </c>
      <c r="K519" s="340" t="str">
        <f>VLOOKUP(Main_Presentation[[#This Row],[LC Number]],Main_Issuance[],9,0)</f>
        <v>L01-YAMMAMA</v>
      </c>
      <c r="L519" s="340">
        <f>VLOOKUP(Main_Presentation[[#This Row],[LC Number]],Main_Issuance[],10,0)</f>
        <v>1020015</v>
      </c>
      <c r="M519" s="340" t="str">
        <f>VLOOKUP(Main_Presentation[[#This Row],[LC Number]],Main_Issuance[],11,0)</f>
        <v>EUR</v>
      </c>
      <c r="N519" s="341">
        <f>VLOOKUP(Main_Presentation[[#This Row],[LC Number]],Main_Issuance[],12,0)</f>
        <v>5927186</v>
      </c>
      <c r="O519" s="339" t="s">
        <v>20</v>
      </c>
      <c r="P519" s="339" t="s">
        <v>857</v>
      </c>
      <c r="Q519" s="342">
        <v>1294526.92</v>
      </c>
      <c r="R519" s="342">
        <v>4.0119999999999996</v>
      </c>
      <c r="S519" s="342">
        <f>Main_Presentation[[#This Row],[Invoice Amt (FCY)]]*Main_Presentation[[#This Row],[Rate]]</f>
        <v>5193642.0030399989</v>
      </c>
      <c r="T519" s="336">
        <v>45386</v>
      </c>
      <c r="U519" s="337" t="str">
        <f>VLOOKUP(Main_Presentation[[#This Row],[LC Number]],Main_Issuance[],18,0)</f>
        <v xml:space="preserve">21 days from the shipment </v>
      </c>
      <c r="V519" s="343" t="s">
        <v>213</v>
      </c>
      <c r="W519" s="344" t="s">
        <v>857</v>
      </c>
      <c r="X519" s="339" t="s">
        <v>860</v>
      </c>
      <c r="Y519" s="401" t="str">
        <f>TRIM(LEFT(Main_Presentation[[#This Row],[Payment Terms]],3))</f>
        <v>21</v>
      </c>
      <c r="Z519" s="339"/>
      <c r="AA519" s="316" cm="1">
        <f t="array" ref="AA519">Settlement(Main_Presentation[[#This Row],[Bank]],Main_Presentation[[#This Row],[ Invoice Amt (SAR)]],Main_Presentation[[#This Row],[Date Recd]],Main_Presentation[[#This Row],[Due Date]],Main_Presentation[[#This Row],[Days]])</f>
        <v>89590.75</v>
      </c>
      <c r="AB519" s="339"/>
    </row>
    <row r="520" spans="1:28" ht="15.75" hidden="1" x14ac:dyDescent="0.25">
      <c r="A520" s="335" t="s">
        <v>91</v>
      </c>
      <c r="B520" s="336">
        <v>45418</v>
      </c>
      <c r="C520" s="337">
        <v>1</v>
      </c>
      <c r="D520" s="338" t="str">
        <f>VLOOKUP(Main_Presentation[[#This Row],[LC Number]],Main_Issuance[],3,0)</f>
        <v>Dipu Sir</v>
      </c>
      <c r="E520" s="339" t="s">
        <v>856</v>
      </c>
      <c r="F520" s="340" t="str">
        <f>VLOOKUP(Main_Presentation[[#This Row],[LC Number]],Main_Issuance[],5,0)</f>
        <v>Riyad</v>
      </c>
      <c r="G520" s="340" t="str">
        <f>VLOOKUP(Main_Presentation[[#This Row],[LC Number]],Main_Issuance[],6,0)</f>
        <v>Multipurpose</v>
      </c>
      <c r="H520" s="340" t="str">
        <f>VLOOKUP(Main_Presentation[[#This Row],[LC Number]],Main_Issuance[],17,0)</f>
        <v>Credit</v>
      </c>
      <c r="I520" s="340" t="str">
        <f>VLOOKUP(Main_Presentation[[#This Row],[LC Number]],Main_Issuance[],7,0)</f>
        <v>TDM SL</v>
      </c>
      <c r="J520" s="340" t="str">
        <f>VLOOKUP(Main_Presentation[[#This Row],[LC Number]],Main_Issuance[],8,0)</f>
        <v>MBL</v>
      </c>
      <c r="K520" s="340" t="str">
        <f>VLOOKUP(Main_Presentation[[#This Row],[LC Number]],Main_Issuance[],9,0)</f>
        <v>L01-YAMMAMA</v>
      </c>
      <c r="L520" s="340">
        <f>VLOOKUP(Main_Presentation[[#This Row],[LC Number]],Main_Issuance[],10,0)</f>
        <v>1020015</v>
      </c>
      <c r="M520" s="340" t="str">
        <f>VLOOKUP(Main_Presentation[[#This Row],[LC Number]],Main_Issuance[],11,0)</f>
        <v>EUR</v>
      </c>
      <c r="N520" s="341">
        <f>VLOOKUP(Main_Presentation[[#This Row],[LC Number]],Main_Issuance[],12,0)</f>
        <v>1440242</v>
      </c>
      <c r="O520" s="339" t="s">
        <v>20</v>
      </c>
      <c r="P520" s="339" t="s">
        <v>857</v>
      </c>
      <c r="Q520" s="342">
        <v>662624</v>
      </c>
      <c r="R520" s="342">
        <v>4.077</v>
      </c>
      <c r="S520" s="342">
        <f>Main_Presentation[[#This Row],[Invoice Amt (FCY)]]*Main_Presentation[[#This Row],[Rate]]</f>
        <v>2701518.048</v>
      </c>
      <c r="T520" s="336">
        <v>45427</v>
      </c>
      <c r="U520" s="337">
        <f>VLOOKUP(Main_Presentation[[#This Row],[LC Number]],Main_Issuance[],18,0)</f>
        <v>0</v>
      </c>
      <c r="V520" s="343" t="s">
        <v>213</v>
      </c>
      <c r="W520" s="344" t="s">
        <v>857</v>
      </c>
      <c r="X520" s="339"/>
      <c r="Y520" s="401" t="str">
        <f>TRIM(LEFT(Main_Presentation[[#This Row],[Payment Terms]],3))</f>
        <v>0</v>
      </c>
      <c r="Z520" s="339"/>
      <c r="AA520" s="316" cm="1">
        <f t="array" ref="AA520">Settlement(Main_Presentation[[#This Row],[Bank]],Main_Presentation[[#This Row],[ Invoice Amt (SAR)]],Main_Presentation[[#This Row],[Date Recd]],Main_Presentation[[#This Row],[Due Date]],Main_Presentation[[#This Row],[Days]])</f>
        <v>230</v>
      </c>
      <c r="AB520" s="339"/>
    </row>
    <row r="521" spans="1:28" ht="15.75" hidden="1" x14ac:dyDescent="0.25">
      <c r="A521" s="335" t="s">
        <v>91</v>
      </c>
      <c r="B521" s="336">
        <v>45425</v>
      </c>
      <c r="C521" s="337">
        <v>2</v>
      </c>
      <c r="D521" s="338" t="str">
        <f>VLOOKUP(Main_Presentation[[#This Row],[LC Number]],Main_Issuance[],3,0)</f>
        <v>Dipu Sir</v>
      </c>
      <c r="E521" s="339" t="s">
        <v>856</v>
      </c>
      <c r="F521" s="340" t="str">
        <f>VLOOKUP(Main_Presentation[[#This Row],[LC Number]],Main_Issuance[],5,0)</f>
        <v>Riyad</v>
      </c>
      <c r="G521" s="340" t="str">
        <f>VLOOKUP(Main_Presentation[[#This Row],[LC Number]],Main_Issuance[],6,0)</f>
        <v>Multipurpose</v>
      </c>
      <c r="H521" s="340" t="str">
        <f>VLOOKUP(Main_Presentation[[#This Row],[LC Number]],Main_Issuance[],17,0)</f>
        <v>Credit</v>
      </c>
      <c r="I521" s="340" t="str">
        <f>VLOOKUP(Main_Presentation[[#This Row],[LC Number]],Main_Issuance[],7,0)</f>
        <v>TDM SL</v>
      </c>
      <c r="J521" s="340" t="str">
        <f>VLOOKUP(Main_Presentation[[#This Row],[LC Number]],Main_Issuance[],8,0)</f>
        <v>MBL</v>
      </c>
      <c r="K521" s="340" t="str">
        <f>VLOOKUP(Main_Presentation[[#This Row],[LC Number]],Main_Issuance[],9,0)</f>
        <v>L01-YAMMAMA</v>
      </c>
      <c r="L521" s="340">
        <f>VLOOKUP(Main_Presentation[[#This Row],[LC Number]],Main_Issuance[],10,0)</f>
        <v>1020015</v>
      </c>
      <c r="M521" s="340" t="str">
        <f>VLOOKUP(Main_Presentation[[#This Row],[LC Number]],Main_Issuance[],11,0)</f>
        <v>EUR</v>
      </c>
      <c r="N521" s="341">
        <f>VLOOKUP(Main_Presentation[[#This Row],[LC Number]],Main_Issuance[],12,0)</f>
        <v>1440242</v>
      </c>
      <c r="O521" s="339" t="s">
        <v>20</v>
      </c>
      <c r="P521" s="339" t="s">
        <v>857</v>
      </c>
      <c r="Q521" s="342">
        <v>531467.27</v>
      </c>
      <c r="R521" s="342">
        <v>4.077</v>
      </c>
      <c r="S521" s="342">
        <f>Main_Presentation[[#This Row],[Invoice Amt (FCY)]]*Main_Presentation[[#This Row],[Rate]]</f>
        <v>2166792.0597899999</v>
      </c>
      <c r="T521" s="336">
        <v>45427</v>
      </c>
      <c r="U521" s="337">
        <f>VLOOKUP(Main_Presentation[[#This Row],[LC Number]],Main_Issuance[],18,0)</f>
        <v>0</v>
      </c>
      <c r="V521" s="343" t="s">
        <v>213</v>
      </c>
      <c r="W521" s="344" t="s">
        <v>857</v>
      </c>
      <c r="X521" s="339"/>
      <c r="Y521" s="401" t="str">
        <f>TRIM(LEFT(Main_Presentation[[#This Row],[Payment Terms]],3))</f>
        <v>0</v>
      </c>
      <c r="Z521" s="339"/>
      <c r="AA521" s="316" cm="1">
        <f t="array" ref="AA521">Settlement(Main_Presentation[[#This Row],[Bank]],Main_Presentation[[#This Row],[ Invoice Amt (SAR)]],Main_Presentation[[#This Row],[Date Recd]],Main_Presentation[[#This Row],[Due Date]],Main_Presentation[[#This Row],[Days]])</f>
        <v>230</v>
      </c>
      <c r="AB521" s="339"/>
    </row>
    <row r="522" spans="1:28" ht="15.75" hidden="1" x14ac:dyDescent="0.25">
      <c r="A522" s="335" t="s">
        <v>91</v>
      </c>
      <c r="B522" s="336">
        <v>45432</v>
      </c>
      <c r="C522" s="337">
        <v>3</v>
      </c>
      <c r="D522" s="338" t="str">
        <f>VLOOKUP(Main_Presentation[[#This Row],[LC Number]],Main_Issuance[],3,0)</f>
        <v>Dipu Sir</v>
      </c>
      <c r="E522" s="339" t="s">
        <v>856</v>
      </c>
      <c r="F522" s="340" t="str">
        <f>VLOOKUP(Main_Presentation[[#This Row],[LC Number]],Main_Issuance[],5,0)</f>
        <v>Riyad</v>
      </c>
      <c r="G522" s="340" t="str">
        <f>VLOOKUP(Main_Presentation[[#This Row],[LC Number]],Main_Issuance[],6,0)</f>
        <v>Multipurpose</v>
      </c>
      <c r="H522" s="340" t="str">
        <f>VLOOKUP(Main_Presentation[[#This Row],[LC Number]],Main_Issuance[],17,0)</f>
        <v>Credit</v>
      </c>
      <c r="I522" s="340" t="str">
        <f>VLOOKUP(Main_Presentation[[#This Row],[LC Number]],Main_Issuance[],7,0)</f>
        <v>TDM SL</v>
      </c>
      <c r="J522" s="340" t="str">
        <f>VLOOKUP(Main_Presentation[[#This Row],[LC Number]],Main_Issuance[],8,0)</f>
        <v>MBL</v>
      </c>
      <c r="K522" s="340" t="str">
        <f>VLOOKUP(Main_Presentation[[#This Row],[LC Number]],Main_Issuance[],9,0)</f>
        <v>L01-YAMMAMA</v>
      </c>
      <c r="L522" s="340">
        <f>VLOOKUP(Main_Presentation[[#This Row],[LC Number]],Main_Issuance[],10,0)</f>
        <v>1020015</v>
      </c>
      <c r="M522" s="340" t="str">
        <f>VLOOKUP(Main_Presentation[[#This Row],[LC Number]],Main_Issuance[],11,0)</f>
        <v>EUR</v>
      </c>
      <c r="N522" s="341">
        <f>VLOOKUP(Main_Presentation[[#This Row],[LC Number]],Main_Issuance[],12,0)</f>
        <v>1440242</v>
      </c>
      <c r="O522" s="339" t="s">
        <v>20</v>
      </c>
      <c r="P522" s="339" t="s">
        <v>857</v>
      </c>
      <c r="Q522" s="342">
        <v>76666.710000000006</v>
      </c>
      <c r="R522" s="342">
        <v>4.09</v>
      </c>
      <c r="S522" s="342">
        <f>Main_Presentation[[#This Row],[Invoice Amt (FCY)]]*Main_Presentation[[#This Row],[Rate]]</f>
        <v>313566.84390000004</v>
      </c>
      <c r="T522" s="336">
        <v>45390</v>
      </c>
      <c r="U522" s="337">
        <f>VLOOKUP(Main_Presentation[[#This Row],[LC Number]],Main_Issuance[],18,0)</f>
        <v>0</v>
      </c>
      <c r="V522" s="343" t="s">
        <v>213</v>
      </c>
      <c r="W522" s="344" t="s">
        <v>857</v>
      </c>
      <c r="X522" s="339"/>
      <c r="Y522" s="401" t="str">
        <f>TRIM(LEFT(Main_Presentation[[#This Row],[Payment Terms]],3))</f>
        <v>0</v>
      </c>
      <c r="Z522" s="339"/>
      <c r="AA522" s="316" cm="1">
        <f t="array" ref="AA522">Settlement(Main_Presentation[[#This Row],[Bank]],Main_Presentation[[#This Row],[ Invoice Amt (SAR)]],Main_Presentation[[#This Row],[Date Recd]],Main_Presentation[[#This Row],[Due Date]],Main_Presentation[[#This Row],[Days]])</f>
        <v>230</v>
      </c>
      <c r="AB522" s="339"/>
    </row>
    <row r="523" spans="1:28" ht="15.75" hidden="1" x14ac:dyDescent="0.25">
      <c r="A523" s="335" t="s">
        <v>91</v>
      </c>
      <c r="B523" s="336">
        <v>45498</v>
      </c>
      <c r="C523" s="337">
        <v>4</v>
      </c>
      <c r="D523" s="338" t="str">
        <f>VLOOKUP(Main_Presentation[[#This Row],[LC Number]],Main_Issuance[],3,0)</f>
        <v>Dipu Sir</v>
      </c>
      <c r="E523" s="339" t="s">
        <v>856</v>
      </c>
      <c r="F523" s="340" t="str">
        <f>VLOOKUP(Main_Presentation[[#This Row],[LC Number]],Main_Issuance[],5,0)</f>
        <v>Riyad</v>
      </c>
      <c r="G523" s="340" t="str">
        <f>VLOOKUP(Main_Presentation[[#This Row],[LC Number]],Main_Issuance[],6,0)</f>
        <v>Multipurpose</v>
      </c>
      <c r="H523" s="340" t="str">
        <f>VLOOKUP(Main_Presentation[[#This Row],[LC Number]],Main_Issuance[],17,0)</f>
        <v>Credit</v>
      </c>
      <c r="I523" s="340" t="str">
        <f>VLOOKUP(Main_Presentation[[#This Row],[LC Number]],Main_Issuance[],7,0)</f>
        <v>TDM SL</v>
      </c>
      <c r="J523" s="340" t="str">
        <f>VLOOKUP(Main_Presentation[[#This Row],[LC Number]],Main_Issuance[],8,0)</f>
        <v>MBL</v>
      </c>
      <c r="K523" s="340" t="str">
        <f>VLOOKUP(Main_Presentation[[#This Row],[LC Number]],Main_Issuance[],9,0)</f>
        <v>L01-YAMMAMA</v>
      </c>
      <c r="L523" s="340">
        <f>VLOOKUP(Main_Presentation[[#This Row],[LC Number]],Main_Issuance[],10,0)</f>
        <v>1020015</v>
      </c>
      <c r="M523" s="340" t="str">
        <f>VLOOKUP(Main_Presentation[[#This Row],[LC Number]],Main_Issuance[],11,0)</f>
        <v>EUR</v>
      </c>
      <c r="N523" s="341">
        <f>VLOOKUP(Main_Presentation[[#This Row],[LC Number]],Main_Issuance[],12,0)</f>
        <v>1440242</v>
      </c>
      <c r="O523" s="339" t="s">
        <v>20</v>
      </c>
      <c r="P523" s="339" t="s">
        <v>857</v>
      </c>
      <c r="Q523" s="342">
        <v>169483.37</v>
      </c>
      <c r="R523" s="342">
        <v>4.1020000000000003</v>
      </c>
      <c r="S523" s="342">
        <f>Main_Presentation[[#This Row],[Invoice Amt (FCY)]]*Main_Presentation[[#This Row],[Rate]]</f>
        <v>695220.78373999998</v>
      </c>
      <c r="T523" s="336">
        <v>45500</v>
      </c>
      <c r="U523" s="337">
        <f>VLOOKUP(Main_Presentation[[#This Row],[LC Number]],Main_Issuance[],18,0)</f>
        <v>0</v>
      </c>
      <c r="V523" s="343" t="s">
        <v>213</v>
      </c>
      <c r="W523" s="344" t="s">
        <v>857</v>
      </c>
      <c r="X523" s="339"/>
      <c r="Y523" s="401" t="str">
        <f>TRIM(LEFT(Main_Presentation[[#This Row],[Payment Terms]],3))</f>
        <v>0</v>
      </c>
      <c r="Z523" s="339"/>
      <c r="AA523" s="316" cm="1">
        <f t="array" ref="AA523">Settlement(Main_Presentation[[#This Row],[Bank]],Main_Presentation[[#This Row],[ Invoice Amt (SAR)]],Main_Presentation[[#This Row],[Date Recd]],Main_Presentation[[#This Row],[Due Date]],Main_Presentation[[#This Row],[Days]])</f>
        <v>230</v>
      </c>
      <c r="AB523" s="339"/>
    </row>
    <row r="524" spans="1:28" ht="15.75" hidden="1" x14ac:dyDescent="0.25">
      <c r="A524" s="335" t="s">
        <v>315</v>
      </c>
      <c r="B524" s="336">
        <v>45438</v>
      </c>
      <c r="C524" s="337">
        <v>1</v>
      </c>
      <c r="D524" s="338" t="str">
        <f>VLOOKUP(Main_Presentation[[#This Row],[LC Number]],Main_Issuance[],3,0)</f>
        <v>Dipu Sir</v>
      </c>
      <c r="E524" s="339" t="s">
        <v>856</v>
      </c>
      <c r="F524" s="340" t="str">
        <f>VLOOKUP(Main_Presentation[[#This Row],[LC Number]],Main_Issuance[],5,0)</f>
        <v>Riyad</v>
      </c>
      <c r="G524" s="340" t="str">
        <f>VLOOKUP(Main_Presentation[[#This Row],[LC Number]],Main_Issuance[],6,0)</f>
        <v>Multipurpose</v>
      </c>
      <c r="H524" s="340" t="str">
        <f>VLOOKUP(Main_Presentation[[#This Row],[LC Number]],Main_Issuance[],17,0)</f>
        <v>Credit</v>
      </c>
      <c r="I524" s="340" t="str">
        <f>VLOOKUP(Main_Presentation[[#This Row],[LC Number]],Main_Issuance[],7,0)</f>
        <v>HOME ITEMS INTERNATIONAL TRADING</v>
      </c>
      <c r="J524" s="340" t="str">
        <f>VLOOKUP(Main_Presentation[[#This Row],[LC Number]],Main_Issuance[],8,0)</f>
        <v>MBL</v>
      </c>
      <c r="K524" s="340" t="str">
        <f>VLOOKUP(Main_Presentation[[#This Row],[LC Number]],Main_Issuance[],9,0)</f>
        <v>L01-YAMMAMA</v>
      </c>
      <c r="L524" s="340">
        <f>VLOOKUP(Main_Presentation[[#This Row],[LC Number]],Main_Issuance[],10,0)</f>
        <v>1020015</v>
      </c>
      <c r="M524" s="340" t="str">
        <f>VLOOKUP(Main_Presentation[[#This Row],[LC Number]],Main_Issuance[],11,0)</f>
        <v>AED</v>
      </c>
      <c r="N524" s="341">
        <f>VLOOKUP(Main_Presentation[[#This Row],[LC Number]],Main_Issuance[],12,0)</f>
        <v>25067422.109999999</v>
      </c>
      <c r="O524" s="339" t="s">
        <v>20</v>
      </c>
      <c r="P524" s="339" t="s">
        <v>857</v>
      </c>
      <c r="Q524" s="342">
        <v>3956380.31</v>
      </c>
      <c r="R524" s="342">
        <v>1.0275000000000001</v>
      </c>
      <c r="S524" s="342">
        <f>Main_Presentation[[#This Row],[Invoice Amt (FCY)]]*Main_Presentation[[#This Row],[Rate]]</f>
        <v>4065180.7685250002</v>
      </c>
      <c r="T524" s="336">
        <v>45441</v>
      </c>
      <c r="U524" s="337">
        <f>VLOOKUP(Main_Presentation[[#This Row],[LC Number]],Main_Issuance[],18,0)</f>
        <v>0</v>
      </c>
      <c r="V524" s="343" t="s">
        <v>213</v>
      </c>
      <c r="W524" s="342" t="s">
        <v>857</v>
      </c>
      <c r="X524" s="339"/>
      <c r="Y524" s="401" t="str">
        <f>TRIM(LEFT(Main_Presentation[[#This Row],[Payment Terms]],3))</f>
        <v>0</v>
      </c>
      <c r="Z524" s="339"/>
      <c r="AA524" s="316" cm="1">
        <f t="array" ref="AA524">Settlement(Main_Presentation[[#This Row],[Bank]],Main_Presentation[[#This Row],[ Invoice Amt (SAR)]],Main_Presentation[[#This Row],[Date Recd]],Main_Presentation[[#This Row],[Due Date]],Main_Presentation[[#This Row],[Days]])</f>
        <v>230</v>
      </c>
      <c r="AB524" s="339"/>
    </row>
    <row r="525" spans="1:28" ht="15.75" hidden="1" x14ac:dyDescent="0.25">
      <c r="A525" s="335" t="s">
        <v>315</v>
      </c>
      <c r="B525" s="336">
        <v>45438</v>
      </c>
      <c r="C525" s="337">
        <v>2</v>
      </c>
      <c r="D525" s="338" t="str">
        <f>VLOOKUP(Main_Presentation[[#This Row],[LC Number]],Main_Issuance[],3,0)</f>
        <v>Dipu Sir</v>
      </c>
      <c r="E525" s="339" t="s">
        <v>856</v>
      </c>
      <c r="F525" s="340" t="str">
        <f>VLOOKUP(Main_Presentation[[#This Row],[LC Number]],Main_Issuance[],5,0)</f>
        <v>Riyad</v>
      </c>
      <c r="G525" s="340" t="str">
        <f>VLOOKUP(Main_Presentation[[#This Row],[LC Number]],Main_Issuance[],6,0)</f>
        <v>Multipurpose</v>
      </c>
      <c r="H525" s="340" t="str">
        <f>VLOOKUP(Main_Presentation[[#This Row],[LC Number]],Main_Issuance[],17,0)</f>
        <v>Credit</v>
      </c>
      <c r="I525" s="340" t="str">
        <f>VLOOKUP(Main_Presentation[[#This Row],[LC Number]],Main_Issuance[],7,0)</f>
        <v>HOME ITEMS INTERNATIONAL TRADING</v>
      </c>
      <c r="J525" s="340" t="str">
        <f>VLOOKUP(Main_Presentation[[#This Row],[LC Number]],Main_Issuance[],8,0)</f>
        <v>MBL</v>
      </c>
      <c r="K525" s="340" t="str">
        <f>VLOOKUP(Main_Presentation[[#This Row],[LC Number]],Main_Issuance[],9,0)</f>
        <v>L01-YAMMAMA</v>
      </c>
      <c r="L525" s="340">
        <f>VLOOKUP(Main_Presentation[[#This Row],[LC Number]],Main_Issuance[],10,0)</f>
        <v>1020015</v>
      </c>
      <c r="M525" s="340" t="str">
        <f>VLOOKUP(Main_Presentation[[#This Row],[LC Number]],Main_Issuance[],11,0)</f>
        <v>AED</v>
      </c>
      <c r="N525" s="341">
        <f>VLOOKUP(Main_Presentation[[#This Row],[LC Number]],Main_Issuance[],12,0)</f>
        <v>25067422.109999999</v>
      </c>
      <c r="O525" s="339" t="s">
        <v>20</v>
      </c>
      <c r="P525" s="339" t="s">
        <v>857</v>
      </c>
      <c r="Q525" s="342">
        <v>9578724.6300000008</v>
      </c>
      <c r="R525" s="342">
        <v>1.02</v>
      </c>
      <c r="S525" s="342">
        <f>Main_Presentation[[#This Row],[Invoice Amt (FCY)]]*Main_Presentation[[#This Row],[Rate]]</f>
        <v>9770299.1226000004</v>
      </c>
      <c r="T525" s="336">
        <v>45453</v>
      </c>
      <c r="U525" s="337">
        <f>VLOOKUP(Main_Presentation[[#This Row],[LC Number]],Main_Issuance[],18,0)</f>
        <v>0</v>
      </c>
      <c r="V525" s="343" t="s">
        <v>213</v>
      </c>
      <c r="W525" s="342" t="s">
        <v>857</v>
      </c>
      <c r="X525" s="339"/>
      <c r="Y525" s="401" t="str">
        <f>TRIM(LEFT(Main_Presentation[[#This Row],[Payment Terms]],3))</f>
        <v>0</v>
      </c>
      <c r="Z525" s="339"/>
      <c r="AA525" s="316" cm="1">
        <f t="array" ref="AA525">Settlement(Main_Presentation[[#This Row],[Bank]],Main_Presentation[[#This Row],[ Invoice Amt (SAR)]],Main_Presentation[[#This Row],[Date Recd]],Main_Presentation[[#This Row],[Due Date]],Main_Presentation[[#This Row],[Days]])</f>
        <v>230</v>
      </c>
      <c r="AB525" s="339"/>
    </row>
    <row r="526" spans="1:28" ht="15.75" hidden="1" x14ac:dyDescent="0.25">
      <c r="A526" s="335" t="s">
        <v>315</v>
      </c>
      <c r="B526" s="336">
        <v>45481</v>
      </c>
      <c r="C526" s="337">
        <v>3</v>
      </c>
      <c r="D526" s="338" t="str">
        <f>VLOOKUP(Main_Presentation[[#This Row],[LC Number]],Main_Issuance[],3,0)</f>
        <v>Dipu Sir</v>
      </c>
      <c r="E526" s="339" t="s">
        <v>856</v>
      </c>
      <c r="F526" s="340" t="str">
        <f>VLOOKUP(Main_Presentation[[#This Row],[LC Number]],Main_Issuance[],5,0)</f>
        <v>Riyad</v>
      </c>
      <c r="G526" s="340" t="str">
        <f>VLOOKUP(Main_Presentation[[#This Row],[LC Number]],Main_Issuance[],6,0)</f>
        <v>Multipurpose</v>
      </c>
      <c r="H526" s="340" t="str">
        <f>VLOOKUP(Main_Presentation[[#This Row],[LC Number]],Main_Issuance[],17,0)</f>
        <v>Credit</v>
      </c>
      <c r="I526" s="340" t="str">
        <f>VLOOKUP(Main_Presentation[[#This Row],[LC Number]],Main_Issuance[],7,0)</f>
        <v>HOME ITEMS INTERNATIONAL TRADING</v>
      </c>
      <c r="J526" s="340" t="str">
        <f>VLOOKUP(Main_Presentation[[#This Row],[LC Number]],Main_Issuance[],8,0)</f>
        <v>MBL</v>
      </c>
      <c r="K526" s="340" t="str">
        <f>VLOOKUP(Main_Presentation[[#This Row],[LC Number]],Main_Issuance[],9,0)</f>
        <v>L01-YAMMAMA</v>
      </c>
      <c r="L526" s="340">
        <f>VLOOKUP(Main_Presentation[[#This Row],[LC Number]],Main_Issuance[],10,0)</f>
        <v>1020015</v>
      </c>
      <c r="M526" s="340" t="str">
        <f>VLOOKUP(Main_Presentation[[#This Row],[LC Number]],Main_Issuance[],11,0)</f>
        <v>AED</v>
      </c>
      <c r="N526" s="341">
        <f>VLOOKUP(Main_Presentation[[#This Row],[LC Number]],Main_Issuance[],12,0)</f>
        <v>25067422.109999999</v>
      </c>
      <c r="O526" s="339" t="s">
        <v>20</v>
      </c>
      <c r="P526" s="339" t="s">
        <v>857</v>
      </c>
      <c r="Q526" s="342">
        <v>1393590.24</v>
      </c>
      <c r="R526" s="342">
        <v>1.0275000000000001</v>
      </c>
      <c r="S526" s="342">
        <f>Main_Presentation[[#This Row],[Invoice Amt (FCY)]]*Main_Presentation[[#This Row],[Rate]]</f>
        <v>1431913.9716</v>
      </c>
      <c r="T526" s="336">
        <v>45482</v>
      </c>
      <c r="U526" s="337">
        <f>VLOOKUP(Main_Presentation[[#This Row],[LC Number]],Main_Issuance[],18,0)</f>
        <v>0</v>
      </c>
      <c r="V526" s="343" t="s">
        <v>213</v>
      </c>
      <c r="W526" s="342" t="s">
        <v>857</v>
      </c>
      <c r="X526" s="339"/>
      <c r="Y526" s="401" t="str">
        <f>TRIM(LEFT(Main_Presentation[[#This Row],[Payment Terms]],3))</f>
        <v>0</v>
      </c>
      <c r="Z526" s="339"/>
      <c r="AA526" s="316" cm="1">
        <f t="array" ref="AA526">Settlement(Main_Presentation[[#This Row],[Bank]],Main_Presentation[[#This Row],[ Invoice Amt (SAR)]],Main_Presentation[[#This Row],[Date Recd]],Main_Presentation[[#This Row],[Due Date]],Main_Presentation[[#This Row],[Days]])</f>
        <v>230</v>
      </c>
      <c r="AB526" s="339"/>
    </row>
    <row r="527" spans="1:28" ht="15.75" hidden="1" x14ac:dyDescent="0.25">
      <c r="A527" s="335" t="s">
        <v>315</v>
      </c>
      <c r="B527" s="336">
        <v>45515</v>
      </c>
      <c r="C527" s="337">
        <v>4</v>
      </c>
      <c r="D527" s="338" t="str">
        <f>VLOOKUP(Main_Presentation[[#This Row],[LC Number]],Main_Issuance[],3,0)</f>
        <v>Dipu Sir</v>
      </c>
      <c r="E527" s="339" t="s">
        <v>856</v>
      </c>
      <c r="F527" s="340" t="str">
        <f>VLOOKUP(Main_Presentation[[#This Row],[LC Number]],Main_Issuance[],5,0)</f>
        <v>Riyad</v>
      </c>
      <c r="G527" s="340" t="str">
        <f>VLOOKUP(Main_Presentation[[#This Row],[LC Number]],Main_Issuance[],6,0)</f>
        <v>Multipurpose</v>
      </c>
      <c r="H527" s="340" t="str">
        <f>VLOOKUP(Main_Presentation[[#This Row],[LC Number]],Main_Issuance[],17,0)</f>
        <v>Credit</v>
      </c>
      <c r="I527" s="340" t="str">
        <f>VLOOKUP(Main_Presentation[[#This Row],[LC Number]],Main_Issuance[],7,0)</f>
        <v>HOME ITEMS INTERNATIONAL TRADING</v>
      </c>
      <c r="J527" s="340" t="str">
        <f>VLOOKUP(Main_Presentation[[#This Row],[LC Number]],Main_Issuance[],8,0)</f>
        <v>MBL</v>
      </c>
      <c r="K527" s="340" t="str">
        <f>VLOOKUP(Main_Presentation[[#This Row],[LC Number]],Main_Issuance[],9,0)</f>
        <v>L01-YAMMAMA</v>
      </c>
      <c r="L527" s="340">
        <f>VLOOKUP(Main_Presentation[[#This Row],[LC Number]],Main_Issuance[],10,0)</f>
        <v>1020015</v>
      </c>
      <c r="M527" s="340" t="str">
        <f>VLOOKUP(Main_Presentation[[#This Row],[LC Number]],Main_Issuance[],11,0)</f>
        <v>AED</v>
      </c>
      <c r="N527" s="341">
        <f>VLOOKUP(Main_Presentation[[#This Row],[LC Number]],Main_Issuance[],12,0)</f>
        <v>25067422.109999999</v>
      </c>
      <c r="O527" s="339" t="s">
        <v>20</v>
      </c>
      <c r="P527" s="339" t="s">
        <v>857</v>
      </c>
      <c r="Q527" s="342">
        <v>1793047.62</v>
      </c>
      <c r="R527" s="342">
        <v>1.0276000000000001</v>
      </c>
      <c r="S527" s="342">
        <f>Main_Presentation[[#This Row],[Invoice Amt (FCY)]]*Main_Presentation[[#This Row],[Rate]]</f>
        <v>1842535.7343120002</v>
      </c>
      <c r="T527" s="336">
        <v>45511</v>
      </c>
      <c r="U527" s="337">
        <f>VLOOKUP(Main_Presentation[[#This Row],[LC Number]],Main_Issuance[],18,0)</f>
        <v>0</v>
      </c>
      <c r="V527" s="343" t="s">
        <v>213</v>
      </c>
      <c r="W527" s="342" t="s">
        <v>857</v>
      </c>
      <c r="X527" s="339"/>
      <c r="Y527" s="401" t="str">
        <f>TRIM(LEFT(Main_Presentation[[#This Row],[Payment Terms]],3))</f>
        <v>0</v>
      </c>
      <c r="Z527" s="339"/>
      <c r="AA527" s="316" cm="1">
        <f t="array" ref="AA527">Settlement(Main_Presentation[[#This Row],[Bank]],Main_Presentation[[#This Row],[ Invoice Amt (SAR)]],Main_Presentation[[#This Row],[Date Recd]],Main_Presentation[[#This Row],[Due Date]],Main_Presentation[[#This Row],[Days]])</f>
        <v>230</v>
      </c>
      <c r="AB527" s="339"/>
    </row>
    <row r="528" spans="1:28" ht="15.75" hidden="1" x14ac:dyDescent="0.25">
      <c r="A528" s="335" t="s">
        <v>315</v>
      </c>
      <c r="B528" s="336">
        <v>45515</v>
      </c>
      <c r="C528" s="337">
        <v>5</v>
      </c>
      <c r="D528" s="338" t="str">
        <f>VLOOKUP(Main_Presentation[[#This Row],[LC Number]],Main_Issuance[],3,0)</f>
        <v>Dipu Sir</v>
      </c>
      <c r="E528" s="339" t="s">
        <v>856</v>
      </c>
      <c r="F528" s="340" t="str">
        <f>VLOOKUP(Main_Presentation[[#This Row],[LC Number]],Main_Issuance[],5,0)</f>
        <v>Riyad</v>
      </c>
      <c r="G528" s="340" t="str">
        <f>VLOOKUP(Main_Presentation[[#This Row],[LC Number]],Main_Issuance[],6,0)</f>
        <v>Multipurpose</v>
      </c>
      <c r="H528" s="340" t="str">
        <f>VLOOKUP(Main_Presentation[[#This Row],[LC Number]],Main_Issuance[],17,0)</f>
        <v>Credit</v>
      </c>
      <c r="I528" s="340" t="str">
        <f>VLOOKUP(Main_Presentation[[#This Row],[LC Number]],Main_Issuance[],7,0)</f>
        <v>HOME ITEMS INTERNATIONAL TRADING</v>
      </c>
      <c r="J528" s="340" t="str">
        <f>VLOOKUP(Main_Presentation[[#This Row],[LC Number]],Main_Issuance[],8,0)</f>
        <v>MBL</v>
      </c>
      <c r="K528" s="340" t="str">
        <f>VLOOKUP(Main_Presentation[[#This Row],[LC Number]],Main_Issuance[],9,0)</f>
        <v>L01-YAMMAMA</v>
      </c>
      <c r="L528" s="340">
        <f>VLOOKUP(Main_Presentation[[#This Row],[LC Number]],Main_Issuance[],10,0)</f>
        <v>1020015</v>
      </c>
      <c r="M528" s="340" t="str">
        <f>VLOOKUP(Main_Presentation[[#This Row],[LC Number]],Main_Issuance[],11,0)</f>
        <v>AED</v>
      </c>
      <c r="N528" s="341">
        <f>VLOOKUP(Main_Presentation[[#This Row],[LC Number]],Main_Issuance[],12,0)</f>
        <v>25067422.109999999</v>
      </c>
      <c r="O528" s="339" t="s">
        <v>20</v>
      </c>
      <c r="P528" s="339" t="s">
        <v>857</v>
      </c>
      <c r="Q528" s="342">
        <v>2031982.52</v>
      </c>
      <c r="R528" s="342">
        <v>1.0276000000000001</v>
      </c>
      <c r="S528" s="342">
        <f>Main_Presentation[[#This Row],[Invoice Amt (FCY)]]*Main_Presentation[[#This Row],[Rate]]</f>
        <v>2088065.2375520002</v>
      </c>
      <c r="T528" s="336">
        <v>45519</v>
      </c>
      <c r="U528" s="337">
        <f>VLOOKUP(Main_Presentation[[#This Row],[LC Number]],Main_Issuance[],18,0)</f>
        <v>0</v>
      </c>
      <c r="V528" s="343" t="s">
        <v>213</v>
      </c>
      <c r="W528" s="342" t="s">
        <v>857</v>
      </c>
      <c r="X528" s="339"/>
      <c r="Y528" s="401" t="str">
        <f>TRIM(LEFT(Main_Presentation[[#This Row],[Payment Terms]],3))</f>
        <v>0</v>
      </c>
      <c r="Z528" s="339"/>
      <c r="AA528" s="316" cm="1">
        <f t="array" ref="AA528">Settlement(Main_Presentation[[#This Row],[Bank]],Main_Presentation[[#This Row],[ Invoice Amt (SAR)]],Main_Presentation[[#This Row],[Date Recd]],Main_Presentation[[#This Row],[Due Date]],Main_Presentation[[#This Row],[Days]])</f>
        <v>230</v>
      </c>
      <c r="AB528" s="339"/>
    </row>
    <row r="529" spans="1:28" ht="15.75" hidden="1" x14ac:dyDescent="0.25">
      <c r="A529" s="14" t="s">
        <v>306</v>
      </c>
      <c r="B529" s="15">
        <v>45545</v>
      </c>
      <c r="C529" s="26">
        <v>86</v>
      </c>
      <c r="D529" s="55" t="str">
        <f>VLOOKUP(Main_Presentation[[#This Row],[LC Number]],Main_Issuance[],3,0)</f>
        <v>Dipu Sir</v>
      </c>
      <c r="E529" s="16" t="s">
        <v>858</v>
      </c>
      <c r="F529" s="17" t="str">
        <f>VLOOKUP(Main_Presentation[[#This Row],[LC Number]],Main_Issuance[],5,0)</f>
        <v>Riyad</v>
      </c>
      <c r="G529" s="17" t="str">
        <f>VLOOKUP(Main_Presentation[[#This Row],[LC Number]],Main_Issuance[],6,0)</f>
        <v>Cash</v>
      </c>
      <c r="H529" s="17" t="str">
        <f>VLOOKUP(Main_Presentation[[#This Row],[LC Number]],Main_Issuance[],17,0)</f>
        <v>Cash</v>
      </c>
      <c r="I529" s="17" t="str">
        <f>VLOOKUP(Main_Presentation[[#This Row],[LC Number]],Main_Issuance[],7,0)</f>
        <v>ATELIER HOSPITALITY SRL</v>
      </c>
      <c r="J529" s="17" t="str">
        <f>VLOOKUP(Main_Presentation[[#This Row],[LC Number]],Main_Issuance[],8,0)</f>
        <v>MBL</v>
      </c>
      <c r="K529" s="17" t="str">
        <f>VLOOKUP(Main_Presentation[[#This Row],[LC Number]],Main_Issuance[],9,0)</f>
        <v>L01-YAMMAMA</v>
      </c>
      <c r="L529" s="17">
        <f>VLOOKUP(Main_Presentation[[#This Row],[LC Number]],Main_Issuance[],10,0)</f>
        <v>1020015</v>
      </c>
      <c r="M529" s="17" t="str">
        <f>VLOOKUP(Main_Presentation[[#This Row],[LC Number]],Main_Issuance[],11,0)</f>
        <v>EUR</v>
      </c>
      <c r="N529" s="84">
        <f>VLOOKUP(Main_Presentation[[#This Row],[LC Number]],Main_Issuance[],12,0)</f>
        <v>50762045.400000006</v>
      </c>
      <c r="O529" s="16" t="s">
        <v>20</v>
      </c>
      <c r="P529" s="16" t="s">
        <v>857</v>
      </c>
      <c r="Q529" s="131">
        <v>81343.31</v>
      </c>
      <c r="R529" s="18">
        <v>4.5848000064688499</v>
      </c>
      <c r="S529" s="18">
        <f>Main_Presentation[[#This Row],[Invoice Amt (FCY)]]*Main_Presentation[[#This Row],[Rate]]</f>
        <v>372942.80821419763</v>
      </c>
      <c r="T529" s="15">
        <v>45545</v>
      </c>
      <c r="U529" s="26" t="str">
        <f>VLOOKUP(Main_Presentation[[#This Row],[LC Number]],Main_Issuance[],18,0)</f>
        <v>30 days from the date of comm. inv.</v>
      </c>
      <c r="V529" s="19" t="s">
        <v>213</v>
      </c>
      <c r="W529" s="18" t="s">
        <v>857</v>
      </c>
      <c r="X529" s="16"/>
      <c r="Y529" s="234" t="str">
        <f>TRIM(LEFT(Main_Presentation[[#This Row],[Payment Terms]],3))</f>
        <v>30</v>
      </c>
      <c r="Z529" s="16"/>
      <c r="AA529" s="316" cm="1">
        <f t="array" ref="AA529">Settlement(Main_Presentation[[#This Row],[Bank]],Main_Presentation[[#This Row],[ Invoice Amt (SAR)]],Main_Presentation[[#This Row],[Date Recd]],Main_Presentation[[#This Row],[Due Date]],Main_Presentation[[#This Row],[Days]])</f>
        <v>230</v>
      </c>
      <c r="AB529" s="16"/>
    </row>
    <row r="530" spans="1:28" ht="15.75" hidden="1" x14ac:dyDescent="0.25">
      <c r="A530" s="14" t="s">
        <v>306</v>
      </c>
      <c r="B530" s="15">
        <v>45547</v>
      </c>
      <c r="C530" s="26">
        <v>87</v>
      </c>
      <c r="D530" s="55" t="str">
        <f>VLOOKUP(Main_Presentation[[#This Row],[LC Number]],Main_Issuance[],3,0)</f>
        <v>Dipu Sir</v>
      </c>
      <c r="E530" s="16" t="s">
        <v>858</v>
      </c>
      <c r="F530" s="17" t="str">
        <f>VLOOKUP(Main_Presentation[[#This Row],[LC Number]],Main_Issuance[],5,0)</f>
        <v>Riyad</v>
      </c>
      <c r="G530" s="17" t="str">
        <f>VLOOKUP(Main_Presentation[[#This Row],[LC Number]],Main_Issuance[],6,0)</f>
        <v>Cash</v>
      </c>
      <c r="H530" s="17" t="str">
        <f>VLOOKUP(Main_Presentation[[#This Row],[LC Number]],Main_Issuance[],17,0)</f>
        <v>Cash</v>
      </c>
      <c r="I530" s="17" t="str">
        <f>VLOOKUP(Main_Presentation[[#This Row],[LC Number]],Main_Issuance[],7,0)</f>
        <v>ATELIER HOSPITALITY SRL</v>
      </c>
      <c r="J530" s="17" t="str">
        <f>VLOOKUP(Main_Presentation[[#This Row],[LC Number]],Main_Issuance[],8,0)</f>
        <v>MBL</v>
      </c>
      <c r="K530" s="17" t="str">
        <f>VLOOKUP(Main_Presentation[[#This Row],[LC Number]],Main_Issuance[],9,0)</f>
        <v>L01-YAMMAMA</v>
      </c>
      <c r="L530" s="17">
        <f>VLOOKUP(Main_Presentation[[#This Row],[LC Number]],Main_Issuance[],10,0)</f>
        <v>1020015</v>
      </c>
      <c r="M530" s="17" t="str">
        <f>VLOOKUP(Main_Presentation[[#This Row],[LC Number]],Main_Issuance[],11,0)</f>
        <v>EUR</v>
      </c>
      <c r="N530" s="84">
        <f>VLOOKUP(Main_Presentation[[#This Row],[LC Number]],Main_Issuance[],12,0)</f>
        <v>50762045.400000006</v>
      </c>
      <c r="O530" s="16" t="s">
        <v>20</v>
      </c>
      <c r="P530" s="16" t="s">
        <v>857</v>
      </c>
      <c r="Q530" s="131">
        <v>200820.9</v>
      </c>
      <c r="R530" s="18">
        <v>4.5848000064688499</v>
      </c>
      <c r="S530" s="18">
        <f>Main_Presentation[[#This Row],[Invoice Amt (FCY)]]*Main_Presentation[[#This Row],[Rate]]</f>
        <v>920723.66361908021</v>
      </c>
      <c r="T530" s="15">
        <v>45565</v>
      </c>
      <c r="U530" s="26" t="str">
        <f>VLOOKUP(Main_Presentation[[#This Row],[LC Number]],Main_Issuance[],18,0)</f>
        <v>30 days from the date of comm. inv.</v>
      </c>
      <c r="V530" s="19" t="s">
        <v>213</v>
      </c>
      <c r="W530" s="22" t="s">
        <v>857</v>
      </c>
      <c r="X530" s="16"/>
      <c r="Y530" s="234" t="str">
        <f>TRIM(LEFT(Main_Presentation[[#This Row],[Payment Terms]],3))</f>
        <v>30</v>
      </c>
      <c r="Z530" s="16"/>
      <c r="AA530" s="316" cm="1">
        <f t="array" ref="AA530">Settlement(Main_Presentation[[#This Row],[Bank]],Main_Presentation[[#This Row],[ Invoice Amt (SAR)]],Main_Presentation[[#This Row],[Date Recd]],Main_Presentation[[#This Row],[Due Date]],Main_Presentation[[#This Row],[Days]])</f>
        <v>1323.65</v>
      </c>
      <c r="AB530" s="16"/>
    </row>
    <row r="531" spans="1:28" ht="15.75" hidden="1" x14ac:dyDescent="0.25">
      <c r="A531" s="14" t="s">
        <v>306</v>
      </c>
      <c r="B531" s="15">
        <v>45551</v>
      </c>
      <c r="C531" s="26">
        <v>88</v>
      </c>
      <c r="D531" s="55" t="str">
        <f>VLOOKUP(Main_Presentation[[#This Row],[LC Number]],Main_Issuance[],3,0)</f>
        <v>Dipu Sir</v>
      </c>
      <c r="E531" s="16" t="s">
        <v>856</v>
      </c>
      <c r="F531" s="17" t="str">
        <f>VLOOKUP(Main_Presentation[[#This Row],[LC Number]],Main_Issuance[],5,0)</f>
        <v>Riyad</v>
      </c>
      <c r="G531" s="17" t="str">
        <f>VLOOKUP(Main_Presentation[[#This Row],[LC Number]],Main_Issuance[],6,0)</f>
        <v>Cash</v>
      </c>
      <c r="H531" s="17" t="str">
        <f>VLOOKUP(Main_Presentation[[#This Row],[LC Number]],Main_Issuance[],17,0)</f>
        <v>Cash</v>
      </c>
      <c r="I531" s="17" t="str">
        <f>VLOOKUP(Main_Presentation[[#This Row],[LC Number]],Main_Issuance[],7,0)</f>
        <v>ATELIER HOSPITALITY SRL</v>
      </c>
      <c r="J531" s="17" t="str">
        <f>VLOOKUP(Main_Presentation[[#This Row],[LC Number]],Main_Issuance[],8,0)</f>
        <v>MBL</v>
      </c>
      <c r="K531" s="17" t="str">
        <f>VLOOKUP(Main_Presentation[[#This Row],[LC Number]],Main_Issuance[],9,0)</f>
        <v>L01-YAMMAMA</v>
      </c>
      <c r="L531" s="17">
        <f>VLOOKUP(Main_Presentation[[#This Row],[LC Number]],Main_Issuance[],10,0)</f>
        <v>1020015</v>
      </c>
      <c r="M531" s="17" t="str">
        <f>VLOOKUP(Main_Presentation[[#This Row],[LC Number]],Main_Issuance[],11,0)</f>
        <v>EUR</v>
      </c>
      <c r="N531" s="84">
        <f>VLOOKUP(Main_Presentation[[#This Row],[LC Number]],Main_Issuance[],12,0)</f>
        <v>50762045.400000006</v>
      </c>
      <c r="O531" s="16" t="s">
        <v>20</v>
      </c>
      <c r="P531" s="16" t="s">
        <v>857</v>
      </c>
      <c r="Q531" s="131">
        <v>34952.19</v>
      </c>
      <c r="R531" s="18">
        <v>4.5848000064688499</v>
      </c>
      <c r="S531" s="18">
        <f>Main_Presentation[[#This Row],[Invoice Amt (FCY)]]*Main_Presentation[[#This Row],[Rate]]</f>
        <v>160248.80093810047</v>
      </c>
      <c r="T531" s="15">
        <v>45565</v>
      </c>
      <c r="U531" s="26" t="str">
        <f>VLOOKUP(Main_Presentation[[#This Row],[LC Number]],Main_Issuance[],18,0)</f>
        <v>30 days from the date of comm. inv.</v>
      </c>
      <c r="V531" s="19" t="s">
        <v>213</v>
      </c>
      <c r="W531" s="22" t="s">
        <v>857</v>
      </c>
      <c r="X531" s="16"/>
      <c r="Y531" s="234" t="str">
        <f>TRIM(LEFT(Main_Presentation[[#This Row],[Payment Terms]],3))</f>
        <v>30</v>
      </c>
      <c r="Z531" s="16"/>
      <c r="AA531" s="316" cm="1">
        <f t="array" ref="AA531">Settlement(Main_Presentation[[#This Row],[Bank]],Main_Presentation[[#This Row],[ Invoice Amt (SAR)]],Main_Presentation[[#This Row],[Date Recd]],Main_Presentation[[#This Row],[Due Date]],Main_Presentation[[#This Row],[Days]])</f>
        <v>230</v>
      </c>
      <c r="AB531" s="16"/>
    </row>
    <row r="532" spans="1:28" ht="15.75" hidden="1" x14ac:dyDescent="0.25">
      <c r="A532" s="335" t="s">
        <v>315</v>
      </c>
      <c r="B532" s="336">
        <v>45551</v>
      </c>
      <c r="C532" s="337">
        <v>6</v>
      </c>
      <c r="D532" s="338" t="str">
        <f>VLOOKUP(Main_Presentation[[#This Row],[LC Number]],Main_Issuance[],3,0)</f>
        <v>Dipu Sir</v>
      </c>
      <c r="E532" s="339" t="s">
        <v>858</v>
      </c>
      <c r="F532" s="340" t="str">
        <f>VLOOKUP(Main_Presentation[[#This Row],[LC Number]],Main_Issuance[],5,0)</f>
        <v>Riyad</v>
      </c>
      <c r="G532" s="340" t="str">
        <f>VLOOKUP(Main_Presentation[[#This Row],[LC Number]],Main_Issuance[],6,0)</f>
        <v>Multipurpose</v>
      </c>
      <c r="H532" s="340" t="str">
        <f>VLOOKUP(Main_Presentation[[#This Row],[LC Number]],Main_Issuance[],17,0)</f>
        <v>Credit</v>
      </c>
      <c r="I532" s="340" t="str">
        <f>VLOOKUP(Main_Presentation[[#This Row],[LC Number]],Main_Issuance[],7,0)</f>
        <v>HOME ITEMS INTERNATIONAL TRADING</v>
      </c>
      <c r="J532" s="340" t="str">
        <f>VLOOKUP(Main_Presentation[[#This Row],[LC Number]],Main_Issuance[],8,0)</f>
        <v>MBL</v>
      </c>
      <c r="K532" s="340" t="str">
        <f>VLOOKUP(Main_Presentation[[#This Row],[LC Number]],Main_Issuance[],9,0)</f>
        <v>L01-YAMMAMA</v>
      </c>
      <c r="L532" s="340">
        <f>VLOOKUP(Main_Presentation[[#This Row],[LC Number]],Main_Issuance[],10,0)</f>
        <v>1020015</v>
      </c>
      <c r="M532" s="340" t="str">
        <f>VLOOKUP(Main_Presentation[[#This Row],[LC Number]],Main_Issuance[],11,0)</f>
        <v>AED</v>
      </c>
      <c r="N532" s="341">
        <f>VLOOKUP(Main_Presentation[[#This Row],[LC Number]],Main_Issuance[],12,0)</f>
        <v>25067422.109999999</v>
      </c>
      <c r="O532" s="339" t="s">
        <v>20</v>
      </c>
      <c r="P532" s="339" t="s">
        <v>857</v>
      </c>
      <c r="Q532" s="342">
        <v>4244967.24</v>
      </c>
      <c r="R532" s="342">
        <v>1.0276000000000001</v>
      </c>
      <c r="S532" s="342">
        <f>Main_Presentation[[#This Row],[Invoice Amt (FCY)]]*Main_Presentation[[#This Row],[Rate]]</f>
        <v>4362128.3358240006</v>
      </c>
      <c r="T532" s="336">
        <v>45554</v>
      </c>
      <c r="U532" s="337">
        <f>VLOOKUP(Main_Presentation[[#This Row],[LC Number]],Main_Issuance[],18,0)</f>
        <v>0</v>
      </c>
      <c r="V532" s="343" t="s">
        <v>213</v>
      </c>
      <c r="W532" s="342" t="s">
        <v>857</v>
      </c>
      <c r="X532" s="339" t="s">
        <v>864</v>
      </c>
      <c r="Y532" s="401" t="str">
        <f>TRIM(LEFT(Main_Presentation[[#This Row],[Payment Terms]],3))</f>
        <v>0</v>
      </c>
      <c r="Z532" s="339"/>
      <c r="AA532" s="316" cm="1">
        <f t="array" ref="AA532">Settlement(Main_Presentation[[#This Row],[Bank]],Main_Presentation[[#This Row],[ Invoice Amt (SAR)]],Main_Presentation[[#This Row],[Date Recd]],Main_Presentation[[#This Row],[Due Date]],Main_Presentation[[#This Row],[Days]])</f>
        <v>230</v>
      </c>
      <c r="AB532" s="339"/>
    </row>
    <row r="533" spans="1:28" ht="15.75" hidden="1" x14ac:dyDescent="0.25">
      <c r="A533" s="335" t="s">
        <v>317</v>
      </c>
      <c r="B533" s="336">
        <v>45552</v>
      </c>
      <c r="C533" s="337">
        <v>1</v>
      </c>
      <c r="D533" s="338" t="str">
        <f>VLOOKUP(Main_Presentation[[#This Row],[LC Number]],Main_Issuance[],3,0)</f>
        <v>Dipu Sir</v>
      </c>
      <c r="E533" s="339" t="s">
        <v>858</v>
      </c>
      <c r="F533" s="340" t="str">
        <f>VLOOKUP(Main_Presentation[[#This Row],[LC Number]],Main_Issuance[],5,0)</f>
        <v>Riyad</v>
      </c>
      <c r="G533" s="340" t="str">
        <f>VLOOKUP(Main_Presentation[[#This Row],[LC Number]],Main_Issuance[],6,0)</f>
        <v>Cash</v>
      </c>
      <c r="H533" s="340" t="str">
        <f>VLOOKUP(Main_Presentation[[#This Row],[LC Number]],Main_Issuance[],17,0)</f>
        <v>Cash</v>
      </c>
      <c r="I533" s="340" t="str">
        <f>VLOOKUP(Main_Presentation[[#This Row],[LC Number]],Main_Issuance[],7,0)</f>
        <v>SAMSARA SRL</v>
      </c>
      <c r="J533" s="340" t="str">
        <f>VLOOKUP(Main_Presentation[[#This Row],[LC Number]],Main_Issuance[],8,0)</f>
        <v>MBL</v>
      </c>
      <c r="K533" s="340" t="str">
        <f>VLOOKUP(Main_Presentation[[#This Row],[LC Number]],Main_Issuance[],9,0)</f>
        <v>L01-YAMMAMA</v>
      </c>
      <c r="L533" s="340">
        <f>VLOOKUP(Main_Presentation[[#This Row],[LC Number]],Main_Issuance[],10,0)</f>
        <v>1020015</v>
      </c>
      <c r="M533" s="340" t="str">
        <f>VLOOKUP(Main_Presentation[[#This Row],[LC Number]],Main_Issuance[],11,0)</f>
        <v>EUR</v>
      </c>
      <c r="N533" s="341">
        <f>VLOOKUP(Main_Presentation[[#This Row],[LC Number]],Main_Issuance[],12,0)</f>
        <v>308759</v>
      </c>
      <c r="O533" s="339" t="s">
        <v>20</v>
      </c>
      <c r="P533" s="339" t="s">
        <v>857</v>
      </c>
      <c r="Q533" s="342">
        <v>203128.1</v>
      </c>
      <c r="R533" s="342">
        <v>4.6375999999999999</v>
      </c>
      <c r="S533" s="342">
        <f>Main_Presentation[[#This Row],[Invoice Amt (FCY)]]*Main_Presentation[[#This Row],[Rate]]</f>
        <v>942026.87656</v>
      </c>
      <c r="T533" s="336">
        <v>45553</v>
      </c>
      <c r="U533" s="337" t="str">
        <f>VLOOKUP(Main_Presentation[[#This Row],[LC Number]],Main_Issuance[],18,0)</f>
        <v>Sight</v>
      </c>
      <c r="V533" s="343" t="s">
        <v>213</v>
      </c>
      <c r="W533" s="344" t="s">
        <v>857</v>
      </c>
      <c r="X533" s="339" t="s">
        <v>3811</v>
      </c>
      <c r="Y533" s="401" t="str">
        <f>TRIM(LEFT(Main_Presentation[[#This Row],[Payment Terms]],3))</f>
        <v>Sig</v>
      </c>
      <c r="Z533" s="339"/>
      <c r="AA533" s="316" t="e" cm="1">
        <f t="array" ref="AA533">Settlement(Main_Presentation[[#This Row],[Bank]],Main_Presentation[[#This Row],[ Invoice Amt (SAR)]],Main_Presentation[[#This Row],[Date Recd]],Main_Presentation[[#This Row],[Due Date]],Main_Presentation[[#This Row],[Days]])</f>
        <v>#VALUE!</v>
      </c>
      <c r="AB533" s="339"/>
    </row>
    <row r="534" spans="1:28" ht="15.75" hidden="1" x14ac:dyDescent="0.25">
      <c r="A534" s="335" t="s">
        <v>315</v>
      </c>
      <c r="B534" s="336">
        <v>45559</v>
      </c>
      <c r="C534" s="337">
        <v>7</v>
      </c>
      <c r="D534" s="338" t="str">
        <f>VLOOKUP(Main_Presentation[[#This Row],[LC Number]],Main_Issuance[],3,0)</f>
        <v>Dipu Sir</v>
      </c>
      <c r="E534" s="339" t="s">
        <v>858</v>
      </c>
      <c r="F534" s="340" t="str">
        <f>VLOOKUP(Main_Presentation[[#This Row],[LC Number]],Main_Issuance[],5,0)</f>
        <v>Riyad</v>
      </c>
      <c r="G534" s="340" t="str">
        <f>VLOOKUP(Main_Presentation[[#This Row],[LC Number]],Main_Issuance[],6,0)</f>
        <v>Multipurpose</v>
      </c>
      <c r="H534" s="340" t="str">
        <f>VLOOKUP(Main_Presentation[[#This Row],[LC Number]],Main_Issuance[],17,0)</f>
        <v>Credit</v>
      </c>
      <c r="I534" s="340" t="str">
        <f>VLOOKUP(Main_Presentation[[#This Row],[LC Number]],Main_Issuance[],7,0)</f>
        <v>HOME ITEMS INTERNATIONAL TRADING</v>
      </c>
      <c r="J534" s="340" t="str">
        <f>VLOOKUP(Main_Presentation[[#This Row],[LC Number]],Main_Issuance[],8,0)</f>
        <v>MBL</v>
      </c>
      <c r="K534" s="340" t="str">
        <f>VLOOKUP(Main_Presentation[[#This Row],[LC Number]],Main_Issuance[],9,0)</f>
        <v>L01-YAMMAMA</v>
      </c>
      <c r="L534" s="340">
        <f>VLOOKUP(Main_Presentation[[#This Row],[LC Number]],Main_Issuance[],10,0)</f>
        <v>1020015</v>
      </c>
      <c r="M534" s="340" t="str">
        <f>VLOOKUP(Main_Presentation[[#This Row],[LC Number]],Main_Issuance[],11,0)</f>
        <v>AED</v>
      </c>
      <c r="N534" s="341">
        <f>VLOOKUP(Main_Presentation[[#This Row],[LC Number]],Main_Issuance[],12,0)</f>
        <v>25067422.109999999</v>
      </c>
      <c r="O534" s="339" t="s">
        <v>20</v>
      </c>
      <c r="P534" s="339" t="s">
        <v>857</v>
      </c>
      <c r="Q534" s="342">
        <v>2062431.37</v>
      </c>
      <c r="R534" s="342">
        <v>1.0276000000000001</v>
      </c>
      <c r="S534" s="342">
        <f>Main_Presentation[[#This Row],[Invoice Amt (FCY)]]*Main_Presentation[[#This Row],[Rate]]</f>
        <v>2119354.4758120002</v>
      </c>
      <c r="T534" s="336">
        <v>45574</v>
      </c>
      <c r="U534" s="337">
        <f>VLOOKUP(Main_Presentation[[#This Row],[LC Number]],Main_Issuance[],18,0)</f>
        <v>0</v>
      </c>
      <c r="V534" s="343" t="s">
        <v>213</v>
      </c>
      <c r="W534" s="342" t="s">
        <v>857</v>
      </c>
      <c r="X534" s="339" t="s">
        <v>3789</v>
      </c>
      <c r="Y534" s="401" t="str">
        <f>TRIM(LEFT(Main_Presentation[[#This Row],[Payment Terms]],3))</f>
        <v>0</v>
      </c>
      <c r="Z534" s="339"/>
      <c r="AA534" s="316" cm="1">
        <f t="array" ref="AA534">Settlement(Main_Presentation[[#This Row],[Bank]],Main_Presentation[[#This Row],[ Invoice Amt (SAR)]],Main_Presentation[[#This Row],[Date Recd]],Main_Presentation[[#This Row],[Due Date]],Main_Presentation[[#This Row],[Days]])</f>
        <v>230</v>
      </c>
      <c r="AB534" s="339"/>
    </row>
    <row r="535" spans="1:28" ht="15.75" hidden="1" x14ac:dyDescent="0.25">
      <c r="A535" s="14" t="s">
        <v>306</v>
      </c>
      <c r="B535" s="15">
        <v>45565</v>
      </c>
      <c r="C535" s="26">
        <v>89</v>
      </c>
      <c r="D535" s="55" t="str">
        <f>VLOOKUP(Main_Presentation[[#This Row],[LC Number]],Main_Issuance[],3,0)</f>
        <v>Dipu Sir</v>
      </c>
      <c r="E535" s="16" t="s">
        <v>858</v>
      </c>
      <c r="F535" s="17" t="str">
        <f>VLOOKUP(Main_Presentation[[#This Row],[LC Number]],Main_Issuance[],5,0)</f>
        <v>Riyad</v>
      </c>
      <c r="G535" s="17" t="str">
        <f>VLOOKUP(Main_Presentation[[#This Row],[LC Number]],Main_Issuance[],6,0)</f>
        <v>Cash</v>
      </c>
      <c r="H535" s="17" t="str">
        <f>VLOOKUP(Main_Presentation[[#This Row],[LC Number]],Main_Issuance[],17,0)</f>
        <v>Cash</v>
      </c>
      <c r="I535" s="17" t="str">
        <f>VLOOKUP(Main_Presentation[[#This Row],[LC Number]],Main_Issuance[],7,0)</f>
        <v>ATELIER HOSPITALITY SRL</v>
      </c>
      <c r="J535" s="17" t="str">
        <f>VLOOKUP(Main_Presentation[[#This Row],[LC Number]],Main_Issuance[],8,0)</f>
        <v>MBL</v>
      </c>
      <c r="K535" s="17" t="str">
        <f>VLOOKUP(Main_Presentation[[#This Row],[LC Number]],Main_Issuance[],9,0)</f>
        <v>L01-YAMMAMA</v>
      </c>
      <c r="L535" s="17">
        <f>VLOOKUP(Main_Presentation[[#This Row],[LC Number]],Main_Issuance[],10,0)</f>
        <v>1020015</v>
      </c>
      <c r="M535" s="17" t="str">
        <f>VLOOKUP(Main_Presentation[[#This Row],[LC Number]],Main_Issuance[],11,0)</f>
        <v>EUR</v>
      </c>
      <c r="N535" s="84">
        <f>VLOOKUP(Main_Presentation[[#This Row],[LC Number]],Main_Issuance[],12,0)</f>
        <v>50762045.400000006</v>
      </c>
      <c r="O535" s="16" t="s">
        <v>20</v>
      </c>
      <c r="P535" s="16" t="s">
        <v>857</v>
      </c>
      <c r="Q535" s="131">
        <v>16335.67</v>
      </c>
      <c r="R535" s="18">
        <v>4.5848000064688499</v>
      </c>
      <c r="S535" s="18">
        <f>Main_Presentation[[#This Row],[Invoice Amt (FCY)]]*Main_Presentation[[#This Row],[Rate]]</f>
        <v>74895.779921672991</v>
      </c>
      <c r="T535" s="15">
        <v>45582</v>
      </c>
      <c r="U535" s="26" t="str">
        <f>VLOOKUP(Main_Presentation[[#This Row],[LC Number]],Main_Issuance[],18,0)</f>
        <v>30 days from the date of comm. inv.</v>
      </c>
      <c r="V535" s="19" t="s">
        <v>213</v>
      </c>
      <c r="W535" s="18" t="s">
        <v>857</v>
      </c>
      <c r="X535" s="16"/>
      <c r="Y535" s="234" t="str">
        <f>TRIM(LEFT(Main_Presentation[[#This Row],[Payment Terms]],3))</f>
        <v>30</v>
      </c>
      <c r="Z535" s="16"/>
      <c r="AA535" s="316" cm="1">
        <f t="array" ref="AA535">Settlement(Main_Presentation[[#This Row],[Bank]],Main_Presentation[[#This Row],[ Invoice Amt (SAR)]],Main_Presentation[[#This Row],[Date Recd]],Main_Presentation[[#This Row],[Due Date]],Main_Presentation[[#This Row],[Days]])</f>
        <v>230</v>
      </c>
      <c r="AB535" s="16"/>
    </row>
    <row r="536" spans="1:28" ht="15.75" hidden="1" x14ac:dyDescent="0.25">
      <c r="A536" s="335" t="s">
        <v>320</v>
      </c>
      <c r="B536" s="336">
        <v>45567</v>
      </c>
      <c r="C536" s="337">
        <v>1</v>
      </c>
      <c r="D536" s="338" t="str">
        <f>VLOOKUP(Main_Presentation[[#This Row],[LC Number]],Main_Issuance[],3,0)</f>
        <v>Dipu Sir</v>
      </c>
      <c r="E536" s="339" t="s">
        <v>858</v>
      </c>
      <c r="F536" s="340" t="str">
        <f>VLOOKUP(Main_Presentation[[#This Row],[LC Number]],Main_Issuance[],5,0)</f>
        <v>Riyad</v>
      </c>
      <c r="G536" s="340" t="str">
        <f>VLOOKUP(Main_Presentation[[#This Row],[LC Number]],Main_Issuance[],6,0)</f>
        <v>Cash</v>
      </c>
      <c r="H536" s="340" t="str">
        <f>VLOOKUP(Main_Presentation[[#This Row],[LC Number]],Main_Issuance[],17,0)</f>
        <v>Cash</v>
      </c>
      <c r="I536" s="340" t="str">
        <f>VLOOKUP(Main_Presentation[[#This Row],[LC Number]],Main_Issuance[],7,0)</f>
        <v>HOME ITEMS INTERNATIONAL TRADING</v>
      </c>
      <c r="J536" s="340" t="str">
        <f>VLOOKUP(Main_Presentation[[#This Row],[LC Number]],Main_Issuance[],8,0)</f>
        <v>MBL</v>
      </c>
      <c r="K536" s="340" t="str">
        <f>VLOOKUP(Main_Presentation[[#This Row],[LC Number]],Main_Issuance[],9,0)</f>
        <v>L01-YAMMAMA</v>
      </c>
      <c r="L536" s="340">
        <f>VLOOKUP(Main_Presentation[[#This Row],[LC Number]],Main_Issuance[],10,0)</f>
        <v>1020015</v>
      </c>
      <c r="M536" s="340" t="str">
        <f>VLOOKUP(Main_Presentation[[#This Row],[LC Number]],Main_Issuance[],11,0)</f>
        <v>AED</v>
      </c>
      <c r="N536" s="341">
        <f>VLOOKUP(Main_Presentation[[#This Row],[LC Number]],Main_Issuance[],12,0)</f>
        <v>10215283.68</v>
      </c>
      <c r="O536" s="339" t="s">
        <v>20</v>
      </c>
      <c r="P536" s="339" t="s">
        <v>857</v>
      </c>
      <c r="Q536" s="342">
        <v>1514590.9</v>
      </c>
      <c r="R536" s="342">
        <v>1.0226999999999999</v>
      </c>
      <c r="S536" s="342">
        <f>Main_Presentation[[#This Row],[Invoice Amt (FCY)]]*Main_Presentation[[#This Row],[Rate]]</f>
        <v>1548972.1134299999</v>
      </c>
      <c r="T536" s="336">
        <v>45573</v>
      </c>
      <c r="U536" s="337" t="str">
        <f>VLOOKUP(Main_Presentation[[#This Row],[LC Number]],Main_Issuance[],18,0)</f>
        <v>Sight</v>
      </c>
      <c r="V536" s="343" t="s">
        <v>213</v>
      </c>
      <c r="W536" s="344" t="s">
        <v>857</v>
      </c>
      <c r="X536" s="339"/>
      <c r="Y536" s="401" t="str">
        <f>TRIM(LEFT(Main_Presentation[[#This Row],[Payment Terms]],3))</f>
        <v>Sig</v>
      </c>
      <c r="Z536" s="339"/>
      <c r="AA536" s="316" t="e" cm="1">
        <f t="array" ref="AA536">Settlement(Main_Presentation[[#This Row],[Bank]],Main_Presentation[[#This Row],[ Invoice Amt (SAR)]],Main_Presentation[[#This Row],[Date Recd]],Main_Presentation[[#This Row],[Due Date]],Main_Presentation[[#This Row],[Days]])</f>
        <v>#VALUE!</v>
      </c>
      <c r="AB536" s="339"/>
    </row>
    <row r="537" spans="1:28" ht="15.75" hidden="1" x14ac:dyDescent="0.25">
      <c r="A537" s="14" t="s">
        <v>306</v>
      </c>
      <c r="B537" s="15">
        <v>45572</v>
      </c>
      <c r="C537" s="26">
        <v>90</v>
      </c>
      <c r="D537" s="55" t="str">
        <f>VLOOKUP(Main_Presentation[[#This Row],[LC Number]],Main_Issuance[],3,0)</f>
        <v>Dipu Sir</v>
      </c>
      <c r="E537" s="16" t="s">
        <v>858</v>
      </c>
      <c r="F537" s="17" t="str">
        <f>VLOOKUP(Main_Presentation[[#This Row],[LC Number]],Main_Issuance[],5,0)</f>
        <v>Riyad</v>
      </c>
      <c r="G537" s="17" t="str">
        <f>VLOOKUP(Main_Presentation[[#This Row],[LC Number]],Main_Issuance[],6,0)</f>
        <v>Cash</v>
      </c>
      <c r="H537" s="17" t="str">
        <f>VLOOKUP(Main_Presentation[[#This Row],[LC Number]],Main_Issuance[],17,0)</f>
        <v>Cash</v>
      </c>
      <c r="I537" s="17" t="str">
        <f>VLOOKUP(Main_Presentation[[#This Row],[LC Number]],Main_Issuance[],7,0)</f>
        <v>ATELIER HOSPITALITY SRL</v>
      </c>
      <c r="J537" s="17" t="str">
        <f>VLOOKUP(Main_Presentation[[#This Row],[LC Number]],Main_Issuance[],8,0)</f>
        <v>MBL</v>
      </c>
      <c r="K537" s="17" t="str">
        <f>VLOOKUP(Main_Presentation[[#This Row],[LC Number]],Main_Issuance[],9,0)</f>
        <v>L01-YAMMAMA</v>
      </c>
      <c r="L537" s="17">
        <f>VLOOKUP(Main_Presentation[[#This Row],[LC Number]],Main_Issuance[],10,0)</f>
        <v>1020015</v>
      </c>
      <c r="M537" s="17" t="str">
        <f>VLOOKUP(Main_Presentation[[#This Row],[LC Number]],Main_Issuance[],11,0)</f>
        <v>EUR</v>
      </c>
      <c r="N537" s="84">
        <f>VLOOKUP(Main_Presentation[[#This Row],[LC Number]],Main_Issuance[],12,0)</f>
        <v>50762045.400000006</v>
      </c>
      <c r="O537" s="16" t="s">
        <v>20</v>
      </c>
      <c r="P537" s="16" t="s">
        <v>857</v>
      </c>
      <c r="Q537" s="131">
        <v>83655.08</v>
      </c>
      <c r="R537" s="18">
        <v>4.5848000064688499</v>
      </c>
      <c r="S537" s="18">
        <f>Main_Presentation[[#This Row],[Invoice Amt (FCY)]]*Main_Presentation[[#This Row],[Rate]]</f>
        <v>383541.81132515217</v>
      </c>
      <c r="T537" s="15">
        <v>45601</v>
      </c>
      <c r="U537" s="26" t="str">
        <f>VLOOKUP(Main_Presentation[[#This Row],[LC Number]],Main_Issuance[],18,0)</f>
        <v>30 days from the date of comm. inv.</v>
      </c>
      <c r="V537" s="19" t="s">
        <v>213</v>
      </c>
      <c r="W537" s="18" t="s">
        <v>857</v>
      </c>
      <c r="X537" s="16"/>
      <c r="Y537" s="234" t="str">
        <f>TRIM(LEFT(Main_Presentation[[#This Row],[Payment Terms]],3))</f>
        <v>30</v>
      </c>
      <c r="Z537" s="16"/>
      <c r="AA537" s="316" cm="1">
        <f t="array" ref="AA537">Settlement(Main_Presentation[[#This Row],[Bank]],Main_Presentation[[#This Row],[ Invoice Amt (SAR)]],Main_Presentation[[#This Row],[Date Recd]],Main_Presentation[[#This Row],[Due Date]],Main_Presentation[[#This Row],[Days]])</f>
        <v>550.85</v>
      </c>
      <c r="AB537" s="16"/>
    </row>
    <row r="538" spans="1:28" ht="15.75" hidden="1" x14ac:dyDescent="0.25">
      <c r="A538" s="14" t="s">
        <v>306</v>
      </c>
      <c r="B538" s="15">
        <v>45587</v>
      </c>
      <c r="C538" s="26">
        <v>91</v>
      </c>
      <c r="D538" s="55" t="str">
        <f>VLOOKUP(Main_Presentation[[#This Row],[LC Number]],Main_Issuance[],3,0)</f>
        <v>Dipu Sir</v>
      </c>
      <c r="E538" s="16" t="s">
        <v>858</v>
      </c>
      <c r="F538" s="17" t="str">
        <f>VLOOKUP(Main_Presentation[[#This Row],[LC Number]],Main_Issuance[],5,0)</f>
        <v>Riyad</v>
      </c>
      <c r="G538" s="17" t="str">
        <f>VLOOKUP(Main_Presentation[[#This Row],[LC Number]],Main_Issuance[],6,0)</f>
        <v>Cash</v>
      </c>
      <c r="H538" s="17" t="str">
        <f>VLOOKUP(Main_Presentation[[#This Row],[LC Number]],Main_Issuance[],17,0)</f>
        <v>Cash</v>
      </c>
      <c r="I538" s="17" t="str">
        <f>VLOOKUP(Main_Presentation[[#This Row],[LC Number]],Main_Issuance[],7,0)</f>
        <v>ATELIER HOSPITALITY SRL</v>
      </c>
      <c r="J538" s="17" t="str">
        <f>VLOOKUP(Main_Presentation[[#This Row],[LC Number]],Main_Issuance[],8,0)</f>
        <v>MBL</v>
      </c>
      <c r="K538" s="17" t="str">
        <f>VLOOKUP(Main_Presentation[[#This Row],[LC Number]],Main_Issuance[],9,0)</f>
        <v>L01-YAMMAMA</v>
      </c>
      <c r="L538" s="17">
        <f>VLOOKUP(Main_Presentation[[#This Row],[LC Number]],Main_Issuance[],10,0)</f>
        <v>1020015</v>
      </c>
      <c r="M538" s="17" t="str">
        <f>VLOOKUP(Main_Presentation[[#This Row],[LC Number]],Main_Issuance[],11,0)</f>
        <v>EUR</v>
      </c>
      <c r="N538" s="84">
        <f>VLOOKUP(Main_Presentation[[#This Row],[LC Number]],Main_Issuance[],12,0)</f>
        <v>50762045.400000006</v>
      </c>
      <c r="O538" s="16" t="s">
        <v>20</v>
      </c>
      <c r="P538" s="16" t="s">
        <v>857</v>
      </c>
      <c r="Q538" s="131">
        <v>2279674.06</v>
      </c>
      <c r="R538" s="18">
        <v>4.5847993929358504</v>
      </c>
      <c r="S538" s="18">
        <f>Main_Presentation[[#This Row],[Invoice Amt (FCY)]]*Main_Presentation[[#This Row],[Rate]]</f>
        <v>10451848.246379606</v>
      </c>
      <c r="T538" s="15">
        <v>45602</v>
      </c>
      <c r="U538" s="26" t="str">
        <f>VLOOKUP(Main_Presentation[[#This Row],[LC Number]],Main_Issuance[],18,0)</f>
        <v>30 days from the date of comm. inv.</v>
      </c>
      <c r="V538" s="19" t="s">
        <v>213</v>
      </c>
      <c r="W538" s="18" t="s">
        <v>857</v>
      </c>
      <c r="X538" s="16"/>
      <c r="Y538" s="234" t="str">
        <f>TRIM(LEFT(Main_Presentation[[#This Row],[Payment Terms]],3))</f>
        <v>30</v>
      </c>
      <c r="Z538" s="16"/>
      <c r="AA538" s="316" cm="1">
        <f t="array" ref="AA538">Settlement(Main_Presentation[[#This Row],[Bank]],Main_Presentation[[#This Row],[ Invoice Amt (SAR)]],Main_Presentation[[#This Row],[Date Recd]],Main_Presentation[[#This Row],[Due Date]],Main_Presentation[[#This Row],[Days]])</f>
        <v>230</v>
      </c>
      <c r="AB538" s="16"/>
    </row>
    <row r="539" spans="1:28" ht="15.75" hidden="1" x14ac:dyDescent="0.25">
      <c r="A539" s="335" t="s">
        <v>319</v>
      </c>
      <c r="B539" s="336">
        <v>45593</v>
      </c>
      <c r="C539" s="337">
        <v>1</v>
      </c>
      <c r="D539" s="338" t="str">
        <f>VLOOKUP(Main_Presentation[[#This Row],[LC Number]],Main_Issuance[],3,0)</f>
        <v>Dipu Sir</v>
      </c>
      <c r="E539" s="339" t="s">
        <v>858</v>
      </c>
      <c r="F539" s="340" t="str">
        <f>VLOOKUP(Main_Presentation[[#This Row],[LC Number]],Main_Issuance[],5,0)</f>
        <v>Riyad</v>
      </c>
      <c r="G539" s="340" t="str">
        <f>VLOOKUP(Main_Presentation[[#This Row],[LC Number]],Main_Issuance[],6,0)</f>
        <v>Cash</v>
      </c>
      <c r="H539" s="340" t="str">
        <f>VLOOKUP(Main_Presentation[[#This Row],[LC Number]],Main_Issuance[],17,0)</f>
        <v>Cash</v>
      </c>
      <c r="I539" s="340" t="str">
        <f>VLOOKUP(Main_Presentation[[#This Row],[LC Number]],Main_Issuance[],7,0)</f>
        <v>TDM SL</v>
      </c>
      <c r="J539" s="340" t="str">
        <f>VLOOKUP(Main_Presentation[[#This Row],[LC Number]],Main_Issuance[],8,0)</f>
        <v>MBL</v>
      </c>
      <c r="K539" s="340" t="str">
        <f>VLOOKUP(Main_Presentation[[#This Row],[LC Number]],Main_Issuance[],9,0)</f>
        <v>L01-YAMMAMA</v>
      </c>
      <c r="L539" s="340">
        <f>VLOOKUP(Main_Presentation[[#This Row],[LC Number]],Main_Issuance[],10,0)</f>
        <v>1020015</v>
      </c>
      <c r="M539" s="340" t="str">
        <f>VLOOKUP(Main_Presentation[[#This Row],[LC Number]],Main_Issuance[],11,0)</f>
        <v>EUR</v>
      </c>
      <c r="N539" s="341">
        <f>VLOOKUP(Main_Presentation[[#This Row],[LC Number]],Main_Issuance[],12,0)</f>
        <v>964422.8</v>
      </c>
      <c r="O539" s="339" t="s">
        <v>20</v>
      </c>
      <c r="P539" s="339" t="s">
        <v>857</v>
      </c>
      <c r="Q539" s="342">
        <v>642829.59</v>
      </c>
      <c r="R539" s="342">
        <v>4.0750000000000002</v>
      </c>
      <c r="S539" s="342">
        <f>Main_Presentation[[#This Row],[Invoice Amt (FCY)]]*Main_Presentation[[#This Row],[Rate]]</f>
        <v>2619530.57925</v>
      </c>
      <c r="T539" s="336">
        <v>45594</v>
      </c>
      <c r="U539" s="337">
        <f>VLOOKUP(Main_Presentation[[#This Row],[LC Number]],Main_Issuance[],18,0)</f>
        <v>0</v>
      </c>
      <c r="V539" s="343" t="s">
        <v>213</v>
      </c>
      <c r="W539" s="344" t="s">
        <v>857</v>
      </c>
      <c r="X539" s="339" t="s">
        <v>873</v>
      </c>
      <c r="Y539" s="401" t="str">
        <f>TRIM(LEFT(Main_Presentation[[#This Row],[Payment Terms]],3))</f>
        <v>0</v>
      </c>
      <c r="Z539" s="339"/>
      <c r="AA539" s="316" cm="1">
        <f t="array" ref="AA539">Settlement(Main_Presentation[[#This Row],[Bank]],Main_Presentation[[#This Row],[ Invoice Amt (SAR)]],Main_Presentation[[#This Row],[Date Recd]],Main_Presentation[[#This Row],[Due Date]],Main_Presentation[[#This Row],[Days]])</f>
        <v>230</v>
      </c>
      <c r="AB539" s="339"/>
    </row>
    <row r="540" spans="1:28" ht="15.75" hidden="1" x14ac:dyDescent="0.25">
      <c r="A540" s="14" t="s">
        <v>306</v>
      </c>
      <c r="B540" s="15">
        <v>45587</v>
      </c>
      <c r="C540" s="26">
        <v>92</v>
      </c>
      <c r="D540" s="55" t="str">
        <f>VLOOKUP(Main_Presentation[[#This Row],[LC Number]],Main_Issuance[],3,0)</f>
        <v>Dipu Sir</v>
      </c>
      <c r="E540" s="16" t="s">
        <v>858</v>
      </c>
      <c r="F540" s="17" t="str">
        <f>VLOOKUP(Main_Presentation[[#This Row],[LC Number]],Main_Issuance[],5,0)</f>
        <v>Riyad</v>
      </c>
      <c r="G540" s="17" t="str">
        <f>VLOOKUP(Main_Presentation[[#This Row],[LC Number]],Main_Issuance[],6,0)</f>
        <v>Cash</v>
      </c>
      <c r="H540" s="17" t="str">
        <f>VLOOKUP(Main_Presentation[[#This Row],[LC Number]],Main_Issuance[],17,0)</f>
        <v>Cash</v>
      </c>
      <c r="I540" s="17" t="str">
        <f>VLOOKUP(Main_Presentation[[#This Row],[LC Number]],Main_Issuance[],7,0)</f>
        <v>ATELIER HOSPITALITY SRL</v>
      </c>
      <c r="J540" s="17" t="str">
        <f>VLOOKUP(Main_Presentation[[#This Row],[LC Number]],Main_Issuance[],8,0)</f>
        <v>MBL</v>
      </c>
      <c r="K540" s="17" t="str">
        <f>VLOOKUP(Main_Presentation[[#This Row],[LC Number]],Main_Issuance[],9,0)</f>
        <v>L01-YAMMAMA</v>
      </c>
      <c r="L540" s="17">
        <f>VLOOKUP(Main_Presentation[[#This Row],[LC Number]],Main_Issuance[],10,0)</f>
        <v>1020015</v>
      </c>
      <c r="M540" s="17" t="str">
        <f>VLOOKUP(Main_Presentation[[#This Row],[LC Number]],Main_Issuance[],11,0)</f>
        <v>EUR</v>
      </c>
      <c r="N540" s="84">
        <f>VLOOKUP(Main_Presentation[[#This Row],[LC Number]],Main_Issuance[],12,0)</f>
        <v>50762045.400000006</v>
      </c>
      <c r="O540" s="16" t="s">
        <v>20</v>
      </c>
      <c r="P540" s="16" t="s">
        <v>857</v>
      </c>
      <c r="Q540" s="131">
        <v>200820.89</v>
      </c>
      <c r="R540" s="18">
        <v>4.5848000064688499</v>
      </c>
      <c r="S540" s="18">
        <f>Main_Presentation[[#This Row],[Invoice Amt (FCY)]]*Main_Presentation[[#This Row],[Rate]]</f>
        <v>920723.61777108023</v>
      </c>
      <c r="T540" s="15">
        <v>45617</v>
      </c>
      <c r="U540" s="26" t="str">
        <f>VLOOKUP(Main_Presentation[[#This Row],[LC Number]],Main_Issuance[],18,0)</f>
        <v>30 days from the date of comm. inv.</v>
      </c>
      <c r="V540" s="19" t="s">
        <v>213</v>
      </c>
      <c r="W540" s="18" t="s">
        <v>857</v>
      </c>
      <c r="X540" s="16"/>
      <c r="Y540" s="234" t="str">
        <f>TRIM(LEFT(Main_Presentation[[#This Row],[Payment Terms]],3))</f>
        <v>30</v>
      </c>
      <c r="Z540" s="16"/>
      <c r="AA540" s="316" cm="1">
        <f t="array" ref="AA540">Settlement(Main_Presentation[[#This Row],[Bank]],Main_Presentation[[#This Row],[ Invoice Amt (SAR)]],Main_Presentation[[#This Row],[Date Recd]],Main_Presentation[[#This Row],[Due Date]],Main_Presentation[[#This Row],[Days]])</f>
        <v>1323.65</v>
      </c>
      <c r="AB540" s="16"/>
    </row>
    <row r="541" spans="1:28" ht="15.75" hidden="1" x14ac:dyDescent="0.25">
      <c r="A541" s="232" t="s">
        <v>321</v>
      </c>
      <c r="B541" s="137">
        <v>45601</v>
      </c>
      <c r="C541" s="138">
        <v>1</v>
      </c>
      <c r="D541" s="139" t="str">
        <f>VLOOKUP(Main_Presentation[[#This Row],[LC Number]],Main_Issuance[],3,0)</f>
        <v>Dipu Sir</v>
      </c>
      <c r="E541" s="140" t="s">
        <v>858</v>
      </c>
      <c r="F541" s="230" t="str">
        <f>VLOOKUP(Main_Presentation[[#This Row],[LC Number]],Main_Issuance[],5,0)</f>
        <v>Riyad</v>
      </c>
      <c r="G541" s="230" t="str">
        <f>VLOOKUP(Main_Presentation[[#This Row],[LC Number]],Main_Issuance[],6,0)</f>
        <v>Cash</v>
      </c>
      <c r="H541" s="230" t="str">
        <f>VLOOKUP(Main_Presentation[[#This Row],[LC Number]],Main_Issuance[],17,0)</f>
        <v>Cash</v>
      </c>
      <c r="I541" s="230" t="str">
        <f>VLOOKUP(Main_Presentation[[#This Row],[LC Number]],Main_Issuance[],7,0)</f>
        <v>Visio INC</v>
      </c>
      <c r="J541" s="230" t="str">
        <f>VLOOKUP(Main_Presentation[[#This Row],[LC Number]],Main_Issuance[],8,0)</f>
        <v>MBL</v>
      </c>
      <c r="K541" s="230" t="str">
        <f>VLOOKUP(Main_Presentation[[#This Row],[LC Number]],Main_Issuance[],9,0)</f>
        <v>L01-YAMMAMA</v>
      </c>
      <c r="L541" s="230">
        <f>VLOOKUP(Main_Presentation[[#This Row],[LC Number]],Main_Issuance[],10,0)</f>
        <v>1020015</v>
      </c>
      <c r="M541" s="230" t="str">
        <f>VLOOKUP(Main_Presentation[[#This Row],[LC Number]],Main_Issuance[],11,0)</f>
        <v>SAR</v>
      </c>
      <c r="N541" s="231">
        <f>VLOOKUP(Main_Presentation[[#This Row],[LC Number]],Main_Issuance[],12,0)</f>
        <v>16327500.880000001</v>
      </c>
      <c r="O541" s="140" t="s">
        <v>910</v>
      </c>
      <c r="P541" s="140" t="s">
        <v>378</v>
      </c>
      <c r="Q541" s="131">
        <v>13217807.199999999</v>
      </c>
      <c r="R541" s="131">
        <v>1</v>
      </c>
      <c r="S541" s="131">
        <f>Main_Presentation[[#This Row],[Invoice Amt (FCY)]]*Main_Presentation[[#This Row],[Rate]]</f>
        <v>13217807.199999999</v>
      </c>
      <c r="T541" s="137">
        <v>45627</v>
      </c>
      <c r="U541" s="138" t="str">
        <f>VLOOKUP(Main_Presentation[[#This Row],[LC Number]],Main_Issuance[],18,0)</f>
        <v>30 Days from Delivery Date</v>
      </c>
      <c r="V541" s="115" t="s">
        <v>213</v>
      </c>
      <c r="W541" s="145" t="s">
        <v>857</v>
      </c>
      <c r="X541" s="140"/>
      <c r="Y541" s="400" t="str">
        <f>TRIM(LEFT(Main_Presentation[[#This Row],[Payment Terms]],3))</f>
        <v>30</v>
      </c>
      <c r="Z541" s="140"/>
      <c r="AA541" s="468" cm="1">
        <f t="array" ref="AA541">Settlement(Main_Presentation[[#This Row],[Bank]],Main_Presentation[[#This Row],[ Invoice Amt (SAR)]],Main_Presentation[[#This Row],[Date Recd]],Main_Presentation[[#This Row],[Due Date]],Main_Presentation[[#This Row],[Days]])</f>
        <v>19000.3</v>
      </c>
      <c r="AB541" s="140"/>
    </row>
    <row r="542" spans="1:28" ht="15.75" hidden="1" x14ac:dyDescent="0.25">
      <c r="A542" s="335" t="s">
        <v>317</v>
      </c>
      <c r="B542" s="336">
        <v>45606</v>
      </c>
      <c r="C542" s="337">
        <v>2</v>
      </c>
      <c r="D542" s="338" t="str">
        <f>VLOOKUP(Main_Presentation[[#This Row],[LC Number]],Main_Issuance[],3,0)</f>
        <v>Dipu Sir</v>
      </c>
      <c r="E542" s="339" t="s">
        <v>858</v>
      </c>
      <c r="F542" s="340" t="str">
        <f>VLOOKUP(Main_Presentation[[#This Row],[LC Number]],Main_Issuance[],5,0)</f>
        <v>Riyad</v>
      </c>
      <c r="G542" s="340" t="str">
        <f>VLOOKUP(Main_Presentation[[#This Row],[LC Number]],Main_Issuance[],6,0)</f>
        <v>Cash</v>
      </c>
      <c r="H542" s="340" t="str">
        <f>VLOOKUP(Main_Presentation[[#This Row],[LC Number]],Main_Issuance[],17,0)</f>
        <v>Cash</v>
      </c>
      <c r="I542" s="340" t="str">
        <f>VLOOKUP(Main_Presentation[[#This Row],[LC Number]],Main_Issuance[],7,0)</f>
        <v>SAMSARA SRL</v>
      </c>
      <c r="J542" s="340" t="str">
        <f>VLOOKUP(Main_Presentation[[#This Row],[LC Number]],Main_Issuance[],8,0)</f>
        <v>MBL</v>
      </c>
      <c r="K542" s="340" t="str">
        <f>VLOOKUP(Main_Presentation[[#This Row],[LC Number]],Main_Issuance[],9,0)</f>
        <v>L01-YAMMAMA</v>
      </c>
      <c r="L542" s="340">
        <f>VLOOKUP(Main_Presentation[[#This Row],[LC Number]],Main_Issuance[],10,0)</f>
        <v>1020015</v>
      </c>
      <c r="M542" s="340" t="str">
        <f>VLOOKUP(Main_Presentation[[#This Row],[LC Number]],Main_Issuance[],11,0)</f>
        <v>EUR</v>
      </c>
      <c r="N542" s="341">
        <f>VLOOKUP(Main_Presentation[[#This Row],[LC Number]],Main_Issuance[],12,0)</f>
        <v>308759</v>
      </c>
      <c r="O542" s="339" t="s">
        <v>20</v>
      </c>
      <c r="P542" s="339" t="s">
        <v>857</v>
      </c>
      <c r="Q542" s="342">
        <v>74755</v>
      </c>
      <c r="R542" s="342">
        <v>4.6375999999999999</v>
      </c>
      <c r="S542" s="342">
        <f>Main_Presentation[[#This Row],[Invoice Amt (FCY)]]*Main_Presentation[[#This Row],[Rate]]</f>
        <v>346683.788</v>
      </c>
      <c r="T542" s="336">
        <v>45614</v>
      </c>
      <c r="U542" s="337" t="str">
        <f>VLOOKUP(Main_Presentation[[#This Row],[LC Number]],Main_Issuance[],18,0)</f>
        <v>Sight</v>
      </c>
      <c r="V542" s="343" t="s">
        <v>213</v>
      </c>
      <c r="W542" s="344" t="s">
        <v>857</v>
      </c>
      <c r="X542" s="339" t="s">
        <v>3811</v>
      </c>
      <c r="Y542" s="401" t="str">
        <f>TRIM(LEFT(Main_Presentation[[#This Row],[Payment Terms]],3))</f>
        <v>Sig</v>
      </c>
      <c r="Z542" s="339"/>
      <c r="AA542" s="316" t="e" cm="1">
        <f t="array" ref="AA542">Settlement(Main_Presentation[[#This Row],[Bank]],Main_Presentation[[#This Row],[ Invoice Amt (SAR)]],Main_Presentation[[#This Row],[Date Recd]],Main_Presentation[[#This Row],[Due Date]],Main_Presentation[[#This Row],[Days]])</f>
        <v>#VALUE!</v>
      </c>
      <c r="AB542" s="339"/>
    </row>
    <row r="543" spans="1:28" ht="15.75" hidden="1" x14ac:dyDescent="0.25">
      <c r="A543" s="14" t="s">
        <v>306</v>
      </c>
      <c r="B543" s="15">
        <v>45607</v>
      </c>
      <c r="C543" s="26">
        <v>93</v>
      </c>
      <c r="D543" s="55" t="str">
        <f>VLOOKUP(Main_Presentation[[#This Row],[LC Number]],Main_Issuance[],3,0)</f>
        <v>Dipu Sir</v>
      </c>
      <c r="E543" s="16" t="s">
        <v>858</v>
      </c>
      <c r="F543" s="17" t="str">
        <f>VLOOKUP(Main_Presentation[[#This Row],[LC Number]],Main_Issuance[],5,0)</f>
        <v>Riyad</v>
      </c>
      <c r="G543" s="17" t="str">
        <f>VLOOKUP(Main_Presentation[[#This Row],[LC Number]],Main_Issuance[],6,0)</f>
        <v>Cash</v>
      </c>
      <c r="H543" s="17" t="str">
        <f>VLOOKUP(Main_Presentation[[#This Row],[LC Number]],Main_Issuance[],17,0)</f>
        <v>Cash</v>
      </c>
      <c r="I543" s="17" t="str">
        <f>VLOOKUP(Main_Presentation[[#This Row],[LC Number]],Main_Issuance[],7,0)</f>
        <v>ATELIER HOSPITALITY SRL</v>
      </c>
      <c r="J543" s="17" t="str">
        <f>VLOOKUP(Main_Presentation[[#This Row],[LC Number]],Main_Issuance[],8,0)</f>
        <v>MBL</v>
      </c>
      <c r="K543" s="17" t="str">
        <f>VLOOKUP(Main_Presentation[[#This Row],[LC Number]],Main_Issuance[],9,0)</f>
        <v>L01-YAMMAMA</v>
      </c>
      <c r="L543" s="17">
        <f>VLOOKUP(Main_Presentation[[#This Row],[LC Number]],Main_Issuance[],10,0)</f>
        <v>1020015</v>
      </c>
      <c r="M543" s="17" t="str">
        <f>VLOOKUP(Main_Presentation[[#This Row],[LC Number]],Main_Issuance[],11,0)</f>
        <v>EUR</v>
      </c>
      <c r="N543" s="84">
        <f>VLOOKUP(Main_Presentation[[#This Row],[LC Number]],Main_Issuance[],12,0)</f>
        <v>50762045.400000006</v>
      </c>
      <c r="O543" s="16" t="s">
        <v>20</v>
      </c>
      <c r="P543" s="16" t="s">
        <v>857</v>
      </c>
      <c r="Q543" s="131">
        <v>67149.66</v>
      </c>
      <c r="R543" s="18">
        <v>4.5848000064688499</v>
      </c>
      <c r="S543" s="18">
        <f>Main_Presentation[[#This Row],[Invoice Amt (FCY)]]*Main_Presentation[[#This Row],[Rate]]</f>
        <v>307867.76160238107</v>
      </c>
      <c r="T543" s="15">
        <v>45616</v>
      </c>
      <c r="U543" s="26" t="str">
        <f>VLOOKUP(Main_Presentation[[#This Row],[LC Number]],Main_Issuance[],18,0)</f>
        <v>30 days from the date of comm. inv.</v>
      </c>
      <c r="V543" s="19" t="s">
        <v>213</v>
      </c>
      <c r="W543" s="22" t="s">
        <v>857</v>
      </c>
      <c r="X543" s="16"/>
      <c r="Y543" s="234" t="str">
        <f>TRIM(LEFT(Main_Presentation[[#This Row],[Payment Terms]],3))</f>
        <v>30</v>
      </c>
      <c r="Z543" s="16"/>
      <c r="AA543" s="316" cm="1">
        <f t="array" ref="AA543">Settlement(Main_Presentation[[#This Row],[Bank]],Main_Presentation[[#This Row],[ Invoice Amt (SAR)]],Main_Presentation[[#This Row],[Date Recd]],Main_Presentation[[#This Row],[Due Date]],Main_Presentation[[#This Row],[Days]])</f>
        <v>230</v>
      </c>
      <c r="AB543" s="16"/>
    </row>
    <row r="544" spans="1:28" ht="15.75" hidden="1" x14ac:dyDescent="0.25">
      <c r="A544" s="14" t="s">
        <v>306</v>
      </c>
      <c r="B544" s="15">
        <v>45608</v>
      </c>
      <c r="C544" s="26">
        <v>94</v>
      </c>
      <c r="D544" s="55" t="str">
        <f>VLOOKUP(Main_Presentation[[#This Row],[LC Number]],Main_Issuance[],3,0)</f>
        <v>Dipu Sir</v>
      </c>
      <c r="E544" s="16" t="s">
        <v>858</v>
      </c>
      <c r="F544" s="17" t="str">
        <f>VLOOKUP(Main_Presentation[[#This Row],[LC Number]],Main_Issuance[],5,0)</f>
        <v>Riyad</v>
      </c>
      <c r="G544" s="17" t="str">
        <f>VLOOKUP(Main_Presentation[[#This Row],[LC Number]],Main_Issuance[],6,0)</f>
        <v>Cash</v>
      </c>
      <c r="H544" s="17" t="str">
        <f>VLOOKUP(Main_Presentation[[#This Row],[LC Number]],Main_Issuance[],17,0)</f>
        <v>Cash</v>
      </c>
      <c r="I544" s="17" t="str">
        <f>VLOOKUP(Main_Presentation[[#This Row],[LC Number]],Main_Issuance[],7,0)</f>
        <v>ATELIER HOSPITALITY SRL</v>
      </c>
      <c r="J544" s="17" t="str">
        <f>VLOOKUP(Main_Presentation[[#This Row],[LC Number]],Main_Issuance[],8,0)</f>
        <v>MBL</v>
      </c>
      <c r="K544" s="17" t="str">
        <f>VLOOKUP(Main_Presentation[[#This Row],[LC Number]],Main_Issuance[],9,0)</f>
        <v>L01-YAMMAMA</v>
      </c>
      <c r="L544" s="17">
        <f>VLOOKUP(Main_Presentation[[#This Row],[LC Number]],Main_Issuance[],10,0)</f>
        <v>1020015</v>
      </c>
      <c r="M544" s="17" t="str">
        <f>VLOOKUP(Main_Presentation[[#This Row],[LC Number]],Main_Issuance[],11,0)</f>
        <v>EUR</v>
      </c>
      <c r="N544" s="84">
        <f>VLOOKUP(Main_Presentation[[#This Row],[LC Number]],Main_Issuance[],12,0)</f>
        <v>50762045.400000006</v>
      </c>
      <c r="O544" s="16" t="s">
        <v>20</v>
      </c>
      <c r="P544" s="16" t="s">
        <v>857</v>
      </c>
      <c r="Q544" s="131">
        <v>200820.89</v>
      </c>
      <c r="R544" s="18">
        <v>4.5848000064688499</v>
      </c>
      <c r="S544" s="18">
        <f>Main_Presentation[[#This Row],[Invoice Amt (FCY)]]*Main_Presentation[[#This Row],[Rate]]</f>
        <v>920723.61777108023</v>
      </c>
      <c r="T544" s="15">
        <v>45628</v>
      </c>
      <c r="U544" s="26" t="str">
        <f>VLOOKUP(Main_Presentation[[#This Row],[LC Number]],Main_Issuance[],18,0)</f>
        <v>30 days from the date of comm. inv.</v>
      </c>
      <c r="V544" s="19" t="s">
        <v>213</v>
      </c>
      <c r="W544" s="22" t="s">
        <v>857</v>
      </c>
      <c r="X544" s="16"/>
      <c r="Y544" s="234" t="str">
        <f>TRIM(LEFT(Main_Presentation[[#This Row],[Payment Terms]],3))</f>
        <v>30</v>
      </c>
      <c r="Z544" s="16"/>
      <c r="AA544" s="316" cm="1">
        <f t="array" ref="AA544">Settlement(Main_Presentation[[#This Row],[Bank]],Main_Presentation[[#This Row],[ Invoice Amt (SAR)]],Main_Presentation[[#This Row],[Date Recd]],Main_Presentation[[#This Row],[Due Date]],Main_Presentation[[#This Row],[Days]])</f>
        <v>1323.65</v>
      </c>
      <c r="AB544" s="16"/>
    </row>
    <row r="545" spans="1:28" ht="15.75" hidden="1" x14ac:dyDescent="0.25">
      <c r="A545" s="14" t="s">
        <v>306</v>
      </c>
      <c r="B545" s="15">
        <v>45614</v>
      </c>
      <c r="C545" s="26">
        <v>95</v>
      </c>
      <c r="D545" s="55" t="str">
        <f>VLOOKUP(Main_Presentation[[#This Row],[LC Number]],Main_Issuance[],3,0)</f>
        <v>Dipu Sir</v>
      </c>
      <c r="E545" s="16" t="s">
        <v>858</v>
      </c>
      <c r="F545" s="17" t="str">
        <f>VLOOKUP(Main_Presentation[[#This Row],[LC Number]],Main_Issuance[],5,0)</f>
        <v>Riyad</v>
      </c>
      <c r="G545" s="17" t="str">
        <f>VLOOKUP(Main_Presentation[[#This Row],[LC Number]],Main_Issuance[],6,0)</f>
        <v>Cash</v>
      </c>
      <c r="H545" s="17" t="str">
        <f>VLOOKUP(Main_Presentation[[#This Row],[LC Number]],Main_Issuance[],17,0)</f>
        <v>Cash</v>
      </c>
      <c r="I545" s="17" t="str">
        <f>VLOOKUP(Main_Presentation[[#This Row],[LC Number]],Main_Issuance[],7,0)</f>
        <v>ATELIER HOSPITALITY SRL</v>
      </c>
      <c r="J545" s="17" t="str">
        <f>VLOOKUP(Main_Presentation[[#This Row],[LC Number]],Main_Issuance[],8,0)</f>
        <v>MBL</v>
      </c>
      <c r="K545" s="17" t="str">
        <f>VLOOKUP(Main_Presentation[[#This Row],[LC Number]],Main_Issuance[],9,0)</f>
        <v>L01-YAMMAMA</v>
      </c>
      <c r="L545" s="17">
        <f>VLOOKUP(Main_Presentation[[#This Row],[LC Number]],Main_Issuance[],10,0)</f>
        <v>1020015</v>
      </c>
      <c r="M545" s="17" t="str">
        <f>VLOOKUP(Main_Presentation[[#This Row],[LC Number]],Main_Issuance[],11,0)</f>
        <v>EUR</v>
      </c>
      <c r="N545" s="84">
        <f>VLOOKUP(Main_Presentation[[#This Row],[LC Number]],Main_Issuance[],12,0)</f>
        <v>50762045.400000006</v>
      </c>
      <c r="O545" s="16" t="s">
        <v>20</v>
      </c>
      <c r="P545" s="16" t="s">
        <v>857</v>
      </c>
      <c r="Q545" s="131">
        <v>1089051.48</v>
      </c>
      <c r="R545" s="18">
        <v>4.5848000064688499</v>
      </c>
      <c r="S545" s="18">
        <f>Main_Presentation[[#This Row],[Invoice Amt (FCY)]]*Main_Presentation[[#This Row],[Rate]]</f>
        <v>4993083.2325489102</v>
      </c>
      <c r="T545" s="15">
        <v>45617</v>
      </c>
      <c r="U545" s="26" t="str">
        <f>VLOOKUP(Main_Presentation[[#This Row],[LC Number]],Main_Issuance[],18,0)</f>
        <v>30 days from the date of comm. inv.</v>
      </c>
      <c r="V545" s="19" t="s">
        <v>213</v>
      </c>
      <c r="W545" s="18" t="s">
        <v>857</v>
      </c>
      <c r="X545" s="16"/>
      <c r="Y545" s="234" t="str">
        <f>TRIM(LEFT(Main_Presentation[[#This Row],[Payment Terms]],3))</f>
        <v>30</v>
      </c>
      <c r="Z545" s="16"/>
      <c r="AA545" s="316" cm="1">
        <f t="array" ref="AA545">Settlement(Main_Presentation[[#This Row],[Bank]],Main_Presentation[[#This Row],[ Invoice Amt (SAR)]],Main_Presentation[[#This Row],[Date Recd]],Main_Presentation[[#This Row],[Due Date]],Main_Presentation[[#This Row],[Days]])</f>
        <v>230</v>
      </c>
      <c r="AB545" s="16"/>
    </row>
    <row r="546" spans="1:28" ht="15.75" hidden="1" x14ac:dyDescent="0.25">
      <c r="A546" s="335" t="s">
        <v>320</v>
      </c>
      <c r="B546" s="336">
        <v>45567</v>
      </c>
      <c r="C546" s="337">
        <v>2</v>
      </c>
      <c r="D546" s="338" t="str">
        <f>VLOOKUP(Main_Presentation[[#This Row],[LC Number]],Main_Issuance[],3,0)</f>
        <v>Dipu Sir</v>
      </c>
      <c r="E546" s="339" t="s">
        <v>858</v>
      </c>
      <c r="F546" s="340" t="str">
        <f>VLOOKUP(Main_Presentation[[#This Row],[LC Number]],Main_Issuance[],5,0)</f>
        <v>Riyad</v>
      </c>
      <c r="G546" s="340" t="str">
        <f>VLOOKUP(Main_Presentation[[#This Row],[LC Number]],Main_Issuance[],6,0)</f>
        <v>Cash</v>
      </c>
      <c r="H546" s="340" t="str">
        <f>VLOOKUP(Main_Presentation[[#This Row],[LC Number]],Main_Issuance[],17,0)</f>
        <v>Cash</v>
      </c>
      <c r="I546" s="340" t="str">
        <f>VLOOKUP(Main_Presentation[[#This Row],[LC Number]],Main_Issuance[],7,0)</f>
        <v>HOME ITEMS INTERNATIONAL TRADING</v>
      </c>
      <c r="J546" s="340" t="str">
        <f>VLOOKUP(Main_Presentation[[#This Row],[LC Number]],Main_Issuance[],8,0)</f>
        <v>MBL</v>
      </c>
      <c r="K546" s="340" t="str">
        <f>VLOOKUP(Main_Presentation[[#This Row],[LC Number]],Main_Issuance[],9,0)</f>
        <v>L01-YAMMAMA</v>
      </c>
      <c r="L546" s="340">
        <f>VLOOKUP(Main_Presentation[[#This Row],[LC Number]],Main_Issuance[],10,0)</f>
        <v>1020015</v>
      </c>
      <c r="M546" s="340" t="str">
        <f>VLOOKUP(Main_Presentation[[#This Row],[LC Number]],Main_Issuance[],11,0)</f>
        <v>AED</v>
      </c>
      <c r="N546" s="341">
        <f>VLOOKUP(Main_Presentation[[#This Row],[LC Number]],Main_Issuance[],12,0)</f>
        <v>10215283.68</v>
      </c>
      <c r="O546" s="339" t="s">
        <v>910</v>
      </c>
      <c r="P546" s="339" t="s">
        <v>378</v>
      </c>
      <c r="Q546" s="342">
        <v>1454024.33</v>
      </c>
      <c r="R546" s="342">
        <v>1.0276000000000001</v>
      </c>
      <c r="S546" s="342">
        <f>Main_Presentation[[#This Row],[Invoice Amt (FCY)]]*Main_Presentation[[#This Row],[Rate]]</f>
        <v>1494155.4015080002</v>
      </c>
      <c r="T546" s="336">
        <v>45623</v>
      </c>
      <c r="U546" s="337" t="str">
        <f>VLOOKUP(Main_Presentation[[#This Row],[LC Number]],Main_Issuance[],18,0)</f>
        <v>Sight</v>
      </c>
      <c r="V546" s="343" t="s">
        <v>213</v>
      </c>
      <c r="W546" s="344" t="s">
        <v>857</v>
      </c>
      <c r="X546" s="339"/>
      <c r="Y546" s="401" t="str">
        <f>TRIM(LEFT(Main_Presentation[[#This Row],[Payment Terms]],3))</f>
        <v>Sig</v>
      </c>
      <c r="Z546" s="339"/>
      <c r="AA546" s="316" t="e" cm="1">
        <f t="array" ref="AA546">Settlement(Main_Presentation[[#This Row],[Bank]],Main_Presentation[[#This Row],[ Invoice Amt (SAR)]],Main_Presentation[[#This Row],[Date Recd]],Main_Presentation[[#This Row],[Due Date]],Main_Presentation[[#This Row],[Days]])</f>
        <v>#VALUE!</v>
      </c>
      <c r="AB546" s="339"/>
    </row>
    <row r="547" spans="1:28" ht="15.75" hidden="1" x14ac:dyDescent="0.25">
      <c r="A547" s="232" t="s">
        <v>321</v>
      </c>
      <c r="B547" s="137">
        <v>45634</v>
      </c>
      <c r="C547" s="138">
        <v>2</v>
      </c>
      <c r="D547" s="139" t="str">
        <f>VLOOKUP(Main_Presentation[[#This Row],[LC Number]],Main_Issuance[],3,0)</f>
        <v>Dipu Sir</v>
      </c>
      <c r="E547" s="140" t="s">
        <v>858</v>
      </c>
      <c r="F547" s="230" t="str">
        <f>VLOOKUP(Main_Presentation[[#This Row],[LC Number]],Main_Issuance[],5,0)</f>
        <v>Riyad</v>
      </c>
      <c r="G547" s="230" t="str">
        <f>VLOOKUP(Main_Presentation[[#This Row],[LC Number]],Main_Issuance[],6,0)</f>
        <v>Cash</v>
      </c>
      <c r="H547" s="230" t="str">
        <f>VLOOKUP(Main_Presentation[[#This Row],[LC Number]],Main_Issuance[],17,0)</f>
        <v>Cash</v>
      </c>
      <c r="I547" s="230" t="str">
        <f>VLOOKUP(Main_Presentation[[#This Row],[LC Number]],Main_Issuance[],7,0)</f>
        <v>Visio INC</v>
      </c>
      <c r="J547" s="230" t="str">
        <f>VLOOKUP(Main_Presentation[[#This Row],[LC Number]],Main_Issuance[],8,0)</f>
        <v>MBL</v>
      </c>
      <c r="K547" s="230" t="str">
        <f>VLOOKUP(Main_Presentation[[#This Row],[LC Number]],Main_Issuance[],9,0)</f>
        <v>L01-YAMMAMA</v>
      </c>
      <c r="L547" s="230">
        <f>VLOOKUP(Main_Presentation[[#This Row],[LC Number]],Main_Issuance[],10,0)</f>
        <v>1020015</v>
      </c>
      <c r="M547" s="230" t="str">
        <f>VLOOKUP(Main_Presentation[[#This Row],[LC Number]],Main_Issuance[],11,0)</f>
        <v>SAR</v>
      </c>
      <c r="N547" s="231">
        <f>VLOOKUP(Main_Presentation[[#This Row],[LC Number]],Main_Issuance[],12,0)</f>
        <v>16327500.880000001</v>
      </c>
      <c r="O547" s="140" t="s">
        <v>20</v>
      </c>
      <c r="P547" s="140" t="s">
        <v>857</v>
      </c>
      <c r="Q547" s="131">
        <v>430953.83</v>
      </c>
      <c r="R547" s="131">
        <v>1</v>
      </c>
      <c r="S547" s="131">
        <f>Main_Presentation[[#This Row],[Invoice Amt (FCY)]]*Main_Presentation[[#This Row],[Rate]]</f>
        <v>430953.83</v>
      </c>
      <c r="T547" s="137">
        <v>45635</v>
      </c>
      <c r="U547" s="138" t="str">
        <f>VLOOKUP(Main_Presentation[[#This Row],[LC Number]],Main_Issuance[],18,0)</f>
        <v>30 Days from Delivery Date</v>
      </c>
      <c r="V547" s="115" t="s">
        <v>213</v>
      </c>
      <c r="W547" s="145" t="s">
        <v>857</v>
      </c>
      <c r="X547" s="140"/>
      <c r="Y547" s="400" t="str">
        <f>TRIM(LEFT(Main_Presentation[[#This Row],[Payment Terms]],3))</f>
        <v>30</v>
      </c>
      <c r="Z547" s="140"/>
      <c r="AA547" s="468" cm="1">
        <f t="array" ref="AA547">Settlement(Main_Presentation[[#This Row],[Bank]],Main_Presentation[[#This Row],[ Invoice Amt (SAR)]],Main_Presentation[[#This Row],[Date Recd]],Main_Presentation[[#This Row],[Due Date]],Main_Presentation[[#This Row],[Days]])</f>
        <v>230</v>
      </c>
      <c r="AB547" s="140"/>
    </row>
    <row r="548" spans="1:28" ht="15.75" hidden="1" x14ac:dyDescent="0.25">
      <c r="A548" s="232" t="s">
        <v>321</v>
      </c>
      <c r="B548" s="137">
        <v>45634</v>
      </c>
      <c r="C548" s="138">
        <v>3</v>
      </c>
      <c r="D548" s="139" t="str">
        <f>VLOOKUP(Main_Presentation[[#This Row],[LC Number]],Main_Issuance[],3,0)</f>
        <v>Dipu Sir</v>
      </c>
      <c r="E548" s="140" t="s">
        <v>858</v>
      </c>
      <c r="F548" s="230" t="str">
        <f>VLOOKUP(Main_Presentation[[#This Row],[LC Number]],Main_Issuance[],5,0)</f>
        <v>Riyad</v>
      </c>
      <c r="G548" s="230" t="str">
        <f>VLOOKUP(Main_Presentation[[#This Row],[LC Number]],Main_Issuance[],6,0)</f>
        <v>Cash</v>
      </c>
      <c r="H548" s="230" t="str">
        <f>VLOOKUP(Main_Presentation[[#This Row],[LC Number]],Main_Issuance[],17,0)</f>
        <v>Cash</v>
      </c>
      <c r="I548" s="230" t="str">
        <f>VLOOKUP(Main_Presentation[[#This Row],[LC Number]],Main_Issuance[],7,0)</f>
        <v>Visio INC</v>
      </c>
      <c r="J548" s="230" t="str">
        <f>VLOOKUP(Main_Presentation[[#This Row],[LC Number]],Main_Issuance[],8,0)</f>
        <v>MBL</v>
      </c>
      <c r="K548" s="230" t="str">
        <f>VLOOKUP(Main_Presentation[[#This Row],[LC Number]],Main_Issuance[],9,0)</f>
        <v>L01-YAMMAMA</v>
      </c>
      <c r="L548" s="230">
        <f>VLOOKUP(Main_Presentation[[#This Row],[LC Number]],Main_Issuance[],10,0)</f>
        <v>1020015</v>
      </c>
      <c r="M548" s="230" t="str">
        <f>VLOOKUP(Main_Presentation[[#This Row],[LC Number]],Main_Issuance[],11,0)</f>
        <v>SAR</v>
      </c>
      <c r="N548" s="231">
        <f>VLOOKUP(Main_Presentation[[#This Row],[LC Number]],Main_Issuance[],12,0)</f>
        <v>16327500.880000001</v>
      </c>
      <c r="O548" s="140" t="s">
        <v>20</v>
      </c>
      <c r="P548" s="140" t="s">
        <v>857</v>
      </c>
      <c r="Q548" s="131">
        <v>3958594.13</v>
      </c>
      <c r="R548" s="131">
        <v>1</v>
      </c>
      <c r="S548" s="131">
        <f>Main_Presentation[[#This Row],[Invoice Amt (FCY)]]*Main_Presentation[[#This Row],[Rate]]</f>
        <v>3958594.13</v>
      </c>
      <c r="T548" s="137">
        <v>45635</v>
      </c>
      <c r="U548" s="138" t="str">
        <f>VLOOKUP(Main_Presentation[[#This Row],[LC Number]],Main_Issuance[],18,0)</f>
        <v>30 Days from Delivery Date</v>
      </c>
      <c r="V548" s="115" t="s">
        <v>213</v>
      </c>
      <c r="W548" s="145" t="s">
        <v>857</v>
      </c>
      <c r="X548" s="140"/>
      <c r="Y548" s="400" t="str">
        <f>TRIM(LEFT(Main_Presentation[[#This Row],[Payment Terms]],3))</f>
        <v>30</v>
      </c>
      <c r="Z548" s="140"/>
      <c r="AA548" s="468" cm="1">
        <f t="array" ref="AA548">Settlement(Main_Presentation[[#This Row],[Bank]],Main_Presentation[[#This Row],[ Invoice Amt (SAR)]],Main_Presentation[[#This Row],[Date Recd]],Main_Presentation[[#This Row],[Due Date]],Main_Presentation[[#This Row],[Days]])</f>
        <v>230</v>
      </c>
      <c r="AB548" s="140"/>
    </row>
    <row r="549" spans="1:28" ht="15.75" hidden="1" x14ac:dyDescent="0.25">
      <c r="A549" s="232" t="s">
        <v>321</v>
      </c>
      <c r="B549" s="137">
        <v>45634</v>
      </c>
      <c r="C549" s="138">
        <v>4</v>
      </c>
      <c r="D549" s="139" t="str">
        <f>VLOOKUP(Main_Presentation[[#This Row],[LC Number]],Main_Issuance[],3,0)</f>
        <v>Dipu Sir</v>
      </c>
      <c r="E549" s="140" t="s">
        <v>858</v>
      </c>
      <c r="F549" s="230" t="str">
        <f>VLOOKUP(Main_Presentation[[#This Row],[LC Number]],Main_Issuance[],5,0)</f>
        <v>Riyad</v>
      </c>
      <c r="G549" s="230" t="str">
        <f>VLOOKUP(Main_Presentation[[#This Row],[LC Number]],Main_Issuance[],6,0)</f>
        <v>Cash</v>
      </c>
      <c r="H549" s="230" t="str">
        <f>VLOOKUP(Main_Presentation[[#This Row],[LC Number]],Main_Issuance[],17,0)</f>
        <v>Cash</v>
      </c>
      <c r="I549" s="230" t="str">
        <f>VLOOKUP(Main_Presentation[[#This Row],[LC Number]],Main_Issuance[],7,0)</f>
        <v>Visio INC</v>
      </c>
      <c r="J549" s="230" t="str">
        <f>VLOOKUP(Main_Presentation[[#This Row],[LC Number]],Main_Issuance[],8,0)</f>
        <v>MBL</v>
      </c>
      <c r="K549" s="230" t="str">
        <f>VLOOKUP(Main_Presentation[[#This Row],[LC Number]],Main_Issuance[],9,0)</f>
        <v>L01-YAMMAMA</v>
      </c>
      <c r="L549" s="230">
        <f>VLOOKUP(Main_Presentation[[#This Row],[LC Number]],Main_Issuance[],10,0)</f>
        <v>1020015</v>
      </c>
      <c r="M549" s="230" t="str">
        <f>VLOOKUP(Main_Presentation[[#This Row],[LC Number]],Main_Issuance[],11,0)</f>
        <v>SAR</v>
      </c>
      <c r="N549" s="231">
        <f>VLOOKUP(Main_Presentation[[#This Row],[LC Number]],Main_Issuance[],12,0)</f>
        <v>16327500.880000001</v>
      </c>
      <c r="O549" s="140" t="s">
        <v>20</v>
      </c>
      <c r="P549" s="140" t="s">
        <v>857</v>
      </c>
      <c r="Q549" s="131">
        <v>1733887.85</v>
      </c>
      <c r="R549" s="131">
        <v>1</v>
      </c>
      <c r="S549" s="131">
        <f>Main_Presentation[[#This Row],[Invoice Amt (FCY)]]*Main_Presentation[[#This Row],[Rate]]</f>
        <v>1733887.85</v>
      </c>
      <c r="T549" s="137">
        <v>45635</v>
      </c>
      <c r="U549" s="138" t="str">
        <f>VLOOKUP(Main_Presentation[[#This Row],[LC Number]],Main_Issuance[],18,0)</f>
        <v>30 Days from Delivery Date</v>
      </c>
      <c r="V549" s="115" t="s">
        <v>213</v>
      </c>
      <c r="W549" s="145" t="s">
        <v>857</v>
      </c>
      <c r="X549" s="140"/>
      <c r="Y549" s="400" t="str">
        <f>TRIM(LEFT(Main_Presentation[[#This Row],[Payment Terms]],3))</f>
        <v>30</v>
      </c>
      <c r="Z549" s="140"/>
      <c r="AA549" s="468" cm="1">
        <f t="array" ref="AA549">Settlement(Main_Presentation[[#This Row],[Bank]],Main_Presentation[[#This Row],[ Invoice Amt (SAR)]],Main_Presentation[[#This Row],[Date Recd]],Main_Presentation[[#This Row],[Due Date]],Main_Presentation[[#This Row],[Days]])</f>
        <v>230</v>
      </c>
      <c r="AB549" s="140"/>
    </row>
    <row r="550" spans="1:28" ht="15.75" hidden="1" x14ac:dyDescent="0.25">
      <c r="A550" s="14" t="s">
        <v>306</v>
      </c>
      <c r="B550" s="15">
        <v>45636</v>
      </c>
      <c r="C550" s="26">
        <v>96</v>
      </c>
      <c r="D550" s="55" t="str">
        <f>VLOOKUP(Main_Presentation[[#This Row],[LC Number]],Main_Issuance[],3,0)</f>
        <v>Dipu Sir</v>
      </c>
      <c r="E550" s="16" t="s">
        <v>858</v>
      </c>
      <c r="F550" s="17" t="str">
        <f>VLOOKUP(Main_Presentation[[#This Row],[LC Number]],Main_Issuance[],5,0)</f>
        <v>Riyad</v>
      </c>
      <c r="G550" s="17" t="str">
        <f>VLOOKUP(Main_Presentation[[#This Row],[LC Number]],Main_Issuance[],6,0)</f>
        <v>Cash</v>
      </c>
      <c r="H550" s="17" t="str">
        <f>VLOOKUP(Main_Presentation[[#This Row],[LC Number]],Main_Issuance[],17,0)</f>
        <v>Cash</v>
      </c>
      <c r="I550" s="17" t="str">
        <f>VLOOKUP(Main_Presentation[[#This Row],[LC Number]],Main_Issuance[],7,0)</f>
        <v>ATELIER HOSPITALITY SRL</v>
      </c>
      <c r="J550" s="17" t="str">
        <f>VLOOKUP(Main_Presentation[[#This Row],[LC Number]],Main_Issuance[],8,0)</f>
        <v>MBL</v>
      </c>
      <c r="K550" s="17" t="str">
        <f>VLOOKUP(Main_Presentation[[#This Row],[LC Number]],Main_Issuance[],9,0)</f>
        <v>L01-YAMMAMA</v>
      </c>
      <c r="L550" s="17">
        <f>VLOOKUP(Main_Presentation[[#This Row],[LC Number]],Main_Issuance[],10,0)</f>
        <v>1020015</v>
      </c>
      <c r="M550" s="17" t="str">
        <f>VLOOKUP(Main_Presentation[[#This Row],[LC Number]],Main_Issuance[],11,0)</f>
        <v>EUR</v>
      </c>
      <c r="N550" s="84">
        <f>VLOOKUP(Main_Presentation[[#This Row],[LC Number]],Main_Issuance[],12,0)</f>
        <v>50762045.400000006</v>
      </c>
      <c r="O550" s="16" t="s">
        <v>20</v>
      </c>
      <c r="P550" s="16" t="s">
        <v>857</v>
      </c>
      <c r="Q550" s="131">
        <v>674567.06</v>
      </c>
      <c r="R550" s="18">
        <v>4.5848000064688499</v>
      </c>
      <c r="S550" s="18">
        <f>Main_Presentation[[#This Row],[Invoice Amt (FCY)]]*Main_Presentation[[#This Row],[Rate]]</f>
        <v>3092755.0610516733</v>
      </c>
      <c r="T550" s="15">
        <v>45642</v>
      </c>
      <c r="U550" s="26" t="str">
        <f>VLOOKUP(Main_Presentation[[#This Row],[LC Number]],Main_Issuance[],18,0)</f>
        <v>30 days from the date of comm. inv.</v>
      </c>
      <c r="V550" s="19" t="s">
        <v>213</v>
      </c>
      <c r="W550" s="18" t="s">
        <v>857</v>
      </c>
      <c r="X550" s="16"/>
      <c r="Y550" s="234" t="str">
        <f>TRIM(LEFT(Main_Presentation[[#This Row],[Payment Terms]],3))</f>
        <v>30</v>
      </c>
      <c r="Z550" s="16"/>
      <c r="AA550" s="316" cm="1">
        <f t="array" ref="AA550">Settlement(Main_Presentation[[#This Row],[Bank]],Main_Presentation[[#This Row],[ Invoice Amt (SAR)]],Main_Presentation[[#This Row],[Date Recd]],Main_Presentation[[#This Row],[Due Date]],Main_Presentation[[#This Row],[Days]])</f>
        <v>230</v>
      </c>
      <c r="AB550" s="16"/>
    </row>
    <row r="551" spans="1:28" ht="15.75" hidden="1" x14ac:dyDescent="0.25">
      <c r="A551" s="14" t="s">
        <v>306</v>
      </c>
      <c r="B551" s="15">
        <v>45636</v>
      </c>
      <c r="C551" s="26">
        <v>97</v>
      </c>
      <c r="D551" s="55" t="str">
        <f>VLOOKUP(Main_Presentation[[#This Row],[LC Number]],Main_Issuance[],3,0)</f>
        <v>Dipu Sir</v>
      </c>
      <c r="E551" s="16" t="s">
        <v>858</v>
      </c>
      <c r="F551" s="17" t="str">
        <f>VLOOKUP(Main_Presentation[[#This Row],[LC Number]],Main_Issuance[],5,0)</f>
        <v>Riyad</v>
      </c>
      <c r="G551" s="17" t="str">
        <f>VLOOKUP(Main_Presentation[[#This Row],[LC Number]],Main_Issuance[],6,0)</f>
        <v>Cash</v>
      </c>
      <c r="H551" s="17" t="str">
        <f>VLOOKUP(Main_Presentation[[#This Row],[LC Number]],Main_Issuance[],17,0)</f>
        <v>Cash</v>
      </c>
      <c r="I551" s="17" t="str">
        <f>VLOOKUP(Main_Presentation[[#This Row],[LC Number]],Main_Issuance[],7,0)</f>
        <v>ATELIER HOSPITALITY SRL</v>
      </c>
      <c r="J551" s="17" t="str">
        <f>VLOOKUP(Main_Presentation[[#This Row],[LC Number]],Main_Issuance[],8,0)</f>
        <v>MBL</v>
      </c>
      <c r="K551" s="17" t="str">
        <f>VLOOKUP(Main_Presentation[[#This Row],[LC Number]],Main_Issuance[],9,0)</f>
        <v>L01-YAMMAMA</v>
      </c>
      <c r="L551" s="17">
        <f>VLOOKUP(Main_Presentation[[#This Row],[LC Number]],Main_Issuance[],10,0)</f>
        <v>1020015</v>
      </c>
      <c r="M551" s="17" t="str">
        <f>VLOOKUP(Main_Presentation[[#This Row],[LC Number]],Main_Issuance[],11,0)</f>
        <v>EUR</v>
      </c>
      <c r="N551" s="84">
        <f>VLOOKUP(Main_Presentation[[#This Row],[LC Number]],Main_Issuance[],12,0)</f>
        <v>50762045.400000006</v>
      </c>
      <c r="O551" s="16" t="s">
        <v>20</v>
      </c>
      <c r="P551" s="16" t="s">
        <v>857</v>
      </c>
      <c r="Q551" s="131">
        <v>193251.49</v>
      </c>
      <c r="R551" s="18">
        <v>4.5848000064688499</v>
      </c>
      <c r="S551" s="18">
        <f>Main_Presentation[[#This Row],[Invoice Amt (FCY)]]*Main_Presentation[[#This Row],[Rate]]</f>
        <v>886019.43260211486</v>
      </c>
      <c r="T551" s="15">
        <v>45656</v>
      </c>
      <c r="U551" s="26" t="str">
        <f>VLOOKUP(Main_Presentation[[#This Row],[LC Number]],Main_Issuance[],18,0)</f>
        <v>30 days from the date of comm. inv.</v>
      </c>
      <c r="V551" s="19" t="s">
        <v>213</v>
      </c>
      <c r="W551" s="18" t="s">
        <v>857</v>
      </c>
      <c r="X551" s="16"/>
      <c r="Y551" s="234" t="str">
        <f>TRIM(LEFT(Main_Presentation[[#This Row],[Payment Terms]],3))</f>
        <v>30</v>
      </c>
      <c r="Z551" s="16"/>
      <c r="AA551" s="316" cm="1">
        <f t="array" ref="AA551">Settlement(Main_Presentation[[#This Row],[Bank]],Main_Presentation[[#This Row],[ Invoice Amt (SAR)]],Main_Presentation[[#This Row],[Date Recd]],Main_Presentation[[#This Row],[Due Date]],Main_Presentation[[#This Row],[Days]])</f>
        <v>1274.2</v>
      </c>
      <c r="AB551" s="16"/>
    </row>
    <row r="552" spans="1:28" ht="15.75" hidden="1" x14ac:dyDescent="0.25">
      <c r="A552" s="14" t="s">
        <v>306</v>
      </c>
      <c r="B552" s="15">
        <v>45645</v>
      </c>
      <c r="C552" s="26">
        <v>98</v>
      </c>
      <c r="D552" s="55" t="str">
        <f>VLOOKUP(Main_Presentation[[#This Row],[LC Number]],Main_Issuance[],3,0)</f>
        <v>Dipu Sir</v>
      </c>
      <c r="E552" s="16" t="s">
        <v>858</v>
      </c>
      <c r="F552" s="17" t="str">
        <f>VLOOKUP(Main_Presentation[[#This Row],[LC Number]],Main_Issuance[],5,0)</f>
        <v>Riyad</v>
      </c>
      <c r="G552" s="17" t="str">
        <f>VLOOKUP(Main_Presentation[[#This Row],[LC Number]],Main_Issuance[],6,0)</f>
        <v>Cash</v>
      </c>
      <c r="H552" s="17" t="str">
        <f>VLOOKUP(Main_Presentation[[#This Row],[LC Number]],Main_Issuance[],17,0)</f>
        <v>Cash</v>
      </c>
      <c r="I552" s="17" t="str">
        <f>VLOOKUP(Main_Presentation[[#This Row],[LC Number]],Main_Issuance[],7,0)</f>
        <v>ATELIER HOSPITALITY SRL</v>
      </c>
      <c r="J552" s="17" t="str">
        <f>VLOOKUP(Main_Presentation[[#This Row],[LC Number]],Main_Issuance[],8,0)</f>
        <v>MBL</v>
      </c>
      <c r="K552" s="17" t="str">
        <f>VLOOKUP(Main_Presentation[[#This Row],[LC Number]],Main_Issuance[],9,0)</f>
        <v>L01-YAMMAMA</v>
      </c>
      <c r="L552" s="17">
        <f>VLOOKUP(Main_Presentation[[#This Row],[LC Number]],Main_Issuance[],10,0)</f>
        <v>1020015</v>
      </c>
      <c r="M552" s="17" t="str">
        <f>VLOOKUP(Main_Presentation[[#This Row],[LC Number]],Main_Issuance[],11,0)</f>
        <v>EUR</v>
      </c>
      <c r="N552" s="84">
        <f>VLOOKUP(Main_Presentation[[#This Row],[LC Number]],Main_Issuance[],12,0)</f>
        <v>50762045.400000006</v>
      </c>
      <c r="O552" s="16" t="s">
        <v>20</v>
      </c>
      <c r="P552" s="16" t="s">
        <v>857</v>
      </c>
      <c r="Q552" s="131">
        <v>45392.800000000003</v>
      </c>
      <c r="R552" s="18">
        <v>4.5848000064688499</v>
      </c>
      <c r="S552" s="18">
        <f>Main_Presentation[[#This Row],[Invoice Amt (FCY)]]*Main_Presentation[[#This Row],[Rate]]</f>
        <v>208116.90973363922</v>
      </c>
      <c r="T552" s="15">
        <v>45652</v>
      </c>
      <c r="U552" s="26" t="str">
        <f>VLOOKUP(Main_Presentation[[#This Row],[LC Number]],Main_Issuance[],18,0)</f>
        <v>30 days from the date of comm. inv.</v>
      </c>
      <c r="V552" s="19" t="s">
        <v>213</v>
      </c>
      <c r="W552" s="18" t="s">
        <v>857</v>
      </c>
      <c r="X552" s="16"/>
      <c r="Y552" s="234" t="str">
        <f>TRIM(LEFT(Main_Presentation[[#This Row],[Payment Terms]],3))</f>
        <v>30</v>
      </c>
      <c r="Z552" s="16"/>
      <c r="AA552" s="316" cm="1">
        <f t="array" ref="AA552">Settlement(Main_Presentation[[#This Row],[Bank]],Main_Presentation[[#This Row],[ Invoice Amt (SAR)]],Main_Presentation[[#This Row],[Date Recd]],Main_Presentation[[#This Row],[Due Date]],Main_Presentation[[#This Row],[Days]])</f>
        <v>230</v>
      </c>
      <c r="AB552" s="16"/>
    </row>
    <row r="553" spans="1:28" ht="15.75" hidden="1" x14ac:dyDescent="0.25">
      <c r="A553" s="20" t="s">
        <v>306</v>
      </c>
      <c r="B553" s="15">
        <v>45650</v>
      </c>
      <c r="C553" s="26">
        <v>99</v>
      </c>
      <c r="D553" s="55" t="str">
        <f>VLOOKUP(Main_Presentation[[#This Row],[LC Number]],Main_Issuance[],3,0)</f>
        <v>Dipu Sir</v>
      </c>
      <c r="E553" s="16" t="s">
        <v>858</v>
      </c>
      <c r="F553" s="17" t="str">
        <f>VLOOKUP(Main_Presentation[[#This Row],[LC Number]],Main_Issuance[],5,0)</f>
        <v>Riyad</v>
      </c>
      <c r="G553" s="17" t="str">
        <f>VLOOKUP(Main_Presentation[[#This Row],[LC Number]],Main_Issuance[],6,0)</f>
        <v>Cash</v>
      </c>
      <c r="H553" s="17" t="str">
        <f>VLOOKUP(Main_Presentation[[#This Row],[LC Number]],Main_Issuance[],17,0)</f>
        <v>Cash</v>
      </c>
      <c r="I553" s="17" t="str">
        <f>VLOOKUP(Main_Presentation[[#This Row],[LC Number]],Main_Issuance[],7,0)</f>
        <v>ATELIER HOSPITALITY SRL</v>
      </c>
      <c r="J553" s="17" t="str">
        <f>VLOOKUP(Main_Presentation[[#This Row],[LC Number]],Main_Issuance[],8,0)</f>
        <v>MBL</v>
      </c>
      <c r="K553" s="17" t="str">
        <f>VLOOKUP(Main_Presentation[[#This Row],[LC Number]],Main_Issuance[],9,0)</f>
        <v>L01-YAMMAMA</v>
      </c>
      <c r="L553" s="17">
        <f>VLOOKUP(Main_Presentation[[#This Row],[LC Number]],Main_Issuance[],10,0)</f>
        <v>1020015</v>
      </c>
      <c r="M553" s="17" t="str">
        <f>VLOOKUP(Main_Presentation[[#This Row],[LC Number]],Main_Issuance[],11,0)</f>
        <v>EUR</v>
      </c>
      <c r="N553" s="84">
        <f>VLOOKUP(Main_Presentation[[#This Row],[LC Number]],Main_Issuance[],12,0)</f>
        <v>50762045.400000006</v>
      </c>
      <c r="O553" s="16" t="s">
        <v>20</v>
      </c>
      <c r="P553" s="16" t="s">
        <v>857</v>
      </c>
      <c r="Q553" s="131">
        <v>196366.79</v>
      </c>
      <c r="R553" s="18">
        <v>4.5848000061517498</v>
      </c>
      <c r="S553" s="315">
        <f>Main_Presentation[[#This Row],[Invoice Amt (FCY)]]*Main_Presentation[[#This Row],[Rate]]</f>
        <v>900302.45999999938</v>
      </c>
      <c r="T553" s="15">
        <v>45672</v>
      </c>
      <c r="U553" s="26" t="str">
        <f>VLOOKUP(Main_Presentation[[#This Row],[LC Number]],Main_Issuance[],18,0)</f>
        <v>30 days from the date of comm. inv.</v>
      </c>
      <c r="V553" s="19" t="s">
        <v>213</v>
      </c>
      <c r="W553" s="22" t="s">
        <v>857</v>
      </c>
      <c r="X553" s="16"/>
      <c r="Y553" s="402" t="str">
        <f>TRIM(LEFT(Main_Presentation[[#This Row],[Payment Terms]],3))</f>
        <v>30</v>
      </c>
      <c r="Z553" s="16"/>
      <c r="AA553" s="316" cm="1">
        <f t="array" ref="AA553">Settlement(Main_Presentation[[#This Row],[Bank]],Main_Presentation[[#This Row],[ Invoice Amt (SAR)]],Main_Presentation[[#This Row],[Date Recd]],Main_Presentation[[#This Row],[Due Date]],Main_Presentation[[#This Row],[Days]])</f>
        <v>1293.75</v>
      </c>
      <c r="AB553" s="16"/>
    </row>
    <row r="554" spans="1:28" ht="15.75" hidden="1" x14ac:dyDescent="0.25">
      <c r="A554" s="345" t="s">
        <v>320</v>
      </c>
      <c r="B554" s="336">
        <v>45650</v>
      </c>
      <c r="C554" s="337">
        <v>3</v>
      </c>
      <c r="D554" s="338" t="str">
        <f>VLOOKUP(Main_Presentation[[#This Row],[LC Number]],Main_Issuance[],3,0)</f>
        <v>Dipu Sir</v>
      </c>
      <c r="E554" s="339" t="s">
        <v>858</v>
      </c>
      <c r="F554" s="340" t="str">
        <f>VLOOKUP(Main_Presentation[[#This Row],[LC Number]],Main_Issuance[],5,0)</f>
        <v>Riyad</v>
      </c>
      <c r="G554" s="340" t="str">
        <f>VLOOKUP(Main_Presentation[[#This Row],[LC Number]],Main_Issuance[],6,0)</f>
        <v>Cash</v>
      </c>
      <c r="H554" s="340" t="str">
        <f>VLOOKUP(Main_Presentation[[#This Row],[LC Number]],Main_Issuance[],17,0)</f>
        <v>Cash</v>
      </c>
      <c r="I554" s="340" t="str">
        <f>VLOOKUP(Main_Presentation[[#This Row],[LC Number]],Main_Issuance[],7,0)</f>
        <v>HOME ITEMS INTERNATIONAL TRADING</v>
      </c>
      <c r="J554" s="340" t="str">
        <f>VLOOKUP(Main_Presentation[[#This Row],[LC Number]],Main_Issuance[],8,0)</f>
        <v>MBL</v>
      </c>
      <c r="K554" s="340" t="str">
        <f>VLOOKUP(Main_Presentation[[#This Row],[LC Number]],Main_Issuance[],9,0)</f>
        <v>L01-YAMMAMA</v>
      </c>
      <c r="L554" s="340">
        <f>VLOOKUP(Main_Presentation[[#This Row],[LC Number]],Main_Issuance[],10,0)</f>
        <v>1020015</v>
      </c>
      <c r="M554" s="340" t="str">
        <f>VLOOKUP(Main_Presentation[[#This Row],[LC Number]],Main_Issuance[],11,0)</f>
        <v>AED</v>
      </c>
      <c r="N554" s="341">
        <f>VLOOKUP(Main_Presentation[[#This Row],[LC Number]],Main_Issuance[],12,0)</f>
        <v>10215283.68</v>
      </c>
      <c r="O554" s="339" t="s">
        <v>20</v>
      </c>
      <c r="P554" s="339" t="s">
        <v>857</v>
      </c>
      <c r="Q554" s="342">
        <v>1454024.34</v>
      </c>
      <c r="R554" s="342">
        <v>1.0276000000000001</v>
      </c>
      <c r="S554" s="342">
        <f>Main_Presentation[[#This Row],[Invoice Amt (FCY)]]*Main_Presentation[[#This Row],[Rate]]</f>
        <v>1494155.4117840002</v>
      </c>
      <c r="T554" s="336">
        <v>45652</v>
      </c>
      <c r="U554" s="337" t="str">
        <f>VLOOKUP(Main_Presentation[[#This Row],[LC Number]],Main_Issuance[],18,0)</f>
        <v>Sight</v>
      </c>
      <c r="V554" s="343" t="s">
        <v>213</v>
      </c>
      <c r="W554" s="344" t="s">
        <v>857</v>
      </c>
      <c r="X554" s="339"/>
      <c r="Y554" s="401" t="str">
        <f>TRIM(LEFT(Main_Presentation[[#This Row],[Payment Terms]],3))</f>
        <v>Sig</v>
      </c>
      <c r="Z554" s="339"/>
      <c r="AA554" s="316" t="e" cm="1">
        <f t="array" ref="AA554">Settlement(Main_Presentation[[#This Row],[Bank]],Main_Presentation[[#This Row],[ Invoice Amt (SAR)]],Main_Presentation[[#This Row],[Date Recd]],Main_Presentation[[#This Row],[Due Date]],Main_Presentation[[#This Row],[Days]])</f>
        <v>#VALUE!</v>
      </c>
      <c r="AB554" s="339"/>
    </row>
    <row r="555" spans="1:28" ht="15.75" hidden="1" x14ac:dyDescent="0.25">
      <c r="A555" s="345" t="s">
        <v>320</v>
      </c>
      <c r="B555" s="336">
        <v>45655</v>
      </c>
      <c r="C555" s="337">
        <v>4</v>
      </c>
      <c r="D555" s="338" t="str">
        <f>VLOOKUP(Main_Presentation[[#This Row],[LC Number]],Main_Issuance[],3,0)</f>
        <v>Dipu Sir</v>
      </c>
      <c r="E555" s="339" t="s">
        <v>858</v>
      </c>
      <c r="F555" s="340" t="str">
        <f>VLOOKUP(Main_Presentation[[#This Row],[LC Number]],Main_Issuance[],5,0)</f>
        <v>Riyad</v>
      </c>
      <c r="G555" s="340" t="str">
        <f>VLOOKUP(Main_Presentation[[#This Row],[LC Number]],Main_Issuance[],6,0)</f>
        <v>Cash</v>
      </c>
      <c r="H555" s="340" t="str">
        <f>VLOOKUP(Main_Presentation[[#This Row],[LC Number]],Main_Issuance[],17,0)</f>
        <v>Cash</v>
      </c>
      <c r="I555" s="340" t="str">
        <f>VLOOKUP(Main_Presentation[[#This Row],[LC Number]],Main_Issuance[],7,0)</f>
        <v>HOME ITEMS INTERNATIONAL TRADING</v>
      </c>
      <c r="J555" s="340" t="str">
        <f>VLOOKUP(Main_Presentation[[#This Row],[LC Number]],Main_Issuance[],8,0)</f>
        <v>MBL</v>
      </c>
      <c r="K555" s="340" t="str">
        <f>VLOOKUP(Main_Presentation[[#This Row],[LC Number]],Main_Issuance[],9,0)</f>
        <v>L01-YAMMAMA</v>
      </c>
      <c r="L555" s="340">
        <f>VLOOKUP(Main_Presentation[[#This Row],[LC Number]],Main_Issuance[],10,0)</f>
        <v>1020015</v>
      </c>
      <c r="M555" s="340" t="str">
        <f>VLOOKUP(Main_Presentation[[#This Row],[LC Number]],Main_Issuance[],11,0)</f>
        <v>AED</v>
      </c>
      <c r="N555" s="341">
        <f>VLOOKUP(Main_Presentation[[#This Row],[LC Number]],Main_Issuance[],12,0)</f>
        <v>10215283.68</v>
      </c>
      <c r="O555" s="339" t="s">
        <v>20</v>
      </c>
      <c r="P555" s="339" t="s">
        <v>857</v>
      </c>
      <c r="Q555" s="342">
        <v>3002828.61</v>
      </c>
      <c r="R555" s="342">
        <v>1.0276000000000001</v>
      </c>
      <c r="S555" s="342">
        <f>Main_Presentation[[#This Row],[Invoice Amt (FCY)]]*Main_Presentation[[#This Row],[Rate]]</f>
        <v>3085706.6796360002</v>
      </c>
      <c r="T555" s="336">
        <v>45662</v>
      </c>
      <c r="U555" s="337" t="str">
        <f>VLOOKUP(Main_Presentation[[#This Row],[LC Number]],Main_Issuance[],18,0)</f>
        <v>Sight</v>
      </c>
      <c r="V555" s="343" t="s">
        <v>213</v>
      </c>
      <c r="W555" s="344" t="s">
        <v>857</v>
      </c>
      <c r="X555" s="339"/>
      <c r="Y555" s="401" t="str">
        <f>TRIM(LEFT(Main_Presentation[[#This Row],[Payment Terms]],3))</f>
        <v>Sig</v>
      </c>
      <c r="Z555" s="339"/>
      <c r="AA555" s="316" t="e" cm="1">
        <f t="array" ref="AA555">Settlement(Main_Presentation[[#This Row],[Bank]],Main_Presentation[[#This Row],[ Invoice Amt (SAR)]],Main_Presentation[[#This Row],[Date Recd]],Main_Presentation[[#This Row],[Due Date]],Main_Presentation[[#This Row],[Days]])</f>
        <v>#VALUE!</v>
      </c>
      <c r="AB555" s="339"/>
    </row>
    <row r="556" spans="1:28" ht="15.75" hidden="1" x14ac:dyDescent="0.25">
      <c r="A556" s="20" t="s">
        <v>306</v>
      </c>
      <c r="B556" s="15">
        <v>45657</v>
      </c>
      <c r="C556" s="26">
        <v>100</v>
      </c>
      <c r="D556" s="55" t="str">
        <f>VLOOKUP(Main_Presentation[[#This Row],[LC Number]],Main_Issuance[],3,0)</f>
        <v>Dipu Sir</v>
      </c>
      <c r="E556" s="16" t="s">
        <v>858</v>
      </c>
      <c r="F556" s="17" t="str">
        <f>VLOOKUP(Main_Presentation[[#This Row],[LC Number]],Main_Issuance[],5,0)</f>
        <v>Riyad</v>
      </c>
      <c r="G556" s="17" t="str">
        <f>VLOOKUP(Main_Presentation[[#This Row],[LC Number]],Main_Issuance[],6,0)</f>
        <v>Cash</v>
      </c>
      <c r="H556" s="17" t="str">
        <f>VLOOKUP(Main_Presentation[[#This Row],[LC Number]],Main_Issuance[],17,0)</f>
        <v>Cash</v>
      </c>
      <c r="I556" s="17" t="str">
        <f>VLOOKUP(Main_Presentation[[#This Row],[LC Number]],Main_Issuance[],7,0)</f>
        <v>ATELIER HOSPITALITY SRL</v>
      </c>
      <c r="J556" s="17" t="str">
        <f>VLOOKUP(Main_Presentation[[#This Row],[LC Number]],Main_Issuance[],8,0)</f>
        <v>MBL</v>
      </c>
      <c r="K556" s="17" t="str">
        <f>VLOOKUP(Main_Presentation[[#This Row],[LC Number]],Main_Issuance[],9,0)</f>
        <v>L01-YAMMAMA</v>
      </c>
      <c r="L556" s="17">
        <f>VLOOKUP(Main_Presentation[[#This Row],[LC Number]],Main_Issuance[],10,0)</f>
        <v>1020015</v>
      </c>
      <c r="M556" s="17" t="str">
        <f>VLOOKUP(Main_Presentation[[#This Row],[LC Number]],Main_Issuance[],11,0)</f>
        <v>EUR</v>
      </c>
      <c r="N556" s="84">
        <f>VLOOKUP(Main_Presentation[[#This Row],[LC Number]],Main_Issuance[],12,0)</f>
        <v>50762045.400000006</v>
      </c>
      <c r="O556" s="16" t="s">
        <v>910</v>
      </c>
      <c r="P556" s="16" t="s">
        <v>378</v>
      </c>
      <c r="Q556" s="131">
        <v>1351422.59</v>
      </c>
      <c r="R556" s="18">
        <v>4.5700901448959899</v>
      </c>
      <c r="S556" s="18">
        <f>Main_Presentation[[#This Row],[Invoice Amt (FCY)]]*Main_Presentation[[#This Row],[Rate]]</f>
        <v>6176123.0601488147</v>
      </c>
      <c r="T556" s="15">
        <v>45677</v>
      </c>
      <c r="U556" s="26" t="str">
        <f>VLOOKUP(Main_Presentation[[#This Row],[LC Number]],Main_Issuance[],18,0)</f>
        <v>30 days from the date of comm. inv.</v>
      </c>
      <c r="V556" s="19" t="s">
        <v>213</v>
      </c>
      <c r="W556" s="22" t="s">
        <v>857</v>
      </c>
      <c r="X556" s="16"/>
      <c r="Y556" s="234" t="str">
        <f>TRIM(LEFT(Main_Presentation[[#This Row],[Payment Terms]],3))</f>
        <v>30</v>
      </c>
      <c r="Z556" s="16"/>
      <c r="AA556" s="316" cm="1">
        <f t="array" ref="AA556">Settlement(Main_Presentation[[#This Row],[Bank]],Main_Presentation[[#This Row],[ Invoice Amt (SAR)]],Main_Presentation[[#This Row],[Date Recd]],Main_Presentation[[#This Row],[Due Date]],Main_Presentation[[#This Row],[Days]])</f>
        <v>8878</v>
      </c>
      <c r="AB556" s="16"/>
    </row>
    <row r="557" spans="1:28" ht="15.75" hidden="1" x14ac:dyDescent="0.25">
      <c r="A557" s="345" t="s">
        <v>319</v>
      </c>
      <c r="B557" s="336">
        <v>45663</v>
      </c>
      <c r="C557" s="337">
        <v>2</v>
      </c>
      <c r="D557" s="338" t="str">
        <f>VLOOKUP(Main_Presentation[[#This Row],[LC Number]],Main_Issuance[],3,0)</f>
        <v>Dipu Sir</v>
      </c>
      <c r="E557" s="339" t="s">
        <v>858</v>
      </c>
      <c r="F557" s="340" t="str">
        <f>VLOOKUP(Main_Presentation[[#This Row],[LC Number]],Main_Issuance[],5,0)</f>
        <v>Riyad</v>
      </c>
      <c r="G557" s="340" t="str">
        <f>VLOOKUP(Main_Presentation[[#This Row],[LC Number]],Main_Issuance[],6,0)</f>
        <v>Cash</v>
      </c>
      <c r="H557" s="340" t="str">
        <f>VLOOKUP(Main_Presentation[[#This Row],[LC Number]],Main_Issuance[],17,0)</f>
        <v>Cash</v>
      </c>
      <c r="I557" s="340" t="str">
        <f>VLOOKUP(Main_Presentation[[#This Row],[LC Number]],Main_Issuance[],7,0)</f>
        <v>TDM SL</v>
      </c>
      <c r="J557" s="340" t="str">
        <f>VLOOKUP(Main_Presentation[[#This Row],[LC Number]],Main_Issuance[],8,0)</f>
        <v>MBL</v>
      </c>
      <c r="K557" s="340" t="str">
        <f>VLOOKUP(Main_Presentation[[#This Row],[LC Number]],Main_Issuance[],9,0)</f>
        <v>L01-YAMMAMA</v>
      </c>
      <c r="L557" s="340">
        <f>VLOOKUP(Main_Presentation[[#This Row],[LC Number]],Main_Issuance[],10,0)</f>
        <v>1020015</v>
      </c>
      <c r="M557" s="340" t="str">
        <f>VLOOKUP(Main_Presentation[[#This Row],[LC Number]],Main_Issuance[],11,0)</f>
        <v>EUR</v>
      </c>
      <c r="N557" s="341">
        <f>VLOOKUP(Main_Presentation[[#This Row],[LC Number]],Main_Issuance[],12,0)</f>
        <v>964422.8</v>
      </c>
      <c r="O557" s="339" t="s">
        <v>20</v>
      </c>
      <c r="P557" s="339" t="s">
        <v>857</v>
      </c>
      <c r="Q557" s="342">
        <v>233918.41</v>
      </c>
      <c r="R557" s="342">
        <v>3.89</v>
      </c>
      <c r="S557" s="342">
        <f>Main_Presentation[[#This Row],[Invoice Amt (FCY)]]*Main_Presentation[[#This Row],[Rate]]</f>
        <v>909942.61490000004</v>
      </c>
      <c r="T557" s="336">
        <v>45665</v>
      </c>
      <c r="U557" s="337">
        <f>VLOOKUP(Main_Presentation[[#This Row],[LC Number]],Main_Issuance[],18,0)</f>
        <v>0</v>
      </c>
      <c r="V557" s="343" t="s">
        <v>213</v>
      </c>
      <c r="W557" s="344" t="s">
        <v>857</v>
      </c>
      <c r="X557" s="339"/>
      <c r="Y557" s="401" t="str">
        <f>TRIM(LEFT(Main_Presentation[[#This Row],[Payment Terms]],3))</f>
        <v>0</v>
      </c>
      <c r="Z557" s="339"/>
      <c r="AA557" s="316" cm="1">
        <f t="array" ref="AA557">Settlement(Main_Presentation[[#This Row],[Bank]],Main_Presentation[[#This Row],[ Invoice Amt (SAR)]],Main_Presentation[[#This Row],[Date Recd]],Main_Presentation[[#This Row],[Due Date]],Main_Presentation[[#This Row],[Days]])</f>
        <v>230</v>
      </c>
      <c r="AB557" s="339"/>
    </row>
    <row r="558" spans="1:28" ht="15.75" hidden="1" x14ac:dyDescent="0.25">
      <c r="A558" s="129" t="s">
        <v>321</v>
      </c>
      <c r="B558" s="137">
        <v>45676</v>
      </c>
      <c r="C558" s="138">
        <v>5</v>
      </c>
      <c r="D558" s="139" t="str">
        <f>VLOOKUP(Main_Presentation[[#This Row],[LC Number]],Main_Issuance[],3,0)</f>
        <v>Dipu Sir</v>
      </c>
      <c r="E558" s="140" t="s">
        <v>858</v>
      </c>
      <c r="F558" s="230" t="str">
        <f>VLOOKUP(Main_Presentation[[#This Row],[LC Number]],Main_Issuance[],5,0)</f>
        <v>Riyad</v>
      </c>
      <c r="G558" s="230" t="str">
        <f>VLOOKUP(Main_Presentation[[#This Row],[LC Number]],Main_Issuance[],6,0)</f>
        <v>Cash</v>
      </c>
      <c r="H558" s="230" t="str">
        <f>VLOOKUP(Main_Presentation[[#This Row],[LC Number]],Main_Issuance[],17,0)</f>
        <v>Cash</v>
      </c>
      <c r="I558" s="230" t="str">
        <f>VLOOKUP(Main_Presentation[[#This Row],[LC Number]],Main_Issuance[],7,0)</f>
        <v>Visio INC</v>
      </c>
      <c r="J558" s="230" t="str">
        <f>VLOOKUP(Main_Presentation[[#This Row],[LC Number]],Main_Issuance[],8,0)</f>
        <v>MBL</v>
      </c>
      <c r="K558" s="230" t="str">
        <f>VLOOKUP(Main_Presentation[[#This Row],[LC Number]],Main_Issuance[],9,0)</f>
        <v>L01-YAMMAMA</v>
      </c>
      <c r="L558" s="230">
        <f>VLOOKUP(Main_Presentation[[#This Row],[LC Number]],Main_Issuance[],10,0)</f>
        <v>1020015</v>
      </c>
      <c r="M558" s="230" t="str">
        <f>VLOOKUP(Main_Presentation[[#This Row],[LC Number]],Main_Issuance[],11,0)</f>
        <v>SAR</v>
      </c>
      <c r="N558" s="231">
        <f>VLOOKUP(Main_Presentation[[#This Row],[LC Number]],Main_Issuance[],12,0)</f>
        <v>16327500.880000001</v>
      </c>
      <c r="O558" s="140" t="s">
        <v>20</v>
      </c>
      <c r="P558" s="140" t="s">
        <v>857</v>
      </c>
      <c r="Q558" s="131">
        <v>1937929.09</v>
      </c>
      <c r="R558" s="131">
        <v>1</v>
      </c>
      <c r="S558" s="131">
        <f>Main_Presentation[[#This Row],[Invoice Amt (FCY)]]*Main_Presentation[[#This Row],[Rate]]</f>
        <v>1937929.09</v>
      </c>
      <c r="T558" s="137">
        <v>45678</v>
      </c>
      <c r="U558" s="138" t="str">
        <f>VLOOKUP(Main_Presentation[[#This Row],[LC Number]],Main_Issuance[],18,0)</f>
        <v>30 Days from Delivery Date</v>
      </c>
      <c r="V558" s="115" t="s">
        <v>213</v>
      </c>
      <c r="W558" s="145" t="s">
        <v>857</v>
      </c>
      <c r="X558" s="140"/>
      <c r="Y558" s="400" t="str">
        <f>TRIM(LEFT(Main_Presentation[[#This Row],[Payment Terms]],3))</f>
        <v>30</v>
      </c>
      <c r="Z558" s="140"/>
      <c r="AA558" s="468" cm="1">
        <f t="array" ref="AA558">Settlement(Main_Presentation[[#This Row],[Bank]],Main_Presentation[[#This Row],[ Invoice Amt (SAR)]],Main_Presentation[[#This Row],[Date Recd]],Main_Presentation[[#This Row],[Due Date]],Main_Presentation[[#This Row],[Days]])</f>
        <v>230</v>
      </c>
      <c r="AB558" s="140"/>
    </row>
    <row r="559" spans="1:28" ht="15.75" hidden="1" x14ac:dyDescent="0.25">
      <c r="A559" s="20" t="s">
        <v>306</v>
      </c>
      <c r="B559" s="15">
        <v>45678</v>
      </c>
      <c r="C559" s="26">
        <v>102</v>
      </c>
      <c r="D559" s="55" t="str">
        <f>VLOOKUP(Main_Presentation[[#This Row],[LC Number]],Main_Issuance[],3,0)</f>
        <v>Dipu Sir</v>
      </c>
      <c r="E559" s="16" t="s">
        <v>858</v>
      </c>
      <c r="F559" s="17" t="str">
        <f>VLOOKUP(Main_Presentation[[#This Row],[LC Number]],Main_Issuance[],5,0)</f>
        <v>Riyad</v>
      </c>
      <c r="G559" s="17" t="str">
        <f>VLOOKUP(Main_Presentation[[#This Row],[LC Number]],Main_Issuance[],6,0)</f>
        <v>Cash</v>
      </c>
      <c r="H559" s="17" t="str">
        <f>VLOOKUP(Main_Presentation[[#This Row],[LC Number]],Main_Issuance[],17,0)</f>
        <v>Cash</v>
      </c>
      <c r="I559" s="17" t="str">
        <f>VLOOKUP(Main_Presentation[[#This Row],[LC Number]],Main_Issuance[],7,0)</f>
        <v>ATELIER HOSPITALITY SRL</v>
      </c>
      <c r="J559" s="17" t="str">
        <f>VLOOKUP(Main_Presentation[[#This Row],[LC Number]],Main_Issuance[],8,0)</f>
        <v>MBL</v>
      </c>
      <c r="K559" s="17" t="str">
        <f>VLOOKUP(Main_Presentation[[#This Row],[LC Number]],Main_Issuance[],9,0)</f>
        <v>L01-YAMMAMA</v>
      </c>
      <c r="L559" s="17">
        <f>VLOOKUP(Main_Presentation[[#This Row],[LC Number]],Main_Issuance[],10,0)</f>
        <v>1020015</v>
      </c>
      <c r="M559" s="17" t="str">
        <f>VLOOKUP(Main_Presentation[[#This Row],[LC Number]],Main_Issuance[],11,0)</f>
        <v>EUR</v>
      </c>
      <c r="N559" s="84">
        <f>VLOOKUP(Main_Presentation[[#This Row],[LC Number]],Main_Issuance[],12,0)</f>
        <v>50762045.400000006</v>
      </c>
      <c r="O559" s="16" t="s">
        <v>20</v>
      </c>
      <c r="P559" s="16" t="s">
        <v>857</v>
      </c>
      <c r="Q559" s="131">
        <v>412134.26</v>
      </c>
      <c r="R559" s="18">
        <v>4.5700901448959899</v>
      </c>
      <c r="S559" s="18">
        <f>Main_Presentation[[#This Row],[Invoice Amt (FCY)]]*Main_Presentation[[#This Row],[Rate]]</f>
        <v>1883490.7200000016</v>
      </c>
      <c r="T559" s="15">
        <v>45680</v>
      </c>
      <c r="U559" s="26" t="str">
        <f>VLOOKUP(Main_Presentation[[#This Row],[LC Number]],Main_Issuance[],18,0)</f>
        <v>30 days from the date of comm. inv.</v>
      </c>
      <c r="V559" s="19" t="s">
        <v>213</v>
      </c>
      <c r="W559" s="22" t="s">
        <v>857</v>
      </c>
      <c r="X559" s="16"/>
      <c r="Y559" s="402" t="str">
        <f>TRIM(LEFT(Main_Presentation[[#This Row],[Payment Terms]],3))</f>
        <v>30</v>
      </c>
      <c r="Z559" s="16"/>
      <c r="AA559" s="316" cm="1">
        <f t="array" ref="AA559">Settlement(Main_Presentation[[#This Row],[Bank]],Main_Presentation[[#This Row],[ Invoice Amt (SAR)]],Main_Presentation[[#This Row],[Date Recd]],Main_Presentation[[#This Row],[Due Date]],Main_Presentation[[#This Row],[Days]])</f>
        <v>230</v>
      </c>
      <c r="AB559" s="16"/>
    </row>
    <row r="560" spans="1:28" ht="15.75" hidden="1" x14ac:dyDescent="0.25">
      <c r="A560" s="20" t="s">
        <v>306</v>
      </c>
      <c r="B560" s="15">
        <v>45678</v>
      </c>
      <c r="C560" s="26">
        <v>103</v>
      </c>
      <c r="D560" s="55" t="str">
        <f>VLOOKUP(Main_Presentation[[#This Row],[LC Number]],Main_Issuance[],3,0)</f>
        <v>Dipu Sir</v>
      </c>
      <c r="E560" s="16" t="s">
        <v>858</v>
      </c>
      <c r="F560" s="17" t="str">
        <f>VLOOKUP(Main_Presentation[[#This Row],[LC Number]],Main_Issuance[],5,0)</f>
        <v>Riyad</v>
      </c>
      <c r="G560" s="17" t="str">
        <f>VLOOKUP(Main_Presentation[[#This Row],[LC Number]],Main_Issuance[],6,0)</f>
        <v>Cash</v>
      </c>
      <c r="H560" s="17" t="str">
        <f>VLOOKUP(Main_Presentation[[#This Row],[LC Number]],Main_Issuance[],17,0)</f>
        <v>Cash</v>
      </c>
      <c r="I560" s="17" t="str">
        <f>VLOOKUP(Main_Presentation[[#This Row],[LC Number]],Main_Issuance[],7,0)</f>
        <v>ATELIER HOSPITALITY SRL</v>
      </c>
      <c r="J560" s="17" t="str">
        <f>VLOOKUP(Main_Presentation[[#This Row],[LC Number]],Main_Issuance[],8,0)</f>
        <v>MBL</v>
      </c>
      <c r="K560" s="17" t="str">
        <f>VLOOKUP(Main_Presentation[[#This Row],[LC Number]],Main_Issuance[],9,0)</f>
        <v>L01-YAMMAMA</v>
      </c>
      <c r="L560" s="17">
        <f>VLOOKUP(Main_Presentation[[#This Row],[LC Number]],Main_Issuance[],10,0)</f>
        <v>1020015</v>
      </c>
      <c r="M560" s="17" t="str">
        <f>VLOOKUP(Main_Presentation[[#This Row],[LC Number]],Main_Issuance[],11,0)</f>
        <v>EUR</v>
      </c>
      <c r="N560" s="84">
        <f>VLOOKUP(Main_Presentation[[#This Row],[LC Number]],Main_Issuance[],12,0)</f>
        <v>50762045.400000006</v>
      </c>
      <c r="O560" s="16" t="s">
        <v>20</v>
      </c>
      <c r="P560" s="16" t="s">
        <v>857</v>
      </c>
      <c r="Q560" s="131">
        <v>1351422.59</v>
      </c>
      <c r="R560" s="18">
        <v>4.5700901448959899</v>
      </c>
      <c r="S560" s="18">
        <f>Main_Presentation[[#This Row],[Invoice Amt (FCY)]]*Main_Presentation[[#This Row],[Rate]]</f>
        <v>6176123.0601488147</v>
      </c>
      <c r="T560" s="15">
        <v>45680</v>
      </c>
      <c r="U560" s="26" t="str">
        <f>VLOOKUP(Main_Presentation[[#This Row],[LC Number]],Main_Issuance[],18,0)</f>
        <v>30 days from the date of comm. inv.</v>
      </c>
      <c r="V560" s="19" t="s">
        <v>213</v>
      </c>
      <c r="W560" s="22" t="s">
        <v>857</v>
      </c>
      <c r="X560" s="16"/>
      <c r="Y560" s="402" t="str">
        <f>TRIM(LEFT(Main_Presentation[[#This Row],[Payment Terms]],3))</f>
        <v>30</v>
      </c>
      <c r="Z560" s="16"/>
      <c r="AA560" s="316" cm="1">
        <f t="array" ref="AA560">Settlement(Main_Presentation[[#This Row],[Bank]],Main_Presentation[[#This Row],[ Invoice Amt (SAR)]],Main_Presentation[[#This Row],[Date Recd]],Main_Presentation[[#This Row],[Due Date]],Main_Presentation[[#This Row],[Days]])</f>
        <v>230</v>
      </c>
      <c r="AB560" s="16"/>
    </row>
    <row r="561" spans="1:28" ht="15.75" hidden="1" x14ac:dyDescent="0.25">
      <c r="A561" s="20" t="s">
        <v>306</v>
      </c>
      <c r="B561" s="15">
        <v>45678</v>
      </c>
      <c r="C561" s="26">
        <v>104</v>
      </c>
      <c r="D561" s="55" t="str">
        <f>VLOOKUP(Main_Presentation[[#This Row],[LC Number]],Main_Issuance[],3,0)</f>
        <v>Dipu Sir</v>
      </c>
      <c r="E561" s="16" t="s">
        <v>858</v>
      </c>
      <c r="F561" s="17" t="str">
        <f>VLOOKUP(Main_Presentation[[#This Row],[LC Number]],Main_Issuance[],5,0)</f>
        <v>Riyad</v>
      </c>
      <c r="G561" s="17" t="str">
        <f>VLOOKUP(Main_Presentation[[#This Row],[LC Number]],Main_Issuance[],6,0)</f>
        <v>Cash</v>
      </c>
      <c r="H561" s="17" t="str">
        <f>VLOOKUP(Main_Presentation[[#This Row],[LC Number]],Main_Issuance[],17,0)</f>
        <v>Cash</v>
      </c>
      <c r="I561" s="17" t="str">
        <f>VLOOKUP(Main_Presentation[[#This Row],[LC Number]],Main_Issuance[],7,0)</f>
        <v>ATELIER HOSPITALITY SRL</v>
      </c>
      <c r="J561" s="17" t="str">
        <f>VLOOKUP(Main_Presentation[[#This Row],[LC Number]],Main_Issuance[],8,0)</f>
        <v>MBL</v>
      </c>
      <c r="K561" s="17" t="str">
        <f>VLOOKUP(Main_Presentation[[#This Row],[LC Number]],Main_Issuance[],9,0)</f>
        <v>L01-YAMMAMA</v>
      </c>
      <c r="L561" s="17">
        <f>VLOOKUP(Main_Presentation[[#This Row],[LC Number]],Main_Issuance[],10,0)</f>
        <v>1020015</v>
      </c>
      <c r="M561" s="17" t="str">
        <f>VLOOKUP(Main_Presentation[[#This Row],[LC Number]],Main_Issuance[],11,0)</f>
        <v>EUR</v>
      </c>
      <c r="N561" s="84">
        <f>VLOOKUP(Main_Presentation[[#This Row],[LC Number]],Main_Issuance[],12,0)</f>
        <v>50762045.400000006</v>
      </c>
      <c r="O561" s="16" t="s">
        <v>20</v>
      </c>
      <c r="P561" s="16" t="s">
        <v>857</v>
      </c>
      <c r="Q561" s="131">
        <v>474346.2</v>
      </c>
      <c r="R561" s="18">
        <v>4.5700901448959899</v>
      </c>
      <c r="S561" s="18">
        <f>Main_Presentation[[#This Row],[Invoice Amt (FCY)]]*Main_Presentation[[#This Row],[Rate]]</f>
        <v>2167804.8938888623</v>
      </c>
      <c r="T561" s="15">
        <v>45680</v>
      </c>
      <c r="U561" s="26" t="str">
        <f>VLOOKUP(Main_Presentation[[#This Row],[LC Number]],Main_Issuance[],18,0)</f>
        <v>30 days from the date of comm. inv.</v>
      </c>
      <c r="V561" s="19" t="s">
        <v>213</v>
      </c>
      <c r="W561" s="22" t="s">
        <v>857</v>
      </c>
      <c r="X561" s="16"/>
      <c r="Y561" s="402" t="str">
        <f>TRIM(LEFT(Main_Presentation[[#This Row],[Payment Terms]],3))</f>
        <v>30</v>
      </c>
      <c r="Z561" s="16"/>
      <c r="AA561" s="316" cm="1">
        <f t="array" ref="AA561">Settlement(Main_Presentation[[#This Row],[Bank]],Main_Presentation[[#This Row],[ Invoice Amt (SAR)]],Main_Presentation[[#This Row],[Date Recd]],Main_Presentation[[#This Row],[Due Date]],Main_Presentation[[#This Row],[Days]])</f>
        <v>230</v>
      </c>
      <c r="AB561" s="16"/>
    </row>
    <row r="562" spans="1:28" ht="15.75" hidden="1" x14ac:dyDescent="0.25">
      <c r="A562" s="345" t="s">
        <v>319</v>
      </c>
      <c r="B562" s="336">
        <v>45679</v>
      </c>
      <c r="C562" s="337">
        <v>3</v>
      </c>
      <c r="D562" s="338" t="str">
        <f>VLOOKUP(Main_Presentation[[#This Row],[LC Number]],Main_Issuance[],3,0)</f>
        <v>Dipu Sir</v>
      </c>
      <c r="E562" s="339" t="s">
        <v>858</v>
      </c>
      <c r="F562" s="340" t="str">
        <f>VLOOKUP(Main_Presentation[[#This Row],[LC Number]],Main_Issuance[],5,0)</f>
        <v>Riyad</v>
      </c>
      <c r="G562" s="340" t="str">
        <f>VLOOKUP(Main_Presentation[[#This Row],[LC Number]],Main_Issuance[],6,0)</f>
        <v>Cash</v>
      </c>
      <c r="H562" s="340" t="str">
        <f>VLOOKUP(Main_Presentation[[#This Row],[LC Number]],Main_Issuance[],17,0)</f>
        <v>Cash</v>
      </c>
      <c r="I562" s="340" t="str">
        <f>VLOOKUP(Main_Presentation[[#This Row],[LC Number]],Main_Issuance[],7,0)</f>
        <v>TDM SL</v>
      </c>
      <c r="J562" s="340" t="str">
        <f>VLOOKUP(Main_Presentation[[#This Row],[LC Number]],Main_Issuance[],8,0)</f>
        <v>MBL</v>
      </c>
      <c r="K562" s="340" t="str">
        <f>VLOOKUP(Main_Presentation[[#This Row],[LC Number]],Main_Issuance[],9,0)</f>
        <v>L01-YAMMAMA</v>
      </c>
      <c r="L562" s="340">
        <f>VLOOKUP(Main_Presentation[[#This Row],[LC Number]],Main_Issuance[],10,0)</f>
        <v>1020015</v>
      </c>
      <c r="M562" s="340" t="str">
        <f>VLOOKUP(Main_Presentation[[#This Row],[LC Number]],Main_Issuance[],11,0)</f>
        <v>EUR</v>
      </c>
      <c r="N562" s="341">
        <f>VLOOKUP(Main_Presentation[[#This Row],[LC Number]],Main_Issuance[],12,0)</f>
        <v>964422.8</v>
      </c>
      <c r="O562" s="339" t="s">
        <v>910</v>
      </c>
      <c r="P562" s="339" t="s">
        <v>378</v>
      </c>
      <c r="Q562" s="342">
        <v>270000</v>
      </c>
      <c r="R562" s="342">
        <v>3.9</v>
      </c>
      <c r="S562" s="342">
        <f>Main_Presentation[[#This Row],[Invoice Amt (FCY)]]*Main_Presentation[[#This Row],[Rate]]</f>
        <v>1053000</v>
      </c>
      <c r="T562" s="336">
        <v>45684</v>
      </c>
      <c r="U562" s="337">
        <f>VLOOKUP(Main_Presentation[[#This Row],[LC Number]],Main_Issuance[],18,0)</f>
        <v>0</v>
      </c>
      <c r="V562" s="343" t="s">
        <v>213</v>
      </c>
      <c r="W562" s="344" t="s">
        <v>857</v>
      </c>
      <c r="X562" s="339"/>
      <c r="Y562" s="401" t="str">
        <f>TRIM(LEFT(Main_Presentation[[#This Row],[Payment Terms]],3))</f>
        <v>0</v>
      </c>
      <c r="Z562" s="339"/>
      <c r="AA562" s="316" cm="1">
        <f t="array" ref="AA562">Settlement(Main_Presentation[[#This Row],[Bank]],Main_Presentation[[#This Row],[ Invoice Amt (SAR)]],Main_Presentation[[#This Row],[Date Recd]],Main_Presentation[[#This Row],[Due Date]],Main_Presentation[[#This Row],[Days]])</f>
        <v>230</v>
      </c>
      <c r="AB562" s="339"/>
    </row>
    <row r="563" spans="1:28" ht="15.75" hidden="1" x14ac:dyDescent="0.25">
      <c r="A563" s="20" t="s">
        <v>306</v>
      </c>
      <c r="B563" s="15">
        <v>45685</v>
      </c>
      <c r="C563" s="26">
        <v>105</v>
      </c>
      <c r="D563" s="55" t="str">
        <f>VLOOKUP(Main_Presentation[[#This Row],[LC Number]],Main_Issuance[],3,0)</f>
        <v>Dipu Sir</v>
      </c>
      <c r="E563" s="16" t="s">
        <v>858</v>
      </c>
      <c r="F563" s="17" t="str">
        <f>VLOOKUP(Main_Presentation[[#This Row],[LC Number]],Main_Issuance[],5,0)</f>
        <v>Riyad</v>
      </c>
      <c r="G563" s="17" t="str">
        <f>VLOOKUP(Main_Presentation[[#This Row],[LC Number]],Main_Issuance[],6,0)</f>
        <v>Cash</v>
      </c>
      <c r="H563" s="17" t="str">
        <f>VLOOKUP(Main_Presentation[[#This Row],[LC Number]],Main_Issuance[],17,0)</f>
        <v>Cash</v>
      </c>
      <c r="I563" s="17" t="str">
        <f>VLOOKUP(Main_Presentation[[#This Row],[LC Number]],Main_Issuance[],7,0)</f>
        <v>ATELIER HOSPITALITY SRL</v>
      </c>
      <c r="J563" s="17" t="str">
        <f>VLOOKUP(Main_Presentation[[#This Row],[LC Number]],Main_Issuance[],8,0)</f>
        <v>MBL</v>
      </c>
      <c r="K563" s="17" t="str">
        <f>VLOOKUP(Main_Presentation[[#This Row],[LC Number]],Main_Issuance[],9,0)</f>
        <v>L01-YAMMAMA</v>
      </c>
      <c r="L563" s="17">
        <f>VLOOKUP(Main_Presentation[[#This Row],[LC Number]],Main_Issuance[],10,0)</f>
        <v>1020015</v>
      </c>
      <c r="M563" s="17" t="str">
        <f>VLOOKUP(Main_Presentation[[#This Row],[LC Number]],Main_Issuance[],11,0)</f>
        <v>EUR</v>
      </c>
      <c r="N563" s="84">
        <f>VLOOKUP(Main_Presentation[[#This Row],[LC Number]],Main_Issuance[],12,0)</f>
        <v>50762045.400000006</v>
      </c>
      <c r="O563" s="16" t="s">
        <v>20</v>
      </c>
      <c r="P563" s="16" t="s">
        <v>857</v>
      </c>
      <c r="Q563" s="131">
        <v>4783.42</v>
      </c>
      <c r="R563" s="18">
        <v>4.5700901448959899</v>
      </c>
      <c r="S563" s="18">
        <f>Main_Presentation[[#This Row],[Invoice Amt (FCY)]]*Main_Presentation[[#This Row],[Rate]]</f>
        <v>21860.660600898376</v>
      </c>
      <c r="T563" s="15">
        <v>45698</v>
      </c>
      <c r="U563" s="26" t="str">
        <f>VLOOKUP(Main_Presentation[[#This Row],[LC Number]],Main_Issuance[],18,0)</f>
        <v>30 days from the date of comm. inv.</v>
      </c>
      <c r="V563" s="19" t="s">
        <v>213</v>
      </c>
      <c r="W563" s="22" t="s">
        <v>857</v>
      </c>
      <c r="X563" s="16"/>
      <c r="Y563" s="402" t="str">
        <f>TRIM(LEFT(Main_Presentation[[#This Row],[Payment Terms]],3))</f>
        <v>30</v>
      </c>
      <c r="Z563" s="16"/>
      <c r="AA563" s="316" cm="1">
        <f t="array" ref="AA563">Settlement(Main_Presentation[[#This Row],[Bank]],Main_Presentation[[#This Row],[ Invoice Amt (SAR)]],Main_Presentation[[#This Row],[Date Recd]],Main_Presentation[[#This Row],[Due Date]],Main_Presentation[[#This Row],[Days]])</f>
        <v>230</v>
      </c>
      <c r="AB563" s="16"/>
    </row>
    <row r="564" spans="1:28" ht="15.75" hidden="1" x14ac:dyDescent="0.25">
      <c r="A564" s="20" t="s">
        <v>306</v>
      </c>
      <c r="B564" s="15">
        <v>45685</v>
      </c>
      <c r="C564" s="26">
        <v>106</v>
      </c>
      <c r="D564" s="55" t="str">
        <f>VLOOKUP(Main_Presentation[[#This Row],[LC Number]],Main_Issuance[],3,0)</f>
        <v>Dipu Sir</v>
      </c>
      <c r="E564" s="16" t="s">
        <v>858</v>
      </c>
      <c r="F564" s="17" t="str">
        <f>VLOOKUP(Main_Presentation[[#This Row],[LC Number]],Main_Issuance[],5,0)</f>
        <v>Riyad</v>
      </c>
      <c r="G564" s="17" t="str">
        <f>VLOOKUP(Main_Presentation[[#This Row],[LC Number]],Main_Issuance[],6,0)</f>
        <v>Cash</v>
      </c>
      <c r="H564" s="17" t="str">
        <f>VLOOKUP(Main_Presentation[[#This Row],[LC Number]],Main_Issuance[],17,0)</f>
        <v>Cash</v>
      </c>
      <c r="I564" s="17" t="str">
        <f>VLOOKUP(Main_Presentation[[#This Row],[LC Number]],Main_Issuance[],7,0)</f>
        <v>ATELIER HOSPITALITY SRL</v>
      </c>
      <c r="J564" s="17" t="str">
        <f>VLOOKUP(Main_Presentation[[#This Row],[LC Number]],Main_Issuance[],8,0)</f>
        <v>MBL</v>
      </c>
      <c r="K564" s="17" t="str">
        <f>VLOOKUP(Main_Presentation[[#This Row],[LC Number]],Main_Issuance[],9,0)</f>
        <v>L01-YAMMAMA</v>
      </c>
      <c r="L564" s="17">
        <f>VLOOKUP(Main_Presentation[[#This Row],[LC Number]],Main_Issuance[],10,0)</f>
        <v>1020015</v>
      </c>
      <c r="M564" s="17" t="str">
        <f>VLOOKUP(Main_Presentation[[#This Row],[LC Number]],Main_Issuance[],11,0)</f>
        <v>EUR</v>
      </c>
      <c r="N564" s="84">
        <f>VLOOKUP(Main_Presentation[[#This Row],[LC Number]],Main_Issuance[],12,0)</f>
        <v>50762045.400000006</v>
      </c>
      <c r="O564" s="16" t="s">
        <v>20</v>
      </c>
      <c r="P564" s="16" t="s">
        <v>857</v>
      </c>
      <c r="Q564" s="131">
        <v>1661167.91</v>
      </c>
      <c r="R564" s="18">
        <v>4.5700901448959899</v>
      </c>
      <c r="S564" s="18">
        <f>Main_Presentation[[#This Row],[Invoice Amt (FCY)]]*Main_Presentation[[#This Row],[Rate]]</f>
        <v>7591687.0945084682</v>
      </c>
      <c r="T564" s="15">
        <v>45701</v>
      </c>
      <c r="U564" s="26" t="str">
        <f>VLOOKUP(Main_Presentation[[#This Row],[LC Number]],Main_Issuance[],18,0)</f>
        <v>30 days from the date of comm. inv.</v>
      </c>
      <c r="V564" s="19" t="s">
        <v>213</v>
      </c>
      <c r="W564" s="22" t="s">
        <v>857</v>
      </c>
      <c r="X564" s="16"/>
      <c r="Y564" s="402" t="str">
        <f>TRIM(LEFT(Main_Presentation[[#This Row],[Payment Terms]],3))</f>
        <v>30</v>
      </c>
      <c r="Z564" s="16"/>
      <c r="AA564" s="316" cm="1">
        <f t="array" ref="AA564">Settlement(Main_Presentation[[#This Row],[Bank]],Main_Presentation[[#This Row],[ Invoice Amt (SAR)]],Main_Presentation[[#This Row],[Date Recd]],Main_Presentation[[#This Row],[Due Date]],Main_Presentation[[#This Row],[Days]])</f>
        <v>10913.5</v>
      </c>
      <c r="AB564" s="16"/>
    </row>
    <row r="565" spans="1:28" ht="15.75" hidden="1" x14ac:dyDescent="0.25">
      <c r="A565" s="20" t="s">
        <v>306</v>
      </c>
      <c r="B565" s="15">
        <v>45690</v>
      </c>
      <c r="C565" s="26">
        <v>107</v>
      </c>
      <c r="D565" s="55" t="str">
        <f>VLOOKUP(Main_Presentation[[#This Row],[LC Number]],Main_Issuance[],3,0)</f>
        <v>Dipu Sir</v>
      </c>
      <c r="E565" s="16" t="s">
        <v>858</v>
      </c>
      <c r="F565" s="17" t="str">
        <f>VLOOKUP(Main_Presentation[[#This Row],[LC Number]],Main_Issuance[],5,0)</f>
        <v>Riyad</v>
      </c>
      <c r="G565" s="17" t="str">
        <f>VLOOKUP(Main_Presentation[[#This Row],[LC Number]],Main_Issuance[],6,0)</f>
        <v>Cash</v>
      </c>
      <c r="H565" s="17" t="str">
        <f>VLOOKUP(Main_Presentation[[#This Row],[LC Number]],Main_Issuance[],17,0)</f>
        <v>Cash</v>
      </c>
      <c r="I565" s="17" t="str">
        <f>VLOOKUP(Main_Presentation[[#This Row],[LC Number]],Main_Issuance[],7,0)</f>
        <v>ATELIER HOSPITALITY SRL</v>
      </c>
      <c r="J565" s="17" t="str">
        <f>VLOOKUP(Main_Presentation[[#This Row],[LC Number]],Main_Issuance[],8,0)</f>
        <v>MBL</v>
      </c>
      <c r="K565" s="17" t="str">
        <f>VLOOKUP(Main_Presentation[[#This Row],[LC Number]],Main_Issuance[],9,0)</f>
        <v>L01-YAMMAMA</v>
      </c>
      <c r="L565" s="17">
        <f>VLOOKUP(Main_Presentation[[#This Row],[LC Number]],Main_Issuance[],10,0)</f>
        <v>1020015</v>
      </c>
      <c r="M565" s="17" t="str">
        <f>VLOOKUP(Main_Presentation[[#This Row],[LC Number]],Main_Issuance[],11,0)</f>
        <v>EUR</v>
      </c>
      <c r="N565" s="84">
        <f>VLOOKUP(Main_Presentation[[#This Row],[LC Number]],Main_Issuance[],12,0)</f>
        <v>50762045.400000006</v>
      </c>
      <c r="O565" s="16" t="s">
        <v>910</v>
      </c>
      <c r="P565" s="16" t="s">
        <v>378</v>
      </c>
      <c r="Q565" s="131">
        <v>146331.69</v>
      </c>
      <c r="R565" s="18">
        <v>4.5700901448959899</v>
      </c>
      <c r="S565" s="18">
        <f>Main_Presentation[[#This Row],[Invoice Amt (FCY)]]*Main_Presentation[[#This Row],[Rate]]</f>
        <v>668749.01435497508</v>
      </c>
      <c r="T565" s="15">
        <v>45706</v>
      </c>
      <c r="U565" s="26" t="str">
        <f>VLOOKUP(Main_Presentation[[#This Row],[LC Number]],Main_Issuance[],18,0)</f>
        <v>30 days from the date of comm. inv.</v>
      </c>
      <c r="V565" s="19" t="s">
        <v>213</v>
      </c>
      <c r="W565" s="22" t="s">
        <v>857</v>
      </c>
      <c r="X565" s="16"/>
      <c r="Y565" s="234" t="str">
        <f>TRIM(LEFT(Main_Presentation[[#This Row],[Payment Terms]],3))</f>
        <v>30</v>
      </c>
      <c r="Z565" s="16"/>
      <c r="AA565" s="316" cm="1">
        <f t="array" ref="AA565">Settlement(Main_Presentation[[#This Row],[Bank]],Main_Presentation[[#This Row],[ Invoice Amt (SAR)]],Main_Presentation[[#This Row],[Date Recd]],Main_Presentation[[#This Row],[Due Date]],Main_Presentation[[#This Row],[Days]])</f>
        <v>961.4</v>
      </c>
      <c r="AB565" s="16"/>
    </row>
    <row r="566" spans="1:28" ht="15.75" hidden="1" x14ac:dyDescent="0.25">
      <c r="A566" s="345" t="s">
        <v>320</v>
      </c>
      <c r="B566" s="336">
        <v>45693</v>
      </c>
      <c r="C566" s="337">
        <v>5</v>
      </c>
      <c r="D566" s="338" t="str">
        <f>VLOOKUP(Main_Presentation[[#This Row],[LC Number]],Main_Issuance[],3,0)</f>
        <v>Dipu Sir</v>
      </c>
      <c r="E566" s="339" t="s">
        <v>858</v>
      </c>
      <c r="F566" s="340" t="str">
        <f>VLOOKUP(Main_Presentation[[#This Row],[LC Number]],Main_Issuance[],5,0)</f>
        <v>Riyad</v>
      </c>
      <c r="G566" s="340" t="str">
        <f>VLOOKUP(Main_Presentation[[#This Row],[LC Number]],Main_Issuance[],6,0)</f>
        <v>Cash</v>
      </c>
      <c r="H566" s="340" t="str">
        <f>VLOOKUP(Main_Presentation[[#This Row],[LC Number]],Main_Issuance[],17,0)</f>
        <v>Cash</v>
      </c>
      <c r="I566" s="340" t="str">
        <f>VLOOKUP(Main_Presentation[[#This Row],[LC Number]],Main_Issuance[],7,0)</f>
        <v>HOME ITEMS INTERNATIONAL TRADING</v>
      </c>
      <c r="J566" s="340" t="str">
        <f>VLOOKUP(Main_Presentation[[#This Row],[LC Number]],Main_Issuance[],8,0)</f>
        <v>MBL</v>
      </c>
      <c r="K566" s="340" t="str">
        <f>VLOOKUP(Main_Presentation[[#This Row],[LC Number]],Main_Issuance[],9,0)</f>
        <v>L01-YAMMAMA</v>
      </c>
      <c r="L566" s="340">
        <f>VLOOKUP(Main_Presentation[[#This Row],[LC Number]],Main_Issuance[],10,0)</f>
        <v>1020015</v>
      </c>
      <c r="M566" s="340" t="str">
        <f>VLOOKUP(Main_Presentation[[#This Row],[LC Number]],Main_Issuance[],11,0)</f>
        <v>AED</v>
      </c>
      <c r="N566" s="341">
        <f>VLOOKUP(Main_Presentation[[#This Row],[LC Number]],Main_Issuance[],12,0)</f>
        <v>10215283.68</v>
      </c>
      <c r="O566" s="339" t="s">
        <v>20</v>
      </c>
      <c r="P566" s="339" t="s">
        <v>857</v>
      </c>
      <c r="Q566" s="342">
        <v>4163276.81</v>
      </c>
      <c r="R566" s="342">
        <v>1.0337000000000001</v>
      </c>
      <c r="S566" s="342">
        <f>Main_Presentation[[#This Row],[Invoice Amt (FCY)]]*Main_Presentation[[#This Row],[Rate]]</f>
        <v>4303579.2384970002</v>
      </c>
      <c r="T566" s="336">
        <v>45698</v>
      </c>
      <c r="U566" s="337" t="str">
        <f>VLOOKUP(Main_Presentation[[#This Row],[LC Number]],Main_Issuance[],18,0)</f>
        <v>Sight</v>
      </c>
      <c r="V566" s="343" t="s">
        <v>213</v>
      </c>
      <c r="W566" s="344" t="s">
        <v>857</v>
      </c>
      <c r="X566" s="339"/>
      <c r="Y566" s="401" t="str">
        <f>TRIM(LEFT(Main_Presentation[[#This Row],[Payment Terms]],3))</f>
        <v>Sig</v>
      </c>
      <c r="Z566" s="339"/>
      <c r="AA566" s="316" t="e" cm="1">
        <f t="array" ref="AA566">Settlement(Main_Presentation[[#This Row],[Bank]],Main_Presentation[[#This Row],[ Invoice Amt (SAR)]],Main_Presentation[[#This Row],[Date Recd]],Main_Presentation[[#This Row],[Due Date]],Main_Presentation[[#This Row],[Days]])</f>
        <v>#VALUE!</v>
      </c>
      <c r="AB566" s="339"/>
    </row>
    <row r="567" spans="1:28" ht="15.75" hidden="1" x14ac:dyDescent="0.25">
      <c r="A567" s="20" t="s">
        <v>306</v>
      </c>
      <c r="B567" s="15">
        <v>45698</v>
      </c>
      <c r="C567" s="26">
        <v>110</v>
      </c>
      <c r="D567" s="55" t="str">
        <f>VLOOKUP(Main_Presentation[[#This Row],[LC Number]],Main_Issuance[],3,0)</f>
        <v>Dipu Sir</v>
      </c>
      <c r="E567" s="16" t="s">
        <v>858</v>
      </c>
      <c r="F567" s="17" t="str">
        <f>VLOOKUP(Main_Presentation[[#This Row],[LC Number]],Main_Issuance[],5,0)</f>
        <v>Riyad</v>
      </c>
      <c r="G567" s="17" t="str">
        <f>VLOOKUP(Main_Presentation[[#This Row],[LC Number]],Main_Issuance[],6,0)</f>
        <v>Cash</v>
      </c>
      <c r="H567" s="17" t="str">
        <f>VLOOKUP(Main_Presentation[[#This Row],[LC Number]],Main_Issuance[],17,0)</f>
        <v>Cash</v>
      </c>
      <c r="I567" s="17" t="str">
        <f>VLOOKUP(Main_Presentation[[#This Row],[LC Number]],Main_Issuance[],7,0)</f>
        <v>ATELIER HOSPITALITY SRL</v>
      </c>
      <c r="J567" s="17" t="str">
        <f>VLOOKUP(Main_Presentation[[#This Row],[LC Number]],Main_Issuance[],8,0)</f>
        <v>MBL</v>
      </c>
      <c r="K567" s="17" t="str">
        <f>VLOOKUP(Main_Presentation[[#This Row],[LC Number]],Main_Issuance[],9,0)</f>
        <v>L01-YAMMAMA</v>
      </c>
      <c r="L567" s="17">
        <f>VLOOKUP(Main_Presentation[[#This Row],[LC Number]],Main_Issuance[],10,0)</f>
        <v>1020015</v>
      </c>
      <c r="M567" s="17" t="str">
        <f>VLOOKUP(Main_Presentation[[#This Row],[LC Number]],Main_Issuance[],11,0)</f>
        <v>EUR</v>
      </c>
      <c r="N567" s="84">
        <f>VLOOKUP(Main_Presentation[[#This Row],[LC Number]],Main_Issuance[],12,0)</f>
        <v>50762045.400000006</v>
      </c>
      <c r="O567" s="16" t="s">
        <v>20</v>
      </c>
      <c r="P567" s="16" t="s">
        <v>857</v>
      </c>
      <c r="Q567" s="131">
        <v>90775</v>
      </c>
      <c r="R567" s="18">
        <v>4.5700901448959899</v>
      </c>
      <c r="S567" s="18">
        <f>Main_Presentation[[#This Row],[Invoice Amt (FCY)]]*Main_Presentation[[#This Row],[Rate]]</f>
        <v>414849.93290293351</v>
      </c>
      <c r="T567" s="15">
        <v>45701</v>
      </c>
      <c r="U567" s="26" t="str">
        <f>VLOOKUP(Main_Presentation[[#This Row],[LC Number]],Main_Issuance[],18,0)</f>
        <v>30 days from the date of comm. inv.</v>
      </c>
      <c r="V567" s="19" t="s">
        <v>213</v>
      </c>
      <c r="W567" s="22" t="s">
        <v>857</v>
      </c>
      <c r="X567" s="16"/>
      <c r="Y567" s="402" t="str">
        <f>TRIM(LEFT(Main_Presentation[[#This Row],[Payment Terms]],3))</f>
        <v>30</v>
      </c>
      <c r="Z567" s="16"/>
      <c r="AA567" s="316" cm="1">
        <f t="array" ref="AA567">Settlement(Main_Presentation[[#This Row],[Bank]],Main_Presentation[[#This Row],[ Invoice Amt (SAR)]],Main_Presentation[[#This Row],[Date Recd]],Main_Presentation[[#This Row],[Due Date]],Main_Presentation[[#This Row],[Days]])</f>
        <v>230</v>
      </c>
      <c r="AB567" s="16"/>
    </row>
    <row r="568" spans="1:28" ht="15.75" hidden="1" x14ac:dyDescent="0.25">
      <c r="A568" s="20" t="s">
        <v>306</v>
      </c>
      <c r="B568" s="15">
        <v>45698</v>
      </c>
      <c r="C568" s="26">
        <v>109</v>
      </c>
      <c r="D568" s="55" t="str">
        <f>VLOOKUP(Main_Presentation[[#This Row],[LC Number]],Main_Issuance[],3,0)</f>
        <v>Dipu Sir</v>
      </c>
      <c r="E568" s="16" t="s">
        <v>858</v>
      </c>
      <c r="F568" s="17" t="str">
        <f>VLOOKUP(Main_Presentation[[#This Row],[LC Number]],Main_Issuance[],5,0)</f>
        <v>Riyad</v>
      </c>
      <c r="G568" s="17" t="str">
        <f>VLOOKUP(Main_Presentation[[#This Row],[LC Number]],Main_Issuance[],6,0)</f>
        <v>Cash</v>
      </c>
      <c r="H568" s="17" t="str">
        <f>VLOOKUP(Main_Presentation[[#This Row],[LC Number]],Main_Issuance[],17,0)</f>
        <v>Cash</v>
      </c>
      <c r="I568" s="17" t="str">
        <f>VLOOKUP(Main_Presentation[[#This Row],[LC Number]],Main_Issuance[],7,0)</f>
        <v>ATELIER HOSPITALITY SRL</v>
      </c>
      <c r="J568" s="17" t="str">
        <f>VLOOKUP(Main_Presentation[[#This Row],[LC Number]],Main_Issuance[],8,0)</f>
        <v>MBL</v>
      </c>
      <c r="K568" s="17" t="str">
        <f>VLOOKUP(Main_Presentation[[#This Row],[LC Number]],Main_Issuance[],9,0)</f>
        <v>L01-YAMMAMA</v>
      </c>
      <c r="L568" s="17">
        <f>VLOOKUP(Main_Presentation[[#This Row],[LC Number]],Main_Issuance[],10,0)</f>
        <v>1020015</v>
      </c>
      <c r="M568" s="17" t="str">
        <f>VLOOKUP(Main_Presentation[[#This Row],[LC Number]],Main_Issuance[],11,0)</f>
        <v>EUR</v>
      </c>
      <c r="N568" s="84">
        <f>VLOOKUP(Main_Presentation[[#This Row],[LC Number]],Main_Issuance[],12,0)</f>
        <v>50762045.400000006</v>
      </c>
      <c r="O568" s="16" t="s">
        <v>20</v>
      </c>
      <c r="P568" s="16" t="s">
        <v>857</v>
      </c>
      <c r="Q568" s="131">
        <v>69795.19</v>
      </c>
      <c r="R568" s="18">
        <v>4.5700901448959899</v>
      </c>
      <c r="S568" s="18">
        <f>Main_Presentation[[#This Row],[Invoice Amt (FCY)]]*Main_Presentation[[#This Row],[Rate]]</f>
        <v>318970.30998014315</v>
      </c>
      <c r="T568" s="15">
        <v>45721</v>
      </c>
      <c r="U568" s="26" t="str">
        <f>VLOOKUP(Main_Presentation[[#This Row],[LC Number]],Main_Issuance[],18,0)</f>
        <v>30 days from the date of comm. inv.</v>
      </c>
      <c r="V568" s="19" t="s">
        <v>213</v>
      </c>
      <c r="W568" s="22" t="s">
        <v>857</v>
      </c>
      <c r="X568" s="16"/>
      <c r="Y568" s="402" t="str">
        <f>TRIM(LEFT(Main_Presentation[[#This Row],[Payment Terms]],3))</f>
        <v>30</v>
      </c>
      <c r="Z568" s="16"/>
      <c r="AA568" s="316" cm="1">
        <f t="array" ref="AA568">Settlement(Main_Presentation[[#This Row],[Bank]],Main_Presentation[[#This Row],[ Invoice Amt (SAR)]],Main_Presentation[[#This Row],[Date Recd]],Main_Presentation[[#This Row],[Due Date]],Main_Presentation[[#This Row],[Days]])</f>
        <v>458.85</v>
      </c>
      <c r="AB568" s="16"/>
    </row>
    <row r="569" spans="1:28" ht="15.75" hidden="1" x14ac:dyDescent="0.25">
      <c r="A569" s="20" t="s">
        <v>306</v>
      </c>
      <c r="B569" s="15">
        <v>45698</v>
      </c>
      <c r="C569" s="26">
        <v>108</v>
      </c>
      <c r="D569" s="55" t="str">
        <f>VLOOKUP(Main_Presentation[[#This Row],[LC Number]],Main_Issuance[],3,0)</f>
        <v>Dipu Sir</v>
      </c>
      <c r="E569" s="16" t="s">
        <v>858</v>
      </c>
      <c r="F569" s="17" t="str">
        <f>VLOOKUP(Main_Presentation[[#This Row],[LC Number]],Main_Issuance[],5,0)</f>
        <v>Riyad</v>
      </c>
      <c r="G569" s="17" t="str">
        <f>VLOOKUP(Main_Presentation[[#This Row],[LC Number]],Main_Issuance[],6,0)</f>
        <v>Cash</v>
      </c>
      <c r="H569" s="17" t="str">
        <f>VLOOKUP(Main_Presentation[[#This Row],[LC Number]],Main_Issuance[],17,0)</f>
        <v>Cash</v>
      </c>
      <c r="I569" s="17" t="str">
        <f>VLOOKUP(Main_Presentation[[#This Row],[LC Number]],Main_Issuance[],7,0)</f>
        <v>ATELIER HOSPITALITY SRL</v>
      </c>
      <c r="J569" s="17" t="str">
        <f>VLOOKUP(Main_Presentation[[#This Row],[LC Number]],Main_Issuance[],8,0)</f>
        <v>MBL</v>
      </c>
      <c r="K569" s="17" t="str">
        <f>VLOOKUP(Main_Presentation[[#This Row],[LC Number]],Main_Issuance[],9,0)</f>
        <v>L01-YAMMAMA</v>
      </c>
      <c r="L569" s="17">
        <f>VLOOKUP(Main_Presentation[[#This Row],[LC Number]],Main_Issuance[],10,0)</f>
        <v>1020015</v>
      </c>
      <c r="M569" s="17" t="str">
        <f>VLOOKUP(Main_Presentation[[#This Row],[LC Number]],Main_Issuance[],11,0)</f>
        <v>EUR</v>
      </c>
      <c r="N569" s="84">
        <f>VLOOKUP(Main_Presentation[[#This Row],[LC Number]],Main_Issuance[],12,0)</f>
        <v>50762045.400000006</v>
      </c>
      <c r="O569" s="16" t="s">
        <v>20</v>
      </c>
      <c r="P569" s="16" t="s">
        <v>857</v>
      </c>
      <c r="Q569" s="131">
        <v>28905.48</v>
      </c>
      <c r="R569" s="18">
        <v>4.5700901448959899</v>
      </c>
      <c r="S569" s="18">
        <f>Main_Presentation[[#This Row],[Invoice Amt (FCY)]]*Main_Presentation[[#This Row],[Rate]]</f>
        <v>132100.64928148815</v>
      </c>
      <c r="T569" s="15">
        <v>45712</v>
      </c>
      <c r="U569" s="26" t="str">
        <f>VLOOKUP(Main_Presentation[[#This Row],[LC Number]],Main_Issuance[],18,0)</f>
        <v>30 days from the date of comm. inv.</v>
      </c>
      <c r="V569" s="19" t="s">
        <v>213</v>
      </c>
      <c r="W569" s="22" t="s">
        <v>857</v>
      </c>
      <c r="X569" s="16"/>
      <c r="Y569" s="402" t="str">
        <f>TRIM(LEFT(Main_Presentation[[#This Row],[Payment Terms]],3))</f>
        <v>30</v>
      </c>
      <c r="Z569" s="16"/>
      <c r="AA569" s="316" cm="1">
        <f t="array" ref="AA569">Settlement(Main_Presentation[[#This Row],[Bank]],Main_Presentation[[#This Row],[ Invoice Amt (SAR)]],Main_Presentation[[#This Row],[Date Recd]],Main_Presentation[[#This Row],[Due Date]],Main_Presentation[[#This Row],[Days]])</f>
        <v>230</v>
      </c>
      <c r="AB569" s="16"/>
    </row>
    <row r="570" spans="1:28" ht="15.75" hidden="1" x14ac:dyDescent="0.25">
      <c r="A570" s="14" t="s">
        <v>306</v>
      </c>
      <c r="B570" s="15">
        <v>45706</v>
      </c>
      <c r="C570" s="26">
        <v>111</v>
      </c>
      <c r="D570" s="55" t="str">
        <f>VLOOKUP(Main_Presentation[[#This Row],[LC Number]],Main_Issuance[],3,0)</f>
        <v>Dipu Sir</v>
      </c>
      <c r="E570" s="16" t="s">
        <v>858</v>
      </c>
      <c r="F570" s="17" t="str">
        <f>VLOOKUP(Main_Presentation[[#This Row],[LC Number]],Main_Issuance[],5,0)</f>
        <v>Riyad</v>
      </c>
      <c r="G570" s="17" t="str">
        <f>VLOOKUP(Main_Presentation[[#This Row],[LC Number]],Main_Issuance[],6,0)</f>
        <v>Cash</v>
      </c>
      <c r="H570" s="17" t="str">
        <f>VLOOKUP(Main_Presentation[[#This Row],[LC Number]],Main_Issuance[],17,0)</f>
        <v>Cash</v>
      </c>
      <c r="I570" s="17" t="str">
        <f>VLOOKUP(Main_Presentation[[#This Row],[LC Number]],Main_Issuance[],7,0)</f>
        <v>ATELIER HOSPITALITY SRL</v>
      </c>
      <c r="J570" s="17" t="str">
        <f>VLOOKUP(Main_Presentation[[#This Row],[LC Number]],Main_Issuance[],8,0)</f>
        <v>MBL</v>
      </c>
      <c r="K570" s="17" t="str">
        <f>VLOOKUP(Main_Presentation[[#This Row],[LC Number]],Main_Issuance[],9,0)</f>
        <v>L01-YAMMAMA</v>
      </c>
      <c r="L570" s="17">
        <f>VLOOKUP(Main_Presentation[[#This Row],[LC Number]],Main_Issuance[],10,0)</f>
        <v>1020015</v>
      </c>
      <c r="M570" s="17" t="str">
        <f>VLOOKUP(Main_Presentation[[#This Row],[LC Number]],Main_Issuance[],11,0)</f>
        <v>EUR</v>
      </c>
      <c r="N570" s="84">
        <f>VLOOKUP(Main_Presentation[[#This Row],[LC Number]],Main_Issuance[],12,0)</f>
        <v>50762045.400000006</v>
      </c>
      <c r="O570" s="16" t="s">
        <v>20</v>
      </c>
      <c r="P570" s="16" t="s">
        <v>857</v>
      </c>
      <c r="Q570" s="131">
        <v>146331.69</v>
      </c>
      <c r="R570" s="18">
        <v>4.5700901448959899</v>
      </c>
      <c r="S570" s="18">
        <f>Main_Presentation[[#This Row],[Invoice Amt (FCY)]]*Main_Presentation[[#This Row],[Rate]]</f>
        <v>668749.01435497508</v>
      </c>
      <c r="T570" s="15">
        <v>45708</v>
      </c>
      <c r="U570" s="26" t="str">
        <f>VLOOKUP(Main_Presentation[[#This Row],[LC Number]],Main_Issuance[],18,0)</f>
        <v>30 days from the date of comm. inv.</v>
      </c>
      <c r="V570" s="19" t="s">
        <v>213</v>
      </c>
      <c r="W570" s="22" t="s">
        <v>857</v>
      </c>
      <c r="X570" s="16"/>
      <c r="Y570" s="402" t="str">
        <f>TRIM(LEFT(Main_Presentation[[#This Row],[Payment Terms]],3))</f>
        <v>30</v>
      </c>
      <c r="Z570" s="16"/>
      <c r="AA570" s="316" cm="1">
        <f t="array" ref="AA570">Settlement(Main_Presentation[[#This Row],[Bank]],Main_Presentation[[#This Row],[ Invoice Amt (SAR)]],Main_Presentation[[#This Row],[Date Recd]],Main_Presentation[[#This Row],[Due Date]],Main_Presentation[[#This Row],[Days]])</f>
        <v>230</v>
      </c>
      <c r="AB570" s="16"/>
    </row>
    <row r="571" spans="1:28" ht="15.75" hidden="1" x14ac:dyDescent="0.25">
      <c r="A571" s="20" t="s">
        <v>306</v>
      </c>
      <c r="B571" s="15">
        <v>45713</v>
      </c>
      <c r="C571" s="26">
        <v>112</v>
      </c>
      <c r="D571" s="55" t="str">
        <f>VLOOKUP(Main_Presentation[[#This Row],[LC Number]],Main_Issuance[],3,0)</f>
        <v>Dipu Sir</v>
      </c>
      <c r="E571" s="16" t="s">
        <v>858</v>
      </c>
      <c r="F571" s="17" t="str">
        <f>VLOOKUP(Main_Presentation[[#This Row],[LC Number]],Main_Issuance[],5,0)</f>
        <v>Riyad</v>
      </c>
      <c r="G571" s="17" t="str">
        <f>VLOOKUP(Main_Presentation[[#This Row],[LC Number]],Main_Issuance[],6,0)</f>
        <v>Cash</v>
      </c>
      <c r="H571" s="17" t="str">
        <f>VLOOKUP(Main_Presentation[[#This Row],[LC Number]],Main_Issuance[],17,0)</f>
        <v>Cash</v>
      </c>
      <c r="I571" s="17" t="str">
        <f>VLOOKUP(Main_Presentation[[#This Row],[LC Number]],Main_Issuance[],7,0)</f>
        <v>ATELIER HOSPITALITY SRL</v>
      </c>
      <c r="J571" s="17" t="str">
        <f>VLOOKUP(Main_Presentation[[#This Row],[LC Number]],Main_Issuance[],8,0)</f>
        <v>MBL</v>
      </c>
      <c r="K571" s="17" t="str">
        <f>VLOOKUP(Main_Presentation[[#This Row],[LC Number]],Main_Issuance[],9,0)</f>
        <v>L01-YAMMAMA</v>
      </c>
      <c r="L571" s="17">
        <f>VLOOKUP(Main_Presentation[[#This Row],[LC Number]],Main_Issuance[],10,0)</f>
        <v>1020015</v>
      </c>
      <c r="M571" s="17" t="str">
        <f>VLOOKUP(Main_Presentation[[#This Row],[LC Number]],Main_Issuance[],11,0)</f>
        <v>EUR</v>
      </c>
      <c r="N571" s="84">
        <f>VLOOKUP(Main_Presentation[[#This Row],[LC Number]],Main_Issuance[],12,0)</f>
        <v>50762045.400000006</v>
      </c>
      <c r="O571" s="16" t="s">
        <v>20</v>
      </c>
      <c r="P571" s="16" t="s">
        <v>857</v>
      </c>
      <c r="Q571" s="131">
        <v>66414.710000000006</v>
      </c>
      <c r="R571" s="18">
        <v>4.5700901448959899</v>
      </c>
      <c r="S571" s="18">
        <f>Main_Presentation[[#This Row],[Invoice Amt (FCY)]]*Main_Presentation[[#This Row],[Rate]]</f>
        <v>303521.21164712519</v>
      </c>
      <c r="T571" s="15">
        <v>45740</v>
      </c>
      <c r="U571" s="26" t="str">
        <f>VLOOKUP(Main_Presentation[[#This Row],[LC Number]],Main_Issuance[],18,0)</f>
        <v>30 days from the date of comm. inv.</v>
      </c>
      <c r="V571" s="19" t="s">
        <v>213</v>
      </c>
      <c r="W571" s="22" t="s">
        <v>857</v>
      </c>
      <c r="X571" s="16"/>
      <c r="Y571" s="402" t="str">
        <f>TRIM(LEFT(Main_Presentation[[#This Row],[Payment Terms]],3))</f>
        <v>30</v>
      </c>
      <c r="Z571" s="16"/>
      <c r="AA571" s="316" cm="1">
        <f t="array" ref="AA571">Settlement(Main_Presentation[[#This Row],[Bank]],Main_Presentation[[#This Row],[ Invoice Amt (SAR)]],Main_Presentation[[#This Row],[Date Recd]],Main_Presentation[[#This Row],[Due Date]],Main_Presentation[[#This Row],[Days]])</f>
        <v>435.85</v>
      </c>
      <c r="AB571" s="16"/>
    </row>
    <row r="572" spans="1:28" ht="15.75" hidden="1" x14ac:dyDescent="0.25">
      <c r="A572" s="20" t="s">
        <v>306</v>
      </c>
      <c r="B572" s="15">
        <v>45726</v>
      </c>
      <c r="C572" s="26">
        <v>115</v>
      </c>
      <c r="D572" s="55" t="str">
        <f>VLOOKUP(Main_Presentation[[#This Row],[LC Number]],Main_Issuance[],3,0)</f>
        <v>Dipu Sir</v>
      </c>
      <c r="E572" s="16" t="s">
        <v>858</v>
      </c>
      <c r="F572" s="17" t="str">
        <f>VLOOKUP(Main_Presentation[[#This Row],[LC Number]],Main_Issuance[],5,0)</f>
        <v>Riyad</v>
      </c>
      <c r="G572" s="17" t="str">
        <f>VLOOKUP(Main_Presentation[[#This Row],[LC Number]],Main_Issuance[],6,0)</f>
        <v>Cash</v>
      </c>
      <c r="H572" s="17" t="str">
        <f>VLOOKUP(Main_Presentation[[#This Row],[LC Number]],Main_Issuance[],17,0)</f>
        <v>Cash</v>
      </c>
      <c r="I572" s="17" t="str">
        <f>VLOOKUP(Main_Presentation[[#This Row],[LC Number]],Main_Issuance[],7,0)</f>
        <v>ATELIER HOSPITALITY SRL</v>
      </c>
      <c r="J572" s="17" t="str">
        <f>VLOOKUP(Main_Presentation[[#This Row],[LC Number]],Main_Issuance[],8,0)</f>
        <v>MBL</v>
      </c>
      <c r="K572" s="17" t="str">
        <f>VLOOKUP(Main_Presentation[[#This Row],[LC Number]],Main_Issuance[],9,0)</f>
        <v>L01-YAMMAMA</v>
      </c>
      <c r="L572" s="17">
        <f>VLOOKUP(Main_Presentation[[#This Row],[LC Number]],Main_Issuance[],10,0)</f>
        <v>1020015</v>
      </c>
      <c r="M572" s="17" t="str">
        <f>VLOOKUP(Main_Presentation[[#This Row],[LC Number]],Main_Issuance[],11,0)</f>
        <v>EUR</v>
      </c>
      <c r="N572" s="84">
        <f>VLOOKUP(Main_Presentation[[#This Row],[LC Number]],Main_Issuance[],12,0)</f>
        <v>50762045.400000006</v>
      </c>
      <c r="O572" s="16" t="s">
        <v>20</v>
      </c>
      <c r="P572" s="16" t="s">
        <v>857</v>
      </c>
      <c r="Q572" s="131">
        <v>150538</v>
      </c>
      <c r="R572" s="18">
        <v>4.5700901448959899</v>
      </c>
      <c r="S572" s="18">
        <f>Main_Presentation[[#This Row],[Invoice Amt (FCY)]]*Main_Presentation[[#This Row],[Rate]]</f>
        <v>687972.23023235251</v>
      </c>
      <c r="T572" s="15">
        <v>45754</v>
      </c>
      <c r="U572" s="26" t="str">
        <f>VLOOKUP(Main_Presentation[[#This Row],[LC Number]],Main_Issuance[],18,0)</f>
        <v>30 days from the date of comm. inv.</v>
      </c>
      <c r="V572" s="19" t="s">
        <v>213</v>
      </c>
      <c r="W572" s="22" t="s">
        <v>857</v>
      </c>
      <c r="X572" s="16"/>
      <c r="Y572" s="402" t="str">
        <f>TRIM(LEFT(Main_Presentation[[#This Row],[Payment Terms]],3))</f>
        <v>30</v>
      </c>
      <c r="Z572" s="16"/>
      <c r="AA572" s="316" cm="1">
        <f t="array" ref="AA572">Settlement(Main_Presentation[[#This Row],[Bank]],Main_Presentation[[#This Row],[ Invoice Amt (SAR)]],Main_Presentation[[#This Row],[Date Recd]],Main_Presentation[[#This Row],[Due Date]],Main_Presentation[[#This Row],[Days]])</f>
        <v>989</v>
      </c>
      <c r="AB572" s="16"/>
    </row>
    <row r="573" spans="1:28" ht="15.75" hidden="1" x14ac:dyDescent="0.25">
      <c r="A573" s="20" t="s">
        <v>306</v>
      </c>
      <c r="B573" s="15">
        <v>45726</v>
      </c>
      <c r="C573" s="26">
        <v>116</v>
      </c>
      <c r="D573" s="55" t="str">
        <f>VLOOKUP(Main_Presentation[[#This Row],[LC Number]],Main_Issuance[],3,0)</f>
        <v>Dipu Sir</v>
      </c>
      <c r="E573" s="16" t="s">
        <v>858</v>
      </c>
      <c r="F573" s="17" t="str">
        <f>VLOOKUP(Main_Presentation[[#This Row],[LC Number]],Main_Issuance[],5,0)</f>
        <v>Riyad</v>
      </c>
      <c r="G573" s="17" t="str">
        <f>VLOOKUP(Main_Presentation[[#This Row],[LC Number]],Main_Issuance[],6,0)</f>
        <v>Cash</v>
      </c>
      <c r="H573" s="17" t="str">
        <f>VLOOKUP(Main_Presentation[[#This Row],[LC Number]],Main_Issuance[],17,0)</f>
        <v>Cash</v>
      </c>
      <c r="I573" s="17" t="str">
        <f>VLOOKUP(Main_Presentation[[#This Row],[LC Number]],Main_Issuance[],7,0)</f>
        <v>ATELIER HOSPITALITY SRL</v>
      </c>
      <c r="J573" s="17" t="str">
        <f>VLOOKUP(Main_Presentation[[#This Row],[LC Number]],Main_Issuance[],8,0)</f>
        <v>MBL</v>
      </c>
      <c r="K573" s="17" t="str">
        <f>VLOOKUP(Main_Presentation[[#This Row],[LC Number]],Main_Issuance[],9,0)</f>
        <v>L01-YAMMAMA</v>
      </c>
      <c r="L573" s="17">
        <f>VLOOKUP(Main_Presentation[[#This Row],[LC Number]],Main_Issuance[],10,0)</f>
        <v>1020015</v>
      </c>
      <c r="M573" s="17" t="str">
        <f>VLOOKUP(Main_Presentation[[#This Row],[LC Number]],Main_Issuance[],11,0)</f>
        <v>EUR</v>
      </c>
      <c r="N573" s="84">
        <f>VLOOKUP(Main_Presentation[[#This Row],[LC Number]],Main_Issuance[],12,0)</f>
        <v>50762045.400000006</v>
      </c>
      <c r="O573" s="16" t="s">
        <v>20</v>
      </c>
      <c r="P573" s="16" t="s">
        <v>857</v>
      </c>
      <c r="Q573" s="131">
        <v>206671.5</v>
      </c>
      <c r="R573" s="18">
        <v>4.5700901448959899</v>
      </c>
      <c r="S573" s="131">
        <f>Main_Presentation[[#This Row],[Invoice Amt (FCY)]]*Main_Presentation[[#This Row],[Rate]]</f>
        <v>944507.38538087159</v>
      </c>
      <c r="T573" s="15">
        <v>45771</v>
      </c>
      <c r="U573" s="26" t="str">
        <f>VLOOKUP(Main_Presentation[[#This Row],[LC Number]],Main_Issuance[],18,0)</f>
        <v>30 days from the date of comm. inv.</v>
      </c>
      <c r="V573" s="19" t="s">
        <v>213</v>
      </c>
      <c r="W573" s="22" t="s">
        <v>857</v>
      </c>
      <c r="X573" s="16"/>
      <c r="Y573" s="402" t="str">
        <f>TRIM(LEFT(Main_Presentation[[#This Row],[Payment Terms]],3))</f>
        <v>30</v>
      </c>
      <c r="Z573" s="16"/>
      <c r="AA573" s="316" cm="1">
        <f t="array" ref="AA573">Settlement(Main_Presentation[[#This Row],[Bank]],Main_Presentation[[#This Row],[ Invoice Amt (SAR)]],Main_Presentation[[#This Row],[Date Recd]],Main_Presentation[[#This Row],[Due Date]],Main_Presentation[[#This Row],[Days]])</f>
        <v>1358.15</v>
      </c>
      <c r="AB573" s="16"/>
    </row>
    <row r="574" spans="1:28" ht="15.75" hidden="1" x14ac:dyDescent="0.25">
      <c r="A574" s="232" t="s">
        <v>321</v>
      </c>
      <c r="B574" s="137">
        <v>45736</v>
      </c>
      <c r="C574" s="138">
        <v>6</v>
      </c>
      <c r="D574" s="139" t="str">
        <f>VLOOKUP(Main_Presentation[[#This Row],[LC Number]],Main_Issuance[],3,0)</f>
        <v>Dipu Sir</v>
      </c>
      <c r="E574" s="140" t="s">
        <v>856</v>
      </c>
      <c r="F574" s="230" t="str">
        <f>VLOOKUP(Main_Presentation[[#This Row],[LC Number]],Main_Issuance[],5,0)</f>
        <v>Riyad</v>
      </c>
      <c r="G574" s="230" t="str">
        <f>VLOOKUP(Main_Presentation[[#This Row],[LC Number]],Main_Issuance[],6,0)</f>
        <v>Cash</v>
      </c>
      <c r="H574" s="230" t="str">
        <f>VLOOKUP(Main_Presentation[[#This Row],[LC Number]],Main_Issuance[],17,0)</f>
        <v>Cash</v>
      </c>
      <c r="I574" s="230" t="str">
        <f>VLOOKUP(Main_Presentation[[#This Row],[LC Number]],Main_Issuance[],7,0)</f>
        <v>Visio INC</v>
      </c>
      <c r="J574" s="230" t="str">
        <f>VLOOKUP(Main_Presentation[[#This Row],[LC Number]],Main_Issuance[],8,0)</f>
        <v>MBL</v>
      </c>
      <c r="K574" s="230" t="str">
        <f>VLOOKUP(Main_Presentation[[#This Row],[LC Number]],Main_Issuance[],9,0)</f>
        <v>L01-YAMMAMA</v>
      </c>
      <c r="L574" s="230">
        <f>VLOOKUP(Main_Presentation[[#This Row],[LC Number]],Main_Issuance[],10,0)</f>
        <v>1020015</v>
      </c>
      <c r="M574" s="230" t="str">
        <f>VLOOKUP(Main_Presentation[[#This Row],[LC Number]],Main_Issuance[],11,0)</f>
        <v>SAR</v>
      </c>
      <c r="N574" s="231">
        <f>VLOOKUP(Main_Presentation[[#This Row],[LC Number]],Main_Issuance[],12,0)</f>
        <v>16327500.880000001</v>
      </c>
      <c r="O574" s="140" t="s">
        <v>20</v>
      </c>
      <c r="P574" s="140" t="s">
        <v>857</v>
      </c>
      <c r="Q574" s="131">
        <v>489204.03</v>
      </c>
      <c r="R574" s="131">
        <v>1</v>
      </c>
      <c r="S574" s="131">
        <f>Main_Presentation[[#This Row],[Invoice Amt (FCY)]]*Main_Presentation[[#This Row],[Rate]]</f>
        <v>489204.03</v>
      </c>
      <c r="T574" s="137">
        <v>45741</v>
      </c>
      <c r="U574" s="138" t="str">
        <f>VLOOKUP(Main_Presentation[[#This Row],[LC Number]],Main_Issuance[],18,0)</f>
        <v>30 Days from Delivery Date</v>
      </c>
      <c r="V574" s="115" t="s">
        <v>213</v>
      </c>
      <c r="W574" s="145" t="s">
        <v>857</v>
      </c>
      <c r="X574" s="140"/>
      <c r="Y574" s="400" t="str">
        <f>TRIM(LEFT(Main_Presentation[[#This Row],[Payment Terms]],3))</f>
        <v>30</v>
      </c>
      <c r="Z574" s="140"/>
      <c r="AA574" s="468" cm="1">
        <f t="array" ref="AA574">Settlement(Main_Presentation[[#This Row],[Bank]],Main_Presentation[[#This Row],[ Invoice Amt (SAR)]],Main_Presentation[[#This Row],[Date Recd]],Main_Presentation[[#This Row],[Due Date]],Main_Presentation[[#This Row],[Days]])</f>
        <v>230</v>
      </c>
      <c r="AB574" s="140"/>
    </row>
    <row r="575" spans="1:28" ht="15.75" hidden="1" x14ac:dyDescent="0.25">
      <c r="A575" s="129" t="s">
        <v>321</v>
      </c>
      <c r="B575" s="137">
        <v>45770</v>
      </c>
      <c r="C575" s="138">
        <v>7</v>
      </c>
      <c r="D575" s="139" t="str">
        <f>VLOOKUP(Main_Presentation[[#This Row],[LC Number]],Main_Issuance[],3,0)</f>
        <v>Dipu Sir</v>
      </c>
      <c r="E575" s="140" t="s">
        <v>858</v>
      </c>
      <c r="F575" s="140" t="str">
        <f>VLOOKUP(Main_Presentation[[#This Row],[LC Number]],Main_Issuance[],5,0)</f>
        <v>Riyad</v>
      </c>
      <c r="G575" s="140" t="str">
        <f>VLOOKUP(Main_Presentation[[#This Row],[LC Number]],Main_Issuance[],6,0)</f>
        <v>Cash</v>
      </c>
      <c r="H575" s="140" t="str">
        <f>VLOOKUP(Main_Presentation[[#This Row],[LC Number]],Main_Issuance[],17,0)</f>
        <v>Cash</v>
      </c>
      <c r="I575" s="140" t="str">
        <f>VLOOKUP(Main_Presentation[[#This Row],[LC Number]],Main_Issuance[],7,0)</f>
        <v>Visio INC</v>
      </c>
      <c r="J575" s="140" t="str">
        <f>VLOOKUP(Main_Presentation[[#This Row],[LC Number]],Main_Issuance[],8,0)</f>
        <v>MBL</v>
      </c>
      <c r="K575" s="140" t="str">
        <f>VLOOKUP(Main_Presentation[[#This Row],[LC Number]],Main_Issuance[],9,0)</f>
        <v>L01-YAMMAMA</v>
      </c>
      <c r="L575" s="140">
        <f>VLOOKUP(Main_Presentation[[#This Row],[LC Number]],Main_Issuance[],10,0)</f>
        <v>1020015</v>
      </c>
      <c r="M575" s="140" t="str">
        <f>VLOOKUP(Main_Presentation[[#This Row],[LC Number]],Main_Issuance[],11,0)</f>
        <v>SAR</v>
      </c>
      <c r="N575" s="141">
        <f>VLOOKUP(Main_Presentation[[#This Row],[LC Number]],Main_Issuance[],12,0)</f>
        <v>16327500.880000001</v>
      </c>
      <c r="O575" s="140" t="s">
        <v>20</v>
      </c>
      <c r="P575" s="140" t="s">
        <v>857</v>
      </c>
      <c r="Q575" s="131">
        <v>5787900.1399999997</v>
      </c>
      <c r="R575" s="131">
        <v>1</v>
      </c>
      <c r="S575" s="131">
        <f>Main_Presentation[[#This Row],[Invoice Amt (FCY)]]*Main_Presentation[[#This Row],[Rate]]</f>
        <v>5787900.1399999997</v>
      </c>
      <c r="T575" s="137">
        <v>45771</v>
      </c>
      <c r="U575" s="138" t="str">
        <f>VLOOKUP(Main_Presentation[[#This Row],[LC Number]],Main_Issuance[],18,0)</f>
        <v>30 Days from Delivery Date</v>
      </c>
      <c r="V575" s="115" t="s">
        <v>213</v>
      </c>
      <c r="W575" s="145" t="s">
        <v>857</v>
      </c>
      <c r="X575" s="140"/>
      <c r="Y575" s="400" t="str">
        <f>TRIM(LEFT(Main_Presentation[[#This Row],[Payment Terms]],3))</f>
        <v>30</v>
      </c>
      <c r="Z575" s="140"/>
      <c r="AA575" s="468" cm="1">
        <f t="array" ref="AA575">Settlement(Main_Presentation[[#This Row],[Bank]],Main_Presentation[[#This Row],[ Invoice Amt (SAR)]],Main_Presentation[[#This Row],[Date Recd]],Main_Presentation[[#This Row],[Due Date]],Main_Presentation[[#This Row],[Days]])</f>
        <v>230</v>
      </c>
      <c r="AB575" s="140"/>
    </row>
    <row r="576" spans="1:28" ht="15.75" hidden="1" x14ac:dyDescent="0.25">
      <c r="A576" s="20" t="s">
        <v>306</v>
      </c>
      <c r="B576" s="15">
        <v>45774</v>
      </c>
      <c r="C576" s="26">
        <v>117</v>
      </c>
      <c r="D576" s="55" t="str">
        <f>VLOOKUP(Main_Presentation[[#This Row],[LC Number]],Main_Issuance[],3,0)</f>
        <v>Dipu Sir</v>
      </c>
      <c r="E576" s="16" t="s">
        <v>858</v>
      </c>
      <c r="F576" s="17" t="str">
        <f>VLOOKUP(Main_Presentation[[#This Row],[LC Number]],Main_Issuance[],5,0)</f>
        <v>Riyad</v>
      </c>
      <c r="G576" s="17" t="str">
        <f>VLOOKUP(Main_Presentation[[#This Row],[LC Number]],Main_Issuance[],6,0)</f>
        <v>Cash</v>
      </c>
      <c r="H576" s="17" t="str">
        <f>VLOOKUP(Main_Presentation[[#This Row],[LC Number]],Main_Issuance[],17,0)</f>
        <v>Cash</v>
      </c>
      <c r="I576" s="17" t="str">
        <f>VLOOKUP(Main_Presentation[[#This Row],[LC Number]],Main_Issuance[],7,0)</f>
        <v>ATELIER HOSPITALITY SRL</v>
      </c>
      <c r="J576" s="17" t="str">
        <f>VLOOKUP(Main_Presentation[[#This Row],[LC Number]],Main_Issuance[],8,0)</f>
        <v>MBL</v>
      </c>
      <c r="K576" s="17" t="str">
        <f>VLOOKUP(Main_Presentation[[#This Row],[LC Number]],Main_Issuance[],9,0)</f>
        <v>L01-YAMMAMA</v>
      </c>
      <c r="L576" s="17">
        <f>VLOOKUP(Main_Presentation[[#This Row],[LC Number]],Main_Issuance[],10,0)</f>
        <v>1020015</v>
      </c>
      <c r="M576" s="17" t="str">
        <f>VLOOKUP(Main_Presentation[[#This Row],[LC Number]],Main_Issuance[],11,0)</f>
        <v>EUR</v>
      </c>
      <c r="N576" s="84">
        <f>VLOOKUP(Main_Presentation[[#This Row],[LC Number]],Main_Issuance[],12,0)</f>
        <v>50762045.400000006</v>
      </c>
      <c r="O576" s="16" t="s">
        <v>20</v>
      </c>
      <c r="P576" s="16" t="s">
        <v>857</v>
      </c>
      <c r="Q576" s="131">
        <v>63140.39</v>
      </c>
      <c r="R576" s="18">
        <v>4.5700901448959899</v>
      </c>
      <c r="S576" s="18">
        <f>Main_Presentation[[#This Row],[Invoice Amt (FCY)]]*Main_Presentation[[#This Row],[Rate]]</f>
        <v>288557.27408388932</v>
      </c>
      <c r="T576" s="15">
        <v>45784</v>
      </c>
      <c r="U576" s="26" t="str">
        <f>VLOOKUP(Main_Presentation[[#This Row],[LC Number]],Main_Issuance[],18,0)</f>
        <v>30 days from the date of comm. inv.</v>
      </c>
      <c r="V576" s="17" t="str">
        <f>VLOOKUP(Main_Presentation[[#This Row],[LC Number]],Main_Issuance[],9,0)</f>
        <v>L01-YAMMAMA</v>
      </c>
      <c r="W576" s="22" t="s">
        <v>857</v>
      </c>
      <c r="X576" s="16"/>
      <c r="Y576" s="402" t="str">
        <f>TRIM(LEFT(Main_Presentation[[#This Row],[Payment Terms]],3))</f>
        <v>30</v>
      </c>
      <c r="Z576" s="16"/>
      <c r="AA576" s="316" cm="1">
        <f t="array" ref="AA576">Settlement(Main_Presentation[[#This Row],[Bank]],Main_Presentation[[#This Row],[ Invoice Amt (SAR)]],Main_Presentation[[#This Row],[Date Recd]],Main_Presentation[[#This Row],[Due Date]],Main_Presentation[[#This Row],[Days]])</f>
        <v>230</v>
      </c>
      <c r="AB576" s="16"/>
    </row>
    <row r="577" spans="1:28" ht="15.75" hidden="1" x14ac:dyDescent="0.25">
      <c r="A577" s="14" t="s">
        <v>84</v>
      </c>
      <c r="B577" s="15">
        <v>45456</v>
      </c>
      <c r="C577" s="26">
        <v>1</v>
      </c>
      <c r="D577" s="55" t="str">
        <f>VLOOKUP(Main_Presentation[[#This Row],[LC Number]],Main_Issuance[],3,0)</f>
        <v>Rabih Makhoul</v>
      </c>
      <c r="E577" s="16" t="s">
        <v>856</v>
      </c>
      <c r="F577" s="17" t="str">
        <f>VLOOKUP(Main_Presentation[[#This Row],[LC Number]],Main_Issuance[],5,0)</f>
        <v>Riyad</v>
      </c>
      <c r="G577" s="17" t="str">
        <f>VLOOKUP(Main_Presentation[[#This Row],[LC Number]],Main_Issuance[],6,0)</f>
        <v>Multipurpose</v>
      </c>
      <c r="H577" s="17" t="str">
        <f>VLOOKUP(Main_Presentation[[#This Row],[LC Number]],Main_Issuance[],17,0)</f>
        <v>Credit</v>
      </c>
      <c r="I577" s="17" t="str">
        <f>VLOOKUP(Main_Presentation[[#This Row],[LC Number]],Main_Issuance[],7,0)</f>
        <v>MACHINERY RENTAL ALTERNATIVES CO.</v>
      </c>
      <c r="J577" s="17" t="str">
        <f>VLOOKUP(Main_Presentation[[#This Row],[LC Number]],Main_Issuance[],8,0)</f>
        <v>MBL</v>
      </c>
      <c r="K577" s="17" t="str">
        <f>VLOOKUP(Main_Presentation[[#This Row],[LC Number]],Main_Issuance[],9,0)</f>
        <v>Neom - The Line</v>
      </c>
      <c r="L577" s="17">
        <f>VLOOKUP(Main_Presentation[[#This Row],[LC Number]],Main_Issuance[],10,0)</f>
        <v>1020098</v>
      </c>
      <c r="M577" s="17" t="str">
        <f>VLOOKUP(Main_Presentation[[#This Row],[LC Number]],Main_Issuance[],11,0)</f>
        <v>SAR</v>
      </c>
      <c r="N577" s="84">
        <f>VLOOKUP(Main_Presentation[[#This Row],[LC Number]],Main_Issuance[],12,0)</f>
        <v>2685480</v>
      </c>
      <c r="O577" s="16" t="s">
        <v>20</v>
      </c>
      <c r="P577" s="16" t="s">
        <v>857</v>
      </c>
      <c r="Q577" s="131">
        <v>2191210</v>
      </c>
      <c r="R577" s="18">
        <v>1</v>
      </c>
      <c r="S577" s="18">
        <f>Main_Presentation[[#This Row],[Invoice Amt (FCY)]]*Main_Presentation[[#This Row],[Rate]]</f>
        <v>2191210</v>
      </c>
      <c r="T577" s="15">
        <v>45487</v>
      </c>
      <c r="U577" s="26">
        <f>VLOOKUP(Main_Presentation[[#This Row],[LC Number]],Main_Issuance[],18,0)</f>
        <v>0</v>
      </c>
      <c r="V577" s="19" t="s">
        <v>86</v>
      </c>
      <c r="W577" s="18" t="s">
        <v>857</v>
      </c>
      <c r="X577" s="16"/>
      <c r="Y577" s="234" t="str">
        <f>TRIM(LEFT(Main_Presentation[[#This Row],[Payment Terms]],3))</f>
        <v>0</v>
      </c>
      <c r="Z577" s="16"/>
      <c r="AA577" s="316" cm="1">
        <f t="array" ref="AA577">Settlement(Main_Presentation[[#This Row],[Bank]],Main_Presentation[[#This Row],[ Invoice Amt (SAR)]],Main_Presentation[[#This Row],[Date Recd]],Main_Presentation[[#This Row],[Due Date]],Main_Presentation[[#This Row],[Days]])</f>
        <v>3149.85</v>
      </c>
      <c r="AB577" s="16"/>
    </row>
    <row r="578" spans="1:28" ht="15.75" hidden="1" x14ac:dyDescent="0.25">
      <c r="A578" s="14" t="s">
        <v>84</v>
      </c>
      <c r="B578" s="15">
        <v>45497</v>
      </c>
      <c r="C578" s="26">
        <v>2</v>
      </c>
      <c r="D578" s="55" t="str">
        <f>VLOOKUP(Main_Presentation[[#This Row],[LC Number]],Main_Issuance[],3,0)</f>
        <v>Rabih Makhoul</v>
      </c>
      <c r="E578" s="16" t="s">
        <v>856</v>
      </c>
      <c r="F578" s="17" t="str">
        <f>VLOOKUP(Main_Presentation[[#This Row],[LC Number]],Main_Issuance[],5,0)</f>
        <v>Riyad</v>
      </c>
      <c r="G578" s="17" t="str">
        <f>VLOOKUP(Main_Presentation[[#This Row],[LC Number]],Main_Issuance[],6,0)</f>
        <v>Multipurpose</v>
      </c>
      <c r="H578" s="17" t="str">
        <f>VLOOKUP(Main_Presentation[[#This Row],[LC Number]],Main_Issuance[],17,0)</f>
        <v>Credit</v>
      </c>
      <c r="I578" s="17" t="str">
        <f>VLOOKUP(Main_Presentation[[#This Row],[LC Number]],Main_Issuance[],7,0)</f>
        <v>MACHINERY RENTAL ALTERNATIVES CO.</v>
      </c>
      <c r="J578" s="17" t="str">
        <f>VLOOKUP(Main_Presentation[[#This Row],[LC Number]],Main_Issuance[],8,0)</f>
        <v>MBL</v>
      </c>
      <c r="K578" s="17" t="str">
        <f>VLOOKUP(Main_Presentation[[#This Row],[LC Number]],Main_Issuance[],9,0)</f>
        <v>Neom - The Line</v>
      </c>
      <c r="L578" s="17">
        <f>VLOOKUP(Main_Presentation[[#This Row],[LC Number]],Main_Issuance[],10,0)</f>
        <v>1020098</v>
      </c>
      <c r="M578" s="17" t="str">
        <f>VLOOKUP(Main_Presentation[[#This Row],[LC Number]],Main_Issuance[],11,0)</f>
        <v>SAR</v>
      </c>
      <c r="N578" s="84">
        <f>VLOOKUP(Main_Presentation[[#This Row],[LC Number]],Main_Issuance[],12,0)</f>
        <v>2685480</v>
      </c>
      <c r="O578" s="16" t="s">
        <v>20</v>
      </c>
      <c r="P578" s="16" t="s">
        <v>857</v>
      </c>
      <c r="Q578" s="131">
        <v>494270</v>
      </c>
      <c r="R578" s="18">
        <v>1</v>
      </c>
      <c r="S578" s="18">
        <f>Main_Presentation[[#This Row],[Invoice Amt (FCY)]]*Main_Presentation[[#This Row],[Rate]]</f>
        <v>494270</v>
      </c>
      <c r="T578" s="15">
        <v>45512</v>
      </c>
      <c r="U578" s="26">
        <f>VLOOKUP(Main_Presentation[[#This Row],[LC Number]],Main_Issuance[],18,0)</f>
        <v>0</v>
      </c>
      <c r="V578" s="19" t="s">
        <v>86</v>
      </c>
      <c r="W578" s="18" t="s">
        <v>857</v>
      </c>
      <c r="X578" s="16"/>
      <c r="Y578" s="234" t="str">
        <f>TRIM(LEFT(Main_Presentation[[#This Row],[Payment Terms]],3))</f>
        <v>0</v>
      </c>
      <c r="Z578" s="16"/>
      <c r="AA578" s="316" cm="1">
        <f t="array" ref="AA578">Settlement(Main_Presentation[[#This Row],[Bank]],Main_Presentation[[#This Row],[ Invoice Amt (SAR)]],Main_Presentation[[#This Row],[Date Recd]],Main_Presentation[[#This Row],[Due Date]],Main_Presentation[[#This Row],[Days]])</f>
        <v>230</v>
      </c>
      <c r="AB578" s="16"/>
    </row>
    <row r="579" spans="1:28" ht="15.75" hidden="1" x14ac:dyDescent="0.25">
      <c r="A579" s="14" t="s">
        <v>87</v>
      </c>
      <c r="B579" s="15">
        <v>45364</v>
      </c>
      <c r="C579" s="26">
        <v>1</v>
      </c>
      <c r="D579" s="55" t="str">
        <f>VLOOKUP(Main_Presentation[[#This Row],[LC Number]],Main_Issuance[],3,0)</f>
        <v>Rabih Makhoul</v>
      </c>
      <c r="E579" s="16" t="s">
        <v>856</v>
      </c>
      <c r="F579" s="17" t="str">
        <f>VLOOKUP(Main_Presentation[[#This Row],[LC Number]],Main_Issuance[],5,0)</f>
        <v>Riyad</v>
      </c>
      <c r="G579" s="17" t="str">
        <f>VLOOKUP(Main_Presentation[[#This Row],[LC Number]],Main_Issuance[],6,0)</f>
        <v>Multipurpose</v>
      </c>
      <c r="H579" s="17" t="str">
        <f>VLOOKUP(Main_Presentation[[#This Row],[LC Number]],Main_Issuance[],17,0)</f>
        <v>Credit</v>
      </c>
      <c r="I579" s="17" t="str">
        <f>VLOOKUP(Main_Presentation[[#This Row],[LC Number]],Main_Issuance[],7,0)</f>
        <v>MACHINERY RENTAL ALTERNATIVES CO.</v>
      </c>
      <c r="J579" s="17" t="str">
        <f>VLOOKUP(Main_Presentation[[#This Row],[LC Number]],Main_Issuance[],8,0)</f>
        <v>MBL</v>
      </c>
      <c r="K579" s="17" t="str">
        <f>VLOOKUP(Main_Presentation[[#This Row],[LC Number]],Main_Issuance[],9,0)</f>
        <v>Neom - The Line</v>
      </c>
      <c r="L579" s="17">
        <f>VLOOKUP(Main_Presentation[[#This Row],[LC Number]],Main_Issuance[],10,0)</f>
        <v>1020098</v>
      </c>
      <c r="M579" s="17" t="str">
        <f>VLOOKUP(Main_Presentation[[#This Row],[LC Number]],Main_Issuance[],11,0)</f>
        <v>SAR</v>
      </c>
      <c r="N579" s="84">
        <f>VLOOKUP(Main_Presentation[[#This Row],[LC Number]],Main_Issuance[],12,0)</f>
        <v>18785537.5</v>
      </c>
      <c r="O579" s="16" t="s">
        <v>20</v>
      </c>
      <c r="P579" s="16" t="s">
        <v>857</v>
      </c>
      <c r="Q579" s="131">
        <v>9392768.75</v>
      </c>
      <c r="R579" s="18">
        <v>1</v>
      </c>
      <c r="S579" s="18">
        <f>Main_Presentation[[#This Row],[Invoice Amt (FCY)]]*Main_Presentation[[#This Row],[Rate]]</f>
        <v>9392768.75</v>
      </c>
      <c r="T579" s="15">
        <v>45364</v>
      </c>
      <c r="U579" s="26">
        <f>VLOOKUP(Main_Presentation[[#This Row],[LC Number]],Main_Issuance[],18,0)</f>
        <v>0</v>
      </c>
      <c r="V579" s="19" t="s">
        <v>86</v>
      </c>
      <c r="W579" s="18" t="s">
        <v>857</v>
      </c>
      <c r="X579" s="16"/>
      <c r="Y579" s="234" t="str">
        <f>TRIM(LEFT(Main_Presentation[[#This Row],[Payment Terms]],3))</f>
        <v>0</v>
      </c>
      <c r="Z579" s="16"/>
      <c r="AA579" s="316" cm="1">
        <f t="array" ref="AA579">Settlement(Main_Presentation[[#This Row],[Bank]],Main_Presentation[[#This Row],[ Invoice Amt (SAR)]],Main_Presentation[[#This Row],[Date Recd]],Main_Presentation[[#This Row],[Due Date]],Main_Presentation[[#This Row],[Days]])</f>
        <v>230</v>
      </c>
      <c r="AB579" s="16"/>
    </row>
    <row r="580" spans="1:28" ht="15.75" hidden="1" x14ac:dyDescent="0.25">
      <c r="A580" s="14" t="s">
        <v>87</v>
      </c>
      <c r="B580" s="15">
        <v>45418</v>
      </c>
      <c r="C580" s="26">
        <v>2</v>
      </c>
      <c r="D580" s="55" t="str">
        <f>VLOOKUP(Main_Presentation[[#This Row],[LC Number]],Main_Issuance[],3,0)</f>
        <v>Rabih Makhoul</v>
      </c>
      <c r="E580" s="16" t="s">
        <v>856</v>
      </c>
      <c r="F580" s="17" t="str">
        <f>VLOOKUP(Main_Presentation[[#This Row],[LC Number]],Main_Issuance[],5,0)</f>
        <v>Riyad</v>
      </c>
      <c r="G580" s="17" t="str">
        <f>VLOOKUP(Main_Presentation[[#This Row],[LC Number]],Main_Issuance[],6,0)</f>
        <v>Multipurpose</v>
      </c>
      <c r="H580" s="17" t="str">
        <f>VLOOKUP(Main_Presentation[[#This Row],[LC Number]],Main_Issuance[],17,0)</f>
        <v>Credit</v>
      </c>
      <c r="I580" s="17" t="str">
        <f>VLOOKUP(Main_Presentation[[#This Row],[LC Number]],Main_Issuance[],7,0)</f>
        <v>MACHINERY RENTAL ALTERNATIVES CO.</v>
      </c>
      <c r="J580" s="17" t="str">
        <f>VLOOKUP(Main_Presentation[[#This Row],[LC Number]],Main_Issuance[],8,0)</f>
        <v>MBL</v>
      </c>
      <c r="K580" s="17" t="str">
        <f>VLOOKUP(Main_Presentation[[#This Row],[LC Number]],Main_Issuance[],9,0)</f>
        <v>Neom - The Line</v>
      </c>
      <c r="L580" s="17">
        <f>VLOOKUP(Main_Presentation[[#This Row],[LC Number]],Main_Issuance[],10,0)</f>
        <v>1020098</v>
      </c>
      <c r="M580" s="17" t="str">
        <f>VLOOKUP(Main_Presentation[[#This Row],[LC Number]],Main_Issuance[],11,0)</f>
        <v>SAR</v>
      </c>
      <c r="N580" s="84">
        <f>VLOOKUP(Main_Presentation[[#This Row],[LC Number]],Main_Issuance[],12,0)</f>
        <v>18785537.5</v>
      </c>
      <c r="O580" s="16" t="s">
        <v>20</v>
      </c>
      <c r="P580" s="16" t="s">
        <v>857</v>
      </c>
      <c r="Q580" s="131">
        <v>9392768.75</v>
      </c>
      <c r="R580" s="18">
        <v>1</v>
      </c>
      <c r="S580" s="18">
        <f>Main_Presentation[[#This Row],[Invoice Amt (FCY)]]*Main_Presentation[[#This Row],[Rate]]</f>
        <v>9392768.75</v>
      </c>
      <c r="T580" s="15">
        <v>45418</v>
      </c>
      <c r="U580" s="26">
        <f>VLOOKUP(Main_Presentation[[#This Row],[LC Number]],Main_Issuance[],18,0)</f>
        <v>0</v>
      </c>
      <c r="V580" s="19" t="s">
        <v>86</v>
      </c>
      <c r="W580" s="18" t="s">
        <v>857</v>
      </c>
      <c r="X580" s="16"/>
      <c r="Y580" s="234" t="str">
        <f>TRIM(LEFT(Main_Presentation[[#This Row],[Payment Terms]],3))</f>
        <v>0</v>
      </c>
      <c r="Z580" s="16"/>
      <c r="AA580" s="316" cm="1">
        <f t="array" ref="AA580">Settlement(Main_Presentation[[#This Row],[Bank]],Main_Presentation[[#This Row],[ Invoice Amt (SAR)]],Main_Presentation[[#This Row],[Date Recd]],Main_Presentation[[#This Row],[Due Date]],Main_Presentation[[#This Row],[Days]])</f>
        <v>230</v>
      </c>
      <c r="AB580" s="16"/>
    </row>
    <row r="581" spans="1:28" ht="15.75" hidden="1" x14ac:dyDescent="0.25">
      <c r="A581" s="14" t="s">
        <v>375</v>
      </c>
      <c r="B581" s="15">
        <v>45636</v>
      </c>
      <c r="C581" s="26">
        <v>1</v>
      </c>
      <c r="D581" s="55" t="str">
        <f>VLOOKUP(Main_Presentation[[#This Row],[LC Number]],Main_Issuance[],3,0)</f>
        <v>Rabih Makhoul</v>
      </c>
      <c r="E581" s="16" t="s">
        <v>856</v>
      </c>
      <c r="F581" s="17" t="str">
        <f>VLOOKUP(Main_Presentation[[#This Row],[LC Number]],Main_Issuance[],5,0)</f>
        <v>Riyad</v>
      </c>
      <c r="G581" s="17" t="str">
        <f>VLOOKUP(Main_Presentation[[#This Row],[LC Number]],Main_Issuance[],6,0)</f>
        <v>Cash</v>
      </c>
      <c r="H581" s="17" t="str">
        <f>VLOOKUP(Main_Presentation[[#This Row],[LC Number]],Main_Issuance[],17,0)</f>
        <v>Cash</v>
      </c>
      <c r="I581" s="17" t="str">
        <f>VLOOKUP(Main_Presentation[[#This Row],[LC Number]],Main_Issuance[],7,0)</f>
        <v>ABDULAH ABDIN ALBUKHARI FACTORY FOR</v>
      </c>
      <c r="J581" s="17" t="str">
        <f>VLOOKUP(Main_Presentation[[#This Row],[LC Number]],Main_Issuance[],8,0)</f>
        <v>MBL</v>
      </c>
      <c r="K581" s="17" t="str">
        <f>VLOOKUP(Main_Presentation[[#This Row],[LC Number]],Main_Issuance[],9,0)</f>
        <v>Neom - The Line</v>
      </c>
      <c r="L581" s="17">
        <f>VLOOKUP(Main_Presentation[[#This Row],[LC Number]],Main_Issuance[],10,0)</f>
        <v>1020098</v>
      </c>
      <c r="M581" s="17" t="str">
        <f>VLOOKUP(Main_Presentation[[#This Row],[LC Number]],Main_Issuance[],11,0)</f>
        <v>SAR</v>
      </c>
      <c r="N581" s="84">
        <f>VLOOKUP(Main_Presentation[[#This Row],[LC Number]],Main_Issuance[],12,0)</f>
        <v>8247656.25</v>
      </c>
      <c r="O581" s="16" t="s">
        <v>20</v>
      </c>
      <c r="P581" s="16" t="s">
        <v>857</v>
      </c>
      <c r="Q581" s="131">
        <v>7828481.25</v>
      </c>
      <c r="R581" s="18">
        <v>1</v>
      </c>
      <c r="S581" s="18">
        <f>Main_Presentation[[#This Row],[Invoice Amt (FCY)]]*Main_Presentation[[#This Row],[Rate]]</f>
        <v>7828481.25</v>
      </c>
      <c r="T581" s="15">
        <v>45657</v>
      </c>
      <c r="U581" s="26" t="str">
        <f>VLOOKUP(Main_Presentation[[#This Row],[LC Number]],Main_Issuance[],18,0)</f>
        <v>45 Days from Comm. Invoice Date</v>
      </c>
      <c r="V581" s="19" t="s">
        <v>304</v>
      </c>
      <c r="W581" s="22" t="s">
        <v>857</v>
      </c>
      <c r="X581" s="16"/>
      <c r="Y581" s="234" t="str">
        <f>TRIM(LEFT(Main_Presentation[[#This Row],[Payment Terms]],3))</f>
        <v>45</v>
      </c>
      <c r="Z581" s="16"/>
      <c r="AA581" s="316" cm="1">
        <f t="array" ref="AA581">Settlement(Main_Presentation[[#This Row],[Bank]],Main_Presentation[[#This Row],[ Invoice Amt (SAR)]],Main_Presentation[[#This Row],[Date Recd]],Main_Presentation[[#This Row],[Due Date]],Main_Presentation[[#This Row],[Days]])</f>
        <v>11253.9</v>
      </c>
      <c r="AB581" s="16"/>
    </row>
    <row r="582" spans="1:28" ht="15.75" hidden="1" x14ac:dyDescent="0.25">
      <c r="A582" s="20" t="s">
        <v>375</v>
      </c>
      <c r="B582" s="15">
        <v>45699</v>
      </c>
      <c r="C582" s="26">
        <v>2</v>
      </c>
      <c r="D582" s="55" t="str">
        <f>VLOOKUP(Main_Presentation[[#This Row],[LC Number]],Main_Issuance[],3,0)</f>
        <v>Rabih Makhoul</v>
      </c>
      <c r="E582" s="16" t="s">
        <v>856</v>
      </c>
      <c r="F582" s="17" t="str">
        <f>VLOOKUP(Main_Presentation[[#This Row],[LC Number]],Main_Issuance[],5,0)</f>
        <v>Riyad</v>
      </c>
      <c r="G582" s="17" t="str">
        <f>VLOOKUP(Main_Presentation[[#This Row],[LC Number]],Main_Issuance[],6,0)</f>
        <v>Cash</v>
      </c>
      <c r="H582" s="17" t="str">
        <f>VLOOKUP(Main_Presentation[[#This Row],[LC Number]],Main_Issuance[],17,0)</f>
        <v>Cash</v>
      </c>
      <c r="I582" s="17" t="str">
        <f>VLOOKUP(Main_Presentation[[#This Row],[LC Number]],Main_Issuance[],7,0)</f>
        <v>ABDULAH ABDIN ALBUKHARI FACTORY FOR</v>
      </c>
      <c r="J582" s="17" t="str">
        <f>VLOOKUP(Main_Presentation[[#This Row],[LC Number]],Main_Issuance[],8,0)</f>
        <v>MBL</v>
      </c>
      <c r="K582" s="17" t="str">
        <f>VLOOKUP(Main_Presentation[[#This Row],[LC Number]],Main_Issuance[],9,0)</f>
        <v>Neom - The Line</v>
      </c>
      <c r="L582" s="17">
        <f>VLOOKUP(Main_Presentation[[#This Row],[LC Number]],Main_Issuance[],10,0)</f>
        <v>1020098</v>
      </c>
      <c r="M582" s="17" t="str">
        <f>VLOOKUP(Main_Presentation[[#This Row],[LC Number]],Main_Issuance[],11,0)</f>
        <v>SAR</v>
      </c>
      <c r="N582" s="84">
        <f>VLOOKUP(Main_Presentation[[#This Row],[LC Number]],Main_Issuance[],12,0)</f>
        <v>8247656.25</v>
      </c>
      <c r="O582" s="16" t="s">
        <v>20</v>
      </c>
      <c r="P582" s="16" t="s">
        <v>857</v>
      </c>
      <c r="Q582" s="131">
        <v>419175</v>
      </c>
      <c r="R582" s="18">
        <v>1</v>
      </c>
      <c r="S582" s="18">
        <f>Main_Presentation[[#This Row],[Invoice Amt (FCY)]]*Main_Presentation[[#This Row],[Rate]]</f>
        <v>419175</v>
      </c>
      <c r="T582" s="15">
        <v>45712</v>
      </c>
      <c r="U582" s="26" t="str">
        <f>VLOOKUP(Main_Presentation[[#This Row],[LC Number]],Main_Issuance[],18,0)</f>
        <v>45 Days from Comm. Invoice Date</v>
      </c>
      <c r="V582" s="19" t="s">
        <v>304</v>
      </c>
      <c r="W582" s="22" t="s">
        <v>857</v>
      </c>
      <c r="X582" s="16"/>
      <c r="Y582" s="234" t="str">
        <f>TRIM(LEFT(Main_Presentation[[#This Row],[Payment Terms]],3))</f>
        <v>45</v>
      </c>
      <c r="Z582" s="16"/>
      <c r="AA582" s="316" cm="1">
        <f t="array" ref="AA582">Settlement(Main_Presentation[[#This Row],[Bank]],Main_Presentation[[#This Row],[ Invoice Amt (SAR)]],Main_Presentation[[#This Row],[Date Recd]],Main_Presentation[[#This Row],[Due Date]],Main_Presentation[[#This Row],[Days]])</f>
        <v>230</v>
      </c>
      <c r="AB582" s="16"/>
    </row>
    <row r="583" spans="1:28" ht="15.75" hidden="1" x14ac:dyDescent="0.25">
      <c r="A583" s="14" t="s">
        <v>61</v>
      </c>
      <c r="B583" s="15">
        <v>45215</v>
      </c>
      <c r="C583" s="26">
        <v>1</v>
      </c>
      <c r="D583" s="55" t="str">
        <f>VLOOKUP(Main_Presentation[[#This Row],[LC Number]],Main_Issuance[],3,0)</f>
        <v>Wissam Arafa</v>
      </c>
      <c r="E583" s="16" t="s">
        <v>856</v>
      </c>
      <c r="F583" s="17" t="str">
        <f>VLOOKUP(Main_Presentation[[#This Row],[LC Number]],Main_Issuance[],5,0)</f>
        <v>Riyad</v>
      </c>
      <c r="G583" s="17" t="str">
        <f>VLOOKUP(Main_Presentation[[#This Row],[LC Number]],Main_Issuance[],6,0)</f>
        <v>Multipurpose</v>
      </c>
      <c r="H583" s="17" t="str">
        <f>VLOOKUP(Main_Presentation[[#This Row],[LC Number]],Main_Issuance[],17,0)</f>
        <v>Credit</v>
      </c>
      <c r="I583" s="17" t="str">
        <f>VLOOKUP(Main_Presentation[[#This Row],[LC Number]],Main_Issuance[],7,0)</f>
        <v>ARCELORMITTAL DSTC FZE</v>
      </c>
      <c r="J583" s="17" t="str">
        <f>VLOOKUP(Main_Presentation[[#This Row],[LC Number]],Main_Issuance[],8,0)</f>
        <v>MBL - (JV)</v>
      </c>
      <c r="K583" s="17" t="str">
        <f>VLOOKUP(Main_Presentation[[#This Row],[LC Number]],Main_Issuance[],9,0)</f>
        <v>OXAGON</v>
      </c>
      <c r="L583" s="17">
        <f>VLOOKUP(Main_Presentation[[#This Row],[LC Number]],Main_Issuance[],10,0)</f>
        <v>1020076</v>
      </c>
      <c r="M583" s="17" t="str">
        <f>VLOOKUP(Main_Presentation[[#This Row],[LC Number]],Main_Issuance[],11,0)</f>
        <v>EUR</v>
      </c>
      <c r="N583" s="84">
        <f>VLOOKUP(Main_Presentation[[#This Row],[LC Number]],Main_Issuance[],12,0)</f>
        <v>25798747</v>
      </c>
      <c r="O583" s="16" t="s">
        <v>20</v>
      </c>
      <c r="P583" s="16" t="s">
        <v>857</v>
      </c>
      <c r="Q583" s="131">
        <v>1535948.9</v>
      </c>
      <c r="R583" s="18">
        <v>4.0999999999999996</v>
      </c>
      <c r="S583" s="18">
        <f>Main_Presentation[[#This Row],[Invoice Amt (FCY)]]*Main_Presentation[[#This Row],[Rate]]</f>
        <v>6297390.4899999993</v>
      </c>
      <c r="T583" s="15">
        <v>45250</v>
      </c>
      <c r="U583" s="26" t="str">
        <f>VLOOKUP(Main_Presentation[[#This Row],[LC Number]],Main_Issuance[],18,0)</f>
        <v>45 Days from B/L DATE</v>
      </c>
      <c r="V583" s="19" t="s">
        <v>66</v>
      </c>
      <c r="W583" s="18" t="s">
        <v>857</v>
      </c>
      <c r="X583" s="16"/>
      <c r="Y583" s="234" t="str">
        <f>TRIM(LEFT(Main_Presentation[[#This Row],[Payment Terms]],3))</f>
        <v>45</v>
      </c>
      <c r="Z583" s="16"/>
      <c r="AA583" s="316" cm="1">
        <f t="array" ref="AA583">Settlement(Main_Presentation[[#This Row],[Bank]],Main_Presentation[[#This Row],[ Invoice Amt (SAR)]],Main_Presentation[[#This Row],[Date Recd]],Main_Presentation[[#This Row],[Due Date]],Main_Presentation[[#This Row],[Days]])</f>
        <v>9052.7999999999993</v>
      </c>
      <c r="AB583" s="16"/>
    </row>
    <row r="584" spans="1:28" ht="15.75" hidden="1" x14ac:dyDescent="0.25">
      <c r="A584" s="14" t="s">
        <v>61</v>
      </c>
      <c r="B584" s="15">
        <v>45306</v>
      </c>
      <c r="C584" s="26">
        <v>2</v>
      </c>
      <c r="D584" s="55" t="str">
        <f>VLOOKUP(Main_Presentation[[#This Row],[LC Number]],Main_Issuance[],3,0)</f>
        <v>Wissam Arafa</v>
      </c>
      <c r="E584" s="16" t="s">
        <v>856</v>
      </c>
      <c r="F584" s="17" t="str">
        <f>VLOOKUP(Main_Presentation[[#This Row],[LC Number]],Main_Issuance[],5,0)</f>
        <v>Riyad</v>
      </c>
      <c r="G584" s="17" t="str">
        <f>VLOOKUP(Main_Presentation[[#This Row],[LC Number]],Main_Issuance[],6,0)</f>
        <v>Multipurpose</v>
      </c>
      <c r="H584" s="17" t="str">
        <f>VLOOKUP(Main_Presentation[[#This Row],[LC Number]],Main_Issuance[],17,0)</f>
        <v>Credit</v>
      </c>
      <c r="I584" s="17" t="str">
        <f>VLOOKUP(Main_Presentation[[#This Row],[LC Number]],Main_Issuance[],7,0)</f>
        <v>ARCELORMITTAL DSTC FZE</v>
      </c>
      <c r="J584" s="17" t="str">
        <f>VLOOKUP(Main_Presentation[[#This Row],[LC Number]],Main_Issuance[],8,0)</f>
        <v>MBL - (JV)</v>
      </c>
      <c r="K584" s="17" t="str">
        <f>VLOOKUP(Main_Presentation[[#This Row],[LC Number]],Main_Issuance[],9,0)</f>
        <v>OXAGON</v>
      </c>
      <c r="L584" s="17">
        <f>VLOOKUP(Main_Presentation[[#This Row],[LC Number]],Main_Issuance[],10,0)</f>
        <v>1020076</v>
      </c>
      <c r="M584" s="17" t="str">
        <f>VLOOKUP(Main_Presentation[[#This Row],[LC Number]],Main_Issuance[],11,0)</f>
        <v>EUR</v>
      </c>
      <c r="N584" s="84">
        <f>VLOOKUP(Main_Presentation[[#This Row],[LC Number]],Main_Issuance[],12,0)</f>
        <v>25798747</v>
      </c>
      <c r="O584" s="16" t="s">
        <v>20</v>
      </c>
      <c r="P584" s="16" t="s">
        <v>857</v>
      </c>
      <c r="Q584" s="131">
        <v>8608388.0199999996</v>
      </c>
      <c r="R584" s="18">
        <v>4.0640000000000001</v>
      </c>
      <c r="S584" s="18">
        <f>Main_Presentation[[#This Row],[Invoice Amt (FCY)]]*Main_Presentation[[#This Row],[Rate]]</f>
        <v>34984488.913279995</v>
      </c>
      <c r="T584" s="15">
        <v>45342</v>
      </c>
      <c r="U584" s="26" t="str">
        <f>VLOOKUP(Main_Presentation[[#This Row],[LC Number]],Main_Issuance[],18,0)</f>
        <v>45 Days from B/L DATE</v>
      </c>
      <c r="V584" s="19" t="s">
        <v>66</v>
      </c>
      <c r="W584" s="18" t="s">
        <v>857</v>
      </c>
      <c r="X584" s="16"/>
      <c r="Y584" s="234" t="str">
        <f>TRIM(LEFT(Main_Presentation[[#This Row],[Payment Terms]],3))</f>
        <v>45</v>
      </c>
      <c r="Z584" s="16"/>
      <c r="AA584" s="316" cm="1">
        <f t="array" ref="AA584">Settlement(Main_Presentation[[#This Row],[Bank]],Main_Presentation[[#This Row],[ Invoice Amt (SAR)]],Main_Presentation[[#This Row],[Date Recd]],Main_Presentation[[#This Row],[Due Date]],Main_Presentation[[#This Row],[Days]])</f>
        <v>50290.65</v>
      </c>
      <c r="AB584" s="16"/>
    </row>
    <row r="585" spans="1:28" ht="15.75" hidden="1" x14ac:dyDescent="0.25">
      <c r="A585" s="14" t="s">
        <v>61</v>
      </c>
      <c r="B585" s="15">
        <v>45341</v>
      </c>
      <c r="C585" s="26">
        <v>3</v>
      </c>
      <c r="D585" s="55" t="str">
        <f>VLOOKUP(Main_Presentation[[#This Row],[LC Number]],Main_Issuance[],3,0)</f>
        <v>Wissam Arafa</v>
      </c>
      <c r="E585" s="16" t="s">
        <v>856</v>
      </c>
      <c r="F585" s="17" t="str">
        <f>VLOOKUP(Main_Presentation[[#This Row],[LC Number]],Main_Issuance[],5,0)</f>
        <v>Riyad</v>
      </c>
      <c r="G585" s="17" t="str">
        <f>VLOOKUP(Main_Presentation[[#This Row],[LC Number]],Main_Issuance[],6,0)</f>
        <v>Multipurpose</v>
      </c>
      <c r="H585" s="17" t="str">
        <f>VLOOKUP(Main_Presentation[[#This Row],[LC Number]],Main_Issuance[],17,0)</f>
        <v>Credit</v>
      </c>
      <c r="I585" s="17" t="str">
        <f>VLOOKUP(Main_Presentation[[#This Row],[LC Number]],Main_Issuance[],7,0)</f>
        <v>ARCELORMITTAL DSTC FZE</v>
      </c>
      <c r="J585" s="17" t="str">
        <f>VLOOKUP(Main_Presentation[[#This Row],[LC Number]],Main_Issuance[],8,0)</f>
        <v>MBL - (JV)</v>
      </c>
      <c r="K585" s="17" t="str">
        <f>VLOOKUP(Main_Presentation[[#This Row],[LC Number]],Main_Issuance[],9,0)</f>
        <v>OXAGON</v>
      </c>
      <c r="L585" s="17">
        <f>VLOOKUP(Main_Presentation[[#This Row],[LC Number]],Main_Issuance[],10,0)</f>
        <v>1020076</v>
      </c>
      <c r="M585" s="17" t="str">
        <f>VLOOKUP(Main_Presentation[[#This Row],[LC Number]],Main_Issuance[],11,0)</f>
        <v>EUR</v>
      </c>
      <c r="N585" s="84">
        <f>VLOOKUP(Main_Presentation[[#This Row],[LC Number]],Main_Issuance[],12,0)</f>
        <v>25798747</v>
      </c>
      <c r="O585" s="16" t="s">
        <v>20</v>
      </c>
      <c r="P585" s="16" t="s">
        <v>857</v>
      </c>
      <c r="Q585" s="131">
        <v>3909211.63</v>
      </c>
      <c r="R585" s="18">
        <v>4.08</v>
      </c>
      <c r="S585" s="18">
        <f>Main_Presentation[[#This Row],[Invoice Amt (FCY)]]*Main_Presentation[[#This Row],[Rate]]</f>
        <v>15949583.4504</v>
      </c>
      <c r="T585" s="15">
        <v>45370</v>
      </c>
      <c r="U585" s="26" t="str">
        <f>VLOOKUP(Main_Presentation[[#This Row],[LC Number]],Main_Issuance[],18,0)</f>
        <v>45 Days from B/L DATE</v>
      </c>
      <c r="V585" s="19" t="s">
        <v>66</v>
      </c>
      <c r="W585" s="18" t="s">
        <v>857</v>
      </c>
      <c r="X585" s="16"/>
      <c r="Y585" s="234" t="str">
        <f>TRIM(LEFT(Main_Presentation[[#This Row],[Payment Terms]],3))</f>
        <v>45</v>
      </c>
      <c r="Z585" s="16"/>
      <c r="AA585" s="316" cm="1">
        <f t="array" ref="AA585">Settlement(Main_Presentation[[#This Row],[Bank]],Main_Presentation[[#This Row],[ Invoice Amt (SAR)]],Main_Presentation[[#This Row],[Date Recd]],Main_Presentation[[#This Row],[Due Date]],Main_Presentation[[#This Row],[Days]])</f>
        <v>22927.55</v>
      </c>
      <c r="AB585" s="16"/>
    </row>
    <row r="586" spans="1:28" ht="15.75" hidden="1" x14ac:dyDescent="0.25">
      <c r="A586" s="14" t="s">
        <v>61</v>
      </c>
      <c r="B586" s="15">
        <v>45412</v>
      </c>
      <c r="C586" s="26">
        <v>4</v>
      </c>
      <c r="D586" s="55" t="str">
        <f>VLOOKUP(Main_Presentation[[#This Row],[LC Number]],Main_Issuance[],3,0)</f>
        <v>Wissam Arafa</v>
      </c>
      <c r="E586" s="16" t="s">
        <v>856</v>
      </c>
      <c r="F586" s="17" t="str">
        <f>VLOOKUP(Main_Presentation[[#This Row],[LC Number]],Main_Issuance[],5,0)</f>
        <v>Riyad</v>
      </c>
      <c r="G586" s="17" t="str">
        <f>VLOOKUP(Main_Presentation[[#This Row],[LC Number]],Main_Issuance[],6,0)</f>
        <v>Multipurpose</v>
      </c>
      <c r="H586" s="17" t="str">
        <f>VLOOKUP(Main_Presentation[[#This Row],[LC Number]],Main_Issuance[],17,0)</f>
        <v>Credit</v>
      </c>
      <c r="I586" s="17" t="str">
        <f>VLOOKUP(Main_Presentation[[#This Row],[LC Number]],Main_Issuance[],7,0)</f>
        <v>ARCELORMITTAL DSTC FZE</v>
      </c>
      <c r="J586" s="17" t="str">
        <f>VLOOKUP(Main_Presentation[[#This Row],[LC Number]],Main_Issuance[],8,0)</f>
        <v>MBL - (JV)</v>
      </c>
      <c r="K586" s="17" t="str">
        <f>VLOOKUP(Main_Presentation[[#This Row],[LC Number]],Main_Issuance[],9,0)</f>
        <v>OXAGON</v>
      </c>
      <c r="L586" s="17">
        <f>VLOOKUP(Main_Presentation[[#This Row],[LC Number]],Main_Issuance[],10,0)</f>
        <v>1020076</v>
      </c>
      <c r="M586" s="17" t="str">
        <f>VLOOKUP(Main_Presentation[[#This Row],[LC Number]],Main_Issuance[],11,0)</f>
        <v>EUR</v>
      </c>
      <c r="N586" s="84">
        <f>VLOOKUP(Main_Presentation[[#This Row],[LC Number]],Main_Issuance[],12,0)</f>
        <v>25798747</v>
      </c>
      <c r="O586" s="16" t="s">
        <v>20</v>
      </c>
      <c r="P586" s="16" t="s">
        <v>857</v>
      </c>
      <c r="Q586" s="131">
        <v>7004807.0499999998</v>
      </c>
      <c r="R586" s="18">
        <v>4.08</v>
      </c>
      <c r="S586" s="18">
        <f>Main_Presentation[[#This Row],[Invoice Amt (FCY)]]*Main_Presentation[[#This Row],[Rate]]</f>
        <v>28579612.763999999</v>
      </c>
      <c r="T586" s="15">
        <v>45445</v>
      </c>
      <c r="U586" s="26" t="str">
        <f>VLOOKUP(Main_Presentation[[#This Row],[LC Number]],Main_Issuance[],18,0)</f>
        <v>45 Days from B/L DATE</v>
      </c>
      <c r="V586" s="19" t="s">
        <v>66</v>
      </c>
      <c r="W586" s="18" t="s">
        <v>857</v>
      </c>
      <c r="X586" s="16"/>
      <c r="Y586" s="234" t="str">
        <f>TRIM(LEFT(Main_Presentation[[#This Row],[Payment Terms]],3))</f>
        <v>45</v>
      </c>
      <c r="Z586" s="16"/>
      <c r="AA586" s="316" cm="1">
        <f t="array" ref="AA586">Settlement(Main_Presentation[[#This Row],[Bank]],Main_Presentation[[#This Row],[ Invoice Amt (SAR)]],Main_Presentation[[#This Row],[Date Recd]],Main_Presentation[[#This Row],[Due Date]],Main_Presentation[[#This Row],[Days]])</f>
        <v>41083.75</v>
      </c>
      <c r="AB586" s="16"/>
    </row>
    <row r="587" spans="1:28" ht="15.75" hidden="1" x14ac:dyDescent="0.25">
      <c r="A587" s="14" t="s">
        <v>61</v>
      </c>
      <c r="B587" s="15">
        <v>45420</v>
      </c>
      <c r="C587" s="26">
        <v>5</v>
      </c>
      <c r="D587" s="55" t="str">
        <f>VLOOKUP(Main_Presentation[[#This Row],[LC Number]],Main_Issuance[],3,0)</f>
        <v>Wissam Arafa</v>
      </c>
      <c r="E587" s="16" t="s">
        <v>856</v>
      </c>
      <c r="F587" s="17" t="str">
        <f>VLOOKUP(Main_Presentation[[#This Row],[LC Number]],Main_Issuance[],5,0)</f>
        <v>Riyad</v>
      </c>
      <c r="G587" s="17" t="str">
        <f>VLOOKUP(Main_Presentation[[#This Row],[LC Number]],Main_Issuance[],6,0)</f>
        <v>Multipurpose</v>
      </c>
      <c r="H587" s="17" t="str">
        <f>VLOOKUP(Main_Presentation[[#This Row],[LC Number]],Main_Issuance[],17,0)</f>
        <v>Credit</v>
      </c>
      <c r="I587" s="17" t="str">
        <f>VLOOKUP(Main_Presentation[[#This Row],[LC Number]],Main_Issuance[],7,0)</f>
        <v>ARCELORMITTAL DSTC FZE</v>
      </c>
      <c r="J587" s="17" t="str">
        <f>VLOOKUP(Main_Presentation[[#This Row],[LC Number]],Main_Issuance[],8,0)</f>
        <v>MBL - (JV)</v>
      </c>
      <c r="K587" s="17" t="str">
        <f>VLOOKUP(Main_Presentation[[#This Row],[LC Number]],Main_Issuance[],9,0)</f>
        <v>OXAGON</v>
      </c>
      <c r="L587" s="17">
        <f>VLOOKUP(Main_Presentation[[#This Row],[LC Number]],Main_Issuance[],10,0)</f>
        <v>1020076</v>
      </c>
      <c r="M587" s="17" t="str">
        <f>VLOOKUP(Main_Presentation[[#This Row],[LC Number]],Main_Issuance[],11,0)</f>
        <v>EUR</v>
      </c>
      <c r="N587" s="84">
        <f>VLOOKUP(Main_Presentation[[#This Row],[LC Number]],Main_Issuance[],12,0)</f>
        <v>25798747</v>
      </c>
      <c r="O587" s="16" t="s">
        <v>20</v>
      </c>
      <c r="P587" s="16" t="s">
        <v>857</v>
      </c>
      <c r="Q587" s="131">
        <v>3598313.41</v>
      </c>
      <c r="R587" s="18">
        <v>4.12</v>
      </c>
      <c r="S587" s="18">
        <f>Main_Presentation[[#This Row],[Invoice Amt (FCY)]]*Main_Presentation[[#This Row],[Rate]]</f>
        <v>14825051.249200001</v>
      </c>
      <c r="T587" s="15">
        <v>45544</v>
      </c>
      <c r="U587" s="26" t="str">
        <f>VLOOKUP(Main_Presentation[[#This Row],[LC Number]],Main_Issuance[],18,0)</f>
        <v>45 Days from B/L DATE</v>
      </c>
      <c r="V587" s="19" t="s">
        <v>66</v>
      </c>
      <c r="W587" s="18" t="s">
        <v>857</v>
      </c>
      <c r="X587" s="16"/>
      <c r="Y587" s="234" t="str">
        <f>TRIM(LEFT(Main_Presentation[[#This Row],[Payment Terms]],3))</f>
        <v>45</v>
      </c>
      <c r="Z587" s="16"/>
      <c r="AA587" s="316" cm="1">
        <f t="array" ref="AA587">Settlement(Main_Presentation[[#This Row],[Bank]],Main_Presentation[[#This Row],[ Invoice Amt (SAR)]],Main_Presentation[[#This Row],[Date Recd]],Main_Presentation[[#This Row],[Due Date]],Main_Presentation[[#This Row],[Days]])</f>
        <v>85243.75</v>
      </c>
      <c r="AB587" s="16"/>
    </row>
    <row r="588" spans="1:28" ht="15.75" hidden="1" x14ac:dyDescent="0.25">
      <c r="A588" s="20" t="s">
        <v>745</v>
      </c>
      <c r="B588" s="15">
        <v>45774</v>
      </c>
      <c r="C588" s="26">
        <v>1</v>
      </c>
      <c r="D588" s="55" t="str">
        <f>VLOOKUP(Main_Presentation[[#This Row],[LC Number]],Main_Issuance[],3,0)</f>
        <v>Kotb - Morganti</v>
      </c>
      <c r="E588" s="16" t="s">
        <v>858</v>
      </c>
      <c r="F588" s="16" t="str">
        <f>VLOOKUP(Main_Presentation[[#This Row],[LC Number]],Main_Issuance[],5,0)</f>
        <v>SAB</v>
      </c>
      <c r="G588" s="16" t="str">
        <f>VLOOKUP(Main_Presentation[[#This Row],[LC Number]],Main_Issuance[],6,0)</f>
        <v>MP1</v>
      </c>
      <c r="H588" s="16" t="str">
        <f>VLOOKUP(Main_Presentation[[#This Row],[LC Number]],Main_Issuance[],17,0)</f>
        <v>Credit</v>
      </c>
      <c r="I588" s="16" t="str">
        <f>VLOOKUP(Main_Presentation[[#This Row],[LC Number]],Main_Issuance[],7,0)</f>
        <v>Al-Fares Advanced Contracting Company</v>
      </c>
      <c r="J588" s="16" t="str">
        <f>VLOOKUP(Main_Presentation[[#This Row],[LC Number]],Main_Issuance[],8,0)</f>
        <v>MBL/Morganti</v>
      </c>
      <c r="K588" s="16" t="str">
        <f>VLOOKUP(Main_Presentation[[#This Row],[LC Number]],Main_Issuance[],9,0)</f>
        <v>ABHA</v>
      </c>
      <c r="L588" s="16">
        <f>VLOOKUP(Main_Presentation[[#This Row],[LC Number]],Main_Issuance[],10,0)</f>
        <v>1020070</v>
      </c>
      <c r="M588" s="16" t="str">
        <f>VLOOKUP(Main_Presentation[[#This Row],[LC Number]],Main_Issuance[],11,0)</f>
        <v>SAR</v>
      </c>
      <c r="N588" s="86">
        <f>VLOOKUP(Main_Presentation[[#This Row],[LC Number]],Main_Issuance[],12,0)</f>
        <v>3262947</v>
      </c>
      <c r="O588" s="16" t="s">
        <v>20</v>
      </c>
      <c r="P588" s="16" t="s">
        <v>857</v>
      </c>
      <c r="Q588" s="131">
        <v>3262947</v>
      </c>
      <c r="R588" s="18">
        <v>1</v>
      </c>
      <c r="S588" s="18">
        <f>Main_Presentation[[#This Row],[Invoice Amt (FCY)]]*Main_Presentation[[#This Row],[Rate]]</f>
        <v>3262947</v>
      </c>
      <c r="T588" s="15">
        <v>45776</v>
      </c>
      <c r="U588" s="26" t="str">
        <f>VLOOKUP(Main_Presentation[[#This Row],[LC Number]],Main_Issuance[],18,0)</f>
        <v>Sight</v>
      </c>
      <c r="V588" s="21" t="s">
        <v>377</v>
      </c>
      <c r="W588" s="22" t="s">
        <v>857</v>
      </c>
      <c r="X588" s="16"/>
      <c r="Y588" s="234" t="str">
        <f>TRIM(LEFT(Main_Presentation[[#This Row],[Payment Terms]],3))</f>
        <v>Sig</v>
      </c>
      <c r="Z588" s="16"/>
      <c r="AA588" s="316" t="e" cm="1">
        <f t="array" ref="AA588">Settlement(Main_Presentation[[#This Row],[Bank]],Main_Presentation[[#This Row],[ Invoice Amt (SAR)]],Main_Presentation[[#This Row],[Date Recd]],Main_Presentation[[#This Row],[Due Date]],Main_Presentation[[#This Row],[Days]])</f>
        <v>#VALUE!</v>
      </c>
      <c r="AB588" s="16"/>
    </row>
    <row r="589" spans="1:28" ht="15.75" hidden="1" x14ac:dyDescent="0.25">
      <c r="A589" s="20" t="s">
        <v>782</v>
      </c>
      <c r="B589" s="15">
        <v>45788</v>
      </c>
      <c r="C589" s="26">
        <v>1</v>
      </c>
      <c r="D589" s="55" t="str">
        <f>VLOOKUP(Main_Presentation[[#This Row],[LC Number]],Main_Issuance[],3,0)</f>
        <v>Kotb - Morganti</v>
      </c>
      <c r="E589" s="16" t="s">
        <v>858</v>
      </c>
      <c r="F589" s="16" t="str">
        <f>VLOOKUP(Main_Presentation[[#This Row],[LC Number]],Main_Issuance[],5,0)</f>
        <v>SAB</v>
      </c>
      <c r="G589" s="16" t="str">
        <f>VLOOKUP(Main_Presentation[[#This Row],[LC Number]],Main_Issuance[],6,0)</f>
        <v>MP1</v>
      </c>
      <c r="H589" s="16" t="str">
        <f>VLOOKUP(Main_Presentation[[#This Row],[LC Number]],Main_Issuance[],17,0)</f>
        <v>Credit</v>
      </c>
      <c r="I589" s="16" t="str">
        <f>VLOOKUP(Main_Presentation[[#This Row],[LC Number]],Main_Issuance[],7,0)</f>
        <v>AMCC CONSTRUCTION</v>
      </c>
      <c r="J589" s="16" t="str">
        <f>VLOOKUP(Main_Presentation[[#This Row],[LC Number]],Main_Issuance[],8,0)</f>
        <v>MBL/Morganti</v>
      </c>
      <c r="K589" s="16" t="str">
        <f>VLOOKUP(Main_Presentation[[#This Row],[LC Number]],Main_Issuance[],9,0)</f>
        <v>ABHA</v>
      </c>
      <c r="L589" s="16">
        <f>VLOOKUP(Main_Presentation[[#This Row],[LC Number]],Main_Issuance[],10,0)</f>
        <v>1020070</v>
      </c>
      <c r="M589" s="16" t="str">
        <f>VLOOKUP(Main_Presentation[[#This Row],[LC Number]],Main_Issuance[],11,0)</f>
        <v>SAR</v>
      </c>
      <c r="N589" s="86">
        <f>VLOOKUP(Main_Presentation[[#This Row],[LC Number]],Main_Issuance[],12,0)</f>
        <v>1926250</v>
      </c>
      <c r="O589" s="16" t="s">
        <v>20</v>
      </c>
      <c r="P589" s="16" t="s">
        <v>857</v>
      </c>
      <c r="Q589" s="131">
        <v>1926250</v>
      </c>
      <c r="R589" s="18">
        <v>1</v>
      </c>
      <c r="S589" s="18">
        <f>Main_Presentation[[#This Row],[Invoice Amt (FCY)]]*Main_Presentation[[#This Row],[Rate]]</f>
        <v>1926250</v>
      </c>
      <c r="T589" s="15">
        <v>45875</v>
      </c>
      <c r="U589" s="26" t="str">
        <f>VLOOKUP(Main_Presentation[[#This Row],[LC Number]],Main_Issuance[],18,0)</f>
        <v>120 Days from Invoice Date</v>
      </c>
      <c r="V589" s="21" t="s">
        <v>710</v>
      </c>
      <c r="W589" s="22" t="s">
        <v>378</v>
      </c>
      <c r="X589" s="16"/>
      <c r="Y589" s="234" t="str">
        <f>TRIM(LEFT(Main_Presentation[[#This Row],[Payment Terms]],3))</f>
        <v>120</v>
      </c>
      <c r="Z589" s="16"/>
      <c r="AA589" s="316" cm="1">
        <f t="array" ref="AA589">Settlement(Main_Presentation[[#This Row],[Bank]],Main_Presentation[[#This Row],[ Invoice Amt (SAR)]],Main_Presentation[[#This Row],[Date Recd]],Main_Presentation[[#This Row],[Due Date]],Main_Presentation[[#This Row],[Days]])</f>
        <v>8306.4500000000007</v>
      </c>
      <c r="AB589" s="16"/>
    </row>
    <row r="590" spans="1:28" ht="15.75" hidden="1" x14ac:dyDescent="0.25">
      <c r="A590" s="20" t="s">
        <v>788</v>
      </c>
      <c r="B590" s="15">
        <v>45778</v>
      </c>
      <c r="C590" s="26">
        <v>1</v>
      </c>
      <c r="D590" s="55" t="str">
        <f>VLOOKUP(Main_Presentation[[#This Row],[LC Number]],Main_Issuance[],3,0)</f>
        <v>Kotb - Morganti</v>
      </c>
      <c r="E590" s="16" t="s">
        <v>858</v>
      </c>
      <c r="F590" s="16" t="str">
        <f>VLOOKUP(Main_Presentation[[#This Row],[LC Number]],Main_Issuance[],5,0)</f>
        <v>SAB</v>
      </c>
      <c r="G590" s="16" t="str">
        <f>VLOOKUP(Main_Presentation[[#This Row],[LC Number]],Main_Issuance[],6,0)</f>
        <v>MP1</v>
      </c>
      <c r="H590" s="16" t="str">
        <f>VLOOKUP(Main_Presentation[[#This Row],[LC Number]],Main_Issuance[],17,0)</f>
        <v>Credit</v>
      </c>
      <c r="I590" s="16" t="str">
        <f>VLOOKUP(Main_Presentation[[#This Row],[LC Number]],Main_Issuance[],7,0)</f>
        <v>ADIRONDACK ARCHITECTURAL MODELS INDUSTRY L.L.C</v>
      </c>
      <c r="J590" s="16" t="str">
        <f>VLOOKUP(Main_Presentation[[#This Row],[LC Number]],Main_Issuance[],8,0)</f>
        <v>MBL/Morganti</v>
      </c>
      <c r="K590" s="16" t="str">
        <f>VLOOKUP(Main_Presentation[[#This Row],[LC Number]],Main_Issuance[],9,0)</f>
        <v>ABHA</v>
      </c>
      <c r="L590" s="16">
        <f>VLOOKUP(Main_Presentation[[#This Row],[LC Number]],Main_Issuance[],10,0)</f>
        <v>1020070</v>
      </c>
      <c r="M590" s="16" t="str">
        <f>VLOOKUP(Main_Presentation[[#This Row],[LC Number]],Main_Issuance[],11,0)</f>
        <v>SAR</v>
      </c>
      <c r="N590" s="86">
        <f>VLOOKUP(Main_Presentation[[#This Row],[LC Number]],Main_Issuance[],12,0)</f>
        <v>4000000</v>
      </c>
      <c r="O590" s="16" t="s">
        <v>20</v>
      </c>
      <c r="P590" s="16" t="s">
        <v>857</v>
      </c>
      <c r="Q590" s="131">
        <v>4000000</v>
      </c>
      <c r="R590" s="18">
        <v>1</v>
      </c>
      <c r="S590" s="18">
        <f>Main_Presentation[[#This Row],[Invoice Amt (FCY)]]*Main_Presentation[[#This Row],[Rate]]</f>
        <v>4000000</v>
      </c>
      <c r="T590" s="15">
        <v>45783</v>
      </c>
      <c r="U590" s="26" t="str">
        <f>VLOOKUP(Main_Presentation[[#This Row],[LC Number]],Main_Issuance[],18,0)</f>
        <v>Sight</v>
      </c>
      <c r="V590" s="21" t="s">
        <v>377</v>
      </c>
      <c r="W590" s="22" t="s">
        <v>857</v>
      </c>
      <c r="X590" s="16"/>
      <c r="Y590" s="234" t="str">
        <f>TRIM(LEFT(Main_Presentation[[#This Row],[Payment Terms]],3))</f>
        <v>Sig</v>
      </c>
      <c r="Z590" s="16"/>
      <c r="AA590" s="316" t="e" cm="1">
        <f t="array" ref="AA590">Settlement(Main_Presentation[[#This Row],[Bank]],Main_Presentation[[#This Row],[ Invoice Amt (SAR)]],Main_Presentation[[#This Row],[Date Recd]],Main_Presentation[[#This Row],[Due Date]],Main_Presentation[[#This Row],[Days]])</f>
        <v>#VALUE!</v>
      </c>
      <c r="AB590" s="16"/>
    </row>
    <row r="591" spans="1:28" ht="15.75" hidden="1" x14ac:dyDescent="0.25">
      <c r="A591" s="20" t="s">
        <v>743</v>
      </c>
      <c r="B591" s="15">
        <v>45778</v>
      </c>
      <c r="C591" s="26">
        <v>1</v>
      </c>
      <c r="D591" s="55" t="str">
        <f>VLOOKUP(Main_Presentation[[#This Row],[LC Number]],Main_Issuance[],3,0)</f>
        <v>Kotb - Morganti</v>
      </c>
      <c r="E591" s="16" t="s">
        <v>858</v>
      </c>
      <c r="F591" s="16" t="str">
        <f>VLOOKUP(Main_Presentation[[#This Row],[LC Number]],Main_Issuance[],5,0)</f>
        <v>SAB</v>
      </c>
      <c r="G591" s="16" t="str">
        <f>VLOOKUP(Main_Presentation[[#This Row],[LC Number]],Main_Issuance[],6,0)</f>
        <v>MP1</v>
      </c>
      <c r="H591" s="16" t="str">
        <f>VLOOKUP(Main_Presentation[[#This Row],[LC Number]],Main_Issuance[],17,0)</f>
        <v>Credit</v>
      </c>
      <c r="I591" s="16" t="str">
        <f>VLOOKUP(Main_Presentation[[#This Row],[LC Number]],Main_Issuance[],7,0)</f>
        <v>FUTURE ACE CONTRACTING COMPANY</v>
      </c>
      <c r="J591" s="16" t="str">
        <f>VLOOKUP(Main_Presentation[[#This Row],[LC Number]],Main_Issuance[],8,0)</f>
        <v>MBL/Morganti</v>
      </c>
      <c r="K591" s="16" t="str">
        <f>VLOOKUP(Main_Presentation[[#This Row],[LC Number]],Main_Issuance[],9,0)</f>
        <v>ABHA</v>
      </c>
      <c r="L591" s="16">
        <f>VLOOKUP(Main_Presentation[[#This Row],[LC Number]],Main_Issuance[],10,0)</f>
        <v>1020070</v>
      </c>
      <c r="M591" s="16" t="str">
        <f>VLOOKUP(Main_Presentation[[#This Row],[LC Number]],Main_Issuance[],11,0)</f>
        <v>SAR</v>
      </c>
      <c r="N591" s="86">
        <f>VLOOKUP(Main_Presentation[[#This Row],[LC Number]],Main_Issuance[],12,0)</f>
        <v>1500000</v>
      </c>
      <c r="O591" s="16" t="s">
        <v>20</v>
      </c>
      <c r="P591" s="16" t="s">
        <v>857</v>
      </c>
      <c r="Q591" s="131">
        <v>1500000</v>
      </c>
      <c r="R591" s="18">
        <v>1</v>
      </c>
      <c r="S591" s="18">
        <f>Main_Presentation[[#This Row],[Invoice Amt (FCY)]]*Main_Presentation[[#This Row],[Rate]]</f>
        <v>1500000</v>
      </c>
      <c r="T591" s="15">
        <v>45782</v>
      </c>
      <c r="U591" s="26" t="str">
        <f>VLOOKUP(Main_Presentation[[#This Row],[LC Number]],Main_Issuance[],18,0)</f>
        <v>Sight</v>
      </c>
      <c r="V591" s="21" t="s">
        <v>377</v>
      </c>
      <c r="W591" s="22" t="s">
        <v>857</v>
      </c>
      <c r="X591" s="16"/>
      <c r="Y591" s="234" t="str">
        <f>TRIM(LEFT(Main_Presentation[[#This Row],[Payment Terms]],3))</f>
        <v>Sig</v>
      </c>
      <c r="Z591" s="16"/>
      <c r="AA591" s="316" t="e" cm="1">
        <f t="array" ref="AA591">Settlement(Main_Presentation[[#This Row],[Bank]],Main_Presentation[[#This Row],[ Invoice Amt (SAR)]],Main_Presentation[[#This Row],[Date Recd]],Main_Presentation[[#This Row],[Due Date]],Main_Presentation[[#This Row],[Days]])</f>
        <v>#VALUE!</v>
      </c>
      <c r="AB591" s="16"/>
    </row>
    <row r="592" spans="1:28" ht="15.75" hidden="1" x14ac:dyDescent="0.25">
      <c r="A592" s="20" t="s">
        <v>749</v>
      </c>
      <c r="B592" s="15">
        <v>45774</v>
      </c>
      <c r="C592" s="26">
        <v>1</v>
      </c>
      <c r="D592" s="55" t="str">
        <f>VLOOKUP(Main_Presentation[[#This Row],[LC Number]],Main_Issuance[],3,0)</f>
        <v>Kotb - Morganti</v>
      </c>
      <c r="E592" s="16" t="s">
        <v>856</v>
      </c>
      <c r="F592" s="16" t="str">
        <f>VLOOKUP(Main_Presentation[[#This Row],[LC Number]],Main_Issuance[],5,0)</f>
        <v>SAB</v>
      </c>
      <c r="G592" s="16" t="str">
        <f>VLOOKUP(Main_Presentation[[#This Row],[LC Number]],Main_Issuance[],6,0)</f>
        <v>MP1</v>
      </c>
      <c r="H592" s="16" t="str">
        <f>VLOOKUP(Main_Presentation[[#This Row],[LC Number]],Main_Issuance[],17,0)</f>
        <v>Credit</v>
      </c>
      <c r="I592" s="16" t="str">
        <f>VLOOKUP(Main_Presentation[[#This Row],[LC Number]],Main_Issuance[],7,0)</f>
        <v>Isam Kabbani &amp; Partners</v>
      </c>
      <c r="J592" s="16" t="str">
        <f>VLOOKUP(Main_Presentation[[#This Row],[LC Number]],Main_Issuance[],8,0)</f>
        <v>MBL/Morganti</v>
      </c>
      <c r="K592" s="16" t="str">
        <f>VLOOKUP(Main_Presentation[[#This Row],[LC Number]],Main_Issuance[],9,0)</f>
        <v>ABHA</v>
      </c>
      <c r="L592" s="16">
        <f>VLOOKUP(Main_Presentation[[#This Row],[LC Number]],Main_Issuance[],10,0)</f>
        <v>1020070</v>
      </c>
      <c r="M592" s="16" t="str">
        <f>VLOOKUP(Main_Presentation[[#This Row],[LC Number]],Main_Issuance[],11,0)</f>
        <v>SAR</v>
      </c>
      <c r="N592" s="86">
        <f>VLOOKUP(Main_Presentation[[#This Row],[LC Number]],Main_Issuance[],12,0)</f>
        <v>1000000</v>
      </c>
      <c r="O592" s="16" t="s">
        <v>20</v>
      </c>
      <c r="P592" s="16" t="s">
        <v>857</v>
      </c>
      <c r="Q592" s="131">
        <v>1000000</v>
      </c>
      <c r="R592" s="18">
        <v>1</v>
      </c>
      <c r="S592" s="18">
        <f>Main_Presentation[[#This Row],[Invoice Amt (FCY)]]*Main_Presentation[[#This Row],[Rate]]</f>
        <v>1000000</v>
      </c>
      <c r="T592" s="15">
        <v>45776</v>
      </c>
      <c r="U592" s="26" t="str">
        <f>VLOOKUP(Main_Presentation[[#This Row],[LC Number]],Main_Issuance[],18,0)</f>
        <v>Sight</v>
      </c>
      <c r="V592" s="21" t="s">
        <v>377</v>
      </c>
      <c r="W592" s="22" t="s">
        <v>857</v>
      </c>
      <c r="X592" s="16"/>
      <c r="Y592" s="234" t="str">
        <f>TRIM(LEFT(Main_Presentation[[#This Row],[Payment Terms]],3))</f>
        <v>Sig</v>
      </c>
      <c r="Z592" s="16"/>
      <c r="AA592" s="316" t="e" cm="1">
        <f t="array" ref="AA592">Settlement(Main_Presentation[[#This Row],[Bank]],Main_Presentation[[#This Row],[ Invoice Amt (SAR)]],Main_Presentation[[#This Row],[Date Recd]],Main_Presentation[[#This Row],[Due Date]],Main_Presentation[[#This Row],[Days]])</f>
        <v>#VALUE!</v>
      </c>
      <c r="AB592" s="16"/>
    </row>
    <row r="593" spans="1:28" ht="15.75" hidden="1" x14ac:dyDescent="0.25">
      <c r="A593" s="20" t="s">
        <v>786</v>
      </c>
      <c r="B593" s="15">
        <v>45776</v>
      </c>
      <c r="C593" s="26">
        <v>1</v>
      </c>
      <c r="D593" s="55" t="str">
        <f>VLOOKUP(Main_Presentation[[#This Row],[LC Number]],Main_Issuance[],3,0)</f>
        <v>Kotb - Morganti</v>
      </c>
      <c r="E593" s="16" t="s">
        <v>858</v>
      </c>
      <c r="F593" s="16" t="str">
        <f>VLOOKUP(Main_Presentation[[#This Row],[LC Number]],Main_Issuance[],5,0)</f>
        <v>SAB</v>
      </c>
      <c r="G593" s="16" t="str">
        <f>VLOOKUP(Main_Presentation[[#This Row],[LC Number]],Main_Issuance[],6,0)</f>
        <v>MP1</v>
      </c>
      <c r="H593" s="16" t="str">
        <f>VLOOKUP(Main_Presentation[[#This Row],[LC Number]],Main_Issuance[],17,0)</f>
        <v>Credit</v>
      </c>
      <c r="I593" s="16" t="str">
        <f>VLOOKUP(Main_Presentation[[#This Row],[LC Number]],Main_Issuance[],7,0)</f>
        <v>Light Box Trading Company</v>
      </c>
      <c r="J593" s="16" t="str">
        <f>VLOOKUP(Main_Presentation[[#This Row],[LC Number]],Main_Issuance[],8,0)</f>
        <v>MBL/Morganti</v>
      </c>
      <c r="K593" s="16" t="str">
        <f>VLOOKUP(Main_Presentation[[#This Row],[LC Number]],Main_Issuance[],9,0)</f>
        <v>ABHA</v>
      </c>
      <c r="L593" s="16">
        <f>VLOOKUP(Main_Presentation[[#This Row],[LC Number]],Main_Issuance[],10,0)</f>
        <v>1020070</v>
      </c>
      <c r="M593" s="16" t="str">
        <f>VLOOKUP(Main_Presentation[[#This Row],[LC Number]],Main_Issuance[],11,0)</f>
        <v>SAR</v>
      </c>
      <c r="N593" s="86">
        <f>VLOOKUP(Main_Presentation[[#This Row],[LC Number]],Main_Issuance[],12,0)</f>
        <v>1200000</v>
      </c>
      <c r="O593" s="16" t="s">
        <v>20</v>
      </c>
      <c r="P593" s="16" t="s">
        <v>857</v>
      </c>
      <c r="Q593" s="131">
        <v>1200000</v>
      </c>
      <c r="R593" s="18">
        <v>1</v>
      </c>
      <c r="S593" s="18">
        <f>Main_Presentation[[#This Row],[Invoice Amt (FCY)]]*Main_Presentation[[#This Row],[Rate]]</f>
        <v>1200000</v>
      </c>
      <c r="T593" s="15">
        <v>45777</v>
      </c>
      <c r="U593" s="26" t="str">
        <f>VLOOKUP(Main_Presentation[[#This Row],[LC Number]],Main_Issuance[],18,0)</f>
        <v>Sight</v>
      </c>
      <c r="V593" s="21" t="s">
        <v>377</v>
      </c>
      <c r="W593" s="22" t="s">
        <v>857</v>
      </c>
      <c r="X593" s="16"/>
      <c r="Y593" s="234" t="str">
        <f>TRIM(LEFT(Main_Presentation[[#This Row],[Payment Terms]],3))</f>
        <v>Sig</v>
      </c>
      <c r="Z593" s="16"/>
      <c r="AA593" s="316" t="e" cm="1">
        <f t="array" ref="AA593">Settlement(Main_Presentation[[#This Row],[Bank]],Main_Presentation[[#This Row],[ Invoice Amt (SAR)]],Main_Presentation[[#This Row],[Date Recd]],Main_Presentation[[#This Row],[Due Date]],Main_Presentation[[#This Row],[Days]])</f>
        <v>#VALUE!</v>
      </c>
      <c r="AB593" s="16"/>
    </row>
    <row r="594" spans="1:28" ht="15.75" hidden="1" x14ac:dyDescent="0.25">
      <c r="A594" s="14" t="s">
        <v>365</v>
      </c>
      <c r="B594" s="15">
        <v>45545</v>
      </c>
      <c r="C594" s="26">
        <v>3</v>
      </c>
      <c r="D594" s="55" t="str">
        <f>VLOOKUP(Main_Presentation[[#This Row],[LC Number]],Main_Issuance[],3,0)</f>
        <v>Tareeq Telmasani</v>
      </c>
      <c r="E594" s="16" t="s">
        <v>858</v>
      </c>
      <c r="F594" s="17" t="str">
        <f>VLOOKUP(Main_Presentation[[#This Row],[LC Number]],Main_Issuance[],5,0)</f>
        <v>SAB</v>
      </c>
      <c r="G594" s="17" t="str">
        <f>VLOOKUP(Main_Presentation[[#This Row],[LC Number]],Main_Issuance[],6,0)</f>
        <v>CEER</v>
      </c>
      <c r="H594" s="17" t="str">
        <f>VLOOKUP(Main_Presentation[[#This Row],[LC Number]],Main_Issuance[],17,0)</f>
        <v>Credit</v>
      </c>
      <c r="I594" s="17" t="str">
        <f>VLOOKUP(Main_Presentation[[#This Row],[LC Number]],Main_Issuance[],7,0)</f>
        <v>METALLURGICAL CORP OF CHINA (MCC)</v>
      </c>
      <c r="J594" s="17" t="str">
        <f>VLOOKUP(Main_Presentation[[#This Row],[LC Number]],Main_Issuance[],8,0)</f>
        <v>MBL</v>
      </c>
      <c r="K594" s="17" t="str">
        <f>VLOOKUP(Main_Presentation[[#This Row],[LC Number]],Main_Issuance[],9,0)</f>
        <v>CEER</v>
      </c>
      <c r="L594" s="17">
        <f>VLOOKUP(Main_Presentation[[#This Row],[LC Number]],Main_Issuance[],10,0)</f>
        <v>1020091</v>
      </c>
      <c r="M594" s="17" t="str">
        <f>VLOOKUP(Main_Presentation[[#This Row],[LC Number]],Main_Issuance[],11,0)</f>
        <v>SAR</v>
      </c>
      <c r="N594" s="84">
        <f>VLOOKUP(Main_Presentation[[#This Row],[LC Number]],Main_Issuance[],12,0)</f>
        <v>583175399</v>
      </c>
      <c r="O594" s="16" t="s">
        <v>20</v>
      </c>
      <c r="P594" s="16" t="s">
        <v>857</v>
      </c>
      <c r="Q594" s="131">
        <v>128132749.79000001</v>
      </c>
      <c r="R594" s="18">
        <v>1</v>
      </c>
      <c r="S594" s="18">
        <f>Main_Presentation[[#This Row],[Invoice Amt (FCY)]]*Main_Presentation[[#This Row],[Rate]]</f>
        <v>128132749.79000001</v>
      </c>
      <c r="T594" s="15">
        <v>45550</v>
      </c>
      <c r="U594" s="26" t="str">
        <f>VLOOKUP(Main_Presentation[[#This Row],[LC Number]],Main_Issuance[],18,0)</f>
        <v>14 Days after Sight</v>
      </c>
      <c r="V594" s="19" t="s">
        <v>367</v>
      </c>
      <c r="W594" s="22" t="s">
        <v>857</v>
      </c>
      <c r="X594" s="16"/>
      <c r="Y594" s="234" t="str">
        <f>TRIM(LEFT(Main_Presentation[[#This Row],[Payment Terms]],3))</f>
        <v>14</v>
      </c>
      <c r="Z594" s="16"/>
      <c r="AA594" s="316" cm="1">
        <f t="array" ref="AA594">Settlement(Main_Presentation[[#This Row],[Bank]],Main_Presentation[[#This Row],[ Invoice Amt (SAR)]],Main_Presentation[[#This Row],[Date Recd]],Main_Presentation[[#This Row],[Due Date]],Main_Presentation[[#This Row],[Days]])</f>
        <v>552572.69999999995</v>
      </c>
      <c r="AB594" s="16"/>
    </row>
    <row r="595" spans="1:28" ht="15.75" hidden="1" x14ac:dyDescent="0.25">
      <c r="A595" s="14" t="s">
        <v>365</v>
      </c>
      <c r="B595" s="15">
        <v>45587</v>
      </c>
      <c r="C595" s="26">
        <v>4</v>
      </c>
      <c r="D595" s="55" t="str">
        <f>VLOOKUP(Main_Presentation[[#This Row],[LC Number]],Main_Issuance[],3,0)</f>
        <v>Tareeq Telmasani</v>
      </c>
      <c r="E595" s="16" t="s">
        <v>858</v>
      </c>
      <c r="F595" s="17" t="str">
        <f>VLOOKUP(Main_Presentation[[#This Row],[LC Number]],Main_Issuance[],5,0)</f>
        <v>SAB</v>
      </c>
      <c r="G595" s="17" t="str">
        <f>VLOOKUP(Main_Presentation[[#This Row],[LC Number]],Main_Issuance[],6,0)</f>
        <v>CEER</v>
      </c>
      <c r="H595" s="17" t="str">
        <f>VLOOKUP(Main_Presentation[[#This Row],[LC Number]],Main_Issuance[],17,0)</f>
        <v>Credit</v>
      </c>
      <c r="I595" s="17" t="str">
        <f>VLOOKUP(Main_Presentation[[#This Row],[LC Number]],Main_Issuance[],7,0)</f>
        <v>METALLURGICAL CORP OF CHINA (MCC)</v>
      </c>
      <c r="J595" s="17" t="str">
        <f>VLOOKUP(Main_Presentation[[#This Row],[LC Number]],Main_Issuance[],8,0)</f>
        <v>MBL</v>
      </c>
      <c r="K595" s="17" t="str">
        <f>VLOOKUP(Main_Presentation[[#This Row],[LC Number]],Main_Issuance[],9,0)</f>
        <v>CEER</v>
      </c>
      <c r="L595" s="17">
        <f>VLOOKUP(Main_Presentation[[#This Row],[LC Number]],Main_Issuance[],10,0)</f>
        <v>1020091</v>
      </c>
      <c r="M595" s="17" t="str">
        <f>VLOOKUP(Main_Presentation[[#This Row],[LC Number]],Main_Issuance[],11,0)</f>
        <v>SAR</v>
      </c>
      <c r="N595" s="84">
        <f>VLOOKUP(Main_Presentation[[#This Row],[LC Number]],Main_Issuance[],12,0)</f>
        <v>583175399</v>
      </c>
      <c r="O595" s="16" t="s">
        <v>20</v>
      </c>
      <c r="P595" s="16" t="s">
        <v>857</v>
      </c>
      <c r="Q595" s="131">
        <v>47140393.880000003</v>
      </c>
      <c r="R595" s="18">
        <v>1</v>
      </c>
      <c r="S595" s="18">
        <f>Main_Presentation[[#This Row],[Invoice Amt (FCY)]]*Main_Presentation[[#This Row],[Rate]]</f>
        <v>47140393.880000003</v>
      </c>
      <c r="T595" s="15">
        <v>45596</v>
      </c>
      <c r="U595" s="26" t="str">
        <f>VLOOKUP(Main_Presentation[[#This Row],[LC Number]],Main_Issuance[],18,0)</f>
        <v>14 Days after Sight</v>
      </c>
      <c r="V595" s="19" t="s">
        <v>367</v>
      </c>
      <c r="W595" s="22" t="s">
        <v>857</v>
      </c>
      <c r="X595" s="16" t="s">
        <v>872</v>
      </c>
      <c r="Y595" s="234" t="str">
        <f>TRIM(LEFT(Main_Presentation[[#This Row],[Payment Terms]],3))</f>
        <v>14</v>
      </c>
      <c r="Z595" s="16"/>
      <c r="AA595" s="316" cm="1">
        <f t="array" ref="AA595">Settlement(Main_Presentation[[#This Row],[Bank]],Main_Presentation[[#This Row],[ Invoice Amt (SAR)]],Main_Presentation[[#This Row],[Date Recd]],Main_Presentation[[#This Row],[Due Date]],Main_Presentation[[#This Row],[Days]])</f>
        <v>203292.4</v>
      </c>
      <c r="AB595" s="16"/>
    </row>
    <row r="596" spans="1:28" ht="15.75" hidden="1" x14ac:dyDescent="0.25">
      <c r="A596" s="14" t="s">
        <v>365</v>
      </c>
      <c r="B596" s="15">
        <v>45587</v>
      </c>
      <c r="C596" s="26">
        <v>5</v>
      </c>
      <c r="D596" s="55" t="str">
        <f>VLOOKUP(Main_Presentation[[#This Row],[LC Number]],Main_Issuance[],3,0)</f>
        <v>Tareeq Telmasani</v>
      </c>
      <c r="E596" s="16" t="s">
        <v>858</v>
      </c>
      <c r="F596" s="17" t="str">
        <f>VLOOKUP(Main_Presentation[[#This Row],[LC Number]],Main_Issuance[],5,0)</f>
        <v>SAB</v>
      </c>
      <c r="G596" s="17" t="str">
        <f>VLOOKUP(Main_Presentation[[#This Row],[LC Number]],Main_Issuance[],6,0)</f>
        <v>CEER</v>
      </c>
      <c r="H596" s="17" t="str">
        <f>VLOOKUP(Main_Presentation[[#This Row],[LC Number]],Main_Issuance[],17,0)</f>
        <v>Credit</v>
      </c>
      <c r="I596" s="17" t="str">
        <f>VLOOKUP(Main_Presentation[[#This Row],[LC Number]],Main_Issuance[],7,0)</f>
        <v>METALLURGICAL CORP OF CHINA (MCC)</v>
      </c>
      <c r="J596" s="17" t="str">
        <f>VLOOKUP(Main_Presentation[[#This Row],[LC Number]],Main_Issuance[],8,0)</f>
        <v>MBL</v>
      </c>
      <c r="K596" s="17" t="str">
        <f>VLOOKUP(Main_Presentation[[#This Row],[LC Number]],Main_Issuance[],9,0)</f>
        <v>CEER</v>
      </c>
      <c r="L596" s="17">
        <f>VLOOKUP(Main_Presentation[[#This Row],[LC Number]],Main_Issuance[],10,0)</f>
        <v>1020091</v>
      </c>
      <c r="M596" s="17" t="str">
        <f>VLOOKUP(Main_Presentation[[#This Row],[LC Number]],Main_Issuance[],11,0)</f>
        <v>SAR</v>
      </c>
      <c r="N596" s="84">
        <f>VLOOKUP(Main_Presentation[[#This Row],[LC Number]],Main_Issuance[],12,0)</f>
        <v>583175399</v>
      </c>
      <c r="O596" s="16" t="s">
        <v>20</v>
      </c>
      <c r="P596" s="16" t="s">
        <v>857</v>
      </c>
      <c r="Q596" s="131">
        <v>39589744.090000004</v>
      </c>
      <c r="R596" s="18">
        <v>1</v>
      </c>
      <c r="S596" s="18">
        <f>Main_Presentation[[#This Row],[Invoice Amt (FCY)]]*Main_Presentation[[#This Row],[Rate]]</f>
        <v>39589744.090000004</v>
      </c>
      <c r="T596" s="15">
        <v>45596</v>
      </c>
      <c r="U596" s="26" t="str">
        <f>VLOOKUP(Main_Presentation[[#This Row],[LC Number]],Main_Issuance[],18,0)</f>
        <v>14 Days after Sight</v>
      </c>
      <c r="V596" s="19" t="s">
        <v>367</v>
      </c>
      <c r="W596" s="22" t="s">
        <v>857</v>
      </c>
      <c r="X596" s="16" t="s">
        <v>872</v>
      </c>
      <c r="Y596" s="234" t="str">
        <f>TRIM(LEFT(Main_Presentation[[#This Row],[Payment Terms]],3))</f>
        <v>14</v>
      </c>
      <c r="Z596" s="16"/>
      <c r="AA596" s="316" cm="1">
        <f t="array" ref="AA596">Settlement(Main_Presentation[[#This Row],[Bank]],Main_Presentation[[#This Row],[ Invoice Amt (SAR)]],Main_Presentation[[#This Row],[Date Recd]],Main_Presentation[[#This Row],[Due Date]],Main_Presentation[[#This Row],[Days]])</f>
        <v>170731.3</v>
      </c>
      <c r="AB596" s="16"/>
    </row>
    <row r="597" spans="1:28" ht="15.75" hidden="1" x14ac:dyDescent="0.25">
      <c r="A597" s="14" t="s">
        <v>365</v>
      </c>
      <c r="B597" s="15">
        <v>45630</v>
      </c>
      <c r="C597" s="26">
        <v>6</v>
      </c>
      <c r="D597" s="55" t="str">
        <f>VLOOKUP(Main_Presentation[[#This Row],[LC Number]],Main_Issuance[],3,0)</f>
        <v>Tareeq Telmasani</v>
      </c>
      <c r="E597" s="16" t="s">
        <v>856</v>
      </c>
      <c r="F597" s="17" t="str">
        <f>VLOOKUP(Main_Presentation[[#This Row],[LC Number]],Main_Issuance[],5,0)</f>
        <v>SAB</v>
      </c>
      <c r="G597" s="17" t="str">
        <f>VLOOKUP(Main_Presentation[[#This Row],[LC Number]],Main_Issuance[],6,0)</f>
        <v>CEER</v>
      </c>
      <c r="H597" s="17" t="str">
        <f>VLOOKUP(Main_Presentation[[#This Row],[LC Number]],Main_Issuance[],17,0)</f>
        <v>Credit</v>
      </c>
      <c r="I597" s="17" t="str">
        <f>VLOOKUP(Main_Presentation[[#This Row],[LC Number]],Main_Issuance[],7,0)</f>
        <v>METALLURGICAL CORP OF CHINA (MCC)</v>
      </c>
      <c r="J597" s="17" t="str">
        <f>VLOOKUP(Main_Presentation[[#This Row],[LC Number]],Main_Issuance[],8,0)</f>
        <v>MBL</v>
      </c>
      <c r="K597" s="17" t="str">
        <f>VLOOKUP(Main_Presentation[[#This Row],[LC Number]],Main_Issuance[],9,0)</f>
        <v>CEER</v>
      </c>
      <c r="L597" s="17">
        <f>VLOOKUP(Main_Presentation[[#This Row],[LC Number]],Main_Issuance[],10,0)</f>
        <v>1020091</v>
      </c>
      <c r="M597" s="17" t="str">
        <f>VLOOKUP(Main_Presentation[[#This Row],[LC Number]],Main_Issuance[],11,0)</f>
        <v>SAR</v>
      </c>
      <c r="N597" s="84">
        <f>VLOOKUP(Main_Presentation[[#This Row],[LC Number]],Main_Issuance[],12,0)</f>
        <v>583175399</v>
      </c>
      <c r="O597" s="16" t="s">
        <v>20</v>
      </c>
      <c r="P597" s="16" t="s">
        <v>857</v>
      </c>
      <c r="Q597" s="131">
        <v>21927843.989999998</v>
      </c>
      <c r="R597" s="18">
        <v>1</v>
      </c>
      <c r="S597" s="18">
        <f>Main_Presentation[[#This Row],[Invoice Amt (FCY)]]*Main_Presentation[[#This Row],[Rate]]</f>
        <v>21927843.989999998</v>
      </c>
      <c r="T597" s="15">
        <v>45631</v>
      </c>
      <c r="U597" s="26" t="str">
        <f>VLOOKUP(Main_Presentation[[#This Row],[LC Number]],Main_Issuance[],18,0)</f>
        <v>14 Days after Sight</v>
      </c>
      <c r="V597" s="19" t="s">
        <v>367</v>
      </c>
      <c r="W597" s="22" t="s">
        <v>857</v>
      </c>
      <c r="X597" s="16"/>
      <c r="Y597" s="234" t="str">
        <f>TRIM(LEFT(Main_Presentation[[#This Row],[Payment Terms]],3))</f>
        <v>14</v>
      </c>
      <c r="Z597" s="16"/>
      <c r="AA597" s="316" cm="1">
        <f t="array" ref="AA597">Settlement(Main_Presentation[[#This Row],[Bank]],Main_Presentation[[#This Row],[ Invoice Amt (SAR)]],Main_Presentation[[#This Row],[Date Recd]],Main_Presentation[[#This Row],[Due Date]],Main_Presentation[[#This Row],[Days]])</f>
        <v>94563.35</v>
      </c>
      <c r="AB597" s="16"/>
    </row>
    <row r="598" spans="1:28" ht="15.75" hidden="1" x14ac:dyDescent="0.25">
      <c r="A598" s="14" t="s">
        <v>365</v>
      </c>
      <c r="B598" s="15">
        <v>45630</v>
      </c>
      <c r="C598" s="26">
        <v>7</v>
      </c>
      <c r="D598" s="55" t="str">
        <f>VLOOKUP(Main_Presentation[[#This Row],[LC Number]],Main_Issuance[],3,0)</f>
        <v>Tareeq Telmasani</v>
      </c>
      <c r="E598" s="16" t="s">
        <v>856</v>
      </c>
      <c r="F598" s="17" t="str">
        <f>VLOOKUP(Main_Presentation[[#This Row],[LC Number]],Main_Issuance[],5,0)</f>
        <v>SAB</v>
      </c>
      <c r="G598" s="17" t="str">
        <f>VLOOKUP(Main_Presentation[[#This Row],[LC Number]],Main_Issuance[],6,0)</f>
        <v>CEER</v>
      </c>
      <c r="H598" s="17" t="str">
        <f>VLOOKUP(Main_Presentation[[#This Row],[LC Number]],Main_Issuance[],17,0)</f>
        <v>Credit</v>
      </c>
      <c r="I598" s="17" t="str">
        <f>VLOOKUP(Main_Presentation[[#This Row],[LC Number]],Main_Issuance[],7,0)</f>
        <v>METALLURGICAL CORP OF CHINA (MCC)</v>
      </c>
      <c r="J598" s="17" t="str">
        <f>VLOOKUP(Main_Presentation[[#This Row],[LC Number]],Main_Issuance[],8,0)</f>
        <v>MBL</v>
      </c>
      <c r="K598" s="17" t="str">
        <f>VLOOKUP(Main_Presentation[[#This Row],[LC Number]],Main_Issuance[],9,0)</f>
        <v>CEER</v>
      </c>
      <c r="L598" s="17">
        <f>VLOOKUP(Main_Presentation[[#This Row],[LC Number]],Main_Issuance[],10,0)</f>
        <v>1020091</v>
      </c>
      <c r="M598" s="17" t="str">
        <f>VLOOKUP(Main_Presentation[[#This Row],[LC Number]],Main_Issuance[],11,0)</f>
        <v>SAR</v>
      </c>
      <c r="N598" s="84">
        <f>VLOOKUP(Main_Presentation[[#This Row],[LC Number]],Main_Issuance[],12,0)</f>
        <v>583175399</v>
      </c>
      <c r="O598" s="16" t="s">
        <v>20</v>
      </c>
      <c r="P598" s="16" t="s">
        <v>857</v>
      </c>
      <c r="Q598" s="131">
        <v>38801107.390000001</v>
      </c>
      <c r="R598" s="18">
        <v>1</v>
      </c>
      <c r="S598" s="18">
        <f>Main_Presentation[[#This Row],[Invoice Amt (FCY)]]*Main_Presentation[[#This Row],[Rate]]</f>
        <v>38801107.390000001</v>
      </c>
      <c r="T598" s="15">
        <v>45631</v>
      </c>
      <c r="U598" s="26" t="str">
        <f>VLOOKUP(Main_Presentation[[#This Row],[LC Number]],Main_Issuance[],18,0)</f>
        <v>14 Days after Sight</v>
      </c>
      <c r="V598" s="19" t="s">
        <v>367</v>
      </c>
      <c r="W598" s="22" t="s">
        <v>857</v>
      </c>
      <c r="X598" s="16"/>
      <c r="Y598" s="234" t="str">
        <f>TRIM(LEFT(Main_Presentation[[#This Row],[Payment Terms]],3))</f>
        <v>14</v>
      </c>
      <c r="Z598" s="16"/>
      <c r="AA598" s="316" cm="1">
        <f t="array" ref="AA598">Settlement(Main_Presentation[[#This Row],[Bank]],Main_Presentation[[#This Row],[ Invoice Amt (SAR)]],Main_Presentation[[#This Row],[Date Recd]],Main_Presentation[[#This Row],[Due Date]],Main_Presentation[[#This Row],[Days]])</f>
        <v>167329.60000000001</v>
      </c>
      <c r="AB598" s="16"/>
    </row>
    <row r="599" spans="1:28" ht="15.75" hidden="1" x14ac:dyDescent="0.25">
      <c r="A599" s="14" t="s">
        <v>452</v>
      </c>
      <c r="B599" s="15">
        <v>45638</v>
      </c>
      <c r="C599" s="26">
        <v>1</v>
      </c>
      <c r="D599" s="55" t="str">
        <f>VLOOKUP(Main_Presentation[[#This Row],[LC Number]],Main_Issuance[],3,0)</f>
        <v>Tareeq Telmasani</v>
      </c>
      <c r="E599" s="16" t="s">
        <v>858</v>
      </c>
      <c r="F599" s="17" t="str">
        <f>VLOOKUP(Main_Presentation[[#This Row],[LC Number]],Main_Issuance[],5,0)</f>
        <v>SAB</v>
      </c>
      <c r="G599" s="17" t="str">
        <f>VLOOKUP(Main_Presentation[[#This Row],[LC Number]],Main_Issuance[],6,0)</f>
        <v>CEER</v>
      </c>
      <c r="H599" s="17" t="str">
        <f>VLOOKUP(Main_Presentation[[#This Row],[LC Number]],Main_Issuance[],17,0)</f>
        <v>Credit</v>
      </c>
      <c r="I599" s="17" t="str">
        <f>VLOOKUP(Main_Presentation[[#This Row],[LC Number]],Main_Issuance[],7,0)</f>
        <v>Isotherm Insulations Fzc</v>
      </c>
      <c r="J599" s="17" t="str">
        <f>VLOOKUP(Main_Presentation[[#This Row],[LC Number]],Main_Issuance[],8,0)</f>
        <v>MBL</v>
      </c>
      <c r="K599" s="17" t="str">
        <f>VLOOKUP(Main_Presentation[[#This Row],[LC Number]],Main_Issuance[],9,0)</f>
        <v>CEER</v>
      </c>
      <c r="L599" s="17">
        <f>VLOOKUP(Main_Presentation[[#This Row],[LC Number]],Main_Issuance[],10,0)</f>
        <v>1020091</v>
      </c>
      <c r="M599" s="17" t="str">
        <f>VLOOKUP(Main_Presentation[[#This Row],[LC Number]],Main_Issuance[],11,0)</f>
        <v>AED</v>
      </c>
      <c r="N599" s="84">
        <f>VLOOKUP(Main_Presentation[[#This Row],[LC Number]],Main_Issuance[],12,0)</f>
        <v>1680000</v>
      </c>
      <c r="O599" s="16" t="s">
        <v>20</v>
      </c>
      <c r="P599" s="16" t="s">
        <v>857</v>
      </c>
      <c r="Q599" s="131">
        <v>1680000</v>
      </c>
      <c r="R599" s="18">
        <v>1.026</v>
      </c>
      <c r="S599" s="18">
        <f>Main_Presentation[[#This Row],[Invoice Amt (FCY)]]*Main_Presentation[[#This Row],[Rate]]</f>
        <v>1723680</v>
      </c>
      <c r="T599" s="15">
        <v>45645</v>
      </c>
      <c r="U599" s="26" t="str">
        <f>VLOOKUP(Main_Presentation[[#This Row],[LC Number]],Main_Issuance[],18,0)</f>
        <v>Sight</v>
      </c>
      <c r="V599" s="19" t="s">
        <v>367</v>
      </c>
      <c r="W599" s="18" t="s">
        <v>857</v>
      </c>
      <c r="X599" s="16"/>
      <c r="Y599" s="234" t="str">
        <f>TRIM(LEFT(Main_Presentation[[#This Row],[Payment Terms]],3))</f>
        <v>Sig</v>
      </c>
      <c r="Z599" s="16"/>
      <c r="AA599" s="316" t="e" cm="1">
        <f t="array" ref="AA599">Settlement(Main_Presentation[[#This Row],[Bank]],Main_Presentation[[#This Row],[ Invoice Amt (SAR)]],Main_Presentation[[#This Row],[Date Recd]],Main_Presentation[[#This Row],[Due Date]],Main_Presentation[[#This Row],[Days]])</f>
        <v>#VALUE!</v>
      </c>
      <c r="AB599" s="16"/>
    </row>
    <row r="600" spans="1:28" ht="15.75" hidden="1" x14ac:dyDescent="0.25">
      <c r="A600" s="14" t="s">
        <v>468</v>
      </c>
      <c r="B600" s="15">
        <v>45636</v>
      </c>
      <c r="C600" s="26">
        <v>1</v>
      </c>
      <c r="D600" s="55" t="str">
        <f>VLOOKUP(Main_Presentation[[#This Row],[LC Number]],Main_Issuance[],3,0)</f>
        <v>Tareeq Telmasani</v>
      </c>
      <c r="E600" s="16" t="s">
        <v>856</v>
      </c>
      <c r="F600" s="17" t="str">
        <f>VLOOKUP(Main_Presentation[[#This Row],[LC Number]],Main_Issuance[],5,0)</f>
        <v>SAB</v>
      </c>
      <c r="G600" s="17" t="str">
        <f>VLOOKUP(Main_Presentation[[#This Row],[LC Number]],Main_Issuance[],6,0)</f>
        <v>CEER</v>
      </c>
      <c r="H600" s="17" t="str">
        <f>VLOOKUP(Main_Presentation[[#This Row],[LC Number]],Main_Issuance[],17,0)</f>
        <v>Credit</v>
      </c>
      <c r="I600" s="17" t="str">
        <f>VLOOKUP(Main_Presentation[[#This Row],[LC Number]],Main_Issuance[],7,0)</f>
        <v>Roof Metal Ind LLC</v>
      </c>
      <c r="J600" s="17" t="str">
        <f>VLOOKUP(Main_Presentation[[#This Row],[LC Number]],Main_Issuance[],8,0)</f>
        <v>MBL</v>
      </c>
      <c r="K600" s="17" t="str">
        <f>VLOOKUP(Main_Presentation[[#This Row],[LC Number]],Main_Issuance[],9,0)</f>
        <v>CEER</v>
      </c>
      <c r="L600" s="17">
        <f>VLOOKUP(Main_Presentation[[#This Row],[LC Number]],Main_Issuance[],10,0)</f>
        <v>1020091</v>
      </c>
      <c r="M600" s="17" t="str">
        <f>VLOOKUP(Main_Presentation[[#This Row],[LC Number]],Main_Issuance[],11,0)</f>
        <v>AED</v>
      </c>
      <c r="N600" s="84">
        <f>VLOOKUP(Main_Presentation[[#This Row],[LC Number]],Main_Issuance[],12,0)</f>
        <v>4156524</v>
      </c>
      <c r="O600" s="16" t="s">
        <v>20</v>
      </c>
      <c r="P600" s="16" t="s">
        <v>857</v>
      </c>
      <c r="Q600" s="131">
        <v>662144.34</v>
      </c>
      <c r="R600" s="18">
        <v>1.026</v>
      </c>
      <c r="S600" s="18">
        <f>Main_Presentation[[#This Row],[Invoice Amt (FCY)]]*Main_Presentation[[#This Row],[Rate]]</f>
        <v>679360.09283999994</v>
      </c>
      <c r="T600" s="15">
        <v>45636</v>
      </c>
      <c r="U600" s="26" t="str">
        <f>VLOOKUP(Main_Presentation[[#This Row],[LC Number]],Main_Issuance[],18,0)</f>
        <v>Sight</v>
      </c>
      <c r="V600" s="19" t="s">
        <v>367</v>
      </c>
      <c r="W600" s="18" t="s">
        <v>857</v>
      </c>
      <c r="X600" s="16"/>
      <c r="Y600" s="234" t="str">
        <f>TRIM(LEFT(Main_Presentation[[#This Row],[Payment Terms]],3))</f>
        <v>Sig</v>
      </c>
      <c r="Z600" s="16"/>
      <c r="AA600" s="316" t="e" cm="1">
        <f t="array" ref="AA600">Settlement(Main_Presentation[[#This Row],[Bank]],Main_Presentation[[#This Row],[ Invoice Amt (SAR)]],Main_Presentation[[#This Row],[Date Recd]],Main_Presentation[[#This Row],[Due Date]],Main_Presentation[[#This Row],[Days]])</f>
        <v>#VALUE!</v>
      </c>
      <c r="AB600" s="16"/>
    </row>
    <row r="601" spans="1:28" ht="15.75" hidden="1" x14ac:dyDescent="0.25">
      <c r="A601" s="14" t="s">
        <v>468</v>
      </c>
      <c r="B601" s="15">
        <v>45638</v>
      </c>
      <c r="C601" s="26">
        <v>2</v>
      </c>
      <c r="D601" s="55" t="str">
        <f>VLOOKUP(Main_Presentation[[#This Row],[LC Number]],Main_Issuance[],3,0)</f>
        <v>Tareeq Telmasani</v>
      </c>
      <c r="E601" s="16" t="s">
        <v>856</v>
      </c>
      <c r="F601" s="17" t="str">
        <f>VLOOKUP(Main_Presentation[[#This Row],[LC Number]],Main_Issuance[],5,0)</f>
        <v>SAB</v>
      </c>
      <c r="G601" s="17" t="str">
        <f>VLOOKUP(Main_Presentation[[#This Row],[LC Number]],Main_Issuance[],6,0)</f>
        <v>CEER</v>
      </c>
      <c r="H601" s="17" t="str">
        <f>VLOOKUP(Main_Presentation[[#This Row],[LC Number]],Main_Issuance[],17,0)</f>
        <v>Credit</v>
      </c>
      <c r="I601" s="17" t="str">
        <f>VLOOKUP(Main_Presentation[[#This Row],[LC Number]],Main_Issuance[],7,0)</f>
        <v>Roof Metal Ind LLC</v>
      </c>
      <c r="J601" s="17" t="str">
        <f>VLOOKUP(Main_Presentation[[#This Row],[LC Number]],Main_Issuance[],8,0)</f>
        <v>MBL</v>
      </c>
      <c r="K601" s="17" t="str">
        <f>VLOOKUP(Main_Presentation[[#This Row],[LC Number]],Main_Issuance[],9,0)</f>
        <v>CEER</v>
      </c>
      <c r="L601" s="17">
        <f>VLOOKUP(Main_Presentation[[#This Row],[LC Number]],Main_Issuance[],10,0)</f>
        <v>1020091</v>
      </c>
      <c r="M601" s="17" t="str">
        <f>VLOOKUP(Main_Presentation[[#This Row],[LC Number]],Main_Issuance[],11,0)</f>
        <v>AED</v>
      </c>
      <c r="N601" s="84">
        <f>VLOOKUP(Main_Presentation[[#This Row],[LC Number]],Main_Issuance[],12,0)</f>
        <v>4156524</v>
      </c>
      <c r="O601" s="16" t="s">
        <v>20</v>
      </c>
      <c r="P601" s="16" t="s">
        <v>857</v>
      </c>
      <c r="Q601" s="131">
        <v>1065900.51</v>
      </c>
      <c r="R601" s="18">
        <v>1.026</v>
      </c>
      <c r="S601" s="18">
        <f>Main_Presentation[[#This Row],[Invoice Amt (FCY)]]*Main_Presentation[[#This Row],[Rate]]</f>
        <v>1093613.9232600001</v>
      </c>
      <c r="T601" s="15">
        <v>45638</v>
      </c>
      <c r="U601" s="26" t="str">
        <f>VLOOKUP(Main_Presentation[[#This Row],[LC Number]],Main_Issuance[],18,0)</f>
        <v>Sight</v>
      </c>
      <c r="V601" s="19" t="s">
        <v>367</v>
      </c>
      <c r="W601" s="18" t="s">
        <v>857</v>
      </c>
      <c r="X601" s="16"/>
      <c r="Y601" s="234" t="str">
        <f>TRIM(LEFT(Main_Presentation[[#This Row],[Payment Terms]],3))</f>
        <v>Sig</v>
      </c>
      <c r="Z601" s="16"/>
      <c r="AA601" s="316" t="e" cm="1">
        <f t="array" ref="AA601">Settlement(Main_Presentation[[#This Row],[Bank]],Main_Presentation[[#This Row],[ Invoice Amt (SAR)]],Main_Presentation[[#This Row],[Date Recd]],Main_Presentation[[#This Row],[Due Date]],Main_Presentation[[#This Row],[Days]])</f>
        <v>#VALUE!</v>
      </c>
      <c r="AB601" s="16"/>
    </row>
    <row r="602" spans="1:28" ht="15.75" hidden="1" x14ac:dyDescent="0.25">
      <c r="A602" s="14" t="s">
        <v>365</v>
      </c>
      <c r="B602" s="15">
        <v>45643</v>
      </c>
      <c r="C602" s="26">
        <v>8</v>
      </c>
      <c r="D602" s="55" t="str">
        <f>VLOOKUP(Main_Presentation[[#This Row],[LC Number]],Main_Issuance[],3,0)</f>
        <v>Tareeq Telmasani</v>
      </c>
      <c r="E602" s="16" t="s">
        <v>856</v>
      </c>
      <c r="F602" s="17" t="str">
        <f>VLOOKUP(Main_Presentation[[#This Row],[LC Number]],Main_Issuance[],5,0)</f>
        <v>SAB</v>
      </c>
      <c r="G602" s="17" t="str">
        <f>VLOOKUP(Main_Presentation[[#This Row],[LC Number]],Main_Issuance[],6,0)</f>
        <v>CEER</v>
      </c>
      <c r="H602" s="17" t="str">
        <f>VLOOKUP(Main_Presentation[[#This Row],[LC Number]],Main_Issuance[],17,0)</f>
        <v>Credit</v>
      </c>
      <c r="I602" s="17" t="str">
        <f>VLOOKUP(Main_Presentation[[#This Row],[LC Number]],Main_Issuance[],7,0)</f>
        <v>METALLURGICAL CORP OF CHINA (MCC)</v>
      </c>
      <c r="J602" s="17" t="str">
        <f>VLOOKUP(Main_Presentation[[#This Row],[LC Number]],Main_Issuance[],8,0)</f>
        <v>MBL</v>
      </c>
      <c r="K602" s="17" t="str">
        <f>VLOOKUP(Main_Presentation[[#This Row],[LC Number]],Main_Issuance[],9,0)</f>
        <v>CEER</v>
      </c>
      <c r="L602" s="17">
        <f>VLOOKUP(Main_Presentation[[#This Row],[LC Number]],Main_Issuance[],10,0)</f>
        <v>1020091</v>
      </c>
      <c r="M602" s="17" t="str">
        <f>VLOOKUP(Main_Presentation[[#This Row],[LC Number]],Main_Issuance[],11,0)</f>
        <v>SAR</v>
      </c>
      <c r="N602" s="84">
        <f>VLOOKUP(Main_Presentation[[#This Row],[LC Number]],Main_Issuance[],12,0)</f>
        <v>583175399</v>
      </c>
      <c r="O602" s="16" t="s">
        <v>20</v>
      </c>
      <c r="P602" s="16" t="s">
        <v>857</v>
      </c>
      <c r="Q602" s="131">
        <v>65526070.590000004</v>
      </c>
      <c r="R602" s="18">
        <v>1</v>
      </c>
      <c r="S602" s="18">
        <f>Main_Presentation[[#This Row],[Invoice Amt (FCY)]]*Main_Presentation[[#This Row],[Rate]]</f>
        <v>65526070.590000004</v>
      </c>
      <c r="T602" s="15">
        <v>45642</v>
      </c>
      <c r="U602" s="26" t="str">
        <f>VLOOKUP(Main_Presentation[[#This Row],[LC Number]],Main_Issuance[],18,0)</f>
        <v>14 Days after Sight</v>
      </c>
      <c r="V602" s="19" t="s">
        <v>367</v>
      </c>
      <c r="W602" s="22" t="s">
        <v>857</v>
      </c>
      <c r="X602" s="16"/>
      <c r="Y602" s="234" t="str">
        <f>TRIM(LEFT(Main_Presentation[[#This Row],[Payment Terms]],3))</f>
        <v>14</v>
      </c>
      <c r="Z602" s="16"/>
      <c r="AA602" s="316" cm="1">
        <f t="array" ref="AA602">Settlement(Main_Presentation[[#This Row],[Bank]],Main_Presentation[[#This Row],[ Invoice Amt (SAR)]],Main_Presentation[[#This Row],[Date Recd]],Main_Presentation[[#This Row],[Due Date]],Main_Presentation[[#This Row],[Days]])</f>
        <v>282581.45</v>
      </c>
      <c r="AB602" s="16"/>
    </row>
    <row r="603" spans="1:28" ht="15.75" hidden="1" x14ac:dyDescent="0.25">
      <c r="A603" s="14" t="s">
        <v>365</v>
      </c>
      <c r="B603" s="15">
        <v>45643</v>
      </c>
      <c r="C603" s="26">
        <v>9</v>
      </c>
      <c r="D603" s="55" t="str">
        <f>VLOOKUP(Main_Presentation[[#This Row],[LC Number]],Main_Issuance[],3,0)</f>
        <v>Tareeq Telmasani</v>
      </c>
      <c r="E603" s="16" t="s">
        <v>856</v>
      </c>
      <c r="F603" s="17" t="str">
        <f>VLOOKUP(Main_Presentation[[#This Row],[LC Number]],Main_Issuance[],5,0)</f>
        <v>SAB</v>
      </c>
      <c r="G603" s="17" t="str">
        <f>VLOOKUP(Main_Presentation[[#This Row],[LC Number]],Main_Issuance[],6,0)</f>
        <v>CEER</v>
      </c>
      <c r="H603" s="17" t="str">
        <f>VLOOKUP(Main_Presentation[[#This Row],[LC Number]],Main_Issuance[],17,0)</f>
        <v>Credit</v>
      </c>
      <c r="I603" s="17" t="str">
        <f>VLOOKUP(Main_Presentation[[#This Row],[LC Number]],Main_Issuance[],7,0)</f>
        <v>METALLURGICAL CORP OF CHINA (MCC)</v>
      </c>
      <c r="J603" s="17" t="str">
        <f>VLOOKUP(Main_Presentation[[#This Row],[LC Number]],Main_Issuance[],8,0)</f>
        <v>MBL</v>
      </c>
      <c r="K603" s="17" t="str">
        <f>VLOOKUP(Main_Presentation[[#This Row],[LC Number]],Main_Issuance[],9,0)</f>
        <v>CEER</v>
      </c>
      <c r="L603" s="17">
        <f>VLOOKUP(Main_Presentation[[#This Row],[LC Number]],Main_Issuance[],10,0)</f>
        <v>1020091</v>
      </c>
      <c r="M603" s="17" t="str">
        <f>VLOOKUP(Main_Presentation[[#This Row],[LC Number]],Main_Issuance[],11,0)</f>
        <v>SAR</v>
      </c>
      <c r="N603" s="84">
        <f>VLOOKUP(Main_Presentation[[#This Row],[LC Number]],Main_Issuance[],12,0)</f>
        <v>583175399</v>
      </c>
      <c r="O603" s="16" t="s">
        <v>20</v>
      </c>
      <c r="P603" s="16" t="s">
        <v>857</v>
      </c>
      <c r="Q603" s="131">
        <v>14454426.59</v>
      </c>
      <c r="R603" s="18">
        <v>1</v>
      </c>
      <c r="S603" s="18">
        <f>Main_Presentation[[#This Row],[Invoice Amt (FCY)]]*Main_Presentation[[#This Row],[Rate]]</f>
        <v>14454426.59</v>
      </c>
      <c r="T603" s="15">
        <v>45642</v>
      </c>
      <c r="U603" s="26" t="str">
        <f>VLOOKUP(Main_Presentation[[#This Row],[LC Number]],Main_Issuance[],18,0)</f>
        <v>14 Days after Sight</v>
      </c>
      <c r="V603" s="19" t="s">
        <v>367</v>
      </c>
      <c r="W603" s="22" t="s">
        <v>857</v>
      </c>
      <c r="X603" s="16"/>
      <c r="Y603" s="234" t="str">
        <f>TRIM(LEFT(Main_Presentation[[#This Row],[Payment Terms]],3))</f>
        <v>14</v>
      </c>
      <c r="Z603" s="16"/>
      <c r="AA603" s="316" cm="1">
        <f t="array" ref="AA603">Settlement(Main_Presentation[[#This Row],[Bank]],Main_Presentation[[#This Row],[ Invoice Amt (SAR)]],Main_Presentation[[#This Row],[Date Recd]],Main_Presentation[[#This Row],[Due Date]],Main_Presentation[[#This Row],[Days]])</f>
        <v>62334.6</v>
      </c>
      <c r="AB603" s="16"/>
    </row>
    <row r="604" spans="1:28" ht="15.75" hidden="1" x14ac:dyDescent="0.25">
      <c r="A604" s="14" t="s">
        <v>365</v>
      </c>
      <c r="B604" s="15">
        <v>45649</v>
      </c>
      <c r="C604" s="26">
        <v>10</v>
      </c>
      <c r="D604" s="55" t="str">
        <f>VLOOKUP(Main_Presentation[[#This Row],[LC Number]],Main_Issuance[],3,0)</f>
        <v>Tareeq Telmasani</v>
      </c>
      <c r="E604" s="16" t="s">
        <v>856</v>
      </c>
      <c r="F604" s="17" t="str">
        <f>VLOOKUP(Main_Presentation[[#This Row],[LC Number]],Main_Issuance[],5,0)</f>
        <v>SAB</v>
      </c>
      <c r="G604" s="17" t="str">
        <f>VLOOKUP(Main_Presentation[[#This Row],[LC Number]],Main_Issuance[],6,0)</f>
        <v>CEER</v>
      </c>
      <c r="H604" s="17" t="str">
        <f>VLOOKUP(Main_Presentation[[#This Row],[LC Number]],Main_Issuance[],17,0)</f>
        <v>Credit</v>
      </c>
      <c r="I604" s="17" t="str">
        <f>VLOOKUP(Main_Presentation[[#This Row],[LC Number]],Main_Issuance[],7,0)</f>
        <v>METALLURGICAL CORP OF CHINA (MCC)</v>
      </c>
      <c r="J604" s="17" t="str">
        <f>VLOOKUP(Main_Presentation[[#This Row],[LC Number]],Main_Issuance[],8,0)</f>
        <v>MBL</v>
      </c>
      <c r="K604" s="17" t="str">
        <f>VLOOKUP(Main_Presentation[[#This Row],[LC Number]],Main_Issuance[],9,0)</f>
        <v>CEER</v>
      </c>
      <c r="L604" s="17">
        <f>VLOOKUP(Main_Presentation[[#This Row],[LC Number]],Main_Issuance[],10,0)</f>
        <v>1020091</v>
      </c>
      <c r="M604" s="17" t="str">
        <f>VLOOKUP(Main_Presentation[[#This Row],[LC Number]],Main_Issuance[],11,0)</f>
        <v>SAR</v>
      </c>
      <c r="N604" s="84">
        <f>VLOOKUP(Main_Presentation[[#This Row],[LC Number]],Main_Issuance[],12,0)</f>
        <v>583175399</v>
      </c>
      <c r="O604" s="16" t="s">
        <v>20</v>
      </c>
      <c r="P604" s="16" t="s">
        <v>857</v>
      </c>
      <c r="Q604" s="131">
        <v>10121074.289999999</v>
      </c>
      <c r="R604" s="18">
        <v>1</v>
      </c>
      <c r="S604" s="18">
        <f>Main_Presentation[[#This Row],[Invoice Amt (FCY)]]*Main_Presentation[[#This Row],[Rate]]</f>
        <v>10121074.289999999</v>
      </c>
      <c r="T604" s="15">
        <v>45656</v>
      </c>
      <c r="U604" s="26" t="str">
        <f>VLOOKUP(Main_Presentation[[#This Row],[LC Number]],Main_Issuance[],18,0)</f>
        <v>14 Days after Sight</v>
      </c>
      <c r="V604" s="19" t="s">
        <v>367</v>
      </c>
      <c r="W604" s="22" t="s">
        <v>857</v>
      </c>
      <c r="X604" s="16"/>
      <c r="Y604" s="234" t="str">
        <f>TRIM(LEFT(Main_Presentation[[#This Row],[Payment Terms]],3))</f>
        <v>14</v>
      </c>
      <c r="Z604" s="16"/>
      <c r="AA604" s="316" cm="1">
        <f t="array" ref="AA604">Settlement(Main_Presentation[[#This Row],[Bank]],Main_Presentation[[#This Row],[ Invoice Amt (SAR)]],Main_Presentation[[#This Row],[Date Recd]],Main_Presentation[[#This Row],[Due Date]],Main_Presentation[[#This Row],[Days]])</f>
        <v>43647.1</v>
      </c>
      <c r="AB604" s="16"/>
    </row>
    <row r="605" spans="1:28" ht="15.75" hidden="1" x14ac:dyDescent="0.25">
      <c r="A605" s="14" t="s">
        <v>365</v>
      </c>
      <c r="B605" s="15">
        <v>45649</v>
      </c>
      <c r="C605" s="26">
        <v>11</v>
      </c>
      <c r="D605" s="55" t="str">
        <f>VLOOKUP(Main_Presentation[[#This Row],[LC Number]],Main_Issuance[],3,0)</f>
        <v>Tareeq Telmasani</v>
      </c>
      <c r="E605" s="16" t="s">
        <v>856</v>
      </c>
      <c r="F605" s="17" t="str">
        <f>VLOOKUP(Main_Presentation[[#This Row],[LC Number]],Main_Issuance[],5,0)</f>
        <v>SAB</v>
      </c>
      <c r="G605" s="17" t="str">
        <f>VLOOKUP(Main_Presentation[[#This Row],[LC Number]],Main_Issuance[],6,0)</f>
        <v>CEER</v>
      </c>
      <c r="H605" s="17" t="str">
        <f>VLOOKUP(Main_Presentation[[#This Row],[LC Number]],Main_Issuance[],17,0)</f>
        <v>Credit</v>
      </c>
      <c r="I605" s="17" t="str">
        <f>VLOOKUP(Main_Presentation[[#This Row],[LC Number]],Main_Issuance[],7,0)</f>
        <v>METALLURGICAL CORP OF CHINA (MCC)</v>
      </c>
      <c r="J605" s="17" t="str">
        <f>VLOOKUP(Main_Presentation[[#This Row],[LC Number]],Main_Issuance[],8,0)</f>
        <v>MBL</v>
      </c>
      <c r="K605" s="17" t="str">
        <f>VLOOKUP(Main_Presentation[[#This Row],[LC Number]],Main_Issuance[],9,0)</f>
        <v>CEER</v>
      </c>
      <c r="L605" s="17">
        <f>VLOOKUP(Main_Presentation[[#This Row],[LC Number]],Main_Issuance[],10,0)</f>
        <v>1020091</v>
      </c>
      <c r="M605" s="17" t="str">
        <f>VLOOKUP(Main_Presentation[[#This Row],[LC Number]],Main_Issuance[],11,0)</f>
        <v>SAR</v>
      </c>
      <c r="N605" s="84">
        <f>VLOOKUP(Main_Presentation[[#This Row],[LC Number]],Main_Issuance[],12,0)</f>
        <v>583175399</v>
      </c>
      <c r="O605" s="16" t="s">
        <v>20</v>
      </c>
      <c r="P605" s="16" t="s">
        <v>857</v>
      </c>
      <c r="Q605" s="131">
        <v>22410222.18</v>
      </c>
      <c r="R605" s="18">
        <v>1</v>
      </c>
      <c r="S605" s="18">
        <f>Main_Presentation[[#This Row],[Invoice Amt (FCY)]]*Main_Presentation[[#This Row],[Rate]]</f>
        <v>22410222.18</v>
      </c>
      <c r="T605" s="15">
        <v>45656</v>
      </c>
      <c r="U605" s="26" t="str">
        <f>VLOOKUP(Main_Presentation[[#This Row],[LC Number]],Main_Issuance[],18,0)</f>
        <v>14 Days after Sight</v>
      </c>
      <c r="V605" s="19" t="s">
        <v>367</v>
      </c>
      <c r="W605" s="22" t="s">
        <v>857</v>
      </c>
      <c r="X605" s="16"/>
      <c r="Y605" s="234" t="str">
        <f>TRIM(LEFT(Main_Presentation[[#This Row],[Payment Terms]],3))</f>
        <v>14</v>
      </c>
      <c r="Z605" s="16"/>
      <c r="AA605" s="316" cm="1">
        <f t="array" ref="AA605">Settlement(Main_Presentation[[#This Row],[Bank]],Main_Presentation[[#This Row],[ Invoice Amt (SAR)]],Main_Presentation[[#This Row],[Date Recd]],Main_Presentation[[#This Row],[Due Date]],Main_Presentation[[#This Row],[Days]])</f>
        <v>96643.7</v>
      </c>
      <c r="AB605" s="16"/>
    </row>
    <row r="606" spans="1:28" ht="15.75" hidden="1" x14ac:dyDescent="0.25">
      <c r="A606" s="14" t="s">
        <v>468</v>
      </c>
      <c r="B606" s="15">
        <v>45649</v>
      </c>
      <c r="C606" s="26">
        <v>3</v>
      </c>
      <c r="D606" s="55" t="str">
        <f>VLOOKUP(Main_Presentation[[#This Row],[LC Number]],Main_Issuance[],3,0)</f>
        <v>Tareeq Telmasani</v>
      </c>
      <c r="E606" s="16" t="s">
        <v>856</v>
      </c>
      <c r="F606" s="17" t="str">
        <f>VLOOKUP(Main_Presentation[[#This Row],[LC Number]],Main_Issuance[],5,0)</f>
        <v>SAB</v>
      </c>
      <c r="G606" s="17" t="str">
        <f>VLOOKUP(Main_Presentation[[#This Row],[LC Number]],Main_Issuance[],6,0)</f>
        <v>CEER</v>
      </c>
      <c r="H606" s="17" t="str">
        <f>VLOOKUP(Main_Presentation[[#This Row],[LC Number]],Main_Issuance[],17,0)</f>
        <v>Credit</v>
      </c>
      <c r="I606" s="17" t="str">
        <f>VLOOKUP(Main_Presentation[[#This Row],[LC Number]],Main_Issuance[],7,0)</f>
        <v>Roof Metal Ind LLC</v>
      </c>
      <c r="J606" s="17" t="str">
        <f>VLOOKUP(Main_Presentation[[#This Row],[LC Number]],Main_Issuance[],8,0)</f>
        <v>MBL</v>
      </c>
      <c r="K606" s="17" t="str">
        <f>VLOOKUP(Main_Presentation[[#This Row],[LC Number]],Main_Issuance[],9,0)</f>
        <v>CEER</v>
      </c>
      <c r="L606" s="17">
        <f>VLOOKUP(Main_Presentation[[#This Row],[LC Number]],Main_Issuance[],10,0)</f>
        <v>1020091</v>
      </c>
      <c r="M606" s="17" t="str">
        <f>VLOOKUP(Main_Presentation[[#This Row],[LC Number]],Main_Issuance[],11,0)</f>
        <v>AED</v>
      </c>
      <c r="N606" s="84">
        <f>VLOOKUP(Main_Presentation[[#This Row],[LC Number]],Main_Issuance[],12,0)</f>
        <v>4156524</v>
      </c>
      <c r="O606" s="16" t="s">
        <v>20</v>
      </c>
      <c r="P606" s="16" t="s">
        <v>857</v>
      </c>
      <c r="Q606" s="131">
        <v>373107.6</v>
      </c>
      <c r="R606" s="18">
        <v>1.0259</v>
      </c>
      <c r="S606" s="18">
        <f>Main_Presentation[[#This Row],[Invoice Amt (FCY)]]*Main_Presentation[[#This Row],[Rate]]</f>
        <v>382771.08684</v>
      </c>
      <c r="T606" s="15">
        <v>45649</v>
      </c>
      <c r="U606" s="26" t="str">
        <f>VLOOKUP(Main_Presentation[[#This Row],[LC Number]],Main_Issuance[],18,0)</f>
        <v>Sight</v>
      </c>
      <c r="V606" s="19" t="s">
        <v>367</v>
      </c>
      <c r="W606" s="18" t="s">
        <v>857</v>
      </c>
      <c r="X606" s="16"/>
      <c r="Y606" s="234" t="str">
        <f>TRIM(LEFT(Main_Presentation[[#This Row],[Payment Terms]],3))</f>
        <v>Sig</v>
      </c>
      <c r="Z606" s="16"/>
      <c r="AA606" s="316" t="e" cm="1">
        <f t="array" ref="AA606">Settlement(Main_Presentation[[#This Row],[Bank]],Main_Presentation[[#This Row],[ Invoice Amt (SAR)]],Main_Presentation[[#This Row],[Date Recd]],Main_Presentation[[#This Row],[Due Date]],Main_Presentation[[#This Row],[Days]])</f>
        <v>#VALUE!</v>
      </c>
      <c r="AB606" s="16"/>
    </row>
    <row r="607" spans="1:28" ht="15.75" hidden="1" x14ac:dyDescent="0.25">
      <c r="A607" s="20" t="s">
        <v>468</v>
      </c>
      <c r="B607" s="15">
        <v>45648</v>
      </c>
      <c r="C607" s="26">
        <v>4</v>
      </c>
      <c r="D607" s="55" t="str">
        <f>VLOOKUP(Main_Presentation[[#This Row],[LC Number]],Main_Issuance[],3,0)</f>
        <v>Tareeq Telmasani</v>
      </c>
      <c r="E607" s="16" t="s">
        <v>856</v>
      </c>
      <c r="F607" s="17" t="str">
        <f>VLOOKUP(Main_Presentation[[#This Row],[LC Number]],Main_Issuance[],5,0)</f>
        <v>SAB</v>
      </c>
      <c r="G607" s="17" t="str">
        <f>VLOOKUP(Main_Presentation[[#This Row],[LC Number]],Main_Issuance[],6,0)</f>
        <v>CEER</v>
      </c>
      <c r="H607" s="17" t="str">
        <f>VLOOKUP(Main_Presentation[[#This Row],[LC Number]],Main_Issuance[],17,0)</f>
        <v>Credit</v>
      </c>
      <c r="I607" s="17" t="str">
        <f>VLOOKUP(Main_Presentation[[#This Row],[LC Number]],Main_Issuance[],7,0)</f>
        <v>Roof Metal Ind LLC</v>
      </c>
      <c r="J607" s="17" t="str">
        <f>VLOOKUP(Main_Presentation[[#This Row],[LC Number]],Main_Issuance[],8,0)</f>
        <v>MBL</v>
      </c>
      <c r="K607" s="17" t="str">
        <f>VLOOKUP(Main_Presentation[[#This Row],[LC Number]],Main_Issuance[],9,0)</f>
        <v>CEER</v>
      </c>
      <c r="L607" s="17">
        <f>VLOOKUP(Main_Presentation[[#This Row],[LC Number]],Main_Issuance[],10,0)</f>
        <v>1020091</v>
      </c>
      <c r="M607" s="17" t="str">
        <f>VLOOKUP(Main_Presentation[[#This Row],[LC Number]],Main_Issuance[],11,0)</f>
        <v>AED</v>
      </c>
      <c r="N607" s="84">
        <f>VLOOKUP(Main_Presentation[[#This Row],[LC Number]],Main_Issuance[],12,0)</f>
        <v>4156524</v>
      </c>
      <c r="O607" s="16" t="s">
        <v>20</v>
      </c>
      <c r="P607" s="16" t="s">
        <v>857</v>
      </c>
      <c r="Q607" s="131">
        <v>361545.99</v>
      </c>
      <c r="R607" s="18">
        <v>1.0261</v>
      </c>
      <c r="S607" s="18">
        <f>Main_Presentation[[#This Row],[Invoice Amt (FCY)]]*Main_Presentation[[#This Row],[Rate]]</f>
        <v>370982.34033899999</v>
      </c>
      <c r="T607" s="15">
        <v>45650</v>
      </c>
      <c r="U607" s="26" t="str">
        <f>VLOOKUP(Main_Presentation[[#This Row],[LC Number]],Main_Issuance[],18,0)</f>
        <v>Sight</v>
      </c>
      <c r="V607" s="19" t="s">
        <v>367</v>
      </c>
      <c r="W607" s="18" t="s">
        <v>857</v>
      </c>
      <c r="X607" s="16"/>
      <c r="Y607" s="234" t="str">
        <f>TRIM(LEFT(Main_Presentation[[#This Row],[Payment Terms]],3))</f>
        <v>Sig</v>
      </c>
      <c r="Z607" s="16"/>
      <c r="AA607" s="316" t="e" cm="1">
        <f t="array" ref="AA607">Settlement(Main_Presentation[[#This Row],[Bank]],Main_Presentation[[#This Row],[ Invoice Amt (SAR)]],Main_Presentation[[#This Row],[Date Recd]],Main_Presentation[[#This Row],[Due Date]],Main_Presentation[[#This Row],[Days]])</f>
        <v>#VALUE!</v>
      </c>
      <c r="AB607" s="16"/>
    </row>
    <row r="608" spans="1:28" ht="15.75" hidden="1" x14ac:dyDescent="0.25">
      <c r="A608" s="20" t="s">
        <v>468</v>
      </c>
      <c r="B608" s="15">
        <v>45649</v>
      </c>
      <c r="C608" s="26">
        <v>5</v>
      </c>
      <c r="D608" s="55" t="str">
        <f>VLOOKUP(Main_Presentation[[#This Row],[LC Number]],Main_Issuance[],3,0)</f>
        <v>Tareeq Telmasani</v>
      </c>
      <c r="E608" s="16" t="s">
        <v>856</v>
      </c>
      <c r="F608" s="17" t="str">
        <f>VLOOKUP(Main_Presentation[[#This Row],[LC Number]],Main_Issuance[],5,0)</f>
        <v>SAB</v>
      </c>
      <c r="G608" s="17" t="str">
        <f>VLOOKUP(Main_Presentation[[#This Row],[LC Number]],Main_Issuance[],6,0)</f>
        <v>CEER</v>
      </c>
      <c r="H608" s="17" t="str">
        <f>VLOOKUP(Main_Presentation[[#This Row],[LC Number]],Main_Issuance[],17,0)</f>
        <v>Credit</v>
      </c>
      <c r="I608" s="17" t="str">
        <f>VLOOKUP(Main_Presentation[[#This Row],[LC Number]],Main_Issuance[],7,0)</f>
        <v>Roof Metal Ind LLC</v>
      </c>
      <c r="J608" s="17" t="str">
        <f>VLOOKUP(Main_Presentation[[#This Row],[LC Number]],Main_Issuance[],8,0)</f>
        <v>MBL</v>
      </c>
      <c r="K608" s="17" t="str">
        <f>VLOOKUP(Main_Presentation[[#This Row],[LC Number]],Main_Issuance[],9,0)</f>
        <v>CEER</v>
      </c>
      <c r="L608" s="17">
        <f>VLOOKUP(Main_Presentation[[#This Row],[LC Number]],Main_Issuance[],10,0)</f>
        <v>1020091</v>
      </c>
      <c r="M608" s="17" t="str">
        <f>VLOOKUP(Main_Presentation[[#This Row],[LC Number]],Main_Issuance[],11,0)</f>
        <v>AED</v>
      </c>
      <c r="N608" s="84">
        <f>VLOOKUP(Main_Presentation[[#This Row],[LC Number]],Main_Issuance[],12,0)</f>
        <v>4156524</v>
      </c>
      <c r="O608" s="16" t="s">
        <v>20</v>
      </c>
      <c r="P608" s="16" t="s">
        <v>857</v>
      </c>
      <c r="Q608" s="131">
        <v>419607.88</v>
      </c>
      <c r="R608" s="18">
        <v>1.026</v>
      </c>
      <c r="S608" s="18">
        <f>Main_Presentation[[#This Row],[Invoice Amt (FCY)]]*Main_Presentation[[#This Row],[Rate]]</f>
        <v>430517.68488000002</v>
      </c>
      <c r="T608" s="15">
        <v>45649</v>
      </c>
      <c r="U608" s="26" t="str">
        <f>VLOOKUP(Main_Presentation[[#This Row],[LC Number]],Main_Issuance[],18,0)</f>
        <v>Sight</v>
      </c>
      <c r="V608" s="19" t="s">
        <v>367</v>
      </c>
      <c r="W608" s="18" t="s">
        <v>857</v>
      </c>
      <c r="X608" s="16"/>
      <c r="Y608" s="234" t="str">
        <f>TRIM(LEFT(Main_Presentation[[#This Row],[Payment Terms]],3))</f>
        <v>Sig</v>
      </c>
      <c r="Z608" s="16"/>
      <c r="AA608" s="316" t="e" cm="1">
        <f t="array" ref="AA608">Settlement(Main_Presentation[[#This Row],[Bank]],Main_Presentation[[#This Row],[ Invoice Amt (SAR)]],Main_Presentation[[#This Row],[Date Recd]],Main_Presentation[[#This Row],[Due Date]],Main_Presentation[[#This Row],[Days]])</f>
        <v>#VALUE!</v>
      </c>
      <c r="AB608" s="16"/>
    </row>
    <row r="609" spans="1:28" ht="15.75" hidden="1" x14ac:dyDescent="0.25">
      <c r="A609" s="20" t="s">
        <v>468</v>
      </c>
      <c r="B609" s="15">
        <v>45650</v>
      </c>
      <c r="C609" s="26">
        <v>6</v>
      </c>
      <c r="D609" s="55" t="str">
        <f>VLOOKUP(Main_Presentation[[#This Row],[LC Number]],Main_Issuance[],3,0)</f>
        <v>Tareeq Telmasani</v>
      </c>
      <c r="E609" s="16" t="s">
        <v>856</v>
      </c>
      <c r="F609" s="17" t="str">
        <f>VLOOKUP(Main_Presentation[[#This Row],[LC Number]],Main_Issuance[],5,0)</f>
        <v>SAB</v>
      </c>
      <c r="G609" s="17" t="str">
        <f>VLOOKUP(Main_Presentation[[#This Row],[LC Number]],Main_Issuance[],6,0)</f>
        <v>CEER</v>
      </c>
      <c r="H609" s="17" t="str">
        <f>VLOOKUP(Main_Presentation[[#This Row],[LC Number]],Main_Issuance[],17,0)</f>
        <v>Credit</v>
      </c>
      <c r="I609" s="17" t="str">
        <f>VLOOKUP(Main_Presentation[[#This Row],[LC Number]],Main_Issuance[],7,0)</f>
        <v>Roof Metal Ind LLC</v>
      </c>
      <c r="J609" s="17" t="str">
        <f>VLOOKUP(Main_Presentation[[#This Row],[LC Number]],Main_Issuance[],8,0)</f>
        <v>MBL</v>
      </c>
      <c r="K609" s="17" t="str">
        <f>VLOOKUP(Main_Presentation[[#This Row],[LC Number]],Main_Issuance[],9,0)</f>
        <v>CEER</v>
      </c>
      <c r="L609" s="17">
        <f>VLOOKUP(Main_Presentation[[#This Row],[LC Number]],Main_Issuance[],10,0)</f>
        <v>1020091</v>
      </c>
      <c r="M609" s="17" t="str">
        <f>VLOOKUP(Main_Presentation[[#This Row],[LC Number]],Main_Issuance[],11,0)</f>
        <v>AED</v>
      </c>
      <c r="N609" s="84">
        <f>VLOOKUP(Main_Presentation[[#This Row],[LC Number]],Main_Issuance[],12,0)</f>
        <v>4156524</v>
      </c>
      <c r="O609" s="16" t="s">
        <v>20</v>
      </c>
      <c r="P609" s="16" t="s">
        <v>857</v>
      </c>
      <c r="Q609" s="131">
        <v>455535.63</v>
      </c>
      <c r="R609" s="18">
        <v>1.0265</v>
      </c>
      <c r="S609" s="18">
        <f>Main_Presentation[[#This Row],[Invoice Amt (FCY)]]*Main_Presentation[[#This Row],[Rate]]</f>
        <v>467607.32419499999</v>
      </c>
      <c r="T609" s="15">
        <v>45652</v>
      </c>
      <c r="U609" s="26" t="str">
        <f>VLOOKUP(Main_Presentation[[#This Row],[LC Number]],Main_Issuance[],18,0)</f>
        <v>Sight</v>
      </c>
      <c r="V609" s="19" t="s">
        <v>367</v>
      </c>
      <c r="W609" s="18" t="s">
        <v>857</v>
      </c>
      <c r="X609" s="16"/>
      <c r="Y609" s="234" t="str">
        <f>TRIM(LEFT(Main_Presentation[[#This Row],[Payment Terms]],3))</f>
        <v>Sig</v>
      </c>
      <c r="Z609" s="16"/>
      <c r="AA609" s="316" t="e" cm="1">
        <f t="array" ref="AA609">Settlement(Main_Presentation[[#This Row],[Bank]],Main_Presentation[[#This Row],[ Invoice Amt (SAR)]],Main_Presentation[[#This Row],[Date Recd]],Main_Presentation[[#This Row],[Due Date]],Main_Presentation[[#This Row],[Days]])</f>
        <v>#VALUE!</v>
      </c>
      <c r="AB609" s="16"/>
    </row>
    <row r="610" spans="1:28" ht="15.75" hidden="1" x14ac:dyDescent="0.25">
      <c r="A610" s="20" t="s">
        <v>468</v>
      </c>
      <c r="B610" s="15">
        <v>45659</v>
      </c>
      <c r="C610" s="26">
        <v>7</v>
      </c>
      <c r="D610" s="55" t="str">
        <f>VLOOKUP(Main_Presentation[[#This Row],[LC Number]],Main_Issuance[],3,0)</f>
        <v>Tareeq Telmasani</v>
      </c>
      <c r="E610" s="16" t="s">
        <v>856</v>
      </c>
      <c r="F610" s="16" t="str">
        <f>VLOOKUP(Main_Presentation[[#This Row],[LC Number]],Main_Issuance[],5,0)</f>
        <v>SAB</v>
      </c>
      <c r="G610" s="16" t="str">
        <f>VLOOKUP(Main_Presentation[[#This Row],[LC Number]],Main_Issuance[],6,0)</f>
        <v>CEER</v>
      </c>
      <c r="H610" s="16" t="str">
        <f>VLOOKUP(Main_Presentation[[#This Row],[LC Number]],Main_Issuance[],17,0)</f>
        <v>Credit</v>
      </c>
      <c r="I610" s="16" t="str">
        <f>VLOOKUP(Main_Presentation[[#This Row],[LC Number]],Main_Issuance[],7,0)</f>
        <v>Roof Metal Ind LLC</v>
      </c>
      <c r="J610" s="16" t="str">
        <f>VLOOKUP(Main_Presentation[[#This Row],[LC Number]],Main_Issuance[],8,0)</f>
        <v>MBL</v>
      </c>
      <c r="K610" s="16" t="str">
        <f>VLOOKUP(Main_Presentation[[#This Row],[LC Number]],Main_Issuance[],9,0)</f>
        <v>CEER</v>
      </c>
      <c r="L610" s="16">
        <f>VLOOKUP(Main_Presentation[[#This Row],[LC Number]],Main_Issuance[],10,0)</f>
        <v>1020091</v>
      </c>
      <c r="M610" s="16" t="str">
        <f>VLOOKUP(Main_Presentation[[#This Row],[LC Number]],Main_Issuance[],11,0)</f>
        <v>AED</v>
      </c>
      <c r="N610" s="86">
        <f>VLOOKUP(Main_Presentation[[#This Row],[LC Number]],Main_Issuance[],12,0)</f>
        <v>4156524</v>
      </c>
      <c r="O610" s="16" t="s">
        <v>20</v>
      </c>
      <c r="P610" s="16" t="s">
        <v>857</v>
      </c>
      <c r="Q610" s="131">
        <v>395807.8</v>
      </c>
      <c r="R610" s="18">
        <v>1.026</v>
      </c>
      <c r="S610" s="18">
        <f>Main_Presentation[[#This Row],[Invoice Amt (FCY)]]*Main_Presentation[[#This Row],[Rate]]</f>
        <v>406098.8028</v>
      </c>
      <c r="T610" s="15">
        <v>45663</v>
      </c>
      <c r="U610" s="26" t="str">
        <f>VLOOKUP(Main_Presentation[[#This Row],[LC Number]],Main_Issuance[],18,0)</f>
        <v>Sight</v>
      </c>
      <c r="V610" s="19" t="s">
        <v>367</v>
      </c>
      <c r="W610" s="18" t="s">
        <v>857</v>
      </c>
      <c r="X610" s="16"/>
      <c r="Y610" s="234" t="str">
        <f>TRIM(LEFT(Main_Presentation[[#This Row],[Payment Terms]],3))</f>
        <v>Sig</v>
      </c>
      <c r="Z610" s="16"/>
      <c r="AA610" s="316" t="e" cm="1">
        <f t="array" ref="AA610">Settlement(Main_Presentation[[#This Row],[Bank]],Main_Presentation[[#This Row],[ Invoice Amt (SAR)]],Main_Presentation[[#This Row],[Date Recd]],Main_Presentation[[#This Row],[Due Date]],Main_Presentation[[#This Row],[Days]])</f>
        <v>#VALUE!</v>
      </c>
      <c r="AB610" s="16"/>
    </row>
    <row r="611" spans="1:28" ht="15.75" hidden="1" x14ac:dyDescent="0.25">
      <c r="A611" s="20" t="s">
        <v>470</v>
      </c>
      <c r="B611" s="15">
        <v>45659</v>
      </c>
      <c r="C611" s="26">
        <v>1</v>
      </c>
      <c r="D611" s="55" t="str">
        <f>VLOOKUP(Main_Presentation[[#This Row],[LC Number]],Main_Issuance[],3,0)</f>
        <v>Tareeq Telmasani</v>
      </c>
      <c r="E611" s="16" t="s">
        <v>858</v>
      </c>
      <c r="F611" s="16" t="str">
        <f>VLOOKUP(Main_Presentation[[#This Row],[LC Number]],Main_Issuance[],5,0)</f>
        <v>SAB</v>
      </c>
      <c r="G611" s="16" t="str">
        <f>VLOOKUP(Main_Presentation[[#This Row],[LC Number]],Main_Issuance[],6,0)</f>
        <v>CEER</v>
      </c>
      <c r="H611" s="16" t="str">
        <f>VLOOKUP(Main_Presentation[[#This Row],[LC Number]],Main_Issuance[],17,0)</f>
        <v>Credit</v>
      </c>
      <c r="I611" s="16" t="str">
        <f>VLOOKUP(Main_Presentation[[#This Row],[LC Number]],Main_Issuance[],7,0)</f>
        <v>Isotherm Insulations Fzc</v>
      </c>
      <c r="J611" s="16" t="str">
        <f>VLOOKUP(Main_Presentation[[#This Row],[LC Number]],Main_Issuance[],8,0)</f>
        <v>MBL</v>
      </c>
      <c r="K611" s="16" t="str">
        <f>VLOOKUP(Main_Presentation[[#This Row],[LC Number]],Main_Issuance[],9,0)</f>
        <v>CEER</v>
      </c>
      <c r="L611" s="16">
        <f>VLOOKUP(Main_Presentation[[#This Row],[LC Number]],Main_Issuance[],10,0)</f>
        <v>1020091</v>
      </c>
      <c r="M611" s="16" t="str">
        <f>VLOOKUP(Main_Presentation[[#This Row],[LC Number]],Main_Issuance[],11,0)</f>
        <v>AED</v>
      </c>
      <c r="N611" s="86">
        <f>VLOOKUP(Main_Presentation[[#This Row],[LC Number]],Main_Issuance[],12,0)</f>
        <v>11192216</v>
      </c>
      <c r="O611" s="16" t="s">
        <v>20</v>
      </c>
      <c r="P611" s="16" t="s">
        <v>857</v>
      </c>
      <c r="Q611" s="131">
        <v>1193426.48</v>
      </c>
      <c r="R611" s="18">
        <v>1.0245</v>
      </c>
      <c r="S611" s="18">
        <f>Main_Presentation[[#This Row],[Invoice Amt (FCY)]]*Main_Presentation[[#This Row],[Rate]]</f>
        <v>1222665.42876</v>
      </c>
      <c r="T611" s="15">
        <v>45664</v>
      </c>
      <c r="U611" s="26" t="str">
        <f>VLOOKUP(Main_Presentation[[#This Row],[LC Number]],Main_Issuance[],18,0)</f>
        <v>Sight</v>
      </c>
      <c r="V611" s="19" t="s">
        <v>367</v>
      </c>
      <c r="W611" s="18" t="s">
        <v>857</v>
      </c>
      <c r="X611" s="16"/>
      <c r="Y611" s="234" t="str">
        <f>TRIM(LEFT(Main_Presentation[[#This Row],[Payment Terms]],3))</f>
        <v>Sig</v>
      </c>
      <c r="Z611" s="16"/>
      <c r="AA611" s="316" t="e" cm="1">
        <f t="array" ref="AA611">Settlement(Main_Presentation[[#This Row],[Bank]],Main_Presentation[[#This Row],[ Invoice Amt (SAR)]],Main_Presentation[[#This Row],[Date Recd]],Main_Presentation[[#This Row],[Due Date]],Main_Presentation[[#This Row],[Days]])</f>
        <v>#VALUE!</v>
      </c>
      <c r="AB611" s="16"/>
    </row>
    <row r="612" spans="1:28" ht="15.75" hidden="1" x14ac:dyDescent="0.25">
      <c r="A612" s="20" t="s">
        <v>470</v>
      </c>
      <c r="B612" s="15">
        <v>45659</v>
      </c>
      <c r="C612" s="26">
        <v>2</v>
      </c>
      <c r="D612" s="55" t="str">
        <f>VLOOKUP(Main_Presentation[[#This Row],[LC Number]],Main_Issuance[],3,0)</f>
        <v>Tareeq Telmasani</v>
      </c>
      <c r="E612" s="16" t="s">
        <v>858</v>
      </c>
      <c r="F612" s="16" t="str">
        <f>VLOOKUP(Main_Presentation[[#This Row],[LC Number]],Main_Issuance[],5,0)</f>
        <v>SAB</v>
      </c>
      <c r="G612" s="16" t="str">
        <f>VLOOKUP(Main_Presentation[[#This Row],[LC Number]],Main_Issuance[],6,0)</f>
        <v>CEER</v>
      </c>
      <c r="H612" s="16" t="str">
        <f>VLOOKUP(Main_Presentation[[#This Row],[LC Number]],Main_Issuance[],17,0)</f>
        <v>Credit</v>
      </c>
      <c r="I612" s="16" t="str">
        <f>VLOOKUP(Main_Presentation[[#This Row],[LC Number]],Main_Issuance[],7,0)</f>
        <v>Isotherm Insulations Fzc</v>
      </c>
      <c r="J612" s="16" t="str">
        <f>VLOOKUP(Main_Presentation[[#This Row],[LC Number]],Main_Issuance[],8,0)</f>
        <v>MBL</v>
      </c>
      <c r="K612" s="16" t="str">
        <f>VLOOKUP(Main_Presentation[[#This Row],[LC Number]],Main_Issuance[],9,0)</f>
        <v>CEER</v>
      </c>
      <c r="L612" s="16">
        <f>VLOOKUP(Main_Presentation[[#This Row],[LC Number]],Main_Issuance[],10,0)</f>
        <v>1020091</v>
      </c>
      <c r="M612" s="16" t="str">
        <f>VLOOKUP(Main_Presentation[[#This Row],[LC Number]],Main_Issuance[],11,0)</f>
        <v>AED</v>
      </c>
      <c r="N612" s="86">
        <f>VLOOKUP(Main_Presentation[[#This Row],[LC Number]],Main_Issuance[],12,0)</f>
        <v>11192216</v>
      </c>
      <c r="O612" s="16" t="s">
        <v>20</v>
      </c>
      <c r="P612" s="16" t="s">
        <v>857</v>
      </c>
      <c r="Q612" s="131">
        <v>1240958</v>
      </c>
      <c r="R612" s="18">
        <v>1.0245</v>
      </c>
      <c r="S612" s="18">
        <f>Main_Presentation[[#This Row],[Invoice Amt (FCY)]]*Main_Presentation[[#This Row],[Rate]]</f>
        <v>1271361.4709999999</v>
      </c>
      <c r="T612" s="15">
        <v>45664</v>
      </c>
      <c r="U612" s="26" t="str">
        <f>VLOOKUP(Main_Presentation[[#This Row],[LC Number]],Main_Issuance[],18,0)</f>
        <v>Sight</v>
      </c>
      <c r="V612" s="19" t="s">
        <v>367</v>
      </c>
      <c r="W612" s="18" t="s">
        <v>857</v>
      </c>
      <c r="X612" s="16"/>
      <c r="Y612" s="234" t="str">
        <f>TRIM(LEFT(Main_Presentation[[#This Row],[Payment Terms]],3))</f>
        <v>Sig</v>
      </c>
      <c r="Z612" s="16"/>
      <c r="AA612" s="316" t="e" cm="1">
        <f t="array" ref="AA612">Settlement(Main_Presentation[[#This Row],[Bank]],Main_Presentation[[#This Row],[ Invoice Amt (SAR)]],Main_Presentation[[#This Row],[Date Recd]],Main_Presentation[[#This Row],[Due Date]],Main_Presentation[[#This Row],[Days]])</f>
        <v>#VALUE!</v>
      </c>
      <c r="AB612" s="16"/>
    </row>
    <row r="613" spans="1:28" ht="15.75" hidden="1" x14ac:dyDescent="0.25">
      <c r="A613" s="14" t="s">
        <v>365</v>
      </c>
      <c r="B613" s="15">
        <v>45663</v>
      </c>
      <c r="C613" s="26">
        <v>12</v>
      </c>
      <c r="D613" s="55" t="str">
        <f>VLOOKUP(Main_Presentation[[#This Row],[LC Number]],Main_Issuance[],3,0)</f>
        <v>Tareeq Telmasani</v>
      </c>
      <c r="E613" s="16" t="s">
        <v>856</v>
      </c>
      <c r="F613" s="16" t="str">
        <f>VLOOKUP(Main_Presentation[[#This Row],[LC Number]],Main_Issuance[],5,0)</f>
        <v>SAB</v>
      </c>
      <c r="G613" s="16" t="str">
        <f>VLOOKUP(Main_Presentation[[#This Row],[LC Number]],Main_Issuance[],6,0)</f>
        <v>CEER</v>
      </c>
      <c r="H613" s="16" t="str">
        <f>VLOOKUP(Main_Presentation[[#This Row],[LC Number]],Main_Issuance[],17,0)</f>
        <v>Credit</v>
      </c>
      <c r="I613" s="16" t="str">
        <f>VLOOKUP(Main_Presentation[[#This Row],[LC Number]],Main_Issuance[],7,0)</f>
        <v>METALLURGICAL CORP OF CHINA (MCC)</v>
      </c>
      <c r="J613" s="16" t="str">
        <f>VLOOKUP(Main_Presentation[[#This Row],[LC Number]],Main_Issuance[],8,0)</f>
        <v>MBL</v>
      </c>
      <c r="K613" s="16" t="str">
        <f>VLOOKUP(Main_Presentation[[#This Row],[LC Number]],Main_Issuance[],9,0)</f>
        <v>CEER</v>
      </c>
      <c r="L613" s="16">
        <f>VLOOKUP(Main_Presentation[[#This Row],[LC Number]],Main_Issuance[],10,0)</f>
        <v>1020091</v>
      </c>
      <c r="M613" s="16" t="str">
        <f>VLOOKUP(Main_Presentation[[#This Row],[LC Number]],Main_Issuance[],11,0)</f>
        <v>SAR</v>
      </c>
      <c r="N613" s="86">
        <f>VLOOKUP(Main_Presentation[[#This Row],[LC Number]],Main_Issuance[],12,0)</f>
        <v>583175399</v>
      </c>
      <c r="O613" s="16" t="s">
        <v>20</v>
      </c>
      <c r="P613" s="16" t="s">
        <v>857</v>
      </c>
      <c r="Q613" s="131">
        <v>73154896.200000003</v>
      </c>
      <c r="R613" s="18">
        <v>1</v>
      </c>
      <c r="S613" s="18">
        <f>Main_Presentation[[#This Row],[Invoice Amt (FCY)]]*Main_Presentation[[#This Row],[Rate]]</f>
        <v>73154896.200000003</v>
      </c>
      <c r="T613" s="15">
        <v>45669</v>
      </c>
      <c r="U613" s="26" t="str">
        <f>VLOOKUP(Main_Presentation[[#This Row],[LC Number]],Main_Issuance[],18,0)</f>
        <v>14 Days after Sight</v>
      </c>
      <c r="V613" s="19" t="s">
        <v>367</v>
      </c>
      <c r="W613" s="22" t="s">
        <v>857</v>
      </c>
      <c r="X613" s="16"/>
      <c r="Y613" s="234" t="str">
        <f>TRIM(LEFT(Main_Presentation[[#This Row],[Payment Terms]],3))</f>
        <v>14</v>
      </c>
      <c r="Z613" s="16"/>
      <c r="AA613" s="316" cm="1">
        <f t="array" ref="AA613">Settlement(Main_Presentation[[#This Row],[Bank]],Main_Presentation[[#This Row],[ Invoice Amt (SAR)]],Main_Presentation[[#This Row],[Date Recd]],Main_Presentation[[#This Row],[Due Date]],Main_Presentation[[#This Row],[Days]])</f>
        <v>315480.65000000002</v>
      </c>
      <c r="AB613" s="16"/>
    </row>
    <row r="614" spans="1:28" ht="15.75" hidden="1" x14ac:dyDescent="0.25">
      <c r="A614" s="20" t="s">
        <v>365</v>
      </c>
      <c r="B614" s="15">
        <v>45669</v>
      </c>
      <c r="C614" s="26">
        <v>13</v>
      </c>
      <c r="D614" s="55" t="str">
        <f>VLOOKUP(Main_Presentation[[#This Row],[LC Number]],Main_Issuance[],3,0)</f>
        <v>Tareeq Telmasani</v>
      </c>
      <c r="E614" s="16" t="s">
        <v>856</v>
      </c>
      <c r="F614" s="16" t="str">
        <f>VLOOKUP(Main_Presentation[[#This Row],[LC Number]],Main_Issuance[],5,0)</f>
        <v>SAB</v>
      </c>
      <c r="G614" s="16" t="str">
        <f>VLOOKUP(Main_Presentation[[#This Row],[LC Number]],Main_Issuance[],6,0)</f>
        <v>CEER</v>
      </c>
      <c r="H614" s="16" t="str">
        <f>VLOOKUP(Main_Presentation[[#This Row],[LC Number]],Main_Issuance[],17,0)</f>
        <v>Credit</v>
      </c>
      <c r="I614" s="16" t="str">
        <f>VLOOKUP(Main_Presentation[[#This Row],[LC Number]],Main_Issuance[],7,0)</f>
        <v>METALLURGICAL CORP OF CHINA (MCC)</v>
      </c>
      <c r="J614" s="16" t="str">
        <f>VLOOKUP(Main_Presentation[[#This Row],[LC Number]],Main_Issuance[],8,0)</f>
        <v>MBL</v>
      </c>
      <c r="K614" s="16" t="str">
        <f>VLOOKUP(Main_Presentation[[#This Row],[LC Number]],Main_Issuance[],9,0)</f>
        <v>CEER</v>
      </c>
      <c r="L614" s="16">
        <f>VLOOKUP(Main_Presentation[[#This Row],[LC Number]],Main_Issuance[],10,0)</f>
        <v>1020091</v>
      </c>
      <c r="M614" s="16" t="str">
        <f>VLOOKUP(Main_Presentation[[#This Row],[LC Number]],Main_Issuance[],11,0)</f>
        <v>SAR</v>
      </c>
      <c r="N614" s="86">
        <f>VLOOKUP(Main_Presentation[[#This Row],[LC Number]],Main_Issuance[],12,0)</f>
        <v>583175399</v>
      </c>
      <c r="O614" s="16" t="s">
        <v>20</v>
      </c>
      <c r="P614" s="16" t="s">
        <v>857</v>
      </c>
      <c r="Q614" s="131">
        <v>10921011.77</v>
      </c>
      <c r="R614" s="18">
        <v>1</v>
      </c>
      <c r="S614" s="18">
        <f>Main_Presentation[[#This Row],[Invoice Amt (FCY)]]*Main_Presentation[[#This Row],[Rate]]</f>
        <v>10921011.77</v>
      </c>
      <c r="T614" s="15">
        <v>45679</v>
      </c>
      <c r="U614" s="26" t="str">
        <f>VLOOKUP(Main_Presentation[[#This Row],[LC Number]],Main_Issuance[],18,0)</f>
        <v>14 Days after Sight</v>
      </c>
      <c r="V614" s="19" t="s">
        <v>367</v>
      </c>
      <c r="W614" s="22" t="s">
        <v>857</v>
      </c>
      <c r="X614" s="16"/>
      <c r="Y614" s="234" t="str">
        <f>TRIM(LEFT(Main_Presentation[[#This Row],[Payment Terms]],3))</f>
        <v>14</v>
      </c>
      <c r="Z614" s="16"/>
      <c r="AA614" s="316" cm="1">
        <f t="array" ref="AA614">Settlement(Main_Presentation[[#This Row],[Bank]],Main_Presentation[[#This Row],[ Invoice Amt (SAR)]],Main_Presentation[[#This Row],[Date Recd]],Main_Presentation[[#This Row],[Due Date]],Main_Presentation[[#This Row],[Days]])</f>
        <v>47097.1</v>
      </c>
      <c r="AB614" s="16"/>
    </row>
    <row r="615" spans="1:28" ht="15.75" hidden="1" x14ac:dyDescent="0.25">
      <c r="A615" s="20" t="s">
        <v>468</v>
      </c>
      <c r="B615" s="15">
        <v>45659</v>
      </c>
      <c r="C615" s="26">
        <v>8</v>
      </c>
      <c r="D615" s="55" t="str">
        <f>VLOOKUP(Main_Presentation[[#This Row],[LC Number]],Main_Issuance[],3,0)</f>
        <v>Tareeq Telmasani</v>
      </c>
      <c r="E615" s="16" t="s">
        <v>856</v>
      </c>
      <c r="F615" s="16" t="str">
        <f>VLOOKUP(Main_Presentation[[#This Row],[LC Number]],Main_Issuance[],5,0)</f>
        <v>SAB</v>
      </c>
      <c r="G615" s="16" t="str">
        <f>VLOOKUP(Main_Presentation[[#This Row],[LC Number]],Main_Issuance[],6,0)</f>
        <v>CEER</v>
      </c>
      <c r="H615" s="16" t="str">
        <f>VLOOKUP(Main_Presentation[[#This Row],[LC Number]],Main_Issuance[],17,0)</f>
        <v>Credit</v>
      </c>
      <c r="I615" s="16" t="str">
        <f>VLOOKUP(Main_Presentation[[#This Row],[LC Number]],Main_Issuance[],7,0)</f>
        <v>Roof Metal Ind LLC</v>
      </c>
      <c r="J615" s="16" t="str">
        <f>VLOOKUP(Main_Presentation[[#This Row],[LC Number]],Main_Issuance[],8,0)</f>
        <v>MBL</v>
      </c>
      <c r="K615" s="16" t="str">
        <f>VLOOKUP(Main_Presentation[[#This Row],[LC Number]],Main_Issuance[],9,0)</f>
        <v>CEER</v>
      </c>
      <c r="L615" s="16">
        <f>VLOOKUP(Main_Presentation[[#This Row],[LC Number]],Main_Issuance[],10,0)</f>
        <v>1020091</v>
      </c>
      <c r="M615" s="16" t="str">
        <f>VLOOKUP(Main_Presentation[[#This Row],[LC Number]],Main_Issuance[],11,0)</f>
        <v>AED</v>
      </c>
      <c r="N615" s="86">
        <f>VLOOKUP(Main_Presentation[[#This Row],[LC Number]],Main_Issuance[],12,0)</f>
        <v>4156524</v>
      </c>
      <c r="O615" s="16" t="s">
        <v>20</v>
      </c>
      <c r="P615" s="16" t="s">
        <v>857</v>
      </c>
      <c r="Q615" s="131">
        <v>101319.7</v>
      </c>
      <c r="R615" s="18">
        <v>1.026</v>
      </c>
      <c r="S615" s="18">
        <f>Main_Presentation[[#This Row],[Invoice Amt (FCY)]]*Main_Presentation[[#This Row],[Rate]]</f>
        <v>103954.0122</v>
      </c>
      <c r="T615" s="15">
        <v>45663</v>
      </c>
      <c r="U615" s="26" t="str">
        <f>VLOOKUP(Main_Presentation[[#This Row],[LC Number]],Main_Issuance[],18,0)</f>
        <v>Sight</v>
      </c>
      <c r="V615" s="19" t="s">
        <v>367</v>
      </c>
      <c r="W615" s="22" t="s">
        <v>857</v>
      </c>
      <c r="X615" s="16"/>
      <c r="Y615" s="234" t="str">
        <f>TRIM(LEFT(Main_Presentation[[#This Row],[Payment Terms]],3))</f>
        <v>Sig</v>
      </c>
      <c r="Z615" s="16"/>
      <c r="AA615" s="316" t="e" cm="1">
        <f t="array" ref="AA615">Settlement(Main_Presentation[[#This Row],[Bank]],Main_Presentation[[#This Row],[ Invoice Amt (SAR)]],Main_Presentation[[#This Row],[Date Recd]],Main_Presentation[[#This Row],[Due Date]],Main_Presentation[[#This Row],[Days]])</f>
        <v>#VALUE!</v>
      </c>
      <c r="AB615" s="16"/>
    </row>
    <row r="616" spans="1:28" ht="15.75" hidden="1" x14ac:dyDescent="0.25">
      <c r="A616" s="20" t="s">
        <v>365</v>
      </c>
      <c r="B616" s="15">
        <v>45677</v>
      </c>
      <c r="C616" s="26">
        <v>14</v>
      </c>
      <c r="D616" s="55" t="str">
        <f>VLOOKUP(Main_Presentation[[#This Row],[LC Number]],Main_Issuance[],3,0)</f>
        <v>Tareeq Telmasani</v>
      </c>
      <c r="E616" s="16" t="s">
        <v>856</v>
      </c>
      <c r="F616" s="16" t="str">
        <f>VLOOKUP(Main_Presentation[[#This Row],[LC Number]],Main_Issuance[],5,0)</f>
        <v>SAB</v>
      </c>
      <c r="G616" s="16" t="str">
        <f>VLOOKUP(Main_Presentation[[#This Row],[LC Number]],Main_Issuance[],6,0)</f>
        <v>CEER</v>
      </c>
      <c r="H616" s="16" t="str">
        <f>VLOOKUP(Main_Presentation[[#This Row],[LC Number]],Main_Issuance[],17,0)</f>
        <v>Credit</v>
      </c>
      <c r="I616" s="16" t="str">
        <f>VLOOKUP(Main_Presentation[[#This Row],[LC Number]],Main_Issuance[],7,0)</f>
        <v>METALLURGICAL CORP OF CHINA (MCC)</v>
      </c>
      <c r="J616" s="16" t="str">
        <f>VLOOKUP(Main_Presentation[[#This Row],[LC Number]],Main_Issuance[],8,0)</f>
        <v>MBL</v>
      </c>
      <c r="K616" s="16" t="str">
        <f>VLOOKUP(Main_Presentation[[#This Row],[LC Number]],Main_Issuance[],9,0)</f>
        <v>CEER</v>
      </c>
      <c r="L616" s="16">
        <f>VLOOKUP(Main_Presentation[[#This Row],[LC Number]],Main_Issuance[],10,0)</f>
        <v>1020091</v>
      </c>
      <c r="M616" s="16" t="str">
        <f>VLOOKUP(Main_Presentation[[#This Row],[LC Number]],Main_Issuance[],11,0)</f>
        <v>SAR</v>
      </c>
      <c r="N616" s="86">
        <f>VLOOKUP(Main_Presentation[[#This Row],[LC Number]],Main_Issuance[],12,0)</f>
        <v>583175399</v>
      </c>
      <c r="O616" s="16" t="s">
        <v>20</v>
      </c>
      <c r="P616" s="16" t="s">
        <v>857</v>
      </c>
      <c r="Q616" s="131">
        <v>3735037.03</v>
      </c>
      <c r="R616" s="18">
        <v>1</v>
      </c>
      <c r="S616" s="18">
        <f>Main_Presentation[[#This Row],[Invoice Amt (FCY)]]*Main_Presentation[[#This Row],[Rate]]</f>
        <v>3735037.03</v>
      </c>
      <c r="T616" s="15">
        <v>45686</v>
      </c>
      <c r="U616" s="26" t="str">
        <f>VLOOKUP(Main_Presentation[[#This Row],[LC Number]],Main_Issuance[],18,0)</f>
        <v>14 Days after Sight</v>
      </c>
      <c r="V616" s="21" t="s">
        <v>367</v>
      </c>
      <c r="W616" s="22" t="s">
        <v>857</v>
      </c>
      <c r="X616" s="16"/>
      <c r="Y616" s="234" t="str">
        <f>TRIM(LEFT(Main_Presentation[[#This Row],[Payment Terms]],3))</f>
        <v>14</v>
      </c>
      <c r="Z616" s="16"/>
      <c r="AA616" s="316" cm="1">
        <f t="array" ref="AA616">Settlement(Main_Presentation[[#This Row],[Bank]],Main_Presentation[[#This Row],[ Invoice Amt (SAR)]],Main_Presentation[[#This Row],[Date Recd]],Main_Presentation[[#This Row],[Due Date]],Main_Presentation[[#This Row],[Days]])</f>
        <v>16106.9</v>
      </c>
      <c r="AB616" s="16"/>
    </row>
    <row r="617" spans="1:28" ht="15.75" hidden="1" x14ac:dyDescent="0.25">
      <c r="A617" s="20" t="s">
        <v>672</v>
      </c>
      <c r="B617" s="15">
        <v>45698</v>
      </c>
      <c r="C617" s="26">
        <v>1</v>
      </c>
      <c r="D617" s="55" t="str">
        <f>VLOOKUP(Main_Presentation[[#This Row],[LC Number]],Main_Issuance[],3,0)</f>
        <v>Tareeq Telmasani</v>
      </c>
      <c r="E617" s="16" t="s">
        <v>856</v>
      </c>
      <c r="F617" s="17" t="str">
        <f>VLOOKUP(Main_Presentation[[#This Row],[LC Number]],Main_Issuance[],5,0)</f>
        <v>SAB</v>
      </c>
      <c r="G617" s="17" t="str">
        <f>VLOOKUP(Main_Presentation[[#This Row],[LC Number]],Main_Issuance[],6,0)</f>
        <v>CEER</v>
      </c>
      <c r="H617" s="17" t="str">
        <f>VLOOKUP(Main_Presentation[[#This Row],[LC Number]],Main_Issuance[],17,0)</f>
        <v>Credit</v>
      </c>
      <c r="I617" s="17" t="str">
        <f>VLOOKUP(Main_Presentation[[#This Row],[LC Number]],Main_Issuance[],7,0)</f>
        <v>Roof Metal Ind LLC</v>
      </c>
      <c r="J617" s="17" t="str">
        <f>VLOOKUP(Main_Presentation[[#This Row],[LC Number]],Main_Issuance[],8,0)</f>
        <v>MBL</v>
      </c>
      <c r="K617" s="17" t="str">
        <f>VLOOKUP(Main_Presentation[[#This Row],[LC Number]],Main_Issuance[],9,0)</f>
        <v>CEER</v>
      </c>
      <c r="L617" s="17">
        <f>VLOOKUP(Main_Presentation[[#This Row],[LC Number]],Main_Issuance[],10,0)</f>
        <v>1020091</v>
      </c>
      <c r="M617" s="17" t="str">
        <f>VLOOKUP(Main_Presentation[[#This Row],[LC Number]],Main_Issuance[],11,0)</f>
        <v>AED</v>
      </c>
      <c r="N617" s="84">
        <f>VLOOKUP(Main_Presentation[[#This Row],[LC Number]],Main_Issuance[],12,0)</f>
        <v>12740122</v>
      </c>
      <c r="O617" s="16" t="s">
        <v>20</v>
      </c>
      <c r="P617" s="16" t="s">
        <v>857</v>
      </c>
      <c r="Q617" s="131">
        <v>436294.9</v>
      </c>
      <c r="R617" s="18">
        <v>1.026</v>
      </c>
      <c r="S617" s="18">
        <f>Main_Presentation[[#This Row],[Invoice Amt (FCY)]]*Main_Presentation[[#This Row],[Rate]]</f>
        <v>447638.56740000006</v>
      </c>
      <c r="T617" s="15">
        <v>45700</v>
      </c>
      <c r="U617" s="26" t="str">
        <f>VLOOKUP(Main_Presentation[[#This Row],[LC Number]],Main_Issuance[],18,0)</f>
        <v>Sight</v>
      </c>
      <c r="V617" s="21" t="s">
        <v>367</v>
      </c>
      <c r="W617" s="22" t="s">
        <v>857</v>
      </c>
      <c r="X617" s="16"/>
      <c r="Y617" s="234" t="str">
        <f>TRIM(LEFT(Main_Presentation[[#This Row],[Payment Terms]],3))</f>
        <v>Sig</v>
      </c>
      <c r="Z617" s="16"/>
      <c r="AA617" s="316" t="e" cm="1">
        <f t="array" ref="AA617">Settlement(Main_Presentation[[#This Row],[Bank]],Main_Presentation[[#This Row],[ Invoice Amt (SAR)]],Main_Presentation[[#This Row],[Date Recd]],Main_Presentation[[#This Row],[Due Date]],Main_Presentation[[#This Row],[Days]])</f>
        <v>#VALUE!</v>
      </c>
      <c r="AB617" s="16"/>
    </row>
    <row r="618" spans="1:28" ht="15.75" hidden="1" x14ac:dyDescent="0.25">
      <c r="A618" s="20" t="s">
        <v>365</v>
      </c>
      <c r="B618" s="15">
        <v>45706</v>
      </c>
      <c r="C618" s="26">
        <v>15</v>
      </c>
      <c r="D618" s="55" t="str">
        <f>VLOOKUP(Main_Presentation[[#This Row],[LC Number]],Main_Issuance[],3,0)</f>
        <v>Tareeq Telmasani</v>
      </c>
      <c r="E618" s="16" t="s">
        <v>856</v>
      </c>
      <c r="F618" s="16" t="str">
        <f>VLOOKUP(Main_Presentation[[#This Row],[LC Number]],Main_Issuance[],5,0)</f>
        <v>SAB</v>
      </c>
      <c r="G618" s="16" t="str">
        <f>VLOOKUP(Main_Presentation[[#This Row],[LC Number]],Main_Issuance[],6,0)</f>
        <v>CEER</v>
      </c>
      <c r="H618" s="16" t="str">
        <f>VLOOKUP(Main_Presentation[[#This Row],[LC Number]],Main_Issuance[],17,0)</f>
        <v>Credit</v>
      </c>
      <c r="I618" s="16" t="str">
        <f>VLOOKUP(Main_Presentation[[#This Row],[LC Number]],Main_Issuance[],7,0)</f>
        <v>METALLURGICAL CORP OF CHINA (MCC)</v>
      </c>
      <c r="J618" s="16" t="str">
        <f>VLOOKUP(Main_Presentation[[#This Row],[LC Number]],Main_Issuance[],8,0)</f>
        <v>MBL</v>
      </c>
      <c r="K618" s="16" t="str">
        <f>VLOOKUP(Main_Presentation[[#This Row],[LC Number]],Main_Issuance[],9,0)</f>
        <v>CEER</v>
      </c>
      <c r="L618" s="16">
        <f>VLOOKUP(Main_Presentation[[#This Row],[LC Number]],Main_Issuance[],10,0)</f>
        <v>1020091</v>
      </c>
      <c r="M618" s="16" t="str">
        <f>VLOOKUP(Main_Presentation[[#This Row],[LC Number]],Main_Issuance[],11,0)</f>
        <v>SAR</v>
      </c>
      <c r="N618" s="86">
        <f>VLOOKUP(Main_Presentation[[#This Row],[LC Number]],Main_Issuance[],12,0)</f>
        <v>583175399</v>
      </c>
      <c r="O618" s="16" t="s">
        <v>20</v>
      </c>
      <c r="P618" s="16" t="s">
        <v>857</v>
      </c>
      <c r="Q618" s="131">
        <v>57913989.060000002</v>
      </c>
      <c r="R618" s="18">
        <v>1</v>
      </c>
      <c r="S618" s="18">
        <f>Main_Presentation[[#This Row],[Invoice Amt (FCY)]]*Main_Presentation[[#This Row],[Rate]]</f>
        <v>57913989.060000002</v>
      </c>
      <c r="T618" s="15">
        <v>45718</v>
      </c>
      <c r="U618" s="26" t="str">
        <f>VLOOKUP(Main_Presentation[[#This Row],[LC Number]],Main_Issuance[],18,0)</f>
        <v>14 Days after Sight</v>
      </c>
      <c r="V618" s="21" t="s">
        <v>367</v>
      </c>
      <c r="W618" s="22" t="s">
        <v>857</v>
      </c>
      <c r="X618" s="16"/>
      <c r="Y618" s="234" t="str">
        <f>TRIM(LEFT(Main_Presentation[[#This Row],[Payment Terms]],3))</f>
        <v>14</v>
      </c>
      <c r="Z618" s="16"/>
      <c r="AA618" s="316" cm="1">
        <f t="array" ref="AA618">Settlement(Main_Presentation[[#This Row],[Bank]],Main_Presentation[[#This Row],[ Invoice Amt (SAR)]],Main_Presentation[[#This Row],[Date Recd]],Main_Presentation[[#This Row],[Due Date]],Main_Presentation[[#This Row],[Days]])</f>
        <v>249753.55</v>
      </c>
      <c r="AB618" s="16"/>
    </row>
    <row r="619" spans="1:28" ht="15.75" hidden="1" x14ac:dyDescent="0.25">
      <c r="A619" s="20" t="s">
        <v>672</v>
      </c>
      <c r="B619" s="15">
        <v>45713</v>
      </c>
      <c r="C619" s="26">
        <v>2</v>
      </c>
      <c r="D619" s="55" t="str">
        <f>VLOOKUP(Main_Presentation[[#This Row],[LC Number]],Main_Issuance[],3,0)</f>
        <v>Tareeq Telmasani</v>
      </c>
      <c r="E619" s="16" t="s">
        <v>856</v>
      </c>
      <c r="F619" s="16" t="str">
        <f>VLOOKUP(Main_Presentation[[#This Row],[LC Number]],Main_Issuance[],5,0)</f>
        <v>SAB</v>
      </c>
      <c r="G619" s="16" t="str">
        <f>VLOOKUP(Main_Presentation[[#This Row],[LC Number]],Main_Issuance[],6,0)</f>
        <v>CEER</v>
      </c>
      <c r="H619" s="16" t="str">
        <f>VLOOKUP(Main_Presentation[[#This Row],[LC Number]],Main_Issuance[],17,0)</f>
        <v>Credit</v>
      </c>
      <c r="I619" s="16" t="str">
        <f>VLOOKUP(Main_Presentation[[#This Row],[LC Number]],Main_Issuance[],7,0)</f>
        <v>Roof Metal Ind LLC</v>
      </c>
      <c r="J619" s="16" t="str">
        <f>VLOOKUP(Main_Presentation[[#This Row],[LC Number]],Main_Issuance[],8,0)</f>
        <v>MBL</v>
      </c>
      <c r="K619" s="16" t="str">
        <f>VLOOKUP(Main_Presentation[[#This Row],[LC Number]],Main_Issuance[],9,0)</f>
        <v>CEER</v>
      </c>
      <c r="L619" s="16">
        <f>VLOOKUP(Main_Presentation[[#This Row],[LC Number]],Main_Issuance[],10,0)</f>
        <v>1020091</v>
      </c>
      <c r="M619" s="16" t="str">
        <f>VLOOKUP(Main_Presentation[[#This Row],[LC Number]],Main_Issuance[],11,0)</f>
        <v>AED</v>
      </c>
      <c r="N619" s="86">
        <f>VLOOKUP(Main_Presentation[[#This Row],[LC Number]],Main_Issuance[],12,0)</f>
        <v>12740122</v>
      </c>
      <c r="O619" s="16" t="s">
        <v>20</v>
      </c>
      <c r="P619" s="16" t="s">
        <v>857</v>
      </c>
      <c r="Q619" s="131">
        <v>493975.53</v>
      </c>
      <c r="R619" s="18">
        <v>1.03</v>
      </c>
      <c r="S619" s="18">
        <f>Main_Presentation[[#This Row],[Invoice Amt (FCY)]]*Main_Presentation[[#This Row],[Rate]]</f>
        <v>508794.79590000003</v>
      </c>
      <c r="T619" s="15">
        <v>45715</v>
      </c>
      <c r="U619" s="26" t="str">
        <f>VLOOKUP(Main_Presentation[[#This Row],[LC Number]],Main_Issuance[],18,0)</f>
        <v>Sight</v>
      </c>
      <c r="V619" s="21" t="s">
        <v>367</v>
      </c>
      <c r="W619" s="22" t="s">
        <v>857</v>
      </c>
      <c r="X619" s="16"/>
      <c r="Y619" s="234" t="str">
        <f>TRIM(LEFT(Main_Presentation[[#This Row],[Payment Terms]],3))</f>
        <v>Sig</v>
      </c>
      <c r="Z619" s="16"/>
      <c r="AA619" s="316" t="e" cm="1">
        <f t="array" ref="AA619">Settlement(Main_Presentation[[#This Row],[Bank]],Main_Presentation[[#This Row],[ Invoice Amt (SAR)]],Main_Presentation[[#This Row],[Date Recd]],Main_Presentation[[#This Row],[Due Date]],Main_Presentation[[#This Row],[Days]])</f>
        <v>#VALUE!</v>
      </c>
      <c r="AB619" s="16"/>
    </row>
    <row r="620" spans="1:28" ht="15.75" hidden="1" x14ac:dyDescent="0.25">
      <c r="A620" s="20" t="s">
        <v>672</v>
      </c>
      <c r="B620" s="15">
        <v>45714</v>
      </c>
      <c r="C620" s="26">
        <v>3</v>
      </c>
      <c r="D620" s="55" t="str">
        <f>VLOOKUP(Main_Presentation[[#This Row],[LC Number]],Main_Issuance[],3,0)</f>
        <v>Tareeq Telmasani</v>
      </c>
      <c r="E620" s="16" t="s">
        <v>856</v>
      </c>
      <c r="F620" s="16" t="str">
        <f>VLOOKUP(Main_Presentation[[#This Row],[LC Number]],Main_Issuance[],5,0)</f>
        <v>SAB</v>
      </c>
      <c r="G620" s="16" t="str">
        <f>VLOOKUP(Main_Presentation[[#This Row],[LC Number]],Main_Issuance[],6,0)</f>
        <v>CEER</v>
      </c>
      <c r="H620" s="16" t="str">
        <f>VLOOKUP(Main_Presentation[[#This Row],[LC Number]],Main_Issuance[],17,0)</f>
        <v>Credit</v>
      </c>
      <c r="I620" s="16" t="str">
        <f>VLOOKUP(Main_Presentation[[#This Row],[LC Number]],Main_Issuance[],7,0)</f>
        <v>Roof Metal Ind LLC</v>
      </c>
      <c r="J620" s="16" t="str">
        <f>VLOOKUP(Main_Presentation[[#This Row],[LC Number]],Main_Issuance[],8,0)</f>
        <v>MBL</v>
      </c>
      <c r="K620" s="16" t="str">
        <f>VLOOKUP(Main_Presentation[[#This Row],[LC Number]],Main_Issuance[],9,0)</f>
        <v>CEER</v>
      </c>
      <c r="L620" s="16">
        <f>VLOOKUP(Main_Presentation[[#This Row],[LC Number]],Main_Issuance[],10,0)</f>
        <v>1020091</v>
      </c>
      <c r="M620" s="16" t="str">
        <f>VLOOKUP(Main_Presentation[[#This Row],[LC Number]],Main_Issuance[],11,0)</f>
        <v>AED</v>
      </c>
      <c r="N620" s="86">
        <f>VLOOKUP(Main_Presentation[[#This Row],[LC Number]],Main_Issuance[],12,0)</f>
        <v>12740122</v>
      </c>
      <c r="O620" s="16" t="s">
        <v>20</v>
      </c>
      <c r="P620" s="16" t="s">
        <v>857</v>
      </c>
      <c r="Q620" s="131">
        <v>408647.06</v>
      </c>
      <c r="R620" s="18">
        <v>1.026</v>
      </c>
      <c r="S620" s="18">
        <f>Main_Presentation[[#This Row],[Invoice Amt (FCY)]]*Main_Presentation[[#This Row],[Rate]]</f>
        <v>419271.88355999999</v>
      </c>
      <c r="T620" s="15">
        <v>45719</v>
      </c>
      <c r="U620" s="26" t="str">
        <f>VLOOKUP(Main_Presentation[[#This Row],[LC Number]],Main_Issuance[],18,0)</f>
        <v>Sight</v>
      </c>
      <c r="V620" s="21" t="s">
        <v>367</v>
      </c>
      <c r="W620" s="22" t="s">
        <v>857</v>
      </c>
      <c r="X620" s="16"/>
      <c r="Y620" s="234" t="str">
        <f>TRIM(LEFT(Main_Presentation[[#This Row],[Payment Terms]],3))</f>
        <v>Sig</v>
      </c>
      <c r="Z620" s="16"/>
      <c r="AA620" s="316" t="e" cm="1">
        <f t="array" ref="AA620">Settlement(Main_Presentation[[#This Row],[Bank]],Main_Presentation[[#This Row],[ Invoice Amt (SAR)]],Main_Presentation[[#This Row],[Date Recd]],Main_Presentation[[#This Row],[Due Date]],Main_Presentation[[#This Row],[Days]])</f>
        <v>#VALUE!</v>
      </c>
      <c r="AB620" s="16"/>
    </row>
    <row r="621" spans="1:28" ht="15.75" hidden="1" x14ac:dyDescent="0.25">
      <c r="A621" s="20" t="s">
        <v>672</v>
      </c>
      <c r="B621" s="15">
        <v>45715</v>
      </c>
      <c r="C621" s="26">
        <v>4</v>
      </c>
      <c r="D621" s="55" t="str">
        <f>VLOOKUP(Main_Presentation[[#This Row],[LC Number]],Main_Issuance[],3,0)</f>
        <v>Tareeq Telmasani</v>
      </c>
      <c r="E621" s="16" t="s">
        <v>856</v>
      </c>
      <c r="F621" s="16" t="str">
        <f>VLOOKUP(Main_Presentation[[#This Row],[LC Number]],Main_Issuance[],5,0)</f>
        <v>SAB</v>
      </c>
      <c r="G621" s="16" t="str">
        <f>VLOOKUP(Main_Presentation[[#This Row],[LC Number]],Main_Issuance[],6,0)</f>
        <v>CEER</v>
      </c>
      <c r="H621" s="16" t="str">
        <f>VLOOKUP(Main_Presentation[[#This Row],[LC Number]],Main_Issuance[],17,0)</f>
        <v>Credit</v>
      </c>
      <c r="I621" s="16" t="str">
        <f>VLOOKUP(Main_Presentation[[#This Row],[LC Number]],Main_Issuance[],7,0)</f>
        <v>Roof Metal Ind LLC</v>
      </c>
      <c r="J621" s="16" t="str">
        <f>VLOOKUP(Main_Presentation[[#This Row],[LC Number]],Main_Issuance[],8,0)</f>
        <v>MBL</v>
      </c>
      <c r="K621" s="16" t="str">
        <f>VLOOKUP(Main_Presentation[[#This Row],[LC Number]],Main_Issuance[],9,0)</f>
        <v>CEER</v>
      </c>
      <c r="L621" s="16">
        <f>VLOOKUP(Main_Presentation[[#This Row],[LC Number]],Main_Issuance[],10,0)</f>
        <v>1020091</v>
      </c>
      <c r="M621" s="16" t="str">
        <f>VLOOKUP(Main_Presentation[[#This Row],[LC Number]],Main_Issuance[],11,0)</f>
        <v>AED</v>
      </c>
      <c r="N621" s="86">
        <f>VLOOKUP(Main_Presentation[[#This Row],[LC Number]],Main_Issuance[],12,0)</f>
        <v>12740122</v>
      </c>
      <c r="O621" s="16" t="s">
        <v>20</v>
      </c>
      <c r="P621" s="16" t="s">
        <v>857</v>
      </c>
      <c r="Q621" s="131">
        <v>457458.56</v>
      </c>
      <c r="R621" s="18">
        <v>1.0261</v>
      </c>
      <c r="S621" s="18">
        <f>Main_Presentation[[#This Row],[Invoice Amt (FCY)]]*Main_Presentation[[#This Row],[Rate]]</f>
        <v>469398.22841600003</v>
      </c>
      <c r="T621" s="15">
        <v>45720</v>
      </c>
      <c r="U621" s="26" t="str">
        <f>VLOOKUP(Main_Presentation[[#This Row],[LC Number]],Main_Issuance[],18,0)</f>
        <v>Sight</v>
      </c>
      <c r="V621" s="21" t="s">
        <v>367</v>
      </c>
      <c r="W621" s="22" t="s">
        <v>857</v>
      </c>
      <c r="X621" s="16"/>
      <c r="Y621" s="234" t="str">
        <f>TRIM(LEFT(Main_Presentation[[#This Row],[Payment Terms]],3))</f>
        <v>Sig</v>
      </c>
      <c r="Z621" s="16"/>
      <c r="AA621" s="316" t="e" cm="1">
        <f t="array" ref="AA621">Settlement(Main_Presentation[[#This Row],[Bank]],Main_Presentation[[#This Row],[ Invoice Amt (SAR)]],Main_Presentation[[#This Row],[Date Recd]],Main_Presentation[[#This Row],[Due Date]],Main_Presentation[[#This Row],[Days]])</f>
        <v>#VALUE!</v>
      </c>
      <c r="AB621" s="16"/>
    </row>
    <row r="622" spans="1:28" ht="15.75" hidden="1" x14ac:dyDescent="0.25">
      <c r="A622" s="20" t="s">
        <v>672</v>
      </c>
      <c r="B622" s="15">
        <v>45715</v>
      </c>
      <c r="C622" s="26">
        <v>5</v>
      </c>
      <c r="D622" s="55" t="str">
        <f>VLOOKUP(Main_Presentation[[#This Row],[LC Number]],Main_Issuance[],3,0)</f>
        <v>Tareeq Telmasani</v>
      </c>
      <c r="E622" s="16" t="s">
        <v>856</v>
      </c>
      <c r="F622" s="16" t="str">
        <f>VLOOKUP(Main_Presentation[[#This Row],[LC Number]],Main_Issuance[],5,0)</f>
        <v>SAB</v>
      </c>
      <c r="G622" s="16" t="str">
        <f>VLOOKUP(Main_Presentation[[#This Row],[LC Number]],Main_Issuance[],6,0)</f>
        <v>CEER</v>
      </c>
      <c r="H622" s="16" t="str">
        <f>VLOOKUP(Main_Presentation[[#This Row],[LC Number]],Main_Issuance[],17,0)</f>
        <v>Credit</v>
      </c>
      <c r="I622" s="16" t="str">
        <f>VLOOKUP(Main_Presentation[[#This Row],[LC Number]],Main_Issuance[],7,0)</f>
        <v>Roof Metal Ind LLC</v>
      </c>
      <c r="J622" s="16" t="str">
        <f>VLOOKUP(Main_Presentation[[#This Row],[LC Number]],Main_Issuance[],8,0)</f>
        <v>MBL</v>
      </c>
      <c r="K622" s="16" t="str">
        <f>VLOOKUP(Main_Presentation[[#This Row],[LC Number]],Main_Issuance[],9,0)</f>
        <v>CEER</v>
      </c>
      <c r="L622" s="16">
        <f>VLOOKUP(Main_Presentation[[#This Row],[LC Number]],Main_Issuance[],10,0)</f>
        <v>1020091</v>
      </c>
      <c r="M622" s="16" t="str">
        <f>VLOOKUP(Main_Presentation[[#This Row],[LC Number]],Main_Issuance[],11,0)</f>
        <v>AED</v>
      </c>
      <c r="N622" s="86">
        <f>VLOOKUP(Main_Presentation[[#This Row],[LC Number]],Main_Issuance[],12,0)</f>
        <v>12740122</v>
      </c>
      <c r="O622" s="16" t="s">
        <v>20</v>
      </c>
      <c r="P622" s="16" t="s">
        <v>857</v>
      </c>
      <c r="Q622" s="131">
        <v>463687.32</v>
      </c>
      <c r="R622" s="18">
        <v>1.026</v>
      </c>
      <c r="S622" s="18">
        <f>Main_Presentation[[#This Row],[Invoice Amt (FCY)]]*Main_Presentation[[#This Row],[Rate]]</f>
        <v>475743.19031999999</v>
      </c>
      <c r="T622" s="15">
        <v>45720</v>
      </c>
      <c r="U622" s="26" t="str">
        <f>VLOOKUP(Main_Presentation[[#This Row],[LC Number]],Main_Issuance[],18,0)</f>
        <v>Sight</v>
      </c>
      <c r="V622" s="21" t="s">
        <v>367</v>
      </c>
      <c r="W622" s="22" t="s">
        <v>857</v>
      </c>
      <c r="X622" s="16"/>
      <c r="Y622" s="234" t="str">
        <f>TRIM(LEFT(Main_Presentation[[#This Row],[Payment Terms]],3))</f>
        <v>Sig</v>
      </c>
      <c r="Z622" s="16"/>
      <c r="AA622" s="316" t="e" cm="1">
        <f t="array" ref="AA622">Settlement(Main_Presentation[[#This Row],[Bank]],Main_Presentation[[#This Row],[ Invoice Amt (SAR)]],Main_Presentation[[#This Row],[Date Recd]],Main_Presentation[[#This Row],[Due Date]],Main_Presentation[[#This Row],[Days]])</f>
        <v>#VALUE!</v>
      </c>
      <c r="AB622" s="16"/>
    </row>
    <row r="623" spans="1:28" ht="15.75" hidden="1" x14ac:dyDescent="0.25">
      <c r="A623" s="20" t="s">
        <v>672</v>
      </c>
      <c r="B623" s="15">
        <v>45718</v>
      </c>
      <c r="C623" s="26">
        <v>6</v>
      </c>
      <c r="D623" s="55" t="str">
        <f>VLOOKUP(Main_Presentation[[#This Row],[LC Number]],Main_Issuance[],3,0)</f>
        <v>Tareeq Telmasani</v>
      </c>
      <c r="E623" s="16" t="s">
        <v>856</v>
      </c>
      <c r="F623" s="16" t="str">
        <f>VLOOKUP(Main_Presentation[[#This Row],[LC Number]],Main_Issuance[],5,0)</f>
        <v>SAB</v>
      </c>
      <c r="G623" s="16" t="str">
        <f>VLOOKUP(Main_Presentation[[#This Row],[LC Number]],Main_Issuance[],6,0)</f>
        <v>CEER</v>
      </c>
      <c r="H623" s="16" t="str">
        <f>VLOOKUP(Main_Presentation[[#This Row],[LC Number]],Main_Issuance[],17,0)</f>
        <v>Credit</v>
      </c>
      <c r="I623" s="16" t="str">
        <f>VLOOKUP(Main_Presentation[[#This Row],[LC Number]],Main_Issuance[],7,0)</f>
        <v>Roof Metal Ind LLC</v>
      </c>
      <c r="J623" s="16" t="str">
        <f>VLOOKUP(Main_Presentation[[#This Row],[LC Number]],Main_Issuance[],8,0)</f>
        <v>MBL</v>
      </c>
      <c r="K623" s="16" t="str">
        <f>VLOOKUP(Main_Presentation[[#This Row],[LC Number]],Main_Issuance[],9,0)</f>
        <v>CEER</v>
      </c>
      <c r="L623" s="16">
        <f>VLOOKUP(Main_Presentation[[#This Row],[LC Number]],Main_Issuance[],10,0)</f>
        <v>1020091</v>
      </c>
      <c r="M623" s="16" t="str">
        <f>VLOOKUP(Main_Presentation[[#This Row],[LC Number]],Main_Issuance[],11,0)</f>
        <v>AED</v>
      </c>
      <c r="N623" s="86">
        <f>VLOOKUP(Main_Presentation[[#This Row],[LC Number]],Main_Issuance[],12,0)</f>
        <v>12740122</v>
      </c>
      <c r="O623" s="16" t="s">
        <v>20</v>
      </c>
      <c r="P623" s="16" t="s">
        <v>857</v>
      </c>
      <c r="Q623" s="131">
        <v>539791.30000000005</v>
      </c>
      <c r="R623" s="18">
        <v>1.026</v>
      </c>
      <c r="S623" s="18">
        <f>Main_Presentation[[#This Row],[Invoice Amt (FCY)]]*Main_Presentation[[#This Row],[Rate]]</f>
        <v>553825.87380000006</v>
      </c>
      <c r="T623" s="15">
        <v>45720</v>
      </c>
      <c r="U623" s="26" t="str">
        <f>VLOOKUP(Main_Presentation[[#This Row],[LC Number]],Main_Issuance[],18,0)</f>
        <v>Sight</v>
      </c>
      <c r="V623" s="21" t="s">
        <v>367</v>
      </c>
      <c r="W623" s="22" t="s">
        <v>857</v>
      </c>
      <c r="X623" s="16"/>
      <c r="Y623" s="234" t="str">
        <f>TRIM(LEFT(Main_Presentation[[#This Row],[Payment Terms]],3))</f>
        <v>Sig</v>
      </c>
      <c r="Z623" s="16"/>
      <c r="AA623" s="316" t="e" cm="1">
        <f t="array" ref="AA623">Settlement(Main_Presentation[[#This Row],[Bank]],Main_Presentation[[#This Row],[ Invoice Amt (SAR)]],Main_Presentation[[#This Row],[Date Recd]],Main_Presentation[[#This Row],[Due Date]],Main_Presentation[[#This Row],[Days]])</f>
        <v>#VALUE!</v>
      </c>
      <c r="AB623" s="16"/>
    </row>
    <row r="624" spans="1:28" ht="15.75" hidden="1" x14ac:dyDescent="0.25">
      <c r="A624" s="20" t="s">
        <v>672</v>
      </c>
      <c r="B624" s="15">
        <v>45725</v>
      </c>
      <c r="C624" s="26">
        <v>7</v>
      </c>
      <c r="D624" s="55" t="str">
        <f>VLOOKUP(Main_Presentation[[#This Row],[LC Number]],Main_Issuance[],3,0)</f>
        <v>Tareeq Telmasani</v>
      </c>
      <c r="E624" s="16" t="s">
        <v>856</v>
      </c>
      <c r="F624" s="16" t="str">
        <f>VLOOKUP(Main_Presentation[[#This Row],[LC Number]],Main_Issuance[],5,0)</f>
        <v>SAB</v>
      </c>
      <c r="G624" s="16" t="str">
        <f>VLOOKUP(Main_Presentation[[#This Row],[LC Number]],Main_Issuance[],6,0)</f>
        <v>CEER</v>
      </c>
      <c r="H624" s="16" t="str">
        <f>VLOOKUP(Main_Presentation[[#This Row],[LC Number]],Main_Issuance[],17,0)</f>
        <v>Credit</v>
      </c>
      <c r="I624" s="16" t="str">
        <f>VLOOKUP(Main_Presentation[[#This Row],[LC Number]],Main_Issuance[],7,0)</f>
        <v>Roof Metal Ind LLC</v>
      </c>
      <c r="J624" s="16" t="str">
        <f>VLOOKUP(Main_Presentation[[#This Row],[LC Number]],Main_Issuance[],8,0)</f>
        <v>MBL</v>
      </c>
      <c r="K624" s="16" t="str">
        <f>VLOOKUP(Main_Presentation[[#This Row],[LC Number]],Main_Issuance[],9,0)</f>
        <v>CEER</v>
      </c>
      <c r="L624" s="16">
        <f>VLOOKUP(Main_Presentation[[#This Row],[LC Number]],Main_Issuance[],10,0)</f>
        <v>1020091</v>
      </c>
      <c r="M624" s="16" t="str">
        <f>VLOOKUP(Main_Presentation[[#This Row],[LC Number]],Main_Issuance[],11,0)</f>
        <v>AED</v>
      </c>
      <c r="N624" s="86">
        <f>VLOOKUP(Main_Presentation[[#This Row],[LC Number]],Main_Issuance[],12,0)</f>
        <v>12740122</v>
      </c>
      <c r="O624" s="16" t="s">
        <v>20</v>
      </c>
      <c r="P624" s="16" t="s">
        <v>857</v>
      </c>
      <c r="Q624" s="131">
        <v>184188.9</v>
      </c>
      <c r="R624" s="18">
        <v>1.0261</v>
      </c>
      <c r="S624" s="18">
        <f>Main_Presentation[[#This Row],[Invoice Amt (FCY)]]*Main_Presentation[[#This Row],[Rate]]</f>
        <v>188996.23029000001</v>
      </c>
      <c r="T624" s="15">
        <v>45727</v>
      </c>
      <c r="U624" s="26" t="str">
        <f>VLOOKUP(Main_Presentation[[#This Row],[LC Number]],Main_Issuance[],18,0)</f>
        <v>Sight</v>
      </c>
      <c r="V624" s="21" t="s">
        <v>367</v>
      </c>
      <c r="W624" s="22" t="s">
        <v>857</v>
      </c>
      <c r="X624" s="16"/>
      <c r="Y624" s="234" t="str">
        <f>TRIM(LEFT(Main_Presentation[[#This Row],[Payment Terms]],3))</f>
        <v>Sig</v>
      </c>
      <c r="Z624" s="16"/>
      <c r="AA624" s="316" t="e" cm="1">
        <f t="array" ref="AA624">Settlement(Main_Presentation[[#This Row],[Bank]],Main_Presentation[[#This Row],[ Invoice Amt (SAR)]],Main_Presentation[[#This Row],[Date Recd]],Main_Presentation[[#This Row],[Due Date]],Main_Presentation[[#This Row],[Days]])</f>
        <v>#VALUE!</v>
      </c>
      <c r="AB624" s="16"/>
    </row>
    <row r="625" spans="1:28" ht="15.75" hidden="1" x14ac:dyDescent="0.25">
      <c r="A625" s="20" t="s">
        <v>672</v>
      </c>
      <c r="B625" s="15">
        <v>45725</v>
      </c>
      <c r="C625" s="26">
        <v>8</v>
      </c>
      <c r="D625" s="55" t="str">
        <f>VLOOKUP(Main_Presentation[[#This Row],[LC Number]],Main_Issuance[],3,0)</f>
        <v>Tareeq Telmasani</v>
      </c>
      <c r="E625" s="16" t="s">
        <v>856</v>
      </c>
      <c r="F625" s="16" t="str">
        <f>VLOOKUP(Main_Presentation[[#This Row],[LC Number]],Main_Issuance[],5,0)</f>
        <v>SAB</v>
      </c>
      <c r="G625" s="16" t="str">
        <f>VLOOKUP(Main_Presentation[[#This Row],[LC Number]],Main_Issuance[],6,0)</f>
        <v>CEER</v>
      </c>
      <c r="H625" s="16" t="str">
        <f>VLOOKUP(Main_Presentation[[#This Row],[LC Number]],Main_Issuance[],17,0)</f>
        <v>Credit</v>
      </c>
      <c r="I625" s="16" t="str">
        <f>VLOOKUP(Main_Presentation[[#This Row],[LC Number]],Main_Issuance[],7,0)</f>
        <v>Roof Metal Ind LLC</v>
      </c>
      <c r="J625" s="16" t="str">
        <f>VLOOKUP(Main_Presentation[[#This Row],[LC Number]],Main_Issuance[],8,0)</f>
        <v>MBL</v>
      </c>
      <c r="K625" s="16" t="str">
        <f>VLOOKUP(Main_Presentation[[#This Row],[LC Number]],Main_Issuance[],9,0)</f>
        <v>CEER</v>
      </c>
      <c r="L625" s="16">
        <f>VLOOKUP(Main_Presentation[[#This Row],[LC Number]],Main_Issuance[],10,0)</f>
        <v>1020091</v>
      </c>
      <c r="M625" s="16" t="str">
        <f>VLOOKUP(Main_Presentation[[#This Row],[LC Number]],Main_Issuance[],11,0)</f>
        <v>AED</v>
      </c>
      <c r="N625" s="86">
        <f>VLOOKUP(Main_Presentation[[#This Row],[LC Number]],Main_Issuance[],12,0)</f>
        <v>12740122</v>
      </c>
      <c r="O625" s="16" t="s">
        <v>20</v>
      </c>
      <c r="P625" s="16" t="s">
        <v>857</v>
      </c>
      <c r="Q625" s="131">
        <v>412826.79</v>
      </c>
      <c r="R625" s="18">
        <v>1.0261</v>
      </c>
      <c r="S625" s="18">
        <f>Main_Presentation[[#This Row],[Invoice Amt (FCY)]]*Main_Presentation[[#This Row],[Rate]]</f>
        <v>423601.569219</v>
      </c>
      <c r="T625" s="15">
        <v>45727</v>
      </c>
      <c r="U625" s="26" t="str">
        <f>VLOOKUP(Main_Presentation[[#This Row],[LC Number]],Main_Issuance[],18,0)</f>
        <v>Sight</v>
      </c>
      <c r="V625" s="21" t="s">
        <v>367</v>
      </c>
      <c r="W625" s="22" t="s">
        <v>857</v>
      </c>
      <c r="X625" s="16"/>
      <c r="Y625" s="234" t="str">
        <f>TRIM(LEFT(Main_Presentation[[#This Row],[Payment Terms]],3))</f>
        <v>Sig</v>
      </c>
      <c r="Z625" s="16"/>
      <c r="AA625" s="316" t="e" cm="1">
        <f t="array" ref="AA625">Settlement(Main_Presentation[[#This Row],[Bank]],Main_Presentation[[#This Row],[ Invoice Amt (SAR)]],Main_Presentation[[#This Row],[Date Recd]],Main_Presentation[[#This Row],[Due Date]],Main_Presentation[[#This Row],[Days]])</f>
        <v>#VALUE!</v>
      </c>
      <c r="AB625" s="16"/>
    </row>
    <row r="626" spans="1:28" ht="15.75" hidden="1" x14ac:dyDescent="0.25">
      <c r="A626" s="20" t="s">
        <v>672</v>
      </c>
      <c r="B626" s="15">
        <v>45725</v>
      </c>
      <c r="C626" s="26">
        <v>9</v>
      </c>
      <c r="D626" s="55" t="str">
        <f>VLOOKUP(Main_Presentation[[#This Row],[LC Number]],Main_Issuance[],3,0)</f>
        <v>Tareeq Telmasani</v>
      </c>
      <c r="E626" s="16" t="s">
        <v>856</v>
      </c>
      <c r="F626" s="16" t="str">
        <f>VLOOKUP(Main_Presentation[[#This Row],[LC Number]],Main_Issuance[],5,0)</f>
        <v>SAB</v>
      </c>
      <c r="G626" s="16" t="str">
        <f>VLOOKUP(Main_Presentation[[#This Row],[LC Number]],Main_Issuance[],6,0)</f>
        <v>CEER</v>
      </c>
      <c r="H626" s="16" t="str">
        <f>VLOOKUP(Main_Presentation[[#This Row],[LC Number]],Main_Issuance[],17,0)</f>
        <v>Credit</v>
      </c>
      <c r="I626" s="16" t="str">
        <f>VLOOKUP(Main_Presentation[[#This Row],[LC Number]],Main_Issuance[],7,0)</f>
        <v>Roof Metal Ind LLC</v>
      </c>
      <c r="J626" s="16" t="str">
        <f>VLOOKUP(Main_Presentation[[#This Row],[LC Number]],Main_Issuance[],8,0)</f>
        <v>MBL</v>
      </c>
      <c r="K626" s="16" t="str">
        <f>VLOOKUP(Main_Presentation[[#This Row],[LC Number]],Main_Issuance[],9,0)</f>
        <v>CEER</v>
      </c>
      <c r="L626" s="16">
        <f>VLOOKUP(Main_Presentation[[#This Row],[LC Number]],Main_Issuance[],10,0)</f>
        <v>1020091</v>
      </c>
      <c r="M626" s="16" t="str">
        <f>VLOOKUP(Main_Presentation[[#This Row],[LC Number]],Main_Issuance[],11,0)</f>
        <v>AED</v>
      </c>
      <c r="N626" s="86">
        <f>VLOOKUP(Main_Presentation[[#This Row],[LC Number]],Main_Issuance[],12,0)</f>
        <v>12740122</v>
      </c>
      <c r="O626" s="16" t="s">
        <v>20</v>
      </c>
      <c r="P626" s="16" t="s">
        <v>857</v>
      </c>
      <c r="Q626" s="131">
        <v>206434.46</v>
      </c>
      <c r="R626" s="18">
        <v>1.0261</v>
      </c>
      <c r="S626" s="18">
        <f>Main_Presentation[[#This Row],[Invoice Amt (FCY)]]*Main_Presentation[[#This Row],[Rate]]</f>
        <v>211822.39940599998</v>
      </c>
      <c r="T626" s="15">
        <v>45727</v>
      </c>
      <c r="U626" s="26" t="str">
        <f>VLOOKUP(Main_Presentation[[#This Row],[LC Number]],Main_Issuance[],18,0)</f>
        <v>Sight</v>
      </c>
      <c r="V626" s="21" t="s">
        <v>367</v>
      </c>
      <c r="W626" s="22" t="s">
        <v>857</v>
      </c>
      <c r="X626" s="16"/>
      <c r="Y626" s="234" t="str">
        <f>TRIM(LEFT(Main_Presentation[[#This Row],[Payment Terms]],3))</f>
        <v>Sig</v>
      </c>
      <c r="Z626" s="16"/>
      <c r="AA626" s="316" t="e" cm="1">
        <f t="array" ref="AA626">Settlement(Main_Presentation[[#This Row],[Bank]],Main_Presentation[[#This Row],[ Invoice Amt (SAR)]],Main_Presentation[[#This Row],[Date Recd]],Main_Presentation[[#This Row],[Due Date]],Main_Presentation[[#This Row],[Days]])</f>
        <v>#VALUE!</v>
      </c>
      <c r="AB626" s="16"/>
    </row>
    <row r="627" spans="1:28" ht="15.75" hidden="1" x14ac:dyDescent="0.25">
      <c r="A627" s="20" t="s">
        <v>672</v>
      </c>
      <c r="B627" s="15">
        <v>45725</v>
      </c>
      <c r="C627" s="26">
        <v>10</v>
      </c>
      <c r="D627" s="55" t="str">
        <f>VLOOKUP(Main_Presentation[[#This Row],[LC Number]],Main_Issuance[],3,0)</f>
        <v>Tareeq Telmasani</v>
      </c>
      <c r="E627" s="16" t="s">
        <v>856</v>
      </c>
      <c r="F627" s="16" t="str">
        <f>VLOOKUP(Main_Presentation[[#This Row],[LC Number]],Main_Issuance[],5,0)</f>
        <v>SAB</v>
      </c>
      <c r="G627" s="16" t="str">
        <f>VLOOKUP(Main_Presentation[[#This Row],[LC Number]],Main_Issuance[],6,0)</f>
        <v>CEER</v>
      </c>
      <c r="H627" s="16" t="str">
        <f>VLOOKUP(Main_Presentation[[#This Row],[LC Number]],Main_Issuance[],17,0)</f>
        <v>Credit</v>
      </c>
      <c r="I627" s="16" t="str">
        <f>VLOOKUP(Main_Presentation[[#This Row],[LC Number]],Main_Issuance[],7,0)</f>
        <v>Roof Metal Ind LLC</v>
      </c>
      <c r="J627" s="16" t="str">
        <f>VLOOKUP(Main_Presentation[[#This Row],[LC Number]],Main_Issuance[],8,0)</f>
        <v>MBL</v>
      </c>
      <c r="K627" s="16" t="str">
        <f>VLOOKUP(Main_Presentation[[#This Row],[LC Number]],Main_Issuance[],9,0)</f>
        <v>CEER</v>
      </c>
      <c r="L627" s="16">
        <f>VLOOKUP(Main_Presentation[[#This Row],[LC Number]],Main_Issuance[],10,0)</f>
        <v>1020091</v>
      </c>
      <c r="M627" s="16" t="str">
        <f>VLOOKUP(Main_Presentation[[#This Row],[LC Number]],Main_Issuance[],11,0)</f>
        <v>AED</v>
      </c>
      <c r="N627" s="86">
        <f>VLOOKUP(Main_Presentation[[#This Row],[LC Number]],Main_Issuance[],12,0)</f>
        <v>12740122</v>
      </c>
      <c r="O627" s="16" t="s">
        <v>20</v>
      </c>
      <c r="P627" s="16" t="s">
        <v>857</v>
      </c>
      <c r="Q627" s="131">
        <v>213531.69</v>
      </c>
      <c r="R627" s="18">
        <v>1.0261</v>
      </c>
      <c r="S627" s="18">
        <f>Main_Presentation[[#This Row],[Invoice Amt (FCY)]]*Main_Presentation[[#This Row],[Rate]]</f>
        <v>219104.86710900001</v>
      </c>
      <c r="T627" s="15">
        <v>45727</v>
      </c>
      <c r="U627" s="26" t="str">
        <f>VLOOKUP(Main_Presentation[[#This Row],[LC Number]],Main_Issuance[],18,0)</f>
        <v>Sight</v>
      </c>
      <c r="V627" s="21" t="s">
        <v>367</v>
      </c>
      <c r="W627" s="22" t="s">
        <v>857</v>
      </c>
      <c r="X627" s="16"/>
      <c r="Y627" s="234" t="str">
        <f>TRIM(LEFT(Main_Presentation[[#This Row],[Payment Terms]],3))</f>
        <v>Sig</v>
      </c>
      <c r="Z627" s="16"/>
      <c r="AA627" s="316" t="e" cm="1">
        <f t="array" ref="AA627">Settlement(Main_Presentation[[#This Row],[Bank]],Main_Presentation[[#This Row],[ Invoice Amt (SAR)]],Main_Presentation[[#This Row],[Date Recd]],Main_Presentation[[#This Row],[Due Date]],Main_Presentation[[#This Row],[Days]])</f>
        <v>#VALUE!</v>
      </c>
      <c r="AB627" s="16"/>
    </row>
    <row r="628" spans="1:28" ht="15.75" hidden="1" x14ac:dyDescent="0.25">
      <c r="A628" s="20" t="s">
        <v>365</v>
      </c>
      <c r="B628" s="15">
        <v>45726</v>
      </c>
      <c r="C628" s="26">
        <v>16</v>
      </c>
      <c r="D628" s="55" t="str">
        <f>VLOOKUP(Main_Presentation[[#This Row],[LC Number]],Main_Issuance[],3,0)</f>
        <v>Tareeq Telmasani</v>
      </c>
      <c r="E628" s="16" t="s">
        <v>856</v>
      </c>
      <c r="F628" s="16" t="str">
        <f>VLOOKUP(Main_Presentation[[#This Row],[LC Number]],Main_Issuance[],5,0)</f>
        <v>SAB</v>
      </c>
      <c r="G628" s="16" t="str">
        <f>VLOOKUP(Main_Presentation[[#This Row],[LC Number]],Main_Issuance[],6,0)</f>
        <v>CEER</v>
      </c>
      <c r="H628" s="16" t="str">
        <f>VLOOKUP(Main_Presentation[[#This Row],[LC Number]],Main_Issuance[],17,0)</f>
        <v>Credit</v>
      </c>
      <c r="I628" s="16" t="str">
        <f>VLOOKUP(Main_Presentation[[#This Row],[LC Number]],Main_Issuance[],7,0)</f>
        <v>METALLURGICAL CORP OF CHINA (MCC)</v>
      </c>
      <c r="J628" s="16" t="str">
        <f>VLOOKUP(Main_Presentation[[#This Row],[LC Number]],Main_Issuance[],8,0)</f>
        <v>MBL</v>
      </c>
      <c r="K628" s="16" t="str">
        <f>VLOOKUP(Main_Presentation[[#This Row],[LC Number]],Main_Issuance[],9,0)</f>
        <v>CEER</v>
      </c>
      <c r="L628" s="16">
        <f>VLOOKUP(Main_Presentation[[#This Row],[LC Number]],Main_Issuance[],10,0)</f>
        <v>1020091</v>
      </c>
      <c r="M628" s="16" t="str">
        <f>VLOOKUP(Main_Presentation[[#This Row],[LC Number]],Main_Issuance[],11,0)</f>
        <v>SAR</v>
      </c>
      <c r="N628" s="86">
        <f>VLOOKUP(Main_Presentation[[#This Row],[LC Number]],Main_Issuance[],12,0)</f>
        <v>583175399</v>
      </c>
      <c r="O628" s="16" t="s">
        <v>20</v>
      </c>
      <c r="P628" s="16" t="s">
        <v>857</v>
      </c>
      <c r="Q628" s="131">
        <v>42768800</v>
      </c>
      <c r="R628" s="18">
        <v>1</v>
      </c>
      <c r="S628" s="18">
        <f>Main_Presentation[[#This Row],[Invoice Amt (FCY)]]*Main_Presentation[[#This Row],[Rate]]</f>
        <v>42768800</v>
      </c>
      <c r="T628" s="15">
        <v>45734</v>
      </c>
      <c r="U628" s="26" t="str">
        <f>VLOOKUP(Main_Presentation[[#This Row],[LC Number]],Main_Issuance[],18,0)</f>
        <v>14 Days after Sight</v>
      </c>
      <c r="V628" s="21" t="s">
        <v>367</v>
      </c>
      <c r="W628" s="22" t="s">
        <v>857</v>
      </c>
      <c r="X628" s="16"/>
      <c r="Y628" s="234" t="str">
        <f>TRIM(LEFT(Main_Presentation[[#This Row],[Payment Terms]],3))</f>
        <v>14</v>
      </c>
      <c r="Z628" s="16"/>
      <c r="AA628" s="316" cm="1">
        <f t="array" ref="AA628">Settlement(Main_Presentation[[#This Row],[Bank]],Main_Presentation[[#This Row],[ Invoice Amt (SAR)]],Main_Presentation[[#This Row],[Date Recd]],Main_Presentation[[#This Row],[Due Date]],Main_Presentation[[#This Row],[Days]])</f>
        <v>184440.45</v>
      </c>
      <c r="AB628" s="16"/>
    </row>
    <row r="629" spans="1:28" ht="15.75" hidden="1" x14ac:dyDescent="0.25">
      <c r="A629" s="20" t="s">
        <v>672</v>
      </c>
      <c r="B629" s="15">
        <v>45727</v>
      </c>
      <c r="C629" s="26">
        <v>11</v>
      </c>
      <c r="D629" s="55" t="str">
        <f>VLOOKUP(Main_Presentation[[#This Row],[LC Number]],Main_Issuance[],3,0)</f>
        <v>Tareeq Telmasani</v>
      </c>
      <c r="E629" s="16" t="s">
        <v>856</v>
      </c>
      <c r="F629" s="16" t="str">
        <f>VLOOKUP(Main_Presentation[[#This Row],[LC Number]],Main_Issuance[],5,0)</f>
        <v>SAB</v>
      </c>
      <c r="G629" s="16" t="str">
        <f>VLOOKUP(Main_Presentation[[#This Row],[LC Number]],Main_Issuance[],6,0)</f>
        <v>CEER</v>
      </c>
      <c r="H629" s="16" t="str">
        <f>VLOOKUP(Main_Presentation[[#This Row],[LC Number]],Main_Issuance[],17,0)</f>
        <v>Credit</v>
      </c>
      <c r="I629" s="16" t="str">
        <f>VLOOKUP(Main_Presentation[[#This Row],[LC Number]],Main_Issuance[],7,0)</f>
        <v>Roof Metal Ind LLC</v>
      </c>
      <c r="J629" s="16" t="str">
        <f>VLOOKUP(Main_Presentation[[#This Row],[LC Number]],Main_Issuance[],8,0)</f>
        <v>MBL</v>
      </c>
      <c r="K629" s="16" t="str">
        <f>VLOOKUP(Main_Presentation[[#This Row],[LC Number]],Main_Issuance[],9,0)</f>
        <v>CEER</v>
      </c>
      <c r="L629" s="16">
        <f>VLOOKUP(Main_Presentation[[#This Row],[LC Number]],Main_Issuance[],10,0)</f>
        <v>1020091</v>
      </c>
      <c r="M629" s="16" t="str">
        <f>VLOOKUP(Main_Presentation[[#This Row],[LC Number]],Main_Issuance[],11,0)</f>
        <v>AED</v>
      </c>
      <c r="N629" s="86">
        <f>VLOOKUP(Main_Presentation[[#This Row],[LC Number]],Main_Issuance[],12,0)</f>
        <v>12740122</v>
      </c>
      <c r="O629" s="16" t="s">
        <v>20</v>
      </c>
      <c r="P629" s="16" t="s">
        <v>857</v>
      </c>
      <c r="Q629" s="131">
        <v>185714.68</v>
      </c>
      <c r="R629" s="18">
        <v>1.026</v>
      </c>
      <c r="S629" s="18">
        <f>Main_Presentation[[#This Row],[Invoice Amt (FCY)]]*Main_Presentation[[#This Row],[Rate]]</f>
        <v>190543.26168</v>
      </c>
      <c r="T629" s="15">
        <v>45729</v>
      </c>
      <c r="U629" s="26" t="str">
        <f>VLOOKUP(Main_Presentation[[#This Row],[LC Number]],Main_Issuance[],18,0)</f>
        <v>Sight</v>
      </c>
      <c r="V629" s="21" t="s">
        <v>367</v>
      </c>
      <c r="W629" s="22" t="s">
        <v>857</v>
      </c>
      <c r="X629" s="16"/>
      <c r="Y629" s="234" t="str">
        <f>TRIM(LEFT(Main_Presentation[[#This Row],[Payment Terms]],3))</f>
        <v>Sig</v>
      </c>
      <c r="Z629" s="16"/>
      <c r="AA629" s="316" t="e" cm="1">
        <f t="array" ref="AA629">Settlement(Main_Presentation[[#This Row],[Bank]],Main_Presentation[[#This Row],[ Invoice Amt (SAR)]],Main_Presentation[[#This Row],[Date Recd]],Main_Presentation[[#This Row],[Due Date]],Main_Presentation[[#This Row],[Days]])</f>
        <v>#VALUE!</v>
      </c>
      <c r="AB629" s="16"/>
    </row>
    <row r="630" spans="1:28" ht="15.75" hidden="1" x14ac:dyDescent="0.25">
      <c r="A630" s="20" t="s">
        <v>672</v>
      </c>
      <c r="B630" s="15">
        <v>45740</v>
      </c>
      <c r="C630" s="26">
        <v>12</v>
      </c>
      <c r="D630" s="55" t="str">
        <f>VLOOKUP(Main_Presentation[[#This Row],[LC Number]],Main_Issuance[],3,0)</f>
        <v>Tareeq Telmasani</v>
      </c>
      <c r="E630" s="16" t="s">
        <v>856</v>
      </c>
      <c r="F630" s="16" t="str">
        <f>VLOOKUP(Main_Presentation[[#This Row],[LC Number]],Main_Issuance[],5,0)</f>
        <v>SAB</v>
      </c>
      <c r="G630" s="16" t="str">
        <f>VLOOKUP(Main_Presentation[[#This Row],[LC Number]],Main_Issuance[],6,0)</f>
        <v>CEER</v>
      </c>
      <c r="H630" s="16" t="str">
        <f>VLOOKUP(Main_Presentation[[#This Row],[LC Number]],Main_Issuance[],17,0)</f>
        <v>Credit</v>
      </c>
      <c r="I630" s="16" t="str">
        <f>VLOOKUP(Main_Presentation[[#This Row],[LC Number]],Main_Issuance[],7,0)</f>
        <v>Roof Metal Ind LLC</v>
      </c>
      <c r="J630" s="16" t="str">
        <f>VLOOKUP(Main_Presentation[[#This Row],[LC Number]],Main_Issuance[],8,0)</f>
        <v>MBL</v>
      </c>
      <c r="K630" s="16" t="str">
        <f>VLOOKUP(Main_Presentation[[#This Row],[LC Number]],Main_Issuance[],9,0)</f>
        <v>CEER</v>
      </c>
      <c r="L630" s="16">
        <f>VLOOKUP(Main_Presentation[[#This Row],[LC Number]],Main_Issuance[],10,0)</f>
        <v>1020091</v>
      </c>
      <c r="M630" s="16" t="str">
        <f>VLOOKUP(Main_Presentation[[#This Row],[LC Number]],Main_Issuance[],11,0)</f>
        <v>AED</v>
      </c>
      <c r="N630" s="86">
        <f>VLOOKUP(Main_Presentation[[#This Row],[LC Number]],Main_Issuance[],12,0)</f>
        <v>12740122</v>
      </c>
      <c r="O630" s="16" t="s">
        <v>20</v>
      </c>
      <c r="P630" s="16" t="s">
        <v>857</v>
      </c>
      <c r="Q630" s="131">
        <v>220414.46</v>
      </c>
      <c r="R630" s="18">
        <v>1.0259</v>
      </c>
      <c r="S630" s="18">
        <f>Main_Presentation[[#This Row],[Invoice Amt (FCY)]]*Main_Presentation[[#This Row],[Rate]]</f>
        <v>226123.194514</v>
      </c>
      <c r="T630" s="15">
        <v>45742</v>
      </c>
      <c r="U630" s="26" t="str">
        <f>VLOOKUP(Main_Presentation[[#This Row],[LC Number]],Main_Issuance[],18,0)</f>
        <v>Sight</v>
      </c>
      <c r="V630" s="21" t="s">
        <v>367</v>
      </c>
      <c r="W630" s="22" t="s">
        <v>857</v>
      </c>
      <c r="X630" s="16"/>
      <c r="Y630" s="234" t="str">
        <f>TRIM(LEFT(Main_Presentation[[#This Row],[Payment Terms]],3))</f>
        <v>Sig</v>
      </c>
      <c r="Z630" s="16"/>
      <c r="AA630" s="316" t="e" cm="1">
        <f t="array" ref="AA630">Settlement(Main_Presentation[[#This Row],[Bank]],Main_Presentation[[#This Row],[ Invoice Amt (SAR)]],Main_Presentation[[#This Row],[Date Recd]],Main_Presentation[[#This Row],[Due Date]],Main_Presentation[[#This Row],[Days]])</f>
        <v>#VALUE!</v>
      </c>
      <c r="AB630" s="16"/>
    </row>
    <row r="631" spans="1:28" ht="15.75" hidden="1" x14ac:dyDescent="0.25">
      <c r="A631" s="20" t="s">
        <v>672</v>
      </c>
      <c r="B631" s="15">
        <v>45740</v>
      </c>
      <c r="C631" s="26">
        <v>13</v>
      </c>
      <c r="D631" s="55" t="str">
        <f>VLOOKUP(Main_Presentation[[#This Row],[LC Number]],Main_Issuance[],3,0)</f>
        <v>Tareeq Telmasani</v>
      </c>
      <c r="E631" s="16" t="s">
        <v>856</v>
      </c>
      <c r="F631" s="16" t="str">
        <f>VLOOKUP(Main_Presentation[[#This Row],[LC Number]],Main_Issuance[],5,0)</f>
        <v>SAB</v>
      </c>
      <c r="G631" s="16" t="str">
        <f>VLOOKUP(Main_Presentation[[#This Row],[LC Number]],Main_Issuance[],6,0)</f>
        <v>CEER</v>
      </c>
      <c r="H631" s="16" t="str">
        <f>VLOOKUP(Main_Presentation[[#This Row],[LC Number]],Main_Issuance[],17,0)</f>
        <v>Credit</v>
      </c>
      <c r="I631" s="16" t="str">
        <f>VLOOKUP(Main_Presentation[[#This Row],[LC Number]],Main_Issuance[],7,0)</f>
        <v>Roof Metal Ind LLC</v>
      </c>
      <c r="J631" s="16" t="str">
        <f>VLOOKUP(Main_Presentation[[#This Row],[LC Number]],Main_Issuance[],8,0)</f>
        <v>MBL</v>
      </c>
      <c r="K631" s="16" t="str">
        <f>VLOOKUP(Main_Presentation[[#This Row],[LC Number]],Main_Issuance[],9,0)</f>
        <v>CEER</v>
      </c>
      <c r="L631" s="16">
        <f>VLOOKUP(Main_Presentation[[#This Row],[LC Number]],Main_Issuance[],10,0)</f>
        <v>1020091</v>
      </c>
      <c r="M631" s="16" t="str">
        <f>VLOOKUP(Main_Presentation[[#This Row],[LC Number]],Main_Issuance[],11,0)</f>
        <v>AED</v>
      </c>
      <c r="N631" s="86">
        <f>VLOOKUP(Main_Presentation[[#This Row],[LC Number]],Main_Issuance[],12,0)</f>
        <v>12740122</v>
      </c>
      <c r="O631" s="16" t="s">
        <v>20</v>
      </c>
      <c r="P631" s="16" t="s">
        <v>857</v>
      </c>
      <c r="Q631" s="131">
        <v>211892.73</v>
      </c>
      <c r="R631" s="18">
        <v>1.0259</v>
      </c>
      <c r="S631" s="18">
        <f>Main_Presentation[[#This Row],[Invoice Amt (FCY)]]*Main_Presentation[[#This Row],[Rate]]</f>
        <v>217380.75170700002</v>
      </c>
      <c r="T631" s="15">
        <v>45742</v>
      </c>
      <c r="U631" s="26" t="str">
        <f>VLOOKUP(Main_Presentation[[#This Row],[LC Number]],Main_Issuance[],18,0)</f>
        <v>Sight</v>
      </c>
      <c r="V631" s="21" t="s">
        <v>367</v>
      </c>
      <c r="W631" s="22" t="s">
        <v>857</v>
      </c>
      <c r="X631" s="16"/>
      <c r="Y631" s="234" t="str">
        <f>TRIM(LEFT(Main_Presentation[[#This Row],[Payment Terms]],3))</f>
        <v>Sig</v>
      </c>
      <c r="Z631" s="16"/>
      <c r="AA631" s="316" t="e" cm="1">
        <f t="array" ref="AA631">Settlement(Main_Presentation[[#This Row],[Bank]],Main_Presentation[[#This Row],[ Invoice Amt (SAR)]],Main_Presentation[[#This Row],[Date Recd]],Main_Presentation[[#This Row],[Due Date]],Main_Presentation[[#This Row],[Days]])</f>
        <v>#VALUE!</v>
      </c>
      <c r="AB631" s="16"/>
    </row>
    <row r="632" spans="1:28" ht="15.75" hidden="1" x14ac:dyDescent="0.25">
      <c r="A632" s="20" t="s">
        <v>672</v>
      </c>
      <c r="B632" s="15">
        <v>45740</v>
      </c>
      <c r="C632" s="26">
        <v>14</v>
      </c>
      <c r="D632" s="55" t="str">
        <f>VLOOKUP(Main_Presentation[[#This Row],[LC Number]],Main_Issuance[],3,0)</f>
        <v>Tareeq Telmasani</v>
      </c>
      <c r="E632" s="16" t="s">
        <v>856</v>
      </c>
      <c r="F632" s="16" t="str">
        <f>VLOOKUP(Main_Presentation[[#This Row],[LC Number]],Main_Issuance[],5,0)</f>
        <v>SAB</v>
      </c>
      <c r="G632" s="16" t="str">
        <f>VLOOKUP(Main_Presentation[[#This Row],[LC Number]],Main_Issuance[],6,0)</f>
        <v>CEER</v>
      </c>
      <c r="H632" s="16" t="str">
        <f>VLOOKUP(Main_Presentation[[#This Row],[LC Number]],Main_Issuance[],17,0)</f>
        <v>Credit</v>
      </c>
      <c r="I632" s="16" t="str">
        <f>VLOOKUP(Main_Presentation[[#This Row],[LC Number]],Main_Issuance[],7,0)</f>
        <v>Roof Metal Ind LLC</v>
      </c>
      <c r="J632" s="16" t="str">
        <f>VLOOKUP(Main_Presentation[[#This Row],[LC Number]],Main_Issuance[],8,0)</f>
        <v>MBL</v>
      </c>
      <c r="K632" s="16" t="str">
        <f>VLOOKUP(Main_Presentation[[#This Row],[LC Number]],Main_Issuance[],9,0)</f>
        <v>CEER</v>
      </c>
      <c r="L632" s="16">
        <f>VLOOKUP(Main_Presentation[[#This Row],[LC Number]],Main_Issuance[],10,0)</f>
        <v>1020091</v>
      </c>
      <c r="M632" s="16" t="str">
        <f>VLOOKUP(Main_Presentation[[#This Row],[LC Number]],Main_Issuance[],11,0)</f>
        <v>AED</v>
      </c>
      <c r="N632" s="86">
        <f>VLOOKUP(Main_Presentation[[#This Row],[LC Number]],Main_Issuance[],12,0)</f>
        <v>12740122</v>
      </c>
      <c r="O632" s="16" t="s">
        <v>20</v>
      </c>
      <c r="P632" s="16" t="s">
        <v>378</v>
      </c>
      <c r="Q632" s="131">
        <v>105946.36</v>
      </c>
      <c r="R632" s="18">
        <v>1.0259</v>
      </c>
      <c r="S632" s="18">
        <f>Main_Presentation[[#This Row],[Invoice Amt (FCY)]]*Main_Presentation[[#This Row],[Rate]]</f>
        <v>108690.37072400001</v>
      </c>
      <c r="T632" s="15">
        <v>45742</v>
      </c>
      <c r="U632" s="26" t="str">
        <f>VLOOKUP(Main_Presentation[[#This Row],[LC Number]],Main_Issuance[],18,0)</f>
        <v>Sight</v>
      </c>
      <c r="V632" s="21" t="s">
        <v>367</v>
      </c>
      <c r="W632" s="22" t="s">
        <v>857</v>
      </c>
      <c r="X632" s="16"/>
      <c r="Y632" s="234" t="str">
        <f>TRIM(LEFT(Main_Presentation[[#This Row],[Payment Terms]],3))</f>
        <v>Sig</v>
      </c>
      <c r="Z632" s="16"/>
      <c r="AA632" s="316" t="e" cm="1">
        <f t="array" ref="AA632">Settlement(Main_Presentation[[#This Row],[Bank]],Main_Presentation[[#This Row],[ Invoice Amt (SAR)]],Main_Presentation[[#This Row],[Date Recd]],Main_Presentation[[#This Row],[Due Date]],Main_Presentation[[#This Row],[Days]])</f>
        <v>#VALUE!</v>
      </c>
      <c r="AB632" s="16"/>
    </row>
    <row r="633" spans="1:28" ht="15.75" hidden="1" x14ac:dyDescent="0.25">
      <c r="A633" s="20" t="s">
        <v>736</v>
      </c>
      <c r="B633" s="15">
        <v>45778</v>
      </c>
      <c r="C633" s="26">
        <v>1</v>
      </c>
      <c r="D633" s="55" t="str">
        <f>VLOOKUP(Main_Presentation[[#This Row],[LC Number]],Main_Issuance[],3,0)</f>
        <v>Tareeq Telmasani</v>
      </c>
      <c r="E633" s="16" t="s">
        <v>856</v>
      </c>
      <c r="F633" s="16" t="str">
        <f>VLOOKUP(Main_Presentation[[#This Row],[LC Number]],Main_Issuance[],5,0)</f>
        <v>SAB</v>
      </c>
      <c r="G633" s="16" t="str">
        <f>VLOOKUP(Main_Presentation[[#This Row],[LC Number]],Main_Issuance[],6,0)</f>
        <v>CEER</v>
      </c>
      <c r="H633" s="16" t="str">
        <f>VLOOKUP(Main_Presentation[[#This Row],[LC Number]],Main_Issuance[],17,0)</f>
        <v>Credit</v>
      </c>
      <c r="I633" s="16" t="str">
        <f>VLOOKUP(Main_Presentation[[#This Row],[LC Number]],Main_Issuance[],7,0)</f>
        <v>Kingspan Insulated Panels Manufacturing LLC</v>
      </c>
      <c r="J633" s="16" t="str">
        <f>VLOOKUP(Main_Presentation[[#This Row],[LC Number]],Main_Issuance[],8,0)</f>
        <v>MBL</v>
      </c>
      <c r="K633" s="16" t="str">
        <f>VLOOKUP(Main_Presentation[[#This Row],[LC Number]],Main_Issuance[],9,0)</f>
        <v>CEER</v>
      </c>
      <c r="L633" s="16">
        <f>VLOOKUP(Main_Presentation[[#This Row],[LC Number]],Main_Issuance[],10,0)</f>
        <v>1020091</v>
      </c>
      <c r="M633" s="16" t="str">
        <f>VLOOKUP(Main_Presentation[[#This Row],[LC Number]],Main_Issuance[],11,0)</f>
        <v>SAR</v>
      </c>
      <c r="N633" s="86">
        <f>VLOOKUP(Main_Presentation[[#This Row],[LC Number]],Main_Issuance[],12,0)</f>
        <v>11632450.5</v>
      </c>
      <c r="O633" s="16" t="s">
        <v>20</v>
      </c>
      <c r="P633" s="16" t="s">
        <v>857</v>
      </c>
      <c r="Q633" s="131">
        <v>1481071.75</v>
      </c>
      <c r="R633" s="18">
        <v>1</v>
      </c>
      <c r="S633" s="18">
        <f>Main_Presentation[[#This Row],[Invoice Amt (FCY)]]*Main_Presentation[[#This Row],[Rate]]</f>
        <v>1481071.75</v>
      </c>
      <c r="T633" s="15">
        <v>45937</v>
      </c>
      <c r="U633" s="26" t="str">
        <f>VLOOKUP(Main_Presentation[[#This Row],[LC Number]],Main_Issuance[],18,0)</f>
        <v>180 Days from Invoice Date</v>
      </c>
      <c r="V633" s="21" t="s">
        <v>367</v>
      </c>
      <c r="W633" s="22" t="s">
        <v>857</v>
      </c>
      <c r="X633" s="16"/>
      <c r="Y633" s="234" t="str">
        <f>TRIM(LEFT(Main_Presentation[[#This Row],[Payment Terms]],3))</f>
        <v>180</v>
      </c>
      <c r="Z633" s="16"/>
      <c r="AA633" s="316" cm="1">
        <f t="array" ref="AA633">Settlement(Main_Presentation[[#This Row],[Bank]],Main_Presentation[[#This Row],[ Invoice Amt (SAR)]],Main_Presentation[[#This Row],[Date Recd]],Main_Presentation[[#This Row],[Due Date]],Main_Presentation[[#This Row],[Days]])</f>
        <v>6387.1</v>
      </c>
      <c r="AB633" s="16"/>
    </row>
    <row r="634" spans="1:28" ht="15.75" hidden="1" x14ac:dyDescent="0.25">
      <c r="A634" s="20" t="s">
        <v>747</v>
      </c>
      <c r="B634" s="15">
        <v>45784</v>
      </c>
      <c r="C634" s="26">
        <v>1</v>
      </c>
      <c r="D634" s="55" t="str">
        <f>VLOOKUP(Main_Presentation[[#This Row],[LC Number]],Main_Issuance[],3,0)</f>
        <v>Kotb - Morganti</v>
      </c>
      <c r="E634" s="16" t="s">
        <v>858</v>
      </c>
      <c r="F634" s="16" t="str">
        <f>VLOOKUP(Main_Presentation[[#This Row],[LC Number]],Main_Issuance[],5,0)</f>
        <v>SAB</v>
      </c>
      <c r="G634" s="16" t="str">
        <f>VLOOKUP(Main_Presentation[[#This Row],[LC Number]],Main_Issuance[],6,0)</f>
        <v>MP1</v>
      </c>
      <c r="H634" s="16" t="str">
        <f>VLOOKUP(Main_Presentation[[#This Row],[LC Number]],Main_Issuance[],17,0)</f>
        <v>Credit</v>
      </c>
      <c r="I634" s="16" t="str">
        <f>VLOOKUP(Main_Presentation[[#This Row],[LC Number]],Main_Issuance[],7,0)</f>
        <v>Brilliant Skies Est</v>
      </c>
      <c r="J634" s="16" t="str">
        <f>VLOOKUP(Main_Presentation[[#This Row],[LC Number]],Main_Issuance[],8,0)</f>
        <v>MBL/Morganti</v>
      </c>
      <c r="K634" s="16" t="str">
        <f>VLOOKUP(Main_Presentation[[#This Row],[LC Number]],Main_Issuance[],9,0)</f>
        <v>ABHA</v>
      </c>
      <c r="L634" s="16">
        <f>VLOOKUP(Main_Presentation[[#This Row],[LC Number]],Main_Issuance[],10,0)</f>
        <v>1020070</v>
      </c>
      <c r="M634" s="16" t="str">
        <f>VLOOKUP(Main_Presentation[[#This Row],[LC Number]],Main_Issuance[],11,0)</f>
        <v>SAR</v>
      </c>
      <c r="N634" s="86">
        <f>VLOOKUP(Main_Presentation[[#This Row],[LC Number]],Main_Issuance[],12,0)</f>
        <v>1000000</v>
      </c>
      <c r="O634" s="16" t="s">
        <v>20</v>
      </c>
      <c r="P634" s="16" t="s">
        <v>857</v>
      </c>
      <c r="Q634" s="131">
        <v>1000000</v>
      </c>
      <c r="R634" s="18">
        <v>1</v>
      </c>
      <c r="S634" s="18">
        <f>Main_Presentation[[#This Row],[Invoice Amt (FCY)]]*Main_Presentation[[#This Row],[Rate]]</f>
        <v>1000000</v>
      </c>
      <c r="T634" s="15">
        <v>45792</v>
      </c>
      <c r="U634" s="26" t="str">
        <f>VLOOKUP(Main_Presentation[[#This Row],[LC Number]],Main_Issuance[],18,0)</f>
        <v>120 Days from Invoice Date</v>
      </c>
      <c r="V634" s="21" t="s">
        <v>377</v>
      </c>
      <c r="W634" s="22" t="s">
        <v>857</v>
      </c>
      <c r="X634" s="16"/>
      <c r="Y634" s="234" t="str">
        <f>TRIM(LEFT(Main_Presentation[[#This Row],[Payment Terms]],3))</f>
        <v>120</v>
      </c>
      <c r="Z634" s="16"/>
      <c r="AA634" s="316" cm="1">
        <f t="array" ref="AA634">Settlement(Main_Presentation[[#This Row],[Bank]],Main_Presentation[[#This Row],[ Invoice Amt (SAR)]],Main_Presentation[[#This Row],[Date Recd]],Main_Presentation[[#This Row],[Due Date]],Main_Presentation[[#This Row],[Days]])</f>
        <v>4312.5</v>
      </c>
      <c r="AB634" s="16"/>
    </row>
    <row r="635" spans="1:28" ht="15.75" hidden="1" x14ac:dyDescent="0.25">
      <c r="A635" s="20" t="s">
        <v>672</v>
      </c>
      <c r="B635" s="15">
        <v>45785</v>
      </c>
      <c r="C635" s="26">
        <v>15</v>
      </c>
      <c r="D635" s="55" t="str">
        <f>VLOOKUP(Main_Presentation[[#This Row],[LC Number]],Main_Issuance[],3,0)</f>
        <v>Tareeq Telmasani</v>
      </c>
      <c r="E635" s="16" t="s">
        <v>856</v>
      </c>
      <c r="F635" s="16" t="str">
        <f>VLOOKUP(Main_Presentation[[#This Row],[LC Number]],Main_Issuance[],5,0)</f>
        <v>SAB</v>
      </c>
      <c r="G635" s="16" t="str">
        <f>VLOOKUP(Main_Presentation[[#This Row],[LC Number]],Main_Issuance[],6,0)</f>
        <v>CEER</v>
      </c>
      <c r="H635" s="16" t="str">
        <f>VLOOKUP(Main_Presentation[[#This Row],[LC Number]],Main_Issuance[],17,0)</f>
        <v>Credit</v>
      </c>
      <c r="I635" s="16" t="str">
        <f>VLOOKUP(Main_Presentation[[#This Row],[LC Number]],Main_Issuance[],7,0)</f>
        <v>Roof Metal Ind LLC</v>
      </c>
      <c r="J635" s="16" t="str">
        <f>VLOOKUP(Main_Presentation[[#This Row],[LC Number]],Main_Issuance[],8,0)</f>
        <v>MBL</v>
      </c>
      <c r="K635" s="16" t="str">
        <f>VLOOKUP(Main_Presentation[[#This Row],[LC Number]],Main_Issuance[],9,0)</f>
        <v>CEER</v>
      </c>
      <c r="L635" s="16">
        <f>VLOOKUP(Main_Presentation[[#This Row],[LC Number]],Main_Issuance[],10,0)</f>
        <v>1020091</v>
      </c>
      <c r="M635" s="16" t="str">
        <f>VLOOKUP(Main_Presentation[[#This Row],[LC Number]],Main_Issuance[],11,0)</f>
        <v>AED</v>
      </c>
      <c r="N635" s="86">
        <f>VLOOKUP(Main_Presentation[[#This Row],[LC Number]],Main_Issuance[],12,0)</f>
        <v>12740122</v>
      </c>
      <c r="O635" s="16" t="s">
        <v>20</v>
      </c>
      <c r="P635" s="16" t="s">
        <v>857</v>
      </c>
      <c r="Q635" s="131">
        <v>493635.45</v>
      </c>
      <c r="R635" s="18">
        <v>1.026</v>
      </c>
      <c r="S635" s="18">
        <f>Main_Presentation[[#This Row],[Invoice Amt (FCY)]]*Main_Presentation[[#This Row],[Rate]]</f>
        <v>506469.97169999999</v>
      </c>
      <c r="T635" s="15">
        <v>45789</v>
      </c>
      <c r="U635" s="26" t="str">
        <f>VLOOKUP(Main_Presentation[[#This Row],[LC Number]],Main_Issuance[],18,0)</f>
        <v>Sight</v>
      </c>
      <c r="V635" s="21" t="s">
        <v>367</v>
      </c>
      <c r="W635" s="22" t="s">
        <v>857</v>
      </c>
      <c r="X635" s="16"/>
      <c r="Y635" s="234" t="str">
        <f>TRIM(LEFT(Main_Presentation[[#This Row],[Payment Terms]],3))</f>
        <v>Sig</v>
      </c>
      <c r="Z635" s="16"/>
      <c r="AA635" s="316" t="e" cm="1">
        <f t="array" ref="AA635">Settlement(Main_Presentation[[#This Row],[Bank]],Main_Presentation[[#This Row],[ Invoice Amt (SAR)]],Main_Presentation[[#This Row],[Date Recd]],Main_Presentation[[#This Row],[Due Date]],Main_Presentation[[#This Row],[Days]])</f>
        <v>#VALUE!</v>
      </c>
      <c r="AB635" s="16"/>
    </row>
    <row r="636" spans="1:28" ht="15.75" hidden="1" x14ac:dyDescent="0.25">
      <c r="A636" s="20" t="s">
        <v>672</v>
      </c>
      <c r="B636" s="15">
        <v>45785</v>
      </c>
      <c r="C636" s="26">
        <v>16</v>
      </c>
      <c r="D636" s="55" t="str">
        <f>VLOOKUP(Main_Presentation[[#This Row],[LC Number]],Main_Issuance[],3,0)</f>
        <v>Tareeq Telmasani</v>
      </c>
      <c r="E636" s="16" t="s">
        <v>856</v>
      </c>
      <c r="F636" s="16" t="str">
        <f>VLOOKUP(Main_Presentation[[#This Row],[LC Number]],Main_Issuance[],5,0)</f>
        <v>SAB</v>
      </c>
      <c r="G636" s="16" t="str">
        <f>VLOOKUP(Main_Presentation[[#This Row],[LC Number]],Main_Issuance[],6,0)</f>
        <v>CEER</v>
      </c>
      <c r="H636" s="16" t="str">
        <f>VLOOKUP(Main_Presentation[[#This Row],[LC Number]],Main_Issuance[],17,0)</f>
        <v>Credit</v>
      </c>
      <c r="I636" s="16" t="str">
        <f>VLOOKUP(Main_Presentation[[#This Row],[LC Number]],Main_Issuance[],7,0)</f>
        <v>Roof Metal Ind LLC</v>
      </c>
      <c r="J636" s="16" t="str">
        <f>VLOOKUP(Main_Presentation[[#This Row],[LC Number]],Main_Issuance[],8,0)</f>
        <v>MBL</v>
      </c>
      <c r="K636" s="16" t="str">
        <f>VLOOKUP(Main_Presentation[[#This Row],[LC Number]],Main_Issuance[],9,0)</f>
        <v>CEER</v>
      </c>
      <c r="L636" s="16">
        <f>VLOOKUP(Main_Presentation[[#This Row],[LC Number]],Main_Issuance[],10,0)</f>
        <v>1020091</v>
      </c>
      <c r="M636" s="16" t="str">
        <f>VLOOKUP(Main_Presentation[[#This Row],[LC Number]],Main_Issuance[],11,0)</f>
        <v>AED</v>
      </c>
      <c r="N636" s="86">
        <f>VLOOKUP(Main_Presentation[[#This Row],[LC Number]],Main_Issuance[],12,0)</f>
        <v>12740122</v>
      </c>
      <c r="O636" s="16" t="s">
        <v>20</v>
      </c>
      <c r="P636" s="16" t="s">
        <v>857</v>
      </c>
      <c r="Q636" s="131">
        <v>456528.2</v>
      </c>
      <c r="R636" s="18">
        <v>1.026</v>
      </c>
      <c r="S636" s="18">
        <f>Main_Presentation[[#This Row],[Invoice Amt (FCY)]]*Main_Presentation[[#This Row],[Rate]]</f>
        <v>468397.93320000003</v>
      </c>
      <c r="T636" s="15">
        <v>45789</v>
      </c>
      <c r="U636" s="26" t="str">
        <f>VLOOKUP(Main_Presentation[[#This Row],[LC Number]],Main_Issuance[],18,0)</f>
        <v>Sight</v>
      </c>
      <c r="V636" s="21" t="s">
        <v>367</v>
      </c>
      <c r="W636" s="22" t="s">
        <v>857</v>
      </c>
      <c r="X636" s="16"/>
      <c r="Y636" s="234" t="str">
        <f>TRIM(LEFT(Main_Presentation[[#This Row],[Payment Terms]],3))</f>
        <v>Sig</v>
      </c>
      <c r="Z636" s="16"/>
      <c r="AA636" s="316" t="e" cm="1">
        <f t="array" ref="AA636">Settlement(Main_Presentation[[#This Row],[Bank]],Main_Presentation[[#This Row],[ Invoice Amt (SAR)]],Main_Presentation[[#This Row],[Date Recd]],Main_Presentation[[#This Row],[Due Date]],Main_Presentation[[#This Row],[Days]])</f>
        <v>#VALUE!</v>
      </c>
      <c r="AB636" s="16"/>
    </row>
    <row r="637" spans="1:28" ht="15.75" hidden="1" x14ac:dyDescent="0.25">
      <c r="A637" s="20" t="s">
        <v>672</v>
      </c>
      <c r="B637" s="15">
        <v>45788</v>
      </c>
      <c r="C637" s="26">
        <v>17</v>
      </c>
      <c r="D637" s="55" t="str">
        <f>VLOOKUP(Main_Presentation[[#This Row],[LC Number]],Main_Issuance[],3,0)</f>
        <v>Tareeq Telmasani</v>
      </c>
      <c r="E637" s="16" t="s">
        <v>856</v>
      </c>
      <c r="F637" s="16" t="str">
        <f>VLOOKUP(Main_Presentation[[#This Row],[LC Number]],Main_Issuance[],5,0)</f>
        <v>SAB</v>
      </c>
      <c r="G637" s="16" t="str">
        <f>VLOOKUP(Main_Presentation[[#This Row],[LC Number]],Main_Issuance[],6,0)</f>
        <v>CEER</v>
      </c>
      <c r="H637" s="16" t="str">
        <f>VLOOKUP(Main_Presentation[[#This Row],[LC Number]],Main_Issuance[],17,0)</f>
        <v>Credit</v>
      </c>
      <c r="I637" s="16" t="str">
        <f>VLOOKUP(Main_Presentation[[#This Row],[LC Number]],Main_Issuance[],7,0)</f>
        <v>Roof Metal Ind LLC</v>
      </c>
      <c r="J637" s="16" t="str">
        <f>VLOOKUP(Main_Presentation[[#This Row],[LC Number]],Main_Issuance[],8,0)</f>
        <v>MBL</v>
      </c>
      <c r="K637" s="16" t="str">
        <f>VLOOKUP(Main_Presentation[[#This Row],[LC Number]],Main_Issuance[],9,0)</f>
        <v>CEER</v>
      </c>
      <c r="L637" s="16">
        <f>VLOOKUP(Main_Presentation[[#This Row],[LC Number]],Main_Issuance[],10,0)</f>
        <v>1020091</v>
      </c>
      <c r="M637" s="16" t="str">
        <f>VLOOKUP(Main_Presentation[[#This Row],[LC Number]],Main_Issuance[],11,0)</f>
        <v>AED</v>
      </c>
      <c r="N637" s="86">
        <f>VLOOKUP(Main_Presentation[[#This Row],[LC Number]],Main_Issuance[],12,0)</f>
        <v>12740122</v>
      </c>
      <c r="O637" s="16" t="s">
        <v>20</v>
      </c>
      <c r="P637" s="16" t="s">
        <v>857</v>
      </c>
      <c r="Q637" s="131">
        <v>501046.75</v>
      </c>
      <c r="R637" s="18">
        <v>1.0261</v>
      </c>
      <c r="S637" s="18">
        <f>Main_Presentation[[#This Row],[Invoice Amt (FCY)]]*Main_Presentation[[#This Row],[Rate]]</f>
        <v>514124.070175</v>
      </c>
      <c r="T637" s="15">
        <v>45790</v>
      </c>
      <c r="U637" s="26" t="str">
        <f>VLOOKUP(Main_Presentation[[#This Row],[LC Number]],Main_Issuance[],18,0)</f>
        <v>Sight</v>
      </c>
      <c r="V637" s="21" t="s">
        <v>367</v>
      </c>
      <c r="W637" s="22" t="s">
        <v>857</v>
      </c>
      <c r="X637" s="16"/>
      <c r="Y637" s="234" t="str">
        <f>TRIM(LEFT(Main_Presentation[[#This Row],[Payment Terms]],3))</f>
        <v>Sig</v>
      </c>
      <c r="Z637" s="16"/>
      <c r="AA637" s="316" t="e" cm="1">
        <f t="array" ref="AA637">Settlement(Main_Presentation[[#This Row],[Bank]],Main_Presentation[[#This Row],[ Invoice Amt (SAR)]],Main_Presentation[[#This Row],[Date Recd]],Main_Presentation[[#This Row],[Due Date]],Main_Presentation[[#This Row],[Days]])</f>
        <v>#VALUE!</v>
      </c>
      <c r="AB637" s="16"/>
    </row>
    <row r="638" spans="1:28" ht="15.75" hidden="1" x14ac:dyDescent="0.25">
      <c r="A638" s="129" t="s">
        <v>709</v>
      </c>
      <c r="B638" s="137">
        <v>45774</v>
      </c>
      <c r="C638" s="138">
        <v>1</v>
      </c>
      <c r="D638" s="139" t="str">
        <f>VLOOKUP(Main_Presentation[[#This Row],[LC Number]],Main_Issuance[],3,0)</f>
        <v>Hassan Taleb</v>
      </c>
      <c r="E638" s="140" t="s">
        <v>858</v>
      </c>
      <c r="F638" s="140" t="str">
        <f>VLOOKUP(Main_Presentation[[#This Row],[LC Number]],Main_Issuance[],5,0)</f>
        <v>SAB</v>
      </c>
      <c r="G638" s="140" t="str">
        <f>VLOOKUP(Main_Presentation[[#This Row],[LC Number]],Main_Issuance[],6,0)</f>
        <v>MP1</v>
      </c>
      <c r="H638" s="140" t="str">
        <f>VLOOKUP(Main_Presentation[[#This Row],[LC Number]],Main_Issuance[],17,0)</f>
        <v>Credit</v>
      </c>
      <c r="I638" s="140" t="str">
        <f>VLOOKUP(Main_Presentation[[#This Row],[LC Number]],Main_Issuance[],7,0)</f>
        <v>Diakin Air Conditioning Saudi Arabia</v>
      </c>
      <c r="J638" s="140" t="str">
        <f>VLOOKUP(Main_Presentation[[#This Row],[LC Number]],Main_Issuance[],8,0)</f>
        <v>FIRST FIX</v>
      </c>
      <c r="K638" s="140" t="str">
        <f>VLOOKUP(Main_Presentation[[#This Row],[LC Number]],Main_Issuance[],9,0)</f>
        <v>MP1</v>
      </c>
      <c r="L638" s="140">
        <f>VLOOKUP(Main_Presentation[[#This Row],[LC Number]],Main_Issuance[],10,0)</f>
        <v>1020088</v>
      </c>
      <c r="M638" s="140" t="str">
        <f>VLOOKUP(Main_Presentation[[#This Row],[LC Number]],Main_Issuance[],11,0)</f>
        <v>SAR</v>
      </c>
      <c r="N638" s="141">
        <f>VLOOKUP(Main_Presentation[[#This Row],[LC Number]],Main_Issuance[],12,0)</f>
        <v>6322470</v>
      </c>
      <c r="O638" s="140" t="s">
        <v>20</v>
      </c>
      <c r="P638" s="140" t="s">
        <v>857</v>
      </c>
      <c r="Q638" s="131">
        <v>6322470</v>
      </c>
      <c r="R638" s="131">
        <v>1</v>
      </c>
      <c r="S638" s="131">
        <f>Main_Presentation[[#This Row],[Invoice Amt (FCY)]]*Main_Presentation[[#This Row],[Rate]]</f>
        <v>6322470</v>
      </c>
      <c r="T638" s="137">
        <v>45806</v>
      </c>
      <c r="U638" s="138" t="str">
        <f>VLOOKUP(Main_Presentation[[#This Row],[LC Number]],Main_Issuance[],18,0)</f>
        <v>90 Days from Invoice Date</v>
      </c>
      <c r="V638" s="143" t="s">
        <v>710</v>
      </c>
      <c r="W638" s="145" t="s">
        <v>857</v>
      </c>
      <c r="X638" s="140"/>
      <c r="Y638" s="400" t="str">
        <f>TRIM(LEFT(Main_Presentation[[#This Row],[Payment Terms]],3))</f>
        <v>90</v>
      </c>
      <c r="Z638" s="140"/>
      <c r="AA638" s="316" cm="1">
        <f t="array" ref="AA638">Settlement(Main_Presentation[[#This Row],[Bank]],Main_Presentation[[#This Row],[ Invoice Amt (SAR)]],Main_Presentation[[#This Row],[Date Recd]],Main_Presentation[[#This Row],[Due Date]],Main_Presentation[[#This Row],[Days]])</f>
        <v>27265.35</v>
      </c>
      <c r="AB638" s="140"/>
    </row>
    <row r="639" spans="1:28" ht="15.75" hidden="1" x14ac:dyDescent="0.25">
      <c r="A639" s="129" t="s">
        <v>780</v>
      </c>
      <c r="B639" s="15">
        <v>45762</v>
      </c>
      <c r="C639" s="26">
        <v>1</v>
      </c>
      <c r="D639" s="55" t="str">
        <f>VLOOKUP(Main_Presentation[[#This Row],[LC Number]],Main_Issuance[],3,0)</f>
        <v>Hassan Taleb</v>
      </c>
      <c r="E639" s="16" t="s">
        <v>858</v>
      </c>
      <c r="F639" s="16" t="str">
        <f>VLOOKUP(Main_Presentation[[#This Row],[LC Number]],Main_Issuance[],5,0)</f>
        <v>SAB</v>
      </c>
      <c r="G639" s="16" t="str">
        <f>VLOOKUP(Main_Presentation[[#This Row],[LC Number]],Main_Issuance[],6,0)</f>
        <v>MP1</v>
      </c>
      <c r="H639" s="16" t="str">
        <f>VLOOKUP(Main_Presentation[[#This Row],[LC Number]],Main_Issuance[],17,0)</f>
        <v>Credit</v>
      </c>
      <c r="I639" s="16" t="str">
        <f>VLOOKUP(Main_Presentation[[#This Row],[LC Number]],Main_Issuance[],7,0)</f>
        <v>Saudi Electric Supply Company</v>
      </c>
      <c r="J639" s="16" t="str">
        <f>VLOOKUP(Main_Presentation[[#This Row],[LC Number]],Main_Issuance[],8,0)</f>
        <v>FIRST FIX</v>
      </c>
      <c r="K639" s="16" t="str">
        <f>VLOOKUP(Main_Presentation[[#This Row],[LC Number]],Main_Issuance[],9,0)</f>
        <v>MP1</v>
      </c>
      <c r="L639" s="16">
        <f>VLOOKUP(Main_Presentation[[#This Row],[LC Number]],Main_Issuance[],10,0)</f>
        <v>1020088</v>
      </c>
      <c r="M639" s="16" t="str">
        <f>VLOOKUP(Main_Presentation[[#This Row],[LC Number]],Main_Issuance[],11,0)</f>
        <v>SAR</v>
      </c>
      <c r="N639" s="86">
        <f>VLOOKUP(Main_Presentation[[#This Row],[LC Number]],Main_Issuance[],12,0)</f>
        <v>500000</v>
      </c>
      <c r="O639" s="16" t="s">
        <v>20</v>
      </c>
      <c r="P639" s="16" t="s">
        <v>857</v>
      </c>
      <c r="Q639" s="131">
        <v>500000</v>
      </c>
      <c r="R639" s="18">
        <v>1</v>
      </c>
      <c r="S639" s="18">
        <f>Main_Presentation[[#This Row],[Invoice Amt (FCY)]]*Main_Presentation[[#This Row],[Rate]]</f>
        <v>500000</v>
      </c>
      <c r="T639" s="15">
        <v>45818</v>
      </c>
      <c r="U639" s="26" t="str">
        <f>VLOOKUP(Main_Presentation[[#This Row],[LC Number]],Main_Issuance[],18,0)</f>
        <v>90 Days from Invoice Date</v>
      </c>
      <c r="V639" s="21" t="s">
        <v>710</v>
      </c>
      <c r="W639" s="22" t="s">
        <v>857</v>
      </c>
      <c r="X639" s="16"/>
      <c r="Y639" s="234" t="str">
        <f>TRIM(LEFT(Main_Presentation[[#This Row],[Payment Terms]],3))</f>
        <v>90</v>
      </c>
      <c r="Z639" s="16"/>
      <c r="AA639" s="316" cm="1">
        <f t="array" ref="AA639">Settlement(Main_Presentation[[#This Row],[Bank]],Main_Presentation[[#This Row],[ Invoice Amt (SAR)]],Main_Presentation[[#This Row],[Date Recd]],Main_Presentation[[#This Row],[Due Date]],Main_Presentation[[#This Row],[Days]])</f>
        <v>2156.25</v>
      </c>
      <c r="AB639" s="16"/>
    </row>
    <row r="640" spans="1:28" ht="15.75" hidden="1" x14ac:dyDescent="0.25">
      <c r="A640" s="20" t="s">
        <v>775</v>
      </c>
      <c r="B640" s="15">
        <v>45775</v>
      </c>
      <c r="C640" s="26">
        <v>1</v>
      </c>
      <c r="D640" s="55" t="str">
        <f>VLOOKUP(Main_Presentation[[#This Row],[LC Number]],Main_Issuance[],3,0)</f>
        <v>Hassan Taleb</v>
      </c>
      <c r="E640" s="16" t="s">
        <v>856</v>
      </c>
      <c r="F640" s="16" t="str">
        <f>VLOOKUP(Main_Presentation[[#This Row],[LC Number]],Main_Issuance[],5,0)</f>
        <v>SAB</v>
      </c>
      <c r="G640" s="16" t="str">
        <f>VLOOKUP(Main_Presentation[[#This Row],[LC Number]],Main_Issuance[],6,0)</f>
        <v>MP1</v>
      </c>
      <c r="H640" s="16" t="str">
        <f>VLOOKUP(Main_Presentation[[#This Row],[LC Number]],Main_Issuance[],17,0)</f>
        <v>Credit</v>
      </c>
      <c r="I640" s="16" t="str">
        <f>VLOOKUP(Main_Presentation[[#This Row],[LC Number]],Main_Issuance[],7,0)</f>
        <v>Power Center Company for Industries LLC</v>
      </c>
      <c r="J640" s="16" t="str">
        <f>VLOOKUP(Main_Presentation[[#This Row],[LC Number]],Main_Issuance[],8,0)</f>
        <v>FIRST FIX</v>
      </c>
      <c r="K640" s="16" t="str">
        <f>VLOOKUP(Main_Presentation[[#This Row],[LC Number]],Main_Issuance[],9,0)</f>
        <v>MP1</v>
      </c>
      <c r="L640" s="16">
        <f>VLOOKUP(Main_Presentation[[#This Row],[LC Number]],Main_Issuance[],10,0)</f>
        <v>1020088</v>
      </c>
      <c r="M640" s="16" t="str">
        <f>VLOOKUP(Main_Presentation[[#This Row],[LC Number]],Main_Issuance[],11,0)</f>
        <v>SAR</v>
      </c>
      <c r="N640" s="86">
        <f>VLOOKUP(Main_Presentation[[#This Row],[LC Number]],Main_Issuance[],12,0)</f>
        <v>1000000</v>
      </c>
      <c r="O640" s="16" t="s">
        <v>20</v>
      </c>
      <c r="P640" s="16" t="s">
        <v>857</v>
      </c>
      <c r="Q640" s="131">
        <v>1000000</v>
      </c>
      <c r="R640" s="18">
        <v>1</v>
      </c>
      <c r="S640" s="38">
        <f>Main_Presentation[[#This Row],[Invoice Amt (FCY)]]*Main_Presentation[[#This Row],[Rate]]</f>
        <v>1000000</v>
      </c>
      <c r="T640" s="15">
        <v>45858</v>
      </c>
      <c r="U640" s="26" t="str">
        <f>VLOOKUP(Main_Presentation[[#This Row],[LC Number]],Main_Issuance[],18,0)</f>
        <v>90 Days from Invoice Date</v>
      </c>
      <c r="V640" s="21" t="s">
        <v>710</v>
      </c>
      <c r="W640" s="132" t="s">
        <v>857</v>
      </c>
      <c r="X640" s="16"/>
      <c r="Y640" s="234" t="str">
        <f>TRIM(LEFT(Main_Presentation[[#This Row],[Payment Terms]],3))</f>
        <v>90</v>
      </c>
      <c r="Z640" s="16"/>
      <c r="AA640" s="316" cm="1">
        <f t="array" ref="AA640">Settlement(Main_Presentation[[#This Row],[Bank]],Main_Presentation[[#This Row],[ Invoice Amt (SAR)]],Main_Presentation[[#This Row],[Date Recd]],Main_Presentation[[#This Row],[Due Date]],Main_Presentation[[#This Row],[Days]])</f>
        <v>4312.5</v>
      </c>
      <c r="AB640" s="16"/>
    </row>
    <row r="641" spans="1:28" ht="15.75" hidden="1" x14ac:dyDescent="0.25">
      <c r="A641" s="129" t="s">
        <v>1172</v>
      </c>
      <c r="B641" s="15">
        <v>45782</v>
      </c>
      <c r="C641" s="26">
        <v>1</v>
      </c>
      <c r="D641" s="55" t="str">
        <f>VLOOKUP(Main_Presentation[[#This Row],[LC Number]],Main_Issuance[],3,0)</f>
        <v>Hassan Taleb</v>
      </c>
      <c r="E641" s="16" t="s">
        <v>858</v>
      </c>
      <c r="F641" s="16" t="str">
        <f>VLOOKUP(Main_Presentation[[#This Row],[LC Number]],Main_Issuance[],5,0)</f>
        <v>SAB</v>
      </c>
      <c r="G641" s="16" t="str">
        <f>VLOOKUP(Main_Presentation[[#This Row],[LC Number]],Main_Issuance[],6,0)</f>
        <v>MP1</v>
      </c>
      <c r="H641" s="16" t="str">
        <f>VLOOKUP(Main_Presentation[[#This Row],[LC Number]],Main_Issuance[],17,0)</f>
        <v>Credit</v>
      </c>
      <c r="I641" s="16" t="str">
        <f>VLOOKUP(Main_Presentation[[#This Row],[LC Number]],Main_Issuance[],7,0)</f>
        <v>ALAM ALWEFAQ FOR CONTRACTING CO</v>
      </c>
      <c r="J641" s="16" t="str">
        <f>VLOOKUP(Main_Presentation[[#This Row],[LC Number]],Main_Issuance[],8,0)</f>
        <v>FIRST FIX</v>
      </c>
      <c r="K641" s="16" t="str">
        <f>VLOOKUP(Main_Presentation[[#This Row],[LC Number]],Main_Issuance[],9,0)</f>
        <v>MP1</v>
      </c>
      <c r="L641" s="16">
        <f>VLOOKUP(Main_Presentation[[#This Row],[LC Number]],Main_Issuance[],10,0)</f>
        <v>1020088</v>
      </c>
      <c r="M641" s="16" t="str">
        <f>VLOOKUP(Main_Presentation[[#This Row],[LC Number]],Main_Issuance[],11,0)</f>
        <v>SAR</v>
      </c>
      <c r="N641" s="86">
        <f>VLOOKUP(Main_Presentation[[#This Row],[LC Number]],Main_Issuance[],12,0)</f>
        <v>600000</v>
      </c>
      <c r="O641" s="16" t="s">
        <v>20</v>
      </c>
      <c r="P641" s="16" t="s">
        <v>857</v>
      </c>
      <c r="Q641" s="131">
        <v>600000</v>
      </c>
      <c r="R641" s="18">
        <v>1</v>
      </c>
      <c r="S641" s="131">
        <f>Main_Presentation[[#This Row],[Invoice Amt (FCY)]]*Main_Presentation[[#This Row],[Rate]]</f>
        <v>600000</v>
      </c>
      <c r="T641" s="15">
        <v>45851</v>
      </c>
      <c r="U641" s="26" t="str">
        <f>VLOOKUP(Main_Presentation[[#This Row],[LC Number]],Main_Issuance[],18,0)</f>
        <v>90 Days from Invoice Date</v>
      </c>
      <c r="V641" s="21" t="s">
        <v>96</v>
      </c>
      <c r="W641" s="22" t="s">
        <v>378</v>
      </c>
      <c r="X641" s="16"/>
      <c r="Y641" s="234" t="str">
        <f>TRIM(LEFT(Main_Presentation[[#This Row],[Payment Terms]],3))</f>
        <v>90</v>
      </c>
      <c r="Z641" s="16"/>
      <c r="AA641" s="316" cm="1">
        <f t="array" ref="AA641">Settlement(Main_Presentation[[#This Row],[Bank]],Main_Presentation[[#This Row],[ Invoice Amt (SAR)]],Main_Presentation[[#This Row],[Date Recd]],Main_Presentation[[#This Row],[Due Date]],Main_Presentation[[#This Row],[Days]])</f>
        <v>2587.5</v>
      </c>
      <c r="AB641" s="16"/>
    </row>
    <row r="642" spans="1:28" ht="15.75" hidden="1" x14ac:dyDescent="0.25">
      <c r="A642" s="129" t="s">
        <v>713</v>
      </c>
      <c r="B642" s="15">
        <v>45784</v>
      </c>
      <c r="C642" s="26">
        <v>1</v>
      </c>
      <c r="D642" s="55" t="str">
        <f>VLOOKUP(Main_Presentation[[#This Row],[LC Number]],Main_Issuance[],3,0)</f>
        <v>Hassan Taleb</v>
      </c>
      <c r="E642" s="16" t="s">
        <v>858</v>
      </c>
      <c r="F642" s="16" t="str">
        <f>VLOOKUP(Main_Presentation[[#This Row],[LC Number]],Main_Issuance[],5,0)</f>
        <v>SAB</v>
      </c>
      <c r="G642" s="16" t="str">
        <f>VLOOKUP(Main_Presentation[[#This Row],[LC Number]],Main_Issuance[],6,0)</f>
        <v>MP1</v>
      </c>
      <c r="H642" s="16" t="str">
        <f>VLOOKUP(Main_Presentation[[#This Row],[LC Number]],Main_Issuance[],17,0)</f>
        <v>Credit</v>
      </c>
      <c r="I642" s="16" t="str">
        <f>VLOOKUP(Main_Presentation[[#This Row],[LC Number]],Main_Issuance[],7,0)</f>
        <v>Interplast Co Ltd</v>
      </c>
      <c r="J642" s="16" t="str">
        <f>VLOOKUP(Main_Presentation[[#This Row],[LC Number]],Main_Issuance[],8,0)</f>
        <v>FIRST FIX</v>
      </c>
      <c r="K642" s="16" t="str">
        <f>VLOOKUP(Main_Presentation[[#This Row],[LC Number]],Main_Issuance[],9,0)</f>
        <v>MP1</v>
      </c>
      <c r="L642" s="16">
        <f>VLOOKUP(Main_Presentation[[#This Row],[LC Number]],Main_Issuance[],10,0)</f>
        <v>1020088</v>
      </c>
      <c r="M642" s="16" t="str">
        <f>VLOOKUP(Main_Presentation[[#This Row],[LC Number]],Main_Issuance[],11,0)</f>
        <v>SAR</v>
      </c>
      <c r="N642" s="86">
        <f>VLOOKUP(Main_Presentation[[#This Row],[LC Number]],Main_Issuance[],12,0)</f>
        <v>800000</v>
      </c>
      <c r="O642" s="16" t="s">
        <v>20</v>
      </c>
      <c r="P642" s="16" t="s">
        <v>857</v>
      </c>
      <c r="Q642" s="131">
        <v>525035.56000000006</v>
      </c>
      <c r="R642" s="18">
        <v>1</v>
      </c>
      <c r="S642" s="131">
        <f>Main_Presentation[[#This Row],[Invoice Amt (FCY)]]*Main_Presentation[[#This Row],[Rate]]</f>
        <v>525035.56000000006</v>
      </c>
      <c r="T642" s="15">
        <v>45832</v>
      </c>
      <c r="U642" s="26" t="str">
        <f>VLOOKUP(Main_Presentation[[#This Row],[LC Number]],Main_Issuance[],18,0)</f>
        <v>90 Days from Invoice Date</v>
      </c>
      <c r="V642" s="21" t="s">
        <v>710</v>
      </c>
      <c r="W642" s="22" t="s">
        <v>857</v>
      </c>
      <c r="X642" s="16"/>
      <c r="Y642" s="234" t="str">
        <f>TRIM(LEFT(Main_Presentation[[#This Row],[Payment Terms]],3))</f>
        <v>90</v>
      </c>
      <c r="Z642" s="16"/>
      <c r="AA642" s="316" cm="1">
        <f t="array" ref="AA642">Settlement(Main_Presentation[[#This Row],[Bank]],Main_Presentation[[#This Row],[ Invoice Amt (SAR)]],Main_Presentation[[#This Row],[Date Recd]],Main_Presentation[[#This Row],[Due Date]],Main_Presentation[[#This Row],[Days]])</f>
        <v>2264.35</v>
      </c>
      <c r="AB642" s="16"/>
    </row>
    <row r="643" spans="1:28" ht="15.75" hidden="1" x14ac:dyDescent="0.25">
      <c r="A643" s="20" t="s">
        <v>715</v>
      </c>
      <c r="B643" s="15">
        <v>45799</v>
      </c>
      <c r="C643" s="26">
        <v>1</v>
      </c>
      <c r="D643" s="55" t="str">
        <f>VLOOKUP(Main_Presentation[[#This Row],[LC Number]],Main_Issuance[],3,0)</f>
        <v>Hassan Taleb</v>
      </c>
      <c r="E643" s="16" t="s">
        <v>856</v>
      </c>
      <c r="F643" s="16" t="str">
        <f>VLOOKUP(Main_Presentation[[#This Row],[LC Number]],Main_Issuance[],5,0)</f>
        <v>SAB</v>
      </c>
      <c r="G643" s="16" t="str">
        <f>VLOOKUP(Main_Presentation[[#This Row],[LC Number]],Main_Issuance[],6,0)</f>
        <v>MP1</v>
      </c>
      <c r="H643" s="16" t="str">
        <f>VLOOKUP(Main_Presentation[[#This Row],[LC Number]],Main_Issuance[],17,0)</f>
        <v>Credit</v>
      </c>
      <c r="I643" s="16" t="str">
        <f>VLOOKUP(Main_Presentation[[#This Row],[LC Number]],Main_Issuance[],7,0)</f>
        <v>Elsewedy Cables Co Ltd</v>
      </c>
      <c r="J643" s="16" t="str">
        <f>VLOOKUP(Main_Presentation[[#This Row],[LC Number]],Main_Issuance[],8,0)</f>
        <v>FIRST FIX</v>
      </c>
      <c r="K643" s="16" t="str">
        <f>VLOOKUP(Main_Presentation[[#This Row],[LC Number]],Main_Issuance[],9,0)</f>
        <v>MP1</v>
      </c>
      <c r="L643" s="16">
        <f>VLOOKUP(Main_Presentation[[#This Row],[LC Number]],Main_Issuance[],10,0)</f>
        <v>1020088</v>
      </c>
      <c r="M643" s="16" t="str">
        <f>VLOOKUP(Main_Presentation[[#This Row],[LC Number]],Main_Issuance[],11,0)</f>
        <v>SAR</v>
      </c>
      <c r="N643" s="86">
        <f>VLOOKUP(Main_Presentation[[#This Row],[LC Number]],Main_Issuance[],12,0)</f>
        <v>4000000</v>
      </c>
      <c r="O643" s="16" t="s">
        <v>20</v>
      </c>
      <c r="P643" s="16" t="s">
        <v>857</v>
      </c>
      <c r="Q643" s="131">
        <v>1245427.02</v>
      </c>
      <c r="R643" s="18">
        <v>1</v>
      </c>
      <c r="S643" s="18">
        <f>Main_Presentation[[#This Row],[Invoice Amt (FCY)]]*Main_Presentation[[#This Row],[Rate]]</f>
        <v>1245427.02</v>
      </c>
      <c r="T643" s="15">
        <v>45844</v>
      </c>
      <c r="U643" s="26" t="str">
        <f>VLOOKUP(Main_Presentation[[#This Row],[LC Number]],Main_Issuance[],18,0)</f>
        <v>90 Days from Invoice Date</v>
      </c>
      <c r="V643" s="21" t="s">
        <v>710</v>
      </c>
      <c r="W643" s="22" t="s">
        <v>857</v>
      </c>
      <c r="X643" s="16"/>
      <c r="Y643" s="234" t="str">
        <f>TRIM(LEFT(Main_Presentation[[#This Row],[Payment Terms]],3))</f>
        <v>90</v>
      </c>
      <c r="Z643" s="16"/>
      <c r="AA643" s="316" cm="1">
        <f t="array" ref="AA643">Settlement(Main_Presentation[[#This Row],[Bank]],Main_Presentation[[#This Row],[ Invoice Amt (SAR)]],Main_Presentation[[#This Row],[Date Recd]],Main_Presentation[[#This Row],[Due Date]],Main_Presentation[[#This Row],[Days]])</f>
        <v>5370.5</v>
      </c>
      <c r="AB643" s="16"/>
    </row>
    <row r="644" spans="1:28" ht="15.75" hidden="1" x14ac:dyDescent="0.25">
      <c r="A644" s="20" t="s">
        <v>1127</v>
      </c>
      <c r="B644" s="15">
        <v>45798</v>
      </c>
      <c r="C644" s="26">
        <v>1</v>
      </c>
      <c r="D644" s="55" t="str">
        <f>VLOOKUP(Main_Presentation[[#This Row],[LC Number]],Main_Issuance[],3,0)</f>
        <v>Tareeq - Premium</v>
      </c>
      <c r="E644" s="16" t="s">
        <v>858</v>
      </c>
      <c r="F644" s="16" t="str">
        <f>VLOOKUP(Main_Presentation[[#This Row],[LC Number]],Main_Issuance[],5,0)</f>
        <v>SAB</v>
      </c>
      <c r="G644" s="16" t="str">
        <f>VLOOKUP(Main_Presentation[[#This Row],[LC Number]],Main_Issuance[],6,0)</f>
        <v>CEER</v>
      </c>
      <c r="H644" s="16" t="str">
        <f>VLOOKUP(Main_Presentation[[#This Row],[LC Number]],Main_Issuance[],17,0)</f>
        <v>Credit</v>
      </c>
      <c r="I644" s="16" t="str">
        <f>VLOOKUP(Main_Presentation[[#This Row],[LC Number]],Main_Issuance[],7,0)</f>
        <v>SCHUCO MIDDLE EAST WINDOWS AND FACADE SYSTEMS LLC</v>
      </c>
      <c r="J644" s="16" t="str">
        <f>VLOOKUP(Main_Presentation[[#This Row],[LC Number]],Main_Issuance[],8,0)</f>
        <v>MBL/Premium</v>
      </c>
      <c r="K644" s="16" t="str">
        <f>VLOOKUP(Main_Presentation[[#This Row],[LC Number]],Main_Issuance[],9,0)</f>
        <v>CEER</v>
      </c>
      <c r="L644" s="16">
        <f>VLOOKUP(Main_Presentation[[#This Row],[LC Number]],Main_Issuance[],10,0)</f>
        <v>1020091</v>
      </c>
      <c r="M644" s="16" t="str">
        <f>VLOOKUP(Main_Presentation[[#This Row],[LC Number]],Main_Issuance[],11,0)</f>
        <v>AED</v>
      </c>
      <c r="N644" s="86">
        <f>VLOOKUP(Main_Presentation[[#This Row],[LC Number]],Main_Issuance[],12,0)</f>
        <v>4750000</v>
      </c>
      <c r="O644" s="16" t="s">
        <v>20</v>
      </c>
      <c r="P644" s="16" t="s">
        <v>857</v>
      </c>
      <c r="Q644" s="131">
        <v>1142444.58</v>
      </c>
      <c r="R644" s="18">
        <v>1.0265</v>
      </c>
      <c r="S644" s="18">
        <f>Main_Presentation[[#This Row],[Invoice Amt (FCY)]]*Main_Presentation[[#This Row],[Rate]]</f>
        <v>1172719.3613700001</v>
      </c>
      <c r="T644" s="15">
        <v>45824</v>
      </c>
      <c r="U644" s="26" t="str">
        <f>VLOOKUP(Main_Presentation[[#This Row],[LC Number]],Main_Issuance[],18,0)</f>
        <v>60 Days from Invoice Date</v>
      </c>
      <c r="V644" s="21" t="s">
        <v>367</v>
      </c>
      <c r="W644" s="22" t="s">
        <v>857</v>
      </c>
      <c r="X644" s="16"/>
      <c r="Y644" s="234" t="str">
        <f>TRIM(LEFT(Main_Presentation[[#This Row],[Payment Terms]],3))</f>
        <v>60</v>
      </c>
      <c r="Z644" s="16"/>
      <c r="AA644" s="316" cm="1">
        <f t="array" ref="AA644">Settlement(Main_Presentation[[#This Row],[Bank]],Main_Presentation[[#This Row],[ Invoice Amt (SAR)]],Main_Presentation[[#This Row],[Date Recd]],Main_Presentation[[#This Row],[Due Date]],Main_Presentation[[#This Row],[Days]])</f>
        <v>5057.7</v>
      </c>
      <c r="AB644" s="16"/>
    </row>
    <row r="645" spans="1:28" ht="15.75" hidden="1" x14ac:dyDescent="0.25">
      <c r="A645" s="20" t="s">
        <v>1255</v>
      </c>
      <c r="B645" s="15">
        <v>45796</v>
      </c>
      <c r="C645" s="26">
        <v>1</v>
      </c>
      <c r="D645" s="55" t="str">
        <f>VLOOKUP(Main_Presentation[[#This Row],[LC Number]],Main_Issuance[],3,0)</f>
        <v>Hassan Taleb</v>
      </c>
      <c r="E645" s="16" t="s">
        <v>858</v>
      </c>
      <c r="F645" s="16" t="str">
        <f>VLOOKUP(Main_Presentation[[#This Row],[LC Number]],Main_Issuance[],5,0)</f>
        <v>SAB</v>
      </c>
      <c r="G645" s="16" t="str">
        <f>VLOOKUP(Main_Presentation[[#This Row],[LC Number]],Main_Issuance[],6,0)</f>
        <v>MP1</v>
      </c>
      <c r="H645" s="16" t="str">
        <f>VLOOKUP(Main_Presentation[[#This Row],[LC Number]],Main_Issuance[],17,0)</f>
        <v>Credit</v>
      </c>
      <c r="I645" s="16" t="str">
        <f>VLOOKUP(Main_Presentation[[#This Row],[LC Number]],Main_Issuance[],7,0)</f>
        <v>MOHAMAD SAEED AFIFI TRADING EST.</v>
      </c>
      <c r="J645" s="16" t="str">
        <f>VLOOKUP(Main_Presentation[[#This Row],[LC Number]],Main_Issuance[],8,0)</f>
        <v>FIRST FIX</v>
      </c>
      <c r="K645" s="16" t="str">
        <f>VLOOKUP(Main_Presentation[[#This Row],[LC Number]],Main_Issuance[],9,0)</f>
        <v>MP1</v>
      </c>
      <c r="L645" s="16">
        <f>VLOOKUP(Main_Presentation[[#This Row],[LC Number]],Main_Issuance[],10,0)</f>
        <v>1020088</v>
      </c>
      <c r="M645" s="16" t="str">
        <f>VLOOKUP(Main_Presentation[[#This Row],[LC Number]],Main_Issuance[],11,0)</f>
        <v>SAR</v>
      </c>
      <c r="N645" s="86">
        <f>VLOOKUP(Main_Presentation[[#This Row],[LC Number]],Main_Issuance[],12,0)</f>
        <v>475009.53</v>
      </c>
      <c r="O645" s="16" t="s">
        <v>20</v>
      </c>
      <c r="P645" s="16" t="s">
        <v>857</v>
      </c>
      <c r="Q645" s="131">
        <v>475009.52</v>
      </c>
      <c r="R645" s="18">
        <v>1</v>
      </c>
      <c r="S645" s="18">
        <f>Main_Presentation[[#This Row],[Invoice Amt (FCY)]]*Main_Presentation[[#This Row],[Rate]]</f>
        <v>475009.52</v>
      </c>
      <c r="T645" s="15">
        <v>45854</v>
      </c>
      <c r="U645" s="26" t="str">
        <f>VLOOKUP(Main_Presentation[[#This Row],[LC Number]],Main_Issuance[],18,0)</f>
        <v>90 Days from Invoice Date</v>
      </c>
      <c r="V645" s="21" t="s">
        <v>96</v>
      </c>
      <c r="W645" s="22" t="s">
        <v>378</v>
      </c>
      <c r="X645" s="16"/>
      <c r="Y645" s="234" t="str">
        <f>TRIM(LEFT(Main_Presentation[[#This Row],[Payment Terms]],3))</f>
        <v>90</v>
      </c>
      <c r="Z645" s="16"/>
      <c r="AA645" s="316" cm="1">
        <f t="array" ref="AA645">Settlement(Main_Presentation[[#This Row],[Bank]],Main_Presentation[[#This Row],[ Invoice Amt (SAR)]],Main_Presentation[[#This Row],[Date Recd]],Main_Presentation[[#This Row],[Due Date]],Main_Presentation[[#This Row],[Days]])</f>
        <v>2048.15</v>
      </c>
      <c r="AB645" s="16"/>
    </row>
    <row r="646" spans="1:28" ht="15.75" hidden="1" x14ac:dyDescent="0.25">
      <c r="A646" s="20" t="s">
        <v>1167</v>
      </c>
      <c r="B646" s="15">
        <v>45792</v>
      </c>
      <c r="C646" s="26">
        <v>1</v>
      </c>
      <c r="D646" s="55" t="str">
        <f>VLOOKUP(Main_Presentation[[#This Row],[LC Number]],Main_Issuance[],3,0)</f>
        <v>Hassan Taleb</v>
      </c>
      <c r="E646" s="16" t="s">
        <v>858</v>
      </c>
      <c r="F646" s="16" t="str">
        <f>VLOOKUP(Main_Presentation[[#This Row],[LC Number]],Main_Issuance[],5,0)</f>
        <v>SAB</v>
      </c>
      <c r="G646" s="16" t="str">
        <f>VLOOKUP(Main_Presentation[[#This Row],[LC Number]],Main_Issuance[],6,0)</f>
        <v>MP1</v>
      </c>
      <c r="H646" s="16" t="str">
        <f>VLOOKUP(Main_Presentation[[#This Row],[LC Number]],Main_Issuance[],17,0)</f>
        <v>Credit</v>
      </c>
      <c r="I646" s="16" t="str">
        <f>VLOOKUP(Main_Presentation[[#This Row],[LC Number]],Main_Issuance[],7,0)</f>
        <v>AL RASHED TIRES COMPANY LLC</v>
      </c>
      <c r="J646" s="16" t="str">
        <f>VLOOKUP(Main_Presentation[[#This Row],[LC Number]],Main_Issuance[],8,0)</f>
        <v>FIRST FIX</v>
      </c>
      <c r="K646" s="16" t="str">
        <f>VLOOKUP(Main_Presentation[[#This Row],[LC Number]],Main_Issuance[],9,0)</f>
        <v>MP1</v>
      </c>
      <c r="L646" s="16">
        <f>VLOOKUP(Main_Presentation[[#This Row],[LC Number]],Main_Issuance[],10,0)</f>
        <v>1020088</v>
      </c>
      <c r="M646" s="16" t="str">
        <f>VLOOKUP(Main_Presentation[[#This Row],[LC Number]],Main_Issuance[],11,0)</f>
        <v>SAR</v>
      </c>
      <c r="N646" s="86">
        <f>VLOOKUP(Main_Presentation[[#This Row],[LC Number]],Main_Issuance[],12,0)</f>
        <v>4581071.46</v>
      </c>
      <c r="O646" s="16" t="s">
        <v>20</v>
      </c>
      <c r="P646" s="16" t="s">
        <v>857</v>
      </c>
      <c r="Q646" s="131">
        <v>4581071.46</v>
      </c>
      <c r="R646" s="18">
        <v>1</v>
      </c>
      <c r="S646" s="18">
        <f>Main_Presentation[[#This Row],[Invoice Amt (FCY)]]*Main_Presentation[[#This Row],[Rate]]</f>
        <v>4581071.46</v>
      </c>
      <c r="T646" s="15">
        <v>45841</v>
      </c>
      <c r="U646" s="26" t="str">
        <f>VLOOKUP(Main_Presentation[[#This Row],[LC Number]],Main_Issuance[],18,0)</f>
        <v>60 Days from Invoice Date</v>
      </c>
      <c r="V646" s="21" t="s">
        <v>710</v>
      </c>
      <c r="W646" s="22" t="s">
        <v>857</v>
      </c>
      <c r="X646" s="16"/>
      <c r="Y646" s="234" t="str">
        <f>TRIM(LEFT(Main_Presentation[[#This Row],[Payment Terms]],3))</f>
        <v>60</v>
      </c>
      <c r="Z646" s="16"/>
      <c r="AA646" s="316" cm="1">
        <f t="array" ref="AA646">Settlement(Main_Presentation[[#This Row],[Bank]],Main_Presentation[[#This Row],[ Invoice Amt (SAR)]],Main_Presentation[[#This Row],[Date Recd]],Main_Presentation[[#This Row],[Due Date]],Main_Presentation[[#This Row],[Days]])</f>
        <v>19755.849999999999</v>
      </c>
      <c r="AB646" s="16"/>
    </row>
    <row r="647" spans="1:28" ht="15.75" hidden="1" x14ac:dyDescent="0.25">
      <c r="A647" s="14" t="s">
        <v>420</v>
      </c>
      <c r="B647" s="15">
        <v>45587</v>
      </c>
      <c r="C647" s="26">
        <v>1</v>
      </c>
      <c r="D647" s="55" t="str">
        <f>VLOOKUP(Main_Presentation[[#This Row],[LC Number]],Main_Issuance[],3,0)</f>
        <v>Mohammed Kotb</v>
      </c>
      <c r="E647" s="16" t="s">
        <v>856</v>
      </c>
      <c r="F647" s="17" t="str">
        <f>VLOOKUP(Main_Presentation[[#This Row],[LC Number]],Main_Issuance[],5,0)</f>
        <v>SNB</v>
      </c>
      <c r="G647" s="17" t="str">
        <f>VLOOKUP(Main_Presentation[[#This Row],[LC Number]],Main_Issuance[],6,0)</f>
        <v>Opera House</v>
      </c>
      <c r="H647" s="17" t="str">
        <f>VLOOKUP(Main_Presentation[[#This Row],[LC Number]],Main_Issuance[],17,0)</f>
        <v>Credit</v>
      </c>
      <c r="I647" s="17" t="str">
        <f>VLOOKUP(Main_Presentation[[#This Row],[LC Number]],Main_Issuance[],7,0)</f>
        <v>ELECTRIC HOUSE TRADING COMPANY LLC</v>
      </c>
      <c r="J647" s="17" t="str">
        <f>VLOOKUP(Main_Presentation[[#This Row],[LC Number]],Main_Issuance[],8,0)</f>
        <v>ICAD</v>
      </c>
      <c r="K647" s="17" t="str">
        <f>VLOOKUP(Main_Presentation[[#This Row],[LC Number]],Main_Issuance[],9,0)</f>
        <v>ABHA</v>
      </c>
      <c r="L647" s="17">
        <f>VLOOKUP(Main_Presentation[[#This Row],[LC Number]],Main_Issuance[],10,0)</f>
        <v>1020070</v>
      </c>
      <c r="M647" s="17" t="str">
        <f>VLOOKUP(Main_Presentation[[#This Row],[LC Number]],Main_Issuance[],11,0)</f>
        <v>SAR</v>
      </c>
      <c r="N647" s="84">
        <f>VLOOKUP(Main_Presentation[[#This Row],[LC Number]],Main_Issuance[],12,0)</f>
        <v>3543660.2</v>
      </c>
      <c r="O647" s="16" t="s">
        <v>20</v>
      </c>
      <c r="P647" s="16" t="s">
        <v>378</v>
      </c>
      <c r="Q647" s="131">
        <v>1876828.68</v>
      </c>
      <c r="R647" s="18">
        <v>1</v>
      </c>
      <c r="S647" s="18">
        <f>Main_Presentation[[#This Row],[Invoice Amt (FCY)]]*Main_Presentation[[#This Row],[Rate]]</f>
        <v>1876828.68</v>
      </c>
      <c r="T647" s="15">
        <v>45666</v>
      </c>
      <c r="U647" s="26" t="str">
        <f>VLOOKUP(Main_Presentation[[#This Row],[LC Number]],Main_Issuance[],18,0)</f>
        <v>90 Days from Date of Delivery</v>
      </c>
      <c r="V647" s="19" t="s">
        <v>377</v>
      </c>
      <c r="W647" s="22" t="s">
        <v>857</v>
      </c>
      <c r="X647" s="16"/>
      <c r="Y647" s="234" t="str">
        <f>TRIM(LEFT(Main_Presentation[[#This Row],[Payment Terms]],3))</f>
        <v>90</v>
      </c>
      <c r="Z647" s="16"/>
      <c r="AA647" s="316" cm="1">
        <f t="array" ref="AA647">Settlement(Main_Presentation[[#This Row],[Bank]],Main_Presentation[[#This Row],[ Invoice Amt (SAR)]],Main_Presentation[[#This Row],[Date Recd]],Main_Presentation[[#This Row],[Due Date]],Main_Presentation[[#This Row],[Days]])</f>
        <v>13529.75</v>
      </c>
      <c r="AB647" s="16"/>
    </row>
    <row r="648" spans="1:28" ht="15.75" hidden="1" x14ac:dyDescent="0.25">
      <c r="A648" s="14" t="s">
        <v>420</v>
      </c>
      <c r="B648" s="15">
        <v>45615</v>
      </c>
      <c r="C648" s="26">
        <v>2</v>
      </c>
      <c r="D648" s="55" t="str">
        <f>VLOOKUP(Main_Presentation[[#This Row],[LC Number]],Main_Issuance[],3,0)</f>
        <v>Mohammed Kotb</v>
      </c>
      <c r="E648" s="16" t="s">
        <v>856</v>
      </c>
      <c r="F648" s="17" t="str">
        <f>VLOOKUP(Main_Presentation[[#This Row],[LC Number]],Main_Issuance[],5,0)</f>
        <v>SNB</v>
      </c>
      <c r="G648" s="17" t="str">
        <f>VLOOKUP(Main_Presentation[[#This Row],[LC Number]],Main_Issuance[],6,0)</f>
        <v>Opera House</v>
      </c>
      <c r="H648" s="17" t="str">
        <f>VLOOKUP(Main_Presentation[[#This Row],[LC Number]],Main_Issuance[],17,0)</f>
        <v>Credit</v>
      </c>
      <c r="I648" s="17" t="str">
        <f>VLOOKUP(Main_Presentation[[#This Row],[LC Number]],Main_Issuance[],7,0)</f>
        <v>ELECTRIC HOUSE TRADING COMPANY LLC</v>
      </c>
      <c r="J648" s="17" t="str">
        <f>VLOOKUP(Main_Presentation[[#This Row],[LC Number]],Main_Issuance[],8,0)</f>
        <v>ICAD</v>
      </c>
      <c r="K648" s="17" t="str">
        <f>VLOOKUP(Main_Presentation[[#This Row],[LC Number]],Main_Issuance[],9,0)</f>
        <v>ABHA</v>
      </c>
      <c r="L648" s="17">
        <f>VLOOKUP(Main_Presentation[[#This Row],[LC Number]],Main_Issuance[],10,0)</f>
        <v>1020070</v>
      </c>
      <c r="M648" s="17" t="str">
        <f>VLOOKUP(Main_Presentation[[#This Row],[LC Number]],Main_Issuance[],11,0)</f>
        <v>SAR</v>
      </c>
      <c r="N648" s="84">
        <f>VLOOKUP(Main_Presentation[[#This Row],[LC Number]],Main_Issuance[],12,0)</f>
        <v>3543660.2</v>
      </c>
      <c r="O648" s="16" t="s">
        <v>20</v>
      </c>
      <c r="P648" s="16" t="s">
        <v>378</v>
      </c>
      <c r="Q648" s="131">
        <v>1454735.93</v>
      </c>
      <c r="R648" s="18">
        <v>1</v>
      </c>
      <c r="S648" s="18">
        <f>Main_Presentation[[#This Row],[Invoice Amt (FCY)]]*Main_Presentation[[#This Row],[Rate]]</f>
        <v>1454735.93</v>
      </c>
      <c r="T648" s="15">
        <v>45706</v>
      </c>
      <c r="U648" s="26" t="str">
        <f>VLOOKUP(Main_Presentation[[#This Row],[LC Number]],Main_Issuance[],18,0)</f>
        <v>90 Days from Date of Delivery</v>
      </c>
      <c r="V648" s="19" t="s">
        <v>377</v>
      </c>
      <c r="W648" s="22" t="s">
        <v>857</v>
      </c>
      <c r="X648" s="16"/>
      <c r="Y648" s="234" t="str">
        <f>TRIM(LEFT(Main_Presentation[[#This Row],[Payment Terms]],3))</f>
        <v>90</v>
      </c>
      <c r="Z648" s="16"/>
      <c r="AA648" s="316" cm="1">
        <f t="array" ref="AA648">Settlement(Main_Presentation[[#This Row],[Bank]],Main_Presentation[[#This Row],[ Invoice Amt (SAR)]],Main_Presentation[[#This Row],[Date Recd]],Main_Presentation[[#This Row],[Due Date]],Main_Presentation[[#This Row],[Days]])</f>
        <v>10496.05</v>
      </c>
      <c r="AB648" s="16"/>
    </row>
    <row r="649" spans="1:28" ht="15.75" hidden="1" x14ac:dyDescent="0.25">
      <c r="A649" s="20" t="s">
        <v>420</v>
      </c>
      <c r="B649" s="15">
        <v>45658</v>
      </c>
      <c r="C649" s="26">
        <v>3</v>
      </c>
      <c r="D649" s="55" t="str">
        <f>VLOOKUP(Main_Presentation[[#This Row],[LC Number]],Main_Issuance[],3,0)</f>
        <v>Mohammed Kotb</v>
      </c>
      <c r="E649" s="16" t="s">
        <v>856</v>
      </c>
      <c r="F649" s="17" t="str">
        <f>VLOOKUP(Main_Presentation[[#This Row],[LC Number]],Main_Issuance[],5,0)</f>
        <v>SNB</v>
      </c>
      <c r="G649" s="17" t="str">
        <f>VLOOKUP(Main_Presentation[[#This Row],[LC Number]],Main_Issuance[],6,0)</f>
        <v>Opera House</v>
      </c>
      <c r="H649" s="17" t="str">
        <f>VLOOKUP(Main_Presentation[[#This Row],[LC Number]],Main_Issuance[],17,0)</f>
        <v>Credit</v>
      </c>
      <c r="I649" s="17" t="str">
        <f>VLOOKUP(Main_Presentation[[#This Row],[LC Number]],Main_Issuance[],7,0)</f>
        <v>ELECTRIC HOUSE TRADING COMPANY LLC</v>
      </c>
      <c r="J649" s="17" t="str">
        <f>VLOOKUP(Main_Presentation[[#This Row],[LC Number]],Main_Issuance[],8,0)</f>
        <v>ICAD</v>
      </c>
      <c r="K649" s="17" t="str">
        <f>VLOOKUP(Main_Presentation[[#This Row],[LC Number]],Main_Issuance[],9,0)</f>
        <v>ABHA</v>
      </c>
      <c r="L649" s="17">
        <f>VLOOKUP(Main_Presentation[[#This Row],[LC Number]],Main_Issuance[],10,0)</f>
        <v>1020070</v>
      </c>
      <c r="M649" s="17" t="str">
        <f>VLOOKUP(Main_Presentation[[#This Row],[LC Number]],Main_Issuance[],11,0)</f>
        <v>SAR</v>
      </c>
      <c r="N649" s="84">
        <f>VLOOKUP(Main_Presentation[[#This Row],[LC Number]],Main_Issuance[],12,0)</f>
        <v>3543660.2</v>
      </c>
      <c r="O649" s="16" t="s">
        <v>20</v>
      </c>
      <c r="P649" s="16" t="s">
        <v>378</v>
      </c>
      <c r="Q649" s="131">
        <v>212095.59</v>
      </c>
      <c r="R649" s="18">
        <v>1</v>
      </c>
      <c r="S649" s="18">
        <f>Main_Presentation[[#This Row],[Invoice Amt (FCY)]]*Main_Presentation[[#This Row],[Rate]]</f>
        <v>212095.59</v>
      </c>
      <c r="T649" s="15">
        <v>45721</v>
      </c>
      <c r="U649" s="26" t="str">
        <f>VLOOKUP(Main_Presentation[[#This Row],[LC Number]],Main_Issuance[],18,0)</f>
        <v>90 Days from Date of Delivery</v>
      </c>
      <c r="V649" s="19" t="s">
        <v>884</v>
      </c>
      <c r="W649" s="22" t="s">
        <v>857</v>
      </c>
      <c r="X649" s="16"/>
      <c r="Y649" s="234" t="str">
        <f>TRIM(LEFT(Main_Presentation[[#This Row],[Payment Terms]],3))</f>
        <v>90</v>
      </c>
      <c r="Z649" s="16"/>
      <c r="AA649" s="316" cm="1">
        <f t="array" ref="AA649">Settlement(Main_Presentation[[#This Row],[Bank]],Main_Presentation[[#This Row],[ Invoice Amt (SAR)]],Main_Presentation[[#This Row],[Date Recd]],Main_Presentation[[#This Row],[Due Date]],Main_Presentation[[#This Row],[Days]])</f>
        <v>1056.8499999999999</v>
      </c>
      <c r="AB649" s="16"/>
    </row>
    <row r="650" spans="1:28" ht="15.75" hidden="1" x14ac:dyDescent="0.25">
      <c r="A650" s="14" t="s">
        <v>423</v>
      </c>
      <c r="B650" s="15">
        <v>45614</v>
      </c>
      <c r="C650" s="26">
        <v>1</v>
      </c>
      <c r="D650" s="55" t="str">
        <f>VLOOKUP(Main_Presentation[[#This Row],[LC Number]],Main_Issuance[],3,0)</f>
        <v>Bassam Marawie</v>
      </c>
      <c r="E650" s="16" t="s">
        <v>856</v>
      </c>
      <c r="F650" s="17" t="str">
        <f>VLOOKUP(Main_Presentation[[#This Row],[LC Number]],Main_Issuance[],5,0)</f>
        <v>SNB</v>
      </c>
      <c r="G650" s="17" t="str">
        <f>VLOOKUP(Main_Presentation[[#This Row],[LC Number]],Main_Issuance[],6,0)</f>
        <v>Opera House</v>
      </c>
      <c r="H650" s="17" t="str">
        <f>VLOOKUP(Main_Presentation[[#This Row],[LC Number]],Main_Issuance[],17,0)</f>
        <v>Credit</v>
      </c>
      <c r="I650" s="17" t="str">
        <f>VLOOKUP(Main_Presentation[[#This Row],[LC Number]],Main_Issuance[],7,0)</f>
        <v>SMART HOME TRADING COMPANY</v>
      </c>
      <c r="J650" s="17" t="str">
        <f>VLOOKUP(Main_Presentation[[#This Row],[LC Number]],Main_Issuance[],8,0)</f>
        <v>FIRST FIX</v>
      </c>
      <c r="K650" s="17" t="str">
        <f>VLOOKUP(Main_Presentation[[#This Row],[LC Number]],Main_Issuance[],9,0)</f>
        <v>B05</v>
      </c>
      <c r="L650" s="17">
        <f>VLOOKUP(Main_Presentation[[#This Row],[LC Number]],Main_Issuance[],10,0)</f>
        <v>1020052</v>
      </c>
      <c r="M650" s="17" t="str">
        <f>VLOOKUP(Main_Presentation[[#This Row],[LC Number]],Main_Issuance[],11,0)</f>
        <v>SAR</v>
      </c>
      <c r="N650" s="84">
        <f>VLOOKUP(Main_Presentation[[#This Row],[LC Number]],Main_Issuance[],12,0)</f>
        <v>1000000</v>
      </c>
      <c r="O650" s="16" t="s">
        <v>20</v>
      </c>
      <c r="P650" s="16" t="s">
        <v>378</v>
      </c>
      <c r="Q650" s="131">
        <v>1000000</v>
      </c>
      <c r="R650" s="18">
        <v>1</v>
      </c>
      <c r="S650" s="18">
        <f>Main_Presentation[[#This Row],[Invoice Amt (FCY)]]*Main_Presentation[[#This Row],[Rate]]</f>
        <v>1000000</v>
      </c>
      <c r="T650" s="15">
        <v>45627</v>
      </c>
      <c r="U650" s="26" t="str">
        <f>VLOOKUP(Main_Presentation[[#This Row],[LC Number]],Main_Issuance[],18,0)</f>
        <v>60 Days from Invoice Date</v>
      </c>
      <c r="V650" s="19" t="s">
        <v>22</v>
      </c>
      <c r="W650" s="22" t="s">
        <v>378</v>
      </c>
      <c r="X650" s="16"/>
      <c r="Y650" s="234" t="str">
        <f>TRIM(LEFT(Main_Presentation[[#This Row],[Payment Terms]],3))</f>
        <v>60</v>
      </c>
      <c r="Z650" s="16"/>
      <c r="AA650" s="316" cm="1">
        <f t="array" ref="AA650">Settlement(Main_Presentation[[#This Row],[Bank]],Main_Presentation[[#This Row],[ Invoice Amt (SAR)]],Main_Presentation[[#This Row],[Date Recd]],Main_Presentation[[#This Row],[Due Date]],Main_Presentation[[#This Row],[Days]])</f>
        <v>655.5</v>
      </c>
      <c r="AB650" s="16"/>
    </row>
    <row r="651" spans="1:28" ht="15.75" hidden="1" x14ac:dyDescent="0.25">
      <c r="A651" s="20" t="s">
        <v>504</v>
      </c>
      <c r="B651" s="15">
        <v>45670</v>
      </c>
      <c r="C651" s="26">
        <v>1</v>
      </c>
      <c r="D651" s="55" t="str">
        <f>VLOOKUP(Main_Presentation[[#This Row],[LC Number]],Main_Issuance[],3,0)</f>
        <v>Hassan Taleb</v>
      </c>
      <c r="E651" s="16" t="s">
        <v>858</v>
      </c>
      <c r="F651" s="17" t="str">
        <f>VLOOKUP(Main_Presentation[[#This Row],[LC Number]],Main_Issuance[],5,0)</f>
        <v>SNB</v>
      </c>
      <c r="G651" s="17" t="str">
        <f>VLOOKUP(Main_Presentation[[#This Row],[LC Number]],Main_Issuance[],6,0)</f>
        <v>Opera House</v>
      </c>
      <c r="H651" s="17" t="str">
        <f>VLOOKUP(Main_Presentation[[#This Row],[LC Number]],Main_Issuance[],17,0)</f>
        <v>Credit</v>
      </c>
      <c r="I651" s="17" t="str">
        <f>VLOOKUP(Main_Presentation[[#This Row],[LC Number]],Main_Issuance[],7,0)</f>
        <v>Emaan International Company</v>
      </c>
      <c r="J651" s="17" t="str">
        <f>VLOOKUP(Main_Presentation[[#This Row],[LC Number]],Main_Issuance[],8,0)</f>
        <v>FIRST FIX</v>
      </c>
      <c r="K651" s="17" t="str">
        <f>VLOOKUP(Main_Presentation[[#This Row],[LC Number]],Main_Issuance[],9,0)</f>
        <v>B05</v>
      </c>
      <c r="L651" s="17">
        <f>VLOOKUP(Main_Presentation[[#This Row],[LC Number]],Main_Issuance[],10,0)</f>
        <v>1020052</v>
      </c>
      <c r="M651" s="17" t="str">
        <f>VLOOKUP(Main_Presentation[[#This Row],[LC Number]],Main_Issuance[],11,0)</f>
        <v>SAR</v>
      </c>
      <c r="N651" s="84">
        <f>VLOOKUP(Main_Presentation[[#This Row],[LC Number]],Main_Issuance[],12,0)</f>
        <v>4626403.66</v>
      </c>
      <c r="O651" s="16" t="s">
        <v>20</v>
      </c>
      <c r="P651" s="16" t="s">
        <v>378</v>
      </c>
      <c r="Q651" s="131">
        <v>4626403.66</v>
      </c>
      <c r="R651" s="18">
        <v>1</v>
      </c>
      <c r="S651" s="18">
        <f>Main_Presentation[[#This Row],[Invoice Amt (FCY)]]*Main_Presentation[[#This Row],[Rate]]</f>
        <v>4626403.66</v>
      </c>
      <c r="T651" s="15">
        <v>45728</v>
      </c>
      <c r="U651" s="26" t="str">
        <f>VLOOKUP(Main_Presentation[[#This Row],[LC Number]],Main_Issuance[],18,0)</f>
        <v>90 Days from Invoice Date</v>
      </c>
      <c r="V651" s="21" t="s">
        <v>890</v>
      </c>
      <c r="W651" s="22" t="s">
        <v>378</v>
      </c>
      <c r="X651" s="16"/>
      <c r="Y651" s="234" t="str">
        <f>TRIM(LEFT(Main_Presentation[[#This Row],[Payment Terms]],3))</f>
        <v>90</v>
      </c>
      <c r="Z651" s="16"/>
      <c r="AA651" s="316" cm="1">
        <f t="array" ref="AA651">Settlement(Main_Presentation[[#This Row],[Bank]],Main_Presentation[[#This Row],[ Invoice Amt (SAR)]],Main_Presentation[[#This Row],[Date Recd]],Main_Presentation[[#This Row],[Due Date]],Main_Presentation[[#This Row],[Days]])</f>
        <v>22208.799999999999</v>
      </c>
      <c r="AB651" s="16"/>
    </row>
    <row r="652" spans="1:28" ht="15.75" hidden="1" x14ac:dyDescent="0.25">
      <c r="A652" s="14" t="s">
        <v>94</v>
      </c>
      <c r="B652" s="15">
        <v>45468</v>
      </c>
      <c r="C652" s="26">
        <v>1</v>
      </c>
      <c r="D652" s="55">
        <f>VLOOKUP(Main_Presentation[[#This Row],[LC Number]],Main_Issuance[],3,0)</f>
        <v>0</v>
      </c>
      <c r="E652" s="16" t="s">
        <v>856</v>
      </c>
      <c r="F652" s="17" t="str">
        <f>VLOOKUP(Main_Presentation[[#This Row],[LC Number]],Main_Issuance[],5,0)</f>
        <v>SNB</v>
      </c>
      <c r="G652" s="17" t="str">
        <f>VLOOKUP(Main_Presentation[[#This Row],[LC Number]],Main_Issuance[],6,0)</f>
        <v>Opera House</v>
      </c>
      <c r="H652" s="17" t="str">
        <f>VLOOKUP(Main_Presentation[[#This Row],[LC Number]],Main_Issuance[],17,0)</f>
        <v>Credit</v>
      </c>
      <c r="I652" s="17" t="str">
        <f>VLOOKUP(Main_Presentation[[#This Row],[LC Number]],Main_Issuance[],7,0)</f>
        <v>SAUDI LIEBHERR COMPANY LIMITED</v>
      </c>
      <c r="J652" s="17" t="str">
        <f>VLOOKUP(Main_Presentation[[#This Row],[LC Number]],Main_Issuance[],8,0)</f>
        <v>MBL</v>
      </c>
      <c r="K652" s="17" t="str">
        <f>VLOOKUP(Main_Presentation[[#This Row],[LC Number]],Main_Issuance[],9,0)</f>
        <v>Equipment</v>
      </c>
      <c r="L652" s="17">
        <f>VLOOKUP(Main_Presentation[[#This Row],[LC Number]],Main_Issuance[],10,0)</f>
        <v>0</v>
      </c>
      <c r="M652" s="17" t="str">
        <f>VLOOKUP(Main_Presentation[[#This Row],[LC Number]],Main_Issuance[],11,0)</f>
        <v>EUR</v>
      </c>
      <c r="N652" s="84">
        <f>VLOOKUP(Main_Presentation[[#This Row],[LC Number]],Main_Issuance[],12,0)</f>
        <v>2009280</v>
      </c>
      <c r="O652" s="16" t="s">
        <v>20</v>
      </c>
      <c r="P652" s="16" t="s">
        <v>857</v>
      </c>
      <c r="Q652" s="131">
        <v>2009280</v>
      </c>
      <c r="R652" s="18">
        <v>4.0294433830000003</v>
      </c>
      <c r="S652" s="18">
        <f>Main_Presentation[[#This Row],[Invoice Amt (FCY)]]*Main_Presentation[[#This Row],[Rate]]</f>
        <v>8096280.0005942406</v>
      </c>
      <c r="T652" s="15">
        <v>45468</v>
      </c>
      <c r="U652" s="26">
        <f>VLOOKUP(Main_Presentation[[#This Row],[LC Number]],Main_Issuance[],18,0)</f>
        <v>0</v>
      </c>
      <c r="V652" s="19" t="s">
        <v>98</v>
      </c>
      <c r="W652" s="18" t="s">
        <v>857</v>
      </c>
      <c r="X652" s="16"/>
      <c r="Y652" s="234" t="str">
        <f>TRIM(LEFT(Main_Presentation[[#This Row],[Payment Terms]],3))</f>
        <v>0</v>
      </c>
      <c r="Z652" s="16"/>
      <c r="AA652" s="316" cm="1">
        <f t="array" ref="AA652">Settlement(Main_Presentation[[#This Row],[Bank]],Main_Presentation[[#This Row],[ Invoice Amt (SAR)]],Main_Presentation[[#This Row],[Date Recd]],Main_Presentation[[#This Row],[Due Date]],Main_Presentation[[#This Row],[Days]])</f>
        <v>655.5</v>
      </c>
      <c r="AB652" s="16"/>
    </row>
    <row r="653" spans="1:28" ht="15.75" hidden="1" x14ac:dyDescent="0.25">
      <c r="A653" s="14" t="s">
        <v>99</v>
      </c>
      <c r="B653" s="15">
        <v>45502</v>
      </c>
      <c r="C653" s="26">
        <v>1</v>
      </c>
      <c r="D653" s="55">
        <f>VLOOKUP(Main_Presentation[[#This Row],[LC Number]],Main_Issuance[],3,0)</f>
        <v>0</v>
      </c>
      <c r="E653" s="16" t="s">
        <v>856</v>
      </c>
      <c r="F653" s="17" t="str">
        <f>VLOOKUP(Main_Presentation[[#This Row],[LC Number]],Main_Issuance[],5,0)</f>
        <v>SNB</v>
      </c>
      <c r="G653" s="17" t="str">
        <f>VLOOKUP(Main_Presentation[[#This Row],[LC Number]],Main_Issuance[],6,0)</f>
        <v>Opera House</v>
      </c>
      <c r="H653" s="17" t="str">
        <f>VLOOKUP(Main_Presentation[[#This Row],[LC Number]],Main_Issuance[],17,0)</f>
        <v>Credit</v>
      </c>
      <c r="I653" s="17" t="str">
        <f>VLOOKUP(Main_Presentation[[#This Row],[LC Number]],Main_Issuance[],7,0)</f>
        <v>SAUDI LIEBHERR COMPANY LIMITED</v>
      </c>
      <c r="J653" s="17" t="str">
        <f>VLOOKUP(Main_Presentation[[#This Row],[LC Number]],Main_Issuance[],8,0)</f>
        <v>MBL</v>
      </c>
      <c r="K653" s="17" t="str">
        <f>VLOOKUP(Main_Presentation[[#This Row],[LC Number]],Main_Issuance[],9,0)</f>
        <v>Equipment</v>
      </c>
      <c r="L653" s="17">
        <f>VLOOKUP(Main_Presentation[[#This Row],[LC Number]],Main_Issuance[],10,0)</f>
        <v>0</v>
      </c>
      <c r="M653" s="17" t="str">
        <f>VLOOKUP(Main_Presentation[[#This Row],[LC Number]],Main_Issuance[],11,0)</f>
        <v>EUR</v>
      </c>
      <c r="N653" s="84">
        <f>VLOOKUP(Main_Presentation[[#This Row],[LC Number]],Main_Issuance[],12,0)</f>
        <v>4259713.8498969609</v>
      </c>
      <c r="O653" s="16" t="s">
        <v>20</v>
      </c>
      <c r="P653" s="16" t="s">
        <v>857</v>
      </c>
      <c r="Q653" s="131">
        <v>1004640</v>
      </c>
      <c r="R653" s="18">
        <v>4.2400400640000004</v>
      </c>
      <c r="S653" s="18">
        <f>Main_Presentation[[#This Row],[Invoice Amt (FCY)]]*Main_Presentation[[#This Row],[Rate]]</f>
        <v>4259713.8498969609</v>
      </c>
      <c r="T653" s="15">
        <v>45502</v>
      </c>
      <c r="U653" s="26">
        <f>VLOOKUP(Main_Presentation[[#This Row],[LC Number]],Main_Issuance[],18,0)</f>
        <v>0</v>
      </c>
      <c r="V653" s="19" t="s">
        <v>98</v>
      </c>
      <c r="W653" s="18" t="s">
        <v>857</v>
      </c>
      <c r="X653" s="16"/>
      <c r="Y653" s="234" t="str">
        <f>TRIM(LEFT(Main_Presentation[[#This Row],[Payment Terms]],3))</f>
        <v>0</v>
      </c>
      <c r="Z653" s="16"/>
      <c r="AA653" s="316" cm="1">
        <f t="array" ref="AA653">Settlement(Main_Presentation[[#This Row],[Bank]],Main_Presentation[[#This Row],[ Invoice Amt (SAR)]],Main_Presentation[[#This Row],[Date Recd]],Main_Presentation[[#This Row],[Due Date]],Main_Presentation[[#This Row],[Days]])</f>
        <v>655.5</v>
      </c>
      <c r="AB653" s="16"/>
    </row>
    <row r="654" spans="1:28" ht="15.75" hidden="1" x14ac:dyDescent="0.25">
      <c r="A654" s="14" t="s">
        <v>405</v>
      </c>
      <c r="B654" s="15">
        <v>45614</v>
      </c>
      <c r="C654" s="26">
        <v>1</v>
      </c>
      <c r="D654" s="55" t="str">
        <f>VLOOKUP(Main_Presentation[[#This Row],[LC Number]],Main_Issuance[],3,0)</f>
        <v>Rabih Makhoul</v>
      </c>
      <c r="E654" s="16" t="s">
        <v>856</v>
      </c>
      <c r="F654" s="17" t="str">
        <f>VLOOKUP(Main_Presentation[[#This Row],[LC Number]],Main_Issuance[],5,0)</f>
        <v>SNB</v>
      </c>
      <c r="G654" s="17" t="str">
        <f>VLOOKUP(Main_Presentation[[#This Row],[LC Number]],Main_Issuance[],6,0)</f>
        <v>Opera House</v>
      </c>
      <c r="H654" s="17" t="str">
        <f>VLOOKUP(Main_Presentation[[#This Row],[LC Number]],Main_Issuance[],17,0)</f>
        <v>Credit</v>
      </c>
      <c r="I654" s="17" t="str">
        <f>VLOOKUP(Main_Presentation[[#This Row],[LC Number]],Main_Issuance[],7,0)</f>
        <v>Electric House Trading Co LLC</v>
      </c>
      <c r="J654" s="17" t="str">
        <f>VLOOKUP(Main_Presentation[[#This Row],[LC Number]],Main_Issuance[],8,0)</f>
        <v>FIRST FIX</v>
      </c>
      <c r="K654" s="17" t="str">
        <f>VLOOKUP(Main_Presentation[[#This Row],[LC Number]],Main_Issuance[],9,0)</f>
        <v>JCD SPMI</v>
      </c>
      <c r="L654" s="17">
        <f>VLOOKUP(Main_Presentation[[#This Row],[LC Number]],Main_Issuance[],10,0)</f>
        <v>1020100</v>
      </c>
      <c r="M654" s="17" t="str">
        <f>VLOOKUP(Main_Presentation[[#This Row],[LC Number]],Main_Issuance[],11,0)</f>
        <v>SAR</v>
      </c>
      <c r="N654" s="84">
        <f>VLOOKUP(Main_Presentation[[#This Row],[LC Number]],Main_Issuance[],12,0)</f>
        <v>6000000</v>
      </c>
      <c r="O654" s="16" t="s">
        <v>20</v>
      </c>
      <c r="P654" s="16" t="s">
        <v>378</v>
      </c>
      <c r="Q654" s="131">
        <v>6000000</v>
      </c>
      <c r="R654" s="18">
        <v>1</v>
      </c>
      <c r="S654" s="18">
        <f>Main_Presentation[[#This Row],[Invoice Amt (FCY)]]*Main_Presentation[[#This Row],[Rate]]</f>
        <v>6000000</v>
      </c>
      <c r="T654" s="15">
        <v>45699</v>
      </c>
      <c r="U654" s="26" t="str">
        <f>VLOOKUP(Main_Presentation[[#This Row],[LC Number]],Main_Issuance[],18,0)</f>
        <v>90 Days from Date of Delivery</v>
      </c>
      <c r="V654" s="21" t="s">
        <v>882</v>
      </c>
      <c r="W654" s="22" t="s">
        <v>378</v>
      </c>
      <c r="X654" s="16"/>
      <c r="Y654" s="234" t="str">
        <f>TRIM(LEFT(Main_Presentation[[#This Row],[Payment Terms]],3))</f>
        <v>90</v>
      </c>
      <c r="Z654" s="16"/>
      <c r="AA654" s="316" cm="1">
        <f t="array" ref="AA654">Settlement(Main_Presentation[[#This Row],[Bank]],Main_Presentation[[#This Row],[ Invoice Amt (SAR)]],Main_Presentation[[#This Row],[Date Recd]],Main_Presentation[[#This Row],[Due Date]],Main_Presentation[[#This Row],[Days]])</f>
        <v>43165.25</v>
      </c>
      <c r="AB654" s="16"/>
    </row>
    <row r="655" spans="1:28" ht="15.75" hidden="1" x14ac:dyDescent="0.25">
      <c r="A655" s="20" t="s">
        <v>551</v>
      </c>
      <c r="B655" s="15">
        <v>45655</v>
      </c>
      <c r="C655" s="26">
        <v>1</v>
      </c>
      <c r="D655" s="55" t="str">
        <f>VLOOKUP(Main_Presentation[[#This Row],[LC Number]],Main_Issuance[],3,0)</f>
        <v>Rabih Makhoul</v>
      </c>
      <c r="E655" s="16" t="s">
        <v>858</v>
      </c>
      <c r="F655" s="17" t="str">
        <f>VLOOKUP(Main_Presentation[[#This Row],[LC Number]],Main_Issuance[],5,0)</f>
        <v>SNB</v>
      </c>
      <c r="G655" s="17" t="str">
        <f>VLOOKUP(Main_Presentation[[#This Row],[LC Number]],Main_Issuance[],6,0)</f>
        <v>Opera House</v>
      </c>
      <c r="H655" s="17" t="str">
        <f>VLOOKUP(Main_Presentation[[#This Row],[LC Number]],Main_Issuance[],17,0)</f>
        <v>Credit</v>
      </c>
      <c r="I655" s="17" t="str">
        <f>VLOOKUP(Main_Presentation[[#This Row],[LC Number]],Main_Issuance[],7,0)</f>
        <v>Al Tagadom Alaly</v>
      </c>
      <c r="J655" s="17" t="str">
        <f>VLOOKUP(Main_Presentation[[#This Row],[LC Number]],Main_Issuance[],8,0)</f>
        <v>FIRST FIX</v>
      </c>
      <c r="K655" s="17" t="str">
        <f>VLOOKUP(Main_Presentation[[#This Row],[LC Number]],Main_Issuance[],9,0)</f>
        <v>JCD SPMI</v>
      </c>
      <c r="L655" s="17">
        <f>VLOOKUP(Main_Presentation[[#This Row],[LC Number]],Main_Issuance[],10,0)</f>
        <v>1020100</v>
      </c>
      <c r="M655" s="17" t="str">
        <f>VLOOKUP(Main_Presentation[[#This Row],[LC Number]],Main_Issuance[],11,0)</f>
        <v>SAR</v>
      </c>
      <c r="N655" s="84">
        <f>VLOOKUP(Main_Presentation[[#This Row],[LC Number]],Main_Issuance[],12,0)</f>
        <v>108100</v>
      </c>
      <c r="O655" s="16" t="s">
        <v>20</v>
      </c>
      <c r="P655" s="16" t="s">
        <v>378</v>
      </c>
      <c r="Q655" s="131">
        <v>108100</v>
      </c>
      <c r="R655" s="18">
        <v>1</v>
      </c>
      <c r="S655" s="18">
        <f>Main_Presentation[[#This Row],[Invoice Amt (FCY)]]*Main_Presentation[[#This Row],[Rate]]</f>
        <v>108100</v>
      </c>
      <c r="T655" s="15">
        <v>45753</v>
      </c>
      <c r="U655" s="26" t="str">
        <f>VLOOKUP(Main_Presentation[[#This Row],[LC Number]],Main_Issuance[],18,0)</f>
        <v>90 Days from Invoice Date</v>
      </c>
      <c r="V655" s="21" t="s">
        <v>304</v>
      </c>
      <c r="W655" s="22" t="s">
        <v>378</v>
      </c>
      <c r="X655" s="16"/>
      <c r="Y655" s="234" t="str">
        <f>TRIM(LEFT(Main_Presentation[[#This Row],[Payment Terms]],3))</f>
        <v>90</v>
      </c>
      <c r="Z655" s="16"/>
      <c r="AA655" s="316" cm="1">
        <f t="array" ref="AA655">Settlement(Main_Presentation[[#This Row],[Bank]],Main_Presentation[[#This Row],[ Invoice Amt (SAR)]],Main_Presentation[[#This Row],[Date Recd]],Main_Presentation[[#This Row],[Due Date]],Main_Presentation[[#This Row],[Days]])</f>
        <v>817.65</v>
      </c>
      <c r="AB655" s="16"/>
    </row>
    <row r="656" spans="1:28" ht="15.75" hidden="1" x14ac:dyDescent="0.25">
      <c r="A656" s="20" t="s">
        <v>537</v>
      </c>
      <c r="B656" s="15">
        <v>45658</v>
      </c>
      <c r="C656" s="26">
        <v>1</v>
      </c>
      <c r="D656" s="55" t="str">
        <f>VLOOKUP(Main_Presentation[[#This Row],[LC Number]],Main_Issuance[],3,0)</f>
        <v>Rabih Makhoul</v>
      </c>
      <c r="E656" s="16" t="s">
        <v>856</v>
      </c>
      <c r="F656" s="17" t="str">
        <f>VLOOKUP(Main_Presentation[[#This Row],[LC Number]],Main_Issuance[],5,0)</f>
        <v>SNB</v>
      </c>
      <c r="G656" s="17" t="str">
        <f>VLOOKUP(Main_Presentation[[#This Row],[LC Number]],Main_Issuance[],6,0)</f>
        <v>Opera House</v>
      </c>
      <c r="H656" s="17" t="str">
        <f>VLOOKUP(Main_Presentation[[#This Row],[LC Number]],Main_Issuance[],17,0)</f>
        <v>Credit</v>
      </c>
      <c r="I656" s="17" t="str">
        <f>VLOOKUP(Main_Presentation[[#This Row],[LC Number]],Main_Issuance[],7,0)</f>
        <v>Power Center Company fo Industries LLC</v>
      </c>
      <c r="J656" s="17" t="str">
        <f>VLOOKUP(Main_Presentation[[#This Row],[LC Number]],Main_Issuance[],8,0)</f>
        <v>FIRST FIX</v>
      </c>
      <c r="K656" s="17" t="str">
        <f>VLOOKUP(Main_Presentation[[#This Row],[LC Number]],Main_Issuance[],9,0)</f>
        <v>JCD SPMI</v>
      </c>
      <c r="L656" s="17">
        <f>VLOOKUP(Main_Presentation[[#This Row],[LC Number]],Main_Issuance[],10,0)</f>
        <v>1020100</v>
      </c>
      <c r="M656" s="17" t="str">
        <f>VLOOKUP(Main_Presentation[[#This Row],[LC Number]],Main_Issuance[],11,0)</f>
        <v>SAR</v>
      </c>
      <c r="N656" s="84">
        <f>VLOOKUP(Main_Presentation[[#This Row],[LC Number]],Main_Issuance[],12,0)</f>
        <v>2000000</v>
      </c>
      <c r="O656" s="16" t="s">
        <v>20</v>
      </c>
      <c r="P656" s="16" t="s">
        <v>378</v>
      </c>
      <c r="Q656" s="131">
        <v>2000000</v>
      </c>
      <c r="R656" s="18">
        <v>1</v>
      </c>
      <c r="S656" s="18">
        <f>Main_Presentation[[#This Row],[Invoice Amt (FCY)]]*Main_Presentation[[#This Row],[Rate]]</f>
        <v>2000000</v>
      </c>
      <c r="T656" s="15">
        <v>45741</v>
      </c>
      <c r="U656" s="26" t="str">
        <f>VLOOKUP(Main_Presentation[[#This Row],[LC Number]],Main_Issuance[],18,0)</f>
        <v>90 Days from Invoice Date</v>
      </c>
      <c r="V656" s="21" t="s">
        <v>1106</v>
      </c>
      <c r="W656" s="22" t="s">
        <v>378</v>
      </c>
      <c r="X656" s="16"/>
      <c r="Y656" s="234" t="str">
        <f>TRIM(LEFT(Main_Presentation[[#This Row],[Payment Terms]],3))</f>
        <v>90</v>
      </c>
      <c r="Z656" s="16"/>
      <c r="AA656" s="316" cm="1">
        <f t="array" ref="AA656">Settlement(Main_Presentation[[#This Row],[Bank]],Main_Presentation[[#This Row],[ Invoice Amt (SAR)]],Main_Presentation[[#This Row],[Date Recd]],Main_Presentation[[#This Row],[Due Date]],Main_Presentation[[#This Row],[Days]])</f>
        <v>14415.25</v>
      </c>
      <c r="AB656" s="16"/>
    </row>
    <row r="657" spans="1:28" ht="15.75" hidden="1" x14ac:dyDescent="0.25">
      <c r="A657" s="20" t="s">
        <v>544</v>
      </c>
      <c r="B657" s="15">
        <v>45693</v>
      </c>
      <c r="C657" s="26">
        <v>1</v>
      </c>
      <c r="D657" s="55" t="str">
        <f>VLOOKUP(Main_Presentation[[#This Row],[LC Number]],Main_Issuance[],3,0)</f>
        <v>Rabih Makhoul</v>
      </c>
      <c r="E657" s="16" t="s">
        <v>858</v>
      </c>
      <c r="F657" s="17" t="str">
        <f>VLOOKUP(Main_Presentation[[#This Row],[LC Number]],Main_Issuance[],5,0)</f>
        <v>SNB</v>
      </c>
      <c r="G657" s="17" t="str">
        <f>VLOOKUP(Main_Presentation[[#This Row],[LC Number]],Main_Issuance[],6,0)</f>
        <v>Opera House</v>
      </c>
      <c r="H657" s="17" t="str">
        <f>VLOOKUP(Main_Presentation[[#This Row],[LC Number]],Main_Issuance[],17,0)</f>
        <v>Credit</v>
      </c>
      <c r="I657" s="17" t="str">
        <f>VLOOKUP(Main_Presentation[[#This Row],[LC Number]],Main_Issuance[],7,0)</f>
        <v>ALFANAR COMPANY</v>
      </c>
      <c r="J657" s="17" t="str">
        <f>VLOOKUP(Main_Presentation[[#This Row],[LC Number]],Main_Issuance[],8,0)</f>
        <v>FIRST FIX</v>
      </c>
      <c r="K657" s="17" t="str">
        <f>VLOOKUP(Main_Presentation[[#This Row],[LC Number]],Main_Issuance[],9,0)</f>
        <v>JCD SPMI</v>
      </c>
      <c r="L657" s="17">
        <f>VLOOKUP(Main_Presentation[[#This Row],[LC Number]],Main_Issuance[],10,0)</f>
        <v>1020100</v>
      </c>
      <c r="M657" s="17" t="str">
        <f>VLOOKUP(Main_Presentation[[#This Row],[LC Number]],Main_Issuance[],11,0)</f>
        <v>SAR</v>
      </c>
      <c r="N657" s="84">
        <f>VLOOKUP(Main_Presentation[[#This Row],[LC Number]],Main_Issuance[],12,0)</f>
        <v>400000</v>
      </c>
      <c r="O657" s="16" t="s">
        <v>20</v>
      </c>
      <c r="P657" s="16" t="s">
        <v>378</v>
      </c>
      <c r="Q657" s="131">
        <v>250606.6</v>
      </c>
      <c r="R657" s="18">
        <v>1</v>
      </c>
      <c r="S657" s="18">
        <f>Main_Presentation[[#This Row],[Invoice Amt (FCY)]]*Main_Presentation[[#This Row],[Rate]]</f>
        <v>250606.6</v>
      </c>
      <c r="T657" s="15">
        <v>45741</v>
      </c>
      <c r="U657" s="26" t="str">
        <f>VLOOKUP(Main_Presentation[[#This Row],[LC Number]],Main_Issuance[],18,0)</f>
        <v>90 Days from Invoice Date</v>
      </c>
      <c r="V657" s="21" t="s">
        <v>1106</v>
      </c>
      <c r="W657" s="22" t="s">
        <v>378</v>
      </c>
      <c r="X657" s="16"/>
      <c r="Y657" s="234" t="str">
        <f>TRIM(LEFT(Main_Presentation[[#This Row],[Payment Terms]],3))</f>
        <v>90</v>
      </c>
      <c r="Z657" s="16"/>
      <c r="AA657" s="316" cm="1">
        <f t="array" ref="AA657">Settlement(Main_Presentation[[#This Row],[Bank]],Main_Presentation[[#This Row],[ Invoice Amt (SAR)]],Main_Presentation[[#This Row],[Date Recd]],Main_Presentation[[#This Row],[Due Date]],Main_Presentation[[#This Row],[Days]])</f>
        <v>1240.8499999999999</v>
      </c>
      <c r="AB657" s="16"/>
    </row>
    <row r="658" spans="1:28" ht="15.75" hidden="1" x14ac:dyDescent="0.25">
      <c r="A658" s="20" t="s">
        <v>543</v>
      </c>
      <c r="B658" s="15">
        <v>45694</v>
      </c>
      <c r="C658" s="26">
        <v>1</v>
      </c>
      <c r="D658" s="55" t="str">
        <f>VLOOKUP(Main_Presentation[[#This Row],[LC Number]],Main_Issuance[],3,0)</f>
        <v>Rabih Makhoul</v>
      </c>
      <c r="E658" s="16" t="s">
        <v>858</v>
      </c>
      <c r="F658" s="17" t="str">
        <f>VLOOKUP(Main_Presentation[[#This Row],[LC Number]],Main_Issuance[],5,0)</f>
        <v>SNB</v>
      </c>
      <c r="G658" s="17" t="str">
        <f>VLOOKUP(Main_Presentation[[#This Row],[LC Number]],Main_Issuance[],6,0)</f>
        <v>Opera House</v>
      </c>
      <c r="H658" s="17" t="str">
        <f>VLOOKUP(Main_Presentation[[#This Row],[LC Number]],Main_Issuance[],17,0)</f>
        <v>Credit</v>
      </c>
      <c r="I658" s="17" t="str">
        <f>VLOOKUP(Main_Presentation[[#This Row],[LC Number]],Main_Issuance[],7,0)</f>
        <v>Saudi Electric Supply Company</v>
      </c>
      <c r="J658" s="17" t="str">
        <f>VLOOKUP(Main_Presentation[[#This Row],[LC Number]],Main_Issuance[],8,0)</f>
        <v>FIRST FIX</v>
      </c>
      <c r="K658" s="17" t="str">
        <f>VLOOKUP(Main_Presentation[[#This Row],[LC Number]],Main_Issuance[],9,0)</f>
        <v>JCD SPMI</v>
      </c>
      <c r="L658" s="17">
        <f>VLOOKUP(Main_Presentation[[#This Row],[LC Number]],Main_Issuance[],10,0)</f>
        <v>1020100</v>
      </c>
      <c r="M658" s="17" t="str">
        <f>VLOOKUP(Main_Presentation[[#This Row],[LC Number]],Main_Issuance[],11,0)</f>
        <v>SAR</v>
      </c>
      <c r="N658" s="84">
        <f>VLOOKUP(Main_Presentation[[#This Row],[LC Number]],Main_Issuance[],12,0)</f>
        <v>700000</v>
      </c>
      <c r="O658" s="16" t="s">
        <v>20</v>
      </c>
      <c r="P658" s="16" t="s">
        <v>378</v>
      </c>
      <c r="Q658" s="131">
        <v>650808.41</v>
      </c>
      <c r="R658" s="18">
        <v>1</v>
      </c>
      <c r="S658" s="18">
        <f>Main_Presentation[[#This Row],[Invoice Amt (FCY)]]*Main_Presentation[[#This Row],[Rate]]</f>
        <v>650808.41</v>
      </c>
      <c r="T658" s="15">
        <v>45740</v>
      </c>
      <c r="U658" s="26" t="str">
        <f>VLOOKUP(Main_Presentation[[#This Row],[LC Number]],Main_Issuance[],18,0)</f>
        <v>90 Days from Invoice Date</v>
      </c>
      <c r="V658" s="21" t="s">
        <v>899</v>
      </c>
      <c r="W658" s="22" t="s">
        <v>378</v>
      </c>
      <c r="X658" s="16" t="s">
        <v>900</v>
      </c>
      <c r="Y658" s="234" t="str">
        <f>TRIM(LEFT(Main_Presentation[[#This Row],[Payment Terms]],3))</f>
        <v>90</v>
      </c>
      <c r="Z658" s="16"/>
      <c r="AA658" s="316" cm="1">
        <f t="array" ref="AA658">Settlement(Main_Presentation[[#This Row],[Bank]],Main_Presentation[[#This Row],[ Invoice Amt (SAR)]],Main_Presentation[[#This Row],[Date Recd]],Main_Presentation[[#This Row],[Due Date]],Main_Presentation[[#This Row],[Days]])</f>
        <v>1599.65</v>
      </c>
      <c r="AB658" s="16"/>
    </row>
    <row r="659" spans="1:28" ht="15.75" hidden="1" x14ac:dyDescent="0.25">
      <c r="A659" s="20" t="s">
        <v>549</v>
      </c>
      <c r="B659" s="15">
        <v>45705</v>
      </c>
      <c r="C659" s="26">
        <v>1</v>
      </c>
      <c r="D659" s="55" t="str">
        <f>VLOOKUP(Main_Presentation[[#This Row],[LC Number]],Main_Issuance[],3,0)</f>
        <v>Rabih Makhoul</v>
      </c>
      <c r="E659" s="16" t="s">
        <v>858</v>
      </c>
      <c r="F659" s="16" t="str">
        <f>VLOOKUP(Main_Presentation[[#This Row],[LC Number]],Main_Issuance[],5,0)</f>
        <v>SNB</v>
      </c>
      <c r="G659" s="16" t="str">
        <f>VLOOKUP(Main_Presentation[[#This Row],[LC Number]],Main_Issuance[],6,0)</f>
        <v>Opera House</v>
      </c>
      <c r="H659" s="16" t="str">
        <f>VLOOKUP(Main_Presentation[[#This Row],[LC Number]],Main_Issuance[],17,0)</f>
        <v>Credit</v>
      </c>
      <c r="I659" s="16" t="str">
        <f>VLOOKUP(Main_Presentation[[#This Row],[LC Number]],Main_Issuance[],7,0)</f>
        <v>KATHOOM JEDDAH TRADING EST.</v>
      </c>
      <c r="J659" s="16" t="str">
        <f>VLOOKUP(Main_Presentation[[#This Row],[LC Number]],Main_Issuance[],8,0)</f>
        <v>FIRST FIX</v>
      </c>
      <c r="K659" s="16" t="str">
        <f>VLOOKUP(Main_Presentation[[#This Row],[LC Number]],Main_Issuance[],9,0)</f>
        <v>JCD SPMI</v>
      </c>
      <c r="L659" s="16">
        <f>VLOOKUP(Main_Presentation[[#This Row],[LC Number]],Main_Issuance[],10,0)</f>
        <v>1020100</v>
      </c>
      <c r="M659" s="16" t="str">
        <f>VLOOKUP(Main_Presentation[[#This Row],[LC Number]],Main_Issuance[],11,0)</f>
        <v>SAR</v>
      </c>
      <c r="N659" s="86">
        <f>VLOOKUP(Main_Presentation[[#This Row],[LC Number]],Main_Issuance[],12,0)</f>
        <v>300000</v>
      </c>
      <c r="O659" s="16" t="s">
        <v>20</v>
      </c>
      <c r="P659" s="16" t="s">
        <v>378</v>
      </c>
      <c r="Q659" s="131">
        <v>300000</v>
      </c>
      <c r="R659" s="18">
        <v>1</v>
      </c>
      <c r="S659" s="18">
        <f>Main_Presentation[[#This Row],[Invoice Amt (FCY)]]*Main_Presentation[[#This Row],[Rate]]</f>
        <v>300000</v>
      </c>
      <c r="T659" s="15">
        <v>45757</v>
      </c>
      <c r="U659" s="26" t="str">
        <f>VLOOKUP(Main_Presentation[[#This Row],[LC Number]],Main_Issuance[],18,0)</f>
        <v>90 Days from Invoice Date</v>
      </c>
      <c r="V659" s="21" t="s">
        <v>1198</v>
      </c>
      <c r="W659" s="22" t="s">
        <v>378</v>
      </c>
      <c r="X659" s="16"/>
      <c r="Y659" s="234" t="str">
        <f>TRIM(LEFT(Main_Presentation[[#This Row],[Payment Terms]],3))</f>
        <v>90</v>
      </c>
      <c r="Z659" s="16"/>
      <c r="AA659" s="316" cm="1">
        <f t="array" ref="AA659">Settlement(Main_Presentation[[#This Row],[Bank]],Main_Presentation[[#This Row],[ Invoice Amt (SAR)]],Main_Presentation[[#This Row],[Date Recd]],Main_Presentation[[#This Row],[Due Date]],Main_Presentation[[#This Row],[Days]])</f>
        <v>1477.75</v>
      </c>
      <c r="AB659" s="16"/>
    </row>
    <row r="660" spans="1:28" ht="15.75" hidden="1" x14ac:dyDescent="0.25">
      <c r="A660" s="20" t="s">
        <v>681</v>
      </c>
      <c r="B660" s="15">
        <v>45722</v>
      </c>
      <c r="C660" s="26">
        <v>1</v>
      </c>
      <c r="D660" s="55" t="str">
        <f>VLOOKUP(Main_Presentation[[#This Row],[LC Number]],Main_Issuance[],3,0)</f>
        <v>Rabih Makhoul</v>
      </c>
      <c r="E660" s="16" t="s">
        <v>858</v>
      </c>
      <c r="F660" s="16" t="str">
        <f>VLOOKUP(Main_Presentation[[#This Row],[LC Number]],Main_Issuance[],5,0)</f>
        <v>SNB</v>
      </c>
      <c r="G660" s="16" t="str">
        <f>VLOOKUP(Main_Presentation[[#This Row],[LC Number]],Main_Issuance[],6,0)</f>
        <v>Opera House</v>
      </c>
      <c r="H660" s="16" t="str">
        <f>VLOOKUP(Main_Presentation[[#This Row],[LC Number]],Main_Issuance[],17,0)</f>
        <v>Credit</v>
      </c>
      <c r="I660" s="16" t="str">
        <f>VLOOKUP(Main_Presentation[[#This Row],[LC Number]],Main_Issuance[],7,0)</f>
        <v>Masdar Technical Supplies</v>
      </c>
      <c r="J660" s="16" t="str">
        <f>VLOOKUP(Main_Presentation[[#This Row],[LC Number]],Main_Issuance[],8,0)</f>
        <v>FIRST FIX</v>
      </c>
      <c r="K660" s="16" t="str">
        <f>VLOOKUP(Main_Presentation[[#This Row],[LC Number]],Main_Issuance[],9,0)</f>
        <v>JCD SPMI</v>
      </c>
      <c r="L660" s="16">
        <f>VLOOKUP(Main_Presentation[[#This Row],[LC Number]],Main_Issuance[],10,0)</f>
        <v>1020100</v>
      </c>
      <c r="M660" s="16" t="str">
        <f>VLOOKUP(Main_Presentation[[#This Row],[LC Number]],Main_Issuance[],11,0)</f>
        <v>SAR</v>
      </c>
      <c r="N660" s="86">
        <f>VLOOKUP(Main_Presentation[[#This Row],[LC Number]],Main_Issuance[],12,0)</f>
        <v>400000</v>
      </c>
      <c r="O660" s="16" t="s">
        <v>20</v>
      </c>
      <c r="P660" s="16" t="s">
        <v>378</v>
      </c>
      <c r="Q660" s="131">
        <v>400000</v>
      </c>
      <c r="R660" s="18">
        <v>1</v>
      </c>
      <c r="S660" s="18">
        <f>Main_Presentation[[#This Row],[Invoice Amt (FCY)]]*Main_Presentation[[#This Row],[Rate]]</f>
        <v>400000</v>
      </c>
      <c r="T660" s="15">
        <v>45783</v>
      </c>
      <c r="U660" s="26" t="str">
        <f>VLOOKUP(Main_Presentation[[#This Row],[LC Number]],Main_Issuance[],18,0)</f>
        <v>90 Days from Invoice Date</v>
      </c>
      <c r="V660" s="21" t="s">
        <v>304</v>
      </c>
      <c r="W660" s="22" t="s">
        <v>378</v>
      </c>
      <c r="X660" s="16"/>
      <c r="Y660" s="234" t="str">
        <f>TRIM(LEFT(Main_Presentation[[#This Row],[Payment Terms]],3))</f>
        <v>90</v>
      </c>
      <c r="Z660" s="16"/>
      <c r="AA660" s="316" cm="1">
        <f t="array" ref="AA660">Settlement(Main_Presentation[[#This Row],[Bank]],Main_Presentation[[#This Row],[ Invoice Amt (SAR)]],Main_Presentation[[#This Row],[Date Recd]],Main_Presentation[[#This Row],[Due Date]],Main_Presentation[[#This Row],[Days]])</f>
        <v>1957.3</v>
      </c>
      <c r="AB660" s="16"/>
    </row>
    <row r="661" spans="1:28" ht="15.75" hidden="1" x14ac:dyDescent="0.25">
      <c r="A661" s="20" t="s">
        <v>547</v>
      </c>
      <c r="B661" s="15">
        <v>45727</v>
      </c>
      <c r="C661" s="26">
        <v>1</v>
      </c>
      <c r="D661" s="55" t="str">
        <f>VLOOKUP(Main_Presentation[[#This Row],[LC Number]],Main_Issuance[],3,0)</f>
        <v>Rabih Makhoul</v>
      </c>
      <c r="E661" s="16" t="s">
        <v>858</v>
      </c>
      <c r="F661" s="17" t="str">
        <f>VLOOKUP(Main_Presentation[[#This Row],[LC Number]],Main_Issuance[],5,0)</f>
        <v>SNB</v>
      </c>
      <c r="G661" s="17" t="str">
        <f>VLOOKUP(Main_Presentation[[#This Row],[LC Number]],Main_Issuance[],6,0)</f>
        <v>Opera House</v>
      </c>
      <c r="H661" s="17" t="str">
        <f>VLOOKUP(Main_Presentation[[#This Row],[LC Number]],Main_Issuance[],17,0)</f>
        <v>Credit</v>
      </c>
      <c r="I661" s="17" t="str">
        <f>VLOOKUP(Main_Presentation[[#This Row],[LC Number]],Main_Issuance[],7,0)</f>
        <v>AL ZAMIL CO. FOR TRADE &amp; TRANSPORT</v>
      </c>
      <c r="J661" s="17" t="str">
        <f>VLOOKUP(Main_Presentation[[#This Row],[LC Number]],Main_Issuance[],8,0)</f>
        <v>FIRST FIX</v>
      </c>
      <c r="K661" s="17" t="str">
        <f>VLOOKUP(Main_Presentation[[#This Row],[LC Number]],Main_Issuance[],9,0)</f>
        <v>JCD SPMI</v>
      </c>
      <c r="L661" s="17">
        <f>VLOOKUP(Main_Presentation[[#This Row],[LC Number]],Main_Issuance[],10,0)</f>
        <v>1020100</v>
      </c>
      <c r="M661" s="17" t="str">
        <f>VLOOKUP(Main_Presentation[[#This Row],[LC Number]],Main_Issuance[],11,0)</f>
        <v>SAR</v>
      </c>
      <c r="N661" s="84">
        <f>VLOOKUP(Main_Presentation[[#This Row],[LC Number]],Main_Issuance[],12,0)</f>
        <v>169050</v>
      </c>
      <c r="O661" s="16" t="s">
        <v>20</v>
      </c>
      <c r="P661" s="16" t="s">
        <v>378</v>
      </c>
      <c r="Q661" s="131">
        <v>169050</v>
      </c>
      <c r="R661" s="18">
        <v>1</v>
      </c>
      <c r="S661" s="18">
        <f>Main_Presentation[[#This Row],[Invoice Amt (FCY)]]*Main_Presentation[[#This Row],[Rate]]</f>
        <v>169050</v>
      </c>
      <c r="T661" s="15">
        <v>45757</v>
      </c>
      <c r="U661" s="26" t="str">
        <f>VLOOKUP(Main_Presentation[[#This Row],[LC Number]],Main_Issuance[],18,0)</f>
        <v>90 Days from Invoice Date</v>
      </c>
      <c r="V661" s="21" t="s">
        <v>871</v>
      </c>
      <c r="W661" s="22" t="s">
        <v>378</v>
      </c>
      <c r="X661" s="16"/>
      <c r="Y661" s="234" t="str">
        <f>TRIM(LEFT(Main_Presentation[[#This Row],[Payment Terms]],3))</f>
        <v>90</v>
      </c>
      <c r="Z661" s="16"/>
      <c r="AA661" s="316" cm="1">
        <f t="array" ref="AA661">Settlement(Main_Presentation[[#This Row],[Bank]],Main_Presentation[[#This Row],[ Invoice Amt (SAR)]],Main_Presentation[[#This Row],[Date Recd]],Main_Presentation[[#This Row],[Due Date]],Main_Presentation[[#This Row],[Days]])</f>
        <v>655.5</v>
      </c>
      <c r="AB661" s="16"/>
    </row>
    <row r="662" spans="1:28" ht="15.75" hidden="1" x14ac:dyDescent="0.25">
      <c r="A662" s="20" t="s">
        <v>553</v>
      </c>
      <c r="B662" s="15">
        <v>45734</v>
      </c>
      <c r="C662" s="26">
        <v>1</v>
      </c>
      <c r="D662" s="55" t="str">
        <f>VLOOKUP(Main_Presentation[[#This Row],[LC Number]],Main_Issuance[],3,0)</f>
        <v>Rabih Makhoul</v>
      </c>
      <c r="E662" s="16" t="s">
        <v>856</v>
      </c>
      <c r="F662" s="16" t="str">
        <f>VLOOKUP(Main_Presentation[[#This Row],[LC Number]],Main_Issuance[],5,0)</f>
        <v>SNB</v>
      </c>
      <c r="G662" s="16" t="str">
        <f>VLOOKUP(Main_Presentation[[#This Row],[LC Number]],Main_Issuance[],6,0)</f>
        <v>Opera House</v>
      </c>
      <c r="H662" s="16" t="str">
        <f>VLOOKUP(Main_Presentation[[#This Row],[LC Number]],Main_Issuance[],17,0)</f>
        <v>Credit</v>
      </c>
      <c r="I662" s="16" t="str">
        <f>VLOOKUP(Main_Presentation[[#This Row],[LC Number]],Main_Issuance[],7,0)</f>
        <v>Tabark Al - Momyza For Trading Est.</v>
      </c>
      <c r="J662" s="16" t="str">
        <f>VLOOKUP(Main_Presentation[[#This Row],[LC Number]],Main_Issuance[],8,0)</f>
        <v>FIRST FIX</v>
      </c>
      <c r="K662" s="16" t="str">
        <f>VLOOKUP(Main_Presentation[[#This Row],[LC Number]],Main_Issuance[],9,0)</f>
        <v>JCD SPMI</v>
      </c>
      <c r="L662" s="16">
        <f>VLOOKUP(Main_Presentation[[#This Row],[LC Number]],Main_Issuance[],10,0)</f>
        <v>1020100</v>
      </c>
      <c r="M662" s="16" t="str">
        <f>VLOOKUP(Main_Presentation[[#This Row],[LC Number]],Main_Issuance[],11,0)</f>
        <v>SAR</v>
      </c>
      <c r="N662" s="86">
        <f>VLOOKUP(Main_Presentation[[#This Row],[LC Number]],Main_Issuance[],12,0)</f>
        <v>300000</v>
      </c>
      <c r="O662" s="16" t="s">
        <v>20</v>
      </c>
      <c r="P662" s="16" t="s">
        <v>378</v>
      </c>
      <c r="Q662" s="131">
        <v>300000</v>
      </c>
      <c r="R662" s="18">
        <v>1</v>
      </c>
      <c r="S662" s="18">
        <f>Main_Presentation[[#This Row],[Invoice Amt (FCY)]]*Main_Presentation[[#This Row],[Rate]]</f>
        <v>300000</v>
      </c>
      <c r="T662" s="15">
        <v>45732</v>
      </c>
      <c r="U662" s="26" t="str">
        <f>VLOOKUP(Main_Presentation[[#This Row],[LC Number]],Main_Issuance[],18,0)</f>
        <v>90 Days from Invoice Date</v>
      </c>
      <c r="V662" s="21" t="s">
        <v>407</v>
      </c>
      <c r="W662" s="22" t="s">
        <v>857</v>
      </c>
      <c r="X662" s="16"/>
      <c r="Y662" s="234" t="str">
        <f>TRIM(LEFT(Main_Presentation[[#This Row],[Payment Terms]],3))</f>
        <v>90</v>
      </c>
      <c r="Z662" s="16"/>
      <c r="AA662" s="316" cm="1">
        <f t="array" ref="AA662">Settlement(Main_Presentation[[#This Row],[Bank]],Main_Presentation[[#This Row],[ Invoice Amt (SAR)]],Main_Presentation[[#This Row],[Date Recd]],Main_Presentation[[#This Row],[Due Date]],Main_Presentation[[#This Row],[Days]])</f>
        <v>655.5</v>
      </c>
      <c r="AB662" s="16"/>
    </row>
    <row r="663" spans="1:28" ht="15.75" hidden="1" x14ac:dyDescent="0.25">
      <c r="A663" s="20" t="s">
        <v>474</v>
      </c>
      <c r="B663" s="15">
        <v>45734</v>
      </c>
      <c r="C663" s="26">
        <v>1</v>
      </c>
      <c r="D663" s="55" t="str">
        <f>VLOOKUP(Main_Presentation[[#This Row],[LC Number]],Main_Issuance[],3,0)</f>
        <v>Rabih Makhoul</v>
      </c>
      <c r="E663" s="16" t="s">
        <v>856</v>
      </c>
      <c r="F663" s="16" t="str">
        <f>VLOOKUP(Main_Presentation[[#This Row],[LC Number]],Main_Issuance[],5,0)</f>
        <v>SNB</v>
      </c>
      <c r="G663" s="16" t="str">
        <f>VLOOKUP(Main_Presentation[[#This Row],[LC Number]],Main_Issuance[],6,0)</f>
        <v>Opera House</v>
      </c>
      <c r="H663" s="16" t="str">
        <f>VLOOKUP(Main_Presentation[[#This Row],[LC Number]],Main_Issuance[],17,0)</f>
        <v>Credit</v>
      </c>
      <c r="I663" s="16" t="str">
        <f>VLOOKUP(Main_Presentation[[#This Row],[LC Number]],Main_Issuance[],7,0)</f>
        <v>Arabian Plastic Manufacturing Co. Ltd</v>
      </c>
      <c r="J663" s="16" t="str">
        <f>VLOOKUP(Main_Presentation[[#This Row],[LC Number]],Main_Issuance[],8,0)</f>
        <v>FIRST FIX</v>
      </c>
      <c r="K663" s="16" t="str">
        <f>VLOOKUP(Main_Presentation[[#This Row],[LC Number]],Main_Issuance[],9,0)</f>
        <v>JCD SPMI</v>
      </c>
      <c r="L663" s="16">
        <f>VLOOKUP(Main_Presentation[[#This Row],[LC Number]],Main_Issuance[],10,0)</f>
        <v>1020100</v>
      </c>
      <c r="M663" s="16" t="str">
        <f>VLOOKUP(Main_Presentation[[#This Row],[LC Number]],Main_Issuance[],11,0)</f>
        <v>SAR</v>
      </c>
      <c r="N663" s="86">
        <f>VLOOKUP(Main_Presentation[[#This Row],[LC Number]],Main_Issuance[],12,0)</f>
        <v>600000</v>
      </c>
      <c r="O663" s="16" t="s">
        <v>20</v>
      </c>
      <c r="P663" s="16" t="s">
        <v>378</v>
      </c>
      <c r="Q663" s="166">
        <v>600000</v>
      </c>
      <c r="R663" s="18">
        <v>1</v>
      </c>
      <c r="S663" s="18">
        <f>Main_Presentation[[#This Row],[Invoice Amt (FCY)]]*Main_Presentation[[#This Row],[Rate]]</f>
        <v>600000</v>
      </c>
      <c r="T663" s="15">
        <v>45809</v>
      </c>
      <c r="U663" s="26" t="str">
        <f>VLOOKUP(Main_Presentation[[#This Row],[LC Number]],Main_Issuance[],18,0)</f>
        <v>90 Days from Invoice Date</v>
      </c>
      <c r="V663" s="21" t="s">
        <v>1460</v>
      </c>
      <c r="W663" s="22" t="s">
        <v>378</v>
      </c>
      <c r="X663" s="16"/>
      <c r="Y663" s="234" t="str">
        <f>TRIM(LEFT(Main_Presentation[[#This Row],[Payment Terms]],3))</f>
        <v>90</v>
      </c>
      <c r="Z663" s="16"/>
      <c r="AA663" s="316" cm="1">
        <f t="array" ref="AA663">Settlement(Main_Presentation[[#This Row],[Bank]],Main_Presentation[[#This Row],[ Invoice Amt (SAR)]],Main_Presentation[[#This Row],[Date Recd]],Main_Presentation[[#This Row],[Due Date]],Main_Presentation[[#This Row],[Days]])</f>
        <v>2915.25</v>
      </c>
      <c r="AB663" s="16"/>
    </row>
    <row r="664" spans="1:28" ht="15.75" hidden="1" x14ac:dyDescent="0.25">
      <c r="A664" s="20" t="s">
        <v>673</v>
      </c>
      <c r="B664" s="15">
        <v>45740</v>
      </c>
      <c r="C664" s="26">
        <v>1</v>
      </c>
      <c r="D664" s="55" t="str">
        <f>VLOOKUP(Main_Presentation[[#This Row],[LC Number]],Main_Issuance[],3,0)</f>
        <v>Rabih Makhoul</v>
      </c>
      <c r="E664" s="16" t="s">
        <v>856</v>
      </c>
      <c r="F664" s="16" t="str">
        <f>VLOOKUP(Main_Presentation[[#This Row],[LC Number]],Main_Issuance[],5,0)</f>
        <v>SNB</v>
      </c>
      <c r="G664" s="16" t="str">
        <f>VLOOKUP(Main_Presentation[[#This Row],[LC Number]],Main_Issuance[],6,0)</f>
        <v>Opera House</v>
      </c>
      <c r="H664" s="16" t="str">
        <f>VLOOKUP(Main_Presentation[[#This Row],[LC Number]],Main_Issuance[],17,0)</f>
        <v>Credit</v>
      </c>
      <c r="I664" s="16" t="str">
        <f>VLOOKUP(Main_Presentation[[#This Row],[LC Number]],Main_Issuance[],7,0)</f>
        <v>Electric House Trading Co LLC</v>
      </c>
      <c r="J664" s="16" t="str">
        <f>VLOOKUP(Main_Presentation[[#This Row],[LC Number]],Main_Issuance[],8,0)</f>
        <v>FIRST FIX</v>
      </c>
      <c r="K664" s="16" t="str">
        <f>VLOOKUP(Main_Presentation[[#This Row],[LC Number]],Main_Issuance[],9,0)</f>
        <v>JCD SPMI</v>
      </c>
      <c r="L664" s="16">
        <f>VLOOKUP(Main_Presentation[[#This Row],[LC Number]],Main_Issuance[],10,0)</f>
        <v>1020100</v>
      </c>
      <c r="M664" s="16" t="str">
        <f>VLOOKUP(Main_Presentation[[#This Row],[LC Number]],Main_Issuance[],11,0)</f>
        <v>SAR</v>
      </c>
      <c r="N664" s="86">
        <f>VLOOKUP(Main_Presentation[[#This Row],[LC Number]],Main_Issuance[],12,0)</f>
        <v>900000</v>
      </c>
      <c r="O664" s="16" t="s">
        <v>20</v>
      </c>
      <c r="P664" s="16" t="s">
        <v>378</v>
      </c>
      <c r="Q664" s="131">
        <v>900000</v>
      </c>
      <c r="R664" s="18">
        <v>1</v>
      </c>
      <c r="S664" s="18">
        <f>Main_Presentation[[#This Row],[Invoice Amt (FCY)]]*Main_Presentation[[#This Row],[Rate]]</f>
        <v>900000</v>
      </c>
      <c r="T664" s="15">
        <v>45816</v>
      </c>
      <c r="U664" s="26" t="str">
        <f>VLOOKUP(Main_Presentation[[#This Row],[LC Number]],Main_Issuance[],18,0)</f>
        <v>90 Days from Invoice Date</v>
      </c>
      <c r="V664" s="21" t="s">
        <v>407</v>
      </c>
      <c r="W664" s="22" t="s">
        <v>857</v>
      </c>
      <c r="X664" s="16"/>
      <c r="Y664" s="234" t="str">
        <f>TRIM(LEFT(Main_Presentation[[#This Row],[Payment Terms]],3))</f>
        <v>90</v>
      </c>
      <c r="Z664" s="16"/>
      <c r="AA664" s="316" cm="1">
        <f t="array" ref="AA664">Settlement(Main_Presentation[[#This Row],[Bank]],Main_Presentation[[#This Row],[ Invoice Amt (SAR)]],Main_Presentation[[#This Row],[Date Recd]],Main_Presentation[[#This Row],[Due Date]],Main_Presentation[[#This Row],[Days]])</f>
        <v>4352.75</v>
      </c>
      <c r="AB664" s="16"/>
    </row>
    <row r="665" spans="1:28" ht="15.75" hidden="1" x14ac:dyDescent="0.25">
      <c r="A665" s="129" t="s">
        <v>676</v>
      </c>
      <c r="B665" s="15">
        <v>45767</v>
      </c>
      <c r="C665" s="26">
        <v>1</v>
      </c>
      <c r="D665" s="55" t="str">
        <f>VLOOKUP(Main_Presentation[[#This Row],[LC Number]],Main_Issuance[],3,0)</f>
        <v>Rabih Makhoul</v>
      </c>
      <c r="E665" s="16" t="s">
        <v>856</v>
      </c>
      <c r="F665" s="16" t="str">
        <f>VLOOKUP(Main_Presentation[[#This Row],[LC Number]],Main_Issuance[],5,0)</f>
        <v>SNB</v>
      </c>
      <c r="G665" s="16" t="str">
        <f>VLOOKUP(Main_Presentation[[#This Row],[LC Number]],Main_Issuance[],6,0)</f>
        <v>Opera House</v>
      </c>
      <c r="H665" s="16" t="str">
        <f>VLOOKUP(Main_Presentation[[#This Row],[LC Number]],Main_Issuance[],17,0)</f>
        <v>Credit</v>
      </c>
      <c r="I665" s="16" t="str">
        <f>VLOOKUP(Main_Presentation[[#This Row],[LC Number]],Main_Issuance[],7,0)</f>
        <v>Power Center Company fo Industries LLC</v>
      </c>
      <c r="J665" s="16" t="str">
        <f>VLOOKUP(Main_Presentation[[#This Row],[LC Number]],Main_Issuance[],8,0)</f>
        <v>FIRST FIX</v>
      </c>
      <c r="K665" s="16" t="str">
        <f>VLOOKUP(Main_Presentation[[#This Row],[LC Number]],Main_Issuance[],9,0)</f>
        <v>JCD SPMI</v>
      </c>
      <c r="L665" s="16">
        <f>VLOOKUP(Main_Presentation[[#This Row],[LC Number]],Main_Issuance[],10,0)</f>
        <v>1020100</v>
      </c>
      <c r="M665" s="16" t="str">
        <f>VLOOKUP(Main_Presentation[[#This Row],[LC Number]],Main_Issuance[],11,0)</f>
        <v>SAR</v>
      </c>
      <c r="N665" s="86">
        <f>VLOOKUP(Main_Presentation[[#This Row],[LC Number]],Main_Issuance[],12,0)</f>
        <v>900000</v>
      </c>
      <c r="O665" s="16" t="s">
        <v>20</v>
      </c>
      <c r="P665" s="16" t="s">
        <v>378</v>
      </c>
      <c r="Q665" s="131">
        <v>900000</v>
      </c>
      <c r="R665" s="18">
        <v>1</v>
      </c>
      <c r="S665" s="18">
        <f>Main_Presentation[[#This Row],[Invoice Amt (FCY)]]*Main_Presentation[[#This Row],[Rate]]</f>
        <v>900000</v>
      </c>
      <c r="T665" s="15">
        <v>45830</v>
      </c>
      <c r="U665" s="26" t="str">
        <f>VLOOKUP(Main_Presentation[[#This Row],[LC Number]],Main_Issuance[],18,0)</f>
        <v>90 Days from Invoice Date</v>
      </c>
      <c r="V665" s="21" t="s">
        <v>511</v>
      </c>
      <c r="W665" s="22" t="s">
        <v>378</v>
      </c>
      <c r="X665" s="16"/>
      <c r="Y665" s="234" t="str">
        <f>TRIM(LEFT(Main_Presentation[[#This Row],[Payment Terms]],3))</f>
        <v>90</v>
      </c>
      <c r="Z665" s="16"/>
      <c r="AA665" s="316" cm="1">
        <f t="array" ref="AA665">Settlement(Main_Presentation[[#This Row],[Bank]],Main_Presentation[[#This Row],[ Invoice Amt (SAR)]],Main_Presentation[[#This Row],[Date Recd]],Main_Presentation[[#This Row],[Due Date]],Main_Presentation[[#This Row],[Days]])</f>
        <v>4352.75</v>
      </c>
      <c r="AB665" s="16"/>
    </row>
    <row r="666" spans="1:28" ht="15.75" hidden="1" x14ac:dyDescent="0.25">
      <c r="A666" s="129" t="s">
        <v>674</v>
      </c>
      <c r="B666" s="15">
        <v>45769</v>
      </c>
      <c r="C666" s="26">
        <v>1</v>
      </c>
      <c r="D666" s="55" t="str">
        <f>VLOOKUP(Main_Presentation[[#This Row],[LC Number]],Main_Issuance[],3,0)</f>
        <v>Rabih Makhoul</v>
      </c>
      <c r="E666" s="16" t="s">
        <v>856</v>
      </c>
      <c r="F666" s="16" t="str">
        <f>VLOOKUP(Main_Presentation[[#This Row],[LC Number]],Main_Issuance[],5,0)</f>
        <v>SNB</v>
      </c>
      <c r="G666" s="16" t="str">
        <f>VLOOKUP(Main_Presentation[[#This Row],[LC Number]],Main_Issuance[],6,0)</f>
        <v>Opera House</v>
      </c>
      <c r="H666" s="16" t="str">
        <f>VLOOKUP(Main_Presentation[[#This Row],[LC Number]],Main_Issuance[],17,0)</f>
        <v>Credit</v>
      </c>
      <c r="I666" s="16" t="str">
        <f>VLOOKUP(Main_Presentation[[#This Row],[LC Number]],Main_Issuance[],7,0)</f>
        <v>Banan Thiba Trading Est (BTT)</v>
      </c>
      <c r="J666" s="16" t="str">
        <f>VLOOKUP(Main_Presentation[[#This Row],[LC Number]],Main_Issuance[],8,0)</f>
        <v>FIRST FIX</v>
      </c>
      <c r="K666" s="16" t="str">
        <f>VLOOKUP(Main_Presentation[[#This Row],[LC Number]],Main_Issuance[],9,0)</f>
        <v>JCD SPMI</v>
      </c>
      <c r="L666" s="16">
        <f>VLOOKUP(Main_Presentation[[#This Row],[LC Number]],Main_Issuance[],10,0)</f>
        <v>1020100</v>
      </c>
      <c r="M666" s="16" t="str">
        <f>VLOOKUP(Main_Presentation[[#This Row],[LC Number]],Main_Issuance[],11,0)</f>
        <v>SAR</v>
      </c>
      <c r="N666" s="86">
        <f>VLOOKUP(Main_Presentation[[#This Row],[LC Number]],Main_Issuance[],12,0)</f>
        <v>900000</v>
      </c>
      <c r="O666" s="16" t="s">
        <v>20</v>
      </c>
      <c r="P666" s="16" t="s">
        <v>378</v>
      </c>
      <c r="Q666" s="131">
        <v>781791.28</v>
      </c>
      <c r="R666" s="18">
        <v>1</v>
      </c>
      <c r="S666" s="18">
        <f>Main_Presentation[[#This Row],[Invoice Amt (FCY)]]*Main_Presentation[[#This Row],[Rate]]</f>
        <v>781791.28</v>
      </c>
      <c r="T666" s="15">
        <v>45804</v>
      </c>
      <c r="U666" s="26" t="str">
        <f>VLOOKUP(Main_Presentation[[#This Row],[LC Number]],Main_Issuance[],18,0)</f>
        <v>90 Days from Invoice Date</v>
      </c>
      <c r="V666" s="21" t="s">
        <v>1393</v>
      </c>
      <c r="W666" s="22" t="s">
        <v>378</v>
      </c>
      <c r="X666" s="16"/>
      <c r="Y666" s="234" t="str">
        <f>TRIM(LEFT(Main_Presentation[[#This Row],[Payment Terms]],3))</f>
        <v>90</v>
      </c>
      <c r="Z666" s="16"/>
      <c r="AA666" s="316" cm="1">
        <f t="array" ref="AA666">Settlement(Main_Presentation[[#This Row],[Bank]],Main_Presentation[[#This Row],[ Invoice Amt (SAR)]],Main_Presentation[[#This Row],[Date Recd]],Main_Presentation[[#This Row],[Due Date]],Main_Presentation[[#This Row],[Days]])</f>
        <v>1913.6</v>
      </c>
      <c r="AB666" s="16"/>
    </row>
    <row r="667" spans="1:28" ht="15.75" hidden="1" x14ac:dyDescent="0.25">
      <c r="A667" s="129" t="s">
        <v>677</v>
      </c>
      <c r="B667" s="15">
        <v>45755</v>
      </c>
      <c r="C667" s="26">
        <v>1</v>
      </c>
      <c r="D667" s="55" t="str">
        <f>VLOOKUP(Main_Presentation[[#This Row],[LC Number]],Main_Issuance[],3,0)</f>
        <v>Rabih Makhoul</v>
      </c>
      <c r="E667" s="16" t="s">
        <v>856</v>
      </c>
      <c r="F667" s="16" t="str">
        <f>VLOOKUP(Main_Presentation[[#This Row],[LC Number]],Main_Issuance[],5,0)</f>
        <v>SNB</v>
      </c>
      <c r="G667" s="16" t="str">
        <f>VLOOKUP(Main_Presentation[[#This Row],[LC Number]],Main_Issuance[],6,0)</f>
        <v>Opera House</v>
      </c>
      <c r="H667" s="16" t="str">
        <f>VLOOKUP(Main_Presentation[[#This Row],[LC Number]],Main_Issuance[],17,0)</f>
        <v>Credit</v>
      </c>
      <c r="I667" s="16" t="str">
        <f>VLOOKUP(Main_Presentation[[#This Row],[LC Number]],Main_Issuance[],7,0)</f>
        <v>Saudi Electric Supply Company</v>
      </c>
      <c r="J667" s="16" t="str">
        <f>VLOOKUP(Main_Presentation[[#This Row],[LC Number]],Main_Issuance[],8,0)</f>
        <v>FIRST FIX</v>
      </c>
      <c r="K667" s="16" t="str">
        <f>VLOOKUP(Main_Presentation[[#This Row],[LC Number]],Main_Issuance[],9,0)</f>
        <v>JCD SPMI</v>
      </c>
      <c r="L667" s="16">
        <f>VLOOKUP(Main_Presentation[[#This Row],[LC Number]],Main_Issuance[],10,0)</f>
        <v>1020100</v>
      </c>
      <c r="M667" s="16" t="str">
        <f>VLOOKUP(Main_Presentation[[#This Row],[LC Number]],Main_Issuance[],11,0)</f>
        <v>SAR</v>
      </c>
      <c r="N667" s="86">
        <f>VLOOKUP(Main_Presentation[[#This Row],[LC Number]],Main_Issuance[],12,0)</f>
        <v>350000</v>
      </c>
      <c r="O667" s="16" t="s">
        <v>20</v>
      </c>
      <c r="P667" s="16" t="s">
        <v>378</v>
      </c>
      <c r="Q667" s="131">
        <v>302011.38</v>
      </c>
      <c r="R667" s="18">
        <v>1</v>
      </c>
      <c r="S667" s="18">
        <f>Main_Presentation[[#This Row],[Invoice Amt (FCY)]]*Main_Presentation[[#This Row],[Rate]]</f>
        <v>302011.38</v>
      </c>
      <c r="T667" s="15">
        <v>45802</v>
      </c>
      <c r="U667" s="26" t="str">
        <f>VLOOKUP(Main_Presentation[[#This Row],[LC Number]],Main_Issuance[],18,0)</f>
        <v>90 Days from Invoice Date</v>
      </c>
      <c r="V667" s="21" t="s">
        <v>1393</v>
      </c>
      <c r="W667" s="22" t="s">
        <v>378</v>
      </c>
      <c r="X667" s="16"/>
      <c r="Y667" s="234" t="str">
        <f>TRIM(LEFT(Main_Presentation[[#This Row],[Payment Terms]],3))</f>
        <v>90</v>
      </c>
      <c r="Z667" s="16"/>
      <c r="AA667" s="316" cm="1">
        <f t="array" ref="AA667">Settlement(Main_Presentation[[#This Row],[Bank]],Main_Presentation[[#This Row],[ Invoice Amt (SAR)]],Main_Presentation[[#This Row],[Date Recd]],Main_Presentation[[#This Row],[Due Date]],Main_Presentation[[#This Row],[Days]])</f>
        <v>1486.95</v>
      </c>
      <c r="AB667" s="16"/>
    </row>
    <row r="668" spans="1:28" ht="15.75" hidden="1" x14ac:dyDescent="0.25">
      <c r="A668" s="20" t="s">
        <v>680</v>
      </c>
      <c r="B668" s="15">
        <v>45790</v>
      </c>
      <c r="C668" s="26">
        <v>1</v>
      </c>
      <c r="D668" s="55" t="str">
        <f>VLOOKUP(Main_Presentation[[#This Row],[LC Number]],Main_Issuance[],3,0)</f>
        <v>Rabih Makhoul</v>
      </c>
      <c r="E668" s="16" t="s">
        <v>858</v>
      </c>
      <c r="F668" s="16" t="str">
        <f>VLOOKUP(Main_Presentation[[#This Row],[LC Number]],Main_Issuance[],5,0)</f>
        <v>SNB</v>
      </c>
      <c r="G668" s="16" t="str">
        <f>VLOOKUP(Main_Presentation[[#This Row],[LC Number]],Main_Issuance[],6,0)</f>
        <v>Opera House</v>
      </c>
      <c r="H668" s="16" t="str">
        <f>VLOOKUP(Main_Presentation[[#This Row],[LC Number]],Main_Issuance[],17,0)</f>
        <v>Credit</v>
      </c>
      <c r="I668" s="16" t="str">
        <f>VLOOKUP(Main_Presentation[[#This Row],[LC Number]],Main_Issuance[],7,0)</f>
        <v>Al Mousa Trading Co</v>
      </c>
      <c r="J668" s="16" t="str">
        <f>VLOOKUP(Main_Presentation[[#This Row],[LC Number]],Main_Issuance[],8,0)</f>
        <v>FIRST FIX</v>
      </c>
      <c r="K668" s="16" t="str">
        <f>VLOOKUP(Main_Presentation[[#This Row],[LC Number]],Main_Issuance[],9,0)</f>
        <v>JCD SPMI</v>
      </c>
      <c r="L668" s="16">
        <f>VLOOKUP(Main_Presentation[[#This Row],[LC Number]],Main_Issuance[],10,0)</f>
        <v>1020100</v>
      </c>
      <c r="M668" s="16" t="str">
        <f>VLOOKUP(Main_Presentation[[#This Row],[LC Number]],Main_Issuance[],11,0)</f>
        <v>SAR</v>
      </c>
      <c r="N668" s="86">
        <f>VLOOKUP(Main_Presentation[[#This Row],[LC Number]],Main_Issuance[],12,0)</f>
        <v>350000</v>
      </c>
      <c r="O668" s="16" t="s">
        <v>20</v>
      </c>
      <c r="P668" s="16" t="s">
        <v>378</v>
      </c>
      <c r="Q668" s="131">
        <v>350000</v>
      </c>
      <c r="R668" s="18">
        <v>1</v>
      </c>
      <c r="S668" s="18">
        <f>Main_Presentation[[#This Row],[Invoice Amt (FCY)]]*Main_Presentation[[#This Row],[Rate]]</f>
        <v>350000</v>
      </c>
      <c r="T668" s="15">
        <v>45811</v>
      </c>
      <c r="U668" s="26" t="str">
        <f>VLOOKUP(Main_Presentation[[#This Row],[LC Number]],Main_Issuance[],18,0)</f>
        <v>90 Days from Invoice Date</v>
      </c>
      <c r="V668" s="21" t="s">
        <v>1448</v>
      </c>
      <c r="W668" s="22" t="s">
        <v>378</v>
      </c>
      <c r="X668" s="140"/>
      <c r="Y668" s="234" t="str">
        <f>TRIM(LEFT(Main_Presentation[[#This Row],[Payment Terms]],3))</f>
        <v>90</v>
      </c>
      <c r="Z668" s="16"/>
      <c r="AA668" s="316" cm="1">
        <f t="array" ref="AA668">Settlement(Main_Presentation[[#This Row],[Bank]],Main_Presentation[[#This Row],[ Invoice Amt (SAR)]],Main_Presentation[[#This Row],[Date Recd]],Main_Presentation[[#This Row],[Due Date]],Main_Presentation[[#This Row],[Days]])</f>
        <v>878.6</v>
      </c>
      <c r="AB668" s="16"/>
    </row>
    <row r="669" spans="1:28" ht="15.75" hidden="1" x14ac:dyDescent="0.25">
      <c r="A669" s="129" t="s">
        <v>678</v>
      </c>
      <c r="B669" s="15">
        <v>45762</v>
      </c>
      <c r="C669" s="26">
        <v>1</v>
      </c>
      <c r="D669" s="55" t="str">
        <f>VLOOKUP(Main_Presentation[[#This Row],[LC Number]],Main_Issuance[],3,0)</f>
        <v>Rabih Makhoul</v>
      </c>
      <c r="E669" s="16" t="s">
        <v>856</v>
      </c>
      <c r="F669" s="16" t="str">
        <f>VLOOKUP(Main_Presentation[[#This Row],[LC Number]],Main_Issuance[],5,0)</f>
        <v>SNB</v>
      </c>
      <c r="G669" s="16" t="str">
        <f>VLOOKUP(Main_Presentation[[#This Row],[LC Number]],Main_Issuance[],6,0)</f>
        <v>Opera House</v>
      </c>
      <c r="H669" s="16" t="str">
        <f>VLOOKUP(Main_Presentation[[#This Row],[LC Number]],Main_Issuance[],17,0)</f>
        <v>Credit</v>
      </c>
      <c r="I669" s="16" t="str">
        <f>VLOOKUP(Main_Presentation[[#This Row],[LC Number]],Main_Issuance[],7,0)</f>
        <v>Al Fanar company</v>
      </c>
      <c r="J669" s="16" t="str">
        <f>VLOOKUP(Main_Presentation[[#This Row],[LC Number]],Main_Issuance[],8,0)</f>
        <v>FIRST FIX</v>
      </c>
      <c r="K669" s="16" t="str">
        <f>VLOOKUP(Main_Presentation[[#This Row],[LC Number]],Main_Issuance[],9,0)</f>
        <v>JCD SPMI</v>
      </c>
      <c r="L669" s="16">
        <f>VLOOKUP(Main_Presentation[[#This Row],[LC Number]],Main_Issuance[],10,0)</f>
        <v>1020100</v>
      </c>
      <c r="M669" s="16" t="str">
        <f>VLOOKUP(Main_Presentation[[#This Row],[LC Number]],Main_Issuance[],11,0)</f>
        <v>SAR</v>
      </c>
      <c r="N669" s="86">
        <f>VLOOKUP(Main_Presentation[[#This Row],[LC Number]],Main_Issuance[],12,0)</f>
        <v>500000</v>
      </c>
      <c r="O669" s="16" t="s">
        <v>20</v>
      </c>
      <c r="P669" s="16" t="s">
        <v>378</v>
      </c>
      <c r="Q669" s="131">
        <v>446228.6</v>
      </c>
      <c r="R669" s="18">
        <v>1</v>
      </c>
      <c r="S669" s="18">
        <f>Main_Presentation[[#This Row],[Invoice Amt (FCY)]]*Main_Presentation[[#This Row],[Rate]]</f>
        <v>446228.6</v>
      </c>
      <c r="T669" s="15">
        <v>45783</v>
      </c>
      <c r="U669" s="26" t="str">
        <f>VLOOKUP(Main_Presentation[[#This Row],[LC Number]],Main_Issuance[],18,0)</f>
        <v>90 Days from Invoice Date</v>
      </c>
      <c r="V669" s="21" t="s">
        <v>304</v>
      </c>
      <c r="W669" s="22" t="s">
        <v>378</v>
      </c>
      <c r="X669" s="16"/>
      <c r="Y669" s="234" t="str">
        <f>TRIM(LEFT(Main_Presentation[[#This Row],[Payment Terms]],3))</f>
        <v>90</v>
      </c>
      <c r="Z669" s="16"/>
      <c r="AA669" s="316" cm="1">
        <f t="array" ref="AA669">Settlement(Main_Presentation[[#This Row],[Bank]],Main_Presentation[[#This Row],[ Invoice Amt (SAR)]],Main_Presentation[[#This Row],[Date Recd]],Main_Presentation[[#This Row],[Due Date]],Main_Presentation[[#This Row],[Days]])</f>
        <v>1109.75</v>
      </c>
      <c r="AB669" s="16"/>
    </row>
    <row r="670" spans="1:28" ht="15.75" hidden="1" x14ac:dyDescent="0.25">
      <c r="A670" s="20" t="s">
        <v>546</v>
      </c>
      <c r="B670" s="15">
        <v>45761</v>
      </c>
      <c r="C670" s="26">
        <v>1</v>
      </c>
      <c r="D670" s="55" t="str">
        <f>VLOOKUP(Main_Presentation[[#This Row],[LC Number]],Main_Issuance[],3,0)</f>
        <v>Rabih Makhoul</v>
      </c>
      <c r="E670" s="16" t="s">
        <v>856</v>
      </c>
      <c r="F670" s="16" t="str">
        <f>VLOOKUP(Main_Presentation[[#This Row],[LC Number]],Main_Issuance[],5,0)</f>
        <v>SNB</v>
      </c>
      <c r="G670" s="16" t="str">
        <f>VLOOKUP(Main_Presentation[[#This Row],[LC Number]],Main_Issuance[],6,0)</f>
        <v>Opera House</v>
      </c>
      <c r="H670" s="16" t="str">
        <f>VLOOKUP(Main_Presentation[[#This Row],[LC Number]],Main_Issuance[],17,0)</f>
        <v>Credit</v>
      </c>
      <c r="I670" s="16" t="str">
        <f>VLOOKUP(Main_Presentation[[#This Row],[LC Number]],Main_Issuance[],7,0)</f>
        <v>Branch of National Fire Fighting (NAFFCO)</v>
      </c>
      <c r="J670" s="16" t="str">
        <f>VLOOKUP(Main_Presentation[[#This Row],[LC Number]],Main_Issuance[],8,0)</f>
        <v>FIRST FIX</v>
      </c>
      <c r="K670" s="16" t="str">
        <f>VLOOKUP(Main_Presentation[[#This Row],[LC Number]],Main_Issuance[],9,0)</f>
        <v>JCD SPMI</v>
      </c>
      <c r="L670" s="16">
        <f>VLOOKUP(Main_Presentation[[#This Row],[LC Number]],Main_Issuance[],10,0)</f>
        <v>1020100</v>
      </c>
      <c r="M670" s="16" t="str">
        <f>VLOOKUP(Main_Presentation[[#This Row],[LC Number]],Main_Issuance[],11,0)</f>
        <v>SAR</v>
      </c>
      <c r="N670" s="86">
        <f>VLOOKUP(Main_Presentation[[#This Row],[LC Number]],Main_Issuance[],12,0)</f>
        <v>522850</v>
      </c>
      <c r="O670" s="16" t="s">
        <v>20</v>
      </c>
      <c r="P670" s="16" t="s">
        <v>378</v>
      </c>
      <c r="Q670" s="131">
        <v>522850</v>
      </c>
      <c r="R670" s="18">
        <v>1</v>
      </c>
      <c r="S670" s="18">
        <f>Main_Presentation[[#This Row],[Invoice Amt (FCY)]]*Main_Presentation[[#This Row],[Rate]]</f>
        <v>522850</v>
      </c>
      <c r="T670" s="15">
        <v>45761</v>
      </c>
      <c r="U670" s="26" t="str">
        <f>VLOOKUP(Main_Presentation[[#This Row],[LC Number]],Main_Issuance[],18,0)</f>
        <v>90 Days from Invoice Date</v>
      </c>
      <c r="V670" s="21" t="s">
        <v>1197</v>
      </c>
      <c r="W670" s="22" t="s">
        <v>378</v>
      </c>
      <c r="X670" s="16"/>
      <c r="Y670" s="234" t="str">
        <f>TRIM(LEFT(Main_Presentation[[#This Row],[Payment Terms]],3))</f>
        <v>90</v>
      </c>
      <c r="Z670" s="16"/>
      <c r="AA670" s="316" cm="1">
        <f t="array" ref="AA670">Settlement(Main_Presentation[[#This Row],[Bank]],Main_Presentation[[#This Row],[ Invoice Amt (SAR)]],Main_Presentation[[#This Row],[Date Recd]],Main_Presentation[[#This Row],[Due Date]],Main_Presentation[[#This Row],[Days]])</f>
        <v>655.5</v>
      </c>
      <c r="AB670" s="16"/>
    </row>
    <row r="671" spans="1:28" ht="15.75" hidden="1" x14ac:dyDescent="0.25">
      <c r="A671" s="20" t="s">
        <v>539</v>
      </c>
      <c r="B671" s="15">
        <v>45761</v>
      </c>
      <c r="C671" s="26">
        <v>1</v>
      </c>
      <c r="D671" s="55" t="str">
        <f>VLOOKUP(Main_Presentation[[#This Row],[LC Number]],Main_Issuance[],3,0)</f>
        <v>Rabih Makhoul</v>
      </c>
      <c r="E671" s="16" t="s">
        <v>856</v>
      </c>
      <c r="F671" s="16" t="str">
        <f>VLOOKUP(Main_Presentation[[#This Row],[LC Number]],Main_Issuance[],5,0)</f>
        <v>SNB</v>
      </c>
      <c r="G671" s="16" t="str">
        <f>VLOOKUP(Main_Presentation[[#This Row],[LC Number]],Main_Issuance[],6,0)</f>
        <v>Opera House</v>
      </c>
      <c r="H671" s="16" t="str">
        <f>VLOOKUP(Main_Presentation[[#This Row],[LC Number]],Main_Issuance[],17,0)</f>
        <v>Credit</v>
      </c>
      <c r="I671" s="16" t="str">
        <f>VLOOKUP(Main_Presentation[[#This Row],[LC Number]],Main_Issuance[],7,0)</f>
        <v>Al Mousa Trading Co</v>
      </c>
      <c r="J671" s="16" t="str">
        <f>VLOOKUP(Main_Presentation[[#This Row],[LC Number]],Main_Issuance[],8,0)</f>
        <v>FIRST FIX</v>
      </c>
      <c r="K671" s="16" t="str">
        <f>VLOOKUP(Main_Presentation[[#This Row],[LC Number]],Main_Issuance[],9,0)</f>
        <v>JCD SPMI</v>
      </c>
      <c r="L671" s="16">
        <f>VLOOKUP(Main_Presentation[[#This Row],[LC Number]],Main_Issuance[],10,0)</f>
        <v>1020100</v>
      </c>
      <c r="M671" s="16" t="str">
        <f>VLOOKUP(Main_Presentation[[#This Row],[LC Number]],Main_Issuance[],11,0)</f>
        <v>SAR</v>
      </c>
      <c r="N671" s="86">
        <f>VLOOKUP(Main_Presentation[[#This Row],[LC Number]],Main_Issuance[],12,0)</f>
        <v>700000</v>
      </c>
      <c r="O671" s="16" t="s">
        <v>20</v>
      </c>
      <c r="P671" s="16" t="s">
        <v>378</v>
      </c>
      <c r="Q671" s="131">
        <v>700000</v>
      </c>
      <c r="R671" s="18">
        <v>1</v>
      </c>
      <c r="S671" s="18">
        <f>Main_Presentation[[#This Row],[Invoice Amt (FCY)]]*Main_Presentation[[#This Row],[Rate]]</f>
        <v>700000</v>
      </c>
      <c r="T671" s="15">
        <v>45767</v>
      </c>
      <c r="U671" s="26" t="str">
        <f>VLOOKUP(Main_Presentation[[#This Row],[LC Number]],Main_Issuance[],18,0)</f>
        <v>90 Days from Invoice Date</v>
      </c>
      <c r="V671" s="21" t="s">
        <v>407</v>
      </c>
      <c r="W671" s="22" t="s">
        <v>857</v>
      </c>
      <c r="X671" s="16"/>
      <c r="Y671" s="234" t="str">
        <f>TRIM(LEFT(Main_Presentation[[#This Row],[Payment Terms]],3))</f>
        <v>90</v>
      </c>
      <c r="Z671" s="16"/>
      <c r="AA671" s="316" cm="1">
        <f t="array" ref="AA671">Settlement(Main_Presentation[[#This Row],[Bank]],Main_Presentation[[#This Row],[ Invoice Amt (SAR)]],Main_Presentation[[#This Row],[Date Recd]],Main_Presentation[[#This Row],[Due Date]],Main_Presentation[[#This Row],[Days]])</f>
        <v>655.5</v>
      </c>
      <c r="AB671" s="16"/>
    </row>
    <row r="672" spans="1:28" ht="15.75" hidden="1" x14ac:dyDescent="0.25">
      <c r="A672" s="20" t="s">
        <v>684</v>
      </c>
      <c r="B672" s="15">
        <v>45799</v>
      </c>
      <c r="C672" s="26">
        <v>1</v>
      </c>
      <c r="D672" s="55" t="str">
        <f>VLOOKUP(Main_Presentation[[#This Row],[LC Number]],Main_Issuance[],3,0)</f>
        <v>Rabih Makhoul</v>
      </c>
      <c r="E672" s="16" t="s">
        <v>858</v>
      </c>
      <c r="F672" s="16" t="str">
        <f>VLOOKUP(Main_Presentation[[#This Row],[LC Number]],Main_Issuance[],5,0)</f>
        <v>SNB</v>
      </c>
      <c r="G672" s="16" t="str">
        <f>VLOOKUP(Main_Presentation[[#This Row],[LC Number]],Main_Issuance[],6,0)</f>
        <v>Opera House</v>
      </c>
      <c r="H672" s="16" t="str">
        <f>VLOOKUP(Main_Presentation[[#This Row],[LC Number]],Main_Issuance[],17,0)</f>
        <v>Credit</v>
      </c>
      <c r="I672" s="16" t="str">
        <f>VLOOKUP(Main_Presentation[[#This Row],[LC Number]],Main_Issuance[],7,0)</f>
        <v>Mariam Ahmed Jamal Ibrahim</v>
      </c>
      <c r="J672" s="16" t="str">
        <f>VLOOKUP(Main_Presentation[[#This Row],[LC Number]],Main_Issuance[],8,0)</f>
        <v>FIRST FIX</v>
      </c>
      <c r="K672" s="16" t="str">
        <f>VLOOKUP(Main_Presentation[[#This Row],[LC Number]],Main_Issuance[],9,0)</f>
        <v>JCD SPMI</v>
      </c>
      <c r="L672" s="16">
        <f>VLOOKUP(Main_Presentation[[#This Row],[LC Number]],Main_Issuance[],10,0)</f>
        <v>1020100</v>
      </c>
      <c r="M672" s="16" t="str">
        <f>VLOOKUP(Main_Presentation[[#This Row],[LC Number]],Main_Issuance[],11,0)</f>
        <v>SAR</v>
      </c>
      <c r="N672" s="86">
        <f>VLOOKUP(Main_Presentation[[#This Row],[LC Number]],Main_Issuance[],12,0)</f>
        <v>400000</v>
      </c>
      <c r="O672" s="16" t="s">
        <v>20</v>
      </c>
      <c r="P672" s="16" t="s">
        <v>378</v>
      </c>
      <c r="Q672" s="131">
        <v>400000</v>
      </c>
      <c r="R672" s="18">
        <v>1</v>
      </c>
      <c r="S672" s="38">
        <f>Main_Presentation[[#This Row],[Invoice Amt (FCY)]]*Main_Presentation[[#This Row],[Rate]]</f>
        <v>400000</v>
      </c>
      <c r="T672" s="15">
        <v>45834</v>
      </c>
      <c r="U672" s="26" t="str">
        <f>VLOOKUP(Main_Presentation[[#This Row],[LC Number]],Main_Issuance[],18,0)</f>
        <v>90 Days from Invoice Date</v>
      </c>
      <c r="V672" s="21" t="s">
        <v>882</v>
      </c>
      <c r="W672" s="132" t="s">
        <v>378</v>
      </c>
      <c r="X672" s="16"/>
      <c r="Y672" s="234" t="str">
        <f>TRIM(LEFT(Main_Presentation[[#This Row],[Payment Terms]],3))</f>
        <v>90</v>
      </c>
      <c r="Z672" s="16"/>
      <c r="AA672" s="316" cm="1">
        <f t="array" ref="AA672">Settlement(Main_Presentation[[#This Row],[Bank]],Main_Presentation[[#This Row],[ Invoice Amt (SAR)]],Main_Presentation[[#This Row],[Date Recd]],Main_Presentation[[#This Row],[Due Date]],Main_Presentation[[#This Row],[Days]])</f>
        <v>998.2</v>
      </c>
      <c r="AB672" s="16"/>
    </row>
    <row r="673" spans="1:28" ht="15.75" hidden="1" x14ac:dyDescent="0.25">
      <c r="A673" s="20" t="s">
        <v>677</v>
      </c>
      <c r="B673" s="15">
        <v>45792</v>
      </c>
      <c r="C673" s="26">
        <v>2</v>
      </c>
      <c r="D673" s="55" t="str">
        <f>VLOOKUP(Main_Presentation[[#This Row],[LC Number]],Main_Issuance[],3,0)</f>
        <v>Rabih Makhoul</v>
      </c>
      <c r="E673" s="16" t="s">
        <v>858</v>
      </c>
      <c r="F673" s="16" t="str">
        <f>VLOOKUP(Main_Presentation[[#This Row],[LC Number]],Main_Issuance[],5,0)</f>
        <v>SNB</v>
      </c>
      <c r="G673" s="16" t="str">
        <f>VLOOKUP(Main_Presentation[[#This Row],[LC Number]],Main_Issuance[],6,0)</f>
        <v>Opera House</v>
      </c>
      <c r="H673" s="16" t="str">
        <f>VLOOKUP(Main_Presentation[[#This Row],[LC Number]],Main_Issuance[],17,0)</f>
        <v>Credit</v>
      </c>
      <c r="I673" s="16" t="str">
        <f>VLOOKUP(Main_Presentation[[#This Row],[LC Number]],Main_Issuance[],7,0)</f>
        <v>Saudi Electric Supply Company</v>
      </c>
      <c r="J673" s="16" t="str">
        <f>VLOOKUP(Main_Presentation[[#This Row],[LC Number]],Main_Issuance[],8,0)</f>
        <v>FIRST FIX</v>
      </c>
      <c r="K673" s="16" t="str">
        <f>VLOOKUP(Main_Presentation[[#This Row],[LC Number]],Main_Issuance[],9,0)</f>
        <v>JCD SPMI</v>
      </c>
      <c r="L673" s="16">
        <f>VLOOKUP(Main_Presentation[[#This Row],[LC Number]],Main_Issuance[],10,0)</f>
        <v>1020100</v>
      </c>
      <c r="M673" s="16" t="str">
        <f>VLOOKUP(Main_Presentation[[#This Row],[LC Number]],Main_Issuance[],11,0)</f>
        <v>SAR</v>
      </c>
      <c r="N673" s="86">
        <f>VLOOKUP(Main_Presentation[[#This Row],[LC Number]],Main_Issuance[],12,0)</f>
        <v>350000</v>
      </c>
      <c r="O673" s="16" t="s">
        <v>20</v>
      </c>
      <c r="P673" s="16" t="s">
        <v>378</v>
      </c>
      <c r="Q673" s="131">
        <v>47988.62</v>
      </c>
      <c r="R673" s="18">
        <v>1</v>
      </c>
      <c r="S673" s="131">
        <f>Main_Presentation[[#This Row],[Invoice Amt (FCY)]]*Main_Presentation[[#This Row],[Rate]]</f>
        <v>47988.62</v>
      </c>
      <c r="T673" s="15">
        <v>45844</v>
      </c>
      <c r="U673" s="26" t="str">
        <f>VLOOKUP(Main_Presentation[[#This Row],[LC Number]],Main_Issuance[],18,0)</f>
        <v>90 Days from Invoice Date</v>
      </c>
      <c r="V673" s="21" t="s">
        <v>1547</v>
      </c>
      <c r="W673" s="22" t="s">
        <v>378</v>
      </c>
      <c r="X673" s="140"/>
      <c r="Y673" s="234" t="str">
        <f>TRIM(LEFT(Main_Presentation[[#This Row],[Payment Terms]],3))</f>
        <v>90</v>
      </c>
      <c r="Z673" s="16"/>
      <c r="AA673" s="316" cm="1">
        <f t="array" ref="AA673">Settlement(Main_Presentation[[#This Row],[Bank]],Main_Presentation[[#This Row],[ Invoice Amt (SAR)]],Main_Presentation[[#This Row],[Date Recd]],Main_Presentation[[#This Row],[Due Date]],Main_Presentation[[#This Row],[Days]])</f>
        <v>655.5</v>
      </c>
      <c r="AB673" s="16"/>
    </row>
    <row r="674" spans="1:28" ht="15.75" hidden="1" x14ac:dyDescent="0.25">
      <c r="A674" s="20" t="s">
        <v>514</v>
      </c>
      <c r="B674" s="15">
        <v>45672</v>
      </c>
      <c r="C674" s="26">
        <v>1</v>
      </c>
      <c r="D674" s="55" t="str">
        <f>VLOOKUP(Main_Presentation[[#This Row],[LC Number]],Main_Issuance[],3,0)</f>
        <v>Rabih Makhoul</v>
      </c>
      <c r="E674" s="16" t="s">
        <v>856</v>
      </c>
      <c r="F674" s="17" t="str">
        <f>VLOOKUP(Main_Presentation[[#This Row],[LC Number]],Main_Issuance[],5,0)</f>
        <v>SNB</v>
      </c>
      <c r="G674" s="17" t="str">
        <f>VLOOKUP(Main_Presentation[[#This Row],[LC Number]],Main_Issuance[],6,0)</f>
        <v>Opera House</v>
      </c>
      <c r="H674" s="17" t="str">
        <f>VLOOKUP(Main_Presentation[[#This Row],[LC Number]],Main_Issuance[],17,0)</f>
        <v>Credit</v>
      </c>
      <c r="I674" s="17" t="str">
        <f>VLOOKUP(Main_Presentation[[#This Row],[LC Number]],Main_Issuance[],7,0)</f>
        <v>Tabarak Al-Momyza For Trading Company</v>
      </c>
      <c r="J674" s="17" t="str">
        <f>VLOOKUP(Main_Presentation[[#This Row],[LC Number]],Main_Issuance[],8,0)</f>
        <v>MBL</v>
      </c>
      <c r="K674" s="17" t="str">
        <f>VLOOKUP(Main_Presentation[[#This Row],[LC Number]],Main_Issuance[],9,0)</f>
        <v>KAP</v>
      </c>
      <c r="L674" s="17">
        <f>VLOOKUP(Main_Presentation[[#This Row],[LC Number]],Main_Issuance[],10,0)</f>
        <v>1020060</v>
      </c>
      <c r="M674" s="17" t="str">
        <f>VLOOKUP(Main_Presentation[[#This Row],[LC Number]],Main_Issuance[],11,0)</f>
        <v>SAR</v>
      </c>
      <c r="N674" s="84">
        <f>VLOOKUP(Main_Presentation[[#This Row],[LC Number]],Main_Issuance[],12,0)</f>
        <v>999349.72</v>
      </c>
      <c r="O674" s="16" t="s">
        <v>20</v>
      </c>
      <c r="P674" s="16" t="s">
        <v>378</v>
      </c>
      <c r="Q674" s="131">
        <v>999349.72</v>
      </c>
      <c r="R674" s="18">
        <v>1</v>
      </c>
      <c r="S674" s="18">
        <f>Main_Presentation[[#This Row],[Invoice Amt (FCY)]]*Main_Presentation[[#This Row],[Rate]]</f>
        <v>999349.72</v>
      </c>
      <c r="T674" s="15">
        <v>45694</v>
      </c>
      <c r="U674" s="26" t="str">
        <f>VLOOKUP(Main_Presentation[[#This Row],[LC Number]],Main_Issuance[],18,0)</f>
        <v>45 Days from Invoice Date</v>
      </c>
      <c r="V674" s="21" t="s">
        <v>90</v>
      </c>
      <c r="W674" s="22" t="s">
        <v>857</v>
      </c>
      <c r="X674" s="16"/>
      <c r="Y674" s="234" t="str">
        <f>TRIM(LEFT(Main_Presentation[[#This Row],[Payment Terms]],3))</f>
        <v>45</v>
      </c>
      <c r="Z674" s="16"/>
      <c r="AA674" s="316" cm="1">
        <f t="array" ref="AA674">Settlement(Main_Presentation[[#This Row],[Bank]],Main_Presentation[[#This Row],[ Invoice Amt (SAR)]],Main_Presentation[[#This Row],[Date Recd]],Main_Presentation[[#This Row],[Due Date]],Main_Presentation[[#This Row],[Days]])</f>
        <v>2434.5500000000002</v>
      </c>
      <c r="AB674" s="16"/>
    </row>
    <row r="675" spans="1:28" ht="15.75" hidden="1" x14ac:dyDescent="0.25">
      <c r="A675" s="14" t="s">
        <v>362</v>
      </c>
      <c r="B675" s="15">
        <v>45560</v>
      </c>
      <c r="C675" s="26">
        <v>2</v>
      </c>
      <c r="D675" s="55" t="str">
        <f>VLOOKUP(Main_Presentation[[#This Row],[LC Number]],Main_Issuance[],3,0)</f>
        <v>Hassan Taleb</v>
      </c>
      <c r="E675" s="16" t="s">
        <v>858</v>
      </c>
      <c r="F675" s="17" t="str">
        <f>VLOOKUP(Main_Presentation[[#This Row],[LC Number]],Main_Issuance[],5,0)</f>
        <v>SNB</v>
      </c>
      <c r="G675" s="17" t="str">
        <f>VLOOKUP(Main_Presentation[[#This Row],[LC Number]],Main_Issuance[],6,0)</f>
        <v>Opera House</v>
      </c>
      <c r="H675" s="17" t="str">
        <f>VLOOKUP(Main_Presentation[[#This Row],[LC Number]],Main_Issuance[],17,0)</f>
        <v>Credit</v>
      </c>
      <c r="I675" s="17" t="str">
        <f>VLOOKUP(Main_Presentation[[#This Row],[LC Number]],Main_Issuance[],7,0)</f>
        <v>HUDA LIGHTING LLC CO</v>
      </c>
      <c r="J675" s="17" t="str">
        <f>VLOOKUP(Main_Presentation[[#This Row],[LC Number]],Main_Issuance[],8,0)</f>
        <v>FIRST FIX</v>
      </c>
      <c r="K675" s="17" t="str">
        <f>VLOOKUP(Main_Presentation[[#This Row],[LC Number]],Main_Issuance[],9,0)</f>
        <v>KSP</v>
      </c>
      <c r="L675" s="17">
        <f>VLOOKUP(Main_Presentation[[#This Row],[LC Number]],Main_Issuance[],10,0)</f>
        <v>1020055</v>
      </c>
      <c r="M675" s="17" t="str">
        <f>VLOOKUP(Main_Presentation[[#This Row],[LC Number]],Main_Issuance[],11,0)</f>
        <v>SAR</v>
      </c>
      <c r="N675" s="84">
        <f>VLOOKUP(Main_Presentation[[#This Row],[LC Number]],Main_Issuance[],12,0)</f>
        <v>2000000</v>
      </c>
      <c r="O675" s="16" t="s">
        <v>20</v>
      </c>
      <c r="P675" s="16" t="s">
        <v>857</v>
      </c>
      <c r="Q675" s="131">
        <v>1512015.94</v>
      </c>
      <c r="R675" s="18">
        <v>1</v>
      </c>
      <c r="S675" s="18">
        <f>Main_Presentation[[#This Row],[Invoice Amt (FCY)]]*Main_Presentation[[#This Row],[Rate]]</f>
        <v>1512015.94</v>
      </c>
      <c r="T675" s="15">
        <v>45630</v>
      </c>
      <c r="U675" s="26">
        <f>VLOOKUP(Main_Presentation[[#This Row],[LC Number]],Main_Issuance[],18,0)</f>
        <v>0</v>
      </c>
      <c r="V675" s="19" t="s">
        <v>22</v>
      </c>
      <c r="W675" s="18" t="s">
        <v>857</v>
      </c>
      <c r="X675" s="16"/>
      <c r="Y675" s="234" t="str">
        <f>TRIM(LEFT(Main_Presentation[[#This Row],[Payment Terms]],3))</f>
        <v>0</v>
      </c>
      <c r="Z675" s="16"/>
      <c r="AA675" s="316" cm="1">
        <f t="array" ref="AA675">Settlement(Main_Presentation[[#This Row],[Bank]],Main_Presentation[[#This Row],[ Invoice Amt (SAR)]],Main_Presentation[[#This Row],[Date Recd]],Main_Presentation[[#This Row],[Due Date]],Main_Presentation[[#This Row],[Days]])</f>
        <v>7285.25</v>
      </c>
      <c r="AB675" s="16"/>
    </row>
    <row r="676" spans="1:28" ht="15.75" hidden="1" x14ac:dyDescent="0.25">
      <c r="A676" s="14" t="s">
        <v>354</v>
      </c>
      <c r="B676" s="15">
        <v>45560</v>
      </c>
      <c r="C676" s="26">
        <v>1</v>
      </c>
      <c r="D676" s="55" t="str">
        <f>VLOOKUP(Main_Presentation[[#This Row],[LC Number]],Main_Issuance[],3,0)</f>
        <v>Hassan Taleb</v>
      </c>
      <c r="E676" s="16" t="s">
        <v>858</v>
      </c>
      <c r="F676" s="17" t="str">
        <f>VLOOKUP(Main_Presentation[[#This Row],[LC Number]],Main_Issuance[],5,0)</f>
        <v>SNB</v>
      </c>
      <c r="G676" s="17" t="str">
        <f>VLOOKUP(Main_Presentation[[#This Row],[LC Number]],Main_Issuance[],6,0)</f>
        <v>Opera House</v>
      </c>
      <c r="H676" s="17" t="str">
        <f>VLOOKUP(Main_Presentation[[#This Row],[LC Number]],Main_Issuance[],17,0)</f>
        <v>Credit</v>
      </c>
      <c r="I676" s="17" t="str">
        <f>VLOOKUP(Main_Presentation[[#This Row],[LC Number]],Main_Issuance[],7,0)</f>
        <v>DEPTH MODERN TECHNOLOGIES CO.</v>
      </c>
      <c r="J676" s="17" t="str">
        <f>VLOOKUP(Main_Presentation[[#This Row],[LC Number]],Main_Issuance[],8,0)</f>
        <v>FIRST FIX</v>
      </c>
      <c r="K676" s="17" t="str">
        <f>VLOOKUP(Main_Presentation[[#This Row],[LC Number]],Main_Issuance[],9,0)</f>
        <v>KSP</v>
      </c>
      <c r="L676" s="17">
        <f>VLOOKUP(Main_Presentation[[#This Row],[LC Number]],Main_Issuance[],10,0)</f>
        <v>1020055</v>
      </c>
      <c r="M676" s="17" t="str">
        <f>VLOOKUP(Main_Presentation[[#This Row],[LC Number]],Main_Issuance[],11,0)</f>
        <v>SAR</v>
      </c>
      <c r="N676" s="84">
        <f>VLOOKUP(Main_Presentation[[#This Row],[LC Number]],Main_Issuance[],12,0)</f>
        <v>1000000</v>
      </c>
      <c r="O676" s="16" t="s">
        <v>20</v>
      </c>
      <c r="P676" s="16" t="s">
        <v>857</v>
      </c>
      <c r="Q676" s="131">
        <v>1000000</v>
      </c>
      <c r="R676" s="18">
        <v>1</v>
      </c>
      <c r="S676" s="18">
        <f>Main_Presentation[[#This Row],[Invoice Amt (FCY)]]*Main_Presentation[[#This Row],[Rate]]</f>
        <v>1000000</v>
      </c>
      <c r="T676" s="15">
        <v>45627</v>
      </c>
      <c r="U676" s="26">
        <f>VLOOKUP(Main_Presentation[[#This Row],[LC Number]],Main_Issuance[],18,0)</f>
        <v>0</v>
      </c>
      <c r="V676" s="19" t="s">
        <v>22</v>
      </c>
      <c r="W676" s="18" t="s">
        <v>857</v>
      </c>
      <c r="X676" s="16"/>
      <c r="Y676" s="234" t="str">
        <f>TRIM(LEFT(Main_Presentation[[#This Row],[Payment Terms]],3))</f>
        <v>0</v>
      </c>
      <c r="Z676" s="16"/>
      <c r="AA676" s="316" cm="1">
        <f t="array" ref="AA676">Settlement(Main_Presentation[[#This Row],[Bank]],Main_Presentation[[#This Row],[ Invoice Amt (SAR)]],Main_Presentation[[#This Row],[Date Recd]],Main_Presentation[[#This Row],[Due Date]],Main_Presentation[[#This Row],[Days]])</f>
        <v>4832.3</v>
      </c>
      <c r="AB676" s="16"/>
    </row>
    <row r="677" spans="1:28" ht="15.75" hidden="1" x14ac:dyDescent="0.25">
      <c r="A677" s="14" t="s">
        <v>362</v>
      </c>
      <c r="B677" s="15">
        <v>45560</v>
      </c>
      <c r="C677" s="26">
        <v>1</v>
      </c>
      <c r="D677" s="55" t="str">
        <f>VLOOKUP(Main_Presentation[[#This Row],[LC Number]],Main_Issuance[],3,0)</f>
        <v>Hassan Taleb</v>
      </c>
      <c r="E677" s="16" t="s">
        <v>858</v>
      </c>
      <c r="F677" s="17" t="str">
        <f>VLOOKUP(Main_Presentation[[#This Row],[LC Number]],Main_Issuance[],5,0)</f>
        <v>SNB</v>
      </c>
      <c r="G677" s="17" t="str">
        <f>VLOOKUP(Main_Presentation[[#This Row],[LC Number]],Main_Issuance[],6,0)</f>
        <v>Opera House</v>
      </c>
      <c r="H677" s="17" t="str">
        <f>VLOOKUP(Main_Presentation[[#This Row],[LC Number]],Main_Issuance[],17,0)</f>
        <v>Credit</v>
      </c>
      <c r="I677" s="17" t="str">
        <f>VLOOKUP(Main_Presentation[[#This Row],[LC Number]],Main_Issuance[],7,0)</f>
        <v>HUDA LIGHTING LLC CO</v>
      </c>
      <c r="J677" s="17" t="str">
        <f>VLOOKUP(Main_Presentation[[#This Row],[LC Number]],Main_Issuance[],8,0)</f>
        <v>FIRST FIX</v>
      </c>
      <c r="K677" s="17" t="str">
        <f>VLOOKUP(Main_Presentation[[#This Row],[LC Number]],Main_Issuance[],9,0)</f>
        <v>KSP</v>
      </c>
      <c r="L677" s="17">
        <f>VLOOKUP(Main_Presentation[[#This Row],[LC Number]],Main_Issuance[],10,0)</f>
        <v>1020055</v>
      </c>
      <c r="M677" s="17" t="str">
        <f>VLOOKUP(Main_Presentation[[#This Row],[LC Number]],Main_Issuance[],11,0)</f>
        <v>SAR</v>
      </c>
      <c r="N677" s="84">
        <f>VLOOKUP(Main_Presentation[[#This Row],[LC Number]],Main_Issuance[],12,0)</f>
        <v>2000000</v>
      </c>
      <c r="O677" s="16" t="s">
        <v>20</v>
      </c>
      <c r="P677" s="16" t="s">
        <v>857</v>
      </c>
      <c r="Q677" s="131">
        <v>487984.06</v>
      </c>
      <c r="R677" s="18">
        <v>1</v>
      </c>
      <c r="S677" s="18">
        <f>Main_Presentation[[#This Row],[Invoice Amt (FCY)]]*Main_Presentation[[#This Row],[Rate]]</f>
        <v>487984.06</v>
      </c>
      <c r="T677" s="15">
        <v>45627</v>
      </c>
      <c r="U677" s="26">
        <f>VLOOKUP(Main_Presentation[[#This Row],[LC Number]],Main_Issuance[],18,0)</f>
        <v>0</v>
      </c>
      <c r="V677" s="19" t="s">
        <v>22</v>
      </c>
      <c r="W677" s="18" t="s">
        <v>857</v>
      </c>
      <c r="X677" s="16"/>
      <c r="Y677" s="234" t="str">
        <f>TRIM(LEFT(Main_Presentation[[#This Row],[Payment Terms]],3))</f>
        <v>0</v>
      </c>
      <c r="Z677" s="16"/>
      <c r="AA677" s="316" cm="1">
        <f t="array" ref="AA677">Settlement(Main_Presentation[[#This Row],[Bank]],Main_Presentation[[#This Row],[ Invoice Amt (SAR)]],Main_Presentation[[#This Row],[Date Recd]],Main_Presentation[[#This Row],[Due Date]],Main_Presentation[[#This Row],[Days]])</f>
        <v>2378.1999999999998</v>
      </c>
      <c r="AB677" s="16"/>
    </row>
    <row r="678" spans="1:28" ht="15.75" hidden="1" x14ac:dyDescent="0.25">
      <c r="A678" s="14" t="s">
        <v>343</v>
      </c>
      <c r="B678" s="15">
        <v>45567</v>
      </c>
      <c r="C678" s="26">
        <v>1</v>
      </c>
      <c r="D678" s="55" t="str">
        <f>VLOOKUP(Main_Presentation[[#This Row],[LC Number]],Main_Issuance[],3,0)</f>
        <v>Hassan Taleb</v>
      </c>
      <c r="E678" s="16" t="s">
        <v>858</v>
      </c>
      <c r="F678" s="17" t="str">
        <f>VLOOKUP(Main_Presentation[[#This Row],[LC Number]],Main_Issuance[],5,0)</f>
        <v>SNB</v>
      </c>
      <c r="G678" s="17" t="str">
        <f>VLOOKUP(Main_Presentation[[#This Row],[LC Number]],Main_Issuance[],6,0)</f>
        <v>Opera House</v>
      </c>
      <c r="H678" s="17" t="str">
        <f>VLOOKUP(Main_Presentation[[#This Row],[LC Number]],Main_Issuance[],17,0)</f>
        <v>Credit</v>
      </c>
      <c r="I678" s="17" t="str">
        <f>VLOOKUP(Main_Presentation[[#This Row],[LC Number]],Main_Issuance[],7,0)</f>
        <v>ALAM AL WEFAQ FOR CONTRACTING CO</v>
      </c>
      <c r="J678" s="17" t="str">
        <f>VLOOKUP(Main_Presentation[[#This Row],[LC Number]],Main_Issuance[],8,0)</f>
        <v>FIRST FIX</v>
      </c>
      <c r="K678" s="17" t="str">
        <f>VLOOKUP(Main_Presentation[[#This Row],[LC Number]],Main_Issuance[],9,0)</f>
        <v>KSP</v>
      </c>
      <c r="L678" s="17">
        <f>VLOOKUP(Main_Presentation[[#This Row],[LC Number]],Main_Issuance[],10,0)</f>
        <v>1020055</v>
      </c>
      <c r="M678" s="17" t="str">
        <f>VLOOKUP(Main_Presentation[[#This Row],[LC Number]],Main_Issuance[],11,0)</f>
        <v>SAR</v>
      </c>
      <c r="N678" s="84">
        <f>VLOOKUP(Main_Presentation[[#This Row],[LC Number]],Main_Issuance[],12,0)</f>
        <v>883722.5</v>
      </c>
      <c r="O678" s="16" t="s">
        <v>20</v>
      </c>
      <c r="P678" s="16" t="s">
        <v>857</v>
      </c>
      <c r="Q678" s="131">
        <v>883722.5</v>
      </c>
      <c r="R678" s="18">
        <v>1</v>
      </c>
      <c r="S678" s="18">
        <f>Main_Presentation[[#This Row],[Invoice Amt (FCY)]]*Main_Presentation[[#This Row],[Rate]]</f>
        <v>883722.5</v>
      </c>
      <c r="T678" s="15">
        <v>45627</v>
      </c>
      <c r="U678" s="26">
        <f>VLOOKUP(Main_Presentation[[#This Row],[LC Number]],Main_Issuance[],18,0)</f>
        <v>0</v>
      </c>
      <c r="V678" s="19" t="s">
        <v>22</v>
      </c>
      <c r="W678" s="18" t="s">
        <v>857</v>
      </c>
      <c r="X678" s="16"/>
      <c r="Y678" s="234" t="str">
        <f>TRIM(LEFT(Main_Presentation[[#This Row],[Payment Terms]],3))</f>
        <v>0</v>
      </c>
      <c r="Z678" s="16"/>
      <c r="AA678" s="316" cm="1">
        <f t="array" ref="AA678">Settlement(Main_Presentation[[#This Row],[Bank]],Main_Presentation[[#This Row],[ Invoice Amt (SAR)]],Main_Presentation[[#This Row],[Date Recd]],Main_Presentation[[#This Row],[Due Date]],Main_Presentation[[#This Row],[Days]])</f>
        <v>4274.55</v>
      </c>
      <c r="AB678" s="16"/>
    </row>
    <row r="679" spans="1:28" ht="15.75" hidden="1" x14ac:dyDescent="0.25">
      <c r="A679" s="14" t="s">
        <v>350</v>
      </c>
      <c r="B679" s="15">
        <v>45573</v>
      </c>
      <c r="C679" s="26">
        <v>1</v>
      </c>
      <c r="D679" s="55" t="str">
        <f>VLOOKUP(Main_Presentation[[#This Row],[LC Number]],Main_Issuance[],3,0)</f>
        <v>Hassan Taleb</v>
      </c>
      <c r="E679" s="16" t="s">
        <v>856</v>
      </c>
      <c r="F679" s="17" t="str">
        <f>VLOOKUP(Main_Presentation[[#This Row],[LC Number]],Main_Issuance[],5,0)</f>
        <v>SNB</v>
      </c>
      <c r="G679" s="17" t="str">
        <f>VLOOKUP(Main_Presentation[[#This Row],[LC Number]],Main_Issuance[],6,0)</f>
        <v>Opera House</v>
      </c>
      <c r="H679" s="17" t="str">
        <f>VLOOKUP(Main_Presentation[[#This Row],[LC Number]],Main_Issuance[],17,0)</f>
        <v>Credit</v>
      </c>
      <c r="I679" s="17" t="str">
        <f>VLOOKUP(Main_Presentation[[#This Row],[LC Number]],Main_Issuance[],7,0)</f>
        <v>RAWABI AL MAHFAR TRADING COMPANY LL</v>
      </c>
      <c r="J679" s="17" t="str">
        <f>VLOOKUP(Main_Presentation[[#This Row],[LC Number]],Main_Issuance[],8,0)</f>
        <v>FIRST FIX</v>
      </c>
      <c r="K679" s="17" t="str">
        <f>VLOOKUP(Main_Presentation[[#This Row],[LC Number]],Main_Issuance[],9,0)</f>
        <v>KSP</v>
      </c>
      <c r="L679" s="17">
        <f>VLOOKUP(Main_Presentation[[#This Row],[LC Number]],Main_Issuance[],10,0)</f>
        <v>1020055</v>
      </c>
      <c r="M679" s="17" t="str">
        <f>VLOOKUP(Main_Presentation[[#This Row],[LC Number]],Main_Issuance[],11,0)</f>
        <v>SAR</v>
      </c>
      <c r="N679" s="84">
        <f>VLOOKUP(Main_Presentation[[#This Row],[LC Number]],Main_Issuance[],12,0)</f>
        <v>458485.39</v>
      </c>
      <c r="O679" s="16" t="s">
        <v>20</v>
      </c>
      <c r="P679" s="16" t="s">
        <v>378</v>
      </c>
      <c r="Q679" s="131">
        <v>458485.39</v>
      </c>
      <c r="R679" s="18">
        <v>1</v>
      </c>
      <c r="S679" s="18">
        <f>Main_Presentation[[#This Row],[Invoice Amt (FCY)]]*Main_Presentation[[#This Row],[Rate]]</f>
        <v>458485.39</v>
      </c>
      <c r="T679" s="15">
        <v>45623</v>
      </c>
      <c r="U679" s="26" t="str">
        <f>VLOOKUP(Main_Presentation[[#This Row],[LC Number]],Main_Issuance[],18,0)</f>
        <v>90 Days from Invoice Date</v>
      </c>
      <c r="V679" s="19" t="s">
        <v>90</v>
      </c>
      <c r="W679" s="18" t="s">
        <v>857</v>
      </c>
      <c r="X679" s="16"/>
      <c r="Y679" s="234" t="str">
        <f>TRIM(LEFT(Main_Presentation[[#This Row],[Payment Terms]],3))</f>
        <v>90</v>
      </c>
      <c r="Z679" s="16"/>
      <c r="AA679" s="316" cm="1">
        <f t="array" ref="AA679">Settlement(Main_Presentation[[#This Row],[Bank]],Main_Presentation[[#This Row],[ Invoice Amt (SAR)]],Main_Presentation[[#This Row],[Date Recd]],Main_Presentation[[#This Row],[Due Date]],Main_Presentation[[#This Row],[Days]])</f>
        <v>2236.75</v>
      </c>
      <c r="AB679" s="16"/>
    </row>
    <row r="680" spans="1:28" ht="15.75" hidden="1" x14ac:dyDescent="0.25">
      <c r="A680" s="14" t="s">
        <v>331</v>
      </c>
      <c r="B680" s="15">
        <v>45573</v>
      </c>
      <c r="C680" s="26">
        <v>1</v>
      </c>
      <c r="D680" s="55" t="str">
        <f>VLOOKUP(Main_Presentation[[#This Row],[LC Number]],Main_Issuance[],3,0)</f>
        <v>Hassan Taleb</v>
      </c>
      <c r="E680" s="16" t="s">
        <v>856</v>
      </c>
      <c r="F680" s="17" t="str">
        <f>VLOOKUP(Main_Presentation[[#This Row],[LC Number]],Main_Issuance[],5,0)</f>
        <v>SNB</v>
      </c>
      <c r="G680" s="17" t="str">
        <f>VLOOKUP(Main_Presentation[[#This Row],[LC Number]],Main_Issuance[],6,0)</f>
        <v>Opera House</v>
      </c>
      <c r="H680" s="17" t="str">
        <f>VLOOKUP(Main_Presentation[[#This Row],[LC Number]],Main_Issuance[],17,0)</f>
        <v>Credit</v>
      </c>
      <c r="I680" s="17" t="str">
        <f>VLOOKUP(Main_Presentation[[#This Row],[LC Number]],Main_Issuance[],7,0)</f>
        <v>POWER CENTER COMPANY FOR</v>
      </c>
      <c r="J680" s="17" t="str">
        <f>VLOOKUP(Main_Presentation[[#This Row],[LC Number]],Main_Issuance[],8,0)</f>
        <v>FIRST FIX</v>
      </c>
      <c r="K680" s="17" t="str">
        <f>VLOOKUP(Main_Presentation[[#This Row],[LC Number]],Main_Issuance[],9,0)</f>
        <v>KSP</v>
      </c>
      <c r="L680" s="17">
        <f>VLOOKUP(Main_Presentation[[#This Row],[LC Number]],Main_Issuance[],10,0)</f>
        <v>1020055</v>
      </c>
      <c r="M680" s="17" t="str">
        <f>VLOOKUP(Main_Presentation[[#This Row],[LC Number]],Main_Issuance[],11,0)</f>
        <v>SAR</v>
      </c>
      <c r="N680" s="84">
        <f>VLOOKUP(Main_Presentation[[#This Row],[LC Number]],Main_Issuance[],12,0)</f>
        <v>2238238.98</v>
      </c>
      <c r="O680" s="16" t="s">
        <v>20</v>
      </c>
      <c r="P680" s="16" t="s">
        <v>378</v>
      </c>
      <c r="Q680" s="131">
        <v>1238238.98</v>
      </c>
      <c r="R680" s="18">
        <v>1</v>
      </c>
      <c r="S680" s="18">
        <f>Main_Presentation[[#This Row],[Invoice Amt (FCY)]]*Main_Presentation[[#This Row],[Rate]]</f>
        <v>1238238.98</v>
      </c>
      <c r="T680" s="15">
        <v>45655</v>
      </c>
      <c r="U680" s="26" t="str">
        <f>VLOOKUP(Main_Presentation[[#This Row],[LC Number]],Main_Issuance[],18,0)</f>
        <v>90 Days from Invoice Date</v>
      </c>
      <c r="V680" s="19" t="s">
        <v>869</v>
      </c>
      <c r="W680" s="18" t="s">
        <v>857</v>
      </c>
      <c r="X680" s="16"/>
      <c r="Y680" s="234" t="str">
        <f>TRIM(LEFT(Main_Presentation[[#This Row],[Payment Terms]],3))</f>
        <v>90</v>
      </c>
      <c r="Z680" s="16"/>
      <c r="AA680" s="316" cm="1">
        <f t="array" ref="AA680">Settlement(Main_Presentation[[#This Row],[Bank]],Main_Presentation[[#This Row],[ Invoice Amt (SAR)]],Main_Presentation[[#This Row],[Date Recd]],Main_Presentation[[#This Row],[Due Date]],Main_Presentation[[#This Row],[Days]])</f>
        <v>8940.1</v>
      </c>
      <c r="AB680" s="16"/>
    </row>
    <row r="681" spans="1:28" ht="15.75" hidden="1" x14ac:dyDescent="0.25">
      <c r="A681" s="14" t="s">
        <v>331</v>
      </c>
      <c r="B681" s="15">
        <v>45574</v>
      </c>
      <c r="C681" s="26">
        <v>2</v>
      </c>
      <c r="D681" s="55" t="str">
        <f>VLOOKUP(Main_Presentation[[#This Row],[LC Number]],Main_Issuance[],3,0)</f>
        <v>Hassan Taleb</v>
      </c>
      <c r="E681" s="16" t="s">
        <v>856</v>
      </c>
      <c r="F681" s="17" t="str">
        <f>VLOOKUP(Main_Presentation[[#This Row],[LC Number]],Main_Issuance[],5,0)</f>
        <v>SNB</v>
      </c>
      <c r="G681" s="17" t="str">
        <f>VLOOKUP(Main_Presentation[[#This Row],[LC Number]],Main_Issuance[],6,0)</f>
        <v>Opera House</v>
      </c>
      <c r="H681" s="17" t="str">
        <f>VLOOKUP(Main_Presentation[[#This Row],[LC Number]],Main_Issuance[],17,0)</f>
        <v>Credit</v>
      </c>
      <c r="I681" s="17" t="str">
        <f>VLOOKUP(Main_Presentation[[#This Row],[LC Number]],Main_Issuance[],7,0)</f>
        <v>POWER CENTER COMPANY FOR</v>
      </c>
      <c r="J681" s="17" t="str">
        <f>VLOOKUP(Main_Presentation[[#This Row],[LC Number]],Main_Issuance[],8,0)</f>
        <v>FIRST FIX</v>
      </c>
      <c r="K681" s="17" t="str">
        <f>VLOOKUP(Main_Presentation[[#This Row],[LC Number]],Main_Issuance[],9,0)</f>
        <v>KSP</v>
      </c>
      <c r="L681" s="17">
        <f>VLOOKUP(Main_Presentation[[#This Row],[LC Number]],Main_Issuance[],10,0)</f>
        <v>1020055</v>
      </c>
      <c r="M681" s="17" t="str">
        <f>VLOOKUP(Main_Presentation[[#This Row],[LC Number]],Main_Issuance[],11,0)</f>
        <v>SAR</v>
      </c>
      <c r="N681" s="84">
        <f>VLOOKUP(Main_Presentation[[#This Row],[LC Number]],Main_Issuance[],12,0)</f>
        <v>2238238.98</v>
      </c>
      <c r="O681" s="16" t="s">
        <v>20</v>
      </c>
      <c r="P681" s="16" t="s">
        <v>378</v>
      </c>
      <c r="Q681" s="131">
        <v>1000000</v>
      </c>
      <c r="R681" s="18">
        <v>1</v>
      </c>
      <c r="S681" s="18">
        <f>Main_Presentation[[#This Row],[Invoice Amt (FCY)]]*Main_Presentation[[#This Row],[Rate]]</f>
        <v>1000000</v>
      </c>
      <c r="T681" s="15">
        <v>45655</v>
      </c>
      <c r="U681" s="26" t="str">
        <f>VLOOKUP(Main_Presentation[[#This Row],[LC Number]],Main_Issuance[],18,0)</f>
        <v>90 Days from Invoice Date</v>
      </c>
      <c r="V681" s="19" t="s">
        <v>869</v>
      </c>
      <c r="W681" s="18" t="s">
        <v>857</v>
      </c>
      <c r="X681" s="16"/>
      <c r="Y681" s="234" t="str">
        <f>TRIM(LEFT(Main_Presentation[[#This Row],[Payment Terms]],3))</f>
        <v>90</v>
      </c>
      <c r="Z681" s="16"/>
      <c r="AA681" s="316" cm="1">
        <f t="array" ref="AA681">Settlement(Main_Presentation[[#This Row],[Bank]],Main_Presentation[[#This Row],[ Invoice Amt (SAR)]],Main_Presentation[[#This Row],[Date Recd]],Main_Presentation[[#This Row],[Due Date]],Main_Presentation[[#This Row],[Days]])</f>
        <v>7227.75</v>
      </c>
      <c r="AB681" s="16"/>
    </row>
    <row r="682" spans="1:28" ht="15.75" hidden="1" x14ac:dyDescent="0.25">
      <c r="A682" s="14" t="s">
        <v>361</v>
      </c>
      <c r="B682" s="15">
        <v>45574</v>
      </c>
      <c r="C682" s="26">
        <v>1</v>
      </c>
      <c r="D682" s="55" t="str">
        <f>VLOOKUP(Main_Presentation[[#This Row],[LC Number]],Main_Issuance[],3,0)</f>
        <v>Hassan Taleb</v>
      </c>
      <c r="E682" s="16" t="s">
        <v>858</v>
      </c>
      <c r="F682" s="17" t="str">
        <f>VLOOKUP(Main_Presentation[[#This Row],[LC Number]],Main_Issuance[],5,0)</f>
        <v>SNB</v>
      </c>
      <c r="G682" s="17" t="str">
        <f>VLOOKUP(Main_Presentation[[#This Row],[LC Number]],Main_Issuance[],6,0)</f>
        <v>Opera House</v>
      </c>
      <c r="H682" s="17" t="str">
        <f>VLOOKUP(Main_Presentation[[#This Row],[LC Number]],Main_Issuance[],17,0)</f>
        <v>Credit</v>
      </c>
      <c r="I682" s="17" t="str">
        <f>VLOOKUP(Main_Presentation[[#This Row],[LC Number]],Main_Issuance[],7,0)</f>
        <v>Saudi Electric Supply Company</v>
      </c>
      <c r="J682" s="17" t="str">
        <f>VLOOKUP(Main_Presentation[[#This Row],[LC Number]],Main_Issuance[],8,0)</f>
        <v>FIRST FIX</v>
      </c>
      <c r="K682" s="17" t="str">
        <f>VLOOKUP(Main_Presentation[[#This Row],[LC Number]],Main_Issuance[],9,0)</f>
        <v>KSP</v>
      </c>
      <c r="L682" s="17">
        <f>VLOOKUP(Main_Presentation[[#This Row],[LC Number]],Main_Issuance[],10,0)</f>
        <v>1020055</v>
      </c>
      <c r="M682" s="17" t="str">
        <f>VLOOKUP(Main_Presentation[[#This Row],[LC Number]],Main_Issuance[],11,0)</f>
        <v>SAR</v>
      </c>
      <c r="N682" s="84">
        <f>VLOOKUP(Main_Presentation[[#This Row],[LC Number]],Main_Issuance[],12,0)</f>
        <v>1053268.1599999999</v>
      </c>
      <c r="O682" s="16" t="s">
        <v>20</v>
      </c>
      <c r="P682" s="16" t="s">
        <v>857</v>
      </c>
      <c r="Q682" s="131">
        <v>1053268.1599999999</v>
      </c>
      <c r="R682" s="18">
        <v>1</v>
      </c>
      <c r="S682" s="18">
        <f>Main_Presentation[[#This Row],[Invoice Amt (FCY)]]*Main_Presentation[[#This Row],[Rate]]</f>
        <v>1053268.1599999999</v>
      </c>
      <c r="T682" s="15">
        <v>45627</v>
      </c>
      <c r="U682" s="26" t="str">
        <f>VLOOKUP(Main_Presentation[[#This Row],[LC Number]],Main_Issuance[],18,0)</f>
        <v>90 Days from Invoice Date</v>
      </c>
      <c r="V682" s="19" t="s">
        <v>22</v>
      </c>
      <c r="W682" s="18" t="s">
        <v>857</v>
      </c>
      <c r="X682" s="16"/>
      <c r="Y682" s="234" t="str">
        <f>TRIM(LEFT(Main_Presentation[[#This Row],[Payment Terms]],3))</f>
        <v>90</v>
      </c>
      <c r="Z682" s="16"/>
      <c r="AA682" s="316" cm="1">
        <f t="array" ref="AA682">Settlement(Main_Presentation[[#This Row],[Bank]],Main_Presentation[[#This Row],[ Invoice Amt (SAR)]],Main_Presentation[[#This Row],[Date Recd]],Main_Presentation[[#This Row],[Due Date]],Main_Presentation[[#This Row],[Days]])</f>
        <v>5087.6000000000004</v>
      </c>
      <c r="AB682" s="16"/>
    </row>
    <row r="683" spans="1:28" ht="15.75" hidden="1" x14ac:dyDescent="0.25">
      <c r="A683" s="14" t="s">
        <v>337</v>
      </c>
      <c r="B683" s="15">
        <v>45578</v>
      </c>
      <c r="C683" s="26">
        <v>1</v>
      </c>
      <c r="D683" s="55" t="str">
        <f>VLOOKUP(Main_Presentation[[#This Row],[LC Number]],Main_Issuance[],3,0)</f>
        <v>Hassan Taleb</v>
      </c>
      <c r="E683" s="16" t="s">
        <v>856</v>
      </c>
      <c r="F683" s="17" t="str">
        <f>VLOOKUP(Main_Presentation[[#This Row],[LC Number]],Main_Issuance[],5,0)</f>
        <v>SNB</v>
      </c>
      <c r="G683" s="17" t="str">
        <f>VLOOKUP(Main_Presentation[[#This Row],[LC Number]],Main_Issuance[],6,0)</f>
        <v>Opera House</v>
      </c>
      <c r="H683" s="17" t="str">
        <f>VLOOKUP(Main_Presentation[[#This Row],[LC Number]],Main_Issuance[],17,0)</f>
        <v>Credit</v>
      </c>
      <c r="I683" s="17" t="str">
        <f>VLOOKUP(Main_Presentation[[#This Row],[LC Number]],Main_Issuance[],7,0)</f>
        <v>SAFID CO.LTD</v>
      </c>
      <c r="J683" s="17" t="str">
        <f>VLOOKUP(Main_Presentation[[#This Row],[LC Number]],Main_Issuance[],8,0)</f>
        <v>FIRST FIX</v>
      </c>
      <c r="K683" s="17" t="str">
        <f>VLOOKUP(Main_Presentation[[#This Row],[LC Number]],Main_Issuance[],9,0)</f>
        <v>KSP</v>
      </c>
      <c r="L683" s="17">
        <f>VLOOKUP(Main_Presentation[[#This Row],[LC Number]],Main_Issuance[],10,0)</f>
        <v>1020055</v>
      </c>
      <c r="M683" s="17" t="str">
        <f>VLOOKUP(Main_Presentation[[#This Row],[LC Number]],Main_Issuance[],11,0)</f>
        <v>SAR</v>
      </c>
      <c r="N683" s="84">
        <f>VLOOKUP(Main_Presentation[[#This Row],[LC Number]],Main_Issuance[],12,0)</f>
        <v>500000</v>
      </c>
      <c r="O683" s="16" t="s">
        <v>20</v>
      </c>
      <c r="P683" s="16" t="s">
        <v>378</v>
      </c>
      <c r="Q683" s="131">
        <v>500000</v>
      </c>
      <c r="R683" s="18">
        <v>1</v>
      </c>
      <c r="S683" s="18">
        <f>Main_Presentation[[#This Row],[Invoice Amt (FCY)]]*Main_Presentation[[#This Row],[Rate]]</f>
        <v>500000</v>
      </c>
      <c r="T683" s="15">
        <v>45652</v>
      </c>
      <c r="U683" s="26" t="str">
        <f>VLOOKUP(Main_Presentation[[#This Row],[LC Number]],Main_Issuance[],18,0)</f>
        <v>90 Days from Invoice Date</v>
      </c>
      <c r="V683" s="19" t="s">
        <v>96</v>
      </c>
      <c r="W683" s="229" t="s">
        <v>857</v>
      </c>
      <c r="X683" s="16"/>
      <c r="Y683" s="234" t="str">
        <f>TRIM(LEFT(Main_Presentation[[#This Row],[Payment Terms]],3))</f>
        <v>90</v>
      </c>
      <c r="Z683" s="16"/>
      <c r="AA683" s="316" cm="1">
        <f t="array" ref="AA683">Settlement(Main_Presentation[[#This Row],[Bank]],Main_Presentation[[#This Row],[ Invoice Amt (SAR)]],Main_Presentation[[#This Row],[Date Recd]],Main_Presentation[[#This Row],[Due Date]],Main_Presentation[[#This Row],[Days]])</f>
        <v>2435.6999999999998</v>
      </c>
      <c r="AB683" s="16"/>
    </row>
    <row r="684" spans="1:28" ht="15.75" hidden="1" x14ac:dyDescent="0.25">
      <c r="A684" s="14" t="s">
        <v>387</v>
      </c>
      <c r="B684" s="15">
        <v>45579</v>
      </c>
      <c r="C684" s="26">
        <v>1</v>
      </c>
      <c r="D684" s="55" t="str">
        <f>VLOOKUP(Main_Presentation[[#This Row],[LC Number]],Main_Issuance[],3,0)</f>
        <v>Hassan Taleb</v>
      </c>
      <c r="E684" s="16" t="s">
        <v>858</v>
      </c>
      <c r="F684" s="17" t="str">
        <f>VLOOKUP(Main_Presentation[[#This Row],[LC Number]],Main_Issuance[],5,0)</f>
        <v>SNB</v>
      </c>
      <c r="G684" s="17" t="str">
        <f>VLOOKUP(Main_Presentation[[#This Row],[LC Number]],Main_Issuance[],6,0)</f>
        <v>Opera House</v>
      </c>
      <c r="H684" s="17" t="str">
        <f>VLOOKUP(Main_Presentation[[#This Row],[LC Number]],Main_Issuance[],17,0)</f>
        <v>Credit</v>
      </c>
      <c r="I684" s="17" t="str">
        <f>VLOOKUP(Main_Presentation[[#This Row],[LC Number]],Main_Issuance[],7,0)</f>
        <v>EMPOWER AIR TECHNOLOGIES CO.</v>
      </c>
      <c r="J684" s="17" t="str">
        <f>VLOOKUP(Main_Presentation[[#This Row],[LC Number]],Main_Issuance[],8,0)</f>
        <v>FIRST FIX</v>
      </c>
      <c r="K684" s="17" t="str">
        <f>VLOOKUP(Main_Presentation[[#This Row],[LC Number]],Main_Issuance[],9,0)</f>
        <v>KSP</v>
      </c>
      <c r="L684" s="17">
        <f>VLOOKUP(Main_Presentation[[#This Row],[LC Number]],Main_Issuance[],10,0)</f>
        <v>1020055</v>
      </c>
      <c r="M684" s="17" t="str">
        <f>VLOOKUP(Main_Presentation[[#This Row],[LC Number]],Main_Issuance[],11,0)</f>
        <v>SAR</v>
      </c>
      <c r="N684" s="84">
        <f>VLOOKUP(Main_Presentation[[#This Row],[LC Number]],Main_Issuance[],12,0)</f>
        <v>1000000</v>
      </c>
      <c r="O684" s="16" t="s">
        <v>20</v>
      </c>
      <c r="P684" s="16" t="s">
        <v>378</v>
      </c>
      <c r="Q684" s="131">
        <v>1000000</v>
      </c>
      <c r="R684" s="18">
        <v>1</v>
      </c>
      <c r="S684" s="18">
        <f>Main_Presentation[[#This Row],[Invoice Amt (FCY)]]*Main_Presentation[[#This Row],[Rate]]</f>
        <v>1000000</v>
      </c>
      <c r="T684" s="15">
        <v>45641</v>
      </c>
      <c r="U684" s="26" t="str">
        <f>VLOOKUP(Main_Presentation[[#This Row],[LC Number]],Main_Issuance[],18,0)</f>
        <v>90 Days from Invoice Date</v>
      </c>
      <c r="V684" s="19" t="s">
        <v>870</v>
      </c>
      <c r="W684" s="18" t="s">
        <v>857</v>
      </c>
      <c r="X684" s="16"/>
      <c r="Y684" s="234" t="str">
        <f>TRIM(LEFT(Main_Presentation[[#This Row],[Payment Terms]],3))</f>
        <v>90</v>
      </c>
      <c r="Z684" s="16"/>
      <c r="AA684" s="316" cm="1">
        <f t="array" ref="AA684">Settlement(Main_Presentation[[#This Row],[Bank]],Main_Presentation[[#This Row],[ Invoice Amt (SAR)]],Main_Presentation[[#This Row],[Date Recd]],Main_Presentation[[#This Row],[Due Date]],Main_Presentation[[#This Row],[Days]])</f>
        <v>4832.3</v>
      </c>
      <c r="AB684" s="16"/>
    </row>
    <row r="685" spans="1:28" ht="15.75" hidden="1" x14ac:dyDescent="0.25">
      <c r="A685" s="14" t="s">
        <v>333</v>
      </c>
      <c r="B685" s="15">
        <v>45579</v>
      </c>
      <c r="C685" s="26">
        <v>1</v>
      </c>
      <c r="D685" s="55" t="str">
        <f>VLOOKUP(Main_Presentation[[#This Row],[LC Number]],Main_Issuance[],3,0)</f>
        <v>Hassan Taleb</v>
      </c>
      <c r="E685" s="16" t="s">
        <v>858</v>
      </c>
      <c r="F685" s="17" t="str">
        <f>VLOOKUP(Main_Presentation[[#This Row],[LC Number]],Main_Issuance[],5,0)</f>
        <v>SNB</v>
      </c>
      <c r="G685" s="17" t="str">
        <f>VLOOKUP(Main_Presentation[[#This Row],[LC Number]],Main_Issuance[],6,0)</f>
        <v>Opera House</v>
      </c>
      <c r="H685" s="17" t="str">
        <f>VLOOKUP(Main_Presentation[[#This Row],[LC Number]],Main_Issuance[],17,0)</f>
        <v>Credit</v>
      </c>
      <c r="I685" s="17" t="str">
        <f>VLOOKUP(Main_Presentation[[#This Row],[LC Number]],Main_Issuance[],7,0)</f>
        <v>AL MABANI AL UMUMIYYAH LTD</v>
      </c>
      <c r="J685" s="17" t="str">
        <f>VLOOKUP(Main_Presentation[[#This Row],[LC Number]],Main_Issuance[],8,0)</f>
        <v>FIRST FIX</v>
      </c>
      <c r="K685" s="17" t="str">
        <f>VLOOKUP(Main_Presentation[[#This Row],[LC Number]],Main_Issuance[],9,0)</f>
        <v>KSP</v>
      </c>
      <c r="L685" s="17">
        <f>VLOOKUP(Main_Presentation[[#This Row],[LC Number]],Main_Issuance[],10,0)</f>
        <v>1020055</v>
      </c>
      <c r="M685" s="17" t="str">
        <f>VLOOKUP(Main_Presentation[[#This Row],[LC Number]],Main_Issuance[],11,0)</f>
        <v>SAR</v>
      </c>
      <c r="N685" s="84">
        <f>VLOOKUP(Main_Presentation[[#This Row],[LC Number]],Main_Issuance[],12,0)</f>
        <v>580000</v>
      </c>
      <c r="O685" s="16" t="s">
        <v>20</v>
      </c>
      <c r="P685" s="16" t="s">
        <v>378</v>
      </c>
      <c r="Q685" s="131">
        <v>580000</v>
      </c>
      <c r="R685" s="18">
        <v>1</v>
      </c>
      <c r="S685" s="18">
        <f>Main_Presentation[[#This Row],[Invoice Amt (FCY)]]*Main_Presentation[[#This Row],[Rate]]</f>
        <v>580000</v>
      </c>
      <c r="T685" s="15">
        <v>45617</v>
      </c>
      <c r="U685" s="26" t="str">
        <f>VLOOKUP(Main_Presentation[[#This Row],[LC Number]],Main_Issuance[],18,0)</f>
        <v>90 Days from Invoice Date</v>
      </c>
      <c r="V685" s="19" t="s">
        <v>90</v>
      </c>
      <c r="W685" s="18" t="s">
        <v>857</v>
      </c>
      <c r="X685" s="16"/>
      <c r="Y685" s="234" t="str">
        <f>TRIM(LEFT(Main_Presentation[[#This Row],[Payment Terms]],3))</f>
        <v>90</v>
      </c>
      <c r="Z685" s="16"/>
      <c r="AA685" s="316" cm="1">
        <f t="array" ref="AA685">Settlement(Main_Presentation[[#This Row],[Bank]],Main_Presentation[[#This Row],[ Invoice Amt (SAR)]],Main_Presentation[[#This Row],[Date Recd]],Main_Presentation[[#This Row],[Due Date]],Main_Presentation[[#This Row],[Days]])</f>
        <v>1429.45</v>
      </c>
      <c r="AB685" s="16"/>
    </row>
    <row r="686" spans="1:28" ht="15.75" hidden="1" x14ac:dyDescent="0.25">
      <c r="A686" s="14" t="s">
        <v>345</v>
      </c>
      <c r="B686" s="15">
        <v>45580</v>
      </c>
      <c r="C686" s="26">
        <v>1</v>
      </c>
      <c r="D686" s="55" t="str">
        <f>VLOOKUP(Main_Presentation[[#This Row],[LC Number]],Main_Issuance[],3,0)</f>
        <v>Hassan Taleb</v>
      </c>
      <c r="E686" s="16" t="s">
        <v>858</v>
      </c>
      <c r="F686" s="17" t="str">
        <f>VLOOKUP(Main_Presentation[[#This Row],[LC Number]],Main_Issuance[],5,0)</f>
        <v>SNB</v>
      </c>
      <c r="G686" s="17" t="str">
        <f>VLOOKUP(Main_Presentation[[#This Row],[LC Number]],Main_Issuance[],6,0)</f>
        <v>Opera House</v>
      </c>
      <c r="H686" s="17" t="str">
        <f>VLOOKUP(Main_Presentation[[#This Row],[LC Number]],Main_Issuance[],17,0)</f>
        <v>Credit</v>
      </c>
      <c r="I686" s="17" t="str">
        <f>VLOOKUP(Main_Presentation[[#This Row],[LC Number]],Main_Issuance[],7,0)</f>
        <v>MARIAM AHMAD JAMAL IBRAHIM PARTNE</v>
      </c>
      <c r="J686" s="17" t="str">
        <f>VLOOKUP(Main_Presentation[[#This Row],[LC Number]],Main_Issuance[],8,0)</f>
        <v>FIRST FIX</v>
      </c>
      <c r="K686" s="17" t="str">
        <f>VLOOKUP(Main_Presentation[[#This Row],[LC Number]],Main_Issuance[],9,0)</f>
        <v>KSP</v>
      </c>
      <c r="L686" s="17">
        <f>VLOOKUP(Main_Presentation[[#This Row],[LC Number]],Main_Issuance[],10,0)</f>
        <v>1020055</v>
      </c>
      <c r="M686" s="17" t="str">
        <f>VLOOKUP(Main_Presentation[[#This Row],[LC Number]],Main_Issuance[],11,0)</f>
        <v>SAR</v>
      </c>
      <c r="N686" s="84">
        <f>VLOOKUP(Main_Presentation[[#This Row],[LC Number]],Main_Issuance[],12,0)</f>
        <v>700000</v>
      </c>
      <c r="O686" s="16" t="s">
        <v>20</v>
      </c>
      <c r="P686" s="16" t="s">
        <v>378</v>
      </c>
      <c r="Q686" s="131">
        <v>700000</v>
      </c>
      <c r="R686" s="18">
        <v>1</v>
      </c>
      <c r="S686" s="18">
        <f>Main_Presentation[[#This Row],[Invoice Amt (FCY)]]*Main_Presentation[[#This Row],[Rate]]</f>
        <v>700000</v>
      </c>
      <c r="T686" s="15">
        <v>45631</v>
      </c>
      <c r="U686" s="26" t="str">
        <f>VLOOKUP(Main_Presentation[[#This Row],[LC Number]],Main_Issuance[],18,0)</f>
        <v>90 Days from Invoice Date</v>
      </c>
      <c r="V686" s="19" t="s">
        <v>22</v>
      </c>
      <c r="W686" s="18" t="s">
        <v>857</v>
      </c>
      <c r="X686" s="16"/>
      <c r="Y686" s="234" t="str">
        <f>TRIM(LEFT(Main_Presentation[[#This Row],[Payment Terms]],3))</f>
        <v>90</v>
      </c>
      <c r="Z686" s="16"/>
      <c r="AA686" s="316" cm="1">
        <f t="array" ref="AA686">Settlement(Main_Presentation[[#This Row],[Bank]],Main_Presentation[[#This Row],[ Invoice Amt (SAR)]],Main_Presentation[[#This Row],[Date Recd]],Main_Presentation[[#This Row],[Due Date]],Main_Presentation[[#This Row],[Days]])</f>
        <v>3394.8</v>
      </c>
      <c r="AB686" s="16"/>
    </row>
    <row r="687" spans="1:28" ht="15.75" hidden="1" x14ac:dyDescent="0.25">
      <c r="A687" s="14" t="s">
        <v>336</v>
      </c>
      <c r="B687" s="15">
        <v>45581</v>
      </c>
      <c r="C687" s="26">
        <v>1</v>
      </c>
      <c r="D687" s="55" t="str">
        <f>VLOOKUP(Main_Presentation[[#This Row],[LC Number]],Main_Issuance[],3,0)</f>
        <v>Hassan Taleb</v>
      </c>
      <c r="E687" s="16" t="s">
        <v>858</v>
      </c>
      <c r="F687" s="17" t="str">
        <f>VLOOKUP(Main_Presentation[[#This Row],[LC Number]],Main_Issuance[],5,0)</f>
        <v>SNB</v>
      </c>
      <c r="G687" s="17" t="str">
        <f>VLOOKUP(Main_Presentation[[#This Row],[LC Number]],Main_Issuance[],6,0)</f>
        <v>Opera House</v>
      </c>
      <c r="H687" s="17" t="str">
        <f>VLOOKUP(Main_Presentation[[#This Row],[LC Number]],Main_Issuance[],17,0)</f>
        <v>Credit</v>
      </c>
      <c r="I687" s="17" t="str">
        <f>VLOOKUP(Main_Presentation[[#This Row],[LC Number]],Main_Issuance[],7,0)</f>
        <v>RIYADH CABLES GROUP COMPANY</v>
      </c>
      <c r="J687" s="17" t="str">
        <f>VLOOKUP(Main_Presentation[[#This Row],[LC Number]],Main_Issuance[],8,0)</f>
        <v>FIRST FIX</v>
      </c>
      <c r="K687" s="17" t="str">
        <f>VLOOKUP(Main_Presentation[[#This Row],[LC Number]],Main_Issuance[],9,0)</f>
        <v>KSP</v>
      </c>
      <c r="L687" s="17">
        <f>VLOOKUP(Main_Presentation[[#This Row],[LC Number]],Main_Issuance[],10,0)</f>
        <v>1020055</v>
      </c>
      <c r="M687" s="17" t="str">
        <f>VLOOKUP(Main_Presentation[[#This Row],[LC Number]],Main_Issuance[],11,0)</f>
        <v>SAR</v>
      </c>
      <c r="N687" s="84">
        <f>VLOOKUP(Main_Presentation[[#This Row],[LC Number]],Main_Issuance[],12,0)</f>
        <v>2588066.71</v>
      </c>
      <c r="O687" s="16" t="s">
        <v>20</v>
      </c>
      <c r="P687" s="16" t="s">
        <v>378</v>
      </c>
      <c r="Q687" s="131">
        <v>416865.1</v>
      </c>
      <c r="R687" s="18">
        <v>1</v>
      </c>
      <c r="S687" s="18">
        <f>Main_Presentation[[#This Row],[Invoice Amt (FCY)]]*Main_Presentation[[#This Row],[Rate]]</f>
        <v>416865.1</v>
      </c>
      <c r="T687" s="15">
        <v>45655</v>
      </c>
      <c r="U687" s="26" t="str">
        <f>VLOOKUP(Main_Presentation[[#This Row],[LC Number]],Main_Issuance[],18,0)</f>
        <v>90 Days from Invoice Date</v>
      </c>
      <c r="V687" s="19" t="s">
        <v>869</v>
      </c>
      <c r="W687" s="18" t="s">
        <v>857</v>
      </c>
      <c r="X687" s="16"/>
      <c r="Y687" s="234" t="str">
        <f>TRIM(LEFT(Main_Presentation[[#This Row],[Payment Terms]],3))</f>
        <v>90</v>
      </c>
      <c r="Z687" s="16"/>
      <c r="AA687" s="316" cm="1">
        <f t="array" ref="AA687">Settlement(Main_Presentation[[#This Row],[Bank]],Main_Presentation[[#This Row],[ Invoice Amt (SAR)]],Main_Presentation[[#This Row],[Date Recd]],Main_Presentation[[#This Row],[Due Date]],Main_Presentation[[#This Row],[Days]])</f>
        <v>2037.8</v>
      </c>
      <c r="AB687" s="16"/>
    </row>
    <row r="688" spans="1:28" ht="15.75" hidden="1" x14ac:dyDescent="0.25">
      <c r="A688" s="14" t="s">
        <v>388</v>
      </c>
      <c r="B688" s="15">
        <v>45581</v>
      </c>
      <c r="C688" s="26">
        <v>1</v>
      </c>
      <c r="D688" s="55" t="str">
        <f>VLOOKUP(Main_Presentation[[#This Row],[LC Number]],Main_Issuance[],3,0)</f>
        <v>Hassan Taleb</v>
      </c>
      <c r="E688" s="16" t="s">
        <v>856</v>
      </c>
      <c r="F688" s="17" t="str">
        <f>VLOOKUP(Main_Presentation[[#This Row],[LC Number]],Main_Issuance[],5,0)</f>
        <v>SNB</v>
      </c>
      <c r="G688" s="17" t="str">
        <f>VLOOKUP(Main_Presentation[[#This Row],[LC Number]],Main_Issuance[],6,0)</f>
        <v>Opera House</v>
      </c>
      <c r="H688" s="17" t="str">
        <f>VLOOKUP(Main_Presentation[[#This Row],[LC Number]],Main_Issuance[],17,0)</f>
        <v>Credit</v>
      </c>
      <c r="I688" s="17" t="str">
        <f>VLOOKUP(Main_Presentation[[#This Row],[LC Number]],Main_Issuance[],7,0)</f>
        <v>SAFID CO.LTD</v>
      </c>
      <c r="J688" s="17" t="str">
        <f>VLOOKUP(Main_Presentation[[#This Row],[LC Number]],Main_Issuance[],8,0)</f>
        <v>FIRST FIX</v>
      </c>
      <c r="K688" s="17" t="str">
        <f>VLOOKUP(Main_Presentation[[#This Row],[LC Number]],Main_Issuance[],9,0)</f>
        <v>KSP</v>
      </c>
      <c r="L688" s="17">
        <f>VLOOKUP(Main_Presentation[[#This Row],[LC Number]],Main_Issuance[],10,0)</f>
        <v>1020055</v>
      </c>
      <c r="M688" s="17" t="str">
        <f>VLOOKUP(Main_Presentation[[#This Row],[LC Number]],Main_Issuance[],11,0)</f>
        <v>SAR</v>
      </c>
      <c r="N688" s="84">
        <f>VLOOKUP(Main_Presentation[[#This Row],[LC Number]],Main_Issuance[],12,0)</f>
        <v>1508807.25</v>
      </c>
      <c r="O688" s="16" t="s">
        <v>20</v>
      </c>
      <c r="P688" s="16" t="s">
        <v>378</v>
      </c>
      <c r="Q688" s="131">
        <v>1508807.25</v>
      </c>
      <c r="R688" s="18">
        <v>1</v>
      </c>
      <c r="S688" s="18">
        <f>Main_Presentation[[#This Row],[Invoice Amt (FCY)]]*Main_Presentation[[#This Row],[Rate]]</f>
        <v>1508807.25</v>
      </c>
      <c r="T688" s="15">
        <v>45662</v>
      </c>
      <c r="U688" s="26" t="str">
        <f>VLOOKUP(Main_Presentation[[#This Row],[LC Number]],Main_Issuance[],18,0)</f>
        <v>90 Days from Invoice Date</v>
      </c>
      <c r="V688" s="19" t="s">
        <v>22</v>
      </c>
      <c r="W688" s="18" t="s">
        <v>857</v>
      </c>
      <c r="X688" s="16"/>
      <c r="Y688" s="234" t="str">
        <f>TRIM(LEFT(Main_Presentation[[#This Row],[Payment Terms]],3))</f>
        <v>90</v>
      </c>
      <c r="Z688" s="16"/>
      <c r="AA688" s="316" cm="1">
        <f t="array" ref="AA688">Settlement(Main_Presentation[[#This Row],[Bank]],Main_Presentation[[#This Row],[ Invoice Amt (SAR)]],Main_Presentation[[#This Row],[Date Recd]],Main_Presentation[[#This Row],[Due Date]],Main_Presentation[[#This Row],[Days]])</f>
        <v>10884.75</v>
      </c>
      <c r="AB688" s="16"/>
    </row>
    <row r="689" spans="1:28" ht="15.75" hidden="1" x14ac:dyDescent="0.25">
      <c r="A689" s="14" t="s">
        <v>340</v>
      </c>
      <c r="B689" s="15">
        <v>45581</v>
      </c>
      <c r="C689" s="26">
        <v>1</v>
      </c>
      <c r="D689" s="55" t="str">
        <f>VLOOKUP(Main_Presentation[[#This Row],[LC Number]],Main_Issuance[],3,0)</f>
        <v>Hassan Taleb</v>
      </c>
      <c r="E689" s="16" t="s">
        <v>856</v>
      </c>
      <c r="F689" s="17" t="str">
        <f>VLOOKUP(Main_Presentation[[#This Row],[LC Number]],Main_Issuance[],5,0)</f>
        <v>SNB</v>
      </c>
      <c r="G689" s="17" t="str">
        <f>VLOOKUP(Main_Presentation[[#This Row],[LC Number]],Main_Issuance[],6,0)</f>
        <v>Opera House</v>
      </c>
      <c r="H689" s="17" t="str">
        <f>VLOOKUP(Main_Presentation[[#This Row],[LC Number]],Main_Issuance[],17,0)</f>
        <v>Credit</v>
      </c>
      <c r="I689" s="17" t="str">
        <f>VLOOKUP(Main_Presentation[[#This Row],[LC Number]],Main_Issuance[],7,0)</f>
        <v>AL MOUSA TRADING CO</v>
      </c>
      <c r="J689" s="17" t="str">
        <f>VLOOKUP(Main_Presentation[[#This Row],[LC Number]],Main_Issuance[],8,0)</f>
        <v>FIRST FIX</v>
      </c>
      <c r="K689" s="17" t="str">
        <f>VLOOKUP(Main_Presentation[[#This Row],[LC Number]],Main_Issuance[],9,0)</f>
        <v>KSP</v>
      </c>
      <c r="L689" s="17">
        <f>VLOOKUP(Main_Presentation[[#This Row],[LC Number]],Main_Issuance[],10,0)</f>
        <v>1020055</v>
      </c>
      <c r="M689" s="17" t="str">
        <f>VLOOKUP(Main_Presentation[[#This Row],[LC Number]],Main_Issuance[],11,0)</f>
        <v>SAR</v>
      </c>
      <c r="N689" s="84">
        <f>VLOOKUP(Main_Presentation[[#This Row],[LC Number]],Main_Issuance[],12,0)</f>
        <v>1261625</v>
      </c>
      <c r="O689" s="16" t="s">
        <v>20</v>
      </c>
      <c r="P689" s="16" t="s">
        <v>378</v>
      </c>
      <c r="Q689" s="131">
        <v>1261625</v>
      </c>
      <c r="R689" s="18">
        <v>1</v>
      </c>
      <c r="S689" s="18">
        <f>Main_Presentation[[#This Row],[Invoice Amt (FCY)]]*Main_Presentation[[#This Row],[Rate]]</f>
        <v>1261625</v>
      </c>
      <c r="T689" s="15">
        <v>45652</v>
      </c>
      <c r="U689" s="26" t="str">
        <f>VLOOKUP(Main_Presentation[[#This Row],[LC Number]],Main_Issuance[],18,0)</f>
        <v>90 Days from Invoice Date</v>
      </c>
      <c r="V689" s="19" t="s">
        <v>96</v>
      </c>
      <c r="W689" s="229" t="s">
        <v>857</v>
      </c>
      <c r="X689" s="16"/>
      <c r="Y689" s="234" t="str">
        <f>TRIM(LEFT(Main_Presentation[[#This Row],[Payment Terms]],3))</f>
        <v>90</v>
      </c>
      <c r="Z689" s="16"/>
      <c r="AA689" s="316" cm="1">
        <f t="array" ref="AA689">Settlement(Main_Presentation[[#This Row],[Bank]],Main_Presentation[[#This Row],[ Invoice Amt (SAR)]],Main_Presentation[[#This Row],[Date Recd]],Main_Presentation[[#This Row],[Due Date]],Main_Presentation[[#This Row],[Days]])</f>
        <v>6085.8</v>
      </c>
      <c r="AB689" s="16"/>
    </row>
    <row r="690" spans="1:28" ht="15.75" hidden="1" x14ac:dyDescent="0.25">
      <c r="A690" s="14" t="s">
        <v>334</v>
      </c>
      <c r="B690" s="15">
        <v>45553</v>
      </c>
      <c r="C690" s="26">
        <v>1</v>
      </c>
      <c r="D690" s="55" t="str">
        <f>VLOOKUP(Main_Presentation[[#This Row],[LC Number]],Main_Issuance[],3,0)</f>
        <v>Hassan Taleb</v>
      </c>
      <c r="E690" s="16" t="s">
        <v>856</v>
      </c>
      <c r="F690" s="17" t="str">
        <f>VLOOKUP(Main_Presentation[[#This Row],[LC Number]],Main_Issuance[],5,0)</f>
        <v>SNB</v>
      </c>
      <c r="G690" s="17" t="str">
        <f>VLOOKUP(Main_Presentation[[#This Row],[LC Number]],Main_Issuance[],6,0)</f>
        <v>Opera House</v>
      </c>
      <c r="H690" s="17" t="str">
        <f>VLOOKUP(Main_Presentation[[#This Row],[LC Number]],Main_Issuance[],17,0)</f>
        <v>Credit</v>
      </c>
      <c r="I690" s="17" t="str">
        <f>VLOOKUP(Main_Presentation[[#This Row],[LC Number]],Main_Issuance[],7,0)</f>
        <v>ZAHID TRACTOR HEAVY MACHINERY CO</v>
      </c>
      <c r="J690" s="17" t="str">
        <f>VLOOKUP(Main_Presentation[[#This Row],[LC Number]],Main_Issuance[],8,0)</f>
        <v>FIRST FIX</v>
      </c>
      <c r="K690" s="17" t="str">
        <f>VLOOKUP(Main_Presentation[[#This Row],[LC Number]],Main_Issuance[],9,0)</f>
        <v>KSP</v>
      </c>
      <c r="L690" s="17">
        <f>VLOOKUP(Main_Presentation[[#This Row],[LC Number]],Main_Issuance[],10,0)</f>
        <v>1020055</v>
      </c>
      <c r="M690" s="17" t="str">
        <f>VLOOKUP(Main_Presentation[[#This Row],[LC Number]],Main_Issuance[],11,0)</f>
        <v>SAR</v>
      </c>
      <c r="N690" s="84">
        <f>VLOOKUP(Main_Presentation[[#This Row],[LC Number]],Main_Issuance[],12,0)</f>
        <v>2754688.47</v>
      </c>
      <c r="O690" s="16" t="s">
        <v>20</v>
      </c>
      <c r="P690" s="16" t="s">
        <v>857</v>
      </c>
      <c r="Q690" s="131">
        <v>2754688.47</v>
      </c>
      <c r="R690" s="18">
        <v>1</v>
      </c>
      <c r="S690" s="18">
        <f>Main_Presentation[[#This Row],[Invoice Amt (FCY)]]*Main_Presentation[[#This Row],[Rate]]</f>
        <v>2754688.47</v>
      </c>
      <c r="T690" s="15">
        <v>45622</v>
      </c>
      <c r="U690" s="26">
        <f>VLOOKUP(Main_Presentation[[#This Row],[LC Number]],Main_Issuance[],18,0)</f>
        <v>0</v>
      </c>
      <c r="V690" s="19" t="s">
        <v>90</v>
      </c>
      <c r="W690" s="18" t="s">
        <v>857</v>
      </c>
      <c r="X690" s="16"/>
      <c r="Y690" s="234" t="str">
        <f>TRIM(LEFT(Main_Presentation[[#This Row],[Payment Terms]],3))</f>
        <v>0</v>
      </c>
      <c r="Z690" s="16"/>
      <c r="AA690" s="316" cm="1">
        <f t="array" ref="AA690">Settlement(Main_Presentation[[#This Row],[Bank]],Main_Presentation[[#This Row],[ Invoice Amt (SAR)]],Main_Presentation[[#This Row],[Date Recd]],Main_Presentation[[#This Row],[Due Date]],Main_Presentation[[#This Row],[Days]])</f>
        <v>13239.95</v>
      </c>
      <c r="AB690" s="16"/>
    </row>
    <row r="691" spans="1:28" ht="15.75" hidden="1" x14ac:dyDescent="0.25">
      <c r="A691" s="14" t="s">
        <v>385</v>
      </c>
      <c r="B691" s="15">
        <v>45582</v>
      </c>
      <c r="C691" s="26">
        <v>1</v>
      </c>
      <c r="D691" s="55" t="str">
        <f>VLOOKUP(Main_Presentation[[#This Row],[LC Number]],Main_Issuance[],3,0)</f>
        <v>Hassan Taleb</v>
      </c>
      <c r="E691" s="16" t="s">
        <v>856</v>
      </c>
      <c r="F691" s="17" t="str">
        <f>VLOOKUP(Main_Presentation[[#This Row],[LC Number]],Main_Issuance[],5,0)</f>
        <v>SNB</v>
      </c>
      <c r="G691" s="17" t="str">
        <f>VLOOKUP(Main_Presentation[[#This Row],[LC Number]],Main_Issuance[],6,0)</f>
        <v>Opera House</v>
      </c>
      <c r="H691" s="17" t="str">
        <f>VLOOKUP(Main_Presentation[[#This Row],[LC Number]],Main_Issuance[],17,0)</f>
        <v>Credit</v>
      </c>
      <c r="I691" s="17" t="str">
        <f>VLOOKUP(Main_Presentation[[#This Row],[LC Number]],Main_Issuance[],7,0)</f>
        <v>AL FANAR CO LTD</v>
      </c>
      <c r="J691" s="17" t="str">
        <f>VLOOKUP(Main_Presentation[[#This Row],[LC Number]],Main_Issuance[],8,0)</f>
        <v>FIRST FIX</v>
      </c>
      <c r="K691" s="17" t="str">
        <f>VLOOKUP(Main_Presentation[[#This Row],[LC Number]],Main_Issuance[],9,0)</f>
        <v>KSP</v>
      </c>
      <c r="L691" s="17">
        <f>VLOOKUP(Main_Presentation[[#This Row],[LC Number]],Main_Issuance[],10,0)</f>
        <v>1020055</v>
      </c>
      <c r="M691" s="17" t="str">
        <f>VLOOKUP(Main_Presentation[[#This Row],[LC Number]],Main_Issuance[],11,0)</f>
        <v>SAR</v>
      </c>
      <c r="N691" s="84">
        <f>VLOOKUP(Main_Presentation[[#This Row],[LC Number]],Main_Issuance[],12,0)</f>
        <v>1083501.1399999999</v>
      </c>
      <c r="O691" s="16" t="s">
        <v>20</v>
      </c>
      <c r="P691" s="16" t="s">
        <v>378</v>
      </c>
      <c r="Q691" s="131">
        <v>1083501.1399999999</v>
      </c>
      <c r="R691" s="18">
        <v>1</v>
      </c>
      <c r="S691" s="18">
        <f>Main_Presentation[[#This Row],[Invoice Amt (FCY)]]*Main_Presentation[[#This Row],[Rate]]</f>
        <v>1083501.1399999999</v>
      </c>
      <c r="T691" s="15">
        <v>45650</v>
      </c>
      <c r="U691" s="26" t="str">
        <f>VLOOKUP(Main_Presentation[[#This Row],[LC Number]],Main_Issuance[],18,0)</f>
        <v>90 Days from Invoice Date</v>
      </c>
      <c r="V691" s="19" t="s">
        <v>96</v>
      </c>
      <c r="W691" s="229" t="s">
        <v>857</v>
      </c>
      <c r="X691" s="16"/>
      <c r="Y691" s="234" t="str">
        <f>TRIM(LEFT(Main_Presentation[[#This Row],[Payment Terms]],3))</f>
        <v>90</v>
      </c>
      <c r="Z691" s="16"/>
      <c r="AA691" s="316" cm="1">
        <f t="array" ref="AA691">Settlement(Main_Presentation[[#This Row],[Bank]],Main_Presentation[[#This Row],[ Invoice Amt (SAR)]],Main_Presentation[[#This Row],[Date Recd]],Main_Presentation[[#This Row],[Due Date]],Main_Presentation[[#This Row],[Days]])</f>
        <v>5232.5</v>
      </c>
      <c r="AB691" s="16"/>
    </row>
    <row r="692" spans="1:28" ht="15.75" hidden="1" x14ac:dyDescent="0.25">
      <c r="A692" s="14" t="s">
        <v>357</v>
      </c>
      <c r="B692" s="15">
        <v>45582</v>
      </c>
      <c r="C692" s="26">
        <v>1</v>
      </c>
      <c r="D692" s="55" t="str">
        <f>VLOOKUP(Main_Presentation[[#This Row],[LC Number]],Main_Issuance[],3,0)</f>
        <v>Hassan Taleb</v>
      </c>
      <c r="E692" s="16" t="s">
        <v>856</v>
      </c>
      <c r="F692" s="17" t="str">
        <f>VLOOKUP(Main_Presentation[[#This Row],[LC Number]],Main_Issuance[],5,0)</f>
        <v>SNB</v>
      </c>
      <c r="G692" s="17" t="str">
        <f>VLOOKUP(Main_Presentation[[#This Row],[LC Number]],Main_Issuance[],6,0)</f>
        <v>Opera House</v>
      </c>
      <c r="H692" s="17" t="str">
        <f>VLOOKUP(Main_Presentation[[#This Row],[LC Number]],Main_Issuance[],17,0)</f>
        <v>Credit</v>
      </c>
      <c r="I692" s="17" t="str">
        <f>VLOOKUP(Main_Presentation[[#This Row],[LC Number]],Main_Issuance[],7,0)</f>
        <v>ELECTRIC HOUSE TRADING COMPANY</v>
      </c>
      <c r="J692" s="17" t="str">
        <f>VLOOKUP(Main_Presentation[[#This Row],[LC Number]],Main_Issuance[],8,0)</f>
        <v>FIRST FIX</v>
      </c>
      <c r="K692" s="17" t="str">
        <f>VLOOKUP(Main_Presentation[[#This Row],[LC Number]],Main_Issuance[],9,0)</f>
        <v>KSP</v>
      </c>
      <c r="L692" s="17">
        <f>VLOOKUP(Main_Presentation[[#This Row],[LC Number]],Main_Issuance[],10,0)</f>
        <v>1020055</v>
      </c>
      <c r="M692" s="17" t="str">
        <f>VLOOKUP(Main_Presentation[[#This Row],[LC Number]],Main_Issuance[],11,0)</f>
        <v>SAR</v>
      </c>
      <c r="N692" s="84">
        <f>VLOOKUP(Main_Presentation[[#This Row],[LC Number]],Main_Issuance[],12,0)</f>
        <v>2000000</v>
      </c>
      <c r="O692" s="16" t="s">
        <v>20</v>
      </c>
      <c r="P692" s="16" t="s">
        <v>378</v>
      </c>
      <c r="Q692" s="131">
        <v>2000000</v>
      </c>
      <c r="R692" s="18">
        <v>1</v>
      </c>
      <c r="S692" s="18">
        <f>Main_Presentation[[#This Row],[Invoice Amt (FCY)]]*Main_Presentation[[#This Row],[Rate]]</f>
        <v>2000000</v>
      </c>
      <c r="T692" s="15">
        <v>45662</v>
      </c>
      <c r="U692" s="26" t="str">
        <f>VLOOKUP(Main_Presentation[[#This Row],[LC Number]],Main_Issuance[],18,0)</f>
        <v>90 Days from Invoice Date</v>
      </c>
      <c r="V692" s="19" t="s">
        <v>22</v>
      </c>
      <c r="W692" s="18" t="s">
        <v>857</v>
      </c>
      <c r="X692" s="16"/>
      <c r="Y692" s="234" t="str">
        <f>TRIM(LEFT(Main_Presentation[[#This Row],[Payment Terms]],3))</f>
        <v>90</v>
      </c>
      <c r="Z692" s="16"/>
      <c r="AA692" s="316" cm="1">
        <f t="array" ref="AA692">Settlement(Main_Presentation[[#This Row],[Bank]],Main_Presentation[[#This Row],[ Invoice Amt (SAR)]],Main_Presentation[[#This Row],[Date Recd]],Main_Presentation[[#This Row],[Due Date]],Main_Presentation[[#This Row],[Days]])</f>
        <v>14415.25</v>
      </c>
      <c r="AB692" s="16"/>
    </row>
    <row r="693" spans="1:28" ht="15.75" hidden="1" x14ac:dyDescent="0.25">
      <c r="A693" s="14" t="s">
        <v>383</v>
      </c>
      <c r="B693" s="15">
        <v>45585</v>
      </c>
      <c r="C693" s="26">
        <v>1</v>
      </c>
      <c r="D693" s="55" t="str">
        <f>VLOOKUP(Main_Presentation[[#This Row],[LC Number]],Main_Issuance[],3,0)</f>
        <v>Hassan Taleb</v>
      </c>
      <c r="E693" s="16" t="s">
        <v>856</v>
      </c>
      <c r="F693" s="17" t="str">
        <f>VLOOKUP(Main_Presentation[[#This Row],[LC Number]],Main_Issuance[],5,0)</f>
        <v>SNB</v>
      </c>
      <c r="G693" s="17" t="str">
        <f>VLOOKUP(Main_Presentation[[#This Row],[LC Number]],Main_Issuance[],6,0)</f>
        <v>Opera House</v>
      </c>
      <c r="H693" s="17" t="str">
        <f>VLOOKUP(Main_Presentation[[#This Row],[LC Number]],Main_Issuance[],17,0)</f>
        <v>Credit</v>
      </c>
      <c r="I693" s="17" t="str">
        <f>VLOOKUP(Main_Presentation[[#This Row],[LC Number]],Main_Issuance[],7,0)</f>
        <v>DEPTH MODERN TECHNOLOGIES CO.</v>
      </c>
      <c r="J693" s="17" t="str">
        <f>VLOOKUP(Main_Presentation[[#This Row],[LC Number]],Main_Issuance[],8,0)</f>
        <v>FIRST FIX</v>
      </c>
      <c r="K693" s="17" t="str">
        <f>VLOOKUP(Main_Presentation[[#This Row],[LC Number]],Main_Issuance[],9,0)</f>
        <v>KSP</v>
      </c>
      <c r="L693" s="17">
        <f>VLOOKUP(Main_Presentation[[#This Row],[LC Number]],Main_Issuance[],10,0)</f>
        <v>1020055</v>
      </c>
      <c r="M693" s="17" t="str">
        <f>VLOOKUP(Main_Presentation[[#This Row],[LC Number]],Main_Issuance[],11,0)</f>
        <v>SAR</v>
      </c>
      <c r="N693" s="84">
        <f>VLOOKUP(Main_Presentation[[#This Row],[LC Number]],Main_Issuance[],12,0)</f>
        <v>2000000</v>
      </c>
      <c r="O693" s="16" t="s">
        <v>20</v>
      </c>
      <c r="P693" s="16" t="s">
        <v>378</v>
      </c>
      <c r="Q693" s="131">
        <v>2000000</v>
      </c>
      <c r="R693" s="18">
        <v>1</v>
      </c>
      <c r="S693" s="18">
        <f>Main_Presentation[[#This Row],[Invoice Amt (FCY)]]*Main_Presentation[[#This Row],[Rate]]</f>
        <v>2000000</v>
      </c>
      <c r="T693" s="15">
        <v>45642</v>
      </c>
      <c r="U693" s="26" t="str">
        <f>VLOOKUP(Main_Presentation[[#This Row],[LC Number]],Main_Issuance[],18,0)</f>
        <v>90 Days from Invoice Date</v>
      </c>
      <c r="V693" s="19" t="s">
        <v>870</v>
      </c>
      <c r="W693" s="18" t="s">
        <v>857</v>
      </c>
      <c r="X693" s="16"/>
      <c r="Y693" s="234" t="str">
        <f>TRIM(LEFT(Main_Presentation[[#This Row],[Payment Terms]],3))</f>
        <v>90</v>
      </c>
      <c r="Z693" s="16"/>
      <c r="AA693" s="316" cm="1">
        <f t="array" ref="AA693">Settlement(Main_Presentation[[#This Row],[Bank]],Main_Presentation[[#This Row],[ Invoice Amt (SAR)]],Main_Presentation[[#This Row],[Date Recd]],Main_Presentation[[#This Row],[Due Date]],Main_Presentation[[#This Row],[Days]])</f>
        <v>9623.2000000000007</v>
      </c>
      <c r="AB693" s="16"/>
    </row>
    <row r="694" spans="1:28" ht="15.75" hidden="1" x14ac:dyDescent="0.25">
      <c r="A694" s="14" t="s">
        <v>392</v>
      </c>
      <c r="B694" s="15">
        <v>45585</v>
      </c>
      <c r="C694" s="26">
        <v>1</v>
      </c>
      <c r="D694" s="55" t="str">
        <f>VLOOKUP(Main_Presentation[[#This Row],[LC Number]],Main_Issuance[],3,0)</f>
        <v>Hassan Taleb</v>
      </c>
      <c r="E694" s="16" t="s">
        <v>858</v>
      </c>
      <c r="F694" s="17" t="str">
        <f>VLOOKUP(Main_Presentation[[#This Row],[LC Number]],Main_Issuance[],5,0)</f>
        <v>SNB</v>
      </c>
      <c r="G694" s="17" t="str">
        <f>VLOOKUP(Main_Presentation[[#This Row],[LC Number]],Main_Issuance[],6,0)</f>
        <v>Opera House</v>
      </c>
      <c r="H694" s="17" t="str">
        <f>VLOOKUP(Main_Presentation[[#This Row],[LC Number]],Main_Issuance[],17,0)</f>
        <v>Credit</v>
      </c>
      <c r="I694" s="17" t="str">
        <f>VLOOKUP(Main_Presentation[[#This Row],[LC Number]],Main_Issuance[],7,0)</f>
        <v>UNIVERSAL BUILDING MATERIALS MERCHANTS CO.LTD</v>
      </c>
      <c r="J694" s="17" t="str">
        <f>VLOOKUP(Main_Presentation[[#This Row],[LC Number]],Main_Issuance[],8,0)</f>
        <v>FIRST FIX</v>
      </c>
      <c r="K694" s="17" t="str">
        <f>VLOOKUP(Main_Presentation[[#This Row],[LC Number]],Main_Issuance[],9,0)</f>
        <v>KSP</v>
      </c>
      <c r="L694" s="17">
        <f>VLOOKUP(Main_Presentation[[#This Row],[LC Number]],Main_Issuance[],10,0)</f>
        <v>1020055</v>
      </c>
      <c r="M694" s="17" t="str">
        <f>VLOOKUP(Main_Presentation[[#This Row],[LC Number]],Main_Issuance[],11,0)</f>
        <v>SAR</v>
      </c>
      <c r="N694" s="84">
        <f>VLOOKUP(Main_Presentation[[#This Row],[LC Number]],Main_Issuance[],12,0)</f>
        <v>670471.5</v>
      </c>
      <c r="O694" s="16" t="s">
        <v>20</v>
      </c>
      <c r="P694" s="16" t="s">
        <v>378</v>
      </c>
      <c r="Q694" s="131">
        <v>670471.5</v>
      </c>
      <c r="R694" s="18">
        <v>1</v>
      </c>
      <c r="S694" s="18">
        <f>Main_Presentation[[#This Row],[Invoice Amt (FCY)]]*Main_Presentation[[#This Row],[Rate]]</f>
        <v>670471.5</v>
      </c>
      <c r="T694" s="15">
        <v>45643</v>
      </c>
      <c r="U694" s="26" t="str">
        <f>VLOOKUP(Main_Presentation[[#This Row],[LC Number]],Main_Issuance[],18,0)</f>
        <v>90 Days from Invoice Date</v>
      </c>
      <c r="V694" s="19" t="s">
        <v>870</v>
      </c>
      <c r="W694" s="18" t="s">
        <v>857</v>
      </c>
      <c r="X694" s="16"/>
      <c r="Y694" s="234" t="str">
        <f>TRIM(LEFT(Main_Presentation[[#This Row],[Payment Terms]],3))</f>
        <v>90</v>
      </c>
      <c r="Z694" s="16"/>
      <c r="AA694" s="316" cm="1">
        <f t="array" ref="AA694">Settlement(Main_Presentation[[#This Row],[Bank]],Main_Presentation[[#This Row],[ Invoice Amt (SAR)]],Main_Presentation[[#This Row],[Date Recd]],Main_Presentation[[#This Row],[Due Date]],Main_Presentation[[#This Row],[Days]])</f>
        <v>3253.35</v>
      </c>
      <c r="AB694" s="16"/>
    </row>
    <row r="695" spans="1:28" ht="15.75" hidden="1" x14ac:dyDescent="0.25">
      <c r="A695" s="14" t="s">
        <v>359</v>
      </c>
      <c r="B695" s="15">
        <v>45586</v>
      </c>
      <c r="C695" s="26">
        <v>1</v>
      </c>
      <c r="D695" s="55" t="str">
        <f>VLOOKUP(Main_Presentation[[#This Row],[LC Number]],Main_Issuance[],3,0)</f>
        <v>Hassan Taleb</v>
      </c>
      <c r="E695" s="16" t="s">
        <v>856</v>
      </c>
      <c r="F695" s="17" t="str">
        <f>VLOOKUP(Main_Presentation[[#This Row],[LC Number]],Main_Issuance[],5,0)</f>
        <v>SNB</v>
      </c>
      <c r="G695" s="17" t="str">
        <f>VLOOKUP(Main_Presentation[[#This Row],[LC Number]],Main_Issuance[],6,0)</f>
        <v>Opera House</v>
      </c>
      <c r="H695" s="17" t="str">
        <f>VLOOKUP(Main_Presentation[[#This Row],[LC Number]],Main_Issuance[],17,0)</f>
        <v>Credit</v>
      </c>
      <c r="I695" s="17" t="str">
        <f>VLOOKUP(Main_Presentation[[#This Row],[LC Number]],Main_Issuance[],7,0)</f>
        <v>GULF GRILLES CO</v>
      </c>
      <c r="J695" s="17" t="str">
        <f>VLOOKUP(Main_Presentation[[#This Row],[LC Number]],Main_Issuance[],8,0)</f>
        <v>FIRST FIX</v>
      </c>
      <c r="K695" s="17" t="str">
        <f>VLOOKUP(Main_Presentation[[#This Row],[LC Number]],Main_Issuance[],9,0)</f>
        <v>KSP</v>
      </c>
      <c r="L695" s="17">
        <f>VLOOKUP(Main_Presentation[[#This Row],[LC Number]],Main_Issuance[],10,0)</f>
        <v>1020055</v>
      </c>
      <c r="M695" s="17" t="str">
        <f>VLOOKUP(Main_Presentation[[#This Row],[LC Number]],Main_Issuance[],11,0)</f>
        <v>SAR</v>
      </c>
      <c r="N695" s="84">
        <f>VLOOKUP(Main_Presentation[[#This Row],[LC Number]],Main_Issuance[],12,0)</f>
        <v>507987.99</v>
      </c>
      <c r="O695" s="16" t="s">
        <v>20</v>
      </c>
      <c r="P695" s="16" t="s">
        <v>378</v>
      </c>
      <c r="Q695" s="131">
        <v>507987.99</v>
      </c>
      <c r="R695" s="18">
        <v>1</v>
      </c>
      <c r="S695" s="18">
        <f>Main_Presentation[[#This Row],[Invoice Amt (FCY)]]*Main_Presentation[[#This Row],[Rate]]</f>
        <v>507987.99</v>
      </c>
      <c r="T695" s="15">
        <v>45635</v>
      </c>
      <c r="U695" s="26" t="str">
        <f>VLOOKUP(Main_Presentation[[#This Row],[LC Number]],Main_Issuance[],18,0)</f>
        <v>90 Days from Invoice Date</v>
      </c>
      <c r="V695" s="19" t="s">
        <v>871</v>
      </c>
      <c r="W695" s="18" t="s">
        <v>857</v>
      </c>
      <c r="X695" s="16"/>
      <c r="Y695" s="234" t="str">
        <f>TRIM(LEFT(Main_Presentation[[#This Row],[Payment Terms]],3))</f>
        <v>90</v>
      </c>
      <c r="Z695" s="16"/>
      <c r="AA695" s="316" cm="1">
        <f t="array" ref="AA695">Settlement(Main_Presentation[[#This Row],[Bank]],Main_Presentation[[#This Row],[ Invoice Amt (SAR)]],Main_Presentation[[#This Row],[Date Recd]],Main_Presentation[[#This Row],[Due Date]],Main_Presentation[[#This Row],[Days]])</f>
        <v>2474.8000000000002</v>
      </c>
      <c r="AB695" s="16"/>
    </row>
    <row r="696" spans="1:28" ht="15.75" hidden="1" x14ac:dyDescent="0.25">
      <c r="A696" s="14" t="s">
        <v>390</v>
      </c>
      <c r="B696" s="15">
        <v>45586</v>
      </c>
      <c r="C696" s="26">
        <v>1</v>
      </c>
      <c r="D696" s="55" t="str">
        <f>VLOOKUP(Main_Presentation[[#This Row],[LC Number]],Main_Issuance[],3,0)</f>
        <v>Hassan Taleb</v>
      </c>
      <c r="E696" s="16" t="s">
        <v>858</v>
      </c>
      <c r="F696" s="17" t="str">
        <f>VLOOKUP(Main_Presentation[[#This Row],[LC Number]],Main_Issuance[],5,0)</f>
        <v>SNB</v>
      </c>
      <c r="G696" s="17" t="str">
        <f>VLOOKUP(Main_Presentation[[#This Row],[LC Number]],Main_Issuance[],6,0)</f>
        <v>Opera House</v>
      </c>
      <c r="H696" s="17" t="str">
        <f>VLOOKUP(Main_Presentation[[#This Row],[LC Number]],Main_Issuance[],17,0)</f>
        <v>Credit</v>
      </c>
      <c r="I696" s="17" t="str">
        <f>VLOOKUP(Main_Presentation[[#This Row],[LC Number]],Main_Issuance[],7,0)</f>
        <v>AL OTHMAN INDUSTRIAL MARKETING LTD.</v>
      </c>
      <c r="J696" s="17" t="str">
        <f>VLOOKUP(Main_Presentation[[#This Row],[LC Number]],Main_Issuance[],8,0)</f>
        <v>FIRST FIX</v>
      </c>
      <c r="K696" s="17" t="str">
        <f>VLOOKUP(Main_Presentation[[#This Row],[LC Number]],Main_Issuance[],9,0)</f>
        <v>KSP</v>
      </c>
      <c r="L696" s="17">
        <f>VLOOKUP(Main_Presentation[[#This Row],[LC Number]],Main_Issuance[],10,0)</f>
        <v>1020055</v>
      </c>
      <c r="M696" s="17" t="str">
        <f>VLOOKUP(Main_Presentation[[#This Row],[LC Number]],Main_Issuance[],11,0)</f>
        <v>SAR</v>
      </c>
      <c r="N696" s="84">
        <f>VLOOKUP(Main_Presentation[[#This Row],[LC Number]],Main_Issuance[],12,0)</f>
        <v>769558.85</v>
      </c>
      <c r="O696" s="16" t="s">
        <v>20</v>
      </c>
      <c r="P696" s="16" t="s">
        <v>378</v>
      </c>
      <c r="Q696" s="131">
        <v>769558.85</v>
      </c>
      <c r="R696" s="18">
        <v>1</v>
      </c>
      <c r="S696" s="18">
        <f>Main_Presentation[[#This Row],[Invoice Amt (FCY)]]*Main_Presentation[[#This Row],[Rate]]</f>
        <v>769558.85</v>
      </c>
      <c r="T696" s="15">
        <v>45650</v>
      </c>
      <c r="U696" s="26" t="str">
        <f>VLOOKUP(Main_Presentation[[#This Row],[LC Number]],Main_Issuance[],18,0)</f>
        <v>90 Days from Invoice Date</v>
      </c>
      <c r="V696" s="19" t="s">
        <v>96</v>
      </c>
      <c r="W696" s="229" t="s">
        <v>857</v>
      </c>
      <c r="X696" s="16"/>
      <c r="Y696" s="234" t="str">
        <f>TRIM(LEFT(Main_Presentation[[#This Row],[Payment Terms]],3))</f>
        <v>90</v>
      </c>
      <c r="Z696" s="16"/>
      <c r="AA696" s="316" cm="1">
        <f t="array" ref="AA696">Settlement(Main_Presentation[[#This Row],[Bank]],Main_Presentation[[#This Row],[ Invoice Amt (SAR)]],Main_Presentation[[#This Row],[Date Recd]],Main_Presentation[[#This Row],[Due Date]],Main_Presentation[[#This Row],[Days]])</f>
        <v>3727.15</v>
      </c>
      <c r="AB696" s="16"/>
    </row>
    <row r="697" spans="1:28" ht="15.75" hidden="1" x14ac:dyDescent="0.25">
      <c r="A697" s="14" t="s">
        <v>401</v>
      </c>
      <c r="B697" s="15">
        <v>45587</v>
      </c>
      <c r="C697" s="26">
        <v>1</v>
      </c>
      <c r="D697" s="55" t="str">
        <f>VLOOKUP(Main_Presentation[[#This Row],[LC Number]],Main_Issuance[],3,0)</f>
        <v>Hassan Taleb</v>
      </c>
      <c r="E697" s="16" t="s">
        <v>856</v>
      </c>
      <c r="F697" s="17" t="str">
        <f>VLOOKUP(Main_Presentation[[#This Row],[LC Number]],Main_Issuance[],5,0)</f>
        <v>SNB</v>
      </c>
      <c r="G697" s="17" t="str">
        <f>VLOOKUP(Main_Presentation[[#This Row],[LC Number]],Main_Issuance[],6,0)</f>
        <v>Opera House</v>
      </c>
      <c r="H697" s="17" t="str">
        <f>VLOOKUP(Main_Presentation[[#This Row],[LC Number]],Main_Issuance[],17,0)</f>
        <v>Credit</v>
      </c>
      <c r="I697" s="17" t="str">
        <f>VLOOKUP(Main_Presentation[[#This Row],[LC Number]],Main_Issuance[],7,0)</f>
        <v>NATIONAL MARKETING EST. CO. LTD</v>
      </c>
      <c r="J697" s="17" t="str">
        <f>VLOOKUP(Main_Presentation[[#This Row],[LC Number]],Main_Issuance[],8,0)</f>
        <v>FIRST FIX</v>
      </c>
      <c r="K697" s="17" t="str">
        <f>VLOOKUP(Main_Presentation[[#This Row],[LC Number]],Main_Issuance[],9,0)</f>
        <v>KSP</v>
      </c>
      <c r="L697" s="17">
        <f>VLOOKUP(Main_Presentation[[#This Row],[LC Number]],Main_Issuance[],10,0)</f>
        <v>1020055</v>
      </c>
      <c r="M697" s="17" t="str">
        <f>VLOOKUP(Main_Presentation[[#This Row],[LC Number]],Main_Issuance[],11,0)</f>
        <v>SAR</v>
      </c>
      <c r="N697" s="84">
        <f>VLOOKUP(Main_Presentation[[#This Row],[LC Number]],Main_Issuance[],12,0)</f>
        <v>405299.47</v>
      </c>
      <c r="O697" s="16" t="s">
        <v>20</v>
      </c>
      <c r="P697" s="16" t="s">
        <v>378</v>
      </c>
      <c r="Q697" s="131">
        <v>405299.47</v>
      </c>
      <c r="R697" s="18">
        <v>1</v>
      </c>
      <c r="S697" s="18">
        <f>Main_Presentation[[#This Row],[Invoice Amt (FCY)]]*Main_Presentation[[#This Row],[Rate]]</f>
        <v>405299.47</v>
      </c>
      <c r="T697" s="15">
        <v>45643</v>
      </c>
      <c r="U697" s="26" t="str">
        <f>VLOOKUP(Main_Presentation[[#This Row],[LC Number]],Main_Issuance[],18,0)</f>
        <v>90 Days from Invoice Date</v>
      </c>
      <c r="V697" s="19" t="s">
        <v>870</v>
      </c>
      <c r="W697" s="18" t="s">
        <v>857</v>
      </c>
      <c r="X697" s="16"/>
      <c r="Y697" s="234" t="str">
        <f>TRIM(LEFT(Main_Presentation[[#This Row],[Payment Terms]],3))</f>
        <v>90</v>
      </c>
      <c r="Z697" s="16"/>
      <c r="AA697" s="316" cm="1">
        <f t="array" ref="AA697">Settlement(Main_Presentation[[#This Row],[Bank]],Main_Presentation[[#This Row],[ Invoice Amt (SAR)]],Main_Presentation[[#This Row],[Date Recd]],Main_Presentation[[#This Row],[Due Date]],Main_Presentation[[#This Row],[Days]])</f>
        <v>1982.6</v>
      </c>
      <c r="AB697" s="16"/>
    </row>
    <row r="698" spans="1:28" ht="15.75" hidden="1" x14ac:dyDescent="0.25">
      <c r="A698" s="14" t="s">
        <v>384</v>
      </c>
      <c r="B698" s="15">
        <v>45586</v>
      </c>
      <c r="C698" s="26">
        <v>1</v>
      </c>
      <c r="D698" s="55" t="str">
        <f>VLOOKUP(Main_Presentation[[#This Row],[LC Number]],Main_Issuance[],3,0)</f>
        <v>Hassan Taleb</v>
      </c>
      <c r="E698" s="16" t="s">
        <v>858</v>
      </c>
      <c r="F698" s="17" t="str">
        <f>VLOOKUP(Main_Presentation[[#This Row],[LC Number]],Main_Issuance[],5,0)</f>
        <v>SNB</v>
      </c>
      <c r="G698" s="17" t="str">
        <f>VLOOKUP(Main_Presentation[[#This Row],[LC Number]],Main_Issuance[],6,0)</f>
        <v>Opera House</v>
      </c>
      <c r="H698" s="17" t="str">
        <f>VLOOKUP(Main_Presentation[[#This Row],[LC Number]],Main_Issuance[],17,0)</f>
        <v>Credit</v>
      </c>
      <c r="I698" s="17" t="str">
        <f>VLOOKUP(Main_Presentation[[#This Row],[LC Number]],Main_Issuance[],7,0)</f>
        <v>HUDA LIGHTING LLC CO</v>
      </c>
      <c r="J698" s="17" t="str">
        <f>VLOOKUP(Main_Presentation[[#This Row],[LC Number]],Main_Issuance[],8,0)</f>
        <v>FIRST FIX</v>
      </c>
      <c r="K698" s="17" t="str">
        <f>VLOOKUP(Main_Presentation[[#This Row],[LC Number]],Main_Issuance[],9,0)</f>
        <v>KSP</v>
      </c>
      <c r="L698" s="17">
        <f>VLOOKUP(Main_Presentation[[#This Row],[LC Number]],Main_Issuance[],10,0)</f>
        <v>1020055</v>
      </c>
      <c r="M698" s="17" t="str">
        <f>VLOOKUP(Main_Presentation[[#This Row],[LC Number]],Main_Issuance[],11,0)</f>
        <v>SAR</v>
      </c>
      <c r="N698" s="84">
        <f>VLOOKUP(Main_Presentation[[#This Row],[LC Number]],Main_Issuance[],12,0)</f>
        <v>1500000</v>
      </c>
      <c r="O698" s="16" t="s">
        <v>20</v>
      </c>
      <c r="P698" s="16" t="s">
        <v>378</v>
      </c>
      <c r="Q698" s="131">
        <v>1500000</v>
      </c>
      <c r="R698" s="18">
        <v>1</v>
      </c>
      <c r="S698" s="18">
        <f>Main_Presentation[[#This Row],[Invoice Amt (FCY)]]*Main_Presentation[[#This Row],[Rate]]</f>
        <v>1500000</v>
      </c>
      <c r="T698" s="15">
        <v>45643</v>
      </c>
      <c r="U698" s="26" t="str">
        <f>VLOOKUP(Main_Presentation[[#This Row],[LC Number]],Main_Issuance[],18,0)</f>
        <v>90 Days from Invoice Date</v>
      </c>
      <c r="V698" s="19" t="s">
        <v>870</v>
      </c>
      <c r="W698" s="18" t="s">
        <v>857</v>
      </c>
      <c r="X698" s="16"/>
      <c r="Y698" s="234" t="str">
        <f>TRIM(LEFT(Main_Presentation[[#This Row],[Payment Terms]],3))</f>
        <v>90</v>
      </c>
      <c r="Z698" s="16"/>
      <c r="AA698" s="316" cm="1">
        <f t="array" ref="AA698">Settlement(Main_Presentation[[#This Row],[Bank]],Main_Presentation[[#This Row],[ Invoice Amt (SAR)]],Main_Presentation[[#This Row],[Date Recd]],Main_Presentation[[#This Row],[Due Date]],Main_Presentation[[#This Row],[Days]])</f>
        <v>7227.75</v>
      </c>
      <c r="AB698" s="16"/>
    </row>
    <row r="699" spans="1:28" ht="15.75" hidden="1" x14ac:dyDescent="0.25">
      <c r="A699" s="14" t="s">
        <v>389</v>
      </c>
      <c r="B699" s="15">
        <v>45586</v>
      </c>
      <c r="C699" s="26">
        <v>1</v>
      </c>
      <c r="D699" s="55" t="str">
        <f>VLOOKUP(Main_Presentation[[#This Row],[LC Number]],Main_Issuance[],3,0)</f>
        <v>Hassan Taleb</v>
      </c>
      <c r="E699" s="16" t="s">
        <v>858</v>
      </c>
      <c r="F699" s="17" t="str">
        <f>VLOOKUP(Main_Presentation[[#This Row],[LC Number]],Main_Issuance[],5,0)</f>
        <v>SNB</v>
      </c>
      <c r="G699" s="17" t="str">
        <f>VLOOKUP(Main_Presentation[[#This Row],[LC Number]],Main_Issuance[],6,0)</f>
        <v>Opera House</v>
      </c>
      <c r="H699" s="17" t="str">
        <f>VLOOKUP(Main_Presentation[[#This Row],[LC Number]],Main_Issuance[],17,0)</f>
        <v>Credit</v>
      </c>
      <c r="I699" s="17" t="str">
        <f>VLOOKUP(Main_Presentation[[#This Row],[LC Number]],Main_Issuance[],7,0)</f>
        <v>AL MABANI AL UMUMIYYAH LTD</v>
      </c>
      <c r="J699" s="17" t="str">
        <f>VLOOKUP(Main_Presentation[[#This Row],[LC Number]],Main_Issuance[],8,0)</f>
        <v>FIRST FIX</v>
      </c>
      <c r="K699" s="17" t="str">
        <f>VLOOKUP(Main_Presentation[[#This Row],[LC Number]],Main_Issuance[],9,0)</f>
        <v>KSP</v>
      </c>
      <c r="L699" s="17">
        <f>VLOOKUP(Main_Presentation[[#This Row],[LC Number]],Main_Issuance[],10,0)</f>
        <v>1020055</v>
      </c>
      <c r="M699" s="17" t="str">
        <f>VLOOKUP(Main_Presentation[[#This Row],[LC Number]],Main_Issuance[],11,0)</f>
        <v>SAR</v>
      </c>
      <c r="N699" s="84">
        <f>VLOOKUP(Main_Presentation[[#This Row],[LC Number]],Main_Issuance[],12,0)</f>
        <v>1050000</v>
      </c>
      <c r="O699" s="16" t="s">
        <v>20</v>
      </c>
      <c r="P699" s="16" t="s">
        <v>378</v>
      </c>
      <c r="Q699" s="131">
        <v>1050000</v>
      </c>
      <c r="R699" s="18">
        <v>1</v>
      </c>
      <c r="S699" s="18">
        <f>Main_Presentation[[#This Row],[Invoice Amt (FCY)]]*Main_Presentation[[#This Row],[Rate]]</f>
        <v>1050000</v>
      </c>
      <c r="T699" s="15">
        <v>45642</v>
      </c>
      <c r="U699" s="26" t="str">
        <f>VLOOKUP(Main_Presentation[[#This Row],[LC Number]],Main_Issuance[],18,0)</f>
        <v>90 Days from Invoice Date</v>
      </c>
      <c r="V699" s="19" t="s">
        <v>870</v>
      </c>
      <c r="W699" s="18" t="s">
        <v>857</v>
      </c>
      <c r="X699" s="16"/>
      <c r="Y699" s="234" t="str">
        <f>TRIM(LEFT(Main_Presentation[[#This Row],[Payment Terms]],3))</f>
        <v>90</v>
      </c>
      <c r="Z699" s="16"/>
      <c r="AA699" s="316" cm="1">
        <f t="array" ref="AA699">Settlement(Main_Presentation[[#This Row],[Bank]],Main_Presentation[[#This Row],[ Invoice Amt (SAR)]],Main_Presentation[[#This Row],[Date Recd]],Main_Presentation[[#This Row],[Due Date]],Main_Presentation[[#This Row],[Days]])</f>
        <v>5071.5</v>
      </c>
      <c r="AB699" s="16"/>
    </row>
    <row r="700" spans="1:28" ht="15.75" hidden="1" x14ac:dyDescent="0.25">
      <c r="A700" s="14" t="s">
        <v>352</v>
      </c>
      <c r="B700" s="15">
        <v>45586</v>
      </c>
      <c r="C700" s="26">
        <v>1</v>
      </c>
      <c r="D700" s="55" t="str">
        <f>VLOOKUP(Main_Presentation[[#This Row],[LC Number]],Main_Issuance[],3,0)</f>
        <v>Hassan Taleb</v>
      </c>
      <c r="E700" s="16" t="s">
        <v>858</v>
      </c>
      <c r="F700" s="17" t="str">
        <f>VLOOKUP(Main_Presentation[[#This Row],[LC Number]],Main_Issuance[],5,0)</f>
        <v>SNB</v>
      </c>
      <c r="G700" s="17" t="str">
        <f>VLOOKUP(Main_Presentation[[#This Row],[LC Number]],Main_Issuance[],6,0)</f>
        <v>Opera House</v>
      </c>
      <c r="H700" s="17" t="str">
        <f>VLOOKUP(Main_Presentation[[#This Row],[LC Number]],Main_Issuance[],17,0)</f>
        <v>Credit</v>
      </c>
      <c r="I700" s="17" t="str">
        <f>VLOOKUP(Main_Presentation[[#This Row],[LC Number]],Main_Issuance[],7,0)</f>
        <v>AL MAYMANAH FOR CONTRACTING CO. LTD</v>
      </c>
      <c r="J700" s="17" t="str">
        <f>VLOOKUP(Main_Presentation[[#This Row],[LC Number]],Main_Issuance[],8,0)</f>
        <v>FIRST FIX</v>
      </c>
      <c r="K700" s="17" t="str">
        <f>VLOOKUP(Main_Presentation[[#This Row],[LC Number]],Main_Issuance[],9,0)</f>
        <v>KSP</v>
      </c>
      <c r="L700" s="17">
        <f>VLOOKUP(Main_Presentation[[#This Row],[LC Number]],Main_Issuance[],10,0)</f>
        <v>1020055</v>
      </c>
      <c r="M700" s="17" t="str">
        <f>VLOOKUP(Main_Presentation[[#This Row],[LC Number]],Main_Issuance[],11,0)</f>
        <v>SAR</v>
      </c>
      <c r="N700" s="84">
        <f>VLOOKUP(Main_Presentation[[#This Row],[LC Number]],Main_Issuance[],12,0)</f>
        <v>375576.84</v>
      </c>
      <c r="O700" s="16" t="s">
        <v>20</v>
      </c>
      <c r="P700" s="16" t="s">
        <v>378</v>
      </c>
      <c r="Q700" s="131">
        <v>375576.84</v>
      </c>
      <c r="R700" s="18">
        <v>1</v>
      </c>
      <c r="S700" s="18">
        <f>Main_Presentation[[#This Row],[Invoice Amt (FCY)]]*Main_Presentation[[#This Row],[Rate]]</f>
        <v>375576.84</v>
      </c>
      <c r="T700" s="15">
        <v>45627</v>
      </c>
      <c r="U700" s="26" t="str">
        <f>VLOOKUP(Main_Presentation[[#This Row],[LC Number]],Main_Issuance[],18,0)</f>
        <v>90 Days from Invoice Date</v>
      </c>
      <c r="V700" s="19" t="s">
        <v>22</v>
      </c>
      <c r="W700" s="18" t="s">
        <v>857</v>
      </c>
      <c r="X700" s="16"/>
      <c r="Y700" s="234" t="str">
        <f>TRIM(LEFT(Main_Presentation[[#This Row],[Payment Terms]],3))</f>
        <v>90</v>
      </c>
      <c r="Z700" s="16"/>
      <c r="AA700" s="316" cm="1">
        <f t="array" ref="AA700">Settlement(Main_Presentation[[#This Row],[Bank]],Main_Presentation[[#This Row],[ Invoice Amt (SAR)]],Main_Presentation[[#This Row],[Date Recd]],Main_Presentation[[#This Row],[Due Date]],Main_Presentation[[#This Row],[Days]])</f>
        <v>939.55</v>
      </c>
      <c r="AB700" s="16"/>
    </row>
    <row r="701" spans="1:28" ht="15.75" hidden="1" x14ac:dyDescent="0.25">
      <c r="A701" s="14" t="s">
        <v>342</v>
      </c>
      <c r="B701" s="15">
        <v>45596</v>
      </c>
      <c r="C701" s="26">
        <v>1</v>
      </c>
      <c r="D701" s="55" t="str">
        <f>VLOOKUP(Main_Presentation[[#This Row],[LC Number]],Main_Issuance[],3,0)</f>
        <v>Hassan Taleb</v>
      </c>
      <c r="E701" s="16" t="s">
        <v>856</v>
      </c>
      <c r="F701" s="17" t="str">
        <f>VLOOKUP(Main_Presentation[[#This Row],[LC Number]],Main_Issuance[],5,0)</f>
        <v>SNB</v>
      </c>
      <c r="G701" s="17" t="str">
        <f>VLOOKUP(Main_Presentation[[#This Row],[LC Number]],Main_Issuance[],6,0)</f>
        <v>Opera House</v>
      </c>
      <c r="H701" s="17" t="str">
        <f>VLOOKUP(Main_Presentation[[#This Row],[LC Number]],Main_Issuance[],17,0)</f>
        <v>Credit</v>
      </c>
      <c r="I701" s="17" t="str">
        <f>VLOOKUP(Main_Presentation[[#This Row],[LC Number]],Main_Issuance[],7,0)</f>
        <v>ALFANAR ELECTRICAL SYSTEMS</v>
      </c>
      <c r="J701" s="17" t="str">
        <f>VLOOKUP(Main_Presentation[[#This Row],[LC Number]],Main_Issuance[],8,0)</f>
        <v>FIRST FIX</v>
      </c>
      <c r="K701" s="17" t="str">
        <f>VLOOKUP(Main_Presentation[[#This Row],[LC Number]],Main_Issuance[],9,0)</f>
        <v>KSP</v>
      </c>
      <c r="L701" s="17">
        <f>VLOOKUP(Main_Presentation[[#This Row],[LC Number]],Main_Issuance[],10,0)</f>
        <v>1020055</v>
      </c>
      <c r="M701" s="17" t="str">
        <f>VLOOKUP(Main_Presentation[[#This Row],[LC Number]],Main_Issuance[],11,0)</f>
        <v>SAR</v>
      </c>
      <c r="N701" s="84">
        <f>VLOOKUP(Main_Presentation[[#This Row],[LC Number]],Main_Issuance[],12,0)</f>
        <v>1795147.53</v>
      </c>
      <c r="O701" s="16" t="s">
        <v>20</v>
      </c>
      <c r="P701" s="16" t="s">
        <v>378</v>
      </c>
      <c r="Q701" s="131">
        <v>1795147.53</v>
      </c>
      <c r="R701" s="18">
        <v>1</v>
      </c>
      <c r="S701" s="18">
        <f>Main_Presentation[[#This Row],[Invoice Amt (FCY)]]*Main_Presentation[[#This Row],[Rate]]</f>
        <v>1795147.53</v>
      </c>
      <c r="T701" s="15">
        <v>45650</v>
      </c>
      <c r="U701" s="26" t="str">
        <f>VLOOKUP(Main_Presentation[[#This Row],[LC Number]],Main_Issuance[],18,0)</f>
        <v>90 Days from Invoice Date</v>
      </c>
      <c r="V701" s="19" t="s">
        <v>96</v>
      </c>
      <c r="W701" s="229" t="s">
        <v>857</v>
      </c>
      <c r="X701" s="16"/>
      <c r="Y701" s="234" t="str">
        <f>TRIM(LEFT(Main_Presentation[[#This Row],[Payment Terms]],3))</f>
        <v>90</v>
      </c>
      <c r="Z701" s="16"/>
      <c r="AA701" s="316" cm="1">
        <f t="array" ref="AA701">Settlement(Main_Presentation[[#This Row],[Bank]],Main_Presentation[[#This Row],[ Invoice Amt (SAR)]],Main_Presentation[[#This Row],[Date Recd]],Main_Presentation[[#This Row],[Due Date]],Main_Presentation[[#This Row],[Days]])</f>
        <v>8642.25</v>
      </c>
      <c r="AB701" s="16"/>
    </row>
    <row r="702" spans="1:28" ht="15.75" hidden="1" x14ac:dyDescent="0.25">
      <c r="A702" s="14" t="s">
        <v>339</v>
      </c>
      <c r="B702" s="15">
        <v>45599</v>
      </c>
      <c r="C702" s="26">
        <v>1</v>
      </c>
      <c r="D702" s="55" t="str">
        <f>VLOOKUP(Main_Presentation[[#This Row],[LC Number]],Main_Issuance[],3,0)</f>
        <v>Hassan Taleb</v>
      </c>
      <c r="E702" s="16" t="s">
        <v>858</v>
      </c>
      <c r="F702" s="17" t="str">
        <f>VLOOKUP(Main_Presentation[[#This Row],[LC Number]],Main_Issuance[],5,0)</f>
        <v>SNB</v>
      </c>
      <c r="G702" s="17" t="str">
        <f>VLOOKUP(Main_Presentation[[#This Row],[LC Number]],Main_Issuance[],6,0)</f>
        <v>Opera House</v>
      </c>
      <c r="H702" s="17" t="str">
        <f>VLOOKUP(Main_Presentation[[#This Row],[LC Number]],Main_Issuance[],17,0)</f>
        <v>Credit</v>
      </c>
      <c r="I702" s="17" t="str">
        <f>VLOOKUP(Main_Presentation[[#This Row],[LC Number]],Main_Issuance[],7,0)</f>
        <v>JOHNSON CONTROLS ARABIA LIMITED</v>
      </c>
      <c r="J702" s="17" t="str">
        <f>VLOOKUP(Main_Presentation[[#This Row],[LC Number]],Main_Issuance[],8,0)</f>
        <v>FIRST FIX</v>
      </c>
      <c r="K702" s="17" t="str">
        <f>VLOOKUP(Main_Presentation[[#This Row],[LC Number]],Main_Issuance[],9,0)</f>
        <v>KSP</v>
      </c>
      <c r="L702" s="17">
        <f>VLOOKUP(Main_Presentation[[#This Row],[LC Number]],Main_Issuance[],10,0)</f>
        <v>1020055</v>
      </c>
      <c r="M702" s="17" t="str">
        <f>VLOOKUP(Main_Presentation[[#This Row],[LC Number]],Main_Issuance[],11,0)</f>
        <v>SAR</v>
      </c>
      <c r="N702" s="84">
        <f>VLOOKUP(Main_Presentation[[#This Row],[LC Number]],Main_Issuance[],12,0)</f>
        <v>1749851.86</v>
      </c>
      <c r="O702" s="16" t="s">
        <v>20</v>
      </c>
      <c r="P702" s="16" t="s">
        <v>378</v>
      </c>
      <c r="Q702" s="131">
        <v>1749851.86</v>
      </c>
      <c r="R702" s="18">
        <v>1</v>
      </c>
      <c r="S702" s="18">
        <f>Main_Presentation[[#This Row],[Invoice Amt (FCY)]]*Main_Presentation[[#This Row],[Rate]]</f>
        <v>1749851.86</v>
      </c>
      <c r="T702" s="15">
        <v>45620</v>
      </c>
      <c r="U702" s="26" t="str">
        <f>VLOOKUP(Main_Presentation[[#This Row],[LC Number]],Main_Issuance[],18,0)</f>
        <v>90 Days from Invoice Date</v>
      </c>
      <c r="V702" s="19" t="s">
        <v>90</v>
      </c>
      <c r="W702" s="18" t="s">
        <v>857</v>
      </c>
      <c r="X702" s="16"/>
      <c r="Y702" s="234" t="str">
        <f>TRIM(LEFT(Main_Presentation[[#This Row],[Payment Terms]],3))</f>
        <v>90</v>
      </c>
      <c r="Z702" s="16"/>
      <c r="AA702" s="316" cm="1">
        <f t="array" ref="AA702">Settlement(Main_Presentation[[#This Row],[Bank]],Main_Presentation[[#This Row],[ Invoice Amt (SAR)]],Main_Presentation[[#This Row],[Date Recd]],Main_Presentation[[#This Row],[Due Date]],Main_Presentation[[#This Row],[Days]])</f>
        <v>4233.1499999999996</v>
      </c>
      <c r="AB702" s="16"/>
    </row>
    <row r="703" spans="1:28" ht="15.75" hidden="1" x14ac:dyDescent="0.25">
      <c r="A703" s="14" t="s">
        <v>403</v>
      </c>
      <c r="B703" s="15">
        <v>45600</v>
      </c>
      <c r="C703" s="26">
        <v>1</v>
      </c>
      <c r="D703" s="55" t="str">
        <f>VLOOKUP(Main_Presentation[[#This Row],[LC Number]],Main_Issuance[],3,0)</f>
        <v>Hassan Taleb</v>
      </c>
      <c r="E703" s="16" t="s">
        <v>856</v>
      </c>
      <c r="F703" s="17" t="str">
        <f>VLOOKUP(Main_Presentation[[#This Row],[LC Number]],Main_Issuance[],5,0)</f>
        <v>SNB</v>
      </c>
      <c r="G703" s="17" t="str">
        <f>VLOOKUP(Main_Presentation[[#This Row],[LC Number]],Main_Issuance[],6,0)</f>
        <v>Opera House</v>
      </c>
      <c r="H703" s="17" t="str">
        <f>VLOOKUP(Main_Presentation[[#This Row],[LC Number]],Main_Issuance[],17,0)</f>
        <v>Credit</v>
      </c>
      <c r="I703" s="17" t="str">
        <f>VLOOKUP(Main_Presentation[[#This Row],[LC Number]],Main_Issuance[],7,0)</f>
        <v>BANAN THIBA TRADING EST</v>
      </c>
      <c r="J703" s="17" t="str">
        <f>VLOOKUP(Main_Presentation[[#This Row],[LC Number]],Main_Issuance[],8,0)</f>
        <v>FIRST FIX</v>
      </c>
      <c r="K703" s="17" t="str">
        <f>VLOOKUP(Main_Presentation[[#This Row],[LC Number]],Main_Issuance[],9,0)</f>
        <v>KSP</v>
      </c>
      <c r="L703" s="17">
        <f>VLOOKUP(Main_Presentation[[#This Row],[LC Number]],Main_Issuance[],10,0)</f>
        <v>1020055</v>
      </c>
      <c r="M703" s="17" t="str">
        <f>VLOOKUP(Main_Presentation[[#This Row],[LC Number]],Main_Issuance[],11,0)</f>
        <v>SAR</v>
      </c>
      <c r="N703" s="84">
        <f>VLOOKUP(Main_Presentation[[#This Row],[LC Number]],Main_Issuance[],12,0)</f>
        <v>500000</v>
      </c>
      <c r="O703" s="16" t="s">
        <v>20</v>
      </c>
      <c r="P703" s="16" t="s">
        <v>378</v>
      </c>
      <c r="Q703" s="131">
        <v>500000</v>
      </c>
      <c r="R703" s="18">
        <v>1</v>
      </c>
      <c r="S703" s="18">
        <f>Main_Presentation[[#This Row],[Invoice Amt (FCY)]]*Main_Presentation[[#This Row],[Rate]]</f>
        <v>500000</v>
      </c>
      <c r="T703" s="15">
        <v>45642</v>
      </c>
      <c r="U703" s="26" t="str">
        <f>VLOOKUP(Main_Presentation[[#This Row],[LC Number]],Main_Issuance[],18,0)</f>
        <v>90 Days from Invoice Date</v>
      </c>
      <c r="V703" s="19" t="s">
        <v>870</v>
      </c>
      <c r="W703" s="18" t="s">
        <v>857</v>
      </c>
      <c r="X703" s="16"/>
      <c r="Y703" s="234" t="str">
        <f>TRIM(LEFT(Main_Presentation[[#This Row],[Payment Terms]],3))</f>
        <v>90</v>
      </c>
      <c r="Z703" s="16"/>
      <c r="AA703" s="316" cm="1">
        <f t="array" ref="AA703">Settlement(Main_Presentation[[#This Row],[Bank]],Main_Presentation[[#This Row],[ Invoice Amt (SAR)]],Main_Presentation[[#This Row],[Date Recd]],Main_Presentation[[#This Row],[Due Date]],Main_Presentation[[#This Row],[Days]])</f>
        <v>1238.55</v>
      </c>
      <c r="AB703" s="16"/>
    </row>
    <row r="704" spans="1:28" ht="15.75" hidden="1" x14ac:dyDescent="0.25">
      <c r="A704" s="14" t="s">
        <v>330</v>
      </c>
      <c r="B704" s="15">
        <v>45606</v>
      </c>
      <c r="C704" s="26">
        <v>1</v>
      </c>
      <c r="D704" s="55" t="str">
        <f>VLOOKUP(Main_Presentation[[#This Row],[LC Number]],Main_Issuance[],3,0)</f>
        <v>Hassan Taleb</v>
      </c>
      <c r="E704" s="16" t="s">
        <v>858</v>
      </c>
      <c r="F704" s="17" t="str">
        <f>VLOOKUP(Main_Presentation[[#This Row],[LC Number]],Main_Issuance[],5,0)</f>
        <v>SNB</v>
      </c>
      <c r="G704" s="17" t="str">
        <f>VLOOKUP(Main_Presentation[[#This Row],[LC Number]],Main_Issuance[],6,0)</f>
        <v>Opera House</v>
      </c>
      <c r="H704" s="17" t="str">
        <f>VLOOKUP(Main_Presentation[[#This Row],[LC Number]],Main_Issuance[],17,0)</f>
        <v>Credit</v>
      </c>
      <c r="I704" s="17" t="str">
        <f>VLOOKUP(Main_Presentation[[#This Row],[LC Number]],Main_Issuance[],7,0)</f>
        <v>THKM ALAALMYT LLTAQT COMPANY</v>
      </c>
      <c r="J704" s="17" t="str">
        <f>VLOOKUP(Main_Presentation[[#This Row],[LC Number]],Main_Issuance[],8,0)</f>
        <v>FIRST FIX</v>
      </c>
      <c r="K704" s="17" t="str">
        <f>VLOOKUP(Main_Presentation[[#This Row],[LC Number]],Main_Issuance[],9,0)</f>
        <v>KSP</v>
      </c>
      <c r="L704" s="17">
        <f>VLOOKUP(Main_Presentation[[#This Row],[LC Number]],Main_Issuance[],10,0)</f>
        <v>1020055</v>
      </c>
      <c r="M704" s="17" t="str">
        <f>VLOOKUP(Main_Presentation[[#This Row],[LC Number]],Main_Issuance[],11,0)</f>
        <v>SAR</v>
      </c>
      <c r="N704" s="84">
        <f>VLOOKUP(Main_Presentation[[#This Row],[LC Number]],Main_Issuance[],12,0)</f>
        <v>500000</v>
      </c>
      <c r="O704" s="16" t="s">
        <v>20</v>
      </c>
      <c r="P704" s="16" t="s">
        <v>378</v>
      </c>
      <c r="Q704" s="131">
        <v>457318.2</v>
      </c>
      <c r="R704" s="18">
        <v>1</v>
      </c>
      <c r="S704" s="18">
        <f>Main_Presentation[[#This Row],[Invoice Amt (FCY)]]*Main_Presentation[[#This Row],[Rate]]</f>
        <v>457318.2</v>
      </c>
      <c r="T704" s="15">
        <v>45634</v>
      </c>
      <c r="U704" s="26" t="str">
        <f>VLOOKUP(Main_Presentation[[#This Row],[LC Number]],Main_Issuance[],18,0)</f>
        <v>90 Days from Invoice Date</v>
      </c>
      <c r="V704" s="19" t="s">
        <v>90</v>
      </c>
      <c r="W704" s="18" t="s">
        <v>857</v>
      </c>
      <c r="X704" s="16"/>
      <c r="Y704" s="234" t="str">
        <f>TRIM(LEFT(Main_Presentation[[#This Row],[Payment Terms]],3))</f>
        <v>90</v>
      </c>
      <c r="Z704" s="16"/>
      <c r="AA704" s="316" cm="1">
        <f t="array" ref="AA704">Settlement(Main_Presentation[[#This Row],[Bank]],Main_Presentation[[#This Row],[ Invoice Amt (SAR)]],Main_Presentation[[#This Row],[Date Recd]],Main_Presentation[[#This Row],[Due Date]],Main_Presentation[[#This Row],[Days]])</f>
        <v>1136.2</v>
      </c>
      <c r="AB704" s="16"/>
    </row>
    <row r="705" spans="1:28" ht="15.75" hidden="1" x14ac:dyDescent="0.25">
      <c r="A705" s="14" t="s">
        <v>396</v>
      </c>
      <c r="B705" s="15">
        <v>45606</v>
      </c>
      <c r="C705" s="26">
        <v>1</v>
      </c>
      <c r="D705" s="55" t="str">
        <f>VLOOKUP(Main_Presentation[[#This Row],[LC Number]],Main_Issuance[],3,0)</f>
        <v>Hassan Taleb</v>
      </c>
      <c r="E705" s="16" t="s">
        <v>856</v>
      </c>
      <c r="F705" s="17" t="str">
        <f>VLOOKUP(Main_Presentation[[#This Row],[LC Number]],Main_Issuance[],5,0)</f>
        <v>SNB</v>
      </c>
      <c r="G705" s="17" t="str">
        <f>VLOOKUP(Main_Presentation[[#This Row],[LC Number]],Main_Issuance[],6,0)</f>
        <v>Opera House</v>
      </c>
      <c r="H705" s="17" t="str">
        <f>VLOOKUP(Main_Presentation[[#This Row],[LC Number]],Main_Issuance[],17,0)</f>
        <v>Credit</v>
      </c>
      <c r="I705" s="17" t="str">
        <f>VLOOKUP(Main_Presentation[[#This Row],[LC Number]],Main_Issuance[],7,0)</f>
        <v>MARIAM TRADING COMPANY AND PARTNER</v>
      </c>
      <c r="J705" s="17" t="str">
        <f>VLOOKUP(Main_Presentation[[#This Row],[LC Number]],Main_Issuance[],8,0)</f>
        <v>FIRST FIX</v>
      </c>
      <c r="K705" s="17" t="str">
        <f>VLOOKUP(Main_Presentation[[#This Row],[LC Number]],Main_Issuance[],9,0)</f>
        <v>KSP</v>
      </c>
      <c r="L705" s="17">
        <f>VLOOKUP(Main_Presentation[[#This Row],[LC Number]],Main_Issuance[],10,0)</f>
        <v>1020055</v>
      </c>
      <c r="M705" s="17" t="str">
        <f>VLOOKUP(Main_Presentation[[#This Row],[LC Number]],Main_Issuance[],11,0)</f>
        <v>SAR</v>
      </c>
      <c r="N705" s="84">
        <f>VLOOKUP(Main_Presentation[[#This Row],[LC Number]],Main_Issuance[],12,0)</f>
        <v>897119.6</v>
      </c>
      <c r="O705" s="16" t="s">
        <v>20</v>
      </c>
      <c r="P705" s="16" t="s">
        <v>378</v>
      </c>
      <c r="Q705" s="131">
        <v>897119.6</v>
      </c>
      <c r="R705" s="18">
        <v>1</v>
      </c>
      <c r="S705" s="18">
        <f>Main_Presentation[[#This Row],[Invoice Amt (FCY)]]*Main_Presentation[[#This Row],[Rate]]</f>
        <v>897119.6</v>
      </c>
      <c r="T705" s="15">
        <v>45657</v>
      </c>
      <c r="U705" s="26" t="str">
        <f>VLOOKUP(Main_Presentation[[#This Row],[LC Number]],Main_Issuance[],18,0)</f>
        <v>90 Days from Invoice Date</v>
      </c>
      <c r="V705" s="19" t="s">
        <v>22</v>
      </c>
      <c r="W705" s="18" t="s">
        <v>857</v>
      </c>
      <c r="X705" s="16"/>
      <c r="Y705" s="234" t="str">
        <f>TRIM(LEFT(Main_Presentation[[#This Row],[Payment Terms]],3))</f>
        <v>90</v>
      </c>
      <c r="Z705" s="16"/>
      <c r="AA705" s="316" cm="1">
        <f t="array" ref="AA705">Settlement(Main_Presentation[[#This Row],[Bank]],Main_Presentation[[#This Row],[ Invoice Amt (SAR)]],Main_Presentation[[#This Row],[Date Recd]],Main_Presentation[[#This Row],[Due Date]],Main_Presentation[[#This Row],[Days]])</f>
        <v>4338.95</v>
      </c>
      <c r="AB705" s="16"/>
    </row>
    <row r="706" spans="1:28" ht="15.75" hidden="1" x14ac:dyDescent="0.25">
      <c r="A706" s="14" t="s">
        <v>348</v>
      </c>
      <c r="B706" s="15">
        <v>45601</v>
      </c>
      <c r="C706" s="26">
        <v>1</v>
      </c>
      <c r="D706" s="55" t="str">
        <f>VLOOKUP(Main_Presentation[[#This Row],[LC Number]],Main_Issuance[],3,0)</f>
        <v>Hassan Taleb</v>
      </c>
      <c r="E706" s="16" t="s">
        <v>858</v>
      </c>
      <c r="F706" s="17" t="str">
        <f>VLOOKUP(Main_Presentation[[#This Row],[LC Number]],Main_Issuance[],5,0)</f>
        <v>SNB</v>
      </c>
      <c r="G706" s="17" t="str">
        <f>VLOOKUP(Main_Presentation[[#This Row],[LC Number]],Main_Issuance[],6,0)</f>
        <v>Opera House</v>
      </c>
      <c r="H706" s="17" t="str">
        <f>VLOOKUP(Main_Presentation[[#This Row],[LC Number]],Main_Issuance[],17,0)</f>
        <v>Credit</v>
      </c>
      <c r="I706" s="17" t="str">
        <f>VLOOKUP(Main_Presentation[[#This Row],[LC Number]],Main_Issuance[],7,0)</f>
        <v>IDEAL CALIBER COMPANY</v>
      </c>
      <c r="J706" s="17" t="str">
        <f>VLOOKUP(Main_Presentation[[#This Row],[LC Number]],Main_Issuance[],8,0)</f>
        <v>FIRST FIX</v>
      </c>
      <c r="K706" s="17" t="str">
        <f>VLOOKUP(Main_Presentation[[#This Row],[LC Number]],Main_Issuance[],9,0)</f>
        <v>KSP</v>
      </c>
      <c r="L706" s="17">
        <f>VLOOKUP(Main_Presentation[[#This Row],[LC Number]],Main_Issuance[],10,0)</f>
        <v>1020055</v>
      </c>
      <c r="M706" s="17" t="str">
        <f>VLOOKUP(Main_Presentation[[#This Row],[LC Number]],Main_Issuance[],11,0)</f>
        <v>SAR</v>
      </c>
      <c r="N706" s="84">
        <f>VLOOKUP(Main_Presentation[[#This Row],[LC Number]],Main_Issuance[],12,0)</f>
        <v>593580.02</v>
      </c>
      <c r="O706" s="16" t="s">
        <v>20</v>
      </c>
      <c r="P706" s="16" t="s">
        <v>378</v>
      </c>
      <c r="Q706" s="131">
        <v>593580.02</v>
      </c>
      <c r="R706" s="18">
        <v>1</v>
      </c>
      <c r="S706" s="18">
        <f>Main_Presentation[[#This Row],[Invoice Amt (FCY)]]*Main_Presentation[[#This Row],[Rate]]</f>
        <v>593580.02</v>
      </c>
      <c r="T706" s="15">
        <v>45631</v>
      </c>
      <c r="U706" s="26" t="str">
        <f>VLOOKUP(Main_Presentation[[#This Row],[LC Number]],Main_Issuance[],18,0)</f>
        <v>90 Days from Invoice Date</v>
      </c>
      <c r="V706" s="19" t="s">
        <v>90</v>
      </c>
      <c r="W706" s="18" t="s">
        <v>857</v>
      </c>
      <c r="X706" s="16"/>
      <c r="Y706" s="234" t="str">
        <f>TRIM(LEFT(Main_Presentation[[#This Row],[Payment Terms]],3))</f>
        <v>90</v>
      </c>
      <c r="Z706" s="16"/>
      <c r="AA706" s="316" cm="1">
        <f t="array" ref="AA706">Settlement(Main_Presentation[[#This Row],[Bank]],Main_Presentation[[#This Row],[ Invoice Amt (SAR)]],Main_Presentation[[#This Row],[Date Recd]],Main_Presentation[[#This Row],[Due Date]],Main_Presentation[[#This Row],[Days]])</f>
        <v>1462.8</v>
      </c>
      <c r="AB706" s="16"/>
    </row>
    <row r="707" spans="1:28" ht="15.75" hidden="1" x14ac:dyDescent="0.25">
      <c r="A707" s="14" t="s">
        <v>356</v>
      </c>
      <c r="B707" s="15">
        <v>45608</v>
      </c>
      <c r="C707" s="26">
        <v>1</v>
      </c>
      <c r="D707" s="55" t="str">
        <f>VLOOKUP(Main_Presentation[[#This Row],[LC Number]],Main_Issuance[],3,0)</f>
        <v>Hassan Taleb</v>
      </c>
      <c r="E707" s="16" t="s">
        <v>858</v>
      </c>
      <c r="F707" s="17" t="str">
        <f>VLOOKUP(Main_Presentation[[#This Row],[LC Number]],Main_Issuance[],5,0)</f>
        <v>SNB</v>
      </c>
      <c r="G707" s="17" t="str">
        <f>VLOOKUP(Main_Presentation[[#This Row],[LC Number]],Main_Issuance[],6,0)</f>
        <v>Opera House</v>
      </c>
      <c r="H707" s="17" t="str">
        <f>VLOOKUP(Main_Presentation[[#This Row],[LC Number]],Main_Issuance[],17,0)</f>
        <v>Credit</v>
      </c>
      <c r="I707" s="17" t="str">
        <f>VLOOKUP(Main_Presentation[[#This Row],[LC Number]],Main_Issuance[],7,0)</f>
        <v>LIGHT TECHNOLOGIES COMPANY LTD</v>
      </c>
      <c r="J707" s="17" t="str">
        <f>VLOOKUP(Main_Presentation[[#This Row],[LC Number]],Main_Issuance[],8,0)</f>
        <v>FIRST FIX</v>
      </c>
      <c r="K707" s="17" t="str">
        <f>VLOOKUP(Main_Presentation[[#This Row],[LC Number]],Main_Issuance[],9,0)</f>
        <v>KSP</v>
      </c>
      <c r="L707" s="17">
        <f>VLOOKUP(Main_Presentation[[#This Row],[LC Number]],Main_Issuance[],10,0)</f>
        <v>1020055</v>
      </c>
      <c r="M707" s="17" t="str">
        <f>VLOOKUP(Main_Presentation[[#This Row],[LC Number]],Main_Issuance[],11,0)</f>
        <v>SAR</v>
      </c>
      <c r="N707" s="84">
        <f>VLOOKUP(Main_Presentation[[#This Row],[LC Number]],Main_Issuance[],12,0)</f>
        <v>3500000</v>
      </c>
      <c r="O707" s="16" t="s">
        <v>20</v>
      </c>
      <c r="P707" s="16" t="s">
        <v>378</v>
      </c>
      <c r="Q707" s="131">
        <v>3500000</v>
      </c>
      <c r="R707" s="18">
        <v>1</v>
      </c>
      <c r="S707" s="18">
        <f>Main_Presentation[[#This Row],[Invoice Amt (FCY)]]*Main_Presentation[[#This Row],[Rate]]</f>
        <v>3500000</v>
      </c>
      <c r="T707" s="15">
        <v>45623</v>
      </c>
      <c r="U707" s="26" t="str">
        <f>VLOOKUP(Main_Presentation[[#This Row],[LC Number]],Main_Issuance[],18,0)</f>
        <v>90 Days from Invoice Date</v>
      </c>
      <c r="V707" s="19" t="s">
        <v>90</v>
      </c>
      <c r="W707" s="18" t="s">
        <v>857</v>
      </c>
      <c r="X707" s="16"/>
      <c r="Y707" s="234" t="str">
        <f>TRIM(LEFT(Main_Presentation[[#This Row],[Payment Terms]],3))</f>
        <v>90</v>
      </c>
      <c r="Z707" s="16"/>
      <c r="AA707" s="316" cm="1">
        <f t="array" ref="AA707">Settlement(Main_Presentation[[#This Row],[Bank]],Main_Presentation[[#This Row],[ Invoice Amt (SAR)]],Main_Presentation[[#This Row],[Date Recd]],Main_Presentation[[#This Row],[Due Date]],Main_Presentation[[#This Row],[Days]])</f>
        <v>655.5</v>
      </c>
      <c r="AB707" s="16"/>
    </row>
    <row r="708" spans="1:28" ht="15.75" hidden="1" x14ac:dyDescent="0.25">
      <c r="A708" s="14" t="s">
        <v>336</v>
      </c>
      <c r="B708" s="15">
        <v>45609</v>
      </c>
      <c r="C708" s="26">
        <v>2</v>
      </c>
      <c r="D708" s="55" t="str">
        <f>VLOOKUP(Main_Presentation[[#This Row],[LC Number]],Main_Issuance[],3,0)</f>
        <v>Hassan Taleb</v>
      </c>
      <c r="E708" s="16" t="s">
        <v>858</v>
      </c>
      <c r="F708" s="17" t="str">
        <f>VLOOKUP(Main_Presentation[[#This Row],[LC Number]],Main_Issuance[],5,0)</f>
        <v>SNB</v>
      </c>
      <c r="G708" s="17" t="str">
        <f>VLOOKUP(Main_Presentation[[#This Row],[LC Number]],Main_Issuance[],6,0)</f>
        <v>Opera House</v>
      </c>
      <c r="H708" s="17" t="str">
        <f>VLOOKUP(Main_Presentation[[#This Row],[LC Number]],Main_Issuance[],17,0)</f>
        <v>Credit</v>
      </c>
      <c r="I708" s="17" t="str">
        <f>VLOOKUP(Main_Presentation[[#This Row],[LC Number]],Main_Issuance[],7,0)</f>
        <v>RIYADH CABLES GROUP COMPANY</v>
      </c>
      <c r="J708" s="17" t="str">
        <f>VLOOKUP(Main_Presentation[[#This Row],[LC Number]],Main_Issuance[],8,0)</f>
        <v>FIRST FIX</v>
      </c>
      <c r="K708" s="17" t="str">
        <f>VLOOKUP(Main_Presentation[[#This Row],[LC Number]],Main_Issuance[],9,0)</f>
        <v>KSP</v>
      </c>
      <c r="L708" s="17">
        <f>VLOOKUP(Main_Presentation[[#This Row],[LC Number]],Main_Issuance[],10,0)</f>
        <v>1020055</v>
      </c>
      <c r="M708" s="17" t="str">
        <f>VLOOKUP(Main_Presentation[[#This Row],[LC Number]],Main_Issuance[],11,0)</f>
        <v>SAR</v>
      </c>
      <c r="N708" s="84">
        <f>VLOOKUP(Main_Presentation[[#This Row],[LC Number]],Main_Issuance[],12,0)</f>
        <v>2588066.71</v>
      </c>
      <c r="O708" s="16" t="s">
        <v>20</v>
      </c>
      <c r="P708" s="16" t="s">
        <v>378</v>
      </c>
      <c r="Q708" s="131">
        <v>2144034.7000000002</v>
      </c>
      <c r="R708" s="18">
        <v>1</v>
      </c>
      <c r="S708" s="18">
        <f>Main_Presentation[[#This Row],[Invoice Amt (FCY)]]*Main_Presentation[[#This Row],[Rate]]</f>
        <v>2144034.7000000002</v>
      </c>
      <c r="T708" s="15">
        <v>45676</v>
      </c>
      <c r="U708" s="26" t="str">
        <f>VLOOKUP(Main_Presentation[[#This Row],[LC Number]],Main_Issuance[],18,0)</f>
        <v>90 Days from Invoice Date</v>
      </c>
      <c r="V708" s="19" t="s">
        <v>22</v>
      </c>
      <c r="W708" s="18" t="s">
        <v>857</v>
      </c>
      <c r="X708" s="16"/>
      <c r="Y708" s="234" t="str">
        <f>TRIM(LEFT(Main_Presentation[[#This Row],[Payment Terms]],3))</f>
        <v>90</v>
      </c>
      <c r="Z708" s="16"/>
      <c r="AA708" s="316" cm="1">
        <f t="array" ref="AA708">Settlement(Main_Presentation[[#This Row],[Bank]],Main_Presentation[[#This Row],[ Invoice Amt (SAR)]],Main_Presentation[[#This Row],[Date Recd]],Main_Presentation[[#This Row],[Due Date]],Main_Presentation[[#This Row],[Days]])</f>
        <v>10313.200000000001</v>
      </c>
      <c r="AB708" s="16"/>
    </row>
    <row r="709" spans="1:28" ht="15.75" hidden="1" x14ac:dyDescent="0.25">
      <c r="A709" s="14" t="s">
        <v>394</v>
      </c>
      <c r="B709" s="15">
        <v>45612</v>
      </c>
      <c r="C709" s="26">
        <v>1</v>
      </c>
      <c r="D709" s="55" t="str">
        <f>VLOOKUP(Main_Presentation[[#This Row],[LC Number]],Main_Issuance[],3,0)</f>
        <v>Hassan Taleb</v>
      </c>
      <c r="E709" s="16" t="s">
        <v>858</v>
      </c>
      <c r="F709" s="17" t="str">
        <f>VLOOKUP(Main_Presentation[[#This Row],[LC Number]],Main_Issuance[],5,0)</f>
        <v>SNB</v>
      </c>
      <c r="G709" s="17" t="str">
        <f>VLOOKUP(Main_Presentation[[#This Row],[LC Number]],Main_Issuance[],6,0)</f>
        <v>Opera House</v>
      </c>
      <c r="H709" s="17" t="str">
        <f>VLOOKUP(Main_Presentation[[#This Row],[LC Number]],Main_Issuance[],17,0)</f>
        <v>Credit</v>
      </c>
      <c r="I709" s="17" t="str">
        <f>VLOOKUP(Main_Presentation[[#This Row],[LC Number]],Main_Issuance[],7,0)</f>
        <v>EMAAR POLE COMPANY</v>
      </c>
      <c r="J709" s="17" t="str">
        <f>VLOOKUP(Main_Presentation[[#This Row],[LC Number]],Main_Issuance[],8,0)</f>
        <v>FIRST FIX</v>
      </c>
      <c r="K709" s="17" t="str">
        <f>VLOOKUP(Main_Presentation[[#This Row],[LC Number]],Main_Issuance[],9,0)</f>
        <v>KSP</v>
      </c>
      <c r="L709" s="17">
        <f>VLOOKUP(Main_Presentation[[#This Row],[LC Number]],Main_Issuance[],10,0)</f>
        <v>1020055</v>
      </c>
      <c r="M709" s="17" t="str">
        <f>VLOOKUP(Main_Presentation[[#This Row],[LC Number]],Main_Issuance[],11,0)</f>
        <v>SAR</v>
      </c>
      <c r="N709" s="84">
        <f>VLOOKUP(Main_Presentation[[#This Row],[LC Number]],Main_Issuance[],12,0)</f>
        <v>686893.71</v>
      </c>
      <c r="O709" s="16" t="s">
        <v>20</v>
      </c>
      <c r="P709" s="16" t="s">
        <v>378</v>
      </c>
      <c r="Q709" s="131">
        <v>686893.71</v>
      </c>
      <c r="R709" s="18">
        <v>1</v>
      </c>
      <c r="S709" s="18">
        <f>Main_Presentation[[#This Row],[Invoice Amt (FCY)]]*Main_Presentation[[#This Row],[Rate]]</f>
        <v>686893.71</v>
      </c>
      <c r="T709" s="15">
        <v>45643</v>
      </c>
      <c r="U709" s="26" t="str">
        <f>VLOOKUP(Main_Presentation[[#This Row],[LC Number]],Main_Issuance[],18,0)</f>
        <v>90 Days from Invoice Date</v>
      </c>
      <c r="V709" s="19" t="s">
        <v>870</v>
      </c>
      <c r="W709" s="18" t="s">
        <v>857</v>
      </c>
      <c r="X709" s="16"/>
      <c r="Y709" s="234" t="str">
        <f>TRIM(LEFT(Main_Presentation[[#This Row],[Payment Terms]],3))</f>
        <v>90</v>
      </c>
      <c r="Z709" s="16"/>
      <c r="AA709" s="316" cm="1">
        <f t="array" ref="AA709">Settlement(Main_Presentation[[#This Row],[Bank]],Main_Presentation[[#This Row],[ Invoice Amt (SAR)]],Main_Presentation[[#This Row],[Date Recd]],Main_Presentation[[#This Row],[Due Date]],Main_Presentation[[#This Row],[Days]])</f>
        <v>1685.9</v>
      </c>
      <c r="AB709" s="16"/>
    </row>
    <row r="710" spans="1:28" ht="15.75" hidden="1" x14ac:dyDescent="0.25">
      <c r="A710" s="14" t="s">
        <v>436</v>
      </c>
      <c r="B710" s="15">
        <v>45614</v>
      </c>
      <c r="C710" s="26">
        <v>1</v>
      </c>
      <c r="D710" s="55" t="str">
        <f>VLOOKUP(Main_Presentation[[#This Row],[LC Number]],Main_Issuance[],3,0)</f>
        <v>Hassan Taleb</v>
      </c>
      <c r="E710" s="16" t="s">
        <v>856</v>
      </c>
      <c r="F710" s="17" t="str">
        <f>VLOOKUP(Main_Presentation[[#This Row],[LC Number]],Main_Issuance[],5,0)</f>
        <v>SNB</v>
      </c>
      <c r="G710" s="17" t="str">
        <f>VLOOKUP(Main_Presentation[[#This Row],[LC Number]],Main_Issuance[],6,0)</f>
        <v>Opera House</v>
      </c>
      <c r="H710" s="17" t="str">
        <f>VLOOKUP(Main_Presentation[[#This Row],[LC Number]],Main_Issuance[],17,0)</f>
        <v>Credit</v>
      </c>
      <c r="I710" s="17" t="str">
        <f>VLOOKUP(Main_Presentation[[#This Row],[LC Number]],Main_Issuance[],7,0)</f>
        <v>DEPTH MODERN TECHNOLOGIES.</v>
      </c>
      <c r="J710" s="17" t="str">
        <f>VLOOKUP(Main_Presentation[[#This Row],[LC Number]],Main_Issuance[],8,0)</f>
        <v>FIRST FIX</v>
      </c>
      <c r="K710" s="17" t="str">
        <f>VLOOKUP(Main_Presentation[[#This Row],[LC Number]],Main_Issuance[],9,0)</f>
        <v>KSP</v>
      </c>
      <c r="L710" s="17">
        <f>VLOOKUP(Main_Presentation[[#This Row],[LC Number]],Main_Issuance[],10,0)</f>
        <v>1020055</v>
      </c>
      <c r="M710" s="17" t="str">
        <f>VLOOKUP(Main_Presentation[[#This Row],[LC Number]],Main_Issuance[],11,0)</f>
        <v>SAR</v>
      </c>
      <c r="N710" s="84">
        <f>VLOOKUP(Main_Presentation[[#This Row],[LC Number]],Main_Issuance[],12,0)</f>
        <v>1000000</v>
      </c>
      <c r="O710" s="16" t="s">
        <v>20</v>
      </c>
      <c r="P710" s="16" t="s">
        <v>378</v>
      </c>
      <c r="Q710" s="131">
        <v>1000000</v>
      </c>
      <c r="R710" s="18">
        <v>1</v>
      </c>
      <c r="S710" s="18">
        <f>Main_Presentation[[#This Row],[Invoice Amt (FCY)]]*Main_Presentation[[#This Row],[Rate]]</f>
        <v>1000000</v>
      </c>
      <c r="T710" s="15">
        <v>45679</v>
      </c>
      <c r="U710" s="26" t="str">
        <f>VLOOKUP(Main_Presentation[[#This Row],[LC Number]],Main_Issuance[],18,0)</f>
        <v>90 Days from Invoice Date</v>
      </c>
      <c r="V710" s="19" t="s">
        <v>22</v>
      </c>
      <c r="W710" s="22" t="s">
        <v>857</v>
      </c>
      <c r="X710" s="16"/>
      <c r="Y710" s="234" t="str">
        <f>TRIM(LEFT(Main_Presentation[[#This Row],[Payment Terms]],3))</f>
        <v>90</v>
      </c>
      <c r="Z710" s="16"/>
      <c r="AA710" s="316" cm="1">
        <f t="array" ref="AA710">Settlement(Main_Presentation[[#This Row],[Bank]],Main_Presentation[[#This Row],[ Invoice Amt (SAR)]],Main_Presentation[[#This Row],[Date Recd]],Main_Presentation[[#This Row],[Due Date]],Main_Presentation[[#This Row],[Days]])</f>
        <v>4832.3</v>
      </c>
      <c r="AB710" s="16"/>
    </row>
    <row r="711" spans="1:28" ht="15.75" hidden="1" x14ac:dyDescent="0.25">
      <c r="A711" s="14" t="s">
        <v>382</v>
      </c>
      <c r="B711" s="15">
        <v>45614</v>
      </c>
      <c r="C711" s="26">
        <v>1</v>
      </c>
      <c r="D711" s="55" t="str">
        <f>VLOOKUP(Main_Presentation[[#This Row],[LC Number]],Main_Issuance[],3,0)</f>
        <v>Hassan Taleb</v>
      </c>
      <c r="E711" s="16" t="s">
        <v>856</v>
      </c>
      <c r="F711" s="17" t="str">
        <f>VLOOKUP(Main_Presentation[[#This Row],[LC Number]],Main_Issuance[],5,0)</f>
        <v>SNB</v>
      </c>
      <c r="G711" s="17" t="str">
        <f>VLOOKUP(Main_Presentation[[#This Row],[LC Number]],Main_Issuance[],6,0)</f>
        <v>Opera House</v>
      </c>
      <c r="H711" s="17" t="str">
        <f>VLOOKUP(Main_Presentation[[#This Row],[LC Number]],Main_Issuance[],17,0)</f>
        <v>Credit</v>
      </c>
      <c r="I711" s="17" t="str">
        <f>VLOOKUP(Main_Presentation[[#This Row],[LC Number]],Main_Issuance[],7,0)</f>
        <v>RIYADH CABLES GROUP COMPANY</v>
      </c>
      <c r="J711" s="17" t="str">
        <f>VLOOKUP(Main_Presentation[[#This Row],[LC Number]],Main_Issuance[],8,0)</f>
        <v>FIRST FIX</v>
      </c>
      <c r="K711" s="17" t="str">
        <f>VLOOKUP(Main_Presentation[[#This Row],[LC Number]],Main_Issuance[],9,0)</f>
        <v>KSP</v>
      </c>
      <c r="L711" s="17">
        <f>VLOOKUP(Main_Presentation[[#This Row],[LC Number]],Main_Issuance[],10,0)</f>
        <v>1020055</v>
      </c>
      <c r="M711" s="17" t="str">
        <f>VLOOKUP(Main_Presentation[[#This Row],[LC Number]],Main_Issuance[],11,0)</f>
        <v>SAR</v>
      </c>
      <c r="N711" s="84">
        <f>VLOOKUP(Main_Presentation[[#This Row],[LC Number]],Main_Issuance[],12,0)</f>
        <v>2019034.07</v>
      </c>
      <c r="O711" s="16" t="s">
        <v>20</v>
      </c>
      <c r="P711" s="16" t="s">
        <v>378</v>
      </c>
      <c r="Q711" s="131">
        <v>2009087.66</v>
      </c>
      <c r="R711" s="18">
        <v>1</v>
      </c>
      <c r="S711" s="18">
        <f>Main_Presentation[[#This Row],[Invoice Amt (FCY)]]*Main_Presentation[[#This Row],[Rate]]</f>
        <v>2009087.66</v>
      </c>
      <c r="T711" s="15">
        <v>45676</v>
      </c>
      <c r="U711" s="26" t="str">
        <f>VLOOKUP(Main_Presentation[[#This Row],[LC Number]],Main_Issuance[],18,0)</f>
        <v>90 Days from Invoice Date</v>
      </c>
      <c r="V711" s="19" t="s">
        <v>22</v>
      </c>
      <c r="W711" s="18" t="s">
        <v>857</v>
      </c>
      <c r="X711" s="16"/>
      <c r="Y711" s="234" t="str">
        <f>TRIM(LEFT(Main_Presentation[[#This Row],[Payment Terms]],3))</f>
        <v>90</v>
      </c>
      <c r="Z711" s="16"/>
      <c r="AA711" s="316" cm="1">
        <f t="array" ref="AA711">Settlement(Main_Presentation[[#This Row],[Bank]],Main_Presentation[[#This Row],[ Invoice Amt (SAR)]],Main_Presentation[[#This Row],[Date Recd]],Main_Presentation[[#This Row],[Due Date]],Main_Presentation[[#This Row],[Days]])</f>
        <v>9666.9</v>
      </c>
      <c r="AB711" s="16"/>
    </row>
    <row r="712" spans="1:28" ht="15.75" hidden="1" x14ac:dyDescent="0.25">
      <c r="A712" s="14" t="s">
        <v>380</v>
      </c>
      <c r="B712" s="15">
        <v>45606</v>
      </c>
      <c r="C712" s="26">
        <v>1</v>
      </c>
      <c r="D712" s="55" t="str">
        <f>VLOOKUP(Main_Presentation[[#This Row],[LC Number]],Main_Issuance[],3,0)</f>
        <v>Hassan Taleb</v>
      </c>
      <c r="E712" s="16" t="s">
        <v>856</v>
      </c>
      <c r="F712" s="17" t="str">
        <f>VLOOKUP(Main_Presentation[[#This Row],[LC Number]],Main_Issuance[],5,0)</f>
        <v>SNB</v>
      </c>
      <c r="G712" s="17" t="str">
        <f>VLOOKUP(Main_Presentation[[#This Row],[LC Number]],Main_Issuance[],6,0)</f>
        <v>Opera House</v>
      </c>
      <c r="H712" s="17" t="str">
        <f>VLOOKUP(Main_Presentation[[#This Row],[LC Number]],Main_Issuance[],17,0)</f>
        <v>Credit</v>
      </c>
      <c r="I712" s="17" t="str">
        <f>VLOOKUP(Main_Presentation[[#This Row],[LC Number]],Main_Issuance[],7,0)</f>
        <v>AL-HADBANIA TRADING CO</v>
      </c>
      <c r="J712" s="17" t="str">
        <f>VLOOKUP(Main_Presentation[[#This Row],[LC Number]],Main_Issuance[],8,0)</f>
        <v>FIRST FIX</v>
      </c>
      <c r="K712" s="17" t="str">
        <f>VLOOKUP(Main_Presentation[[#This Row],[LC Number]],Main_Issuance[],9,0)</f>
        <v>KSP</v>
      </c>
      <c r="L712" s="17">
        <f>VLOOKUP(Main_Presentation[[#This Row],[LC Number]],Main_Issuance[],10,0)</f>
        <v>1020055</v>
      </c>
      <c r="M712" s="17" t="str">
        <f>VLOOKUP(Main_Presentation[[#This Row],[LC Number]],Main_Issuance[],11,0)</f>
        <v>SAR</v>
      </c>
      <c r="N712" s="84">
        <f>VLOOKUP(Main_Presentation[[#This Row],[LC Number]],Main_Issuance[],12,0)</f>
        <v>500000</v>
      </c>
      <c r="O712" s="16" t="s">
        <v>20</v>
      </c>
      <c r="P712" s="16" t="s">
        <v>378</v>
      </c>
      <c r="Q712" s="131">
        <v>500000</v>
      </c>
      <c r="R712" s="18">
        <v>1</v>
      </c>
      <c r="S712" s="18">
        <f>Main_Presentation[[#This Row],[Invoice Amt (FCY)]]*Main_Presentation[[#This Row],[Rate]]</f>
        <v>500000</v>
      </c>
      <c r="T712" s="15">
        <v>45648</v>
      </c>
      <c r="U712" s="26" t="str">
        <f>VLOOKUP(Main_Presentation[[#This Row],[LC Number]],Main_Issuance[],18,0)</f>
        <v>90 Days from Invoice Date</v>
      </c>
      <c r="V712" s="19" t="s">
        <v>870</v>
      </c>
      <c r="W712" s="18" t="s">
        <v>857</v>
      </c>
      <c r="X712" s="16"/>
      <c r="Y712" s="234" t="str">
        <f>TRIM(LEFT(Main_Presentation[[#This Row],[Payment Terms]],3))</f>
        <v>90</v>
      </c>
      <c r="Z712" s="16"/>
      <c r="AA712" s="316" cm="1">
        <f t="array" ref="AA712">Settlement(Main_Presentation[[#This Row],[Bank]],Main_Presentation[[#This Row],[ Invoice Amt (SAR)]],Main_Presentation[[#This Row],[Date Recd]],Main_Presentation[[#This Row],[Due Date]],Main_Presentation[[#This Row],[Days]])</f>
        <v>1238.55</v>
      </c>
      <c r="AB712" s="16"/>
    </row>
    <row r="713" spans="1:28" ht="15.75" hidden="1" x14ac:dyDescent="0.25">
      <c r="A713" s="14" t="s">
        <v>440</v>
      </c>
      <c r="B713" s="15">
        <v>45627</v>
      </c>
      <c r="C713" s="26">
        <v>1</v>
      </c>
      <c r="D713" s="55" t="str">
        <f>VLOOKUP(Main_Presentation[[#This Row],[LC Number]],Main_Issuance[],3,0)</f>
        <v>Hassan Taleb</v>
      </c>
      <c r="E713" s="16" t="s">
        <v>856</v>
      </c>
      <c r="F713" s="17" t="str">
        <f>VLOOKUP(Main_Presentation[[#This Row],[LC Number]],Main_Issuance[],5,0)</f>
        <v>SNB</v>
      </c>
      <c r="G713" s="17" t="str">
        <f>VLOOKUP(Main_Presentation[[#This Row],[LC Number]],Main_Issuance[],6,0)</f>
        <v>Opera House</v>
      </c>
      <c r="H713" s="17" t="str">
        <f>VLOOKUP(Main_Presentation[[#This Row],[LC Number]],Main_Issuance[],17,0)</f>
        <v>Credit</v>
      </c>
      <c r="I713" s="17" t="str">
        <f>VLOOKUP(Main_Presentation[[#This Row],[LC Number]],Main_Issuance[],7,0)</f>
        <v>AL BILAD CONCRETE PIPE CO.LTD</v>
      </c>
      <c r="J713" s="17" t="str">
        <f>VLOOKUP(Main_Presentation[[#This Row],[LC Number]],Main_Issuance[],8,0)</f>
        <v>FIRST FIX</v>
      </c>
      <c r="K713" s="17" t="str">
        <f>VLOOKUP(Main_Presentation[[#This Row],[LC Number]],Main_Issuance[],9,0)</f>
        <v>KSP</v>
      </c>
      <c r="L713" s="17">
        <f>VLOOKUP(Main_Presentation[[#This Row],[LC Number]],Main_Issuance[],10,0)</f>
        <v>1020055</v>
      </c>
      <c r="M713" s="17" t="str">
        <f>VLOOKUP(Main_Presentation[[#This Row],[LC Number]],Main_Issuance[],11,0)</f>
        <v>SAR</v>
      </c>
      <c r="N713" s="84">
        <f>VLOOKUP(Main_Presentation[[#This Row],[LC Number]],Main_Issuance[],12,0)</f>
        <v>1001635.3025</v>
      </c>
      <c r="O713" s="16" t="s">
        <v>20</v>
      </c>
      <c r="P713" s="16" t="s">
        <v>378</v>
      </c>
      <c r="Q713" s="131">
        <v>209264.52</v>
      </c>
      <c r="R713" s="18">
        <v>1</v>
      </c>
      <c r="S713" s="18">
        <f>Main_Presentation[[#This Row],[Invoice Amt (FCY)]]*Main_Presentation[[#This Row],[Rate]]</f>
        <v>209264.52</v>
      </c>
      <c r="T713" s="15">
        <v>45672</v>
      </c>
      <c r="U713" s="26" t="str">
        <f>VLOOKUP(Main_Presentation[[#This Row],[LC Number]],Main_Issuance[],18,0)</f>
        <v>90 Days from Invoice Date</v>
      </c>
      <c r="V713" s="19" t="s">
        <v>22</v>
      </c>
      <c r="W713" s="22" t="s">
        <v>857</v>
      </c>
      <c r="X713" s="16"/>
      <c r="Y713" s="234" t="str">
        <f>TRIM(LEFT(Main_Presentation[[#This Row],[Payment Terms]],3))</f>
        <v>90</v>
      </c>
      <c r="Z713" s="16"/>
      <c r="AA713" s="316" cm="1">
        <f t="array" ref="AA713">Settlement(Main_Presentation[[#This Row],[Bank]],Main_Presentation[[#This Row],[ Invoice Amt (SAR)]],Main_Presentation[[#This Row],[Date Recd]],Main_Presentation[[#This Row],[Due Date]],Main_Presentation[[#This Row],[Days]])</f>
        <v>655.5</v>
      </c>
      <c r="AB713" s="16"/>
    </row>
    <row r="714" spans="1:28" ht="15.75" hidden="1" x14ac:dyDescent="0.25">
      <c r="A714" s="14" t="s">
        <v>438</v>
      </c>
      <c r="B714" s="15">
        <v>45629</v>
      </c>
      <c r="C714" s="26">
        <v>1</v>
      </c>
      <c r="D714" s="55" t="str">
        <f>VLOOKUP(Main_Presentation[[#This Row],[LC Number]],Main_Issuance[],3,0)</f>
        <v>Hassan Taleb</v>
      </c>
      <c r="E714" s="16" t="s">
        <v>858</v>
      </c>
      <c r="F714" s="17" t="str">
        <f>VLOOKUP(Main_Presentation[[#This Row],[LC Number]],Main_Issuance[],5,0)</f>
        <v>SNB</v>
      </c>
      <c r="G714" s="17" t="str">
        <f>VLOOKUP(Main_Presentation[[#This Row],[LC Number]],Main_Issuance[],6,0)</f>
        <v>Opera House</v>
      </c>
      <c r="H714" s="17" t="str">
        <f>VLOOKUP(Main_Presentation[[#This Row],[LC Number]],Main_Issuance[],17,0)</f>
        <v>Credit</v>
      </c>
      <c r="I714" s="17" t="str">
        <f>VLOOKUP(Main_Presentation[[#This Row],[LC Number]],Main_Issuance[],7,0)</f>
        <v>Al Salem Airconditioning Co.Ltd (Johnson)</v>
      </c>
      <c r="J714" s="17" t="str">
        <f>VLOOKUP(Main_Presentation[[#This Row],[LC Number]],Main_Issuance[],8,0)</f>
        <v>FIRST FIX</v>
      </c>
      <c r="K714" s="17" t="str">
        <f>VLOOKUP(Main_Presentation[[#This Row],[LC Number]],Main_Issuance[],9,0)</f>
        <v>KSP</v>
      </c>
      <c r="L714" s="17">
        <f>VLOOKUP(Main_Presentation[[#This Row],[LC Number]],Main_Issuance[],10,0)</f>
        <v>1020055</v>
      </c>
      <c r="M714" s="17" t="str">
        <f>VLOOKUP(Main_Presentation[[#This Row],[LC Number]],Main_Issuance[],11,0)</f>
        <v>SAR</v>
      </c>
      <c r="N714" s="84">
        <f>VLOOKUP(Main_Presentation[[#This Row],[LC Number]],Main_Issuance[],12,0)</f>
        <v>1000000</v>
      </c>
      <c r="O714" s="16" t="s">
        <v>20</v>
      </c>
      <c r="P714" s="16" t="s">
        <v>378</v>
      </c>
      <c r="Q714" s="131">
        <v>1000000</v>
      </c>
      <c r="R714" s="18">
        <v>1</v>
      </c>
      <c r="S714" s="18">
        <f>Main_Presentation[[#This Row],[Invoice Amt (FCY)]]*Main_Presentation[[#This Row],[Rate]]</f>
        <v>1000000</v>
      </c>
      <c r="T714" s="15">
        <v>45683</v>
      </c>
      <c r="U714" s="26" t="str">
        <f>VLOOKUP(Main_Presentation[[#This Row],[LC Number]],Main_Issuance[],18,0)</f>
        <v>90 Days from Invoice Date</v>
      </c>
      <c r="V714" s="19" t="s">
        <v>22</v>
      </c>
      <c r="W714" s="22" t="s">
        <v>857</v>
      </c>
      <c r="X714" s="16"/>
      <c r="Y714" s="234" t="str">
        <f>TRIM(LEFT(Main_Presentation[[#This Row],[Payment Terms]],3))</f>
        <v>90</v>
      </c>
      <c r="Z714" s="16"/>
      <c r="AA714" s="316" cm="1">
        <f t="array" ref="AA714">Settlement(Main_Presentation[[#This Row],[Bank]],Main_Presentation[[#This Row],[ Invoice Amt (SAR)]],Main_Presentation[[#This Row],[Date Recd]],Main_Presentation[[#This Row],[Due Date]],Main_Presentation[[#This Row],[Days]])</f>
        <v>4832.3</v>
      </c>
      <c r="AB714" s="16"/>
    </row>
    <row r="715" spans="1:28" ht="15.75" hidden="1" x14ac:dyDescent="0.25">
      <c r="A715" s="14" t="s">
        <v>347</v>
      </c>
      <c r="B715" s="15">
        <v>45629</v>
      </c>
      <c r="C715" s="26">
        <v>1</v>
      </c>
      <c r="D715" s="55" t="str">
        <f>VLOOKUP(Main_Presentation[[#This Row],[LC Number]],Main_Issuance[],3,0)</f>
        <v>Hassan Taleb</v>
      </c>
      <c r="E715" s="16" t="s">
        <v>856</v>
      </c>
      <c r="F715" s="17" t="str">
        <f>VLOOKUP(Main_Presentation[[#This Row],[LC Number]],Main_Issuance[],5,0)</f>
        <v>SNB</v>
      </c>
      <c r="G715" s="17" t="str">
        <f>VLOOKUP(Main_Presentation[[#This Row],[LC Number]],Main_Issuance[],6,0)</f>
        <v>Opera House</v>
      </c>
      <c r="H715" s="17" t="str">
        <f>VLOOKUP(Main_Presentation[[#This Row],[LC Number]],Main_Issuance[],17,0)</f>
        <v>Credit</v>
      </c>
      <c r="I715" s="17" t="str">
        <f>VLOOKUP(Main_Presentation[[#This Row],[LC Number]],Main_Issuance[],7,0)</f>
        <v>ALFANAR ELECTRICAL SYSTEMS</v>
      </c>
      <c r="J715" s="17" t="str">
        <f>VLOOKUP(Main_Presentation[[#This Row],[LC Number]],Main_Issuance[],8,0)</f>
        <v>FIRST FIX</v>
      </c>
      <c r="K715" s="17" t="str">
        <f>VLOOKUP(Main_Presentation[[#This Row],[LC Number]],Main_Issuance[],9,0)</f>
        <v>KSP</v>
      </c>
      <c r="L715" s="17">
        <f>VLOOKUP(Main_Presentation[[#This Row],[LC Number]],Main_Issuance[],10,0)</f>
        <v>1020055</v>
      </c>
      <c r="M715" s="17" t="str">
        <f>VLOOKUP(Main_Presentation[[#This Row],[LC Number]],Main_Issuance[],11,0)</f>
        <v>SAR</v>
      </c>
      <c r="N715" s="84">
        <f>VLOOKUP(Main_Presentation[[#This Row],[LC Number]],Main_Issuance[],12,0)</f>
        <v>1650702.09</v>
      </c>
      <c r="O715" s="16" t="s">
        <v>20</v>
      </c>
      <c r="P715" s="16" t="s">
        <v>378</v>
      </c>
      <c r="Q715" s="131">
        <v>1650702.09</v>
      </c>
      <c r="R715" s="18">
        <v>1</v>
      </c>
      <c r="S715" s="18">
        <f>Main_Presentation[[#This Row],[Invoice Amt (FCY)]]*Main_Presentation[[#This Row],[Rate]]</f>
        <v>1650702.09</v>
      </c>
      <c r="T715" s="15">
        <v>45650</v>
      </c>
      <c r="U715" s="26" t="str">
        <f>VLOOKUP(Main_Presentation[[#This Row],[LC Number]],Main_Issuance[],18,0)</f>
        <v>90 Days from Invoice Date</v>
      </c>
      <c r="V715" s="19" t="s">
        <v>96</v>
      </c>
      <c r="W715" s="229" t="s">
        <v>857</v>
      </c>
      <c r="X715" s="16"/>
      <c r="Y715" s="234" t="str">
        <f>TRIM(LEFT(Main_Presentation[[#This Row],[Payment Terms]],3))</f>
        <v>90</v>
      </c>
      <c r="Z715" s="16"/>
      <c r="AA715" s="316" cm="1">
        <f t="array" ref="AA715">Settlement(Main_Presentation[[#This Row],[Bank]],Main_Presentation[[#This Row],[ Invoice Amt (SAR)]],Main_Presentation[[#This Row],[Date Recd]],Main_Presentation[[#This Row],[Due Date]],Main_Presentation[[#This Row],[Days]])</f>
        <v>3995.1</v>
      </c>
      <c r="AB715" s="16"/>
    </row>
    <row r="716" spans="1:28" ht="15.75" hidden="1" x14ac:dyDescent="0.25">
      <c r="A716" s="14" t="s">
        <v>434</v>
      </c>
      <c r="B716" s="15">
        <v>45629</v>
      </c>
      <c r="C716" s="26">
        <v>1</v>
      </c>
      <c r="D716" s="55" t="str">
        <f>VLOOKUP(Main_Presentation[[#This Row],[LC Number]],Main_Issuance[],3,0)</f>
        <v>Hassan Taleb</v>
      </c>
      <c r="E716" s="16" t="s">
        <v>858</v>
      </c>
      <c r="F716" s="17" t="str">
        <f>VLOOKUP(Main_Presentation[[#This Row],[LC Number]],Main_Issuance[],5,0)</f>
        <v>SNB</v>
      </c>
      <c r="G716" s="17" t="str">
        <f>VLOOKUP(Main_Presentation[[#This Row],[LC Number]],Main_Issuance[],6,0)</f>
        <v>Opera House</v>
      </c>
      <c r="H716" s="17" t="str">
        <f>VLOOKUP(Main_Presentation[[#This Row],[LC Number]],Main_Issuance[],17,0)</f>
        <v>Credit</v>
      </c>
      <c r="I716" s="17" t="str">
        <f>VLOOKUP(Main_Presentation[[#This Row],[LC Number]],Main_Issuance[],7,0)</f>
        <v>Huda Lighting</v>
      </c>
      <c r="J716" s="17" t="str">
        <f>VLOOKUP(Main_Presentation[[#This Row],[LC Number]],Main_Issuance[],8,0)</f>
        <v>FIRST FIX</v>
      </c>
      <c r="K716" s="17" t="str">
        <f>VLOOKUP(Main_Presentation[[#This Row],[LC Number]],Main_Issuance[],9,0)</f>
        <v>KSP</v>
      </c>
      <c r="L716" s="17">
        <f>VLOOKUP(Main_Presentation[[#This Row],[LC Number]],Main_Issuance[],10,0)</f>
        <v>1020055</v>
      </c>
      <c r="M716" s="17" t="str">
        <f>VLOOKUP(Main_Presentation[[#This Row],[LC Number]],Main_Issuance[],11,0)</f>
        <v>SAR</v>
      </c>
      <c r="N716" s="84">
        <f>VLOOKUP(Main_Presentation[[#This Row],[LC Number]],Main_Issuance[],12,0)</f>
        <v>1500000</v>
      </c>
      <c r="O716" s="16" t="s">
        <v>20</v>
      </c>
      <c r="P716" s="16" t="s">
        <v>378</v>
      </c>
      <c r="Q716" s="131">
        <v>1500000</v>
      </c>
      <c r="R716" s="18">
        <v>1</v>
      </c>
      <c r="S716" s="18">
        <f>Main_Presentation[[#This Row],[Invoice Amt (FCY)]]*Main_Presentation[[#This Row],[Rate]]</f>
        <v>1500000</v>
      </c>
      <c r="T716" s="15">
        <v>45690</v>
      </c>
      <c r="U716" s="26" t="str">
        <f>VLOOKUP(Main_Presentation[[#This Row],[LC Number]],Main_Issuance[],18,0)</f>
        <v>90 Days from Invoice Date</v>
      </c>
      <c r="V716" s="19" t="s">
        <v>90</v>
      </c>
      <c r="W716" s="22" t="s">
        <v>378</v>
      </c>
      <c r="X716" s="16"/>
      <c r="Y716" s="234" t="str">
        <f>TRIM(LEFT(Main_Presentation[[#This Row],[Payment Terms]],3))</f>
        <v>90</v>
      </c>
      <c r="Z716" s="16"/>
      <c r="AA716" s="316" cm="1">
        <f t="array" ref="AA716">Settlement(Main_Presentation[[#This Row],[Bank]],Main_Presentation[[#This Row],[ Invoice Amt (SAR)]],Main_Presentation[[#This Row],[Date Recd]],Main_Presentation[[#This Row],[Due Date]],Main_Presentation[[#This Row],[Days]])</f>
        <v>7227.75</v>
      </c>
      <c r="AB716" s="16"/>
    </row>
    <row r="717" spans="1:28" ht="15.75" hidden="1" x14ac:dyDescent="0.25">
      <c r="A717" s="14" t="s">
        <v>330</v>
      </c>
      <c r="B717" s="15">
        <v>45629</v>
      </c>
      <c r="C717" s="26">
        <v>2</v>
      </c>
      <c r="D717" s="55" t="str">
        <f>VLOOKUP(Main_Presentation[[#This Row],[LC Number]],Main_Issuance[],3,0)</f>
        <v>Hassan Taleb</v>
      </c>
      <c r="E717" s="16" t="s">
        <v>858</v>
      </c>
      <c r="F717" s="17" t="str">
        <f>VLOOKUP(Main_Presentation[[#This Row],[LC Number]],Main_Issuance[],5,0)</f>
        <v>SNB</v>
      </c>
      <c r="G717" s="17" t="str">
        <f>VLOOKUP(Main_Presentation[[#This Row],[LC Number]],Main_Issuance[],6,0)</f>
        <v>Opera House</v>
      </c>
      <c r="H717" s="17" t="str">
        <f>VLOOKUP(Main_Presentation[[#This Row],[LC Number]],Main_Issuance[],17,0)</f>
        <v>Credit</v>
      </c>
      <c r="I717" s="17" t="str">
        <f>VLOOKUP(Main_Presentation[[#This Row],[LC Number]],Main_Issuance[],7,0)</f>
        <v>THKM ALAALMYT LLTAQT COMPANY</v>
      </c>
      <c r="J717" s="17" t="str">
        <f>VLOOKUP(Main_Presentation[[#This Row],[LC Number]],Main_Issuance[],8,0)</f>
        <v>FIRST FIX</v>
      </c>
      <c r="K717" s="17" t="str">
        <f>VLOOKUP(Main_Presentation[[#This Row],[LC Number]],Main_Issuance[],9,0)</f>
        <v>KSP</v>
      </c>
      <c r="L717" s="17">
        <f>VLOOKUP(Main_Presentation[[#This Row],[LC Number]],Main_Issuance[],10,0)</f>
        <v>1020055</v>
      </c>
      <c r="M717" s="17" t="str">
        <f>VLOOKUP(Main_Presentation[[#This Row],[LC Number]],Main_Issuance[],11,0)</f>
        <v>SAR</v>
      </c>
      <c r="N717" s="84">
        <f>VLOOKUP(Main_Presentation[[#This Row],[LC Number]],Main_Issuance[],12,0)</f>
        <v>500000</v>
      </c>
      <c r="O717" s="16" t="s">
        <v>20</v>
      </c>
      <c r="P717" s="16" t="s">
        <v>378</v>
      </c>
      <c r="Q717" s="131">
        <v>42681.8</v>
      </c>
      <c r="R717" s="18">
        <v>1</v>
      </c>
      <c r="S717" s="18">
        <f>Main_Presentation[[#This Row],[Invoice Amt (FCY)]]*Main_Presentation[[#This Row],[Rate]]</f>
        <v>42681.8</v>
      </c>
      <c r="T717" s="15">
        <v>45691</v>
      </c>
      <c r="U717" s="26" t="str">
        <f>VLOOKUP(Main_Presentation[[#This Row],[LC Number]],Main_Issuance[],18,0)</f>
        <v>90 Days from Invoice Date</v>
      </c>
      <c r="V717" s="21" t="s">
        <v>884</v>
      </c>
      <c r="W717" s="22" t="s">
        <v>378</v>
      </c>
      <c r="X717" s="16"/>
      <c r="Y717" s="234" t="str">
        <f>TRIM(LEFT(Main_Presentation[[#This Row],[Payment Terms]],3))</f>
        <v>90</v>
      </c>
      <c r="Z717" s="16"/>
      <c r="AA717" s="316" cm="1">
        <f t="array" ref="AA717">Settlement(Main_Presentation[[#This Row],[Bank]],Main_Presentation[[#This Row],[ Invoice Amt (SAR)]],Main_Presentation[[#This Row],[Date Recd]],Main_Presentation[[#This Row],[Due Date]],Main_Presentation[[#This Row],[Days]])</f>
        <v>655.5</v>
      </c>
      <c r="AB717" s="16"/>
    </row>
    <row r="718" spans="1:28" ht="15.75" hidden="1" x14ac:dyDescent="0.25">
      <c r="A718" s="14" t="s">
        <v>426</v>
      </c>
      <c r="B718" s="15">
        <v>45631</v>
      </c>
      <c r="C718" s="26">
        <v>1</v>
      </c>
      <c r="D718" s="55" t="str">
        <f>VLOOKUP(Main_Presentation[[#This Row],[LC Number]],Main_Issuance[],3,0)</f>
        <v>Hassan Taleb</v>
      </c>
      <c r="E718" s="16" t="s">
        <v>856</v>
      </c>
      <c r="F718" s="17" t="str">
        <f>VLOOKUP(Main_Presentation[[#This Row],[LC Number]],Main_Issuance[],5,0)</f>
        <v>SNB</v>
      </c>
      <c r="G718" s="17" t="str">
        <f>VLOOKUP(Main_Presentation[[#This Row],[LC Number]],Main_Issuance[],6,0)</f>
        <v>Opera House</v>
      </c>
      <c r="H718" s="17" t="str">
        <f>VLOOKUP(Main_Presentation[[#This Row],[LC Number]],Main_Issuance[],17,0)</f>
        <v>Credit</v>
      </c>
      <c r="I718" s="17" t="str">
        <f>VLOOKUP(Main_Presentation[[#This Row],[LC Number]],Main_Issuance[],7,0)</f>
        <v>Al Fanar Co. Ltd.</v>
      </c>
      <c r="J718" s="17" t="str">
        <f>VLOOKUP(Main_Presentation[[#This Row],[LC Number]],Main_Issuance[],8,0)</f>
        <v>FIRST FIX</v>
      </c>
      <c r="K718" s="17" t="str">
        <f>VLOOKUP(Main_Presentation[[#This Row],[LC Number]],Main_Issuance[],9,0)</f>
        <v>KSP</v>
      </c>
      <c r="L718" s="17">
        <f>VLOOKUP(Main_Presentation[[#This Row],[LC Number]],Main_Issuance[],10,0)</f>
        <v>1020055</v>
      </c>
      <c r="M718" s="17" t="str">
        <f>VLOOKUP(Main_Presentation[[#This Row],[LC Number]],Main_Issuance[],11,0)</f>
        <v>SAR</v>
      </c>
      <c r="N718" s="84">
        <f>VLOOKUP(Main_Presentation[[#This Row],[LC Number]],Main_Issuance[],12,0)</f>
        <v>966000</v>
      </c>
      <c r="O718" s="16" t="s">
        <v>20</v>
      </c>
      <c r="P718" s="16" t="s">
        <v>378</v>
      </c>
      <c r="Q718" s="131">
        <v>931500.09</v>
      </c>
      <c r="R718" s="18">
        <v>1</v>
      </c>
      <c r="S718" s="18">
        <f>Main_Presentation[[#This Row],[Invoice Amt (FCY)]]*Main_Presentation[[#This Row],[Rate]]</f>
        <v>931500.09</v>
      </c>
      <c r="T718" s="15">
        <v>45699</v>
      </c>
      <c r="U718" s="26" t="str">
        <f>VLOOKUP(Main_Presentation[[#This Row],[LC Number]],Main_Issuance[],18,0)</f>
        <v>90 Days from Invoice Date</v>
      </c>
      <c r="V718" s="19" t="s">
        <v>90</v>
      </c>
      <c r="W718" s="22" t="s">
        <v>378</v>
      </c>
      <c r="X718" s="16"/>
      <c r="Y718" s="234" t="str">
        <f>TRIM(LEFT(Main_Presentation[[#This Row],[Payment Terms]],3))</f>
        <v>90</v>
      </c>
      <c r="Z718" s="16"/>
      <c r="AA718" s="316" cm="1">
        <f t="array" ref="AA718">Settlement(Main_Presentation[[#This Row],[Bank]],Main_Presentation[[#This Row],[ Invoice Amt (SAR)]],Main_Presentation[[#This Row],[Date Recd]],Main_Presentation[[#This Row],[Due Date]],Main_Presentation[[#This Row],[Days]])</f>
        <v>4503.3999999999996</v>
      </c>
      <c r="AB718" s="16"/>
    </row>
    <row r="719" spans="1:28" ht="15.75" hidden="1" x14ac:dyDescent="0.25">
      <c r="A719" s="14" t="s">
        <v>398</v>
      </c>
      <c r="B719" s="15">
        <v>45631</v>
      </c>
      <c r="C719" s="26">
        <v>1</v>
      </c>
      <c r="D719" s="55" t="str">
        <f>VLOOKUP(Main_Presentation[[#This Row],[LC Number]],Main_Issuance[],3,0)</f>
        <v>Hassan Taleb</v>
      </c>
      <c r="E719" s="16" t="s">
        <v>856</v>
      </c>
      <c r="F719" s="17" t="str">
        <f>VLOOKUP(Main_Presentation[[#This Row],[LC Number]],Main_Issuance[],5,0)</f>
        <v>SNB</v>
      </c>
      <c r="G719" s="17" t="str">
        <f>VLOOKUP(Main_Presentation[[#This Row],[LC Number]],Main_Issuance[],6,0)</f>
        <v>Opera House</v>
      </c>
      <c r="H719" s="17" t="str">
        <f>VLOOKUP(Main_Presentation[[#This Row],[LC Number]],Main_Issuance[],17,0)</f>
        <v>Credit</v>
      </c>
      <c r="I719" s="17" t="str">
        <f>VLOOKUP(Main_Presentation[[#This Row],[LC Number]],Main_Issuance[],7,0)</f>
        <v>AFAQ AL MALAZ TRADING CO LTD</v>
      </c>
      <c r="J719" s="17" t="str">
        <f>VLOOKUP(Main_Presentation[[#This Row],[LC Number]],Main_Issuance[],8,0)</f>
        <v>FIRST FIX</v>
      </c>
      <c r="K719" s="17" t="str">
        <f>VLOOKUP(Main_Presentation[[#This Row],[LC Number]],Main_Issuance[],9,0)</f>
        <v>KSP</v>
      </c>
      <c r="L719" s="17">
        <f>VLOOKUP(Main_Presentation[[#This Row],[LC Number]],Main_Issuance[],10,0)</f>
        <v>1020055</v>
      </c>
      <c r="M719" s="17" t="str">
        <f>VLOOKUP(Main_Presentation[[#This Row],[LC Number]],Main_Issuance[],11,0)</f>
        <v>SAR</v>
      </c>
      <c r="N719" s="84">
        <f>VLOOKUP(Main_Presentation[[#This Row],[LC Number]],Main_Issuance[],12,0)</f>
        <v>482012.43</v>
      </c>
      <c r="O719" s="16" t="s">
        <v>20</v>
      </c>
      <c r="P719" s="16" t="s">
        <v>378</v>
      </c>
      <c r="Q719" s="131">
        <v>229198.19</v>
      </c>
      <c r="R719" s="18">
        <v>1</v>
      </c>
      <c r="S719" s="18">
        <f>Main_Presentation[[#This Row],[Invoice Amt (FCY)]]*Main_Presentation[[#This Row],[Rate]]</f>
        <v>229198.19</v>
      </c>
      <c r="T719" s="15">
        <v>45694</v>
      </c>
      <c r="U719" s="26" t="str">
        <f>VLOOKUP(Main_Presentation[[#This Row],[LC Number]],Main_Issuance[],18,0)</f>
        <v>90 Days from Invoice Date</v>
      </c>
      <c r="V719" s="21" t="s">
        <v>90</v>
      </c>
      <c r="W719" s="22" t="s">
        <v>378</v>
      </c>
      <c r="X719" s="16"/>
      <c r="Y719" s="234" t="str">
        <f>TRIM(LEFT(Main_Presentation[[#This Row],[Payment Terms]],3))</f>
        <v>90</v>
      </c>
      <c r="Z719" s="16"/>
      <c r="AA719" s="316" cm="1">
        <f t="array" ref="AA719">Settlement(Main_Presentation[[#This Row],[Bank]],Main_Presentation[[#This Row],[ Invoice Amt (SAR)]],Main_Presentation[[#This Row],[Date Recd]],Main_Presentation[[#This Row],[Due Date]],Main_Presentation[[#This Row],[Days]])</f>
        <v>1138.5</v>
      </c>
      <c r="AB719" s="16"/>
    </row>
    <row r="720" spans="1:28" ht="15.75" hidden="1" x14ac:dyDescent="0.25">
      <c r="A720" s="14" t="s">
        <v>462</v>
      </c>
      <c r="B720" s="15">
        <v>45636</v>
      </c>
      <c r="C720" s="26">
        <v>1</v>
      </c>
      <c r="D720" s="55" t="str">
        <f>VLOOKUP(Main_Presentation[[#This Row],[LC Number]],Main_Issuance[],3,0)</f>
        <v>Hassan Taleb</v>
      </c>
      <c r="E720" s="16" t="s">
        <v>858</v>
      </c>
      <c r="F720" s="17" t="str">
        <f>VLOOKUP(Main_Presentation[[#This Row],[LC Number]],Main_Issuance[],5,0)</f>
        <v>SNB</v>
      </c>
      <c r="G720" s="17" t="str">
        <f>VLOOKUP(Main_Presentation[[#This Row],[LC Number]],Main_Issuance[],6,0)</f>
        <v>Opera House</v>
      </c>
      <c r="H720" s="17" t="str">
        <f>VLOOKUP(Main_Presentation[[#This Row],[LC Number]],Main_Issuance[],17,0)</f>
        <v>Credit</v>
      </c>
      <c r="I720" s="17" t="str">
        <f>VLOOKUP(Main_Presentation[[#This Row],[LC Number]],Main_Issuance[],7,0)</f>
        <v>Premium For General Contracting Est.</v>
      </c>
      <c r="J720" s="17" t="str">
        <f>VLOOKUP(Main_Presentation[[#This Row],[LC Number]],Main_Issuance[],8,0)</f>
        <v>MBL</v>
      </c>
      <c r="K720" s="17" t="str">
        <f>VLOOKUP(Main_Presentation[[#This Row],[LC Number]],Main_Issuance[],9,0)</f>
        <v>KSP Finishing</v>
      </c>
      <c r="L720" s="17">
        <f>VLOOKUP(Main_Presentation[[#This Row],[LC Number]],Main_Issuance[],10,0)</f>
        <v>1020068</v>
      </c>
      <c r="M720" s="17" t="str">
        <f>VLOOKUP(Main_Presentation[[#This Row],[LC Number]],Main_Issuance[],11,0)</f>
        <v>SAR</v>
      </c>
      <c r="N720" s="84">
        <f>VLOOKUP(Main_Presentation[[#This Row],[LC Number]],Main_Issuance[],12,0)</f>
        <v>10000000</v>
      </c>
      <c r="O720" s="16" t="s">
        <v>20</v>
      </c>
      <c r="P720" s="16" t="s">
        <v>378</v>
      </c>
      <c r="Q720" s="131">
        <v>10000000</v>
      </c>
      <c r="R720" s="18">
        <v>1</v>
      </c>
      <c r="S720" s="18">
        <f>Main_Presentation[[#This Row],[Invoice Amt (FCY)]]*Main_Presentation[[#This Row],[Rate]]</f>
        <v>10000000</v>
      </c>
      <c r="T720" s="15">
        <v>45637</v>
      </c>
      <c r="U720" s="26" t="str">
        <f>VLOOKUP(Main_Presentation[[#This Row],[LC Number]],Main_Issuance[],18,0)</f>
        <v>Sight</v>
      </c>
      <c r="V720" s="19" t="s">
        <v>90</v>
      </c>
      <c r="W720" s="18" t="s">
        <v>857</v>
      </c>
      <c r="X720" s="16"/>
      <c r="Y720" s="234" t="str">
        <f>TRIM(LEFT(Main_Presentation[[#This Row],[Payment Terms]],3))</f>
        <v>Sig</v>
      </c>
      <c r="Z720" s="16"/>
      <c r="AA720" s="316" t="e" cm="1">
        <f t="array" ref="AA720">Settlement(Main_Presentation[[#This Row],[Bank]],Main_Presentation[[#This Row],[ Invoice Amt (SAR)]],Main_Presentation[[#This Row],[Date Recd]],Main_Presentation[[#This Row],[Due Date]],Main_Presentation[[#This Row],[Days]])</f>
        <v>#VALUE!</v>
      </c>
      <c r="AB720" s="16"/>
    </row>
    <row r="721" spans="1:28" ht="15.75" hidden="1" x14ac:dyDescent="0.25">
      <c r="A721" s="14" t="s">
        <v>432</v>
      </c>
      <c r="B721" s="15">
        <v>45642</v>
      </c>
      <c r="C721" s="26">
        <v>1</v>
      </c>
      <c r="D721" s="55" t="str">
        <f>VLOOKUP(Main_Presentation[[#This Row],[LC Number]],Main_Issuance[],3,0)</f>
        <v>Hassan Taleb</v>
      </c>
      <c r="E721" s="16" t="s">
        <v>856</v>
      </c>
      <c r="F721" s="17" t="str">
        <f>VLOOKUP(Main_Presentation[[#This Row],[LC Number]],Main_Issuance[],5,0)</f>
        <v>SNB</v>
      </c>
      <c r="G721" s="17" t="str">
        <f>VLOOKUP(Main_Presentation[[#This Row],[LC Number]],Main_Issuance[],6,0)</f>
        <v>Opera House</v>
      </c>
      <c r="H721" s="17" t="str">
        <f>VLOOKUP(Main_Presentation[[#This Row],[LC Number]],Main_Issuance[],17,0)</f>
        <v>Credit</v>
      </c>
      <c r="I721" s="17" t="str">
        <f>VLOOKUP(Main_Presentation[[#This Row],[LC Number]],Main_Issuance[],7,0)</f>
        <v>Electric House Est</v>
      </c>
      <c r="J721" s="17" t="str">
        <f>VLOOKUP(Main_Presentation[[#This Row],[LC Number]],Main_Issuance[],8,0)</f>
        <v>FIRST FIX</v>
      </c>
      <c r="K721" s="17" t="str">
        <f>VLOOKUP(Main_Presentation[[#This Row],[LC Number]],Main_Issuance[],9,0)</f>
        <v>KSP</v>
      </c>
      <c r="L721" s="17">
        <f>VLOOKUP(Main_Presentation[[#This Row],[LC Number]],Main_Issuance[],10,0)</f>
        <v>1020055</v>
      </c>
      <c r="M721" s="17" t="str">
        <f>VLOOKUP(Main_Presentation[[#This Row],[LC Number]],Main_Issuance[],11,0)</f>
        <v>SAR</v>
      </c>
      <c r="N721" s="84">
        <f>VLOOKUP(Main_Presentation[[#This Row],[LC Number]],Main_Issuance[],12,0)</f>
        <v>800000</v>
      </c>
      <c r="O721" s="16" t="s">
        <v>20</v>
      </c>
      <c r="P721" s="16" t="s">
        <v>378</v>
      </c>
      <c r="Q721" s="131">
        <v>800000</v>
      </c>
      <c r="R721" s="18">
        <v>1</v>
      </c>
      <c r="S721" s="18">
        <f>Main_Presentation[[#This Row],[Invoice Amt (FCY)]]*Main_Presentation[[#This Row],[Rate]]</f>
        <v>800000</v>
      </c>
      <c r="T721" s="15">
        <v>45721</v>
      </c>
      <c r="U721" s="26" t="str">
        <f>VLOOKUP(Main_Presentation[[#This Row],[LC Number]],Main_Issuance[],18,0)</f>
        <v>90 Days from Invoice Date</v>
      </c>
      <c r="V721" s="19" t="s">
        <v>884</v>
      </c>
      <c r="W721" s="22" t="s">
        <v>378</v>
      </c>
      <c r="X721" s="16"/>
      <c r="Y721" s="234" t="str">
        <f>TRIM(LEFT(Main_Presentation[[#This Row],[Payment Terms]],3))</f>
        <v>90</v>
      </c>
      <c r="Z721" s="16"/>
      <c r="AA721" s="316" cm="1">
        <f t="array" ref="AA721">Settlement(Main_Presentation[[#This Row],[Bank]],Main_Presentation[[#This Row],[ Invoice Amt (SAR)]],Main_Presentation[[#This Row],[Date Recd]],Main_Presentation[[#This Row],[Due Date]],Main_Presentation[[#This Row],[Days]])</f>
        <v>5790.25</v>
      </c>
      <c r="AB721" s="16"/>
    </row>
    <row r="722" spans="1:28" ht="15.75" hidden="1" x14ac:dyDescent="0.25">
      <c r="A722" s="20" t="s">
        <v>440</v>
      </c>
      <c r="B722" s="15">
        <v>45650</v>
      </c>
      <c r="C722" s="26">
        <v>2</v>
      </c>
      <c r="D722" s="55" t="str">
        <f>VLOOKUP(Main_Presentation[[#This Row],[LC Number]],Main_Issuance[],3,0)</f>
        <v>Hassan Taleb</v>
      </c>
      <c r="E722" s="16" t="s">
        <v>856</v>
      </c>
      <c r="F722" s="17" t="str">
        <f>VLOOKUP(Main_Presentation[[#This Row],[LC Number]],Main_Issuance[],5,0)</f>
        <v>SNB</v>
      </c>
      <c r="G722" s="17" t="str">
        <f>VLOOKUP(Main_Presentation[[#This Row],[LC Number]],Main_Issuance[],6,0)</f>
        <v>Opera House</v>
      </c>
      <c r="H722" s="17" t="str">
        <f>VLOOKUP(Main_Presentation[[#This Row],[LC Number]],Main_Issuance[],17,0)</f>
        <v>Credit</v>
      </c>
      <c r="I722" s="17" t="str">
        <f>VLOOKUP(Main_Presentation[[#This Row],[LC Number]],Main_Issuance[],7,0)</f>
        <v>AL BILAD CONCRETE PIPE CO.LTD</v>
      </c>
      <c r="J722" s="17" t="str">
        <f>VLOOKUP(Main_Presentation[[#This Row],[LC Number]],Main_Issuance[],8,0)</f>
        <v>FIRST FIX</v>
      </c>
      <c r="K722" s="17" t="str">
        <f>VLOOKUP(Main_Presentation[[#This Row],[LC Number]],Main_Issuance[],9,0)</f>
        <v>KSP</v>
      </c>
      <c r="L722" s="17">
        <f>VLOOKUP(Main_Presentation[[#This Row],[LC Number]],Main_Issuance[],10,0)</f>
        <v>1020055</v>
      </c>
      <c r="M722" s="17" t="str">
        <f>VLOOKUP(Main_Presentation[[#This Row],[LC Number]],Main_Issuance[],11,0)</f>
        <v>SAR</v>
      </c>
      <c r="N722" s="84">
        <f>VLOOKUP(Main_Presentation[[#This Row],[LC Number]],Main_Issuance[],12,0)</f>
        <v>1001635.3025</v>
      </c>
      <c r="O722" s="16" t="s">
        <v>20</v>
      </c>
      <c r="P722" s="16" t="s">
        <v>378</v>
      </c>
      <c r="Q722" s="131">
        <v>298416.84000000003</v>
      </c>
      <c r="R722" s="18">
        <v>1</v>
      </c>
      <c r="S722" s="18">
        <f>Main_Presentation[[#This Row],[Invoice Amt (FCY)]]*Main_Presentation[[#This Row],[Rate]]</f>
        <v>298416.84000000003</v>
      </c>
      <c r="T722" s="15">
        <v>45697</v>
      </c>
      <c r="U722" s="26" t="str">
        <f>VLOOKUP(Main_Presentation[[#This Row],[LC Number]],Main_Issuance[],18,0)</f>
        <v>90 Days from Invoice Date</v>
      </c>
      <c r="V722" s="21" t="s">
        <v>90</v>
      </c>
      <c r="W722" s="22" t="s">
        <v>378</v>
      </c>
      <c r="X722" s="16"/>
      <c r="Y722" s="234" t="str">
        <f>TRIM(LEFT(Main_Presentation[[#This Row],[Payment Terms]],3))</f>
        <v>90</v>
      </c>
      <c r="Z722" s="16"/>
      <c r="AA722" s="316" cm="1">
        <f t="array" ref="AA722">Settlement(Main_Presentation[[#This Row],[Bank]],Main_Presentation[[#This Row],[ Invoice Amt (SAR)]],Main_Presentation[[#This Row],[Date Recd]],Main_Presentation[[#This Row],[Due Date]],Main_Presentation[[#This Row],[Days]])</f>
        <v>1469.7</v>
      </c>
      <c r="AB722" s="16"/>
    </row>
    <row r="723" spans="1:28" ht="15.75" hidden="1" x14ac:dyDescent="0.25">
      <c r="A723" s="20" t="s">
        <v>428</v>
      </c>
      <c r="B723" s="15">
        <v>45650</v>
      </c>
      <c r="C723" s="26">
        <v>1</v>
      </c>
      <c r="D723" s="55" t="str">
        <f>VLOOKUP(Main_Presentation[[#This Row],[LC Number]],Main_Issuance[],3,0)</f>
        <v>Hassan Taleb</v>
      </c>
      <c r="E723" s="16" t="s">
        <v>856</v>
      </c>
      <c r="F723" s="17" t="str">
        <f>VLOOKUP(Main_Presentation[[#This Row],[LC Number]],Main_Issuance[],5,0)</f>
        <v>SNB</v>
      </c>
      <c r="G723" s="17" t="str">
        <f>VLOOKUP(Main_Presentation[[#This Row],[LC Number]],Main_Issuance[],6,0)</f>
        <v>Opera House</v>
      </c>
      <c r="H723" s="17" t="str">
        <f>VLOOKUP(Main_Presentation[[#This Row],[LC Number]],Main_Issuance[],17,0)</f>
        <v>Credit</v>
      </c>
      <c r="I723" s="17" t="str">
        <f>VLOOKUP(Main_Presentation[[#This Row],[LC Number]],Main_Issuance[],7,0)</f>
        <v>Banan Thiba Trading Est. (BTT)</v>
      </c>
      <c r="J723" s="17" t="str">
        <f>VLOOKUP(Main_Presentation[[#This Row],[LC Number]],Main_Issuance[],8,0)</f>
        <v>FIRST FIX</v>
      </c>
      <c r="K723" s="17" t="str">
        <f>VLOOKUP(Main_Presentation[[#This Row],[LC Number]],Main_Issuance[],9,0)</f>
        <v>KSP</v>
      </c>
      <c r="L723" s="17">
        <f>VLOOKUP(Main_Presentation[[#This Row],[LC Number]],Main_Issuance[],10,0)</f>
        <v>1020055</v>
      </c>
      <c r="M723" s="17" t="str">
        <f>VLOOKUP(Main_Presentation[[#This Row],[LC Number]],Main_Issuance[],11,0)</f>
        <v>SAR</v>
      </c>
      <c r="N723" s="84">
        <f>VLOOKUP(Main_Presentation[[#This Row],[LC Number]],Main_Issuance[],12,0)</f>
        <v>933207.66</v>
      </c>
      <c r="O723" s="16" t="s">
        <v>20</v>
      </c>
      <c r="P723" s="16" t="s">
        <v>378</v>
      </c>
      <c r="Q723" s="131">
        <v>916299.21</v>
      </c>
      <c r="R723" s="18">
        <v>1</v>
      </c>
      <c r="S723" s="18">
        <f>Main_Presentation[[#This Row],[Invoice Amt (FCY)]]*Main_Presentation[[#This Row],[Rate]]</f>
        <v>916299.21</v>
      </c>
      <c r="T723" s="15">
        <v>45678</v>
      </c>
      <c r="U723" s="26" t="str">
        <f>VLOOKUP(Main_Presentation[[#This Row],[LC Number]],Main_Issuance[],18,0)</f>
        <v>90 Days from Invoice Date</v>
      </c>
      <c r="V723" s="19" t="s">
        <v>22</v>
      </c>
      <c r="W723" s="18" t="s">
        <v>857</v>
      </c>
      <c r="X723" s="16"/>
      <c r="Y723" s="234" t="str">
        <f>TRIM(LEFT(Main_Presentation[[#This Row],[Payment Terms]],3))</f>
        <v>90</v>
      </c>
      <c r="Z723" s="16"/>
      <c r="AA723" s="316" cm="1">
        <f t="array" ref="AA723">Settlement(Main_Presentation[[#This Row],[Bank]],Main_Presentation[[#This Row],[ Invoice Amt (SAR)]],Main_Presentation[[#This Row],[Date Recd]],Main_Presentation[[#This Row],[Due Date]],Main_Presentation[[#This Row],[Days]])</f>
        <v>2235.6</v>
      </c>
      <c r="AB723" s="16"/>
    </row>
    <row r="724" spans="1:28" ht="15.75" hidden="1" x14ac:dyDescent="0.25">
      <c r="A724" s="20" t="s">
        <v>444</v>
      </c>
      <c r="B724" s="15">
        <v>45665</v>
      </c>
      <c r="C724" s="26">
        <v>1</v>
      </c>
      <c r="D724" s="55" t="str">
        <f>VLOOKUP(Main_Presentation[[#This Row],[LC Number]],Main_Issuance[],3,0)</f>
        <v>Hassan Taleb</v>
      </c>
      <c r="E724" s="16" t="s">
        <v>856</v>
      </c>
      <c r="F724" s="17" t="str">
        <f>VLOOKUP(Main_Presentation[[#This Row],[LC Number]],Main_Issuance[],5,0)</f>
        <v>SNB</v>
      </c>
      <c r="G724" s="17" t="str">
        <f>VLOOKUP(Main_Presentation[[#This Row],[LC Number]],Main_Issuance[],6,0)</f>
        <v>Opera House</v>
      </c>
      <c r="H724" s="17" t="str">
        <f>VLOOKUP(Main_Presentation[[#This Row],[LC Number]],Main_Issuance[],17,0)</f>
        <v>Credit</v>
      </c>
      <c r="I724" s="17" t="str">
        <f>VLOOKUP(Main_Presentation[[#This Row],[LC Number]],Main_Issuance[],7,0)</f>
        <v>Rawabi Al Mahfar Trdg.Company Llc</v>
      </c>
      <c r="J724" s="17" t="str">
        <f>VLOOKUP(Main_Presentation[[#This Row],[LC Number]],Main_Issuance[],8,0)</f>
        <v>FIRST FIX</v>
      </c>
      <c r="K724" s="17" t="str">
        <f>VLOOKUP(Main_Presentation[[#This Row],[LC Number]],Main_Issuance[],9,0)</f>
        <v>KSP</v>
      </c>
      <c r="L724" s="17">
        <f>VLOOKUP(Main_Presentation[[#This Row],[LC Number]],Main_Issuance[],10,0)</f>
        <v>1020055</v>
      </c>
      <c r="M724" s="17" t="str">
        <f>VLOOKUP(Main_Presentation[[#This Row],[LC Number]],Main_Issuance[],11,0)</f>
        <v>SAR</v>
      </c>
      <c r="N724" s="84">
        <f>VLOOKUP(Main_Presentation[[#This Row],[LC Number]],Main_Issuance[],12,0)</f>
        <v>754128.94</v>
      </c>
      <c r="O724" s="16" t="s">
        <v>20</v>
      </c>
      <c r="P724" s="16" t="s">
        <v>378</v>
      </c>
      <c r="Q724" s="131">
        <v>754128.94</v>
      </c>
      <c r="R724" s="18">
        <v>1</v>
      </c>
      <c r="S724" s="18">
        <f>Main_Presentation[[#This Row],[Invoice Amt (FCY)]]*Main_Presentation[[#This Row],[Rate]]</f>
        <v>754128.94</v>
      </c>
      <c r="T724" s="15">
        <v>45706</v>
      </c>
      <c r="U724" s="26" t="str">
        <f>VLOOKUP(Main_Presentation[[#This Row],[LC Number]],Main_Issuance[],18,0)</f>
        <v>90 Days from Invoice Date</v>
      </c>
      <c r="V724" s="21" t="s">
        <v>90</v>
      </c>
      <c r="W724" s="22" t="s">
        <v>378</v>
      </c>
      <c r="X724" s="16"/>
      <c r="Y724" s="234" t="str">
        <f>TRIM(LEFT(Main_Presentation[[#This Row],[Payment Terms]],3))</f>
        <v>90</v>
      </c>
      <c r="Z724" s="16"/>
      <c r="AA724" s="316" cm="1">
        <f t="array" ref="AA724">Settlement(Main_Presentation[[#This Row],[Bank]],Main_Presentation[[#This Row],[ Invoice Amt (SAR)]],Main_Presentation[[#This Row],[Date Recd]],Main_Presentation[[#This Row],[Due Date]],Main_Presentation[[#This Row],[Days]])</f>
        <v>1846.9</v>
      </c>
      <c r="AB724" s="16"/>
    </row>
    <row r="725" spans="1:28" ht="15.75" hidden="1" x14ac:dyDescent="0.25">
      <c r="A725" s="20" t="s">
        <v>430</v>
      </c>
      <c r="B725" s="15">
        <v>45666</v>
      </c>
      <c r="C725" s="26">
        <v>1</v>
      </c>
      <c r="D725" s="55" t="str">
        <f>VLOOKUP(Main_Presentation[[#This Row],[LC Number]],Main_Issuance[],3,0)</f>
        <v>Hassan Taleb</v>
      </c>
      <c r="E725" s="16" t="s">
        <v>856</v>
      </c>
      <c r="F725" s="17" t="str">
        <f>VLOOKUP(Main_Presentation[[#This Row],[LC Number]],Main_Issuance[],5,0)</f>
        <v>SNB</v>
      </c>
      <c r="G725" s="17" t="str">
        <f>VLOOKUP(Main_Presentation[[#This Row],[LC Number]],Main_Issuance[],6,0)</f>
        <v>Opera House</v>
      </c>
      <c r="H725" s="17" t="str">
        <f>VLOOKUP(Main_Presentation[[#This Row],[LC Number]],Main_Issuance[],17,0)</f>
        <v>Credit</v>
      </c>
      <c r="I725" s="17" t="str">
        <f>VLOOKUP(Main_Presentation[[#This Row],[LC Number]],Main_Issuance[],7,0)</f>
        <v>Riyadh Cable Group Of Company</v>
      </c>
      <c r="J725" s="17" t="str">
        <f>VLOOKUP(Main_Presentation[[#This Row],[LC Number]],Main_Issuance[],8,0)</f>
        <v>FIRST FIX</v>
      </c>
      <c r="K725" s="17" t="str">
        <f>VLOOKUP(Main_Presentation[[#This Row],[LC Number]],Main_Issuance[],9,0)</f>
        <v>KSP</v>
      </c>
      <c r="L725" s="17">
        <f>VLOOKUP(Main_Presentation[[#This Row],[LC Number]],Main_Issuance[],10,0)</f>
        <v>1020055</v>
      </c>
      <c r="M725" s="17" t="str">
        <f>VLOOKUP(Main_Presentation[[#This Row],[LC Number]],Main_Issuance[],11,0)</f>
        <v>SAR</v>
      </c>
      <c r="N725" s="84">
        <f>VLOOKUP(Main_Presentation[[#This Row],[LC Number]],Main_Issuance[],12,0)</f>
        <v>530000</v>
      </c>
      <c r="O725" s="16" t="s">
        <v>20</v>
      </c>
      <c r="P725" s="16" t="s">
        <v>378</v>
      </c>
      <c r="Q725" s="131">
        <v>522689.46</v>
      </c>
      <c r="R725" s="18">
        <v>1</v>
      </c>
      <c r="S725" s="18">
        <f>Main_Presentation[[#This Row],[Invoice Amt (FCY)]]*Main_Presentation[[#This Row],[Rate]]</f>
        <v>522689.46</v>
      </c>
      <c r="T725" s="15">
        <v>45741</v>
      </c>
      <c r="U725" s="26" t="str">
        <f>VLOOKUP(Main_Presentation[[#This Row],[LC Number]],Main_Issuance[],18,0)</f>
        <v>90 Days from Invoice Date</v>
      </c>
      <c r="V725" s="21" t="s">
        <v>1106</v>
      </c>
      <c r="W725" s="22" t="s">
        <v>378</v>
      </c>
      <c r="X725" s="16"/>
      <c r="Y725" s="234" t="str">
        <f>TRIM(LEFT(Main_Presentation[[#This Row],[Payment Terms]],3))</f>
        <v>90</v>
      </c>
      <c r="Z725" s="16"/>
      <c r="AA725" s="316" cm="1">
        <f t="array" ref="AA725">Settlement(Main_Presentation[[#This Row],[Bank]],Main_Presentation[[#This Row],[ Invoice Amt (SAR)]],Main_Presentation[[#This Row],[Date Recd]],Main_Presentation[[#This Row],[Due Date]],Main_Presentation[[#This Row],[Days]])</f>
        <v>2544.9499999999998</v>
      </c>
      <c r="AB725" s="16"/>
    </row>
    <row r="726" spans="1:28" ht="15.75" hidden="1" x14ac:dyDescent="0.25">
      <c r="A726" s="20" t="s">
        <v>450</v>
      </c>
      <c r="B726" s="15">
        <v>45678</v>
      </c>
      <c r="C726" s="26">
        <v>1</v>
      </c>
      <c r="D726" s="55" t="str">
        <f>VLOOKUP(Main_Presentation[[#This Row],[LC Number]],Main_Issuance[],3,0)</f>
        <v>Hassan Taleb</v>
      </c>
      <c r="E726" s="16" t="s">
        <v>858</v>
      </c>
      <c r="F726" s="17" t="str">
        <f>VLOOKUP(Main_Presentation[[#This Row],[LC Number]],Main_Issuance[],5,0)</f>
        <v>SNB</v>
      </c>
      <c r="G726" s="17" t="str">
        <f>VLOOKUP(Main_Presentation[[#This Row],[LC Number]],Main_Issuance[],6,0)</f>
        <v>Opera House</v>
      </c>
      <c r="H726" s="17" t="str">
        <f>VLOOKUP(Main_Presentation[[#This Row],[LC Number]],Main_Issuance[],17,0)</f>
        <v>Credit</v>
      </c>
      <c r="I726" s="17" t="str">
        <f>VLOOKUP(Main_Presentation[[#This Row],[LC Number]],Main_Issuance[],7,0)</f>
        <v>Al Wefaq Contracting Company</v>
      </c>
      <c r="J726" s="17" t="str">
        <f>VLOOKUP(Main_Presentation[[#This Row],[LC Number]],Main_Issuance[],8,0)</f>
        <v>FIRST FIX</v>
      </c>
      <c r="K726" s="17" t="str">
        <f>VLOOKUP(Main_Presentation[[#This Row],[LC Number]],Main_Issuance[],9,0)</f>
        <v>KSP</v>
      </c>
      <c r="L726" s="17">
        <f>VLOOKUP(Main_Presentation[[#This Row],[LC Number]],Main_Issuance[],10,0)</f>
        <v>1020055</v>
      </c>
      <c r="M726" s="17" t="str">
        <f>VLOOKUP(Main_Presentation[[#This Row],[LC Number]],Main_Issuance[],11,0)</f>
        <v>SAR</v>
      </c>
      <c r="N726" s="84">
        <f>VLOOKUP(Main_Presentation[[#This Row],[LC Number]],Main_Issuance[],12,0)</f>
        <v>491845.28749999998</v>
      </c>
      <c r="O726" s="16" t="s">
        <v>20</v>
      </c>
      <c r="P726" s="16" t="s">
        <v>378</v>
      </c>
      <c r="Q726" s="131">
        <v>491845.29</v>
      </c>
      <c r="R726" s="18">
        <v>1</v>
      </c>
      <c r="S726" s="18">
        <f>Main_Presentation[[#This Row],[Invoice Amt (FCY)]]*Main_Presentation[[#This Row],[Rate]]</f>
        <v>491845.29</v>
      </c>
      <c r="T726" s="15">
        <v>45706</v>
      </c>
      <c r="U726" s="26" t="str">
        <f>VLOOKUP(Main_Presentation[[#This Row],[LC Number]],Main_Issuance[],18,0)</f>
        <v>90 Days from Invoice Date</v>
      </c>
      <c r="V726" s="21" t="s">
        <v>90</v>
      </c>
      <c r="W726" s="22" t="s">
        <v>378</v>
      </c>
      <c r="X726" s="16"/>
      <c r="Y726" s="234" t="str">
        <f>TRIM(LEFT(Main_Presentation[[#This Row],[Payment Terms]],3))</f>
        <v>90</v>
      </c>
      <c r="Z726" s="16"/>
      <c r="AA726" s="316" cm="1">
        <f t="array" ref="AA726">Settlement(Main_Presentation[[#This Row],[Bank]],Main_Presentation[[#This Row],[ Invoice Amt (SAR)]],Main_Presentation[[#This Row],[Date Recd]],Main_Presentation[[#This Row],[Due Date]],Main_Presentation[[#This Row],[Days]])</f>
        <v>1219</v>
      </c>
      <c r="AB726" s="16"/>
    </row>
    <row r="727" spans="1:28" ht="15.75" hidden="1" x14ac:dyDescent="0.25">
      <c r="A727" s="20" t="s">
        <v>440</v>
      </c>
      <c r="B727" s="15">
        <v>45683</v>
      </c>
      <c r="C727" s="26">
        <v>3</v>
      </c>
      <c r="D727" s="55" t="str">
        <f>VLOOKUP(Main_Presentation[[#This Row],[LC Number]],Main_Issuance[],3,0)</f>
        <v>Hassan Taleb</v>
      </c>
      <c r="E727" s="16" t="s">
        <v>856</v>
      </c>
      <c r="F727" s="17" t="str">
        <f>VLOOKUP(Main_Presentation[[#This Row],[LC Number]],Main_Issuance[],5,0)</f>
        <v>SNB</v>
      </c>
      <c r="G727" s="17" t="str">
        <f>VLOOKUP(Main_Presentation[[#This Row],[LC Number]],Main_Issuance[],6,0)</f>
        <v>Opera House</v>
      </c>
      <c r="H727" s="17" t="str">
        <f>VLOOKUP(Main_Presentation[[#This Row],[LC Number]],Main_Issuance[],17,0)</f>
        <v>Credit</v>
      </c>
      <c r="I727" s="17" t="str">
        <f>VLOOKUP(Main_Presentation[[#This Row],[LC Number]],Main_Issuance[],7,0)</f>
        <v>AL BILAD CONCRETE PIPE CO.LTD</v>
      </c>
      <c r="J727" s="17" t="str">
        <f>VLOOKUP(Main_Presentation[[#This Row],[LC Number]],Main_Issuance[],8,0)</f>
        <v>FIRST FIX</v>
      </c>
      <c r="K727" s="17" t="str">
        <f>VLOOKUP(Main_Presentation[[#This Row],[LC Number]],Main_Issuance[],9,0)</f>
        <v>KSP</v>
      </c>
      <c r="L727" s="17">
        <f>VLOOKUP(Main_Presentation[[#This Row],[LC Number]],Main_Issuance[],10,0)</f>
        <v>1020055</v>
      </c>
      <c r="M727" s="17" t="str">
        <f>VLOOKUP(Main_Presentation[[#This Row],[LC Number]],Main_Issuance[],11,0)</f>
        <v>SAR</v>
      </c>
      <c r="N727" s="84">
        <f>VLOOKUP(Main_Presentation[[#This Row],[LC Number]],Main_Issuance[],12,0)</f>
        <v>1001635.3025</v>
      </c>
      <c r="O727" s="16" t="s">
        <v>20</v>
      </c>
      <c r="P727" s="16" t="s">
        <v>378</v>
      </c>
      <c r="Q727" s="131">
        <v>182832.65</v>
      </c>
      <c r="R727" s="18">
        <v>1</v>
      </c>
      <c r="S727" s="18">
        <f>Main_Presentation[[#This Row],[Invoice Amt (FCY)]]*Main_Presentation[[#This Row],[Rate]]</f>
        <v>182832.65</v>
      </c>
      <c r="T727" s="15">
        <v>45721</v>
      </c>
      <c r="U727" s="26" t="str">
        <f>VLOOKUP(Main_Presentation[[#This Row],[LC Number]],Main_Issuance[],18,0)</f>
        <v>90 Days from Invoice Date</v>
      </c>
      <c r="V727" s="19" t="s">
        <v>884</v>
      </c>
      <c r="W727" s="22" t="s">
        <v>378</v>
      </c>
      <c r="X727" s="16"/>
      <c r="Y727" s="234" t="str">
        <f>TRIM(LEFT(Main_Presentation[[#This Row],[Payment Terms]],3))</f>
        <v>90</v>
      </c>
      <c r="Z727" s="16"/>
      <c r="AA727" s="316" cm="1">
        <f t="array" ref="AA727">Settlement(Main_Presentation[[#This Row],[Bank]],Main_Presentation[[#This Row],[ Invoice Amt (SAR)]],Main_Presentation[[#This Row],[Date Recd]],Main_Presentation[[#This Row],[Due Date]],Main_Presentation[[#This Row],[Days]])</f>
        <v>655.5</v>
      </c>
      <c r="AB727" s="16"/>
    </row>
    <row r="728" spans="1:28" ht="15.75" hidden="1" x14ac:dyDescent="0.25">
      <c r="A728" s="20" t="s">
        <v>426</v>
      </c>
      <c r="B728" s="15">
        <v>45685</v>
      </c>
      <c r="C728" s="26">
        <v>2</v>
      </c>
      <c r="D728" s="55" t="str">
        <f>VLOOKUP(Main_Presentation[[#This Row],[LC Number]],Main_Issuance[],3,0)</f>
        <v>Hassan Taleb</v>
      </c>
      <c r="E728" s="16" t="s">
        <v>856</v>
      </c>
      <c r="F728" s="17" t="str">
        <f>VLOOKUP(Main_Presentation[[#This Row],[LC Number]],Main_Issuance[],5,0)</f>
        <v>SNB</v>
      </c>
      <c r="G728" s="17" t="str">
        <f>VLOOKUP(Main_Presentation[[#This Row],[LC Number]],Main_Issuance[],6,0)</f>
        <v>Opera House</v>
      </c>
      <c r="H728" s="17" t="str">
        <f>VLOOKUP(Main_Presentation[[#This Row],[LC Number]],Main_Issuance[],17,0)</f>
        <v>Credit</v>
      </c>
      <c r="I728" s="17" t="str">
        <f>VLOOKUP(Main_Presentation[[#This Row],[LC Number]],Main_Issuance[],7,0)</f>
        <v>Al Fanar Co. Ltd.</v>
      </c>
      <c r="J728" s="17" t="str">
        <f>VLOOKUP(Main_Presentation[[#This Row],[LC Number]],Main_Issuance[],8,0)</f>
        <v>FIRST FIX</v>
      </c>
      <c r="K728" s="17" t="str">
        <f>VLOOKUP(Main_Presentation[[#This Row],[LC Number]],Main_Issuance[],9,0)</f>
        <v>KSP</v>
      </c>
      <c r="L728" s="17">
        <f>VLOOKUP(Main_Presentation[[#This Row],[LC Number]],Main_Issuance[],10,0)</f>
        <v>1020055</v>
      </c>
      <c r="M728" s="17" t="str">
        <f>VLOOKUP(Main_Presentation[[#This Row],[LC Number]],Main_Issuance[],11,0)</f>
        <v>SAR</v>
      </c>
      <c r="N728" s="84">
        <f>VLOOKUP(Main_Presentation[[#This Row],[LC Number]],Main_Issuance[],12,0)</f>
        <v>966000</v>
      </c>
      <c r="O728" s="16" t="s">
        <v>20</v>
      </c>
      <c r="P728" s="16" t="s">
        <v>378</v>
      </c>
      <c r="Q728" s="131">
        <v>34499.910000000003</v>
      </c>
      <c r="R728" s="18">
        <v>1</v>
      </c>
      <c r="S728" s="18">
        <f>Main_Presentation[[#This Row],[Invoice Amt (FCY)]]*Main_Presentation[[#This Row],[Rate]]</f>
        <v>34499.910000000003</v>
      </c>
      <c r="T728" s="15">
        <v>45721</v>
      </c>
      <c r="U728" s="26" t="str">
        <f>VLOOKUP(Main_Presentation[[#This Row],[LC Number]],Main_Issuance[],18,0)</f>
        <v>90 Days from Invoice Date</v>
      </c>
      <c r="V728" s="19" t="s">
        <v>884</v>
      </c>
      <c r="W728" s="22" t="s">
        <v>378</v>
      </c>
      <c r="X728" s="16"/>
      <c r="Y728" s="234" t="str">
        <f>TRIM(LEFT(Main_Presentation[[#This Row],[Payment Terms]],3))</f>
        <v>90</v>
      </c>
      <c r="Z728" s="16"/>
      <c r="AA728" s="316" cm="1">
        <f t="array" ref="AA728">Settlement(Main_Presentation[[#This Row],[Bank]],Main_Presentation[[#This Row],[ Invoice Amt (SAR)]],Main_Presentation[[#This Row],[Date Recd]],Main_Presentation[[#This Row],[Due Date]],Main_Presentation[[#This Row],[Days]])</f>
        <v>655.5</v>
      </c>
      <c r="AB728" s="16"/>
    </row>
    <row r="729" spans="1:28" ht="15.75" hidden="1" x14ac:dyDescent="0.25">
      <c r="A729" s="20" t="s">
        <v>398</v>
      </c>
      <c r="B729" s="15">
        <v>45698</v>
      </c>
      <c r="C729" s="26">
        <v>2</v>
      </c>
      <c r="D729" s="55" t="str">
        <f>VLOOKUP(Main_Presentation[[#This Row],[LC Number]],Main_Issuance[],3,0)</f>
        <v>Hassan Taleb</v>
      </c>
      <c r="E729" s="16" t="s">
        <v>858</v>
      </c>
      <c r="F729" s="17" t="str">
        <f>VLOOKUP(Main_Presentation[[#This Row],[LC Number]],Main_Issuance[],5,0)</f>
        <v>SNB</v>
      </c>
      <c r="G729" s="17" t="str">
        <f>VLOOKUP(Main_Presentation[[#This Row],[LC Number]],Main_Issuance[],6,0)</f>
        <v>Opera House</v>
      </c>
      <c r="H729" s="17" t="str">
        <f>VLOOKUP(Main_Presentation[[#This Row],[LC Number]],Main_Issuance[],17,0)</f>
        <v>Credit</v>
      </c>
      <c r="I729" s="17" t="str">
        <f>VLOOKUP(Main_Presentation[[#This Row],[LC Number]],Main_Issuance[],7,0)</f>
        <v>AFAQ AL MALAZ TRADING CO LTD</v>
      </c>
      <c r="J729" s="17" t="str">
        <f>VLOOKUP(Main_Presentation[[#This Row],[LC Number]],Main_Issuance[],8,0)</f>
        <v>FIRST FIX</v>
      </c>
      <c r="K729" s="17" t="str">
        <f>VLOOKUP(Main_Presentation[[#This Row],[LC Number]],Main_Issuance[],9,0)</f>
        <v>KSP</v>
      </c>
      <c r="L729" s="17">
        <f>VLOOKUP(Main_Presentation[[#This Row],[LC Number]],Main_Issuance[],10,0)</f>
        <v>1020055</v>
      </c>
      <c r="M729" s="17" t="str">
        <f>VLOOKUP(Main_Presentation[[#This Row],[LC Number]],Main_Issuance[],11,0)</f>
        <v>SAR</v>
      </c>
      <c r="N729" s="84">
        <f>VLOOKUP(Main_Presentation[[#This Row],[LC Number]],Main_Issuance[],12,0)</f>
        <v>482012.43</v>
      </c>
      <c r="O729" s="16" t="s">
        <v>20</v>
      </c>
      <c r="P729" s="16" t="s">
        <v>378</v>
      </c>
      <c r="Q729" s="131">
        <v>252814.24</v>
      </c>
      <c r="R729" s="18">
        <v>1</v>
      </c>
      <c r="S729" s="18">
        <f>Main_Presentation[[#This Row],[Invoice Amt (FCY)]]*Main_Presentation[[#This Row],[Rate]]</f>
        <v>252814.24</v>
      </c>
      <c r="T729" s="15">
        <v>45761</v>
      </c>
      <c r="U729" s="26" t="str">
        <f>VLOOKUP(Main_Presentation[[#This Row],[LC Number]],Main_Issuance[],18,0)</f>
        <v>90 Days from Invoice Date</v>
      </c>
      <c r="V729" s="21" t="s">
        <v>1197</v>
      </c>
      <c r="W729" s="22" t="s">
        <v>378</v>
      </c>
      <c r="X729" s="16"/>
      <c r="Y729" s="234" t="str">
        <f>TRIM(LEFT(Main_Presentation[[#This Row],[Payment Terms]],3))</f>
        <v>90</v>
      </c>
      <c r="Z729" s="16"/>
      <c r="AA729" s="316" cm="1">
        <f t="array" ref="AA729">Settlement(Main_Presentation[[#This Row],[Bank]],Main_Presentation[[#This Row],[ Invoice Amt (SAR)]],Main_Presentation[[#This Row],[Date Recd]],Main_Presentation[[#This Row],[Due Date]],Main_Presentation[[#This Row],[Days]])</f>
        <v>1251.2</v>
      </c>
      <c r="AB729" s="16"/>
    </row>
    <row r="730" spans="1:28" ht="15.75" hidden="1" x14ac:dyDescent="0.25">
      <c r="A730" s="20" t="s">
        <v>667</v>
      </c>
      <c r="B730" s="15">
        <v>45714</v>
      </c>
      <c r="C730" s="26">
        <v>1</v>
      </c>
      <c r="D730" s="55" t="str">
        <f>VLOOKUP(Main_Presentation[[#This Row],[LC Number]],Main_Issuance[],3,0)</f>
        <v>Hassan Taleb</v>
      </c>
      <c r="E730" s="16" t="s">
        <v>858</v>
      </c>
      <c r="F730" s="16" t="str">
        <f>VLOOKUP(Main_Presentation[[#This Row],[LC Number]],Main_Issuance[],5,0)</f>
        <v>SNB</v>
      </c>
      <c r="G730" s="16" t="str">
        <f>VLOOKUP(Main_Presentation[[#This Row],[LC Number]],Main_Issuance[],6,0)</f>
        <v>Opera House</v>
      </c>
      <c r="H730" s="16" t="str">
        <f>VLOOKUP(Main_Presentation[[#This Row],[LC Number]],Main_Issuance[],17,0)</f>
        <v>Credit</v>
      </c>
      <c r="I730" s="16" t="str">
        <f>VLOOKUP(Main_Presentation[[#This Row],[LC Number]],Main_Issuance[],7,0)</f>
        <v>ESTABLISHMENT OF AL OROUBA TOWER FOR GENERAL CONTRACTING</v>
      </c>
      <c r="J730" s="16" t="str">
        <f>VLOOKUP(Main_Presentation[[#This Row],[LC Number]],Main_Issuance[],8,0)</f>
        <v>FIRST FIX</v>
      </c>
      <c r="K730" s="16" t="str">
        <f>VLOOKUP(Main_Presentation[[#This Row],[LC Number]],Main_Issuance[],9,0)</f>
        <v>KSP</v>
      </c>
      <c r="L730" s="16">
        <f>VLOOKUP(Main_Presentation[[#This Row],[LC Number]],Main_Issuance[],10,0)</f>
        <v>1020055</v>
      </c>
      <c r="M730" s="16" t="str">
        <f>VLOOKUP(Main_Presentation[[#This Row],[LC Number]],Main_Issuance[],11,0)</f>
        <v>SAR</v>
      </c>
      <c r="N730" s="86">
        <f>VLOOKUP(Main_Presentation[[#This Row],[LC Number]],Main_Issuance[],12,0)</f>
        <v>1000000</v>
      </c>
      <c r="O730" s="16" t="s">
        <v>20</v>
      </c>
      <c r="P730" s="16" t="s">
        <v>378</v>
      </c>
      <c r="Q730" s="131">
        <v>1000000</v>
      </c>
      <c r="R730" s="18">
        <v>1</v>
      </c>
      <c r="S730" s="18">
        <f>Main_Presentation[[#This Row],[Invoice Amt (FCY)]]*Main_Presentation[[#This Row],[Rate]]</f>
        <v>1000000</v>
      </c>
      <c r="T730" s="15">
        <v>45785</v>
      </c>
      <c r="U730" s="26" t="str">
        <f>VLOOKUP(Main_Presentation[[#This Row],[LC Number]],Main_Issuance[],18,0)</f>
        <v>90 Days from Invoice Date</v>
      </c>
      <c r="V730" s="21" t="s">
        <v>90</v>
      </c>
      <c r="W730" s="22" t="s">
        <v>378</v>
      </c>
      <c r="X730" s="16"/>
      <c r="Y730" s="234" t="str">
        <f>TRIM(LEFT(Main_Presentation[[#This Row],[Payment Terms]],3))</f>
        <v>90</v>
      </c>
      <c r="Z730" s="16"/>
      <c r="AA730" s="316" cm="1">
        <f t="array" ref="AA730">Settlement(Main_Presentation[[#This Row],[Bank]],Main_Presentation[[#This Row],[ Invoice Amt (SAR)]],Main_Presentation[[#This Row],[Date Recd]],Main_Presentation[[#This Row],[Due Date]],Main_Presentation[[#This Row],[Days]])</f>
        <v>4832.3</v>
      </c>
      <c r="AB730" s="16"/>
    </row>
    <row r="731" spans="1:28" ht="15.75" hidden="1" x14ac:dyDescent="0.25">
      <c r="A731" s="20" t="s">
        <v>661</v>
      </c>
      <c r="B731" s="15">
        <v>45734</v>
      </c>
      <c r="C731" s="26">
        <v>1</v>
      </c>
      <c r="D731" s="55" t="str">
        <f>VLOOKUP(Main_Presentation[[#This Row],[LC Number]],Main_Issuance[],3,0)</f>
        <v>Hassan Taleb</v>
      </c>
      <c r="E731" s="16" t="s">
        <v>858</v>
      </c>
      <c r="F731" s="16" t="str">
        <f>VLOOKUP(Main_Presentation[[#This Row],[LC Number]],Main_Issuance[],5,0)</f>
        <v>SNB</v>
      </c>
      <c r="G731" s="16" t="str">
        <f>VLOOKUP(Main_Presentation[[#This Row],[LC Number]],Main_Issuance[],6,0)</f>
        <v>Opera House</v>
      </c>
      <c r="H731" s="16" t="str">
        <f>VLOOKUP(Main_Presentation[[#This Row],[LC Number]],Main_Issuance[],17,0)</f>
        <v>Credit</v>
      </c>
      <c r="I731" s="16" t="str">
        <f>VLOOKUP(Main_Presentation[[#This Row],[LC Number]],Main_Issuance[],7,0)</f>
        <v>Br. Mumtaz &amp; Construction Co.</v>
      </c>
      <c r="J731" s="16" t="str">
        <f>VLOOKUP(Main_Presentation[[#This Row],[LC Number]],Main_Issuance[],8,0)</f>
        <v>FIRST FIX</v>
      </c>
      <c r="K731" s="16" t="str">
        <f>VLOOKUP(Main_Presentation[[#This Row],[LC Number]],Main_Issuance[],9,0)</f>
        <v>KSP</v>
      </c>
      <c r="L731" s="16">
        <f>VLOOKUP(Main_Presentation[[#This Row],[LC Number]],Main_Issuance[],10,0)</f>
        <v>1020055</v>
      </c>
      <c r="M731" s="16" t="str">
        <f>VLOOKUP(Main_Presentation[[#This Row],[LC Number]],Main_Issuance[],11,0)</f>
        <v>SAR</v>
      </c>
      <c r="N731" s="86">
        <f>VLOOKUP(Main_Presentation[[#This Row],[LC Number]],Main_Issuance[],12,0)</f>
        <v>1000000</v>
      </c>
      <c r="O731" s="16" t="s">
        <v>20</v>
      </c>
      <c r="P731" s="16" t="s">
        <v>378</v>
      </c>
      <c r="Q731" s="131">
        <v>1000000</v>
      </c>
      <c r="R731" s="18">
        <v>1</v>
      </c>
      <c r="S731" s="131">
        <f>Main_Presentation[[#This Row],[Invoice Amt (FCY)]]*Main_Presentation[[#This Row],[Rate]]</f>
        <v>1000000</v>
      </c>
      <c r="T731" s="15">
        <v>45811</v>
      </c>
      <c r="U731" s="26" t="str">
        <f>VLOOKUP(Main_Presentation[[#This Row],[LC Number]],Main_Issuance[],18,0)</f>
        <v>90 Days from Invoice Date</v>
      </c>
      <c r="V731" s="21" t="s">
        <v>22</v>
      </c>
      <c r="W731" s="22" t="s">
        <v>857</v>
      </c>
      <c r="X731" s="16"/>
      <c r="Y731" s="234" t="str">
        <f>TRIM(LEFT(Main_Presentation[[#This Row],[Payment Terms]],3))</f>
        <v>90</v>
      </c>
      <c r="Z731" s="16"/>
      <c r="AA731" s="316" cm="1">
        <f t="array" ref="AA731">Settlement(Main_Presentation[[#This Row],[Bank]],Main_Presentation[[#This Row],[ Invoice Amt (SAR)]],Main_Presentation[[#This Row],[Date Recd]],Main_Presentation[[#This Row],[Due Date]],Main_Presentation[[#This Row],[Days]])</f>
        <v>4832.3</v>
      </c>
      <c r="AB731" s="16"/>
    </row>
    <row r="732" spans="1:28" ht="15.75" hidden="1" x14ac:dyDescent="0.25">
      <c r="A732" s="20" t="s">
        <v>634</v>
      </c>
      <c r="B732" s="15">
        <v>45734</v>
      </c>
      <c r="C732" s="26">
        <v>1</v>
      </c>
      <c r="D732" s="55" t="str">
        <f>VLOOKUP(Main_Presentation[[#This Row],[LC Number]],Main_Issuance[],3,0)</f>
        <v>Hassan Taleb</v>
      </c>
      <c r="E732" s="16" t="s">
        <v>858</v>
      </c>
      <c r="F732" s="16" t="str">
        <f>VLOOKUP(Main_Presentation[[#This Row],[LC Number]],Main_Issuance[],5,0)</f>
        <v>SNB</v>
      </c>
      <c r="G732" s="16" t="str">
        <f>VLOOKUP(Main_Presentation[[#This Row],[LC Number]],Main_Issuance[],6,0)</f>
        <v>Opera House</v>
      </c>
      <c r="H732" s="16" t="str">
        <f>VLOOKUP(Main_Presentation[[#This Row],[LC Number]],Main_Issuance[],17,0)</f>
        <v>Credit</v>
      </c>
      <c r="I732" s="16" t="str">
        <f>VLOOKUP(Main_Presentation[[#This Row],[LC Number]],Main_Issuance[],7,0)</f>
        <v>ALBYT ALTHAKI Trading CO</v>
      </c>
      <c r="J732" s="16" t="str">
        <f>VLOOKUP(Main_Presentation[[#This Row],[LC Number]],Main_Issuance[],8,0)</f>
        <v>FIRST FIX</v>
      </c>
      <c r="K732" s="16" t="str">
        <f>VLOOKUP(Main_Presentation[[#This Row],[LC Number]],Main_Issuance[],9,0)</f>
        <v>KSP</v>
      </c>
      <c r="L732" s="16">
        <f>VLOOKUP(Main_Presentation[[#This Row],[LC Number]],Main_Issuance[],10,0)</f>
        <v>1020055</v>
      </c>
      <c r="M732" s="16" t="str">
        <f>VLOOKUP(Main_Presentation[[#This Row],[LC Number]],Main_Issuance[],11,0)</f>
        <v>SAR</v>
      </c>
      <c r="N732" s="86">
        <f>VLOOKUP(Main_Presentation[[#This Row],[LC Number]],Main_Issuance[],12,0)</f>
        <v>500000</v>
      </c>
      <c r="O732" s="16" t="s">
        <v>20</v>
      </c>
      <c r="P732" s="16" t="s">
        <v>378</v>
      </c>
      <c r="Q732" s="131">
        <v>500000</v>
      </c>
      <c r="R732" s="18">
        <v>1</v>
      </c>
      <c r="S732" s="131">
        <f>Main_Presentation[[#This Row],[Invoice Amt (FCY)]]*Main_Presentation[[#This Row],[Rate]]</f>
        <v>500000</v>
      </c>
      <c r="T732" s="15">
        <v>45785</v>
      </c>
      <c r="U732" s="26" t="str">
        <f>VLOOKUP(Main_Presentation[[#This Row],[LC Number]],Main_Issuance[],18,0)</f>
        <v>90 Days from Invoice Date</v>
      </c>
      <c r="V732" s="21" t="s">
        <v>90</v>
      </c>
      <c r="W732" s="22" t="s">
        <v>378</v>
      </c>
      <c r="X732" s="16"/>
      <c r="Y732" s="234" t="str">
        <f>TRIM(LEFT(Main_Presentation[[#This Row],[Payment Terms]],3))</f>
        <v>90</v>
      </c>
      <c r="Z732" s="16"/>
      <c r="AA732" s="316" cm="1">
        <f t="array" ref="AA732">Settlement(Main_Presentation[[#This Row],[Bank]],Main_Presentation[[#This Row],[ Invoice Amt (SAR)]],Main_Presentation[[#This Row],[Date Recd]],Main_Presentation[[#This Row],[Due Date]],Main_Presentation[[#This Row],[Days]])</f>
        <v>2435.6999999999998</v>
      </c>
      <c r="AB732" s="16"/>
    </row>
    <row r="733" spans="1:28" ht="15.75" hidden="1" x14ac:dyDescent="0.25">
      <c r="A733" s="20" t="s">
        <v>440</v>
      </c>
      <c r="B733" s="15">
        <v>45753</v>
      </c>
      <c r="C733" s="26">
        <v>4</v>
      </c>
      <c r="D733" s="55" t="str">
        <f>VLOOKUP(Main_Presentation[[#This Row],[LC Number]],Main_Issuance[],3,0)</f>
        <v>Hassan Taleb</v>
      </c>
      <c r="E733" s="16" t="s">
        <v>856</v>
      </c>
      <c r="F733" s="16" t="str">
        <f>VLOOKUP(Main_Presentation[[#This Row],[LC Number]],Main_Issuance[],5,0)</f>
        <v>SNB</v>
      </c>
      <c r="G733" s="16" t="str">
        <f>VLOOKUP(Main_Presentation[[#This Row],[LC Number]],Main_Issuance[],6,0)</f>
        <v>Opera House</v>
      </c>
      <c r="H733" s="16" t="str">
        <f>VLOOKUP(Main_Presentation[[#This Row],[LC Number]],Main_Issuance[],17,0)</f>
        <v>Credit</v>
      </c>
      <c r="I733" s="16" t="str">
        <f>VLOOKUP(Main_Presentation[[#This Row],[LC Number]],Main_Issuance[],7,0)</f>
        <v>AL BILAD CONCRETE PIPE CO.LTD</v>
      </c>
      <c r="J733" s="16" t="str">
        <f>VLOOKUP(Main_Presentation[[#This Row],[LC Number]],Main_Issuance[],8,0)</f>
        <v>FIRST FIX</v>
      </c>
      <c r="K733" s="16" t="str">
        <f>VLOOKUP(Main_Presentation[[#This Row],[LC Number]],Main_Issuance[],9,0)</f>
        <v>KSP</v>
      </c>
      <c r="L733" s="16">
        <f>VLOOKUP(Main_Presentation[[#This Row],[LC Number]],Main_Issuance[],10,0)</f>
        <v>1020055</v>
      </c>
      <c r="M733" s="16" t="str">
        <f>VLOOKUP(Main_Presentation[[#This Row],[LC Number]],Main_Issuance[],11,0)</f>
        <v>SAR</v>
      </c>
      <c r="N733" s="86">
        <f>VLOOKUP(Main_Presentation[[#This Row],[LC Number]],Main_Issuance[],12,0)</f>
        <v>1001635.3025</v>
      </c>
      <c r="O733" s="16" t="s">
        <v>20</v>
      </c>
      <c r="P733" s="16" t="s">
        <v>378</v>
      </c>
      <c r="Q733" s="131">
        <v>304995.88</v>
      </c>
      <c r="R733" s="18">
        <v>1</v>
      </c>
      <c r="S733" s="18">
        <f>Main_Presentation[[#This Row],[Invoice Amt (FCY)]]*Main_Presentation[[#This Row],[Rate]]</f>
        <v>304995.88</v>
      </c>
      <c r="T733" s="15">
        <v>45746</v>
      </c>
      <c r="U733" s="26" t="str">
        <f>VLOOKUP(Main_Presentation[[#This Row],[LC Number]],Main_Issuance[],18,0)</f>
        <v>90 Days from Invoice Date</v>
      </c>
      <c r="V733" s="21" t="s">
        <v>1107</v>
      </c>
      <c r="W733" s="22" t="s">
        <v>378</v>
      </c>
      <c r="X733" s="16"/>
      <c r="Y733" s="234" t="str">
        <f>TRIM(LEFT(Main_Presentation[[#This Row],[Payment Terms]],3))</f>
        <v>90</v>
      </c>
      <c r="Z733" s="16"/>
      <c r="AA733" s="316" cm="1">
        <f t="array" ref="AA733">Settlement(Main_Presentation[[#This Row],[Bank]],Main_Presentation[[#This Row],[ Invoice Amt (SAR)]],Main_Presentation[[#This Row],[Date Recd]],Main_Presentation[[#This Row],[Due Date]],Main_Presentation[[#This Row],[Days]])</f>
        <v>655.5</v>
      </c>
      <c r="AB733" s="16"/>
    </row>
    <row r="734" spans="1:28" ht="15.75" hidden="1" x14ac:dyDescent="0.25">
      <c r="A734" s="129" t="s">
        <v>363</v>
      </c>
      <c r="B734" s="15">
        <v>45803</v>
      </c>
      <c r="C734" s="26">
        <v>1</v>
      </c>
      <c r="D734" s="55" t="str">
        <f>VLOOKUP(Main_Presentation[[#This Row],[LC Number]],Main_Issuance[],3,0)</f>
        <v>Hassan Taleb</v>
      </c>
      <c r="E734" s="16" t="s">
        <v>858</v>
      </c>
      <c r="F734" s="16" t="str">
        <f>VLOOKUP(Main_Presentation[[#This Row],[LC Number]],Main_Issuance[],5,0)</f>
        <v>SNB</v>
      </c>
      <c r="G734" s="16" t="str">
        <f>VLOOKUP(Main_Presentation[[#This Row],[LC Number]],Main_Issuance[],6,0)</f>
        <v>Opera House</v>
      </c>
      <c r="H734" s="16" t="str">
        <f>VLOOKUP(Main_Presentation[[#This Row],[LC Number]],Main_Issuance[],17,0)</f>
        <v>Credit</v>
      </c>
      <c r="I734" s="16" t="str">
        <f>VLOOKUP(Main_Presentation[[#This Row],[LC Number]],Main_Issuance[],7,0)</f>
        <v>API ENERGY MIDDLE EASTAPI ENERGY GE</v>
      </c>
      <c r="J734" s="16" t="str">
        <f>VLOOKUP(Main_Presentation[[#This Row],[LC Number]],Main_Issuance[],8,0)</f>
        <v>FIRST FIX</v>
      </c>
      <c r="K734" s="16" t="str">
        <f>VLOOKUP(Main_Presentation[[#This Row],[LC Number]],Main_Issuance[],9,0)</f>
        <v>KSP</v>
      </c>
      <c r="L734" s="16">
        <f>VLOOKUP(Main_Presentation[[#This Row],[LC Number]],Main_Issuance[],10,0)</f>
        <v>1020055</v>
      </c>
      <c r="M734" s="16" t="str">
        <f>VLOOKUP(Main_Presentation[[#This Row],[LC Number]],Main_Issuance[],11,0)</f>
        <v>AED</v>
      </c>
      <c r="N734" s="86">
        <f>VLOOKUP(Main_Presentation[[#This Row],[LC Number]],Main_Issuance[],12,0)</f>
        <v>1363657</v>
      </c>
      <c r="O734" s="16" t="s">
        <v>20</v>
      </c>
      <c r="P734" s="16" t="s">
        <v>378</v>
      </c>
      <c r="Q734" s="131">
        <v>1063657</v>
      </c>
      <c r="R734" s="18">
        <v>1.0327</v>
      </c>
      <c r="S734" s="18">
        <f>Main_Presentation[[#This Row],[Invoice Amt (FCY)]]*Main_Presentation[[#This Row],[Rate]]</f>
        <v>1098438.5839</v>
      </c>
      <c r="T734" s="15">
        <v>45809</v>
      </c>
      <c r="U734" s="26" t="str">
        <f>VLOOKUP(Main_Presentation[[#This Row],[LC Number]],Main_Issuance[],18,0)</f>
        <v>90 Days from Invoice Date</v>
      </c>
      <c r="V734" s="21" t="s">
        <v>1427</v>
      </c>
      <c r="W734" s="22" t="s">
        <v>378</v>
      </c>
      <c r="X734" s="16"/>
      <c r="Y734" s="234" t="str">
        <f>TRIM(LEFT(Main_Presentation[[#This Row],[Payment Terms]],3))</f>
        <v>90</v>
      </c>
      <c r="Z734" s="16"/>
      <c r="AA734" s="316" cm="1">
        <f t="array" ref="AA734">Settlement(Main_Presentation[[#This Row],[Bank]],Main_Presentation[[#This Row],[ Invoice Amt (SAR)]],Main_Presentation[[#This Row],[Date Recd]],Main_Presentation[[#This Row],[Due Date]],Main_Presentation[[#This Row],[Days]])</f>
        <v>655.5</v>
      </c>
      <c r="AB734" s="16"/>
    </row>
    <row r="735" spans="1:28" ht="15.75" hidden="1" x14ac:dyDescent="0.25">
      <c r="A735" s="129" t="s">
        <v>643</v>
      </c>
      <c r="B735" s="15">
        <v>45754</v>
      </c>
      <c r="C735" s="26">
        <v>1</v>
      </c>
      <c r="D735" s="55" t="str">
        <f>VLOOKUP(Main_Presentation[[#This Row],[LC Number]],Main_Issuance[],3,0)</f>
        <v>Hassan Taleb</v>
      </c>
      <c r="E735" s="16" t="s">
        <v>856</v>
      </c>
      <c r="F735" s="16" t="str">
        <f>VLOOKUP(Main_Presentation[[#This Row],[LC Number]],Main_Issuance[],5,0)</f>
        <v>SNB</v>
      </c>
      <c r="G735" s="16" t="str">
        <f>VLOOKUP(Main_Presentation[[#This Row],[LC Number]],Main_Issuance[],6,0)</f>
        <v>Opera House</v>
      </c>
      <c r="H735" s="16" t="str">
        <f>VLOOKUP(Main_Presentation[[#This Row],[LC Number]],Main_Issuance[],17,0)</f>
        <v>Credit</v>
      </c>
      <c r="I735" s="16" t="str">
        <f>VLOOKUP(Main_Presentation[[#This Row],[LC Number]],Main_Issuance[],7,0)</f>
        <v>Afaq Al Malaz Trading Co Ltd</v>
      </c>
      <c r="J735" s="16" t="str">
        <f>VLOOKUP(Main_Presentation[[#This Row],[LC Number]],Main_Issuance[],8,0)</f>
        <v>FIRST FIX</v>
      </c>
      <c r="K735" s="16" t="str">
        <f>VLOOKUP(Main_Presentation[[#This Row],[LC Number]],Main_Issuance[],9,0)</f>
        <v>KSP</v>
      </c>
      <c r="L735" s="16">
        <f>VLOOKUP(Main_Presentation[[#This Row],[LC Number]],Main_Issuance[],10,0)</f>
        <v>1020055</v>
      </c>
      <c r="M735" s="16" t="str">
        <f>VLOOKUP(Main_Presentation[[#This Row],[LC Number]],Main_Issuance[],11,0)</f>
        <v>SAR</v>
      </c>
      <c r="N735" s="86">
        <f>VLOOKUP(Main_Presentation[[#This Row],[LC Number]],Main_Issuance[],12,0)</f>
        <v>476785.75</v>
      </c>
      <c r="O735" s="16" t="s">
        <v>20</v>
      </c>
      <c r="P735" s="16" t="s">
        <v>378</v>
      </c>
      <c r="Q735" s="131">
        <v>476785.75</v>
      </c>
      <c r="R735" s="18">
        <v>1</v>
      </c>
      <c r="S735" s="18">
        <f>Main_Presentation[[#This Row],[Invoice Amt (FCY)]]*Main_Presentation[[#This Row],[Rate]]</f>
        <v>476785.75</v>
      </c>
      <c r="T735" s="15">
        <v>45809</v>
      </c>
      <c r="U735" s="26" t="str">
        <f>VLOOKUP(Main_Presentation[[#This Row],[LC Number]],Main_Issuance[],18,0)</f>
        <v>90 Days from Invoice Date</v>
      </c>
      <c r="V735" s="21" t="s">
        <v>1427</v>
      </c>
      <c r="W735" s="22" t="s">
        <v>378</v>
      </c>
      <c r="X735" s="16"/>
      <c r="Y735" s="234" t="str">
        <f>TRIM(LEFT(Main_Presentation[[#This Row],[Payment Terms]],3))</f>
        <v>90</v>
      </c>
      <c r="Z735" s="16"/>
      <c r="AA735" s="316" cm="1">
        <f t="array" ref="AA735">Settlement(Main_Presentation[[#This Row],[Bank]],Main_Presentation[[#This Row],[ Invoice Amt (SAR)]],Main_Presentation[[#This Row],[Date Recd]],Main_Presentation[[#This Row],[Due Date]],Main_Presentation[[#This Row],[Days]])</f>
        <v>2325.3000000000002</v>
      </c>
      <c r="AB735" s="16"/>
    </row>
    <row r="736" spans="1:28" ht="15.75" hidden="1" x14ac:dyDescent="0.25">
      <c r="A736" s="129" t="s">
        <v>624</v>
      </c>
      <c r="B736" s="15">
        <v>45763</v>
      </c>
      <c r="C736" s="26">
        <v>1</v>
      </c>
      <c r="D736" s="55" t="str">
        <f>VLOOKUP(Main_Presentation[[#This Row],[LC Number]],Main_Issuance[],3,0)</f>
        <v>Hassan Taleb</v>
      </c>
      <c r="E736" s="16" t="s">
        <v>858</v>
      </c>
      <c r="F736" s="16" t="str">
        <f>VLOOKUP(Main_Presentation[[#This Row],[LC Number]],Main_Issuance[],5,0)</f>
        <v>SNB</v>
      </c>
      <c r="G736" s="16" t="str">
        <f>VLOOKUP(Main_Presentation[[#This Row],[LC Number]],Main_Issuance[],6,0)</f>
        <v>Opera House</v>
      </c>
      <c r="H736" s="16" t="str">
        <f>VLOOKUP(Main_Presentation[[#This Row],[LC Number]],Main_Issuance[],17,0)</f>
        <v>Credit</v>
      </c>
      <c r="I736" s="16" t="str">
        <f>VLOOKUP(Main_Presentation[[#This Row],[LC Number]],Main_Issuance[],7,0)</f>
        <v>Huda Lighting LLC Co</v>
      </c>
      <c r="J736" s="16" t="str">
        <f>VLOOKUP(Main_Presentation[[#This Row],[LC Number]],Main_Issuance[],8,0)</f>
        <v>FIRST FIX</v>
      </c>
      <c r="K736" s="16" t="str">
        <f>VLOOKUP(Main_Presentation[[#This Row],[LC Number]],Main_Issuance[],9,0)</f>
        <v>KSP</v>
      </c>
      <c r="L736" s="16">
        <f>VLOOKUP(Main_Presentation[[#This Row],[LC Number]],Main_Issuance[],10,0)</f>
        <v>1020055</v>
      </c>
      <c r="M736" s="16" t="str">
        <f>VLOOKUP(Main_Presentation[[#This Row],[LC Number]],Main_Issuance[],11,0)</f>
        <v>SAR</v>
      </c>
      <c r="N736" s="86">
        <f>VLOOKUP(Main_Presentation[[#This Row],[LC Number]],Main_Issuance[],12,0)</f>
        <v>500000</v>
      </c>
      <c r="O736" s="16" t="s">
        <v>20</v>
      </c>
      <c r="P736" s="16" t="s">
        <v>378</v>
      </c>
      <c r="Q736" s="131">
        <v>207176.82</v>
      </c>
      <c r="R736" s="18">
        <v>1</v>
      </c>
      <c r="S736" s="18">
        <f>Main_Presentation[[#This Row],[Invoice Amt (FCY)]]*Main_Presentation[[#This Row],[Rate]]</f>
        <v>207176.82</v>
      </c>
      <c r="T736" s="15">
        <v>45809</v>
      </c>
      <c r="U736" s="26" t="str">
        <f>VLOOKUP(Main_Presentation[[#This Row],[LC Number]],Main_Issuance[],18,0)</f>
        <v>90 Days from Invoice Date</v>
      </c>
      <c r="V736" s="21" t="s">
        <v>1427</v>
      </c>
      <c r="W736" s="22" t="s">
        <v>378</v>
      </c>
      <c r="X736" s="16"/>
      <c r="Y736" s="234" t="str">
        <f>TRIM(LEFT(Main_Presentation[[#This Row],[Payment Terms]],3))</f>
        <v>90</v>
      </c>
      <c r="Z736" s="16"/>
      <c r="AA736" s="316" cm="1">
        <f t="array" ref="AA736">Settlement(Main_Presentation[[#This Row],[Bank]],Main_Presentation[[#This Row],[ Invoice Amt (SAR)]],Main_Presentation[[#This Row],[Date Recd]],Main_Presentation[[#This Row],[Due Date]],Main_Presentation[[#This Row],[Days]])</f>
        <v>655.5</v>
      </c>
      <c r="AB736" s="16"/>
    </row>
    <row r="737" spans="1:28" ht="15.75" hidden="1" x14ac:dyDescent="0.25">
      <c r="A737" s="129" t="s">
        <v>683</v>
      </c>
      <c r="B737" s="15">
        <v>45733</v>
      </c>
      <c r="C737" s="26">
        <v>1</v>
      </c>
      <c r="D737" s="55" t="str">
        <f>VLOOKUP(Main_Presentation[[#This Row],[LC Number]],Main_Issuance[],3,0)</f>
        <v>Rabih Makhoul</v>
      </c>
      <c r="E737" s="16" t="s">
        <v>858</v>
      </c>
      <c r="F737" s="16" t="str">
        <f>VLOOKUP(Main_Presentation[[#This Row],[LC Number]],Main_Issuance[],5,0)</f>
        <v>SNB</v>
      </c>
      <c r="G737" s="16" t="str">
        <f>VLOOKUP(Main_Presentation[[#This Row],[LC Number]],Main_Issuance[],6,0)</f>
        <v>Opera House</v>
      </c>
      <c r="H737" s="16" t="str">
        <f>VLOOKUP(Main_Presentation[[#This Row],[LC Number]],Main_Issuance[],17,0)</f>
        <v>Credit</v>
      </c>
      <c r="I737" s="16" t="str">
        <f>VLOOKUP(Main_Presentation[[#This Row],[LC Number]],Main_Issuance[],7,0)</f>
        <v>National Marketing Est. Co. Ltd</v>
      </c>
      <c r="J737" s="16" t="str">
        <f>VLOOKUP(Main_Presentation[[#This Row],[LC Number]],Main_Issuance[],8,0)</f>
        <v>FIRST FIX</v>
      </c>
      <c r="K737" s="16" t="str">
        <f>VLOOKUP(Main_Presentation[[#This Row],[LC Number]],Main_Issuance[],9,0)</f>
        <v>JCD SPMI</v>
      </c>
      <c r="L737" s="16">
        <f>VLOOKUP(Main_Presentation[[#This Row],[LC Number]],Main_Issuance[],10,0)</f>
        <v>1020100</v>
      </c>
      <c r="M737" s="16" t="str">
        <f>VLOOKUP(Main_Presentation[[#This Row],[LC Number]],Main_Issuance[],11,0)</f>
        <v>SAR</v>
      </c>
      <c r="N737" s="86">
        <f>VLOOKUP(Main_Presentation[[#This Row],[LC Number]],Main_Issuance[],12,0)</f>
        <v>500000</v>
      </c>
      <c r="O737" s="16" t="s">
        <v>20</v>
      </c>
      <c r="P737" s="16" t="s">
        <v>378</v>
      </c>
      <c r="Q737" s="166">
        <v>500000</v>
      </c>
      <c r="R737" s="18">
        <v>1</v>
      </c>
      <c r="S737" s="131">
        <f>Main_Presentation[[#This Row],[Invoice Amt (FCY)]]*Main_Presentation[[#This Row],[Rate]]</f>
        <v>500000</v>
      </c>
      <c r="T737" s="15">
        <v>45809</v>
      </c>
      <c r="U737" s="26" t="str">
        <f>VLOOKUP(Main_Presentation[[#This Row],[LC Number]],Main_Issuance[],18,0)</f>
        <v>90 Days from Invoice Date</v>
      </c>
      <c r="V737" s="21" t="s">
        <v>1460</v>
      </c>
      <c r="W737" s="22" t="s">
        <v>378</v>
      </c>
      <c r="X737" s="16"/>
      <c r="Y737" s="234" t="str">
        <f>TRIM(LEFT(Main_Presentation[[#This Row],[Payment Terms]],3))</f>
        <v>90</v>
      </c>
      <c r="Z737" s="16"/>
      <c r="AA737" s="316" cm="1">
        <f t="array" ref="AA737">Settlement(Main_Presentation[[#This Row],[Bank]],Main_Presentation[[#This Row],[ Invoice Amt (SAR)]],Main_Presentation[[#This Row],[Date Recd]],Main_Presentation[[#This Row],[Due Date]],Main_Presentation[[#This Row],[Days]])</f>
        <v>2435.6999999999998</v>
      </c>
      <c r="AB737" s="16"/>
    </row>
    <row r="738" spans="1:28" ht="15.75" hidden="1" x14ac:dyDescent="0.25">
      <c r="A738" s="129" t="s">
        <v>653</v>
      </c>
      <c r="B738" s="15">
        <v>45755</v>
      </c>
      <c r="C738" s="26">
        <v>1</v>
      </c>
      <c r="D738" s="55" t="str">
        <f>VLOOKUP(Main_Presentation[[#This Row],[LC Number]],Main_Issuance[],3,0)</f>
        <v>Hassan Taleb</v>
      </c>
      <c r="E738" s="16" t="s">
        <v>856</v>
      </c>
      <c r="F738" s="16" t="str">
        <f>VLOOKUP(Main_Presentation[[#This Row],[LC Number]],Main_Issuance[],5,0)</f>
        <v>SNB</v>
      </c>
      <c r="G738" s="16" t="str">
        <f>VLOOKUP(Main_Presentation[[#This Row],[LC Number]],Main_Issuance[],6,0)</f>
        <v>Opera House</v>
      </c>
      <c r="H738" s="16" t="str">
        <f>VLOOKUP(Main_Presentation[[#This Row],[LC Number]],Main_Issuance[],17,0)</f>
        <v>Credit</v>
      </c>
      <c r="I738" s="16" t="str">
        <f>VLOOKUP(Main_Presentation[[#This Row],[LC Number]],Main_Issuance[],7,0)</f>
        <v>RIYADH CABLES GROUP COMPANY</v>
      </c>
      <c r="J738" s="16" t="str">
        <f>VLOOKUP(Main_Presentation[[#This Row],[LC Number]],Main_Issuance[],8,0)</f>
        <v>FIRST FIX</v>
      </c>
      <c r="K738" s="16" t="str">
        <f>VLOOKUP(Main_Presentation[[#This Row],[LC Number]],Main_Issuance[],9,0)</f>
        <v>KSP</v>
      </c>
      <c r="L738" s="16">
        <f>VLOOKUP(Main_Presentation[[#This Row],[LC Number]],Main_Issuance[],10,0)</f>
        <v>1020055</v>
      </c>
      <c r="M738" s="16" t="str">
        <f>VLOOKUP(Main_Presentation[[#This Row],[LC Number]],Main_Issuance[],11,0)</f>
        <v>SAR</v>
      </c>
      <c r="N738" s="86">
        <f>VLOOKUP(Main_Presentation[[#This Row],[LC Number]],Main_Issuance[],12,0)</f>
        <v>594305.52</v>
      </c>
      <c r="O738" s="16" t="s">
        <v>20</v>
      </c>
      <c r="P738" s="16" t="s">
        <v>378</v>
      </c>
      <c r="Q738" s="131">
        <v>525809.39</v>
      </c>
      <c r="R738" s="18">
        <v>1</v>
      </c>
      <c r="S738" s="18">
        <f>Main_Presentation[[#This Row],[Invoice Amt (FCY)]]*Main_Presentation[[#This Row],[Rate]]</f>
        <v>525809.39</v>
      </c>
      <c r="T738" s="15">
        <v>45813</v>
      </c>
      <c r="U738" s="26" t="str">
        <f>VLOOKUP(Main_Presentation[[#This Row],[LC Number]],Main_Issuance[],18,0)</f>
        <v>90 Days from Invoice Date</v>
      </c>
      <c r="V738" s="21" t="s">
        <v>22</v>
      </c>
      <c r="W738" s="22" t="s">
        <v>857</v>
      </c>
      <c r="X738" s="16"/>
      <c r="Y738" s="234" t="str">
        <f>TRIM(LEFT(Main_Presentation[[#This Row],[Payment Terms]],3))</f>
        <v>90</v>
      </c>
      <c r="Z738" s="16"/>
      <c r="AA738" s="316" cm="1">
        <f t="array" ref="AA738">Settlement(Main_Presentation[[#This Row],[Bank]],Main_Presentation[[#This Row],[ Invoice Amt (SAR)]],Main_Presentation[[#This Row],[Date Recd]],Main_Presentation[[#This Row],[Due Date]],Main_Presentation[[#This Row],[Days]])</f>
        <v>2559.9</v>
      </c>
      <c r="AB738" s="16"/>
    </row>
    <row r="739" spans="1:28" ht="15.75" hidden="1" x14ac:dyDescent="0.25">
      <c r="A739" s="20" t="s">
        <v>653</v>
      </c>
      <c r="B739" s="15">
        <v>45790</v>
      </c>
      <c r="C739" s="26">
        <v>2</v>
      </c>
      <c r="D739" s="55" t="str">
        <f>VLOOKUP(Main_Presentation[[#This Row],[LC Number]],Main_Issuance[],3,0)</f>
        <v>Hassan Taleb</v>
      </c>
      <c r="E739" s="16" t="s">
        <v>858</v>
      </c>
      <c r="F739" s="16" t="str">
        <f>VLOOKUP(Main_Presentation[[#This Row],[LC Number]],Main_Issuance[],5,0)</f>
        <v>SNB</v>
      </c>
      <c r="G739" s="16" t="str">
        <f>VLOOKUP(Main_Presentation[[#This Row],[LC Number]],Main_Issuance[],6,0)</f>
        <v>Opera House</v>
      </c>
      <c r="H739" s="16" t="str">
        <f>VLOOKUP(Main_Presentation[[#This Row],[LC Number]],Main_Issuance[],17,0)</f>
        <v>Credit</v>
      </c>
      <c r="I739" s="16" t="str">
        <f>VLOOKUP(Main_Presentation[[#This Row],[LC Number]],Main_Issuance[],7,0)</f>
        <v>RIYADH CABLES GROUP COMPANY</v>
      </c>
      <c r="J739" s="16" t="str">
        <f>VLOOKUP(Main_Presentation[[#This Row],[LC Number]],Main_Issuance[],8,0)</f>
        <v>FIRST FIX</v>
      </c>
      <c r="K739" s="16" t="str">
        <f>VLOOKUP(Main_Presentation[[#This Row],[LC Number]],Main_Issuance[],9,0)</f>
        <v>KSP</v>
      </c>
      <c r="L739" s="16">
        <f>VLOOKUP(Main_Presentation[[#This Row],[LC Number]],Main_Issuance[],10,0)</f>
        <v>1020055</v>
      </c>
      <c r="M739" s="16" t="str">
        <f>VLOOKUP(Main_Presentation[[#This Row],[LC Number]],Main_Issuance[],11,0)</f>
        <v>SAR</v>
      </c>
      <c r="N739" s="86">
        <f>VLOOKUP(Main_Presentation[[#This Row],[LC Number]],Main_Issuance[],12,0)</f>
        <v>594305.52</v>
      </c>
      <c r="O739" s="16" t="s">
        <v>20</v>
      </c>
      <c r="P739" s="16" t="s">
        <v>378</v>
      </c>
      <c r="Q739" s="131">
        <v>64823.55</v>
      </c>
      <c r="R739" s="18">
        <v>1</v>
      </c>
      <c r="S739" s="18">
        <f>Main_Presentation[[#This Row],[Invoice Amt (FCY)]]*Main_Presentation[[#This Row],[Rate]]</f>
        <v>64823.55</v>
      </c>
      <c r="T739" s="15">
        <v>45830</v>
      </c>
      <c r="U739" s="26" t="str">
        <f>VLOOKUP(Main_Presentation[[#This Row],[LC Number]],Main_Issuance[],18,0)</f>
        <v>90 Days from Invoice Date</v>
      </c>
      <c r="V739" s="21" t="s">
        <v>1448</v>
      </c>
      <c r="W739" s="22" t="s">
        <v>378</v>
      </c>
      <c r="X739" s="140"/>
      <c r="Y739" s="234" t="str">
        <f>TRIM(LEFT(Main_Presentation[[#This Row],[Payment Terms]],3))</f>
        <v>90</v>
      </c>
      <c r="Z739" s="16"/>
      <c r="AA739" s="316" cm="1">
        <f t="array" ref="AA739">Settlement(Main_Presentation[[#This Row],[Bank]],Main_Presentation[[#This Row],[ Invoice Amt (SAR)]],Main_Presentation[[#This Row],[Date Recd]],Main_Presentation[[#This Row],[Due Date]],Main_Presentation[[#This Row],[Days]])</f>
        <v>655.5</v>
      </c>
      <c r="AB739" s="16"/>
    </row>
    <row r="740" spans="1:28" ht="15.75" hidden="1" x14ac:dyDescent="0.25">
      <c r="A740" s="20" t="s">
        <v>624</v>
      </c>
      <c r="B740" s="15">
        <v>45804</v>
      </c>
      <c r="C740" s="26">
        <v>2</v>
      </c>
      <c r="D740" s="55" t="str">
        <f>VLOOKUP(Main_Presentation[[#This Row],[LC Number]],Main_Issuance[],3,0)</f>
        <v>Hassan Taleb</v>
      </c>
      <c r="E740" s="16" t="s">
        <v>858</v>
      </c>
      <c r="F740" s="16" t="str">
        <f>VLOOKUP(Main_Presentation[[#This Row],[LC Number]],Main_Issuance[],5,0)</f>
        <v>SNB</v>
      </c>
      <c r="G740" s="16" t="str">
        <f>VLOOKUP(Main_Presentation[[#This Row],[LC Number]],Main_Issuance[],6,0)</f>
        <v>Opera House</v>
      </c>
      <c r="H740" s="16" t="str">
        <f>VLOOKUP(Main_Presentation[[#This Row],[LC Number]],Main_Issuance[],17,0)</f>
        <v>Credit</v>
      </c>
      <c r="I740" s="16" t="str">
        <f>VLOOKUP(Main_Presentation[[#This Row],[LC Number]],Main_Issuance[],7,0)</f>
        <v>Huda Lighting LLC Co</v>
      </c>
      <c r="J740" s="16" t="str">
        <f>VLOOKUP(Main_Presentation[[#This Row],[LC Number]],Main_Issuance[],8,0)</f>
        <v>FIRST FIX</v>
      </c>
      <c r="K740" s="16" t="str">
        <f>VLOOKUP(Main_Presentation[[#This Row],[LC Number]],Main_Issuance[],9,0)</f>
        <v>KSP</v>
      </c>
      <c r="L740" s="16">
        <f>VLOOKUP(Main_Presentation[[#This Row],[LC Number]],Main_Issuance[],10,0)</f>
        <v>1020055</v>
      </c>
      <c r="M740" s="16" t="str">
        <f>VLOOKUP(Main_Presentation[[#This Row],[LC Number]],Main_Issuance[],11,0)</f>
        <v>SAR</v>
      </c>
      <c r="N740" s="86">
        <f>VLOOKUP(Main_Presentation[[#This Row],[LC Number]],Main_Issuance[],12,0)</f>
        <v>500000</v>
      </c>
      <c r="O740" s="16" t="s">
        <v>20</v>
      </c>
      <c r="P740" s="16" t="s">
        <v>378</v>
      </c>
      <c r="Q740" s="131">
        <v>292823</v>
      </c>
      <c r="R740" s="18">
        <v>1</v>
      </c>
      <c r="S740" s="131">
        <f>Main_Presentation[[#This Row],[Invoice Amt (FCY)]]*Main_Presentation[[#This Row],[Rate]]</f>
        <v>292823</v>
      </c>
      <c r="T740" s="15">
        <v>45848</v>
      </c>
      <c r="U740" s="26" t="str">
        <f>VLOOKUP(Main_Presentation[[#This Row],[LC Number]],Main_Issuance[],18,0)</f>
        <v>90 Days from Invoice Date</v>
      </c>
      <c r="V740" s="21" t="s">
        <v>90</v>
      </c>
      <c r="W740" s="22" t="s">
        <v>378</v>
      </c>
      <c r="X740" s="16"/>
      <c r="Y740" s="234" t="str">
        <f>TRIM(LEFT(Main_Presentation[[#This Row],[Payment Terms]],3))</f>
        <v>90</v>
      </c>
      <c r="Z740" s="16"/>
      <c r="AA740" s="316" cm="1">
        <f t="array" ref="AA740">Settlement(Main_Presentation[[#This Row],[Bank]],Main_Presentation[[#This Row],[ Invoice Amt (SAR)]],Main_Presentation[[#This Row],[Date Recd]],Main_Presentation[[#This Row],[Due Date]],Main_Presentation[[#This Row],[Days]])</f>
        <v>741.75</v>
      </c>
      <c r="AB740" s="16"/>
    </row>
    <row r="741" spans="1:28" ht="15.75" hidden="1" x14ac:dyDescent="0.25">
      <c r="A741" s="20" t="s">
        <v>446</v>
      </c>
      <c r="B741" s="15">
        <v>45790</v>
      </c>
      <c r="C741" s="26">
        <v>1</v>
      </c>
      <c r="D741" s="55" t="str">
        <f>VLOOKUP(Main_Presentation[[#This Row],[LC Number]],Main_Issuance[],3,0)</f>
        <v>Hassan Taleb</v>
      </c>
      <c r="E741" s="16" t="s">
        <v>858</v>
      </c>
      <c r="F741" s="16" t="str">
        <f>VLOOKUP(Main_Presentation[[#This Row],[LC Number]],Main_Issuance[],5,0)</f>
        <v>SNB</v>
      </c>
      <c r="G741" s="16" t="str">
        <f>VLOOKUP(Main_Presentation[[#This Row],[LC Number]],Main_Issuance[],6,0)</f>
        <v>Opera House</v>
      </c>
      <c r="H741" s="16" t="str">
        <f>VLOOKUP(Main_Presentation[[#This Row],[LC Number]],Main_Issuance[],17,0)</f>
        <v>Credit</v>
      </c>
      <c r="I741" s="16" t="str">
        <f>VLOOKUP(Main_Presentation[[#This Row],[LC Number]],Main_Issuance[],7,0)</f>
        <v>Mariam Ahmad Jamal Ibrahim &amp; Partner Trading Co.</v>
      </c>
      <c r="J741" s="16" t="str">
        <f>VLOOKUP(Main_Presentation[[#This Row],[LC Number]],Main_Issuance[],8,0)</f>
        <v>FIRST FIX</v>
      </c>
      <c r="K741" s="16" t="str">
        <f>VLOOKUP(Main_Presentation[[#This Row],[LC Number]],Main_Issuance[],9,0)</f>
        <v>KSP</v>
      </c>
      <c r="L741" s="16">
        <f>VLOOKUP(Main_Presentation[[#This Row],[LC Number]],Main_Issuance[],10,0)</f>
        <v>1020055</v>
      </c>
      <c r="M741" s="16" t="str">
        <f>VLOOKUP(Main_Presentation[[#This Row],[LC Number]],Main_Issuance[],11,0)</f>
        <v>SAR</v>
      </c>
      <c r="N741" s="86">
        <f>VLOOKUP(Main_Presentation[[#This Row],[LC Number]],Main_Issuance[],12,0)</f>
        <v>499521.42</v>
      </c>
      <c r="O741" s="16" t="s">
        <v>20</v>
      </c>
      <c r="P741" s="16" t="s">
        <v>378</v>
      </c>
      <c r="Q741" s="131">
        <v>499521.42</v>
      </c>
      <c r="R741" s="18">
        <v>1</v>
      </c>
      <c r="S741" s="131">
        <f>Main_Presentation[[#This Row],[Invoice Amt (FCY)]]*Main_Presentation[[#This Row],[Rate]]</f>
        <v>499521.42</v>
      </c>
      <c r="T741" s="15">
        <v>45832</v>
      </c>
      <c r="U741" s="26" t="str">
        <f>VLOOKUP(Main_Presentation[[#This Row],[LC Number]],Main_Issuance[],18,0)</f>
        <v>90 Days from Invoice Date</v>
      </c>
      <c r="V741" s="21" t="s">
        <v>1448</v>
      </c>
      <c r="W741" s="22" t="s">
        <v>378</v>
      </c>
      <c r="X741" s="140"/>
      <c r="Y741" s="234" t="str">
        <f>TRIM(LEFT(Main_Presentation[[#This Row],[Payment Terms]],3))</f>
        <v>90</v>
      </c>
      <c r="Z741" s="16"/>
      <c r="AA741" s="316" cm="1">
        <f t="array" ref="AA741">Settlement(Main_Presentation[[#This Row],[Bank]],Main_Presentation[[#This Row],[ Invoice Amt (SAR)]],Main_Presentation[[#This Row],[Date Recd]],Main_Presentation[[#This Row],[Due Date]],Main_Presentation[[#This Row],[Days]])</f>
        <v>1237.4000000000001</v>
      </c>
      <c r="AB741" s="16"/>
    </row>
    <row r="742" spans="1:28" ht="15.75" hidden="1" x14ac:dyDescent="0.25">
      <c r="A742" s="14" t="s">
        <v>323</v>
      </c>
      <c r="B742" s="15">
        <v>45509</v>
      </c>
      <c r="C742" s="26">
        <v>1</v>
      </c>
      <c r="D742" s="55" t="str">
        <f>VLOOKUP(Main_Presentation[[#This Row],[LC Number]],Main_Issuance[],3,0)</f>
        <v>Khaled Sultan</v>
      </c>
      <c r="E742" s="16" t="s">
        <v>856</v>
      </c>
      <c r="F742" s="17" t="str">
        <f>VLOOKUP(Main_Presentation[[#This Row],[LC Number]],Main_Issuance[],5,0)</f>
        <v>SNB</v>
      </c>
      <c r="G742" s="17" t="str">
        <f>VLOOKUP(Main_Presentation[[#This Row],[LC Number]],Main_Issuance[],6,0)</f>
        <v>Opera House</v>
      </c>
      <c r="H742" s="17" t="str">
        <f>VLOOKUP(Main_Presentation[[#This Row],[LC Number]],Main_Issuance[],17,0)</f>
        <v>Credit</v>
      </c>
      <c r="I742" s="17" t="str">
        <f>VLOOKUP(Main_Presentation[[#This Row],[LC Number]],Main_Issuance[],7,0)</f>
        <v>ALFARRA GRES S.L.U</v>
      </c>
      <c r="J742" s="17" t="str">
        <f>VLOOKUP(Main_Presentation[[#This Row],[LC Number]],Main_Issuance[],8,0)</f>
        <v>MBL</v>
      </c>
      <c r="K742" s="17" t="str">
        <f>VLOOKUP(Main_Presentation[[#This Row],[LC Number]],Main_Issuance[],9,0)</f>
        <v>KSP Finishing</v>
      </c>
      <c r="L742" s="17">
        <f>VLOOKUP(Main_Presentation[[#This Row],[LC Number]],Main_Issuance[],10,0)</f>
        <v>1020068</v>
      </c>
      <c r="M742" s="17" t="str">
        <f>VLOOKUP(Main_Presentation[[#This Row],[LC Number]],Main_Issuance[],11,0)</f>
        <v>EUR</v>
      </c>
      <c r="N742" s="84">
        <f>VLOOKUP(Main_Presentation[[#This Row],[LC Number]],Main_Issuance[],12,0)</f>
        <v>217790.5</v>
      </c>
      <c r="O742" s="16" t="s">
        <v>20</v>
      </c>
      <c r="P742" s="16" t="s">
        <v>857</v>
      </c>
      <c r="Q742" s="131">
        <v>7911.36</v>
      </c>
      <c r="R742" s="18">
        <v>4.8499999999999996</v>
      </c>
      <c r="S742" s="18">
        <f>Main_Presentation[[#This Row],[Invoice Amt (FCY)]]*Main_Presentation[[#This Row],[Rate]]</f>
        <v>38370.095999999998</v>
      </c>
      <c r="T742" s="15">
        <v>45509</v>
      </c>
      <c r="U742" s="26" t="str">
        <f>VLOOKUP(Main_Presentation[[#This Row],[LC Number]],Main_Issuance[],18,0)</f>
        <v>Sight</v>
      </c>
      <c r="V742" s="19" t="s">
        <v>325</v>
      </c>
      <c r="W742" s="18" t="s">
        <v>857</v>
      </c>
      <c r="X742" s="16"/>
      <c r="Y742" s="234" t="str">
        <f>TRIM(LEFT(Main_Presentation[[#This Row],[Payment Terms]],3))</f>
        <v>Sig</v>
      </c>
      <c r="Z742" s="16"/>
      <c r="AA742" s="316" t="e" cm="1">
        <f t="array" ref="AA742">Settlement(Main_Presentation[[#This Row],[Bank]],Main_Presentation[[#This Row],[ Invoice Amt (SAR)]],Main_Presentation[[#This Row],[Date Recd]],Main_Presentation[[#This Row],[Due Date]],Main_Presentation[[#This Row],[Days]])</f>
        <v>#VALUE!</v>
      </c>
      <c r="AB742" s="16"/>
    </row>
    <row r="743" spans="1:28" ht="15.75" hidden="1" x14ac:dyDescent="0.25">
      <c r="A743" s="14" t="s">
        <v>323</v>
      </c>
      <c r="B743" s="15">
        <v>45518</v>
      </c>
      <c r="C743" s="26">
        <v>2</v>
      </c>
      <c r="D743" s="55" t="str">
        <f>VLOOKUP(Main_Presentation[[#This Row],[LC Number]],Main_Issuance[],3,0)</f>
        <v>Khaled Sultan</v>
      </c>
      <c r="E743" s="16" t="s">
        <v>856</v>
      </c>
      <c r="F743" s="17" t="str">
        <f>VLOOKUP(Main_Presentation[[#This Row],[LC Number]],Main_Issuance[],5,0)</f>
        <v>SNB</v>
      </c>
      <c r="G743" s="17" t="str">
        <f>VLOOKUP(Main_Presentation[[#This Row],[LC Number]],Main_Issuance[],6,0)</f>
        <v>Opera House</v>
      </c>
      <c r="H743" s="17" t="str">
        <f>VLOOKUP(Main_Presentation[[#This Row],[LC Number]],Main_Issuance[],17,0)</f>
        <v>Credit</v>
      </c>
      <c r="I743" s="17" t="str">
        <f>VLOOKUP(Main_Presentation[[#This Row],[LC Number]],Main_Issuance[],7,0)</f>
        <v>ALFARRA GRES S.L.U</v>
      </c>
      <c r="J743" s="17" t="str">
        <f>VLOOKUP(Main_Presentation[[#This Row],[LC Number]],Main_Issuance[],8,0)</f>
        <v>MBL</v>
      </c>
      <c r="K743" s="17" t="str">
        <f>VLOOKUP(Main_Presentation[[#This Row],[LC Number]],Main_Issuance[],9,0)</f>
        <v>KSP Finishing</v>
      </c>
      <c r="L743" s="17">
        <f>VLOOKUP(Main_Presentation[[#This Row],[LC Number]],Main_Issuance[],10,0)</f>
        <v>1020068</v>
      </c>
      <c r="M743" s="17" t="str">
        <f>VLOOKUP(Main_Presentation[[#This Row],[LC Number]],Main_Issuance[],11,0)</f>
        <v>EUR</v>
      </c>
      <c r="N743" s="84">
        <f>VLOOKUP(Main_Presentation[[#This Row],[LC Number]],Main_Issuance[],12,0)</f>
        <v>217790.5</v>
      </c>
      <c r="O743" s="16" t="s">
        <v>20</v>
      </c>
      <c r="P743" s="16" t="s">
        <v>857</v>
      </c>
      <c r="Q743" s="131">
        <v>103759.4151</v>
      </c>
      <c r="R743" s="18">
        <v>4.1500000000000004</v>
      </c>
      <c r="S743" s="18">
        <f>Main_Presentation[[#This Row],[Invoice Amt (FCY)]]*Main_Presentation[[#This Row],[Rate]]</f>
        <v>430601.57266500004</v>
      </c>
      <c r="T743" s="15">
        <v>45518</v>
      </c>
      <c r="U743" s="26" t="str">
        <f>VLOOKUP(Main_Presentation[[#This Row],[LC Number]],Main_Issuance[],18,0)</f>
        <v>Sight</v>
      </c>
      <c r="V743" s="19" t="s">
        <v>325</v>
      </c>
      <c r="W743" s="18" t="s">
        <v>857</v>
      </c>
      <c r="X743" s="16"/>
      <c r="Y743" s="234" t="str">
        <f>TRIM(LEFT(Main_Presentation[[#This Row],[Payment Terms]],3))</f>
        <v>Sig</v>
      </c>
      <c r="Z743" s="16"/>
      <c r="AA743" s="316" t="e" cm="1">
        <f t="array" ref="AA743">Settlement(Main_Presentation[[#This Row],[Bank]],Main_Presentation[[#This Row],[ Invoice Amt (SAR)]],Main_Presentation[[#This Row],[Date Recd]],Main_Presentation[[#This Row],[Due Date]],Main_Presentation[[#This Row],[Days]])</f>
        <v>#VALUE!</v>
      </c>
      <c r="AB743" s="16"/>
    </row>
    <row r="744" spans="1:28" ht="15.75" hidden="1" x14ac:dyDescent="0.25">
      <c r="A744" s="14" t="s">
        <v>323</v>
      </c>
      <c r="B744" s="15">
        <v>45544</v>
      </c>
      <c r="C744" s="26">
        <v>3</v>
      </c>
      <c r="D744" s="55" t="str">
        <f>VLOOKUP(Main_Presentation[[#This Row],[LC Number]],Main_Issuance[],3,0)</f>
        <v>Khaled Sultan</v>
      </c>
      <c r="E744" s="16" t="s">
        <v>858</v>
      </c>
      <c r="F744" s="17" t="str">
        <f>VLOOKUP(Main_Presentation[[#This Row],[LC Number]],Main_Issuance[],5,0)</f>
        <v>SNB</v>
      </c>
      <c r="G744" s="17" t="str">
        <f>VLOOKUP(Main_Presentation[[#This Row],[LC Number]],Main_Issuance[],6,0)</f>
        <v>Opera House</v>
      </c>
      <c r="H744" s="17" t="str">
        <f>VLOOKUP(Main_Presentation[[#This Row],[LC Number]],Main_Issuance[],17,0)</f>
        <v>Credit</v>
      </c>
      <c r="I744" s="17" t="str">
        <f>VLOOKUP(Main_Presentation[[#This Row],[LC Number]],Main_Issuance[],7,0)</f>
        <v>ALFARRA GRES S.L.U</v>
      </c>
      <c r="J744" s="17" t="str">
        <f>VLOOKUP(Main_Presentation[[#This Row],[LC Number]],Main_Issuance[],8,0)</f>
        <v>MBL</v>
      </c>
      <c r="K744" s="17" t="str">
        <f>VLOOKUP(Main_Presentation[[#This Row],[LC Number]],Main_Issuance[],9,0)</f>
        <v>KSP Finishing</v>
      </c>
      <c r="L744" s="17">
        <f>VLOOKUP(Main_Presentation[[#This Row],[LC Number]],Main_Issuance[],10,0)</f>
        <v>1020068</v>
      </c>
      <c r="M744" s="17" t="str">
        <f>VLOOKUP(Main_Presentation[[#This Row],[LC Number]],Main_Issuance[],11,0)</f>
        <v>EUR</v>
      </c>
      <c r="N744" s="84">
        <f>VLOOKUP(Main_Presentation[[#This Row],[LC Number]],Main_Issuance[],12,0)</f>
        <v>217790.5</v>
      </c>
      <c r="O744" s="16" t="s">
        <v>20</v>
      </c>
      <c r="P744" s="16" t="s">
        <v>857</v>
      </c>
      <c r="Q744" s="131">
        <v>103759.4</v>
      </c>
      <c r="R744" s="18">
        <v>4.1630000000000003</v>
      </c>
      <c r="S744" s="18">
        <f>Main_Presentation[[#This Row],[Invoice Amt (FCY)]]*Main_Presentation[[#This Row],[Rate]]</f>
        <v>431950.38219999999</v>
      </c>
      <c r="T744" s="15">
        <v>45561</v>
      </c>
      <c r="U744" s="26" t="str">
        <f>VLOOKUP(Main_Presentation[[#This Row],[LC Number]],Main_Issuance[],18,0)</f>
        <v>Sight</v>
      </c>
      <c r="V744" s="19" t="s">
        <v>325</v>
      </c>
      <c r="W744" s="18" t="s">
        <v>857</v>
      </c>
      <c r="X744" s="16" t="s">
        <v>863</v>
      </c>
      <c r="Y744" s="234" t="str">
        <f>TRIM(LEFT(Main_Presentation[[#This Row],[Payment Terms]],3))</f>
        <v>Sig</v>
      </c>
      <c r="Z744" s="16"/>
      <c r="AA744" s="316" t="e" cm="1">
        <f t="array" ref="AA744">Settlement(Main_Presentation[[#This Row],[Bank]],Main_Presentation[[#This Row],[ Invoice Amt (SAR)]],Main_Presentation[[#This Row],[Date Recd]],Main_Presentation[[#This Row],[Due Date]],Main_Presentation[[#This Row],[Days]])</f>
        <v>#VALUE!</v>
      </c>
      <c r="AB744" s="16"/>
    </row>
    <row r="745" spans="1:28" ht="15.75" hidden="1" x14ac:dyDescent="0.25">
      <c r="A745" s="14" t="s">
        <v>323</v>
      </c>
      <c r="B745" s="15">
        <v>45572</v>
      </c>
      <c r="C745" s="26">
        <v>4</v>
      </c>
      <c r="D745" s="55" t="str">
        <f>VLOOKUP(Main_Presentation[[#This Row],[LC Number]],Main_Issuance[],3,0)</f>
        <v>Khaled Sultan</v>
      </c>
      <c r="E745" s="16" t="s">
        <v>858</v>
      </c>
      <c r="F745" s="17" t="str">
        <f>VLOOKUP(Main_Presentation[[#This Row],[LC Number]],Main_Issuance[],5,0)</f>
        <v>SNB</v>
      </c>
      <c r="G745" s="17" t="str">
        <f>VLOOKUP(Main_Presentation[[#This Row],[LC Number]],Main_Issuance[],6,0)</f>
        <v>Opera House</v>
      </c>
      <c r="H745" s="17" t="str">
        <f>VLOOKUP(Main_Presentation[[#This Row],[LC Number]],Main_Issuance[],17,0)</f>
        <v>Credit</v>
      </c>
      <c r="I745" s="17" t="str">
        <f>VLOOKUP(Main_Presentation[[#This Row],[LC Number]],Main_Issuance[],7,0)</f>
        <v>ALFARRA GRES S.L.U</v>
      </c>
      <c r="J745" s="17" t="str">
        <f>VLOOKUP(Main_Presentation[[#This Row],[LC Number]],Main_Issuance[],8,0)</f>
        <v>MBL</v>
      </c>
      <c r="K745" s="17" t="str">
        <f>VLOOKUP(Main_Presentation[[#This Row],[LC Number]],Main_Issuance[],9,0)</f>
        <v>KSP Finishing</v>
      </c>
      <c r="L745" s="17">
        <f>VLOOKUP(Main_Presentation[[#This Row],[LC Number]],Main_Issuance[],10,0)</f>
        <v>1020068</v>
      </c>
      <c r="M745" s="17" t="str">
        <f>VLOOKUP(Main_Presentation[[#This Row],[LC Number]],Main_Issuance[],11,0)</f>
        <v>EUR</v>
      </c>
      <c r="N745" s="84">
        <f>VLOOKUP(Main_Presentation[[#This Row],[LC Number]],Main_Issuance[],12,0)</f>
        <v>217790.5</v>
      </c>
      <c r="O745" s="16" t="s">
        <v>20</v>
      </c>
      <c r="P745" s="16" t="s">
        <v>857</v>
      </c>
      <c r="Q745" s="131">
        <v>3927.32</v>
      </c>
      <c r="R745" s="18">
        <v>4.1630000000000003</v>
      </c>
      <c r="S745" s="18">
        <f>Main_Presentation[[#This Row],[Invoice Amt (FCY)]]*Main_Presentation[[#This Row],[Rate]]</f>
        <v>16349.433160000002</v>
      </c>
      <c r="T745" s="15">
        <v>45574</v>
      </c>
      <c r="U745" s="26" t="str">
        <f>VLOOKUP(Main_Presentation[[#This Row],[LC Number]],Main_Issuance[],18,0)</f>
        <v>Sight</v>
      </c>
      <c r="V745" s="19" t="s">
        <v>325</v>
      </c>
      <c r="W745" s="18" t="s">
        <v>857</v>
      </c>
      <c r="X745" s="16" t="s">
        <v>208</v>
      </c>
      <c r="Y745" s="234" t="str">
        <f>TRIM(LEFT(Main_Presentation[[#This Row],[Payment Terms]],3))</f>
        <v>Sig</v>
      </c>
      <c r="Z745" s="16"/>
      <c r="AA745" s="316" t="e" cm="1">
        <f t="array" ref="AA745">Settlement(Main_Presentation[[#This Row],[Bank]],Main_Presentation[[#This Row],[ Invoice Amt (SAR)]],Main_Presentation[[#This Row],[Date Recd]],Main_Presentation[[#This Row],[Due Date]],Main_Presentation[[#This Row],[Days]])</f>
        <v>#VALUE!</v>
      </c>
      <c r="AB745" s="16"/>
    </row>
    <row r="746" spans="1:28" ht="15.75" hidden="1" x14ac:dyDescent="0.25">
      <c r="A746" s="14" t="s">
        <v>466</v>
      </c>
      <c r="B746" s="15">
        <v>45621</v>
      </c>
      <c r="C746" s="26">
        <v>1</v>
      </c>
      <c r="D746" s="55" t="str">
        <f>VLOOKUP(Main_Presentation[[#This Row],[LC Number]],Main_Issuance[],3,0)</f>
        <v>Hassan Taleb</v>
      </c>
      <c r="E746" s="16" t="s">
        <v>856</v>
      </c>
      <c r="F746" s="17" t="str">
        <f>VLOOKUP(Main_Presentation[[#This Row],[LC Number]],Main_Issuance[],5,0)</f>
        <v>SNB</v>
      </c>
      <c r="G746" s="17" t="str">
        <f>VLOOKUP(Main_Presentation[[#This Row],[LC Number]],Main_Issuance[],6,0)</f>
        <v>Opera House</v>
      </c>
      <c r="H746" s="17" t="str">
        <f>VLOOKUP(Main_Presentation[[#This Row],[LC Number]],Main_Issuance[],17,0)</f>
        <v>Credit</v>
      </c>
      <c r="I746" s="17" t="str">
        <f>VLOOKUP(Main_Presentation[[#This Row],[LC Number]],Main_Issuance[],7,0)</f>
        <v>United Arab Aluminum Company Limited</v>
      </c>
      <c r="J746" s="17" t="str">
        <f>VLOOKUP(Main_Presentation[[#This Row],[LC Number]],Main_Issuance[],8,0)</f>
        <v>MBL</v>
      </c>
      <c r="K746" s="17" t="str">
        <f>VLOOKUP(Main_Presentation[[#This Row],[LC Number]],Main_Issuance[],9,0)</f>
        <v>KSP Finishing</v>
      </c>
      <c r="L746" s="17">
        <f>VLOOKUP(Main_Presentation[[#This Row],[LC Number]],Main_Issuance[],10,0)</f>
        <v>1020068</v>
      </c>
      <c r="M746" s="17" t="str">
        <f>VLOOKUP(Main_Presentation[[#This Row],[LC Number]],Main_Issuance[],11,0)</f>
        <v>SAR</v>
      </c>
      <c r="N746" s="84">
        <f>VLOOKUP(Main_Presentation[[#This Row],[LC Number]],Main_Issuance[],12,0)</f>
        <v>12000000</v>
      </c>
      <c r="O746" s="16" t="s">
        <v>20</v>
      </c>
      <c r="P746" s="16" t="s">
        <v>378</v>
      </c>
      <c r="Q746" s="131">
        <v>12000000</v>
      </c>
      <c r="R746" s="18">
        <v>1</v>
      </c>
      <c r="S746" s="18">
        <f>Main_Presentation[[#This Row],[Invoice Amt (FCY)]]*Main_Presentation[[#This Row],[Rate]]</f>
        <v>12000000</v>
      </c>
      <c r="T746" s="15">
        <v>45643</v>
      </c>
      <c r="U746" s="26" t="str">
        <f>VLOOKUP(Main_Presentation[[#This Row],[LC Number]],Main_Issuance[],18,0)</f>
        <v>30 Days from Invoice Date</v>
      </c>
      <c r="V746" s="19" t="s">
        <v>870</v>
      </c>
      <c r="W746" s="18" t="s">
        <v>857</v>
      </c>
      <c r="X746" s="16"/>
      <c r="Y746" s="234" t="str">
        <f>TRIM(LEFT(Main_Presentation[[#This Row],[Payment Terms]],3))</f>
        <v>30</v>
      </c>
      <c r="Z746" s="16"/>
      <c r="AA746" s="316" cm="1">
        <f t="array" ref="AA746">Settlement(Main_Presentation[[#This Row],[Bank]],Main_Presentation[[#This Row],[ Invoice Amt (SAR)]],Main_Presentation[[#This Row],[Date Recd]],Main_Presentation[[#This Row],[Due Date]],Main_Presentation[[#This Row],[Days]])</f>
        <v>28790.25</v>
      </c>
      <c r="AB746" s="16"/>
    </row>
    <row r="747" spans="1:28" ht="15.75" hidden="1" x14ac:dyDescent="0.25">
      <c r="A747" s="129" t="s">
        <v>544</v>
      </c>
      <c r="B747" s="15">
        <v>45778</v>
      </c>
      <c r="C747" s="26">
        <v>2</v>
      </c>
      <c r="D747" s="55" t="str">
        <f>VLOOKUP(Main_Presentation[[#This Row],[LC Number]],Main_Issuance[],3,0)</f>
        <v>Rabih Makhoul</v>
      </c>
      <c r="E747" s="16" t="s">
        <v>858</v>
      </c>
      <c r="F747" s="16" t="str">
        <f>VLOOKUP(Main_Presentation[[#This Row],[LC Number]],Main_Issuance[],5,0)</f>
        <v>SNB</v>
      </c>
      <c r="G747" s="16" t="str">
        <f>VLOOKUP(Main_Presentation[[#This Row],[LC Number]],Main_Issuance[],6,0)</f>
        <v>Opera House</v>
      </c>
      <c r="H747" s="16" t="str">
        <f>VLOOKUP(Main_Presentation[[#This Row],[LC Number]],Main_Issuance[],17,0)</f>
        <v>Credit</v>
      </c>
      <c r="I747" s="16" t="str">
        <f>VLOOKUP(Main_Presentation[[#This Row],[LC Number]],Main_Issuance[],7,0)</f>
        <v>ALFANAR COMPANY</v>
      </c>
      <c r="J747" s="16" t="str">
        <f>VLOOKUP(Main_Presentation[[#This Row],[LC Number]],Main_Issuance[],8,0)</f>
        <v>FIRST FIX</v>
      </c>
      <c r="K747" s="16" t="str">
        <f>VLOOKUP(Main_Presentation[[#This Row],[LC Number]],Main_Issuance[],9,0)</f>
        <v>JCD SPMI</v>
      </c>
      <c r="L747" s="16">
        <f>VLOOKUP(Main_Presentation[[#This Row],[LC Number]],Main_Issuance[],10,0)</f>
        <v>1020100</v>
      </c>
      <c r="M747" s="16" t="str">
        <f>VLOOKUP(Main_Presentation[[#This Row],[LC Number]],Main_Issuance[],11,0)</f>
        <v>SAR</v>
      </c>
      <c r="N747" s="86">
        <f>VLOOKUP(Main_Presentation[[#This Row],[LC Number]],Main_Issuance[],12,0)</f>
        <v>400000</v>
      </c>
      <c r="O747" s="16" t="s">
        <v>20</v>
      </c>
      <c r="P747" s="16" t="s">
        <v>857</v>
      </c>
      <c r="Q747" s="131">
        <v>149393.4</v>
      </c>
      <c r="R747" s="18">
        <v>1</v>
      </c>
      <c r="S747" s="18">
        <f>Main_Presentation[[#This Row],[Invoice Amt (FCY)]]*Main_Presentation[[#This Row],[Rate]]</f>
        <v>149393.4</v>
      </c>
      <c r="T747" s="15">
        <v>45803</v>
      </c>
      <c r="U747" s="26" t="str">
        <f>VLOOKUP(Main_Presentation[[#This Row],[LC Number]],Main_Issuance[],18,0)</f>
        <v>90 Days from Invoice Date</v>
      </c>
      <c r="V747" s="21" t="s">
        <v>407</v>
      </c>
      <c r="W747" s="22" t="s">
        <v>857</v>
      </c>
      <c r="X747" s="16"/>
      <c r="Y747" s="234" t="str">
        <f>TRIM(LEFT(Main_Presentation[[#This Row],[Payment Terms]],3))</f>
        <v>90</v>
      </c>
      <c r="Z747" s="16"/>
      <c r="AA747" s="316" cm="1">
        <f t="array" ref="AA747">Settlement(Main_Presentation[[#This Row],[Bank]],Main_Presentation[[#This Row],[ Invoice Amt (SAR)]],Main_Presentation[[#This Row],[Date Recd]],Main_Presentation[[#This Row],[Due Date]],Main_Presentation[[#This Row],[Days]])</f>
        <v>655.5</v>
      </c>
      <c r="AB747" s="16"/>
    </row>
    <row r="748" spans="1:28" ht="15.75" hidden="1" x14ac:dyDescent="0.25">
      <c r="A748" s="129" t="s">
        <v>541</v>
      </c>
      <c r="B748" s="137">
        <v>45777</v>
      </c>
      <c r="C748" s="138">
        <v>1</v>
      </c>
      <c r="D748" s="139" t="str">
        <f>VLOOKUP(Main_Presentation[[#This Row],[LC Number]],Main_Issuance[],3,0)</f>
        <v>Rabih Makhoul</v>
      </c>
      <c r="E748" s="140" t="s">
        <v>858</v>
      </c>
      <c r="F748" s="140" t="str">
        <f>VLOOKUP(Main_Presentation[[#This Row],[LC Number]],Main_Issuance[],5,0)</f>
        <v>SNB</v>
      </c>
      <c r="G748" s="140" t="str">
        <f>VLOOKUP(Main_Presentation[[#This Row],[LC Number]],Main_Issuance[],6,0)</f>
        <v>Opera House</v>
      </c>
      <c r="H748" s="140" t="str">
        <f>VLOOKUP(Main_Presentation[[#This Row],[LC Number]],Main_Issuance[],17,0)</f>
        <v>Credit</v>
      </c>
      <c r="I748" s="140" t="str">
        <f>VLOOKUP(Main_Presentation[[#This Row],[LC Number]],Main_Issuance[],7,0)</f>
        <v>Masdar Technical Supplies</v>
      </c>
      <c r="J748" s="140" t="str">
        <f>VLOOKUP(Main_Presentation[[#This Row],[LC Number]],Main_Issuance[],8,0)</f>
        <v>FIRST FIX</v>
      </c>
      <c r="K748" s="140" t="str">
        <f>VLOOKUP(Main_Presentation[[#This Row],[LC Number]],Main_Issuance[],9,0)</f>
        <v>JCD SPMI</v>
      </c>
      <c r="L748" s="140">
        <f>VLOOKUP(Main_Presentation[[#This Row],[LC Number]],Main_Issuance[],10,0)</f>
        <v>1020100</v>
      </c>
      <c r="M748" s="140" t="str">
        <f>VLOOKUP(Main_Presentation[[#This Row],[LC Number]],Main_Issuance[],11,0)</f>
        <v>SAR</v>
      </c>
      <c r="N748" s="141">
        <f>VLOOKUP(Main_Presentation[[#This Row],[LC Number]],Main_Issuance[],12,0)</f>
        <v>800000</v>
      </c>
      <c r="O748" s="16" t="s">
        <v>20</v>
      </c>
      <c r="P748" s="140" t="s">
        <v>378</v>
      </c>
      <c r="Q748" s="166">
        <v>800000</v>
      </c>
      <c r="R748" s="131">
        <v>1</v>
      </c>
      <c r="S748" s="131">
        <f>Main_Presentation[[#This Row],[Invoice Amt (FCY)]]*Main_Presentation[[#This Row],[Rate]]</f>
        <v>800000</v>
      </c>
      <c r="T748" s="15">
        <v>45809</v>
      </c>
      <c r="U748" s="138" t="str">
        <f>VLOOKUP(Main_Presentation[[#This Row],[LC Number]],Main_Issuance[],18,0)</f>
        <v>90 Days from Invoice Date</v>
      </c>
      <c r="V748" s="21" t="s">
        <v>1460</v>
      </c>
      <c r="W748" s="145" t="s">
        <v>378</v>
      </c>
      <c r="X748" s="16"/>
      <c r="Y748" s="400" t="str">
        <f>TRIM(LEFT(Main_Presentation[[#This Row],[Payment Terms]],3))</f>
        <v>90</v>
      </c>
      <c r="Z748" s="140"/>
      <c r="AA748" s="316" cm="1">
        <f t="array" ref="AA748">Settlement(Main_Presentation[[#This Row],[Bank]],Main_Presentation[[#This Row],[ Invoice Amt (SAR)]],Main_Presentation[[#This Row],[Date Recd]],Main_Presentation[[#This Row],[Due Date]],Main_Presentation[[#This Row],[Days]])</f>
        <v>1957.3</v>
      </c>
      <c r="AB748" s="140"/>
    </row>
    <row r="749" spans="1:28" ht="15.75" hidden="1" x14ac:dyDescent="0.25">
      <c r="A749" s="20" t="s">
        <v>630</v>
      </c>
      <c r="B749" s="15">
        <v>45725</v>
      </c>
      <c r="C749" s="26" t="s">
        <v>1299</v>
      </c>
      <c r="D749" s="55" t="str">
        <f>VLOOKUP(Main_Presentation[[#This Row],[LC Number]],Main_Issuance[],3,0)</f>
        <v>Hassan Taleb</v>
      </c>
      <c r="E749" s="16" t="s">
        <v>856</v>
      </c>
      <c r="F749" s="16" t="str">
        <f>VLOOKUP(Main_Presentation[[#This Row],[LC Number]],Main_Issuance[],5,0)</f>
        <v>SNB</v>
      </c>
      <c r="G749" s="16" t="str">
        <f>VLOOKUP(Main_Presentation[[#This Row],[LC Number]],Main_Issuance[],6,0)</f>
        <v>Opera House</v>
      </c>
      <c r="H749" s="16" t="str">
        <f>VLOOKUP(Main_Presentation[[#This Row],[LC Number]],Main_Issuance[],17,0)</f>
        <v>Credit</v>
      </c>
      <c r="I749" s="16" t="str">
        <f>VLOOKUP(Main_Presentation[[#This Row],[LC Number]],Main_Issuance[],7,0)</f>
        <v>Depth Modern Technologies Co.</v>
      </c>
      <c r="J749" s="16" t="str">
        <f>VLOOKUP(Main_Presentation[[#This Row],[LC Number]],Main_Issuance[],8,0)</f>
        <v>FIRST FIX</v>
      </c>
      <c r="K749" s="16" t="str">
        <f>VLOOKUP(Main_Presentation[[#This Row],[LC Number]],Main_Issuance[],9,0)</f>
        <v>KSP</v>
      </c>
      <c r="L749" s="16">
        <f>VLOOKUP(Main_Presentation[[#This Row],[LC Number]],Main_Issuance[],10,0)</f>
        <v>1020055</v>
      </c>
      <c r="M749" s="16" t="str">
        <f>VLOOKUP(Main_Presentation[[#This Row],[LC Number]],Main_Issuance[],11,0)</f>
        <v>SAR</v>
      </c>
      <c r="N749" s="86">
        <f>VLOOKUP(Main_Presentation[[#This Row],[LC Number]],Main_Issuance[],12,0)</f>
        <v>3000000</v>
      </c>
      <c r="O749" s="16" t="s">
        <v>20</v>
      </c>
      <c r="P749" s="16" t="s">
        <v>378</v>
      </c>
      <c r="Q749" s="131">
        <f>3000000-1000000</f>
        <v>2000000</v>
      </c>
      <c r="R749" s="18">
        <v>1</v>
      </c>
      <c r="S749" s="18">
        <f>Main_Presentation[[#This Row],[Invoice Amt (FCY)]]*Main_Presentation[[#This Row],[Rate]]</f>
        <v>2000000</v>
      </c>
      <c r="T749" s="15">
        <v>45788</v>
      </c>
      <c r="U749" s="26" t="str">
        <f>VLOOKUP(Main_Presentation[[#This Row],[LC Number]],Main_Issuance[],18,0)</f>
        <v>90 Days from Invoice Date</v>
      </c>
      <c r="V749" s="21" t="s">
        <v>1271</v>
      </c>
      <c r="W749" s="22" t="s">
        <v>378</v>
      </c>
      <c r="X749" s="16"/>
      <c r="Y749" s="234" t="str">
        <f>TRIM(LEFT(Main_Presentation[[#This Row],[Payment Terms]],3))</f>
        <v>90</v>
      </c>
      <c r="Z749" s="16"/>
      <c r="AA749" s="316" cm="1">
        <f t="array" ref="AA749">Settlement(Main_Presentation[[#This Row],[Bank]],Main_Presentation[[#This Row],[ Invoice Amt (SAR)]],Main_Presentation[[#This Row],[Date Recd]],Main_Presentation[[#This Row],[Due Date]],Main_Presentation[[#This Row],[Days]])</f>
        <v>9623.2000000000007</v>
      </c>
      <c r="AB749" s="16"/>
    </row>
    <row r="750" spans="1:28" ht="15.75" hidden="1" x14ac:dyDescent="0.25">
      <c r="A750" s="14" t="s">
        <v>409</v>
      </c>
      <c r="B750" s="15">
        <v>45637</v>
      </c>
      <c r="C750" s="26">
        <v>1</v>
      </c>
      <c r="D750" s="55" t="str">
        <f>VLOOKUP(Main_Presentation[[#This Row],[LC Number]],Main_Issuance[],3,0)</f>
        <v>Rabih Makhoul</v>
      </c>
      <c r="E750" s="16" t="s">
        <v>858</v>
      </c>
      <c r="F750" s="17" t="str">
        <f>VLOOKUP(Main_Presentation[[#This Row],[LC Number]],Main_Issuance[],5,0)</f>
        <v>SNB</v>
      </c>
      <c r="G750" s="17" t="str">
        <f>VLOOKUP(Main_Presentation[[#This Row],[LC Number]],Main_Issuance[],6,0)</f>
        <v>Opera House</v>
      </c>
      <c r="H750" s="17" t="str">
        <f>VLOOKUP(Main_Presentation[[#This Row],[LC Number]],Main_Issuance[],17,0)</f>
        <v>Credit</v>
      </c>
      <c r="I750" s="17" t="str">
        <f>VLOOKUP(Main_Presentation[[#This Row],[LC Number]],Main_Issuance[],7,0)</f>
        <v>MARINETEK CONTRACTING LLC</v>
      </c>
      <c r="J750" s="17" t="str">
        <f>VLOOKUP(Main_Presentation[[#This Row],[LC Number]],Main_Issuance[],8,0)</f>
        <v>OXAGON</v>
      </c>
      <c r="K750" s="17" t="str">
        <f>VLOOKUP(Main_Presentation[[#This Row],[LC Number]],Main_Issuance[],9,0)</f>
        <v>Neom - Bay Jetty</v>
      </c>
      <c r="L750" s="17">
        <f>VLOOKUP(Main_Presentation[[#This Row],[LC Number]],Main_Issuance[],10,0)</f>
        <v>1020085</v>
      </c>
      <c r="M750" s="17" t="str">
        <f>VLOOKUP(Main_Presentation[[#This Row],[LC Number]],Main_Issuance[],11,0)</f>
        <v>AED</v>
      </c>
      <c r="N750" s="84">
        <f>VLOOKUP(Main_Presentation[[#This Row],[LC Number]],Main_Issuance[],12,0)</f>
        <v>4205828.8</v>
      </c>
      <c r="O750" s="16" t="s">
        <v>20</v>
      </c>
      <c r="P750" s="16" t="s">
        <v>378</v>
      </c>
      <c r="Q750" s="131">
        <v>525728.6</v>
      </c>
      <c r="R750" s="18">
        <v>1.0307770000000001</v>
      </c>
      <c r="S750" s="18">
        <f>Main_Presentation[[#This Row],[Invoice Amt (FCY)]]*Main_Presentation[[#This Row],[Rate]]</f>
        <v>541908.94912220002</v>
      </c>
      <c r="T750" s="15">
        <v>45638</v>
      </c>
      <c r="U750" s="26" t="str">
        <f>VLOOKUP(Main_Presentation[[#This Row],[LC Number]],Main_Issuance[],18,0)</f>
        <v>Sight</v>
      </c>
      <c r="V750" s="19" t="s">
        <v>871</v>
      </c>
      <c r="W750" s="18" t="s">
        <v>378</v>
      </c>
      <c r="X750" s="16"/>
      <c r="Y750" s="234" t="str">
        <f>TRIM(LEFT(Main_Presentation[[#This Row],[Payment Terms]],3))</f>
        <v>Sig</v>
      </c>
      <c r="Z750" s="16"/>
      <c r="AA750" s="316" t="e" cm="1">
        <f t="array" ref="AA750">Settlement(Main_Presentation[[#This Row],[Bank]],Main_Presentation[[#This Row],[ Invoice Amt (SAR)]],Main_Presentation[[#This Row],[Date Recd]],Main_Presentation[[#This Row],[Due Date]],Main_Presentation[[#This Row],[Days]])</f>
        <v>#VALUE!</v>
      </c>
      <c r="AB750" s="16"/>
    </row>
    <row r="751" spans="1:28" ht="15.75" hidden="1" x14ac:dyDescent="0.25">
      <c r="A751" s="20" t="s">
        <v>409</v>
      </c>
      <c r="B751" s="15">
        <v>45690</v>
      </c>
      <c r="C751" s="26">
        <v>2</v>
      </c>
      <c r="D751" s="55" t="str">
        <f>VLOOKUP(Main_Presentation[[#This Row],[LC Number]],Main_Issuance[],3,0)</f>
        <v>Rabih Makhoul</v>
      </c>
      <c r="E751" s="16" t="s">
        <v>856</v>
      </c>
      <c r="F751" s="17" t="str">
        <f>VLOOKUP(Main_Presentation[[#This Row],[LC Number]],Main_Issuance[],5,0)</f>
        <v>SNB</v>
      </c>
      <c r="G751" s="17" t="str">
        <f>VLOOKUP(Main_Presentation[[#This Row],[LC Number]],Main_Issuance[],6,0)</f>
        <v>Opera House</v>
      </c>
      <c r="H751" s="17" t="str">
        <f>VLOOKUP(Main_Presentation[[#This Row],[LC Number]],Main_Issuance[],17,0)</f>
        <v>Credit</v>
      </c>
      <c r="I751" s="17" t="str">
        <f>VLOOKUP(Main_Presentation[[#This Row],[LC Number]],Main_Issuance[],7,0)</f>
        <v>MARINETEK CONTRACTING LLC</v>
      </c>
      <c r="J751" s="17" t="str">
        <f>VLOOKUP(Main_Presentation[[#This Row],[LC Number]],Main_Issuance[],8,0)</f>
        <v>OXAGON</v>
      </c>
      <c r="K751" s="17" t="str">
        <f>VLOOKUP(Main_Presentation[[#This Row],[LC Number]],Main_Issuance[],9,0)</f>
        <v>Neom - Bay Jetty</v>
      </c>
      <c r="L751" s="17">
        <f>VLOOKUP(Main_Presentation[[#This Row],[LC Number]],Main_Issuance[],10,0)</f>
        <v>1020085</v>
      </c>
      <c r="M751" s="17" t="str">
        <f>VLOOKUP(Main_Presentation[[#This Row],[LC Number]],Main_Issuance[],11,0)</f>
        <v>AED</v>
      </c>
      <c r="N751" s="84">
        <f>VLOOKUP(Main_Presentation[[#This Row],[LC Number]],Main_Issuance[],12,0)</f>
        <v>4205828.8</v>
      </c>
      <c r="O751" s="16" t="s">
        <v>20</v>
      </c>
      <c r="P751" s="16" t="s">
        <v>378</v>
      </c>
      <c r="Q751" s="131">
        <v>1720780.84</v>
      </c>
      <c r="R751" s="18">
        <v>1.0315234</v>
      </c>
      <c r="S751" s="18">
        <f>Main_Presentation[[#This Row],[Invoice Amt (FCY)]]*Main_Presentation[[#This Row],[Rate]]</f>
        <v>1775025.7027316561</v>
      </c>
      <c r="T751" s="15">
        <v>45690</v>
      </c>
      <c r="U751" s="26" t="str">
        <f>VLOOKUP(Main_Presentation[[#This Row],[LC Number]],Main_Issuance[],18,0)</f>
        <v>Sight</v>
      </c>
      <c r="V751" s="21" t="s">
        <v>882</v>
      </c>
      <c r="W751" s="22" t="s">
        <v>378</v>
      </c>
      <c r="X751" s="16"/>
      <c r="Y751" s="234" t="str">
        <f>TRIM(LEFT(Main_Presentation[[#This Row],[Payment Terms]],3))</f>
        <v>Sig</v>
      </c>
      <c r="Z751" s="16"/>
      <c r="AA751" s="316" t="e" cm="1">
        <f t="array" ref="AA751">Settlement(Main_Presentation[[#This Row],[Bank]],Main_Presentation[[#This Row],[ Invoice Amt (SAR)]],Main_Presentation[[#This Row],[Date Recd]],Main_Presentation[[#This Row],[Due Date]],Main_Presentation[[#This Row],[Days]])</f>
        <v>#VALUE!</v>
      </c>
      <c r="AB751" s="16"/>
    </row>
    <row r="752" spans="1:28" ht="15.75" hidden="1" x14ac:dyDescent="0.25">
      <c r="A752" s="20" t="s">
        <v>409</v>
      </c>
      <c r="B752" s="15">
        <v>45728</v>
      </c>
      <c r="C752" s="26">
        <v>3</v>
      </c>
      <c r="D752" s="55" t="str">
        <f>VLOOKUP(Main_Presentation[[#This Row],[LC Number]],Main_Issuance[],3,0)</f>
        <v>Rabih Makhoul</v>
      </c>
      <c r="E752" s="16" t="s">
        <v>858</v>
      </c>
      <c r="F752" s="16" t="str">
        <f>VLOOKUP(Main_Presentation[[#This Row],[LC Number]],Main_Issuance[],5,0)</f>
        <v>SNB</v>
      </c>
      <c r="G752" s="16" t="str">
        <f>VLOOKUP(Main_Presentation[[#This Row],[LC Number]],Main_Issuance[],6,0)</f>
        <v>Opera House</v>
      </c>
      <c r="H752" s="16" t="str">
        <f>VLOOKUP(Main_Presentation[[#This Row],[LC Number]],Main_Issuance[],17,0)</f>
        <v>Credit</v>
      </c>
      <c r="I752" s="16" t="str">
        <f>VLOOKUP(Main_Presentation[[#This Row],[LC Number]],Main_Issuance[],7,0)</f>
        <v>MARINETEK CONTRACTING LLC</v>
      </c>
      <c r="J752" s="16" t="str">
        <f>VLOOKUP(Main_Presentation[[#This Row],[LC Number]],Main_Issuance[],8,0)</f>
        <v>OXAGON</v>
      </c>
      <c r="K752" s="16" t="str">
        <f>VLOOKUP(Main_Presentation[[#This Row],[LC Number]],Main_Issuance[],9,0)</f>
        <v>Neom - Bay Jetty</v>
      </c>
      <c r="L752" s="16">
        <f>VLOOKUP(Main_Presentation[[#This Row],[LC Number]],Main_Issuance[],10,0)</f>
        <v>1020085</v>
      </c>
      <c r="M752" s="16" t="str">
        <f>VLOOKUP(Main_Presentation[[#This Row],[LC Number]],Main_Issuance[],11,0)</f>
        <v>AED</v>
      </c>
      <c r="N752" s="86">
        <f>VLOOKUP(Main_Presentation[[#This Row],[LC Number]],Main_Issuance[],12,0)</f>
        <v>4205828.8</v>
      </c>
      <c r="O752" s="16" t="s">
        <v>20</v>
      </c>
      <c r="P752" s="16" t="s">
        <v>378</v>
      </c>
      <c r="Q752" s="131">
        <v>653635.06999999995</v>
      </c>
      <c r="R752" s="18">
        <v>1.0301</v>
      </c>
      <c r="S752" s="18">
        <f>Main_Presentation[[#This Row],[Invoice Amt (FCY)]]*Main_Presentation[[#This Row],[Rate]]</f>
        <v>673309.48560699995</v>
      </c>
      <c r="T752" s="15">
        <v>45736</v>
      </c>
      <c r="U752" s="26" t="str">
        <f>VLOOKUP(Main_Presentation[[#This Row],[LC Number]],Main_Issuance[],18,0)</f>
        <v>Sight</v>
      </c>
      <c r="V752" s="21" t="s">
        <v>899</v>
      </c>
      <c r="W752" s="22" t="s">
        <v>378</v>
      </c>
      <c r="X752" s="16" t="s">
        <v>901</v>
      </c>
      <c r="Y752" s="234" t="str">
        <f>TRIM(LEFT(Main_Presentation[[#This Row],[Payment Terms]],3))</f>
        <v>Sig</v>
      </c>
      <c r="Z752" s="16"/>
      <c r="AA752" s="316" t="e" cm="1">
        <f t="array" ref="AA752">Settlement(Main_Presentation[[#This Row],[Bank]],Main_Presentation[[#This Row],[ Invoice Amt (SAR)]],Main_Presentation[[#This Row],[Date Recd]],Main_Presentation[[#This Row],[Due Date]],Main_Presentation[[#This Row],[Days]])</f>
        <v>#VALUE!</v>
      </c>
      <c r="AB752" s="16"/>
    </row>
    <row r="753" spans="1:28" ht="15.75" hidden="1" x14ac:dyDescent="0.25">
      <c r="A753" s="20" t="s">
        <v>608</v>
      </c>
      <c r="B753" s="15">
        <v>45683</v>
      </c>
      <c r="C753" s="26">
        <v>1</v>
      </c>
      <c r="D753" s="55" t="str">
        <f>VLOOKUP(Main_Presentation[[#This Row],[LC Number]],Main_Issuance[],3,0)</f>
        <v>Rabih Makhoul</v>
      </c>
      <c r="E753" s="16" t="s">
        <v>856</v>
      </c>
      <c r="F753" s="17" t="str">
        <f>VLOOKUP(Main_Presentation[[#This Row],[LC Number]],Main_Issuance[],5,0)</f>
        <v>SNB</v>
      </c>
      <c r="G753" s="17" t="str">
        <f>VLOOKUP(Main_Presentation[[#This Row],[LC Number]],Main_Issuance[],6,0)</f>
        <v>Opera House</v>
      </c>
      <c r="H753" s="17" t="str">
        <f>VLOOKUP(Main_Presentation[[#This Row],[LC Number]],Main_Issuance[],17,0)</f>
        <v>Credit</v>
      </c>
      <c r="I753" s="17" t="str">
        <f>VLOOKUP(Main_Presentation[[#This Row],[LC Number]],Main_Issuance[],7,0)</f>
        <v>TAMEER STEEL FACTORY CO LTD</v>
      </c>
      <c r="J753" s="17" t="str">
        <f>VLOOKUP(Main_Presentation[[#This Row],[LC Number]],Main_Issuance[],8,0)</f>
        <v>MBL</v>
      </c>
      <c r="K753" s="17" t="str">
        <f>VLOOKUP(Main_Presentation[[#This Row],[LC Number]],Main_Issuance[],9,0)</f>
        <v>Neom - The Line</v>
      </c>
      <c r="L753" s="17">
        <f>VLOOKUP(Main_Presentation[[#This Row],[LC Number]],Main_Issuance[],10,0)</f>
        <v>1020098</v>
      </c>
      <c r="M753" s="17" t="str">
        <f>VLOOKUP(Main_Presentation[[#This Row],[LC Number]],Main_Issuance[],11,0)</f>
        <v>SAR</v>
      </c>
      <c r="N753" s="84">
        <f>VLOOKUP(Main_Presentation[[#This Row],[LC Number]],Main_Issuance[],12,0)</f>
        <v>12603195</v>
      </c>
      <c r="O753" s="16" t="s">
        <v>20</v>
      </c>
      <c r="P753" s="16" t="s">
        <v>378</v>
      </c>
      <c r="Q753" s="131">
        <v>4837590</v>
      </c>
      <c r="R753" s="18">
        <v>1</v>
      </c>
      <c r="S753" s="18">
        <f>Main_Presentation[[#This Row],[Invoice Amt (FCY)]]*Main_Presentation[[#This Row],[Rate]]</f>
        <v>4837590</v>
      </c>
      <c r="T753" s="15">
        <v>45714</v>
      </c>
      <c r="U753" s="26" t="str">
        <f>VLOOKUP(Main_Presentation[[#This Row],[LC Number]],Main_Issuance[],18,0)</f>
        <v>45 Days from Invoice Date</v>
      </c>
      <c r="V753" s="21" t="s">
        <v>885</v>
      </c>
      <c r="W753" s="22" t="s">
        <v>378</v>
      </c>
      <c r="X753" s="16"/>
      <c r="Y753" s="234" t="str">
        <f>TRIM(LEFT(Main_Presentation[[#This Row],[Payment Terms]],3))</f>
        <v>45</v>
      </c>
      <c r="Z753" s="16"/>
      <c r="AA753" s="316" cm="1">
        <f t="array" ref="AA753">Settlement(Main_Presentation[[#This Row],[Bank]],Main_Presentation[[#This Row],[ Invoice Amt (SAR)]],Main_Presentation[[#This Row],[Date Recd]],Main_Presentation[[#This Row],[Due Date]],Main_Presentation[[#This Row],[Days]])</f>
        <v>11629.95</v>
      </c>
      <c r="AB753" s="16"/>
    </row>
    <row r="754" spans="1:28" ht="15.75" hidden="1" x14ac:dyDescent="0.25">
      <c r="A754" s="20" t="s">
        <v>608</v>
      </c>
      <c r="B754" s="15">
        <v>45698</v>
      </c>
      <c r="C754" s="26">
        <v>2</v>
      </c>
      <c r="D754" s="55" t="str">
        <f>VLOOKUP(Main_Presentation[[#This Row],[LC Number]],Main_Issuance[],3,0)</f>
        <v>Rabih Makhoul</v>
      </c>
      <c r="E754" s="16" t="s">
        <v>856</v>
      </c>
      <c r="F754" s="17" t="str">
        <f>VLOOKUP(Main_Presentation[[#This Row],[LC Number]],Main_Issuance[],5,0)</f>
        <v>SNB</v>
      </c>
      <c r="G754" s="17" t="str">
        <f>VLOOKUP(Main_Presentation[[#This Row],[LC Number]],Main_Issuance[],6,0)</f>
        <v>Opera House</v>
      </c>
      <c r="H754" s="17" t="str">
        <f>VLOOKUP(Main_Presentation[[#This Row],[LC Number]],Main_Issuance[],17,0)</f>
        <v>Credit</v>
      </c>
      <c r="I754" s="17" t="str">
        <f>VLOOKUP(Main_Presentation[[#This Row],[LC Number]],Main_Issuance[],7,0)</f>
        <v>TAMEER STEEL FACTORY CO LTD</v>
      </c>
      <c r="J754" s="17" t="str">
        <f>VLOOKUP(Main_Presentation[[#This Row],[LC Number]],Main_Issuance[],8,0)</f>
        <v>MBL</v>
      </c>
      <c r="K754" s="17" t="str">
        <f>VLOOKUP(Main_Presentation[[#This Row],[LC Number]],Main_Issuance[],9,0)</f>
        <v>Neom - The Line</v>
      </c>
      <c r="L754" s="17">
        <f>VLOOKUP(Main_Presentation[[#This Row],[LC Number]],Main_Issuance[],10,0)</f>
        <v>1020098</v>
      </c>
      <c r="M754" s="17" t="str">
        <f>VLOOKUP(Main_Presentation[[#This Row],[LC Number]],Main_Issuance[],11,0)</f>
        <v>SAR</v>
      </c>
      <c r="N754" s="84">
        <f>VLOOKUP(Main_Presentation[[#This Row],[LC Number]],Main_Issuance[],12,0)</f>
        <v>12603195</v>
      </c>
      <c r="O754" s="16" t="s">
        <v>20</v>
      </c>
      <c r="P754" s="16" t="s">
        <v>378</v>
      </c>
      <c r="Q754" s="131">
        <v>2367873</v>
      </c>
      <c r="R754" s="18">
        <v>1</v>
      </c>
      <c r="S754" s="18">
        <f>Main_Presentation[[#This Row],[Invoice Amt (FCY)]]*Main_Presentation[[#This Row],[Rate]]</f>
        <v>2367873</v>
      </c>
      <c r="T754" s="15">
        <v>45727</v>
      </c>
      <c r="U754" s="26" t="str">
        <f>VLOOKUP(Main_Presentation[[#This Row],[LC Number]],Main_Issuance[],18,0)</f>
        <v>45 Days from Invoice Date</v>
      </c>
      <c r="V754" s="21" t="s">
        <v>899</v>
      </c>
      <c r="W754" s="22" t="s">
        <v>378</v>
      </c>
      <c r="X754" s="16"/>
      <c r="Y754" s="234" t="str">
        <f>TRIM(LEFT(Main_Presentation[[#This Row],[Payment Terms]],3))</f>
        <v>45</v>
      </c>
      <c r="Z754" s="16"/>
      <c r="AA754" s="316" cm="1">
        <f t="array" ref="AA754">Settlement(Main_Presentation[[#This Row],[Bank]],Main_Presentation[[#This Row],[ Invoice Amt (SAR)]],Main_Presentation[[#This Row],[Date Recd]],Main_Presentation[[#This Row],[Due Date]],Main_Presentation[[#This Row],[Days]])</f>
        <v>5713.2</v>
      </c>
      <c r="AB754" s="16"/>
    </row>
    <row r="755" spans="1:28" ht="15.75" hidden="1" x14ac:dyDescent="0.25">
      <c r="A755" s="20" t="s">
        <v>608</v>
      </c>
      <c r="B755" s="15">
        <v>45700</v>
      </c>
      <c r="C755" s="26">
        <v>3</v>
      </c>
      <c r="D755" s="55" t="str">
        <f>VLOOKUP(Main_Presentation[[#This Row],[LC Number]],Main_Issuance[],3,0)</f>
        <v>Rabih Makhoul</v>
      </c>
      <c r="E755" s="16" t="s">
        <v>858</v>
      </c>
      <c r="F755" s="16" t="str">
        <f>VLOOKUP(Main_Presentation[[#This Row],[LC Number]],Main_Issuance[],5,0)</f>
        <v>SNB</v>
      </c>
      <c r="G755" s="16" t="str">
        <f>VLOOKUP(Main_Presentation[[#This Row],[LC Number]],Main_Issuance[],6,0)</f>
        <v>Opera House</v>
      </c>
      <c r="H755" s="16" t="str">
        <f>VLOOKUP(Main_Presentation[[#This Row],[LC Number]],Main_Issuance[],17,0)</f>
        <v>Credit</v>
      </c>
      <c r="I755" s="16" t="str">
        <f>VLOOKUP(Main_Presentation[[#This Row],[LC Number]],Main_Issuance[],7,0)</f>
        <v>TAMEER STEEL FACTORY CO LTD</v>
      </c>
      <c r="J755" s="16" t="str">
        <f>VLOOKUP(Main_Presentation[[#This Row],[LC Number]],Main_Issuance[],8,0)</f>
        <v>MBL</v>
      </c>
      <c r="K755" s="16" t="str">
        <f>VLOOKUP(Main_Presentation[[#This Row],[LC Number]],Main_Issuance[],9,0)</f>
        <v>Neom - The Line</v>
      </c>
      <c r="L755" s="16">
        <f>VLOOKUP(Main_Presentation[[#This Row],[LC Number]],Main_Issuance[],10,0)</f>
        <v>1020098</v>
      </c>
      <c r="M755" s="16" t="str">
        <f>VLOOKUP(Main_Presentation[[#This Row],[LC Number]],Main_Issuance[],11,0)</f>
        <v>SAR</v>
      </c>
      <c r="N755" s="86">
        <f>VLOOKUP(Main_Presentation[[#This Row],[LC Number]],Main_Issuance[],12,0)</f>
        <v>12603195</v>
      </c>
      <c r="O755" s="16" t="s">
        <v>20</v>
      </c>
      <c r="P755" s="16" t="s">
        <v>378</v>
      </c>
      <c r="Q755" s="131">
        <v>3140190</v>
      </c>
      <c r="R755" s="18">
        <v>1</v>
      </c>
      <c r="S755" s="18">
        <f>Main_Presentation[[#This Row],[Invoice Amt (FCY)]]*Main_Presentation[[#This Row],[Rate]]</f>
        <v>3140190</v>
      </c>
      <c r="T755" s="15">
        <v>45755</v>
      </c>
      <c r="U755" s="26" t="str">
        <f>VLOOKUP(Main_Presentation[[#This Row],[LC Number]],Main_Issuance[],18,0)</f>
        <v>45 Days from Invoice Date</v>
      </c>
      <c r="V755" s="21" t="s">
        <v>1145</v>
      </c>
      <c r="W755" s="22" t="s">
        <v>378</v>
      </c>
      <c r="X755" s="16"/>
      <c r="Y755" s="234" t="str">
        <f>TRIM(LEFT(Main_Presentation[[#This Row],[Payment Terms]],3))</f>
        <v>45</v>
      </c>
      <c r="Z755" s="16"/>
      <c r="AA755" s="316" cm="1">
        <f t="array" ref="AA755">Settlement(Main_Presentation[[#This Row],[Bank]],Main_Presentation[[#This Row],[ Invoice Amt (SAR)]],Main_Presentation[[#This Row],[Date Recd]],Main_Presentation[[#This Row],[Due Date]],Main_Presentation[[#This Row],[Days]])</f>
        <v>15086.85</v>
      </c>
      <c r="AB755" s="16"/>
    </row>
    <row r="756" spans="1:28" ht="15.75" hidden="1" x14ac:dyDescent="0.25">
      <c r="A756" s="20" t="s">
        <v>608</v>
      </c>
      <c r="B756" s="15">
        <v>45701</v>
      </c>
      <c r="C756" s="26">
        <v>4</v>
      </c>
      <c r="D756" s="55" t="str">
        <f>VLOOKUP(Main_Presentation[[#This Row],[LC Number]],Main_Issuance[],3,0)</f>
        <v>Rabih Makhoul</v>
      </c>
      <c r="E756" s="16" t="s">
        <v>856</v>
      </c>
      <c r="F756" s="16" t="str">
        <f>VLOOKUP(Main_Presentation[[#This Row],[LC Number]],Main_Issuance[],5,0)</f>
        <v>SNB</v>
      </c>
      <c r="G756" s="16" t="str">
        <f>VLOOKUP(Main_Presentation[[#This Row],[LC Number]],Main_Issuance[],6,0)</f>
        <v>Opera House</v>
      </c>
      <c r="H756" s="16" t="str">
        <f>VLOOKUP(Main_Presentation[[#This Row],[LC Number]],Main_Issuance[],17,0)</f>
        <v>Credit</v>
      </c>
      <c r="I756" s="16" t="str">
        <f>VLOOKUP(Main_Presentation[[#This Row],[LC Number]],Main_Issuance[],7,0)</f>
        <v>TAMEER STEEL FACTORY CO LTD</v>
      </c>
      <c r="J756" s="16" t="str">
        <f>VLOOKUP(Main_Presentation[[#This Row],[LC Number]],Main_Issuance[],8,0)</f>
        <v>MBL</v>
      </c>
      <c r="K756" s="16" t="str">
        <f>VLOOKUP(Main_Presentation[[#This Row],[LC Number]],Main_Issuance[],9,0)</f>
        <v>Neom - The Line</v>
      </c>
      <c r="L756" s="16">
        <f>VLOOKUP(Main_Presentation[[#This Row],[LC Number]],Main_Issuance[],10,0)</f>
        <v>1020098</v>
      </c>
      <c r="M756" s="16" t="str">
        <f>VLOOKUP(Main_Presentation[[#This Row],[LC Number]],Main_Issuance[],11,0)</f>
        <v>SAR</v>
      </c>
      <c r="N756" s="86">
        <f>VLOOKUP(Main_Presentation[[#This Row],[LC Number]],Main_Issuance[],12,0)</f>
        <v>12603195</v>
      </c>
      <c r="O756" s="16" t="s">
        <v>20</v>
      </c>
      <c r="P756" s="16" t="s">
        <v>378</v>
      </c>
      <c r="Q756" s="131">
        <v>2257542</v>
      </c>
      <c r="R756" s="18">
        <v>1</v>
      </c>
      <c r="S756" s="18">
        <f>Main_Presentation[[#This Row],[Invoice Amt (FCY)]]*Main_Presentation[[#This Row],[Rate]]</f>
        <v>2257542</v>
      </c>
      <c r="T756" s="15">
        <v>45727</v>
      </c>
      <c r="U756" s="26" t="str">
        <f>VLOOKUP(Main_Presentation[[#This Row],[LC Number]],Main_Issuance[],18,0)</f>
        <v>45 Days from Invoice Date</v>
      </c>
      <c r="V756" s="21" t="s">
        <v>890</v>
      </c>
      <c r="W756" s="22" t="s">
        <v>378</v>
      </c>
      <c r="X756" s="16"/>
      <c r="Y756" s="234" t="str">
        <f>TRIM(LEFT(Main_Presentation[[#This Row],[Payment Terms]],3))</f>
        <v>45</v>
      </c>
      <c r="Z756" s="16"/>
      <c r="AA756" s="316" cm="1">
        <f t="array" ref="AA756">Settlement(Main_Presentation[[#This Row],[Bank]],Main_Presentation[[#This Row],[ Invoice Amt (SAR)]],Main_Presentation[[#This Row],[Date Recd]],Main_Presentation[[#This Row],[Due Date]],Main_Presentation[[#This Row],[Days]])</f>
        <v>5448.7</v>
      </c>
      <c r="AB756" s="16"/>
    </row>
    <row r="757" spans="1:28" ht="15.75" hidden="1" x14ac:dyDescent="0.25">
      <c r="A757" s="20" t="s">
        <v>610</v>
      </c>
      <c r="B757" s="15">
        <v>45722</v>
      </c>
      <c r="C757" s="26">
        <v>1</v>
      </c>
      <c r="D757" s="55" t="str">
        <f>VLOOKUP(Main_Presentation[[#This Row],[LC Number]],Main_Issuance[],3,0)</f>
        <v>Rabih Makhoul</v>
      </c>
      <c r="E757" s="16" t="s">
        <v>858</v>
      </c>
      <c r="F757" s="17" t="str">
        <f>VLOOKUP(Main_Presentation[[#This Row],[LC Number]],Main_Issuance[],5,0)</f>
        <v>SNB</v>
      </c>
      <c r="G757" s="17" t="str">
        <f>VLOOKUP(Main_Presentation[[#This Row],[LC Number]],Main_Issuance[],6,0)</f>
        <v>Opera House</v>
      </c>
      <c r="H757" s="17" t="str">
        <f>VLOOKUP(Main_Presentation[[#This Row],[LC Number]],Main_Issuance[],17,0)</f>
        <v>Credit</v>
      </c>
      <c r="I757" s="17" t="str">
        <f>VLOOKUP(Main_Presentation[[#This Row],[LC Number]],Main_Issuance[],7,0)</f>
        <v>Soliman Saleh Al Mohileb And Sons Holding Company (Closed Joint)</v>
      </c>
      <c r="J757" s="17" t="str">
        <f>VLOOKUP(Main_Presentation[[#This Row],[LC Number]],Main_Issuance[],8,0)</f>
        <v>MBL</v>
      </c>
      <c r="K757" s="17" t="str">
        <f>VLOOKUP(Main_Presentation[[#This Row],[LC Number]],Main_Issuance[],9,0)</f>
        <v>Neom - The Line</v>
      </c>
      <c r="L757" s="17">
        <f>VLOOKUP(Main_Presentation[[#This Row],[LC Number]],Main_Issuance[],10,0)</f>
        <v>1020098</v>
      </c>
      <c r="M757" s="17" t="str">
        <f>VLOOKUP(Main_Presentation[[#This Row],[LC Number]],Main_Issuance[],11,0)</f>
        <v>SAR</v>
      </c>
      <c r="N757" s="84">
        <f>VLOOKUP(Main_Presentation[[#This Row],[LC Number]],Main_Issuance[],12,0)</f>
        <v>18879540</v>
      </c>
      <c r="O757" s="16" t="s">
        <v>20</v>
      </c>
      <c r="P757" s="16" t="s">
        <v>378</v>
      </c>
      <c r="Q757" s="131">
        <v>2203480.5</v>
      </c>
      <c r="R757" s="18">
        <v>1</v>
      </c>
      <c r="S757" s="18">
        <f>Main_Presentation[[#This Row],[Invoice Amt (FCY)]]*Main_Presentation[[#This Row],[Rate]]</f>
        <v>2203480.5</v>
      </c>
      <c r="T757" s="15">
        <v>45736</v>
      </c>
      <c r="U757" s="26" t="str">
        <f>VLOOKUP(Main_Presentation[[#This Row],[LC Number]],Main_Issuance[],18,0)</f>
        <v>30 Days from Invoice Date</v>
      </c>
      <c r="V757" s="21" t="s">
        <v>899</v>
      </c>
      <c r="W757" s="22" t="s">
        <v>378</v>
      </c>
      <c r="X757" s="16" t="s">
        <v>903</v>
      </c>
      <c r="Y757" s="234" t="str">
        <f>TRIM(LEFT(Main_Presentation[[#This Row],[Payment Terms]],3))</f>
        <v>30</v>
      </c>
      <c r="Z757" s="16"/>
      <c r="AA757" s="316" cm="1">
        <f t="array" ref="AA757">Settlement(Main_Presentation[[#This Row],[Bank]],Main_Presentation[[#This Row],[ Invoice Amt (SAR)]],Main_Presentation[[#This Row],[Date Recd]],Main_Presentation[[#This Row],[Due Date]],Main_Presentation[[#This Row],[Days]])</f>
        <v>655.5</v>
      </c>
      <c r="AB757" s="16"/>
    </row>
    <row r="758" spans="1:28" ht="15.75" hidden="1" x14ac:dyDescent="0.25">
      <c r="A758" s="20" t="s">
        <v>686</v>
      </c>
      <c r="B758" s="15">
        <v>45727</v>
      </c>
      <c r="C758" s="26">
        <v>1</v>
      </c>
      <c r="D758" s="55" t="str">
        <f>VLOOKUP(Main_Presentation[[#This Row],[LC Number]],Main_Issuance[],3,0)</f>
        <v>Rabih Makhoul</v>
      </c>
      <c r="E758" s="16" t="s">
        <v>856</v>
      </c>
      <c r="F758" s="17" t="str">
        <f>VLOOKUP(Main_Presentation[[#This Row],[LC Number]],Main_Issuance[],5,0)</f>
        <v>SNB</v>
      </c>
      <c r="G758" s="17" t="str">
        <f>VLOOKUP(Main_Presentation[[#This Row],[LC Number]],Main_Issuance[],6,0)</f>
        <v>Opera House</v>
      </c>
      <c r="H758" s="17" t="str">
        <f>VLOOKUP(Main_Presentation[[#This Row],[LC Number]],Main_Issuance[],17,0)</f>
        <v>Credit</v>
      </c>
      <c r="I758" s="17" t="str">
        <f>VLOOKUP(Main_Presentation[[#This Row],[LC Number]],Main_Issuance[],7,0)</f>
        <v>TAMEER STEEL FACTORY CO LTD</v>
      </c>
      <c r="J758" s="17" t="str">
        <f>VLOOKUP(Main_Presentation[[#This Row],[LC Number]],Main_Issuance[],8,0)</f>
        <v>MBL</v>
      </c>
      <c r="K758" s="17" t="str">
        <f>VLOOKUP(Main_Presentation[[#This Row],[LC Number]],Main_Issuance[],9,0)</f>
        <v>Neom - The Line</v>
      </c>
      <c r="L758" s="17">
        <f>VLOOKUP(Main_Presentation[[#This Row],[LC Number]],Main_Issuance[],10,0)</f>
        <v>1020098</v>
      </c>
      <c r="M758" s="17" t="str">
        <f>VLOOKUP(Main_Presentation[[#This Row],[LC Number]],Main_Issuance[],11,0)</f>
        <v>SAR</v>
      </c>
      <c r="N758" s="84">
        <f>VLOOKUP(Main_Presentation[[#This Row],[LC Number]],Main_Issuance[],12,0)</f>
        <v>5208739.97</v>
      </c>
      <c r="O758" s="16" t="s">
        <v>20</v>
      </c>
      <c r="P758" s="16" t="s">
        <v>378</v>
      </c>
      <c r="Q758" s="131">
        <v>1054571.18</v>
      </c>
      <c r="R758" s="18">
        <v>1</v>
      </c>
      <c r="S758" s="18">
        <f>Main_Presentation[[#This Row],[Invoice Amt (FCY)]]*Main_Presentation[[#This Row],[Rate]]</f>
        <v>1054571.18</v>
      </c>
      <c r="T758" s="15">
        <v>45741</v>
      </c>
      <c r="U758" s="26" t="str">
        <f>VLOOKUP(Main_Presentation[[#This Row],[LC Number]],Main_Issuance[],18,0)</f>
        <v>45 Days from Invoice Date</v>
      </c>
      <c r="V758" s="21" t="s">
        <v>1106</v>
      </c>
      <c r="W758" s="22" t="s">
        <v>378</v>
      </c>
      <c r="X758" s="16"/>
      <c r="Y758" s="234" t="str">
        <f>TRIM(LEFT(Main_Presentation[[#This Row],[Payment Terms]],3))</f>
        <v>45</v>
      </c>
      <c r="Z758" s="16"/>
      <c r="AA758" s="316" cm="1">
        <f t="array" ref="AA758">Settlement(Main_Presentation[[#This Row],[Bank]],Main_Presentation[[#This Row],[ Invoice Amt (SAR)]],Main_Presentation[[#This Row],[Date Recd]],Main_Presentation[[#This Row],[Due Date]],Main_Presentation[[#This Row],[Days]])</f>
        <v>655.5</v>
      </c>
      <c r="AB758" s="16"/>
    </row>
    <row r="759" spans="1:28" ht="15.75" hidden="1" x14ac:dyDescent="0.25">
      <c r="A759" s="20" t="s">
        <v>686</v>
      </c>
      <c r="B759" s="15">
        <v>45727</v>
      </c>
      <c r="C759" s="26">
        <v>2</v>
      </c>
      <c r="D759" s="55" t="str">
        <f>VLOOKUP(Main_Presentation[[#This Row],[LC Number]],Main_Issuance[],3,0)</f>
        <v>Rabih Makhoul</v>
      </c>
      <c r="E759" s="16" t="s">
        <v>856</v>
      </c>
      <c r="F759" s="17" t="str">
        <f>VLOOKUP(Main_Presentation[[#This Row],[LC Number]],Main_Issuance[],5,0)</f>
        <v>SNB</v>
      </c>
      <c r="G759" s="17" t="str">
        <f>VLOOKUP(Main_Presentation[[#This Row],[LC Number]],Main_Issuance[],6,0)</f>
        <v>Opera House</v>
      </c>
      <c r="H759" s="17" t="str">
        <f>VLOOKUP(Main_Presentation[[#This Row],[LC Number]],Main_Issuance[],17,0)</f>
        <v>Credit</v>
      </c>
      <c r="I759" s="17" t="str">
        <f>VLOOKUP(Main_Presentation[[#This Row],[LC Number]],Main_Issuance[],7,0)</f>
        <v>TAMEER STEEL FACTORY CO LTD</v>
      </c>
      <c r="J759" s="17" t="str">
        <f>VLOOKUP(Main_Presentation[[#This Row],[LC Number]],Main_Issuance[],8,0)</f>
        <v>MBL</v>
      </c>
      <c r="K759" s="17" t="str">
        <f>VLOOKUP(Main_Presentation[[#This Row],[LC Number]],Main_Issuance[],9,0)</f>
        <v>Neom - The Line</v>
      </c>
      <c r="L759" s="17">
        <f>VLOOKUP(Main_Presentation[[#This Row],[LC Number]],Main_Issuance[],10,0)</f>
        <v>1020098</v>
      </c>
      <c r="M759" s="17" t="str">
        <f>VLOOKUP(Main_Presentation[[#This Row],[LC Number]],Main_Issuance[],11,0)</f>
        <v>SAR</v>
      </c>
      <c r="N759" s="84">
        <f>VLOOKUP(Main_Presentation[[#This Row],[LC Number]],Main_Issuance[],12,0)</f>
        <v>5208739.97</v>
      </c>
      <c r="O759" s="16" t="s">
        <v>20</v>
      </c>
      <c r="P759" s="16" t="s">
        <v>378</v>
      </c>
      <c r="Q759" s="131">
        <v>875326.61</v>
      </c>
      <c r="R759" s="18">
        <v>1</v>
      </c>
      <c r="S759" s="18">
        <f>Main_Presentation[[#This Row],[Invoice Amt (FCY)]]*Main_Presentation[[#This Row],[Rate]]</f>
        <v>875326.61</v>
      </c>
      <c r="T759" s="15">
        <v>45743</v>
      </c>
      <c r="U759" s="26" t="str">
        <f>VLOOKUP(Main_Presentation[[#This Row],[LC Number]],Main_Issuance[],18,0)</f>
        <v>45 Days from Invoice Date</v>
      </c>
      <c r="V759" s="21" t="s">
        <v>304</v>
      </c>
      <c r="W759" s="22" t="s">
        <v>857</v>
      </c>
      <c r="X759" s="16"/>
      <c r="Y759" s="234" t="str">
        <f>TRIM(LEFT(Main_Presentation[[#This Row],[Payment Terms]],3))</f>
        <v>45</v>
      </c>
      <c r="Z759" s="16"/>
      <c r="AA759" s="316" cm="1">
        <f t="array" ref="AA759">Settlement(Main_Presentation[[#This Row],[Bank]],Main_Presentation[[#This Row],[ Invoice Amt (SAR)]],Main_Presentation[[#This Row],[Date Recd]],Main_Presentation[[#This Row],[Due Date]],Main_Presentation[[#This Row],[Days]])</f>
        <v>2137.85</v>
      </c>
      <c r="AB759" s="16"/>
    </row>
    <row r="760" spans="1:28" ht="15.75" hidden="1" x14ac:dyDescent="0.25">
      <c r="A760" s="129" t="s">
        <v>691</v>
      </c>
      <c r="B760" s="137">
        <v>45732</v>
      </c>
      <c r="C760" s="138" t="s">
        <v>1299</v>
      </c>
      <c r="D760" s="139" t="str">
        <f>VLOOKUP(Main_Presentation[[#This Row],[LC Number]],Main_Issuance[],3,0)</f>
        <v>Rabih Makhoul</v>
      </c>
      <c r="E760" s="140" t="s">
        <v>856</v>
      </c>
      <c r="F760" s="140" t="str">
        <f>VLOOKUP(Main_Presentation[[#This Row],[LC Number]],Main_Issuance[],5,0)</f>
        <v>SNB</v>
      </c>
      <c r="G760" s="140" t="str">
        <f>VLOOKUP(Main_Presentation[[#This Row],[LC Number]],Main_Issuance[],6,0)</f>
        <v>Opera House</v>
      </c>
      <c r="H760" s="140" t="str">
        <f>VLOOKUP(Main_Presentation[[#This Row],[LC Number]],Main_Issuance[],17,0)</f>
        <v>Credit</v>
      </c>
      <c r="I760" s="140" t="str">
        <f>VLOOKUP(Main_Presentation[[#This Row],[LC Number]],Main_Issuance[],7,0)</f>
        <v>Abdulah Abdin Albukhari Factory For Industry.</v>
      </c>
      <c r="J760" s="140" t="str">
        <f>VLOOKUP(Main_Presentation[[#This Row],[LC Number]],Main_Issuance[],8,0)</f>
        <v>MBL</v>
      </c>
      <c r="K760" s="140" t="str">
        <f>VLOOKUP(Main_Presentation[[#This Row],[LC Number]],Main_Issuance[],9,0)</f>
        <v>Neom - The Line</v>
      </c>
      <c r="L760" s="140">
        <f>VLOOKUP(Main_Presentation[[#This Row],[LC Number]],Main_Issuance[],10,0)</f>
        <v>1020098</v>
      </c>
      <c r="M760" s="140" t="str">
        <f>VLOOKUP(Main_Presentation[[#This Row],[LC Number]],Main_Issuance[],11,0)</f>
        <v>SAR</v>
      </c>
      <c r="N760" s="141">
        <f>VLOOKUP(Main_Presentation[[#This Row],[LC Number]],Main_Issuance[],12,0)</f>
        <v>30000000</v>
      </c>
      <c r="O760" s="140" t="s">
        <v>20</v>
      </c>
      <c r="P760" s="140" t="s">
        <v>378</v>
      </c>
      <c r="Q760" s="131">
        <f>6646080-1000000</f>
        <v>5646080</v>
      </c>
      <c r="R760" s="131">
        <v>1</v>
      </c>
      <c r="S760" s="131">
        <f>Main_Presentation[[#This Row],[Invoice Amt (FCY)]]*Main_Presentation[[#This Row],[Rate]]</f>
        <v>5646080</v>
      </c>
      <c r="T760" s="137">
        <v>45741</v>
      </c>
      <c r="U760" s="138" t="str">
        <f>VLOOKUP(Main_Presentation[[#This Row],[LC Number]],Main_Issuance[],18,0)</f>
        <v>45 Days from Invoice Date</v>
      </c>
      <c r="V760" s="143" t="s">
        <v>1156</v>
      </c>
      <c r="W760" s="145" t="s">
        <v>378</v>
      </c>
      <c r="X760" s="140"/>
      <c r="Y760" s="400" t="str">
        <f>TRIM(LEFT(Main_Presentation[[#This Row],[Payment Terms]],3))</f>
        <v>45</v>
      </c>
      <c r="Z760" s="140"/>
      <c r="AA760" s="316" cm="1">
        <f t="array" ref="AA760">Settlement(Main_Presentation[[#This Row],[Bank]],Main_Presentation[[#This Row],[ Invoice Amt (SAR)]],Main_Presentation[[#This Row],[Date Recd]],Main_Presentation[[#This Row],[Due Date]],Main_Presentation[[#This Row],[Days]])</f>
        <v>655.5</v>
      </c>
      <c r="AB760" s="140"/>
    </row>
    <row r="761" spans="1:28" ht="15.75" hidden="1" x14ac:dyDescent="0.25">
      <c r="A761" s="20" t="s">
        <v>686</v>
      </c>
      <c r="B761" s="15">
        <v>45732</v>
      </c>
      <c r="C761" s="26">
        <v>3</v>
      </c>
      <c r="D761" s="55" t="str">
        <f>VLOOKUP(Main_Presentation[[#This Row],[LC Number]],Main_Issuance[],3,0)</f>
        <v>Rabih Makhoul</v>
      </c>
      <c r="E761" s="16" t="s">
        <v>856</v>
      </c>
      <c r="F761" s="16" t="str">
        <f>VLOOKUP(Main_Presentation[[#This Row],[LC Number]],Main_Issuance[],5,0)</f>
        <v>SNB</v>
      </c>
      <c r="G761" s="16" t="str">
        <f>VLOOKUP(Main_Presentation[[#This Row],[LC Number]],Main_Issuance[],6,0)</f>
        <v>Opera House</v>
      </c>
      <c r="H761" s="16" t="str">
        <f>VLOOKUP(Main_Presentation[[#This Row],[LC Number]],Main_Issuance[],17,0)</f>
        <v>Credit</v>
      </c>
      <c r="I761" s="16" t="str">
        <f>VLOOKUP(Main_Presentation[[#This Row],[LC Number]],Main_Issuance[],7,0)</f>
        <v>TAMEER STEEL FACTORY CO LTD</v>
      </c>
      <c r="J761" s="16" t="str">
        <f>VLOOKUP(Main_Presentation[[#This Row],[LC Number]],Main_Issuance[],8,0)</f>
        <v>MBL</v>
      </c>
      <c r="K761" s="16" t="str">
        <f>VLOOKUP(Main_Presentation[[#This Row],[LC Number]],Main_Issuance[],9,0)</f>
        <v>Neom - The Line</v>
      </c>
      <c r="L761" s="16">
        <f>VLOOKUP(Main_Presentation[[#This Row],[LC Number]],Main_Issuance[],10,0)</f>
        <v>1020098</v>
      </c>
      <c r="M761" s="16" t="str">
        <f>VLOOKUP(Main_Presentation[[#This Row],[LC Number]],Main_Issuance[],11,0)</f>
        <v>SAR</v>
      </c>
      <c r="N761" s="86">
        <f>VLOOKUP(Main_Presentation[[#This Row],[LC Number]],Main_Issuance[],12,0)</f>
        <v>5208739.97</v>
      </c>
      <c r="O761" s="16" t="s">
        <v>20</v>
      </c>
      <c r="P761" s="16" t="s">
        <v>378</v>
      </c>
      <c r="Q761" s="131">
        <v>1810890.66</v>
      </c>
      <c r="R761" s="18">
        <v>1</v>
      </c>
      <c r="S761" s="18">
        <f>Main_Presentation[[#This Row],[Invoice Amt (FCY)]]*Main_Presentation[[#This Row],[Rate]]</f>
        <v>1810890.66</v>
      </c>
      <c r="T761" s="15">
        <v>45736</v>
      </c>
      <c r="U761" s="26" t="str">
        <f>VLOOKUP(Main_Presentation[[#This Row],[LC Number]],Main_Issuance[],18,0)</f>
        <v>45 Days from Invoice Date</v>
      </c>
      <c r="V761" s="21" t="s">
        <v>899</v>
      </c>
      <c r="W761" s="22" t="s">
        <v>378</v>
      </c>
      <c r="X761" s="16"/>
      <c r="Y761" s="234" t="str">
        <f>TRIM(LEFT(Main_Presentation[[#This Row],[Payment Terms]],3))</f>
        <v>45</v>
      </c>
      <c r="Z761" s="16"/>
      <c r="AA761" s="316" cm="1">
        <f t="array" ref="AA761">Settlement(Main_Presentation[[#This Row],[Bank]],Main_Presentation[[#This Row],[ Invoice Amt (SAR)]],Main_Presentation[[#This Row],[Date Recd]],Main_Presentation[[#This Row],[Due Date]],Main_Presentation[[#This Row],[Days]])</f>
        <v>655.5</v>
      </c>
      <c r="AB761" s="16"/>
    </row>
    <row r="762" spans="1:28" ht="15.75" hidden="1" x14ac:dyDescent="0.25">
      <c r="A762" s="20" t="s">
        <v>691</v>
      </c>
      <c r="B762" s="15">
        <v>45734</v>
      </c>
      <c r="C762" s="26">
        <v>2</v>
      </c>
      <c r="D762" s="55" t="str">
        <f>VLOOKUP(Main_Presentation[[#This Row],[LC Number]],Main_Issuance[],3,0)</f>
        <v>Rabih Makhoul</v>
      </c>
      <c r="E762" s="16" t="s">
        <v>856</v>
      </c>
      <c r="F762" s="16" t="str">
        <f>VLOOKUP(Main_Presentation[[#This Row],[LC Number]],Main_Issuance[],5,0)</f>
        <v>SNB</v>
      </c>
      <c r="G762" s="16" t="str">
        <f>VLOOKUP(Main_Presentation[[#This Row],[LC Number]],Main_Issuance[],6,0)</f>
        <v>Opera House</v>
      </c>
      <c r="H762" s="16" t="str">
        <f>VLOOKUP(Main_Presentation[[#This Row],[LC Number]],Main_Issuance[],17,0)</f>
        <v>Credit</v>
      </c>
      <c r="I762" s="16" t="str">
        <f>VLOOKUP(Main_Presentation[[#This Row],[LC Number]],Main_Issuance[],7,0)</f>
        <v>Abdulah Abdin Albukhari Factory For Industry.</v>
      </c>
      <c r="J762" s="16" t="str">
        <f>VLOOKUP(Main_Presentation[[#This Row],[LC Number]],Main_Issuance[],8,0)</f>
        <v>MBL</v>
      </c>
      <c r="K762" s="16" t="str">
        <f>VLOOKUP(Main_Presentation[[#This Row],[LC Number]],Main_Issuance[],9,0)</f>
        <v>Neom - The Line</v>
      </c>
      <c r="L762" s="16">
        <f>VLOOKUP(Main_Presentation[[#This Row],[LC Number]],Main_Issuance[],10,0)</f>
        <v>1020098</v>
      </c>
      <c r="M762" s="16" t="str">
        <f>VLOOKUP(Main_Presentation[[#This Row],[LC Number]],Main_Issuance[],11,0)</f>
        <v>SAR</v>
      </c>
      <c r="N762" s="86">
        <f>VLOOKUP(Main_Presentation[[#This Row],[LC Number]],Main_Issuance[],12,0)</f>
        <v>30000000</v>
      </c>
      <c r="O762" s="16" t="s">
        <v>20</v>
      </c>
      <c r="P762" s="16" t="s">
        <v>378</v>
      </c>
      <c r="Q762" s="131">
        <v>6622620</v>
      </c>
      <c r="R762" s="18">
        <v>1</v>
      </c>
      <c r="S762" s="18">
        <f>Main_Presentation[[#This Row],[Invoice Amt (FCY)]]*Main_Presentation[[#This Row],[Rate]]</f>
        <v>6622620</v>
      </c>
      <c r="T762" s="15">
        <v>45753</v>
      </c>
      <c r="U762" s="26" t="str">
        <f>VLOOKUP(Main_Presentation[[#This Row],[LC Number]],Main_Issuance[],18,0)</f>
        <v>45 Days from Invoice Date</v>
      </c>
      <c r="V762" s="21" t="s">
        <v>304</v>
      </c>
      <c r="W762" s="22" t="s">
        <v>857</v>
      </c>
      <c r="X762" s="16"/>
      <c r="Y762" s="234" t="str">
        <f>TRIM(LEFT(Main_Presentation[[#This Row],[Payment Terms]],3))</f>
        <v>45</v>
      </c>
      <c r="Z762" s="16"/>
      <c r="AA762" s="316" cm="1">
        <f t="array" ref="AA762">Settlement(Main_Presentation[[#This Row],[Bank]],Main_Presentation[[#This Row],[ Invoice Amt (SAR)]],Main_Presentation[[#This Row],[Date Recd]],Main_Presentation[[#This Row],[Due Date]],Main_Presentation[[#This Row],[Days]])</f>
        <v>15906.8</v>
      </c>
      <c r="AB762" s="16"/>
    </row>
    <row r="763" spans="1:28" ht="15.75" hidden="1" x14ac:dyDescent="0.25">
      <c r="A763" s="20" t="s">
        <v>610</v>
      </c>
      <c r="B763" s="15">
        <v>45739</v>
      </c>
      <c r="C763" s="26">
        <v>3</v>
      </c>
      <c r="D763" s="55" t="str">
        <f>VLOOKUP(Main_Presentation[[#This Row],[LC Number]],Main_Issuance[],3,0)</f>
        <v>Rabih Makhoul</v>
      </c>
      <c r="E763" s="16" t="s">
        <v>858</v>
      </c>
      <c r="F763" s="16" t="str">
        <f>VLOOKUP(Main_Presentation[[#This Row],[LC Number]],Main_Issuance[],5,0)</f>
        <v>SNB</v>
      </c>
      <c r="G763" s="16" t="str">
        <f>VLOOKUP(Main_Presentation[[#This Row],[LC Number]],Main_Issuance[],6,0)</f>
        <v>Opera House</v>
      </c>
      <c r="H763" s="16" t="str">
        <f>VLOOKUP(Main_Presentation[[#This Row],[LC Number]],Main_Issuance[],17,0)</f>
        <v>Credit</v>
      </c>
      <c r="I763" s="16" t="str">
        <f>VLOOKUP(Main_Presentation[[#This Row],[LC Number]],Main_Issuance[],7,0)</f>
        <v>Soliman Saleh Al Mohileb And Sons Holding Company (Closed Joint)</v>
      </c>
      <c r="J763" s="16" t="str">
        <f>VLOOKUP(Main_Presentation[[#This Row],[LC Number]],Main_Issuance[],8,0)</f>
        <v>MBL</v>
      </c>
      <c r="K763" s="16" t="str">
        <f>VLOOKUP(Main_Presentation[[#This Row],[LC Number]],Main_Issuance[],9,0)</f>
        <v>Neom - The Line</v>
      </c>
      <c r="L763" s="16">
        <f>VLOOKUP(Main_Presentation[[#This Row],[LC Number]],Main_Issuance[],10,0)</f>
        <v>1020098</v>
      </c>
      <c r="M763" s="16" t="str">
        <f>VLOOKUP(Main_Presentation[[#This Row],[LC Number]],Main_Issuance[],11,0)</f>
        <v>SAR</v>
      </c>
      <c r="N763" s="86">
        <f>VLOOKUP(Main_Presentation[[#This Row],[LC Number]],Main_Issuance[],12,0)</f>
        <v>18879540</v>
      </c>
      <c r="O763" s="16" t="s">
        <v>20</v>
      </c>
      <c r="P763" s="16" t="s">
        <v>378</v>
      </c>
      <c r="Q763" s="131">
        <v>2211691.5</v>
      </c>
      <c r="R763" s="18">
        <v>1</v>
      </c>
      <c r="S763" s="131">
        <f>Main_Presentation[[#This Row],[Invoice Amt (FCY)]]*Main_Presentation[[#This Row],[Rate]]</f>
        <v>2211691.5</v>
      </c>
      <c r="T763" s="15">
        <v>45775</v>
      </c>
      <c r="U763" s="26" t="str">
        <f>VLOOKUP(Main_Presentation[[#This Row],[LC Number]],Main_Issuance[],18,0)</f>
        <v>30 Days from Invoice Date</v>
      </c>
      <c r="V763" s="21" t="s">
        <v>304</v>
      </c>
      <c r="W763" s="22" t="s">
        <v>857</v>
      </c>
      <c r="X763" s="16"/>
      <c r="Y763" s="234" t="str">
        <f>TRIM(LEFT(Main_Presentation[[#This Row],[Payment Terms]],3))</f>
        <v>30</v>
      </c>
      <c r="Z763" s="16"/>
      <c r="AA763" s="316" cm="1">
        <f t="array" ref="AA763">Settlement(Main_Presentation[[#This Row],[Bank]],Main_Presentation[[#This Row],[ Invoice Amt (SAR)]],Main_Presentation[[#This Row],[Date Recd]],Main_Presentation[[#This Row],[Due Date]],Main_Presentation[[#This Row],[Days]])</f>
        <v>5339.45</v>
      </c>
      <c r="AB763" s="16"/>
    </row>
    <row r="764" spans="1:28" ht="15.75" hidden="1" x14ac:dyDescent="0.25">
      <c r="A764" s="20" t="s">
        <v>610</v>
      </c>
      <c r="B764" s="15">
        <v>45740</v>
      </c>
      <c r="C764" s="26">
        <v>2</v>
      </c>
      <c r="D764" s="55" t="str">
        <f>VLOOKUP(Main_Presentation[[#This Row],[LC Number]],Main_Issuance[],3,0)</f>
        <v>Rabih Makhoul</v>
      </c>
      <c r="E764" s="16" t="s">
        <v>856</v>
      </c>
      <c r="F764" s="16" t="str">
        <f>VLOOKUP(Main_Presentation[[#This Row],[LC Number]],Main_Issuance[],5,0)</f>
        <v>SNB</v>
      </c>
      <c r="G764" s="16" t="str">
        <f>VLOOKUP(Main_Presentation[[#This Row],[LC Number]],Main_Issuance[],6,0)</f>
        <v>Opera House</v>
      </c>
      <c r="H764" s="16" t="str">
        <f>VLOOKUP(Main_Presentation[[#This Row],[LC Number]],Main_Issuance[],17,0)</f>
        <v>Credit</v>
      </c>
      <c r="I764" s="16" t="str">
        <f>VLOOKUP(Main_Presentation[[#This Row],[LC Number]],Main_Issuance[],7,0)</f>
        <v>Soliman Saleh Al Mohileb And Sons Holding Company (Closed Joint)</v>
      </c>
      <c r="J764" s="16" t="str">
        <f>VLOOKUP(Main_Presentation[[#This Row],[LC Number]],Main_Issuance[],8,0)</f>
        <v>MBL</v>
      </c>
      <c r="K764" s="16" t="str">
        <f>VLOOKUP(Main_Presentation[[#This Row],[LC Number]],Main_Issuance[],9,0)</f>
        <v>Neom - The Line</v>
      </c>
      <c r="L764" s="16">
        <f>VLOOKUP(Main_Presentation[[#This Row],[LC Number]],Main_Issuance[],10,0)</f>
        <v>1020098</v>
      </c>
      <c r="M764" s="16" t="str">
        <f>VLOOKUP(Main_Presentation[[#This Row],[LC Number]],Main_Issuance[],11,0)</f>
        <v>SAR</v>
      </c>
      <c r="N764" s="86">
        <f>VLOOKUP(Main_Presentation[[#This Row],[LC Number]],Main_Issuance[],12,0)</f>
        <v>18879540</v>
      </c>
      <c r="O764" s="16" t="s">
        <v>20</v>
      </c>
      <c r="P764" s="16" t="s">
        <v>378</v>
      </c>
      <c r="Q764" s="131">
        <v>2425764</v>
      </c>
      <c r="R764" s="18">
        <v>1</v>
      </c>
      <c r="S764" s="18">
        <f>Main_Presentation[[#This Row],[Invoice Amt (FCY)]]*Main_Presentation[[#This Row],[Rate]]</f>
        <v>2425764</v>
      </c>
      <c r="T764" s="15">
        <v>45740</v>
      </c>
      <c r="U764" s="26" t="str">
        <f>VLOOKUP(Main_Presentation[[#This Row],[LC Number]],Main_Issuance[],18,0)</f>
        <v>30 Days from Invoice Date</v>
      </c>
      <c r="V764" s="21" t="s">
        <v>899</v>
      </c>
      <c r="W764" s="22" t="s">
        <v>378</v>
      </c>
      <c r="X764" s="16"/>
      <c r="Y764" s="234" t="str">
        <f>TRIM(LEFT(Main_Presentation[[#This Row],[Payment Terms]],3))</f>
        <v>30</v>
      </c>
      <c r="Z764" s="16"/>
      <c r="AA764" s="316" cm="1">
        <f t="array" ref="AA764">Settlement(Main_Presentation[[#This Row],[Bank]],Main_Presentation[[#This Row],[ Invoice Amt (SAR)]],Main_Presentation[[#This Row],[Date Recd]],Main_Presentation[[#This Row],[Due Date]],Main_Presentation[[#This Row],[Days]])</f>
        <v>655.5</v>
      </c>
      <c r="AB764" s="16"/>
    </row>
    <row r="765" spans="1:28" ht="15.75" hidden="1" x14ac:dyDescent="0.25">
      <c r="A765" s="20" t="s">
        <v>686</v>
      </c>
      <c r="B765" s="15">
        <v>45753</v>
      </c>
      <c r="C765" s="26">
        <v>4</v>
      </c>
      <c r="D765" s="55" t="str">
        <f>VLOOKUP(Main_Presentation[[#This Row],[LC Number]],Main_Issuance[],3,0)</f>
        <v>Rabih Makhoul</v>
      </c>
      <c r="E765" s="16" t="s">
        <v>856</v>
      </c>
      <c r="F765" s="16" t="str">
        <f>VLOOKUP(Main_Presentation[[#This Row],[LC Number]],Main_Issuance[],5,0)</f>
        <v>SNB</v>
      </c>
      <c r="G765" s="16" t="str">
        <f>VLOOKUP(Main_Presentation[[#This Row],[LC Number]],Main_Issuance[],6,0)</f>
        <v>Opera House</v>
      </c>
      <c r="H765" s="16" t="str">
        <f>VLOOKUP(Main_Presentation[[#This Row],[LC Number]],Main_Issuance[],17,0)</f>
        <v>Credit</v>
      </c>
      <c r="I765" s="16" t="str">
        <f>VLOOKUP(Main_Presentation[[#This Row],[LC Number]],Main_Issuance[],7,0)</f>
        <v>TAMEER STEEL FACTORY CO LTD</v>
      </c>
      <c r="J765" s="16" t="str">
        <f>VLOOKUP(Main_Presentation[[#This Row],[LC Number]],Main_Issuance[],8,0)</f>
        <v>MBL</v>
      </c>
      <c r="K765" s="16" t="str">
        <f>VLOOKUP(Main_Presentation[[#This Row],[LC Number]],Main_Issuance[],9,0)</f>
        <v>Neom - The Line</v>
      </c>
      <c r="L765" s="16">
        <f>VLOOKUP(Main_Presentation[[#This Row],[LC Number]],Main_Issuance[],10,0)</f>
        <v>1020098</v>
      </c>
      <c r="M765" s="16" t="str">
        <f>VLOOKUP(Main_Presentation[[#This Row],[LC Number]],Main_Issuance[],11,0)</f>
        <v>SAR</v>
      </c>
      <c r="N765" s="86">
        <f>VLOOKUP(Main_Presentation[[#This Row],[LC Number]],Main_Issuance[],12,0)</f>
        <v>5208739.97</v>
      </c>
      <c r="O765" s="16" t="s">
        <v>20</v>
      </c>
      <c r="P765" s="16" t="s">
        <v>378</v>
      </c>
      <c r="Q765" s="131">
        <v>1170400.8899999999</v>
      </c>
      <c r="R765" s="18">
        <v>1</v>
      </c>
      <c r="S765" s="18">
        <f>Main_Presentation[[#This Row],[Invoice Amt (FCY)]]*Main_Presentation[[#This Row],[Rate]]</f>
        <v>1170400.8899999999</v>
      </c>
      <c r="T765" s="15">
        <v>45767</v>
      </c>
      <c r="U765" s="26" t="str">
        <f>VLOOKUP(Main_Presentation[[#This Row],[LC Number]],Main_Issuance[],18,0)</f>
        <v>45 Days from Invoice Date</v>
      </c>
      <c r="V765" s="21" t="s">
        <v>407</v>
      </c>
      <c r="W765" s="22" t="s">
        <v>378</v>
      </c>
      <c r="X765" s="16"/>
      <c r="Y765" s="234" t="str">
        <f>TRIM(LEFT(Main_Presentation[[#This Row],[Payment Terms]],3))</f>
        <v>45</v>
      </c>
      <c r="Z765" s="16"/>
      <c r="AA765" s="316" cm="1">
        <f t="array" ref="AA765">Settlement(Main_Presentation[[#This Row],[Bank]],Main_Presentation[[#This Row],[ Invoice Amt (SAR)]],Main_Presentation[[#This Row],[Date Recd]],Main_Presentation[[#This Row],[Due Date]],Main_Presentation[[#This Row],[Days]])</f>
        <v>655.5</v>
      </c>
      <c r="AB765" s="16"/>
    </row>
    <row r="766" spans="1:28" ht="15.75" hidden="1" x14ac:dyDescent="0.25">
      <c r="A766" s="129" t="s">
        <v>610</v>
      </c>
      <c r="B766" s="15">
        <v>45761</v>
      </c>
      <c r="C766" s="26">
        <v>4</v>
      </c>
      <c r="D766" s="55" t="str">
        <f>VLOOKUP(Main_Presentation[[#This Row],[LC Number]],Main_Issuance[],3,0)</f>
        <v>Rabih Makhoul</v>
      </c>
      <c r="E766" s="16" t="s">
        <v>858</v>
      </c>
      <c r="F766" s="16" t="str">
        <f>VLOOKUP(Main_Presentation[[#This Row],[LC Number]],Main_Issuance[],5,0)</f>
        <v>SNB</v>
      </c>
      <c r="G766" s="16" t="str">
        <f>VLOOKUP(Main_Presentation[[#This Row],[LC Number]],Main_Issuance[],6,0)</f>
        <v>Opera House</v>
      </c>
      <c r="H766" s="16" t="str">
        <f>VLOOKUP(Main_Presentation[[#This Row],[LC Number]],Main_Issuance[],17,0)</f>
        <v>Credit</v>
      </c>
      <c r="I766" s="16" t="str">
        <f>VLOOKUP(Main_Presentation[[#This Row],[LC Number]],Main_Issuance[],7,0)</f>
        <v>Soliman Saleh Al Mohileb And Sons Holding Company (Closed Joint)</v>
      </c>
      <c r="J766" s="16" t="str">
        <f>VLOOKUP(Main_Presentation[[#This Row],[LC Number]],Main_Issuance[],8,0)</f>
        <v>MBL</v>
      </c>
      <c r="K766" s="16" t="str">
        <f>VLOOKUP(Main_Presentation[[#This Row],[LC Number]],Main_Issuance[],9,0)</f>
        <v>Neom - The Line</v>
      </c>
      <c r="L766" s="16">
        <f>VLOOKUP(Main_Presentation[[#This Row],[LC Number]],Main_Issuance[],10,0)</f>
        <v>1020098</v>
      </c>
      <c r="M766" s="16" t="str">
        <f>VLOOKUP(Main_Presentation[[#This Row],[LC Number]],Main_Issuance[],11,0)</f>
        <v>SAR</v>
      </c>
      <c r="N766" s="86">
        <f>VLOOKUP(Main_Presentation[[#This Row],[LC Number]],Main_Issuance[],12,0)</f>
        <v>18879540</v>
      </c>
      <c r="O766" s="16" t="s">
        <v>20</v>
      </c>
      <c r="P766" s="16" t="s">
        <v>378</v>
      </c>
      <c r="Q766" s="131">
        <v>7780509</v>
      </c>
      <c r="R766" s="18">
        <v>1</v>
      </c>
      <c r="S766" s="18">
        <f>Main_Presentation[[#This Row],[Invoice Amt (FCY)]]*Main_Presentation[[#This Row],[Rate]]</f>
        <v>7780509</v>
      </c>
      <c r="T766" s="15">
        <v>45775</v>
      </c>
      <c r="U766" s="26" t="str">
        <f>VLOOKUP(Main_Presentation[[#This Row],[LC Number]],Main_Issuance[],18,0)</f>
        <v>30 Days from Invoice Date</v>
      </c>
      <c r="V766" s="21" t="s">
        <v>304</v>
      </c>
      <c r="W766" s="22" t="s">
        <v>857</v>
      </c>
      <c r="X766" s="16"/>
      <c r="Y766" s="234" t="str">
        <f>TRIM(LEFT(Main_Presentation[[#This Row],[Payment Terms]],3))</f>
        <v>30</v>
      </c>
      <c r="Z766" s="16"/>
      <c r="AA766" s="316" cm="1">
        <f t="array" ref="AA766">Settlement(Main_Presentation[[#This Row],[Bank]],Main_Presentation[[#This Row],[ Invoice Amt (SAR)]],Main_Presentation[[#This Row],[Date Recd]],Main_Presentation[[#This Row],[Due Date]],Main_Presentation[[#This Row],[Days]])</f>
        <v>655.5</v>
      </c>
      <c r="AB766" s="16"/>
    </row>
    <row r="767" spans="1:28" ht="15.75" hidden="1" x14ac:dyDescent="0.25">
      <c r="A767" s="129" t="s">
        <v>610</v>
      </c>
      <c r="B767" s="15">
        <v>45761</v>
      </c>
      <c r="C767" s="26">
        <v>5</v>
      </c>
      <c r="D767" s="55" t="str">
        <f>VLOOKUP(Main_Presentation[[#This Row],[LC Number]],Main_Issuance[],3,0)</f>
        <v>Rabih Makhoul</v>
      </c>
      <c r="E767" s="16" t="s">
        <v>858</v>
      </c>
      <c r="F767" s="16" t="str">
        <f>VLOOKUP(Main_Presentation[[#This Row],[LC Number]],Main_Issuance[],5,0)</f>
        <v>SNB</v>
      </c>
      <c r="G767" s="16" t="str">
        <f>VLOOKUP(Main_Presentation[[#This Row],[LC Number]],Main_Issuance[],6,0)</f>
        <v>Opera House</v>
      </c>
      <c r="H767" s="16" t="str">
        <f>VLOOKUP(Main_Presentation[[#This Row],[LC Number]],Main_Issuance[],17,0)</f>
        <v>Credit</v>
      </c>
      <c r="I767" s="16" t="str">
        <f>VLOOKUP(Main_Presentation[[#This Row],[LC Number]],Main_Issuance[],7,0)</f>
        <v>Soliman Saleh Al Mohileb And Sons Holding Company (Closed Joint)</v>
      </c>
      <c r="J767" s="16" t="str">
        <f>VLOOKUP(Main_Presentation[[#This Row],[LC Number]],Main_Issuance[],8,0)</f>
        <v>MBL</v>
      </c>
      <c r="K767" s="16" t="str">
        <f>VLOOKUP(Main_Presentation[[#This Row],[LC Number]],Main_Issuance[],9,0)</f>
        <v>Neom - The Line</v>
      </c>
      <c r="L767" s="16">
        <f>VLOOKUP(Main_Presentation[[#This Row],[LC Number]],Main_Issuance[],10,0)</f>
        <v>1020098</v>
      </c>
      <c r="M767" s="16" t="str">
        <f>VLOOKUP(Main_Presentation[[#This Row],[LC Number]],Main_Issuance[],11,0)</f>
        <v>SAR</v>
      </c>
      <c r="N767" s="86">
        <f>VLOOKUP(Main_Presentation[[#This Row],[LC Number]],Main_Issuance[],12,0)</f>
        <v>18879540</v>
      </c>
      <c r="O767" s="16" t="s">
        <v>20</v>
      </c>
      <c r="P767" s="16" t="s">
        <v>378</v>
      </c>
      <c r="Q767" s="131">
        <v>4185264</v>
      </c>
      <c r="R767" s="18">
        <v>1</v>
      </c>
      <c r="S767" s="18">
        <f>Main_Presentation[[#This Row],[Invoice Amt (FCY)]]*Main_Presentation[[#This Row],[Rate]]</f>
        <v>4185264</v>
      </c>
      <c r="T767" s="15">
        <v>45775</v>
      </c>
      <c r="U767" s="26" t="str">
        <f>VLOOKUP(Main_Presentation[[#This Row],[LC Number]],Main_Issuance[],18,0)</f>
        <v>30 Days from Invoice Date</v>
      </c>
      <c r="V767" s="21" t="s">
        <v>304</v>
      </c>
      <c r="W767" s="22" t="s">
        <v>857</v>
      </c>
      <c r="X767" s="16"/>
      <c r="Y767" s="234" t="str">
        <f>TRIM(LEFT(Main_Presentation[[#This Row],[Payment Terms]],3))</f>
        <v>30</v>
      </c>
      <c r="Z767" s="16"/>
      <c r="AA767" s="316" cm="1">
        <f t="array" ref="AA767">Settlement(Main_Presentation[[#This Row],[Bank]],Main_Presentation[[#This Row],[ Invoice Amt (SAR)]],Main_Presentation[[#This Row],[Date Recd]],Main_Presentation[[#This Row],[Due Date]],Main_Presentation[[#This Row],[Days]])</f>
        <v>655.5</v>
      </c>
      <c r="AB767" s="16"/>
    </row>
    <row r="768" spans="1:28" ht="15.75" hidden="1" x14ac:dyDescent="0.25">
      <c r="A768" s="14" t="s">
        <v>454</v>
      </c>
      <c r="B768" s="15">
        <v>45587</v>
      </c>
      <c r="C768" s="26">
        <v>1</v>
      </c>
      <c r="D768" s="55" t="str">
        <f>VLOOKUP(Main_Presentation[[#This Row],[LC Number]],Main_Issuance[],3,0)</f>
        <v>Hassan Taleb</v>
      </c>
      <c r="E768" s="16" t="s">
        <v>856</v>
      </c>
      <c r="F768" s="17" t="str">
        <f>VLOOKUP(Main_Presentation[[#This Row],[LC Number]],Main_Issuance[],5,0)</f>
        <v>SNB</v>
      </c>
      <c r="G768" s="17" t="str">
        <f>VLOOKUP(Main_Presentation[[#This Row],[LC Number]],Main_Issuance[],6,0)</f>
        <v>Opera House</v>
      </c>
      <c r="H768" s="17" t="str">
        <f>VLOOKUP(Main_Presentation[[#This Row],[LC Number]],Main_Issuance[],17,0)</f>
        <v>Credit</v>
      </c>
      <c r="I768" s="17" t="str">
        <f>VLOOKUP(Main_Presentation[[#This Row],[LC Number]],Main_Issuance[],7,0)</f>
        <v xml:space="preserve">ROOTS INNOVATIVE INDUSTRIAL CO. </v>
      </c>
      <c r="J768" s="17" t="str">
        <f>VLOOKUP(Main_Presentation[[#This Row],[LC Number]],Main_Issuance[],8,0)</f>
        <v>FIRST FIX</v>
      </c>
      <c r="K768" s="17" t="str">
        <f>VLOOKUP(Main_Presentation[[#This Row],[LC Number]],Main_Issuance[],9,0)</f>
        <v>Old Dues</v>
      </c>
      <c r="L768" s="17">
        <f>VLOOKUP(Main_Presentation[[#This Row],[LC Number]],Main_Issuance[],10,0)</f>
        <v>0</v>
      </c>
      <c r="M768" s="17" t="str">
        <f>VLOOKUP(Main_Presentation[[#This Row],[LC Number]],Main_Issuance[],11,0)</f>
        <v>SAR</v>
      </c>
      <c r="N768" s="84">
        <f>VLOOKUP(Main_Presentation[[#This Row],[LC Number]],Main_Issuance[],12,0)</f>
        <v>5000000</v>
      </c>
      <c r="O768" s="16" t="s">
        <v>20</v>
      </c>
      <c r="P768" s="16" t="s">
        <v>378</v>
      </c>
      <c r="Q768" s="131">
        <v>2500000</v>
      </c>
      <c r="R768" s="18">
        <v>1</v>
      </c>
      <c r="S768" s="18">
        <f>Main_Presentation[[#This Row],[Invoice Amt (FCY)]]*Main_Presentation[[#This Row],[Rate]]</f>
        <v>2500000</v>
      </c>
      <c r="T768" s="15">
        <v>45664</v>
      </c>
      <c r="U768" s="26" t="str">
        <f>VLOOKUP(Main_Presentation[[#This Row],[LC Number]],Main_Issuance[],18,0)</f>
        <v>90 Days from Invoice Date</v>
      </c>
      <c r="V768" s="19" t="s">
        <v>213</v>
      </c>
      <c r="W768" s="22" t="s">
        <v>378</v>
      </c>
      <c r="X768" s="16" t="s">
        <v>874</v>
      </c>
      <c r="Y768" s="234" t="str">
        <f>TRIM(LEFT(Main_Presentation[[#This Row],[Payment Terms]],3))</f>
        <v>90</v>
      </c>
      <c r="Z768" s="16"/>
      <c r="AA768" s="316" cm="1">
        <f t="array" ref="AA768">Settlement(Main_Presentation[[#This Row],[Bank]],Main_Presentation[[#This Row],[ Invoice Amt (SAR)]],Main_Presentation[[#This Row],[Date Recd]],Main_Presentation[[#This Row],[Due Date]],Main_Presentation[[#This Row],[Days]])</f>
        <v>12019.8</v>
      </c>
      <c r="AB768" s="16"/>
    </row>
    <row r="769" spans="1:28" ht="15.75" hidden="1" x14ac:dyDescent="0.25">
      <c r="A769" s="14" t="s">
        <v>418</v>
      </c>
      <c r="B769" s="15">
        <v>45601</v>
      </c>
      <c r="C769" s="26">
        <v>1</v>
      </c>
      <c r="D769" s="55">
        <f>VLOOKUP(Main_Presentation[[#This Row],[LC Number]],Main_Issuance[],3,0)</f>
        <v>0</v>
      </c>
      <c r="E769" s="16" t="s">
        <v>856</v>
      </c>
      <c r="F769" s="17" t="str">
        <f>VLOOKUP(Main_Presentation[[#This Row],[LC Number]],Main_Issuance[],5,0)</f>
        <v>SNB</v>
      </c>
      <c r="G769" s="17" t="str">
        <f>VLOOKUP(Main_Presentation[[#This Row],[LC Number]],Main_Issuance[],6,0)</f>
        <v>Opera House</v>
      </c>
      <c r="H769" s="17" t="str">
        <f>VLOOKUP(Main_Presentation[[#This Row],[LC Number]],Main_Issuance[],17,0)</f>
        <v>Credit</v>
      </c>
      <c r="I769" s="17" t="str">
        <f>VLOOKUP(Main_Presentation[[#This Row],[LC Number]],Main_Issuance[],7,0)</f>
        <v>DELHAM AL JANOUB FOR CONTRACTING</v>
      </c>
      <c r="J769" s="17" t="str">
        <f>VLOOKUP(Main_Presentation[[#This Row],[LC Number]],Main_Issuance[],8,0)</f>
        <v>FIRST FIX</v>
      </c>
      <c r="K769" s="17" t="str">
        <f>VLOOKUP(Main_Presentation[[#This Row],[LC Number]],Main_Issuance[],9,0)</f>
        <v>Old Dues</v>
      </c>
      <c r="L769" s="17">
        <f>VLOOKUP(Main_Presentation[[#This Row],[LC Number]],Main_Issuance[],10,0)</f>
        <v>0</v>
      </c>
      <c r="M769" s="17" t="str">
        <f>VLOOKUP(Main_Presentation[[#This Row],[LC Number]],Main_Issuance[],11,0)</f>
        <v>SAR</v>
      </c>
      <c r="N769" s="84">
        <f>VLOOKUP(Main_Presentation[[#This Row],[LC Number]],Main_Issuance[],12,0)</f>
        <v>2120837</v>
      </c>
      <c r="O769" s="16" t="s">
        <v>20</v>
      </c>
      <c r="P769" s="16" t="s">
        <v>378</v>
      </c>
      <c r="Q769" s="131">
        <v>2120837</v>
      </c>
      <c r="R769" s="18">
        <v>1</v>
      </c>
      <c r="S769" s="18">
        <f>Main_Presentation[[#This Row],[Invoice Amt (FCY)]]*Main_Presentation[[#This Row],[Rate]]</f>
        <v>2120837</v>
      </c>
      <c r="T769" s="15">
        <v>45666</v>
      </c>
      <c r="U769" s="26" t="str">
        <f>VLOOKUP(Main_Presentation[[#This Row],[LC Number]],Main_Issuance[],18,0)</f>
        <v>90 Days from Invoice Date</v>
      </c>
      <c r="V769" s="19" t="s">
        <v>213</v>
      </c>
      <c r="W769" s="22" t="s">
        <v>378</v>
      </c>
      <c r="X769" s="16" t="s">
        <v>876</v>
      </c>
      <c r="Y769" s="234" t="str">
        <f>TRIM(LEFT(Main_Presentation[[#This Row],[Payment Terms]],3))</f>
        <v>90</v>
      </c>
      <c r="Z769" s="16"/>
      <c r="AA769" s="316" cm="1">
        <f t="array" ref="AA769">Settlement(Main_Presentation[[#This Row],[Bank]],Main_Presentation[[#This Row],[ Invoice Amt (SAR)]],Main_Presentation[[#This Row],[Date Recd]],Main_Presentation[[#This Row],[Due Date]],Main_Presentation[[#This Row],[Days]])</f>
        <v>10202.799999999999</v>
      </c>
      <c r="AB769" s="16"/>
    </row>
    <row r="770" spans="1:28" ht="15.75" hidden="1" x14ac:dyDescent="0.25">
      <c r="A770" s="14" t="s">
        <v>411</v>
      </c>
      <c r="B770" s="15">
        <v>45601</v>
      </c>
      <c r="C770" s="26">
        <v>1</v>
      </c>
      <c r="D770" s="55">
        <f>VLOOKUP(Main_Presentation[[#This Row],[LC Number]],Main_Issuance[],3,0)</f>
        <v>0</v>
      </c>
      <c r="E770" s="16" t="s">
        <v>858</v>
      </c>
      <c r="F770" s="17" t="str">
        <f>VLOOKUP(Main_Presentation[[#This Row],[LC Number]],Main_Issuance[],5,0)</f>
        <v>SNB</v>
      </c>
      <c r="G770" s="17" t="str">
        <f>VLOOKUP(Main_Presentation[[#This Row],[LC Number]],Main_Issuance[],6,0)</f>
        <v>Opera House</v>
      </c>
      <c r="H770" s="17" t="str">
        <f>VLOOKUP(Main_Presentation[[#This Row],[LC Number]],Main_Issuance[],17,0)</f>
        <v>Credit</v>
      </c>
      <c r="I770" s="17" t="str">
        <f>VLOOKUP(Main_Presentation[[#This Row],[LC Number]],Main_Issuance[],7,0)</f>
        <v>MOHAMMED KHALAF ALANIZI EST FOR CONTRACTING</v>
      </c>
      <c r="J770" s="17" t="str">
        <f>VLOOKUP(Main_Presentation[[#This Row],[LC Number]],Main_Issuance[],8,0)</f>
        <v>FIRST FIX</v>
      </c>
      <c r="K770" s="17" t="str">
        <f>VLOOKUP(Main_Presentation[[#This Row],[LC Number]],Main_Issuance[],9,0)</f>
        <v>Old Dues</v>
      </c>
      <c r="L770" s="17">
        <f>VLOOKUP(Main_Presentation[[#This Row],[LC Number]],Main_Issuance[],10,0)</f>
        <v>0</v>
      </c>
      <c r="M770" s="17" t="str">
        <f>VLOOKUP(Main_Presentation[[#This Row],[LC Number]],Main_Issuance[],11,0)</f>
        <v>SAR</v>
      </c>
      <c r="N770" s="84">
        <f>VLOOKUP(Main_Presentation[[#This Row],[LC Number]],Main_Issuance[],12,0)</f>
        <v>1978910.18</v>
      </c>
      <c r="O770" s="16" t="s">
        <v>20</v>
      </c>
      <c r="P770" s="16" t="s">
        <v>378</v>
      </c>
      <c r="Q770" s="131">
        <v>1978910.18</v>
      </c>
      <c r="R770" s="18">
        <v>1</v>
      </c>
      <c r="S770" s="18">
        <f>Main_Presentation[[#This Row],[Invoice Amt (FCY)]]*Main_Presentation[[#This Row],[Rate]]</f>
        <v>1978910.18</v>
      </c>
      <c r="T770" s="15">
        <v>45665</v>
      </c>
      <c r="U770" s="26" t="str">
        <f>VLOOKUP(Main_Presentation[[#This Row],[LC Number]],Main_Issuance[],18,0)</f>
        <v>90 Days from Invoice Date</v>
      </c>
      <c r="V770" s="19" t="s">
        <v>213</v>
      </c>
      <c r="W770" s="22" t="s">
        <v>378</v>
      </c>
      <c r="X770" s="16" t="s">
        <v>877</v>
      </c>
      <c r="Y770" s="234" t="str">
        <f>TRIM(LEFT(Main_Presentation[[#This Row],[Payment Terms]],3))</f>
        <v>90</v>
      </c>
      <c r="Z770" s="16"/>
      <c r="AA770" s="316" cm="1">
        <f t="array" ref="AA770">Settlement(Main_Presentation[[#This Row],[Bank]],Main_Presentation[[#This Row],[ Invoice Amt (SAR)]],Main_Presentation[[#This Row],[Date Recd]],Main_Presentation[[#This Row],[Due Date]],Main_Presentation[[#This Row],[Days]])</f>
        <v>9522</v>
      </c>
      <c r="AB770" s="16"/>
    </row>
    <row r="771" spans="1:28" ht="15.75" hidden="1" x14ac:dyDescent="0.25">
      <c r="A771" s="14" t="s">
        <v>414</v>
      </c>
      <c r="B771" s="15">
        <v>45606</v>
      </c>
      <c r="C771" s="26">
        <v>1</v>
      </c>
      <c r="D771" s="55">
        <f>VLOOKUP(Main_Presentation[[#This Row],[LC Number]],Main_Issuance[],3,0)</f>
        <v>0</v>
      </c>
      <c r="E771" s="16" t="s">
        <v>858</v>
      </c>
      <c r="F771" s="17" t="str">
        <f>VLOOKUP(Main_Presentation[[#This Row],[LC Number]],Main_Issuance[],5,0)</f>
        <v>SNB</v>
      </c>
      <c r="G771" s="17" t="str">
        <f>VLOOKUP(Main_Presentation[[#This Row],[LC Number]],Main_Issuance[],6,0)</f>
        <v>Opera House</v>
      </c>
      <c r="H771" s="17" t="str">
        <f>VLOOKUP(Main_Presentation[[#This Row],[LC Number]],Main_Issuance[],17,0)</f>
        <v>Credit</v>
      </c>
      <c r="I771" s="17" t="str">
        <f>VLOOKUP(Main_Presentation[[#This Row],[LC Number]],Main_Issuance[],7,0)</f>
        <v>ESTABLISHMENT OF AL OROUBA TOWER FOR GENERAL CONTRACTING</v>
      </c>
      <c r="J771" s="17" t="str">
        <f>VLOOKUP(Main_Presentation[[#This Row],[LC Number]],Main_Issuance[],8,0)</f>
        <v>FIRST FIX</v>
      </c>
      <c r="K771" s="17" t="str">
        <f>VLOOKUP(Main_Presentation[[#This Row],[LC Number]],Main_Issuance[],9,0)</f>
        <v>Old Dues</v>
      </c>
      <c r="L771" s="17">
        <f>VLOOKUP(Main_Presentation[[#This Row],[LC Number]],Main_Issuance[],10,0)</f>
        <v>0</v>
      </c>
      <c r="M771" s="17" t="str">
        <f>VLOOKUP(Main_Presentation[[#This Row],[LC Number]],Main_Issuance[],11,0)</f>
        <v>SAR</v>
      </c>
      <c r="N771" s="84">
        <f>VLOOKUP(Main_Presentation[[#This Row],[LC Number]],Main_Issuance[],12,0)</f>
        <v>3055634</v>
      </c>
      <c r="O771" s="16" t="s">
        <v>20</v>
      </c>
      <c r="P771" s="16" t="s">
        <v>378</v>
      </c>
      <c r="Q771" s="131">
        <v>3055634</v>
      </c>
      <c r="R771" s="18">
        <v>1</v>
      </c>
      <c r="S771" s="18">
        <f>Main_Presentation[[#This Row],[Invoice Amt (FCY)]]*Main_Presentation[[#This Row],[Rate]]</f>
        <v>3055634</v>
      </c>
      <c r="T771" s="15">
        <v>45664</v>
      </c>
      <c r="U771" s="26" t="str">
        <f>VLOOKUP(Main_Presentation[[#This Row],[LC Number]],Main_Issuance[],18,0)</f>
        <v>90 Days from Invoice Date</v>
      </c>
      <c r="V771" s="19" t="s">
        <v>878</v>
      </c>
      <c r="W771" s="22" t="s">
        <v>378</v>
      </c>
      <c r="X771" s="16" t="s">
        <v>879</v>
      </c>
      <c r="Y771" s="234" t="str">
        <f>TRIM(LEFT(Main_Presentation[[#This Row],[Payment Terms]],3))</f>
        <v>90</v>
      </c>
      <c r="Z771" s="16"/>
      <c r="AA771" s="316" cm="1">
        <f t="array" ref="AA771">Settlement(Main_Presentation[[#This Row],[Bank]],Main_Presentation[[#This Row],[ Invoice Amt (SAR)]],Main_Presentation[[#This Row],[Date Recd]],Main_Presentation[[#This Row],[Due Date]],Main_Presentation[[#This Row],[Days]])</f>
        <v>14682.05</v>
      </c>
      <c r="AB771" s="16"/>
    </row>
    <row r="772" spans="1:28" ht="15.75" hidden="1" x14ac:dyDescent="0.25">
      <c r="A772" s="14" t="s">
        <v>416</v>
      </c>
      <c r="B772" s="15">
        <v>45606</v>
      </c>
      <c r="C772" s="26">
        <v>1</v>
      </c>
      <c r="D772" s="55">
        <f>VLOOKUP(Main_Presentation[[#This Row],[LC Number]],Main_Issuance[],3,0)</f>
        <v>0</v>
      </c>
      <c r="E772" s="16" t="s">
        <v>858</v>
      </c>
      <c r="F772" s="17" t="str">
        <f>VLOOKUP(Main_Presentation[[#This Row],[LC Number]],Main_Issuance[],5,0)</f>
        <v>SNB</v>
      </c>
      <c r="G772" s="17" t="str">
        <f>VLOOKUP(Main_Presentation[[#This Row],[LC Number]],Main_Issuance[],6,0)</f>
        <v>Opera House</v>
      </c>
      <c r="H772" s="17" t="str">
        <f>VLOOKUP(Main_Presentation[[#This Row],[LC Number]],Main_Issuance[],17,0)</f>
        <v>Credit</v>
      </c>
      <c r="I772" s="17" t="str">
        <f>VLOOKUP(Main_Presentation[[#This Row],[LC Number]],Main_Issuance[],7,0)</f>
        <v>JAY CO LTD</v>
      </c>
      <c r="J772" s="17" t="str">
        <f>VLOOKUP(Main_Presentation[[#This Row],[LC Number]],Main_Issuance[],8,0)</f>
        <v>FIRST FIX</v>
      </c>
      <c r="K772" s="17" t="str">
        <f>VLOOKUP(Main_Presentation[[#This Row],[LC Number]],Main_Issuance[],9,0)</f>
        <v>Old Dues</v>
      </c>
      <c r="L772" s="17">
        <f>VLOOKUP(Main_Presentation[[#This Row],[LC Number]],Main_Issuance[],10,0)</f>
        <v>0</v>
      </c>
      <c r="M772" s="17" t="str">
        <f>VLOOKUP(Main_Presentation[[#This Row],[LC Number]],Main_Issuance[],11,0)</f>
        <v>SAR</v>
      </c>
      <c r="N772" s="84">
        <f>VLOOKUP(Main_Presentation[[#This Row],[LC Number]],Main_Issuance[],12,0)</f>
        <v>5000000</v>
      </c>
      <c r="O772" s="16" t="s">
        <v>20</v>
      </c>
      <c r="P772" s="16" t="s">
        <v>378</v>
      </c>
      <c r="Q772" s="131">
        <v>5000000</v>
      </c>
      <c r="R772" s="18">
        <v>1</v>
      </c>
      <c r="S772" s="18">
        <f>Main_Presentation[[#This Row],[Invoice Amt (FCY)]]*Main_Presentation[[#This Row],[Rate]]</f>
        <v>5000000</v>
      </c>
      <c r="T772" s="15">
        <v>45666</v>
      </c>
      <c r="U772" s="26" t="str">
        <f>VLOOKUP(Main_Presentation[[#This Row],[LC Number]],Main_Issuance[],18,0)</f>
        <v>90 Days from Invoice Date</v>
      </c>
      <c r="V772" s="19" t="s">
        <v>878</v>
      </c>
      <c r="W772" s="22" t="s">
        <v>378</v>
      </c>
      <c r="X772" s="16" t="s">
        <v>880</v>
      </c>
      <c r="Y772" s="234" t="str">
        <f>TRIM(LEFT(Main_Presentation[[#This Row],[Payment Terms]],3))</f>
        <v>90</v>
      </c>
      <c r="Z772" s="16"/>
      <c r="AA772" s="316" cm="1">
        <f t="array" ref="AA772">Settlement(Main_Presentation[[#This Row],[Bank]],Main_Presentation[[#This Row],[ Invoice Amt (SAR)]],Main_Presentation[[#This Row],[Date Recd]],Main_Presentation[[#This Row],[Due Date]],Main_Presentation[[#This Row],[Days]])</f>
        <v>23998.2</v>
      </c>
      <c r="AB772" s="16"/>
    </row>
    <row r="773" spans="1:28" ht="15.75" hidden="1" x14ac:dyDescent="0.25">
      <c r="A773" s="14" t="s">
        <v>421</v>
      </c>
      <c r="B773" s="15">
        <v>45601</v>
      </c>
      <c r="C773" s="26">
        <v>1</v>
      </c>
      <c r="D773" s="55">
        <f>VLOOKUP(Main_Presentation[[#This Row],[LC Number]],Main_Issuance[],3,0)</f>
        <v>0</v>
      </c>
      <c r="E773" s="16" t="s">
        <v>858</v>
      </c>
      <c r="F773" s="17" t="str">
        <f>VLOOKUP(Main_Presentation[[#This Row],[LC Number]],Main_Issuance[],5,0)</f>
        <v>SNB</v>
      </c>
      <c r="G773" s="17" t="str">
        <f>VLOOKUP(Main_Presentation[[#This Row],[LC Number]],Main_Issuance[],6,0)</f>
        <v>Opera House</v>
      </c>
      <c r="H773" s="17" t="str">
        <f>VLOOKUP(Main_Presentation[[#This Row],[LC Number]],Main_Issuance[],17,0)</f>
        <v>Credit</v>
      </c>
      <c r="I773" s="17" t="str">
        <f>VLOOKUP(Main_Presentation[[#This Row],[LC Number]],Main_Issuance[],7,0)</f>
        <v>INTELLIGENT SYSTEM GENERAL CONTRACTING COMPANY</v>
      </c>
      <c r="J773" s="17" t="str">
        <f>VLOOKUP(Main_Presentation[[#This Row],[LC Number]],Main_Issuance[],8,0)</f>
        <v>FIRST FIX</v>
      </c>
      <c r="K773" s="17" t="str">
        <f>VLOOKUP(Main_Presentation[[#This Row],[LC Number]],Main_Issuance[],9,0)</f>
        <v>Old Dues</v>
      </c>
      <c r="L773" s="17">
        <f>VLOOKUP(Main_Presentation[[#This Row],[LC Number]],Main_Issuance[],10,0)</f>
        <v>0</v>
      </c>
      <c r="M773" s="17" t="str">
        <f>VLOOKUP(Main_Presentation[[#This Row],[LC Number]],Main_Issuance[],11,0)</f>
        <v>SAR</v>
      </c>
      <c r="N773" s="84">
        <f>VLOOKUP(Main_Presentation[[#This Row],[LC Number]],Main_Issuance[],12,0)</f>
        <v>5000000</v>
      </c>
      <c r="O773" s="16" t="s">
        <v>20</v>
      </c>
      <c r="P773" s="16" t="s">
        <v>378</v>
      </c>
      <c r="Q773" s="131">
        <v>5000000</v>
      </c>
      <c r="R773" s="18">
        <v>1</v>
      </c>
      <c r="S773" s="18">
        <f>Main_Presentation[[#This Row],[Invoice Amt (FCY)]]*Main_Presentation[[#This Row],[Rate]]</f>
        <v>5000000</v>
      </c>
      <c r="T773" s="15">
        <v>45650</v>
      </c>
      <c r="U773" s="26" t="str">
        <f>VLOOKUP(Main_Presentation[[#This Row],[LC Number]],Main_Issuance[],18,0)</f>
        <v>90 Days from Invoice Date</v>
      </c>
      <c r="V773" s="19" t="s">
        <v>96</v>
      </c>
      <c r="W773" s="229" t="s">
        <v>857</v>
      </c>
      <c r="X773" s="16" t="s">
        <v>881</v>
      </c>
      <c r="Y773" s="234" t="str">
        <f>TRIM(LEFT(Main_Presentation[[#This Row],[Payment Terms]],3))</f>
        <v>90</v>
      </c>
      <c r="Z773" s="16"/>
      <c r="AA773" s="316" cm="1">
        <f t="array" ref="AA773">Settlement(Main_Presentation[[#This Row],[Bank]],Main_Presentation[[#This Row],[ Invoice Amt (SAR)]],Main_Presentation[[#This Row],[Date Recd]],Main_Presentation[[#This Row],[Due Date]],Main_Presentation[[#This Row],[Days]])</f>
        <v>23998.2</v>
      </c>
      <c r="AB773" s="16"/>
    </row>
    <row r="774" spans="1:28" ht="15.75" hidden="1" x14ac:dyDescent="0.25">
      <c r="A774" s="14" t="s">
        <v>454</v>
      </c>
      <c r="B774" s="15">
        <v>45645</v>
      </c>
      <c r="C774" s="26">
        <v>2</v>
      </c>
      <c r="D774" s="55" t="str">
        <f>VLOOKUP(Main_Presentation[[#This Row],[LC Number]],Main_Issuance[],3,0)</f>
        <v>Hassan Taleb</v>
      </c>
      <c r="E774" s="16" t="s">
        <v>856</v>
      </c>
      <c r="F774" s="17" t="str">
        <f>VLOOKUP(Main_Presentation[[#This Row],[LC Number]],Main_Issuance[],5,0)</f>
        <v>SNB</v>
      </c>
      <c r="G774" s="17" t="str">
        <f>VLOOKUP(Main_Presentation[[#This Row],[LC Number]],Main_Issuance[],6,0)</f>
        <v>Opera House</v>
      </c>
      <c r="H774" s="17" t="str">
        <f>VLOOKUP(Main_Presentation[[#This Row],[LC Number]],Main_Issuance[],17,0)</f>
        <v>Credit</v>
      </c>
      <c r="I774" s="17" t="str">
        <f>VLOOKUP(Main_Presentation[[#This Row],[LC Number]],Main_Issuance[],7,0)</f>
        <v xml:space="preserve">ROOTS INNOVATIVE INDUSTRIAL CO. </v>
      </c>
      <c r="J774" s="17" t="str">
        <f>VLOOKUP(Main_Presentation[[#This Row],[LC Number]],Main_Issuance[],8,0)</f>
        <v>FIRST FIX</v>
      </c>
      <c r="K774" s="17" t="str">
        <f>VLOOKUP(Main_Presentation[[#This Row],[LC Number]],Main_Issuance[],9,0)</f>
        <v>Old Dues</v>
      </c>
      <c r="L774" s="17">
        <f>VLOOKUP(Main_Presentation[[#This Row],[LC Number]],Main_Issuance[],10,0)</f>
        <v>0</v>
      </c>
      <c r="M774" s="17" t="str">
        <f>VLOOKUP(Main_Presentation[[#This Row],[LC Number]],Main_Issuance[],11,0)</f>
        <v>SAR</v>
      </c>
      <c r="N774" s="84">
        <f>VLOOKUP(Main_Presentation[[#This Row],[LC Number]],Main_Issuance[],12,0)</f>
        <v>5000000</v>
      </c>
      <c r="O774" s="16" t="s">
        <v>20</v>
      </c>
      <c r="P774" s="16" t="s">
        <v>378</v>
      </c>
      <c r="Q774" s="131">
        <v>2500000</v>
      </c>
      <c r="R774" s="18">
        <v>1</v>
      </c>
      <c r="S774" s="18">
        <f>Main_Presentation[[#This Row],[Invoice Amt (FCY)]]*Main_Presentation[[#This Row],[Rate]]</f>
        <v>2500000</v>
      </c>
      <c r="T774" s="15">
        <v>45694</v>
      </c>
      <c r="U774" s="26" t="str">
        <f>VLOOKUP(Main_Presentation[[#This Row],[LC Number]],Main_Issuance[],18,0)</f>
        <v>90 Days from Invoice Date</v>
      </c>
      <c r="V774" s="19" t="s">
        <v>90</v>
      </c>
      <c r="W774" s="22" t="s">
        <v>378</v>
      </c>
      <c r="X774" s="16" t="s">
        <v>886</v>
      </c>
      <c r="Y774" s="234" t="str">
        <f>TRIM(LEFT(Main_Presentation[[#This Row],[Payment Terms]],3))</f>
        <v>90</v>
      </c>
      <c r="Z774" s="16"/>
      <c r="AA774" s="316" cm="1">
        <f t="array" ref="AA774">Settlement(Main_Presentation[[#This Row],[Bank]],Main_Presentation[[#This Row],[ Invoice Amt (SAR)]],Main_Presentation[[#This Row],[Date Recd]],Main_Presentation[[#This Row],[Due Date]],Main_Presentation[[#This Row],[Days]])</f>
        <v>12019.8</v>
      </c>
      <c r="AB774" s="16"/>
    </row>
    <row r="775" spans="1:28" ht="15.75" hidden="1" x14ac:dyDescent="0.25">
      <c r="A775" s="14" t="s">
        <v>326</v>
      </c>
      <c r="B775" s="15">
        <v>45544</v>
      </c>
      <c r="C775" s="26">
        <v>1</v>
      </c>
      <c r="D775" s="55" t="str">
        <f>VLOOKUP(Main_Presentation[[#This Row],[LC Number]],Main_Issuance[],3,0)</f>
        <v>Mathew Mckernan</v>
      </c>
      <c r="E775" s="16" t="s">
        <v>858</v>
      </c>
      <c r="F775" s="17" t="str">
        <f>VLOOKUP(Main_Presentation[[#This Row],[LC Number]],Main_Issuance[],5,0)</f>
        <v>SNB</v>
      </c>
      <c r="G775" s="17" t="str">
        <f>VLOOKUP(Main_Presentation[[#This Row],[LC Number]],Main_Issuance[],6,0)</f>
        <v>Opera House</v>
      </c>
      <c r="H775" s="17" t="str">
        <f>VLOOKUP(Main_Presentation[[#This Row],[LC Number]],Main_Issuance[],17,0)</f>
        <v>Credit</v>
      </c>
      <c r="I775" s="17" t="str">
        <f>VLOOKUP(Main_Presentation[[#This Row],[LC Number]],Main_Issuance[],7,0)</f>
        <v>GETZNER WERKSTOFFE GMBH</v>
      </c>
      <c r="J775" s="17" t="str">
        <f>VLOOKUP(Main_Presentation[[#This Row],[LC Number]],Main_Issuance[],8,0)</f>
        <v>MBL</v>
      </c>
      <c r="K775" s="17" t="str">
        <f>VLOOKUP(Main_Presentation[[#This Row],[LC Number]],Main_Issuance[],9,0)</f>
        <v>OPERA House</v>
      </c>
      <c r="L775" s="17">
        <f>VLOOKUP(Main_Presentation[[#This Row],[LC Number]],Main_Issuance[],10,0)</f>
        <v>1020097</v>
      </c>
      <c r="M775" s="17" t="str">
        <f>VLOOKUP(Main_Presentation[[#This Row],[LC Number]],Main_Issuance[],11,0)</f>
        <v>EUR</v>
      </c>
      <c r="N775" s="84">
        <f>VLOOKUP(Main_Presentation[[#This Row],[LC Number]],Main_Issuance[],12,0)</f>
        <v>1497459.08</v>
      </c>
      <c r="O775" s="16" t="s">
        <v>20</v>
      </c>
      <c r="P775" s="16" t="s">
        <v>857</v>
      </c>
      <c r="Q775" s="131">
        <v>102607.09</v>
      </c>
      <c r="R775" s="18">
        <v>4.7</v>
      </c>
      <c r="S775" s="18">
        <f>Main_Presentation[[#This Row],[Invoice Amt (FCY)]]*Main_Presentation[[#This Row],[Rate]]</f>
        <v>482253.32299999997</v>
      </c>
      <c r="T775" s="15">
        <v>45593</v>
      </c>
      <c r="U775" s="26" t="str">
        <f>VLOOKUP(Main_Presentation[[#This Row],[LC Number]],Main_Issuance[],18,0)</f>
        <v>60 Days from BL Date</v>
      </c>
      <c r="V775" s="19" t="s">
        <v>96</v>
      </c>
      <c r="W775" s="229" t="s">
        <v>857</v>
      </c>
      <c r="X775" s="16"/>
      <c r="Y775" s="234" t="str">
        <f>TRIM(LEFT(Main_Presentation[[#This Row],[Payment Terms]],3))</f>
        <v>60</v>
      </c>
      <c r="Z775" s="16"/>
      <c r="AA775" s="316" cm="1">
        <f t="array" ref="AA775">Settlement(Main_Presentation[[#This Row],[Bank]],Main_Presentation[[#This Row],[ Invoice Amt (SAR)]],Main_Presentation[[#This Row],[Date Recd]],Main_Presentation[[#This Row],[Due Date]],Main_Presentation[[#This Row],[Days]])</f>
        <v>2350.6</v>
      </c>
      <c r="AB775" s="16"/>
    </row>
    <row r="776" spans="1:28" ht="15.75" hidden="1" x14ac:dyDescent="0.25">
      <c r="A776" s="14" t="s">
        <v>326</v>
      </c>
      <c r="B776" s="15">
        <v>45566</v>
      </c>
      <c r="C776" s="26">
        <v>2</v>
      </c>
      <c r="D776" s="55" t="str">
        <f>VLOOKUP(Main_Presentation[[#This Row],[LC Number]],Main_Issuance[],3,0)</f>
        <v>Mathew Mckernan</v>
      </c>
      <c r="E776" s="16" t="s">
        <v>856</v>
      </c>
      <c r="F776" s="17" t="str">
        <f>VLOOKUP(Main_Presentation[[#This Row],[LC Number]],Main_Issuance[],5,0)</f>
        <v>SNB</v>
      </c>
      <c r="G776" s="17" t="str">
        <f>VLOOKUP(Main_Presentation[[#This Row],[LC Number]],Main_Issuance[],6,0)</f>
        <v>Opera House</v>
      </c>
      <c r="H776" s="17" t="str">
        <f>VLOOKUP(Main_Presentation[[#This Row],[LC Number]],Main_Issuance[],17,0)</f>
        <v>Credit</v>
      </c>
      <c r="I776" s="17" t="str">
        <f>VLOOKUP(Main_Presentation[[#This Row],[LC Number]],Main_Issuance[],7,0)</f>
        <v>GETZNER WERKSTOFFE GMBH</v>
      </c>
      <c r="J776" s="17" t="str">
        <f>VLOOKUP(Main_Presentation[[#This Row],[LC Number]],Main_Issuance[],8,0)</f>
        <v>MBL</v>
      </c>
      <c r="K776" s="17" t="str">
        <f>VLOOKUP(Main_Presentation[[#This Row],[LC Number]],Main_Issuance[],9,0)</f>
        <v>OPERA House</v>
      </c>
      <c r="L776" s="17">
        <f>VLOOKUP(Main_Presentation[[#This Row],[LC Number]],Main_Issuance[],10,0)</f>
        <v>1020097</v>
      </c>
      <c r="M776" s="17" t="str">
        <f>VLOOKUP(Main_Presentation[[#This Row],[LC Number]],Main_Issuance[],11,0)</f>
        <v>EUR</v>
      </c>
      <c r="N776" s="84">
        <f>VLOOKUP(Main_Presentation[[#This Row],[LC Number]],Main_Issuance[],12,0)</f>
        <v>1497459.08</v>
      </c>
      <c r="O776" s="16" t="s">
        <v>20</v>
      </c>
      <c r="P776" s="16" t="s">
        <v>857</v>
      </c>
      <c r="Q776" s="131">
        <v>1394851.99</v>
      </c>
      <c r="R776" s="18">
        <v>4.0214999999999996</v>
      </c>
      <c r="S776" s="18">
        <f>Main_Presentation[[#This Row],[Invoice Amt (FCY)]]*Main_Presentation[[#This Row],[Rate]]</f>
        <v>5609397.2777849995</v>
      </c>
      <c r="T776" s="15">
        <v>45607</v>
      </c>
      <c r="U776" s="26" t="str">
        <f>VLOOKUP(Main_Presentation[[#This Row],[LC Number]],Main_Issuance[],18,0)</f>
        <v>60 Days from BL Date</v>
      </c>
      <c r="V776" s="19" t="s">
        <v>96</v>
      </c>
      <c r="W776" s="229" t="s">
        <v>857</v>
      </c>
      <c r="X776" s="16"/>
      <c r="Y776" s="234" t="str">
        <f>TRIM(LEFT(Main_Presentation[[#This Row],[Payment Terms]],3))</f>
        <v>60</v>
      </c>
      <c r="Z776" s="16"/>
      <c r="AA776" s="316" cm="1">
        <f t="array" ref="AA776">Settlement(Main_Presentation[[#This Row],[Bank]],Main_Presentation[[#This Row],[ Invoice Amt (SAR)]],Main_Presentation[[#This Row],[Date Recd]],Main_Presentation[[#This Row],[Due Date]],Main_Presentation[[#This Row],[Days]])</f>
        <v>13479.15</v>
      </c>
      <c r="AB776" s="16"/>
    </row>
    <row r="777" spans="1:28" ht="15.75" hidden="1" x14ac:dyDescent="0.25">
      <c r="A777" s="129" t="s">
        <v>448</v>
      </c>
      <c r="B777" s="15">
        <v>45790</v>
      </c>
      <c r="C777" s="26">
        <v>1</v>
      </c>
      <c r="D777" s="55" t="str">
        <f>VLOOKUP(Main_Presentation[[#This Row],[LC Number]],Main_Issuance[],3,0)</f>
        <v>Hassan Taleb</v>
      </c>
      <c r="E777" s="16" t="s">
        <v>858</v>
      </c>
      <c r="F777" s="16" t="str">
        <f>VLOOKUP(Main_Presentation[[#This Row],[LC Number]],Main_Issuance[],5,0)</f>
        <v>SNB</v>
      </c>
      <c r="G777" s="16" t="str">
        <f>VLOOKUP(Main_Presentation[[#This Row],[LC Number]],Main_Issuance[],6,0)</f>
        <v>Opera House</v>
      </c>
      <c r="H777" s="16" t="str">
        <f>VLOOKUP(Main_Presentation[[#This Row],[LC Number]],Main_Issuance[],17,0)</f>
        <v>Credit</v>
      </c>
      <c r="I777" s="16" t="str">
        <f>VLOOKUP(Main_Presentation[[#This Row],[LC Number]],Main_Issuance[],7,0)</f>
        <v>Bahra Advanced Cable Manufacture Co.Ltd</v>
      </c>
      <c r="J777" s="16" t="str">
        <f>VLOOKUP(Main_Presentation[[#This Row],[LC Number]],Main_Issuance[],8,0)</f>
        <v>FIRST FIX</v>
      </c>
      <c r="K777" s="16" t="str">
        <f>VLOOKUP(Main_Presentation[[#This Row],[LC Number]],Main_Issuance[],9,0)</f>
        <v>KSP</v>
      </c>
      <c r="L777" s="16">
        <f>VLOOKUP(Main_Presentation[[#This Row],[LC Number]],Main_Issuance[],10,0)</f>
        <v>1020055</v>
      </c>
      <c r="M777" s="16" t="str">
        <f>VLOOKUP(Main_Presentation[[#This Row],[LC Number]],Main_Issuance[],11,0)</f>
        <v>SAR</v>
      </c>
      <c r="N777" s="86">
        <f>VLOOKUP(Main_Presentation[[#This Row],[LC Number]],Main_Issuance[],12,0)</f>
        <v>526225.01500000095</v>
      </c>
      <c r="O777" s="16" t="s">
        <v>20</v>
      </c>
      <c r="P777" s="16" t="s">
        <v>378</v>
      </c>
      <c r="Q777" s="131">
        <v>526225.02</v>
      </c>
      <c r="R777" s="131">
        <v>1</v>
      </c>
      <c r="S777" s="18">
        <f>Main_Presentation[[#This Row],[Invoice Amt (FCY)]]*Main_Presentation[[#This Row],[Rate]]</f>
        <v>526225.02</v>
      </c>
      <c r="T777" s="15">
        <v>45809</v>
      </c>
      <c r="U777" s="26" t="str">
        <f>VLOOKUP(Main_Presentation[[#This Row],[LC Number]],Main_Issuance[],18,0)</f>
        <v>90 Days from Invoice Date</v>
      </c>
      <c r="V777" s="21" t="s">
        <v>1427</v>
      </c>
      <c r="W777" s="22" t="s">
        <v>378</v>
      </c>
      <c r="X777" s="16"/>
      <c r="Y777" s="234" t="str">
        <f>TRIM(LEFT(Main_Presentation[[#This Row],[Payment Terms]],3))</f>
        <v>90</v>
      </c>
      <c r="Z777" s="16"/>
      <c r="AA777" s="316" cm="1">
        <f t="array" ref="AA777">Settlement(Main_Presentation[[#This Row],[Bank]],Main_Presentation[[#This Row],[ Invoice Amt (SAR)]],Main_Presentation[[#This Row],[Date Recd]],Main_Presentation[[#This Row],[Due Date]],Main_Presentation[[#This Row],[Days]])</f>
        <v>1300.6500000000001</v>
      </c>
      <c r="AB777" s="16"/>
    </row>
    <row r="778" spans="1:28" ht="15.75" hidden="1" x14ac:dyDescent="0.25">
      <c r="A778" s="20" t="s">
        <v>1203</v>
      </c>
      <c r="B778" s="15">
        <v>45811</v>
      </c>
      <c r="C778" s="26">
        <v>1</v>
      </c>
      <c r="D778" s="55" t="str">
        <f>VLOOKUP(Main_Presentation[[#This Row],[LC Number]],Main_Issuance[],3,0)</f>
        <v>Hassan Taleb</v>
      </c>
      <c r="E778" s="16" t="s">
        <v>856</v>
      </c>
      <c r="F778" s="16" t="str">
        <f>VLOOKUP(Main_Presentation[[#This Row],[LC Number]],Main_Issuance[],5,0)</f>
        <v>SNB</v>
      </c>
      <c r="G778" s="16" t="str">
        <f>VLOOKUP(Main_Presentation[[#This Row],[LC Number]],Main_Issuance[],6,0)</f>
        <v>Opera House</v>
      </c>
      <c r="H778" s="16" t="str">
        <f>VLOOKUP(Main_Presentation[[#This Row],[LC Number]],Main_Issuance[],17,0)</f>
        <v>Credit</v>
      </c>
      <c r="I778" s="16" t="str">
        <f>VLOOKUP(Main_Presentation[[#This Row],[LC Number]],Main_Issuance[],7,0)</f>
        <v>RIYADH CABLES GROUP COMPANY</v>
      </c>
      <c r="J778" s="16" t="str">
        <f>VLOOKUP(Main_Presentation[[#This Row],[LC Number]],Main_Issuance[],8,0)</f>
        <v>FIRST FIX</v>
      </c>
      <c r="K778" s="16" t="str">
        <f>VLOOKUP(Main_Presentation[[#This Row],[LC Number]],Main_Issuance[],9,0)</f>
        <v>KSP</v>
      </c>
      <c r="L778" s="16">
        <f>VLOOKUP(Main_Presentation[[#This Row],[LC Number]],Main_Issuance[],10,0)</f>
        <v>1020055</v>
      </c>
      <c r="M778" s="16" t="str">
        <f>VLOOKUP(Main_Presentation[[#This Row],[LC Number]],Main_Issuance[],11,0)</f>
        <v>SAR</v>
      </c>
      <c r="N778" s="86">
        <f>VLOOKUP(Main_Presentation[[#This Row],[LC Number]],Main_Issuance[],12,0)</f>
        <v>1000000</v>
      </c>
      <c r="O778" s="16" t="s">
        <v>20</v>
      </c>
      <c r="P778" s="16" t="s">
        <v>378</v>
      </c>
      <c r="Q778" s="131">
        <v>1000000</v>
      </c>
      <c r="R778" s="18">
        <v>1</v>
      </c>
      <c r="S778" s="18">
        <f>Main_Presentation[[#This Row],[Invoice Amt (FCY)]]*Main_Presentation[[#This Row],[Rate]]</f>
        <v>1000000</v>
      </c>
      <c r="T778" s="15">
        <v>45897</v>
      </c>
      <c r="U778" s="26" t="str">
        <f>VLOOKUP(Main_Presentation[[#This Row],[LC Number]],Main_Issuance[],18,0)</f>
        <v>90 Days from Invoice Date</v>
      </c>
      <c r="V778" s="21" t="s">
        <v>613</v>
      </c>
      <c r="W778" s="22" t="s">
        <v>378</v>
      </c>
      <c r="X778" s="16"/>
      <c r="Y778" s="234" t="str">
        <f>TRIM(LEFT(Main_Presentation[[#This Row],[Payment Terms]],3))</f>
        <v>90</v>
      </c>
      <c r="Z778" s="16"/>
      <c r="AA778" s="316" cm="1">
        <f t="array" ref="AA778">Settlement(Main_Presentation[[#This Row],[Bank]],Main_Presentation[[#This Row],[ Invoice Amt (SAR)]],Main_Presentation[[#This Row],[Date Recd]],Main_Presentation[[#This Row],[Due Date]],Main_Presentation[[#This Row],[Days]])</f>
        <v>7227.75</v>
      </c>
      <c r="AB778" s="16"/>
    </row>
    <row r="779" spans="1:28" ht="15.75" hidden="1" x14ac:dyDescent="0.25">
      <c r="A779" s="20" t="s">
        <v>678</v>
      </c>
      <c r="B779" s="15">
        <v>45797</v>
      </c>
      <c r="C779" s="26">
        <v>2</v>
      </c>
      <c r="D779" s="55" t="str">
        <f>VLOOKUP(Main_Presentation[[#This Row],[LC Number]],Main_Issuance[],3,0)</f>
        <v>Rabih Makhoul</v>
      </c>
      <c r="E779" s="16" t="s">
        <v>856</v>
      </c>
      <c r="F779" s="16" t="str">
        <f>VLOOKUP(Main_Presentation[[#This Row],[LC Number]],Main_Issuance[],5,0)</f>
        <v>SNB</v>
      </c>
      <c r="G779" s="16" t="str">
        <f>VLOOKUP(Main_Presentation[[#This Row],[LC Number]],Main_Issuance[],6,0)</f>
        <v>Opera House</v>
      </c>
      <c r="H779" s="16" t="str">
        <f>VLOOKUP(Main_Presentation[[#This Row],[LC Number]],Main_Issuance[],17,0)</f>
        <v>Credit</v>
      </c>
      <c r="I779" s="16" t="str">
        <f>VLOOKUP(Main_Presentation[[#This Row],[LC Number]],Main_Issuance[],7,0)</f>
        <v>Al Fanar company</v>
      </c>
      <c r="J779" s="16" t="str">
        <f>VLOOKUP(Main_Presentation[[#This Row],[LC Number]],Main_Issuance[],8,0)</f>
        <v>FIRST FIX</v>
      </c>
      <c r="K779" s="16" t="str">
        <f>VLOOKUP(Main_Presentation[[#This Row],[LC Number]],Main_Issuance[],9,0)</f>
        <v>JCD SPMI</v>
      </c>
      <c r="L779" s="16">
        <f>VLOOKUP(Main_Presentation[[#This Row],[LC Number]],Main_Issuance[],10,0)</f>
        <v>1020100</v>
      </c>
      <c r="M779" s="16" t="str">
        <f>VLOOKUP(Main_Presentation[[#This Row],[LC Number]],Main_Issuance[],11,0)</f>
        <v>SAR</v>
      </c>
      <c r="N779" s="86">
        <f>VLOOKUP(Main_Presentation[[#This Row],[LC Number]],Main_Issuance[],12,0)</f>
        <v>500000</v>
      </c>
      <c r="O779" s="16" t="s">
        <v>20</v>
      </c>
      <c r="P779" s="16" t="s">
        <v>378</v>
      </c>
      <c r="Q779" s="131">
        <v>53771.4</v>
      </c>
      <c r="R779" s="18">
        <v>1</v>
      </c>
      <c r="S779" s="18">
        <f>Main_Presentation[[#This Row],[Invoice Amt (FCY)]]*Main_Presentation[[#This Row],[Rate]]</f>
        <v>53771.4</v>
      </c>
      <c r="T779" s="15">
        <v>45797</v>
      </c>
      <c r="U779" s="26" t="str">
        <f>VLOOKUP(Main_Presentation[[#This Row],[LC Number]],Main_Issuance[],18,0)</f>
        <v>90 Days from Invoice Date</v>
      </c>
      <c r="V779" s="21" t="s">
        <v>1371</v>
      </c>
      <c r="W779" s="22" t="s">
        <v>378</v>
      </c>
      <c r="X779" s="16"/>
      <c r="Y779" s="234" t="str">
        <f>TRIM(LEFT(Main_Presentation[[#This Row],[Payment Terms]],3))</f>
        <v>90</v>
      </c>
      <c r="Z779" s="16"/>
      <c r="AA779" s="316" cm="1">
        <f t="array" ref="AA779">Settlement(Main_Presentation[[#This Row],[Bank]],Main_Presentation[[#This Row],[ Invoice Amt (SAR)]],Main_Presentation[[#This Row],[Date Recd]],Main_Presentation[[#This Row],[Due Date]],Main_Presentation[[#This Row],[Days]])</f>
        <v>655.5</v>
      </c>
      <c r="AB779" s="16"/>
    </row>
    <row r="780" spans="1:28" ht="15.75" hidden="1" x14ac:dyDescent="0.25">
      <c r="A780" s="20" t="s">
        <v>659</v>
      </c>
      <c r="B780" s="15">
        <v>45739</v>
      </c>
      <c r="C780" s="26">
        <v>1</v>
      </c>
      <c r="D780" s="55" t="str">
        <f>VLOOKUP(Main_Presentation[[#This Row],[LC Number]],Main_Issuance[],3,0)</f>
        <v>Hassan Taleb</v>
      </c>
      <c r="E780" s="16" t="s">
        <v>858</v>
      </c>
      <c r="F780" s="16" t="str">
        <f>VLOOKUP(Main_Presentation[[#This Row],[LC Number]],Main_Issuance[],5,0)</f>
        <v>SNB</v>
      </c>
      <c r="G780" s="16" t="str">
        <f>VLOOKUP(Main_Presentation[[#This Row],[LC Number]],Main_Issuance[],6,0)</f>
        <v>Opera House</v>
      </c>
      <c r="H780" s="16" t="str">
        <f>VLOOKUP(Main_Presentation[[#This Row],[LC Number]],Main_Issuance[],17,0)</f>
        <v>Credit</v>
      </c>
      <c r="I780" s="16" t="str">
        <f>VLOOKUP(Main_Presentation[[#This Row],[LC Number]],Main_Issuance[],7,0)</f>
        <v>Arab Eagle Co.</v>
      </c>
      <c r="J780" s="16" t="str">
        <f>VLOOKUP(Main_Presentation[[#This Row],[LC Number]],Main_Issuance[],8,0)</f>
        <v>FIRST FIX</v>
      </c>
      <c r="K780" s="16" t="str">
        <f>VLOOKUP(Main_Presentation[[#This Row],[LC Number]],Main_Issuance[],9,0)</f>
        <v>KSP</v>
      </c>
      <c r="L780" s="16">
        <f>VLOOKUP(Main_Presentation[[#This Row],[LC Number]],Main_Issuance[],10,0)</f>
        <v>1020055</v>
      </c>
      <c r="M780" s="16" t="str">
        <f>VLOOKUP(Main_Presentation[[#This Row],[LC Number]],Main_Issuance[],11,0)</f>
        <v>SAR</v>
      </c>
      <c r="N780" s="86">
        <f>VLOOKUP(Main_Presentation[[#This Row],[LC Number]],Main_Issuance[],12,0)</f>
        <v>1000000</v>
      </c>
      <c r="O780" s="16" t="s">
        <v>20</v>
      </c>
      <c r="P780" s="16" t="s">
        <v>378</v>
      </c>
      <c r="Q780" s="131">
        <v>1000000</v>
      </c>
      <c r="R780" s="18">
        <v>1</v>
      </c>
      <c r="S780" s="131">
        <f>Main_Presentation[[#This Row],[Invoice Amt (FCY)]]*Main_Presentation[[#This Row],[Rate]]</f>
        <v>1000000</v>
      </c>
      <c r="T780" s="15">
        <v>45790</v>
      </c>
      <c r="U780" s="26" t="str">
        <f>VLOOKUP(Main_Presentation[[#This Row],[LC Number]],Main_Issuance[],18,0)</f>
        <v>90 Days from Invoice Date</v>
      </c>
      <c r="V780" s="21" t="s">
        <v>882</v>
      </c>
      <c r="W780" s="22" t="s">
        <v>378</v>
      </c>
      <c r="X780" s="16"/>
      <c r="Y780" s="234" t="str">
        <f>TRIM(LEFT(Main_Presentation[[#This Row],[Payment Terms]],3))</f>
        <v>90</v>
      </c>
      <c r="Z780" s="16"/>
      <c r="AA780" s="316" cm="1">
        <f t="array" ref="AA780">Settlement(Main_Presentation[[#This Row],[Bank]],Main_Presentation[[#This Row],[ Invoice Amt (SAR)]],Main_Presentation[[#This Row],[Date Recd]],Main_Presentation[[#This Row],[Due Date]],Main_Presentation[[#This Row],[Days]])</f>
        <v>4832.3</v>
      </c>
      <c r="AB780" s="16"/>
    </row>
    <row r="781" spans="1:28" ht="15.75" hidden="1" x14ac:dyDescent="0.25">
      <c r="A781" s="129" t="s">
        <v>691</v>
      </c>
      <c r="B781" s="137">
        <v>45732</v>
      </c>
      <c r="C781" s="138" t="s">
        <v>1300</v>
      </c>
      <c r="D781" s="139" t="str">
        <f>VLOOKUP(Main_Presentation[[#This Row],[LC Number]],Main_Issuance[],3,0)</f>
        <v>Rabih Makhoul</v>
      </c>
      <c r="E781" s="140" t="s">
        <v>856</v>
      </c>
      <c r="F781" s="140" t="str">
        <f>VLOOKUP(Main_Presentation[[#This Row],[LC Number]],Main_Issuance[],5,0)</f>
        <v>SNB</v>
      </c>
      <c r="G781" s="140" t="str">
        <f>VLOOKUP(Main_Presentation[[#This Row],[LC Number]],Main_Issuance[],6,0)</f>
        <v>Opera House</v>
      </c>
      <c r="H781" s="140" t="str">
        <f>VLOOKUP(Main_Presentation[[#This Row],[LC Number]],Main_Issuance[],17,0)</f>
        <v>Credit</v>
      </c>
      <c r="I781" s="140" t="str">
        <f>VLOOKUP(Main_Presentation[[#This Row],[LC Number]],Main_Issuance[],7,0)</f>
        <v>Abdulah Abdin Albukhari Factory For Industry.</v>
      </c>
      <c r="J781" s="140" t="str">
        <f>VLOOKUP(Main_Presentation[[#This Row],[LC Number]],Main_Issuance[],8,0)</f>
        <v>MBL</v>
      </c>
      <c r="K781" s="140" t="str">
        <f>VLOOKUP(Main_Presentation[[#This Row],[LC Number]],Main_Issuance[],9,0)</f>
        <v>Neom - The Line</v>
      </c>
      <c r="L781" s="140">
        <f>VLOOKUP(Main_Presentation[[#This Row],[LC Number]],Main_Issuance[],10,0)</f>
        <v>1020098</v>
      </c>
      <c r="M781" s="140" t="str">
        <f>VLOOKUP(Main_Presentation[[#This Row],[LC Number]],Main_Issuance[],11,0)</f>
        <v>SAR</v>
      </c>
      <c r="N781" s="141">
        <f>VLOOKUP(Main_Presentation[[#This Row],[LC Number]],Main_Issuance[],12,0)</f>
        <v>30000000</v>
      </c>
      <c r="O781" s="140" t="s">
        <v>20</v>
      </c>
      <c r="P781" s="140" t="s">
        <v>378</v>
      </c>
      <c r="Q781" s="131">
        <f>6646080-5646080</f>
        <v>1000000</v>
      </c>
      <c r="R781" s="131">
        <v>1</v>
      </c>
      <c r="S781" s="131">
        <f>Main_Presentation[[#This Row],[Invoice Amt (FCY)]]*Main_Presentation[[#This Row],[Rate]]</f>
        <v>1000000</v>
      </c>
      <c r="T781" s="137">
        <v>45741</v>
      </c>
      <c r="U781" s="138" t="str">
        <f>VLOOKUP(Main_Presentation[[#This Row],[LC Number]],Main_Issuance[],18,0)</f>
        <v>45 Days from Invoice Date</v>
      </c>
      <c r="V781" s="143" t="s">
        <v>1156</v>
      </c>
      <c r="W781" s="145" t="s">
        <v>857</v>
      </c>
      <c r="X781" s="140" t="s">
        <v>1376</v>
      </c>
      <c r="Y781" s="400" t="str">
        <f>TRIM(LEFT(Main_Presentation[[#This Row],[Payment Terms]],3))</f>
        <v>45</v>
      </c>
      <c r="Z781" s="140"/>
      <c r="AA781" s="316" cm="1">
        <f t="array" ref="AA781">Settlement(Main_Presentation[[#This Row],[Bank]],Main_Presentation[[#This Row],[ Invoice Amt (SAR)]],Main_Presentation[[#This Row],[Date Recd]],Main_Presentation[[#This Row],[Due Date]],Main_Presentation[[#This Row],[Days]])</f>
        <v>655.5</v>
      </c>
      <c r="AB781" s="140"/>
    </row>
    <row r="782" spans="1:28" ht="15.75" hidden="1" x14ac:dyDescent="0.25">
      <c r="A782" s="20" t="s">
        <v>670</v>
      </c>
      <c r="B782" s="15">
        <v>45740</v>
      </c>
      <c r="C782" s="26">
        <v>1</v>
      </c>
      <c r="D782" s="55" t="str">
        <f>VLOOKUP(Main_Presentation[[#This Row],[LC Number]],Main_Issuance[],3,0)</f>
        <v>Hassan Taleb</v>
      </c>
      <c r="E782" s="16" t="s">
        <v>856</v>
      </c>
      <c r="F782" s="16" t="str">
        <f>VLOOKUP(Main_Presentation[[#This Row],[LC Number]],Main_Issuance[],5,0)</f>
        <v>SNB</v>
      </c>
      <c r="G782" s="16" t="str">
        <f>VLOOKUP(Main_Presentation[[#This Row],[LC Number]],Main_Issuance[],6,0)</f>
        <v>Opera House</v>
      </c>
      <c r="H782" s="16" t="str">
        <f>VLOOKUP(Main_Presentation[[#This Row],[LC Number]],Main_Issuance[],17,0)</f>
        <v>Credit</v>
      </c>
      <c r="I782" s="16" t="str">
        <f>VLOOKUP(Main_Presentation[[#This Row],[LC Number]],Main_Issuance[],7,0)</f>
        <v>Rolaco Arabian Sounds &amp; Lights CO.</v>
      </c>
      <c r="J782" s="16" t="str">
        <f>VLOOKUP(Main_Presentation[[#This Row],[LC Number]],Main_Issuance[],8,0)</f>
        <v>FIRST FIX</v>
      </c>
      <c r="K782" s="16" t="str">
        <f>VLOOKUP(Main_Presentation[[#This Row],[LC Number]],Main_Issuance[],9,0)</f>
        <v>KSP</v>
      </c>
      <c r="L782" s="16">
        <f>VLOOKUP(Main_Presentation[[#This Row],[LC Number]],Main_Issuance[],10,0)</f>
        <v>1020055</v>
      </c>
      <c r="M782" s="16" t="str">
        <f>VLOOKUP(Main_Presentation[[#This Row],[LC Number]],Main_Issuance[],11,0)</f>
        <v>SAR</v>
      </c>
      <c r="N782" s="86">
        <f>VLOOKUP(Main_Presentation[[#This Row],[LC Number]],Main_Issuance[],12,0)</f>
        <v>2622000</v>
      </c>
      <c r="O782" s="16" t="s">
        <v>20</v>
      </c>
      <c r="P782" s="16" t="s">
        <v>378</v>
      </c>
      <c r="Q782" s="131">
        <v>2622000</v>
      </c>
      <c r="R782" s="18">
        <v>1</v>
      </c>
      <c r="S782" s="18">
        <f>Main_Presentation[[#This Row],[Invoice Amt (FCY)]]*Main_Presentation[[#This Row],[Rate]]</f>
        <v>2622000</v>
      </c>
      <c r="T782" s="15">
        <v>45788</v>
      </c>
      <c r="U782" s="26" t="str">
        <f>VLOOKUP(Main_Presentation[[#This Row],[LC Number]],Main_Issuance[],18,0)</f>
        <v>90 Days from Invoice Date</v>
      </c>
      <c r="V782" s="21" t="s">
        <v>1271</v>
      </c>
      <c r="W782" s="22" t="s">
        <v>378</v>
      </c>
      <c r="X782" s="16"/>
      <c r="Y782" s="234" t="str">
        <f>TRIM(LEFT(Main_Presentation[[#This Row],[Payment Terms]],3))</f>
        <v>90</v>
      </c>
      <c r="Z782" s="16"/>
      <c r="AA782" s="316" cm="1">
        <f t="array" ref="AA782">Settlement(Main_Presentation[[#This Row],[Bank]],Main_Presentation[[#This Row],[ Invoice Amt (SAR)]],Main_Presentation[[#This Row],[Date Recd]],Main_Presentation[[#This Row],[Due Date]],Main_Presentation[[#This Row],[Days]])</f>
        <v>12604</v>
      </c>
      <c r="AB782" s="16"/>
    </row>
    <row r="783" spans="1:28" ht="15.75" hidden="1" x14ac:dyDescent="0.25">
      <c r="A783" s="20" t="s">
        <v>657</v>
      </c>
      <c r="B783" s="15">
        <v>45753</v>
      </c>
      <c r="C783" s="26">
        <v>1</v>
      </c>
      <c r="D783" s="55" t="str">
        <f>VLOOKUP(Main_Presentation[[#This Row],[LC Number]],Main_Issuance[],3,0)</f>
        <v>Hassan Taleb</v>
      </c>
      <c r="E783" s="16" t="s">
        <v>856</v>
      </c>
      <c r="F783" s="16" t="str">
        <f>VLOOKUP(Main_Presentation[[#This Row],[LC Number]],Main_Issuance[],5,0)</f>
        <v>SNB</v>
      </c>
      <c r="G783" s="16" t="str">
        <f>VLOOKUP(Main_Presentation[[#This Row],[LC Number]],Main_Issuance[],6,0)</f>
        <v>Opera House</v>
      </c>
      <c r="H783" s="16" t="str">
        <f>VLOOKUP(Main_Presentation[[#This Row],[LC Number]],Main_Issuance[],17,0)</f>
        <v>Credit</v>
      </c>
      <c r="I783" s="16" t="str">
        <f>VLOOKUP(Main_Presentation[[#This Row],[LC Number]],Main_Issuance[],7,0)</f>
        <v>Union Pipes Industry Co</v>
      </c>
      <c r="J783" s="16" t="str">
        <f>VLOOKUP(Main_Presentation[[#This Row],[LC Number]],Main_Issuance[],8,0)</f>
        <v>FIRST FIX</v>
      </c>
      <c r="K783" s="16" t="str">
        <f>VLOOKUP(Main_Presentation[[#This Row],[LC Number]],Main_Issuance[],9,0)</f>
        <v>KSP</v>
      </c>
      <c r="L783" s="16">
        <f>VLOOKUP(Main_Presentation[[#This Row],[LC Number]],Main_Issuance[],10,0)</f>
        <v>1020055</v>
      </c>
      <c r="M783" s="16" t="str">
        <f>VLOOKUP(Main_Presentation[[#This Row],[LC Number]],Main_Issuance[],11,0)</f>
        <v>SAR</v>
      </c>
      <c r="N783" s="86">
        <f>VLOOKUP(Main_Presentation[[#This Row],[LC Number]],Main_Issuance[],12,0)</f>
        <v>649056.68999999994</v>
      </c>
      <c r="O783" s="16" t="s">
        <v>20</v>
      </c>
      <c r="P783" s="16" t="s">
        <v>378</v>
      </c>
      <c r="Q783" s="131">
        <v>649056.68999999994</v>
      </c>
      <c r="R783" s="18">
        <v>1</v>
      </c>
      <c r="S783" s="18">
        <f>Main_Presentation[[#This Row],[Invoice Amt (FCY)]]*Main_Presentation[[#This Row],[Rate]]</f>
        <v>649056.68999999994</v>
      </c>
      <c r="T783" s="15">
        <v>45792</v>
      </c>
      <c r="U783" s="26" t="str">
        <f>VLOOKUP(Main_Presentation[[#This Row],[LC Number]],Main_Issuance[],18,0)</f>
        <v>90 Days from Invoice Date</v>
      </c>
      <c r="V783" s="21" t="s">
        <v>882</v>
      </c>
      <c r="W783" s="22" t="s">
        <v>378</v>
      </c>
      <c r="X783" s="16"/>
      <c r="Y783" s="234" t="str">
        <f>TRIM(LEFT(Main_Presentation[[#This Row],[Payment Terms]],3))</f>
        <v>90</v>
      </c>
      <c r="Z783" s="16"/>
      <c r="AA783" s="316" cm="1">
        <f t="array" ref="AA783">Settlement(Main_Presentation[[#This Row],[Bank]],Main_Presentation[[#This Row],[ Invoice Amt (SAR)]],Main_Presentation[[#This Row],[Date Recd]],Main_Presentation[[#This Row],[Due Date]],Main_Presentation[[#This Row],[Days]])</f>
        <v>1595.05</v>
      </c>
      <c r="AB783" s="16"/>
    </row>
    <row r="784" spans="1:28" ht="15.75" hidden="1" x14ac:dyDescent="0.25">
      <c r="A784" s="129" t="s">
        <v>668</v>
      </c>
      <c r="B784" s="15">
        <v>45783</v>
      </c>
      <c r="C784" s="26">
        <v>1</v>
      </c>
      <c r="D784" s="55" t="str">
        <f>VLOOKUP(Main_Presentation[[#This Row],[LC Number]],Main_Issuance[],3,0)</f>
        <v>Hassan Taleb</v>
      </c>
      <c r="E784" s="16" t="s">
        <v>858</v>
      </c>
      <c r="F784" s="16" t="str">
        <f>VLOOKUP(Main_Presentation[[#This Row],[LC Number]],Main_Issuance[],5,0)</f>
        <v>SNB</v>
      </c>
      <c r="G784" s="16" t="str">
        <f>VLOOKUP(Main_Presentation[[#This Row],[LC Number]],Main_Issuance[],6,0)</f>
        <v>Opera House</v>
      </c>
      <c r="H784" s="16" t="str">
        <f>VLOOKUP(Main_Presentation[[#This Row],[LC Number]],Main_Issuance[],17,0)</f>
        <v>Credit</v>
      </c>
      <c r="I784" s="16" t="str">
        <f>VLOOKUP(Main_Presentation[[#This Row],[LC Number]],Main_Issuance[],7,0)</f>
        <v>Rubiya Contracting Company</v>
      </c>
      <c r="J784" s="16" t="str">
        <f>VLOOKUP(Main_Presentation[[#This Row],[LC Number]],Main_Issuance[],8,0)</f>
        <v>FIRST FIX</v>
      </c>
      <c r="K784" s="16" t="str">
        <f>VLOOKUP(Main_Presentation[[#This Row],[LC Number]],Main_Issuance[],9,0)</f>
        <v>KSP</v>
      </c>
      <c r="L784" s="16">
        <f>VLOOKUP(Main_Presentation[[#This Row],[LC Number]],Main_Issuance[],10,0)</f>
        <v>1020055</v>
      </c>
      <c r="M784" s="16" t="str">
        <f>VLOOKUP(Main_Presentation[[#This Row],[LC Number]],Main_Issuance[],11,0)</f>
        <v>SAR</v>
      </c>
      <c r="N784" s="86">
        <f>VLOOKUP(Main_Presentation[[#This Row],[LC Number]],Main_Issuance[],12,0)</f>
        <v>700000</v>
      </c>
      <c r="O784" s="16" t="s">
        <v>20</v>
      </c>
      <c r="P784" s="16" t="s">
        <v>378</v>
      </c>
      <c r="Q784" s="131">
        <v>700000</v>
      </c>
      <c r="R784" s="131">
        <v>1</v>
      </c>
      <c r="S784" s="18">
        <f>Main_Presentation[[#This Row],[Invoice Amt (FCY)]]*Main_Presentation[[#This Row],[Rate]]</f>
        <v>700000</v>
      </c>
      <c r="T784" s="15">
        <v>45809</v>
      </c>
      <c r="U784" s="26" t="str">
        <f>VLOOKUP(Main_Presentation[[#This Row],[LC Number]],Main_Issuance[],18,0)</f>
        <v>90 Days from Invoice Date</v>
      </c>
      <c r="V784" s="21" t="s">
        <v>1427</v>
      </c>
      <c r="W784" s="22" t="s">
        <v>378</v>
      </c>
      <c r="X784" s="16"/>
      <c r="Y784" s="234" t="str">
        <f>TRIM(LEFT(Main_Presentation[[#This Row],[Payment Terms]],3))</f>
        <v>90</v>
      </c>
      <c r="Z784" s="16"/>
      <c r="AA784" s="316" cm="1">
        <f t="array" ref="AA784">Settlement(Main_Presentation[[#This Row],[Bank]],Main_Presentation[[#This Row],[ Invoice Amt (SAR)]],Main_Presentation[[#This Row],[Date Recd]],Main_Presentation[[#This Row],[Due Date]],Main_Presentation[[#This Row],[Days]])</f>
        <v>1716.95</v>
      </c>
      <c r="AB784" s="16"/>
    </row>
    <row r="785" spans="1:28" ht="15.75" hidden="1" x14ac:dyDescent="0.25">
      <c r="A785" s="20" t="s">
        <v>630</v>
      </c>
      <c r="B785" s="15">
        <v>45725</v>
      </c>
      <c r="C785" s="26" t="s">
        <v>1300</v>
      </c>
      <c r="D785" s="55" t="str">
        <f>VLOOKUP(Main_Presentation[[#This Row],[LC Number]],Main_Issuance[],3,0)</f>
        <v>Hassan Taleb</v>
      </c>
      <c r="E785" s="16" t="s">
        <v>856</v>
      </c>
      <c r="F785" s="16" t="str">
        <f>VLOOKUP(Main_Presentation[[#This Row],[LC Number]],Main_Issuance[],5,0)</f>
        <v>SNB</v>
      </c>
      <c r="G785" s="16" t="str">
        <f>VLOOKUP(Main_Presentation[[#This Row],[LC Number]],Main_Issuance[],6,0)</f>
        <v>Opera House</v>
      </c>
      <c r="H785" s="16" t="str">
        <f>VLOOKUP(Main_Presentation[[#This Row],[LC Number]],Main_Issuance[],17,0)</f>
        <v>Credit</v>
      </c>
      <c r="I785" s="16" t="str">
        <f>VLOOKUP(Main_Presentation[[#This Row],[LC Number]],Main_Issuance[],7,0)</f>
        <v>Depth Modern Technologies Co.</v>
      </c>
      <c r="J785" s="16" t="str">
        <f>VLOOKUP(Main_Presentation[[#This Row],[LC Number]],Main_Issuance[],8,0)</f>
        <v>FIRST FIX</v>
      </c>
      <c r="K785" s="16" t="str">
        <f>VLOOKUP(Main_Presentation[[#This Row],[LC Number]],Main_Issuance[],9,0)</f>
        <v>KSP</v>
      </c>
      <c r="L785" s="16">
        <f>VLOOKUP(Main_Presentation[[#This Row],[LC Number]],Main_Issuance[],10,0)</f>
        <v>1020055</v>
      </c>
      <c r="M785" s="16" t="str">
        <f>VLOOKUP(Main_Presentation[[#This Row],[LC Number]],Main_Issuance[],11,0)</f>
        <v>SAR</v>
      </c>
      <c r="N785" s="86">
        <f>VLOOKUP(Main_Presentation[[#This Row],[LC Number]],Main_Issuance[],12,0)</f>
        <v>3000000</v>
      </c>
      <c r="O785" s="16" t="s">
        <v>20</v>
      </c>
      <c r="P785" s="16" t="s">
        <v>378</v>
      </c>
      <c r="Q785" s="131">
        <f>3000000-2000000</f>
        <v>1000000</v>
      </c>
      <c r="R785" s="18">
        <v>1</v>
      </c>
      <c r="S785" s="18">
        <f>Main_Presentation[[#This Row],[Invoice Amt (FCY)]]*Main_Presentation[[#This Row],[Rate]]</f>
        <v>1000000</v>
      </c>
      <c r="T785" s="15">
        <v>45788</v>
      </c>
      <c r="U785" s="26" t="str">
        <f>VLOOKUP(Main_Presentation[[#This Row],[LC Number]],Main_Issuance[],18,0)</f>
        <v>90 Days from Invoice Date</v>
      </c>
      <c r="V785" s="21" t="s">
        <v>483</v>
      </c>
      <c r="W785" s="22" t="s">
        <v>857</v>
      </c>
      <c r="X785" s="16"/>
      <c r="Y785" s="234" t="str">
        <f>TRIM(LEFT(Main_Presentation[[#This Row],[Payment Terms]],3))</f>
        <v>90</v>
      </c>
      <c r="Z785" s="16"/>
      <c r="AA785" s="316" cm="1">
        <f t="array" ref="AA785">Settlement(Main_Presentation[[#This Row],[Bank]],Main_Presentation[[#This Row],[ Invoice Amt (SAR)]],Main_Presentation[[#This Row],[Date Recd]],Main_Presentation[[#This Row],[Due Date]],Main_Presentation[[#This Row],[Days]])</f>
        <v>4832.3</v>
      </c>
      <c r="AB785" s="16"/>
    </row>
    <row r="786" spans="1:28" ht="15.75" hidden="1" x14ac:dyDescent="0.25">
      <c r="A786" s="129" t="s">
        <v>254</v>
      </c>
      <c r="B786" s="15">
        <v>45790</v>
      </c>
      <c r="C786" s="26">
        <v>23</v>
      </c>
      <c r="D786" s="55" t="str">
        <f>VLOOKUP(Main_Presentation[[#This Row],[LC Number]],Main_Issuance[],3,0)</f>
        <v>Mohammed Atef</v>
      </c>
      <c r="E786" s="16" t="s">
        <v>856</v>
      </c>
      <c r="F786" s="16" t="str">
        <f>VLOOKUP(Main_Presentation[[#This Row],[LC Number]],Main_Issuance[],5,0)</f>
        <v>Alinma</v>
      </c>
      <c r="G786" s="16" t="str">
        <f>VLOOKUP(Main_Presentation[[#This Row],[LC Number]],Main_Issuance[],6,0)</f>
        <v>KSP</v>
      </c>
      <c r="H786" s="16" t="str">
        <f>VLOOKUP(Main_Presentation[[#This Row],[LC Number]],Main_Issuance[],17,0)</f>
        <v>Credit</v>
      </c>
      <c r="I786" s="16" t="str">
        <f>VLOOKUP(Main_Presentation[[#This Row],[LC Number]],Main_Issuance[],7,0)</f>
        <v>BBH-CHEMTROL INTERNATIONAL ORGANIZATION S.L</v>
      </c>
      <c r="J786" s="16" t="str">
        <f>VLOOKUP(Main_Presentation[[#This Row],[LC Number]],Main_Issuance[],8,0)</f>
        <v>MBL/ICAD</v>
      </c>
      <c r="K786" s="16" t="str">
        <f>VLOOKUP(Main_Presentation[[#This Row],[LC Number]],Main_Issuance[],9,0)</f>
        <v>KSP</v>
      </c>
      <c r="L786" s="16">
        <f>VLOOKUP(Main_Presentation[[#This Row],[LC Number]],Main_Issuance[],10,0)</f>
        <v>1020055</v>
      </c>
      <c r="M786" s="16" t="str">
        <f>VLOOKUP(Main_Presentation[[#This Row],[LC Number]],Main_Issuance[],11,0)</f>
        <v>EUR</v>
      </c>
      <c r="N786" s="86">
        <f>VLOOKUP(Main_Presentation[[#This Row],[LC Number]],Main_Issuance[],12,0)</f>
        <v>8182985</v>
      </c>
      <c r="O786" s="140" t="s">
        <v>20</v>
      </c>
      <c r="P786" s="16" t="s">
        <v>857</v>
      </c>
      <c r="Q786" s="131">
        <v>87820</v>
      </c>
      <c r="R786" s="131">
        <v>4.32</v>
      </c>
      <c r="S786" s="18">
        <f>Main_Presentation[[#This Row],[Invoice Amt (FCY)]]*Main_Presentation[[#This Row],[Rate]]</f>
        <v>379382.4</v>
      </c>
      <c r="T786" s="15">
        <v>45796</v>
      </c>
      <c r="U786" s="26" t="str">
        <f>VLOOKUP(Main_Presentation[[#This Row],[LC Number]],Main_Issuance[],18,0)</f>
        <v>30 Days from Shipment Date</v>
      </c>
      <c r="V786" s="21" t="s">
        <v>1367</v>
      </c>
      <c r="W786" s="22" t="s">
        <v>857</v>
      </c>
      <c r="X786" s="16" t="s">
        <v>1366</v>
      </c>
      <c r="Y786" s="234" t="str">
        <f>TRIM(LEFT(Main_Presentation[[#This Row],[Payment Terms]],3))</f>
        <v>30</v>
      </c>
      <c r="Z786" s="16"/>
      <c r="AA786" s="316" cm="1">
        <f t="array" ref="AA786">Settlement(Main_Presentation[[#This Row],[Bank]],Main_Presentation[[#This Row],[ Invoice Amt (SAR)]],Main_Presentation[[#This Row],[Date Recd]],Main_Presentation[[#This Row],[Due Date]],Main_Presentation[[#This Row],[Days]])</f>
        <v>1437.5</v>
      </c>
      <c r="AB786" s="16"/>
    </row>
    <row r="787" spans="1:28" ht="15.75" hidden="1" x14ac:dyDescent="0.25">
      <c r="A787" s="20" t="s">
        <v>672</v>
      </c>
      <c r="B787" s="15">
        <v>45790</v>
      </c>
      <c r="C787" s="26">
        <v>18</v>
      </c>
      <c r="D787" s="55" t="str">
        <f>VLOOKUP(Main_Presentation[[#This Row],[LC Number]],Main_Issuance[],3,0)</f>
        <v>Tareeq Telmasani</v>
      </c>
      <c r="E787" s="16" t="s">
        <v>856</v>
      </c>
      <c r="F787" s="16" t="str">
        <f>VLOOKUP(Main_Presentation[[#This Row],[LC Number]],Main_Issuance[],5,0)</f>
        <v>SAB</v>
      </c>
      <c r="G787" s="16" t="str">
        <f>VLOOKUP(Main_Presentation[[#This Row],[LC Number]],Main_Issuance[],6,0)</f>
        <v>CEER</v>
      </c>
      <c r="H787" s="16" t="str">
        <f>VLOOKUP(Main_Presentation[[#This Row],[LC Number]],Main_Issuance[],17,0)</f>
        <v>Credit</v>
      </c>
      <c r="I787" s="16" t="str">
        <f>VLOOKUP(Main_Presentation[[#This Row],[LC Number]],Main_Issuance[],7,0)</f>
        <v>Roof Metal Ind LLC</v>
      </c>
      <c r="J787" s="16" t="str">
        <f>VLOOKUP(Main_Presentation[[#This Row],[LC Number]],Main_Issuance[],8,0)</f>
        <v>MBL</v>
      </c>
      <c r="K787" s="16" t="str">
        <f>VLOOKUP(Main_Presentation[[#This Row],[LC Number]],Main_Issuance[],9,0)</f>
        <v>CEER</v>
      </c>
      <c r="L787" s="16">
        <f>VLOOKUP(Main_Presentation[[#This Row],[LC Number]],Main_Issuance[],10,0)</f>
        <v>1020091</v>
      </c>
      <c r="M787" s="16" t="str">
        <f>VLOOKUP(Main_Presentation[[#This Row],[LC Number]],Main_Issuance[],11,0)</f>
        <v>AED</v>
      </c>
      <c r="N787" s="86">
        <f>VLOOKUP(Main_Presentation[[#This Row],[LC Number]],Main_Issuance[],12,0)</f>
        <v>12740122</v>
      </c>
      <c r="O787" s="16" t="s">
        <v>20</v>
      </c>
      <c r="P787" s="16" t="s">
        <v>857</v>
      </c>
      <c r="Q787" s="131">
        <v>324230.21999999997</v>
      </c>
      <c r="R787" s="18">
        <v>1.026</v>
      </c>
      <c r="S787" s="18">
        <f>Main_Presentation[[#This Row],[Invoice Amt (FCY)]]*Main_Presentation[[#This Row],[Rate]]</f>
        <v>332660.20571999997</v>
      </c>
      <c r="T787" s="15">
        <v>45792</v>
      </c>
      <c r="U787" s="26" t="str">
        <f>VLOOKUP(Main_Presentation[[#This Row],[LC Number]],Main_Issuance[],18,0)</f>
        <v>Sight</v>
      </c>
      <c r="V787" s="21" t="s">
        <v>367</v>
      </c>
      <c r="W787" s="22" t="s">
        <v>857</v>
      </c>
      <c r="X787" s="16"/>
      <c r="Y787" s="234" t="str">
        <f>TRIM(LEFT(Main_Presentation[[#This Row],[Payment Terms]],3))</f>
        <v>Sig</v>
      </c>
      <c r="Z787" s="16"/>
      <c r="AA787" s="316" t="e" cm="1">
        <f t="array" ref="AA787">Settlement(Main_Presentation[[#This Row],[Bank]],Main_Presentation[[#This Row],[ Invoice Amt (SAR)]],Main_Presentation[[#This Row],[Date Recd]],Main_Presentation[[#This Row],[Due Date]],Main_Presentation[[#This Row],[Days]])</f>
        <v>#VALUE!</v>
      </c>
      <c r="AB787" s="16"/>
    </row>
    <row r="788" spans="1:28" ht="15.75" hidden="1" x14ac:dyDescent="0.25">
      <c r="A788" s="20" t="s">
        <v>702</v>
      </c>
      <c r="B788" s="15">
        <v>45790</v>
      </c>
      <c r="C788" s="26">
        <v>1</v>
      </c>
      <c r="D788" s="55" t="str">
        <f>VLOOKUP(Main_Presentation[[#This Row],[LC Number]],Main_Issuance[],3,0)</f>
        <v>Tareeq Telmasani</v>
      </c>
      <c r="E788" s="16" t="s">
        <v>858</v>
      </c>
      <c r="F788" s="16" t="str">
        <f>VLOOKUP(Main_Presentation[[#This Row],[LC Number]],Main_Issuance[],5,0)</f>
        <v>SNB</v>
      </c>
      <c r="G788" s="16" t="str">
        <f>VLOOKUP(Main_Presentation[[#This Row],[LC Number]],Main_Issuance[],6,0)</f>
        <v>Opera House</v>
      </c>
      <c r="H788" s="16" t="str">
        <f>VLOOKUP(Main_Presentation[[#This Row],[LC Number]],Main_Issuance[],17,0)</f>
        <v>Credit</v>
      </c>
      <c r="I788" s="16" t="str">
        <f>VLOOKUP(Main_Presentation[[#This Row],[LC Number]],Main_Issuance[],7,0)</f>
        <v>HOLCIM SOLUTIONS AND PRODUCTS EMEA BV</v>
      </c>
      <c r="J788" s="16" t="str">
        <f>VLOOKUP(Main_Presentation[[#This Row],[LC Number]],Main_Issuance[],8,0)</f>
        <v>MBL/IFAS</v>
      </c>
      <c r="K788" s="16" t="str">
        <f>VLOOKUP(Main_Presentation[[#This Row],[LC Number]],Main_Issuance[],9,0)</f>
        <v>CEER</v>
      </c>
      <c r="L788" s="16">
        <f>VLOOKUP(Main_Presentation[[#This Row],[LC Number]],Main_Issuance[],10,0)</f>
        <v>1020091</v>
      </c>
      <c r="M788" s="16" t="str">
        <f>VLOOKUP(Main_Presentation[[#This Row],[LC Number]],Main_Issuance[],11,0)</f>
        <v>USD</v>
      </c>
      <c r="N788" s="86">
        <f>VLOOKUP(Main_Presentation[[#This Row],[LC Number]],Main_Issuance[],12,0)</f>
        <v>2600115.56</v>
      </c>
      <c r="O788" s="16" t="s">
        <v>20</v>
      </c>
      <c r="P788" s="16" t="s">
        <v>857</v>
      </c>
      <c r="Q788" s="131">
        <v>163729.79999999999</v>
      </c>
      <c r="R788" s="18">
        <v>3.75</v>
      </c>
      <c r="S788" s="18">
        <f>Main_Presentation[[#This Row],[Invoice Amt (FCY)]]*Main_Presentation[[#This Row],[Rate]]</f>
        <v>613986.75</v>
      </c>
      <c r="T788" s="15">
        <v>45838</v>
      </c>
      <c r="U788" s="26" t="str">
        <f>VLOOKUP(Main_Presentation[[#This Row],[LC Number]],Main_Issuance[],18,0)</f>
        <v>90 Days from Shipment Date</v>
      </c>
      <c r="V788" s="21" t="s">
        <v>367</v>
      </c>
      <c r="W788" s="22" t="s">
        <v>857</v>
      </c>
      <c r="X788" s="16"/>
      <c r="Y788" s="234" t="str">
        <f>TRIM(LEFT(Main_Presentation[[#This Row],[Payment Terms]],3))</f>
        <v>90</v>
      </c>
      <c r="Z788" s="16"/>
      <c r="AA788" s="316" cm="1">
        <f t="array" ref="AA788">Settlement(Main_Presentation[[#This Row],[Bank]],Main_Presentation[[#This Row],[ Invoice Amt (SAR)]],Main_Presentation[[#This Row],[Date Recd]],Main_Presentation[[#This Row],[Due Date]],Main_Presentation[[#This Row],[Days]])</f>
        <v>2981.95</v>
      </c>
      <c r="AB788" s="16"/>
    </row>
    <row r="789" spans="1:28" ht="15.75" hidden="1" x14ac:dyDescent="0.25">
      <c r="A789" s="20" t="s">
        <v>306</v>
      </c>
      <c r="B789" s="15">
        <v>45790</v>
      </c>
      <c r="C789" s="26">
        <v>118</v>
      </c>
      <c r="D789" s="55" t="str">
        <f>VLOOKUP(Main_Presentation[[#This Row],[LC Number]],Main_Issuance[],3,0)</f>
        <v>Dipu Sir</v>
      </c>
      <c r="E789" s="16" t="s">
        <v>858</v>
      </c>
      <c r="F789" s="17" t="str">
        <f>VLOOKUP(Main_Presentation[[#This Row],[LC Number]],Main_Issuance[],5,0)</f>
        <v>Riyad</v>
      </c>
      <c r="G789" s="17" t="str">
        <f>VLOOKUP(Main_Presentation[[#This Row],[LC Number]],Main_Issuance[],6,0)</f>
        <v>Cash</v>
      </c>
      <c r="H789" s="17" t="str">
        <f>VLOOKUP(Main_Presentation[[#This Row],[LC Number]],Main_Issuance[],17,0)</f>
        <v>Cash</v>
      </c>
      <c r="I789" s="17" t="str">
        <f>VLOOKUP(Main_Presentation[[#This Row],[LC Number]],Main_Issuance[],7,0)</f>
        <v>ATELIER HOSPITALITY SRL</v>
      </c>
      <c r="J789" s="17" t="str">
        <f>VLOOKUP(Main_Presentation[[#This Row],[LC Number]],Main_Issuance[],8,0)</f>
        <v>MBL</v>
      </c>
      <c r="K789" s="17" t="str">
        <f>VLOOKUP(Main_Presentation[[#This Row],[LC Number]],Main_Issuance[],9,0)</f>
        <v>L01-YAMMAMA</v>
      </c>
      <c r="L789" s="17">
        <f>VLOOKUP(Main_Presentation[[#This Row],[LC Number]],Main_Issuance[],10,0)</f>
        <v>1020015</v>
      </c>
      <c r="M789" s="17" t="str">
        <f>VLOOKUP(Main_Presentation[[#This Row],[LC Number]],Main_Issuance[],11,0)</f>
        <v>EUR</v>
      </c>
      <c r="N789" s="84">
        <f>VLOOKUP(Main_Presentation[[#This Row],[LC Number]],Main_Issuance[],12,0)</f>
        <v>50762045.400000006</v>
      </c>
      <c r="O789" s="16" t="s">
        <v>20</v>
      </c>
      <c r="P789" s="16" t="s">
        <v>857</v>
      </c>
      <c r="Q789" s="131">
        <v>4232.75</v>
      </c>
      <c r="R789" s="18">
        <v>4.5700901448959899</v>
      </c>
      <c r="S789" s="18">
        <f>Main_Presentation[[#This Row],[Invoice Amt (FCY)]]*Main_Presentation[[#This Row],[Rate]]</f>
        <v>19344.049060808502</v>
      </c>
      <c r="T789" s="15">
        <v>45792</v>
      </c>
      <c r="U789" s="26" t="str">
        <f>VLOOKUP(Main_Presentation[[#This Row],[LC Number]],Main_Issuance[],18,0)</f>
        <v>30 days from the date of comm. inv.</v>
      </c>
      <c r="V789" s="17" t="str">
        <f>VLOOKUP(Main_Presentation[[#This Row],[LC Number]],Main_Issuance[],9,0)</f>
        <v>L01-YAMMAMA</v>
      </c>
      <c r="W789" s="22" t="s">
        <v>857</v>
      </c>
      <c r="X789" s="16"/>
      <c r="Y789" s="402" t="str">
        <f>TRIM(LEFT(Main_Presentation[[#This Row],[Payment Terms]],3))</f>
        <v>30</v>
      </c>
      <c r="Z789" s="16"/>
      <c r="AA789" s="316" cm="1">
        <f t="array" ref="AA789">Settlement(Main_Presentation[[#This Row],[Bank]],Main_Presentation[[#This Row],[ Invoice Amt (SAR)]],Main_Presentation[[#This Row],[Date Recd]],Main_Presentation[[#This Row],[Due Date]],Main_Presentation[[#This Row],[Days]])</f>
        <v>230</v>
      </c>
      <c r="AB789" s="16"/>
    </row>
    <row r="790" spans="1:28" ht="15.75" hidden="1" x14ac:dyDescent="0.25">
      <c r="A790" s="20" t="s">
        <v>790</v>
      </c>
      <c r="B790" s="15">
        <v>45858</v>
      </c>
      <c r="C790" s="26">
        <v>1</v>
      </c>
      <c r="D790" s="55" t="str">
        <f>VLOOKUP(Main_Presentation[[#This Row],[LC Number]],Main_Issuance[],3,0)</f>
        <v>Kotb - Morganti</v>
      </c>
      <c r="E790" s="16" t="s">
        <v>858</v>
      </c>
      <c r="F790" s="16" t="str">
        <f>VLOOKUP(Main_Presentation[[#This Row],[LC Number]],Main_Issuance[],5,0)</f>
        <v>SAB</v>
      </c>
      <c r="G790" s="16" t="str">
        <f>VLOOKUP(Main_Presentation[[#This Row],[LC Number]],Main_Issuance[],6,0)</f>
        <v>MP1</v>
      </c>
      <c r="H790" s="16" t="str">
        <f>VLOOKUP(Main_Presentation[[#This Row],[LC Number]],Main_Issuance[],17,0)</f>
        <v>Credit</v>
      </c>
      <c r="I790" s="16" t="str">
        <f>VLOOKUP(Main_Presentation[[#This Row],[LC Number]],Main_Issuance[],7,0)</f>
        <v>ShowTex Middle East F.Z.C</v>
      </c>
      <c r="J790" s="16" t="str">
        <f>VLOOKUP(Main_Presentation[[#This Row],[LC Number]],Main_Issuance[],8,0)</f>
        <v>MBL/Morganti</v>
      </c>
      <c r="K790" s="16" t="str">
        <f>VLOOKUP(Main_Presentation[[#This Row],[LC Number]],Main_Issuance[],9,0)</f>
        <v>ABHA</v>
      </c>
      <c r="L790" s="16">
        <f>VLOOKUP(Main_Presentation[[#This Row],[LC Number]],Main_Issuance[],10,0)</f>
        <v>1020070</v>
      </c>
      <c r="M790" s="16" t="str">
        <f>VLOOKUP(Main_Presentation[[#This Row],[LC Number]],Main_Issuance[],11,0)</f>
        <v>AED</v>
      </c>
      <c r="N790" s="86">
        <f>VLOOKUP(Main_Presentation[[#This Row],[LC Number]],Main_Issuance[],12,0)</f>
        <v>850000</v>
      </c>
      <c r="O790" s="16" t="s">
        <v>20</v>
      </c>
      <c r="P790" s="16" t="s">
        <v>857</v>
      </c>
      <c r="Q790" s="131">
        <v>850000</v>
      </c>
      <c r="R790" s="18">
        <v>1.0264</v>
      </c>
      <c r="S790" s="18">
        <f>Main_Presentation[[#This Row],[Invoice Amt (FCY)]]*Main_Presentation[[#This Row],[Rate]]</f>
        <v>872440</v>
      </c>
      <c r="T790" s="15">
        <v>45879</v>
      </c>
      <c r="U790" s="26" t="str">
        <f>VLOOKUP(Main_Presentation[[#This Row],[LC Number]],Main_Issuance[],18,0)</f>
        <v>120 Days from Invoice Date</v>
      </c>
      <c r="V790" s="21" t="s">
        <v>710</v>
      </c>
      <c r="W790" s="22" t="s">
        <v>378</v>
      </c>
      <c r="X790" s="16" t="s">
        <v>1693</v>
      </c>
      <c r="Y790" s="234" t="str">
        <f>TRIM(LEFT(Main_Presentation[[#This Row],[Payment Terms]],3))</f>
        <v>120</v>
      </c>
      <c r="Z790" s="16"/>
      <c r="AA790" s="316" cm="1">
        <f t="array" ref="AA790">Settlement(Main_Presentation[[#This Row],[Bank]],Main_Presentation[[#This Row],[ Invoice Amt (SAR)]],Main_Presentation[[#This Row],[Date Recd]],Main_Presentation[[#This Row],[Due Date]],Main_Presentation[[#This Row],[Days]])</f>
        <v>3762.8</v>
      </c>
      <c r="AB790" s="16"/>
    </row>
    <row r="791" spans="1:28" ht="15.75" hidden="1" x14ac:dyDescent="0.25">
      <c r="A791" s="20" t="s">
        <v>712</v>
      </c>
      <c r="B791" s="15">
        <v>45797</v>
      </c>
      <c r="C791" s="26">
        <v>1</v>
      </c>
      <c r="D791" s="55" t="str">
        <f>VLOOKUP(Main_Presentation[[#This Row],[LC Number]],Main_Issuance[],3,0)</f>
        <v>Hassan Taleb</v>
      </c>
      <c r="E791" s="16" t="s">
        <v>858</v>
      </c>
      <c r="F791" s="16" t="str">
        <f>VLOOKUP(Main_Presentation[[#This Row],[LC Number]],Main_Issuance[],5,0)</f>
        <v>SAB</v>
      </c>
      <c r="G791" s="16" t="str">
        <f>VLOOKUP(Main_Presentation[[#This Row],[LC Number]],Main_Issuance[],6,0)</f>
        <v>MP1</v>
      </c>
      <c r="H791" s="16" t="str">
        <f>VLOOKUP(Main_Presentation[[#This Row],[LC Number]],Main_Issuance[],17,0)</f>
        <v>Credit</v>
      </c>
      <c r="I791" s="16" t="str">
        <f>VLOOKUP(Main_Presentation[[#This Row],[LC Number]],Main_Issuance[],7,0)</f>
        <v>Branch of National Fire Fighting (NAFFCO)</v>
      </c>
      <c r="J791" s="16" t="str">
        <f>VLOOKUP(Main_Presentation[[#This Row],[LC Number]],Main_Issuance[],8,0)</f>
        <v>FIRST FIX</v>
      </c>
      <c r="K791" s="16" t="str">
        <f>VLOOKUP(Main_Presentation[[#This Row],[LC Number]],Main_Issuance[],9,0)</f>
        <v>MP1</v>
      </c>
      <c r="L791" s="16">
        <f>VLOOKUP(Main_Presentation[[#This Row],[LC Number]],Main_Issuance[],10,0)</f>
        <v>1020088</v>
      </c>
      <c r="M791" s="16" t="str">
        <f>VLOOKUP(Main_Presentation[[#This Row],[LC Number]],Main_Issuance[],11,0)</f>
        <v>SAR</v>
      </c>
      <c r="N791" s="86">
        <f>VLOOKUP(Main_Presentation[[#This Row],[LC Number]],Main_Issuance[],12,0)</f>
        <v>4952175</v>
      </c>
      <c r="O791" s="16" t="s">
        <v>20</v>
      </c>
      <c r="P791" s="16" t="s">
        <v>857</v>
      </c>
      <c r="Q791" s="131">
        <v>4038079.43</v>
      </c>
      <c r="R791" s="18">
        <v>1</v>
      </c>
      <c r="S791" s="18">
        <f>Main_Presentation[[#This Row],[Invoice Amt (FCY)]]*Main_Presentation[[#This Row],[Rate]]</f>
        <v>4038079.43</v>
      </c>
      <c r="T791" s="15">
        <v>45859</v>
      </c>
      <c r="U791" s="26" t="str">
        <f>VLOOKUP(Main_Presentation[[#This Row],[LC Number]],Main_Issuance[],18,0)</f>
        <v>90 Days from Invoice Date</v>
      </c>
      <c r="V791" s="21" t="s">
        <v>710</v>
      </c>
      <c r="W791" s="22" t="s">
        <v>857</v>
      </c>
      <c r="X791" s="16"/>
      <c r="Y791" s="234" t="str">
        <f>TRIM(LEFT(Main_Presentation[[#This Row],[Payment Terms]],3))</f>
        <v>90</v>
      </c>
      <c r="Z791" s="16"/>
      <c r="AA791" s="316" cm="1">
        <f t="array" ref="AA791">Settlement(Main_Presentation[[#This Row],[Bank]],Main_Presentation[[#This Row],[ Invoice Amt (SAR)]],Main_Presentation[[#This Row],[Date Recd]],Main_Presentation[[#This Row],[Due Date]],Main_Presentation[[#This Row],[Days]])</f>
        <v>17414.45</v>
      </c>
      <c r="AB791" s="16"/>
    </row>
    <row r="792" spans="1:28" ht="15.75" hidden="1" x14ac:dyDescent="0.25">
      <c r="A792" s="129" t="s">
        <v>1152</v>
      </c>
      <c r="B792" s="15">
        <v>45806</v>
      </c>
      <c r="C792" s="26">
        <v>1</v>
      </c>
      <c r="D792" s="55" t="str">
        <f>VLOOKUP(Main_Presentation[[#This Row],[LC Number]],Main_Issuance[],3,0)</f>
        <v>Hassan Taleb</v>
      </c>
      <c r="E792" s="16" t="s">
        <v>856</v>
      </c>
      <c r="F792" s="16" t="str">
        <f>VLOOKUP(Main_Presentation[[#This Row],[LC Number]],Main_Issuance[],5,0)</f>
        <v>Jazira</v>
      </c>
      <c r="G792" s="16" t="str">
        <f>VLOOKUP(Main_Presentation[[#This Row],[LC Number]],Main_Issuance[],6,0)</f>
        <v>RCRC</v>
      </c>
      <c r="H792" s="16" t="str">
        <f>VLOOKUP(Main_Presentation[[#This Row],[LC Number]],Main_Issuance[],17,0)</f>
        <v>Credit</v>
      </c>
      <c r="I792" s="16" t="str">
        <f>VLOOKUP(Main_Presentation[[#This Row],[LC Number]],Main_Issuance[],7,0)</f>
        <v>ELSEWEDY CABLES CO.LIMITED</v>
      </c>
      <c r="J792" s="16" t="str">
        <f>VLOOKUP(Main_Presentation[[#This Row],[LC Number]],Main_Issuance[],8,0)</f>
        <v>FIRST FIX</v>
      </c>
      <c r="K792" s="16" t="str">
        <f>VLOOKUP(Main_Presentation[[#This Row],[LC Number]],Main_Issuance[],9,0)</f>
        <v>RCRC</v>
      </c>
      <c r="L792" s="16">
        <f>VLOOKUP(Main_Presentation[[#This Row],[LC Number]],Main_Issuance[],10,0)</f>
        <v>1020106</v>
      </c>
      <c r="M792" s="16" t="str">
        <f>VLOOKUP(Main_Presentation[[#This Row],[LC Number]],Main_Issuance[],11,0)</f>
        <v>SAR</v>
      </c>
      <c r="N792" s="86">
        <f>VLOOKUP(Main_Presentation[[#This Row],[LC Number]],Main_Issuance[],12,0)</f>
        <v>2139000</v>
      </c>
      <c r="O792" s="16" t="s">
        <v>20</v>
      </c>
      <c r="P792" s="16" t="s">
        <v>857</v>
      </c>
      <c r="Q792" s="131">
        <v>1570596.4</v>
      </c>
      <c r="R792" s="18">
        <v>1</v>
      </c>
      <c r="S792" s="18">
        <f>Main_Presentation[[#This Row],[Invoice Amt (FCY)]]*Main_Presentation[[#This Row],[Rate]]</f>
        <v>1570596.4</v>
      </c>
      <c r="T792" s="15">
        <v>45853</v>
      </c>
      <c r="U792" s="26" t="str">
        <f>VLOOKUP(Main_Presentation[[#This Row],[LC Number]],Main_Issuance[],18,0)</f>
        <v>90 Days from Invoice Date</v>
      </c>
      <c r="V792" s="21" t="s">
        <v>613</v>
      </c>
      <c r="W792" s="22" t="s">
        <v>857</v>
      </c>
      <c r="X792" s="16"/>
      <c r="Y792" s="234" t="str">
        <f>TRIM(LEFT(Main_Presentation[[#This Row],[Payment Terms]],3))</f>
        <v>90</v>
      </c>
      <c r="Z792" s="16"/>
      <c r="AA792" s="316" cm="1">
        <f t="array" ref="AA792">Settlement(Main_Presentation[[#This Row],[Bank]],Main_Presentation[[#This Row],[ Invoice Amt (SAR)]],Main_Presentation[[#This Row],[Date Recd]],Main_Presentation[[#This Row],[Due Date]],Main_Presentation[[#This Row],[Days]])</f>
        <v>2602.4499999999998</v>
      </c>
      <c r="AB792" s="16"/>
    </row>
    <row r="793" spans="1:28" ht="15.75" hidden="1" x14ac:dyDescent="0.25">
      <c r="A793" s="20" t="s">
        <v>1189</v>
      </c>
      <c r="B793" s="15">
        <v>45805</v>
      </c>
      <c r="C793" s="26">
        <v>1</v>
      </c>
      <c r="D793" s="55" t="str">
        <f>VLOOKUP(Main_Presentation[[#This Row],[LC Number]],Main_Issuance[],3,0)</f>
        <v>Hassan Taleb</v>
      </c>
      <c r="E793" s="16" t="s">
        <v>858</v>
      </c>
      <c r="F793" s="16" t="str">
        <f>VLOOKUP(Main_Presentation[[#This Row],[LC Number]],Main_Issuance[],5,0)</f>
        <v>SAB</v>
      </c>
      <c r="G793" s="16" t="str">
        <f>VLOOKUP(Main_Presentation[[#This Row],[LC Number]],Main_Issuance[],6,0)</f>
        <v>MP1</v>
      </c>
      <c r="H793" s="16" t="str">
        <f>VLOOKUP(Main_Presentation[[#This Row],[LC Number]],Main_Issuance[],17,0)</f>
        <v>Credit</v>
      </c>
      <c r="I793" s="16" t="str">
        <f>VLOOKUP(Main_Presentation[[#This Row],[LC Number]],Main_Issuance[],7,0)</f>
        <v>Rawadf International Co.</v>
      </c>
      <c r="J793" s="16" t="str">
        <f>VLOOKUP(Main_Presentation[[#This Row],[LC Number]],Main_Issuance[],8,0)</f>
        <v>FIRST FIX</v>
      </c>
      <c r="K793" s="16" t="str">
        <f>VLOOKUP(Main_Presentation[[#This Row],[LC Number]],Main_Issuance[],9,0)</f>
        <v>MP1</v>
      </c>
      <c r="L793" s="16">
        <f>VLOOKUP(Main_Presentation[[#This Row],[LC Number]],Main_Issuance[],10,0)</f>
        <v>1020088</v>
      </c>
      <c r="M793" s="16" t="str">
        <f>VLOOKUP(Main_Presentation[[#This Row],[LC Number]],Main_Issuance[],11,0)</f>
        <v>SAR</v>
      </c>
      <c r="N793" s="86">
        <f>VLOOKUP(Main_Presentation[[#This Row],[LC Number]],Main_Issuance[],12,0)</f>
        <v>1000000</v>
      </c>
      <c r="O793" s="16" t="s">
        <v>20</v>
      </c>
      <c r="P793" s="16" t="s">
        <v>857</v>
      </c>
      <c r="Q793" s="131">
        <v>543801.07999999996</v>
      </c>
      <c r="R793" s="18">
        <v>1</v>
      </c>
      <c r="S793" s="18">
        <f>Main_Presentation[[#This Row],[Invoice Amt (FCY)]]*Main_Presentation[[#This Row],[Rate]]</f>
        <v>543801.07999999996</v>
      </c>
      <c r="T793" s="15">
        <v>45823</v>
      </c>
      <c r="U793" s="26" t="str">
        <f>VLOOKUP(Main_Presentation[[#This Row],[LC Number]],Main_Issuance[],18,0)</f>
        <v>60 Days from Invoice Date</v>
      </c>
      <c r="V793" s="21" t="s">
        <v>710</v>
      </c>
      <c r="W793" s="22" t="s">
        <v>857</v>
      </c>
      <c r="X793" s="16"/>
      <c r="Y793" s="234" t="str">
        <f>TRIM(LEFT(Main_Presentation[[#This Row],[Payment Terms]],3))</f>
        <v>60</v>
      </c>
      <c r="Z793" s="16"/>
      <c r="AA793" s="316" cm="1">
        <f t="array" ref="AA793">Settlement(Main_Presentation[[#This Row],[Bank]],Main_Presentation[[#This Row],[ Invoice Amt (SAR)]],Main_Presentation[[#This Row],[Date Recd]],Main_Presentation[[#This Row],[Due Date]],Main_Presentation[[#This Row],[Days]])</f>
        <v>2344.85</v>
      </c>
      <c r="AB793" s="16"/>
    </row>
    <row r="794" spans="1:28" ht="15.75" hidden="1" x14ac:dyDescent="0.25">
      <c r="A794" s="129" t="s">
        <v>721</v>
      </c>
      <c r="B794" s="15">
        <v>45806</v>
      </c>
      <c r="C794" s="26">
        <v>1</v>
      </c>
      <c r="D794" s="55" t="str">
        <f>VLOOKUP(Main_Presentation[[#This Row],[LC Number]],Main_Issuance[],3,0)</f>
        <v>Hassan Taleb</v>
      </c>
      <c r="E794" s="16" t="s">
        <v>856</v>
      </c>
      <c r="F794" s="16" t="str">
        <f>VLOOKUP(Main_Presentation[[#This Row],[LC Number]],Main_Issuance[],5,0)</f>
        <v>Jazira</v>
      </c>
      <c r="G794" s="16" t="str">
        <f>VLOOKUP(Main_Presentation[[#This Row],[LC Number]],Main_Issuance[],6,0)</f>
        <v>RCRC</v>
      </c>
      <c r="H794" s="16" t="str">
        <f>VLOOKUP(Main_Presentation[[#This Row],[LC Number]],Main_Issuance[],17,0)</f>
        <v>Credit</v>
      </c>
      <c r="I794" s="16" t="str">
        <f>VLOOKUP(Main_Presentation[[#This Row],[LC Number]],Main_Issuance[],7,0)</f>
        <v>ALFANAR ELECTRICAL SYSTEMS</v>
      </c>
      <c r="J794" s="16" t="str">
        <f>VLOOKUP(Main_Presentation[[#This Row],[LC Number]],Main_Issuance[],8,0)</f>
        <v>FIRST FIX</v>
      </c>
      <c r="K794" s="16" t="str">
        <f>VLOOKUP(Main_Presentation[[#This Row],[LC Number]],Main_Issuance[],9,0)</f>
        <v>RCRC</v>
      </c>
      <c r="L794" s="16">
        <f>VLOOKUP(Main_Presentation[[#This Row],[LC Number]],Main_Issuance[],10,0)</f>
        <v>1020106</v>
      </c>
      <c r="M794" s="16" t="str">
        <f>VLOOKUP(Main_Presentation[[#This Row],[LC Number]],Main_Issuance[],11,0)</f>
        <v>SAR</v>
      </c>
      <c r="N794" s="86">
        <f>VLOOKUP(Main_Presentation[[#This Row],[LC Number]],Main_Issuance[],12,0)</f>
        <v>2827275</v>
      </c>
      <c r="O794" s="16" t="s">
        <v>20</v>
      </c>
      <c r="P794" s="16" t="s">
        <v>857</v>
      </c>
      <c r="Q794" s="131">
        <v>578105</v>
      </c>
      <c r="R794" s="18">
        <v>1</v>
      </c>
      <c r="S794" s="18">
        <f>Main_Presentation[[#This Row],[Invoice Amt (FCY)]]*Main_Presentation[[#This Row],[Rate]]</f>
        <v>578105</v>
      </c>
      <c r="T794" s="15">
        <v>45866</v>
      </c>
      <c r="U794" s="26" t="str">
        <f>VLOOKUP(Main_Presentation[[#This Row],[LC Number]],Main_Issuance[],18,0)</f>
        <v>90 Days from Invoice Date</v>
      </c>
      <c r="V794" s="21" t="s">
        <v>613</v>
      </c>
      <c r="W794" s="22" t="s">
        <v>857</v>
      </c>
      <c r="X794" s="16"/>
      <c r="Y794" s="234" t="str">
        <f>TRIM(LEFT(Main_Presentation[[#This Row],[Payment Terms]],3))</f>
        <v>90</v>
      </c>
      <c r="Z794" s="16"/>
      <c r="AA794" s="316" cm="1">
        <f t="array" ref="AA794">Settlement(Main_Presentation[[#This Row],[Bank]],Main_Presentation[[#This Row],[ Invoice Amt (SAR)]],Main_Presentation[[#This Row],[Date Recd]],Main_Presentation[[#This Row],[Due Date]],Main_Presentation[[#This Row],[Days]])</f>
        <v>1176.45</v>
      </c>
      <c r="AB794" s="16"/>
    </row>
    <row r="795" spans="1:28" ht="15.75" hidden="1" x14ac:dyDescent="0.25">
      <c r="A795" s="20" t="s">
        <v>751</v>
      </c>
      <c r="B795" s="15">
        <v>45802</v>
      </c>
      <c r="C795" s="26">
        <v>1</v>
      </c>
      <c r="D795" s="55" t="str">
        <f>VLOOKUP(Main_Presentation[[#This Row],[LC Number]],Main_Issuance[],3,0)</f>
        <v>Rabih Makhoul</v>
      </c>
      <c r="E795" s="16" t="s">
        <v>856</v>
      </c>
      <c r="F795" s="16" t="str">
        <f>VLOOKUP(Main_Presentation[[#This Row],[LC Number]],Main_Issuance[],5,0)</f>
        <v>Alinma</v>
      </c>
      <c r="G795" s="16" t="str">
        <f>VLOOKUP(Main_Presentation[[#This Row],[LC Number]],Main_Issuance[],6,0)</f>
        <v>KSP</v>
      </c>
      <c r="H795" s="16" t="str">
        <f>VLOOKUP(Main_Presentation[[#This Row],[LC Number]],Main_Issuance[],17,0)</f>
        <v>Credit</v>
      </c>
      <c r="I795" s="16" t="str">
        <f>VLOOKUP(Main_Presentation[[#This Row],[LC Number]],Main_Issuance[],7,0)</f>
        <v>ELECTRIC HOUSE TRADING COMPANY L.L.C.</v>
      </c>
      <c r="J795" s="16" t="str">
        <f>VLOOKUP(Main_Presentation[[#This Row],[LC Number]],Main_Issuance[],8,0)</f>
        <v>FIRST FIX</v>
      </c>
      <c r="K795" s="16" t="str">
        <f>VLOOKUP(Main_Presentation[[#This Row],[LC Number]],Main_Issuance[],9,0)</f>
        <v>JCD SPMI</v>
      </c>
      <c r="L795" s="16">
        <f>VLOOKUP(Main_Presentation[[#This Row],[LC Number]],Main_Issuance[],10,0)</f>
        <v>1020100</v>
      </c>
      <c r="M795" s="16" t="str">
        <f>VLOOKUP(Main_Presentation[[#This Row],[LC Number]],Main_Issuance[],11,0)</f>
        <v>SAR</v>
      </c>
      <c r="N795" s="86">
        <f>VLOOKUP(Main_Presentation[[#This Row],[LC Number]],Main_Issuance[],12,0)</f>
        <v>1250000</v>
      </c>
      <c r="O795" s="16" t="s">
        <v>20</v>
      </c>
      <c r="P795" s="16" t="s">
        <v>857</v>
      </c>
      <c r="Q795" s="18">
        <v>1250000</v>
      </c>
      <c r="R795" s="18">
        <v>1</v>
      </c>
      <c r="S795" s="18">
        <f>Main_Presentation[[#This Row],[Invoice Amt (FCY)]]*Main_Presentation[[#This Row],[Rate]]</f>
        <v>1250000</v>
      </c>
      <c r="T795" s="15">
        <v>45882</v>
      </c>
      <c r="U795" s="26" t="str">
        <f>VLOOKUP(Main_Presentation[[#This Row],[LC Number]],Main_Issuance[],18,0)</f>
        <v>90 Days from Invoice Date</v>
      </c>
      <c r="V795" s="21" t="s">
        <v>304</v>
      </c>
      <c r="W795" s="22" t="s">
        <v>378</v>
      </c>
      <c r="X795" s="16"/>
      <c r="Y795" s="234" t="str">
        <f>TRIM(LEFT(Main_Presentation[[#This Row],[Payment Terms]],3))</f>
        <v>90</v>
      </c>
      <c r="Z795" s="16"/>
      <c r="AA795" s="316" cm="1">
        <f t="array" ref="AA795">Settlement(Main_Presentation[[#This Row],[Bank]],Main_Presentation[[#This Row],[ Invoice Amt (SAR)]],Main_Presentation[[#This Row],[Date Recd]],Main_Presentation[[#This Row],[Due Date]],Main_Presentation[[#This Row],[Days]])</f>
        <v>1796.3</v>
      </c>
      <c r="AB795" s="16"/>
    </row>
    <row r="796" spans="1:28" ht="15.75" hidden="1" x14ac:dyDescent="0.25">
      <c r="A796" s="20" t="s">
        <v>682</v>
      </c>
      <c r="B796" s="15">
        <v>45799</v>
      </c>
      <c r="C796" s="26">
        <v>1</v>
      </c>
      <c r="D796" s="55" t="str">
        <f>VLOOKUP(Main_Presentation[[#This Row],[LC Number]],Main_Issuance[],3,0)</f>
        <v>Rabih Makhoul</v>
      </c>
      <c r="E796" s="16" t="s">
        <v>858</v>
      </c>
      <c r="F796" s="16" t="str">
        <f>VLOOKUP(Main_Presentation[[#This Row],[LC Number]],Main_Issuance[],5,0)</f>
        <v>SNB</v>
      </c>
      <c r="G796" s="16" t="str">
        <f>VLOOKUP(Main_Presentation[[#This Row],[LC Number]],Main_Issuance[],6,0)</f>
        <v>Opera House</v>
      </c>
      <c r="H796" s="16" t="str">
        <f>VLOOKUP(Main_Presentation[[#This Row],[LC Number]],Main_Issuance[],17,0)</f>
        <v>Credit</v>
      </c>
      <c r="I796" s="16" t="str">
        <f>VLOOKUP(Main_Presentation[[#This Row],[LC Number]],Main_Issuance[],7,0)</f>
        <v>Branch of National Fire Fighting (NAFFCO)</v>
      </c>
      <c r="J796" s="16" t="str">
        <f>VLOOKUP(Main_Presentation[[#This Row],[LC Number]],Main_Issuance[],8,0)</f>
        <v>FIRST FIX</v>
      </c>
      <c r="K796" s="16" t="str">
        <f>VLOOKUP(Main_Presentation[[#This Row],[LC Number]],Main_Issuance[],9,0)</f>
        <v>JCD SPMI</v>
      </c>
      <c r="L796" s="16">
        <f>VLOOKUP(Main_Presentation[[#This Row],[LC Number]],Main_Issuance[],10,0)</f>
        <v>1020100</v>
      </c>
      <c r="M796" s="16" t="str">
        <f>VLOOKUP(Main_Presentation[[#This Row],[LC Number]],Main_Issuance[],11,0)</f>
        <v>SAR</v>
      </c>
      <c r="N796" s="86">
        <f>VLOOKUP(Main_Presentation[[#This Row],[LC Number]],Main_Issuance[],12,0)</f>
        <v>800000</v>
      </c>
      <c r="O796" s="16" t="s">
        <v>20</v>
      </c>
      <c r="P796" s="16" t="s">
        <v>378</v>
      </c>
      <c r="Q796" s="18">
        <v>800000</v>
      </c>
      <c r="R796" s="18">
        <v>1</v>
      </c>
      <c r="S796" s="18">
        <f>Main_Presentation[[#This Row],[Invoice Amt (FCY)]]*Main_Presentation[[#This Row],[Rate]]</f>
        <v>800000</v>
      </c>
      <c r="T796" s="15">
        <v>45841</v>
      </c>
      <c r="U796" s="26" t="str">
        <f>VLOOKUP(Main_Presentation[[#This Row],[LC Number]],Main_Issuance[],18,0)</f>
        <v>90 Days from Invoice Date</v>
      </c>
      <c r="V796" s="21" t="s">
        <v>407</v>
      </c>
      <c r="W796" s="22" t="s">
        <v>857</v>
      </c>
      <c r="X796" s="16"/>
      <c r="Y796" s="234" t="str">
        <f>TRIM(LEFT(Main_Presentation[[#This Row],[Payment Terms]],3))</f>
        <v>90</v>
      </c>
      <c r="Z796" s="16"/>
      <c r="AA796" s="316" cm="1">
        <f t="array" ref="AA796">Settlement(Main_Presentation[[#This Row],[Bank]],Main_Presentation[[#This Row],[ Invoice Amt (SAR)]],Main_Presentation[[#This Row],[Date Recd]],Main_Presentation[[#This Row],[Due Date]],Main_Presentation[[#This Row],[Days]])</f>
        <v>1957.3</v>
      </c>
      <c r="AB796" s="16"/>
    </row>
    <row r="797" spans="1:28" ht="15.75" hidden="1" x14ac:dyDescent="0.25">
      <c r="A797" s="20" t="s">
        <v>794</v>
      </c>
      <c r="B797" s="15">
        <v>45805</v>
      </c>
      <c r="C797" s="26">
        <v>4</v>
      </c>
      <c r="D797" s="55" t="str">
        <f>VLOOKUP(Main_Presentation[[#This Row],[LC Number]],Main_Issuance[],3,0)</f>
        <v>Hassan Taleb</v>
      </c>
      <c r="E797" s="16" t="s">
        <v>856</v>
      </c>
      <c r="F797" s="16" t="str">
        <f>VLOOKUP(Main_Presentation[[#This Row],[LC Number]],Main_Issuance[],5,0)</f>
        <v>Alinma</v>
      </c>
      <c r="G797" s="16" t="str">
        <f>VLOOKUP(Main_Presentation[[#This Row],[LC Number]],Main_Issuance[],6,0)</f>
        <v>KSP</v>
      </c>
      <c r="H797" s="16" t="str">
        <f>VLOOKUP(Main_Presentation[[#This Row],[LC Number]],Main_Issuance[],17,0)</f>
        <v>Credit</v>
      </c>
      <c r="I797" s="16" t="str">
        <f>VLOOKUP(Main_Presentation[[#This Row],[LC Number]],Main_Issuance[],7,0)</f>
        <v>Al Fanar Electrical Systems</v>
      </c>
      <c r="J797" s="16" t="str">
        <f>VLOOKUP(Main_Presentation[[#This Row],[LC Number]],Main_Issuance[],8,0)</f>
        <v>FIRST FIX</v>
      </c>
      <c r="K797" s="16" t="str">
        <f>VLOOKUP(Main_Presentation[[#This Row],[LC Number]],Main_Issuance[],9,0)</f>
        <v>KSP</v>
      </c>
      <c r="L797" s="16">
        <f>VLOOKUP(Main_Presentation[[#This Row],[LC Number]],Main_Issuance[],10,0)</f>
        <v>1020055</v>
      </c>
      <c r="M797" s="16" t="str">
        <f>VLOOKUP(Main_Presentation[[#This Row],[LC Number]],Main_Issuance[],11,0)</f>
        <v>SAR</v>
      </c>
      <c r="N797" s="86">
        <f>VLOOKUP(Main_Presentation[[#This Row],[LC Number]],Main_Issuance[],12,0)</f>
        <v>2626749.98</v>
      </c>
      <c r="O797" s="16" t="s">
        <v>20</v>
      </c>
      <c r="P797" s="16" t="s">
        <v>857</v>
      </c>
      <c r="Q797" s="18">
        <v>650000</v>
      </c>
      <c r="R797" s="18">
        <v>1</v>
      </c>
      <c r="S797" s="18">
        <f>Main_Presentation[[#This Row],[Invoice Amt (FCY)]]*Main_Presentation[[#This Row],[Rate]]</f>
        <v>650000</v>
      </c>
      <c r="T797" s="15">
        <v>45882</v>
      </c>
      <c r="U797" s="26" t="str">
        <f>VLOOKUP(Main_Presentation[[#This Row],[LC Number]],Main_Issuance[],18,0)</f>
        <v>90 Days from Invoice Date</v>
      </c>
      <c r="V797" s="21" t="s">
        <v>22</v>
      </c>
      <c r="W797" s="22" t="s">
        <v>857</v>
      </c>
      <c r="X797" s="16"/>
      <c r="Y797" s="234" t="str">
        <f>TRIM(LEFT(Main_Presentation[[#This Row],[Payment Terms]],3))</f>
        <v>90</v>
      </c>
      <c r="Z797" s="16"/>
      <c r="AA797" s="316" cm="1">
        <f t="array" ref="AA797">Settlement(Main_Presentation[[#This Row],[Bank]],Main_Presentation[[#This Row],[ Invoice Amt (SAR)]],Main_Presentation[[#This Row],[Date Recd]],Main_Presentation[[#This Row],[Due Date]],Main_Presentation[[#This Row],[Days]])</f>
        <v>1437.5</v>
      </c>
      <c r="AB797" s="16"/>
    </row>
    <row r="798" spans="1:28" ht="15.75" hidden="1" x14ac:dyDescent="0.25">
      <c r="A798" s="20" t="s">
        <v>794</v>
      </c>
      <c r="B798" s="15">
        <v>45805</v>
      </c>
      <c r="C798" s="26">
        <v>3</v>
      </c>
      <c r="D798" s="55" t="str">
        <f>VLOOKUP(Main_Presentation[[#This Row],[LC Number]],Main_Issuance[],3,0)</f>
        <v>Hassan Taleb</v>
      </c>
      <c r="E798" s="16" t="s">
        <v>856</v>
      </c>
      <c r="F798" s="16" t="str">
        <f>VLOOKUP(Main_Presentation[[#This Row],[LC Number]],Main_Issuance[],5,0)</f>
        <v>Alinma</v>
      </c>
      <c r="G798" s="16" t="str">
        <f>VLOOKUP(Main_Presentation[[#This Row],[LC Number]],Main_Issuance[],6,0)</f>
        <v>KSP</v>
      </c>
      <c r="H798" s="16" t="str">
        <f>VLOOKUP(Main_Presentation[[#This Row],[LC Number]],Main_Issuance[],17,0)</f>
        <v>Credit</v>
      </c>
      <c r="I798" s="16" t="str">
        <f>VLOOKUP(Main_Presentation[[#This Row],[LC Number]],Main_Issuance[],7,0)</f>
        <v>Al Fanar Electrical Systems</v>
      </c>
      <c r="J798" s="16" t="str">
        <f>VLOOKUP(Main_Presentation[[#This Row],[LC Number]],Main_Issuance[],8,0)</f>
        <v>FIRST FIX</v>
      </c>
      <c r="K798" s="16" t="str">
        <f>VLOOKUP(Main_Presentation[[#This Row],[LC Number]],Main_Issuance[],9,0)</f>
        <v>KSP</v>
      </c>
      <c r="L798" s="16">
        <f>VLOOKUP(Main_Presentation[[#This Row],[LC Number]],Main_Issuance[],10,0)</f>
        <v>1020055</v>
      </c>
      <c r="M798" s="16" t="str">
        <f>VLOOKUP(Main_Presentation[[#This Row],[LC Number]],Main_Issuance[],11,0)</f>
        <v>SAR</v>
      </c>
      <c r="N798" s="86">
        <f>VLOOKUP(Main_Presentation[[#This Row],[LC Number]],Main_Issuance[],12,0)</f>
        <v>2626749.98</v>
      </c>
      <c r="O798" s="16" t="s">
        <v>20</v>
      </c>
      <c r="P798" s="16" t="s">
        <v>857</v>
      </c>
      <c r="Q798" s="18">
        <v>500000</v>
      </c>
      <c r="R798" s="18">
        <v>1</v>
      </c>
      <c r="S798" s="18">
        <f>Main_Presentation[[#This Row],[Invoice Amt (FCY)]]*Main_Presentation[[#This Row],[Rate]]</f>
        <v>500000</v>
      </c>
      <c r="T798" s="15">
        <v>45887</v>
      </c>
      <c r="U798" s="26" t="str">
        <f>VLOOKUP(Main_Presentation[[#This Row],[LC Number]],Main_Issuance[],18,0)</f>
        <v>90 Days from Invoice Date</v>
      </c>
      <c r="V798" s="21" t="s">
        <v>1772</v>
      </c>
      <c r="W798" s="22" t="s">
        <v>857</v>
      </c>
      <c r="X798" s="16"/>
      <c r="Y798" s="234" t="str">
        <f>TRIM(LEFT(Main_Presentation[[#This Row],[Payment Terms]],3))</f>
        <v>90</v>
      </c>
      <c r="Z798" s="16"/>
      <c r="AA798" s="316" cm="1">
        <f t="array" ref="AA798">Settlement(Main_Presentation[[#This Row],[Bank]],Main_Presentation[[#This Row],[ Invoice Amt (SAR)]],Main_Presentation[[#This Row],[Date Recd]],Main_Presentation[[#This Row],[Due Date]],Main_Presentation[[#This Row],[Days]])</f>
        <v>1437.5</v>
      </c>
      <c r="AB798" s="16"/>
    </row>
    <row r="799" spans="1:28" ht="15.75" hidden="1" x14ac:dyDescent="0.25">
      <c r="A799" s="20" t="s">
        <v>460</v>
      </c>
      <c r="B799" s="15">
        <v>45803</v>
      </c>
      <c r="C799" s="26">
        <v>2</v>
      </c>
      <c r="D799" s="55" t="str">
        <f>VLOOKUP(Main_Presentation[[#This Row],[LC Number]],Main_Issuance[],3,0)</f>
        <v>Hassan Taleb</v>
      </c>
      <c r="E799" s="16" t="s">
        <v>856</v>
      </c>
      <c r="F799" s="16" t="str">
        <f>VLOOKUP(Main_Presentation[[#This Row],[LC Number]],Main_Issuance[],5,0)</f>
        <v>BAB</v>
      </c>
      <c r="G799" s="16" t="str">
        <f>VLOOKUP(Main_Presentation[[#This Row],[LC Number]],Main_Issuance[],6,0)</f>
        <v>Multipurpose</v>
      </c>
      <c r="H799" s="16" t="str">
        <f>VLOOKUP(Main_Presentation[[#This Row],[LC Number]],Main_Issuance[],17,0)</f>
        <v>Credit</v>
      </c>
      <c r="I799" s="16" t="str">
        <f>VLOOKUP(Main_Presentation[[#This Row],[LC Number]],Main_Issuance[],7,0)</f>
        <v>Depa Saudi Arabia for Contracting and Interior Decorating Co. Ltd.</v>
      </c>
      <c r="J799" s="16" t="str">
        <f>VLOOKUP(Main_Presentation[[#This Row],[LC Number]],Main_Issuance[],8,0)</f>
        <v>MBL</v>
      </c>
      <c r="K799" s="16" t="str">
        <f>VLOOKUP(Main_Presentation[[#This Row],[LC Number]],Main_Issuance[],9,0)</f>
        <v>KSP</v>
      </c>
      <c r="L799" s="16">
        <f>VLOOKUP(Main_Presentation[[#This Row],[LC Number]],Main_Issuance[],10,0)</f>
        <v>1020055</v>
      </c>
      <c r="M799" s="16" t="str">
        <f>VLOOKUP(Main_Presentation[[#This Row],[LC Number]],Main_Issuance[],11,0)</f>
        <v>SAR</v>
      </c>
      <c r="N799" s="86">
        <f>VLOOKUP(Main_Presentation[[#This Row],[LC Number]],Main_Issuance[],12,0)</f>
        <v>18000000</v>
      </c>
      <c r="O799" s="16" t="s">
        <v>20</v>
      </c>
      <c r="P799" s="16" t="s">
        <v>857</v>
      </c>
      <c r="Q799" s="18">
        <v>5550546.6100000003</v>
      </c>
      <c r="R799" s="18">
        <v>1</v>
      </c>
      <c r="S799" s="18">
        <f>Main_Presentation[[#This Row],[Invoice Amt (FCY)]]*Main_Presentation[[#This Row],[Rate]]</f>
        <v>5550546.6100000003</v>
      </c>
      <c r="T799" s="15">
        <v>45806</v>
      </c>
      <c r="U799" s="26" t="str">
        <f>VLOOKUP(Main_Presentation[[#This Row],[LC Number]],Main_Issuance[],18,0)</f>
        <v>30 Days from Invoice Date</v>
      </c>
      <c r="V799" s="21" t="s">
        <v>304</v>
      </c>
      <c r="W799" s="22" t="s">
        <v>378</v>
      </c>
      <c r="X799" s="16"/>
      <c r="Y799" s="234" t="str">
        <f>TRIM(LEFT(Main_Presentation[[#This Row],[Payment Terms]],3))</f>
        <v>30</v>
      </c>
      <c r="Z799" s="16"/>
      <c r="AA799" s="316" cm="1">
        <f t="array" ref="AA799">Settlement(Main_Presentation[[#This Row],[Bank]],Main_Presentation[[#This Row],[ Invoice Amt (SAR)]],Main_Presentation[[#This Row],[Date Recd]],Main_Presentation[[#This Row],[Due Date]],Main_Presentation[[#This Row],[Days]])</f>
        <v>0</v>
      </c>
      <c r="AB799" s="16"/>
    </row>
    <row r="800" spans="1:28" ht="15.75" hidden="1" x14ac:dyDescent="0.25">
      <c r="A800" s="20" t="s">
        <v>672</v>
      </c>
      <c r="B800" s="15">
        <v>45796</v>
      </c>
      <c r="C800" s="26">
        <v>19</v>
      </c>
      <c r="D800" s="55" t="str">
        <f>VLOOKUP(Main_Presentation[[#This Row],[LC Number]],Main_Issuance[],3,0)</f>
        <v>Tareeq Telmasani</v>
      </c>
      <c r="E800" s="16" t="s">
        <v>856</v>
      </c>
      <c r="F800" s="16" t="str">
        <f>VLOOKUP(Main_Presentation[[#This Row],[LC Number]],Main_Issuance[],5,0)</f>
        <v>SAB</v>
      </c>
      <c r="G800" s="16" t="str">
        <f>VLOOKUP(Main_Presentation[[#This Row],[LC Number]],Main_Issuance[],6,0)</f>
        <v>CEER</v>
      </c>
      <c r="H800" s="16" t="str">
        <f>VLOOKUP(Main_Presentation[[#This Row],[LC Number]],Main_Issuance[],17,0)</f>
        <v>Credit</v>
      </c>
      <c r="I800" s="16" t="str">
        <f>VLOOKUP(Main_Presentation[[#This Row],[LC Number]],Main_Issuance[],7,0)</f>
        <v>Roof Metal Ind LLC</v>
      </c>
      <c r="J800" s="16" t="str">
        <f>VLOOKUP(Main_Presentation[[#This Row],[LC Number]],Main_Issuance[],8,0)</f>
        <v>MBL</v>
      </c>
      <c r="K800" s="16" t="str">
        <f>VLOOKUP(Main_Presentation[[#This Row],[LC Number]],Main_Issuance[],9,0)</f>
        <v>CEER</v>
      </c>
      <c r="L800" s="16">
        <f>VLOOKUP(Main_Presentation[[#This Row],[LC Number]],Main_Issuance[],10,0)</f>
        <v>1020091</v>
      </c>
      <c r="M800" s="16" t="str">
        <f>VLOOKUP(Main_Presentation[[#This Row],[LC Number]],Main_Issuance[],11,0)</f>
        <v>AED</v>
      </c>
      <c r="N800" s="86">
        <f>VLOOKUP(Main_Presentation[[#This Row],[LC Number]],Main_Issuance[],12,0)</f>
        <v>12740122</v>
      </c>
      <c r="O800" s="16" t="s">
        <v>20</v>
      </c>
      <c r="P800" s="16" t="s">
        <v>857</v>
      </c>
      <c r="Q800" s="18">
        <v>472428.57</v>
      </c>
      <c r="R800" s="18">
        <v>1.0261</v>
      </c>
      <c r="S800" s="18">
        <f>Main_Presentation[[#This Row],[Invoice Amt (FCY)]]*Main_Presentation[[#This Row],[Rate]]</f>
        <v>484758.95567699999</v>
      </c>
      <c r="T800" s="15">
        <v>45797</v>
      </c>
      <c r="U800" s="26" t="str">
        <f>VLOOKUP(Main_Presentation[[#This Row],[LC Number]],Main_Issuance[],18,0)</f>
        <v>Sight</v>
      </c>
      <c r="V800" s="21" t="s">
        <v>367</v>
      </c>
      <c r="W800" s="22" t="s">
        <v>857</v>
      </c>
      <c r="X800" s="16"/>
      <c r="Y800" s="234" t="str">
        <f>TRIM(LEFT(Main_Presentation[[#This Row],[Payment Terms]],3))</f>
        <v>Sig</v>
      </c>
      <c r="Z800" s="16"/>
      <c r="AA800" s="316" t="e" cm="1">
        <f t="array" ref="AA800">Settlement(Main_Presentation[[#This Row],[Bank]],Main_Presentation[[#This Row],[ Invoice Amt (SAR)]],Main_Presentation[[#This Row],[Date Recd]],Main_Presentation[[#This Row],[Due Date]],Main_Presentation[[#This Row],[Days]])</f>
        <v>#VALUE!</v>
      </c>
      <c r="AB800" s="16"/>
    </row>
    <row r="801" spans="1:28" ht="15.75" hidden="1" x14ac:dyDescent="0.25">
      <c r="A801" s="20" t="s">
        <v>672</v>
      </c>
      <c r="B801" s="15">
        <v>45796</v>
      </c>
      <c r="C801" s="26">
        <v>20</v>
      </c>
      <c r="D801" s="55" t="str">
        <f>VLOOKUP(Main_Presentation[[#This Row],[LC Number]],Main_Issuance[],3,0)</f>
        <v>Tareeq Telmasani</v>
      </c>
      <c r="E801" s="16" t="s">
        <v>856</v>
      </c>
      <c r="F801" s="16" t="str">
        <f>VLOOKUP(Main_Presentation[[#This Row],[LC Number]],Main_Issuance[],5,0)</f>
        <v>SAB</v>
      </c>
      <c r="G801" s="16" t="str">
        <f>VLOOKUP(Main_Presentation[[#This Row],[LC Number]],Main_Issuance[],6,0)</f>
        <v>CEER</v>
      </c>
      <c r="H801" s="16" t="str">
        <f>VLOOKUP(Main_Presentation[[#This Row],[LC Number]],Main_Issuance[],17,0)</f>
        <v>Credit</v>
      </c>
      <c r="I801" s="16" t="str">
        <f>VLOOKUP(Main_Presentation[[#This Row],[LC Number]],Main_Issuance[],7,0)</f>
        <v>Roof Metal Ind LLC</v>
      </c>
      <c r="J801" s="16" t="str">
        <f>VLOOKUP(Main_Presentation[[#This Row],[LC Number]],Main_Issuance[],8,0)</f>
        <v>MBL</v>
      </c>
      <c r="K801" s="16" t="str">
        <f>VLOOKUP(Main_Presentation[[#This Row],[LC Number]],Main_Issuance[],9,0)</f>
        <v>CEER</v>
      </c>
      <c r="L801" s="16">
        <f>VLOOKUP(Main_Presentation[[#This Row],[LC Number]],Main_Issuance[],10,0)</f>
        <v>1020091</v>
      </c>
      <c r="M801" s="16" t="str">
        <f>VLOOKUP(Main_Presentation[[#This Row],[LC Number]],Main_Issuance[],11,0)</f>
        <v>AED</v>
      </c>
      <c r="N801" s="86">
        <f>VLOOKUP(Main_Presentation[[#This Row],[LC Number]],Main_Issuance[],12,0)</f>
        <v>12740122</v>
      </c>
      <c r="O801" s="16" t="s">
        <v>20</v>
      </c>
      <c r="P801" s="16" t="s">
        <v>857</v>
      </c>
      <c r="Q801" s="18">
        <v>475804.57</v>
      </c>
      <c r="R801" s="18">
        <v>1.0261</v>
      </c>
      <c r="S801" s="18">
        <f>Main_Presentation[[#This Row],[Invoice Amt (FCY)]]*Main_Presentation[[#This Row],[Rate]]</f>
        <v>488223.06927700003</v>
      </c>
      <c r="T801" s="15">
        <v>45797</v>
      </c>
      <c r="U801" s="26" t="str">
        <f>VLOOKUP(Main_Presentation[[#This Row],[LC Number]],Main_Issuance[],18,0)</f>
        <v>Sight</v>
      </c>
      <c r="V801" s="21" t="s">
        <v>367</v>
      </c>
      <c r="W801" s="22" t="s">
        <v>857</v>
      </c>
      <c r="X801" s="16"/>
      <c r="Y801" s="234" t="str">
        <f>TRIM(LEFT(Main_Presentation[[#This Row],[Payment Terms]],3))</f>
        <v>Sig</v>
      </c>
      <c r="Z801" s="16"/>
      <c r="AA801" s="316" t="e" cm="1">
        <f t="array" ref="AA801">Settlement(Main_Presentation[[#This Row],[Bank]],Main_Presentation[[#This Row],[ Invoice Amt (SAR)]],Main_Presentation[[#This Row],[Date Recd]],Main_Presentation[[#This Row],[Due Date]],Main_Presentation[[#This Row],[Days]])</f>
        <v>#VALUE!</v>
      </c>
      <c r="AB801" s="16"/>
    </row>
    <row r="802" spans="1:28" ht="15.75" hidden="1" x14ac:dyDescent="0.25">
      <c r="A802" s="20" t="s">
        <v>672</v>
      </c>
      <c r="B802" s="15">
        <v>45796</v>
      </c>
      <c r="C802" s="26">
        <v>21</v>
      </c>
      <c r="D802" s="55" t="str">
        <f>VLOOKUP(Main_Presentation[[#This Row],[LC Number]],Main_Issuance[],3,0)</f>
        <v>Tareeq Telmasani</v>
      </c>
      <c r="E802" s="16" t="s">
        <v>856</v>
      </c>
      <c r="F802" s="16" t="str">
        <f>VLOOKUP(Main_Presentation[[#This Row],[LC Number]],Main_Issuance[],5,0)</f>
        <v>SAB</v>
      </c>
      <c r="G802" s="16" t="str">
        <f>VLOOKUP(Main_Presentation[[#This Row],[LC Number]],Main_Issuance[],6,0)</f>
        <v>CEER</v>
      </c>
      <c r="H802" s="16" t="str">
        <f>VLOOKUP(Main_Presentation[[#This Row],[LC Number]],Main_Issuance[],17,0)</f>
        <v>Credit</v>
      </c>
      <c r="I802" s="16" t="str">
        <f>VLOOKUP(Main_Presentation[[#This Row],[LC Number]],Main_Issuance[],7,0)</f>
        <v>Roof Metal Ind LLC</v>
      </c>
      <c r="J802" s="16" t="str">
        <f>VLOOKUP(Main_Presentation[[#This Row],[LC Number]],Main_Issuance[],8,0)</f>
        <v>MBL</v>
      </c>
      <c r="K802" s="16" t="str">
        <f>VLOOKUP(Main_Presentation[[#This Row],[LC Number]],Main_Issuance[],9,0)</f>
        <v>CEER</v>
      </c>
      <c r="L802" s="16">
        <f>VLOOKUP(Main_Presentation[[#This Row],[LC Number]],Main_Issuance[],10,0)</f>
        <v>1020091</v>
      </c>
      <c r="M802" s="16" t="str">
        <f>VLOOKUP(Main_Presentation[[#This Row],[LC Number]],Main_Issuance[],11,0)</f>
        <v>AED</v>
      </c>
      <c r="N802" s="86">
        <f>VLOOKUP(Main_Presentation[[#This Row],[LC Number]],Main_Issuance[],12,0)</f>
        <v>12740122</v>
      </c>
      <c r="O802" s="16" t="s">
        <v>20</v>
      </c>
      <c r="P802" s="16" t="s">
        <v>857</v>
      </c>
      <c r="Q802" s="18">
        <v>489128.4</v>
      </c>
      <c r="R802" s="18">
        <v>1.0261</v>
      </c>
      <c r="S802" s="18">
        <f>Main_Presentation[[#This Row],[Invoice Amt (FCY)]]*Main_Presentation[[#This Row],[Rate]]</f>
        <v>501894.65124000004</v>
      </c>
      <c r="T802" s="15">
        <v>45797</v>
      </c>
      <c r="U802" s="26" t="str">
        <f>VLOOKUP(Main_Presentation[[#This Row],[LC Number]],Main_Issuance[],18,0)</f>
        <v>Sight</v>
      </c>
      <c r="V802" s="21" t="s">
        <v>367</v>
      </c>
      <c r="W802" s="22" t="s">
        <v>857</v>
      </c>
      <c r="X802" s="16"/>
      <c r="Y802" s="234" t="str">
        <f>TRIM(LEFT(Main_Presentation[[#This Row],[Payment Terms]],3))</f>
        <v>Sig</v>
      </c>
      <c r="Z802" s="16"/>
      <c r="AA802" s="316" t="e" cm="1">
        <f t="array" ref="AA802">Settlement(Main_Presentation[[#This Row],[Bank]],Main_Presentation[[#This Row],[ Invoice Amt (SAR)]],Main_Presentation[[#This Row],[Date Recd]],Main_Presentation[[#This Row],[Due Date]],Main_Presentation[[#This Row],[Days]])</f>
        <v>#VALUE!</v>
      </c>
      <c r="AB802" s="16"/>
    </row>
    <row r="803" spans="1:28" ht="15.75" hidden="1" x14ac:dyDescent="0.25">
      <c r="A803" s="20" t="s">
        <v>1278</v>
      </c>
      <c r="B803" s="15">
        <v>45823</v>
      </c>
      <c r="C803" s="26">
        <v>1</v>
      </c>
      <c r="D803" s="55" t="str">
        <f>VLOOKUP(Main_Presentation[[#This Row],[LC Number]],Main_Issuance[],3,0)</f>
        <v>Hassan Taleb</v>
      </c>
      <c r="E803" s="16" t="s">
        <v>856</v>
      </c>
      <c r="F803" s="17" t="str">
        <f>VLOOKUP(Main_Presentation[[#This Row],[LC Number]],Main_Issuance[],5,0)</f>
        <v>BAB</v>
      </c>
      <c r="G803" s="17" t="str">
        <f>VLOOKUP(Main_Presentation[[#This Row],[LC Number]],Main_Issuance[],6,0)</f>
        <v>Cash</v>
      </c>
      <c r="H803" s="17" t="str">
        <f>VLOOKUP(Main_Presentation[[#This Row],[LC Number]],Main_Issuance[],17,0)</f>
        <v>Cash</v>
      </c>
      <c r="I803" s="17" t="str">
        <f>VLOOKUP(Main_Presentation[[#This Row],[LC Number]],Main_Issuance[],7,0)</f>
        <v>Safid Co.Ltd</v>
      </c>
      <c r="J803" s="17" t="str">
        <f>VLOOKUP(Main_Presentation[[#This Row],[LC Number]],Main_Issuance[],8,0)</f>
        <v>FIRST FIX</v>
      </c>
      <c r="K803" s="17" t="str">
        <f>VLOOKUP(Main_Presentation[[#This Row],[LC Number]],Main_Issuance[],9,0)</f>
        <v>JCD SPMI</v>
      </c>
      <c r="L803" s="17">
        <f>VLOOKUP(Main_Presentation[[#This Row],[LC Number]],Main_Issuance[],10,0)</f>
        <v>1020100</v>
      </c>
      <c r="M803" s="17" t="str">
        <f>VLOOKUP(Main_Presentation[[#This Row],[LC Number]],Main_Issuance[],11,0)</f>
        <v>SAR</v>
      </c>
      <c r="N803" s="84">
        <f>VLOOKUP(Main_Presentation[[#This Row],[LC Number]],Main_Issuance[],12,0)</f>
        <v>200000</v>
      </c>
      <c r="O803" s="16" t="s">
        <v>20</v>
      </c>
      <c r="P803" s="16" t="s">
        <v>857</v>
      </c>
      <c r="Q803" s="131">
        <v>200000</v>
      </c>
      <c r="R803" s="18">
        <v>1</v>
      </c>
      <c r="S803" s="18">
        <f>Main_Presentation[[#This Row],[Invoice Amt (FCY)]]*Main_Presentation[[#This Row],[Rate]]</f>
        <v>200000</v>
      </c>
      <c r="T803" s="15">
        <v>45921</v>
      </c>
      <c r="U803" s="26" t="str">
        <f>VLOOKUP(Main_Presentation[[#This Row],[LC Number]],Main_Issuance[],18,0)</f>
        <v>120 Days from Invoice Date</v>
      </c>
      <c r="V803" s="17" t="s">
        <v>1849</v>
      </c>
      <c r="W803" s="22" t="s">
        <v>378</v>
      </c>
      <c r="X803" s="16"/>
      <c r="Y803" s="234" t="str">
        <f>TRIM(LEFT(Main_Presentation[[#This Row],[Payment Terms]],3))</f>
        <v>120</v>
      </c>
      <c r="Z803" s="16"/>
      <c r="AA803" s="316" cm="1">
        <f t="array" ref="AA803">Settlement(Main_Presentation[[#This Row],[Bank]],Main_Presentation[[#This Row],[ Invoice Amt (SAR)]],Main_Presentation[[#This Row],[Date Recd]],Main_Presentation[[#This Row],[Due Date]],Main_Presentation[[#This Row],[Days]])</f>
        <v>0</v>
      </c>
      <c r="AB803" s="16"/>
    </row>
    <row r="804" spans="1:28" ht="15.75" hidden="1" x14ac:dyDescent="0.25">
      <c r="A804" s="20" t="s">
        <v>696</v>
      </c>
      <c r="B804" s="15">
        <v>45810</v>
      </c>
      <c r="C804" s="26">
        <v>2</v>
      </c>
      <c r="D804" s="55" t="str">
        <f>VLOOKUP(Main_Presentation[[#This Row],[LC Number]],Main_Issuance[],3,0)</f>
        <v>Hassan Taleb</v>
      </c>
      <c r="E804" s="16" t="s">
        <v>858</v>
      </c>
      <c r="F804" s="17" t="str">
        <f>VLOOKUP(Main_Presentation[[#This Row],[LC Number]],Main_Issuance[],5,0)</f>
        <v>Jazira</v>
      </c>
      <c r="G804" s="17" t="str">
        <f>VLOOKUP(Main_Presentation[[#This Row],[LC Number]],Main_Issuance[],6,0)</f>
        <v>RCRC</v>
      </c>
      <c r="H804" s="17" t="str">
        <f>VLOOKUP(Main_Presentation[[#This Row],[LC Number]],Main_Issuance[],17,0)</f>
        <v>Credit</v>
      </c>
      <c r="I804" s="17" t="str">
        <f>VLOOKUP(Main_Presentation[[#This Row],[LC Number]],Main_Issuance[],7,0)</f>
        <v>Saudi Hepco Co. Ltd</v>
      </c>
      <c r="J804" s="17" t="str">
        <f>VLOOKUP(Main_Presentation[[#This Row],[LC Number]],Main_Issuance[],8,0)</f>
        <v>FIRST FIX</v>
      </c>
      <c r="K804" s="17" t="str">
        <f>VLOOKUP(Main_Presentation[[#This Row],[LC Number]],Main_Issuance[],9,0)</f>
        <v>RCRC</v>
      </c>
      <c r="L804" s="17">
        <f>VLOOKUP(Main_Presentation[[#This Row],[LC Number]],Main_Issuance[],10,0)</f>
        <v>1020106</v>
      </c>
      <c r="M804" s="17" t="str">
        <f>VLOOKUP(Main_Presentation[[#This Row],[LC Number]],Main_Issuance[],11,0)</f>
        <v>SAR</v>
      </c>
      <c r="N804" s="84">
        <f>VLOOKUP(Main_Presentation[[#This Row],[LC Number]],Main_Issuance[],12,0)</f>
        <v>1513032.73</v>
      </c>
      <c r="O804" s="16" t="s">
        <v>20</v>
      </c>
      <c r="P804" s="16" t="s">
        <v>857</v>
      </c>
      <c r="Q804" s="131">
        <v>513032</v>
      </c>
      <c r="R804" s="18">
        <v>1</v>
      </c>
      <c r="S804" s="18">
        <f>Main_Presentation[[#This Row],[Invoice Amt (FCY)]]*Main_Presentation[[#This Row],[Rate]]</f>
        <v>513032</v>
      </c>
      <c r="T804" s="15">
        <v>45865</v>
      </c>
      <c r="U804" s="26" t="str">
        <f>VLOOKUP(Main_Presentation[[#This Row],[LC Number]],Main_Issuance[],18,0)</f>
        <v>90 Days from Invoice Date</v>
      </c>
      <c r="V804" s="17" t="s">
        <v>613</v>
      </c>
      <c r="W804" s="22" t="s">
        <v>857</v>
      </c>
      <c r="X804" s="16"/>
      <c r="Y804" s="234" t="str">
        <f>TRIM(LEFT(Main_Presentation[[#This Row],[Payment Terms]],3))</f>
        <v>90</v>
      </c>
      <c r="Z804" s="16"/>
      <c r="AA804" s="316" cm="1">
        <f t="array" ref="AA804">Settlement(Main_Presentation[[#This Row],[Bank]],Main_Presentation[[#This Row],[ Invoice Amt (SAR)]],Main_Presentation[[#This Row],[Date Recd]],Main_Presentation[[#This Row],[Due Date]],Main_Presentation[[#This Row],[Days]])</f>
        <v>1082.1500000000001</v>
      </c>
      <c r="AB804" s="16"/>
    </row>
    <row r="805" spans="1:28" ht="15.75" hidden="1" x14ac:dyDescent="0.25">
      <c r="A805" s="20" t="s">
        <v>825</v>
      </c>
      <c r="B805" s="15">
        <v>45812</v>
      </c>
      <c r="C805" s="26">
        <v>1</v>
      </c>
      <c r="D805" s="55" t="str">
        <f>VLOOKUP(Main_Presentation[[#This Row],[LC Number]],Main_Issuance[],3,0)</f>
        <v>Hassan Taleb</v>
      </c>
      <c r="E805" s="16" t="s">
        <v>858</v>
      </c>
      <c r="F805" s="17" t="str">
        <f>VLOOKUP(Main_Presentation[[#This Row],[LC Number]],Main_Issuance[],5,0)</f>
        <v>Alinma</v>
      </c>
      <c r="G805" s="17" t="str">
        <f>VLOOKUP(Main_Presentation[[#This Row],[LC Number]],Main_Issuance[],6,0)</f>
        <v>KSP</v>
      </c>
      <c r="H805" s="17" t="str">
        <f>VLOOKUP(Main_Presentation[[#This Row],[LC Number]],Main_Issuance[],17,0)</f>
        <v>Credit</v>
      </c>
      <c r="I805" s="17" t="str">
        <f>VLOOKUP(Main_Presentation[[#This Row],[LC Number]],Main_Issuance[],7,0)</f>
        <v>MAWARID AISHAMELA TRADING CO.</v>
      </c>
      <c r="J805" s="17" t="str">
        <f>VLOOKUP(Main_Presentation[[#This Row],[LC Number]],Main_Issuance[],8,0)</f>
        <v>FIRST FIX</v>
      </c>
      <c r="K805" s="17" t="str">
        <f>VLOOKUP(Main_Presentation[[#This Row],[LC Number]],Main_Issuance[],9,0)</f>
        <v>KSP</v>
      </c>
      <c r="L805" s="17">
        <f>VLOOKUP(Main_Presentation[[#This Row],[LC Number]],Main_Issuance[],10,0)</f>
        <v>1020055</v>
      </c>
      <c r="M805" s="17" t="str">
        <f>VLOOKUP(Main_Presentation[[#This Row],[LC Number]],Main_Issuance[],11,0)</f>
        <v>SAR</v>
      </c>
      <c r="N805" s="84">
        <f>VLOOKUP(Main_Presentation[[#This Row],[LC Number]],Main_Issuance[],12,0)</f>
        <v>112626.99</v>
      </c>
      <c r="O805" s="16" t="s">
        <v>20</v>
      </c>
      <c r="P805" s="16" t="s">
        <v>857</v>
      </c>
      <c r="Q805" s="131">
        <v>112626.99</v>
      </c>
      <c r="R805" s="18">
        <v>1</v>
      </c>
      <c r="S805" s="18">
        <f>Main_Presentation[[#This Row],[Invoice Amt (FCY)]]*Main_Presentation[[#This Row],[Rate]]</f>
        <v>112626.99</v>
      </c>
      <c r="T805" s="15">
        <v>45889</v>
      </c>
      <c r="U805" s="26" t="str">
        <f>VLOOKUP(Main_Presentation[[#This Row],[LC Number]],Main_Issuance[],18,0)</f>
        <v>90 Days from Invoice Date</v>
      </c>
      <c r="V805" s="17" t="s">
        <v>73</v>
      </c>
      <c r="W805" s="22" t="s">
        <v>857</v>
      </c>
      <c r="X805" s="16"/>
      <c r="Y805" s="234" t="str">
        <f>TRIM(LEFT(Main_Presentation[[#This Row],[Payment Terms]],3))</f>
        <v>90</v>
      </c>
      <c r="Z805" s="16"/>
      <c r="AA805" s="316" cm="1">
        <f t="array" ref="AA805">Settlement(Main_Presentation[[#This Row],[Bank]],Main_Presentation[[#This Row],[ Invoice Amt (SAR)]],Main_Presentation[[#This Row],[Date Recd]],Main_Presentation[[#This Row],[Due Date]],Main_Presentation[[#This Row],[Days]])</f>
        <v>1437.5</v>
      </c>
      <c r="AB805" s="16"/>
    </row>
    <row r="806" spans="1:28" ht="15.75" hidden="1" x14ac:dyDescent="0.25">
      <c r="A806" s="20" t="s">
        <v>1257</v>
      </c>
      <c r="B806" s="15">
        <v>45811</v>
      </c>
      <c r="C806" s="26">
        <v>1</v>
      </c>
      <c r="D806" s="55" t="str">
        <f>VLOOKUP(Main_Presentation[[#This Row],[LC Number]],Main_Issuance[],3,0)</f>
        <v>Hassan Taleb</v>
      </c>
      <c r="E806" s="16" t="s">
        <v>856</v>
      </c>
      <c r="F806" s="17" t="str">
        <f>VLOOKUP(Main_Presentation[[#This Row],[LC Number]],Main_Issuance[],5,0)</f>
        <v>SNB</v>
      </c>
      <c r="G806" s="17" t="str">
        <f>VLOOKUP(Main_Presentation[[#This Row],[LC Number]],Main_Issuance[],6,0)</f>
        <v>Opera House</v>
      </c>
      <c r="H806" s="17" t="str">
        <f>VLOOKUP(Main_Presentation[[#This Row],[LC Number]],Main_Issuance[],17,0)</f>
        <v>Credit</v>
      </c>
      <c r="I806" s="17" t="str">
        <f>VLOOKUP(Main_Presentation[[#This Row],[LC Number]],Main_Issuance[],7,0)</f>
        <v>ROLACO ARABIAN SOUNDS &amp; LIGHTS COMPANY</v>
      </c>
      <c r="J806" s="17" t="str">
        <f>VLOOKUP(Main_Presentation[[#This Row],[LC Number]],Main_Issuance[],8,0)</f>
        <v>FIRST FIX</v>
      </c>
      <c r="K806" s="17" t="str">
        <f>VLOOKUP(Main_Presentation[[#This Row],[LC Number]],Main_Issuance[],9,0)</f>
        <v>KSP</v>
      </c>
      <c r="L806" s="17">
        <f>VLOOKUP(Main_Presentation[[#This Row],[LC Number]],Main_Issuance[],10,0)</f>
        <v>1020055</v>
      </c>
      <c r="M806" s="17" t="str">
        <f>VLOOKUP(Main_Presentation[[#This Row],[LC Number]],Main_Issuance[],11,0)</f>
        <v>SAR</v>
      </c>
      <c r="N806" s="84">
        <f>VLOOKUP(Main_Presentation[[#This Row],[LC Number]],Main_Issuance[],12,0)</f>
        <v>5113228.88</v>
      </c>
      <c r="O806" s="16" t="s">
        <v>20</v>
      </c>
      <c r="P806" s="16" t="s">
        <v>378</v>
      </c>
      <c r="Q806" s="131">
        <v>5113228.88</v>
      </c>
      <c r="R806" s="18">
        <v>1</v>
      </c>
      <c r="S806" s="18">
        <f>Main_Presentation[[#This Row],[Invoice Amt (FCY)]]*Main_Presentation[[#This Row],[Rate]]</f>
        <v>5113228.88</v>
      </c>
      <c r="T806" s="15">
        <v>45865</v>
      </c>
      <c r="U806" s="26" t="str">
        <f>VLOOKUP(Main_Presentation[[#This Row],[LC Number]],Main_Issuance[],18,0)</f>
        <v>90 Days from Invoice Date</v>
      </c>
      <c r="V806" s="17" t="s">
        <v>22</v>
      </c>
      <c r="W806" s="22" t="s">
        <v>857</v>
      </c>
      <c r="X806" s="16"/>
      <c r="Y806" s="234" t="str">
        <f>TRIM(LEFT(Main_Presentation[[#This Row],[Payment Terms]],3))</f>
        <v>90</v>
      </c>
      <c r="Z806" s="16"/>
      <c r="AA806" s="316" cm="1">
        <f t="array" ref="AA806">Settlement(Main_Presentation[[#This Row],[Bank]],Main_Presentation[[#This Row],[ Invoice Amt (SAR)]],Main_Presentation[[#This Row],[Date Recd]],Main_Presentation[[#This Row],[Due Date]],Main_Presentation[[#This Row],[Days]])</f>
        <v>24541</v>
      </c>
      <c r="AB806" s="16"/>
    </row>
    <row r="807" spans="1:28" ht="15.75" hidden="1" x14ac:dyDescent="0.25">
      <c r="A807" s="20" t="s">
        <v>1284</v>
      </c>
      <c r="B807" s="15">
        <v>45805</v>
      </c>
      <c r="C807" s="26">
        <v>1</v>
      </c>
      <c r="D807" s="55" t="str">
        <f>VLOOKUP(Main_Presentation[[#This Row],[LC Number]],Main_Issuance[],3,0)</f>
        <v>Hassan Taleb</v>
      </c>
      <c r="E807" s="16" t="s">
        <v>858</v>
      </c>
      <c r="F807" s="17" t="str">
        <f>VLOOKUP(Main_Presentation[[#This Row],[LC Number]],Main_Issuance[],5,0)</f>
        <v>BAB</v>
      </c>
      <c r="G807" s="17" t="str">
        <f>VLOOKUP(Main_Presentation[[#This Row],[LC Number]],Main_Issuance[],6,0)</f>
        <v>Cash</v>
      </c>
      <c r="H807" s="17" t="str">
        <f>VLOOKUP(Main_Presentation[[#This Row],[LC Number]],Main_Issuance[],17,0)</f>
        <v>Cash</v>
      </c>
      <c r="I807" s="17" t="str">
        <f>VLOOKUP(Main_Presentation[[#This Row],[LC Number]],Main_Issuance[],7,0)</f>
        <v>TEN POINTS EST</v>
      </c>
      <c r="J807" s="17" t="str">
        <f>VLOOKUP(Main_Presentation[[#This Row],[LC Number]],Main_Issuance[],8,0)</f>
        <v>FIRST FIX</v>
      </c>
      <c r="K807" s="17" t="str">
        <f>VLOOKUP(Main_Presentation[[#This Row],[LC Number]],Main_Issuance[],9,0)</f>
        <v>JCD SPMI</v>
      </c>
      <c r="L807" s="17">
        <f>VLOOKUP(Main_Presentation[[#This Row],[LC Number]],Main_Issuance[],10,0)</f>
        <v>1020100</v>
      </c>
      <c r="M807" s="17" t="str">
        <f>VLOOKUP(Main_Presentation[[#This Row],[LC Number]],Main_Issuance[],11,0)</f>
        <v>SAR</v>
      </c>
      <c r="N807" s="84">
        <f>VLOOKUP(Main_Presentation[[#This Row],[LC Number]],Main_Issuance[],12,0)</f>
        <v>606049</v>
      </c>
      <c r="O807" s="16" t="s">
        <v>20</v>
      </c>
      <c r="P807" s="16" t="s">
        <v>857</v>
      </c>
      <c r="Q807" s="131">
        <v>606049</v>
      </c>
      <c r="R807" s="18">
        <v>1</v>
      </c>
      <c r="S807" s="18">
        <f>Main_Presentation[[#This Row],[Invoice Amt (FCY)]]*Main_Presentation[[#This Row],[Rate]]</f>
        <v>606049</v>
      </c>
      <c r="T807" s="15">
        <v>45921</v>
      </c>
      <c r="U807" s="26" t="str">
        <f>VLOOKUP(Main_Presentation[[#This Row],[LC Number]],Main_Issuance[],18,0)</f>
        <v>120 Days from Invoice Date</v>
      </c>
      <c r="V807" s="17" t="s">
        <v>1849</v>
      </c>
      <c r="W807" s="22" t="s">
        <v>378</v>
      </c>
      <c r="X807" s="16"/>
      <c r="Y807" s="234" t="str">
        <f>TRIM(LEFT(Main_Presentation[[#This Row],[Payment Terms]],3))</f>
        <v>120</v>
      </c>
      <c r="Z807" s="16"/>
      <c r="AA807" s="316" cm="1">
        <f t="array" ref="AA807">Settlement(Main_Presentation[[#This Row],[Bank]],Main_Presentation[[#This Row],[ Invoice Amt (SAR)]],Main_Presentation[[#This Row],[Date Recd]],Main_Presentation[[#This Row],[Due Date]],Main_Presentation[[#This Row],[Days]])</f>
        <v>0</v>
      </c>
      <c r="AB807" s="16"/>
    </row>
    <row r="808" spans="1:28" ht="15.75" hidden="1" x14ac:dyDescent="0.25">
      <c r="A808" s="20" t="s">
        <v>804</v>
      </c>
      <c r="B808" s="15">
        <v>45806</v>
      </c>
      <c r="C808" s="26">
        <v>1</v>
      </c>
      <c r="D808" s="55" t="str">
        <f>VLOOKUP(Main_Presentation[[#This Row],[LC Number]],Main_Issuance[],3,0)</f>
        <v>Hassan Taleb</v>
      </c>
      <c r="E808" s="16" t="s">
        <v>858</v>
      </c>
      <c r="F808" s="17" t="str">
        <f>VLOOKUP(Main_Presentation[[#This Row],[LC Number]],Main_Issuance[],5,0)</f>
        <v>Alinma</v>
      </c>
      <c r="G808" s="17" t="str">
        <f>VLOOKUP(Main_Presentation[[#This Row],[LC Number]],Main_Issuance[],6,0)</f>
        <v>KSP</v>
      </c>
      <c r="H808" s="17" t="str">
        <f>VLOOKUP(Main_Presentation[[#This Row],[LC Number]],Main_Issuance[],17,0)</f>
        <v>Credit</v>
      </c>
      <c r="I808" s="17" t="str">
        <f>VLOOKUP(Main_Presentation[[#This Row],[LC Number]],Main_Issuance[],7,0)</f>
        <v>Al Mousa Trading Company</v>
      </c>
      <c r="J808" s="17" t="str">
        <f>VLOOKUP(Main_Presentation[[#This Row],[LC Number]],Main_Issuance[],8,0)</f>
        <v>FIRST FIX</v>
      </c>
      <c r="K808" s="17" t="str">
        <f>VLOOKUP(Main_Presentation[[#This Row],[LC Number]],Main_Issuance[],9,0)</f>
        <v>KSP</v>
      </c>
      <c r="L808" s="17">
        <f>VLOOKUP(Main_Presentation[[#This Row],[LC Number]],Main_Issuance[],10,0)</f>
        <v>1020055</v>
      </c>
      <c r="M808" s="17" t="str">
        <f>VLOOKUP(Main_Presentation[[#This Row],[LC Number]],Main_Issuance[],11,0)</f>
        <v>SAR</v>
      </c>
      <c r="N808" s="84">
        <f>VLOOKUP(Main_Presentation[[#This Row],[LC Number]],Main_Issuance[],12,0)</f>
        <v>300000</v>
      </c>
      <c r="O808" s="16" t="s">
        <v>20</v>
      </c>
      <c r="P808" s="16" t="s">
        <v>857</v>
      </c>
      <c r="Q808" s="131">
        <v>300000</v>
      </c>
      <c r="R808" s="18">
        <v>1</v>
      </c>
      <c r="S808" s="18">
        <f>Main_Presentation[[#This Row],[Invoice Amt (FCY)]]*Main_Presentation[[#This Row],[Rate]]</f>
        <v>300000</v>
      </c>
      <c r="T808" s="15">
        <v>45889</v>
      </c>
      <c r="U808" s="26" t="str">
        <f>VLOOKUP(Main_Presentation[[#This Row],[LC Number]],Main_Issuance[],18,0)</f>
        <v>90 Days from Invoice Date</v>
      </c>
      <c r="V808" s="17" t="s">
        <v>73</v>
      </c>
      <c r="W808" s="22" t="s">
        <v>857</v>
      </c>
      <c r="X808" s="16"/>
      <c r="Y808" s="234" t="str">
        <f>TRIM(LEFT(Main_Presentation[[#This Row],[Payment Terms]],3))</f>
        <v>90</v>
      </c>
      <c r="Z808" s="16"/>
      <c r="AA808" s="316" cm="1">
        <f t="array" ref="AA808">Settlement(Main_Presentation[[#This Row],[Bank]],Main_Presentation[[#This Row],[ Invoice Amt (SAR)]],Main_Presentation[[#This Row],[Date Recd]],Main_Presentation[[#This Row],[Due Date]],Main_Presentation[[#This Row],[Days]])</f>
        <v>1437.5</v>
      </c>
      <c r="AB808" s="16"/>
    </row>
    <row r="809" spans="1:28" ht="15.75" hidden="1" x14ac:dyDescent="0.25">
      <c r="A809" s="20" t="s">
        <v>672</v>
      </c>
      <c r="B809" s="15">
        <v>45798</v>
      </c>
      <c r="C809" s="26">
        <v>22</v>
      </c>
      <c r="D809" s="55" t="str">
        <f>VLOOKUP(Main_Presentation[[#This Row],[LC Number]],Main_Issuance[],3,0)</f>
        <v>Tareeq Telmasani</v>
      </c>
      <c r="E809" s="16" t="s">
        <v>856</v>
      </c>
      <c r="F809" s="17" t="str">
        <f>VLOOKUP(Main_Presentation[[#This Row],[LC Number]],Main_Issuance[],5,0)</f>
        <v>SAB</v>
      </c>
      <c r="G809" s="17" t="str">
        <f>VLOOKUP(Main_Presentation[[#This Row],[LC Number]],Main_Issuance[],6,0)</f>
        <v>CEER</v>
      </c>
      <c r="H809" s="17" t="str">
        <f>VLOOKUP(Main_Presentation[[#This Row],[LC Number]],Main_Issuance[],17,0)</f>
        <v>Credit</v>
      </c>
      <c r="I809" s="17" t="str">
        <f>VLOOKUP(Main_Presentation[[#This Row],[LC Number]],Main_Issuance[],7,0)</f>
        <v>Roof Metal Ind LLC</v>
      </c>
      <c r="J809" s="17" t="str">
        <f>VLOOKUP(Main_Presentation[[#This Row],[LC Number]],Main_Issuance[],8,0)</f>
        <v>MBL</v>
      </c>
      <c r="K809" s="17" t="str">
        <f>VLOOKUP(Main_Presentation[[#This Row],[LC Number]],Main_Issuance[],9,0)</f>
        <v>CEER</v>
      </c>
      <c r="L809" s="17">
        <f>VLOOKUP(Main_Presentation[[#This Row],[LC Number]],Main_Issuance[],10,0)</f>
        <v>1020091</v>
      </c>
      <c r="M809" s="17" t="str">
        <f>VLOOKUP(Main_Presentation[[#This Row],[LC Number]],Main_Issuance[],11,0)</f>
        <v>AED</v>
      </c>
      <c r="N809" s="84">
        <f>VLOOKUP(Main_Presentation[[#This Row],[LC Number]],Main_Issuance[],12,0)</f>
        <v>12740122</v>
      </c>
      <c r="O809" s="16" t="s">
        <v>20</v>
      </c>
      <c r="P809" s="16" t="s">
        <v>857</v>
      </c>
      <c r="Q809" s="131">
        <v>454425.29</v>
      </c>
      <c r="R809" s="18">
        <v>1.026</v>
      </c>
      <c r="S809" s="18">
        <f>Main_Presentation[[#This Row],[Invoice Amt (FCY)]]*Main_Presentation[[#This Row],[Rate]]</f>
        <v>466240.34753999999</v>
      </c>
      <c r="T809" s="15">
        <v>45803</v>
      </c>
      <c r="U809" s="26" t="str">
        <f>VLOOKUP(Main_Presentation[[#This Row],[LC Number]],Main_Issuance[],18,0)</f>
        <v>Sight</v>
      </c>
      <c r="V809" s="17" t="s">
        <v>367</v>
      </c>
      <c r="W809" s="22" t="s">
        <v>857</v>
      </c>
      <c r="X809" s="16"/>
      <c r="Y809" s="234" t="str">
        <f>TRIM(LEFT(Main_Presentation[[#This Row],[Payment Terms]],3))</f>
        <v>Sig</v>
      </c>
      <c r="Z809" s="16"/>
      <c r="AA809" s="316" t="e" cm="1">
        <f t="array" ref="AA809">Settlement(Main_Presentation[[#This Row],[Bank]],Main_Presentation[[#This Row],[ Invoice Amt (SAR)]],Main_Presentation[[#This Row],[Date Recd]],Main_Presentation[[#This Row],[Due Date]],Main_Presentation[[#This Row],[Days]])</f>
        <v>#VALUE!</v>
      </c>
      <c r="AB809" s="16"/>
    </row>
    <row r="810" spans="1:28" ht="15.75" hidden="1" x14ac:dyDescent="0.25">
      <c r="A810" s="20" t="s">
        <v>672</v>
      </c>
      <c r="B810" s="15">
        <v>45798</v>
      </c>
      <c r="C810" s="26">
        <v>23</v>
      </c>
      <c r="D810" s="55" t="str">
        <f>VLOOKUP(Main_Presentation[[#This Row],[LC Number]],Main_Issuance[],3,0)</f>
        <v>Tareeq Telmasani</v>
      </c>
      <c r="E810" s="16" t="s">
        <v>856</v>
      </c>
      <c r="F810" s="17" t="str">
        <f>VLOOKUP(Main_Presentation[[#This Row],[LC Number]],Main_Issuance[],5,0)</f>
        <v>SAB</v>
      </c>
      <c r="G810" s="17" t="str">
        <f>VLOOKUP(Main_Presentation[[#This Row],[LC Number]],Main_Issuance[],6,0)</f>
        <v>CEER</v>
      </c>
      <c r="H810" s="17" t="str">
        <f>VLOOKUP(Main_Presentation[[#This Row],[LC Number]],Main_Issuance[],17,0)</f>
        <v>Credit</v>
      </c>
      <c r="I810" s="17" t="str">
        <f>VLOOKUP(Main_Presentation[[#This Row],[LC Number]],Main_Issuance[],7,0)</f>
        <v>Roof Metal Ind LLC</v>
      </c>
      <c r="J810" s="17" t="str">
        <f>VLOOKUP(Main_Presentation[[#This Row],[LC Number]],Main_Issuance[],8,0)</f>
        <v>MBL</v>
      </c>
      <c r="K810" s="17" t="str">
        <f>VLOOKUP(Main_Presentation[[#This Row],[LC Number]],Main_Issuance[],9,0)</f>
        <v>CEER</v>
      </c>
      <c r="L810" s="17">
        <f>VLOOKUP(Main_Presentation[[#This Row],[LC Number]],Main_Issuance[],10,0)</f>
        <v>1020091</v>
      </c>
      <c r="M810" s="17" t="str">
        <f>VLOOKUP(Main_Presentation[[#This Row],[LC Number]],Main_Issuance[],11,0)</f>
        <v>AED</v>
      </c>
      <c r="N810" s="84">
        <f>VLOOKUP(Main_Presentation[[#This Row],[LC Number]],Main_Issuance[],12,0)</f>
        <v>12740122</v>
      </c>
      <c r="O810" s="16" t="s">
        <v>20</v>
      </c>
      <c r="P810" s="16" t="s">
        <v>857</v>
      </c>
      <c r="Q810" s="131">
        <v>596223.76</v>
      </c>
      <c r="R810" s="18">
        <v>1.026</v>
      </c>
      <c r="S810" s="18">
        <f>Main_Presentation[[#This Row],[Invoice Amt (FCY)]]*Main_Presentation[[#This Row],[Rate]]</f>
        <v>611725.57776000001</v>
      </c>
      <c r="T810" s="15">
        <v>45799</v>
      </c>
      <c r="U810" s="26" t="str">
        <f>VLOOKUP(Main_Presentation[[#This Row],[LC Number]],Main_Issuance[],18,0)</f>
        <v>Sight</v>
      </c>
      <c r="V810" s="17" t="s">
        <v>367</v>
      </c>
      <c r="W810" s="22" t="s">
        <v>857</v>
      </c>
      <c r="X810" s="16"/>
      <c r="Y810" s="234" t="str">
        <f>TRIM(LEFT(Main_Presentation[[#This Row],[Payment Terms]],3))</f>
        <v>Sig</v>
      </c>
      <c r="Z810" s="16"/>
      <c r="AA810" s="316" t="e" cm="1">
        <f t="array" ref="AA810">Settlement(Main_Presentation[[#This Row],[Bank]],Main_Presentation[[#This Row],[ Invoice Amt (SAR)]],Main_Presentation[[#This Row],[Date Recd]],Main_Presentation[[#This Row],[Due Date]],Main_Presentation[[#This Row],[Days]])</f>
        <v>#VALUE!</v>
      </c>
      <c r="AB810" s="16"/>
    </row>
    <row r="811" spans="1:28" ht="15.75" hidden="1" x14ac:dyDescent="0.25">
      <c r="A811" s="20" t="s">
        <v>672</v>
      </c>
      <c r="B811" s="15">
        <v>45798</v>
      </c>
      <c r="C811" s="26">
        <v>24</v>
      </c>
      <c r="D811" s="55" t="str">
        <f>VLOOKUP(Main_Presentation[[#This Row],[LC Number]],Main_Issuance[],3,0)</f>
        <v>Tareeq Telmasani</v>
      </c>
      <c r="E811" s="16" t="s">
        <v>856</v>
      </c>
      <c r="F811" s="17" t="str">
        <f>VLOOKUP(Main_Presentation[[#This Row],[LC Number]],Main_Issuance[],5,0)</f>
        <v>SAB</v>
      </c>
      <c r="G811" s="17" t="str">
        <f>VLOOKUP(Main_Presentation[[#This Row],[LC Number]],Main_Issuance[],6,0)</f>
        <v>CEER</v>
      </c>
      <c r="H811" s="17" t="str">
        <f>VLOOKUP(Main_Presentation[[#This Row],[LC Number]],Main_Issuance[],17,0)</f>
        <v>Credit</v>
      </c>
      <c r="I811" s="17" t="str">
        <f>VLOOKUP(Main_Presentation[[#This Row],[LC Number]],Main_Issuance[],7,0)</f>
        <v>Roof Metal Ind LLC</v>
      </c>
      <c r="J811" s="17" t="str">
        <f>VLOOKUP(Main_Presentation[[#This Row],[LC Number]],Main_Issuance[],8,0)</f>
        <v>MBL</v>
      </c>
      <c r="K811" s="17" t="str">
        <f>VLOOKUP(Main_Presentation[[#This Row],[LC Number]],Main_Issuance[],9,0)</f>
        <v>CEER</v>
      </c>
      <c r="L811" s="17">
        <f>VLOOKUP(Main_Presentation[[#This Row],[LC Number]],Main_Issuance[],10,0)</f>
        <v>1020091</v>
      </c>
      <c r="M811" s="17" t="str">
        <f>VLOOKUP(Main_Presentation[[#This Row],[LC Number]],Main_Issuance[],11,0)</f>
        <v>AED</v>
      </c>
      <c r="N811" s="84">
        <f>VLOOKUP(Main_Presentation[[#This Row],[LC Number]],Main_Issuance[],12,0)</f>
        <v>12740122</v>
      </c>
      <c r="O811" s="16" t="s">
        <v>20</v>
      </c>
      <c r="P811" s="16" t="s">
        <v>857</v>
      </c>
      <c r="Q811" s="131">
        <v>470876</v>
      </c>
      <c r="R811" s="18">
        <v>1.026</v>
      </c>
      <c r="S811" s="18">
        <f>Main_Presentation[[#This Row],[Invoice Amt (FCY)]]*Main_Presentation[[#This Row],[Rate]]</f>
        <v>483118.77600000001</v>
      </c>
      <c r="T811" s="15">
        <v>45799</v>
      </c>
      <c r="U811" s="26" t="str">
        <f>VLOOKUP(Main_Presentation[[#This Row],[LC Number]],Main_Issuance[],18,0)</f>
        <v>Sight</v>
      </c>
      <c r="V811" s="17" t="s">
        <v>367</v>
      </c>
      <c r="W811" s="22" t="s">
        <v>857</v>
      </c>
      <c r="X811" s="16"/>
      <c r="Y811" s="234" t="str">
        <f>TRIM(LEFT(Main_Presentation[[#This Row],[Payment Terms]],3))</f>
        <v>Sig</v>
      </c>
      <c r="Z811" s="16"/>
      <c r="AA811" s="316" t="e" cm="1">
        <f t="array" ref="AA811">Settlement(Main_Presentation[[#This Row],[Bank]],Main_Presentation[[#This Row],[ Invoice Amt (SAR)]],Main_Presentation[[#This Row],[Date Recd]],Main_Presentation[[#This Row],[Due Date]],Main_Presentation[[#This Row],[Days]])</f>
        <v>#VALUE!</v>
      </c>
      <c r="AB811" s="16"/>
    </row>
    <row r="812" spans="1:28" ht="15.75" hidden="1" x14ac:dyDescent="0.25">
      <c r="A812" s="20" t="s">
        <v>1283</v>
      </c>
      <c r="B812" s="15">
        <v>45805</v>
      </c>
      <c r="C812" s="26">
        <v>1</v>
      </c>
      <c r="D812" s="55" t="str">
        <f>VLOOKUP(Main_Presentation[[#This Row],[LC Number]],Main_Issuance[],3,0)</f>
        <v>Matthew Mckernan</v>
      </c>
      <c r="E812" s="16" t="s">
        <v>856</v>
      </c>
      <c r="F812" s="17" t="str">
        <f>VLOOKUP(Main_Presentation[[#This Row],[LC Number]],Main_Issuance[],5,0)</f>
        <v>BAB</v>
      </c>
      <c r="G812" s="17" t="str">
        <f>VLOOKUP(Main_Presentation[[#This Row],[LC Number]],Main_Issuance[],6,0)</f>
        <v>Cash</v>
      </c>
      <c r="H812" s="17" t="str">
        <f>VLOOKUP(Main_Presentation[[#This Row],[LC Number]],Main_Issuance[],17,0)</f>
        <v>Cash</v>
      </c>
      <c r="I812" s="17" t="str">
        <f>VLOOKUP(Main_Presentation[[#This Row],[LC Number]],Main_Issuance[],7,0)</f>
        <v>Bawan Metal Industries Company</v>
      </c>
      <c r="J812" s="17" t="str">
        <f>VLOOKUP(Main_Presentation[[#This Row],[LC Number]],Main_Issuance[],8,0)</f>
        <v>MBL</v>
      </c>
      <c r="K812" s="17" t="str">
        <f>VLOOKUP(Main_Presentation[[#This Row],[LC Number]],Main_Issuance[],9,0)</f>
        <v>Oceanarium</v>
      </c>
      <c r="L812" s="17">
        <f>VLOOKUP(Main_Presentation[[#This Row],[LC Number]],Main_Issuance[],10,0)</f>
        <v>1020096</v>
      </c>
      <c r="M812" s="17" t="str">
        <f>VLOOKUP(Main_Presentation[[#This Row],[LC Number]],Main_Issuance[],11,0)</f>
        <v>SAR</v>
      </c>
      <c r="N812" s="84">
        <f>VLOOKUP(Main_Presentation[[#This Row],[LC Number]],Main_Issuance[],12,0)</f>
        <v>10893375</v>
      </c>
      <c r="O812" s="16" t="s">
        <v>20</v>
      </c>
      <c r="P812" s="16" t="s">
        <v>857</v>
      </c>
      <c r="Q812" s="131">
        <v>10893375</v>
      </c>
      <c r="R812" s="18">
        <v>1</v>
      </c>
      <c r="S812" s="18">
        <f>Main_Presentation[[#This Row],[Invoice Amt (FCY)]]*Main_Presentation[[#This Row],[Rate]]</f>
        <v>10893375</v>
      </c>
      <c r="T812" s="15">
        <v>45911</v>
      </c>
      <c r="U812" s="26" t="str">
        <f>VLOOKUP(Main_Presentation[[#This Row],[LC Number]],Main_Issuance[],18,0)</f>
        <v>120 Days from Invoice Date</v>
      </c>
      <c r="V812" s="17" t="s">
        <v>1849</v>
      </c>
      <c r="W812" s="22" t="s">
        <v>378</v>
      </c>
      <c r="X812" s="16"/>
      <c r="Y812" s="234" t="str">
        <f>TRIM(LEFT(Main_Presentation[[#This Row],[Payment Terms]],3))</f>
        <v>120</v>
      </c>
      <c r="Z812" s="16"/>
      <c r="AA812" s="316" cm="1">
        <f t="array" ref="AA812">Settlement(Main_Presentation[[#This Row],[Bank]],Main_Presentation[[#This Row],[ Invoice Amt (SAR)]],Main_Presentation[[#This Row],[Date Recd]],Main_Presentation[[#This Row],[Due Date]],Main_Presentation[[#This Row],[Days]])</f>
        <v>0</v>
      </c>
      <c r="AB812" s="16"/>
    </row>
    <row r="813" spans="1:28" ht="15.75" hidden="1" x14ac:dyDescent="0.25">
      <c r="A813" s="20" t="s">
        <v>702</v>
      </c>
      <c r="B813" s="15">
        <v>45799</v>
      </c>
      <c r="C813" s="26">
        <v>2</v>
      </c>
      <c r="D813" s="55" t="str">
        <f>VLOOKUP(Main_Presentation[[#This Row],[LC Number]],Main_Issuance[],3,0)</f>
        <v>Tareeq Telmasani</v>
      </c>
      <c r="E813" s="16" t="s">
        <v>858</v>
      </c>
      <c r="F813" s="17" t="str">
        <f>VLOOKUP(Main_Presentation[[#This Row],[LC Number]],Main_Issuance[],5,0)</f>
        <v>SNB</v>
      </c>
      <c r="G813" s="17" t="str">
        <f>VLOOKUP(Main_Presentation[[#This Row],[LC Number]],Main_Issuance[],6,0)</f>
        <v>Opera House</v>
      </c>
      <c r="H813" s="17" t="str">
        <f>VLOOKUP(Main_Presentation[[#This Row],[LC Number]],Main_Issuance[],17,0)</f>
        <v>Credit</v>
      </c>
      <c r="I813" s="17" t="str">
        <f>VLOOKUP(Main_Presentation[[#This Row],[LC Number]],Main_Issuance[],7,0)</f>
        <v>HOLCIM SOLUTIONS AND PRODUCTS EMEA BV</v>
      </c>
      <c r="J813" s="17" t="str">
        <f>VLOOKUP(Main_Presentation[[#This Row],[LC Number]],Main_Issuance[],8,0)</f>
        <v>MBL/IFAS</v>
      </c>
      <c r="K813" s="17" t="str">
        <f>VLOOKUP(Main_Presentation[[#This Row],[LC Number]],Main_Issuance[],9,0)</f>
        <v>CEER</v>
      </c>
      <c r="L813" s="17">
        <f>VLOOKUP(Main_Presentation[[#This Row],[LC Number]],Main_Issuance[],10,0)</f>
        <v>1020091</v>
      </c>
      <c r="M813" s="17" t="str">
        <f>VLOOKUP(Main_Presentation[[#This Row],[LC Number]],Main_Issuance[],11,0)</f>
        <v>USD</v>
      </c>
      <c r="N813" s="84">
        <f>VLOOKUP(Main_Presentation[[#This Row],[LC Number]],Main_Issuance[],12,0)</f>
        <v>2600115.56</v>
      </c>
      <c r="O813" s="16" t="s">
        <v>20</v>
      </c>
      <c r="P813" s="16" t="s">
        <v>857</v>
      </c>
      <c r="Q813" s="131">
        <v>87893.84</v>
      </c>
      <c r="R813" s="18">
        <v>3.75</v>
      </c>
      <c r="S813" s="18">
        <f>Main_Presentation[[#This Row],[Invoice Amt (FCY)]]*Main_Presentation[[#This Row],[Rate]]</f>
        <v>329601.89999999997</v>
      </c>
      <c r="T813" s="15">
        <v>45854</v>
      </c>
      <c r="U813" s="26" t="str">
        <f>VLOOKUP(Main_Presentation[[#This Row],[LC Number]],Main_Issuance[],18,0)</f>
        <v>90 Days from Shipment Date</v>
      </c>
      <c r="V813" s="17" t="s">
        <v>367</v>
      </c>
      <c r="W813" s="22" t="s">
        <v>857</v>
      </c>
      <c r="X813" s="16"/>
      <c r="Y813" s="234" t="str">
        <f>TRIM(LEFT(Main_Presentation[[#This Row],[Payment Terms]],3))</f>
        <v>90</v>
      </c>
      <c r="Z813" s="16"/>
      <c r="AA813" s="316" cm="1">
        <f t="array" ref="AA813">Settlement(Main_Presentation[[#This Row],[Bank]],Main_Presentation[[#This Row],[ Invoice Amt (SAR)]],Main_Presentation[[#This Row],[Date Recd]],Main_Presentation[[#This Row],[Due Date]],Main_Presentation[[#This Row],[Days]])</f>
        <v>1619.2</v>
      </c>
      <c r="AB813" s="16"/>
    </row>
    <row r="814" spans="1:28" ht="15.75" hidden="1" x14ac:dyDescent="0.25">
      <c r="A814" s="20" t="s">
        <v>306</v>
      </c>
      <c r="B814" s="15">
        <v>45799</v>
      </c>
      <c r="C814" s="26">
        <v>119</v>
      </c>
      <c r="D814" s="55" t="str">
        <f>VLOOKUP(Main_Presentation[[#This Row],[LC Number]],Main_Issuance[],3,0)</f>
        <v>Dipu Sir</v>
      </c>
      <c r="E814" s="16" t="s">
        <v>858</v>
      </c>
      <c r="F814" s="17" t="str">
        <f>VLOOKUP(Main_Presentation[[#This Row],[LC Number]],Main_Issuance[],5,0)</f>
        <v>Riyad</v>
      </c>
      <c r="G814" s="17" t="str">
        <f>VLOOKUP(Main_Presentation[[#This Row],[LC Number]],Main_Issuance[],6,0)</f>
        <v>Cash</v>
      </c>
      <c r="H814" s="17" t="str">
        <f>VLOOKUP(Main_Presentation[[#This Row],[LC Number]],Main_Issuance[],17,0)</f>
        <v>Cash</v>
      </c>
      <c r="I814" s="17" t="str">
        <f>VLOOKUP(Main_Presentation[[#This Row],[LC Number]],Main_Issuance[],7,0)</f>
        <v>ATELIER HOSPITALITY SRL</v>
      </c>
      <c r="J814" s="17" t="str">
        <f>VLOOKUP(Main_Presentation[[#This Row],[LC Number]],Main_Issuance[],8,0)</f>
        <v>MBL</v>
      </c>
      <c r="K814" s="17" t="str">
        <f>VLOOKUP(Main_Presentation[[#This Row],[LC Number]],Main_Issuance[],9,0)</f>
        <v>L01-YAMMAMA</v>
      </c>
      <c r="L814" s="17">
        <f>VLOOKUP(Main_Presentation[[#This Row],[LC Number]],Main_Issuance[],10,0)</f>
        <v>1020015</v>
      </c>
      <c r="M814" s="17" t="str">
        <f>VLOOKUP(Main_Presentation[[#This Row],[LC Number]],Main_Issuance[],11,0)</f>
        <v>EUR</v>
      </c>
      <c r="N814" s="84">
        <f>VLOOKUP(Main_Presentation[[#This Row],[LC Number]],Main_Issuance[],12,0)</f>
        <v>50762045.400000006</v>
      </c>
      <c r="O814" s="16" t="s">
        <v>20</v>
      </c>
      <c r="P814" s="16" t="s">
        <v>857</v>
      </c>
      <c r="Q814" s="131">
        <v>119401.88</v>
      </c>
      <c r="R814" s="18">
        <v>4.5700901448959899</v>
      </c>
      <c r="S814" s="18">
        <f>Main_Presentation[[#This Row],[Invoice Amt (FCY)]]*Main_Presentation[[#This Row],[Rate]]</f>
        <v>545677.3550700536</v>
      </c>
      <c r="T814" s="15">
        <v>45824</v>
      </c>
      <c r="U814" s="26" t="str">
        <f>VLOOKUP(Main_Presentation[[#This Row],[LC Number]],Main_Issuance[],18,0)</f>
        <v>30 days from the date of comm. inv.</v>
      </c>
      <c r="V814" s="17" t="str">
        <f>VLOOKUP(Main_Presentation[[#This Row],[LC Number]],Main_Issuance[],9,0)</f>
        <v>L01-YAMMAMA</v>
      </c>
      <c r="W814" s="22" t="s">
        <v>857</v>
      </c>
      <c r="X814" s="16"/>
      <c r="Y814" s="402" t="str">
        <f>TRIM(LEFT(Main_Presentation[[#This Row],[Payment Terms]],3))</f>
        <v>30</v>
      </c>
      <c r="Z814" s="16"/>
      <c r="AA814" s="316" cm="1">
        <f t="array" ref="AA814">Settlement(Main_Presentation[[#This Row],[Bank]],Main_Presentation[[#This Row],[ Invoice Amt (SAR)]],Main_Presentation[[#This Row],[Date Recd]],Main_Presentation[[#This Row],[Due Date]],Main_Presentation[[#This Row],[Days]])</f>
        <v>784.3</v>
      </c>
      <c r="AB814" s="16"/>
    </row>
    <row r="815" spans="1:28" ht="15.75" hidden="1" x14ac:dyDescent="0.25">
      <c r="A815" s="20" t="s">
        <v>706</v>
      </c>
      <c r="B815" s="15">
        <v>45806</v>
      </c>
      <c r="C815" s="26">
        <v>5</v>
      </c>
      <c r="D815" s="55" t="str">
        <f>VLOOKUP(Main_Presentation[[#This Row],[LC Number]],Main_Issuance[],3,0)</f>
        <v>Rabih Makhoul</v>
      </c>
      <c r="E815" s="16" t="s">
        <v>858</v>
      </c>
      <c r="F815" s="17" t="str">
        <f>VLOOKUP(Main_Presentation[[#This Row],[LC Number]],Main_Issuance[],5,0)</f>
        <v>BAB</v>
      </c>
      <c r="G815" s="17" t="str">
        <f>VLOOKUP(Main_Presentation[[#This Row],[LC Number]],Main_Issuance[],6,0)</f>
        <v>Oceanarium</v>
      </c>
      <c r="H815" s="17" t="str">
        <f>VLOOKUP(Main_Presentation[[#This Row],[LC Number]],Main_Issuance[],17,0)</f>
        <v>Credit</v>
      </c>
      <c r="I815" s="17" t="str">
        <f>VLOOKUP(Main_Presentation[[#This Row],[LC Number]],Main_Issuance[],7,0)</f>
        <v>TAMEER STEEL FACTORY CO LTD</v>
      </c>
      <c r="J815" s="17" t="str">
        <f>VLOOKUP(Main_Presentation[[#This Row],[LC Number]],Main_Issuance[],8,0)</f>
        <v>MBL</v>
      </c>
      <c r="K815" s="17" t="str">
        <f>VLOOKUP(Main_Presentation[[#This Row],[LC Number]],Main_Issuance[],9,0)</f>
        <v>Neom - The Line</v>
      </c>
      <c r="L815" s="17">
        <f>VLOOKUP(Main_Presentation[[#This Row],[LC Number]],Main_Issuance[],10,0)</f>
        <v>1020098</v>
      </c>
      <c r="M815" s="17" t="str">
        <f>VLOOKUP(Main_Presentation[[#This Row],[LC Number]],Main_Issuance[],11,0)</f>
        <v>SAR</v>
      </c>
      <c r="N815" s="84">
        <f>VLOOKUP(Main_Presentation[[#This Row],[LC Number]],Main_Issuance[],12,0)</f>
        <v>11821448</v>
      </c>
      <c r="O815" s="16" t="s">
        <v>20</v>
      </c>
      <c r="P815" s="16" t="s">
        <v>857</v>
      </c>
      <c r="Q815" s="131">
        <v>1326525</v>
      </c>
      <c r="R815" s="18">
        <v>1</v>
      </c>
      <c r="S815" s="18">
        <f>Main_Presentation[[#This Row],[Invoice Amt (FCY)]]*Main_Presentation[[#This Row],[Rate]]</f>
        <v>1326525</v>
      </c>
      <c r="T815" s="15">
        <v>45812</v>
      </c>
      <c r="U815" s="26" t="str">
        <f>VLOOKUP(Main_Presentation[[#This Row],[LC Number]],Main_Issuance[],18,0)</f>
        <v>45 Days from Invoice Date</v>
      </c>
      <c r="V815" s="17" t="s">
        <v>304</v>
      </c>
      <c r="W815" s="22" t="s">
        <v>857</v>
      </c>
      <c r="X815" s="16"/>
      <c r="Y815" s="234" t="str">
        <f>TRIM(LEFT(Main_Presentation[[#This Row],[Payment Terms]],3))</f>
        <v>45</v>
      </c>
      <c r="Z815" s="16"/>
      <c r="AA815" s="316" cm="1">
        <f t="array" ref="AA815">Settlement(Main_Presentation[[#This Row],[Bank]],Main_Presentation[[#This Row],[ Invoice Amt (SAR)]],Main_Presentation[[#This Row],[Date Recd]],Main_Presentation[[#This Row],[Due Date]],Main_Presentation[[#This Row],[Days]])</f>
        <v>0</v>
      </c>
      <c r="AB815" s="16"/>
    </row>
    <row r="816" spans="1:28" ht="15.75" hidden="1" x14ac:dyDescent="0.25">
      <c r="A816" s="20" t="s">
        <v>706</v>
      </c>
      <c r="B816" s="15">
        <v>45806</v>
      </c>
      <c r="C816" s="26">
        <v>4</v>
      </c>
      <c r="D816" s="55" t="str">
        <f>VLOOKUP(Main_Presentation[[#This Row],[LC Number]],Main_Issuance[],3,0)</f>
        <v>Rabih Makhoul</v>
      </c>
      <c r="E816" s="16" t="s">
        <v>858</v>
      </c>
      <c r="F816" s="17" t="str">
        <f>VLOOKUP(Main_Presentation[[#This Row],[LC Number]],Main_Issuance[],5,0)</f>
        <v>BAB</v>
      </c>
      <c r="G816" s="17" t="str">
        <f>VLOOKUP(Main_Presentation[[#This Row],[LC Number]],Main_Issuance[],6,0)</f>
        <v>Oceanarium</v>
      </c>
      <c r="H816" s="17" t="str">
        <f>VLOOKUP(Main_Presentation[[#This Row],[LC Number]],Main_Issuance[],17,0)</f>
        <v>Credit</v>
      </c>
      <c r="I816" s="17" t="str">
        <f>VLOOKUP(Main_Presentation[[#This Row],[LC Number]],Main_Issuance[],7,0)</f>
        <v>TAMEER STEEL FACTORY CO LTD</v>
      </c>
      <c r="J816" s="17" t="str">
        <f>VLOOKUP(Main_Presentation[[#This Row],[LC Number]],Main_Issuance[],8,0)</f>
        <v>MBL</v>
      </c>
      <c r="K816" s="17" t="str">
        <f>VLOOKUP(Main_Presentation[[#This Row],[LC Number]],Main_Issuance[],9,0)</f>
        <v>Neom - The Line</v>
      </c>
      <c r="L816" s="17">
        <f>VLOOKUP(Main_Presentation[[#This Row],[LC Number]],Main_Issuance[],10,0)</f>
        <v>1020098</v>
      </c>
      <c r="M816" s="17" t="str">
        <f>VLOOKUP(Main_Presentation[[#This Row],[LC Number]],Main_Issuance[],11,0)</f>
        <v>SAR</v>
      </c>
      <c r="N816" s="84">
        <f>VLOOKUP(Main_Presentation[[#This Row],[LC Number]],Main_Issuance[],12,0)</f>
        <v>11821448</v>
      </c>
      <c r="O816" s="16" t="s">
        <v>20</v>
      </c>
      <c r="P816" s="16" t="s">
        <v>857</v>
      </c>
      <c r="Q816" s="131">
        <v>710700</v>
      </c>
      <c r="R816" s="18">
        <v>1</v>
      </c>
      <c r="S816" s="18">
        <f>Main_Presentation[[#This Row],[Invoice Amt (FCY)]]*Main_Presentation[[#This Row],[Rate]]</f>
        <v>710700</v>
      </c>
      <c r="T816" s="15">
        <v>45812</v>
      </c>
      <c r="U816" s="26" t="str">
        <f>VLOOKUP(Main_Presentation[[#This Row],[LC Number]],Main_Issuance[],18,0)</f>
        <v>45 Days from Invoice Date</v>
      </c>
      <c r="V816" s="17" t="s">
        <v>304</v>
      </c>
      <c r="W816" s="22" t="s">
        <v>857</v>
      </c>
      <c r="X816" s="16"/>
      <c r="Y816" s="234" t="str">
        <f>TRIM(LEFT(Main_Presentation[[#This Row],[Payment Terms]],3))</f>
        <v>45</v>
      </c>
      <c r="Z816" s="16"/>
      <c r="AA816" s="316" cm="1">
        <f t="array" ref="AA816">Settlement(Main_Presentation[[#This Row],[Bank]],Main_Presentation[[#This Row],[ Invoice Amt (SAR)]],Main_Presentation[[#This Row],[Date Recd]],Main_Presentation[[#This Row],[Due Date]],Main_Presentation[[#This Row],[Days]])</f>
        <v>0</v>
      </c>
      <c r="AB816" s="16"/>
    </row>
    <row r="817" spans="1:28" ht="15.75" hidden="1" x14ac:dyDescent="0.25">
      <c r="A817" s="20" t="s">
        <v>730</v>
      </c>
      <c r="B817" s="15">
        <v>45806</v>
      </c>
      <c r="C817" s="26">
        <v>1</v>
      </c>
      <c r="D817" s="55" t="str">
        <f>VLOOKUP(Main_Presentation[[#This Row],[LC Number]],Main_Issuance[],3,0)</f>
        <v>Rabih Makhoul</v>
      </c>
      <c r="E817" s="16" t="s">
        <v>858</v>
      </c>
      <c r="F817" s="17" t="str">
        <f>VLOOKUP(Main_Presentation[[#This Row],[LC Number]],Main_Issuance[],5,0)</f>
        <v>BAB</v>
      </c>
      <c r="G817" s="17" t="str">
        <f>VLOOKUP(Main_Presentation[[#This Row],[LC Number]],Main_Issuance[],6,0)</f>
        <v>Oceanarium</v>
      </c>
      <c r="H817" s="17" t="str">
        <f>VLOOKUP(Main_Presentation[[#This Row],[LC Number]],Main_Issuance[],17,0)</f>
        <v>Credit</v>
      </c>
      <c r="I817" s="17" t="str">
        <f>VLOOKUP(Main_Presentation[[#This Row],[LC Number]],Main_Issuance[],7,0)</f>
        <v>Soliman Saleh Al Mohileb And Sons Holding Company (Closed Joint)</v>
      </c>
      <c r="J817" s="17" t="str">
        <f>VLOOKUP(Main_Presentation[[#This Row],[LC Number]],Main_Issuance[],8,0)</f>
        <v>MBL</v>
      </c>
      <c r="K817" s="17" t="str">
        <f>VLOOKUP(Main_Presentation[[#This Row],[LC Number]],Main_Issuance[],9,0)</f>
        <v>Neom - The Line</v>
      </c>
      <c r="L817" s="17">
        <f>VLOOKUP(Main_Presentation[[#This Row],[LC Number]],Main_Issuance[],10,0)</f>
        <v>1020098</v>
      </c>
      <c r="M817" s="17" t="str">
        <f>VLOOKUP(Main_Presentation[[#This Row],[LC Number]],Main_Issuance[],11,0)</f>
        <v>SAR</v>
      </c>
      <c r="N817" s="84">
        <f>VLOOKUP(Main_Presentation[[#This Row],[LC Number]],Main_Issuance[],12,0)</f>
        <v>30000000</v>
      </c>
      <c r="O817" s="16" t="s">
        <v>20</v>
      </c>
      <c r="P817" s="16" t="s">
        <v>857</v>
      </c>
      <c r="Q817" s="131">
        <v>20000000</v>
      </c>
      <c r="R817" s="18">
        <v>1</v>
      </c>
      <c r="S817" s="18">
        <f>Main_Presentation[[#This Row],[Invoice Amt (FCY)]]*Main_Presentation[[#This Row],[Rate]]</f>
        <v>20000000</v>
      </c>
      <c r="T817" s="15">
        <v>45810</v>
      </c>
      <c r="U817" s="26" t="str">
        <f>VLOOKUP(Main_Presentation[[#This Row],[LC Number]],Main_Issuance[],18,0)</f>
        <v>30 Days from Invoice Date</v>
      </c>
      <c r="V817" s="17" t="s">
        <v>304</v>
      </c>
      <c r="W817" s="22" t="s">
        <v>857</v>
      </c>
      <c r="X817" s="16"/>
      <c r="Y817" s="234" t="str">
        <f>TRIM(LEFT(Main_Presentation[[#This Row],[Payment Terms]],3))</f>
        <v>30</v>
      </c>
      <c r="Z817" s="16"/>
      <c r="AA817" s="316" cm="1">
        <f t="array" ref="AA817">Settlement(Main_Presentation[[#This Row],[Bank]],Main_Presentation[[#This Row],[ Invoice Amt (SAR)]],Main_Presentation[[#This Row],[Date Recd]],Main_Presentation[[#This Row],[Due Date]],Main_Presentation[[#This Row],[Days]])</f>
        <v>0</v>
      </c>
      <c r="AB817" s="16"/>
    </row>
    <row r="818" spans="1:28" ht="15.75" hidden="1" x14ac:dyDescent="0.25">
      <c r="A818" s="20" t="s">
        <v>739</v>
      </c>
      <c r="B818" s="15">
        <v>45809</v>
      </c>
      <c r="C818" s="26">
        <v>1</v>
      </c>
      <c r="D818" s="55" t="str">
        <f>VLOOKUP(Main_Presentation[[#This Row],[LC Number]],Main_Issuance[],3,0)</f>
        <v>Rabih Makhoul</v>
      </c>
      <c r="E818" s="16" t="s">
        <v>858</v>
      </c>
      <c r="F818" s="17" t="str">
        <f>VLOOKUP(Main_Presentation[[#This Row],[LC Number]],Main_Issuance[],5,0)</f>
        <v>BAB</v>
      </c>
      <c r="G818" s="17" t="str">
        <f>VLOOKUP(Main_Presentation[[#This Row],[LC Number]],Main_Issuance[],6,0)</f>
        <v>Multipurpose</v>
      </c>
      <c r="H818" s="17" t="str">
        <f>VLOOKUP(Main_Presentation[[#This Row],[LC Number]],Main_Issuance[],17,0)</f>
        <v>Credit</v>
      </c>
      <c r="I818" s="17" t="str">
        <f>VLOOKUP(Main_Presentation[[#This Row],[LC Number]],Main_Issuance[],7,0)</f>
        <v>TABUK STEEL COMPANY</v>
      </c>
      <c r="J818" s="17" t="str">
        <f>VLOOKUP(Main_Presentation[[#This Row],[LC Number]],Main_Issuance[],8,0)</f>
        <v>MBL</v>
      </c>
      <c r="K818" s="17" t="str">
        <f>VLOOKUP(Main_Presentation[[#This Row],[LC Number]],Main_Issuance[],9,0)</f>
        <v>Neom - The Line</v>
      </c>
      <c r="L818" s="17">
        <f>VLOOKUP(Main_Presentation[[#This Row],[LC Number]],Main_Issuance[],10,0)</f>
        <v>1020098</v>
      </c>
      <c r="M818" s="17" t="str">
        <f>VLOOKUP(Main_Presentation[[#This Row],[LC Number]],Main_Issuance[],11,0)</f>
        <v>SAR</v>
      </c>
      <c r="N818" s="84">
        <f>VLOOKUP(Main_Presentation[[#This Row],[LC Number]],Main_Issuance[],12,0)</f>
        <v>7566370.25</v>
      </c>
      <c r="O818" s="16" t="s">
        <v>20</v>
      </c>
      <c r="P818" s="16" t="s">
        <v>857</v>
      </c>
      <c r="Q818" s="131">
        <v>3819679</v>
      </c>
      <c r="R818" s="18">
        <v>1</v>
      </c>
      <c r="S818" s="18">
        <f>Main_Presentation[[#This Row],[Invoice Amt (FCY)]]*Main_Presentation[[#This Row],[Rate]]</f>
        <v>3819679</v>
      </c>
      <c r="T818" s="15">
        <v>45827</v>
      </c>
      <c r="U818" s="26" t="str">
        <f>VLOOKUP(Main_Presentation[[#This Row],[LC Number]],Main_Issuance[],18,0)</f>
        <v>30 Days from Invoice Date</v>
      </c>
      <c r="V818" s="17" t="s">
        <v>304</v>
      </c>
      <c r="W818" s="22" t="s">
        <v>857</v>
      </c>
      <c r="X818" s="16"/>
      <c r="Y818" s="234" t="str">
        <f>TRIM(LEFT(Main_Presentation[[#This Row],[Payment Terms]],3))</f>
        <v>30</v>
      </c>
      <c r="Z818" s="16"/>
      <c r="AA818" s="316" cm="1">
        <f t="array" ref="AA818">Settlement(Main_Presentation[[#This Row],[Bank]],Main_Presentation[[#This Row],[ Invoice Amt (SAR)]],Main_Presentation[[#This Row],[Date Recd]],Main_Presentation[[#This Row],[Due Date]],Main_Presentation[[#This Row],[Days]])</f>
        <v>0</v>
      </c>
      <c r="AB818" s="16"/>
    </row>
    <row r="819" spans="1:28" ht="15.75" hidden="1" x14ac:dyDescent="0.25">
      <c r="A819" s="20" t="s">
        <v>672</v>
      </c>
      <c r="B819" s="15">
        <v>45802</v>
      </c>
      <c r="C819" s="26">
        <v>25</v>
      </c>
      <c r="D819" s="55" t="str">
        <f>VLOOKUP(Main_Presentation[[#This Row],[LC Number]],Main_Issuance[],3,0)</f>
        <v>Tareeq Telmasani</v>
      </c>
      <c r="E819" s="16" t="s">
        <v>856</v>
      </c>
      <c r="F819" s="17" t="str">
        <f>VLOOKUP(Main_Presentation[[#This Row],[LC Number]],Main_Issuance[],5,0)</f>
        <v>SAB</v>
      </c>
      <c r="G819" s="17" t="str">
        <f>VLOOKUP(Main_Presentation[[#This Row],[LC Number]],Main_Issuance[],6,0)</f>
        <v>CEER</v>
      </c>
      <c r="H819" s="17" t="str">
        <f>VLOOKUP(Main_Presentation[[#This Row],[LC Number]],Main_Issuance[],17,0)</f>
        <v>Credit</v>
      </c>
      <c r="I819" s="17" t="str">
        <f>VLOOKUP(Main_Presentation[[#This Row],[LC Number]],Main_Issuance[],7,0)</f>
        <v>Roof Metal Ind LLC</v>
      </c>
      <c r="J819" s="17" t="str">
        <f>VLOOKUP(Main_Presentation[[#This Row],[LC Number]],Main_Issuance[],8,0)</f>
        <v>MBL</v>
      </c>
      <c r="K819" s="17" t="str">
        <f>VLOOKUP(Main_Presentation[[#This Row],[LC Number]],Main_Issuance[],9,0)</f>
        <v>CEER</v>
      </c>
      <c r="L819" s="17">
        <f>VLOOKUP(Main_Presentation[[#This Row],[LC Number]],Main_Issuance[],10,0)</f>
        <v>1020091</v>
      </c>
      <c r="M819" s="17" t="str">
        <f>VLOOKUP(Main_Presentation[[#This Row],[LC Number]],Main_Issuance[],11,0)</f>
        <v>AED</v>
      </c>
      <c r="N819" s="84">
        <f>VLOOKUP(Main_Presentation[[#This Row],[LC Number]],Main_Issuance[],12,0)</f>
        <v>12740122</v>
      </c>
      <c r="O819" s="16" t="s">
        <v>20</v>
      </c>
      <c r="P819" s="16" t="s">
        <v>857</v>
      </c>
      <c r="Q819" s="131">
        <v>440511.11</v>
      </c>
      <c r="R819" s="18">
        <v>1.026</v>
      </c>
      <c r="S819" s="18">
        <f>Main_Presentation[[#This Row],[Invoice Amt (FCY)]]*Main_Presentation[[#This Row],[Rate]]</f>
        <v>451964.39886000002</v>
      </c>
      <c r="T819" s="15">
        <v>45804</v>
      </c>
      <c r="U819" s="26" t="str">
        <f>VLOOKUP(Main_Presentation[[#This Row],[LC Number]],Main_Issuance[],18,0)</f>
        <v>Sight</v>
      </c>
      <c r="V819" s="17" t="s">
        <v>367</v>
      </c>
      <c r="W819" s="22" t="s">
        <v>857</v>
      </c>
      <c r="X819" s="16"/>
      <c r="Y819" s="234" t="str">
        <f>TRIM(LEFT(Main_Presentation[[#This Row],[Payment Terms]],3))</f>
        <v>Sig</v>
      </c>
      <c r="Z819" s="16"/>
      <c r="AA819" s="316" t="e" cm="1">
        <f t="array" ref="AA819">Settlement(Main_Presentation[[#This Row],[Bank]],Main_Presentation[[#This Row],[ Invoice Amt (SAR)]],Main_Presentation[[#This Row],[Date Recd]],Main_Presentation[[#This Row],[Due Date]],Main_Presentation[[#This Row],[Days]])</f>
        <v>#VALUE!</v>
      </c>
      <c r="AB819" s="16"/>
    </row>
    <row r="820" spans="1:28" ht="15.75" hidden="1" x14ac:dyDescent="0.25">
      <c r="A820" s="20" t="s">
        <v>1292</v>
      </c>
      <c r="B820" s="15">
        <v>45834</v>
      </c>
      <c r="C820" s="26">
        <v>1</v>
      </c>
      <c r="D820" s="55" t="str">
        <f>VLOOKUP(Main_Presentation[[#This Row],[LC Number]],Main_Issuance[],3,0)</f>
        <v>Hassan Taleb</v>
      </c>
      <c r="E820" s="16" t="s">
        <v>858</v>
      </c>
      <c r="F820" s="17" t="str">
        <f>VLOOKUP(Main_Presentation[[#This Row],[LC Number]],Main_Issuance[],5,0)</f>
        <v>BAB</v>
      </c>
      <c r="G820" s="17" t="str">
        <f>VLOOKUP(Main_Presentation[[#This Row],[LC Number]],Main_Issuance[],6,0)</f>
        <v>Cash</v>
      </c>
      <c r="H820" s="17" t="str">
        <f>VLOOKUP(Main_Presentation[[#This Row],[LC Number]],Main_Issuance[],17,0)</f>
        <v>Cash</v>
      </c>
      <c r="I820" s="17" t="str">
        <f>VLOOKUP(Main_Presentation[[#This Row],[LC Number]],Main_Issuance[],7,0)</f>
        <v>NMA ALMUTAMIZA INDUSTRIAL AND EQUIPMENT CO.</v>
      </c>
      <c r="J820" s="17" t="str">
        <f>VLOOKUP(Main_Presentation[[#This Row],[LC Number]],Main_Issuance[],8,0)</f>
        <v>FIRST FIX</v>
      </c>
      <c r="K820" s="17" t="str">
        <f>VLOOKUP(Main_Presentation[[#This Row],[LC Number]],Main_Issuance[],9,0)</f>
        <v>JCD SPMI</v>
      </c>
      <c r="L820" s="17">
        <f>VLOOKUP(Main_Presentation[[#This Row],[LC Number]],Main_Issuance[],10,0)</f>
        <v>1020100</v>
      </c>
      <c r="M820" s="17" t="str">
        <f>VLOOKUP(Main_Presentation[[#This Row],[LC Number]],Main_Issuance[],11,0)</f>
        <v>SAR</v>
      </c>
      <c r="N820" s="84">
        <f>VLOOKUP(Main_Presentation[[#This Row],[LC Number]],Main_Issuance[],12,0)</f>
        <v>200000</v>
      </c>
      <c r="O820" s="16" t="s">
        <v>20</v>
      </c>
      <c r="P820" s="16" t="s">
        <v>857</v>
      </c>
      <c r="Q820" s="131">
        <v>200000</v>
      </c>
      <c r="R820" s="18">
        <v>1</v>
      </c>
      <c r="S820" s="18">
        <f>Main_Presentation[[#This Row],[Invoice Amt (FCY)]]*Main_Presentation[[#This Row],[Rate]]</f>
        <v>200000</v>
      </c>
      <c r="T820" s="15">
        <v>45908</v>
      </c>
      <c r="U820" s="26" t="str">
        <f>VLOOKUP(Main_Presentation[[#This Row],[LC Number]],Main_Issuance[],18,0)</f>
        <v>120 Days from Invoice Date</v>
      </c>
      <c r="V820" s="17" t="s">
        <v>1849</v>
      </c>
      <c r="W820" s="22" t="s">
        <v>378</v>
      </c>
      <c r="X820" s="16"/>
      <c r="Y820" s="234" t="str">
        <f>TRIM(LEFT(Main_Presentation[[#This Row],[Payment Terms]],3))</f>
        <v>120</v>
      </c>
      <c r="Z820" s="16"/>
      <c r="AA820" s="316" cm="1">
        <f t="array" ref="AA820">Settlement(Main_Presentation[[#This Row],[Bank]],Main_Presentation[[#This Row],[ Invoice Amt (SAR)]],Main_Presentation[[#This Row],[Date Recd]],Main_Presentation[[#This Row],[Due Date]],Main_Presentation[[#This Row],[Days]])</f>
        <v>0</v>
      </c>
      <c r="AB820" s="16"/>
    </row>
    <row r="821" spans="1:28" ht="15.75" hidden="1" x14ac:dyDescent="0.25">
      <c r="A821" s="20" t="s">
        <v>1201</v>
      </c>
      <c r="B821" s="15">
        <v>45831</v>
      </c>
      <c r="C821" s="26">
        <v>1</v>
      </c>
      <c r="D821" s="55" t="str">
        <f>VLOOKUP(Main_Presentation[[#This Row],[LC Number]],Main_Issuance[],3,0)</f>
        <v>Hassan Taleb</v>
      </c>
      <c r="E821" s="16" t="s">
        <v>856</v>
      </c>
      <c r="F821" s="17" t="str">
        <f>VLOOKUP(Main_Presentation[[#This Row],[LC Number]],Main_Issuance[],5,0)</f>
        <v>SNB</v>
      </c>
      <c r="G821" s="17" t="str">
        <f>VLOOKUP(Main_Presentation[[#This Row],[LC Number]],Main_Issuance[],6,0)</f>
        <v>Opera House</v>
      </c>
      <c r="H821" s="17" t="str">
        <f>VLOOKUP(Main_Presentation[[#This Row],[LC Number]],Main_Issuance[],17,0)</f>
        <v>Credit</v>
      </c>
      <c r="I821" s="17" t="str">
        <f>VLOOKUP(Main_Presentation[[#This Row],[LC Number]],Main_Issuance[],7,0)</f>
        <v>ALFANAR ELECTRICAL SYSTEMS</v>
      </c>
      <c r="J821" s="17" t="str">
        <f>VLOOKUP(Main_Presentation[[#This Row],[LC Number]],Main_Issuance[],8,0)</f>
        <v>FIRST FIX</v>
      </c>
      <c r="K821" s="17" t="str">
        <f>VLOOKUP(Main_Presentation[[#This Row],[LC Number]],Main_Issuance[],9,0)</f>
        <v>KSP</v>
      </c>
      <c r="L821" s="17">
        <f>VLOOKUP(Main_Presentation[[#This Row],[LC Number]],Main_Issuance[],10,0)</f>
        <v>1020055</v>
      </c>
      <c r="M821" s="17" t="str">
        <f>VLOOKUP(Main_Presentation[[#This Row],[LC Number]],Main_Issuance[],11,0)</f>
        <v>SAR</v>
      </c>
      <c r="N821" s="84">
        <f>VLOOKUP(Main_Presentation[[#This Row],[LC Number]],Main_Issuance[],12,0)</f>
        <v>2330000.0099999998</v>
      </c>
      <c r="O821" s="16" t="s">
        <v>20</v>
      </c>
      <c r="P821" s="16" t="s">
        <v>378</v>
      </c>
      <c r="Q821" s="131">
        <v>1232500.01</v>
      </c>
      <c r="R821" s="18">
        <v>1</v>
      </c>
      <c r="S821" s="18">
        <f>Main_Presentation[[#This Row],[Invoice Amt (FCY)]]*Main_Presentation[[#This Row],[Rate]]</f>
        <v>1232500.01</v>
      </c>
      <c r="T821" s="15">
        <v>45866</v>
      </c>
      <c r="U821" s="26" t="str">
        <f>VLOOKUP(Main_Presentation[[#This Row],[LC Number]],Main_Issuance[],18,0)</f>
        <v>90 Days from Invoice Date</v>
      </c>
      <c r="V821" s="17" t="s">
        <v>22</v>
      </c>
      <c r="W821" s="22" t="s">
        <v>857</v>
      </c>
      <c r="X821" s="16"/>
      <c r="Y821" s="234" t="str">
        <f>TRIM(LEFT(Main_Presentation[[#This Row],[Payment Terms]],3))</f>
        <v>90</v>
      </c>
      <c r="Z821" s="16"/>
      <c r="AA821" s="316" cm="1">
        <f t="array" ref="AA821">Settlement(Main_Presentation[[#This Row],[Bank]],Main_Presentation[[#This Row],[ Invoice Amt (SAR)]],Main_Presentation[[#This Row],[Date Recd]],Main_Presentation[[#This Row],[Due Date]],Main_Presentation[[#This Row],[Days]])</f>
        <v>2993.45</v>
      </c>
      <c r="AB821" s="16"/>
    </row>
    <row r="822" spans="1:28" ht="15.75" hidden="1" x14ac:dyDescent="0.25">
      <c r="A822" s="247" t="s">
        <v>1210</v>
      </c>
      <c r="B822" s="15">
        <v>45827</v>
      </c>
      <c r="C822" s="26">
        <v>1</v>
      </c>
      <c r="D822" s="55" t="str">
        <f>VLOOKUP(Main_Presentation[[#This Row],[LC Number]],Main_Issuance[],3,0)</f>
        <v>Rabih Makhoul</v>
      </c>
      <c r="E822" s="16" t="s">
        <v>856</v>
      </c>
      <c r="F822" s="17" t="str">
        <f>VLOOKUP(Main_Presentation[[#This Row],[LC Number]],Main_Issuance[],5,0)</f>
        <v>Alinma</v>
      </c>
      <c r="G822" s="17" t="str">
        <f>VLOOKUP(Main_Presentation[[#This Row],[LC Number]],Main_Issuance[],6,0)</f>
        <v>KSP</v>
      </c>
      <c r="H822" s="17" t="str">
        <f>VLOOKUP(Main_Presentation[[#This Row],[LC Number]],Main_Issuance[],17,0)</f>
        <v>Credit</v>
      </c>
      <c r="I822" s="17" t="str">
        <f>VLOOKUP(Main_Presentation[[#This Row],[LC Number]],Main_Issuance[],7,0)</f>
        <v>AL-SAYED CENTER A/C FOR MATERIALS COMPANY</v>
      </c>
      <c r="J822" s="17" t="str">
        <f>VLOOKUP(Main_Presentation[[#This Row],[LC Number]],Main_Issuance[],8,0)</f>
        <v>FIRST FIX</v>
      </c>
      <c r="K822" s="17" t="str">
        <f>VLOOKUP(Main_Presentation[[#This Row],[LC Number]],Main_Issuance[],9,0)</f>
        <v>JCD SPMI</v>
      </c>
      <c r="L822" s="17">
        <f>VLOOKUP(Main_Presentation[[#This Row],[LC Number]],Main_Issuance[],10,0)</f>
        <v>1020100</v>
      </c>
      <c r="M822" s="17" t="str">
        <f>VLOOKUP(Main_Presentation[[#This Row],[LC Number]],Main_Issuance[],11,0)</f>
        <v>SAR</v>
      </c>
      <c r="N822" s="84">
        <f>VLOOKUP(Main_Presentation[[#This Row],[LC Number]],Main_Issuance[],12,0)</f>
        <v>400000</v>
      </c>
      <c r="O822" s="16" t="s">
        <v>20</v>
      </c>
      <c r="P822" s="16" t="s">
        <v>857</v>
      </c>
      <c r="Q822" s="131">
        <v>400000</v>
      </c>
      <c r="R822" s="18">
        <v>1</v>
      </c>
      <c r="S822" s="18">
        <f>Main_Presentation[[#This Row],[Invoice Amt (FCY)]]*Main_Presentation[[#This Row],[Rate]]</f>
        <v>400000</v>
      </c>
      <c r="T822" s="15">
        <v>45901</v>
      </c>
      <c r="U822" s="26" t="str">
        <f>VLOOKUP(Main_Presentation[[#This Row],[LC Number]],Main_Issuance[],18,0)</f>
        <v>90 Days from Invoice Date</v>
      </c>
      <c r="V822" s="17" t="s">
        <v>304</v>
      </c>
      <c r="W822" s="22" t="s">
        <v>378</v>
      </c>
      <c r="X822" s="16"/>
      <c r="Y822" s="234" t="str">
        <f>TRIM(LEFT(Main_Presentation[[#This Row],[Payment Terms]],3))</f>
        <v>90</v>
      </c>
      <c r="Z822" s="16"/>
      <c r="AA822" s="316" cm="1">
        <f t="array" ref="AA822">Settlement(Main_Presentation[[#This Row],[Bank]],Main_Presentation[[#This Row],[ Invoice Amt (SAR)]],Main_Presentation[[#This Row],[Date Recd]],Main_Presentation[[#This Row],[Due Date]],Main_Presentation[[#This Row],[Days]])</f>
        <v>1437.5</v>
      </c>
      <c r="AB822" s="16"/>
    </row>
    <row r="823" spans="1:28" ht="15.75" hidden="1" x14ac:dyDescent="0.25">
      <c r="A823" s="20" t="s">
        <v>1316</v>
      </c>
      <c r="B823" s="15">
        <v>45846</v>
      </c>
      <c r="C823" s="26">
        <v>1</v>
      </c>
      <c r="D823" s="55" t="str">
        <f>VLOOKUP(Main_Presentation[[#This Row],[LC Number]],Main_Issuance[],3,0)</f>
        <v>Hassan Taleb</v>
      </c>
      <c r="E823" s="16" t="s">
        <v>856</v>
      </c>
      <c r="F823" s="17" t="str">
        <f>VLOOKUP(Main_Presentation[[#This Row],[LC Number]],Main_Issuance[],5,0)</f>
        <v>Alinma</v>
      </c>
      <c r="G823" s="17" t="str">
        <f>VLOOKUP(Main_Presentation[[#This Row],[LC Number]],Main_Issuance[],6,0)</f>
        <v>KSP</v>
      </c>
      <c r="H823" s="17" t="str">
        <f>VLOOKUP(Main_Presentation[[#This Row],[LC Number]],Main_Issuance[],17,0)</f>
        <v>Credit</v>
      </c>
      <c r="I823" s="17" t="str">
        <f>VLOOKUP(Main_Presentation[[#This Row],[LC Number]],Main_Issuance[],7,0)</f>
        <v>SAFID CO.LTD.</v>
      </c>
      <c r="J823" s="17" t="str">
        <f>VLOOKUP(Main_Presentation[[#This Row],[LC Number]],Main_Issuance[],8,0)</f>
        <v>FIRST FIX</v>
      </c>
      <c r="K823" s="17" t="str">
        <f>VLOOKUP(Main_Presentation[[#This Row],[LC Number]],Main_Issuance[],9,0)</f>
        <v>KSP</v>
      </c>
      <c r="L823" s="17">
        <f>VLOOKUP(Main_Presentation[[#This Row],[LC Number]],Main_Issuance[],10,0)</f>
        <v>1020055</v>
      </c>
      <c r="M823" s="17" t="str">
        <f>VLOOKUP(Main_Presentation[[#This Row],[LC Number]],Main_Issuance[],11,0)</f>
        <v>SAR</v>
      </c>
      <c r="N823" s="84">
        <f>VLOOKUP(Main_Presentation[[#This Row],[LC Number]],Main_Issuance[],12,0)</f>
        <v>1161954.08</v>
      </c>
      <c r="O823" s="16" t="s">
        <v>20</v>
      </c>
      <c r="P823" s="16" t="s">
        <v>857</v>
      </c>
      <c r="Q823" s="131">
        <v>1161954.08</v>
      </c>
      <c r="R823" s="18">
        <v>1</v>
      </c>
      <c r="S823" s="18">
        <f>Main_Presentation[[#This Row],[Invoice Amt (FCY)]]*Main_Presentation[[#This Row],[Rate]]</f>
        <v>1161954.08</v>
      </c>
      <c r="T823" s="15">
        <v>45936</v>
      </c>
      <c r="U823" s="26" t="str">
        <f>VLOOKUP(Main_Presentation[[#This Row],[LC Number]],Main_Issuance[],18,0)</f>
        <v>120 Days from Invoice Date</v>
      </c>
      <c r="V823" s="17" t="s">
        <v>22</v>
      </c>
      <c r="W823" s="22" t="s">
        <v>857</v>
      </c>
      <c r="X823" s="16"/>
      <c r="Y823" s="234" t="str">
        <f>TRIM(LEFT(Main_Presentation[[#This Row],[Payment Terms]],3))</f>
        <v>120</v>
      </c>
      <c r="Z823" s="16"/>
      <c r="AA823" s="316" cm="1">
        <f t="array" ref="AA823">Settlement(Main_Presentation[[#This Row],[Bank]],Main_Presentation[[#This Row],[ Invoice Amt (SAR)]],Main_Presentation[[#This Row],[Date Recd]],Main_Presentation[[#This Row],[Due Date]],Main_Presentation[[#This Row],[Days]])</f>
        <v>1669.8</v>
      </c>
      <c r="AB823" s="16"/>
    </row>
    <row r="824" spans="1:28" ht="15.75" hidden="1" x14ac:dyDescent="0.25">
      <c r="A824" s="247" t="s">
        <v>1193</v>
      </c>
      <c r="B824" s="15">
        <v>45824</v>
      </c>
      <c r="C824" s="26">
        <v>1</v>
      </c>
      <c r="D824" s="55" t="str">
        <f>VLOOKUP(Main_Presentation[[#This Row],[LC Number]],Main_Issuance[],3,0)</f>
        <v>Rabih Makhoul</v>
      </c>
      <c r="E824" s="16" t="s">
        <v>858</v>
      </c>
      <c r="F824" s="17" t="str">
        <f>VLOOKUP(Main_Presentation[[#This Row],[LC Number]],Main_Issuance[],5,0)</f>
        <v>Alinma</v>
      </c>
      <c r="G824" s="17" t="str">
        <f>VLOOKUP(Main_Presentation[[#This Row],[LC Number]],Main_Issuance[],6,0)</f>
        <v>KSP</v>
      </c>
      <c r="H824" s="17" t="str">
        <f>VLOOKUP(Main_Presentation[[#This Row],[LC Number]],Main_Issuance[],17,0)</f>
        <v>Credit</v>
      </c>
      <c r="I824" s="17" t="str">
        <f>VLOOKUP(Main_Presentation[[#This Row],[LC Number]],Main_Issuance[],7,0)</f>
        <v>National Marketing Est Co Ltd</v>
      </c>
      <c r="J824" s="17" t="str">
        <f>VLOOKUP(Main_Presentation[[#This Row],[LC Number]],Main_Issuance[],8,0)</f>
        <v>FIRST FIX</v>
      </c>
      <c r="K824" s="17" t="str">
        <f>VLOOKUP(Main_Presentation[[#This Row],[LC Number]],Main_Issuance[],9,0)</f>
        <v>JCD SPMI</v>
      </c>
      <c r="L824" s="17">
        <f>VLOOKUP(Main_Presentation[[#This Row],[LC Number]],Main_Issuance[],10,0)</f>
        <v>1020100</v>
      </c>
      <c r="M824" s="17" t="str">
        <f>VLOOKUP(Main_Presentation[[#This Row],[LC Number]],Main_Issuance[],11,0)</f>
        <v>SAR</v>
      </c>
      <c r="N824" s="84">
        <f>VLOOKUP(Main_Presentation[[#This Row],[LC Number]],Main_Issuance[],12,0)</f>
        <v>780158</v>
      </c>
      <c r="O824" s="16" t="s">
        <v>20</v>
      </c>
      <c r="P824" s="16" t="s">
        <v>857</v>
      </c>
      <c r="Q824" s="131">
        <v>625975.29</v>
      </c>
      <c r="R824" s="18">
        <v>1</v>
      </c>
      <c r="S824" s="18">
        <f>Main_Presentation[[#This Row],[Invoice Amt (FCY)]]*Main_Presentation[[#This Row],[Rate]]</f>
        <v>625975.29</v>
      </c>
      <c r="T824" s="15">
        <v>45901</v>
      </c>
      <c r="U824" s="26" t="str">
        <f>VLOOKUP(Main_Presentation[[#This Row],[LC Number]],Main_Issuance[],18,0)</f>
        <v>90 Days from Invoice Date</v>
      </c>
      <c r="V824" s="17" t="s">
        <v>304</v>
      </c>
      <c r="W824" s="22" t="s">
        <v>378</v>
      </c>
      <c r="X824" s="16"/>
      <c r="Y824" s="234" t="str">
        <f>TRIM(LEFT(Main_Presentation[[#This Row],[Payment Terms]],3))</f>
        <v>90</v>
      </c>
      <c r="Z824" s="16"/>
      <c r="AA824" s="316" cm="1">
        <f t="array" ref="AA824">Settlement(Main_Presentation[[#This Row],[Bank]],Main_Presentation[[#This Row],[ Invoice Amt (SAR)]],Main_Presentation[[#This Row],[Date Recd]],Main_Presentation[[#This Row],[Due Date]],Main_Presentation[[#This Row],[Days]])</f>
        <v>1437.5</v>
      </c>
      <c r="AB824" s="16"/>
    </row>
    <row r="825" spans="1:28" ht="15.75" hidden="1" x14ac:dyDescent="0.25">
      <c r="A825" s="20" t="s">
        <v>794</v>
      </c>
      <c r="B825" s="15">
        <v>45826</v>
      </c>
      <c r="C825" s="26">
        <v>5</v>
      </c>
      <c r="D825" s="55" t="str">
        <f>VLOOKUP(Main_Presentation[[#This Row],[LC Number]],Main_Issuance[],3,0)</f>
        <v>Hassan Taleb</v>
      </c>
      <c r="E825" s="16" t="s">
        <v>856</v>
      </c>
      <c r="F825" s="17" t="str">
        <f>VLOOKUP(Main_Presentation[[#This Row],[LC Number]],Main_Issuance[],5,0)</f>
        <v>Alinma</v>
      </c>
      <c r="G825" s="17" t="str">
        <f>VLOOKUP(Main_Presentation[[#This Row],[LC Number]],Main_Issuance[],6,0)</f>
        <v>KSP</v>
      </c>
      <c r="H825" s="17" t="str">
        <f>VLOOKUP(Main_Presentation[[#This Row],[LC Number]],Main_Issuance[],17,0)</f>
        <v>Credit</v>
      </c>
      <c r="I825" s="17" t="str">
        <f>VLOOKUP(Main_Presentation[[#This Row],[LC Number]],Main_Issuance[],7,0)</f>
        <v>Al Fanar Electrical Systems</v>
      </c>
      <c r="J825" s="17" t="str">
        <f>VLOOKUP(Main_Presentation[[#This Row],[LC Number]],Main_Issuance[],8,0)</f>
        <v>FIRST FIX</v>
      </c>
      <c r="K825" s="17" t="str">
        <f>VLOOKUP(Main_Presentation[[#This Row],[LC Number]],Main_Issuance[],9,0)</f>
        <v>KSP</v>
      </c>
      <c r="L825" s="17">
        <f>VLOOKUP(Main_Presentation[[#This Row],[LC Number]],Main_Issuance[],10,0)</f>
        <v>1020055</v>
      </c>
      <c r="M825" s="17" t="str">
        <f>VLOOKUP(Main_Presentation[[#This Row],[LC Number]],Main_Issuance[],11,0)</f>
        <v>SAR</v>
      </c>
      <c r="N825" s="84">
        <f>VLOOKUP(Main_Presentation[[#This Row],[LC Number]],Main_Issuance[],12,0)</f>
        <v>2626749.98</v>
      </c>
      <c r="O825" s="16" t="s">
        <v>20</v>
      </c>
      <c r="P825" s="16" t="s">
        <v>857</v>
      </c>
      <c r="Q825" s="131">
        <v>749450</v>
      </c>
      <c r="R825" s="18">
        <v>1</v>
      </c>
      <c r="S825" s="18">
        <f>Main_Presentation[[#This Row],[Invoice Amt (FCY)]]*Main_Presentation[[#This Row],[Rate]]</f>
        <v>749450</v>
      </c>
      <c r="T825" s="15">
        <v>45901</v>
      </c>
      <c r="U825" s="26" t="str">
        <f>VLOOKUP(Main_Presentation[[#This Row],[LC Number]],Main_Issuance[],18,0)</f>
        <v>90 Days from Invoice Date</v>
      </c>
      <c r="V825" s="17" t="s">
        <v>613</v>
      </c>
      <c r="W825" s="22" t="s">
        <v>378</v>
      </c>
      <c r="X825" s="16"/>
      <c r="Y825" s="234" t="str">
        <f>TRIM(LEFT(Main_Presentation[[#This Row],[Payment Terms]],3))</f>
        <v>90</v>
      </c>
      <c r="Z825" s="16"/>
      <c r="AA825" s="316" cm="1">
        <f t="array" ref="AA825">Settlement(Main_Presentation[[#This Row],[Bank]],Main_Presentation[[#This Row],[ Invoice Amt (SAR)]],Main_Presentation[[#This Row],[Date Recd]],Main_Presentation[[#This Row],[Due Date]],Main_Presentation[[#This Row],[Days]])</f>
        <v>1437.5</v>
      </c>
      <c r="AB825" s="16"/>
    </row>
    <row r="826" spans="1:28" ht="15.75" hidden="1" x14ac:dyDescent="0.25">
      <c r="A826" s="20" t="s">
        <v>1272</v>
      </c>
      <c r="B826" s="15">
        <v>45811</v>
      </c>
      <c r="C826" s="26">
        <v>1</v>
      </c>
      <c r="D826" s="55" t="str">
        <f>VLOOKUP(Main_Presentation[[#This Row],[LC Number]],Main_Issuance[],3,0)</f>
        <v>Hassan Taleb</v>
      </c>
      <c r="E826" s="16" t="s">
        <v>858</v>
      </c>
      <c r="F826" s="17" t="str">
        <f>VLOOKUP(Main_Presentation[[#This Row],[LC Number]],Main_Issuance[],5,0)</f>
        <v>BAB</v>
      </c>
      <c r="G826" s="17" t="str">
        <f>VLOOKUP(Main_Presentation[[#This Row],[LC Number]],Main_Issuance[],6,0)</f>
        <v>Cash</v>
      </c>
      <c r="H826" s="17" t="str">
        <f>VLOOKUP(Main_Presentation[[#This Row],[LC Number]],Main_Issuance[],17,0)</f>
        <v>Cash</v>
      </c>
      <c r="I826" s="17" t="str">
        <f>VLOOKUP(Main_Presentation[[#This Row],[LC Number]],Main_Issuance[],7,0)</f>
        <v>TECHNICAL TOOLS TRADING COMPANY</v>
      </c>
      <c r="J826" s="17" t="str">
        <f>VLOOKUP(Main_Presentation[[#This Row],[LC Number]],Main_Issuance[],8,0)</f>
        <v>FIRST FIX</v>
      </c>
      <c r="K826" s="17" t="str">
        <f>VLOOKUP(Main_Presentation[[#This Row],[LC Number]],Main_Issuance[],9,0)</f>
        <v>JCD SPMI</v>
      </c>
      <c r="L826" s="17">
        <f>VLOOKUP(Main_Presentation[[#This Row],[LC Number]],Main_Issuance[],10,0)</f>
        <v>1020100</v>
      </c>
      <c r="M826" s="17" t="str">
        <f>VLOOKUP(Main_Presentation[[#This Row],[LC Number]],Main_Issuance[],11,0)</f>
        <v>SAR</v>
      </c>
      <c r="N826" s="84">
        <f>VLOOKUP(Main_Presentation[[#This Row],[LC Number]],Main_Issuance[],12,0)</f>
        <v>200000</v>
      </c>
      <c r="O826" s="16" t="s">
        <v>20</v>
      </c>
      <c r="P826" s="16" t="s">
        <v>857</v>
      </c>
      <c r="Q826" s="131">
        <v>200000</v>
      </c>
      <c r="R826" s="18">
        <v>1</v>
      </c>
      <c r="S826" s="18">
        <f>Main_Presentation[[#This Row],[Invoice Amt (FCY)]]*Main_Presentation[[#This Row],[Rate]]</f>
        <v>200000</v>
      </c>
      <c r="T826" s="15">
        <v>45908</v>
      </c>
      <c r="U826" s="26" t="str">
        <f>VLOOKUP(Main_Presentation[[#This Row],[LC Number]],Main_Issuance[],18,0)</f>
        <v>120 Days from Invoice Date</v>
      </c>
      <c r="V826" s="17" t="s">
        <v>1849</v>
      </c>
      <c r="W826" s="22" t="s">
        <v>378</v>
      </c>
      <c r="X826" s="16"/>
      <c r="Y826" s="234" t="str">
        <f>TRIM(LEFT(Main_Presentation[[#This Row],[Payment Terms]],3))</f>
        <v>120</v>
      </c>
      <c r="Z826" s="16"/>
      <c r="AA826" s="316" cm="1">
        <f t="array" ref="AA826">Settlement(Main_Presentation[[#This Row],[Bank]],Main_Presentation[[#This Row],[ Invoice Amt (SAR)]],Main_Presentation[[#This Row],[Date Recd]],Main_Presentation[[#This Row],[Due Date]],Main_Presentation[[#This Row],[Days]])</f>
        <v>0</v>
      </c>
      <c r="AB826" s="16"/>
    </row>
    <row r="827" spans="1:28" ht="15.75" hidden="1" x14ac:dyDescent="0.25">
      <c r="A827" s="20" t="s">
        <v>1277</v>
      </c>
      <c r="B827" s="15">
        <v>45825</v>
      </c>
      <c r="C827" s="26">
        <v>1</v>
      </c>
      <c r="D827" s="55" t="str">
        <f>VLOOKUP(Main_Presentation[[#This Row],[LC Number]],Main_Issuance[],3,0)</f>
        <v>Hassan Taleb</v>
      </c>
      <c r="E827" s="16" t="s">
        <v>858</v>
      </c>
      <c r="F827" s="17" t="str">
        <f>VLOOKUP(Main_Presentation[[#This Row],[LC Number]],Main_Issuance[],5,0)</f>
        <v>BAB</v>
      </c>
      <c r="G827" s="17" t="str">
        <f>VLOOKUP(Main_Presentation[[#This Row],[LC Number]],Main_Issuance[],6,0)</f>
        <v>Cash</v>
      </c>
      <c r="H827" s="17" t="str">
        <f>VLOOKUP(Main_Presentation[[#This Row],[LC Number]],Main_Issuance[],17,0)</f>
        <v>Cash</v>
      </c>
      <c r="I827" s="17" t="str">
        <f>VLOOKUP(Main_Presentation[[#This Row],[LC Number]],Main_Issuance[],7,0)</f>
        <v>SAHM AL-MADINAH CONTRACTING EST</v>
      </c>
      <c r="J827" s="17" t="str">
        <f>VLOOKUP(Main_Presentation[[#This Row],[LC Number]],Main_Issuance[],8,0)</f>
        <v>FIRST FIX</v>
      </c>
      <c r="K827" s="17" t="str">
        <f>VLOOKUP(Main_Presentation[[#This Row],[LC Number]],Main_Issuance[],9,0)</f>
        <v>JCD SPMI</v>
      </c>
      <c r="L827" s="17">
        <f>VLOOKUP(Main_Presentation[[#This Row],[LC Number]],Main_Issuance[],10,0)</f>
        <v>1020100</v>
      </c>
      <c r="M827" s="17" t="str">
        <f>VLOOKUP(Main_Presentation[[#This Row],[LC Number]],Main_Issuance[],11,0)</f>
        <v>SAR</v>
      </c>
      <c r="N827" s="84">
        <f>VLOOKUP(Main_Presentation[[#This Row],[LC Number]],Main_Issuance[],12,0)</f>
        <v>500000</v>
      </c>
      <c r="O827" s="16" t="s">
        <v>20</v>
      </c>
      <c r="P827" s="16" t="s">
        <v>857</v>
      </c>
      <c r="Q827" s="131">
        <v>500000</v>
      </c>
      <c r="R827" s="18">
        <v>1</v>
      </c>
      <c r="S827" s="18">
        <f>Main_Presentation[[#This Row],[Invoice Amt (FCY)]]*Main_Presentation[[#This Row],[Rate]]</f>
        <v>500000</v>
      </c>
      <c r="T827" s="15">
        <v>45908</v>
      </c>
      <c r="U827" s="26" t="str">
        <f>VLOOKUP(Main_Presentation[[#This Row],[LC Number]],Main_Issuance[],18,0)</f>
        <v>120 Days from Invoice Date</v>
      </c>
      <c r="V827" s="17" t="s">
        <v>1849</v>
      </c>
      <c r="W827" s="22" t="s">
        <v>378</v>
      </c>
      <c r="X827" s="16" t="s">
        <v>1835</v>
      </c>
      <c r="Y827" s="234" t="str">
        <f>TRIM(LEFT(Main_Presentation[[#This Row],[Payment Terms]],3))</f>
        <v>120</v>
      </c>
      <c r="Z827" s="16"/>
      <c r="AA827" s="316" cm="1">
        <f t="array" ref="AA827">Settlement(Main_Presentation[[#This Row],[Bank]],Main_Presentation[[#This Row],[ Invoice Amt (SAR)]],Main_Presentation[[#This Row],[Date Recd]],Main_Presentation[[#This Row],[Due Date]],Main_Presentation[[#This Row],[Days]])</f>
        <v>0</v>
      </c>
      <c r="AB827" s="16"/>
    </row>
    <row r="828" spans="1:28" ht="15.75" hidden="1" x14ac:dyDescent="0.25">
      <c r="A828" s="20" t="s">
        <v>1287</v>
      </c>
      <c r="B828" s="15">
        <v>45822</v>
      </c>
      <c r="C828" s="26">
        <v>1</v>
      </c>
      <c r="D828" s="55" t="str">
        <f>VLOOKUP(Main_Presentation[[#This Row],[LC Number]],Main_Issuance[],3,0)</f>
        <v>Matthew Mckernan</v>
      </c>
      <c r="E828" s="16" t="s">
        <v>858</v>
      </c>
      <c r="F828" s="17" t="str">
        <f>VLOOKUP(Main_Presentation[[#This Row],[LC Number]],Main_Issuance[],5,0)</f>
        <v>BAB</v>
      </c>
      <c r="G828" s="17" t="str">
        <f>VLOOKUP(Main_Presentation[[#This Row],[LC Number]],Main_Issuance[],6,0)</f>
        <v>Cash</v>
      </c>
      <c r="H828" s="17" t="str">
        <f>VLOOKUP(Main_Presentation[[#This Row],[LC Number]],Main_Issuance[],17,0)</f>
        <v>Cash</v>
      </c>
      <c r="I828" s="17" t="str">
        <f>VLOOKUP(Main_Presentation[[#This Row],[LC Number]],Main_Issuance[],7,0)</f>
        <v>Al Yamamah Company for Reinforcing Steel Bars</v>
      </c>
      <c r="J828" s="17" t="str">
        <f>VLOOKUP(Main_Presentation[[#This Row],[LC Number]],Main_Issuance[],8,0)</f>
        <v>MBL</v>
      </c>
      <c r="K828" s="17" t="str">
        <f>VLOOKUP(Main_Presentation[[#This Row],[LC Number]],Main_Issuance[],9,0)</f>
        <v>OPERA House</v>
      </c>
      <c r="L828" s="17">
        <f>VLOOKUP(Main_Presentation[[#This Row],[LC Number]],Main_Issuance[],10,0)</f>
        <v>1020097</v>
      </c>
      <c r="M828" s="17" t="str">
        <f>VLOOKUP(Main_Presentation[[#This Row],[LC Number]],Main_Issuance[],11,0)</f>
        <v>SAR</v>
      </c>
      <c r="N828" s="84">
        <f>VLOOKUP(Main_Presentation[[#This Row],[LC Number]],Main_Issuance[],12,0)</f>
        <v>6439356</v>
      </c>
      <c r="O828" s="16" t="s">
        <v>20</v>
      </c>
      <c r="P828" s="16" t="s">
        <v>857</v>
      </c>
      <c r="Q828" s="131">
        <v>6439356</v>
      </c>
      <c r="R828" s="18">
        <v>1</v>
      </c>
      <c r="S828" s="18">
        <f>Main_Presentation[[#This Row],[Invoice Amt (FCY)]]*Main_Presentation[[#This Row],[Rate]]</f>
        <v>6439356</v>
      </c>
      <c r="T828" s="15">
        <v>45910</v>
      </c>
      <c r="U828" s="26" t="str">
        <f>VLOOKUP(Main_Presentation[[#This Row],[LC Number]],Main_Issuance[],18,0)</f>
        <v>120 Days from Invoice Date</v>
      </c>
      <c r="V828" s="17" t="s">
        <v>1849</v>
      </c>
      <c r="W828" s="22" t="s">
        <v>378</v>
      </c>
      <c r="X828" s="16"/>
      <c r="Y828" s="234" t="str">
        <f>TRIM(LEFT(Main_Presentation[[#This Row],[Payment Terms]],3))</f>
        <v>120</v>
      </c>
      <c r="Z828" s="16"/>
      <c r="AA828" s="316" cm="1">
        <f t="array" ref="AA828">Settlement(Main_Presentation[[#This Row],[Bank]],Main_Presentation[[#This Row],[ Invoice Amt (SAR)]],Main_Presentation[[#This Row],[Date Recd]],Main_Presentation[[#This Row],[Due Date]],Main_Presentation[[#This Row],[Days]])</f>
        <v>0</v>
      </c>
      <c r="AB828" s="16"/>
    </row>
    <row r="829" spans="1:28" ht="15.75" hidden="1" x14ac:dyDescent="0.25">
      <c r="A829" s="20" t="s">
        <v>672</v>
      </c>
      <c r="B829" s="15">
        <v>45802</v>
      </c>
      <c r="C829" s="26">
        <v>26</v>
      </c>
      <c r="D829" s="55" t="str">
        <f>VLOOKUP(Main_Presentation[[#This Row],[LC Number]],Main_Issuance[],3,0)</f>
        <v>Tareeq Telmasani</v>
      </c>
      <c r="E829" s="16" t="s">
        <v>856</v>
      </c>
      <c r="F829" s="17" t="str">
        <f>VLOOKUP(Main_Presentation[[#This Row],[LC Number]],Main_Issuance[],5,0)</f>
        <v>SAB</v>
      </c>
      <c r="G829" s="17" t="str">
        <f>VLOOKUP(Main_Presentation[[#This Row],[LC Number]],Main_Issuance[],6,0)</f>
        <v>CEER</v>
      </c>
      <c r="H829" s="17" t="str">
        <f>VLOOKUP(Main_Presentation[[#This Row],[LC Number]],Main_Issuance[],17,0)</f>
        <v>Credit</v>
      </c>
      <c r="I829" s="17" t="str">
        <f>VLOOKUP(Main_Presentation[[#This Row],[LC Number]],Main_Issuance[],7,0)</f>
        <v>Roof Metal Ind LLC</v>
      </c>
      <c r="J829" s="17" t="str">
        <f>VLOOKUP(Main_Presentation[[#This Row],[LC Number]],Main_Issuance[],8,0)</f>
        <v>MBL</v>
      </c>
      <c r="K829" s="17" t="str">
        <f>VLOOKUP(Main_Presentation[[#This Row],[LC Number]],Main_Issuance[],9,0)</f>
        <v>CEER</v>
      </c>
      <c r="L829" s="17">
        <f>VLOOKUP(Main_Presentation[[#This Row],[LC Number]],Main_Issuance[],10,0)</f>
        <v>1020091</v>
      </c>
      <c r="M829" s="17" t="str">
        <f>VLOOKUP(Main_Presentation[[#This Row],[LC Number]],Main_Issuance[],11,0)</f>
        <v>AED</v>
      </c>
      <c r="N829" s="84">
        <f>VLOOKUP(Main_Presentation[[#This Row],[LC Number]],Main_Issuance[],12,0)</f>
        <v>12740122</v>
      </c>
      <c r="O829" s="16" t="s">
        <v>20</v>
      </c>
      <c r="P829" s="16" t="s">
        <v>857</v>
      </c>
      <c r="Q829" s="131">
        <v>562272.69999999995</v>
      </c>
      <c r="R829" s="18">
        <v>1.0262</v>
      </c>
      <c r="S829" s="18">
        <f>Main_Presentation[[#This Row],[Invoice Amt (FCY)]]*Main_Presentation[[#This Row],[Rate]]</f>
        <v>577004.24473999999</v>
      </c>
      <c r="T829" s="15">
        <v>45805</v>
      </c>
      <c r="U829" s="26" t="str">
        <f>VLOOKUP(Main_Presentation[[#This Row],[LC Number]],Main_Issuance[],18,0)</f>
        <v>Sight</v>
      </c>
      <c r="V829" s="17" t="s">
        <v>367</v>
      </c>
      <c r="W829" s="22" t="s">
        <v>857</v>
      </c>
      <c r="X829" s="16"/>
      <c r="Y829" s="234" t="str">
        <f>TRIM(LEFT(Main_Presentation[[#This Row],[Payment Terms]],3))</f>
        <v>Sig</v>
      </c>
      <c r="Z829" s="16"/>
      <c r="AA829" s="316" t="e" cm="1">
        <f t="array" ref="AA829">Settlement(Main_Presentation[[#This Row],[Bank]],Main_Presentation[[#This Row],[ Invoice Amt (SAR)]],Main_Presentation[[#This Row],[Date Recd]],Main_Presentation[[#This Row],[Due Date]],Main_Presentation[[#This Row],[Days]])</f>
        <v>#VALUE!</v>
      </c>
      <c r="AB829" s="16"/>
    </row>
    <row r="830" spans="1:28" ht="15.75" hidden="1" x14ac:dyDescent="0.25">
      <c r="A830" s="20" t="s">
        <v>627</v>
      </c>
      <c r="B830" s="15">
        <v>45803</v>
      </c>
      <c r="C830" s="26">
        <v>1</v>
      </c>
      <c r="D830" s="55" t="str">
        <f>VLOOKUP(Main_Presentation[[#This Row],[LC Number]],Main_Issuance[],3,0)</f>
        <v>Hassan Taleb</v>
      </c>
      <c r="E830" s="16" t="s">
        <v>858</v>
      </c>
      <c r="F830" s="17" t="str">
        <f>VLOOKUP(Main_Presentation[[#This Row],[LC Number]],Main_Issuance[],5,0)</f>
        <v>Alinma</v>
      </c>
      <c r="G830" s="17" t="str">
        <f>VLOOKUP(Main_Presentation[[#This Row],[LC Number]],Main_Issuance[],6,0)</f>
        <v>KSP</v>
      </c>
      <c r="H830" s="17" t="str">
        <f>VLOOKUP(Main_Presentation[[#This Row],[LC Number]],Main_Issuance[],17,0)</f>
        <v>Credit</v>
      </c>
      <c r="I830" s="17" t="str">
        <f>VLOOKUP(Main_Presentation[[#This Row],[LC Number]],Main_Issuance[],7,0)</f>
        <v>Optimal Engineering Solutions</v>
      </c>
      <c r="J830" s="17" t="str">
        <f>VLOOKUP(Main_Presentation[[#This Row],[LC Number]],Main_Issuance[],8,0)</f>
        <v>FIRST FIX</v>
      </c>
      <c r="K830" s="17" t="str">
        <f>VLOOKUP(Main_Presentation[[#This Row],[LC Number]],Main_Issuance[],9,0)</f>
        <v>KSP</v>
      </c>
      <c r="L830" s="17">
        <f>VLOOKUP(Main_Presentation[[#This Row],[LC Number]],Main_Issuance[],10,0)</f>
        <v>1020055</v>
      </c>
      <c r="M830" s="17" t="str">
        <f>VLOOKUP(Main_Presentation[[#This Row],[LC Number]],Main_Issuance[],11,0)</f>
        <v>SAR</v>
      </c>
      <c r="N830" s="84">
        <f>VLOOKUP(Main_Presentation[[#This Row],[LC Number]],Main_Issuance[],12,0)</f>
        <v>3000000</v>
      </c>
      <c r="O830" s="16" t="s">
        <v>20</v>
      </c>
      <c r="P830" s="16" t="s">
        <v>857</v>
      </c>
      <c r="Q830" s="131">
        <v>3000000</v>
      </c>
      <c r="R830" s="18">
        <v>1</v>
      </c>
      <c r="S830" s="18">
        <f>Main_Presentation[[#This Row],[Invoice Amt (FCY)]]*Main_Presentation[[#This Row],[Rate]]</f>
        <v>3000000</v>
      </c>
      <c r="T830" s="15">
        <v>45833</v>
      </c>
      <c r="U830" s="26" t="str">
        <f>VLOOKUP(Main_Presentation[[#This Row],[LC Number]],Main_Issuance[],18,0)</f>
        <v>90 Days from Invoice Date</v>
      </c>
      <c r="V830" s="17" t="s">
        <v>22</v>
      </c>
      <c r="W830" s="22" t="s">
        <v>857</v>
      </c>
      <c r="X830" s="16"/>
      <c r="Y830" s="234" t="str">
        <f>TRIM(LEFT(Main_Presentation[[#This Row],[Payment Terms]],3))</f>
        <v>90</v>
      </c>
      <c r="Z830" s="16"/>
      <c r="AA830" s="316" cm="1">
        <f t="array" ref="AA830">Settlement(Main_Presentation[[#This Row],[Bank]],Main_Presentation[[#This Row],[ Invoice Amt (SAR)]],Main_Presentation[[#This Row],[Date Recd]],Main_Presentation[[#This Row],[Due Date]],Main_Presentation[[#This Row],[Days]])</f>
        <v>1437.5</v>
      </c>
      <c r="AB830" s="16"/>
    </row>
    <row r="831" spans="1:28" ht="15.75" hidden="1" x14ac:dyDescent="0.25">
      <c r="A831" s="20" t="s">
        <v>672</v>
      </c>
      <c r="B831" s="15">
        <v>45804</v>
      </c>
      <c r="C831" s="26">
        <v>27</v>
      </c>
      <c r="D831" s="55" t="str">
        <f>VLOOKUP(Main_Presentation[[#This Row],[LC Number]],Main_Issuance[],3,0)</f>
        <v>Tareeq Telmasani</v>
      </c>
      <c r="E831" s="16" t="s">
        <v>856</v>
      </c>
      <c r="F831" s="17" t="str">
        <f>VLOOKUP(Main_Presentation[[#This Row],[LC Number]],Main_Issuance[],5,0)</f>
        <v>SAB</v>
      </c>
      <c r="G831" s="17" t="str">
        <f>VLOOKUP(Main_Presentation[[#This Row],[LC Number]],Main_Issuance[],6,0)</f>
        <v>CEER</v>
      </c>
      <c r="H831" s="17" t="str">
        <f>VLOOKUP(Main_Presentation[[#This Row],[LC Number]],Main_Issuance[],17,0)</f>
        <v>Credit</v>
      </c>
      <c r="I831" s="17" t="str">
        <f>VLOOKUP(Main_Presentation[[#This Row],[LC Number]],Main_Issuance[],7,0)</f>
        <v>Roof Metal Ind LLC</v>
      </c>
      <c r="J831" s="17" t="str">
        <f>VLOOKUP(Main_Presentation[[#This Row],[LC Number]],Main_Issuance[],8,0)</f>
        <v>MBL</v>
      </c>
      <c r="K831" s="17" t="str">
        <f>VLOOKUP(Main_Presentation[[#This Row],[LC Number]],Main_Issuance[],9,0)</f>
        <v>CEER</v>
      </c>
      <c r="L831" s="17">
        <f>VLOOKUP(Main_Presentation[[#This Row],[LC Number]],Main_Issuance[],10,0)</f>
        <v>1020091</v>
      </c>
      <c r="M831" s="17" t="str">
        <f>VLOOKUP(Main_Presentation[[#This Row],[LC Number]],Main_Issuance[],11,0)</f>
        <v>AED</v>
      </c>
      <c r="N831" s="84">
        <f>VLOOKUP(Main_Presentation[[#This Row],[LC Number]],Main_Issuance[],12,0)</f>
        <v>12740122</v>
      </c>
      <c r="O831" s="16" t="s">
        <v>20</v>
      </c>
      <c r="P831" s="16" t="s">
        <v>857</v>
      </c>
      <c r="Q831" s="131">
        <v>222104.35</v>
      </c>
      <c r="R831" s="18">
        <v>1.0261</v>
      </c>
      <c r="S831" s="18">
        <f>Main_Presentation[[#This Row],[Invoice Amt (FCY)]]*Main_Presentation[[#This Row],[Rate]]</f>
        <v>227901.27353500001</v>
      </c>
      <c r="T831" s="15">
        <v>45806</v>
      </c>
      <c r="U831" s="26" t="str">
        <f>VLOOKUP(Main_Presentation[[#This Row],[LC Number]],Main_Issuance[],18,0)</f>
        <v>Sight</v>
      </c>
      <c r="V831" s="17" t="s">
        <v>367</v>
      </c>
      <c r="W831" s="22" t="s">
        <v>857</v>
      </c>
      <c r="X831" s="16"/>
      <c r="Y831" s="234" t="str">
        <f>TRIM(LEFT(Main_Presentation[[#This Row],[Payment Terms]],3))</f>
        <v>Sig</v>
      </c>
      <c r="Z831" s="16"/>
      <c r="AA831" s="316" t="e" cm="1">
        <f t="array" ref="AA831">Settlement(Main_Presentation[[#This Row],[Bank]],Main_Presentation[[#This Row],[ Invoice Amt (SAR)]],Main_Presentation[[#This Row],[Date Recd]],Main_Presentation[[#This Row],[Due Date]],Main_Presentation[[#This Row],[Days]])</f>
        <v>#VALUE!</v>
      </c>
      <c r="AB831" s="16"/>
    </row>
    <row r="832" spans="1:28" ht="15.75" hidden="1" x14ac:dyDescent="0.25">
      <c r="A832" s="20" t="s">
        <v>672</v>
      </c>
      <c r="B832" s="15">
        <v>45804</v>
      </c>
      <c r="C832" s="26">
        <v>28</v>
      </c>
      <c r="D832" s="55" t="str">
        <f>VLOOKUP(Main_Presentation[[#This Row],[LC Number]],Main_Issuance[],3,0)</f>
        <v>Tareeq Telmasani</v>
      </c>
      <c r="E832" s="16" t="s">
        <v>856</v>
      </c>
      <c r="F832" s="17" t="str">
        <f>VLOOKUP(Main_Presentation[[#This Row],[LC Number]],Main_Issuance[],5,0)</f>
        <v>SAB</v>
      </c>
      <c r="G832" s="17" t="str">
        <f>VLOOKUP(Main_Presentation[[#This Row],[LC Number]],Main_Issuance[],6,0)</f>
        <v>CEER</v>
      </c>
      <c r="H832" s="17" t="str">
        <f>VLOOKUP(Main_Presentation[[#This Row],[LC Number]],Main_Issuance[],17,0)</f>
        <v>Credit</v>
      </c>
      <c r="I832" s="17" t="str">
        <f>VLOOKUP(Main_Presentation[[#This Row],[LC Number]],Main_Issuance[],7,0)</f>
        <v>Roof Metal Ind LLC</v>
      </c>
      <c r="J832" s="17" t="str">
        <f>VLOOKUP(Main_Presentation[[#This Row],[LC Number]],Main_Issuance[],8,0)</f>
        <v>MBL</v>
      </c>
      <c r="K832" s="17" t="str">
        <f>VLOOKUP(Main_Presentation[[#This Row],[LC Number]],Main_Issuance[],9,0)</f>
        <v>CEER</v>
      </c>
      <c r="L832" s="17">
        <f>VLOOKUP(Main_Presentation[[#This Row],[LC Number]],Main_Issuance[],10,0)</f>
        <v>1020091</v>
      </c>
      <c r="M832" s="17" t="str">
        <f>VLOOKUP(Main_Presentation[[#This Row],[LC Number]],Main_Issuance[],11,0)</f>
        <v>AED</v>
      </c>
      <c r="N832" s="84">
        <f>VLOOKUP(Main_Presentation[[#This Row],[LC Number]],Main_Issuance[],12,0)</f>
        <v>12740122</v>
      </c>
      <c r="O832" s="16" t="s">
        <v>20</v>
      </c>
      <c r="P832" s="16" t="s">
        <v>857</v>
      </c>
      <c r="Q832" s="131">
        <v>326763.67</v>
      </c>
      <c r="R832" s="18">
        <v>1.026</v>
      </c>
      <c r="S832" s="18">
        <f>Main_Presentation[[#This Row],[Invoice Amt (FCY)]]*Main_Presentation[[#This Row],[Rate]]</f>
        <v>335259.52541999996</v>
      </c>
      <c r="T832" s="15">
        <v>45806</v>
      </c>
      <c r="U832" s="26" t="str">
        <f>VLOOKUP(Main_Presentation[[#This Row],[LC Number]],Main_Issuance[],18,0)</f>
        <v>Sight</v>
      </c>
      <c r="V832" s="17" t="s">
        <v>367</v>
      </c>
      <c r="W832" s="22" t="s">
        <v>857</v>
      </c>
      <c r="X832" s="16"/>
      <c r="Y832" s="234" t="str">
        <f>TRIM(LEFT(Main_Presentation[[#This Row],[Payment Terms]],3))</f>
        <v>Sig</v>
      </c>
      <c r="Z832" s="16"/>
      <c r="AA832" s="316" t="e" cm="1">
        <f t="array" ref="AA832">Settlement(Main_Presentation[[#This Row],[Bank]],Main_Presentation[[#This Row],[ Invoice Amt (SAR)]],Main_Presentation[[#This Row],[Date Recd]],Main_Presentation[[#This Row],[Due Date]],Main_Presentation[[#This Row],[Days]])</f>
        <v>#VALUE!</v>
      </c>
      <c r="AB832" s="16"/>
    </row>
    <row r="833" spans="1:28" ht="15.75" hidden="1" x14ac:dyDescent="0.25">
      <c r="A833" s="20" t="s">
        <v>1352</v>
      </c>
      <c r="B833" s="15">
        <v>45820</v>
      </c>
      <c r="C833" s="26">
        <v>1</v>
      </c>
      <c r="D833" s="55" t="str">
        <f>VLOOKUP(Main_Presentation[[#This Row],[LC Number]],Main_Issuance[],3,0)</f>
        <v>Hassan Taleb</v>
      </c>
      <c r="E833" s="16" t="s">
        <v>856</v>
      </c>
      <c r="F833" s="17" t="str">
        <f>VLOOKUP(Main_Presentation[[#This Row],[LC Number]],Main_Issuance[],5,0)</f>
        <v>Alinma</v>
      </c>
      <c r="G833" s="17" t="str">
        <f>VLOOKUP(Main_Presentation[[#This Row],[LC Number]],Main_Issuance[],6,0)</f>
        <v>KSP</v>
      </c>
      <c r="H833" s="17" t="str">
        <f>VLOOKUP(Main_Presentation[[#This Row],[LC Number]],Main_Issuance[],17,0)</f>
        <v>Credit</v>
      </c>
      <c r="I833" s="17" t="str">
        <f>VLOOKUP(Main_Presentation[[#This Row],[LC Number]],Main_Issuance[],7,0)</f>
        <v>ALAM ALWEFAQ FOR CONTRACTING CO</v>
      </c>
      <c r="J833" s="17" t="str">
        <f>VLOOKUP(Main_Presentation[[#This Row],[LC Number]],Main_Issuance[],8,0)</f>
        <v>FIRST FIX</v>
      </c>
      <c r="K833" s="17" t="str">
        <f>VLOOKUP(Main_Presentation[[#This Row],[LC Number]],Main_Issuance[],9,0)</f>
        <v>KSP</v>
      </c>
      <c r="L833" s="17">
        <f>VLOOKUP(Main_Presentation[[#This Row],[LC Number]],Main_Issuance[],10,0)</f>
        <v>1020055</v>
      </c>
      <c r="M833" s="17" t="str">
        <f>VLOOKUP(Main_Presentation[[#This Row],[LC Number]],Main_Issuance[],11,0)</f>
        <v>SAR</v>
      </c>
      <c r="N833" s="84">
        <f>VLOOKUP(Main_Presentation[[#This Row],[LC Number]],Main_Issuance[],12,0)</f>
        <v>382850</v>
      </c>
      <c r="O833" s="16" t="s">
        <v>20</v>
      </c>
      <c r="P833" s="16" t="s">
        <v>857</v>
      </c>
      <c r="Q833" s="131">
        <v>382850</v>
      </c>
      <c r="R833" s="18">
        <v>1</v>
      </c>
      <c r="S833" s="18">
        <f>Main_Presentation[[#This Row],[Invoice Amt (FCY)]]*Main_Presentation[[#This Row],[Rate]]</f>
        <v>382850</v>
      </c>
      <c r="T833" s="15">
        <v>45929</v>
      </c>
      <c r="U833" s="26" t="str">
        <f>VLOOKUP(Main_Presentation[[#This Row],[LC Number]],Main_Issuance[],18,0)</f>
        <v>120 Days from Invoice Date</v>
      </c>
      <c r="V833" s="17" t="s">
        <v>22</v>
      </c>
      <c r="W833" s="22" t="s">
        <v>857</v>
      </c>
      <c r="X833" s="16"/>
      <c r="Y833" s="234" t="str">
        <f>TRIM(LEFT(Main_Presentation[[#This Row],[Payment Terms]],3))</f>
        <v>120</v>
      </c>
      <c r="Z833" s="16"/>
      <c r="AA833" s="316" cm="1">
        <f t="array" ref="AA833">Settlement(Main_Presentation[[#This Row],[Bank]],Main_Presentation[[#This Row],[ Invoice Amt (SAR)]],Main_Presentation[[#This Row],[Date Recd]],Main_Presentation[[#This Row],[Due Date]],Main_Presentation[[#This Row],[Days]])</f>
        <v>1437.5</v>
      </c>
      <c r="AB833" s="16"/>
    </row>
    <row r="834" spans="1:28" ht="15.75" hidden="1" x14ac:dyDescent="0.25">
      <c r="A834" s="20" t="s">
        <v>1297</v>
      </c>
      <c r="B834" s="15">
        <v>45837</v>
      </c>
      <c r="C834" s="26">
        <v>1</v>
      </c>
      <c r="D834" s="55" t="str">
        <f>VLOOKUP(Main_Presentation[[#This Row],[LC Number]],Main_Issuance[],3,0)</f>
        <v>Hassan Taleb</v>
      </c>
      <c r="E834" s="16" t="s">
        <v>858</v>
      </c>
      <c r="F834" s="17" t="str">
        <f>VLOOKUP(Main_Presentation[[#This Row],[LC Number]],Main_Issuance[],5,0)</f>
        <v>BAB</v>
      </c>
      <c r="G834" s="17" t="str">
        <f>VLOOKUP(Main_Presentation[[#This Row],[LC Number]],Main_Issuance[],6,0)</f>
        <v>Cash</v>
      </c>
      <c r="H834" s="17" t="str">
        <f>VLOOKUP(Main_Presentation[[#This Row],[LC Number]],Main_Issuance[],17,0)</f>
        <v>Cash</v>
      </c>
      <c r="I834" s="17" t="str">
        <f>VLOOKUP(Main_Presentation[[#This Row],[LC Number]],Main_Issuance[],7,0)</f>
        <v>ATEEQ AL-LUQMANI EST</v>
      </c>
      <c r="J834" s="17" t="str">
        <f>VLOOKUP(Main_Presentation[[#This Row],[LC Number]],Main_Issuance[],8,0)</f>
        <v>FIRST FIX</v>
      </c>
      <c r="K834" s="17" t="str">
        <f>VLOOKUP(Main_Presentation[[#This Row],[LC Number]],Main_Issuance[],9,0)</f>
        <v>JCD SPMI</v>
      </c>
      <c r="L834" s="17">
        <f>VLOOKUP(Main_Presentation[[#This Row],[LC Number]],Main_Issuance[],10,0)</f>
        <v>1020100</v>
      </c>
      <c r="M834" s="17" t="str">
        <f>VLOOKUP(Main_Presentation[[#This Row],[LC Number]],Main_Issuance[],11,0)</f>
        <v>SAR</v>
      </c>
      <c r="N834" s="84">
        <f>VLOOKUP(Main_Presentation[[#This Row],[LC Number]],Main_Issuance[],12,0)</f>
        <v>400000</v>
      </c>
      <c r="O834" s="16" t="s">
        <v>20</v>
      </c>
      <c r="P834" s="16" t="s">
        <v>857</v>
      </c>
      <c r="Q834" s="131">
        <v>400000</v>
      </c>
      <c r="R834" s="18">
        <v>1</v>
      </c>
      <c r="S834" s="18">
        <f>Main_Presentation[[#This Row],[Invoice Amt (FCY)]]*Main_Presentation[[#This Row],[Rate]]</f>
        <v>400000</v>
      </c>
      <c r="T834" s="15">
        <v>45908</v>
      </c>
      <c r="U834" s="26" t="str">
        <f>VLOOKUP(Main_Presentation[[#This Row],[LC Number]],Main_Issuance[],18,0)</f>
        <v>120 Days from Invoice Date</v>
      </c>
      <c r="V834" s="17" t="s">
        <v>1849</v>
      </c>
      <c r="W834" s="22" t="s">
        <v>378</v>
      </c>
      <c r="X834" s="16"/>
      <c r="Y834" s="234" t="str">
        <f>TRIM(LEFT(Main_Presentation[[#This Row],[Payment Terms]],3))</f>
        <v>120</v>
      </c>
      <c r="Z834" s="16"/>
      <c r="AA834" s="316" cm="1">
        <f t="array" ref="AA834">Settlement(Main_Presentation[[#This Row],[Bank]],Main_Presentation[[#This Row],[ Invoice Amt (SAR)]],Main_Presentation[[#This Row],[Date Recd]],Main_Presentation[[#This Row],[Due Date]],Main_Presentation[[#This Row],[Days]])</f>
        <v>0</v>
      </c>
      <c r="AB834" s="16"/>
    </row>
    <row r="835" spans="1:28" ht="15.75" hidden="1" x14ac:dyDescent="0.25">
      <c r="A835" s="20" t="s">
        <v>715</v>
      </c>
      <c r="B835" s="15">
        <v>45830</v>
      </c>
      <c r="C835" s="26">
        <v>2</v>
      </c>
      <c r="D835" s="55" t="str">
        <f>VLOOKUP(Main_Presentation[[#This Row],[LC Number]],Main_Issuance[],3,0)</f>
        <v>Hassan Taleb</v>
      </c>
      <c r="E835" s="16" t="s">
        <v>858</v>
      </c>
      <c r="F835" s="17" t="str">
        <f>VLOOKUP(Main_Presentation[[#This Row],[LC Number]],Main_Issuance[],5,0)</f>
        <v>SAB</v>
      </c>
      <c r="G835" s="17" t="str">
        <f>VLOOKUP(Main_Presentation[[#This Row],[LC Number]],Main_Issuance[],6,0)</f>
        <v>MP1</v>
      </c>
      <c r="H835" s="17" t="str">
        <f>VLOOKUP(Main_Presentation[[#This Row],[LC Number]],Main_Issuance[],17,0)</f>
        <v>Credit</v>
      </c>
      <c r="I835" s="17" t="str">
        <f>VLOOKUP(Main_Presentation[[#This Row],[LC Number]],Main_Issuance[],7,0)</f>
        <v>Elsewedy Cables Co Ltd</v>
      </c>
      <c r="J835" s="17" t="str">
        <f>VLOOKUP(Main_Presentation[[#This Row],[LC Number]],Main_Issuance[],8,0)</f>
        <v>FIRST FIX</v>
      </c>
      <c r="K835" s="17" t="str">
        <f>VLOOKUP(Main_Presentation[[#This Row],[LC Number]],Main_Issuance[],9,0)</f>
        <v>MP1</v>
      </c>
      <c r="L835" s="17">
        <f>VLOOKUP(Main_Presentation[[#This Row],[LC Number]],Main_Issuance[],10,0)</f>
        <v>1020088</v>
      </c>
      <c r="M835" s="17" t="str">
        <f>VLOOKUP(Main_Presentation[[#This Row],[LC Number]],Main_Issuance[],11,0)</f>
        <v>SAR</v>
      </c>
      <c r="N835" s="84">
        <f>VLOOKUP(Main_Presentation[[#This Row],[LC Number]],Main_Issuance[],12,0)</f>
        <v>4000000</v>
      </c>
      <c r="O835" s="16" t="s">
        <v>20</v>
      </c>
      <c r="P835" s="16" t="s">
        <v>857</v>
      </c>
      <c r="Q835" s="131">
        <v>2754572.98</v>
      </c>
      <c r="R835" s="18">
        <v>1</v>
      </c>
      <c r="S835" s="18">
        <f>Main_Presentation[[#This Row],[Invoice Amt (FCY)]]*Main_Presentation[[#This Row],[Rate]]</f>
        <v>2754572.98</v>
      </c>
      <c r="T835" s="15">
        <v>45893</v>
      </c>
      <c r="U835" s="26" t="str">
        <f>VLOOKUP(Main_Presentation[[#This Row],[LC Number]],Main_Issuance[],18,0)</f>
        <v>90 Days from Invoice Date</v>
      </c>
      <c r="V835" s="17" t="s">
        <v>367</v>
      </c>
      <c r="W835" s="22" t="s">
        <v>378</v>
      </c>
      <c r="X835" s="16"/>
      <c r="Y835" s="234" t="str">
        <f>TRIM(LEFT(Main_Presentation[[#This Row],[Payment Terms]],3))</f>
        <v>90</v>
      </c>
      <c r="Z835" s="16"/>
      <c r="AA835" s="316" cm="1">
        <f t="array" ref="AA835">Settlement(Main_Presentation[[#This Row],[Bank]],Main_Presentation[[#This Row],[ Invoice Amt (SAR)]],Main_Presentation[[#This Row],[Date Recd]],Main_Presentation[[#This Row],[Due Date]],Main_Presentation[[#This Row],[Days]])</f>
        <v>11879.5</v>
      </c>
      <c r="AB835" s="16"/>
    </row>
    <row r="836" spans="1:28" ht="15.75" hidden="1" x14ac:dyDescent="0.25">
      <c r="A836" s="20" t="s">
        <v>1317</v>
      </c>
      <c r="B836" s="15">
        <v>45824</v>
      </c>
      <c r="C836" s="26">
        <v>1</v>
      </c>
      <c r="D836" s="55" t="str">
        <f>VLOOKUP(Main_Presentation[[#This Row],[LC Number]],Main_Issuance[],3,0)</f>
        <v>Hassan Taleb</v>
      </c>
      <c r="E836" s="16" t="s">
        <v>856</v>
      </c>
      <c r="F836" s="17" t="str">
        <f>VLOOKUP(Main_Presentation[[#This Row],[LC Number]],Main_Issuance[],5,0)</f>
        <v>Alinma</v>
      </c>
      <c r="G836" s="17" t="str">
        <f>VLOOKUP(Main_Presentation[[#This Row],[LC Number]],Main_Issuance[],6,0)</f>
        <v>KSP</v>
      </c>
      <c r="H836" s="17" t="str">
        <f>VLOOKUP(Main_Presentation[[#This Row],[LC Number]],Main_Issuance[],17,0)</f>
        <v>Credit</v>
      </c>
      <c r="I836" s="17" t="str">
        <f>VLOOKUP(Main_Presentation[[#This Row],[LC Number]],Main_Issuance[],7,0)</f>
        <v>UNION PIPES INDUSTRY CO.</v>
      </c>
      <c r="J836" s="17" t="str">
        <f>VLOOKUP(Main_Presentation[[#This Row],[LC Number]],Main_Issuance[],8,0)</f>
        <v>FIRST FIX</v>
      </c>
      <c r="K836" s="17" t="str">
        <f>VLOOKUP(Main_Presentation[[#This Row],[LC Number]],Main_Issuance[],9,0)</f>
        <v>KSP</v>
      </c>
      <c r="L836" s="17">
        <f>VLOOKUP(Main_Presentation[[#This Row],[LC Number]],Main_Issuance[],10,0)</f>
        <v>1020055</v>
      </c>
      <c r="M836" s="17" t="str">
        <f>VLOOKUP(Main_Presentation[[#This Row],[LC Number]],Main_Issuance[],11,0)</f>
        <v>SAR</v>
      </c>
      <c r="N836" s="84">
        <f>VLOOKUP(Main_Presentation[[#This Row],[LC Number]],Main_Issuance[],12,0)</f>
        <v>304087.03999999998</v>
      </c>
      <c r="O836" s="16" t="s">
        <v>20</v>
      </c>
      <c r="P836" s="16" t="s">
        <v>857</v>
      </c>
      <c r="Q836" s="131">
        <v>304087.03999999998</v>
      </c>
      <c r="R836" s="18">
        <v>1</v>
      </c>
      <c r="S836" s="18">
        <f>Main_Presentation[[#This Row],[Invoice Amt (FCY)]]*Main_Presentation[[#This Row],[Rate]]</f>
        <v>304087.03999999998</v>
      </c>
      <c r="T836" s="15">
        <v>45929</v>
      </c>
      <c r="U836" s="26" t="str">
        <f>VLOOKUP(Main_Presentation[[#This Row],[LC Number]],Main_Issuance[],18,0)</f>
        <v>120 Days from Invoice Date</v>
      </c>
      <c r="V836" s="17" t="s">
        <v>22</v>
      </c>
      <c r="W836" s="22" t="s">
        <v>857</v>
      </c>
      <c r="X836" s="16"/>
      <c r="Y836" s="234" t="str">
        <f>TRIM(LEFT(Main_Presentation[[#This Row],[Payment Terms]],3))</f>
        <v>120</v>
      </c>
      <c r="Z836" s="16"/>
      <c r="AA836" s="316" cm="1">
        <f t="array" ref="AA836">Settlement(Main_Presentation[[#This Row],[Bank]],Main_Presentation[[#This Row],[ Invoice Amt (SAR)]],Main_Presentation[[#This Row],[Date Recd]],Main_Presentation[[#This Row],[Due Date]],Main_Presentation[[#This Row],[Days]])</f>
        <v>1437.5</v>
      </c>
      <c r="AB836" s="16"/>
    </row>
    <row r="837" spans="1:28" ht="15.75" hidden="1" x14ac:dyDescent="0.25">
      <c r="A837" s="20" t="s">
        <v>1171</v>
      </c>
      <c r="B837" s="15">
        <v>45841</v>
      </c>
      <c r="C837" s="26">
        <v>1</v>
      </c>
      <c r="D837" s="55" t="str">
        <f>VLOOKUP(Main_Presentation[[#This Row],[LC Number]],Main_Issuance[],3,0)</f>
        <v>Hassan Taleb</v>
      </c>
      <c r="E837" s="16" t="s">
        <v>858</v>
      </c>
      <c r="F837" s="17" t="str">
        <f>VLOOKUP(Main_Presentation[[#This Row],[LC Number]],Main_Issuance[],5,0)</f>
        <v>SAB</v>
      </c>
      <c r="G837" s="17" t="str">
        <f>VLOOKUP(Main_Presentation[[#This Row],[LC Number]],Main_Issuance[],6,0)</f>
        <v>MP1</v>
      </c>
      <c r="H837" s="17" t="str">
        <f>VLOOKUP(Main_Presentation[[#This Row],[LC Number]],Main_Issuance[],17,0)</f>
        <v>Credit</v>
      </c>
      <c r="I837" s="17" t="str">
        <f>VLOOKUP(Main_Presentation[[#This Row],[LC Number]],Main_Issuance[],7,0)</f>
        <v>AL NAKHEEL FOR TRADING CO</v>
      </c>
      <c r="J837" s="17" t="str">
        <f>VLOOKUP(Main_Presentation[[#This Row],[LC Number]],Main_Issuance[],8,0)</f>
        <v>FIRST FIX</v>
      </c>
      <c r="K837" s="17" t="str">
        <f>VLOOKUP(Main_Presentation[[#This Row],[LC Number]],Main_Issuance[],9,0)</f>
        <v>MP1</v>
      </c>
      <c r="L837" s="17">
        <f>VLOOKUP(Main_Presentation[[#This Row],[LC Number]],Main_Issuance[],10,0)</f>
        <v>1020088</v>
      </c>
      <c r="M837" s="17" t="str">
        <f>VLOOKUP(Main_Presentation[[#This Row],[LC Number]],Main_Issuance[],11,0)</f>
        <v>SAR</v>
      </c>
      <c r="N837" s="84">
        <f>VLOOKUP(Main_Presentation[[#This Row],[LC Number]],Main_Issuance[],12,0)</f>
        <v>540000</v>
      </c>
      <c r="O837" s="16" t="s">
        <v>20</v>
      </c>
      <c r="P837" s="16" t="s">
        <v>857</v>
      </c>
      <c r="Q837" s="131">
        <v>540000</v>
      </c>
      <c r="R837" s="18">
        <v>1</v>
      </c>
      <c r="S837" s="18">
        <f>Main_Presentation[[#This Row],[Invoice Amt (FCY)]]*Main_Presentation[[#This Row],[Rate]]</f>
        <v>540000</v>
      </c>
      <c r="T837" s="15">
        <v>45866</v>
      </c>
      <c r="U837" s="26" t="str">
        <f>VLOOKUP(Main_Presentation[[#This Row],[LC Number]],Main_Issuance[],18,0)</f>
        <v>90 Days from Invoice Date</v>
      </c>
      <c r="V837" s="17" t="s">
        <v>710</v>
      </c>
      <c r="W837" s="22" t="s">
        <v>857</v>
      </c>
      <c r="X837" s="16"/>
      <c r="Y837" s="234" t="str">
        <f>TRIM(LEFT(Main_Presentation[[#This Row],[Payment Terms]],3))</f>
        <v>90</v>
      </c>
      <c r="Z837" s="16"/>
      <c r="AA837" s="316" cm="1">
        <f t="array" ref="AA837">Settlement(Main_Presentation[[#This Row],[Bank]],Main_Presentation[[#This Row],[ Invoice Amt (SAR)]],Main_Presentation[[#This Row],[Date Recd]],Main_Presentation[[#This Row],[Due Date]],Main_Presentation[[#This Row],[Days]])</f>
        <v>2328.75</v>
      </c>
      <c r="AB837" s="16"/>
    </row>
    <row r="838" spans="1:28" ht="15.75" hidden="1" x14ac:dyDescent="0.25">
      <c r="A838" s="20" t="s">
        <v>1178</v>
      </c>
      <c r="B838" s="15">
        <v>45832</v>
      </c>
      <c r="C838" s="26">
        <v>1</v>
      </c>
      <c r="D838" s="55" t="str">
        <f>VLOOKUP(Main_Presentation[[#This Row],[LC Number]],Main_Issuance[],3,0)</f>
        <v>Hassan Taleb</v>
      </c>
      <c r="E838" s="16" t="s">
        <v>858</v>
      </c>
      <c r="F838" s="17" t="str">
        <f>VLOOKUP(Main_Presentation[[#This Row],[LC Number]],Main_Issuance[],5,0)</f>
        <v>SAB</v>
      </c>
      <c r="G838" s="17" t="str">
        <f>VLOOKUP(Main_Presentation[[#This Row],[LC Number]],Main_Issuance[],6,0)</f>
        <v>MP1</v>
      </c>
      <c r="H838" s="17" t="str">
        <f>VLOOKUP(Main_Presentation[[#This Row],[LC Number]],Main_Issuance[],17,0)</f>
        <v>Credit</v>
      </c>
      <c r="I838" s="17" t="str">
        <f>VLOOKUP(Main_Presentation[[#This Row],[LC Number]],Main_Issuance[],7,0)</f>
        <v>SITE TECHNOLOGY SAUDI ARABIA CO</v>
      </c>
      <c r="J838" s="17" t="str">
        <f>VLOOKUP(Main_Presentation[[#This Row],[LC Number]],Main_Issuance[],8,0)</f>
        <v>FIRST FIX</v>
      </c>
      <c r="K838" s="17" t="str">
        <f>VLOOKUP(Main_Presentation[[#This Row],[LC Number]],Main_Issuance[],9,0)</f>
        <v>MP1</v>
      </c>
      <c r="L838" s="17">
        <f>VLOOKUP(Main_Presentation[[#This Row],[LC Number]],Main_Issuance[],10,0)</f>
        <v>1020088</v>
      </c>
      <c r="M838" s="17" t="str">
        <f>VLOOKUP(Main_Presentation[[#This Row],[LC Number]],Main_Issuance[],11,0)</f>
        <v>SAR</v>
      </c>
      <c r="N838" s="84">
        <f>VLOOKUP(Main_Presentation[[#This Row],[LC Number]],Main_Issuance[],12,0)</f>
        <v>168705.07</v>
      </c>
      <c r="O838" s="16" t="s">
        <v>20</v>
      </c>
      <c r="P838" s="16" t="s">
        <v>857</v>
      </c>
      <c r="Q838" s="131">
        <v>168705.07</v>
      </c>
      <c r="R838" s="18">
        <v>1</v>
      </c>
      <c r="S838" s="18">
        <f>Main_Presentation[[#This Row],[Invoice Amt (FCY)]]*Main_Presentation[[#This Row],[Rate]]</f>
        <v>168705.07</v>
      </c>
      <c r="T838" s="15">
        <v>45858</v>
      </c>
      <c r="U838" s="26" t="str">
        <f>VLOOKUP(Main_Presentation[[#This Row],[LC Number]],Main_Issuance[],18,0)</f>
        <v>90 Days from Invoice Date</v>
      </c>
      <c r="V838" s="17" t="s">
        <v>710</v>
      </c>
      <c r="W838" s="22" t="s">
        <v>857</v>
      </c>
      <c r="X838" s="16"/>
      <c r="Y838" s="234" t="str">
        <f>TRIM(LEFT(Main_Presentation[[#This Row],[Payment Terms]],3))</f>
        <v>90</v>
      </c>
      <c r="Z838" s="16"/>
      <c r="AA838" s="316" cm="1">
        <f t="array" ref="AA838">Settlement(Main_Presentation[[#This Row],[Bank]],Main_Presentation[[#This Row],[ Invoice Amt (SAR)]],Main_Presentation[[#This Row],[Date Recd]],Main_Presentation[[#This Row],[Due Date]],Main_Presentation[[#This Row],[Days]])</f>
        <v>727.95</v>
      </c>
      <c r="AB838" s="16"/>
    </row>
    <row r="839" spans="1:28" ht="15.75" hidden="1" x14ac:dyDescent="0.25">
      <c r="A839" s="247" t="s">
        <v>1194</v>
      </c>
      <c r="B839" s="15">
        <v>45832</v>
      </c>
      <c r="C839" s="26">
        <v>1</v>
      </c>
      <c r="D839" s="55" t="str">
        <f>VLOOKUP(Main_Presentation[[#This Row],[LC Number]],Main_Issuance[],3,0)</f>
        <v>Rabih Makhoul</v>
      </c>
      <c r="E839" s="16" t="s">
        <v>856</v>
      </c>
      <c r="F839" s="17" t="str">
        <f>VLOOKUP(Main_Presentation[[#This Row],[LC Number]],Main_Issuance[],5,0)</f>
        <v>Alinma</v>
      </c>
      <c r="G839" s="17" t="str">
        <f>VLOOKUP(Main_Presentation[[#This Row],[LC Number]],Main_Issuance[],6,0)</f>
        <v>KSP</v>
      </c>
      <c r="H839" s="17" t="str">
        <f>VLOOKUP(Main_Presentation[[#This Row],[LC Number]],Main_Issuance[],17,0)</f>
        <v>Credit</v>
      </c>
      <c r="I839" s="17" t="str">
        <f>VLOOKUP(Main_Presentation[[#This Row],[LC Number]],Main_Issuance[],7,0)</f>
        <v>Systemair For Electrical Equipment Co.</v>
      </c>
      <c r="J839" s="17" t="str">
        <f>VLOOKUP(Main_Presentation[[#This Row],[LC Number]],Main_Issuance[],8,0)</f>
        <v>FIRST FIX</v>
      </c>
      <c r="K839" s="17" t="str">
        <f>VLOOKUP(Main_Presentation[[#This Row],[LC Number]],Main_Issuance[],9,0)</f>
        <v>JCD SPMI</v>
      </c>
      <c r="L839" s="17">
        <f>VLOOKUP(Main_Presentation[[#This Row],[LC Number]],Main_Issuance[],10,0)</f>
        <v>1020100</v>
      </c>
      <c r="M839" s="17" t="str">
        <f>VLOOKUP(Main_Presentation[[#This Row],[LC Number]],Main_Issuance[],11,0)</f>
        <v>SAR</v>
      </c>
      <c r="N839" s="84">
        <f>VLOOKUP(Main_Presentation[[#This Row],[LC Number]],Main_Issuance[],12,0)</f>
        <v>500000</v>
      </c>
      <c r="O839" s="16" t="s">
        <v>20</v>
      </c>
      <c r="P839" s="16" t="s">
        <v>857</v>
      </c>
      <c r="Q839" s="131">
        <v>155888.54999999999</v>
      </c>
      <c r="R839" s="18">
        <v>1</v>
      </c>
      <c r="S839" s="18">
        <f>Main_Presentation[[#This Row],[Invoice Amt (FCY)]]*Main_Presentation[[#This Row],[Rate]]</f>
        <v>155888.54999999999</v>
      </c>
      <c r="T839" s="15">
        <v>45901</v>
      </c>
      <c r="U839" s="26" t="str">
        <f>VLOOKUP(Main_Presentation[[#This Row],[LC Number]],Main_Issuance[],18,0)</f>
        <v>90 Days from Invoice Date</v>
      </c>
      <c r="V839" s="17" t="s">
        <v>304</v>
      </c>
      <c r="W839" s="22" t="s">
        <v>378</v>
      </c>
      <c r="X839" s="16"/>
      <c r="Y839" s="234" t="str">
        <f>TRIM(LEFT(Main_Presentation[[#This Row],[Payment Terms]],3))</f>
        <v>90</v>
      </c>
      <c r="Z839" s="16"/>
      <c r="AA839" s="316" cm="1">
        <f t="array" ref="AA839">Settlement(Main_Presentation[[#This Row],[Bank]],Main_Presentation[[#This Row],[ Invoice Amt (SAR)]],Main_Presentation[[#This Row],[Date Recd]],Main_Presentation[[#This Row],[Due Date]],Main_Presentation[[#This Row],[Days]])</f>
        <v>1437.5</v>
      </c>
      <c r="AB839" s="16"/>
    </row>
    <row r="840" spans="1:28" ht="15.75" hidden="1" x14ac:dyDescent="0.25">
      <c r="A840" s="20" t="s">
        <v>1288</v>
      </c>
      <c r="B840" s="15">
        <v>45832</v>
      </c>
      <c r="C840" s="26">
        <v>1</v>
      </c>
      <c r="D840" s="55" t="str">
        <f>VLOOKUP(Main_Presentation[[#This Row],[LC Number]],Main_Issuance[],3,0)</f>
        <v>Hassan Taleb</v>
      </c>
      <c r="E840" s="16" t="s">
        <v>858</v>
      </c>
      <c r="F840" s="17" t="str">
        <f>VLOOKUP(Main_Presentation[[#This Row],[LC Number]],Main_Issuance[],5,0)</f>
        <v>BAB</v>
      </c>
      <c r="G840" s="17" t="str">
        <f>VLOOKUP(Main_Presentation[[#This Row],[LC Number]],Main_Issuance[],6,0)</f>
        <v>Cash</v>
      </c>
      <c r="H840" s="17" t="str">
        <f>VLOOKUP(Main_Presentation[[#This Row],[LC Number]],Main_Issuance[],17,0)</f>
        <v>Cash</v>
      </c>
      <c r="I840" s="17" t="str">
        <f>VLOOKUP(Main_Presentation[[#This Row],[LC Number]],Main_Issuance[],7,0)</f>
        <v>DALHAM AL JANOUB CONTRACTING EST.</v>
      </c>
      <c r="J840" s="17" t="str">
        <f>VLOOKUP(Main_Presentation[[#This Row],[LC Number]],Main_Issuance[],8,0)</f>
        <v>FIRST FIX</v>
      </c>
      <c r="K840" s="17" t="str">
        <f>VLOOKUP(Main_Presentation[[#This Row],[LC Number]],Main_Issuance[],9,0)</f>
        <v>JCD SPMI</v>
      </c>
      <c r="L840" s="17">
        <f>VLOOKUP(Main_Presentation[[#This Row],[LC Number]],Main_Issuance[],10,0)</f>
        <v>1020100</v>
      </c>
      <c r="M840" s="17" t="str">
        <f>VLOOKUP(Main_Presentation[[#This Row],[LC Number]],Main_Issuance[],11,0)</f>
        <v>SAR</v>
      </c>
      <c r="N840" s="84">
        <f>VLOOKUP(Main_Presentation[[#This Row],[LC Number]],Main_Issuance[],12,0)</f>
        <v>250000</v>
      </c>
      <c r="O840" s="16" t="s">
        <v>20</v>
      </c>
      <c r="P840" s="16" t="s">
        <v>857</v>
      </c>
      <c r="Q840" s="131">
        <v>250000</v>
      </c>
      <c r="R840" s="18">
        <v>1</v>
      </c>
      <c r="S840" s="18">
        <f>Main_Presentation[[#This Row],[Invoice Amt (FCY)]]*Main_Presentation[[#This Row],[Rate]]</f>
        <v>250000</v>
      </c>
      <c r="T840" s="15">
        <v>45908</v>
      </c>
      <c r="U840" s="26" t="str">
        <f>VLOOKUP(Main_Presentation[[#This Row],[LC Number]],Main_Issuance[],18,0)</f>
        <v>120 Days from Invoice Date</v>
      </c>
      <c r="V840" s="17" t="s">
        <v>1849</v>
      </c>
      <c r="W840" s="22" t="s">
        <v>378</v>
      </c>
      <c r="X840" s="16"/>
      <c r="Y840" s="234" t="str">
        <f>TRIM(LEFT(Main_Presentation[[#This Row],[Payment Terms]],3))</f>
        <v>120</v>
      </c>
      <c r="Z840" s="16"/>
      <c r="AA840" s="316" cm="1">
        <f t="array" ref="AA840">Settlement(Main_Presentation[[#This Row],[Bank]],Main_Presentation[[#This Row],[ Invoice Amt (SAR)]],Main_Presentation[[#This Row],[Date Recd]],Main_Presentation[[#This Row],[Due Date]],Main_Presentation[[#This Row],[Days]])</f>
        <v>0</v>
      </c>
      <c r="AB840" s="16"/>
    </row>
    <row r="841" spans="1:28" ht="15.75" hidden="1" x14ac:dyDescent="0.25">
      <c r="A841" s="20" t="s">
        <v>1232</v>
      </c>
      <c r="B841" s="15">
        <v>45837</v>
      </c>
      <c r="C841" s="26">
        <v>1</v>
      </c>
      <c r="D841" s="55" t="str">
        <f>VLOOKUP(Main_Presentation[[#This Row],[LC Number]],Main_Issuance[],3,0)</f>
        <v>Hassan Taleb</v>
      </c>
      <c r="E841" s="16" t="s">
        <v>856</v>
      </c>
      <c r="F841" s="17" t="str">
        <f>VLOOKUP(Main_Presentation[[#This Row],[LC Number]],Main_Issuance[],5,0)</f>
        <v>Jazira</v>
      </c>
      <c r="G841" s="17" t="str">
        <f>VLOOKUP(Main_Presentation[[#This Row],[LC Number]],Main_Issuance[],6,0)</f>
        <v>RCRC</v>
      </c>
      <c r="H841" s="17" t="str">
        <f>VLOOKUP(Main_Presentation[[#This Row],[LC Number]],Main_Issuance[],17,0)</f>
        <v>Credit</v>
      </c>
      <c r="I841" s="17" t="str">
        <f>VLOOKUP(Main_Presentation[[#This Row],[LC Number]],Main_Issuance[],7,0)</f>
        <v>RABIGH SOLB INDUSTRY FACTORY COMPANY</v>
      </c>
      <c r="J841" s="17" t="str">
        <f>VLOOKUP(Main_Presentation[[#This Row],[LC Number]],Main_Issuance[],8,0)</f>
        <v>FIRST FIX</v>
      </c>
      <c r="K841" s="17" t="str">
        <f>VLOOKUP(Main_Presentation[[#This Row],[LC Number]],Main_Issuance[],9,0)</f>
        <v>RCRC</v>
      </c>
      <c r="L841" s="17">
        <f>VLOOKUP(Main_Presentation[[#This Row],[LC Number]],Main_Issuance[],10,0)</f>
        <v>1020106</v>
      </c>
      <c r="M841" s="17" t="str">
        <f>VLOOKUP(Main_Presentation[[#This Row],[LC Number]],Main_Issuance[],11,0)</f>
        <v>SAR</v>
      </c>
      <c r="N841" s="84">
        <f>VLOOKUP(Main_Presentation[[#This Row],[LC Number]],Main_Issuance[],12,0)</f>
        <v>1918775</v>
      </c>
      <c r="O841" s="16" t="s">
        <v>20</v>
      </c>
      <c r="P841" s="16" t="s">
        <v>857</v>
      </c>
      <c r="Q841" s="131">
        <v>1918775</v>
      </c>
      <c r="R841" s="18">
        <v>1</v>
      </c>
      <c r="S841" s="18">
        <f>Main_Presentation[[#This Row],[Invoice Amt (FCY)]]*Main_Presentation[[#This Row],[Rate]]</f>
        <v>1918775</v>
      </c>
      <c r="T841" s="15">
        <v>45865</v>
      </c>
      <c r="U841" s="26" t="str">
        <f>VLOOKUP(Main_Presentation[[#This Row],[LC Number]],Main_Issuance[],18,0)</f>
        <v>90 Days from Invoice Date</v>
      </c>
      <c r="V841" s="17" t="s">
        <v>613</v>
      </c>
      <c r="W841" s="22" t="s">
        <v>857</v>
      </c>
      <c r="X841" s="16"/>
      <c r="Y841" s="234" t="str">
        <f>TRIM(LEFT(Main_Presentation[[#This Row],[Payment Terms]],3))</f>
        <v>90</v>
      </c>
      <c r="Z841" s="16"/>
      <c r="AA841" s="316" cm="1">
        <f t="array" ref="AA841">Settlement(Main_Presentation[[#This Row],[Bank]],Main_Presentation[[#This Row],[ Invoice Amt (SAR)]],Main_Presentation[[#This Row],[Date Recd]],Main_Presentation[[#This Row],[Due Date]],Main_Presentation[[#This Row],[Days]])</f>
        <v>2183.85</v>
      </c>
      <c r="AB841" s="16"/>
    </row>
    <row r="842" spans="1:28" ht="15.75" hidden="1" x14ac:dyDescent="0.25">
      <c r="A842" s="20" t="s">
        <v>784</v>
      </c>
      <c r="B842" s="15">
        <v>45804</v>
      </c>
      <c r="C842" s="26">
        <v>1</v>
      </c>
      <c r="D842" s="55" t="str">
        <f>VLOOKUP(Main_Presentation[[#This Row],[LC Number]],Main_Issuance[],3,0)</f>
        <v>Kotb - Morganti</v>
      </c>
      <c r="E842" s="16" t="s">
        <v>858</v>
      </c>
      <c r="F842" s="17" t="str">
        <f>VLOOKUP(Main_Presentation[[#This Row],[LC Number]],Main_Issuance[],5,0)</f>
        <v>SAB</v>
      </c>
      <c r="G842" s="17" t="str">
        <f>VLOOKUP(Main_Presentation[[#This Row],[LC Number]],Main_Issuance[],6,0)</f>
        <v>MP1</v>
      </c>
      <c r="H842" s="17" t="str">
        <f>VLOOKUP(Main_Presentation[[#This Row],[LC Number]],Main_Issuance[],17,0)</f>
        <v>Credit</v>
      </c>
      <c r="I842" s="17" t="str">
        <f>VLOOKUP(Main_Presentation[[#This Row],[LC Number]],Main_Issuance[],7,0)</f>
        <v>Smart Access Solutions Company Ltd.</v>
      </c>
      <c r="J842" s="17" t="str">
        <f>VLOOKUP(Main_Presentation[[#This Row],[LC Number]],Main_Issuance[],8,0)</f>
        <v>MBL/Morganti</v>
      </c>
      <c r="K842" s="17" t="str">
        <f>VLOOKUP(Main_Presentation[[#This Row],[LC Number]],Main_Issuance[],9,0)</f>
        <v>ABHA</v>
      </c>
      <c r="L842" s="17">
        <f>VLOOKUP(Main_Presentation[[#This Row],[LC Number]],Main_Issuance[],10,0)</f>
        <v>1020070</v>
      </c>
      <c r="M842" s="17" t="str">
        <f>VLOOKUP(Main_Presentation[[#This Row],[LC Number]],Main_Issuance[],11,0)</f>
        <v>SAR</v>
      </c>
      <c r="N842" s="84">
        <f>VLOOKUP(Main_Presentation[[#This Row],[LC Number]],Main_Issuance[],12,0)</f>
        <v>1548105.39</v>
      </c>
      <c r="O842" s="16" t="s">
        <v>20</v>
      </c>
      <c r="P842" s="16" t="s">
        <v>857</v>
      </c>
      <c r="Q842" s="131">
        <v>1548105.39</v>
      </c>
      <c r="R842" s="18">
        <v>1</v>
      </c>
      <c r="S842" s="18">
        <f>Main_Presentation[[#This Row],[Invoice Amt (FCY)]]*Main_Presentation[[#This Row],[Rate]]</f>
        <v>1548105.39</v>
      </c>
      <c r="T842" s="15">
        <v>45880</v>
      </c>
      <c r="U842" s="26" t="str">
        <f>VLOOKUP(Main_Presentation[[#This Row],[LC Number]],Main_Issuance[],18,0)</f>
        <v>120 Days from Invoice Date</v>
      </c>
      <c r="V842" s="17" t="s">
        <v>367</v>
      </c>
      <c r="W842" s="22" t="s">
        <v>378</v>
      </c>
      <c r="X842" s="16"/>
      <c r="Y842" s="234" t="str">
        <f>TRIM(LEFT(Main_Presentation[[#This Row],[Payment Terms]],3))</f>
        <v>120</v>
      </c>
      <c r="Z842" s="16"/>
      <c r="AA842" s="316" cm="1">
        <f t="array" ref="AA842">Settlement(Main_Presentation[[#This Row],[Bank]],Main_Presentation[[#This Row],[ Invoice Amt (SAR)]],Main_Presentation[[#This Row],[Date Recd]],Main_Presentation[[#This Row],[Due Date]],Main_Presentation[[#This Row],[Days]])</f>
        <v>6675.75</v>
      </c>
      <c r="AB842" s="16"/>
    </row>
    <row r="843" spans="1:28" ht="15.75" hidden="1" x14ac:dyDescent="0.25">
      <c r="A843" s="20" t="s">
        <v>112</v>
      </c>
      <c r="B843" s="15">
        <v>45068</v>
      </c>
      <c r="C843" s="26">
        <v>1</v>
      </c>
      <c r="D843" s="55" t="str">
        <f>VLOOKUP(Main_Presentation[[#This Row],[LC Number]],Main_Issuance[],3,0)</f>
        <v>Hassan Taleb</v>
      </c>
      <c r="E843" s="16" t="s">
        <v>856</v>
      </c>
      <c r="F843" s="17" t="str">
        <f>VLOOKUP(Main_Presentation[[#This Row],[LC Number]],Main_Issuance[],5,0)</f>
        <v>Alinma</v>
      </c>
      <c r="G843" s="17" t="str">
        <f>VLOOKUP(Main_Presentation[[#This Row],[LC Number]],Main_Issuance[],6,0)</f>
        <v>KSP</v>
      </c>
      <c r="H843" s="17" t="str">
        <f>VLOOKUP(Main_Presentation[[#This Row],[LC Number]],Main_Issuance[],17,0)</f>
        <v>Credit</v>
      </c>
      <c r="I843" s="17" t="str">
        <f>VLOOKUP(Main_Presentation[[#This Row],[LC Number]],Main_Issuance[],7,0)</f>
        <v>UNITED INTEGRATED COMPANY LIMITED</v>
      </c>
      <c r="J843" s="17" t="str">
        <f>VLOOKUP(Main_Presentation[[#This Row],[LC Number]],Main_Issuance[],8,0)</f>
        <v>FIRST FIX</v>
      </c>
      <c r="K843" s="17" t="str">
        <f>VLOOKUP(Main_Presentation[[#This Row],[LC Number]],Main_Issuance[],9,0)</f>
        <v>KSP</v>
      </c>
      <c r="L843" s="17">
        <f>VLOOKUP(Main_Presentation[[#This Row],[LC Number]],Main_Issuance[],10,0)</f>
        <v>1020055</v>
      </c>
      <c r="M843" s="17" t="str">
        <f>VLOOKUP(Main_Presentation[[#This Row],[LC Number]],Main_Issuance[],11,0)</f>
        <v>SAR</v>
      </c>
      <c r="N843" s="84">
        <f>VLOOKUP(Main_Presentation[[#This Row],[LC Number]],Main_Issuance[],12,0)</f>
        <v>2846250</v>
      </c>
      <c r="O843" s="16" t="s">
        <v>20</v>
      </c>
      <c r="P843" s="16" t="s">
        <v>857</v>
      </c>
      <c r="Q843" s="131">
        <v>2846250</v>
      </c>
      <c r="R843" s="18">
        <v>1</v>
      </c>
      <c r="S843" s="18">
        <f>Main_Presentation[[#This Row],[Invoice Amt (FCY)]]*Main_Presentation[[#This Row],[Rate]]</f>
        <v>2846250</v>
      </c>
      <c r="T843" s="15">
        <v>45111</v>
      </c>
      <c r="U843" s="26">
        <f>VLOOKUP(Main_Presentation[[#This Row],[LC Number]],Main_Issuance[],18,0)</f>
        <v>0</v>
      </c>
      <c r="V843" s="17" t="str">
        <f>VLOOKUP(Main_Presentation[[#This Row],[LC Number]],Main_Issuance[],9,0)</f>
        <v>KSP</v>
      </c>
      <c r="W843" s="22" t="s">
        <v>857</v>
      </c>
      <c r="X843" s="16"/>
      <c r="Y843" s="234" t="str">
        <f>TRIM(LEFT(Main_Presentation[[#This Row],[Payment Terms]],3))</f>
        <v>0</v>
      </c>
      <c r="Z843" s="16"/>
      <c r="AA843" s="316" cm="1">
        <f t="array" ref="AA843">Settlement(Main_Presentation[[#This Row],[Bank]],Main_Presentation[[#This Row],[ Invoice Amt (SAR)]],Main_Presentation[[#This Row],[Date Recd]],Main_Presentation[[#This Row],[Due Date]],Main_Presentation[[#This Row],[Days]])</f>
        <v>1437.5</v>
      </c>
      <c r="AB843" s="16"/>
    </row>
    <row r="844" spans="1:28" ht="15.75" hidden="1" x14ac:dyDescent="0.25">
      <c r="A844" s="20" t="s">
        <v>130</v>
      </c>
      <c r="B844" s="15">
        <v>45173</v>
      </c>
      <c r="C844" s="26">
        <v>1</v>
      </c>
      <c r="D844" s="55" t="str">
        <f>VLOOKUP(Main_Presentation[[#This Row],[LC Number]],Main_Issuance[],3,0)</f>
        <v>Hassan Taleb</v>
      </c>
      <c r="E844" s="16" t="s">
        <v>856</v>
      </c>
      <c r="F844" s="17" t="str">
        <f>VLOOKUP(Main_Presentation[[#This Row],[LC Number]],Main_Issuance[],5,0)</f>
        <v>Alinma</v>
      </c>
      <c r="G844" s="17" t="str">
        <f>VLOOKUP(Main_Presentation[[#This Row],[LC Number]],Main_Issuance[],6,0)</f>
        <v>KSP</v>
      </c>
      <c r="H844" s="17" t="str">
        <f>VLOOKUP(Main_Presentation[[#This Row],[LC Number]],Main_Issuance[],17,0)</f>
        <v>Credit</v>
      </c>
      <c r="I844" s="17" t="str">
        <f>VLOOKUP(Main_Presentation[[#This Row],[LC Number]],Main_Issuance[],7,0)</f>
        <v>CUBE METAL INDUSTRIES CO</v>
      </c>
      <c r="J844" s="17" t="str">
        <f>VLOOKUP(Main_Presentation[[#This Row],[LC Number]],Main_Issuance[],8,0)</f>
        <v>FIRST FIX</v>
      </c>
      <c r="K844" s="17" t="str">
        <f>VLOOKUP(Main_Presentation[[#This Row],[LC Number]],Main_Issuance[],9,0)</f>
        <v>KSP</v>
      </c>
      <c r="L844" s="17">
        <f>VLOOKUP(Main_Presentation[[#This Row],[LC Number]],Main_Issuance[],10,0)</f>
        <v>1020055</v>
      </c>
      <c r="M844" s="17" t="str">
        <f>VLOOKUP(Main_Presentation[[#This Row],[LC Number]],Main_Issuance[],11,0)</f>
        <v>SAR</v>
      </c>
      <c r="N844" s="84">
        <f>VLOOKUP(Main_Presentation[[#This Row],[LC Number]],Main_Issuance[],12,0)</f>
        <v>900000</v>
      </c>
      <c r="O844" s="16" t="s">
        <v>20</v>
      </c>
      <c r="P844" s="16" t="s">
        <v>857</v>
      </c>
      <c r="Q844" s="131">
        <v>900000</v>
      </c>
      <c r="R844" s="18">
        <v>1</v>
      </c>
      <c r="S844" s="18">
        <f>Main_Presentation[[#This Row],[Invoice Amt (FCY)]]*Main_Presentation[[#This Row],[Rate]]</f>
        <v>900000</v>
      </c>
      <c r="T844" s="15">
        <v>45211</v>
      </c>
      <c r="U844" s="26">
        <f>VLOOKUP(Main_Presentation[[#This Row],[LC Number]],Main_Issuance[],18,0)</f>
        <v>0</v>
      </c>
      <c r="V844" s="17" t="str">
        <f>VLOOKUP(Main_Presentation[[#This Row],[LC Number]],Main_Issuance[],9,0)</f>
        <v>KSP</v>
      </c>
      <c r="W844" s="22" t="s">
        <v>857</v>
      </c>
      <c r="X844" s="16"/>
      <c r="Y844" s="234" t="str">
        <f>TRIM(LEFT(Main_Presentation[[#This Row],[Payment Terms]],3))</f>
        <v>0</v>
      </c>
      <c r="Z844" s="16"/>
      <c r="AA844" s="316" cm="1">
        <f t="array" ref="AA844">Settlement(Main_Presentation[[#This Row],[Bank]],Main_Presentation[[#This Row],[ Invoice Amt (SAR)]],Main_Presentation[[#This Row],[Date Recd]],Main_Presentation[[#This Row],[Due Date]],Main_Presentation[[#This Row],[Days]])</f>
        <v>1437.5</v>
      </c>
      <c r="AB844" s="16"/>
    </row>
    <row r="845" spans="1:28" ht="15.75" hidden="1" x14ac:dyDescent="0.25">
      <c r="A845" s="20" t="s">
        <v>137</v>
      </c>
      <c r="B845" s="15">
        <v>45182</v>
      </c>
      <c r="C845" s="26">
        <v>1</v>
      </c>
      <c r="D845" s="55" t="str">
        <f>VLOOKUP(Main_Presentation[[#This Row],[LC Number]],Main_Issuance[],3,0)</f>
        <v>Hassan Taleb</v>
      </c>
      <c r="E845" s="16" t="s">
        <v>856</v>
      </c>
      <c r="F845" s="17" t="str">
        <f>VLOOKUP(Main_Presentation[[#This Row],[LC Number]],Main_Issuance[],5,0)</f>
        <v>Alinma</v>
      </c>
      <c r="G845" s="17" t="str">
        <f>VLOOKUP(Main_Presentation[[#This Row],[LC Number]],Main_Issuance[],6,0)</f>
        <v>KSP</v>
      </c>
      <c r="H845" s="17" t="str">
        <f>VLOOKUP(Main_Presentation[[#This Row],[LC Number]],Main_Issuance[],17,0)</f>
        <v>Credit</v>
      </c>
      <c r="I845" s="17" t="str">
        <f>VLOOKUP(Main_Presentation[[#This Row],[LC Number]],Main_Issuance[],7,0)</f>
        <v>A. ABUNAYYAN TRADING CORPORATION</v>
      </c>
      <c r="J845" s="17" t="str">
        <f>VLOOKUP(Main_Presentation[[#This Row],[LC Number]],Main_Issuance[],8,0)</f>
        <v>FIRST FIX</v>
      </c>
      <c r="K845" s="17" t="str">
        <f>VLOOKUP(Main_Presentation[[#This Row],[LC Number]],Main_Issuance[],9,0)</f>
        <v>KSP</v>
      </c>
      <c r="L845" s="17">
        <f>VLOOKUP(Main_Presentation[[#This Row],[LC Number]],Main_Issuance[],10,0)</f>
        <v>1020055</v>
      </c>
      <c r="M845" s="17" t="str">
        <f>VLOOKUP(Main_Presentation[[#This Row],[LC Number]],Main_Issuance[],11,0)</f>
        <v>SAR</v>
      </c>
      <c r="N845" s="84">
        <f>VLOOKUP(Main_Presentation[[#This Row],[LC Number]],Main_Issuance[],12,0)</f>
        <v>514625</v>
      </c>
      <c r="O845" s="16" t="s">
        <v>20</v>
      </c>
      <c r="P845" s="16" t="s">
        <v>857</v>
      </c>
      <c r="Q845" s="131">
        <v>514625</v>
      </c>
      <c r="R845" s="18">
        <v>1</v>
      </c>
      <c r="S845" s="18">
        <f>Main_Presentation[[#This Row],[Invoice Amt (FCY)]]*Main_Presentation[[#This Row],[Rate]]</f>
        <v>514625</v>
      </c>
      <c r="T845" s="15">
        <v>45222</v>
      </c>
      <c r="U845" s="26" t="str">
        <f>VLOOKUP(Main_Presentation[[#This Row],[LC Number]],Main_Issuance[],18,0)</f>
        <v>90 Days from Delivery Date</v>
      </c>
      <c r="V845" s="17" t="str">
        <f>VLOOKUP(Main_Presentation[[#This Row],[LC Number]],Main_Issuance[],9,0)</f>
        <v>KSP</v>
      </c>
      <c r="W845" s="22" t="s">
        <v>857</v>
      </c>
      <c r="X845" s="16"/>
      <c r="Y845" s="234" t="str">
        <f>TRIM(LEFT(Main_Presentation[[#This Row],[Payment Terms]],3))</f>
        <v>90</v>
      </c>
      <c r="Z845" s="16"/>
      <c r="AA845" s="316" cm="1">
        <f t="array" ref="AA845">Settlement(Main_Presentation[[#This Row],[Bank]],Main_Presentation[[#This Row],[ Invoice Amt (SAR)]],Main_Presentation[[#This Row],[Date Recd]],Main_Presentation[[#This Row],[Due Date]],Main_Presentation[[#This Row],[Days]])</f>
        <v>1437.5</v>
      </c>
      <c r="AB845" s="16"/>
    </row>
    <row r="846" spans="1:28" ht="15.75" hidden="1" x14ac:dyDescent="0.25">
      <c r="A846" s="20" t="s">
        <v>139</v>
      </c>
      <c r="B846" s="15">
        <v>45068</v>
      </c>
      <c r="C846" s="26">
        <v>1</v>
      </c>
      <c r="D846" s="55" t="str">
        <f>VLOOKUP(Main_Presentation[[#This Row],[LC Number]],Main_Issuance[],3,0)</f>
        <v>Bassam Marawie</v>
      </c>
      <c r="E846" s="16" t="s">
        <v>856</v>
      </c>
      <c r="F846" s="17" t="str">
        <f>VLOOKUP(Main_Presentation[[#This Row],[LC Number]],Main_Issuance[],5,0)</f>
        <v>Alinma</v>
      </c>
      <c r="G846" s="17" t="str">
        <f>VLOOKUP(Main_Presentation[[#This Row],[LC Number]],Main_Issuance[],6,0)</f>
        <v>KSP</v>
      </c>
      <c r="H846" s="17" t="str">
        <f>VLOOKUP(Main_Presentation[[#This Row],[LC Number]],Main_Issuance[],17,0)</f>
        <v>Credit</v>
      </c>
      <c r="I846" s="17" t="str">
        <f>VLOOKUP(Main_Presentation[[#This Row],[LC Number]],Main_Issuance[],7,0)</f>
        <v>AL SALEM AIR CONDITIONING CO. P.O.B</v>
      </c>
      <c r="J846" s="17" t="str">
        <f>VLOOKUP(Main_Presentation[[#This Row],[LC Number]],Main_Issuance[],8,0)</f>
        <v>FIRST FIX</v>
      </c>
      <c r="K846" s="17" t="str">
        <f>VLOOKUP(Main_Presentation[[#This Row],[LC Number]],Main_Issuance[],9,0)</f>
        <v>B05</v>
      </c>
      <c r="L846" s="17">
        <f>VLOOKUP(Main_Presentation[[#This Row],[LC Number]],Main_Issuance[],10,0)</f>
        <v>1020052</v>
      </c>
      <c r="M846" s="17" t="str">
        <f>VLOOKUP(Main_Presentation[[#This Row],[LC Number]],Main_Issuance[],11,0)</f>
        <v>SAR</v>
      </c>
      <c r="N846" s="84">
        <f>VLOOKUP(Main_Presentation[[#This Row],[LC Number]],Main_Issuance[],12,0)</f>
        <v>4613451</v>
      </c>
      <c r="O846" s="16" t="s">
        <v>20</v>
      </c>
      <c r="P846" s="16" t="s">
        <v>857</v>
      </c>
      <c r="Q846" s="131">
        <v>2306725.79</v>
      </c>
      <c r="R846" s="18">
        <v>1</v>
      </c>
      <c r="S846" s="18">
        <f>Main_Presentation[[#This Row],[Invoice Amt (FCY)]]*Main_Presentation[[#This Row],[Rate]]</f>
        <v>2306725.79</v>
      </c>
      <c r="T846" s="15">
        <v>45165</v>
      </c>
      <c r="U846" s="26">
        <f>VLOOKUP(Main_Presentation[[#This Row],[LC Number]],Main_Issuance[],18,0)</f>
        <v>0</v>
      </c>
      <c r="V846" s="17" t="str">
        <f>VLOOKUP(Main_Presentation[[#This Row],[LC Number]],Main_Issuance[],9,0)</f>
        <v>B05</v>
      </c>
      <c r="W846" s="22" t="s">
        <v>857</v>
      </c>
      <c r="X846" s="16"/>
      <c r="Y846" s="234" t="str">
        <f>TRIM(LEFT(Main_Presentation[[#This Row],[Payment Terms]],3))</f>
        <v>0</v>
      </c>
      <c r="Z846" s="16"/>
      <c r="AA846" s="316" cm="1">
        <f t="array" ref="AA846">Settlement(Main_Presentation[[#This Row],[Bank]],Main_Presentation[[#This Row],[ Invoice Amt (SAR)]],Main_Presentation[[#This Row],[Date Recd]],Main_Presentation[[#This Row],[Due Date]],Main_Presentation[[#This Row],[Days]])</f>
        <v>3315.45</v>
      </c>
      <c r="AB846" s="16"/>
    </row>
    <row r="847" spans="1:28" ht="15.75" hidden="1" x14ac:dyDescent="0.25">
      <c r="A847" s="20" t="s">
        <v>139</v>
      </c>
      <c r="B847" s="15">
        <v>45211</v>
      </c>
      <c r="C847" s="26">
        <v>2</v>
      </c>
      <c r="D847" s="55" t="str">
        <f>VLOOKUP(Main_Presentation[[#This Row],[LC Number]],Main_Issuance[],3,0)</f>
        <v>Bassam Marawie</v>
      </c>
      <c r="E847" s="16" t="s">
        <v>856</v>
      </c>
      <c r="F847" s="17" t="str">
        <f>VLOOKUP(Main_Presentation[[#This Row],[LC Number]],Main_Issuance[],5,0)</f>
        <v>Alinma</v>
      </c>
      <c r="G847" s="17" t="str">
        <f>VLOOKUP(Main_Presentation[[#This Row],[LC Number]],Main_Issuance[],6,0)</f>
        <v>KSP</v>
      </c>
      <c r="H847" s="17" t="str">
        <f>VLOOKUP(Main_Presentation[[#This Row],[LC Number]],Main_Issuance[],17,0)</f>
        <v>Credit</v>
      </c>
      <c r="I847" s="17" t="str">
        <f>VLOOKUP(Main_Presentation[[#This Row],[LC Number]],Main_Issuance[],7,0)</f>
        <v>AL SALEM AIR CONDITIONING CO. P.O.B</v>
      </c>
      <c r="J847" s="17" t="str">
        <f>VLOOKUP(Main_Presentation[[#This Row],[LC Number]],Main_Issuance[],8,0)</f>
        <v>FIRST FIX</v>
      </c>
      <c r="K847" s="17" t="str">
        <f>VLOOKUP(Main_Presentation[[#This Row],[LC Number]],Main_Issuance[],9,0)</f>
        <v>B05</v>
      </c>
      <c r="L847" s="17">
        <f>VLOOKUP(Main_Presentation[[#This Row],[LC Number]],Main_Issuance[],10,0)</f>
        <v>1020052</v>
      </c>
      <c r="M847" s="17" t="str">
        <f>VLOOKUP(Main_Presentation[[#This Row],[LC Number]],Main_Issuance[],11,0)</f>
        <v>SAR</v>
      </c>
      <c r="N847" s="84">
        <f>VLOOKUP(Main_Presentation[[#This Row],[LC Number]],Main_Issuance[],12,0)</f>
        <v>4613451</v>
      </c>
      <c r="O847" s="16" t="s">
        <v>20</v>
      </c>
      <c r="P847" s="16" t="s">
        <v>857</v>
      </c>
      <c r="Q847" s="131">
        <v>2306725.21</v>
      </c>
      <c r="R847" s="18">
        <v>1</v>
      </c>
      <c r="S847" s="18">
        <f>Main_Presentation[[#This Row],[Invoice Amt (FCY)]]*Main_Presentation[[#This Row],[Rate]]</f>
        <v>2306725.21</v>
      </c>
      <c r="T847" s="15">
        <v>45228</v>
      </c>
      <c r="U847" s="26">
        <f>VLOOKUP(Main_Presentation[[#This Row],[LC Number]],Main_Issuance[],18,0)</f>
        <v>0</v>
      </c>
      <c r="V847" s="17" t="str">
        <f>VLOOKUP(Main_Presentation[[#This Row],[LC Number]],Main_Issuance[],9,0)</f>
        <v>B05</v>
      </c>
      <c r="W847" s="22" t="s">
        <v>857</v>
      </c>
      <c r="X847" s="16"/>
      <c r="Y847" s="234" t="str">
        <f>TRIM(LEFT(Main_Presentation[[#This Row],[Payment Terms]],3))</f>
        <v>0</v>
      </c>
      <c r="Z847" s="16"/>
      <c r="AA847" s="316" cm="1">
        <f t="array" ref="AA847">Settlement(Main_Presentation[[#This Row],[Bank]],Main_Presentation[[#This Row],[ Invoice Amt (SAR)]],Main_Presentation[[#This Row],[Date Recd]],Main_Presentation[[#This Row],[Due Date]],Main_Presentation[[#This Row],[Days]])</f>
        <v>1437.5</v>
      </c>
      <c r="AB847" s="16"/>
    </row>
    <row r="848" spans="1:28" ht="15.75" hidden="1" x14ac:dyDescent="0.25">
      <c r="A848" s="20" t="s">
        <v>143</v>
      </c>
      <c r="B848" s="15">
        <v>45189</v>
      </c>
      <c r="C848" s="26">
        <v>1</v>
      </c>
      <c r="D848" s="55" t="str">
        <f>VLOOKUP(Main_Presentation[[#This Row],[LC Number]],Main_Issuance[],3,0)</f>
        <v>Bassam Marawie</v>
      </c>
      <c r="E848" s="16" t="s">
        <v>856</v>
      </c>
      <c r="F848" s="17" t="str">
        <f>VLOOKUP(Main_Presentation[[#This Row],[LC Number]],Main_Issuance[],5,0)</f>
        <v>Alinma</v>
      </c>
      <c r="G848" s="17" t="str">
        <f>VLOOKUP(Main_Presentation[[#This Row],[LC Number]],Main_Issuance[],6,0)</f>
        <v>KSP</v>
      </c>
      <c r="H848" s="17" t="str">
        <f>VLOOKUP(Main_Presentation[[#This Row],[LC Number]],Main_Issuance[],17,0)</f>
        <v>Credit</v>
      </c>
      <c r="I848" s="17" t="str">
        <f>VLOOKUP(Main_Presentation[[#This Row],[LC Number]],Main_Issuance[],7,0)</f>
        <v>ZAHID TRACTOR AND HEAVEY MACHINERY</v>
      </c>
      <c r="J848" s="17" t="str">
        <f>VLOOKUP(Main_Presentation[[#This Row],[LC Number]],Main_Issuance[],8,0)</f>
        <v>FIRST FIX</v>
      </c>
      <c r="K848" s="17" t="str">
        <f>VLOOKUP(Main_Presentation[[#This Row],[LC Number]],Main_Issuance[],9,0)</f>
        <v>B05</v>
      </c>
      <c r="L848" s="17">
        <f>VLOOKUP(Main_Presentation[[#This Row],[LC Number]],Main_Issuance[],10,0)</f>
        <v>1020052</v>
      </c>
      <c r="M848" s="17" t="str">
        <f>VLOOKUP(Main_Presentation[[#This Row],[LC Number]],Main_Issuance[],11,0)</f>
        <v>SAR</v>
      </c>
      <c r="N848" s="84">
        <f>VLOOKUP(Main_Presentation[[#This Row],[LC Number]],Main_Issuance[],12,0)</f>
        <v>10518119</v>
      </c>
      <c r="O848" s="16" t="s">
        <v>20</v>
      </c>
      <c r="P848" s="16" t="s">
        <v>857</v>
      </c>
      <c r="Q848" s="131">
        <v>10518119</v>
      </c>
      <c r="R848" s="18">
        <v>1</v>
      </c>
      <c r="S848" s="18">
        <f>Main_Presentation[[#This Row],[Invoice Amt (FCY)]]*Main_Presentation[[#This Row],[Rate]]</f>
        <v>10518119</v>
      </c>
      <c r="T848" s="15">
        <v>45230</v>
      </c>
      <c r="U848" s="26">
        <f>VLOOKUP(Main_Presentation[[#This Row],[LC Number]],Main_Issuance[],18,0)</f>
        <v>0</v>
      </c>
      <c r="V848" s="17" t="str">
        <f>VLOOKUP(Main_Presentation[[#This Row],[LC Number]],Main_Issuance[],9,0)</f>
        <v>B05</v>
      </c>
      <c r="W848" s="22" t="s">
        <v>857</v>
      </c>
      <c r="X848" s="16"/>
      <c r="Y848" s="234" t="str">
        <f>TRIM(LEFT(Main_Presentation[[#This Row],[Payment Terms]],3))</f>
        <v>0</v>
      </c>
      <c r="Z848" s="16"/>
      <c r="AA848" s="316" cm="1">
        <f t="array" ref="AA848">Settlement(Main_Presentation[[#This Row],[Bank]],Main_Presentation[[#This Row],[ Invoice Amt (SAR)]],Main_Presentation[[#This Row],[Date Recd]],Main_Presentation[[#This Row],[Due Date]],Main_Presentation[[#This Row],[Days]])</f>
        <v>5040.45</v>
      </c>
      <c r="AB848" s="16"/>
    </row>
    <row r="849" spans="1:28" ht="15.75" hidden="1" x14ac:dyDescent="0.25">
      <c r="A849" s="20" t="s">
        <v>150</v>
      </c>
      <c r="B849" s="15">
        <v>45167</v>
      </c>
      <c r="C849" s="26">
        <v>1</v>
      </c>
      <c r="D849" s="55" t="str">
        <f>VLOOKUP(Main_Presentation[[#This Row],[LC Number]],Main_Issuance[],3,0)</f>
        <v>Hassan Taleb</v>
      </c>
      <c r="E849" s="16" t="s">
        <v>856</v>
      </c>
      <c r="F849" s="17" t="str">
        <f>VLOOKUP(Main_Presentation[[#This Row],[LC Number]],Main_Issuance[],5,0)</f>
        <v>Alinma</v>
      </c>
      <c r="G849" s="17" t="str">
        <f>VLOOKUP(Main_Presentation[[#This Row],[LC Number]],Main_Issuance[],6,0)</f>
        <v>KSP</v>
      </c>
      <c r="H849" s="17" t="str">
        <f>VLOOKUP(Main_Presentation[[#This Row],[LC Number]],Main_Issuance[],17,0)</f>
        <v>Credit</v>
      </c>
      <c r="I849" s="17" t="str">
        <f>VLOOKUP(Main_Presentation[[#This Row],[LC Number]],Main_Issuance[],7,0)</f>
        <v>ELECTRIC HOUSE TRADING COMPANY LLC</v>
      </c>
      <c r="J849" s="17" t="str">
        <f>VLOOKUP(Main_Presentation[[#This Row],[LC Number]],Main_Issuance[],8,0)</f>
        <v>FIRST FIX</v>
      </c>
      <c r="K849" s="17" t="str">
        <f>VLOOKUP(Main_Presentation[[#This Row],[LC Number]],Main_Issuance[],9,0)</f>
        <v>KSP</v>
      </c>
      <c r="L849" s="17">
        <f>VLOOKUP(Main_Presentation[[#This Row],[LC Number]],Main_Issuance[],10,0)</f>
        <v>1020055</v>
      </c>
      <c r="M849" s="17" t="str">
        <f>VLOOKUP(Main_Presentation[[#This Row],[LC Number]],Main_Issuance[],11,0)</f>
        <v>SAR</v>
      </c>
      <c r="N849" s="84">
        <f>VLOOKUP(Main_Presentation[[#This Row],[LC Number]],Main_Issuance[],12,0)</f>
        <v>2836813.01</v>
      </c>
      <c r="O849" s="16" t="s">
        <v>20</v>
      </c>
      <c r="P849" s="16" t="s">
        <v>857</v>
      </c>
      <c r="Q849" s="131">
        <v>2182973.9500000002</v>
      </c>
      <c r="R849" s="18">
        <v>1</v>
      </c>
      <c r="S849" s="18">
        <f>Main_Presentation[[#This Row],[Invoice Amt (FCY)]]*Main_Presentation[[#This Row],[Rate]]</f>
        <v>2182973.9500000002</v>
      </c>
      <c r="T849" s="15">
        <v>45241</v>
      </c>
      <c r="U849" s="26">
        <f>VLOOKUP(Main_Presentation[[#This Row],[LC Number]],Main_Issuance[],18,0)</f>
        <v>0</v>
      </c>
      <c r="V849" s="17" t="str">
        <f>VLOOKUP(Main_Presentation[[#This Row],[LC Number]],Main_Issuance[],9,0)</f>
        <v>KSP</v>
      </c>
      <c r="W849" s="22" t="s">
        <v>857</v>
      </c>
      <c r="X849" s="16"/>
      <c r="Y849" s="234" t="str">
        <f>TRIM(LEFT(Main_Presentation[[#This Row],[Payment Terms]],3))</f>
        <v>0</v>
      </c>
      <c r="Z849" s="16"/>
      <c r="AA849" s="316" cm="1">
        <f t="array" ref="AA849">Settlement(Main_Presentation[[#This Row],[Bank]],Main_Presentation[[#This Row],[ Invoice Amt (SAR)]],Main_Presentation[[#This Row],[Date Recd]],Main_Presentation[[#This Row],[Due Date]],Main_Presentation[[#This Row],[Days]])</f>
        <v>2091.85</v>
      </c>
      <c r="AB849" s="16"/>
    </row>
    <row r="850" spans="1:28" ht="15.75" hidden="1" x14ac:dyDescent="0.25">
      <c r="A850" s="20" t="s">
        <v>150</v>
      </c>
      <c r="B850" s="15">
        <v>45167</v>
      </c>
      <c r="C850" s="26">
        <v>2</v>
      </c>
      <c r="D850" s="55" t="str">
        <f>VLOOKUP(Main_Presentation[[#This Row],[LC Number]],Main_Issuance[],3,0)</f>
        <v>Hassan Taleb</v>
      </c>
      <c r="E850" s="16" t="s">
        <v>856</v>
      </c>
      <c r="F850" s="17" t="str">
        <f>VLOOKUP(Main_Presentation[[#This Row],[LC Number]],Main_Issuance[],5,0)</f>
        <v>Alinma</v>
      </c>
      <c r="G850" s="17" t="str">
        <f>VLOOKUP(Main_Presentation[[#This Row],[LC Number]],Main_Issuance[],6,0)</f>
        <v>KSP</v>
      </c>
      <c r="H850" s="17" t="str">
        <f>VLOOKUP(Main_Presentation[[#This Row],[LC Number]],Main_Issuance[],17,0)</f>
        <v>Credit</v>
      </c>
      <c r="I850" s="17" t="str">
        <f>VLOOKUP(Main_Presentation[[#This Row],[LC Number]],Main_Issuance[],7,0)</f>
        <v>ELECTRIC HOUSE TRADING COMPANY LLC</v>
      </c>
      <c r="J850" s="17" t="str">
        <f>VLOOKUP(Main_Presentation[[#This Row],[LC Number]],Main_Issuance[],8,0)</f>
        <v>FIRST FIX</v>
      </c>
      <c r="K850" s="17" t="str">
        <f>VLOOKUP(Main_Presentation[[#This Row],[LC Number]],Main_Issuance[],9,0)</f>
        <v>KSP</v>
      </c>
      <c r="L850" s="17">
        <f>VLOOKUP(Main_Presentation[[#This Row],[LC Number]],Main_Issuance[],10,0)</f>
        <v>1020055</v>
      </c>
      <c r="M850" s="17" t="str">
        <f>VLOOKUP(Main_Presentation[[#This Row],[LC Number]],Main_Issuance[],11,0)</f>
        <v>SAR</v>
      </c>
      <c r="N850" s="84">
        <f>VLOOKUP(Main_Presentation[[#This Row],[LC Number]],Main_Issuance[],12,0)</f>
        <v>2836813.01</v>
      </c>
      <c r="O850" s="16" t="s">
        <v>20</v>
      </c>
      <c r="P850" s="16" t="s">
        <v>857</v>
      </c>
      <c r="Q850" s="131">
        <v>653839.06000000006</v>
      </c>
      <c r="R850" s="18">
        <v>1</v>
      </c>
      <c r="S850" s="18">
        <f>Main_Presentation[[#This Row],[Invoice Amt (FCY)]]*Main_Presentation[[#This Row],[Rate]]</f>
        <v>653839.06000000006</v>
      </c>
      <c r="T850" s="15">
        <v>45241</v>
      </c>
      <c r="U850" s="26">
        <f>VLOOKUP(Main_Presentation[[#This Row],[LC Number]],Main_Issuance[],18,0)</f>
        <v>0</v>
      </c>
      <c r="V850" s="17" t="str">
        <f>VLOOKUP(Main_Presentation[[#This Row],[LC Number]],Main_Issuance[],9,0)</f>
        <v>KSP</v>
      </c>
      <c r="W850" s="22" t="s">
        <v>857</v>
      </c>
      <c r="X850" s="16"/>
      <c r="Y850" s="234" t="str">
        <f>TRIM(LEFT(Main_Presentation[[#This Row],[Payment Terms]],3))</f>
        <v>0</v>
      </c>
      <c r="Z850" s="16"/>
      <c r="AA850" s="316" cm="1">
        <f t="array" ref="AA850">Settlement(Main_Presentation[[#This Row],[Bank]],Main_Presentation[[#This Row],[ Invoice Amt (SAR)]],Main_Presentation[[#This Row],[Date Recd]],Main_Presentation[[#This Row],[Due Date]],Main_Presentation[[#This Row],[Days]])</f>
        <v>1437.5</v>
      </c>
      <c r="AB850" s="16"/>
    </row>
    <row r="851" spans="1:28" ht="15.75" hidden="1" x14ac:dyDescent="0.25">
      <c r="A851" s="20" t="s">
        <v>156</v>
      </c>
      <c r="B851" s="15">
        <v>45211</v>
      </c>
      <c r="C851" s="26">
        <v>1</v>
      </c>
      <c r="D851" s="55" t="str">
        <f>VLOOKUP(Main_Presentation[[#This Row],[LC Number]],Main_Issuance[],3,0)</f>
        <v>Hassan Taleb</v>
      </c>
      <c r="E851" s="16" t="s">
        <v>856</v>
      </c>
      <c r="F851" s="17" t="str">
        <f>VLOOKUP(Main_Presentation[[#This Row],[LC Number]],Main_Issuance[],5,0)</f>
        <v>Alinma</v>
      </c>
      <c r="G851" s="17" t="str">
        <f>VLOOKUP(Main_Presentation[[#This Row],[LC Number]],Main_Issuance[],6,0)</f>
        <v>KSP</v>
      </c>
      <c r="H851" s="17" t="str">
        <f>VLOOKUP(Main_Presentation[[#This Row],[LC Number]],Main_Issuance[],17,0)</f>
        <v>Credit</v>
      </c>
      <c r="I851" s="17" t="str">
        <f>VLOOKUP(Main_Presentation[[#This Row],[LC Number]],Main_Issuance[],7,0)</f>
        <v>NATIONAL MARKERING EST. CO</v>
      </c>
      <c r="J851" s="17" t="str">
        <f>VLOOKUP(Main_Presentation[[#This Row],[LC Number]],Main_Issuance[],8,0)</f>
        <v>FIRST FIX</v>
      </c>
      <c r="K851" s="17" t="str">
        <f>VLOOKUP(Main_Presentation[[#This Row],[LC Number]],Main_Issuance[],9,0)</f>
        <v>KSP</v>
      </c>
      <c r="L851" s="17">
        <f>VLOOKUP(Main_Presentation[[#This Row],[LC Number]],Main_Issuance[],10,0)</f>
        <v>1020055</v>
      </c>
      <c r="M851" s="17" t="str">
        <f>VLOOKUP(Main_Presentation[[#This Row],[LC Number]],Main_Issuance[],11,0)</f>
        <v>SAR</v>
      </c>
      <c r="N851" s="84">
        <f>VLOOKUP(Main_Presentation[[#This Row],[LC Number]],Main_Issuance[],12,0)</f>
        <v>823546.42</v>
      </c>
      <c r="O851" s="16" t="s">
        <v>20</v>
      </c>
      <c r="P851" s="16" t="s">
        <v>857</v>
      </c>
      <c r="Q851" s="131">
        <v>823546.42</v>
      </c>
      <c r="R851" s="18">
        <v>1</v>
      </c>
      <c r="S851" s="18">
        <f>Main_Presentation[[#This Row],[Invoice Amt (FCY)]]*Main_Presentation[[#This Row],[Rate]]</f>
        <v>823546.42</v>
      </c>
      <c r="T851" s="15">
        <v>45242</v>
      </c>
      <c r="U851" s="26">
        <f>VLOOKUP(Main_Presentation[[#This Row],[LC Number]],Main_Issuance[],18,0)</f>
        <v>0</v>
      </c>
      <c r="V851" s="17" t="str">
        <f>VLOOKUP(Main_Presentation[[#This Row],[LC Number]],Main_Issuance[],9,0)</f>
        <v>KSP</v>
      </c>
      <c r="W851" s="22" t="s">
        <v>857</v>
      </c>
      <c r="X851" s="16"/>
      <c r="Y851" s="234" t="str">
        <f>TRIM(LEFT(Main_Presentation[[#This Row],[Payment Terms]],3))</f>
        <v>0</v>
      </c>
      <c r="Z851" s="16"/>
      <c r="AA851" s="316" cm="1">
        <f t="array" ref="AA851">Settlement(Main_Presentation[[#This Row],[Bank]],Main_Presentation[[#This Row],[ Invoice Amt (SAR)]],Main_Presentation[[#This Row],[Date Recd]],Main_Presentation[[#This Row],[Due Date]],Main_Presentation[[#This Row],[Days]])</f>
        <v>1437.5</v>
      </c>
      <c r="AB851" s="16"/>
    </row>
    <row r="852" spans="1:28" ht="15.75" hidden="1" x14ac:dyDescent="0.25">
      <c r="A852" s="20" t="s">
        <v>162</v>
      </c>
      <c r="B852" s="15">
        <v>45185</v>
      </c>
      <c r="C852" s="26">
        <v>1</v>
      </c>
      <c r="D852" s="55" t="str">
        <f>VLOOKUP(Main_Presentation[[#This Row],[LC Number]],Main_Issuance[],3,0)</f>
        <v>Hassan Taleb</v>
      </c>
      <c r="E852" s="16" t="s">
        <v>856</v>
      </c>
      <c r="F852" s="17" t="str">
        <f>VLOOKUP(Main_Presentation[[#This Row],[LC Number]],Main_Issuance[],5,0)</f>
        <v>Alinma</v>
      </c>
      <c r="G852" s="17" t="str">
        <f>VLOOKUP(Main_Presentation[[#This Row],[LC Number]],Main_Issuance[],6,0)</f>
        <v>KSP</v>
      </c>
      <c r="H852" s="17" t="str">
        <f>VLOOKUP(Main_Presentation[[#This Row],[LC Number]],Main_Issuance[],17,0)</f>
        <v>Credit</v>
      </c>
      <c r="I852" s="17" t="str">
        <f>VLOOKUP(Main_Presentation[[#This Row],[LC Number]],Main_Issuance[],7,0)</f>
        <v>ALBABTAIN LEBLANC</v>
      </c>
      <c r="J852" s="17" t="str">
        <f>VLOOKUP(Main_Presentation[[#This Row],[LC Number]],Main_Issuance[],8,0)</f>
        <v>FIRST FIX</v>
      </c>
      <c r="K852" s="17" t="str">
        <f>VLOOKUP(Main_Presentation[[#This Row],[LC Number]],Main_Issuance[],9,0)</f>
        <v>KSP</v>
      </c>
      <c r="L852" s="17">
        <f>VLOOKUP(Main_Presentation[[#This Row],[LC Number]],Main_Issuance[],10,0)</f>
        <v>1020055</v>
      </c>
      <c r="M852" s="17" t="str">
        <f>VLOOKUP(Main_Presentation[[#This Row],[LC Number]],Main_Issuance[],11,0)</f>
        <v>SAR</v>
      </c>
      <c r="N852" s="84">
        <f>VLOOKUP(Main_Presentation[[#This Row],[LC Number]],Main_Issuance[],12,0)</f>
        <v>1030466.4</v>
      </c>
      <c r="O852" s="16" t="s">
        <v>20</v>
      </c>
      <c r="P852" s="16" t="s">
        <v>857</v>
      </c>
      <c r="Q852" s="131">
        <v>1030466.4</v>
      </c>
      <c r="R852" s="18">
        <v>1</v>
      </c>
      <c r="S852" s="18">
        <f>Main_Presentation[[#This Row],[Invoice Amt (FCY)]]*Main_Presentation[[#This Row],[Rate]]</f>
        <v>1030466.4</v>
      </c>
      <c r="T852" s="15">
        <v>45262</v>
      </c>
      <c r="U852" s="26">
        <f>VLOOKUP(Main_Presentation[[#This Row],[LC Number]],Main_Issuance[],18,0)</f>
        <v>0</v>
      </c>
      <c r="V852" s="17" t="str">
        <f>VLOOKUP(Main_Presentation[[#This Row],[LC Number]],Main_Issuance[],9,0)</f>
        <v>KSP</v>
      </c>
      <c r="W852" s="22" t="s">
        <v>857</v>
      </c>
      <c r="X852" s="16"/>
      <c r="Y852" s="234" t="str">
        <f>TRIM(LEFT(Main_Presentation[[#This Row],[Payment Terms]],3))</f>
        <v>0</v>
      </c>
      <c r="Z852" s="16"/>
      <c r="AA852" s="316" cm="1">
        <f t="array" ref="AA852">Settlement(Main_Presentation[[#This Row],[Bank]],Main_Presentation[[#This Row],[ Invoice Amt (SAR)]],Main_Presentation[[#This Row],[Date Recd]],Main_Presentation[[#This Row],[Due Date]],Main_Presentation[[#This Row],[Days]])</f>
        <v>1437.5</v>
      </c>
      <c r="AB852" s="16"/>
    </row>
    <row r="853" spans="1:28" ht="15.75" hidden="1" x14ac:dyDescent="0.25">
      <c r="A853" s="20" t="s">
        <v>164</v>
      </c>
      <c r="B853" s="15">
        <v>45246</v>
      </c>
      <c r="C853" s="26">
        <v>1</v>
      </c>
      <c r="D853" s="55" t="str">
        <f>VLOOKUP(Main_Presentation[[#This Row],[LC Number]],Main_Issuance[],3,0)</f>
        <v>Hassan Taleb</v>
      </c>
      <c r="E853" s="16" t="s">
        <v>856</v>
      </c>
      <c r="F853" s="17" t="str">
        <f>VLOOKUP(Main_Presentation[[#This Row],[LC Number]],Main_Issuance[],5,0)</f>
        <v>Alinma</v>
      </c>
      <c r="G853" s="17" t="str">
        <f>VLOOKUP(Main_Presentation[[#This Row],[LC Number]],Main_Issuance[],6,0)</f>
        <v>KSP</v>
      </c>
      <c r="H853" s="17" t="str">
        <f>VLOOKUP(Main_Presentation[[#This Row],[LC Number]],Main_Issuance[],17,0)</f>
        <v>Credit</v>
      </c>
      <c r="I853" s="17" t="str">
        <f>VLOOKUP(Main_Presentation[[#This Row],[LC Number]],Main_Issuance[],7,0)</f>
        <v>ALBABTAIN LEBLANC</v>
      </c>
      <c r="J853" s="17" t="str">
        <f>VLOOKUP(Main_Presentation[[#This Row],[LC Number]],Main_Issuance[],8,0)</f>
        <v>FIRST FIX</v>
      </c>
      <c r="K853" s="17" t="str">
        <f>VLOOKUP(Main_Presentation[[#This Row],[LC Number]],Main_Issuance[],9,0)</f>
        <v>KSP</v>
      </c>
      <c r="L853" s="17">
        <f>VLOOKUP(Main_Presentation[[#This Row],[LC Number]],Main_Issuance[],10,0)</f>
        <v>1020055</v>
      </c>
      <c r="M853" s="17" t="str">
        <f>VLOOKUP(Main_Presentation[[#This Row],[LC Number]],Main_Issuance[],11,0)</f>
        <v>SAR</v>
      </c>
      <c r="N853" s="84">
        <f>VLOOKUP(Main_Presentation[[#This Row],[LC Number]],Main_Issuance[],12,0)</f>
        <v>1223678.6599999999</v>
      </c>
      <c r="O853" s="16" t="s">
        <v>20</v>
      </c>
      <c r="P853" s="16" t="s">
        <v>857</v>
      </c>
      <c r="Q853" s="131">
        <v>1223678.6599999999</v>
      </c>
      <c r="R853" s="18">
        <v>1</v>
      </c>
      <c r="S853" s="18">
        <f>Main_Presentation[[#This Row],[Invoice Amt (FCY)]]*Main_Presentation[[#This Row],[Rate]]</f>
        <v>1223678.6599999999</v>
      </c>
      <c r="T853" s="15">
        <v>45262</v>
      </c>
      <c r="U853" s="26" t="str">
        <f>VLOOKUP(Main_Presentation[[#This Row],[LC Number]],Main_Issuance[],18,0)</f>
        <v>60 Days from Delivery Date</v>
      </c>
      <c r="V853" s="17" t="str">
        <f>VLOOKUP(Main_Presentation[[#This Row],[LC Number]],Main_Issuance[],9,0)</f>
        <v>KSP</v>
      </c>
      <c r="W853" s="22" t="s">
        <v>857</v>
      </c>
      <c r="X853" s="16"/>
      <c r="Y853" s="234" t="str">
        <f>TRIM(LEFT(Main_Presentation[[#This Row],[Payment Terms]],3))</f>
        <v>60</v>
      </c>
      <c r="Z853" s="16"/>
      <c r="AA853" s="316" cm="1">
        <f t="array" ref="AA853">Settlement(Main_Presentation[[#This Row],[Bank]],Main_Presentation[[#This Row],[ Invoice Amt (SAR)]],Main_Presentation[[#This Row],[Date Recd]],Main_Presentation[[#This Row],[Due Date]],Main_Presentation[[#This Row],[Days]])</f>
        <v>1437.5</v>
      </c>
      <c r="AB853" s="16"/>
    </row>
    <row r="854" spans="1:28" ht="15.75" hidden="1" x14ac:dyDescent="0.25">
      <c r="A854" s="20" t="s">
        <v>165</v>
      </c>
      <c r="B854" s="15">
        <v>45255</v>
      </c>
      <c r="C854" s="26">
        <v>1</v>
      </c>
      <c r="D854" s="55">
        <f>VLOOKUP(Main_Presentation[[#This Row],[LC Number]],Main_Issuance[],3,0)</f>
        <v>0</v>
      </c>
      <c r="E854" s="16" t="s">
        <v>856</v>
      </c>
      <c r="F854" s="17" t="str">
        <f>VLOOKUP(Main_Presentation[[#This Row],[LC Number]],Main_Issuance[],5,0)</f>
        <v>Alinma</v>
      </c>
      <c r="G854" s="17" t="str">
        <f>VLOOKUP(Main_Presentation[[#This Row],[LC Number]],Main_Issuance[],6,0)</f>
        <v>KSP</v>
      </c>
      <c r="H854" s="17" t="str">
        <f>VLOOKUP(Main_Presentation[[#This Row],[LC Number]],Main_Issuance[],17,0)</f>
        <v>Cash</v>
      </c>
      <c r="I854" s="17" t="str">
        <f>VLOOKUP(Main_Presentation[[#This Row],[LC Number]],Main_Issuance[],7,0)</f>
        <v>SAUDI LIEBHERR COM LIMITED</v>
      </c>
      <c r="J854" s="17" t="str">
        <f>VLOOKUP(Main_Presentation[[#This Row],[LC Number]],Main_Issuance[],8,0)</f>
        <v>Equipment</v>
      </c>
      <c r="K854" s="17">
        <f>VLOOKUP(Main_Presentation[[#This Row],[LC Number]],Main_Issuance[],9,0)</f>
        <v>0</v>
      </c>
      <c r="L854" s="17">
        <f>VLOOKUP(Main_Presentation[[#This Row],[LC Number]],Main_Issuance[],10,0)</f>
        <v>0</v>
      </c>
      <c r="M854" s="17" t="str">
        <f>VLOOKUP(Main_Presentation[[#This Row],[LC Number]],Main_Issuance[],11,0)</f>
        <v>EUR</v>
      </c>
      <c r="N854" s="84">
        <f>VLOOKUP(Main_Presentation[[#This Row],[LC Number]],Main_Issuance[],12,0)</f>
        <v>1004640</v>
      </c>
      <c r="O854" s="16" t="s">
        <v>20</v>
      </c>
      <c r="P854" s="16" t="s">
        <v>857</v>
      </c>
      <c r="Q854" s="131">
        <f>1004640*4.11153</f>
        <v>4130607.4992</v>
      </c>
      <c r="R854" s="18">
        <v>1</v>
      </c>
      <c r="S854" s="18">
        <f>Main_Presentation[[#This Row],[Invoice Amt (FCY)]]*Main_Presentation[[#This Row],[Rate]]</f>
        <v>4130607.4992</v>
      </c>
      <c r="T854" s="15">
        <v>45286</v>
      </c>
      <c r="U854" s="26">
        <f>VLOOKUP(Main_Presentation[[#This Row],[LC Number]],Main_Issuance[],18,0)</f>
        <v>0</v>
      </c>
      <c r="V854" s="17" t="s">
        <v>98</v>
      </c>
      <c r="W854" s="22" t="s">
        <v>857</v>
      </c>
      <c r="X854" s="16"/>
      <c r="Y854" s="234" t="str">
        <f>TRIM(LEFT(Main_Presentation[[#This Row],[Payment Terms]],3))</f>
        <v>0</v>
      </c>
      <c r="Z854" s="16"/>
      <c r="AA854" s="316" cm="1">
        <f t="array" ref="AA854">Settlement(Main_Presentation[[#This Row],[Bank]],Main_Presentation[[#This Row],[ Invoice Amt (SAR)]],Main_Presentation[[#This Row],[Date Recd]],Main_Presentation[[#This Row],[Due Date]],Main_Presentation[[#This Row],[Days]])</f>
        <v>1979.15</v>
      </c>
      <c r="AB854" s="16"/>
    </row>
    <row r="855" spans="1:28" ht="15.75" hidden="1" x14ac:dyDescent="0.25">
      <c r="A855" s="20" t="s">
        <v>167</v>
      </c>
      <c r="B855" s="15">
        <v>45242</v>
      </c>
      <c r="C855" s="26">
        <v>1</v>
      </c>
      <c r="D855" s="55" t="str">
        <f>VLOOKUP(Main_Presentation[[#This Row],[LC Number]],Main_Issuance[],3,0)</f>
        <v>Mohammed Kotb</v>
      </c>
      <c r="E855" s="16" t="s">
        <v>856</v>
      </c>
      <c r="F855" s="17" t="str">
        <f>VLOOKUP(Main_Presentation[[#This Row],[LC Number]],Main_Issuance[],5,0)</f>
        <v>Alinma</v>
      </c>
      <c r="G855" s="17" t="str">
        <f>VLOOKUP(Main_Presentation[[#This Row],[LC Number]],Main_Issuance[],6,0)</f>
        <v>KSP</v>
      </c>
      <c r="H855" s="17" t="str">
        <f>VLOOKUP(Main_Presentation[[#This Row],[LC Number]],Main_Issuance[],17,0)</f>
        <v>Cash</v>
      </c>
      <c r="I855" s="17" t="str">
        <f>VLOOKUP(Main_Presentation[[#This Row],[LC Number]],Main_Issuance[],7,0)</f>
        <v>ELECTRIC HOUSE</v>
      </c>
      <c r="J855" s="17" t="str">
        <f>VLOOKUP(Main_Presentation[[#This Row],[LC Number]],Main_Issuance[],8,0)</f>
        <v>ICAD</v>
      </c>
      <c r="K855" s="17" t="str">
        <f>VLOOKUP(Main_Presentation[[#This Row],[LC Number]],Main_Issuance[],9,0)</f>
        <v>ABHA</v>
      </c>
      <c r="L855" s="17">
        <f>VLOOKUP(Main_Presentation[[#This Row],[LC Number]],Main_Issuance[],10,0)</f>
        <v>1020070</v>
      </c>
      <c r="M855" s="17" t="str">
        <f>VLOOKUP(Main_Presentation[[#This Row],[LC Number]],Main_Issuance[],11,0)</f>
        <v>SAR</v>
      </c>
      <c r="N855" s="84">
        <f>VLOOKUP(Main_Presentation[[#This Row],[LC Number]],Main_Issuance[],12,0)</f>
        <v>2500000</v>
      </c>
      <c r="O855" s="16" t="s">
        <v>20</v>
      </c>
      <c r="P855" s="16" t="s">
        <v>857</v>
      </c>
      <c r="Q855" s="131">
        <v>2500000</v>
      </c>
      <c r="R855" s="18">
        <v>1</v>
      </c>
      <c r="S855" s="18">
        <f>Main_Presentation[[#This Row],[Invoice Amt (FCY)]]*Main_Presentation[[#This Row],[Rate]]</f>
        <v>2500000</v>
      </c>
      <c r="T855" s="15">
        <v>45300</v>
      </c>
      <c r="U855" s="26">
        <f>VLOOKUP(Main_Presentation[[#This Row],[LC Number]],Main_Issuance[],18,0)</f>
        <v>0</v>
      </c>
      <c r="V855" s="17" t="s">
        <v>377</v>
      </c>
      <c r="W855" s="22" t="s">
        <v>857</v>
      </c>
      <c r="X855" s="16"/>
      <c r="Y855" s="234" t="str">
        <f>TRIM(LEFT(Main_Presentation[[#This Row],[Payment Terms]],3))</f>
        <v>0</v>
      </c>
      <c r="Z855" s="16"/>
      <c r="AA855" s="316" cm="1">
        <f t="array" ref="AA855">Settlement(Main_Presentation[[#This Row],[Bank]],Main_Presentation[[#This Row],[ Invoice Amt (SAR)]],Main_Presentation[[#This Row],[Date Recd]],Main_Presentation[[#This Row],[Due Date]],Main_Presentation[[#This Row],[Days]])</f>
        <v>2395.4499999999998</v>
      </c>
      <c r="AB855" s="16"/>
    </row>
    <row r="856" spans="1:28" ht="15.75" hidden="1" x14ac:dyDescent="0.25">
      <c r="A856" s="20" t="s">
        <v>175</v>
      </c>
      <c r="B856" s="15">
        <v>45226</v>
      </c>
      <c r="C856" s="26">
        <v>1</v>
      </c>
      <c r="D856" s="55" t="str">
        <f>VLOOKUP(Main_Presentation[[#This Row],[LC Number]],Main_Issuance[],3,0)</f>
        <v>Bassam Marawie</v>
      </c>
      <c r="E856" s="16" t="s">
        <v>856</v>
      </c>
      <c r="F856" s="17" t="str">
        <f>VLOOKUP(Main_Presentation[[#This Row],[LC Number]],Main_Issuance[],5,0)</f>
        <v>Alinma</v>
      </c>
      <c r="G856" s="17" t="str">
        <f>VLOOKUP(Main_Presentation[[#This Row],[LC Number]],Main_Issuance[],6,0)</f>
        <v>KSP</v>
      </c>
      <c r="H856" s="17" t="str">
        <f>VLOOKUP(Main_Presentation[[#This Row],[LC Number]],Main_Issuance[],17,0)</f>
        <v>Credit</v>
      </c>
      <c r="I856" s="17" t="str">
        <f>VLOOKUP(Main_Presentation[[#This Row],[LC Number]],Main_Issuance[],7,0)</f>
        <v>AL SALEM AIR CONDITIONING CO</v>
      </c>
      <c r="J856" s="17" t="str">
        <f>VLOOKUP(Main_Presentation[[#This Row],[LC Number]],Main_Issuance[],8,0)</f>
        <v>FIRST FIX</v>
      </c>
      <c r="K856" s="17" t="str">
        <f>VLOOKUP(Main_Presentation[[#This Row],[LC Number]],Main_Issuance[],9,0)</f>
        <v>B05</v>
      </c>
      <c r="L856" s="17">
        <f>VLOOKUP(Main_Presentation[[#This Row],[LC Number]],Main_Issuance[],10,0)</f>
        <v>1020052</v>
      </c>
      <c r="M856" s="17" t="str">
        <f>VLOOKUP(Main_Presentation[[#This Row],[LC Number]],Main_Issuance[],11,0)</f>
        <v>SAR</v>
      </c>
      <c r="N856" s="84">
        <f>VLOOKUP(Main_Presentation[[#This Row],[LC Number]],Main_Issuance[],12,0)</f>
        <v>1851500</v>
      </c>
      <c r="O856" s="16" t="s">
        <v>20</v>
      </c>
      <c r="P856" s="16" t="s">
        <v>857</v>
      </c>
      <c r="Q856" s="131">
        <v>1851500</v>
      </c>
      <c r="R856" s="18">
        <v>1</v>
      </c>
      <c r="S856" s="18">
        <f>Main_Presentation[[#This Row],[Invoice Amt (FCY)]]*Main_Presentation[[#This Row],[Rate]]</f>
        <v>1851500</v>
      </c>
      <c r="T856" s="15">
        <v>45278</v>
      </c>
      <c r="U856" s="26">
        <f>VLOOKUP(Main_Presentation[[#This Row],[LC Number]],Main_Issuance[],18,0)</f>
        <v>0</v>
      </c>
      <c r="V856" s="17" t="str">
        <f>VLOOKUP(Main_Presentation[[#This Row],[LC Number]],Main_Issuance[],9,0)</f>
        <v>B05</v>
      </c>
      <c r="W856" s="22" t="s">
        <v>857</v>
      </c>
      <c r="X856" s="16"/>
      <c r="Y856" s="234" t="str">
        <f>TRIM(LEFT(Main_Presentation[[#This Row],[Payment Terms]],3))</f>
        <v>0</v>
      </c>
      <c r="Z856" s="16"/>
      <c r="AA856" s="316" cm="1">
        <f t="array" ref="AA856">Settlement(Main_Presentation[[#This Row],[Bank]],Main_Presentation[[#This Row],[ Invoice Amt (SAR)]],Main_Presentation[[#This Row],[Date Recd]],Main_Presentation[[#This Row],[Due Date]],Main_Presentation[[#This Row],[Days]])</f>
        <v>1774.45</v>
      </c>
      <c r="AB856" s="16"/>
    </row>
    <row r="857" spans="1:28" ht="15.75" hidden="1" x14ac:dyDescent="0.25">
      <c r="A857" s="20" t="s">
        <v>178</v>
      </c>
      <c r="B857" s="15">
        <v>45062</v>
      </c>
      <c r="C857" s="26">
        <v>1</v>
      </c>
      <c r="D857" s="55" t="str">
        <f>VLOOKUP(Main_Presentation[[#This Row],[LC Number]],Main_Issuance[],3,0)</f>
        <v>Bassam Marawie</v>
      </c>
      <c r="E857" s="16" t="s">
        <v>856</v>
      </c>
      <c r="F857" s="17" t="str">
        <f>VLOOKUP(Main_Presentation[[#This Row],[LC Number]],Main_Issuance[],5,0)</f>
        <v>Alinma</v>
      </c>
      <c r="G857" s="17" t="str">
        <f>VLOOKUP(Main_Presentation[[#This Row],[LC Number]],Main_Issuance[],6,0)</f>
        <v>KSP</v>
      </c>
      <c r="H857" s="17" t="str">
        <f>VLOOKUP(Main_Presentation[[#This Row],[LC Number]],Main_Issuance[],17,0)</f>
        <v>Credit</v>
      </c>
      <c r="I857" s="17" t="str">
        <f>VLOOKUP(Main_Presentation[[#This Row],[LC Number]],Main_Issuance[],7,0)</f>
        <v>ROOTS INNOVATIVE INDUSTRIAL CO. JED</v>
      </c>
      <c r="J857" s="17" t="str">
        <f>VLOOKUP(Main_Presentation[[#This Row],[LC Number]],Main_Issuance[],8,0)</f>
        <v>FIRST FIX</v>
      </c>
      <c r="K857" s="17" t="str">
        <f>VLOOKUP(Main_Presentation[[#This Row],[LC Number]],Main_Issuance[],9,0)</f>
        <v>ADF</v>
      </c>
      <c r="L857" s="17">
        <f>VLOOKUP(Main_Presentation[[#This Row],[LC Number]],Main_Issuance[],10,0)</f>
        <v>1020001</v>
      </c>
      <c r="M857" s="17" t="str">
        <f>VLOOKUP(Main_Presentation[[#This Row],[LC Number]],Main_Issuance[],11,0)</f>
        <v>SAR</v>
      </c>
      <c r="N857" s="84">
        <f>VLOOKUP(Main_Presentation[[#This Row],[LC Number]],Main_Issuance[],12,0)</f>
        <v>5713072</v>
      </c>
      <c r="O857" s="16" t="s">
        <v>20</v>
      </c>
      <c r="P857" s="16" t="s">
        <v>857</v>
      </c>
      <c r="Q857" s="131">
        <v>952179</v>
      </c>
      <c r="R857" s="18">
        <v>1</v>
      </c>
      <c r="S857" s="18">
        <f>Main_Presentation[[#This Row],[Invoice Amt (FCY)]]*Main_Presentation[[#This Row],[Rate]]</f>
        <v>952179</v>
      </c>
      <c r="T857" s="15">
        <v>45123</v>
      </c>
      <c r="U857" s="26">
        <f>VLOOKUP(Main_Presentation[[#This Row],[LC Number]],Main_Issuance[],18,0)</f>
        <v>0</v>
      </c>
      <c r="V857" s="17" t="str">
        <f>VLOOKUP(Main_Presentation[[#This Row],[LC Number]],Main_Issuance[],9,0)</f>
        <v>ADF</v>
      </c>
      <c r="W857" s="22" t="s">
        <v>857</v>
      </c>
      <c r="X857" s="16"/>
      <c r="Y857" s="234" t="str">
        <f>TRIM(LEFT(Main_Presentation[[#This Row],[Payment Terms]],3))</f>
        <v>0</v>
      </c>
      <c r="Z857" s="16"/>
      <c r="AA857" s="316" cm="1">
        <f t="array" ref="AA857">Settlement(Main_Presentation[[#This Row],[Bank]],Main_Presentation[[#This Row],[ Invoice Amt (SAR)]],Main_Presentation[[#This Row],[Date Recd]],Main_Presentation[[#This Row],[Due Date]],Main_Presentation[[#This Row],[Days]])</f>
        <v>1437.5</v>
      </c>
      <c r="AB857" s="16"/>
    </row>
    <row r="858" spans="1:28" ht="15.75" hidden="1" x14ac:dyDescent="0.25">
      <c r="A858" s="20" t="s">
        <v>178</v>
      </c>
      <c r="B858" s="15">
        <v>45068</v>
      </c>
      <c r="C858" s="26">
        <v>2</v>
      </c>
      <c r="D858" s="55" t="str">
        <f>VLOOKUP(Main_Presentation[[#This Row],[LC Number]],Main_Issuance[],3,0)</f>
        <v>Bassam Marawie</v>
      </c>
      <c r="E858" s="16" t="s">
        <v>856</v>
      </c>
      <c r="F858" s="17" t="str">
        <f>VLOOKUP(Main_Presentation[[#This Row],[LC Number]],Main_Issuance[],5,0)</f>
        <v>Alinma</v>
      </c>
      <c r="G858" s="17" t="str">
        <f>VLOOKUP(Main_Presentation[[#This Row],[LC Number]],Main_Issuance[],6,0)</f>
        <v>KSP</v>
      </c>
      <c r="H858" s="17" t="str">
        <f>VLOOKUP(Main_Presentation[[#This Row],[LC Number]],Main_Issuance[],17,0)</f>
        <v>Credit</v>
      </c>
      <c r="I858" s="17" t="str">
        <f>VLOOKUP(Main_Presentation[[#This Row],[LC Number]],Main_Issuance[],7,0)</f>
        <v>ROOTS INNOVATIVE INDUSTRIAL CO. JED</v>
      </c>
      <c r="J858" s="17" t="str">
        <f>VLOOKUP(Main_Presentation[[#This Row],[LC Number]],Main_Issuance[],8,0)</f>
        <v>FIRST FIX</v>
      </c>
      <c r="K858" s="17" t="str">
        <f>VLOOKUP(Main_Presentation[[#This Row],[LC Number]],Main_Issuance[],9,0)</f>
        <v>ADF</v>
      </c>
      <c r="L858" s="17">
        <f>VLOOKUP(Main_Presentation[[#This Row],[LC Number]],Main_Issuance[],10,0)</f>
        <v>1020001</v>
      </c>
      <c r="M858" s="17" t="str">
        <f>VLOOKUP(Main_Presentation[[#This Row],[LC Number]],Main_Issuance[],11,0)</f>
        <v>SAR</v>
      </c>
      <c r="N858" s="84">
        <f>VLOOKUP(Main_Presentation[[#This Row],[LC Number]],Main_Issuance[],12,0)</f>
        <v>5713072</v>
      </c>
      <c r="O858" s="16" t="s">
        <v>20</v>
      </c>
      <c r="P858" s="16" t="s">
        <v>857</v>
      </c>
      <c r="Q858" s="131">
        <v>1269572</v>
      </c>
      <c r="R858" s="18">
        <v>1</v>
      </c>
      <c r="S858" s="18">
        <f>Main_Presentation[[#This Row],[Invoice Amt (FCY)]]*Main_Presentation[[#This Row],[Rate]]</f>
        <v>1269572</v>
      </c>
      <c r="T858" s="15">
        <v>45137</v>
      </c>
      <c r="U858" s="26">
        <f>VLOOKUP(Main_Presentation[[#This Row],[LC Number]],Main_Issuance[],18,0)</f>
        <v>0</v>
      </c>
      <c r="V858" s="17" t="str">
        <f>VLOOKUP(Main_Presentation[[#This Row],[LC Number]],Main_Issuance[],9,0)</f>
        <v>ADF</v>
      </c>
      <c r="W858" s="22" t="s">
        <v>857</v>
      </c>
      <c r="X858" s="16"/>
      <c r="Y858" s="234" t="str">
        <f>TRIM(LEFT(Main_Presentation[[#This Row],[Payment Terms]],3))</f>
        <v>0</v>
      </c>
      <c r="Z858" s="16"/>
      <c r="AA858" s="316" cm="1">
        <f t="array" ref="AA858">Settlement(Main_Presentation[[#This Row],[Bank]],Main_Presentation[[#This Row],[ Invoice Amt (SAR)]],Main_Presentation[[#This Row],[Date Recd]],Main_Presentation[[#This Row],[Due Date]],Main_Presentation[[#This Row],[Days]])</f>
        <v>1437.5</v>
      </c>
      <c r="AB858" s="16"/>
    </row>
    <row r="859" spans="1:28" ht="15.75" hidden="1" x14ac:dyDescent="0.25">
      <c r="A859" s="20" t="s">
        <v>178</v>
      </c>
      <c r="B859" s="15">
        <v>45097</v>
      </c>
      <c r="C859" s="26">
        <v>3</v>
      </c>
      <c r="D859" s="55" t="str">
        <f>VLOOKUP(Main_Presentation[[#This Row],[LC Number]],Main_Issuance[],3,0)</f>
        <v>Bassam Marawie</v>
      </c>
      <c r="E859" s="16" t="s">
        <v>856</v>
      </c>
      <c r="F859" s="17" t="str">
        <f>VLOOKUP(Main_Presentation[[#This Row],[LC Number]],Main_Issuance[],5,0)</f>
        <v>Alinma</v>
      </c>
      <c r="G859" s="17" t="str">
        <f>VLOOKUP(Main_Presentation[[#This Row],[LC Number]],Main_Issuance[],6,0)</f>
        <v>KSP</v>
      </c>
      <c r="H859" s="17" t="str">
        <f>VLOOKUP(Main_Presentation[[#This Row],[LC Number]],Main_Issuance[],17,0)</f>
        <v>Credit</v>
      </c>
      <c r="I859" s="17" t="str">
        <f>VLOOKUP(Main_Presentation[[#This Row],[LC Number]],Main_Issuance[],7,0)</f>
        <v>ROOTS INNOVATIVE INDUSTRIAL CO. JED</v>
      </c>
      <c r="J859" s="17" t="str">
        <f>VLOOKUP(Main_Presentation[[#This Row],[LC Number]],Main_Issuance[],8,0)</f>
        <v>FIRST FIX</v>
      </c>
      <c r="K859" s="17" t="str">
        <f>VLOOKUP(Main_Presentation[[#This Row],[LC Number]],Main_Issuance[],9,0)</f>
        <v>ADF</v>
      </c>
      <c r="L859" s="17">
        <f>VLOOKUP(Main_Presentation[[#This Row],[LC Number]],Main_Issuance[],10,0)</f>
        <v>1020001</v>
      </c>
      <c r="M859" s="17" t="str">
        <f>VLOOKUP(Main_Presentation[[#This Row],[LC Number]],Main_Issuance[],11,0)</f>
        <v>SAR</v>
      </c>
      <c r="N859" s="84">
        <f>VLOOKUP(Main_Presentation[[#This Row],[LC Number]],Main_Issuance[],12,0)</f>
        <v>5713072</v>
      </c>
      <c r="O859" s="16" t="s">
        <v>20</v>
      </c>
      <c r="P859" s="16" t="s">
        <v>857</v>
      </c>
      <c r="Q859" s="131">
        <v>3173929</v>
      </c>
      <c r="R859" s="18">
        <v>1</v>
      </c>
      <c r="S859" s="18">
        <f>Main_Presentation[[#This Row],[Invoice Amt (FCY)]]*Main_Presentation[[#This Row],[Rate]]</f>
        <v>3173929</v>
      </c>
      <c r="T859" s="15">
        <v>45216</v>
      </c>
      <c r="U859" s="26">
        <f>VLOOKUP(Main_Presentation[[#This Row],[LC Number]],Main_Issuance[],18,0)</f>
        <v>0</v>
      </c>
      <c r="V859" s="17" t="str">
        <f>VLOOKUP(Main_Presentation[[#This Row],[LC Number]],Main_Issuance[],9,0)</f>
        <v>ADF</v>
      </c>
      <c r="W859" s="22" t="s">
        <v>857</v>
      </c>
      <c r="X859" s="16"/>
      <c r="Y859" s="234" t="str">
        <f>TRIM(LEFT(Main_Presentation[[#This Row],[Payment Terms]],3))</f>
        <v>0</v>
      </c>
      <c r="Z859" s="16"/>
      <c r="AA859" s="316" cm="1">
        <f t="array" ref="AA859">Settlement(Main_Presentation[[#This Row],[Bank]],Main_Presentation[[#This Row],[ Invoice Amt (SAR)]],Main_Presentation[[#This Row],[Date Recd]],Main_Presentation[[#This Row],[Due Date]],Main_Presentation[[#This Row],[Days]])</f>
        <v>6083.5</v>
      </c>
      <c r="AB859" s="16"/>
    </row>
    <row r="860" spans="1:28" ht="15.75" hidden="1" x14ac:dyDescent="0.25">
      <c r="A860" s="20" t="s">
        <v>178</v>
      </c>
      <c r="B860" s="15">
        <v>45081</v>
      </c>
      <c r="C860" s="26">
        <v>4</v>
      </c>
      <c r="D860" s="55" t="str">
        <f>VLOOKUP(Main_Presentation[[#This Row],[LC Number]],Main_Issuance[],3,0)</f>
        <v>Bassam Marawie</v>
      </c>
      <c r="E860" s="16" t="s">
        <v>856</v>
      </c>
      <c r="F860" s="17" t="str">
        <f>VLOOKUP(Main_Presentation[[#This Row],[LC Number]],Main_Issuance[],5,0)</f>
        <v>Alinma</v>
      </c>
      <c r="G860" s="17" t="str">
        <f>VLOOKUP(Main_Presentation[[#This Row],[LC Number]],Main_Issuance[],6,0)</f>
        <v>KSP</v>
      </c>
      <c r="H860" s="17" t="str">
        <f>VLOOKUP(Main_Presentation[[#This Row],[LC Number]],Main_Issuance[],17,0)</f>
        <v>Credit</v>
      </c>
      <c r="I860" s="17" t="str">
        <f>VLOOKUP(Main_Presentation[[#This Row],[LC Number]],Main_Issuance[],7,0)</f>
        <v>ROOTS INNOVATIVE INDUSTRIAL CO. JED</v>
      </c>
      <c r="J860" s="17" t="str">
        <f>VLOOKUP(Main_Presentation[[#This Row],[LC Number]],Main_Issuance[],8,0)</f>
        <v>FIRST FIX</v>
      </c>
      <c r="K860" s="17" t="str">
        <f>VLOOKUP(Main_Presentation[[#This Row],[LC Number]],Main_Issuance[],9,0)</f>
        <v>ADF</v>
      </c>
      <c r="L860" s="17">
        <f>VLOOKUP(Main_Presentation[[#This Row],[LC Number]],Main_Issuance[],10,0)</f>
        <v>1020001</v>
      </c>
      <c r="M860" s="17" t="str">
        <f>VLOOKUP(Main_Presentation[[#This Row],[LC Number]],Main_Issuance[],11,0)</f>
        <v>SAR</v>
      </c>
      <c r="N860" s="84">
        <f>VLOOKUP(Main_Presentation[[#This Row],[LC Number]],Main_Issuance[],12,0)</f>
        <v>5713072</v>
      </c>
      <c r="O860" s="16" t="s">
        <v>20</v>
      </c>
      <c r="P860" s="16" t="s">
        <v>857</v>
      </c>
      <c r="Q860" s="131">
        <v>317393</v>
      </c>
      <c r="R860" s="18">
        <v>1</v>
      </c>
      <c r="S860" s="18">
        <f>Main_Presentation[[#This Row],[Invoice Amt (FCY)]]*Main_Presentation[[#This Row],[Rate]]</f>
        <v>317393</v>
      </c>
      <c r="T860" s="15">
        <v>45280</v>
      </c>
      <c r="U860" s="26">
        <f>VLOOKUP(Main_Presentation[[#This Row],[LC Number]],Main_Issuance[],18,0)</f>
        <v>0</v>
      </c>
      <c r="V860" s="17" t="str">
        <f>VLOOKUP(Main_Presentation[[#This Row],[LC Number]],Main_Issuance[],9,0)</f>
        <v>ADF</v>
      </c>
      <c r="W860" s="22" t="s">
        <v>857</v>
      </c>
      <c r="X860" s="16"/>
      <c r="Y860" s="234" t="str">
        <f>TRIM(LEFT(Main_Presentation[[#This Row],[Payment Terms]],3))</f>
        <v>0</v>
      </c>
      <c r="Z860" s="16"/>
      <c r="AA860" s="316" cm="1">
        <f t="array" ref="AA860">Settlement(Main_Presentation[[#This Row],[Bank]],Main_Presentation[[#This Row],[ Invoice Amt (SAR)]],Main_Presentation[[#This Row],[Date Recd]],Main_Presentation[[#This Row],[Due Date]],Main_Presentation[[#This Row],[Days]])</f>
        <v>1437.5</v>
      </c>
      <c r="AB860" s="16"/>
    </row>
    <row r="861" spans="1:28" ht="15.75" hidden="1" x14ac:dyDescent="0.25">
      <c r="A861" s="20" t="s">
        <v>185</v>
      </c>
      <c r="B861" s="15">
        <v>45252</v>
      </c>
      <c r="C861" s="26">
        <v>1</v>
      </c>
      <c r="D861" s="55" t="str">
        <f>VLOOKUP(Main_Presentation[[#This Row],[LC Number]],Main_Issuance[],3,0)</f>
        <v>Mohammed Kotb</v>
      </c>
      <c r="E861" s="16" t="s">
        <v>856</v>
      </c>
      <c r="F861" s="17" t="str">
        <f>VLOOKUP(Main_Presentation[[#This Row],[LC Number]],Main_Issuance[],5,0)</f>
        <v>Alinma</v>
      </c>
      <c r="G861" s="17" t="str">
        <f>VLOOKUP(Main_Presentation[[#This Row],[LC Number]],Main_Issuance[],6,0)</f>
        <v>KSP</v>
      </c>
      <c r="H861" s="17" t="str">
        <f>VLOOKUP(Main_Presentation[[#This Row],[LC Number]],Main_Issuance[],17,0)</f>
        <v>Cash</v>
      </c>
      <c r="I861" s="17" t="str">
        <f>VLOOKUP(Main_Presentation[[#This Row],[LC Number]],Main_Issuance[],7,0)</f>
        <v>ISSAM KABBANI AND PARTNERS LTD</v>
      </c>
      <c r="J861" s="17" t="str">
        <f>VLOOKUP(Main_Presentation[[#This Row],[LC Number]],Main_Issuance[],8,0)</f>
        <v>ICAD</v>
      </c>
      <c r="K861" s="17" t="str">
        <f>VLOOKUP(Main_Presentation[[#This Row],[LC Number]],Main_Issuance[],9,0)</f>
        <v>ABHA</v>
      </c>
      <c r="L861" s="17">
        <f>VLOOKUP(Main_Presentation[[#This Row],[LC Number]],Main_Issuance[],10,0)</f>
        <v>1020070</v>
      </c>
      <c r="M861" s="17" t="str">
        <f>VLOOKUP(Main_Presentation[[#This Row],[LC Number]],Main_Issuance[],11,0)</f>
        <v>SAR</v>
      </c>
      <c r="N861" s="84">
        <f>VLOOKUP(Main_Presentation[[#This Row],[LC Number]],Main_Issuance[],12,0)</f>
        <v>2000000</v>
      </c>
      <c r="O861" s="16" t="s">
        <v>20</v>
      </c>
      <c r="P861" s="16" t="s">
        <v>857</v>
      </c>
      <c r="Q861" s="131">
        <v>1524114.55</v>
      </c>
      <c r="R861" s="18">
        <v>1</v>
      </c>
      <c r="S861" s="18">
        <f>Main_Presentation[[#This Row],[Invoice Amt (FCY)]]*Main_Presentation[[#This Row],[Rate]]</f>
        <v>1524114.55</v>
      </c>
      <c r="T861" s="15">
        <v>45302</v>
      </c>
      <c r="U861" s="26">
        <f>VLOOKUP(Main_Presentation[[#This Row],[LC Number]],Main_Issuance[],18,0)</f>
        <v>0</v>
      </c>
      <c r="V861" s="17" t="s">
        <v>377</v>
      </c>
      <c r="W861" s="22" t="s">
        <v>857</v>
      </c>
      <c r="X861" s="16"/>
      <c r="Y861" s="234" t="str">
        <f>TRIM(LEFT(Main_Presentation[[#This Row],[Payment Terms]],3))</f>
        <v>0</v>
      </c>
      <c r="Z861" s="16"/>
      <c r="AA861" s="316" cm="1">
        <f t="array" ref="AA861">Settlement(Main_Presentation[[#This Row],[Bank]],Main_Presentation[[#This Row],[ Invoice Amt (SAR)]],Main_Presentation[[#This Row],[Date Recd]],Main_Presentation[[#This Row],[Due Date]],Main_Presentation[[#This Row],[Days]])</f>
        <v>1460.5</v>
      </c>
      <c r="AB861" s="16"/>
    </row>
    <row r="862" spans="1:28" ht="15.75" hidden="1" x14ac:dyDescent="0.25">
      <c r="A862" s="20" t="s">
        <v>187</v>
      </c>
      <c r="B862" s="15">
        <v>45295</v>
      </c>
      <c r="C862" s="26">
        <v>1</v>
      </c>
      <c r="D862" s="55" t="str">
        <f>VLOOKUP(Main_Presentation[[#This Row],[LC Number]],Main_Issuance[],3,0)</f>
        <v>Hassan Taleb</v>
      </c>
      <c r="E862" s="16" t="s">
        <v>856</v>
      </c>
      <c r="F862" s="17" t="str">
        <f>VLOOKUP(Main_Presentation[[#This Row],[LC Number]],Main_Issuance[],5,0)</f>
        <v>Alinma</v>
      </c>
      <c r="G862" s="17" t="str">
        <f>VLOOKUP(Main_Presentation[[#This Row],[LC Number]],Main_Issuance[],6,0)</f>
        <v>KSP</v>
      </c>
      <c r="H862" s="17" t="str">
        <f>VLOOKUP(Main_Presentation[[#This Row],[LC Number]],Main_Issuance[],17,0)</f>
        <v>Credit</v>
      </c>
      <c r="I862" s="17" t="str">
        <f>VLOOKUP(Main_Presentation[[#This Row],[LC Number]],Main_Issuance[],7,0)</f>
        <v>EMPOWER AIR TECHNOLOGIES CO.</v>
      </c>
      <c r="J862" s="17" t="str">
        <f>VLOOKUP(Main_Presentation[[#This Row],[LC Number]],Main_Issuance[],8,0)</f>
        <v>FIRST FIX</v>
      </c>
      <c r="K862" s="17" t="str">
        <f>VLOOKUP(Main_Presentation[[#This Row],[LC Number]],Main_Issuance[],9,0)</f>
        <v>KSP</v>
      </c>
      <c r="L862" s="17">
        <f>VLOOKUP(Main_Presentation[[#This Row],[LC Number]],Main_Issuance[],10,0)</f>
        <v>1020055</v>
      </c>
      <c r="M862" s="17" t="str">
        <f>VLOOKUP(Main_Presentation[[#This Row],[LC Number]],Main_Issuance[],11,0)</f>
        <v>SAR</v>
      </c>
      <c r="N862" s="84">
        <f>VLOOKUP(Main_Presentation[[#This Row],[LC Number]],Main_Issuance[],12,0)</f>
        <v>2000000</v>
      </c>
      <c r="O862" s="16" t="s">
        <v>20</v>
      </c>
      <c r="P862" s="16" t="s">
        <v>857</v>
      </c>
      <c r="Q862" s="131">
        <v>2000000.0009999999</v>
      </c>
      <c r="R862" s="18">
        <v>1</v>
      </c>
      <c r="S862" s="18">
        <f>Main_Presentation[[#This Row],[Invoice Amt (FCY)]]*Main_Presentation[[#This Row],[Rate]]</f>
        <v>2000000.0009999999</v>
      </c>
      <c r="T862" s="15">
        <v>45319</v>
      </c>
      <c r="U862" s="26" t="str">
        <f>VLOOKUP(Main_Presentation[[#This Row],[LC Number]],Main_Issuance[],18,0)</f>
        <v>45 Days from Delivery Date</v>
      </c>
      <c r="V862" s="17" t="str">
        <f>VLOOKUP(Main_Presentation[[#This Row],[LC Number]],Main_Issuance[],9,0)</f>
        <v>KSP</v>
      </c>
      <c r="W862" s="22" t="s">
        <v>857</v>
      </c>
      <c r="X862" s="16"/>
      <c r="Y862" s="234" t="str">
        <f>TRIM(LEFT(Main_Presentation[[#This Row],[Payment Terms]],3))</f>
        <v>45</v>
      </c>
      <c r="Z862" s="16"/>
      <c r="AA862" s="316" cm="1">
        <f t="array" ref="AA862">Settlement(Main_Presentation[[#This Row],[Bank]],Main_Presentation[[#This Row],[ Invoice Amt (SAR)]],Main_Presentation[[#This Row],[Date Recd]],Main_Presentation[[#This Row],[Due Date]],Main_Presentation[[#This Row],[Days]])</f>
        <v>1437.5</v>
      </c>
      <c r="AB862" s="16"/>
    </row>
    <row r="863" spans="1:28" ht="15.75" hidden="1" x14ac:dyDescent="0.25">
      <c r="A863" s="20" t="s">
        <v>189</v>
      </c>
      <c r="B863" s="15">
        <v>45278</v>
      </c>
      <c r="C863" s="26">
        <v>1</v>
      </c>
      <c r="D863" s="55" t="str">
        <f>VLOOKUP(Main_Presentation[[#This Row],[LC Number]],Main_Issuance[],3,0)</f>
        <v>Hassan Taleb</v>
      </c>
      <c r="E863" s="16" t="s">
        <v>856</v>
      </c>
      <c r="F863" s="17" t="str">
        <f>VLOOKUP(Main_Presentation[[#This Row],[LC Number]],Main_Issuance[],5,0)</f>
        <v>Alinma</v>
      </c>
      <c r="G863" s="17" t="str">
        <f>VLOOKUP(Main_Presentation[[#This Row],[LC Number]],Main_Issuance[],6,0)</f>
        <v>KSP</v>
      </c>
      <c r="H863" s="17" t="str">
        <f>VLOOKUP(Main_Presentation[[#This Row],[LC Number]],Main_Issuance[],17,0)</f>
        <v>Credit</v>
      </c>
      <c r="I863" s="17" t="str">
        <f>VLOOKUP(Main_Presentation[[#This Row],[LC Number]],Main_Issuance[],7,0)</f>
        <v>API ENERGY MIDDLE EAST</v>
      </c>
      <c r="J863" s="17" t="str">
        <f>VLOOKUP(Main_Presentation[[#This Row],[LC Number]],Main_Issuance[],8,0)</f>
        <v>FIRST FIX</v>
      </c>
      <c r="K863" s="17" t="str">
        <f>VLOOKUP(Main_Presentation[[#This Row],[LC Number]],Main_Issuance[],9,0)</f>
        <v>KSP</v>
      </c>
      <c r="L863" s="17">
        <f>VLOOKUP(Main_Presentation[[#This Row],[LC Number]],Main_Issuance[],10,0)</f>
        <v>1020055</v>
      </c>
      <c r="M863" s="17" t="str">
        <f>VLOOKUP(Main_Presentation[[#This Row],[LC Number]],Main_Issuance[],11,0)</f>
        <v>AED</v>
      </c>
      <c r="N863" s="84">
        <f>VLOOKUP(Main_Presentation[[#This Row],[LC Number]],Main_Issuance[],12,0)</f>
        <v>1475299.7</v>
      </c>
      <c r="O863" s="16" t="s">
        <v>20</v>
      </c>
      <c r="P863" s="16" t="s">
        <v>857</v>
      </c>
      <c r="Q863" s="131">
        <v>1475299.7</v>
      </c>
      <c r="R863" s="18">
        <v>1.0249999999999999</v>
      </c>
      <c r="S863" s="18">
        <f>Main_Presentation[[#This Row],[Invoice Amt (FCY)]]*Main_Presentation[[#This Row],[Rate]]</f>
        <v>1512182.1924999999</v>
      </c>
      <c r="T863" s="15">
        <v>45310</v>
      </c>
      <c r="U863" s="26" t="str">
        <f>VLOOKUP(Main_Presentation[[#This Row],[LC Number]],Main_Issuance[],18,0)</f>
        <v>60 Days from Delivery Date</v>
      </c>
      <c r="V863" s="17" t="str">
        <f>VLOOKUP(Main_Presentation[[#This Row],[LC Number]],Main_Issuance[],9,0)</f>
        <v>KSP</v>
      </c>
      <c r="W863" s="22" t="s">
        <v>857</v>
      </c>
      <c r="X863" s="16"/>
      <c r="Y863" s="234" t="str">
        <f>TRIM(LEFT(Main_Presentation[[#This Row],[Payment Terms]],3))</f>
        <v>60</v>
      </c>
      <c r="Z863" s="16"/>
      <c r="AA863" s="316" cm="1">
        <f t="array" ref="AA863">Settlement(Main_Presentation[[#This Row],[Bank]],Main_Presentation[[#This Row],[ Invoice Amt (SAR)]],Main_Presentation[[#This Row],[Date Recd]],Main_Presentation[[#This Row],[Due Date]],Main_Presentation[[#This Row],[Days]])</f>
        <v>1437.5</v>
      </c>
      <c r="AB863" s="16"/>
    </row>
    <row r="864" spans="1:28" ht="15.75" hidden="1" x14ac:dyDescent="0.25">
      <c r="A864" s="20" t="s">
        <v>192</v>
      </c>
      <c r="B864" s="15">
        <v>45236</v>
      </c>
      <c r="C864" s="26">
        <v>1</v>
      </c>
      <c r="D864" s="55" t="str">
        <f>VLOOKUP(Main_Presentation[[#This Row],[LC Number]],Main_Issuance[],3,0)</f>
        <v>Hassan Taleb</v>
      </c>
      <c r="E864" s="16" t="s">
        <v>856</v>
      </c>
      <c r="F864" s="17" t="str">
        <f>VLOOKUP(Main_Presentation[[#This Row],[LC Number]],Main_Issuance[],5,0)</f>
        <v>Alinma</v>
      </c>
      <c r="G864" s="17" t="str">
        <f>VLOOKUP(Main_Presentation[[#This Row],[LC Number]],Main_Issuance[],6,0)</f>
        <v>KSP</v>
      </c>
      <c r="H864" s="17" t="str">
        <f>VLOOKUP(Main_Presentation[[#This Row],[LC Number]],Main_Issuance[],17,0)</f>
        <v>Credit</v>
      </c>
      <c r="I864" s="17" t="str">
        <f>VLOOKUP(Main_Presentation[[#This Row],[LC Number]],Main_Issuance[],7,0)</f>
        <v>LIGHT TECHNOLOGIES COMPANY LTD</v>
      </c>
      <c r="J864" s="17" t="str">
        <f>VLOOKUP(Main_Presentation[[#This Row],[LC Number]],Main_Issuance[],8,0)</f>
        <v>FIRST FIX</v>
      </c>
      <c r="K864" s="17" t="str">
        <f>VLOOKUP(Main_Presentation[[#This Row],[LC Number]],Main_Issuance[],9,0)</f>
        <v>KSP</v>
      </c>
      <c r="L864" s="17">
        <f>VLOOKUP(Main_Presentation[[#This Row],[LC Number]],Main_Issuance[],10,0)</f>
        <v>1020055</v>
      </c>
      <c r="M864" s="17" t="str">
        <f>VLOOKUP(Main_Presentation[[#This Row],[LC Number]],Main_Issuance[],11,0)</f>
        <v>SAR</v>
      </c>
      <c r="N864" s="84">
        <f>VLOOKUP(Main_Presentation[[#This Row],[LC Number]],Main_Issuance[],12,0)</f>
        <v>4805000</v>
      </c>
      <c r="O864" s="16" t="s">
        <v>20</v>
      </c>
      <c r="P864" s="16" t="s">
        <v>857</v>
      </c>
      <c r="Q864" s="131">
        <v>4805000</v>
      </c>
      <c r="R864" s="18">
        <v>1</v>
      </c>
      <c r="S864" s="18">
        <f>Main_Presentation[[#This Row],[Invoice Amt (FCY)]]*Main_Presentation[[#This Row],[Rate]]</f>
        <v>4805000</v>
      </c>
      <c r="T864" s="15">
        <v>45302</v>
      </c>
      <c r="U864" s="26" t="str">
        <f>VLOOKUP(Main_Presentation[[#This Row],[LC Number]],Main_Issuance[],18,0)</f>
        <v>90 Days from Delivery Date</v>
      </c>
      <c r="V864" s="17" t="str">
        <f>VLOOKUP(Main_Presentation[[#This Row],[LC Number]],Main_Issuance[],9,0)</f>
        <v>KSP</v>
      </c>
      <c r="W864" s="22" t="s">
        <v>857</v>
      </c>
      <c r="X864" s="16"/>
      <c r="Y864" s="234" t="str">
        <f>TRIM(LEFT(Main_Presentation[[#This Row],[Payment Terms]],3))</f>
        <v>90</v>
      </c>
      <c r="Z864" s="16"/>
      <c r="AA864" s="316" cm="1">
        <f t="array" ref="AA864">Settlement(Main_Presentation[[#This Row],[Bank]],Main_Presentation[[#This Row],[ Invoice Amt (SAR)]],Main_Presentation[[#This Row],[Date Recd]],Main_Presentation[[#This Row],[Due Date]],Main_Presentation[[#This Row],[Days]])</f>
        <v>4604.6000000000004</v>
      </c>
      <c r="AB864" s="16"/>
    </row>
    <row r="865" spans="1:28" ht="15.75" hidden="1" x14ac:dyDescent="0.25">
      <c r="A865" s="20" t="s">
        <v>195</v>
      </c>
      <c r="B865" s="15">
        <v>45239</v>
      </c>
      <c r="C865" s="26">
        <v>1</v>
      </c>
      <c r="D865" s="55" t="str">
        <f>VLOOKUP(Main_Presentation[[#This Row],[LC Number]],Main_Issuance[],3,0)</f>
        <v>Hassan Taleb</v>
      </c>
      <c r="E865" s="16" t="s">
        <v>856</v>
      </c>
      <c r="F865" s="17" t="str">
        <f>VLOOKUP(Main_Presentation[[#This Row],[LC Number]],Main_Issuance[],5,0)</f>
        <v>Alinma</v>
      </c>
      <c r="G865" s="17" t="str">
        <f>VLOOKUP(Main_Presentation[[#This Row],[LC Number]],Main_Issuance[],6,0)</f>
        <v>KSP</v>
      </c>
      <c r="H865" s="17" t="str">
        <f>VLOOKUP(Main_Presentation[[#This Row],[LC Number]],Main_Issuance[],17,0)</f>
        <v>Credit</v>
      </c>
      <c r="I865" s="17" t="str">
        <f>VLOOKUP(Main_Presentation[[#This Row],[LC Number]],Main_Issuance[],7,0)</f>
        <v>MOHAMMAD SALEH BAHARETH CO.</v>
      </c>
      <c r="J865" s="17" t="str">
        <f>VLOOKUP(Main_Presentation[[#This Row],[LC Number]],Main_Issuance[],8,0)</f>
        <v>FIRST FIX</v>
      </c>
      <c r="K865" s="17" t="str">
        <f>VLOOKUP(Main_Presentation[[#This Row],[LC Number]],Main_Issuance[],9,0)</f>
        <v>KSP</v>
      </c>
      <c r="L865" s="17">
        <f>VLOOKUP(Main_Presentation[[#This Row],[LC Number]],Main_Issuance[],10,0)</f>
        <v>1020055</v>
      </c>
      <c r="M865" s="17" t="str">
        <f>VLOOKUP(Main_Presentation[[#This Row],[LC Number]],Main_Issuance[],11,0)</f>
        <v>SAR</v>
      </c>
      <c r="N865" s="84">
        <f>VLOOKUP(Main_Presentation[[#This Row],[LC Number]],Main_Issuance[],12,0)</f>
        <v>500000</v>
      </c>
      <c r="O865" s="16" t="s">
        <v>20</v>
      </c>
      <c r="P865" s="16" t="s">
        <v>857</v>
      </c>
      <c r="Q865" s="131">
        <v>500000</v>
      </c>
      <c r="R865" s="18">
        <v>1</v>
      </c>
      <c r="S865" s="18">
        <f>Main_Presentation[[#This Row],[Invoice Amt (FCY)]]*Main_Presentation[[#This Row],[Rate]]</f>
        <v>500000</v>
      </c>
      <c r="T865" s="15">
        <v>45302</v>
      </c>
      <c r="U865" s="26" t="str">
        <f>VLOOKUP(Main_Presentation[[#This Row],[LC Number]],Main_Issuance[],18,0)</f>
        <v>60 Days from Delivery Date</v>
      </c>
      <c r="V865" s="17" t="str">
        <f>VLOOKUP(Main_Presentation[[#This Row],[LC Number]],Main_Issuance[],9,0)</f>
        <v>KSP</v>
      </c>
      <c r="W865" s="22" t="s">
        <v>857</v>
      </c>
      <c r="X865" s="16"/>
      <c r="Y865" s="234" t="str">
        <f>TRIM(LEFT(Main_Presentation[[#This Row],[Payment Terms]],3))</f>
        <v>60</v>
      </c>
      <c r="Z865" s="16"/>
      <c r="AA865" s="316" cm="1">
        <f t="array" ref="AA865">Settlement(Main_Presentation[[#This Row],[Bank]],Main_Presentation[[#This Row],[ Invoice Amt (SAR)]],Main_Presentation[[#This Row],[Date Recd]],Main_Presentation[[#This Row],[Due Date]],Main_Presentation[[#This Row],[Days]])</f>
        <v>1437.5</v>
      </c>
      <c r="AB865" s="16"/>
    </row>
    <row r="866" spans="1:28" ht="15.75" hidden="1" x14ac:dyDescent="0.25">
      <c r="A866" s="20" t="s">
        <v>200</v>
      </c>
      <c r="B866" s="15">
        <v>45235</v>
      </c>
      <c r="C866" s="26">
        <v>1</v>
      </c>
      <c r="D866" s="55" t="str">
        <f>VLOOKUP(Main_Presentation[[#This Row],[LC Number]],Main_Issuance[],3,0)</f>
        <v>Hassan Taleb</v>
      </c>
      <c r="E866" s="16" t="s">
        <v>856</v>
      </c>
      <c r="F866" s="17" t="str">
        <f>VLOOKUP(Main_Presentation[[#This Row],[LC Number]],Main_Issuance[],5,0)</f>
        <v>Alinma</v>
      </c>
      <c r="G866" s="17" t="str">
        <f>VLOOKUP(Main_Presentation[[#This Row],[LC Number]],Main_Issuance[],6,0)</f>
        <v>KSP</v>
      </c>
      <c r="H866" s="17" t="str">
        <f>VLOOKUP(Main_Presentation[[#This Row],[LC Number]],Main_Issuance[],17,0)</f>
        <v>Credit</v>
      </c>
      <c r="I866" s="17" t="str">
        <f>VLOOKUP(Main_Presentation[[#This Row],[LC Number]],Main_Issuance[],7,0)</f>
        <v>THKM ALAALMYT LLTAQT COMPANY</v>
      </c>
      <c r="J866" s="17" t="str">
        <f>VLOOKUP(Main_Presentation[[#This Row],[LC Number]],Main_Issuance[],8,0)</f>
        <v>FIRST FIX</v>
      </c>
      <c r="K866" s="17" t="str">
        <f>VLOOKUP(Main_Presentation[[#This Row],[LC Number]],Main_Issuance[],9,0)</f>
        <v>KSP</v>
      </c>
      <c r="L866" s="17">
        <f>VLOOKUP(Main_Presentation[[#This Row],[LC Number]],Main_Issuance[],10,0)</f>
        <v>1020055</v>
      </c>
      <c r="M866" s="17" t="str">
        <f>VLOOKUP(Main_Presentation[[#This Row],[LC Number]],Main_Issuance[],11,0)</f>
        <v>SAR</v>
      </c>
      <c r="N866" s="84">
        <f>VLOOKUP(Main_Presentation[[#This Row],[LC Number]],Main_Issuance[],12,0)</f>
        <v>1000000</v>
      </c>
      <c r="O866" s="16" t="s">
        <v>20</v>
      </c>
      <c r="P866" s="16" t="s">
        <v>857</v>
      </c>
      <c r="Q866" s="131">
        <v>639619</v>
      </c>
      <c r="R866" s="18">
        <v>1</v>
      </c>
      <c r="S866" s="18">
        <f>Main_Presentation[[#This Row],[Invoice Amt (FCY)]]*Main_Presentation[[#This Row],[Rate]]</f>
        <v>639619</v>
      </c>
      <c r="T866" s="15">
        <v>45283</v>
      </c>
      <c r="U866" s="26" t="str">
        <f>VLOOKUP(Main_Presentation[[#This Row],[LC Number]],Main_Issuance[],18,0)</f>
        <v>90 Days from Delivery Date</v>
      </c>
      <c r="V866" s="17" t="str">
        <f>VLOOKUP(Main_Presentation[[#This Row],[LC Number]],Main_Issuance[],9,0)</f>
        <v>KSP</v>
      </c>
      <c r="W866" s="22" t="s">
        <v>857</v>
      </c>
      <c r="X866" s="16"/>
      <c r="Y866" s="234" t="str">
        <f>TRIM(LEFT(Main_Presentation[[#This Row],[Payment Terms]],3))</f>
        <v>90</v>
      </c>
      <c r="Z866" s="16"/>
      <c r="AA866" s="316" cm="1">
        <f t="array" ref="AA866">Settlement(Main_Presentation[[#This Row],[Bank]],Main_Presentation[[#This Row],[ Invoice Amt (SAR)]],Main_Presentation[[#This Row],[Date Recd]],Main_Presentation[[#This Row],[Due Date]],Main_Presentation[[#This Row],[Days]])</f>
        <v>1437.5</v>
      </c>
      <c r="AB866" s="16"/>
    </row>
    <row r="867" spans="1:28" ht="15.75" hidden="1" x14ac:dyDescent="0.25">
      <c r="A867" s="20" t="s">
        <v>200</v>
      </c>
      <c r="B867" s="15">
        <v>45236</v>
      </c>
      <c r="C867" s="26">
        <v>2</v>
      </c>
      <c r="D867" s="55" t="str">
        <f>VLOOKUP(Main_Presentation[[#This Row],[LC Number]],Main_Issuance[],3,0)</f>
        <v>Hassan Taleb</v>
      </c>
      <c r="E867" s="16" t="s">
        <v>856</v>
      </c>
      <c r="F867" s="17" t="str">
        <f>VLOOKUP(Main_Presentation[[#This Row],[LC Number]],Main_Issuance[],5,0)</f>
        <v>Alinma</v>
      </c>
      <c r="G867" s="17" t="str">
        <f>VLOOKUP(Main_Presentation[[#This Row],[LC Number]],Main_Issuance[],6,0)</f>
        <v>KSP</v>
      </c>
      <c r="H867" s="17" t="str">
        <f>VLOOKUP(Main_Presentation[[#This Row],[LC Number]],Main_Issuance[],17,0)</f>
        <v>Credit</v>
      </c>
      <c r="I867" s="17" t="str">
        <f>VLOOKUP(Main_Presentation[[#This Row],[LC Number]],Main_Issuance[],7,0)</f>
        <v>THKM ALAALMYT LLTAQT COMPANY</v>
      </c>
      <c r="J867" s="17" t="str">
        <f>VLOOKUP(Main_Presentation[[#This Row],[LC Number]],Main_Issuance[],8,0)</f>
        <v>FIRST FIX</v>
      </c>
      <c r="K867" s="17" t="str">
        <f>VLOOKUP(Main_Presentation[[#This Row],[LC Number]],Main_Issuance[],9,0)</f>
        <v>KSP</v>
      </c>
      <c r="L867" s="17">
        <f>VLOOKUP(Main_Presentation[[#This Row],[LC Number]],Main_Issuance[],10,0)</f>
        <v>1020055</v>
      </c>
      <c r="M867" s="17" t="str">
        <f>VLOOKUP(Main_Presentation[[#This Row],[LC Number]],Main_Issuance[],11,0)</f>
        <v>SAR</v>
      </c>
      <c r="N867" s="84">
        <f>VLOOKUP(Main_Presentation[[#This Row],[LC Number]],Main_Issuance[],12,0)</f>
        <v>1000000</v>
      </c>
      <c r="O867" s="16" t="s">
        <v>20</v>
      </c>
      <c r="P867" s="16" t="s">
        <v>857</v>
      </c>
      <c r="Q867" s="131">
        <v>359859.93</v>
      </c>
      <c r="R867" s="18">
        <v>1</v>
      </c>
      <c r="S867" s="18">
        <f>Main_Presentation[[#This Row],[Invoice Amt (FCY)]]*Main_Presentation[[#This Row],[Rate]]</f>
        <v>359859.93</v>
      </c>
      <c r="T867" s="15">
        <v>45294</v>
      </c>
      <c r="U867" s="26" t="str">
        <f>VLOOKUP(Main_Presentation[[#This Row],[LC Number]],Main_Issuance[],18,0)</f>
        <v>90 Days from Delivery Date</v>
      </c>
      <c r="V867" s="17" t="str">
        <f>VLOOKUP(Main_Presentation[[#This Row],[LC Number]],Main_Issuance[],9,0)</f>
        <v>KSP</v>
      </c>
      <c r="W867" s="22" t="s">
        <v>857</v>
      </c>
      <c r="X867" s="16"/>
      <c r="Y867" s="234" t="str">
        <f>TRIM(LEFT(Main_Presentation[[#This Row],[Payment Terms]],3))</f>
        <v>90</v>
      </c>
      <c r="Z867" s="16"/>
      <c r="AA867" s="316" cm="1">
        <f t="array" ref="AA867">Settlement(Main_Presentation[[#This Row],[Bank]],Main_Presentation[[#This Row],[ Invoice Amt (SAR)]],Main_Presentation[[#This Row],[Date Recd]],Main_Presentation[[#This Row],[Due Date]],Main_Presentation[[#This Row],[Days]])</f>
        <v>1437.5</v>
      </c>
      <c r="AB867" s="16"/>
    </row>
    <row r="868" spans="1:28" ht="15.75" hidden="1" x14ac:dyDescent="0.25">
      <c r="A868" s="20" t="s">
        <v>209</v>
      </c>
      <c r="B868" s="15">
        <v>44989</v>
      </c>
      <c r="C868" s="26">
        <v>1</v>
      </c>
      <c r="D868" s="55" t="str">
        <f>VLOOKUP(Main_Presentation[[#This Row],[LC Number]],Main_Issuance[],3,0)</f>
        <v>Rabih Makhoul</v>
      </c>
      <c r="E868" s="16" t="s">
        <v>856</v>
      </c>
      <c r="F868" s="17" t="str">
        <f>VLOOKUP(Main_Presentation[[#This Row],[LC Number]],Main_Issuance[],5,0)</f>
        <v>Riyad</v>
      </c>
      <c r="G868" s="17" t="str">
        <f>VLOOKUP(Main_Presentation[[#This Row],[LC Number]],Main_Issuance[],6,0)</f>
        <v>Multipurpose</v>
      </c>
      <c r="H868" s="17" t="str">
        <f>VLOOKUP(Main_Presentation[[#This Row],[LC Number]],Main_Issuance[],17,0)</f>
        <v>Credit</v>
      </c>
      <c r="I868" s="17" t="str">
        <f>VLOOKUP(Main_Presentation[[#This Row],[LC Number]],Main_Issuance[],7,0)</f>
        <v>SAUDI LIEBHERR COMPANY LIMITED</v>
      </c>
      <c r="J868" s="17" t="str">
        <f>VLOOKUP(Main_Presentation[[#This Row],[LC Number]],Main_Issuance[],8,0)</f>
        <v>MBL</v>
      </c>
      <c r="K868" s="17" t="str">
        <f>VLOOKUP(Main_Presentation[[#This Row],[LC Number]],Main_Issuance[],9,0)</f>
        <v>JCD</v>
      </c>
      <c r="L868" s="17">
        <f>VLOOKUP(Main_Presentation[[#This Row],[LC Number]],Main_Issuance[],10,0)</f>
        <v>1020051</v>
      </c>
      <c r="M868" s="17" t="str">
        <f>VLOOKUP(Main_Presentation[[#This Row],[LC Number]],Main_Issuance[],11,0)</f>
        <v>EUR</v>
      </c>
      <c r="N868" s="84">
        <f>VLOOKUP(Main_Presentation[[#This Row],[LC Number]],Main_Issuance[],12,0)</f>
        <v>1004640</v>
      </c>
      <c r="O868" s="16" t="s">
        <v>20</v>
      </c>
      <c r="P868" s="16" t="s">
        <v>857</v>
      </c>
      <c r="Q868" s="131">
        <v>1004640</v>
      </c>
      <c r="R868" s="18">
        <v>4.1020000000000003</v>
      </c>
      <c r="S868" s="18">
        <f>Main_Presentation[[#This Row],[Invoice Amt (FCY)]]*Main_Presentation[[#This Row],[Rate]]</f>
        <v>4121033.2800000003</v>
      </c>
      <c r="T868" s="15">
        <v>44989</v>
      </c>
      <c r="U868" s="26">
        <f>VLOOKUP(Main_Presentation[[#This Row],[LC Number]],Main_Issuance[],18,0)</f>
        <v>0</v>
      </c>
      <c r="V868" s="17" t="s">
        <v>407</v>
      </c>
      <c r="W868" s="22" t="s">
        <v>857</v>
      </c>
      <c r="X868" s="16"/>
      <c r="Y868" s="234" t="str">
        <f>TRIM(LEFT(Main_Presentation[[#This Row],[Payment Terms]],3))</f>
        <v>0</v>
      </c>
      <c r="Z868" s="16"/>
      <c r="AA868" s="316" cm="1">
        <f t="array" ref="AA868">Settlement(Main_Presentation[[#This Row],[Bank]],Main_Presentation[[#This Row],[ Invoice Amt (SAR)]],Main_Presentation[[#This Row],[Date Recd]],Main_Presentation[[#This Row],[Due Date]],Main_Presentation[[#This Row],[Days]])</f>
        <v>230</v>
      </c>
      <c r="AB868" s="16"/>
    </row>
    <row r="869" spans="1:28" ht="15.75" hidden="1" x14ac:dyDescent="0.25">
      <c r="A869" s="20" t="s">
        <v>215</v>
      </c>
      <c r="B869" s="15">
        <v>45062</v>
      </c>
      <c r="C869" s="26">
        <v>1</v>
      </c>
      <c r="D869" s="55" t="str">
        <f>VLOOKUP(Main_Presentation[[#This Row],[LC Number]],Main_Issuance[],3,0)</f>
        <v>Bassam Marawie</v>
      </c>
      <c r="E869" s="16" t="s">
        <v>856</v>
      </c>
      <c r="F869" s="17" t="str">
        <f>VLOOKUP(Main_Presentation[[#This Row],[LC Number]],Main_Issuance[],5,0)</f>
        <v>Alinma</v>
      </c>
      <c r="G869" s="17" t="str">
        <f>VLOOKUP(Main_Presentation[[#This Row],[LC Number]],Main_Issuance[],6,0)</f>
        <v>KSP</v>
      </c>
      <c r="H869" s="17" t="str">
        <f>VLOOKUP(Main_Presentation[[#This Row],[LC Number]],Main_Issuance[],17,0)</f>
        <v>Credit</v>
      </c>
      <c r="I869" s="17" t="str">
        <f>VLOOKUP(Main_Presentation[[#This Row],[LC Number]],Main_Issuance[],7,0)</f>
        <v>ROOTS INNOVATIVE INDUSTRIAL CO. JED</v>
      </c>
      <c r="J869" s="17" t="str">
        <f>VLOOKUP(Main_Presentation[[#This Row],[LC Number]],Main_Issuance[],8,0)</f>
        <v>FIRST FIX</v>
      </c>
      <c r="K869" s="17" t="str">
        <f>VLOOKUP(Main_Presentation[[#This Row],[LC Number]],Main_Issuance[],9,0)</f>
        <v>ADF</v>
      </c>
      <c r="L869" s="17">
        <f>VLOOKUP(Main_Presentation[[#This Row],[LC Number]],Main_Issuance[],10,0)</f>
        <v>1020001</v>
      </c>
      <c r="M869" s="17" t="str">
        <f>VLOOKUP(Main_Presentation[[#This Row],[LC Number]],Main_Issuance[],11,0)</f>
        <v>SAR</v>
      </c>
      <c r="N869" s="84">
        <f>VLOOKUP(Main_Presentation[[#This Row],[LC Number]],Main_Issuance[],12,0)</f>
        <v>12420000</v>
      </c>
      <c r="O869" s="16" t="s">
        <v>20</v>
      </c>
      <c r="P869" s="16" t="s">
        <v>857</v>
      </c>
      <c r="Q869" s="131">
        <v>2070000</v>
      </c>
      <c r="R869" s="18">
        <v>1</v>
      </c>
      <c r="S869" s="18">
        <f>Main_Presentation[[#This Row],[Invoice Amt (FCY)]]*Main_Presentation[[#This Row],[Rate]]</f>
        <v>2070000</v>
      </c>
      <c r="T869" s="15">
        <v>45123</v>
      </c>
      <c r="U869" s="26">
        <f>VLOOKUP(Main_Presentation[[#This Row],[LC Number]],Main_Issuance[],18,0)</f>
        <v>0</v>
      </c>
      <c r="V869" s="17" t="str">
        <f>VLOOKUP(Main_Presentation[[#This Row],[LC Number]],Main_Issuance[],9,0)</f>
        <v>ADF</v>
      </c>
      <c r="W869" s="22" t="s">
        <v>857</v>
      </c>
      <c r="X869" s="16"/>
      <c r="Y869" s="234" t="str">
        <f>TRIM(LEFT(Main_Presentation[[#This Row],[Payment Terms]],3))</f>
        <v>0</v>
      </c>
      <c r="Z869" s="16"/>
      <c r="AA869" s="316" cm="1">
        <f t="array" ref="AA869">Settlement(Main_Presentation[[#This Row],[Bank]],Main_Presentation[[#This Row],[ Invoice Amt (SAR)]],Main_Presentation[[#This Row],[Date Recd]],Main_Presentation[[#This Row],[Due Date]],Main_Presentation[[#This Row],[Days]])</f>
        <v>1983.75</v>
      </c>
      <c r="AB869" s="16"/>
    </row>
    <row r="870" spans="1:28" ht="15.75" hidden="1" x14ac:dyDescent="0.25">
      <c r="A870" s="20" t="s">
        <v>215</v>
      </c>
      <c r="B870" s="15">
        <v>45068</v>
      </c>
      <c r="C870" s="26">
        <v>2</v>
      </c>
      <c r="D870" s="55" t="str">
        <f>VLOOKUP(Main_Presentation[[#This Row],[LC Number]],Main_Issuance[],3,0)</f>
        <v>Bassam Marawie</v>
      </c>
      <c r="E870" s="16" t="s">
        <v>856</v>
      </c>
      <c r="F870" s="17" t="str">
        <f>VLOOKUP(Main_Presentation[[#This Row],[LC Number]],Main_Issuance[],5,0)</f>
        <v>Alinma</v>
      </c>
      <c r="G870" s="17" t="str">
        <f>VLOOKUP(Main_Presentation[[#This Row],[LC Number]],Main_Issuance[],6,0)</f>
        <v>KSP</v>
      </c>
      <c r="H870" s="17" t="str">
        <f>VLOOKUP(Main_Presentation[[#This Row],[LC Number]],Main_Issuance[],17,0)</f>
        <v>Credit</v>
      </c>
      <c r="I870" s="17" t="str">
        <f>VLOOKUP(Main_Presentation[[#This Row],[LC Number]],Main_Issuance[],7,0)</f>
        <v>ROOTS INNOVATIVE INDUSTRIAL CO. JED</v>
      </c>
      <c r="J870" s="17" t="str">
        <f>VLOOKUP(Main_Presentation[[#This Row],[LC Number]],Main_Issuance[],8,0)</f>
        <v>FIRST FIX</v>
      </c>
      <c r="K870" s="17" t="str">
        <f>VLOOKUP(Main_Presentation[[#This Row],[LC Number]],Main_Issuance[],9,0)</f>
        <v>ADF</v>
      </c>
      <c r="L870" s="17">
        <f>VLOOKUP(Main_Presentation[[#This Row],[LC Number]],Main_Issuance[],10,0)</f>
        <v>1020001</v>
      </c>
      <c r="M870" s="17" t="str">
        <f>VLOOKUP(Main_Presentation[[#This Row],[LC Number]],Main_Issuance[],11,0)</f>
        <v>SAR</v>
      </c>
      <c r="N870" s="84">
        <f>VLOOKUP(Main_Presentation[[#This Row],[LC Number]],Main_Issuance[],12,0)</f>
        <v>12420000</v>
      </c>
      <c r="O870" s="16" t="s">
        <v>20</v>
      </c>
      <c r="P870" s="16" t="s">
        <v>857</v>
      </c>
      <c r="Q870" s="131">
        <v>2760000</v>
      </c>
      <c r="R870" s="18">
        <v>1</v>
      </c>
      <c r="S870" s="18">
        <f>Main_Presentation[[#This Row],[Invoice Amt (FCY)]]*Main_Presentation[[#This Row],[Rate]]</f>
        <v>2760000</v>
      </c>
      <c r="T870" s="15">
        <v>45136</v>
      </c>
      <c r="U870" s="26">
        <f>VLOOKUP(Main_Presentation[[#This Row],[LC Number]],Main_Issuance[],18,0)</f>
        <v>0</v>
      </c>
      <c r="V870" s="17" t="str">
        <f>VLOOKUP(Main_Presentation[[#This Row],[LC Number]],Main_Issuance[],9,0)</f>
        <v>ADF</v>
      </c>
      <c r="W870" s="22" t="s">
        <v>857</v>
      </c>
      <c r="X870" s="16"/>
      <c r="Y870" s="234" t="str">
        <f>TRIM(LEFT(Main_Presentation[[#This Row],[Payment Terms]],3))</f>
        <v>0</v>
      </c>
      <c r="Z870" s="16"/>
      <c r="AA870" s="316" cm="1">
        <f t="array" ref="AA870">Settlement(Main_Presentation[[#This Row],[Bank]],Main_Presentation[[#This Row],[ Invoice Amt (SAR)]],Main_Presentation[[#This Row],[Date Recd]],Main_Presentation[[#This Row],[Due Date]],Main_Presentation[[#This Row],[Days]])</f>
        <v>2645</v>
      </c>
      <c r="AB870" s="16"/>
    </row>
    <row r="871" spans="1:28" ht="15.75" hidden="1" x14ac:dyDescent="0.25">
      <c r="A871" s="20" t="s">
        <v>215</v>
      </c>
      <c r="B871" s="15">
        <v>45208</v>
      </c>
      <c r="C871" s="26">
        <v>3</v>
      </c>
      <c r="D871" s="55" t="str">
        <f>VLOOKUP(Main_Presentation[[#This Row],[LC Number]],Main_Issuance[],3,0)</f>
        <v>Bassam Marawie</v>
      </c>
      <c r="E871" s="16" t="s">
        <v>856</v>
      </c>
      <c r="F871" s="17" t="str">
        <f>VLOOKUP(Main_Presentation[[#This Row],[LC Number]],Main_Issuance[],5,0)</f>
        <v>Alinma</v>
      </c>
      <c r="G871" s="17" t="str">
        <f>VLOOKUP(Main_Presentation[[#This Row],[LC Number]],Main_Issuance[],6,0)</f>
        <v>KSP</v>
      </c>
      <c r="H871" s="17" t="str">
        <f>VLOOKUP(Main_Presentation[[#This Row],[LC Number]],Main_Issuance[],17,0)</f>
        <v>Credit</v>
      </c>
      <c r="I871" s="17" t="str">
        <f>VLOOKUP(Main_Presentation[[#This Row],[LC Number]],Main_Issuance[],7,0)</f>
        <v>ROOTS INNOVATIVE INDUSTRIAL CO. JED</v>
      </c>
      <c r="J871" s="17" t="str">
        <f>VLOOKUP(Main_Presentation[[#This Row],[LC Number]],Main_Issuance[],8,0)</f>
        <v>FIRST FIX</v>
      </c>
      <c r="K871" s="17" t="str">
        <f>VLOOKUP(Main_Presentation[[#This Row],[LC Number]],Main_Issuance[],9,0)</f>
        <v>ADF</v>
      </c>
      <c r="L871" s="17">
        <f>VLOOKUP(Main_Presentation[[#This Row],[LC Number]],Main_Issuance[],10,0)</f>
        <v>1020001</v>
      </c>
      <c r="M871" s="17" t="str">
        <f>VLOOKUP(Main_Presentation[[#This Row],[LC Number]],Main_Issuance[],11,0)</f>
        <v>SAR</v>
      </c>
      <c r="N871" s="84">
        <f>VLOOKUP(Main_Presentation[[#This Row],[LC Number]],Main_Issuance[],12,0)</f>
        <v>12420000</v>
      </c>
      <c r="O871" s="16" t="s">
        <v>20</v>
      </c>
      <c r="P871" s="16" t="s">
        <v>857</v>
      </c>
      <c r="Q871" s="131">
        <v>6900000</v>
      </c>
      <c r="R871" s="18">
        <v>1</v>
      </c>
      <c r="S871" s="18">
        <f>Main_Presentation[[#This Row],[Invoice Amt (FCY)]]*Main_Presentation[[#This Row],[Rate]]</f>
        <v>6900000</v>
      </c>
      <c r="T871" s="15">
        <v>45290</v>
      </c>
      <c r="U871" s="26">
        <f>VLOOKUP(Main_Presentation[[#This Row],[LC Number]],Main_Issuance[],18,0)</f>
        <v>0</v>
      </c>
      <c r="V871" s="17" t="str">
        <f>VLOOKUP(Main_Presentation[[#This Row],[LC Number]],Main_Issuance[],9,0)</f>
        <v>ADF</v>
      </c>
      <c r="W871" s="22" t="s">
        <v>857</v>
      </c>
      <c r="X871" s="16"/>
      <c r="Y871" s="234" t="str">
        <f>TRIM(LEFT(Main_Presentation[[#This Row],[Payment Terms]],3))</f>
        <v>0</v>
      </c>
      <c r="Z871" s="16"/>
      <c r="AA871" s="316" cm="1">
        <f t="array" ref="AA871">Settlement(Main_Presentation[[#This Row],[Bank]],Main_Presentation[[#This Row],[ Invoice Amt (SAR)]],Main_Presentation[[#This Row],[Date Recd]],Main_Presentation[[#This Row],[Due Date]],Main_Presentation[[#This Row],[Days]])</f>
        <v>9918.75</v>
      </c>
      <c r="AB871" s="16"/>
    </row>
    <row r="872" spans="1:28" ht="15.75" hidden="1" x14ac:dyDescent="0.25">
      <c r="A872" s="20" t="s">
        <v>222</v>
      </c>
      <c r="B872" s="15">
        <v>44963</v>
      </c>
      <c r="C872" s="26">
        <v>1</v>
      </c>
      <c r="D872" s="55" t="str">
        <f>VLOOKUP(Main_Presentation[[#This Row],[LC Number]],Main_Issuance[],3,0)</f>
        <v>Hassan Taleb</v>
      </c>
      <c r="E872" s="16" t="s">
        <v>856</v>
      </c>
      <c r="F872" s="17" t="str">
        <f>VLOOKUP(Main_Presentation[[#This Row],[LC Number]],Main_Issuance[],5,0)</f>
        <v>Alinma</v>
      </c>
      <c r="G872" s="17" t="str">
        <f>VLOOKUP(Main_Presentation[[#This Row],[LC Number]],Main_Issuance[],6,0)</f>
        <v>KSP</v>
      </c>
      <c r="H872" s="17" t="str">
        <f>VLOOKUP(Main_Presentation[[#This Row],[LC Number]],Main_Issuance[],17,0)</f>
        <v>Credit</v>
      </c>
      <c r="I872" s="17" t="str">
        <f>VLOOKUP(Main_Presentation[[#This Row],[LC Number]],Main_Issuance[],7,0)</f>
        <v>AL-HADBANIA TRADING CO.</v>
      </c>
      <c r="J872" s="17" t="str">
        <f>VLOOKUP(Main_Presentation[[#This Row],[LC Number]],Main_Issuance[],8,0)</f>
        <v>FIRST FIX</v>
      </c>
      <c r="K872" s="17" t="str">
        <f>VLOOKUP(Main_Presentation[[#This Row],[LC Number]],Main_Issuance[],9,0)</f>
        <v>KSP</v>
      </c>
      <c r="L872" s="17">
        <f>VLOOKUP(Main_Presentation[[#This Row],[LC Number]],Main_Issuance[],10,0)</f>
        <v>1020055</v>
      </c>
      <c r="M872" s="17" t="str">
        <f>VLOOKUP(Main_Presentation[[#This Row],[LC Number]],Main_Issuance[],11,0)</f>
        <v>SAR</v>
      </c>
      <c r="N872" s="84">
        <f>VLOOKUP(Main_Presentation[[#This Row],[LC Number]],Main_Issuance[],12,0)</f>
        <v>1000000</v>
      </c>
      <c r="O872" s="16" t="s">
        <v>20</v>
      </c>
      <c r="P872" s="16" t="s">
        <v>857</v>
      </c>
      <c r="Q872" s="131">
        <v>1000000</v>
      </c>
      <c r="R872" s="18">
        <v>1</v>
      </c>
      <c r="S872" s="18">
        <f>Main_Presentation[[#This Row],[Invoice Amt (FCY)]]*Main_Presentation[[#This Row],[Rate]]</f>
        <v>1000000</v>
      </c>
      <c r="T872" s="15">
        <v>45365</v>
      </c>
      <c r="U872" s="26">
        <f>VLOOKUP(Main_Presentation[[#This Row],[LC Number]],Main_Issuance[],18,0)</f>
        <v>0</v>
      </c>
      <c r="V872" s="17" t="str">
        <f>VLOOKUP(Main_Presentation[[#This Row],[LC Number]],Main_Issuance[],9,0)</f>
        <v>KSP</v>
      </c>
      <c r="W872" s="22" t="s">
        <v>857</v>
      </c>
      <c r="X872" s="16"/>
      <c r="Y872" s="234" t="str">
        <f>TRIM(LEFT(Main_Presentation[[#This Row],[Payment Terms]],3))</f>
        <v>0</v>
      </c>
      <c r="Z872" s="16"/>
      <c r="AA872" s="316" cm="1">
        <f t="array" ref="AA872">Settlement(Main_Presentation[[#This Row],[Bank]],Main_Presentation[[#This Row],[ Invoice Amt (SAR)]],Main_Presentation[[#This Row],[Date Recd]],Main_Presentation[[#This Row],[Due Date]],Main_Presentation[[#This Row],[Days]])</f>
        <v>6229.55</v>
      </c>
      <c r="AB872" s="16"/>
    </row>
    <row r="873" spans="1:28" ht="15.75" hidden="1" x14ac:dyDescent="0.25">
      <c r="A873" s="20" t="s">
        <v>223</v>
      </c>
      <c r="B873" s="15">
        <v>45270</v>
      </c>
      <c r="C873" s="26">
        <v>1</v>
      </c>
      <c r="D873" s="55" t="str">
        <f>VLOOKUP(Main_Presentation[[#This Row],[LC Number]],Main_Issuance[],3,0)</f>
        <v>Hassan Taleb</v>
      </c>
      <c r="E873" s="16" t="s">
        <v>856</v>
      </c>
      <c r="F873" s="17" t="str">
        <f>VLOOKUP(Main_Presentation[[#This Row],[LC Number]],Main_Issuance[],5,0)</f>
        <v>Alinma</v>
      </c>
      <c r="G873" s="17" t="str">
        <f>VLOOKUP(Main_Presentation[[#This Row],[LC Number]],Main_Issuance[],6,0)</f>
        <v>KSP</v>
      </c>
      <c r="H873" s="17" t="str">
        <f>VLOOKUP(Main_Presentation[[#This Row],[LC Number]],Main_Issuance[],17,0)</f>
        <v>Credit</v>
      </c>
      <c r="I873" s="17" t="str">
        <f>VLOOKUP(Main_Presentation[[#This Row],[LC Number]],Main_Issuance[],7,0)</f>
        <v>HUDA LIGHTING LLC CO</v>
      </c>
      <c r="J873" s="17" t="str">
        <f>VLOOKUP(Main_Presentation[[#This Row],[LC Number]],Main_Issuance[],8,0)</f>
        <v>FIRST FIX</v>
      </c>
      <c r="K873" s="17" t="str">
        <f>VLOOKUP(Main_Presentation[[#This Row],[LC Number]],Main_Issuance[],9,0)</f>
        <v>KSP</v>
      </c>
      <c r="L873" s="17">
        <f>VLOOKUP(Main_Presentation[[#This Row],[LC Number]],Main_Issuance[],10,0)</f>
        <v>1020055</v>
      </c>
      <c r="M873" s="17" t="str">
        <f>VLOOKUP(Main_Presentation[[#This Row],[LC Number]],Main_Issuance[],11,0)</f>
        <v>SAR</v>
      </c>
      <c r="N873" s="84">
        <f>VLOOKUP(Main_Presentation[[#This Row],[LC Number]],Main_Issuance[],12,0)</f>
        <v>2325790.02</v>
      </c>
      <c r="O873" s="16" t="s">
        <v>20</v>
      </c>
      <c r="P873" s="16" t="s">
        <v>857</v>
      </c>
      <c r="Q873" s="131">
        <v>1268783.02</v>
      </c>
      <c r="R873" s="18">
        <v>1</v>
      </c>
      <c r="S873" s="18">
        <f>Main_Presentation[[#This Row],[Invoice Amt (FCY)]]*Main_Presentation[[#This Row],[Rate]]</f>
        <v>1268783.02</v>
      </c>
      <c r="T873" s="15">
        <v>45310</v>
      </c>
      <c r="U873" s="26">
        <f>VLOOKUP(Main_Presentation[[#This Row],[LC Number]],Main_Issuance[],18,0)</f>
        <v>0</v>
      </c>
      <c r="V873" s="17" t="str">
        <f>VLOOKUP(Main_Presentation[[#This Row],[LC Number]],Main_Issuance[],9,0)</f>
        <v>KSP</v>
      </c>
      <c r="W873" s="22" t="s">
        <v>857</v>
      </c>
      <c r="X873" s="16"/>
      <c r="Y873" s="234" t="str">
        <f>TRIM(LEFT(Main_Presentation[[#This Row],[Payment Terms]],3))</f>
        <v>0</v>
      </c>
      <c r="Z873" s="16"/>
      <c r="AA873" s="316" cm="1">
        <f t="array" ref="AA873">Settlement(Main_Presentation[[#This Row],[Bank]],Main_Presentation[[#This Row],[ Invoice Amt (SAR)]],Main_Presentation[[#This Row],[Date Recd]],Main_Presentation[[#This Row],[Due Date]],Main_Presentation[[#This Row],[Days]])</f>
        <v>1437.5</v>
      </c>
      <c r="AB873" s="16"/>
    </row>
    <row r="874" spans="1:28" ht="15.75" hidden="1" x14ac:dyDescent="0.25">
      <c r="A874" s="20" t="s">
        <v>223</v>
      </c>
      <c r="B874" s="15">
        <v>45270</v>
      </c>
      <c r="C874" s="26">
        <v>2</v>
      </c>
      <c r="D874" s="55" t="str">
        <f>VLOOKUP(Main_Presentation[[#This Row],[LC Number]],Main_Issuance[],3,0)</f>
        <v>Hassan Taleb</v>
      </c>
      <c r="E874" s="16" t="s">
        <v>856</v>
      </c>
      <c r="F874" s="17" t="str">
        <f>VLOOKUP(Main_Presentation[[#This Row],[LC Number]],Main_Issuance[],5,0)</f>
        <v>Alinma</v>
      </c>
      <c r="G874" s="17" t="str">
        <f>VLOOKUP(Main_Presentation[[#This Row],[LC Number]],Main_Issuance[],6,0)</f>
        <v>KSP</v>
      </c>
      <c r="H874" s="17" t="str">
        <f>VLOOKUP(Main_Presentation[[#This Row],[LC Number]],Main_Issuance[],17,0)</f>
        <v>Credit</v>
      </c>
      <c r="I874" s="17" t="str">
        <f>VLOOKUP(Main_Presentation[[#This Row],[LC Number]],Main_Issuance[],7,0)</f>
        <v>HUDA LIGHTING LLC CO</v>
      </c>
      <c r="J874" s="17" t="str">
        <f>VLOOKUP(Main_Presentation[[#This Row],[LC Number]],Main_Issuance[],8,0)</f>
        <v>FIRST FIX</v>
      </c>
      <c r="K874" s="17" t="str">
        <f>VLOOKUP(Main_Presentation[[#This Row],[LC Number]],Main_Issuance[],9,0)</f>
        <v>KSP</v>
      </c>
      <c r="L874" s="17">
        <f>VLOOKUP(Main_Presentation[[#This Row],[LC Number]],Main_Issuance[],10,0)</f>
        <v>1020055</v>
      </c>
      <c r="M874" s="17" t="str">
        <f>VLOOKUP(Main_Presentation[[#This Row],[LC Number]],Main_Issuance[],11,0)</f>
        <v>SAR</v>
      </c>
      <c r="N874" s="84">
        <f>VLOOKUP(Main_Presentation[[#This Row],[LC Number]],Main_Issuance[],12,0)</f>
        <v>2325790.02</v>
      </c>
      <c r="O874" s="16" t="s">
        <v>20</v>
      </c>
      <c r="P874" s="16" t="s">
        <v>857</v>
      </c>
      <c r="Q874" s="131">
        <v>1057000</v>
      </c>
      <c r="R874" s="18">
        <v>1</v>
      </c>
      <c r="S874" s="18">
        <f>Main_Presentation[[#This Row],[Invoice Amt (FCY)]]*Main_Presentation[[#This Row],[Rate]]</f>
        <v>1057000</v>
      </c>
      <c r="T874" s="15">
        <v>45310</v>
      </c>
      <c r="U874" s="26">
        <f>VLOOKUP(Main_Presentation[[#This Row],[LC Number]],Main_Issuance[],18,0)</f>
        <v>0</v>
      </c>
      <c r="V874" s="17" t="str">
        <f>VLOOKUP(Main_Presentation[[#This Row],[LC Number]],Main_Issuance[],9,0)</f>
        <v>KSP</v>
      </c>
      <c r="W874" s="22" t="s">
        <v>857</v>
      </c>
      <c r="X874" s="16"/>
      <c r="Y874" s="234" t="str">
        <f>TRIM(LEFT(Main_Presentation[[#This Row],[Payment Terms]],3))</f>
        <v>0</v>
      </c>
      <c r="Z874" s="16"/>
      <c r="AA874" s="316" cm="1">
        <f t="array" ref="AA874">Settlement(Main_Presentation[[#This Row],[Bank]],Main_Presentation[[#This Row],[ Invoice Amt (SAR)]],Main_Presentation[[#This Row],[Date Recd]],Main_Presentation[[#This Row],[Due Date]],Main_Presentation[[#This Row],[Days]])</f>
        <v>1437.5</v>
      </c>
      <c r="AB874" s="16"/>
    </row>
    <row r="875" spans="1:28" ht="15.75" hidden="1" x14ac:dyDescent="0.25">
      <c r="A875" s="20" t="s">
        <v>226</v>
      </c>
      <c r="B875" s="15">
        <v>45230</v>
      </c>
      <c r="C875" s="26">
        <v>1</v>
      </c>
      <c r="D875" s="55" t="str">
        <f>VLOOKUP(Main_Presentation[[#This Row],[LC Number]],Main_Issuance[],3,0)</f>
        <v>Mohammed Atef</v>
      </c>
      <c r="E875" s="16" t="s">
        <v>856</v>
      </c>
      <c r="F875" s="17" t="str">
        <f>VLOOKUP(Main_Presentation[[#This Row],[LC Number]],Main_Issuance[],5,0)</f>
        <v>Alinma</v>
      </c>
      <c r="G875" s="17" t="str">
        <f>VLOOKUP(Main_Presentation[[#This Row],[LC Number]],Main_Issuance[],6,0)</f>
        <v>KSP</v>
      </c>
      <c r="H875" s="17" t="str">
        <f>VLOOKUP(Main_Presentation[[#This Row],[LC Number]],Main_Issuance[],17,0)</f>
        <v>Credit</v>
      </c>
      <c r="I875" s="17" t="str">
        <f>VLOOKUP(Main_Presentation[[#This Row],[LC Number]],Main_Issuance[],7,0)</f>
        <v>ELECTRIC HOUSE TRADING COMPANY LLC</v>
      </c>
      <c r="J875" s="17" t="str">
        <f>VLOOKUP(Main_Presentation[[#This Row],[LC Number]],Main_Issuance[],8,0)</f>
        <v>ICAD</v>
      </c>
      <c r="K875" s="17" t="str">
        <f>VLOOKUP(Main_Presentation[[#This Row],[LC Number]],Main_Issuance[],9,0)</f>
        <v>KSP</v>
      </c>
      <c r="L875" s="17">
        <f>VLOOKUP(Main_Presentation[[#This Row],[LC Number]],Main_Issuance[],10,0)</f>
        <v>1020055</v>
      </c>
      <c r="M875" s="17" t="str">
        <f>VLOOKUP(Main_Presentation[[#This Row],[LC Number]],Main_Issuance[],11,0)</f>
        <v>SAR</v>
      </c>
      <c r="N875" s="84">
        <f>VLOOKUP(Main_Presentation[[#This Row],[LC Number]],Main_Issuance[],12,0)</f>
        <v>4440950.5599999996</v>
      </c>
      <c r="O875" s="16" t="s">
        <v>20</v>
      </c>
      <c r="P875" s="16" t="s">
        <v>857</v>
      </c>
      <c r="Q875" s="131">
        <v>3048569.82</v>
      </c>
      <c r="R875" s="18">
        <v>1</v>
      </c>
      <c r="S875" s="18">
        <f>Main_Presentation[[#This Row],[Invoice Amt (FCY)]]*Main_Presentation[[#This Row],[Rate]]</f>
        <v>3048569.82</v>
      </c>
      <c r="T875" s="15">
        <v>44930</v>
      </c>
      <c r="U875" s="26">
        <f>VLOOKUP(Main_Presentation[[#This Row],[LC Number]],Main_Issuance[],18,0)</f>
        <v>0</v>
      </c>
      <c r="V875" s="17" t="str">
        <f>VLOOKUP(Main_Presentation[[#This Row],[LC Number]],Main_Issuance[],9,0)</f>
        <v>KSP</v>
      </c>
      <c r="W875" s="22" t="s">
        <v>857</v>
      </c>
      <c r="X875" s="16"/>
      <c r="Y875" s="234" t="str">
        <f>TRIM(LEFT(Main_Presentation[[#This Row],[Payment Terms]],3))</f>
        <v>0</v>
      </c>
      <c r="Z875" s="16"/>
      <c r="AA875" s="316" cm="1">
        <f t="array" ref="AA875">Settlement(Main_Presentation[[#This Row],[Bank]],Main_Presentation[[#This Row],[ Invoice Amt (SAR)]],Main_Presentation[[#This Row],[Date Recd]],Main_Presentation[[#This Row],[Due Date]],Main_Presentation[[#This Row],[Days]])</f>
        <v>1437.5</v>
      </c>
      <c r="AB875" s="16"/>
    </row>
    <row r="876" spans="1:28" ht="15.75" hidden="1" x14ac:dyDescent="0.25">
      <c r="A876" s="20" t="s">
        <v>226</v>
      </c>
      <c r="B876" s="15">
        <v>45239</v>
      </c>
      <c r="C876" s="26">
        <v>2</v>
      </c>
      <c r="D876" s="55" t="str">
        <f>VLOOKUP(Main_Presentation[[#This Row],[LC Number]],Main_Issuance[],3,0)</f>
        <v>Mohammed Atef</v>
      </c>
      <c r="E876" s="16" t="s">
        <v>856</v>
      </c>
      <c r="F876" s="17" t="str">
        <f>VLOOKUP(Main_Presentation[[#This Row],[LC Number]],Main_Issuance[],5,0)</f>
        <v>Alinma</v>
      </c>
      <c r="G876" s="17" t="str">
        <f>VLOOKUP(Main_Presentation[[#This Row],[LC Number]],Main_Issuance[],6,0)</f>
        <v>KSP</v>
      </c>
      <c r="H876" s="17" t="str">
        <f>VLOOKUP(Main_Presentation[[#This Row],[LC Number]],Main_Issuance[],17,0)</f>
        <v>Credit</v>
      </c>
      <c r="I876" s="17" t="str">
        <f>VLOOKUP(Main_Presentation[[#This Row],[LC Number]],Main_Issuance[],7,0)</f>
        <v>ELECTRIC HOUSE TRADING COMPANY LLC</v>
      </c>
      <c r="J876" s="17" t="str">
        <f>VLOOKUP(Main_Presentation[[#This Row],[LC Number]],Main_Issuance[],8,0)</f>
        <v>ICAD</v>
      </c>
      <c r="K876" s="17" t="str">
        <f>VLOOKUP(Main_Presentation[[#This Row],[LC Number]],Main_Issuance[],9,0)</f>
        <v>KSP</v>
      </c>
      <c r="L876" s="17">
        <f>VLOOKUP(Main_Presentation[[#This Row],[LC Number]],Main_Issuance[],10,0)</f>
        <v>1020055</v>
      </c>
      <c r="M876" s="17" t="str">
        <f>VLOOKUP(Main_Presentation[[#This Row],[LC Number]],Main_Issuance[],11,0)</f>
        <v>SAR</v>
      </c>
      <c r="N876" s="84">
        <f>VLOOKUP(Main_Presentation[[#This Row],[LC Number]],Main_Issuance[],12,0)</f>
        <v>4440950.5599999996</v>
      </c>
      <c r="O876" s="16" t="s">
        <v>20</v>
      </c>
      <c r="P876" s="16" t="s">
        <v>857</v>
      </c>
      <c r="Q876" s="131">
        <v>1392380.74</v>
      </c>
      <c r="R876" s="18">
        <v>1</v>
      </c>
      <c r="S876" s="18">
        <f>Main_Presentation[[#This Row],[Invoice Amt (FCY)]]*Main_Presentation[[#This Row],[Rate]]</f>
        <v>1392380.74</v>
      </c>
      <c r="T876" s="15">
        <v>44935</v>
      </c>
      <c r="U876" s="26">
        <f>VLOOKUP(Main_Presentation[[#This Row],[LC Number]],Main_Issuance[],18,0)</f>
        <v>0</v>
      </c>
      <c r="V876" s="17" t="str">
        <f>VLOOKUP(Main_Presentation[[#This Row],[LC Number]],Main_Issuance[],9,0)</f>
        <v>KSP</v>
      </c>
      <c r="W876" s="22" t="s">
        <v>857</v>
      </c>
      <c r="X876" s="16"/>
      <c r="Y876" s="234" t="str">
        <f>TRIM(LEFT(Main_Presentation[[#This Row],[Payment Terms]],3))</f>
        <v>0</v>
      </c>
      <c r="Z876" s="16"/>
      <c r="AA876" s="316" cm="1">
        <f t="array" ref="AA876">Settlement(Main_Presentation[[#This Row],[Bank]],Main_Presentation[[#This Row],[ Invoice Amt (SAR)]],Main_Presentation[[#This Row],[Date Recd]],Main_Presentation[[#This Row],[Due Date]],Main_Presentation[[#This Row],[Days]])</f>
        <v>1437.5</v>
      </c>
      <c r="AB876" s="16"/>
    </row>
    <row r="877" spans="1:28" ht="15.75" hidden="1" x14ac:dyDescent="0.25">
      <c r="A877" s="20" t="s">
        <v>228</v>
      </c>
      <c r="B877" s="15">
        <v>45264</v>
      </c>
      <c r="C877" s="26">
        <v>1</v>
      </c>
      <c r="D877" s="55" t="str">
        <f>VLOOKUP(Main_Presentation[[#This Row],[LC Number]],Main_Issuance[],3,0)</f>
        <v>Hassan Taleb</v>
      </c>
      <c r="E877" s="16" t="s">
        <v>856</v>
      </c>
      <c r="F877" s="17" t="str">
        <f>VLOOKUP(Main_Presentation[[#This Row],[LC Number]],Main_Issuance[],5,0)</f>
        <v>Alinma</v>
      </c>
      <c r="G877" s="17" t="str">
        <f>VLOOKUP(Main_Presentation[[#This Row],[LC Number]],Main_Issuance[],6,0)</f>
        <v>KSP</v>
      </c>
      <c r="H877" s="17" t="str">
        <f>VLOOKUP(Main_Presentation[[#This Row],[LC Number]],Main_Issuance[],17,0)</f>
        <v>Credit</v>
      </c>
      <c r="I877" s="17" t="str">
        <f>VLOOKUP(Main_Presentation[[#This Row],[LC Number]],Main_Issuance[],7,0)</f>
        <v>LIGHT TECHNOLOGIES CO</v>
      </c>
      <c r="J877" s="17" t="str">
        <f>VLOOKUP(Main_Presentation[[#This Row],[LC Number]],Main_Issuance[],8,0)</f>
        <v>FIRST FIX</v>
      </c>
      <c r="K877" s="17" t="str">
        <f>VLOOKUP(Main_Presentation[[#This Row],[LC Number]],Main_Issuance[],9,0)</f>
        <v>KSP</v>
      </c>
      <c r="L877" s="17">
        <f>VLOOKUP(Main_Presentation[[#This Row],[LC Number]],Main_Issuance[],10,0)</f>
        <v>1020055</v>
      </c>
      <c r="M877" s="17" t="str">
        <f>VLOOKUP(Main_Presentation[[#This Row],[LC Number]],Main_Issuance[],11,0)</f>
        <v>SAR</v>
      </c>
      <c r="N877" s="84">
        <f>VLOOKUP(Main_Presentation[[#This Row],[LC Number]],Main_Issuance[],12,0)</f>
        <v>4038899.85</v>
      </c>
      <c r="O877" s="16" t="s">
        <v>20</v>
      </c>
      <c r="P877" s="16" t="s">
        <v>857</v>
      </c>
      <c r="Q877" s="131">
        <v>4038899.85</v>
      </c>
      <c r="R877" s="18">
        <v>1</v>
      </c>
      <c r="S877" s="18">
        <f>Main_Presentation[[#This Row],[Invoice Amt (FCY)]]*Main_Presentation[[#This Row],[Rate]]</f>
        <v>4038899.85</v>
      </c>
      <c r="T877" s="15">
        <v>45339</v>
      </c>
      <c r="U877" s="26">
        <f>VLOOKUP(Main_Presentation[[#This Row],[LC Number]],Main_Issuance[],18,0)</f>
        <v>0</v>
      </c>
      <c r="V877" s="17" t="str">
        <f>VLOOKUP(Main_Presentation[[#This Row],[LC Number]],Main_Issuance[],9,0)</f>
        <v>KSP</v>
      </c>
      <c r="W877" s="22" t="s">
        <v>857</v>
      </c>
      <c r="X877" s="16"/>
      <c r="Y877" s="234" t="str">
        <f>TRIM(LEFT(Main_Presentation[[#This Row],[Payment Terms]],3))</f>
        <v>0</v>
      </c>
      <c r="Z877" s="16"/>
      <c r="AA877" s="316" cm="1">
        <f t="array" ref="AA877">Settlement(Main_Presentation[[#This Row],[Bank]],Main_Presentation[[#This Row],[ Invoice Amt (SAR)]],Main_Presentation[[#This Row],[Date Recd]],Main_Presentation[[#This Row],[Due Date]],Main_Presentation[[#This Row],[Days]])</f>
        <v>3870.9</v>
      </c>
      <c r="AB877" s="16"/>
    </row>
    <row r="878" spans="1:28" ht="15.75" hidden="1" x14ac:dyDescent="0.25">
      <c r="A878" s="20" t="s">
        <v>230</v>
      </c>
      <c r="B878" s="15">
        <v>45629</v>
      </c>
      <c r="C878" s="26">
        <v>1</v>
      </c>
      <c r="D878" s="55" t="str">
        <f>VLOOKUP(Main_Presentation[[#This Row],[LC Number]],Main_Issuance[],3,0)</f>
        <v>Hassan Taleb</v>
      </c>
      <c r="E878" s="16" t="s">
        <v>856</v>
      </c>
      <c r="F878" s="17" t="str">
        <f>VLOOKUP(Main_Presentation[[#This Row],[LC Number]],Main_Issuance[],5,0)</f>
        <v>Alinma</v>
      </c>
      <c r="G878" s="17" t="str">
        <f>VLOOKUP(Main_Presentation[[#This Row],[LC Number]],Main_Issuance[],6,0)</f>
        <v>KSP</v>
      </c>
      <c r="H878" s="17" t="str">
        <f>VLOOKUP(Main_Presentation[[#This Row],[LC Number]],Main_Issuance[],17,0)</f>
        <v>Credit</v>
      </c>
      <c r="I878" s="17" t="str">
        <f>VLOOKUP(Main_Presentation[[#This Row],[LC Number]],Main_Issuance[],7,0)</f>
        <v>NATIONAL MARKETING EST</v>
      </c>
      <c r="J878" s="17" t="str">
        <f>VLOOKUP(Main_Presentation[[#This Row],[LC Number]],Main_Issuance[],8,0)</f>
        <v>FIRST FIX</v>
      </c>
      <c r="K878" s="17" t="str">
        <f>VLOOKUP(Main_Presentation[[#This Row],[LC Number]],Main_Issuance[],9,0)</f>
        <v>KSP</v>
      </c>
      <c r="L878" s="17">
        <f>VLOOKUP(Main_Presentation[[#This Row],[LC Number]],Main_Issuance[],10,0)</f>
        <v>1020055</v>
      </c>
      <c r="M878" s="17" t="str">
        <f>VLOOKUP(Main_Presentation[[#This Row],[LC Number]],Main_Issuance[],11,0)</f>
        <v>SAR</v>
      </c>
      <c r="N878" s="84">
        <f>VLOOKUP(Main_Presentation[[#This Row],[LC Number]],Main_Issuance[],12,0)</f>
        <v>950740.65</v>
      </c>
      <c r="O878" s="16" t="s">
        <v>20</v>
      </c>
      <c r="P878" s="16" t="s">
        <v>857</v>
      </c>
      <c r="Q878" s="131">
        <v>950740.65</v>
      </c>
      <c r="R878" s="18">
        <v>1</v>
      </c>
      <c r="S878" s="18">
        <f>Main_Presentation[[#This Row],[Invoice Amt (FCY)]]*Main_Presentation[[#This Row],[Rate]]</f>
        <v>950740.65</v>
      </c>
      <c r="T878" s="15">
        <v>45340</v>
      </c>
      <c r="U878" s="26">
        <f>VLOOKUP(Main_Presentation[[#This Row],[LC Number]],Main_Issuance[],18,0)</f>
        <v>0</v>
      </c>
      <c r="V878" s="17" t="str">
        <f>VLOOKUP(Main_Presentation[[#This Row],[LC Number]],Main_Issuance[],9,0)</f>
        <v>KSP</v>
      </c>
      <c r="W878" s="22" t="s">
        <v>857</v>
      </c>
      <c r="X878" s="16"/>
      <c r="Y878" s="234" t="str">
        <f>TRIM(LEFT(Main_Presentation[[#This Row],[Payment Terms]],3))</f>
        <v>0</v>
      </c>
      <c r="Z878" s="16"/>
      <c r="AA878" s="316" cm="1">
        <f t="array" ref="AA878">Settlement(Main_Presentation[[#This Row],[Bank]],Main_Presentation[[#This Row],[ Invoice Amt (SAR)]],Main_Presentation[[#This Row],[Date Recd]],Main_Presentation[[#This Row],[Due Date]],Main_Presentation[[#This Row],[Days]])</f>
        <v>1437.5</v>
      </c>
      <c r="AB878" s="16"/>
    </row>
    <row r="879" spans="1:28" ht="15.75" hidden="1" x14ac:dyDescent="0.25">
      <c r="A879" s="20" t="s">
        <v>232</v>
      </c>
      <c r="B879" s="15">
        <v>45651</v>
      </c>
      <c r="C879" s="26">
        <v>1</v>
      </c>
      <c r="D879" s="55" t="str">
        <f>VLOOKUP(Main_Presentation[[#This Row],[LC Number]],Main_Issuance[],3,0)</f>
        <v>Hassan Taleb</v>
      </c>
      <c r="E879" s="16" t="s">
        <v>856</v>
      </c>
      <c r="F879" s="17" t="str">
        <f>VLOOKUP(Main_Presentation[[#This Row],[LC Number]],Main_Issuance[],5,0)</f>
        <v>Alinma</v>
      </c>
      <c r="G879" s="17" t="str">
        <f>VLOOKUP(Main_Presentation[[#This Row],[LC Number]],Main_Issuance[],6,0)</f>
        <v>KSP</v>
      </c>
      <c r="H879" s="17" t="str">
        <f>VLOOKUP(Main_Presentation[[#This Row],[LC Number]],Main_Issuance[],17,0)</f>
        <v>Credit</v>
      </c>
      <c r="I879" s="17" t="str">
        <f>VLOOKUP(Main_Presentation[[#This Row],[LC Number]],Main_Issuance[],7,0)</f>
        <v>POWER LLC</v>
      </c>
      <c r="J879" s="17" t="str">
        <f>VLOOKUP(Main_Presentation[[#This Row],[LC Number]],Main_Issuance[],8,0)</f>
        <v>FIRST FIX</v>
      </c>
      <c r="K879" s="17" t="str">
        <f>VLOOKUP(Main_Presentation[[#This Row],[LC Number]],Main_Issuance[],9,0)</f>
        <v>KSP</v>
      </c>
      <c r="L879" s="17">
        <f>VLOOKUP(Main_Presentation[[#This Row],[LC Number]],Main_Issuance[],10,0)</f>
        <v>1020055</v>
      </c>
      <c r="M879" s="17" t="str">
        <f>VLOOKUP(Main_Presentation[[#This Row],[LC Number]],Main_Issuance[],11,0)</f>
        <v>SAR</v>
      </c>
      <c r="N879" s="84">
        <f>VLOOKUP(Main_Presentation[[#This Row],[LC Number]],Main_Issuance[],12,0)</f>
        <v>2000000</v>
      </c>
      <c r="O879" s="16" t="s">
        <v>20</v>
      </c>
      <c r="P879" s="16" t="s">
        <v>857</v>
      </c>
      <c r="Q879" s="131">
        <v>2000000</v>
      </c>
      <c r="R879" s="18">
        <v>1</v>
      </c>
      <c r="S879" s="18">
        <f>Main_Presentation[[#This Row],[Invoice Amt (FCY)]]*Main_Presentation[[#This Row],[Rate]]</f>
        <v>2000000</v>
      </c>
      <c r="T879" s="15">
        <v>45333</v>
      </c>
      <c r="U879" s="26">
        <f>VLOOKUP(Main_Presentation[[#This Row],[LC Number]],Main_Issuance[],18,0)</f>
        <v>0</v>
      </c>
      <c r="V879" s="17" t="str">
        <f>VLOOKUP(Main_Presentation[[#This Row],[LC Number]],Main_Issuance[],9,0)</f>
        <v>KSP</v>
      </c>
      <c r="W879" s="22" t="s">
        <v>857</v>
      </c>
      <c r="X879" s="16"/>
      <c r="Y879" s="234" t="str">
        <f>TRIM(LEFT(Main_Presentation[[#This Row],[Payment Terms]],3))</f>
        <v>0</v>
      </c>
      <c r="Z879" s="16"/>
      <c r="AA879" s="316" cm="1">
        <f t="array" ref="AA879">Settlement(Main_Presentation[[#This Row],[Bank]],Main_Presentation[[#This Row],[ Invoice Amt (SAR)]],Main_Presentation[[#This Row],[Date Recd]],Main_Presentation[[#This Row],[Due Date]],Main_Presentation[[#This Row],[Days]])</f>
        <v>1437.5</v>
      </c>
      <c r="AB879" s="16"/>
    </row>
    <row r="880" spans="1:28" ht="15.75" hidden="1" x14ac:dyDescent="0.25">
      <c r="A880" s="20" t="s">
        <v>234</v>
      </c>
      <c r="B880" s="15">
        <v>45280</v>
      </c>
      <c r="C880" s="26">
        <v>1</v>
      </c>
      <c r="D880" s="55" t="str">
        <f>VLOOKUP(Main_Presentation[[#This Row],[LC Number]],Main_Issuance[],3,0)</f>
        <v>Hassan Taleb</v>
      </c>
      <c r="E880" s="16" t="s">
        <v>856</v>
      </c>
      <c r="F880" s="17" t="str">
        <f>VLOOKUP(Main_Presentation[[#This Row],[LC Number]],Main_Issuance[],5,0)</f>
        <v>Alinma</v>
      </c>
      <c r="G880" s="17" t="str">
        <f>VLOOKUP(Main_Presentation[[#This Row],[LC Number]],Main_Issuance[],6,0)</f>
        <v>KSP</v>
      </c>
      <c r="H880" s="17" t="str">
        <f>VLOOKUP(Main_Presentation[[#This Row],[LC Number]],Main_Issuance[],17,0)</f>
        <v>Credit</v>
      </c>
      <c r="I880" s="17" t="str">
        <f>VLOOKUP(Main_Presentation[[#This Row],[LC Number]],Main_Issuance[],7,0)</f>
        <v>OPTIMAL</v>
      </c>
      <c r="J880" s="17" t="str">
        <f>VLOOKUP(Main_Presentation[[#This Row],[LC Number]],Main_Issuance[],8,0)</f>
        <v>FIRST FIX</v>
      </c>
      <c r="K880" s="17" t="str">
        <f>VLOOKUP(Main_Presentation[[#This Row],[LC Number]],Main_Issuance[],9,0)</f>
        <v>KSP</v>
      </c>
      <c r="L880" s="17">
        <f>VLOOKUP(Main_Presentation[[#This Row],[LC Number]],Main_Issuance[],10,0)</f>
        <v>1020055</v>
      </c>
      <c r="M880" s="17" t="str">
        <f>VLOOKUP(Main_Presentation[[#This Row],[LC Number]],Main_Issuance[],11,0)</f>
        <v>SAR</v>
      </c>
      <c r="N880" s="84">
        <f>VLOOKUP(Main_Presentation[[#This Row],[LC Number]],Main_Issuance[],12,0)</f>
        <v>4000000</v>
      </c>
      <c r="O880" s="16" t="s">
        <v>20</v>
      </c>
      <c r="P880" s="16" t="s">
        <v>857</v>
      </c>
      <c r="Q880" s="131">
        <v>4000000</v>
      </c>
      <c r="R880" s="18">
        <v>1</v>
      </c>
      <c r="S880" s="18">
        <f>Main_Presentation[[#This Row],[Invoice Amt (FCY)]]*Main_Presentation[[#This Row],[Rate]]</f>
        <v>4000000</v>
      </c>
      <c r="T880" s="15">
        <v>45330</v>
      </c>
      <c r="U880" s="26">
        <f>VLOOKUP(Main_Presentation[[#This Row],[LC Number]],Main_Issuance[],18,0)</f>
        <v>0</v>
      </c>
      <c r="V880" s="17" t="str">
        <f>VLOOKUP(Main_Presentation[[#This Row],[LC Number]],Main_Issuance[],9,0)</f>
        <v>KSP</v>
      </c>
      <c r="W880" s="22" t="s">
        <v>857</v>
      </c>
      <c r="X880" s="16"/>
      <c r="Y880" s="234" t="str">
        <f>TRIM(LEFT(Main_Presentation[[#This Row],[Payment Terms]],3))</f>
        <v>0</v>
      </c>
      <c r="Z880" s="16"/>
      <c r="AA880" s="316" cm="1">
        <f t="array" ref="AA880">Settlement(Main_Presentation[[#This Row],[Bank]],Main_Presentation[[#This Row],[ Invoice Amt (SAR)]],Main_Presentation[[#This Row],[Date Recd]],Main_Presentation[[#This Row],[Due Date]],Main_Presentation[[#This Row],[Days]])</f>
        <v>3832.95</v>
      </c>
      <c r="AB880" s="16"/>
    </row>
    <row r="881" spans="1:28" ht="15.75" hidden="1" x14ac:dyDescent="0.25">
      <c r="A881" s="20" t="s">
        <v>236</v>
      </c>
      <c r="B881" s="15">
        <v>44935</v>
      </c>
      <c r="C881" s="26">
        <v>1</v>
      </c>
      <c r="D881" s="55" t="str">
        <f>VLOOKUP(Main_Presentation[[#This Row],[LC Number]],Main_Issuance[],3,0)</f>
        <v>Hassan Taleb</v>
      </c>
      <c r="E881" s="16" t="s">
        <v>856</v>
      </c>
      <c r="F881" s="17" t="str">
        <f>VLOOKUP(Main_Presentation[[#This Row],[LC Number]],Main_Issuance[],5,0)</f>
        <v>Alinma</v>
      </c>
      <c r="G881" s="17" t="str">
        <f>VLOOKUP(Main_Presentation[[#This Row],[LC Number]],Main_Issuance[],6,0)</f>
        <v>KSP</v>
      </c>
      <c r="H881" s="17" t="str">
        <f>VLOOKUP(Main_Presentation[[#This Row],[LC Number]],Main_Issuance[],17,0)</f>
        <v>Credit</v>
      </c>
      <c r="I881" s="17" t="str">
        <f>VLOOKUP(Main_Presentation[[#This Row],[LC Number]],Main_Issuance[],7,0)</f>
        <v>SAFID CO LTD</v>
      </c>
      <c r="J881" s="17" t="str">
        <f>VLOOKUP(Main_Presentation[[#This Row],[LC Number]],Main_Issuance[],8,0)</f>
        <v>FIRST FIX</v>
      </c>
      <c r="K881" s="17" t="str">
        <f>VLOOKUP(Main_Presentation[[#This Row],[LC Number]],Main_Issuance[],9,0)</f>
        <v>KSP</v>
      </c>
      <c r="L881" s="17">
        <f>VLOOKUP(Main_Presentation[[#This Row],[LC Number]],Main_Issuance[],10,0)</f>
        <v>1020055</v>
      </c>
      <c r="M881" s="17" t="str">
        <f>VLOOKUP(Main_Presentation[[#This Row],[LC Number]],Main_Issuance[],11,0)</f>
        <v>SAR</v>
      </c>
      <c r="N881" s="84">
        <f>VLOOKUP(Main_Presentation[[#This Row],[LC Number]],Main_Issuance[],12,0)</f>
        <v>2000000</v>
      </c>
      <c r="O881" s="16" t="s">
        <v>20</v>
      </c>
      <c r="P881" s="16" t="s">
        <v>857</v>
      </c>
      <c r="Q881" s="131">
        <v>2000000</v>
      </c>
      <c r="R881" s="18">
        <v>1</v>
      </c>
      <c r="S881" s="18">
        <f>Main_Presentation[[#This Row],[Invoice Amt (FCY)]]*Main_Presentation[[#This Row],[Rate]]</f>
        <v>2000000</v>
      </c>
      <c r="T881" s="15">
        <v>45348</v>
      </c>
      <c r="U881" s="26">
        <f>VLOOKUP(Main_Presentation[[#This Row],[LC Number]],Main_Issuance[],18,0)</f>
        <v>0</v>
      </c>
      <c r="V881" s="17" t="str">
        <f>VLOOKUP(Main_Presentation[[#This Row],[LC Number]],Main_Issuance[],9,0)</f>
        <v>KSP</v>
      </c>
      <c r="W881" s="22" t="s">
        <v>857</v>
      </c>
      <c r="X881" s="16"/>
      <c r="Y881" s="234" t="str">
        <f>TRIM(LEFT(Main_Presentation[[#This Row],[Payment Terms]],3))</f>
        <v>0</v>
      </c>
      <c r="Z881" s="16"/>
      <c r="AA881" s="316" cm="1">
        <f t="array" ref="AA881">Settlement(Main_Presentation[[#This Row],[Bank]],Main_Presentation[[#This Row],[ Invoice Amt (SAR)]],Main_Presentation[[#This Row],[Date Recd]],Main_Presentation[[#This Row],[Due Date]],Main_Presentation[[#This Row],[Days]])</f>
        <v>12457.95</v>
      </c>
      <c r="AB881" s="16"/>
    </row>
    <row r="882" spans="1:28" ht="15.75" hidden="1" x14ac:dyDescent="0.25">
      <c r="A882" s="20" t="s">
        <v>240</v>
      </c>
      <c r="B882" s="15">
        <v>45361</v>
      </c>
      <c r="C882" s="26">
        <v>1</v>
      </c>
      <c r="D882" s="55" t="str">
        <f>VLOOKUP(Main_Presentation[[#This Row],[LC Number]],Main_Issuance[],3,0)</f>
        <v>Hassan Taleb</v>
      </c>
      <c r="E882" s="16" t="s">
        <v>856</v>
      </c>
      <c r="F882" s="17" t="str">
        <f>VLOOKUP(Main_Presentation[[#This Row],[LC Number]],Main_Issuance[],5,0)</f>
        <v>Alinma</v>
      </c>
      <c r="G882" s="17" t="str">
        <f>VLOOKUP(Main_Presentation[[#This Row],[LC Number]],Main_Issuance[],6,0)</f>
        <v>KSP</v>
      </c>
      <c r="H882" s="17" t="str">
        <f>VLOOKUP(Main_Presentation[[#This Row],[LC Number]],Main_Issuance[],17,0)</f>
        <v>Credit</v>
      </c>
      <c r="I882" s="17" t="str">
        <f>VLOOKUP(Main_Presentation[[#This Row],[LC Number]],Main_Issuance[],7,0)</f>
        <v>SAFID CO LTD</v>
      </c>
      <c r="J882" s="17" t="str">
        <f>VLOOKUP(Main_Presentation[[#This Row],[LC Number]],Main_Issuance[],8,0)</f>
        <v>FIRST FIX</v>
      </c>
      <c r="K882" s="17" t="str">
        <f>VLOOKUP(Main_Presentation[[#This Row],[LC Number]],Main_Issuance[],9,0)</f>
        <v>KSP</v>
      </c>
      <c r="L882" s="17">
        <f>VLOOKUP(Main_Presentation[[#This Row],[LC Number]],Main_Issuance[],10,0)</f>
        <v>1020055</v>
      </c>
      <c r="M882" s="17" t="str">
        <f>VLOOKUP(Main_Presentation[[#This Row],[LC Number]],Main_Issuance[],11,0)</f>
        <v>SAR</v>
      </c>
      <c r="N882" s="84">
        <f>VLOOKUP(Main_Presentation[[#This Row],[LC Number]],Main_Issuance[],12,0)</f>
        <v>1000000</v>
      </c>
      <c r="O882" s="16" t="s">
        <v>20</v>
      </c>
      <c r="P882" s="16" t="s">
        <v>857</v>
      </c>
      <c r="Q882" s="131">
        <v>1000000</v>
      </c>
      <c r="R882" s="18">
        <v>1</v>
      </c>
      <c r="S882" s="18">
        <f>Main_Presentation[[#This Row],[Invoice Amt (FCY)]]*Main_Presentation[[#This Row],[Rate]]</f>
        <v>1000000</v>
      </c>
      <c r="T882" s="15">
        <v>45407</v>
      </c>
      <c r="U882" s="26">
        <f>VLOOKUP(Main_Presentation[[#This Row],[LC Number]],Main_Issuance[],18,0)</f>
        <v>0</v>
      </c>
      <c r="V882" s="17" t="str">
        <f>VLOOKUP(Main_Presentation[[#This Row],[LC Number]],Main_Issuance[],9,0)</f>
        <v>KSP</v>
      </c>
      <c r="W882" s="22" t="s">
        <v>857</v>
      </c>
      <c r="X882" s="16"/>
      <c r="Y882" s="234" t="str">
        <f>TRIM(LEFT(Main_Presentation[[#This Row],[Payment Terms]],3))</f>
        <v>0</v>
      </c>
      <c r="Z882" s="16"/>
      <c r="AA882" s="316" cm="1">
        <f t="array" ref="AA882">Settlement(Main_Presentation[[#This Row],[Bank]],Main_Presentation[[#This Row],[ Invoice Amt (SAR)]],Main_Presentation[[#This Row],[Date Recd]],Main_Presentation[[#This Row],[Due Date]],Main_Presentation[[#This Row],[Days]])</f>
        <v>1437.5</v>
      </c>
      <c r="AB882" s="16"/>
    </row>
    <row r="883" spans="1:28" ht="15.75" hidden="1" x14ac:dyDescent="0.25">
      <c r="A883" s="20" t="s">
        <v>241</v>
      </c>
      <c r="B883" s="15">
        <v>45361</v>
      </c>
      <c r="C883" s="26">
        <v>1</v>
      </c>
      <c r="D883" s="55" t="str">
        <f>VLOOKUP(Main_Presentation[[#This Row],[LC Number]],Main_Issuance[],3,0)</f>
        <v>Hassan Taleb</v>
      </c>
      <c r="E883" s="16" t="s">
        <v>856</v>
      </c>
      <c r="F883" s="17" t="str">
        <f>VLOOKUP(Main_Presentation[[#This Row],[LC Number]],Main_Issuance[],5,0)</f>
        <v>Alinma</v>
      </c>
      <c r="G883" s="17" t="str">
        <f>VLOOKUP(Main_Presentation[[#This Row],[LC Number]],Main_Issuance[],6,0)</f>
        <v>KSP</v>
      </c>
      <c r="H883" s="17" t="str">
        <f>VLOOKUP(Main_Presentation[[#This Row],[LC Number]],Main_Issuance[],17,0)</f>
        <v>Credit</v>
      </c>
      <c r="I883" s="17" t="str">
        <f>VLOOKUP(Main_Presentation[[#This Row],[LC Number]],Main_Issuance[],7,0)</f>
        <v>CUBE METAL INDUSTRIES CO</v>
      </c>
      <c r="J883" s="17" t="str">
        <f>VLOOKUP(Main_Presentation[[#This Row],[LC Number]],Main_Issuance[],8,0)</f>
        <v>FIRST FIX</v>
      </c>
      <c r="K883" s="17" t="str">
        <f>VLOOKUP(Main_Presentation[[#This Row],[LC Number]],Main_Issuance[],9,0)</f>
        <v>KSP</v>
      </c>
      <c r="L883" s="17">
        <f>VLOOKUP(Main_Presentation[[#This Row],[LC Number]],Main_Issuance[],10,0)</f>
        <v>1020055</v>
      </c>
      <c r="M883" s="17" t="str">
        <f>VLOOKUP(Main_Presentation[[#This Row],[LC Number]],Main_Issuance[],11,0)</f>
        <v>SAR</v>
      </c>
      <c r="N883" s="84">
        <f>VLOOKUP(Main_Presentation[[#This Row],[LC Number]],Main_Issuance[],12,0)</f>
        <v>1050000</v>
      </c>
      <c r="O883" s="16" t="s">
        <v>20</v>
      </c>
      <c r="P883" s="16" t="s">
        <v>857</v>
      </c>
      <c r="Q883" s="131">
        <v>1050000</v>
      </c>
      <c r="R883" s="18">
        <v>1</v>
      </c>
      <c r="S883" s="18">
        <f>Main_Presentation[[#This Row],[Invoice Amt (FCY)]]*Main_Presentation[[#This Row],[Rate]]</f>
        <v>1050000</v>
      </c>
      <c r="T883" s="15">
        <v>45397</v>
      </c>
      <c r="U883" s="26">
        <f>VLOOKUP(Main_Presentation[[#This Row],[LC Number]],Main_Issuance[],18,0)</f>
        <v>0</v>
      </c>
      <c r="V883" s="17" t="str">
        <f>VLOOKUP(Main_Presentation[[#This Row],[LC Number]],Main_Issuance[],9,0)</f>
        <v>KSP</v>
      </c>
      <c r="W883" s="22" t="s">
        <v>857</v>
      </c>
      <c r="X883" s="16"/>
      <c r="Y883" s="234" t="str">
        <f>TRIM(LEFT(Main_Presentation[[#This Row],[Payment Terms]],3))</f>
        <v>0</v>
      </c>
      <c r="Z883" s="16"/>
      <c r="AA883" s="316" cm="1">
        <f t="array" ref="AA883">Settlement(Main_Presentation[[#This Row],[Bank]],Main_Presentation[[#This Row],[ Invoice Amt (SAR)]],Main_Presentation[[#This Row],[Date Recd]],Main_Presentation[[#This Row],[Due Date]],Main_Presentation[[#This Row],[Days]])</f>
        <v>1437.5</v>
      </c>
      <c r="AB883" s="16"/>
    </row>
    <row r="884" spans="1:28" ht="15.75" hidden="1" x14ac:dyDescent="0.25">
      <c r="A884" s="20" t="s">
        <v>242</v>
      </c>
      <c r="B884" s="15">
        <v>45016</v>
      </c>
      <c r="C884" s="26">
        <v>1</v>
      </c>
      <c r="D884" s="55" t="str">
        <f>VLOOKUP(Main_Presentation[[#This Row],[LC Number]],Main_Issuance[],3,0)</f>
        <v>Hassan Taleb</v>
      </c>
      <c r="E884" s="16" t="s">
        <v>856</v>
      </c>
      <c r="F884" s="17" t="str">
        <f>VLOOKUP(Main_Presentation[[#This Row],[LC Number]],Main_Issuance[],5,0)</f>
        <v>Alinma</v>
      </c>
      <c r="G884" s="17" t="str">
        <f>VLOOKUP(Main_Presentation[[#This Row],[LC Number]],Main_Issuance[],6,0)</f>
        <v>KSP</v>
      </c>
      <c r="H884" s="17" t="str">
        <f>VLOOKUP(Main_Presentation[[#This Row],[LC Number]],Main_Issuance[],17,0)</f>
        <v>Credit</v>
      </c>
      <c r="I884" s="17" t="str">
        <f>VLOOKUP(Main_Presentation[[#This Row],[LC Number]],Main_Issuance[],7,0)</f>
        <v>AL MAYMANAH FOR CONTRACTING CO. LTD.</v>
      </c>
      <c r="J884" s="17" t="str">
        <f>VLOOKUP(Main_Presentation[[#This Row],[LC Number]],Main_Issuance[],8,0)</f>
        <v>FIRST FIX</v>
      </c>
      <c r="K884" s="17" t="str">
        <f>VLOOKUP(Main_Presentation[[#This Row],[LC Number]],Main_Issuance[],9,0)</f>
        <v>KSP</v>
      </c>
      <c r="L884" s="17">
        <f>VLOOKUP(Main_Presentation[[#This Row],[LC Number]],Main_Issuance[],10,0)</f>
        <v>1020055</v>
      </c>
      <c r="M884" s="17" t="str">
        <f>VLOOKUP(Main_Presentation[[#This Row],[LC Number]],Main_Issuance[],11,0)</f>
        <v>SAR</v>
      </c>
      <c r="N884" s="84">
        <f>VLOOKUP(Main_Presentation[[#This Row],[LC Number]],Main_Issuance[],12,0)</f>
        <v>1001021.99</v>
      </c>
      <c r="O884" s="16" t="s">
        <v>20</v>
      </c>
      <c r="P884" s="16" t="s">
        <v>857</v>
      </c>
      <c r="Q884" s="131">
        <v>1001021.99</v>
      </c>
      <c r="R884" s="18">
        <v>1</v>
      </c>
      <c r="S884" s="18">
        <f>Main_Presentation[[#This Row],[Invoice Amt (FCY)]]*Main_Presentation[[#This Row],[Rate]]</f>
        <v>1001021.99</v>
      </c>
      <c r="T884" s="15">
        <v>45416</v>
      </c>
      <c r="U884" s="26">
        <f>VLOOKUP(Main_Presentation[[#This Row],[LC Number]],Main_Issuance[],18,0)</f>
        <v>0</v>
      </c>
      <c r="V884" s="17" t="str">
        <f>VLOOKUP(Main_Presentation[[#This Row],[LC Number]],Main_Issuance[],9,0)</f>
        <v>KSP</v>
      </c>
      <c r="W884" s="22" t="s">
        <v>857</v>
      </c>
      <c r="X884" s="16"/>
      <c r="Y884" s="234" t="str">
        <f>TRIM(LEFT(Main_Presentation[[#This Row],[Payment Terms]],3))</f>
        <v>0</v>
      </c>
      <c r="Z884" s="16"/>
      <c r="AA884" s="316" cm="1">
        <f t="array" ref="AA884">Settlement(Main_Presentation[[#This Row],[Bank]],Main_Presentation[[#This Row],[ Invoice Amt (SAR)]],Main_Presentation[[#This Row],[Date Recd]],Main_Presentation[[#This Row],[Due Date]],Main_Presentation[[#This Row],[Days]])</f>
        <v>6235.3</v>
      </c>
      <c r="AB884" s="16"/>
    </row>
    <row r="885" spans="1:28" ht="15.75" hidden="1" x14ac:dyDescent="0.25">
      <c r="A885" s="20" t="s">
        <v>247</v>
      </c>
      <c r="B885" s="15">
        <v>44995</v>
      </c>
      <c r="C885" s="26">
        <v>1</v>
      </c>
      <c r="D885" s="55" t="str">
        <f>VLOOKUP(Main_Presentation[[#This Row],[LC Number]],Main_Issuance[],3,0)</f>
        <v>Hassan Taleb</v>
      </c>
      <c r="E885" s="16" t="s">
        <v>856</v>
      </c>
      <c r="F885" s="17" t="str">
        <f>VLOOKUP(Main_Presentation[[#This Row],[LC Number]],Main_Issuance[],5,0)</f>
        <v>Alinma</v>
      </c>
      <c r="G885" s="17" t="str">
        <f>VLOOKUP(Main_Presentation[[#This Row],[LC Number]],Main_Issuance[],6,0)</f>
        <v>KSP</v>
      </c>
      <c r="H885" s="17" t="str">
        <f>VLOOKUP(Main_Presentation[[#This Row],[LC Number]],Main_Issuance[],17,0)</f>
        <v>Credit</v>
      </c>
      <c r="I885" s="17" t="str">
        <f>VLOOKUP(Main_Presentation[[#This Row],[LC Number]],Main_Issuance[],7,0)</f>
        <v>AL OTHMAN CO</v>
      </c>
      <c r="J885" s="17" t="str">
        <f>VLOOKUP(Main_Presentation[[#This Row],[LC Number]],Main_Issuance[],8,0)</f>
        <v>FIRST FIX</v>
      </c>
      <c r="K885" s="17" t="str">
        <f>VLOOKUP(Main_Presentation[[#This Row],[LC Number]],Main_Issuance[],9,0)</f>
        <v>KSP</v>
      </c>
      <c r="L885" s="17">
        <f>VLOOKUP(Main_Presentation[[#This Row],[LC Number]],Main_Issuance[],10,0)</f>
        <v>1020055</v>
      </c>
      <c r="M885" s="17" t="str">
        <f>VLOOKUP(Main_Presentation[[#This Row],[LC Number]],Main_Issuance[],11,0)</f>
        <v>SAR</v>
      </c>
      <c r="N885" s="84">
        <f>VLOOKUP(Main_Presentation[[#This Row],[LC Number]],Main_Issuance[],12,0)</f>
        <v>1452474.33</v>
      </c>
      <c r="O885" s="16" t="s">
        <v>20</v>
      </c>
      <c r="P885" s="16" t="s">
        <v>857</v>
      </c>
      <c r="Q885" s="131">
        <v>1360886.92</v>
      </c>
      <c r="R885" s="18">
        <v>1</v>
      </c>
      <c r="S885" s="18">
        <f>Main_Presentation[[#This Row],[Invoice Amt (FCY)]]*Main_Presentation[[#This Row],[Rate]]</f>
        <v>1360886.92</v>
      </c>
      <c r="T885" s="15">
        <v>45430</v>
      </c>
      <c r="U885" s="26">
        <f>VLOOKUP(Main_Presentation[[#This Row],[LC Number]],Main_Issuance[],18,0)</f>
        <v>0</v>
      </c>
      <c r="V885" s="17" t="str">
        <f>VLOOKUP(Main_Presentation[[#This Row],[LC Number]],Main_Issuance[],9,0)</f>
        <v>KSP</v>
      </c>
      <c r="W885" s="22" t="s">
        <v>857</v>
      </c>
      <c r="X885" s="16"/>
      <c r="Y885" s="234" t="str">
        <f>TRIM(LEFT(Main_Presentation[[#This Row],[Payment Terms]],3))</f>
        <v>0</v>
      </c>
      <c r="Z885" s="16"/>
      <c r="AA885" s="316" cm="1">
        <f t="array" ref="AA885">Settlement(Main_Presentation[[#This Row],[Bank]],Main_Presentation[[#This Row],[ Invoice Amt (SAR)]],Main_Presentation[[#This Row],[Date Recd]],Main_Presentation[[#This Row],[Due Date]],Main_Presentation[[#This Row],[Days]])</f>
        <v>9129.85</v>
      </c>
      <c r="AB885" s="16"/>
    </row>
    <row r="886" spans="1:28" ht="15.75" hidden="1" x14ac:dyDescent="0.25">
      <c r="A886" s="20" t="s">
        <v>725</v>
      </c>
      <c r="B886" s="15">
        <v>45645</v>
      </c>
      <c r="C886" s="26">
        <v>1</v>
      </c>
      <c r="D886" s="55" t="str">
        <f>VLOOKUP(Main_Presentation[[#This Row],[LC Number]],Main_Issuance[],3,0)</f>
        <v>Bassam Marawie</v>
      </c>
      <c r="E886" s="16" t="s">
        <v>856</v>
      </c>
      <c r="F886" s="17" t="str">
        <f>VLOOKUP(Main_Presentation[[#This Row],[LC Number]],Main_Issuance[],5,0)</f>
        <v>Riyad</v>
      </c>
      <c r="G886" s="17" t="str">
        <f>VLOOKUP(Main_Presentation[[#This Row],[LC Number]],Main_Issuance[],6,0)</f>
        <v>Cash</v>
      </c>
      <c r="H886" s="17" t="str">
        <f>VLOOKUP(Main_Presentation[[#This Row],[LC Number]],Main_Issuance[],17,0)</f>
        <v>Cash</v>
      </c>
      <c r="I886" s="17" t="str">
        <f>VLOOKUP(Main_Presentation[[#This Row],[LC Number]],Main_Issuance[],7,0)</f>
        <v>APTEC SAUDI ARABIA</v>
      </c>
      <c r="J886" s="17" t="str">
        <f>VLOOKUP(Main_Presentation[[#This Row],[LC Number]],Main_Issuance[],8,0)</f>
        <v>ICAD</v>
      </c>
      <c r="K886" s="17" t="str">
        <f>VLOOKUP(Main_Presentation[[#This Row],[LC Number]],Main_Issuance[],9,0)</f>
        <v>ADF</v>
      </c>
      <c r="L886" s="17">
        <f>VLOOKUP(Main_Presentation[[#This Row],[LC Number]],Main_Issuance[],10,0)</f>
        <v>1020001</v>
      </c>
      <c r="M886" s="17" t="str">
        <f>VLOOKUP(Main_Presentation[[#This Row],[LC Number]],Main_Issuance[],11,0)</f>
        <v>SAR</v>
      </c>
      <c r="N886" s="84">
        <f>VLOOKUP(Main_Presentation[[#This Row],[LC Number]],Main_Issuance[],12,0)</f>
        <v>2878521.22</v>
      </c>
      <c r="O886" s="16" t="s">
        <v>20</v>
      </c>
      <c r="P886" s="16" t="s">
        <v>857</v>
      </c>
      <c r="Q886" s="131">
        <v>5540367.0099999998</v>
      </c>
      <c r="R886" s="18">
        <v>1</v>
      </c>
      <c r="S886" s="18">
        <f>Main_Presentation[[#This Row],[Invoice Amt (FCY)]]*Main_Presentation[[#This Row],[Rate]]</f>
        <v>5540367.0099999998</v>
      </c>
      <c r="T886" s="15">
        <v>45617</v>
      </c>
      <c r="U886" s="26">
        <f>VLOOKUP(Main_Presentation[[#This Row],[LC Number]],Main_Issuance[],18,0)</f>
        <v>0</v>
      </c>
      <c r="V886" s="17" t="str">
        <f>VLOOKUP(Main_Presentation[[#This Row],[LC Number]],Main_Issuance[],9,0)</f>
        <v>ADF</v>
      </c>
      <c r="W886" s="22" t="s">
        <v>857</v>
      </c>
      <c r="X886" s="16"/>
      <c r="Y886" s="234" t="str">
        <f>TRIM(LEFT(Main_Presentation[[#This Row],[Payment Terms]],3))</f>
        <v>0</v>
      </c>
      <c r="Z886" s="16"/>
      <c r="AA886" s="316" cm="1">
        <f t="array" ref="AA886">Settlement(Main_Presentation[[#This Row],[Bank]],Main_Presentation[[#This Row],[ Invoice Amt (SAR)]],Main_Presentation[[#This Row],[Date Recd]],Main_Presentation[[#This Row],[Due Date]],Main_Presentation[[#This Row],[Days]])</f>
        <v>230</v>
      </c>
      <c r="AB886" s="16"/>
    </row>
    <row r="887" spans="1:28" ht="15.75" hidden="1" x14ac:dyDescent="0.25">
      <c r="A887" s="20" t="s">
        <v>193</v>
      </c>
      <c r="B887" s="137">
        <v>45239</v>
      </c>
      <c r="C887" s="138">
        <v>1</v>
      </c>
      <c r="D887" s="139" t="str">
        <f>VLOOKUP(Main_Presentation[[#This Row],[LC Number]],Main_Issuance[],3,0)</f>
        <v>Hassan Taleb</v>
      </c>
      <c r="E887" s="140" t="s">
        <v>856</v>
      </c>
      <c r="F887" s="140" t="str">
        <f>VLOOKUP(Main_Presentation[[#This Row],[LC Number]],Main_Issuance[],5,0)</f>
        <v>Alinma</v>
      </c>
      <c r="G887" s="140" t="str">
        <f>VLOOKUP(Main_Presentation[[#This Row],[LC Number]],Main_Issuance[],6,0)</f>
        <v>KSP</v>
      </c>
      <c r="H887" s="140" t="str">
        <f>VLOOKUP(Main_Presentation[[#This Row],[LC Number]],Main_Issuance[],17,0)</f>
        <v>Credit</v>
      </c>
      <c r="I887" s="140" t="str">
        <f>VLOOKUP(Main_Presentation[[#This Row],[LC Number]],Main_Issuance[],7,0)</f>
        <v>RIYAD CABLES GROUP COMPANY</v>
      </c>
      <c r="J887" s="140" t="str">
        <f>VLOOKUP(Main_Presentation[[#This Row],[LC Number]],Main_Issuance[],8,0)</f>
        <v>FIRST FIX</v>
      </c>
      <c r="K887" s="140" t="str">
        <f>VLOOKUP(Main_Presentation[[#This Row],[LC Number]],Main_Issuance[],9,0)</f>
        <v>KSP</v>
      </c>
      <c r="L887" s="140">
        <f>VLOOKUP(Main_Presentation[[#This Row],[LC Number]],Main_Issuance[],10,0)</f>
        <v>1020055</v>
      </c>
      <c r="M887" s="140" t="str">
        <f>VLOOKUP(Main_Presentation[[#This Row],[LC Number]],Main_Issuance[],11,0)</f>
        <v>SAR</v>
      </c>
      <c r="N887" s="141">
        <f>VLOOKUP(Main_Presentation[[#This Row],[LC Number]],Main_Issuance[],12,0)</f>
        <v>4000000</v>
      </c>
      <c r="O887" s="140" t="s">
        <v>20</v>
      </c>
      <c r="P887" s="140" t="s">
        <v>857</v>
      </c>
      <c r="Q887" s="18">
        <v>3998930.02</v>
      </c>
      <c r="R887" s="131">
        <v>1</v>
      </c>
      <c r="S887" s="131">
        <f>Main_Presentation[[#This Row],[Invoice Amt (FCY)]]*Main_Presentation[[#This Row],[Rate]]</f>
        <v>3998930.02</v>
      </c>
      <c r="T887" s="137">
        <v>45319</v>
      </c>
      <c r="U887" s="138" t="str">
        <f>VLOOKUP(Main_Presentation[[#This Row],[LC Number]],Main_Issuance[],18,0)</f>
        <v>90 Days from Delivery Date</v>
      </c>
      <c r="V887" s="143" t="s">
        <v>22</v>
      </c>
      <c r="W887" s="145" t="s">
        <v>857</v>
      </c>
      <c r="X887" s="140"/>
      <c r="Y887" s="400" t="str">
        <f>TRIM(LEFT(Main_Presentation[[#This Row],[Payment Terms]],3))</f>
        <v>90</v>
      </c>
      <c r="Z887" s="140"/>
      <c r="AA887" s="316" cm="1">
        <f t="array" ref="AA887">Settlement(Main_Presentation[[#This Row],[Bank]],Main_Presentation[[#This Row],[ Invoice Amt (SAR)]],Main_Presentation[[#This Row],[Date Recd]],Main_Presentation[[#This Row],[Due Date]],Main_Presentation[[#This Row],[Days]])</f>
        <v>5748.85</v>
      </c>
      <c r="AB887" s="140"/>
    </row>
    <row r="888" spans="1:28" ht="15.75" hidden="1" x14ac:dyDescent="0.25">
      <c r="A888" s="20" t="s">
        <v>672</v>
      </c>
      <c r="B888" s="15">
        <v>45806</v>
      </c>
      <c r="C888" s="26">
        <v>29</v>
      </c>
      <c r="D888" s="55" t="str">
        <f>VLOOKUP(Main_Presentation[[#This Row],[LC Number]],Main_Issuance[],3,0)</f>
        <v>Tareeq Telmasani</v>
      </c>
      <c r="E888" s="16" t="s">
        <v>856</v>
      </c>
      <c r="F888" s="16" t="str">
        <f>VLOOKUP(Main_Presentation[[#This Row],[LC Number]],Main_Issuance[],5,0)</f>
        <v>SAB</v>
      </c>
      <c r="G888" s="16" t="str">
        <f>VLOOKUP(Main_Presentation[[#This Row],[LC Number]],Main_Issuance[],6,0)</f>
        <v>CEER</v>
      </c>
      <c r="H888" s="16" t="str">
        <f>VLOOKUP(Main_Presentation[[#This Row],[LC Number]],Main_Issuance[],17,0)</f>
        <v>Credit</v>
      </c>
      <c r="I888" s="16" t="str">
        <f>VLOOKUP(Main_Presentation[[#This Row],[LC Number]],Main_Issuance[],7,0)</f>
        <v>Roof Metal Ind LLC</v>
      </c>
      <c r="J888" s="16" t="str">
        <f>VLOOKUP(Main_Presentation[[#This Row],[LC Number]],Main_Issuance[],8,0)</f>
        <v>MBL</v>
      </c>
      <c r="K888" s="16" t="str">
        <f>VLOOKUP(Main_Presentation[[#This Row],[LC Number]],Main_Issuance[],9,0)</f>
        <v>CEER</v>
      </c>
      <c r="L888" s="16">
        <f>VLOOKUP(Main_Presentation[[#This Row],[LC Number]],Main_Issuance[],10,0)</f>
        <v>1020091</v>
      </c>
      <c r="M888" s="16" t="str">
        <f>VLOOKUP(Main_Presentation[[#This Row],[LC Number]],Main_Issuance[],11,0)</f>
        <v>AED</v>
      </c>
      <c r="N888" s="86">
        <f>VLOOKUP(Main_Presentation[[#This Row],[LC Number]],Main_Issuance[],12,0)</f>
        <v>12740122</v>
      </c>
      <c r="O888" s="16" t="s">
        <v>20</v>
      </c>
      <c r="P888" s="16" t="s">
        <v>857</v>
      </c>
      <c r="Q888" s="18">
        <v>225479.8</v>
      </c>
      <c r="R888" s="18">
        <v>1.0262</v>
      </c>
      <c r="S888" s="18">
        <f>Main_Presentation[[#This Row],[Invoice Amt (FCY)]]*Main_Presentation[[#This Row],[Rate]]</f>
        <v>231387.37075999999</v>
      </c>
      <c r="T888" s="15">
        <v>45810</v>
      </c>
      <c r="U888" s="26" t="str">
        <f>VLOOKUP(Main_Presentation[[#This Row],[LC Number]],Main_Issuance[],18,0)</f>
        <v>Sight</v>
      </c>
      <c r="V888" s="21" t="s">
        <v>367</v>
      </c>
      <c r="W888" s="22" t="s">
        <v>857</v>
      </c>
      <c r="X888" s="16"/>
      <c r="Y888" s="234" t="str">
        <f>TRIM(LEFT(Main_Presentation[[#This Row],[Payment Terms]],3))</f>
        <v>Sig</v>
      </c>
      <c r="Z888" s="16"/>
      <c r="AA888" s="316" t="e" cm="1">
        <f t="array" ref="AA888">Settlement(Main_Presentation[[#This Row],[Bank]],Main_Presentation[[#This Row],[ Invoice Amt (SAR)]],Main_Presentation[[#This Row],[Date Recd]],Main_Presentation[[#This Row],[Due Date]],Main_Presentation[[#This Row],[Days]])</f>
        <v>#VALUE!</v>
      </c>
      <c r="AB888" s="16"/>
    </row>
    <row r="889" spans="1:28" ht="15.75" hidden="1" x14ac:dyDescent="0.25">
      <c r="A889" s="20" t="s">
        <v>736</v>
      </c>
      <c r="B889" s="15">
        <v>45806</v>
      </c>
      <c r="C889" s="26">
        <v>2</v>
      </c>
      <c r="D889" s="55" t="str">
        <f>VLOOKUP(Main_Presentation[[#This Row],[LC Number]],Main_Issuance[],3,0)</f>
        <v>Tareeq Telmasani</v>
      </c>
      <c r="E889" s="16" t="s">
        <v>856</v>
      </c>
      <c r="F889" s="16" t="str">
        <f>VLOOKUP(Main_Presentation[[#This Row],[LC Number]],Main_Issuance[],5,0)</f>
        <v>SAB</v>
      </c>
      <c r="G889" s="16" t="str">
        <f>VLOOKUP(Main_Presentation[[#This Row],[LC Number]],Main_Issuance[],6,0)</f>
        <v>CEER</v>
      </c>
      <c r="H889" s="16" t="str">
        <f>VLOOKUP(Main_Presentation[[#This Row],[LC Number]],Main_Issuance[],17,0)</f>
        <v>Credit</v>
      </c>
      <c r="I889" s="16" t="str">
        <f>VLOOKUP(Main_Presentation[[#This Row],[LC Number]],Main_Issuance[],7,0)</f>
        <v>Kingspan Insulated Panels Manufacturing LLC</v>
      </c>
      <c r="J889" s="16" t="str">
        <f>VLOOKUP(Main_Presentation[[#This Row],[LC Number]],Main_Issuance[],8,0)</f>
        <v>MBL</v>
      </c>
      <c r="K889" s="16" t="str">
        <f>VLOOKUP(Main_Presentation[[#This Row],[LC Number]],Main_Issuance[],9,0)</f>
        <v>CEER</v>
      </c>
      <c r="L889" s="16">
        <f>VLOOKUP(Main_Presentation[[#This Row],[LC Number]],Main_Issuance[],10,0)</f>
        <v>1020091</v>
      </c>
      <c r="M889" s="16" t="str">
        <f>VLOOKUP(Main_Presentation[[#This Row],[LC Number]],Main_Issuance[],11,0)</f>
        <v>SAR</v>
      </c>
      <c r="N889" s="86">
        <f>VLOOKUP(Main_Presentation[[#This Row],[LC Number]],Main_Issuance[],12,0)</f>
        <v>11632450.5</v>
      </c>
      <c r="O889" s="16" t="s">
        <v>20</v>
      </c>
      <c r="P889" s="16" t="s">
        <v>857</v>
      </c>
      <c r="Q889" s="18">
        <v>2879293.46</v>
      </c>
      <c r="R889" s="18">
        <v>1</v>
      </c>
      <c r="S889" s="18">
        <f>Main_Presentation[[#This Row],[Invoice Amt (FCY)]]*Main_Presentation[[#This Row],[Rate]]</f>
        <v>2879293.46</v>
      </c>
      <c r="T889" s="15">
        <v>45957</v>
      </c>
      <c r="U889" s="26" t="str">
        <f>VLOOKUP(Main_Presentation[[#This Row],[LC Number]],Main_Issuance[],18,0)</f>
        <v>180 Days from Invoice Date</v>
      </c>
      <c r="V889" s="21" t="s">
        <v>367</v>
      </c>
      <c r="W889" s="22" t="s">
        <v>857</v>
      </c>
      <c r="X889" s="16"/>
      <c r="Y889" s="234" t="str">
        <f>TRIM(LEFT(Main_Presentation[[#This Row],[Payment Terms]],3))</f>
        <v>180</v>
      </c>
      <c r="Z889" s="16"/>
      <c r="AA889" s="316" cm="1">
        <f t="array" ref="AA889">Settlement(Main_Presentation[[#This Row],[Bank]],Main_Presentation[[#This Row],[ Invoice Amt (SAR)]],Main_Presentation[[#This Row],[Date Recd]],Main_Presentation[[#This Row],[Due Date]],Main_Presentation[[#This Row],[Days]])</f>
        <v>12416.55</v>
      </c>
      <c r="AB889" s="16"/>
    </row>
    <row r="890" spans="1:28" ht="15.75" hidden="1" x14ac:dyDescent="0.25">
      <c r="A890" s="20" t="s">
        <v>702</v>
      </c>
      <c r="B890" s="15">
        <v>45809</v>
      </c>
      <c r="C890" s="26">
        <v>3</v>
      </c>
      <c r="D890" s="55" t="str">
        <f>VLOOKUP(Main_Presentation[[#This Row],[LC Number]],Main_Issuance[],3,0)</f>
        <v>Tareeq Telmasani</v>
      </c>
      <c r="E890" s="16" t="s">
        <v>858</v>
      </c>
      <c r="F890" s="16" t="str">
        <f>VLOOKUP(Main_Presentation[[#This Row],[LC Number]],Main_Issuance[],5,0)</f>
        <v>SNB</v>
      </c>
      <c r="G890" s="16" t="str">
        <f>VLOOKUP(Main_Presentation[[#This Row],[LC Number]],Main_Issuance[],6,0)</f>
        <v>Opera House</v>
      </c>
      <c r="H890" s="16" t="str">
        <f>VLOOKUP(Main_Presentation[[#This Row],[LC Number]],Main_Issuance[],17,0)</f>
        <v>Credit</v>
      </c>
      <c r="I890" s="16" t="str">
        <f>VLOOKUP(Main_Presentation[[#This Row],[LC Number]],Main_Issuance[],7,0)</f>
        <v>HOLCIM SOLUTIONS AND PRODUCTS EMEA BV</v>
      </c>
      <c r="J890" s="16" t="str">
        <f>VLOOKUP(Main_Presentation[[#This Row],[LC Number]],Main_Issuance[],8,0)</f>
        <v>MBL/IFAS</v>
      </c>
      <c r="K890" s="16" t="str">
        <f>VLOOKUP(Main_Presentation[[#This Row],[LC Number]],Main_Issuance[],9,0)</f>
        <v>CEER</v>
      </c>
      <c r="L890" s="16">
        <f>VLOOKUP(Main_Presentation[[#This Row],[LC Number]],Main_Issuance[],10,0)</f>
        <v>1020091</v>
      </c>
      <c r="M890" s="16" t="str">
        <f>VLOOKUP(Main_Presentation[[#This Row],[LC Number]],Main_Issuance[],11,0)</f>
        <v>USD</v>
      </c>
      <c r="N890" s="86">
        <f>VLOOKUP(Main_Presentation[[#This Row],[LC Number]],Main_Issuance[],12,0)</f>
        <v>2600115.56</v>
      </c>
      <c r="O890" s="16" t="s">
        <v>20</v>
      </c>
      <c r="P890" s="16" t="s">
        <v>857</v>
      </c>
      <c r="Q890" s="18">
        <v>81191.28</v>
      </c>
      <c r="R890" s="18">
        <v>3.75</v>
      </c>
      <c r="S890" s="18">
        <f>Main_Presentation[[#This Row],[Invoice Amt (FCY)]]*Main_Presentation[[#This Row],[Rate]]</f>
        <v>304467.3</v>
      </c>
      <c r="T890" s="15">
        <v>45855</v>
      </c>
      <c r="U890" s="26" t="str">
        <f>VLOOKUP(Main_Presentation[[#This Row],[LC Number]],Main_Issuance[],18,0)</f>
        <v>90 Days from Shipment Date</v>
      </c>
      <c r="V890" s="21" t="s">
        <v>367</v>
      </c>
      <c r="W890" s="22" t="s">
        <v>857</v>
      </c>
      <c r="X890" s="16"/>
      <c r="Y890" s="234" t="str">
        <f>TRIM(LEFT(Main_Presentation[[#This Row],[Payment Terms]],3))</f>
        <v>90</v>
      </c>
      <c r="Z890" s="16"/>
      <c r="AA890" s="316" cm="1">
        <f t="array" ref="AA890">Settlement(Main_Presentation[[#This Row],[Bank]],Main_Presentation[[#This Row],[ Invoice Amt (SAR)]],Main_Presentation[[#This Row],[Date Recd]],Main_Presentation[[#This Row],[Due Date]],Main_Presentation[[#This Row],[Days]])</f>
        <v>769.35</v>
      </c>
      <c r="AB890" s="16"/>
    </row>
    <row r="891" spans="1:28" ht="15.75" hidden="1" x14ac:dyDescent="0.25">
      <c r="A891" s="20" t="s">
        <v>702</v>
      </c>
      <c r="B891" s="15">
        <v>45809</v>
      </c>
      <c r="C891" s="26">
        <v>4</v>
      </c>
      <c r="D891" s="55" t="str">
        <f>VLOOKUP(Main_Presentation[[#This Row],[LC Number]],Main_Issuance[],3,0)</f>
        <v>Tareeq Telmasani</v>
      </c>
      <c r="E891" s="16" t="s">
        <v>858</v>
      </c>
      <c r="F891" s="16" t="str">
        <f>VLOOKUP(Main_Presentation[[#This Row],[LC Number]],Main_Issuance[],5,0)</f>
        <v>SNB</v>
      </c>
      <c r="G891" s="16" t="str">
        <f>VLOOKUP(Main_Presentation[[#This Row],[LC Number]],Main_Issuance[],6,0)</f>
        <v>Opera House</v>
      </c>
      <c r="H891" s="16" t="str">
        <f>VLOOKUP(Main_Presentation[[#This Row],[LC Number]],Main_Issuance[],17,0)</f>
        <v>Credit</v>
      </c>
      <c r="I891" s="16" t="str">
        <f>VLOOKUP(Main_Presentation[[#This Row],[LC Number]],Main_Issuance[],7,0)</f>
        <v>HOLCIM SOLUTIONS AND PRODUCTS EMEA BV</v>
      </c>
      <c r="J891" s="16" t="str">
        <f>VLOOKUP(Main_Presentation[[#This Row],[LC Number]],Main_Issuance[],8,0)</f>
        <v>MBL/IFAS</v>
      </c>
      <c r="K891" s="16" t="str">
        <f>VLOOKUP(Main_Presentation[[#This Row],[LC Number]],Main_Issuance[],9,0)</f>
        <v>CEER</v>
      </c>
      <c r="L891" s="16">
        <f>VLOOKUP(Main_Presentation[[#This Row],[LC Number]],Main_Issuance[],10,0)</f>
        <v>1020091</v>
      </c>
      <c r="M891" s="16" t="str">
        <f>VLOOKUP(Main_Presentation[[#This Row],[LC Number]],Main_Issuance[],11,0)</f>
        <v>USD</v>
      </c>
      <c r="N891" s="86">
        <f>VLOOKUP(Main_Presentation[[#This Row],[LC Number]],Main_Issuance[],12,0)</f>
        <v>2600115.56</v>
      </c>
      <c r="O891" s="16" t="s">
        <v>20</v>
      </c>
      <c r="P891" s="16" t="s">
        <v>857</v>
      </c>
      <c r="Q891" s="18">
        <v>82392.479999999996</v>
      </c>
      <c r="R891" s="18">
        <v>3.75</v>
      </c>
      <c r="S891" s="18">
        <f>Main_Presentation[[#This Row],[Invoice Amt (FCY)]]*Main_Presentation[[#This Row],[Rate]]</f>
        <v>308971.8</v>
      </c>
      <c r="T891" s="15">
        <v>45862</v>
      </c>
      <c r="U891" s="26" t="str">
        <f>VLOOKUP(Main_Presentation[[#This Row],[LC Number]],Main_Issuance[],18,0)</f>
        <v>90 Days from Shipment Date</v>
      </c>
      <c r="V891" s="21" t="s">
        <v>367</v>
      </c>
      <c r="W891" s="22" t="s">
        <v>857</v>
      </c>
      <c r="X891" s="16"/>
      <c r="Y891" s="234" t="str">
        <f>TRIM(LEFT(Main_Presentation[[#This Row],[Payment Terms]],3))</f>
        <v>90</v>
      </c>
      <c r="Z891" s="16"/>
      <c r="AA891" s="316" cm="1">
        <f t="array" ref="AA891">Settlement(Main_Presentation[[#This Row],[Bank]],Main_Presentation[[#This Row],[ Invoice Amt (SAR)]],Main_Presentation[[#This Row],[Date Recd]],Main_Presentation[[#This Row],[Due Date]],Main_Presentation[[#This Row],[Days]])</f>
        <v>1520.3</v>
      </c>
      <c r="AB891" s="16"/>
    </row>
    <row r="892" spans="1:28" ht="15.75" hidden="1" x14ac:dyDescent="0.25">
      <c r="A892" s="20" t="s">
        <v>702</v>
      </c>
      <c r="B892" s="15">
        <v>45809</v>
      </c>
      <c r="C892" s="26">
        <v>5</v>
      </c>
      <c r="D892" s="55" t="str">
        <f>VLOOKUP(Main_Presentation[[#This Row],[LC Number]],Main_Issuance[],3,0)</f>
        <v>Tareeq Telmasani</v>
      </c>
      <c r="E892" s="16" t="s">
        <v>858</v>
      </c>
      <c r="F892" s="16" t="str">
        <f>VLOOKUP(Main_Presentation[[#This Row],[LC Number]],Main_Issuance[],5,0)</f>
        <v>SNB</v>
      </c>
      <c r="G892" s="16" t="str">
        <f>VLOOKUP(Main_Presentation[[#This Row],[LC Number]],Main_Issuance[],6,0)</f>
        <v>Opera House</v>
      </c>
      <c r="H892" s="16" t="str">
        <f>VLOOKUP(Main_Presentation[[#This Row],[LC Number]],Main_Issuance[],17,0)</f>
        <v>Credit</v>
      </c>
      <c r="I892" s="16" t="str">
        <f>VLOOKUP(Main_Presentation[[#This Row],[LC Number]],Main_Issuance[],7,0)</f>
        <v>HOLCIM SOLUTIONS AND PRODUCTS EMEA BV</v>
      </c>
      <c r="J892" s="16" t="str">
        <f>VLOOKUP(Main_Presentation[[#This Row],[LC Number]],Main_Issuance[],8,0)</f>
        <v>MBL/IFAS</v>
      </c>
      <c r="K892" s="16" t="str">
        <f>VLOOKUP(Main_Presentation[[#This Row],[LC Number]],Main_Issuance[],9,0)</f>
        <v>CEER</v>
      </c>
      <c r="L892" s="16">
        <f>VLOOKUP(Main_Presentation[[#This Row],[LC Number]],Main_Issuance[],10,0)</f>
        <v>1020091</v>
      </c>
      <c r="M892" s="16" t="str">
        <f>VLOOKUP(Main_Presentation[[#This Row],[LC Number]],Main_Issuance[],11,0)</f>
        <v>USD</v>
      </c>
      <c r="N892" s="86">
        <f>VLOOKUP(Main_Presentation[[#This Row],[LC Number]],Main_Issuance[],12,0)</f>
        <v>2600115.56</v>
      </c>
      <c r="O892" s="16" t="s">
        <v>20</v>
      </c>
      <c r="P892" s="16" t="s">
        <v>857</v>
      </c>
      <c r="Q892" s="18">
        <v>83959.74</v>
      </c>
      <c r="R892" s="18">
        <v>3.75</v>
      </c>
      <c r="S892" s="18">
        <f>Main_Presentation[[#This Row],[Invoice Amt (FCY)]]*Main_Presentation[[#This Row],[Rate]]</f>
        <v>314849.02500000002</v>
      </c>
      <c r="T892" s="15">
        <v>45869</v>
      </c>
      <c r="U892" s="26" t="str">
        <f>VLOOKUP(Main_Presentation[[#This Row],[LC Number]],Main_Issuance[],18,0)</f>
        <v>90 Days from Shipment Date</v>
      </c>
      <c r="V892" s="21" t="s">
        <v>367</v>
      </c>
      <c r="W892" s="22" t="s">
        <v>857</v>
      </c>
      <c r="X892" s="16"/>
      <c r="Y892" s="234" t="str">
        <f>TRIM(LEFT(Main_Presentation[[#This Row],[Payment Terms]],3))</f>
        <v>90</v>
      </c>
      <c r="Z892" s="16"/>
      <c r="AA892" s="316" cm="1">
        <f t="array" ref="AA892">Settlement(Main_Presentation[[#This Row],[Bank]],Main_Presentation[[#This Row],[ Invoice Amt (SAR)]],Main_Presentation[[#This Row],[Date Recd]],Main_Presentation[[#This Row],[Due Date]],Main_Presentation[[#This Row],[Days]])</f>
        <v>1549.05</v>
      </c>
      <c r="AB892" s="16"/>
    </row>
    <row r="893" spans="1:28" ht="15.75" hidden="1" x14ac:dyDescent="0.25">
      <c r="A893" s="20" t="s">
        <v>702</v>
      </c>
      <c r="B893" s="15">
        <v>45809</v>
      </c>
      <c r="C893" s="26">
        <v>6</v>
      </c>
      <c r="D893" s="55" t="str">
        <f>VLOOKUP(Main_Presentation[[#This Row],[LC Number]],Main_Issuance[],3,0)</f>
        <v>Tareeq Telmasani</v>
      </c>
      <c r="E893" s="16" t="s">
        <v>858</v>
      </c>
      <c r="F893" s="16" t="str">
        <f>VLOOKUP(Main_Presentation[[#This Row],[LC Number]],Main_Issuance[],5,0)</f>
        <v>SNB</v>
      </c>
      <c r="G893" s="16" t="str">
        <f>VLOOKUP(Main_Presentation[[#This Row],[LC Number]],Main_Issuance[],6,0)</f>
        <v>Opera House</v>
      </c>
      <c r="H893" s="16" t="str">
        <f>VLOOKUP(Main_Presentation[[#This Row],[LC Number]],Main_Issuance[],17,0)</f>
        <v>Credit</v>
      </c>
      <c r="I893" s="16" t="str">
        <f>VLOOKUP(Main_Presentation[[#This Row],[LC Number]],Main_Issuance[],7,0)</f>
        <v>HOLCIM SOLUTIONS AND PRODUCTS EMEA BV</v>
      </c>
      <c r="J893" s="16" t="str">
        <f>VLOOKUP(Main_Presentation[[#This Row],[LC Number]],Main_Issuance[],8,0)</f>
        <v>MBL/IFAS</v>
      </c>
      <c r="K893" s="16" t="str">
        <f>VLOOKUP(Main_Presentation[[#This Row],[LC Number]],Main_Issuance[],9,0)</f>
        <v>CEER</v>
      </c>
      <c r="L893" s="16">
        <f>VLOOKUP(Main_Presentation[[#This Row],[LC Number]],Main_Issuance[],10,0)</f>
        <v>1020091</v>
      </c>
      <c r="M893" s="16" t="str">
        <f>VLOOKUP(Main_Presentation[[#This Row],[LC Number]],Main_Issuance[],11,0)</f>
        <v>USD</v>
      </c>
      <c r="N893" s="86">
        <f>VLOOKUP(Main_Presentation[[#This Row],[LC Number]],Main_Issuance[],12,0)</f>
        <v>2600115.56</v>
      </c>
      <c r="O893" s="16" t="s">
        <v>20</v>
      </c>
      <c r="P893" s="16" t="s">
        <v>857</v>
      </c>
      <c r="Q893" s="18">
        <v>170237.56</v>
      </c>
      <c r="R893" s="18">
        <v>3.75</v>
      </c>
      <c r="S893" s="18">
        <f>Main_Presentation[[#This Row],[Invoice Amt (FCY)]]*Main_Presentation[[#This Row],[Rate]]</f>
        <v>638390.85</v>
      </c>
      <c r="T893" s="15">
        <v>45855</v>
      </c>
      <c r="U893" s="26" t="str">
        <f>VLOOKUP(Main_Presentation[[#This Row],[LC Number]],Main_Issuance[],18,0)</f>
        <v>90 Days from Shipment Date</v>
      </c>
      <c r="V893" s="21" t="s">
        <v>367</v>
      </c>
      <c r="W893" s="22" t="s">
        <v>857</v>
      </c>
      <c r="X893" s="16"/>
      <c r="Y893" s="234" t="str">
        <f>TRIM(LEFT(Main_Presentation[[#This Row],[Payment Terms]],3))</f>
        <v>90</v>
      </c>
      <c r="Z893" s="16"/>
      <c r="AA893" s="316" cm="1">
        <f t="array" ref="AA893">Settlement(Main_Presentation[[#This Row],[Bank]],Main_Presentation[[#This Row],[ Invoice Amt (SAR)]],Main_Presentation[[#This Row],[Date Recd]],Main_Presentation[[#This Row],[Due Date]],Main_Presentation[[#This Row],[Days]])</f>
        <v>1569.75</v>
      </c>
      <c r="AB893" s="16"/>
    </row>
    <row r="894" spans="1:28" ht="15.75" hidden="1" x14ac:dyDescent="0.25">
      <c r="A894" s="129" t="s">
        <v>1286</v>
      </c>
      <c r="B894" s="137">
        <v>45810</v>
      </c>
      <c r="C894" s="138">
        <v>1</v>
      </c>
      <c r="D894" s="139" t="str">
        <f>VLOOKUP(Main_Presentation[[#This Row],[LC Number]],Main_Issuance[],3,0)</f>
        <v>Hashmat Khan</v>
      </c>
      <c r="E894" s="140" t="s">
        <v>858</v>
      </c>
      <c r="F894" s="140" t="str">
        <f>VLOOKUP(Main_Presentation[[#This Row],[LC Number]],Main_Issuance[],5,0)</f>
        <v>Alinma</v>
      </c>
      <c r="G894" s="140" t="str">
        <f>VLOOKUP(Main_Presentation[[#This Row],[LC Number]],Main_Issuance[],6,0)</f>
        <v>KSP</v>
      </c>
      <c r="H894" s="140" t="str">
        <f>VLOOKUP(Main_Presentation[[#This Row],[LC Number]],Main_Issuance[],17,0)</f>
        <v>Credit</v>
      </c>
      <c r="I894" s="140" t="str">
        <f>VLOOKUP(Main_Presentation[[#This Row],[LC Number]],Main_Issuance[],7,0)</f>
        <v>Innovative Specialised Security Solutions</v>
      </c>
      <c r="J894" s="140" t="str">
        <f>VLOOKUP(Main_Presentation[[#This Row],[LC Number]],Main_Issuance[],8,0)</f>
        <v>MBL/ICAD</v>
      </c>
      <c r="K894" s="140" t="str">
        <f>VLOOKUP(Main_Presentation[[#This Row],[LC Number]],Main_Issuance[],9,0)</f>
        <v>KSP</v>
      </c>
      <c r="L894" s="140">
        <f>VLOOKUP(Main_Presentation[[#This Row],[LC Number]],Main_Issuance[],10,0)</f>
        <v>1020055</v>
      </c>
      <c r="M894" s="140" t="str">
        <f>VLOOKUP(Main_Presentation[[#This Row],[LC Number]],Main_Issuance[],11,0)</f>
        <v>SAR</v>
      </c>
      <c r="N894" s="141">
        <f>VLOOKUP(Main_Presentation[[#This Row],[LC Number]],Main_Issuance[],12,0)</f>
        <v>2118694.4500000002</v>
      </c>
      <c r="O894" s="140" t="s">
        <v>20</v>
      </c>
      <c r="P894" s="140" t="s">
        <v>857</v>
      </c>
      <c r="Q894" s="131">
        <v>2118694.4500000002</v>
      </c>
      <c r="R894" s="131">
        <v>1</v>
      </c>
      <c r="S894" s="131">
        <f>Main_Presentation[[#This Row],[Invoice Amt (FCY)]]*Main_Presentation[[#This Row],[Rate]]</f>
        <v>2118694.4500000002</v>
      </c>
      <c r="T894" s="137">
        <v>45914</v>
      </c>
      <c r="U894" s="138" t="str">
        <f>VLOOKUP(Main_Presentation[[#This Row],[LC Number]],Main_Issuance[],18,0)</f>
        <v>120 Days from Invoice Date</v>
      </c>
      <c r="V894" s="21" t="s">
        <v>22</v>
      </c>
      <c r="W894" s="145" t="s">
        <v>857</v>
      </c>
      <c r="X894" s="140"/>
      <c r="Y894" s="400" t="str">
        <f>TRIM(LEFT(Main_Presentation[[#This Row],[Payment Terms]],3))</f>
        <v>120</v>
      </c>
      <c r="Z894" s="140"/>
      <c r="AA894" s="316" cm="1">
        <f t="array" ref="AA894">Settlement(Main_Presentation[[#This Row],[Bank]],Main_Presentation[[#This Row],[ Invoice Amt (SAR)]],Main_Presentation[[#This Row],[Date Recd]],Main_Presentation[[#This Row],[Due Date]],Main_Presentation[[#This Row],[Days]])</f>
        <v>3045.2</v>
      </c>
      <c r="AB894" s="140"/>
    </row>
    <row r="895" spans="1:28" ht="15.75" hidden="1" x14ac:dyDescent="0.25">
      <c r="A895" s="20" t="s">
        <v>1230</v>
      </c>
      <c r="B895" s="15">
        <v>45840</v>
      </c>
      <c r="C895" s="26">
        <v>1</v>
      </c>
      <c r="D895" s="55" t="str">
        <f>VLOOKUP(Main_Presentation[[#This Row],[LC Number]],Main_Issuance[],3,0)</f>
        <v>Hassan Taleb</v>
      </c>
      <c r="E895" s="16" t="s">
        <v>856</v>
      </c>
      <c r="F895" s="16" t="str">
        <f>VLOOKUP(Main_Presentation[[#This Row],[LC Number]],Main_Issuance[],5,0)</f>
        <v>Jazira</v>
      </c>
      <c r="G895" s="16" t="str">
        <f>VLOOKUP(Main_Presentation[[#This Row],[LC Number]],Main_Issuance[],6,0)</f>
        <v>RCRC</v>
      </c>
      <c r="H895" s="16" t="str">
        <f>VLOOKUP(Main_Presentation[[#This Row],[LC Number]],Main_Issuance[],17,0)</f>
        <v>Credit</v>
      </c>
      <c r="I895" s="16" t="str">
        <f>VLOOKUP(Main_Presentation[[#This Row],[LC Number]],Main_Issuance[],7,0)</f>
        <v>WATANIA STEEL FACTORY COMPANY</v>
      </c>
      <c r="J895" s="16" t="str">
        <f>VLOOKUP(Main_Presentation[[#This Row],[LC Number]],Main_Issuance[],8,0)</f>
        <v>MBL</v>
      </c>
      <c r="K895" s="16" t="str">
        <f>VLOOKUP(Main_Presentation[[#This Row],[LC Number]],Main_Issuance[],9,0)</f>
        <v>RCRC</v>
      </c>
      <c r="L895" s="16">
        <f>VLOOKUP(Main_Presentation[[#This Row],[LC Number]],Main_Issuance[],10,0)</f>
        <v>1020106</v>
      </c>
      <c r="M895" s="16" t="str">
        <f>VLOOKUP(Main_Presentation[[#This Row],[LC Number]],Main_Issuance[],11,0)</f>
        <v>SAR</v>
      </c>
      <c r="N895" s="86">
        <f>VLOOKUP(Main_Presentation[[#This Row],[LC Number]],Main_Issuance[],12,0)</f>
        <v>11042622</v>
      </c>
      <c r="O895" s="16" t="s">
        <v>20</v>
      </c>
      <c r="P895" s="16" t="s">
        <v>857</v>
      </c>
      <c r="Q895" s="18">
        <v>11042622</v>
      </c>
      <c r="R895" s="18">
        <v>1</v>
      </c>
      <c r="S895" s="18">
        <f>Main_Presentation[[#This Row],[Invoice Amt (FCY)]]*Main_Presentation[[#This Row],[Rate]]</f>
        <v>11042622</v>
      </c>
      <c r="T895" s="15">
        <v>45881</v>
      </c>
      <c r="U895" s="26" t="str">
        <f>VLOOKUP(Main_Presentation[[#This Row],[LC Number]],Main_Issuance[],18,0)</f>
        <v>90 Days from Invoice Date</v>
      </c>
      <c r="V895" s="21" t="s">
        <v>1732</v>
      </c>
      <c r="W895" s="22" t="s">
        <v>378</v>
      </c>
      <c r="X895" s="16"/>
      <c r="Y895" s="234" t="str">
        <f>TRIM(LEFT(Main_Presentation[[#This Row],[Payment Terms]],3))</f>
        <v>90</v>
      </c>
      <c r="Z895" s="16"/>
      <c r="AA895" s="316" cm="1">
        <f t="array" ref="AA895">Settlement(Main_Presentation[[#This Row],[Bank]],Main_Presentation[[#This Row],[ Invoice Amt (SAR)]],Main_Presentation[[#This Row],[Date Recd]],Main_Presentation[[#This Row],[Due Date]],Main_Presentation[[#This Row],[Days]])</f>
        <v>10927.3</v>
      </c>
      <c r="AB895" s="16"/>
    </row>
    <row r="896" spans="1:28" ht="15.75" hidden="1" x14ac:dyDescent="0.25">
      <c r="A896" s="20" t="s">
        <v>672</v>
      </c>
      <c r="B896" s="15">
        <v>45810</v>
      </c>
      <c r="C896" s="26">
        <v>30</v>
      </c>
      <c r="D896" s="55" t="str">
        <f>VLOOKUP(Main_Presentation[[#This Row],[LC Number]],Main_Issuance[],3,0)</f>
        <v>Tareeq Telmasani</v>
      </c>
      <c r="E896" s="16" t="s">
        <v>856</v>
      </c>
      <c r="F896" s="16" t="str">
        <f>VLOOKUP(Main_Presentation[[#This Row],[LC Number]],Main_Issuance[],5,0)</f>
        <v>SAB</v>
      </c>
      <c r="G896" s="16" t="str">
        <f>VLOOKUP(Main_Presentation[[#This Row],[LC Number]],Main_Issuance[],6,0)</f>
        <v>CEER</v>
      </c>
      <c r="H896" s="16" t="str">
        <f>VLOOKUP(Main_Presentation[[#This Row],[LC Number]],Main_Issuance[],17,0)</f>
        <v>Credit</v>
      </c>
      <c r="I896" s="16" t="str">
        <f>VLOOKUP(Main_Presentation[[#This Row],[LC Number]],Main_Issuance[],7,0)</f>
        <v>Roof Metal Ind LLC</v>
      </c>
      <c r="J896" s="16" t="str">
        <f>VLOOKUP(Main_Presentation[[#This Row],[LC Number]],Main_Issuance[],8,0)</f>
        <v>MBL</v>
      </c>
      <c r="K896" s="16" t="str">
        <f>VLOOKUP(Main_Presentation[[#This Row],[LC Number]],Main_Issuance[],9,0)</f>
        <v>CEER</v>
      </c>
      <c r="L896" s="16">
        <f>VLOOKUP(Main_Presentation[[#This Row],[LC Number]],Main_Issuance[],10,0)</f>
        <v>1020091</v>
      </c>
      <c r="M896" s="16" t="str">
        <f>VLOOKUP(Main_Presentation[[#This Row],[LC Number]],Main_Issuance[],11,0)</f>
        <v>AED</v>
      </c>
      <c r="N896" s="86">
        <f>VLOOKUP(Main_Presentation[[#This Row],[LC Number]],Main_Issuance[],12,0)</f>
        <v>12740122</v>
      </c>
      <c r="O896" s="16" t="s">
        <v>20</v>
      </c>
      <c r="P896" s="16" t="s">
        <v>857</v>
      </c>
      <c r="Q896" s="18">
        <v>479537.33</v>
      </c>
      <c r="R896" s="18">
        <v>1.026</v>
      </c>
      <c r="S896" s="18">
        <f>Main_Presentation[[#This Row],[Invoice Amt (FCY)]]*Main_Presentation[[#This Row],[Rate]]</f>
        <v>492005.30058000004</v>
      </c>
      <c r="T896" s="15">
        <v>45812</v>
      </c>
      <c r="U896" s="26" t="str">
        <f>VLOOKUP(Main_Presentation[[#This Row],[LC Number]],Main_Issuance[],18,0)</f>
        <v>Sight</v>
      </c>
      <c r="V896" s="21" t="s">
        <v>367</v>
      </c>
      <c r="W896" s="22" t="s">
        <v>857</v>
      </c>
      <c r="X896" s="16"/>
      <c r="Y896" s="234" t="str">
        <f>TRIM(LEFT(Main_Presentation[[#This Row],[Payment Terms]],3))</f>
        <v>Sig</v>
      </c>
      <c r="Z896" s="16"/>
      <c r="AA896" s="316" t="e" cm="1">
        <f t="array" ref="AA896">Settlement(Main_Presentation[[#This Row],[Bank]],Main_Presentation[[#This Row],[ Invoice Amt (SAR)]],Main_Presentation[[#This Row],[Date Recd]],Main_Presentation[[#This Row],[Due Date]],Main_Presentation[[#This Row],[Days]])</f>
        <v>#VALUE!</v>
      </c>
      <c r="AB896" s="16"/>
    </row>
    <row r="897" spans="1:28" ht="15.75" hidden="1" x14ac:dyDescent="0.25">
      <c r="A897" s="129" t="s">
        <v>1191</v>
      </c>
      <c r="B897" s="137">
        <v>45831</v>
      </c>
      <c r="C897" s="138">
        <v>2</v>
      </c>
      <c r="D897" s="139" t="str">
        <f>VLOOKUP(Main_Presentation[[#This Row],[LC Number]],Main_Issuance[],3,0)</f>
        <v>Rabih Makhoul</v>
      </c>
      <c r="E897" s="140" t="s">
        <v>858</v>
      </c>
      <c r="F897" s="140" t="str">
        <f>VLOOKUP(Main_Presentation[[#This Row],[LC Number]],Main_Issuance[],5,0)</f>
        <v>Alinma</v>
      </c>
      <c r="G897" s="140" t="str">
        <f>VLOOKUP(Main_Presentation[[#This Row],[LC Number]],Main_Issuance[],6,0)</f>
        <v>KSP</v>
      </c>
      <c r="H897" s="140" t="str">
        <f>VLOOKUP(Main_Presentation[[#This Row],[LC Number]],Main_Issuance[],17,0)</f>
        <v>Credit</v>
      </c>
      <c r="I897" s="140" t="str">
        <f>VLOOKUP(Main_Presentation[[#This Row],[LC Number]],Main_Issuance[],7,0)</f>
        <v>Awtad Jeddah for General Contracting Company</v>
      </c>
      <c r="J897" s="140" t="str">
        <f>VLOOKUP(Main_Presentation[[#This Row],[LC Number]],Main_Issuance[],8,0)</f>
        <v>MBL</v>
      </c>
      <c r="K897" s="140" t="str">
        <f>VLOOKUP(Main_Presentation[[#This Row],[LC Number]],Main_Issuance[],9,0)</f>
        <v>Rabigh Power Plant</v>
      </c>
      <c r="L897" s="140">
        <f>VLOOKUP(Main_Presentation[[#This Row],[LC Number]],Main_Issuance[],10,0)</f>
        <v>1020107</v>
      </c>
      <c r="M897" s="140" t="str">
        <f>VLOOKUP(Main_Presentation[[#This Row],[LC Number]],Main_Issuance[],11,0)</f>
        <v>SAR</v>
      </c>
      <c r="N897" s="141">
        <f>VLOOKUP(Main_Presentation[[#This Row],[LC Number]],Main_Issuance[],12,0)</f>
        <v>5233040.5</v>
      </c>
      <c r="O897" s="140" t="s">
        <v>20</v>
      </c>
      <c r="P897" s="140" t="s">
        <v>857</v>
      </c>
      <c r="Q897" s="131">
        <v>401551.7</v>
      </c>
      <c r="R897" s="131">
        <v>1</v>
      </c>
      <c r="S897" s="131">
        <f>Main_Presentation[[#This Row],[Invoice Amt (FCY)]]*Main_Presentation[[#This Row],[Rate]]</f>
        <v>401551.7</v>
      </c>
      <c r="T897" s="15">
        <v>45859</v>
      </c>
      <c r="U897" s="138" t="str">
        <f>VLOOKUP(Main_Presentation[[#This Row],[LC Number]],Main_Issuance[],18,0)</f>
        <v>45 Days from Applicant Sign on Invoice</v>
      </c>
      <c r="V897" s="143" t="s">
        <v>304</v>
      </c>
      <c r="W897" s="145" t="s">
        <v>378</v>
      </c>
      <c r="X897" s="140"/>
      <c r="Y897" s="400" t="str">
        <f>TRIM(LEFT(Main_Presentation[[#This Row],[Payment Terms]],3))</f>
        <v>45</v>
      </c>
      <c r="Z897" s="140"/>
      <c r="AA897" s="316" cm="1">
        <f t="array" ref="AA897">Settlement(Main_Presentation[[#This Row],[Bank]],Main_Presentation[[#This Row],[ Invoice Amt (SAR)]],Main_Presentation[[#This Row],[Date Recd]],Main_Presentation[[#This Row],[Due Date]],Main_Presentation[[#This Row],[Days]])</f>
        <v>1437.5</v>
      </c>
      <c r="AB897" s="140"/>
    </row>
    <row r="898" spans="1:28" ht="15.75" hidden="1" x14ac:dyDescent="0.25">
      <c r="A898" s="20" t="s">
        <v>1229</v>
      </c>
      <c r="B898" s="15">
        <v>45811</v>
      </c>
      <c r="C898" s="26">
        <v>1</v>
      </c>
      <c r="D898" s="55" t="str">
        <f>VLOOKUP(Main_Presentation[[#This Row],[LC Number]],Main_Issuance[],3,0)</f>
        <v>Tareeq - Premium</v>
      </c>
      <c r="E898" s="16" t="s">
        <v>856</v>
      </c>
      <c r="F898" s="16" t="str">
        <f>VLOOKUP(Main_Presentation[[#This Row],[LC Number]],Main_Issuance[],5,0)</f>
        <v>SAB</v>
      </c>
      <c r="G898" s="16" t="str">
        <f>VLOOKUP(Main_Presentation[[#This Row],[LC Number]],Main_Issuance[],6,0)</f>
        <v>CEER</v>
      </c>
      <c r="H898" s="16" t="str">
        <f>VLOOKUP(Main_Presentation[[#This Row],[LC Number]],Main_Issuance[],17,0)</f>
        <v>Credit</v>
      </c>
      <c r="I898" s="16" t="str">
        <f>VLOOKUP(Main_Presentation[[#This Row],[LC Number]],Main_Issuance[],7,0)</f>
        <v>VENTLINE AIR CONDITIONING REQUISITES MANUFACTURING LLC</v>
      </c>
      <c r="J898" s="16" t="str">
        <f>VLOOKUP(Main_Presentation[[#This Row],[LC Number]],Main_Issuance[],8,0)</f>
        <v>MBL/Premium</v>
      </c>
      <c r="K898" s="16" t="str">
        <f>VLOOKUP(Main_Presentation[[#This Row],[LC Number]],Main_Issuance[],9,0)</f>
        <v>CEER</v>
      </c>
      <c r="L898" s="16">
        <f>VLOOKUP(Main_Presentation[[#This Row],[LC Number]],Main_Issuance[],10,0)</f>
        <v>1020091</v>
      </c>
      <c r="M898" s="16" t="str">
        <f>VLOOKUP(Main_Presentation[[#This Row],[LC Number]],Main_Issuance[],11,0)</f>
        <v>AED</v>
      </c>
      <c r="N898" s="86">
        <f>VLOOKUP(Main_Presentation[[#This Row],[LC Number]],Main_Issuance[],12,0)</f>
        <v>6500000</v>
      </c>
      <c r="O898" s="16" t="s">
        <v>20</v>
      </c>
      <c r="P898" s="16" t="s">
        <v>857</v>
      </c>
      <c r="Q898" s="18">
        <v>912000</v>
      </c>
      <c r="R898" s="18">
        <v>1.0261</v>
      </c>
      <c r="S898" s="18">
        <f>Main_Presentation[[#This Row],[Invoice Amt (FCY)]]*Main_Presentation[[#This Row],[Rate]]</f>
        <v>935803.2</v>
      </c>
      <c r="T898" s="15">
        <v>45819</v>
      </c>
      <c r="U898" s="26" t="str">
        <f>VLOOKUP(Main_Presentation[[#This Row],[LC Number]],Main_Issuance[],18,0)</f>
        <v>Sight</v>
      </c>
      <c r="V898" s="21" t="s">
        <v>367</v>
      </c>
      <c r="W898" s="22" t="s">
        <v>857</v>
      </c>
      <c r="X898" s="16"/>
      <c r="Y898" s="234" t="str">
        <f>TRIM(LEFT(Main_Presentation[[#This Row],[Payment Terms]],3))</f>
        <v>Sig</v>
      </c>
      <c r="Z898" s="16"/>
      <c r="AA898" s="316" t="e" cm="1">
        <f t="array" ref="AA898">Settlement(Main_Presentation[[#This Row],[Bank]],Main_Presentation[[#This Row],[ Invoice Amt (SAR)]],Main_Presentation[[#This Row],[Date Recd]],Main_Presentation[[#This Row],[Due Date]],Main_Presentation[[#This Row],[Days]])</f>
        <v>#VALUE!</v>
      </c>
      <c r="AB898" s="16"/>
    </row>
    <row r="899" spans="1:28" ht="15.75" hidden="1" x14ac:dyDescent="0.25">
      <c r="A899" s="20" t="s">
        <v>1274</v>
      </c>
      <c r="B899" s="15">
        <v>45837</v>
      </c>
      <c r="C899" s="26">
        <v>1</v>
      </c>
      <c r="D899" s="55" t="str">
        <f>VLOOKUP(Main_Presentation[[#This Row],[LC Number]],Main_Issuance[],3,0)</f>
        <v>Hassan Taleb</v>
      </c>
      <c r="E899" s="16" t="s">
        <v>858</v>
      </c>
      <c r="F899" s="17" t="str">
        <f>VLOOKUP(Main_Presentation[[#This Row],[LC Number]],Main_Issuance[],5,0)</f>
        <v>BAB</v>
      </c>
      <c r="G899" s="17" t="str">
        <f>VLOOKUP(Main_Presentation[[#This Row],[LC Number]],Main_Issuance[],6,0)</f>
        <v>Cash</v>
      </c>
      <c r="H899" s="17" t="str">
        <f>VLOOKUP(Main_Presentation[[#This Row],[LC Number]],Main_Issuance[],17,0)</f>
        <v>Cash</v>
      </c>
      <c r="I899" s="17" t="str">
        <f>VLOOKUP(Main_Presentation[[#This Row],[LC Number]],Main_Issuance[],7,0)</f>
        <v>THKM ALAALMYT LLTAQT COMPANY</v>
      </c>
      <c r="J899" s="17" t="str">
        <f>VLOOKUP(Main_Presentation[[#This Row],[LC Number]],Main_Issuance[],8,0)</f>
        <v>FIRST FIX</v>
      </c>
      <c r="K899" s="17" t="str">
        <f>VLOOKUP(Main_Presentation[[#This Row],[LC Number]],Main_Issuance[],9,0)</f>
        <v>JCD SPMI</v>
      </c>
      <c r="L899" s="17">
        <f>VLOOKUP(Main_Presentation[[#This Row],[LC Number]],Main_Issuance[],10,0)</f>
        <v>1020100</v>
      </c>
      <c r="M899" s="17" t="str">
        <f>VLOOKUP(Main_Presentation[[#This Row],[LC Number]],Main_Issuance[],11,0)</f>
        <v>SAR</v>
      </c>
      <c r="N899" s="84">
        <f>VLOOKUP(Main_Presentation[[#This Row],[LC Number]],Main_Issuance[],12,0)</f>
        <v>200000</v>
      </c>
      <c r="O899" s="16" t="s">
        <v>20</v>
      </c>
      <c r="P899" s="16" t="s">
        <v>857</v>
      </c>
      <c r="Q899" s="131">
        <v>200000</v>
      </c>
      <c r="R899" s="18">
        <v>1</v>
      </c>
      <c r="S899" s="18">
        <f>Main_Presentation[[#This Row],[Invoice Amt (FCY)]]*Main_Presentation[[#This Row],[Rate]]</f>
        <v>200000</v>
      </c>
      <c r="T899" s="15">
        <v>45909</v>
      </c>
      <c r="U899" s="26" t="str">
        <f>VLOOKUP(Main_Presentation[[#This Row],[LC Number]],Main_Issuance[],18,0)</f>
        <v>120 Days from Invoice Date</v>
      </c>
      <c r="V899" s="17" t="s">
        <v>1849</v>
      </c>
      <c r="W899" s="22" t="s">
        <v>378</v>
      </c>
      <c r="X899" s="16"/>
      <c r="Y899" s="234" t="str">
        <f>TRIM(LEFT(Main_Presentation[[#This Row],[Payment Terms]],3))</f>
        <v>120</v>
      </c>
      <c r="Z899" s="16"/>
      <c r="AA899" s="316" cm="1">
        <f t="array" ref="AA899">Settlement(Main_Presentation[[#This Row],[Bank]],Main_Presentation[[#This Row],[ Invoice Amt (SAR)]],Main_Presentation[[#This Row],[Date Recd]],Main_Presentation[[#This Row],[Due Date]],Main_Presentation[[#This Row],[Days]])</f>
        <v>0</v>
      </c>
      <c r="AB899" s="16"/>
    </row>
    <row r="900" spans="1:28" ht="15.75" hidden="1" x14ac:dyDescent="0.25">
      <c r="A900" s="20" t="s">
        <v>1345</v>
      </c>
      <c r="B900" s="15">
        <v>45838</v>
      </c>
      <c r="C900" s="26">
        <v>1</v>
      </c>
      <c r="D900" s="55" t="str">
        <f>VLOOKUP(Main_Presentation[[#This Row],[LC Number]],Main_Issuance[],3,0)</f>
        <v>Hassan Taleb</v>
      </c>
      <c r="E900" s="16" t="s">
        <v>858</v>
      </c>
      <c r="F900" s="17" t="str">
        <f>VLOOKUP(Main_Presentation[[#This Row],[LC Number]],Main_Issuance[],5,0)</f>
        <v>Alinma</v>
      </c>
      <c r="G900" s="17" t="str">
        <f>VLOOKUP(Main_Presentation[[#This Row],[LC Number]],Main_Issuance[],6,0)</f>
        <v>KSP</v>
      </c>
      <c r="H900" s="17" t="str">
        <f>VLOOKUP(Main_Presentation[[#This Row],[LC Number]],Main_Issuance[],17,0)</f>
        <v>Credit</v>
      </c>
      <c r="I900" s="17" t="str">
        <f>VLOOKUP(Main_Presentation[[#This Row],[LC Number]],Main_Issuance[],7,0)</f>
        <v>MODON ADVANCE SERVICES TECH CO (MASTTE)</v>
      </c>
      <c r="J900" s="17" t="str">
        <f>VLOOKUP(Main_Presentation[[#This Row],[LC Number]],Main_Issuance[],8,0)</f>
        <v>FIRST FIX</v>
      </c>
      <c r="K900" s="17" t="str">
        <f>VLOOKUP(Main_Presentation[[#This Row],[LC Number]],Main_Issuance[],9,0)</f>
        <v>KSP</v>
      </c>
      <c r="L900" s="17">
        <f>VLOOKUP(Main_Presentation[[#This Row],[LC Number]],Main_Issuance[],10,0)</f>
        <v>1020055</v>
      </c>
      <c r="M900" s="17" t="str">
        <f>VLOOKUP(Main_Presentation[[#This Row],[LC Number]],Main_Issuance[],11,0)</f>
        <v>SAR</v>
      </c>
      <c r="N900" s="84">
        <f>VLOOKUP(Main_Presentation[[#This Row],[LC Number]],Main_Issuance[],12,0)</f>
        <v>365762.69</v>
      </c>
      <c r="O900" s="16" t="s">
        <v>20</v>
      </c>
      <c r="P900" s="16" t="s">
        <v>857</v>
      </c>
      <c r="Q900" s="131">
        <v>365762.69</v>
      </c>
      <c r="R900" s="18">
        <v>1</v>
      </c>
      <c r="S900" s="18">
        <f>Main_Presentation[[#This Row],[Invoice Amt (FCY)]]*Main_Presentation[[#This Row],[Rate]]</f>
        <v>365762.69</v>
      </c>
      <c r="T900" s="15">
        <v>45943</v>
      </c>
      <c r="U900" s="26" t="str">
        <f>VLOOKUP(Main_Presentation[[#This Row],[LC Number]],Main_Issuance[],18,0)</f>
        <v>120 Days from Invoice Date</v>
      </c>
      <c r="V900" s="17" t="s">
        <v>22</v>
      </c>
      <c r="W900" s="22" t="s">
        <v>857</v>
      </c>
      <c r="X900" s="16"/>
      <c r="Y900" s="234" t="str">
        <f>TRIM(LEFT(Main_Presentation[[#This Row],[Payment Terms]],3))</f>
        <v>120</v>
      </c>
      <c r="Z900" s="16"/>
      <c r="AA900" s="316" cm="1">
        <f t="array" ref="AA900">Settlement(Main_Presentation[[#This Row],[Bank]],Main_Presentation[[#This Row],[ Invoice Amt (SAR)]],Main_Presentation[[#This Row],[Date Recd]],Main_Presentation[[#This Row],[Due Date]],Main_Presentation[[#This Row],[Days]])</f>
        <v>1437.5</v>
      </c>
      <c r="AB900" s="16"/>
    </row>
    <row r="901" spans="1:28" ht="15.75" hidden="1" x14ac:dyDescent="0.25">
      <c r="A901" s="20" t="s">
        <v>1201</v>
      </c>
      <c r="B901" s="15">
        <v>45839</v>
      </c>
      <c r="C901" s="26">
        <v>2</v>
      </c>
      <c r="D901" s="55" t="str">
        <f>VLOOKUP(Main_Presentation[[#This Row],[LC Number]],Main_Issuance[],3,0)</f>
        <v>Hassan Taleb</v>
      </c>
      <c r="E901" s="16" t="s">
        <v>856</v>
      </c>
      <c r="F901" s="17" t="str">
        <f>VLOOKUP(Main_Presentation[[#This Row],[LC Number]],Main_Issuance[],5,0)</f>
        <v>SNB</v>
      </c>
      <c r="G901" s="17" t="str">
        <f>VLOOKUP(Main_Presentation[[#This Row],[LC Number]],Main_Issuance[],6,0)</f>
        <v>Opera House</v>
      </c>
      <c r="H901" s="17" t="str">
        <f>VLOOKUP(Main_Presentation[[#This Row],[LC Number]],Main_Issuance[],17,0)</f>
        <v>Credit</v>
      </c>
      <c r="I901" s="17" t="str">
        <f>VLOOKUP(Main_Presentation[[#This Row],[LC Number]],Main_Issuance[],7,0)</f>
        <v>ALFANAR ELECTRICAL SYSTEMS</v>
      </c>
      <c r="J901" s="17" t="str">
        <f>VLOOKUP(Main_Presentation[[#This Row],[LC Number]],Main_Issuance[],8,0)</f>
        <v>FIRST FIX</v>
      </c>
      <c r="K901" s="17" t="str">
        <f>VLOOKUP(Main_Presentation[[#This Row],[LC Number]],Main_Issuance[],9,0)</f>
        <v>KSP</v>
      </c>
      <c r="L901" s="17">
        <f>VLOOKUP(Main_Presentation[[#This Row],[LC Number]],Main_Issuance[],10,0)</f>
        <v>1020055</v>
      </c>
      <c r="M901" s="17" t="str">
        <f>VLOOKUP(Main_Presentation[[#This Row],[LC Number]],Main_Issuance[],11,0)</f>
        <v>SAR</v>
      </c>
      <c r="N901" s="84">
        <f>VLOOKUP(Main_Presentation[[#This Row],[LC Number]],Main_Issuance[],12,0)</f>
        <v>2330000.0099999998</v>
      </c>
      <c r="O901" s="16" t="s">
        <v>20</v>
      </c>
      <c r="P901" s="16" t="s">
        <v>378</v>
      </c>
      <c r="Q901" s="131">
        <v>941825.08</v>
      </c>
      <c r="R901" s="18">
        <v>1</v>
      </c>
      <c r="S901" s="18">
        <f>Main_Presentation[[#This Row],[Invoice Amt (FCY)]]*Main_Presentation[[#This Row],[Rate]]</f>
        <v>941825.08</v>
      </c>
      <c r="T901" s="15">
        <v>45887</v>
      </c>
      <c r="U901" s="26" t="str">
        <f>VLOOKUP(Main_Presentation[[#This Row],[LC Number]],Main_Issuance[],18,0)</f>
        <v>90 Days from Invoice Date</v>
      </c>
      <c r="V901" s="17" t="s">
        <v>1772</v>
      </c>
      <c r="W901" s="22" t="s">
        <v>857</v>
      </c>
      <c r="X901" s="16"/>
      <c r="Y901" s="234" t="str">
        <f>TRIM(LEFT(Main_Presentation[[#This Row],[Payment Terms]],3))</f>
        <v>90</v>
      </c>
      <c r="Z901" s="16"/>
      <c r="AA901" s="316" cm="1">
        <f t="array" ref="AA901">Settlement(Main_Presentation[[#This Row],[Bank]],Main_Presentation[[#This Row],[ Invoice Amt (SAR)]],Main_Presentation[[#This Row],[Date Recd]],Main_Presentation[[#This Row],[Due Date]],Main_Presentation[[#This Row],[Days]])</f>
        <v>4552.8500000000004</v>
      </c>
      <c r="AB901" s="16"/>
    </row>
    <row r="902" spans="1:28" ht="15.75" hidden="1" x14ac:dyDescent="0.25">
      <c r="A902" s="20" t="s">
        <v>778</v>
      </c>
      <c r="B902" s="15">
        <v>45833</v>
      </c>
      <c r="C902" s="26">
        <v>1</v>
      </c>
      <c r="D902" s="55" t="str">
        <f>VLOOKUP(Main_Presentation[[#This Row],[LC Number]],Main_Issuance[],3,0)</f>
        <v>Hassan Taleb</v>
      </c>
      <c r="E902" s="16" t="s">
        <v>858</v>
      </c>
      <c r="F902" s="17" t="str">
        <f>VLOOKUP(Main_Presentation[[#This Row],[LC Number]],Main_Issuance[],5,0)</f>
        <v>SAB</v>
      </c>
      <c r="G902" s="17" t="str">
        <f>VLOOKUP(Main_Presentation[[#This Row],[LC Number]],Main_Issuance[],6,0)</f>
        <v>MP1</v>
      </c>
      <c r="H902" s="17" t="str">
        <f>VLOOKUP(Main_Presentation[[#This Row],[LC Number]],Main_Issuance[],17,0)</f>
        <v>Credit</v>
      </c>
      <c r="I902" s="17" t="str">
        <f>VLOOKUP(Main_Presentation[[#This Row],[LC Number]],Main_Issuance[],7,0)</f>
        <v>Alfanar Electrical Systems</v>
      </c>
      <c r="J902" s="17" t="str">
        <f>VLOOKUP(Main_Presentation[[#This Row],[LC Number]],Main_Issuance[],8,0)</f>
        <v>FIRST FIX</v>
      </c>
      <c r="K902" s="17" t="str">
        <f>VLOOKUP(Main_Presentation[[#This Row],[LC Number]],Main_Issuance[],9,0)</f>
        <v>MP1</v>
      </c>
      <c r="L902" s="17">
        <f>VLOOKUP(Main_Presentation[[#This Row],[LC Number]],Main_Issuance[],10,0)</f>
        <v>1020088</v>
      </c>
      <c r="M902" s="17" t="str">
        <f>VLOOKUP(Main_Presentation[[#This Row],[LC Number]],Main_Issuance[],11,0)</f>
        <v>SAR</v>
      </c>
      <c r="N902" s="84">
        <f>VLOOKUP(Main_Presentation[[#This Row],[LC Number]],Main_Issuance[],12,0)</f>
        <v>3000000</v>
      </c>
      <c r="O902" s="16" t="s">
        <v>20</v>
      </c>
      <c r="P902" s="16" t="s">
        <v>857</v>
      </c>
      <c r="Q902" s="131">
        <v>1105519.29</v>
      </c>
      <c r="R902" s="18">
        <v>1</v>
      </c>
      <c r="S902" s="18">
        <f>Main_Presentation[[#This Row],[Invoice Amt (FCY)]]*Main_Presentation[[#This Row],[Rate]]</f>
        <v>1105519.29</v>
      </c>
      <c r="T902" s="15">
        <v>45879</v>
      </c>
      <c r="U902" s="26" t="str">
        <f>VLOOKUP(Main_Presentation[[#This Row],[LC Number]],Main_Issuance[],18,0)</f>
        <v>90 Days from Invoice Date</v>
      </c>
      <c r="V902" s="17" t="s">
        <v>710</v>
      </c>
      <c r="W902" s="22" t="s">
        <v>857</v>
      </c>
      <c r="X902" s="16"/>
      <c r="Y902" s="234" t="str">
        <f>TRIM(LEFT(Main_Presentation[[#This Row],[Payment Terms]],3))</f>
        <v>90</v>
      </c>
      <c r="Z902" s="16"/>
      <c r="AA902" s="316" cm="1">
        <f t="array" ref="AA902">Settlement(Main_Presentation[[#This Row],[Bank]],Main_Presentation[[#This Row],[ Invoice Amt (SAR)]],Main_Presentation[[#This Row],[Date Recd]],Main_Presentation[[#This Row],[Due Date]],Main_Presentation[[#This Row],[Days]])</f>
        <v>4767.8999999999996</v>
      </c>
      <c r="AB902" s="16"/>
    </row>
    <row r="903" spans="1:28" ht="15.75" hidden="1" x14ac:dyDescent="0.25">
      <c r="A903" s="20" t="s">
        <v>1170</v>
      </c>
      <c r="B903" s="15">
        <v>45833</v>
      </c>
      <c r="C903" s="26">
        <v>1</v>
      </c>
      <c r="D903" s="55" t="str">
        <f>VLOOKUP(Main_Presentation[[#This Row],[LC Number]],Main_Issuance[],3,0)</f>
        <v>Hassan Taleb</v>
      </c>
      <c r="E903" s="16" t="s">
        <v>856</v>
      </c>
      <c r="F903" s="17" t="str">
        <f>VLOOKUP(Main_Presentation[[#This Row],[LC Number]],Main_Issuance[],5,0)</f>
        <v>SAB</v>
      </c>
      <c r="G903" s="17" t="str">
        <f>VLOOKUP(Main_Presentation[[#This Row],[LC Number]],Main_Issuance[],6,0)</f>
        <v>MP1</v>
      </c>
      <c r="H903" s="17" t="str">
        <f>VLOOKUP(Main_Presentation[[#This Row],[LC Number]],Main_Issuance[],17,0)</f>
        <v>Credit</v>
      </c>
      <c r="I903" s="17" t="str">
        <f>VLOOKUP(Main_Presentation[[#This Row],[LC Number]],Main_Issuance[],7,0)</f>
        <v>ALFANAR ELECTRICAL SYSTEMS.</v>
      </c>
      <c r="J903" s="17" t="str">
        <f>VLOOKUP(Main_Presentation[[#This Row],[LC Number]],Main_Issuance[],8,0)</f>
        <v>FIRST FIX</v>
      </c>
      <c r="K903" s="17" t="str">
        <f>VLOOKUP(Main_Presentation[[#This Row],[LC Number]],Main_Issuance[],9,0)</f>
        <v>MP1</v>
      </c>
      <c r="L903" s="17">
        <f>VLOOKUP(Main_Presentation[[#This Row],[LC Number]],Main_Issuance[],10,0)</f>
        <v>1020088</v>
      </c>
      <c r="M903" s="17" t="str">
        <f>VLOOKUP(Main_Presentation[[#This Row],[LC Number]],Main_Issuance[],11,0)</f>
        <v>SAR</v>
      </c>
      <c r="N903" s="84">
        <f>VLOOKUP(Main_Presentation[[#This Row],[LC Number]],Main_Issuance[],12,0)</f>
        <v>1095964</v>
      </c>
      <c r="O903" s="16" t="s">
        <v>20</v>
      </c>
      <c r="P903" s="16" t="s">
        <v>857</v>
      </c>
      <c r="Q903" s="131">
        <v>1095964</v>
      </c>
      <c r="R903" s="18">
        <v>1</v>
      </c>
      <c r="S903" s="18">
        <f>Main_Presentation[[#This Row],[Invoice Amt (FCY)]]*Main_Presentation[[#This Row],[Rate]]</f>
        <v>1095964</v>
      </c>
      <c r="T903" s="15">
        <v>45851</v>
      </c>
      <c r="U903" s="26" t="str">
        <f>VLOOKUP(Main_Presentation[[#This Row],[LC Number]],Main_Issuance[],18,0)</f>
        <v>60 Days from Invoice Date</v>
      </c>
      <c r="V903" s="17" t="s">
        <v>96</v>
      </c>
      <c r="W903" s="22" t="s">
        <v>378</v>
      </c>
      <c r="X903" s="16"/>
      <c r="Y903" s="234" t="str">
        <f>TRIM(LEFT(Main_Presentation[[#This Row],[Payment Terms]],3))</f>
        <v>60</v>
      </c>
      <c r="Z903" s="16"/>
      <c r="AA903" s="316" cm="1">
        <f t="array" ref="AA903">Settlement(Main_Presentation[[#This Row],[Bank]],Main_Presentation[[#This Row],[ Invoice Amt (SAR)]],Main_Presentation[[#This Row],[Date Recd]],Main_Presentation[[#This Row],[Due Date]],Main_Presentation[[#This Row],[Days]])</f>
        <v>4726.5</v>
      </c>
      <c r="AB903" s="16"/>
    </row>
    <row r="904" spans="1:28" ht="15.75" hidden="1" x14ac:dyDescent="0.25">
      <c r="A904" s="20" t="s">
        <v>733</v>
      </c>
      <c r="B904" s="15">
        <v>45837</v>
      </c>
      <c r="C904" s="26">
        <v>2</v>
      </c>
      <c r="D904" s="55" t="str">
        <f>VLOOKUP(Main_Presentation[[#This Row],[LC Number]],Main_Issuance[],3,0)</f>
        <v>Hassan Taleb</v>
      </c>
      <c r="E904" s="16" t="s">
        <v>856</v>
      </c>
      <c r="F904" s="17" t="str">
        <f>VLOOKUP(Main_Presentation[[#This Row],[LC Number]],Main_Issuance[],5,0)</f>
        <v>Jazira</v>
      </c>
      <c r="G904" s="17" t="str">
        <f>VLOOKUP(Main_Presentation[[#This Row],[LC Number]],Main_Issuance[],6,0)</f>
        <v>RCRC</v>
      </c>
      <c r="H904" s="17" t="str">
        <f>VLOOKUP(Main_Presentation[[#This Row],[LC Number]],Main_Issuance[],17,0)</f>
        <v>Credit</v>
      </c>
      <c r="I904" s="17" t="str">
        <f>VLOOKUP(Main_Presentation[[#This Row],[LC Number]],Main_Issuance[],7,0)</f>
        <v>ALFANAR ELECTRICAL SYSTEMS</v>
      </c>
      <c r="J904" s="17" t="str">
        <f>VLOOKUP(Main_Presentation[[#This Row],[LC Number]],Main_Issuance[],8,0)</f>
        <v>FIRST FIX</v>
      </c>
      <c r="K904" s="17" t="str">
        <f>VLOOKUP(Main_Presentation[[#This Row],[LC Number]],Main_Issuance[],9,0)</f>
        <v>RCRC</v>
      </c>
      <c r="L904" s="17">
        <f>VLOOKUP(Main_Presentation[[#This Row],[LC Number]],Main_Issuance[],10,0)</f>
        <v>1020106</v>
      </c>
      <c r="M904" s="17" t="str">
        <f>VLOOKUP(Main_Presentation[[#This Row],[LC Number]],Main_Issuance[],11,0)</f>
        <v>SAR</v>
      </c>
      <c r="N904" s="84">
        <f>VLOOKUP(Main_Presentation[[#This Row],[LC Number]],Main_Issuance[],12,0)</f>
        <v>8002636.4299999997</v>
      </c>
      <c r="O904" s="16" t="s">
        <v>20</v>
      </c>
      <c r="P904" s="16" t="s">
        <v>857</v>
      </c>
      <c r="Q904" s="131">
        <v>256677.93</v>
      </c>
      <c r="R904" s="18">
        <v>1</v>
      </c>
      <c r="S904" s="18">
        <f>Main_Presentation[[#This Row],[Invoice Amt (FCY)]]*Main_Presentation[[#This Row],[Rate]]</f>
        <v>256677.93</v>
      </c>
      <c r="T904" s="15">
        <v>45858</v>
      </c>
      <c r="U904" s="26" t="str">
        <f>VLOOKUP(Main_Presentation[[#This Row],[LC Number]],Main_Issuance[],18,0)</f>
        <v>90 Days from Invoice Date</v>
      </c>
      <c r="V904" s="17" t="s">
        <v>613</v>
      </c>
      <c r="W904" s="22" t="s">
        <v>857</v>
      </c>
      <c r="X904" s="16"/>
      <c r="Y904" s="234" t="str">
        <f>TRIM(LEFT(Main_Presentation[[#This Row],[Payment Terms]],3))</f>
        <v>90</v>
      </c>
      <c r="Z904" s="16"/>
      <c r="AA904" s="316" cm="1">
        <f t="array" ref="AA904">Settlement(Main_Presentation[[#This Row],[Bank]],Main_Presentation[[#This Row],[ Invoice Amt (SAR)]],Main_Presentation[[#This Row],[Date Recd]],Main_Presentation[[#This Row],[Due Date]],Main_Presentation[[#This Row],[Days]])</f>
        <v>977.5</v>
      </c>
      <c r="AB904" s="16"/>
    </row>
    <row r="905" spans="1:28" ht="15.75" hidden="1" x14ac:dyDescent="0.25">
      <c r="A905" s="20" t="s">
        <v>672</v>
      </c>
      <c r="B905" s="15">
        <v>45812</v>
      </c>
      <c r="C905" s="26">
        <v>31</v>
      </c>
      <c r="D905" s="55" t="str">
        <f>VLOOKUP(Main_Presentation[[#This Row],[LC Number]],Main_Issuance[],3,0)</f>
        <v>Tareeq Telmasani</v>
      </c>
      <c r="E905" s="16" t="s">
        <v>856</v>
      </c>
      <c r="F905" s="17" t="str">
        <f>VLOOKUP(Main_Presentation[[#This Row],[LC Number]],Main_Issuance[],5,0)</f>
        <v>SAB</v>
      </c>
      <c r="G905" s="17" t="str">
        <f>VLOOKUP(Main_Presentation[[#This Row],[LC Number]],Main_Issuance[],6,0)</f>
        <v>CEER</v>
      </c>
      <c r="H905" s="17" t="str">
        <f>VLOOKUP(Main_Presentation[[#This Row],[LC Number]],Main_Issuance[],17,0)</f>
        <v>Credit</v>
      </c>
      <c r="I905" s="17" t="str">
        <f>VLOOKUP(Main_Presentation[[#This Row],[LC Number]],Main_Issuance[],7,0)</f>
        <v>Roof Metal Ind LLC</v>
      </c>
      <c r="J905" s="17" t="str">
        <f>VLOOKUP(Main_Presentation[[#This Row],[LC Number]],Main_Issuance[],8,0)</f>
        <v>MBL</v>
      </c>
      <c r="K905" s="17" t="str">
        <f>VLOOKUP(Main_Presentation[[#This Row],[LC Number]],Main_Issuance[],9,0)</f>
        <v>CEER</v>
      </c>
      <c r="L905" s="17">
        <f>VLOOKUP(Main_Presentation[[#This Row],[LC Number]],Main_Issuance[],10,0)</f>
        <v>1020091</v>
      </c>
      <c r="M905" s="17" t="str">
        <f>VLOOKUP(Main_Presentation[[#This Row],[LC Number]],Main_Issuance[],11,0)</f>
        <v>AED</v>
      </c>
      <c r="N905" s="84">
        <f>VLOOKUP(Main_Presentation[[#This Row],[LC Number]],Main_Issuance[],12,0)</f>
        <v>12740122</v>
      </c>
      <c r="O905" s="16" t="s">
        <v>20</v>
      </c>
      <c r="P905" s="16" t="s">
        <v>857</v>
      </c>
      <c r="Q905" s="131">
        <v>125254.86</v>
      </c>
      <c r="R905" s="18">
        <v>1.0261</v>
      </c>
      <c r="S905" s="18">
        <f>Main_Presentation[[#This Row],[Invoice Amt (FCY)]]*Main_Presentation[[#This Row],[Rate]]</f>
        <v>128524.01184600001</v>
      </c>
      <c r="T905" s="15">
        <v>45819</v>
      </c>
      <c r="U905" s="26" t="str">
        <f>VLOOKUP(Main_Presentation[[#This Row],[LC Number]],Main_Issuance[],18,0)</f>
        <v>Sight</v>
      </c>
      <c r="V905" s="17" t="s">
        <v>367</v>
      </c>
      <c r="W905" s="22" t="s">
        <v>857</v>
      </c>
      <c r="X905" s="16"/>
      <c r="Y905" s="234" t="str">
        <f>TRIM(LEFT(Main_Presentation[[#This Row],[Payment Terms]],3))</f>
        <v>Sig</v>
      </c>
      <c r="Z905" s="16"/>
      <c r="AA905" s="316" t="e" cm="1">
        <f t="array" ref="AA905">Settlement(Main_Presentation[[#This Row],[Bank]],Main_Presentation[[#This Row],[ Invoice Amt (SAR)]],Main_Presentation[[#This Row],[Date Recd]],Main_Presentation[[#This Row],[Due Date]],Main_Presentation[[#This Row],[Days]])</f>
        <v>#VALUE!</v>
      </c>
      <c r="AB905" s="16"/>
    </row>
    <row r="906" spans="1:28" ht="15.75" hidden="1" x14ac:dyDescent="0.25">
      <c r="A906" s="20" t="s">
        <v>700</v>
      </c>
      <c r="B906" s="15">
        <v>45826</v>
      </c>
      <c r="C906" s="26">
        <v>1</v>
      </c>
      <c r="D906" s="55" t="str">
        <f>VLOOKUP(Main_Presentation[[#This Row],[LC Number]],Main_Issuance[],3,0)</f>
        <v>Tareeq Telmasani</v>
      </c>
      <c r="E906" s="16" t="s">
        <v>858</v>
      </c>
      <c r="F906" s="17" t="str">
        <f>VLOOKUP(Main_Presentation[[#This Row],[LC Number]],Main_Issuance[],5,0)</f>
        <v>SAB</v>
      </c>
      <c r="G906" s="17" t="str">
        <f>VLOOKUP(Main_Presentation[[#This Row],[LC Number]],Main_Issuance[],6,0)</f>
        <v>CEER</v>
      </c>
      <c r="H906" s="17" t="str">
        <f>VLOOKUP(Main_Presentation[[#This Row],[LC Number]],Main_Issuance[],17,0)</f>
        <v>Credit</v>
      </c>
      <c r="I906" s="17" t="str">
        <f>VLOOKUP(Main_Presentation[[#This Row],[LC Number]],Main_Issuance[],7,0)</f>
        <v>MATERIALS SYSTEMS AND INDUSTRIAL SOLUTIONS COMPANY</v>
      </c>
      <c r="J906" s="17" t="str">
        <f>VLOOKUP(Main_Presentation[[#This Row],[LC Number]],Main_Issuance[],8,0)</f>
        <v>MBL</v>
      </c>
      <c r="K906" s="17" t="str">
        <f>VLOOKUP(Main_Presentation[[#This Row],[LC Number]],Main_Issuance[],9,0)</f>
        <v>CEER</v>
      </c>
      <c r="L906" s="17">
        <f>VLOOKUP(Main_Presentation[[#This Row],[LC Number]],Main_Issuance[],10,0)</f>
        <v>1020091</v>
      </c>
      <c r="M906" s="17" t="str">
        <f>VLOOKUP(Main_Presentation[[#This Row],[LC Number]],Main_Issuance[],11,0)</f>
        <v>SAR</v>
      </c>
      <c r="N906" s="84">
        <f>VLOOKUP(Main_Presentation[[#This Row],[LC Number]],Main_Issuance[],12,0)</f>
        <v>4859479.5600000005</v>
      </c>
      <c r="O906" s="16" t="s">
        <v>20</v>
      </c>
      <c r="P906" s="16" t="s">
        <v>857</v>
      </c>
      <c r="Q906" s="131">
        <v>622796.43000000005</v>
      </c>
      <c r="R906" s="18">
        <v>1</v>
      </c>
      <c r="S906" s="18">
        <f>Main_Presentation[[#This Row],[Invoice Amt (FCY)]]*Main_Presentation[[#This Row],[Rate]]</f>
        <v>622796.43000000005</v>
      </c>
      <c r="T906" s="15">
        <v>45873</v>
      </c>
      <c r="U906" s="26" t="str">
        <f>VLOOKUP(Main_Presentation[[#This Row],[LC Number]],Main_Issuance[],18,0)</f>
        <v>90 Days from Invoice Date</v>
      </c>
      <c r="V906" s="17" t="s">
        <v>367</v>
      </c>
      <c r="W906" s="22" t="s">
        <v>857</v>
      </c>
      <c r="X906" s="16"/>
      <c r="Y906" s="234" t="str">
        <f>TRIM(LEFT(Main_Presentation[[#This Row],[Payment Terms]],3))</f>
        <v>90</v>
      </c>
      <c r="Z906" s="16"/>
      <c r="AA906" s="316" cm="1">
        <f t="array" ref="AA906">Settlement(Main_Presentation[[#This Row],[Bank]],Main_Presentation[[#This Row],[ Invoice Amt (SAR)]],Main_Presentation[[#This Row],[Date Recd]],Main_Presentation[[#This Row],[Due Date]],Main_Presentation[[#This Row],[Days]])</f>
        <v>2685.25</v>
      </c>
      <c r="AB906" s="16"/>
    </row>
    <row r="907" spans="1:28" ht="15.75" hidden="1" x14ac:dyDescent="0.25">
      <c r="A907" s="20" t="s">
        <v>739</v>
      </c>
      <c r="B907" s="15">
        <v>45823</v>
      </c>
      <c r="C907" s="26">
        <v>2</v>
      </c>
      <c r="D907" s="55" t="str">
        <f>VLOOKUP(Main_Presentation[[#This Row],[LC Number]],Main_Issuance[],3,0)</f>
        <v>Rabih Makhoul</v>
      </c>
      <c r="E907" s="16" t="s">
        <v>858</v>
      </c>
      <c r="F907" s="17" t="str">
        <f>VLOOKUP(Main_Presentation[[#This Row],[LC Number]],Main_Issuance[],5,0)</f>
        <v>BAB</v>
      </c>
      <c r="G907" s="17" t="str">
        <f>VLOOKUP(Main_Presentation[[#This Row],[LC Number]],Main_Issuance[],6,0)</f>
        <v>Multipurpose</v>
      </c>
      <c r="H907" s="17" t="str">
        <f>VLOOKUP(Main_Presentation[[#This Row],[LC Number]],Main_Issuance[],17,0)</f>
        <v>Credit</v>
      </c>
      <c r="I907" s="17" t="str">
        <f>VLOOKUP(Main_Presentation[[#This Row],[LC Number]],Main_Issuance[],7,0)</f>
        <v>TABUK STEEL COMPANY</v>
      </c>
      <c r="J907" s="17" t="str">
        <f>VLOOKUP(Main_Presentation[[#This Row],[LC Number]],Main_Issuance[],8,0)</f>
        <v>MBL</v>
      </c>
      <c r="K907" s="17" t="str">
        <f>VLOOKUP(Main_Presentation[[#This Row],[LC Number]],Main_Issuance[],9,0)</f>
        <v>Neom - The Line</v>
      </c>
      <c r="L907" s="17">
        <f>VLOOKUP(Main_Presentation[[#This Row],[LC Number]],Main_Issuance[],10,0)</f>
        <v>1020098</v>
      </c>
      <c r="M907" s="17" t="str">
        <f>VLOOKUP(Main_Presentation[[#This Row],[LC Number]],Main_Issuance[],11,0)</f>
        <v>SAR</v>
      </c>
      <c r="N907" s="84">
        <f>VLOOKUP(Main_Presentation[[#This Row],[LC Number]],Main_Issuance[],12,0)</f>
        <v>7566370.25</v>
      </c>
      <c r="O907" s="16" t="s">
        <v>20</v>
      </c>
      <c r="P907" s="16" t="s">
        <v>857</v>
      </c>
      <c r="Q907" s="131">
        <v>3746690.83</v>
      </c>
      <c r="R907" s="18">
        <v>1</v>
      </c>
      <c r="S907" s="18">
        <f>Main_Presentation[[#This Row],[Invoice Amt (FCY)]]*Main_Presentation[[#This Row],[Rate]]</f>
        <v>3746690.83</v>
      </c>
      <c r="T907" s="15">
        <v>45827</v>
      </c>
      <c r="U907" s="26" t="str">
        <f>VLOOKUP(Main_Presentation[[#This Row],[LC Number]],Main_Issuance[],18,0)</f>
        <v>30 Days from Invoice Date</v>
      </c>
      <c r="V907" s="17" t="s">
        <v>304</v>
      </c>
      <c r="W907" s="22" t="s">
        <v>857</v>
      </c>
      <c r="X907" s="16"/>
      <c r="Y907" s="234" t="str">
        <f>TRIM(LEFT(Main_Presentation[[#This Row],[Payment Terms]],3))</f>
        <v>30</v>
      </c>
      <c r="Z907" s="16"/>
      <c r="AA907" s="316" cm="1">
        <f t="array" ref="AA907">Settlement(Main_Presentation[[#This Row],[Bank]],Main_Presentation[[#This Row],[ Invoice Amt (SAR)]],Main_Presentation[[#This Row],[Date Recd]],Main_Presentation[[#This Row],[Due Date]],Main_Presentation[[#This Row],[Days]])</f>
        <v>0</v>
      </c>
      <c r="AB907" s="16"/>
    </row>
    <row r="908" spans="1:28" ht="15.75" hidden="1" x14ac:dyDescent="0.25">
      <c r="A908" s="20" t="s">
        <v>1370</v>
      </c>
      <c r="B908" s="15">
        <v>45839</v>
      </c>
      <c r="C908" s="26">
        <v>1</v>
      </c>
      <c r="D908" s="55" t="str">
        <f>VLOOKUP(Main_Presentation[[#This Row],[LC Number]],Main_Issuance[],3,0)</f>
        <v>Kotb - Morganti</v>
      </c>
      <c r="E908" s="16" t="s">
        <v>858</v>
      </c>
      <c r="F908" s="17" t="str">
        <f>VLOOKUP(Main_Presentation[[#This Row],[LC Number]],Main_Issuance[],5,0)</f>
        <v>SAB</v>
      </c>
      <c r="G908" s="17" t="str">
        <f>VLOOKUP(Main_Presentation[[#This Row],[LC Number]],Main_Issuance[],6,0)</f>
        <v>MP1</v>
      </c>
      <c r="H908" s="17" t="str">
        <f>VLOOKUP(Main_Presentation[[#This Row],[LC Number]],Main_Issuance[],17,0)</f>
        <v>Credit</v>
      </c>
      <c r="I908" s="17" t="str">
        <f>VLOOKUP(Main_Presentation[[#This Row],[LC Number]],Main_Issuance[],7,0)</f>
        <v>Innovative Contractors for Advanced Dimension (ICAD)</v>
      </c>
      <c r="J908" s="17" t="str">
        <f>VLOOKUP(Main_Presentation[[#This Row],[LC Number]],Main_Issuance[],8,0)</f>
        <v>MBL/Morganti</v>
      </c>
      <c r="K908" s="17" t="str">
        <f>VLOOKUP(Main_Presentation[[#This Row],[LC Number]],Main_Issuance[],9,0)</f>
        <v>ABHA</v>
      </c>
      <c r="L908" s="17">
        <f>VLOOKUP(Main_Presentation[[#This Row],[LC Number]],Main_Issuance[],10,0)</f>
        <v>1020070</v>
      </c>
      <c r="M908" s="17" t="str">
        <f>VLOOKUP(Main_Presentation[[#This Row],[LC Number]],Main_Issuance[],11,0)</f>
        <v>SAR</v>
      </c>
      <c r="N908" s="84">
        <f>VLOOKUP(Main_Presentation[[#This Row],[LC Number]],Main_Issuance[],12,0)</f>
        <v>3000000</v>
      </c>
      <c r="O908" s="16" t="s">
        <v>20</v>
      </c>
      <c r="P908" s="16" t="s">
        <v>857</v>
      </c>
      <c r="Q908" s="131">
        <v>3000000</v>
      </c>
      <c r="R908" s="18">
        <v>1</v>
      </c>
      <c r="S908" s="18">
        <f>Main_Presentation[[#This Row],[Invoice Amt (FCY)]]*Main_Presentation[[#This Row],[Rate]]</f>
        <v>3000000</v>
      </c>
      <c r="T908" s="15">
        <v>45924</v>
      </c>
      <c r="U908" s="26" t="str">
        <f>VLOOKUP(Main_Presentation[[#This Row],[LC Number]],Main_Issuance[],18,0)</f>
        <v>120 Days from Invoice Date</v>
      </c>
      <c r="V908" s="17" t="s">
        <v>377</v>
      </c>
      <c r="W908" s="22" t="s">
        <v>857</v>
      </c>
      <c r="X908" s="16"/>
      <c r="Y908" s="234" t="str">
        <f>TRIM(LEFT(Main_Presentation[[#This Row],[Payment Terms]],3))</f>
        <v>120</v>
      </c>
      <c r="Z908" s="16"/>
      <c r="AA908" s="316" cm="1">
        <f t="array" ref="AA908">Settlement(Main_Presentation[[#This Row],[Bank]],Main_Presentation[[#This Row],[ Invoice Amt (SAR)]],Main_Presentation[[#This Row],[Date Recd]],Main_Presentation[[#This Row],[Due Date]],Main_Presentation[[#This Row],[Days]])</f>
        <v>12937.5</v>
      </c>
      <c r="AB908" s="16"/>
    </row>
    <row r="909" spans="1:28" ht="15.75" hidden="1" x14ac:dyDescent="0.25">
      <c r="A909" s="20" t="s">
        <v>730</v>
      </c>
      <c r="B909" s="15">
        <v>45825</v>
      </c>
      <c r="C909" s="26">
        <v>3</v>
      </c>
      <c r="D909" s="55" t="str">
        <f>VLOOKUP(Main_Presentation[[#This Row],[LC Number]],Main_Issuance[],3,0)</f>
        <v>Rabih Makhoul</v>
      </c>
      <c r="E909" s="16" t="s">
        <v>858</v>
      </c>
      <c r="F909" s="17" t="str">
        <f>VLOOKUP(Main_Presentation[[#This Row],[LC Number]],Main_Issuance[],5,0)</f>
        <v>BAB</v>
      </c>
      <c r="G909" s="17" t="str">
        <f>VLOOKUP(Main_Presentation[[#This Row],[LC Number]],Main_Issuance[],6,0)</f>
        <v>Oceanarium</v>
      </c>
      <c r="H909" s="17" t="str">
        <f>VLOOKUP(Main_Presentation[[#This Row],[LC Number]],Main_Issuance[],17,0)</f>
        <v>Credit</v>
      </c>
      <c r="I909" s="17" t="str">
        <f>VLOOKUP(Main_Presentation[[#This Row],[LC Number]],Main_Issuance[],7,0)</f>
        <v>Soliman Saleh Al Mohileb And Sons Holding Company (Closed Joint)</v>
      </c>
      <c r="J909" s="17" t="str">
        <f>VLOOKUP(Main_Presentation[[#This Row],[LC Number]],Main_Issuance[],8,0)</f>
        <v>MBL</v>
      </c>
      <c r="K909" s="17" t="str">
        <f>VLOOKUP(Main_Presentation[[#This Row],[LC Number]],Main_Issuance[],9,0)</f>
        <v>Neom - The Line</v>
      </c>
      <c r="L909" s="17">
        <f>VLOOKUP(Main_Presentation[[#This Row],[LC Number]],Main_Issuance[],10,0)</f>
        <v>1020098</v>
      </c>
      <c r="M909" s="17" t="str">
        <f>VLOOKUP(Main_Presentation[[#This Row],[LC Number]],Main_Issuance[],11,0)</f>
        <v>SAR</v>
      </c>
      <c r="N909" s="84">
        <f>VLOOKUP(Main_Presentation[[#This Row],[LC Number]],Main_Issuance[],12,0)</f>
        <v>30000000</v>
      </c>
      <c r="O909" s="16" t="s">
        <v>20</v>
      </c>
      <c r="P909" s="16" t="s">
        <v>857</v>
      </c>
      <c r="Q909" s="131">
        <v>4109605.5</v>
      </c>
      <c r="R909" s="18">
        <v>1</v>
      </c>
      <c r="S909" s="18">
        <f>Main_Presentation[[#This Row],[Invoice Amt (FCY)]]*Main_Presentation[[#This Row],[Rate]]</f>
        <v>4109605.5</v>
      </c>
      <c r="T909" s="15">
        <v>45832</v>
      </c>
      <c r="U909" s="26" t="str">
        <f>VLOOKUP(Main_Presentation[[#This Row],[LC Number]],Main_Issuance[],18,0)</f>
        <v>30 Days from Invoice Date</v>
      </c>
      <c r="V909" s="17" t="s">
        <v>304</v>
      </c>
      <c r="W909" s="22" t="s">
        <v>857</v>
      </c>
      <c r="X909" s="16"/>
      <c r="Y909" s="234" t="str">
        <f>TRIM(LEFT(Main_Presentation[[#This Row],[Payment Terms]],3))</f>
        <v>30</v>
      </c>
      <c r="Z909" s="16"/>
      <c r="AA909" s="316" cm="1">
        <f t="array" ref="AA909">Settlement(Main_Presentation[[#This Row],[Bank]],Main_Presentation[[#This Row],[ Invoice Amt (SAR)]],Main_Presentation[[#This Row],[Date Recd]],Main_Presentation[[#This Row],[Due Date]],Main_Presentation[[#This Row],[Days]])</f>
        <v>0</v>
      </c>
      <c r="AB909" s="16"/>
    </row>
    <row r="910" spans="1:28" ht="15.75" hidden="1" x14ac:dyDescent="0.25">
      <c r="A910" s="20" t="s">
        <v>730</v>
      </c>
      <c r="B910" s="15">
        <v>45825</v>
      </c>
      <c r="C910" s="26">
        <v>2</v>
      </c>
      <c r="D910" s="55" t="str">
        <f>VLOOKUP(Main_Presentation[[#This Row],[LC Number]],Main_Issuance[],3,0)</f>
        <v>Rabih Makhoul</v>
      </c>
      <c r="E910" s="16" t="s">
        <v>858</v>
      </c>
      <c r="F910" s="17" t="str">
        <f>VLOOKUP(Main_Presentation[[#This Row],[LC Number]],Main_Issuance[],5,0)</f>
        <v>BAB</v>
      </c>
      <c r="G910" s="17" t="str">
        <f>VLOOKUP(Main_Presentation[[#This Row],[LC Number]],Main_Issuance[],6,0)</f>
        <v>Oceanarium</v>
      </c>
      <c r="H910" s="17" t="str">
        <f>VLOOKUP(Main_Presentation[[#This Row],[LC Number]],Main_Issuance[],17,0)</f>
        <v>Credit</v>
      </c>
      <c r="I910" s="17" t="str">
        <f>VLOOKUP(Main_Presentation[[#This Row],[LC Number]],Main_Issuance[],7,0)</f>
        <v>Soliman Saleh Al Mohileb And Sons Holding Company (Closed Joint)</v>
      </c>
      <c r="J910" s="17" t="str">
        <f>VLOOKUP(Main_Presentation[[#This Row],[LC Number]],Main_Issuance[],8,0)</f>
        <v>MBL</v>
      </c>
      <c r="K910" s="17" t="str">
        <f>VLOOKUP(Main_Presentation[[#This Row],[LC Number]],Main_Issuance[],9,0)</f>
        <v>Neom - The Line</v>
      </c>
      <c r="L910" s="17">
        <f>VLOOKUP(Main_Presentation[[#This Row],[LC Number]],Main_Issuance[],10,0)</f>
        <v>1020098</v>
      </c>
      <c r="M910" s="17" t="str">
        <f>VLOOKUP(Main_Presentation[[#This Row],[LC Number]],Main_Issuance[],11,0)</f>
        <v>SAR</v>
      </c>
      <c r="N910" s="84">
        <f>VLOOKUP(Main_Presentation[[#This Row],[LC Number]],Main_Issuance[],12,0)</f>
        <v>30000000</v>
      </c>
      <c r="O910" s="16" t="s">
        <v>20</v>
      </c>
      <c r="P910" s="16" t="s">
        <v>857</v>
      </c>
      <c r="Q910" s="131">
        <v>5890394.5</v>
      </c>
      <c r="R910" s="18">
        <v>1</v>
      </c>
      <c r="S910" s="18">
        <f>Main_Presentation[[#This Row],[Invoice Amt (FCY)]]*Main_Presentation[[#This Row],[Rate]]</f>
        <v>5890394.5</v>
      </c>
      <c r="T910" s="15">
        <v>45832</v>
      </c>
      <c r="U910" s="26" t="str">
        <f>VLOOKUP(Main_Presentation[[#This Row],[LC Number]],Main_Issuance[],18,0)</f>
        <v>30 Days from Invoice Date</v>
      </c>
      <c r="V910" s="17" t="s">
        <v>304</v>
      </c>
      <c r="W910" s="22" t="s">
        <v>857</v>
      </c>
      <c r="X910" s="16" t="s">
        <v>1505</v>
      </c>
      <c r="Y910" s="234" t="str">
        <f>TRIM(LEFT(Main_Presentation[[#This Row],[Payment Terms]],3))</f>
        <v>30</v>
      </c>
      <c r="Z910" s="16"/>
      <c r="AA910" s="316" cm="1">
        <f t="array" ref="AA910">Settlement(Main_Presentation[[#This Row],[Bank]],Main_Presentation[[#This Row],[ Invoice Amt (SAR)]],Main_Presentation[[#This Row],[Date Recd]],Main_Presentation[[#This Row],[Due Date]],Main_Presentation[[#This Row],[Days]])</f>
        <v>0</v>
      </c>
      <c r="AB910" s="16"/>
    </row>
    <row r="911" spans="1:28" ht="15.75" hidden="1" x14ac:dyDescent="0.25">
      <c r="A911" s="20" t="s">
        <v>1422</v>
      </c>
      <c r="B911" s="15">
        <v>45830</v>
      </c>
      <c r="C911" s="26">
        <v>1</v>
      </c>
      <c r="D911" s="55" t="str">
        <f>VLOOKUP(Main_Presentation[[#This Row],[LC Number]],Main_Issuance[],3,0)</f>
        <v>Hassan Taleb</v>
      </c>
      <c r="E911" s="16" t="s">
        <v>856</v>
      </c>
      <c r="F911" s="17" t="str">
        <f>VLOOKUP(Main_Presentation[[#This Row],[LC Number]],Main_Issuance[],5,0)</f>
        <v>SNB</v>
      </c>
      <c r="G911" s="17" t="str">
        <f>VLOOKUP(Main_Presentation[[#This Row],[LC Number]],Main_Issuance[],6,0)</f>
        <v>Opera House</v>
      </c>
      <c r="H911" s="17" t="str">
        <f>VLOOKUP(Main_Presentation[[#This Row],[LC Number]],Main_Issuance[],17,0)</f>
        <v>Credit</v>
      </c>
      <c r="I911" s="17" t="str">
        <f>VLOOKUP(Main_Presentation[[#This Row],[LC Number]],Main_Issuance[],7,0)</f>
        <v>DEPTH MODERN TECHNOLOGIES CO.</v>
      </c>
      <c r="J911" s="17" t="str">
        <f>VLOOKUP(Main_Presentation[[#This Row],[LC Number]],Main_Issuance[],8,0)</f>
        <v>FIRST FIX</v>
      </c>
      <c r="K911" s="17" t="str">
        <f>VLOOKUP(Main_Presentation[[#This Row],[LC Number]],Main_Issuance[],9,0)</f>
        <v>KSP</v>
      </c>
      <c r="L911" s="17">
        <f>VLOOKUP(Main_Presentation[[#This Row],[LC Number]],Main_Issuance[],10,0)</f>
        <v>1020055</v>
      </c>
      <c r="M911" s="17" t="str">
        <f>VLOOKUP(Main_Presentation[[#This Row],[LC Number]],Main_Issuance[],11,0)</f>
        <v>SAR</v>
      </c>
      <c r="N911" s="84">
        <f>VLOOKUP(Main_Presentation[[#This Row],[LC Number]],Main_Issuance[],12,0)</f>
        <v>2000000</v>
      </c>
      <c r="O911" s="16" t="s">
        <v>20</v>
      </c>
      <c r="P911" s="16" t="s">
        <v>378</v>
      </c>
      <c r="Q911" s="131">
        <v>2000000</v>
      </c>
      <c r="R911" s="18">
        <v>1</v>
      </c>
      <c r="S911" s="18">
        <f>Main_Presentation[[#This Row],[Invoice Amt (FCY)]]*Main_Presentation[[#This Row],[Rate]]</f>
        <v>2000000</v>
      </c>
      <c r="T911" s="15">
        <v>45930</v>
      </c>
      <c r="U911" s="26" t="str">
        <f>VLOOKUP(Main_Presentation[[#This Row],[LC Number]],Main_Issuance[],18,0)</f>
        <v>120 Days from Invoice Date</v>
      </c>
      <c r="V911" s="17" t="s">
        <v>22</v>
      </c>
      <c r="W911" s="22" t="s">
        <v>857</v>
      </c>
      <c r="X911" s="16"/>
      <c r="Y911" s="234" t="str">
        <f>TRIM(LEFT(Main_Presentation[[#This Row],[Payment Terms]],3))</f>
        <v>120</v>
      </c>
      <c r="Z911" s="16"/>
      <c r="AA911" s="316" cm="1">
        <f t="array" ref="AA911">Settlement(Main_Presentation[[#This Row],[Bank]],Main_Presentation[[#This Row],[ Invoice Amt (SAR)]],Main_Presentation[[#This Row],[Date Recd]],Main_Presentation[[#This Row],[Due Date]],Main_Presentation[[#This Row],[Days]])</f>
        <v>14415.25</v>
      </c>
      <c r="AB911" s="16"/>
    </row>
    <row r="912" spans="1:28" ht="15.75" hidden="1" x14ac:dyDescent="0.25">
      <c r="A912" s="20" t="s">
        <v>1129</v>
      </c>
      <c r="B912" s="15">
        <v>45824</v>
      </c>
      <c r="C912" s="26">
        <v>1</v>
      </c>
      <c r="D912" s="55" t="str">
        <f>VLOOKUP(Main_Presentation[[#This Row],[LC Number]],Main_Issuance[],3,0)</f>
        <v>Tareeq - Premium</v>
      </c>
      <c r="E912" s="16" t="s">
        <v>858</v>
      </c>
      <c r="F912" s="17" t="str">
        <f>VLOOKUP(Main_Presentation[[#This Row],[LC Number]],Main_Issuance[],5,0)</f>
        <v>SAB</v>
      </c>
      <c r="G912" s="17" t="str">
        <f>VLOOKUP(Main_Presentation[[#This Row],[LC Number]],Main_Issuance[],6,0)</f>
        <v>CEER</v>
      </c>
      <c r="H912" s="17" t="str">
        <f>VLOOKUP(Main_Presentation[[#This Row],[LC Number]],Main_Issuance[],17,0)</f>
        <v>Credit</v>
      </c>
      <c r="I912" s="17" t="str">
        <f>VLOOKUP(Main_Presentation[[#This Row],[LC Number]],Main_Issuance[],7,0)</f>
        <v>ISAM MUAMMED KHAIRI KABBANI GLASS (IKK Glass)</v>
      </c>
      <c r="J912" s="17" t="str">
        <f>VLOOKUP(Main_Presentation[[#This Row],[LC Number]],Main_Issuance[],8,0)</f>
        <v>MBL/Premium</v>
      </c>
      <c r="K912" s="17" t="str">
        <f>VLOOKUP(Main_Presentation[[#This Row],[LC Number]],Main_Issuance[],9,0)</f>
        <v>CEER</v>
      </c>
      <c r="L912" s="17">
        <f>VLOOKUP(Main_Presentation[[#This Row],[LC Number]],Main_Issuance[],10,0)</f>
        <v>1020091</v>
      </c>
      <c r="M912" s="17" t="str">
        <f>VLOOKUP(Main_Presentation[[#This Row],[LC Number]],Main_Issuance[],11,0)</f>
        <v>SAR</v>
      </c>
      <c r="N912" s="84">
        <f>VLOOKUP(Main_Presentation[[#This Row],[LC Number]],Main_Issuance[],12,0)</f>
        <v>3500000</v>
      </c>
      <c r="O912" s="16" t="s">
        <v>20</v>
      </c>
      <c r="P912" s="16" t="s">
        <v>857</v>
      </c>
      <c r="Q912" s="131">
        <v>700000</v>
      </c>
      <c r="R912" s="18">
        <v>1</v>
      </c>
      <c r="S912" s="18">
        <f>Main_Presentation[[#This Row],[Invoice Amt (FCY)]]*Main_Presentation[[#This Row],[Rate]]</f>
        <v>700000</v>
      </c>
      <c r="T912" s="15">
        <v>45837</v>
      </c>
      <c r="U912" s="26" t="str">
        <f>VLOOKUP(Main_Presentation[[#This Row],[LC Number]],Main_Issuance[],18,0)</f>
        <v>30 Days from Invoice Date</v>
      </c>
      <c r="V912" s="17" t="s">
        <v>367</v>
      </c>
      <c r="W912" s="22" t="s">
        <v>857</v>
      </c>
      <c r="X912" s="16"/>
      <c r="Y912" s="234" t="str">
        <f>TRIM(LEFT(Main_Presentation[[#This Row],[Payment Terms]],3))</f>
        <v>30</v>
      </c>
      <c r="Z912" s="16"/>
      <c r="AA912" s="316" cm="1">
        <f t="array" ref="AA912">Settlement(Main_Presentation[[#This Row],[Bank]],Main_Presentation[[#This Row],[ Invoice Amt (SAR)]],Main_Presentation[[#This Row],[Date Recd]],Main_Presentation[[#This Row],[Due Date]],Main_Presentation[[#This Row],[Days]])</f>
        <v>3018.75</v>
      </c>
      <c r="AB912" s="16"/>
    </row>
    <row r="913" spans="1:28" ht="15.75" hidden="1" x14ac:dyDescent="0.25">
      <c r="A913" s="20" t="s">
        <v>1290</v>
      </c>
      <c r="B913" s="15">
        <v>45846</v>
      </c>
      <c r="C913" s="26">
        <v>1</v>
      </c>
      <c r="D913" s="55" t="str">
        <f>VLOOKUP(Main_Presentation[[#This Row],[LC Number]],Main_Issuance[],3,0)</f>
        <v>Hassan Taleb</v>
      </c>
      <c r="E913" s="16" t="s">
        <v>858</v>
      </c>
      <c r="F913" s="17" t="str">
        <f>VLOOKUP(Main_Presentation[[#This Row],[LC Number]],Main_Issuance[],5,0)</f>
        <v>BAB</v>
      </c>
      <c r="G913" s="17" t="str">
        <f>VLOOKUP(Main_Presentation[[#This Row],[LC Number]],Main_Issuance[],6,0)</f>
        <v>Cash</v>
      </c>
      <c r="H913" s="17" t="str">
        <f>VLOOKUP(Main_Presentation[[#This Row],[LC Number]],Main_Issuance[],17,0)</f>
        <v>Cash</v>
      </c>
      <c r="I913" s="17" t="str">
        <f>VLOOKUP(Main_Presentation[[#This Row],[LC Number]],Main_Issuance[],7,0)</f>
        <v>IDEAL CALIBER COMPANY</v>
      </c>
      <c r="J913" s="17" t="str">
        <f>VLOOKUP(Main_Presentation[[#This Row],[LC Number]],Main_Issuance[],8,0)</f>
        <v>FIRST FIX</v>
      </c>
      <c r="K913" s="17" t="str">
        <f>VLOOKUP(Main_Presentation[[#This Row],[LC Number]],Main_Issuance[],9,0)</f>
        <v>JCD SPMI</v>
      </c>
      <c r="L913" s="17">
        <f>VLOOKUP(Main_Presentation[[#This Row],[LC Number]],Main_Issuance[],10,0)</f>
        <v>1020100</v>
      </c>
      <c r="M913" s="17" t="str">
        <f>VLOOKUP(Main_Presentation[[#This Row],[LC Number]],Main_Issuance[],11,0)</f>
        <v>SAR</v>
      </c>
      <c r="N913" s="84">
        <f>VLOOKUP(Main_Presentation[[#This Row],[LC Number]],Main_Issuance[],12,0)</f>
        <v>200000</v>
      </c>
      <c r="O913" s="16" t="s">
        <v>20</v>
      </c>
      <c r="P913" s="16" t="s">
        <v>857</v>
      </c>
      <c r="Q913" s="131">
        <v>200000</v>
      </c>
      <c r="R913" s="18">
        <v>1</v>
      </c>
      <c r="S913" s="18">
        <f>Main_Presentation[[#This Row],[Invoice Amt (FCY)]]*Main_Presentation[[#This Row],[Rate]]</f>
        <v>200000</v>
      </c>
      <c r="T913" s="15">
        <v>45917</v>
      </c>
      <c r="U913" s="26" t="str">
        <f>VLOOKUP(Main_Presentation[[#This Row],[LC Number]],Main_Issuance[],18,0)</f>
        <v>120 Days from Invoice Date</v>
      </c>
      <c r="V913" s="17" t="s">
        <v>1849</v>
      </c>
      <c r="W913" s="22" t="s">
        <v>378</v>
      </c>
      <c r="X913" s="16"/>
      <c r="Y913" s="234" t="str">
        <f>TRIM(LEFT(Main_Presentation[[#This Row],[Payment Terms]],3))</f>
        <v>120</v>
      </c>
      <c r="Z913" s="16"/>
      <c r="AA913" s="316" cm="1">
        <f t="array" ref="AA913">Settlement(Main_Presentation[[#This Row],[Bank]],Main_Presentation[[#This Row],[ Invoice Amt (SAR)]],Main_Presentation[[#This Row],[Date Recd]],Main_Presentation[[#This Row],[Due Date]],Main_Presentation[[#This Row],[Days]])</f>
        <v>0</v>
      </c>
      <c r="AB913" s="16"/>
    </row>
    <row r="914" spans="1:28" ht="15.75" hidden="1" x14ac:dyDescent="0.25">
      <c r="A914" s="20" t="s">
        <v>306</v>
      </c>
      <c r="B914" s="15">
        <v>45824</v>
      </c>
      <c r="C914" s="26">
        <v>120</v>
      </c>
      <c r="D914" s="55" t="str">
        <f>VLOOKUP(Main_Presentation[[#This Row],[LC Number]],Main_Issuance[],3,0)</f>
        <v>Dipu Sir</v>
      </c>
      <c r="E914" s="16" t="s">
        <v>858</v>
      </c>
      <c r="F914" s="17" t="str">
        <f>VLOOKUP(Main_Presentation[[#This Row],[LC Number]],Main_Issuance[],5,0)</f>
        <v>Riyad</v>
      </c>
      <c r="G914" s="17" t="str">
        <f>VLOOKUP(Main_Presentation[[#This Row],[LC Number]],Main_Issuance[],6,0)</f>
        <v>Cash</v>
      </c>
      <c r="H914" s="17" t="str">
        <f>VLOOKUP(Main_Presentation[[#This Row],[LC Number]],Main_Issuance[],17,0)</f>
        <v>Cash</v>
      </c>
      <c r="I914" s="17" t="str">
        <f>VLOOKUP(Main_Presentation[[#This Row],[LC Number]],Main_Issuance[],7,0)</f>
        <v>ATELIER HOSPITALITY SRL</v>
      </c>
      <c r="J914" s="17" t="str">
        <f>VLOOKUP(Main_Presentation[[#This Row],[LC Number]],Main_Issuance[],8,0)</f>
        <v>MBL</v>
      </c>
      <c r="K914" s="17" t="str">
        <f>VLOOKUP(Main_Presentation[[#This Row],[LC Number]],Main_Issuance[],9,0)</f>
        <v>L01-YAMMAMA</v>
      </c>
      <c r="L914" s="17">
        <f>VLOOKUP(Main_Presentation[[#This Row],[LC Number]],Main_Issuance[],10,0)</f>
        <v>1020015</v>
      </c>
      <c r="M914" s="17" t="str">
        <f>VLOOKUP(Main_Presentation[[#This Row],[LC Number]],Main_Issuance[],11,0)</f>
        <v>EUR</v>
      </c>
      <c r="N914" s="84">
        <f>VLOOKUP(Main_Presentation[[#This Row],[LC Number]],Main_Issuance[],12,0)</f>
        <v>50762045.400000006</v>
      </c>
      <c r="O914" s="16" t="s">
        <v>20</v>
      </c>
      <c r="P914" s="16" t="s">
        <v>857</v>
      </c>
      <c r="Q914" s="131">
        <v>174067.4</v>
      </c>
      <c r="R914" s="18">
        <v>4.5700901448959899</v>
      </c>
      <c r="S914" s="18">
        <f>Main_Presentation[[#This Row],[Invoice Amt (FCY)]]*Main_Presentation[[#This Row],[Rate]]</f>
        <v>795503.70928766823</v>
      </c>
      <c r="T914" s="15">
        <v>45832</v>
      </c>
      <c r="U914" s="26" t="str">
        <f>VLOOKUP(Main_Presentation[[#This Row],[LC Number]],Main_Issuance[],18,0)</f>
        <v>30 days from the date of comm. inv.</v>
      </c>
      <c r="V914" s="17" t="str">
        <f>VLOOKUP(Main_Presentation[[#This Row],[LC Number]],Main_Issuance[],9,0)</f>
        <v>L01-YAMMAMA</v>
      </c>
      <c r="W914" s="22" t="s">
        <v>857</v>
      </c>
      <c r="X914" s="16"/>
      <c r="Y914" s="402" t="str">
        <f>TRIM(LEFT(Main_Presentation[[#This Row],[Payment Terms]],3))</f>
        <v>30</v>
      </c>
      <c r="Z914" s="16"/>
      <c r="AA914" s="316" cm="1">
        <f t="array" ref="AA914">Settlement(Main_Presentation[[#This Row],[Bank]],Main_Presentation[[#This Row],[ Invoice Amt (SAR)]],Main_Presentation[[#This Row],[Date Recd]],Main_Presentation[[#This Row],[Due Date]],Main_Presentation[[#This Row],[Days]])</f>
        <v>230</v>
      </c>
      <c r="AB914" s="16"/>
    </row>
    <row r="915" spans="1:28" ht="15.75" hidden="1" x14ac:dyDescent="0.25">
      <c r="A915" s="20" t="s">
        <v>1276</v>
      </c>
      <c r="B915" s="15">
        <v>45848</v>
      </c>
      <c r="C915" s="26">
        <v>1</v>
      </c>
      <c r="D915" s="55" t="str">
        <f>VLOOKUP(Main_Presentation[[#This Row],[LC Number]],Main_Issuance[],3,0)</f>
        <v>Hassan Taleb</v>
      </c>
      <c r="E915" s="16" t="s">
        <v>858</v>
      </c>
      <c r="F915" s="17" t="str">
        <f>VLOOKUP(Main_Presentation[[#This Row],[LC Number]],Main_Issuance[],5,0)</f>
        <v>BAB</v>
      </c>
      <c r="G915" s="17" t="str">
        <f>VLOOKUP(Main_Presentation[[#This Row],[LC Number]],Main_Issuance[],6,0)</f>
        <v>Cash</v>
      </c>
      <c r="H915" s="17" t="str">
        <f>VLOOKUP(Main_Presentation[[#This Row],[LC Number]],Main_Issuance[],17,0)</f>
        <v>Cash</v>
      </c>
      <c r="I915" s="17" t="str">
        <f>VLOOKUP(Main_Presentation[[#This Row],[LC Number]],Main_Issuance[],7,0)</f>
        <v>STAR SQUARES COMPANY LTD.</v>
      </c>
      <c r="J915" s="17" t="str">
        <f>VLOOKUP(Main_Presentation[[#This Row],[LC Number]],Main_Issuance[],8,0)</f>
        <v>FIRST FIX</v>
      </c>
      <c r="K915" s="17" t="str">
        <f>VLOOKUP(Main_Presentation[[#This Row],[LC Number]],Main_Issuance[],9,0)</f>
        <v>JCD SPMI</v>
      </c>
      <c r="L915" s="17">
        <f>VLOOKUP(Main_Presentation[[#This Row],[LC Number]],Main_Issuance[],10,0)</f>
        <v>1020100</v>
      </c>
      <c r="M915" s="17" t="str">
        <f>VLOOKUP(Main_Presentation[[#This Row],[LC Number]],Main_Issuance[],11,0)</f>
        <v>SAR</v>
      </c>
      <c r="N915" s="84">
        <f>VLOOKUP(Main_Presentation[[#This Row],[LC Number]],Main_Issuance[],12,0)</f>
        <v>500000</v>
      </c>
      <c r="O915" s="16" t="s">
        <v>20</v>
      </c>
      <c r="P915" s="16" t="s">
        <v>857</v>
      </c>
      <c r="Q915" s="131">
        <v>500000</v>
      </c>
      <c r="R915" s="18">
        <v>1</v>
      </c>
      <c r="S915" s="18">
        <f>Main_Presentation[[#This Row],[Invoice Amt (FCY)]]*Main_Presentation[[#This Row],[Rate]]</f>
        <v>500000</v>
      </c>
      <c r="T915" s="15">
        <v>45938</v>
      </c>
      <c r="U915" s="26" t="str">
        <f>VLOOKUP(Main_Presentation[[#This Row],[LC Number]],Main_Issuance[],18,0)</f>
        <v>120 Days from Invoice Date</v>
      </c>
      <c r="V915" s="17" t="s">
        <v>1849</v>
      </c>
      <c r="W915" s="22" t="s">
        <v>378</v>
      </c>
      <c r="X915" s="16"/>
      <c r="Y915" s="234" t="str">
        <f>TRIM(LEFT(Main_Presentation[[#This Row],[Payment Terms]],3))</f>
        <v>120</v>
      </c>
      <c r="Z915" s="16"/>
      <c r="AA915" s="316" cm="1">
        <f t="array" ref="AA915">Settlement(Main_Presentation[[#This Row],[Bank]],Main_Presentation[[#This Row],[ Invoice Amt (SAR)]],Main_Presentation[[#This Row],[Date Recd]],Main_Presentation[[#This Row],[Due Date]],Main_Presentation[[#This Row],[Days]])</f>
        <v>0</v>
      </c>
      <c r="AB915" s="16"/>
    </row>
    <row r="916" spans="1:28" ht="15.75" hidden="1" x14ac:dyDescent="0.25">
      <c r="A916" s="20" t="s">
        <v>1295</v>
      </c>
      <c r="B916" s="15">
        <v>45838</v>
      </c>
      <c r="C916" s="26">
        <v>1</v>
      </c>
      <c r="D916" s="55" t="str">
        <f>VLOOKUP(Main_Presentation[[#This Row],[LC Number]],Main_Issuance[],3,0)</f>
        <v>Hassan Taleb</v>
      </c>
      <c r="E916" s="16" t="s">
        <v>858</v>
      </c>
      <c r="F916" s="17" t="str">
        <f>VLOOKUP(Main_Presentation[[#This Row],[LC Number]],Main_Issuance[],5,0)</f>
        <v>BAB</v>
      </c>
      <c r="G916" s="17" t="str">
        <f>VLOOKUP(Main_Presentation[[#This Row],[LC Number]],Main_Issuance[],6,0)</f>
        <v>Cash</v>
      </c>
      <c r="H916" s="17" t="str">
        <f>VLOOKUP(Main_Presentation[[#This Row],[LC Number]],Main_Issuance[],17,0)</f>
        <v>Cash</v>
      </c>
      <c r="I916" s="17" t="str">
        <f>VLOOKUP(Main_Presentation[[#This Row],[LC Number]],Main_Issuance[],7,0)</f>
        <v>MAHMOUD ALTAHENI &amp; PARTNERS TRADING CO.</v>
      </c>
      <c r="J916" s="17" t="str">
        <f>VLOOKUP(Main_Presentation[[#This Row],[LC Number]],Main_Issuance[],8,0)</f>
        <v>FIRST FIX</v>
      </c>
      <c r="K916" s="17" t="str">
        <f>VLOOKUP(Main_Presentation[[#This Row],[LC Number]],Main_Issuance[],9,0)</f>
        <v>JCD SPMI</v>
      </c>
      <c r="L916" s="17">
        <f>VLOOKUP(Main_Presentation[[#This Row],[LC Number]],Main_Issuance[],10,0)</f>
        <v>1020100</v>
      </c>
      <c r="M916" s="17" t="str">
        <f>VLOOKUP(Main_Presentation[[#This Row],[LC Number]],Main_Issuance[],11,0)</f>
        <v>SAR</v>
      </c>
      <c r="N916" s="84">
        <f>VLOOKUP(Main_Presentation[[#This Row],[LC Number]],Main_Issuance[],12,0)</f>
        <v>250000</v>
      </c>
      <c r="O916" s="16" t="s">
        <v>20</v>
      </c>
      <c r="P916" s="16" t="s">
        <v>857</v>
      </c>
      <c r="Q916" s="131">
        <v>250000</v>
      </c>
      <c r="R916" s="18">
        <v>1</v>
      </c>
      <c r="S916" s="18">
        <f>Main_Presentation[[#This Row],[Invoice Amt (FCY)]]*Main_Presentation[[#This Row],[Rate]]</f>
        <v>250000</v>
      </c>
      <c r="T916" s="15">
        <v>45928</v>
      </c>
      <c r="U916" s="26" t="str">
        <f>VLOOKUP(Main_Presentation[[#This Row],[LC Number]],Main_Issuance[],18,0)</f>
        <v>120 Days from Invoice Date</v>
      </c>
      <c r="V916" s="17" t="s">
        <v>1849</v>
      </c>
      <c r="W916" s="22" t="s">
        <v>378</v>
      </c>
      <c r="X916" s="16"/>
      <c r="Y916" s="234" t="str">
        <f>TRIM(LEFT(Main_Presentation[[#This Row],[Payment Terms]],3))</f>
        <v>120</v>
      </c>
      <c r="Z916" s="16"/>
      <c r="AA916" s="316" cm="1">
        <f t="array" ref="AA916">Settlement(Main_Presentation[[#This Row],[Bank]],Main_Presentation[[#This Row],[ Invoice Amt (SAR)]],Main_Presentation[[#This Row],[Date Recd]],Main_Presentation[[#This Row],[Due Date]],Main_Presentation[[#This Row],[Days]])</f>
        <v>0</v>
      </c>
      <c r="AB916" s="16"/>
    </row>
    <row r="917" spans="1:28" ht="15.75" hidden="1" x14ac:dyDescent="0.25">
      <c r="A917" s="20" t="s">
        <v>1281</v>
      </c>
      <c r="B917" s="15">
        <v>45837</v>
      </c>
      <c r="C917" s="26">
        <v>1</v>
      </c>
      <c r="D917" s="55" t="str">
        <f>VLOOKUP(Main_Presentation[[#This Row],[LC Number]],Main_Issuance[],3,0)</f>
        <v>Hassan Taleb</v>
      </c>
      <c r="E917" s="16" t="s">
        <v>858</v>
      </c>
      <c r="F917" s="17" t="str">
        <f>VLOOKUP(Main_Presentation[[#This Row],[LC Number]],Main_Issuance[],5,0)</f>
        <v>BAB</v>
      </c>
      <c r="G917" s="17" t="str">
        <f>VLOOKUP(Main_Presentation[[#This Row],[LC Number]],Main_Issuance[],6,0)</f>
        <v>Cash</v>
      </c>
      <c r="H917" s="17" t="str">
        <f>VLOOKUP(Main_Presentation[[#This Row],[LC Number]],Main_Issuance[],17,0)</f>
        <v>Cash</v>
      </c>
      <c r="I917" s="17" t="str">
        <f>VLOOKUP(Main_Presentation[[#This Row],[LC Number]],Main_Issuance[],7,0)</f>
        <v>SHEHAB TRADING COMPANY</v>
      </c>
      <c r="J917" s="17" t="str">
        <f>VLOOKUP(Main_Presentation[[#This Row],[LC Number]],Main_Issuance[],8,0)</f>
        <v>FIRST FIX</v>
      </c>
      <c r="K917" s="17" t="str">
        <f>VLOOKUP(Main_Presentation[[#This Row],[LC Number]],Main_Issuance[],9,0)</f>
        <v>JCD SPMI</v>
      </c>
      <c r="L917" s="17">
        <f>VLOOKUP(Main_Presentation[[#This Row],[LC Number]],Main_Issuance[],10,0)</f>
        <v>1020100</v>
      </c>
      <c r="M917" s="17" t="str">
        <f>VLOOKUP(Main_Presentation[[#This Row],[LC Number]],Main_Issuance[],11,0)</f>
        <v>SAR</v>
      </c>
      <c r="N917" s="84">
        <f>VLOOKUP(Main_Presentation[[#This Row],[LC Number]],Main_Issuance[],12,0)</f>
        <v>200000</v>
      </c>
      <c r="O917" s="16" t="s">
        <v>20</v>
      </c>
      <c r="P917" s="16" t="s">
        <v>857</v>
      </c>
      <c r="Q917" s="131">
        <v>200000</v>
      </c>
      <c r="R917" s="18">
        <v>1</v>
      </c>
      <c r="S917" s="18">
        <f>Main_Presentation[[#This Row],[Invoice Amt (FCY)]]*Main_Presentation[[#This Row],[Rate]]</f>
        <v>200000</v>
      </c>
      <c r="T917" s="15">
        <v>45929</v>
      </c>
      <c r="U917" s="26" t="str">
        <f>VLOOKUP(Main_Presentation[[#This Row],[LC Number]],Main_Issuance[],18,0)</f>
        <v>120 Days from Invoice Date</v>
      </c>
      <c r="V917" s="17" t="s">
        <v>1849</v>
      </c>
      <c r="W917" s="22" t="s">
        <v>378</v>
      </c>
      <c r="X917" s="16"/>
      <c r="Y917" s="234" t="str">
        <f>TRIM(LEFT(Main_Presentation[[#This Row],[Payment Terms]],3))</f>
        <v>120</v>
      </c>
      <c r="Z917" s="16"/>
      <c r="AA917" s="316" cm="1">
        <f t="array" ref="AA917">Settlement(Main_Presentation[[#This Row],[Bank]],Main_Presentation[[#This Row],[ Invoice Amt (SAR)]],Main_Presentation[[#This Row],[Date Recd]],Main_Presentation[[#This Row],[Due Date]],Main_Presentation[[#This Row],[Days]])</f>
        <v>0</v>
      </c>
      <c r="AB917" s="16"/>
    </row>
    <row r="918" spans="1:28" ht="15.75" hidden="1" x14ac:dyDescent="0.25">
      <c r="A918" s="20" t="s">
        <v>712</v>
      </c>
      <c r="B918" s="15">
        <v>45833</v>
      </c>
      <c r="C918" s="26">
        <v>2</v>
      </c>
      <c r="D918" s="55" t="str">
        <f>VLOOKUP(Main_Presentation[[#This Row],[LC Number]],Main_Issuance[],3,0)</f>
        <v>Hassan Taleb</v>
      </c>
      <c r="E918" s="16" t="s">
        <v>858</v>
      </c>
      <c r="F918" s="17" t="str">
        <f>VLOOKUP(Main_Presentation[[#This Row],[LC Number]],Main_Issuance[],5,0)</f>
        <v>SAB</v>
      </c>
      <c r="G918" s="17" t="str">
        <f>VLOOKUP(Main_Presentation[[#This Row],[LC Number]],Main_Issuance[],6,0)</f>
        <v>MP1</v>
      </c>
      <c r="H918" s="17" t="str">
        <f>VLOOKUP(Main_Presentation[[#This Row],[LC Number]],Main_Issuance[],17,0)</f>
        <v>Credit</v>
      </c>
      <c r="I918" s="17" t="str">
        <f>VLOOKUP(Main_Presentation[[#This Row],[LC Number]],Main_Issuance[],7,0)</f>
        <v>Branch of National Fire Fighting (NAFFCO)</v>
      </c>
      <c r="J918" s="17" t="str">
        <f>VLOOKUP(Main_Presentation[[#This Row],[LC Number]],Main_Issuance[],8,0)</f>
        <v>FIRST FIX</v>
      </c>
      <c r="K918" s="17" t="str">
        <f>VLOOKUP(Main_Presentation[[#This Row],[LC Number]],Main_Issuance[],9,0)</f>
        <v>MP1</v>
      </c>
      <c r="L918" s="17">
        <f>VLOOKUP(Main_Presentation[[#This Row],[LC Number]],Main_Issuance[],10,0)</f>
        <v>1020088</v>
      </c>
      <c r="M918" s="17" t="str">
        <f>VLOOKUP(Main_Presentation[[#This Row],[LC Number]],Main_Issuance[],11,0)</f>
        <v>SAR</v>
      </c>
      <c r="N918" s="84">
        <f>VLOOKUP(Main_Presentation[[#This Row],[LC Number]],Main_Issuance[],12,0)</f>
        <v>4952175</v>
      </c>
      <c r="O918" s="16" t="s">
        <v>20</v>
      </c>
      <c r="P918" s="16" t="s">
        <v>857</v>
      </c>
      <c r="Q918" s="131">
        <v>914095.57</v>
      </c>
      <c r="R918" s="18">
        <v>1</v>
      </c>
      <c r="S918" s="18">
        <f>Main_Presentation[[#This Row],[Invoice Amt (FCY)]]*Main_Presentation[[#This Row],[Rate]]</f>
        <v>914095.57</v>
      </c>
      <c r="T918" s="15">
        <v>45888</v>
      </c>
      <c r="U918" s="26" t="str">
        <f>VLOOKUP(Main_Presentation[[#This Row],[LC Number]],Main_Issuance[],18,0)</f>
        <v>90 Days from Invoice Date</v>
      </c>
      <c r="V918" s="17" t="s">
        <v>367</v>
      </c>
      <c r="W918" s="22" t="s">
        <v>378</v>
      </c>
      <c r="X918" s="16"/>
      <c r="Y918" s="234" t="str">
        <f>TRIM(LEFT(Main_Presentation[[#This Row],[Payment Terms]],3))</f>
        <v>90</v>
      </c>
      <c r="Z918" s="16"/>
      <c r="AA918" s="316" cm="1">
        <f t="array" ref="AA918">Settlement(Main_Presentation[[#This Row],[Bank]],Main_Presentation[[#This Row],[ Invoice Amt (SAR)]],Main_Presentation[[#This Row],[Date Recd]],Main_Presentation[[#This Row],[Due Date]],Main_Presentation[[#This Row],[Days]])</f>
        <v>3942.2</v>
      </c>
      <c r="AB918" s="16"/>
    </row>
    <row r="919" spans="1:28" ht="15.75" hidden="1" x14ac:dyDescent="0.25">
      <c r="A919" s="20" t="s">
        <v>1409</v>
      </c>
      <c r="B919" s="15">
        <v>45853</v>
      </c>
      <c r="C919" s="26">
        <v>1</v>
      </c>
      <c r="D919" s="55" t="str">
        <f>VLOOKUP(Main_Presentation[[#This Row],[LC Number]],Main_Issuance[],3,0)</f>
        <v>Hassan Taleb</v>
      </c>
      <c r="E919" s="16" t="s">
        <v>858</v>
      </c>
      <c r="F919" s="17" t="str">
        <f>VLOOKUP(Main_Presentation[[#This Row],[LC Number]],Main_Issuance[],5,0)</f>
        <v>Alinma</v>
      </c>
      <c r="G919" s="17" t="str">
        <f>VLOOKUP(Main_Presentation[[#This Row],[LC Number]],Main_Issuance[],6,0)</f>
        <v>KSP</v>
      </c>
      <c r="H919" s="17" t="str">
        <f>VLOOKUP(Main_Presentation[[#This Row],[LC Number]],Main_Issuance[],17,0)</f>
        <v>Credit</v>
      </c>
      <c r="I919" s="17" t="str">
        <f>VLOOKUP(Main_Presentation[[#This Row],[LC Number]],Main_Issuance[],7,0)</f>
        <v>MODERN AL BONYAN CAPITAL COMPANY LIMITED</v>
      </c>
      <c r="J919" s="17" t="str">
        <f>VLOOKUP(Main_Presentation[[#This Row],[LC Number]],Main_Issuance[],8,0)</f>
        <v>FIRST FIX</v>
      </c>
      <c r="K919" s="17" t="str">
        <f>VLOOKUP(Main_Presentation[[#This Row],[LC Number]],Main_Issuance[],9,0)</f>
        <v>KSP</v>
      </c>
      <c r="L919" s="17">
        <f>VLOOKUP(Main_Presentation[[#This Row],[LC Number]],Main_Issuance[],10,0)</f>
        <v>1020055</v>
      </c>
      <c r="M919" s="17" t="str">
        <f>VLOOKUP(Main_Presentation[[#This Row],[LC Number]],Main_Issuance[],11,0)</f>
        <v>SAR</v>
      </c>
      <c r="N919" s="84">
        <f>VLOOKUP(Main_Presentation[[#This Row],[LC Number]],Main_Issuance[],12,0)</f>
        <v>300000</v>
      </c>
      <c r="O919" s="16" t="s">
        <v>20</v>
      </c>
      <c r="P919" s="16" t="s">
        <v>857</v>
      </c>
      <c r="Q919" s="131">
        <v>300000</v>
      </c>
      <c r="R919" s="18">
        <v>1</v>
      </c>
      <c r="S919" s="18">
        <f>Main_Presentation[[#This Row],[Invoice Amt (FCY)]]*Main_Presentation[[#This Row],[Rate]]</f>
        <v>300000</v>
      </c>
      <c r="T919" s="15">
        <v>45946</v>
      </c>
      <c r="U919" s="26" t="str">
        <f>VLOOKUP(Main_Presentation[[#This Row],[LC Number]],Main_Issuance[],18,0)</f>
        <v>120 Days from Invoice Date</v>
      </c>
      <c r="V919" s="17" t="s">
        <v>22</v>
      </c>
      <c r="W919" s="22" t="s">
        <v>857</v>
      </c>
      <c r="X919" s="16"/>
      <c r="Y919" s="234" t="str">
        <f>TRIM(LEFT(Main_Presentation[[#This Row],[Payment Terms]],3))</f>
        <v>120</v>
      </c>
      <c r="Z919" s="16"/>
      <c r="AA919" s="316" cm="1">
        <f t="array" ref="AA919">Settlement(Main_Presentation[[#This Row],[Bank]],Main_Presentation[[#This Row],[ Invoice Amt (SAR)]],Main_Presentation[[#This Row],[Date Recd]],Main_Presentation[[#This Row],[Due Date]],Main_Presentation[[#This Row],[Days]])</f>
        <v>1437.5</v>
      </c>
      <c r="AB919" s="16"/>
    </row>
    <row r="920" spans="1:28" ht="15.75" hidden="1" x14ac:dyDescent="0.25">
      <c r="A920" s="20" t="s">
        <v>702</v>
      </c>
      <c r="B920" s="15">
        <v>45826</v>
      </c>
      <c r="C920" s="26">
        <v>7</v>
      </c>
      <c r="D920" s="55" t="str">
        <f>VLOOKUP(Main_Presentation[[#This Row],[LC Number]],Main_Issuance[],3,0)</f>
        <v>Tareeq Telmasani</v>
      </c>
      <c r="E920" s="16" t="s">
        <v>856</v>
      </c>
      <c r="F920" s="17" t="str">
        <f>VLOOKUP(Main_Presentation[[#This Row],[LC Number]],Main_Issuance[],5,0)</f>
        <v>SNB</v>
      </c>
      <c r="G920" s="17" t="str">
        <f>VLOOKUP(Main_Presentation[[#This Row],[LC Number]],Main_Issuance[],6,0)</f>
        <v>Opera House</v>
      </c>
      <c r="H920" s="17" t="str">
        <f>VLOOKUP(Main_Presentation[[#This Row],[LC Number]],Main_Issuance[],17,0)</f>
        <v>Credit</v>
      </c>
      <c r="I920" s="17" t="str">
        <f>VLOOKUP(Main_Presentation[[#This Row],[LC Number]],Main_Issuance[],7,0)</f>
        <v>HOLCIM SOLUTIONS AND PRODUCTS EMEA BV</v>
      </c>
      <c r="J920" s="17" t="str">
        <f>VLOOKUP(Main_Presentation[[#This Row],[LC Number]],Main_Issuance[],8,0)</f>
        <v>MBL/IFAS</v>
      </c>
      <c r="K920" s="17" t="str">
        <f>VLOOKUP(Main_Presentation[[#This Row],[LC Number]],Main_Issuance[],9,0)</f>
        <v>CEER</v>
      </c>
      <c r="L920" s="17">
        <f>VLOOKUP(Main_Presentation[[#This Row],[LC Number]],Main_Issuance[],10,0)</f>
        <v>1020091</v>
      </c>
      <c r="M920" s="17" t="str">
        <f>VLOOKUP(Main_Presentation[[#This Row],[LC Number]],Main_Issuance[],11,0)</f>
        <v>USD</v>
      </c>
      <c r="N920" s="84">
        <f>VLOOKUP(Main_Presentation[[#This Row],[LC Number]],Main_Issuance[],12,0)</f>
        <v>2600115.56</v>
      </c>
      <c r="O920" s="16" t="s">
        <v>20</v>
      </c>
      <c r="P920" s="16" t="s">
        <v>857</v>
      </c>
      <c r="Q920" s="131">
        <v>249497.49</v>
      </c>
      <c r="R920" s="18">
        <v>3.75</v>
      </c>
      <c r="S920" s="18">
        <f>Main_Presentation[[#This Row],[Invoice Amt (FCY)]]*Main_Presentation[[#This Row],[Rate]]</f>
        <v>935615.58749999991</v>
      </c>
      <c r="T920" s="15">
        <v>45901</v>
      </c>
      <c r="U920" s="26" t="str">
        <f>VLOOKUP(Main_Presentation[[#This Row],[LC Number]],Main_Issuance[],18,0)</f>
        <v>90 Days from Shipment Date</v>
      </c>
      <c r="V920" s="17" t="s">
        <v>367</v>
      </c>
      <c r="W920" s="22" t="s">
        <v>857</v>
      </c>
      <c r="X920" s="16"/>
      <c r="Y920" s="234" t="str">
        <f>TRIM(LEFT(Main_Presentation[[#This Row],[Payment Terms]],3))</f>
        <v>90</v>
      </c>
      <c r="Z920" s="16"/>
      <c r="AA920" s="316" cm="1">
        <f t="array" ref="AA920">Settlement(Main_Presentation[[#This Row],[Bank]],Main_Presentation[[#This Row],[ Invoice Amt (SAR)]],Main_Presentation[[#This Row],[Date Recd]],Main_Presentation[[#This Row],[Due Date]],Main_Presentation[[#This Row],[Days]])</f>
        <v>4522.95</v>
      </c>
      <c r="AB920" s="16"/>
    </row>
    <row r="921" spans="1:28" ht="15.75" hidden="1" x14ac:dyDescent="0.25">
      <c r="A921" s="20" t="s">
        <v>702</v>
      </c>
      <c r="B921" s="15">
        <v>45826</v>
      </c>
      <c r="C921" s="26">
        <v>9</v>
      </c>
      <c r="D921" s="55" t="str">
        <f>VLOOKUP(Main_Presentation[[#This Row],[LC Number]],Main_Issuance[],3,0)</f>
        <v>Tareeq Telmasani</v>
      </c>
      <c r="E921" s="16" t="s">
        <v>856</v>
      </c>
      <c r="F921" s="17" t="str">
        <f>VLOOKUP(Main_Presentation[[#This Row],[LC Number]],Main_Issuance[],5,0)</f>
        <v>SNB</v>
      </c>
      <c r="G921" s="17" t="str">
        <f>VLOOKUP(Main_Presentation[[#This Row],[LC Number]],Main_Issuance[],6,0)</f>
        <v>Opera House</v>
      </c>
      <c r="H921" s="17" t="str">
        <f>VLOOKUP(Main_Presentation[[#This Row],[LC Number]],Main_Issuance[],17,0)</f>
        <v>Credit</v>
      </c>
      <c r="I921" s="17" t="str">
        <f>VLOOKUP(Main_Presentation[[#This Row],[LC Number]],Main_Issuance[],7,0)</f>
        <v>HOLCIM SOLUTIONS AND PRODUCTS EMEA BV</v>
      </c>
      <c r="J921" s="17" t="str">
        <f>VLOOKUP(Main_Presentation[[#This Row],[LC Number]],Main_Issuance[],8,0)</f>
        <v>MBL/IFAS</v>
      </c>
      <c r="K921" s="17" t="str">
        <f>VLOOKUP(Main_Presentation[[#This Row],[LC Number]],Main_Issuance[],9,0)</f>
        <v>CEER</v>
      </c>
      <c r="L921" s="17">
        <f>VLOOKUP(Main_Presentation[[#This Row],[LC Number]],Main_Issuance[],10,0)</f>
        <v>1020091</v>
      </c>
      <c r="M921" s="17" t="str">
        <f>VLOOKUP(Main_Presentation[[#This Row],[LC Number]],Main_Issuance[],11,0)</f>
        <v>USD</v>
      </c>
      <c r="N921" s="84">
        <f>VLOOKUP(Main_Presentation[[#This Row],[LC Number]],Main_Issuance[],12,0)</f>
        <v>2600115.56</v>
      </c>
      <c r="O921" s="16" t="s">
        <v>20</v>
      </c>
      <c r="P921" s="16" t="s">
        <v>857</v>
      </c>
      <c r="Q921" s="131">
        <v>82392.479999999996</v>
      </c>
      <c r="R921" s="18">
        <v>3.75</v>
      </c>
      <c r="S921" s="18">
        <f>Main_Presentation[[#This Row],[Invoice Amt (FCY)]]*Main_Presentation[[#This Row],[Rate]]</f>
        <v>308971.8</v>
      </c>
      <c r="T921" s="15">
        <v>45894</v>
      </c>
      <c r="U921" s="26" t="str">
        <f>VLOOKUP(Main_Presentation[[#This Row],[LC Number]],Main_Issuance[],18,0)</f>
        <v>90 Days from Shipment Date</v>
      </c>
      <c r="V921" s="17" t="s">
        <v>367</v>
      </c>
      <c r="W921" s="22" t="s">
        <v>857</v>
      </c>
      <c r="X921" s="16"/>
      <c r="Y921" s="234" t="str">
        <f>TRIM(LEFT(Main_Presentation[[#This Row],[Payment Terms]],3))</f>
        <v>90</v>
      </c>
      <c r="Z921" s="16"/>
      <c r="AA921" s="316" cm="1">
        <f t="array" ref="AA921">Settlement(Main_Presentation[[#This Row],[Bank]],Main_Presentation[[#This Row],[ Invoice Amt (SAR)]],Main_Presentation[[#This Row],[Date Recd]],Main_Presentation[[#This Row],[Due Date]],Main_Presentation[[#This Row],[Days]])</f>
        <v>1520.3</v>
      </c>
      <c r="AB921" s="16"/>
    </row>
    <row r="922" spans="1:28" ht="15.75" hidden="1" x14ac:dyDescent="0.25">
      <c r="A922" s="20" t="s">
        <v>702</v>
      </c>
      <c r="B922" s="15">
        <v>45826</v>
      </c>
      <c r="C922" s="26">
        <v>8</v>
      </c>
      <c r="D922" s="55" t="str">
        <f>VLOOKUP(Main_Presentation[[#This Row],[LC Number]],Main_Issuance[],3,0)</f>
        <v>Tareeq Telmasani</v>
      </c>
      <c r="E922" s="16" t="s">
        <v>858</v>
      </c>
      <c r="F922" s="17" t="str">
        <f>VLOOKUP(Main_Presentation[[#This Row],[LC Number]],Main_Issuance[],5,0)</f>
        <v>SNB</v>
      </c>
      <c r="G922" s="17" t="str">
        <f>VLOOKUP(Main_Presentation[[#This Row],[LC Number]],Main_Issuance[],6,0)</f>
        <v>Opera House</v>
      </c>
      <c r="H922" s="17" t="str">
        <f>VLOOKUP(Main_Presentation[[#This Row],[LC Number]],Main_Issuance[],17,0)</f>
        <v>Credit</v>
      </c>
      <c r="I922" s="17" t="str">
        <f>VLOOKUP(Main_Presentation[[#This Row],[LC Number]],Main_Issuance[],7,0)</f>
        <v>HOLCIM SOLUTIONS AND PRODUCTS EMEA BV</v>
      </c>
      <c r="J922" s="17" t="str">
        <f>VLOOKUP(Main_Presentation[[#This Row],[LC Number]],Main_Issuance[],8,0)</f>
        <v>MBL/IFAS</v>
      </c>
      <c r="K922" s="17" t="str">
        <f>VLOOKUP(Main_Presentation[[#This Row],[LC Number]],Main_Issuance[],9,0)</f>
        <v>CEER</v>
      </c>
      <c r="L922" s="17">
        <f>VLOOKUP(Main_Presentation[[#This Row],[LC Number]],Main_Issuance[],10,0)</f>
        <v>1020091</v>
      </c>
      <c r="M922" s="17" t="str">
        <f>VLOOKUP(Main_Presentation[[#This Row],[LC Number]],Main_Issuance[],11,0)</f>
        <v>USD</v>
      </c>
      <c r="N922" s="84">
        <f>VLOOKUP(Main_Presentation[[#This Row],[LC Number]],Main_Issuance[],12,0)</f>
        <v>2600115.56</v>
      </c>
      <c r="O922" s="16" t="s">
        <v>20</v>
      </c>
      <c r="P922" s="16" t="s">
        <v>857</v>
      </c>
      <c r="Q922" s="131">
        <v>85119.21</v>
      </c>
      <c r="R922" s="18">
        <v>3.75</v>
      </c>
      <c r="S922" s="18">
        <f>Main_Presentation[[#This Row],[Invoice Amt (FCY)]]*Main_Presentation[[#This Row],[Rate]]</f>
        <v>319197.03750000003</v>
      </c>
      <c r="T922" s="15">
        <v>45860</v>
      </c>
      <c r="U922" s="26" t="str">
        <f>VLOOKUP(Main_Presentation[[#This Row],[LC Number]],Main_Issuance[],18,0)</f>
        <v>90 Days from Shipment Date</v>
      </c>
      <c r="V922" s="17" t="s">
        <v>367</v>
      </c>
      <c r="W922" s="22" t="s">
        <v>857</v>
      </c>
      <c r="X922" s="16"/>
      <c r="Y922" s="234" t="str">
        <f>TRIM(LEFT(Main_Presentation[[#This Row],[Payment Terms]],3))</f>
        <v>90</v>
      </c>
      <c r="Z922" s="16"/>
      <c r="AA922" s="316" cm="1">
        <f t="array" ref="AA922">Settlement(Main_Presentation[[#This Row],[Bank]],Main_Presentation[[#This Row],[ Invoice Amt (SAR)]],Main_Presentation[[#This Row],[Date Recd]],Main_Presentation[[#This Row],[Due Date]],Main_Presentation[[#This Row],[Days]])</f>
        <v>805</v>
      </c>
      <c r="AB922" s="16"/>
    </row>
    <row r="923" spans="1:28" ht="15.75" hidden="1" x14ac:dyDescent="0.25">
      <c r="A923" s="20" t="s">
        <v>1310</v>
      </c>
      <c r="B923" s="15">
        <v>45846</v>
      </c>
      <c r="C923" s="26">
        <v>1</v>
      </c>
      <c r="D923" s="55" t="str">
        <f>VLOOKUP(Main_Presentation[[#This Row],[LC Number]],Main_Issuance[],3,0)</f>
        <v>Hassan Taleb</v>
      </c>
      <c r="E923" s="16" t="s">
        <v>858</v>
      </c>
      <c r="F923" s="17" t="str">
        <f>VLOOKUP(Main_Presentation[[#This Row],[LC Number]],Main_Issuance[],5,0)</f>
        <v>Alinma</v>
      </c>
      <c r="G923" s="17" t="str">
        <f>VLOOKUP(Main_Presentation[[#This Row],[LC Number]],Main_Issuance[],6,0)</f>
        <v>KSP</v>
      </c>
      <c r="H923" s="17" t="str">
        <f>VLOOKUP(Main_Presentation[[#This Row],[LC Number]],Main_Issuance[],17,0)</f>
        <v>Credit</v>
      </c>
      <c r="I923" s="17" t="str">
        <f>VLOOKUP(Main_Presentation[[#This Row],[LC Number]],Main_Issuance[],7,0)</f>
        <v>TABARK AL-MOMMYZA FOR TRADING EST</v>
      </c>
      <c r="J923" s="17" t="str">
        <f>VLOOKUP(Main_Presentation[[#This Row],[LC Number]],Main_Issuance[],8,0)</f>
        <v>FIRST FIX</v>
      </c>
      <c r="K923" s="17" t="str">
        <f>VLOOKUP(Main_Presentation[[#This Row],[LC Number]],Main_Issuance[],9,0)</f>
        <v>KSP</v>
      </c>
      <c r="L923" s="17">
        <f>VLOOKUP(Main_Presentation[[#This Row],[LC Number]],Main_Issuance[],10,0)</f>
        <v>1020055</v>
      </c>
      <c r="M923" s="17" t="str">
        <f>VLOOKUP(Main_Presentation[[#This Row],[LC Number]],Main_Issuance[],11,0)</f>
        <v>SAR</v>
      </c>
      <c r="N923" s="84">
        <f>VLOOKUP(Main_Presentation[[#This Row],[LC Number]],Main_Issuance[],12,0)</f>
        <v>300000</v>
      </c>
      <c r="O923" s="16" t="s">
        <v>20</v>
      </c>
      <c r="P923" s="16" t="s">
        <v>857</v>
      </c>
      <c r="Q923" s="131">
        <v>300000</v>
      </c>
      <c r="R923" s="18">
        <v>1</v>
      </c>
      <c r="S923" s="18">
        <f>Main_Presentation[[#This Row],[Invoice Amt (FCY)]]*Main_Presentation[[#This Row],[Rate]]</f>
        <v>300000</v>
      </c>
      <c r="T923" s="15">
        <v>45956</v>
      </c>
      <c r="U923" s="26" t="str">
        <f>VLOOKUP(Main_Presentation[[#This Row],[LC Number]],Main_Issuance[],18,0)</f>
        <v>120 Days from Invoice Date</v>
      </c>
      <c r="V923" s="17" t="s">
        <v>22</v>
      </c>
      <c r="W923" s="22" t="s">
        <v>857</v>
      </c>
      <c r="X923" s="16"/>
      <c r="Y923" s="234" t="str">
        <f>TRIM(LEFT(Main_Presentation[[#This Row],[Payment Terms]],3))</f>
        <v>120</v>
      </c>
      <c r="Z923" s="16"/>
      <c r="AA923" s="316" cm="1">
        <f t="array" ref="AA923">Settlement(Main_Presentation[[#This Row],[Bank]],Main_Presentation[[#This Row],[ Invoice Amt (SAR)]],Main_Presentation[[#This Row],[Date Recd]],Main_Presentation[[#This Row],[Due Date]],Main_Presentation[[#This Row],[Days]])</f>
        <v>1437.5</v>
      </c>
      <c r="AB923" s="16"/>
    </row>
    <row r="924" spans="1:28" ht="15.75" hidden="1" x14ac:dyDescent="0.25">
      <c r="A924" s="20" t="s">
        <v>1251</v>
      </c>
      <c r="B924" s="15">
        <v>45837</v>
      </c>
      <c r="C924" s="26">
        <v>1</v>
      </c>
      <c r="D924" s="55" t="str">
        <f>VLOOKUP(Main_Presentation[[#This Row],[LC Number]],Main_Issuance[],3,0)</f>
        <v>Rabih Makhoul</v>
      </c>
      <c r="E924" s="16" t="s">
        <v>856</v>
      </c>
      <c r="F924" s="17" t="str">
        <f>VLOOKUP(Main_Presentation[[#This Row],[LC Number]],Main_Issuance[],5,0)</f>
        <v>SNB</v>
      </c>
      <c r="G924" s="17" t="str">
        <f>VLOOKUP(Main_Presentation[[#This Row],[LC Number]],Main_Issuance[],6,0)</f>
        <v>Opera House</v>
      </c>
      <c r="H924" s="17" t="str">
        <f>VLOOKUP(Main_Presentation[[#This Row],[LC Number]],Main_Issuance[],17,0)</f>
        <v>Credit</v>
      </c>
      <c r="I924" s="17" t="str">
        <f>VLOOKUP(Main_Presentation[[#This Row],[LC Number]],Main_Issuance[],7,0)</f>
        <v>High Al Shuhra Contracting Company</v>
      </c>
      <c r="J924" s="17" t="str">
        <f>VLOOKUP(Main_Presentation[[#This Row],[LC Number]],Main_Issuance[],8,0)</f>
        <v>MBL</v>
      </c>
      <c r="K924" s="17" t="str">
        <f>VLOOKUP(Main_Presentation[[#This Row],[LC Number]],Main_Issuance[],9,0)</f>
        <v>Rabigh Power Plant</v>
      </c>
      <c r="L924" s="17">
        <f>VLOOKUP(Main_Presentation[[#This Row],[LC Number]],Main_Issuance[],10,0)</f>
        <v>1020107</v>
      </c>
      <c r="M924" s="17" t="str">
        <f>VLOOKUP(Main_Presentation[[#This Row],[LC Number]],Main_Issuance[],11,0)</f>
        <v>SAR</v>
      </c>
      <c r="N924" s="84">
        <f>VLOOKUP(Main_Presentation[[#This Row],[LC Number]],Main_Issuance[],12,0)</f>
        <v>3000000</v>
      </c>
      <c r="O924" s="16" t="s">
        <v>20</v>
      </c>
      <c r="P924" s="16" t="s">
        <v>378</v>
      </c>
      <c r="Q924" s="131">
        <v>766481.6</v>
      </c>
      <c r="R924" s="18">
        <v>1</v>
      </c>
      <c r="S924" s="18">
        <f>Main_Presentation[[#This Row],[Invoice Amt (FCY)]]*Main_Presentation[[#This Row],[Rate]]</f>
        <v>766481.6</v>
      </c>
      <c r="T924" s="15">
        <v>45837</v>
      </c>
      <c r="U924" s="26" t="str">
        <f>VLOOKUP(Main_Presentation[[#This Row],[LC Number]],Main_Issuance[],18,0)</f>
        <v>45 Days from Invoice Date</v>
      </c>
      <c r="V924" s="17" t="s">
        <v>882</v>
      </c>
      <c r="W924" s="22" t="s">
        <v>378</v>
      </c>
      <c r="X924" s="16"/>
      <c r="Y924" s="234" t="str">
        <f>TRIM(LEFT(Main_Presentation[[#This Row],[Payment Terms]],3))</f>
        <v>45</v>
      </c>
      <c r="Z924" s="16"/>
      <c r="AA924" s="316" cm="1">
        <f t="array" ref="AA924">Settlement(Main_Presentation[[#This Row],[Bank]],Main_Presentation[[#This Row],[ Invoice Amt (SAR)]],Main_Presentation[[#This Row],[Date Recd]],Main_Presentation[[#This Row],[Due Date]],Main_Presentation[[#This Row],[Days]])</f>
        <v>655.5</v>
      </c>
      <c r="AB924" s="16"/>
    </row>
    <row r="925" spans="1:28" ht="15.75" hidden="1" x14ac:dyDescent="0.25">
      <c r="A925" s="20" t="s">
        <v>702</v>
      </c>
      <c r="B925" s="15">
        <v>45830</v>
      </c>
      <c r="C925" s="26">
        <v>10</v>
      </c>
      <c r="D925" s="55" t="str">
        <f>VLOOKUP(Main_Presentation[[#This Row],[LC Number]],Main_Issuance[],3,0)</f>
        <v>Tareeq Telmasani</v>
      </c>
      <c r="E925" s="16" t="s">
        <v>856</v>
      </c>
      <c r="F925" s="17" t="str">
        <f>VLOOKUP(Main_Presentation[[#This Row],[LC Number]],Main_Issuance[],5,0)</f>
        <v>SNB</v>
      </c>
      <c r="G925" s="17" t="str">
        <f>VLOOKUP(Main_Presentation[[#This Row],[LC Number]],Main_Issuance[],6,0)</f>
        <v>Opera House</v>
      </c>
      <c r="H925" s="17" t="str">
        <f>VLOOKUP(Main_Presentation[[#This Row],[LC Number]],Main_Issuance[],17,0)</f>
        <v>Credit</v>
      </c>
      <c r="I925" s="17" t="str">
        <f>VLOOKUP(Main_Presentation[[#This Row],[LC Number]],Main_Issuance[],7,0)</f>
        <v>HOLCIM SOLUTIONS AND PRODUCTS EMEA BV</v>
      </c>
      <c r="J925" s="17" t="str">
        <f>VLOOKUP(Main_Presentation[[#This Row],[LC Number]],Main_Issuance[],8,0)</f>
        <v>MBL/IFAS</v>
      </c>
      <c r="K925" s="17" t="str">
        <f>VLOOKUP(Main_Presentation[[#This Row],[LC Number]],Main_Issuance[],9,0)</f>
        <v>CEER</v>
      </c>
      <c r="L925" s="17">
        <f>VLOOKUP(Main_Presentation[[#This Row],[LC Number]],Main_Issuance[],10,0)</f>
        <v>1020091</v>
      </c>
      <c r="M925" s="17" t="str">
        <f>VLOOKUP(Main_Presentation[[#This Row],[LC Number]],Main_Issuance[],11,0)</f>
        <v>USD</v>
      </c>
      <c r="N925" s="84">
        <f>VLOOKUP(Main_Presentation[[#This Row],[LC Number]],Main_Issuance[],12,0)</f>
        <v>2600115.56</v>
      </c>
      <c r="O925" s="16" t="s">
        <v>20</v>
      </c>
      <c r="P925" s="16" t="s">
        <v>857</v>
      </c>
      <c r="Q925" s="131">
        <v>329529.8</v>
      </c>
      <c r="R925" s="18">
        <v>3.75</v>
      </c>
      <c r="S925" s="18">
        <f>Main_Presentation[[#This Row],[Invoice Amt (FCY)]]*Main_Presentation[[#This Row],[Rate]]</f>
        <v>1235736.75</v>
      </c>
      <c r="T925" s="15">
        <v>45902</v>
      </c>
      <c r="U925" s="26" t="str">
        <f>VLOOKUP(Main_Presentation[[#This Row],[LC Number]],Main_Issuance[],18,0)</f>
        <v>90 Days from Shipment Date</v>
      </c>
      <c r="V925" s="17" t="s">
        <v>367</v>
      </c>
      <c r="W925" s="22" t="s">
        <v>857</v>
      </c>
      <c r="X925" s="16"/>
      <c r="Y925" s="234" t="str">
        <f>TRIM(LEFT(Main_Presentation[[#This Row],[Payment Terms]],3))</f>
        <v>90</v>
      </c>
      <c r="Z925" s="16"/>
      <c r="AA925" s="316" cm="1">
        <f t="array" ref="AA925">Settlement(Main_Presentation[[#This Row],[Bank]],Main_Presentation[[#This Row],[ Invoice Amt (SAR)]],Main_Presentation[[#This Row],[Date Recd]],Main_Presentation[[#This Row],[Due Date]],Main_Presentation[[#This Row],[Days]])</f>
        <v>5961.6</v>
      </c>
      <c r="AB925" s="16"/>
    </row>
    <row r="926" spans="1:28" ht="15.75" hidden="1" x14ac:dyDescent="0.25">
      <c r="A926" s="20" t="s">
        <v>1279</v>
      </c>
      <c r="B926" s="15">
        <v>45831</v>
      </c>
      <c r="C926" s="26">
        <v>1</v>
      </c>
      <c r="D926" s="55" t="str">
        <f>VLOOKUP(Main_Presentation[[#This Row],[LC Number]],Main_Issuance[],3,0)</f>
        <v>Hassan Taleb</v>
      </c>
      <c r="E926" s="16" t="s">
        <v>858</v>
      </c>
      <c r="F926" s="17" t="str">
        <f>VLOOKUP(Main_Presentation[[#This Row],[LC Number]],Main_Issuance[],5,0)</f>
        <v>BAB</v>
      </c>
      <c r="G926" s="17" t="str">
        <f>VLOOKUP(Main_Presentation[[#This Row],[LC Number]],Main_Issuance[],6,0)</f>
        <v>Cash</v>
      </c>
      <c r="H926" s="17" t="str">
        <f>VLOOKUP(Main_Presentation[[#This Row],[LC Number]],Main_Issuance[],17,0)</f>
        <v>Cash</v>
      </c>
      <c r="I926" s="17" t="str">
        <f>VLOOKUP(Main_Presentation[[#This Row],[LC Number]],Main_Issuance[],7,0)</f>
        <v>TAMEA AND TAHENA FOR FAST FOOD</v>
      </c>
      <c r="J926" s="17" t="str">
        <f>VLOOKUP(Main_Presentation[[#This Row],[LC Number]],Main_Issuance[],8,0)</f>
        <v>FIRST FIX</v>
      </c>
      <c r="K926" s="17" t="str">
        <f>VLOOKUP(Main_Presentation[[#This Row],[LC Number]],Main_Issuance[],9,0)</f>
        <v>JCD SPMI</v>
      </c>
      <c r="L926" s="17">
        <f>VLOOKUP(Main_Presentation[[#This Row],[LC Number]],Main_Issuance[],10,0)</f>
        <v>1020100</v>
      </c>
      <c r="M926" s="17" t="str">
        <f>VLOOKUP(Main_Presentation[[#This Row],[LC Number]],Main_Issuance[],11,0)</f>
        <v>SAR</v>
      </c>
      <c r="N926" s="84">
        <f>VLOOKUP(Main_Presentation[[#This Row],[LC Number]],Main_Issuance[],12,0)</f>
        <v>270000</v>
      </c>
      <c r="O926" s="16" t="s">
        <v>20</v>
      </c>
      <c r="P926" s="16" t="s">
        <v>857</v>
      </c>
      <c r="Q926" s="131">
        <v>270000</v>
      </c>
      <c r="R926" s="18">
        <v>1</v>
      </c>
      <c r="S926" s="18">
        <f>Main_Presentation[[#This Row],[Invoice Amt (FCY)]]*Main_Presentation[[#This Row],[Rate]]</f>
        <v>270000</v>
      </c>
      <c r="T926" s="15">
        <v>45909</v>
      </c>
      <c r="U926" s="26" t="str">
        <f>VLOOKUP(Main_Presentation[[#This Row],[LC Number]],Main_Issuance[],18,0)</f>
        <v>120 Days from Invoice Date</v>
      </c>
      <c r="V926" s="17" t="s">
        <v>1849</v>
      </c>
      <c r="W926" s="22" t="s">
        <v>378</v>
      </c>
      <c r="X926" s="16"/>
      <c r="Y926" s="234" t="str">
        <f>TRIM(LEFT(Main_Presentation[[#This Row],[Payment Terms]],3))</f>
        <v>120</v>
      </c>
      <c r="Z926" s="16"/>
      <c r="AA926" s="316" cm="1">
        <f t="array" ref="AA926">Settlement(Main_Presentation[[#This Row],[Bank]],Main_Presentation[[#This Row],[ Invoice Amt (SAR)]],Main_Presentation[[#This Row],[Date Recd]],Main_Presentation[[#This Row],[Due Date]],Main_Presentation[[#This Row],[Days]])</f>
        <v>0</v>
      </c>
      <c r="AB926" s="16"/>
    </row>
    <row r="927" spans="1:28" ht="15.75" hidden="1" x14ac:dyDescent="0.25">
      <c r="A927" s="20" t="s">
        <v>727</v>
      </c>
      <c r="B927" s="15">
        <v>45832</v>
      </c>
      <c r="C927" s="26">
        <v>1</v>
      </c>
      <c r="D927" s="55" t="str">
        <f>VLOOKUP(Main_Presentation[[#This Row],[LC Number]],Main_Issuance[],3,0)</f>
        <v>Rabih Makhoul</v>
      </c>
      <c r="E927" s="16" t="s">
        <v>858</v>
      </c>
      <c r="F927" s="17" t="str">
        <f>VLOOKUP(Main_Presentation[[#This Row],[LC Number]],Main_Issuance[],5,0)</f>
        <v>BAB</v>
      </c>
      <c r="G927" s="17" t="str">
        <f>VLOOKUP(Main_Presentation[[#This Row],[LC Number]],Main_Issuance[],6,0)</f>
        <v>Oceanarium</v>
      </c>
      <c r="H927" s="17" t="str">
        <f>VLOOKUP(Main_Presentation[[#This Row],[LC Number]],Main_Issuance[],17,0)</f>
        <v>Credit</v>
      </c>
      <c r="I927" s="17" t="str">
        <f>VLOOKUP(Main_Presentation[[#This Row],[LC Number]],Main_Issuance[],7,0)</f>
        <v>Al Faisal Steel Products Co.</v>
      </c>
      <c r="J927" s="17" t="str">
        <f>VLOOKUP(Main_Presentation[[#This Row],[LC Number]],Main_Issuance[],8,0)</f>
        <v>MBL</v>
      </c>
      <c r="K927" s="17" t="str">
        <f>VLOOKUP(Main_Presentation[[#This Row],[LC Number]],Main_Issuance[],9,0)</f>
        <v>Neom - The Line</v>
      </c>
      <c r="L927" s="17">
        <f>VLOOKUP(Main_Presentation[[#This Row],[LC Number]],Main_Issuance[],10,0)</f>
        <v>1020098</v>
      </c>
      <c r="M927" s="17" t="str">
        <f>VLOOKUP(Main_Presentation[[#This Row],[LC Number]],Main_Issuance[],11,0)</f>
        <v>SAR</v>
      </c>
      <c r="N927" s="84">
        <f>VLOOKUP(Main_Presentation[[#This Row],[LC Number]],Main_Issuance[],12,0)</f>
        <v>2835037.61</v>
      </c>
      <c r="O927" s="16" t="s">
        <v>20</v>
      </c>
      <c r="P927" s="16" t="s">
        <v>857</v>
      </c>
      <c r="Q927" s="131">
        <v>1958341.32</v>
      </c>
      <c r="R927" s="18">
        <v>1</v>
      </c>
      <c r="S927" s="18">
        <f>Main_Presentation[[#This Row],[Invoice Amt (FCY)]]*Main_Presentation[[#This Row],[Rate]]</f>
        <v>1958341.32</v>
      </c>
      <c r="T927" s="15">
        <v>45841</v>
      </c>
      <c r="U927" s="26" t="str">
        <f>VLOOKUP(Main_Presentation[[#This Row],[LC Number]],Main_Issuance[],18,0)</f>
        <v>45 Days from Invoice Date</v>
      </c>
      <c r="V927" s="17" t="s">
        <v>407</v>
      </c>
      <c r="W927" s="22" t="s">
        <v>378</v>
      </c>
      <c r="X927" s="16"/>
      <c r="Y927" s="234" t="str">
        <f>TRIM(LEFT(Main_Presentation[[#This Row],[Payment Terms]],3))</f>
        <v>45</v>
      </c>
      <c r="Z927" s="16"/>
      <c r="AA927" s="316" cm="1">
        <f t="array" ref="AA927">Settlement(Main_Presentation[[#This Row],[Bank]],Main_Presentation[[#This Row],[ Invoice Amt (SAR)]],Main_Presentation[[#This Row],[Date Recd]],Main_Presentation[[#This Row],[Due Date]],Main_Presentation[[#This Row],[Days]])</f>
        <v>0</v>
      </c>
      <c r="AB927" s="16"/>
    </row>
    <row r="928" spans="1:28" ht="15.75" hidden="1" x14ac:dyDescent="0.25">
      <c r="A928" s="20" t="s">
        <v>1407</v>
      </c>
      <c r="B928" s="15">
        <v>45846</v>
      </c>
      <c r="C928" s="26">
        <v>1</v>
      </c>
      <c r="D928" s="55" t="str">
        <f>VLOOKUP(Main_Presentation[[#This Row],[LC Number]],Main_Issuance[],3,0)</f>
        <v>Hassan Taleb</v>
      </c>
      <c r="E928" s="16" t="s">
        <v>858</v>
      </c>
      <c r="F928" s="17" t="str">
        <f>VLOOKUP(Main_Presentation[[#This Row],[LC Number]],Main_Issuance[],5,0)</f>
        <v>Alinma</v>
      </c>
      <c r="G928" s="17" t="str">
        <f>VLOOKUP(Main_Presentation[[#This Row],[LC Number]],Main_Issuance[],6,0)</f>
        <v>KSP</v>
      </c>
      <c r="H928" s="17" t="str">
        <f>VLOOKUP(Main_Presentation[[#This Row],[LC Number]],Main_Issuance[],17,0)</f>
        <v>Credit</v>
      </c>
      <c r="I928" s="17" t="str">
        <f>VLOOKUP(Main_Presentation[[#This Row],[LC Number]],Main_Issuance[],7,0)</f>
        <v>SAHM AL MADINAH CONTRACTING EST</v>
      </c>
      <c r="J928" s="17" t="str">
        <f>VLOOKUP(Main_Presentation[[#This Row],[LC Number]],Main_Issuance[],8,0)</f>
        <v>FIRST FIX</v>
      </c>
      <c r="K928" s="17" t="str">
        <f>VLOOKUP(Main_Presentation[[#This Row],[LC Number]],Main_Issuance[],9,0)</f>
        <v>KSP</v>
      </c>
      <c r="L928" s="17">
        <f>VLOOKUP(Main_Presentation[[#This Row],[LC Number]],Main_Issuance[],10,0)</f>
        <v>1020055</v>
      </c>
      <c r="M928" s="17" t="str">
        <f>VLOOKUP(Main_Presentation[[#This Row],[LC Number]],Main_Issuance[],11,0)</f>
        <v>SAR</v>
      </c>
      <c r="N928" s="84">
        <f>VLOOKUP(Main_Presentation[[#This Row],[LC Number]],Main_Issuance[],12,0)</f>
        <v>150000</v>
      </c>
      <c r="O928" s="16" t="s">
        <v>20</v>
      </c>
      <c r="P928" s="16" t="s">
        <v>857</v>
      </c>
      <c r="Q928" s="131">
        <v>150000</v>
      </c>
      <c r="R928" s="18">
        <v>1</v>
      </c>
      <c r="S928" s="18">
        <f>Main_Presentation[[#This Row],[Invoice Amt (FCY)]]*Main_Presentation[[#This Row],[Rate]]</f>
        <v>150000</v>
      </c>
      <c r="T928" s="15">
        <v>45953</v>
      </c>
      <c r="U928" s="26" t="str">
        <f>VLOOKUP(Main_Presentation[[#This Row],[LC Number]],Main_Issuance[],18,0)</f>
        <v>120 Days from Invoice Date</v>
      </c>
      <c r="V928" s="17" t="s">
        <v>22</v>
      </c>
      <c r="W928" s="22" t="s">
        <v>857</v>
      </c>
      <c r="X928" s="16"/>
      <c r="Y928" s="234" t="str">
        <f>TRIM(LEFT(Main_Presentation[[#This Row],[Payment Terms]],3))</f>
        <v>120</v>
      </c>
      <c r="Z928" s="16"/>
      <c r="AA928" s="316" cm="1">
        <f t="array" ref="AA928">Settlement(Main_Presentation[[#This Row],[Bank]],Main_Presentation[[#This Row],[ Invoice Amt (SAR)]],Main_Presentation[[#This Row],[Date Recd]],Main_Presentation[[#This Row],[Due Date]],Main_Presentation[[#This Row],[Days]])</f>
        <v>1437.5</v>
      </c>
      <c r="AB928" s="16"/>
    </row>
    <row r="929" spans="1:28" ht="15.75" hidden="1" x14ac:dyDescent="0.25">
      <c r="A929" s="20" t="s">
        <v>1442</v>
      </c>
      <c r="B929" s="15">
        <v>45841</v>
      </c>
      <c r="C929" s="26">
        <v>1</v>
      </c>
      <c r="D929" s="55" t="str">
        <f>VLOOKUP(Main_Presentation[[#This Row],[LC Number]],Main_Issuance[],3,0)</f>
        <v>Hassan Taleb</v>
      </c>
      <c r="E929" s="16" t="s">
        <v>856</v>
      </c>
      <c r="F929" s="17" t="str">
        <f>VLOOKUP(Main_Presentation[[#This Row],[LC Number]],Main_Issuance[],5,0)</f>
        <v>SAB</v>
      </c>
      <c r="G929" s="17" t="str">
        <f>VLOOKUP(Main_Presentation[[#This Row],[LC Number]],Main_Issuance[],6,0)</f>
        <v>MP1</v>
      </c>
      <c r="H929" s="17" t="str">
        <f>VLOOKUP(Main_Presentation[[#This Row],[LC Number]],Main_Issuance[],17,0)</f>
        <v>Credit</v>
      </c>
      <c r="I929" s="17" t="str">
        <f>VLOOKUP(Main_Presentation[[#This Row],[LC Number]],Main_Issuance[],7,0)</f>
        <v>Al Maymanah for Contracting Co. Ltd.</v>
      </c>
      <c r="J929" s="17" t="str">
        <f>VLOOKUP(Main_Presentation[[#This Row],[LC Number]],Main_Issuance[],8,0)</f>
        <v>FIRST FIX</v>
      </c>
      <c r="K929" s="17" t="str">
        <f>VLOOKUP(Main_Presentation[[#This Row],[LC Number]],Main_Issuance[],9,0)</f>
        <v>MP1</v>
      </c>
      <c r="L929" s="17">
        <f>VLOOKUP(Main_Presentation[[#This Row],[LC Number]],Main_Issuance[],10,0)</f>
        <v>1020088</v>
      </c>
      <c r="M929" s="17" t="str">
        <f>VLOOKUP(Main_Presentation[[#This Row],[LC Number]],Main_Issuance[],11,0)</f>
        <v>SAR</v>
      </c>
      <c r="N929" s="84">
        <f>VLOOKUP(Main_Presentation[[#This Row],[LC Number]],Main_Issuance[],12,0)</f>
        <v>800000</v>
      </c>
      <c r="O929" s="16" t="s">
        <v>20</v>
      </c>
      <c r="P929" s="16" t="s">
        <v>857</v>
      </c>
      <c r="Q929" s="131">
        <v>800000</v>
      </c>
      <c r="R929" s="18">
        <v>1</v>
      </c>
      <c r="S929" s="18">
        <f>Main_Presentation[[#This Row],[Invoice Amt (FCY)]]*Main_Presentation[[#This Row],[Rate]]</f>
        <v>800000</v>
      </c>
      <c r="T929" s="15">
        <v>45938</v>
      </c>
      <c r="U929" s="26" t="str">
        <f>VLOOKUP(Main_Presentation[[#This Row],[LC Number]],Main_Issuance[],18,0)</f>
        <v>120 Days from Invoice Date</v>
      </c>
      <c r="V929" s="17" t="s">
        <v>367</v>
      </c>
      <c r="W929" s="22" t="s">
        <v>378</v>
      </c>
      <c r="X929" s="16"/>
      <c r="Y929" s="234" t="str">
        <f>TRIM(LEFT(Main_Presentation[[#This Row],[Payment Terms]],3))</f>
        <v>120</v>
      </c>
      <c r="Z929" s="16"/>
      <c r="AA929" s="316" cm="1">
        <f t="array" ref="AA929">Settlement(Main_Presentation[[#This Row],[Bank]],Main_Presentation[[#This Row],[ Invoice Amt (SAR)]],Main_Presentation[[#This Row],[Date Recd]],Main_Presentation[[#This Row],[Due Date]],Main_Presentation[[#This Row],[Days]])</f>
        <v>3450</v>
      </c>
      <c r="AB929" s="16"/>
    </row>
    <row r="930" spans="1:28" ht="15.75" hidden="1" x14ac:dyDescent="0.25">
      <c r="A930" s="20" t="s">
        <v>1341</v>
      </c>
      <c r="B930" s="15">
        <v>45851</v>
      </c>
      <c r="C930" s="26">
        <v>1</v>
      </c>
      <c r="D930" s="55" t="str">
        <f>VLOOKUP(Main_Presentation[[#This Row],[LC Number]],Main_Issuance[],3,0)</f>
        <v>Hassan Taleb</v>
      </c>
      <c r="E930" s="16" t="s">
        <v>856</v>
      </c>
      <c r="F930" s="17" t="str">
        <f>VLOOKUP(Main_Presentation[[#This Row],[LC Number]],Main_Issuance[],5,0)</f>
        <v>Alinma</v>
      </c>
      <c r="G930" s="17" t="str">
        <f>VLOOKUP(Main_Presentation[[#This Row],[LC Number]],Main_Issuance[],6,0)</f>
        <v>KSP</v>
      </c>
      <c r="H930" s="17" t="str">
        <f>VLOOKUP(Main_Presentation[[#This Row],[LC Number]],Main_Issuance[],17,0)</f>
        <v>Credit</v>
      </c>
      <c r="I930" s="17" t="str">
        <f>VLOOKUP(Main_Presentation[[#This Row],[LC Number]],Main_Issuance[],7,0)</f>
        <v>SAFID CO.LTD.</v>
      </c>
      <c r="J930" s="17" t="str">
        <f>VLOOKUP(Main_Presentation[[#This Row],[LC Number]],Main_Issuance[],8,0)</f>
        <v>FIRST FIX</v>
      </c>
      <c r="K930" s="17" t="str">
        <f>VLOOKUP(Main_Presentation[[#This Row],[LC Number]],Main_Issuance[],9,0)</f>
        <v>KSP</v>
      </c>
      <c r="L930" s="17">
        <f>VLOOKUP(Main_Presentation[[#This Row],[LC Number]],Main_Issuance[],10,0)</f>
        <v>1020055</v>
      </c>
      <c r="M930" s="17" t="str">
        <f>VLOOKUP(Main_Presentation[[#This Row],[LC Number]],Main_Issuance[],11,0)</f>
        <v>SAR</v>
      </c>
      <c r="N930" s="84">
        <f>VLOOKUP(Main_Presentation[[#This Row],[LC Number]],Main_Issuance[],12,0)</f>
        <v>535185.18000000005</v>
      </c>
      <c r="O930" s="16" t="s">
        <v>20</v>
      </c>
      <c r="P930" s="16" t="s">
        <v>857</v>
      </c>
      <c r="Q930" s="131">
        <v>535185.18000000005</v>
      </c>
      <c r="R930" s="18">
        <v>1</v>
      </c>
      <c r="S930" s="18">
        <f>Main_Presentation[[#This Row],[Invoice Amt (FCY)]]*Main_Presentation[[#This Row],[Rate]]</f>
        <v>535185.18000000005</v>
      </c>
      <c r="T930" s="15">
        <v>45957</v>
      </c>
      <c r="U930" s="26" t="str">
        <f>VLOOKUP(Main_Presentation[[#This Row],[LC Number]],Main_Issuance[],18,0)</f>
        <v>120 Days from Invoice Date</v>
      </c>
      <c r="V930" s="17" t="s">
        <v>22</v>
      </c>
      <c r="W930" s="22" t="s">
        <v>857</v>
      </c>
      <c r="X930" s="16"/>
      <c r="Y930" s="234" t="str">
        <f>TRIM(LEFT(Main_Presentation[[#This Row],[Payment Terms]],3))</f>
        <v>120</v>
      </c>
      <c r="Z930" s="16"/>
      <c r="AA930" s="316" cm="1">
        <f t="array" ref="AA930">Settlement(Main_Presentation[[#This Row],[Bank]],Main_Presentation[[#This Row],[ Invoice Amt (SAR)]],Main_Presentation[[#This Row],[Date Recd]],Main_Presentation[[#This Row],[Due Date]],Main_Presentation[[#This Row],[Days]])</f>
        <v>1437.5</v>
      </c>
      <c r="AB930" s="16"/>
    </row>
    <row r="931" spans="1:28" ht="15.75" hidden="1" x14ac:dyDescent="0.25">
      <c r="A931" s="20" t="s">
        <v>1404</v>
      </c>
      <c r="B931" s="15">
        <v>45845</v>
      </c>
      <c r="C931" s="26">
        <v>1</v>
      </c>
      <c r="D931" s="55" t="str">
        <f>VLOOKUP(Main_Presentation[[#This Row],[LC Number]],Main_Issuance[],3,0)</f>
        <v>Hassan Taleb</v>
      </c>
      <c r="E931" s="16" t="s">
        <v>858</v>
      </c>
      <c r="F931" s="17" t="str">
        <f>VLOOKUP(Main_Presentation[[#This Row],[LC Number]],Main_Issuance[],5,0)</f>
        <v>Alinma</v>
      </c>
      <c r="G931" s="17" t="str">
        <f>VLOOKUP(Main_Presentation[[#This Row],[LC Number]],Main_Issuance[],6,0)</f>
        <v>KSP</v>
      </c>
      <c r="H931" s="17" t="str">
        <f>VLOOKUP(Main_Presentation[[#This Row],[LC Number]],Main_Issuance[],17,0)</f>
        <v>Credit</v>
      </c>
      <c r="I931" s="17" t="str">
        <f>VLOOKUP(Main_Presentation[[#This Row],[LC Number]],Main_Issuance[],7,0)</f>
        <v>DANIA AIR CONTROL SYSTEM FACTORY</v>
      </c>
      <c r="J931" s="17" t="str">
        <f>VLOOKUP(Main_Presentation[[#This Row],[LC Number]],Main_Issuance[],8,0)</f>
        <v>FIRST FIX</v>
      </c>
      <c r="K931" s="17" t="str">
        <f>VLOOKUP(Main_Presentation[[#This Row],[LC Number]],Main_Issuance[],9,0)</f>
        <v>KSP</v>
      </c>
      <c r="L931" s="17">
        <f>VLOOKUP(Main_Presentation[[#This Row],[LC Number]],Main_Issuance[],10,0)</f>
        <v>1020055</v>
      </c>
      <c r="M931" s="17" t="str">
        <f>VLOOKUP(Main_Presentation[[#This Row],[LC Number]],Main_Issuance[],11,0)</f>
        <v>SAR</v>
      </c>
      <c r="N931" s="84">
        <f>VLOOKUP(Main_Presentation[[#This Row],[LC Number]],Main_Issuance[],12,0)</f>
        <v>197999.99</v>
      </c>
      <c r="O931" s="16" t="s">
        <v>910</v>
      </c>
      <c r="P931" s="16" t="s">
        <v>378</v>
      </c>
      <c r="Q931" s="131">
        <v>197999.99</v>
      </c>
      <c r="R931" s="18">
        <v>1</v>
      </c>
      <c r="S931" s="18">
        <f>Main_Presentation[[#This Row],[Invoice Amt (FCY)]]*Main_Presentation[[#This Row],[Rate]]</f>
        <v>197999.99</v>
      </c>
      <c r="T931" s="15">
        <v>45923</v>
      </c>
      <c r="U931" s="26" t="str">
        <f>VLOOKUP(Main_Presentation[[#This Row],[LC Number]],Main_Issuance[],18,0)</f>
        <v>120 Days from Invoice Date</v>
      </c>
      <c r="V931" s="17"/>
      <c r="W931" s="22" t="s">
        <v>378</v>
      </c>
      <c r="X931" s="16" t="s">
        <v>1692</v>
      </c>
      <c r="Y931" s="234" t="str">
        <f>TRIM(LEFT(Main_Presentation[[#This Row],[Payment Terms]],3))</f>
        <v>120</v>
      </c>
      <c r="Z931" s="16"/>
      <c r="AA931" s="316" cm="1">
        <f t="array" ref="AA931">Settlement(Main_Presentation[[#This Row],[Bank]],Main_Presentation[[#This Row],[ Invoice Amt (SAR)]],Main_Presentation[[#This Row],[Date Recd]],Main_Presentation[[#This Row],[Due Date]],Main_Presentation[[#This Row],[Days]])</f>
        <v>1437.5</v>
      </c>
      <c r="AB931" s="16"/>
    </row>
    <row r="932" spans="1:28" ht="15.75" hidden="1" x14ac:dyDescent="0.25">
      <c r="A932" s="20" t="s">
        <v>1340</v>
      </c>
      <c r="B932" s="15">
        <v>45855</v>
      </c>
      <c r="C932" s="26">
        <v>1</v>
      </c>
      <c r="D932" s="55" t="str">
        <f>VLOOKUP(Main_Presentation[[#This Row],[LC Number]],Main_Issuance[],3,0)</f>
        <v>Hassan Taleb</v>
      </c>
      <c r="E932" s="16" t="s">
        <v>858</v>
      </c>
      <c r="F932" s="17" t="str">
        <f>VLOOKUP(Main_Presentation[[#This Row],[LC Number]],Main_Issuance[],5,0)</f>
        <v>Alinma</v>
      </c>
      <c r="G932" s="17" t="str">
        <f>VLOOKUP(Main_Presentation[[#This Row],[LC Number]],Main_Issuance[],6,0)</f>
        <v>KSP</v>
      </c>
      <c r="H932" s="17" t="str">
        <f>VLOOKUP(Main_Presentation[[#This Row],[LC Number]],Main_Issuance[],17,0)</f>
        <v>Credit</v>
      </c>
      <c r="I932" s="17" t="str">
        <f>VLOOKUP(Main_Presentation[[#This Row],[LC Number]],Main_Issuance[],7,0)</f>
        <v>ATC Saudi Co.</v>
      </c>
      <c r="J932" s="17" t="str">
        <f>VLOOKUP(Main_Presentation[[#This Row],[LC Number]],Main_Issuance[],8,0)</f>
        <v>FIRST FIX</v>
      </c>
      <c r="K932" s="17" t="str">
        <f>VLOOKUP(Main_Presentation[[#This Row],[LC Number]],Main_Issuance[],9,0)</f>
        <v>KSP</v>
      </c>
      <c r="L932" s="17">
        <f>VLOOKUP(Main_Presentation[[#This Row],[LC Number]],Main_Issuance[],10,0)</f>
        <v>1020055</v>
      </c>
      <c r="M932" s="17" t="str">
        <f>VLOOKUP(Main_Presentation[[#This Row],[LC Number]],Main_Issuance[],11,0)</f>
        <v>SAR</v>
      </c>
      <c r="N932" s="84">
        <f>VLOOKUP(Main_Presentation[[#This Row],[LC Number]],Main_Issuance[],12,0)</f>
        <v>167957.5</v>
      </c>
      <c r="O932" s="16" t="s">
        <v>20</v>
      </c>
      <c r="P932" s="16" t="s">
        <v>857</v>
      </c>
      <c r="Q932" s="131">
        <v>167967.5</v>
      </c>
      <c r="R932" s="18">
        <v>1</v>
      </c>
      <c r="S932" s="18">
        <f>Main_Presentation[[#This Row],[Invoice Amt (FCY)]]*Main_Presentation[[#This Row],[Rate]]</f>
        <v>167967.5</v>
      </c>
      <c r="T932" s="15">
        <v>45952</v>
      </c>
      <c r="U932" s="26" t="str">
        <f>VLOOKUP(Main_Presentation[[#This Row],[LC Number]],Main_Issuance[],18,0)</f>
        <v>120 Days from Invoice Date</v>
      </c>
      <c r="V932" s="17" t="s">
        <v>22</v>
      </c>
      <c r="W932" s="22" t="s">
        <v>857</v>
      </c>
      <c r="X932" s="16"/>
      <c r="Y932" s="234" t="str">
        <f>TRIM(LEFT(Main_Presentation[[#This Row],[Payment Terms]],3))</f>
        <v>120</v>
      </c>
      <c r="Z932" s="16"/>
      <c r="AA932" s="316" cm="1">
        <f t="array" ref="AA932">Settlement(Main_Presentation[[#This Row],[Bank]],Main_Presentation[[#This Row],[ Invoice Amt (SAR)]],Main_Presentation[[#This Row],[Date Recd]],Main_Presentation[[#This Row],[Due Date]],Main_Presentation[[#This Row],[Days]])</f>
        <v>1437.5</v>
      </c>
      <c r="AB932" s="16"/>
    </row>
    <row r="933" spans="1:28" ht="15.75" hidden="1" x14ac:dyDescent="0.25">
      <c r="A933" s="20" t="s">
        <v>733</v>
      </c>
      <c r="B933" s="15">
        <v>45886</v>
      </c>
      <c r="C933" s="26">
        <v>5</v>
      </c>
      <c r="D933" s="55" t="str">
        <f>VLOOKUP(Main_Presentation[[#This Row],[LC Number]],Main_Issuance[],3,0)</f>
        <v>Hassan Taleb</v>
      </c>
      <c r="E933" s="16" t="s">
        <v>856</v>
      </c>
      <c r="F933" s="17" t="str">
        <f>VLOOKUP(Main_Presentation[[#This Row],[LC Number]],Main_Issuance[],5,0)</f>
        <v>Jazira</v>
      </c>
      <c r="G933" s="17" t="str">
        <f>VLOOKUP(Main_Presentation[[#This Row],[LC Number]],Main_Issuance[],6,0)</f>
        <v>RCRC</v>
      </c>
      <c r="H933" s="17" t="str">
        <f>VLOOKUP(Main_Presentation[[#This Row],[LC Number]],Main_Issuance[],17,0)</f>
        <v>Credit</v>
      </c>
      <c r="I933" s="17" t="str">
        <f>VLOOKUP(Main_Presentation[[#This Row],[LC Number]],Main_Issuance[],7,0)</f>
        <v>ALFANAR ELECTRICAL SYSTEMS</v>
      </c>
      <c r="J933" s="17" t="str">
        <f>VLOOKUP(Main_Presentation[[#This Row],[LC Number]],Main_Issuance[],8,0)</f>
        <v>FIRST FIX</v>
      </c>
      <c r="K933" s="17" t="str">
        <f>VLOOKUP(Main_Presentation[[#This Row],[LC Number]],Main_Issuance[],9,0)</f>
        <v>RCRC</v>
      </c>
      <c r="L933" s="17">
        <f>VLOOKUP(Main_Presentation[[#This Row],[LC Number]],Main_Issuance[],10,0)</f>
        <v>1020106</v>
      </c>
      <c r="M933" s="17" t="str">
        <f>VLOOKUP(Main_Presentation[[#This Row],[LC Number]],Main_Issuance[],11,0)</f>
        <v>SAR</v>
      </c>
      <c r="N933" s="84">
        <f>VLOOKUP(Main_Presentation[[#This Row],[LC Number]],Main_Issuance[],12,0)</f>
        <v>8002636.4299999997</v>
      </c>
      <c r="O933" s="16" t="s">
        <v>20</v>
      </c>
      <c r="P933" s="16" t="s">
        <v>857</v>
      </c>
      <c r="Q933" s="131">
        <v>531277.57999999996</v>
      </c>
      <c r="R933" s="18">
        <v>1</v>
      </c>
      <c r="S933" s="18">
        <f>Main_Presentation[[#This Row],[Invoice Amt (FCY)]]*Main_Presentation[[#This Row],[Rate]]</f>
        <v>531277.57999999996</v>
      </c>
      <c r="T933" s="15">
        <v>45886</v>
      </c>
      <c r="U933" s="26" t="str">
        <f>VLOOKUP(Main_Presentation[[#This Row],[LC Number]],Main_Issuance[],18,0)</f>
        <v>90 Days from Invoice Date</v>
      </c>
      <c r="V933" s="17" t="s">
        <v>1772</v>
      </c>
      <c r="W933" s="22" t="s">
        <v>378</v>
      </c>
      <c r="X933" s="16"/>
      <c r="Y933" s="234" t="str">
        <f>TRIM(LEFT(Main_Presentation[[#This Row],[Payment Terms]],3))</f>
        <v>90</v>
      </c>
      <c r="Z933" s="16"/>
      <c r="AA933" s="316" cm="1">
        <f t="array" ref="AA933">Settlement(Main_Presentation[[#This Row],[Bank]],Main_Presentation[[#This Row],[ Invoice Amt (SAR)]],Main_Presentation[[#This Row],[Date Recd]],Main_Presentation[[#This Row],[Due Date]],Main_Presentation[[#This Row],[Days]])</f>
        <v>977.5</v>
      </c>
      <c r="AB933" s="16"/>
    </row>
    <row r="934" spans="1:28" ht="15.75" hidden="1" x14ac:dyDescent="0.25">
      <c r="A934" s="20" t="s">
        <v>1406</v>
      </c>
      <c r="B934" s="15">
        <v>45848</v>
      </c>
      <c r="C934" s="26">
        <v>1</v>
      </c>
      <c r="D934" s="55" t="str">
        <f>VLOOKUP(Main_Presentation[[#This Row],[LC Number]],Main_Issuance[],3,0)</f>
        <v>Hassan Taleb</v>
      </c>
      <c r="E934" s="16" t="s">
        <v>858</v>
      </c>
      <c r="F934" s="17" t="str">
        <f>VLOOKUP(Main_Presentation[[#This Row],[LC Number]],Main_Issuance[],5,0)</f>
        <v>Alinma</v>
      </c>
      <c r="G934" s="17" t="str">
        <f>VLOOKUP(Main_Presentation[[#This Row],[LC Number]],Main_Issuance[],6,0)</f>
        <v>KSP</v>
      </c>
      <c r="H934" s="17" t="str">
        <f>VLOOKUP(Main_Presentation[[#This Row],[LC Number]],Main_Issuance[],17,0)</f>
        <v>Credit</v>
      </c>
      <c r="I934" s="17" t="str">
        <f>VLOOKUP(Main_Presentation[[#This Row],[LC Number]],Main_Issuance[],7,0)</f>
        <v>Universal Building Materials Merchants Co. ltd</v>
      </c>
      <c r="J934" s="17" t="str">
        <f>VLOOKUP(Main_Presentation[[#This Row],[LC Number]],Main_Issuance[],8,0)</f>
        <v>FIRST FIX</v>
      </c>
      <c r="K934" s="17" t="str">
        <f>VLOOKUP(Main_Presentation[[#This Row],[LC Number]],Main_Issuance[],9,0)</f>
        <v>KSP</v>
      </c>
      <c r="L934" s="17">
        <f>VLOOKUP(Main_Presentation[[#This Row],[LC Number]],Main_Issuance[],10,0)</f>
        <v>1020055</v>
      </c>
      <c r="M934" s="17" t="str">
        <f>VLOOKUP(Main_Presentation[[#This Row],[LC Number]],Main_Issuance[],11,0)</f>
        <v>SAR</v>
      </c>
      <c r="N934" s="84">
        <f>VLOOKUP(Main_Presentation[[#This Row],[LC Number]],Main_Issuance[],12,0)</f>
        <v>200000</v>
      </c>
      <c r="O934" s="16" t="s">
        <v>20</v>
      </c>
      <c r="P934" s="16" t="s">
        <v>857</v>
      </c>
      <c r="Q934" s="131">
        <v>200000</v>
      </c>
      <c r="R934" s="18">
        <v>1</v>
      </c>
      <c r="S934" s="18">
        <f>Main_Presentation[[#This Row],[Invoice Amt (FCY)]]*Main_Presentation[[#This Row],[Rate]]</f>
        <v>200000</v>
      </c>
      <c r="T934" s="15">
        <v>45952</v>
      </c>
      <c r="U934" s="26" t="str">
        <f>VLOOKUP(Main_Presentation[[#This Row],[LC Number]],Main_Issuance[],18,0)</f>
        <v>120 Days from Invoice Date</v>
      </c>
      <c r="V934" s="17" t="s">
        <v>22</v>
      </c>
      <c r="W934" s="22" t="s">
        <v>857</v>
      </c>
      <c r="X934" s="16"/>
      <c r="Y934" s="234" t="str">
        <f>TRIM(LEFT(Main_Presentation[[#This Row],[Payment Terms]],3))</f>
        <v>120</v>
      </c>
      <c r="Z934" s="16"/>
      <c r="AA934" s="316" cm="1">
        <f t="array" ref="AA934">Settlement(Main_Presentation[[#This Row],[Bank]],Main_Presentation[[#This Row],[ Invoice Amt (SAR)]],Main_Presentation[[#This Row],[Date Recd]],Main_Presentation[[#This Row],[Due Date]],Main_Presentation[[#This Row],[Days]])</f>
        <v>1437.5</v>
      </c>
      <c r="AB934" s="16"/>
    </row>
    <row r="935" spans="1:28" ht="15.75" hidden="1" x14ac:dyDescent="0.25">
      <c r="A935" s="20" t="s">
        <v>1349</v>
      </c>
      <c r="B935" s="15">
        <v>45853</v>
      </c>
      <c r="C935" s="26">
        <v>1</v>
      </c>
      <c r="D935" s="55" t="str">
        <f>VLOOKUP(Main_Presentation[[#This Row],[LC Number]],Main_Issuance[],3,0)</f>
        <v>Hassan Taleb</v>
      </c>
      <c r="E935" s="16" t="s">
        <v>856</v>
      </c>
      <c r="F935" s="17" t="str">
        <f>VLOOKUP(Main_Presentation[[#This Row],[LC Number]],Main_Issuance[],5,0)</f>
        <v>Alinma</v>
      </c>
      <c r="G935" s="17" t="str">
        <f>VLOOKUP(Main_Presentation[[#This Row],[LC Number]],Main_Issuance[],6,0)</f>
        <v>KSP</v>
      </c>
      <c r="H935" s="17" t="str">
        <f>VLOOKUP(Main_Presentation[[#This Row],[LC Number]],Main_Issuance[],17,0)</f>
        <v>Credit</v>
      </c>
      <c r="I935" s="17" t="str">
        <f>VLOOKUP(Main_Presentation[[#This Row],[LC Number]],Main_Issuance[],7,0)</f>
        <v>TECHNICAL TOOLS TRADING CO</v>
      </c>
      <c r="J935" s="17" t="str">
        <f>VLOOKUP(Main_Presentation[[#This Row],[LC Number]],Main_Issuance[],8,0)</f>
        <v>FIRST FIX</v>
      </c>
      <c r="K935" s="17" t="str">
        <f>VLOOKUP(Main_Presentation[[#This Row],[LC Number]],Main_Issuance[],9,0)</f>
        <v>KSP</v>
      </c>
      <c r="L935" s="17">
        <f>VLOOKUP(Main_Presentation[[#This Row],[LC Number]],Main_Issuance[],10,0)</f>
        <v>1020055</v>
      </c>
      <c r="M935" s="17" t="str">
        <f>VLOOKUP(Main_Presentation[[#This Row],[LC Number]],Main_Issuance[],11,0)</f>
        <v>SAR</v>
      </c>
      <c r="N935" s="84">
        <f>VLOOKUP(Main_Presentation[[#This Row],[LC Number]],Main_Issuance[],12,0)</f>
        <v>124712.48</v>
      </c>
      <c r="O935" s="16" t="s">
        <v>20</v>
      </c>
      <c r="P935" s="16" t="s">
        <v>857</v>
      </c>
      <c r="Q935" s="131">
        <v>124712.48</v>
      </c>
      <c r="R935" s="18">
        <v>1</v>
      </c>
      <c r="S935" s="18">
        <f>Main_Presentation[[#This Row],[Invoice Amt (FCY)]]*Main_Presentation[[#This Row],[Rate]]</f>
        <v>124712.48</v>
      </c>
      <c r="T935" s="15">
        <v>45952</v>
      </c>
      <c r="U935" s="26" t="str">
        <f>VLOOKUP(Main_Presentation[[#This Row],[LC Number]],Main_Issuance[],18,0)</f>
        <v>120 Days from Invoice Date</v>
      </c>
      <c r="V935" s="17" t="s">
        <v>22</v>
      </c>
      <c r="W935" s="22" t="s">
        <v>857</v>
      </c>
      <c r="X935" s="16"/>
      <c r="Y935" s="234" t="str">
        <f>TRIM(LEFT(Main_Presentation[[#This Row],[Payment Terms]],3))</f>
        <v>120</v>
      </c>
      <c r="Z935" s="16"/>
      <c r="AA935" s="316" cm="1">
        <f t="array" ref="AA935">Settlement(Main_Presentation[[#This Row],[Bank]],Main_Presentation[[#This Row],[ Invoice Amt (SAR)]],Main_Presentation[[#This Row],[Date Recd]],Main_Presentation[[#This Row],[Due Date]],Main_Presentation[[#This Row],[Days]])</f>
        <v>1437.5</v>
      </c>
      <c r="AB935" s="16"/>
    </row>
    <row r="936" spans="1:28" ht="15.75" hidden="1" x14ac:dyDescent="0.25">
      <c r="A936" s="20" t="s">
        <v>596</v>
      </c>
      <c r="B936" s="15">
        <v>45845</v>
      </c>
      <c r="C936" s="26">
        <v>2</v>
      </c>
      <c r="D936" s="55" t="str">
        <f>VLOOKUP(Main_Presentation[[#This Row],[LC Number]],Main_Issuance[],3,0)</f>
        <v>Hassan Taleb</v>
      </c>
      <c r="E936" s="16" t="s">
        <v>858</v>
      </c>
      <c r="F936" s="17" t="str">
        <f>VLOOKUP(Main_Presentation[[#This Row],[LC Number]],Main_Issuance[],5,0)</f>
        <v>BAB</v>
      </c>
      <c r="G936" s="17" t="str">
        <f>VLOOKUP(Main_Presentation[[#This Row],[LC Number]],Main_Issuance[],6,0)</f>
        <v>Cash</v>
      </c>
      <c r="H936" s="17" t="str">
        <f>VLOOKUP(Main_Presentation[[#This Row],[LC Number]],Main_Issuance[],17,0)</f>
        <v>Cash</v>
      </c>
      <c r="I936" s="17" t="str">
        <f>VLOOKUP(Main_Presentation[[#This Row],[LC Number]],Main_Issuance[],7,0)</f>
        <v>Branch of National Fire Fighting (NAFFCO)</v>
      </c>
      <c r="J936" s="17" t="str">
        <f>VLOOKUP(Main_Presentation[[#This Row],[LC Number]],Main_Issuance[],8,0)</f>
        <v>FIRST FIX</v>
      </c>
      <c r="K936" s="17" t="str">
        <f>VLOOKUP(Main_Presentation[[#This Row],[LC Number]],Main_Issuance[],9,0)</f>
        <v>KSP</v>
      </c>
      <c r="L936" s="17">
        <f>VLOOKUP(Main_Presentation[[#This Row],[LC Number]],Main_Issuance[],10,0)</f>
        <v>1020055</v>
      </c>
      <c r="M936" s="17" t="str">
        <f>VLOOKUP(Main_Presentation[[#This Row],[LC Number]],Main_Issuance[],11,0)</f>
        <v>SAR</v>
      </c>
      <c r="N936" s="84">
        <f>VLOOKUP(Main_Presentation[[#This Row],[LC Number]],Main_Issuance[],12,0)</f>
        <v>886481.72000000009</v>
      </c>
      <c r="O936" s="16" t="s">
        <v>20</v>
      </c>
      <c r="P936" s="16" t="s">
        <v>857</v>
      </c>
      <c r="Q936" s="131">
        <v>64094.5</v>
      </c>
      <c r="R936" s="18">
        <v>1</v>
      </c>
      <c r="S936" s="18">
        <f>Main_Presentation[[#This Row],[Invoice Amt (FCY)]]*Main_Presentation[[#This Row],[Rate]]</f>
        <v>64094.5</v>
      </c>
      <c r="T936" s="15">
        <v>45914</v>
      </c>
      <c r="U936" s="26" t="str">
        <f>VLOOKUP(Main_Presentation[[#This Row],[LC Number]],Main_Issuance[],18,0)</f>
        <v>90 Days from Invoice Date</v>
      </c>
      <c r="V936" s="17" t="s">
        <v>1849</v>
      </c>
      <c r="W936" s="22" t="s">
        <v>378</v>
      </c>
      <c r="X936" s="16"/>
      <c r="Y936" s="234" t="str">
        <f>TRIM(LEFT(Main_Presentation[[#This Row],[Payment Terms]],3))</f>
        <v>90</v>
      </c>
      <c r="Z936" s="16"/>
      <c r="AA936" s="316" cm="1">
        <f t="array" ref="AA936">Settlement(Main_Presentation[[#This Row],[Bank]],Main_Presentation[[#This Row],[ Invoice Amt (SAR)]],Main_Presentation[[#This Row],[Date Recd]],Main_Presentation[[#This Row],[Due Date]],Main_Presentation[[#This Row],[Days]])</f>
        <v>0</v>
      </c>
      <c r="AB936" s="16"/>
    </row>
    <row r="937" spans="1:28" ht="15.75" hidden="1" x14ac:dyDescent="0.25">
      <c r="A937" s="20" t="s">
        <v>1351</v>
      </c>
      <c r="B937" s="15">
        <v>45855</v>
      </c>
      <c r="C937" s="26">
        <v>1</v>
      </c>
      <c r="D937" s="55" t="str">
        <f>VLOOKUP(Main_Presentation[[#This Row],[LC Number]],Main_Issuance[],3,0)</f>
        <v>Hassan Taleb</v>
      </c>
      <c r="E937" s="16" t="s">
        <v>858</v>
      </c>
      <c r="F937" s="17" t="str">
        <f>VLOOKUP(Main_Presentation[[#This Row],[LC Number]],Main_Issuance[],5,0)</f>
        <v>Alinma</v>
      </c>
      <c r="G937" s="17" t="str">
        <f>VLOOKUP(Main_Presentation[[#This Row],[LC Number]],Main_Issuance[],6,0)</f>
        <v>KSP</v>
      </c>
      <c r="H937" s="17" t="str">
        <f>VLOOKUP(Main_Presentation[[#This Row],[LC Number]],Main_Issuance[],17,0)</f>
        <v>Credit</v>
      </c>
      <c r="I937" s="17" t="str">
        <f>VLOOKUP(Main_Presentation[[#This Row],[LC Number]],Main_Issuance[],7,0)</f>
        <v>Saudi Electric Supply Company</v>
      </c>
      <c r="J937" s="17" t="str">
        <f>VLOOKUP(Main_Presentation[[#This Row],[LC Number]],Main_Issuance[],8,0)</f>
        <v>FIRST FIX</v>
      </c>
      <c r="K937" s="17" t="str">
        <f>VLOOKUP(Main_Presentation[[#This Row],[LC Number]],Main_Issuance[],9,0)</f>
        <v>KSP</v>
      </c>
      <c r="L937" s="17">
        <f>VLOOKUP(Main_Presentation[[#This Row],[LC Number]],Main_Issuance[],10,0)</f>
        <v>1020055</v>
      </c>
      <c r="M937" s="17" t="str">
        <f>VLOOKUP(Main_Presentation[[#This Row],[LC Number]],Main_Issuance[],11,0)</f>
        <v>SAR</v>
      </c>
      <c r="N937" s="84">
        <f>VLOOKUP(Main_Presentation[[#This Row],[LC Number]],Main_Issuance[],12,0)</f>
        <v>335475.96000000002</v>
      </c>
      <c r="O937" s="16" t="s">
        <v>20</v>
      </c>
      <c r="P937" s="16" t="s">
        <v>857</v>
      </c>
      <c r="Q937" s="131">
        <v>335475.96000000002</v>
      </c>
      <c r="R937" s="18">
        <v>1</v>
      </c>
      <c r="S937" s="18">
        <f>Main_Presentation[[#This Row],[Invoice Amt (FCY)]]*Main_Presentation[[#This Row],[Rate]]</f>
        <v>335475.96000000002</v>
      </c>
      <c r="T937" s="15">
        <v>45952</v>
      </c>
      <c r="U937" s="26" t="str">
        <f>VLOOKUP(Main_Presentation[[#This Row],[LC Number]],Main_Issuance[],18,0)</f>
        <v>120 Days from Invoice Date</v>
      </c>
      <c r="V937" s="17" t="s">
        <v>22</v>
      </c>
      <c r="W937" s="22" t="s">
        <v>857</v>
      </c>
      <c r="X937" s="16"/>
      <c r="Y937" s="234" t="str">
        <f>TRIM(LEFT(Main_Presentation[[#This Row],[Payment Terms]],3))</f>
        <v>120</v>
      </c>
      <c r="Z937" s="16"/>
      <c r="AA937" s="316" cm="1">
        <f t="array" ref="AA937">Settlement(Main_Presentation[[#This Row],[Bank]],Main_Presentation[[#This Row],[ Invoice Amt (SAR)]],Main_Presentation[[#This Row],[Date Recd]],Main_Presentation[[#This Row],[Due Date]],Main_Presentation[[#This Row],[Days]])</f>
        <v>1437.5</v>
      </c>
      <c r="AB937" s="16"/>
    </row>
    <row r="938" spans="1:28" ht="15.75" hidden="1" x14ac:dyDescent="0.25">
      <c r="A938" s="20" t="s">
        <v>1344</v>
      </c>
      <c r="B938" s="15">
        <v>45859</v>
      </c>
      <c r="C938" s="26">
        <v>1</v>
      </c>
      <c r="D938" s="55" t="str">
        <f>VLOOKUP(Main_Presentation[[#This Row],[LC Number]],Main_Issuance[],3,0)</f>
        <v>Hassan Taleb</v>
      </c>
      <c r="E938" s="16" t="s">
        <v>858</v>
      </c>
      <c r="F938" s="17" t="str">
        <f>VLOOKUP(Main_Presentation[[#This Row],[LC Number]],Main_Issuance[],5,0)</f>
        <v>Alinma</v>
      </c>
      <c r="G938" s="17" t="str">
        <f>VLOOKUP(Main_Presentation[[#This Row],[LC Number]],Main_Issuance[],6,0)</f>
        <v>KSP</v>
      </c>
      <c r="H938" s="17" t="str">
        <f>VLOOKUP(Main_Presentation[[#This Row],[LC Number]],Main_Issuance[],17,0)</f>
        <v>Credit</v>
      </c>
      <c r="I938" s="17" t="str">
        <f>VLOOKUP(Main_Presentation[[#This Row],[LC Number]],Main_Issuance[],7,0)</f>
        <v>PROJECT SUPPLY FOR TRADING EST.</v>
      </c>
      <c r="J938" s="17" t="str">
        <f>VLOOKUP(Main_Presentation[[#This Row],[LC Number]],Main_Issuance[],8,0)</f>
        <v>FIRST FIX</v>
      </c>
      <c r="K938" s="17" t="str">
        <f>VLOOKUP(Main_Presentation[[#This Row],[LC Number]],Main_Issuance[],9,0)</f>
        <v>KSP</v>
      </c>
      <c r="L938" s="17">
        <f>VLOOKUP(Main_Presentation[[#This Row],[LC Number]],Main_Issuance[],10,0)</f>
        <v>1020055</v>
      </c>
      <c r="M938" s="17" t="str">
        <f>VLOOKUP(Main_Presentation[[#This Row],[LC Number]],Main_Issuance[],11,0)</f>
        <v>SAR</v>
      </c>
      <c r="N938" s="84">
        <f>VLOOKUP(Main_Presentation[[#This Row],[LC Number]],Main_Issuance[],12,0)</f>
        <v>613577</v>
      </c>
      <c r="O938" s="16" t="s">
        <v>20</v>
      </c>
      <c r="P938" s="16" t="s">
        <v>857</v>
      </c>
      <c r="Q938" s="131">
        <v>613577</v>
      </c>
      <c r="R938" s="18">
        <v>1</v>
      </c>
      <c r="S938" s="18">
        <f>Main_Presentation[[#This Row],[Invoice Amt (FCY)]]*Main_Presentation[[#This Row],[Rate]]</f>
        <v>613577</v>
      </c>
      <c r="T938" s="15">
        <v>45957</v>
      </c>
      <c r="U938" s="26" t="str">
        <f>VLOOKUP(Main_Presentation[[#This Row],[LC Number]],Main_Issuance[],18,0)</f>
        <v>120 Days from Invoice Date</v>
      </c>
      <c r="V938" s="17" t="s">
        <v>22</v>
      </c>
      <c r="W938" s="22" t="s">
        <v>857</v>
      </c>
      <c r="X938" s="16"/>
      <c r="Y938" s="234" t="str">
        <f>TRIM(LEFT(Main_Presentation[[#This Row],[Payment Terms]],3))</f>
        <v>120</v>
      </c>
      <c r="Z938" s="16"/>
      <c r="AA938" s="316" cm="1">
        <f t="array" ref="AA938">Settlement(Main_Presentation[[#This Row],[Bank]],Main_Presentation[[#This Row],[ Invoice Amt (SAR)]],Main_Presentation[[#This Row],[Date Recd]],Main_Presentation[[#This Row],[Due Date]],Main_Presentation[[#This Row],[Days]])</f>
        <v>1437.5</v>
      </c>
      <c r="AB938" s="16"/>
    </row>
    <row r="939" spans="1:28" ht="15.75" hidden="1" x14ac:dyDescent="0.25">
      <c r="A939" s="20" t="s">
        <v>1346</v>
      </c>
      <c r="B939" s="15">
        <v>45848</v>
      </c>
      <c r="C939" s="26">
        <v>1</v>
      </c>
      <c r="D939" s="55" t="str">
        <f>VLOOKUP(Main_Presentation[[#This Row],[LC Number]],Main_Issuance[],3,0)</f>
        <v>Hassan Taleb</v>
      </c>
      <c r="E939" s="16" t="s">
        <v>858</v>
      </c>
      <c r="F939" s="17" t="str">
        <f>VLOOKUP(Main_Presentation[[#This Row],[LC Number]],Main_Issuance[],5,0)</f>
        <v>Alinma</v>
      </c>
      <c r="G939" s="17" t="str">
        <f>VLOOKUP(Main_Presentation[[#This Row],[LC Number]],Main_Issuance[],6,0)</f>
        <v>KSP</v>
      </c>
      <c r="H939" s="17" t="str">
        <f>VLOOKUP(Main_Presentation[[#This Row],[LC Number]],Main_Issuance[],17,0)</f>
        <v>Credit</v>
      </c>
      <c r="I939" s="17" t="str">
        <f>VLOOKUP(Main_Presentation[[#This Row],[LC Number]],Main_Issuance[],7,0)</f>
        <v>EMAAR POLE COMPANY</v>
      </c>
      <c r="J939" s="17" t="str">
        <f>VLOOKUP(Main_Presentation[[#This Row],[LC Number]],Main_Issuance[],8,0)</f>
        <v>FIRST FIX</v>
      </c>
      <c r="K939" s="17" t="str">
        <f>VLOOKUP(Main_Presentation[[#This Row],[LC Number]],Main_Issuance[],9,0)</f>
        <v>KSP</v>
      </c>
      <c r="L939" s="17">
        <f>VLOOKUP(Main_Presentation[[#This Row],[LC Number]],Main_Issuance[],10,0)</f>
        <v>1020055</v>
      </c>
      <c r="M939" s="17" t="str">
        <f>VLOOKUP(Main_Presentation[[#This Row],[LC Number]],Main_Issuance[],11,0)</f>
        <v>SAR</v>
      </c>
      <c r="N939" s="84">
        <f>VLOOKUP(Main_Presentation[[#This Row],[LC Number]],Main_Issuance[],12,0)</f>
        <v>391554.28</v>
      </c>
      <c r="O939" s="16" t="s">
        <v>20</v>
      </c>
      <c r="P939" s="16" t="s">
        <v>857</v>
      </c>
      <c r="Q939" s="131">
        <v>391554.28</v>
      </c>
      <c r="R939" s="18">
        <v>1</v>
      </c>
      <c r="S939" s="18">
        <f>Main_Presentation[[#This Row],[Invoice Amt (FCY)]]*Main_Presentation[[#This Row],[Rate]]</f>
        <v>391554.28</v>
      </c>
      <c r="T939" s="15">
        <v>45957</v>
      </c>
      <c r="U939" s="26" t="str">
        <f>VLOOKUP(Main_Presentation[[#This Row],[LC Number]],Main_Issuance[],18,0)</f>
        <v>120 Days from Invoice Date</v>
      </c>
      <c r="V939" s="17" t="s">
        <v>22</v>
      </c>
      <c r="W939" s="22" t="s">
        <v>857</v>
      </c>
      <c r="X939" s="16"/>
      <c r="Y939" s="234" t="str">
        <f>TRIM(LEFT(Main_Presentation[[#This Row],[Payment Terms]],3))</f>
        <v>120</v>
      </c>
      <c r="Z939" s="16"/>
      <c r="AA939" s="316" cm="1">
        <f t="array" ref="AA939">Settlement(Main_Presentation[[#This Row],[Bank]],Main_Presentation[[#This Row],[ Invoice Amt (SAR)]],Main_Presentation[[#This Row],[Date Recd]],Main_Presentation[[#This Row],[Due Date]],Main_Presentation[[#This Row],[Days]])</f>
        <v>1437.5</v>
      </c>
      <c r="AB939" s="16"/>
    </row>
    <row r="940" spans="1:28" ht="15.75" hidden="1" x14ac:dyDescent="0.25">
      <c r="A940" s="20" t="s">
        <v>1314</v>
      </c>
      <c r="B940" s="15">
        <v>45855</v>
      </c>
      <c r="C940" s="26">
        <v>1</v>
      </c>
      <c r="D940" s="55" t="str">
        <f>VLOOKUP(Main_Presentation[[#This Row],[LC Number]],Main_Issuance[],3,0)</f>
        <v>Hassan Taleb</v>
      </c>
      <c r="E940" s="16" t="s">
        <v>858</v>
      </c>
      <c r="F940" s="17" t="str">
        <f>VLOOKUP(Main_Presentation[[#This Row],[LC Number]],Main_Issuance[],5,0)</f>
        <v>Alinma</v>
      </c>
      <c r="G940" s="17" t="str">
        <f>VLOOKUP(Main_Presentation[[#This Row],[LC Number]],Main_Issuance[],6,0)</f>
        <v>KSP</v>
      </c>
      <c r="H940" s="17" t="str">
        <f>VLOOKUP(Main_Presentation[[#This Row],[LC Number]],Main_Issuance[],17,0)</f>
        <v>Credit</v>
      </c>
      <c r="I940" s="17" t="str">
        <f>VLOOKUP(Main_Presentation[[#This Row],[LC Number]],Main_Issuance[],7,0)</f>
        <v>GULF GRILLES COMPANY</v>
      </c>
      <c r="J940" s="17" t="str">
        <f>VLOOKUP(Main_Presentation[[#This Row],[LC Number]],Main_Issuance[],8,0)</f>
        <v>FIRST FIX</v>
      </c>
      <c r="K940" s="17" t="str">
        <f>VLOOKUP(Main_Presentation[[#This Row],[LC Number]],Main_Issuance[],9,0)</f>
        <v>KSP</v>
      </c>
      <c r="L940" s="17">
        <f>VLOOKUP(Main_Presentation[[#This Row],[LC Number]],Main_Issuance[],10,0)</f>
        <v>1020055</v>
      </c>
      <c r="M940" s="17" t="str">
        <f>VLOOKUP(Main_Presentation[[#This Row],[LC Number]],Main_Issuance[],11,0)</f>
        <v>SAR</v>
      </c>
      <c r="N940" s="84">
        <f>VLOOKUP(Main_Presentation[[#This Row],[LC Number]],Main_Issuance[],12,0)</f>
        <v>780320.25</v>
      </c>
      <c r="O940" s="16" t="s">
        <v>20</v>
      </c>
      <c r="P940" s="16" t="s">
        <v>857</v>
      </c>
      <c r="Q940" s="131">
        <v>780320.25</v>
      </c>
      <c r="R940" s="18">
        <v>1</v>
      </c>
      <c r="S940" s="18">
        <f>Main_Presentation[[#This Row],[Invoice Amt (FCY)]]*Main_Presentation[[#This Row],[Rate]]</f>
        <v>780320.25</v>
      </c>
      <c r="T940" s="15">
        <v>45952</v>
      </c>
      <c r="U940" s="26" t="str">
        <f>VLOOKUP(Main_Presentation[[#This Row],[LC Number]],Main_Issuance[],18,0)</f>
        <v>120 Days from Invoice Date</v>
      </c>
      <c r="V940" s="17" t="s">
        <v>22</v>
      </c>
      <c r="W940" s="22" t="s">
        <v>857</v>
      </c>
      <c r="X940" s="16"/>
      <c r="Y940" s="234" t="str">
        <f>TRIM(LEFT(Main_Presentation[[#This Row],[Payment Terms]],3))</f>
        <v>120</v>
      </c>
      <c r="Z940" s="16"/>
      <c r="AA940" s="316" cm="1">
        <f t="array" ref="AA940">Settlement(Main_Presentation[[#This Row],[Bank]],Main_Presentation[[#This Row],[ Invoice Amt (SAR)]],Main_Presentation[[#This Row],[Date Recd]],Main_Presentation[[#This Row],[Due Date]],Main_Presentation[[#This Row],[Days]])</f>
        <v>1437.5</v>
      </c>
      <c r="AB940" s="16"/>
    </row>
    <row r="941" spans="1:28" ht="15.75" hidden="1" x14ac:dyDescent="0.25">
      <c r="A941" s="20" t="s">
        <v>1408</v>
      </c>
      <c r="B941" s="15">
        <v>45848</v>
      </c>
      <c r="C941" s="26">
        <v>1</v>
      </c>
      <c r="D941" s="55" t="str">
        <f>VLOOKUP(Main_Presentation[[#This Row],[LC Number]],Main_Issuance[],3,0)</f>
        <v>Hassan Taleb</v>
      </c>
      <c r="E941" s="16" t="s">
        <v>858</v>
      </c>
      <c r="F941" s="17" t="str">
        <f>VLOOKUP(Main_Presentation[[#This Row],[LC Number]],Main_Issuance[],5,0)</f>
        <v>Alinma</v>
      </c>
      <c r="G941" s="17" t="str">
        <f>VLOOKUP(Main_Presentation[[#This Row],[LC Number]],Main_Issuance[],6,0)</f>
        <v>KSP</v>
      </c>
      <c r="H941" s="17" t="str">
        <f>VLOOKUP(Main_Presentation[[#This Row],[LC Number]],Main_Issuance[],17,0)</f>
        <v>Credit</v>
      </c>
      <c r="I941" s="17" t="str">
        <f>VLOOKUP(Main_Presentation[[#This Row],[LC Number]],Main_Issuance[],7,0)</f>
        <v>ARAB EAGLE TRANSPORT CO.</v>
      </c>
      <c r="J941" s="17" t="str">
        <f>VLOOKUP(Main_Presentation[[#This Row],[LC Number]],Main_Issuance[],8,0)</f>
        <v>FIRST FIX</v>
      </c>
      <c r="K941" s="17" t="str">
        <f>VLOOKUP(Main_Presentation[[#This Row],[LC Number]],Main_Issuance[],9,0)</f>
        <v>KSP</v>
      </c>
      <c r="L941" s="17">
        <f>VLOOKUP(Main_Presentation[[#This Row],[LC Number]],Main_Issuance[],10,0)</f>
        <v>1020055</v>
      </c>
      <c r="M941" s="17" t="str">
        <f>VLOOKUP(Main_Presentation[[#This Row],[LC Number]],Main_Issuance[],11,0)</f>
        <v>SAR</v>
      </c>
      <c r="N941" s="84">
        <f>VLOOKUP(Main_Presentation[[#This Row],[LC Number]],Main_Issuance[],12,0)</f>
        <v>300000</v>
      </c>
      <c r="O941" s="16" t="s">
        <v>20</v>
      </c>
      <c r="P941" s="16" t="s">
        <v>857</v>
      </c>
      <c r="Q941" s="131">
        <v>300000</v>
      </c>
      <c r="R941" s="18">
        <v>1</v>
      </c>
      <c r="S941" s="18">
        <f>Main_Presentation[[#This Row],[Invoice Amt (FCY)]]*Main_Presentation[[#This Row],[Rate]]</f>
        <v>300000</v>
      </c>
      <c r="T941" s="15">
        <v>45932</v>
      </c>
      <c r="U941" s="26" t="str">
        <f>VLOOKUP(Main_Presentation[[#This Row],[LC Number]],Main_Issuance[],18,0)</f>
        <v>120 Days from Invoice Date</v>
      </c>
      <c r="V941" s="17" t="s">
        <v>22</v>
      </c>
      <c r="W941" s="22" t="s">
        <v>857</v>
      </c>
      <c r="X941" s="16"/>
      <c r="Y941" s="234" t="str">
        <f>TRIM(LEFT(Main_Presentation[[#This Row],[Payment Terms]],3))</f>
        <v>120</v>
      </c>
      <c r="Z941" s="16"/>
      <c r="AA941" s="316" cm="1">
        <f t="array" ref="AA941">Settlement(Main_Presentation[[#This Row],[Bank]],Main_Presentation[[#This Row],[ Invoice Amt (SAR)]],Main_Presentation[[#This Row],[Date Recd]],Main_Presentation[[#This Row],[Due Date]],Main_Presentation[[#This Row],[Days]])</f>
        <v>1437.5</v>
      </c>
      <c r="AB941" s="16"/>
    </row>
    <row r="942" spans="1:28" ht="15.75" hidden="1" x14ac:dyDescent="0.25">
      <c r="A942" s="20" t="s">
        <v>736</v>
      </c>
      <c r="B942" s="15">
        <v>45839</v>
      </c>
      <c r="C942" s="26">
        <v>3</v>
      </c>
      <c r="D942" s="55" t="str">
        <f>VLOOKUP(Main_Presentation[[#This Row],[LC Number]],Main_Issuance[],3,0)</f>
        <v>Tareeq Telmasani</v>
      </c>
      <c r="E942" s="16" t="s">
        <v>858</v>
      </c>
      <c r="F942" s="17" t="str">
        <f>VLOOKUP(Main_Presentation[[#This Row],[LC Number]],Main_Issuance[],5,0)</f>
        <v>SAB</v>
      </c>
      <c r="G942" s="17" t="str">
        <f>VLOOKUP(Main_Presentation[[#This Row],[LC Number]],Main_Issuance[],6,0)</f>
        <v>CEER</v>
      </c>
      <c r="H942" s="17" t="str">
        <f>VLOOKUP(Main_Presentation[[#This Row],[LC Number]],Main_Issuance[],17,0)</f>
        <v>Credit</v>
      </c>
      <c r="I942" s="17" t="str">
        <f>VLOOKUP(Main_Presentation[[#This Row],[LC Number]],Main_Issuance[],7,0)</f>
        <v>Kingspan Insulated Panels Manufacturing LLC</v>
      </c>
      <c r="J942" s="17" t="str">
        <f>VLOOKUP(Main_Presentation[[#This Row],[LC Number]],Main_Issuance[],8,0)</f>
        <v>MBL</v>
      </c>
      <c r="K942" s="17" t="str">
        <f>VLOOKUP(Main_Presentation[[#This Row],[LC Number]],Main_Issuance[],9,0)</f>
        <v>CEER</v>
      </c>
      <c r="L942" s="17">
        <f>VLOOKUP(Main_Presentation[[#This Row],[LC Number]],Main_Issuance[],10,0)</f>
        <v>1020091</v>
      </c>
      <c r="M942" s="17" t="str">
        <f>VLOOKUP(Main_Presentation[[#This Row],[LC Number]],Main_Issuance[],11,0)</f>
        <v>SAR</v>
      </c>
      <c r="N942" s="84">
        <f>VLOOKUP(Main_Presentation[[#This Row],[LC Number]],Main_Issuance[],12,0)</f>
        <v>11632450.5</v>
      </c>
      <c r="O942" s="16" t="s">
        <v>20</v>
      </c>
      <c r="P942" s="16" t="s">
        <v>857</v>
      </c>
      <c r="Q942" s="131">
        <v>3613085.85</v>
      </c>
      <c r="R942" s="18">
        <v>1</v>
      </c>
      <c r="S942" s="18">
        <f>Main_Presentation[[#This Row],[Invoice Amt (FCY)]]*Main_Presentation[[#This Row],[Rate]]</f>
        <v>3613085.85</v>
      </c>
      <c r="T942" s="15">
        <v>45972</v>
      </c>
      <c r="U942" s="26" t="str">
        <f>VLOOKUP(Main_Presentation[[#This Row],[LC Number]],Main_Issuance[],18,0)</f>
        <v>180 Days from Invoice Date</v>
      </c>
      <c r="V942" s="17" t="s">
        <v>367</v>
      </c>
      <c r="W942" s="22" t="s">
        <v>857</v>
      </c>
      <c r="X942" s="16"/>
      <c r="Y942" s="234" t="str">
        <f>TRIM(LEFT(Main_Presentation[[#This Row],[Payment Terms]],3))</f>
        <v>180</v>
      </c>
      <c r="Z942" s="16"/>
      <c r="AA942" s="316" cm="1">
        <f t="array" ref="AA942">Settlement(Main_Presentation[[#This Row],[Bank]],Main_Presentation[[#This Row],[ Invoice Amt (SAR)]],Main_Presentation[[#This Row],[Date Recd]],Main_Presentation[[#This Row],[Due Date]],Main_Presentation[[#This Row],[Days]])</f>
        <v>15581.35</v>
      </c>
      <c r="AB942" s="16"/>
    </row>
    <row r="943" spans="1:28" ht="15.75" hidden="1" x14ac:dyDescent="0.25">
      <c r="A943" s="20" t="s">
        <v>1229</v>
      </c>
      <c r="B943" s="15">
        <v>45852</v>
      </c>
      <c r="C943" s="26">
        <v>2</v>
      </c>
      <c r="D943" s="55" t="str">
        <f>VLOOKUP(Main_Presentation[[#This Row],[LC Number]],Main_Issuance[],3,0)</f>
        <v>Tareeq - Premium</v>
      </c>
      <c r="E943" s="16" t="s">
        <v>858</v>
      </c>
      <c r="F943" s="17" t="str">
        <f>VLOOKUP(Main_Presentation[[#This Row],[LC Number]],Main_Issuance[],5,0)</f>
        <v>SAB</v>
      </c>
      <c r="G943" s="17" t="str">
        <f>VLOOKUP(Main_Presentation[[#This Row],[LC Number]],Main_Issuance[],6,0)</f>
        <v>CEER</v>
      </c>
      <c r="H943" s="17" t="str">
        <f>VLOOKUP(Main_Presentation[[#This Row],[LC Number]],Main_Issuance[],17,0)</f>
        <v>Credit</v>
      </c>
      <c r="I943" s="17" t="str">
        <f>VLOOKUP(Main_Presentation[[#This Row],[LC Number]],Main_Issuance[],7,0)</f>
        <v>VENTLINE AIR CONDITIONING REQUISITES MANUFACTURING LLC</v>
      </c>
      <c r="J943" s="17" t="str">
        <f>VLOOKUP(Main_Presentation[[#This Row],[LC Number]],Main_Issuance[],8,0)</f>
        <v>MBL/Premium</v>
      </c>
      <c r="K943" s="17" t="str">
        <f>VLOOKUP(Main_Presentation[[#This Row],[LC Number]],Main_Issuance[],9,0)</f>
        <v>CEER</v>
      </c>
      <c r="L943" s="17">
        <f>VLOOKUP(Main_Presentation[[#This Row],[LC Number]],Main_Issuance[],10,0)</f>
        <v>1020091</v>
      </c>
      <c r="M943" s="17" t="str">
        <f>VLOOKUP(Main_Presentation[[#This Row],[LC Number]],Main_Issuance[],11,0)</f>
        <v>AED</v>
      </c>
      <c r="N943" s="84">
        <f>VLOOKUP(Main_Presentation[[#This Row],[LC Number]],Main_Issuance[],12,0)</f>
        <v>6500000</v>
      </c>
      <c r="O943" s="16" t="s">
        <v>20</v>
      </c>
      <c r="P943" s="16" t="s">
        <v>857</v>
      </c>
      <c r="Q943" s="131">
        <v>760000</v>
      </c>
      <c r="R943" s="18">
        <v>1.026</v>
      </c>
      <c r="S943" s="18">
        <f>Main_Presentation[[#This Row],[Invoice Amt (FCY)]]*Main_Presentation[[#This Row],[Rate]]</f>
        <v>779760</v>
      </c>
      <c r="T943" s="15">
        <v>45855</v>
      </c>
      <c r="U943" s="26" t="str">
        <f>VLOOKUP(Main_Presentation[[#This Row],[LC Number]],Main_Issuance[],18,0)</f>
        <v>Sight</v>
      </c>
      <c r="V943" s="17" t="s">
        <v>367</v>
      </c>
      <c r="W943" s="22" t="s">
        <v>857</v>
      </c>
      <c r="X943" s="16"/>
      <c r="Y943" s="234" t="str">
        <f>TRIM(LEFT(Main_Presentation[[#This Row],[Payment Terms]],3))</f>
        <v>Sig</v>
      </c>
      <c r="Z943" s="16"/>
      <c r="AA943" s="316" t="e" cm="1">
        <f t="array" ref="AA943">Settlement(Main_Presentation[[#This Row],[Bank]],Main_Presentation[[#This Row],[ Invoice Amt (SAR)]],Main_Presentation[[#This Row],[Date Recd]],Main_Presentation[[#This Row],[Due Date]],Main_Presentation[[#This Row],[Days]])</f>
        <v>#VALUE!</v>
      </c>
      <c r="AB943" s="16"/>
    </row>
    <row r="944" spans="1:28" ht="15.75" hidden="1" x14ac:dyDescent="0.25">
      <c r="A944" s="20" t="s">
        <v>689</v>
      </c>
      <c r="B944" s="15">
        <v>45859</v>
      </c>
      <c r="C944" s="26">
        <v>1</v>
      </c>
      <c r="D944" s="55" t="str">
        <f>VLOOKUP(Main_Presentation[[#This Row],[LC Number]],Main_Issuance[],3,0)</f>
        <v>Tareeq Telmasani</v>
      </c>
      <c r="E944" s="16" t="s">
        <v>856</v>
      </c>
      <c r="F944" s="17" t="str">
        <f>VLOOKUP(Main_Presentation[[#This Row],[LC Number]],Main_Issuance[],5,0)</f>
        <v>SAB</v>
      </c>
      <c r="G944" s="17" t="str">
        <f>VLOOKUP(Main_Presentation[[#This Row],[LC Number]],Main_Issuance[],6,0)</f>
        <v>CEER</v>
      </c>
      <c r="H944" s="17" t="str">
        <f>VLOOKUP(Main_Presentation[[#This Row],[LC Number]],Main_Issuance[],17,0)</f>
        <v>Credit</v>
      </c>
      <c r="I944" s="17" t="str">
        <f>VLOOKUP(Main_Presentation[[#This Row],[LC Number]],Main_Issuance[],7,0)</f>
        <v>Arnon Plastic Industries Co Ltd</v>
      </c>
      <c r="J944" s="17" t="str">
        <f>VLOOKUP(Main_Presentation[[#This Row],[LC Number]],Main_Issuance[],8,0)</f>
        <v>MBL</v>
      </c>
      <c r="K944" s="17" t="str">
        <f>VLOOKUP(Main_Presentation[[#This Row],[LC Number]],Main_Issuance[],9,0)</f>
        <v>CEER</v>
      </c>
      <c r="L944" s="17">
        <f>VLOOKUP(Main_Presentation[[#This Row],[LC Number]],Main_Issuance[],10,0)</f>
        <v>1020091</v>
      </c>
      <c r="M944" s="17" t="str">
        <f>VLOOKUP(Main_Presentation[[#This Row],[LC Number]],Main_Issuance[],11,0)</f>
        <v>SAR</v>
      </c>
      <c r="N944" s="84">
        <f>VLOOKUP(Main_Presentation[[#This Row],[LC Number]],Main_Issuance[],12,0)</f>
        <v>15413737.5</v>
      </c>
      <c r="O944" s="16" t="s">
        <v>20</v>
      </c>
      <c r="P944" s="16" t="s">
        <v>857</v>
      </c>
      <c r="Q944" s="131">
        <v>1802929.12</v>
      </c>
      <c r="R944" s="18">
        <v>1</v>
      </c>
      <c r="S944" s="18">
        <f>Main_Presentation[[#This Row],[Invoice Amt (FCY)]]*Main_Presentation[[#This Row],[Rate]]</f>
        <v>1802929.12</v>
      </c>
      <c r="T944" s="15">
        <v>45900</v>
      </c>
      <c r="U944" s="26" t="str">
        <f>VLOOKUP(Main_Presentation[[#This Row],[LC Number]],Main_Issuance[],18,0)</f>
        <v>90 Days from Invoice Date</v>
      </c>
      <c r="V944" s="17" t="s">
        <v>367</v>
      </c>
      <c r="W944" s="22" t="s">
        <v>857</v>
      </c>
      <c r="X944" s="16"/>
      <c r="Y944" s="234" t="str">
        <f>TRIM(LEFT(Main_Presentation[[#This Row],[Payment Terms]],3))</f>
        <v>90</v>
      </c>
      <c r="Z944" s="16"/>
      <c r="AA944" s="316" cm="1">
        <f t="array" ref="AA944">Settlement(Main_Presentation[[#This Row],[Bank]],Main_Presentation[[#This Row],[ Invoice Amt (SAR)]],Main_Presentation[[#This Row],[Date Recd]],Main_Presentation[[#This Row],[Due Date]],Main_Presentation[[#This Row],[Days]])</f>
        <v>7775.15</v>
      </c>
      <c r="AB944" s="16"/>
    </row>
    <row r="945" spans="1:28" ht="15.75" hidden="1" x14ac:dyDescent="0.25">
      <c r="A945" s="20" t="s">
        <v>700</v>
      </c>
      <c r="B945" s="15">
        <v>45845</v>
      </c>
      <c r="C945" s="26">
        <v>2</v>
      </c>
      <c r="D945" s="55" t="str">
        <f>VLOOKUP(Main_Presentation[[#This Row],[LC Number]],Main_Issuance[],3,0)</f>
        <v>Tareeq Telmasani</v>
      </c>
      <c r="E945" s="16" t="s">
        <v>858</v>
      </c>
      <c r="F945" s="17" t="str">
        <f>VLOOKUP(Main_Presentation[[#This Row],[LC Number]],Main_Issuance[],5,0)</f>
        <v>SAB</v>
      </c>
      <c r="G945" s="17" t="str">
        <f>VLOOKUP(Main_Presentation[[#This Row],[LC Number]],Main_Issuance[],6,0)</f>
        <v>CEER</v>
      </c>
      <c r="H945" s="17" t="str">
        <f>VLOOKUP(Main_Presentation[[#This Row],[LC Number]],Main_Issuance[],17,0)</f>
        <v>Credit</v>
      </c>
      <c r="I945" s="17" t="str">
        <f>VLOOKUP(Main_Presentation[[#This Row],[LC Number]],Main_Issuance[],7,0)</f>
        <v>MATERIALS SYSTEMS AND INDUSTRIAL SOLUTIONS COMPANY</v>
      </c>
      <c r="J945" s="17" t="str">
        <f>VLOOKUP(Main_Presentation[[#This Row],[LC Number]],Main_Issuance[],8,0)</f>
        <v>MBL</v>
      </c>
      <c r="K945" s="17" t="str">
        <f>VLOOKUP(Main_Presentation[[#This Row],[LC Number]],Main_Issuance[],9,0)</f>
        <v>CEER</v>
      </c>
      <c r="L945" s="17">
        <f>VLOOKUP(Main_Presentation[[#This Row],[LC Number]],Main_Issuance[],10,0)</f>
        <v>1020091</v>
      </c>
      <c r="M945" s="17" t="str">
        <f>VLOOKUP(Main_Presentation[[#This Row],[LC Number]],Main_Issuance[],11,0)</f>
        <v>SAR</v>
      </c>
      <c r="N945" s="84">
        <f>VLOOKUP(Main_Presentation[[#This Row],[LC Number]],Main_Issuance[],12,0)</f>
        <v>4859479.5600000005</v>
      </c>
      <c r="O945" s="16" t="s">
        <v>20</v>
      </c>
      <c r="P945" s="16" t="s">
        <v>857</v>
      </c>
      <c r="Q945" s="131">
        <v>1611241.63</v>
      </c>
      <c r="R945" s="18">
        <v>1</v>
      </c>
      <c r="S945" s="18">
        <f>Main_Presentation[[#This Row],[Invoice Amt (FCY)]]*Main_Presentation[[#This Row],[Rate]]</f>
        <v>1611241.63</v>
      </c>
      <c r="T945" s="15">
        <v>45895</v>
      </c>
      <c r="U945" s="26" t="str">
        <f>VLOOKUP(Main_Presentation[[#This Row],[LC Number]],Main_Issuance[],18,0)</f>
        <v>90 Days from Invoice Date</v>
      </c>
      <c r="V945" s="17" t="s">
        <v>367</v>
      </c>
      <c r="W945" s="22" t="s">
        <v>857</v>
      </c>
      <c r="X945" s="16"/>
      <c r="Y945" s="234" t="str">
        <f>TRIM(LEFT(Main_Presentation[[#This Row],[Payment Terms]],3))</f>
        <v>90</v>
      </c>
      <c r="Z945" s="16"/>
      <c r="AA945" s="316" cm="1">
        <f t="array" ref="AA945">Settlement(Main_Presentation[[#This Row],[Bank]],Main_Presentation[[#This Row],[ Invoice Amt (SAR)]],Main_Presentation[[#This Row],[Date Recd]],Main_Presentation[[#This Row],[Due Date]],Main_Presentation[[#This Row],[Days]])</f>
        <v>6948.3</v>
      </c>
      <c r="AB945" s="16"/>
    </row>
    <row r="946" spans="1:28" ht="15.75" hidden="1" x14ac:dyDescent="0.25">
      <c r="A946" s="20" t="s">
        <v>1291</v>
      </c>
      <c r="B946" s="15">
        <v>45858</v>
      </c>
      <c r="C946" s="26">
        <v>1</v>
      </c>
      <c r="D946" s="55" t="str">
        <f>VLOOKUP(Main_Presentation[[#This Row],[LC Number]],Main_Issuance[],3,0)</f>
        <v>Rabih Makhoul</v>
      </c>
      <c r="E946" s="16" t="s">
        <v>858</v>
      </c>
      <c r="F946" s="17" t="str">
        <f>VLOOKUP(Main_Presentation[[#This Row],[LC Number]],Main_Issuance[],5,0)</f>
        <v>BAB</v>
      </c>
      <c r="G946" s="17" t="str">
        <f>VLOOKUP(Main_Presentation[[#This Row],[LC Number]],Main_Issuance[],6,0)</f>
        <v>Cash</v>
      </c>
      <c r="H946" s="17" t="str">
        <f>VLOOKUP(Main_Presentation[[#This Row],[LC Number]],Main_Issuance[],17,0)</f>
        <v>Cash</v>
      </c>
      <c r="I946" s="17" t="str">
        <f>VLOOKUP(Main_Presentation[[#This Row],[LC Number]],Main_Issuance[],7,0)</f>
        <v>Expertise Contracting Company Ltd</v>
      </c>
      <c r="J946" s="17" t="str">
        <f>VLOOKUP(Main_Presentation[[#This Row],[LC Number]],Main_Issuance[],8,0)</f>
        <v>MBL</v>
      </c>
      <c r="K946" s="17" t="str">
        <f>VLOOKUP(Main_Presentation[[#This Row],[LC Number]],Main_Issuance[],9,0)</f>
        <v>JCD SPMI</v>
      </c>
      <c r="L946" s="17">
        <f>VLOOKUP(Main_Presentation[[#This Row],[LC Number]],Main_Issuance[],10,0)</f>
        <v>1020100</v>
      </c>
      <c r="M946" s="17" t="str">
        <f>VLOOKUP(Main_Presentation[[#This Row],[LC Number]],Main_Issuance[],11,0)</f>
        <v>SAR</v>
      </c>
      <c r="N946" s="84">
        <f>VLOOKUP(Main_Presentation[[#This Row],[LC Number]],Main_Issuance[],12,0)</f>
        <v>5000000</v>
      </c>
      <c r="O946" s="16" t="s">
        <v>20</v>
      </c>
      <c r="P946" s="16" t="s">
        <v>857</v>
      </c>
      <c r="Q946" s="131">
        <v>5000000</v>
      </c>
      <c r="R946" s="18">
        <v>1</v>
      </c>
      <c r="S946" s="18">
        <f>Main_Presentation[[#This Row],[Invoice Amt (FCY)]]*Main_Presentation[[#This Row],[Rate]]</f>
        <v>5000000</v>
      </c>
      <c r="T946" s="15">
        <v>45881</v>
      </c>
      <c r="U946" s="26" t="str">
        <f>VLOOKUP(Main_Presentation[[#This Row],[LC Number]],Main_Issuance[],18,0)</f>
        <v>60 Days from Invoice Date</v>
      </c>
      <c r="V946" s="17" t="s">
        <v>1849</v>
      </c>
      <c r="W946" s="22" t="s">
        <v>378</v>
      </c>
      <c r="X946" s="16"/>
      <c r="Y946" s="234" t="str">
        <f>TRIM(LEFT(Main_Presentation[[#This Row],[Payment Terms]],3))</f>
        <v>60</v>
      </c>
      <c r="Z946" s="16"/>
      <c r="AA946" s="316" cm="1">
        <f t="array" ref="AA946">Settlement(Main_Presentation[[#This Row],[Bank]],Main_Presentation[[#This Row],[ Invoice Amt (SAR)]],Main_Presentation[[#This Row],[Date Recd]],Main_Presentation[[#This Row],[Due Date]],Main_Presentation[[#This Row],[Days]])</f>
        <v>0</v>
      </c>
      <c r="AB946" s="16"/>
    </row>
    <row r="947" spans="1:28" ht="15.75" hidden="1" x14ac:dyDescent="0.25">
      <c r="A947" s="20" t="s">
        <v>1418</v>
      </c>
      <c r="B947" s="15">
        <v>45859</v>
      </c>
      <c r="C947" s="26">
        <v>1</v>
      </c>
      <c r="D947" s="55" t="str">
        <f>VLOOKUP(Main_Presentation[[#This Row],[LC Number]],Main_Issuance[],3,0)</f>
        <v>Rabih Makhoul</v>
      </c>
      <c r="E947" s="16" t="s">
        <v>858</v>
      </c>
      <c r="F947" s="17" t="str">
        <f>VLOOKUP(Main_Presentation[[#This Row],[LC Number]],Main_Issuance[],5,0)</f>
        <v>SNB</v>
      </c>
      <c r="G947" s="17" t="str">
        <f>VLOOKUP(Main_Presentation[[#This Row],[LC Number]],Main_Issuance[],6,0)</f>
        <v>Opera House</v>
      </c>
      <c r="H947" s="17" t="str">
        <f>VLOOKUP(Main_Presentation[[#This Row],[LC Number]],Main_Issuance[],17,0)</f>
        <v>Credit</v>
      </c>
      <c r="I947" s="17" t="str">
        <f>VLOOKUP(Main_Presentation[[#This Row],[LC Number]],Main_Issuance[],7,0)</f>
        <v>Expertise Contracting Company Ltd</v>
      </c>
      <c r="J947" s="17" t="str">
        <f>VLOOKUP(Main_Presentation[[#This Row],[LC Number]],Main_Issuance[],8,0)</f>
        <v>MBL</v>
      </c>
      <c r="K947" s="17" t="str">
        <f>VLOOKUP(Main_Presentation[[#This Row],[LC Number]],Main_Issuance[],9,0)</f>
        <v>JCD SPMI</v>
      </c>
      <c r="L947" s="17">
        <f>VLOOKUP(Main_Presentation[[#This Row],[LC Number]],Main_Issuance[],10,0)</f>
        <v>1020100</v>
      </c>
      <c r="M947" s="17" t="str">
        <f>VLOOKUP(Main_Presentation[[#This Row],[LC Number]],Main_Issuance[],11,0)</f>
        <v>SAR</v>
      </c>
      <c r="N947" s="84">
        <f>VLOOKUP(Main_Presentation[[#This Row],[LC Number]],Main_Issuance[],12,0)</f>
        <v>5000000</v>
      </c>
      <c r="O947" s="16" t="s">
        <v>20</v>
      </c>
      <c r="P947" s="16" t="s">
        <v>378</v>
      </c>
      <c r="Q947" s="131">
        <v>5000000</v>
      </c>
      <c r="R947" s="18">
        <v>1</v>
      </c>
      <c r="S947" s="18">
        <f>Main_Presentation[[#This Row],[Invoice Amt (FCY)]]*Main_Presentation[[#This Row],[Rate]]</f>
        <v>5000000</v>
      </c>
      <c r="T947" s="15">
        <v>45887</v>
      </c>
      <c r="U947" s="26" t="str">
        <f>VLOOKUP(Main_Presentation[[#This Row],[LC Number]],Main_Issuance[],18,0)</f>
        <v>60 Days from Invoice Date</v>
      </c>
      <c r="V947" s="17" t="s">
        <v>304</v>
      </c>
      <c r="W947" s="22" t="s">
        <v>378</v>
      </c>
      <c r="X947" s="16"/>
      <c r="Y947" s="234" t="str">
        <f>TRIM(LEFT(Main_Presentation[[#This Row],[Payment Terms]],3))</f>
        <v>60</v>
      </c>
      <c r="Z947" s="16"/>
      <c r="AA947" s="316" cm="1">
        <f t="array" ref="AA947">Settlement(Main_Presentation[[#This Row],[Bank]],Main_Presentation[[#This Row],[ Invoice Amt (SAR)]],Main_Presentation[[#This Row],[Date Recd]],Main_Presentation[[#This Row],[Due Date]],Main_Presentation[[#This Row],[Days]])</f>
        <v>12019.8</v>
      </c>
      <c r="AB947" s="16"/>
    </row>
    <row r="948" spans="1:28" ht="15.75" hidden="1" x14ac:dyDescent="0.25">
      <c r="A948" s="20" t="s">
        <v>306</v>
      </c>
      <c r="B948" s="15">
        <v>45839</v>
      </c>
      <c r="C948" s="26">
        <v>121</v>
      </c>
      <c r="D948" s="55" t="str">
        <f>VLOOKUP(Main_Presentation[[#This Row],[LC Number]],Main_Issuance[],3,0)</f>
        <v>Dipu Sir</v>
      </c>
      <c r="E948" s="16" t="s">
        <v>858</v>
      </c>
      <c r="F948" s="17" t="str">
        <f>VLOOKUP(Main_Presentation[[#This Row],[LC Number]],Main_Issuance[],5,0)</f>
        <v>Riyad</v>
      </c>
      <c r="G948" s="17" t="str">
        <f>VLOOKUP(Main_Presentation[[#This Row],[LC Number]],Main_Issuance[],6,0)</f>
        <v>Cash</v>
      </c>
      <c r="H948" s="17" t="str">
        <f>VLOOKUP(Main_Presentation[[#This Row],[LC Number]],Main_Issuance[],17,0)</f>
        <v>Cash</v>
      </c>
      <c r="I948" s="17" t="str">
        <f>VLOOKUP(Main_Presentation[[#This Row],[LC Number]],Main_Issuance[],7,0)</f>
        <v>ATELIER HOSPITALITY SRL</v>
      </c>
      <c r="J948" s="17" t="str">
        <f>VLOOKUP(Main_Presentation[[#This Row],[LC Number]],Main_Issuance[],8,0)</f>
        <v>MBL</v>
      </c>
      <c r="K948" s="17" t="str">
        <f>VLOOKUP(Main_Presentation[[#This Row],[LC Number]],Main_Issuance[],9,0)</f>
        <v>L01-YAMMAMA</v>
      </c>
      <c r="L948" s="17">
        <f>VLOOKUP(Main_Presentation[[#This Row],[LC Number]],Main_Issuance[],10,0)</f>
        <v>1020015</v>
      </c>
      <c r="M948" s="17" t="str">
        <f>VLOOKUP(Main_Presentation[[#This Row],[LC Number]],Main_Issuance[],11,0)</f>
        <v>EUR</v>
      </c>
      <c r="N948" s="84">
        <f>VLOOKUP(Main_Presentation[[#This Row],[LC Number]],Main_Issuance[],12,0)</f>
        <v>50762045.400000006</v>
      </c>
      <c r="O948" s="16" t="s">
        <v>20</v>
      </c>
      <c r="P948" s="16" t="s">
        <v>857</v>
      </c>
      <c r="Q948" s="131">
        <v>1000000</v>
      </c>
      <c r="R948" s="18">
        <v>4.5700901448959899</v>
      </c>
      <c r="S948" s="18">
        <f>Main_Presentation[[#This Row],[Invoice Amt (FCY)]]*Main_Presentation[[#This Row],[Rate]]</f>
        <v>4570090.1448959894</v>
      </c>
      <c r="T948" s="15">
        <v>45853</v>
      </c>
      <c r="U948" s="26" t="str">
        <f>VLOOKUP(Main_Presentation[[#This Row],[LC Number]],Main_Issuance[],18,0)</f>
        <v>30 days from the date of comm. inv.</v>
      </c>
      <c r="V948" s="17" t="str">
        <f>VLOOKUP(Main_Presentation[[#This Row],[LC Number]],Main_Issuance[],9,0)</f>
        <v>L01-YAMMAMA</v>
      </c>
      <c r="W948" s="22" t="s">
        <v>857</v>
      </c>
      <c r="X948" s="16"/>
      <c r="Y948" s="402" t="str">
        <f>TRIM(LEFT(Main_Presentation[[#This Row],[Payment Terms]],3))</f>
        <v>30</v>
      </c>
      <c r="Z948" s="16"/>
      <c r="AA948" s="316" cm="1">
        <f t="array" ref="AA948">Settlement(Main_Presentation[[#This Row],[Bank]],Main_Presentation[[#This Row],[ Invoice Amt (SAR)]],Main_Presentation[[#This Row],[Date Recd]],Main_Presentation[[#This Row],[Due Date]],Main_Presentation[[#This Row],[Days]])</f>
        <v>230</v>
      </c>
      <c r="AB948" s="16"/>
    </row>
    <row r="949" spans="1:28" ht="15.75" hidden="1" x14ac:dyDescent="0.25">
      <c r="A949" s="20" t="s">
        <v>834</v>
      </c>
      <c r="B949" s="15">
        <v>45858</v>
      </c>
      <c r="C949" s="26">
        <v>1</v>
      </c>
      <c r="D949" s="55" t="str">
        <f>VLOOKUP(Main_Presentation[[#This Row],[LC Number]],Main_Issuance[],3,0)</f>
        <v>Hassan Taleb</v>
      </c>
      <c r="E949" s="16" t="s">
        <v>856</v>
      </c>
      <c r="F949" s="17" t="str">
        <f>VLOOKUP(Main_Presentation[[#This Row],[LC Number]],Main_Issuance[],5,0)</f>
        <v>Jazira</v>
      </c>
      <c r="G949" s="17" t="str">
        <f>VLOOKUP(Main_Presentation[[#This Row],[LC Number]],Main_Issuance[],6,0)</f>
        <v>RCRC</v>
      </c>
      <c r="H949" s="17" t="str">
        <f>VLOOKUP(Main_Presentation[[#This Row],[LC Number]],Main_Issuance[],17,0)</f>
        <v>Credit</v>
      </c>
      <c r="I949" s="17" t="str">
        <f>VLOOKUP(Main_Presentation[[#This Row],[LC Number]],Main_Issuance[],7,0)</f>
        <v>Branch of National Fire Fighting (NAFFCO)</v>
      </c>
      <c r="J949" s="17" t="str">
        <f>VLOOKUP(Main_Presentation[[#This Row],[LC Number]],Main_Issuance[],8,0)</f>
        <v>FIRST FIX</v>
      </c>
      <c r="K949" s="17" t="str">
        <f>VLOOKUP(Main_Presentation[[#This Row],[LC Number]],Main_Issuance[],9,0)</f>
        <v>RCRC</v>
      </c>
      <c r="L949" s="17">
        <f>VLOOKUP(Main_Presentation[[#This Row],[LC Number]],Main_Issuance[],10,0)</f>
        <v>1020106</v>
      </c>
      <c r="M949" s="17" t="str">
        <f>VLOOKUP(Main_Presentation[[#This Row],[LC Number]],Main_Issuance[],11,0)</f>
        <v>SAR</v>
      </c>
      <c r="N949" s="84">
        <f>VLOOKUP(Main_Presentation[[#This Row],[LC Number]],Main_Issuance[],12,0)</f>
        <v>205980.49</v>
      </c>
      <c r="O949" s="16" t="s">
        <v>20</v>
      </c>
      <c r="P949" s="16" t="s">
        <v>857</v>
      </c>
      <c r="Q949" s="131">
        <v>135179.32999999999</v>
      </c>
      <c r="R949" s="18">
        <v>1</v>
      </c>
      <c r="S949" s="18">
        <f>Main_Presentation[[#This Row],[Invoice Amt (FCY)]]*Main_Presentation[[#This Row],[Rate]]</f>
        <v>135179.32999999999</v>
      </c>
      <c r="T949" s="15">
        <v>45914</v>
      </c>
      <c r="U949" s="26" t="str">
        <f>VLOOKUP(Main_Presentation[[#This Row],[LC Number]],Main_Issuance[],18,0)</f>
        <v>60 Days from Invoice Date</v>
      </c>
      <c r="V949" s="17" t="s">
        <v>613</v>
      </c>
      <c r="W949" s="22" t="s">
        <v>857</v>
      </c>
      <c r="X949" s="16"/>
      <c r="Y949" s="234" t="str">
        <f>TRIM(LEFT(Main_Presentation[[#This Row],[Payment Terms]],3))</f>
        <v>60</v>
      </c>
      <c r="Z949" s="16"/>
      <c r="AA949" s="316" cm="1">
        <f t="array" ref="AA949">Settlement(Main_Presentation[[#This Row],[Bank]],Main_Presentation[[#This Row],[ Invoice Amt (SAR)]],Main_Presentation[[#This Row],[Date Recd]],Main_Presentation[[#This Row],[Due Date]],Main_Presentation[[#This Row],[Days]])</f>
        <v>977.5</v>
      </c>
      <c r="AB949" s="16"/>
    </row>
    <row r="950" spans="1:28" ht="15.75" hidden="1" x14ac:dyDescent="0.25">
      <c r="A950" s="20" t="s">
        <v>1201</v>
      </c>
      <c r="B950" s="15">
        <v>45853</v>
      </c>
      <c r="C950" s="26">
        <v>3</v>
      </c>
      <c r="D950" s="55" t="str">
        <f>VLOOKUP(Main_Presentation[[#This Row],[LC Number]],Main_Issuance[],3,0)</f>
        <v>Hassan Taleb</v>
      </c>
      <c r="E950" s="16" t="s">
        <v>856</v>
      </c>
      <c r="F950" s="17" t="str">
        <f>VLOOKUP(Main_Presentation[[#This Row],[LC Number]],Main_Issuance[],5,0)</f>
        <v>SNB</v>
      </c>
      <c r="G950" s="17" t="str">
        <f>VLOOKUP(Main_Presentation[[#This Row],[LC Number]],Main_Issuance[],6,0)</f>
        <v>Opera House</v>
      </c>
      <c r="H950" s="17" t="str">
        <f>VLOOKUP(Main_Presentation[[#This Row],[LC Number]],Main_Issuance[],17,0)</f>
        <v>Credit</v>
      </c>
      <c r="I950" s="17" t="str">
        <f>VLOOKUP(Main_Presentation[[#This Row],[LC Number]],Main_Issuance[],7,0)</f>
        <v>ALFANAR ELECTRICAL SYSTEMS</v>
      </c>
      <c r="J950" s="17" t="str">
        <f>VLOOKUP(Main_Presentation[[#This Row],[LC Number]],Main_Issuance[],8,0)</f>
        <v>FIRST FIX</v>
      </c>
      <c r="K950" s="17" t="str">
        <f>VLOOKUP(Main_Presentation[[#This Row],[LC Number]],Main_Issuance[],9,0)</f>
        <v>KSP</v>
      </c>
      <c r="L950" s="17">
        <f>VLOOKUP(Main_Presentation[[#This Row],[LC Number]],Main_Issuance[],10,0)</f>
        <v>1020055</v>
      </c>
      <c r="M950" s="17" t="str">
        <f>VLOOKUP(Main_Presentation[[#This Row],[LC Number]],Main_Issuance[],11,0)</f>
        <v>SAR</v>
      </c>
      <c r="N950" s="84">
        <f>VLOOKUP(Main_Presentation[[#This Row],[LC Number]],Main_Issuance[],12,0)</f>
        <v>2330000.0099999998</v>
      </c>
      <c r="O950" s="16" t="s">
        <v>20</v>
      </c>
      <c r="P950" s="16" t="s">
        <v>378</v>
      </c>
      <c r="Q950" s="131">
        <v>79154.070000000007</v>
      </c>
      <c r="R950" s="18">
        <v>1</v>
      </c>
      <c r="S950" s="18">
        <f>Main_Presentation[[#This Row],[Invoice Amt (FCY)]]*Main_Presentation[[#This Row],[Rate]]</f>
        <v>79154.070000000007</v>
      </c>
      <c r="T950" s="15">
        <v>45928</v>
      </c>
      <c r="U950" s="26" t="str">
        <f>VLOOKUP(Main_Presentation[[#This Row],[LC Number]],Main_Issuance[],18,0)</f>
        <v>90 Days from Invoice Date</v>
      </c>
      <c r="V950" s="17" t="s">
        <v>22</v>
      </c>
      <c r="W950" s="22" t="s">
        <v>857</v>
      </c>
      <c r="X950" s="16"/>
      <c r="Y950" s="234" t="str">
        <f>TRIM(LEFT(Main_Presentation[[#This Row],[Payment Terms]],3))</f>
        <v>90</v>
      </c>
      <c r="Z950" s="16"/>
      <c r="AA950" s="316" cm="1">
        <f t="array" ref="AA950">Settlement(Main_Presentation[[#This Row],[Bank]],Main_Presentation[[#This Row],[ Invoice Amt (SAR)]],Main_Presentation[[#This Row],[Date Recd]],Main_Presentation[[#This Row],[Due Date]],Main_Presentation[[#This Row],[Days]])</f>
        <v>655.5</v>
      </c>
      <c r="AB950" s="16"/>
    </row>
    <row r="951" spans="1:28" ht="15.75" hidden="1" x14ac:dyDescent="0.25">
      <c r="A951" s="20" t="s">
        <v>798</v>
      </c>
      <c r="B951" s="15">
        <v>45853</v>
      </c>
      <c r="C951" s="26">
        <v>1</v>
      </c>
      <c r="D951" s="55" t="str">
        <f>VLOOKUP(Main_Presentation[[#This Row],[LC Number]],Main_Issuance[],3,0)</f>
        <v>Hassan Taleb</v>
      </c>
      <c r="E951" s="16" t="s">
        <v>856</v>
      </c>
      <c r="F951" s="17" t="str">
        <f>VLOOKUP(Main_Presentation[[#This Row],[LC Number]],Main_Issuance[],5,0)</f>
        <v>Alinma</v>
      </c>
      <c r="G951" s="17" t="str">
        <f>VLOOKUP(Main_Presentation[[#This Row],[LC Number]],Main_Issuance[],6,0)</f>
        <v>KSP</v>
      </c>
      <c r="H951" s="17" t="str">
        <f>VLOOKUP(Main_Presentation[[#This Row],[LC Number]],Main_Issuance[],17,0)</f>
        <v>Credit</v>
      </c>
      <c r="I951" s="17" t="str">
        <f>VLOOKUP(Main_Presentation[[#This Row],[LC Number]],Main_Issuance[],7,0)</f>
        <v>Light Technologies Company Ltd. (Lightech)</v>
      </c>
      <c r="J951" s="17" t="str">
        <f>VLOOKUP(Main_Presentation[[#This Row],[LC Number]],Main_Issuance[],8,0)</f>
        <v>FIRST FIX</v>
      </c>
      <c r="K951" s="17" t="str">
        <f>VLOOKUP(Main_Presentation[[#This Row],[LC Number]],Main_Issuance[],9,0)</f>
        <v>KSP</v>
      </c>
      <c r="L951" s="17">
        <f>VLOOKUP(Main_Presentation[[#This Row],[LC Number]],Main_Issuance[],10,0)</f>
        <v>1020055</v>
      </c>
      <c r="M951" s="17" t="str">
        <f>VLOOKUP(Main_Presentation[[#This Row],[LC Number]],Main_Issuance[],11,0)</f>
        <v>SAR</v>
      </c>
      <c r="N951" s="84">
        <f>VLOOKUP(Main_Presentation[[#This Row],[LC Number]],Main_Issuance[],12,0)</f>
        <v>800000</v>
      </c>
      <c r="O951" s="16" t="s">
        <v>20</v>
      </c>
      <c r="P951" s="16" t="s">
        <v>857</v>
      </c>
      <c r="Q951" s="131">
        <v>800000</v>
      </c>
      <c r="R951" s="18">
        <v>1</v>
      </c>
      <c r="S951" s="18">
        <f>Main_Presentation[[#This Row],[Invoice Amt (FCY)]]*Main_Presentation[[#This Row],[Rate]]</f>
        <v>800000</v>
      </c>
      <c r="T951" s="15">
        <v>45935</v>
      </c>
      <c r="U951" s="26" t="str">
        <f>VLOOKUP(Main_Presentation[[#This Row],[LC Number]],Main_Issuance[],18,0)</f>
        <v>90 Days from Invoice Date</v>
      </c>
      <c r="V951" s="17" t="s">
        <v>22</v>
      </c>
      <c r="W951" s="22" t="s">
        <v>857</v>
      </c>
      <c r="X951" s="16"/>
      <c r="Y951" s="234" t="str">
        <f>TRIM(LEFT(Main_Presentation[[#This Row],[Payment Terms]],3))</f>
        <v>90</v>
      </c>
      <c r="Z951" s="16"/>
      <c r="AA951" s="316" cm="1">
        <f t="array" ref="AA951">Settlement(Main_Presentation[[#This Row],[Bank]],Main_Presentation[[#This Row],[ Invoice Amt (SAR)]],Main_Presentation[[#This Row],[Date Recd]],Main_Presentation[[#This Row],[Due Date]],Main_Presentation[[#This Row],[Days]])</f>
        <v>1437.5</v>
      </c>
      <c r="AB951" s="16"/>
    </row>
    <row r="952" spans="1:28" ht="15.75" hidden="1" x14ac:dyDescent="0.25">
      <c r="A952" s="20" t="s">
        <v>799</v>
      </c>
      <c r="B952" s="15">
        <v>45858</v>
      </c>
      <c r="C952" s="26">
        <v>1</v>
      </c>
      <c r="D952" s="55" t="str">
        <f>VLOOKUP(Main_Presentation[[#This Row],[LC Number]],Main_Issuance[],3,0)</f>
        <v>Hassan Taleb</v>
      </c>
      <c r="E952" s="16" t="s">
        <v>858</v>
      </c>
      <c r="F952" s="17" t="str">
        <f>VLOOKUP(Main_Presentation[[#This Row],[LC Number]],Main_Issuance[],5,0)</f>
        <v>Alinma</v>
      </c>
      <c r="G952" s="17" t="str">
        <f>VLOOKUP(Main_Presentation[[#This Row],[LC Number]],Main_Issuance[],6,0)</f>
        <v>KSP</v>
      </c>
      <c r="H952" s="17" t="str">
        <f>VLOOKUP(Main_Presentation[[#This Row],[LC Number]],Main_Issuance[],17,0)</f>
        <v>Credit</v>
      </c>
      <c r="I952" s="17" t="str">
        <f>VLOOKUP(Main_Presentation[[#This Row],[LC Number]],Main_Issuance[],7,0)</f>
        <v>MOHAMMED MASOUD AL-KHALDI EST</v>
      </c>
      <c r="J952" s="17" t="str">
        <f>VLOOKUP(Main_Presentation[[#This Row],[LC Number]],Main_Issuance[],8,0)</f>
        <v>FIRST FIX</v>
      </c>
      <c r="K952" s="17" t="str">
        <f>VLOOKUP(Main_Presentation[[#This Row],[LC Number]],Main_Issuance[],9,0)</f>
        <v>KSP</v>
      </c>
      <c r="L952" s="17">
        <f>VLOOKUP(Main_Presentation[[#This Row],[LC Number]],Main_Issuance[],10,0)</f>
        <v>1020055</v>
      </c>
      <c r="M952" s="17" t="str">
        <f>VLOOKUP(Main_Presentation[[#This Row],[LC Number]],Main_Issuance[],11,0)</f>
        <v>SAR</v>
      </c>
      <c r="N952" s="84">
        <f>VLOOKUP(Main_Presentation[[#This Row],[LC Number]],Main_Issuance[],12,0)</f>
        <v>274309.5</v>
      </c>
      <c r="O952" s="16" t="s">
        <v>20</v>
      </c>
      <c r="P952" s="16" t="s">
        <v>857</v>
      </c>
      <c r="Q952" s="131">
        <v>274309.5</v>
      </c>
      <c r="R952" s="18">
        <v>1</v>
      </c>
      <c r="S952" s="18">
        <f>Main_Presentation[[#This Row],[Invoice Amt (FCY)]]*Main_Presentation[[#This Row],[Rate]]</f>
        <v>274309.5</v>
      </c>
      <c r="T952" s="15">
        <v>45935</v>
      </c>
      <c r="U952" s="26" t="str">
        <f>VLOOKUP(Main_Presentation[[#This Row],[LC Number]],Main_Issuance[],18,0)</f>
        <v>90 Days from Invoice Date</v>
      </c>
      <c r="V952" s="17" t="s">
        <v>22</v>
      </c>
      <c r="W952" s="22" t="s">
        <v>857</v>
      </c>
      <c r="X952" s="16"/>
      <c r="Y952" s="234" t="str">
        <f>TRIM(LEFT(Main_Presentation[[#This Row],[Payment Terms]],3))</f>
        <v>90</v>
      </c>
      <c r="Z952" s="16"/>
      <c r="AA952" s="316" cm="1">
        <f t="array" ref="AA952">Settlement(Main_Presentation[[#This Row],[Bank]],Main_Presentation[[#This Row],[ Invoice Amt (SAR)]],Main_Presentation[[#This Row],[Date Recd]],Main_Presentation[[#This Row],[Due Date]],Main_Presentation[[#This Row],[Days]])</f>
        <v>1437.5</v>
      </c>
      <c r="AB952" s="16"/>
    </row>
    <row r="953" spans="1:28" ht="15.75" hidden="1" x14ac:dyDescent="0.25">
      <c r="A953" s="20" t="s">
        <v>1348</v>
      </c>
      <c r="B953" s="15">
        <v>45862</v>
      </c>
      <c r="C953" s="26">
        <v>1</v>
      </c>
      <c r="D953" s="55" t="str">
        <f>VLOOKUP(Main_Presentation[[#This Row],[LC Number]],Main_Issuance[],3,0)</f>
        <v>Hassan Taleb</v>
      </c>
      <c r="E953" s="16" t="s">
        <v>858</v>
      </c>
      <c r="F953" s="17" t="str">
        <f>VLOOKUP(Main_Presentation[[#This Row],[LC Number]],Main_Issuance[],5,0)</f>
        <v>Alinma</v>
      </c>
      <c r="G953" s="17" t="str">
        <f>VLOOKUP(Main_Presentation[[#This Row],[LC Number]],Main_Issuance[],6,0)</f>
        <v>KSP</v>
      </c>
      <c r="H953" s="17" t="str">
        <f>VLOOKUP(Main_Presentation[[#This Row],[LC Number]],Main_Issuance[],17,0)</f>
        <v>Credit</v>
      </c>
      <c r="I953" s="17" t="str">
        <f>VLOOKUP(Main_Presentation[[#This Row],[LC Number]],Main_Issuance[],7,0)</f>
        <v>AFAQ AL MALAZ TRADING CO.LTD</v>
      </c>
      <c r="J953" s="17" t="str">
        <f>VLOOKUP(Main_Presentation[[#This Row],[LC Number]],Main_Issuance[],8,0)</f>
        <v>FIRST FIX</v>
      </c>
      <c r="K953" s="17" t="str">
        <f>VLOOKUP(Main_Presentation[[#This Row],[LC Number]],Main_Issuance[],9,0)</f>
        <v>KSP</v>
      </c>
      <c r="L953" s="17">
        <f>VLOOKUP(Main_Presentation[[#This Row],[LC Number]],Main_Issuance[],10,0)</f>
        <v>1020055</v>
      </c>
      <c r="M953" s="17" t="str">
        <f>VLOOKUP(Main_Presentation[[#This Row],[LC Number]],Main_Issuance[],11,0)</f>
        <v>SAR</v>
      </c>
      <c r="N953" s="84">
        <f>VLOOKUP(Main_Presentation[[#This Row],[LC Number]],Main_Issuance[],12,0)</f>
        <v>202604.9</v>
      </c>
      <c r="O953" s="16" t="s">
        <v>20</v>
      </c>
      <c r="P953" s="16" t="s">
        <v>857</v>
      </c>
      <c r="Q953" s="131">
        <v>202604.9</v>
      </c>
      <c r="R953" s="18">
        <v>1</v>
      </c>
      <c r="S953" s="18">
        <f>Main_Presentation[[#This Row],[Invoice Amt (FCY)]]*Main_Presentation[[#This Row],[Rate]]</f>
        <v>202604.9</v>
      </c>
      <c r="T953" s="15">
        <v>45965</v>
      </c>
      <c r="U953" s="26" t="str">
        <f>VLOOKUP(Main_Presentation[[#This Row],[LC Number]],Main_Issuance[],18,0)</f>
        <v>120 Days from Invoice Date</v>
      </c>
      <c r="V953" s="17" t="s">
        <v>710</v>
      </c>
      <c r="W953" s="22" t="s">
        <v>378</v>
      </c>
      <c r="X953" s="16"/>
      <c r="Y953" s="234" t="str">
        <f>TRIM(LEFT(Main_Presentation[[#This Row],[Payment Terms]],3))</f>
        <v>120</v>
      </c>
      <c r="Z953" s="16"/>
      <c r="AA953" s="316" cm="1">
        <f t="array" ref="AA953">Settlement(Main_Presentation[[#This Row],[Bank]],Main_Presentation[[#This Row],[ Invoice Amt (SAR)]],Main_Presentation[[#This Row],[Date Recd]],Main_Presentation[[#This Row],[Due Date]],Main_Presentation[[#This Row],[Days]])</f>
        <v>1437.5</v>
      </c>
      <c r="AB953" s="16"/>
    </row>
    <row r="954" spans="1:28" ht="15.75" hidden="1" x14ac:dyDescent="0.25">
      <c r="A954" s="20" t="s">
        <v>1421</v>
      </c>
      <c r="B954" s="15">
        <v>45859</v>
      </c>
      <c r="C954" s="26">
        <v>1</v>
      </c>
      <c r="D954" s="55" t="str">
        <f>VLOOKUP(Main_Presentation[[#This Row],[LC Number]],Main_Issuance[],3,0)</f>
        <v>Hassan Taleb</v>
      </c>
      <c r="E954" s="16" t="s">
        <v>856</v>
      </c>
      <c r="F954" s="17" t="str">
        <f>VLOOKUP(Main_Presentation[[#This Row],[LC Number]],Main_Issuance[],5,0)</f>
        <v>SNB</v>
      </c>
      <c r="G954" s="17" t="str">
        <f>VLOOKUP(Main_Presentation[[#This Row],[LC Number]],Main_Issuance[],6,0)</f>
        <v>Opera House</v>
      </c>
      <c r="H954" s="17" t="str">
        <f>VLOOKUP(Main_Presentation[[#This Row],[LC Number]],Main_Issuance[],17,0)</f>
        <v>Credit</v>
      </c>
      <c r="I954" s="17" t="str">
        <f>VLOOKUP(Main_Presentation[[#This Row],[LC Number]],Main_Issuance[],7,0)</f>
        <v>CAN ALSHARQ GENERAL CONT. EST</v>
      </c>
      <c r="J954" s="17" t="str">
        <f>VLOOKUP(Main_Presentation[[#This Row],[LC Number]],Main_Issuance[],8,0)</f>
        <v>FIRST FIX</v>
      </c>
      <c r="K954" s="17" t="str">
        <f>VLOOKUP(Main_Presentation[[#This Row],[LC Number]],Main_Issuance[],9,0)</f>
        <v>KSP</v>
      </c>
      <c r="L954" s="17">
        <f>VLOOKUP(Main_Presentation[[#This Row],[LC Number]],Main_Issuance[],10,0)</f>
        <v>1020055</v>
      </c>
      <c r="M954" s="17" t="str">
        <f>VLOOKUP(Main_Presentation[[#This Row],[LC Number]],Main_Issuance[],11,0)</f>
        <v>SAR</v>
      </c>
      <c r="N954" s="84">
        <f>VLOOKUP(Main_Presentation[[#This Row],[LC Number]],Main_Issuance[],12,0)</f>
        <v>783377.8</v>
      </c>
      <c r="O954" s="16" t="s">
        <v>20</v>
      </c>
      <c r="P954" s="16" t="s">
        <v>378</v>
      </c>
      <c r="Q954" s="131">
        <v>783377.8</v>
      </c>
      <c r="R954" s="18">
        <v>1</v>
      </c>
      <c r="S954" s="18">
        <f>Main_Presentation[[#This Row],[Invoice Amt (FCY)]]*Main_Presentation[[#This Row],[Rate]]</f>
        <v>783377.8</v>
      </c>
      <c r="T954" s="15">
        <v>45929</v>
      </c>
      <c r="U954" s="26" t="str">
        <f>VLOOKUP(Main_Presentation[[#This Row],[LC Number]],Main_Issuance[],18,0)</f>
        <v>120 Days from Invoice Date</v>
      </c>
      <c r="V954" s="17" t="s">
        <v>22</v>
      </c>
      <c r="W954" s="22" t="s">
        <v>857</v>
      </c>
      <c r="X954" s="16"/>
      <c r="Y954" s="234" t="str">
        <f>TRIM(LEFT(Main_Presentation[[#This Row],[Payment Terms]],3))</f>
        <v>120</v>
      </c>
      <c r="Z954" s="16"/>
      <c r="AA954" s="316" cm="1">
        <f t="array" ref="AA954">Settlement(Main_Presentation[[#This Row],[Bank]],Main_Presentation[[#This Row],[ Invoice Amt (SAR)]],Main_Presentation[[#This Row],[Date Recd]],Main_Presentation[[#This Row],[Due Date]],Main_Presentation[[#This Row],[Days]])</f>
        <v>3793.85</v>
      </c>
      <c r="AB954" s="16"/>
    </row>
    <row r="955" spans="1:28" ht="15.75" hidden="1" x14ac:dyDescent="0.25">
      <c r="A955" s="20" t="s">
        <v>1311</v>
      </c>
      <c r="B955" s="15">
        <v>45862</v>
      </c>
      <c r="C955" s="26">
        <v>1</v>
      </c>
      <c r="D955" s="55" t="str">
        <f>VLOOKUP(Main_Presentation[[#This Row],[LC Number]],Main_Issuance[],3,0)</f>
        <v>Hassan Taleb</v>
      </c>
      <c r="E955" s="16" t="s">
        <v>858</v>
      </c>
      <c r="F955" s="17" t="str">
        <f>VLOOKUP(Main_Presentation[[#This Row],[LC Number]],Main_Issuance[],5,0)</f>
        <v>Alinma</v>
      </c>
      <c r="G955" s="17" t="str">
        <f>VLOOKUP(Main_Presentation[[#This Row],[LC Number]],Main_Issuance[],6,0)</f>
        <v>KSP</v>
      </c>
      <c r="H955" s="17" t="str">
        <f>VLOOKUP(Main_Presentation[[#This Row],[LC Number]],Main_Issuance[],17,0)</f>
        <v>Credit</v>
      </c>
      <c r="I955" s="17" t="str">
        <f>VLOOKUP(Main_Presentation[[#This Row],[LC Number]],Main_Issuance[],7,0)</f>
        <v>AFAQ AL MALAZ TRADING CO.LTD</v>
      </c>
      <c r="J955" s="17" t="str">
        <f>VLOOKUP(Main_Presentation[[#This Row],[LC Number]],Main_Issuance[],8,0)</f>
        <v>FIRST FIX</v>
      </c>
      <c r="K955" s="17" t="str">
        <f>VLOOKUP(Main_Presentation[[#This Row],[LC Number]],Main_Issuance[],9,0)</f>
        <v>KSP</v>
      </c>
      <c r="L955" s="17">
        <f>VLOOKUP(Main_Presentation[[#This Row],[LC Number]],Main_Issuance[],10,0)</f>
        <v>1020055</v>
      </c>
      <c r="M955" s="17" t="str">
        <f>VLOOKUP(Main_Presentation[[#This Row],[LC Number]],Main_Issuance[],11,0)</f>
        <v>SAR</v>
      </c>
      <c r="N955" s="84">
        <f>VLOOKUP(Main_Presentation[[#This Row],[LC Number]],Main_Issuance[],12,0)</f>
        <v>78117.13</v>
      </c>
      <c r="O955" s="16" t="s">
        <v>20</v>
      </c>
      <c r="P955" s="16" t="s">
        <v>857</v>
      </c>
      <c r="Q955" s="131">
        <v>30420.75</v>
      </c>
      <c r="R955" s="18">
        <v>1</v>
      </c>
      <c r="S955" s="18">
        <f>Main_Presentation[[#This Row],[Invoice Amt (FCY)]]*Main_Presentation[[#This Row],[Rate]]</f>
        <v>30420.75</v>
      </c>
      <c r="T955" s="15">
        <v>45964</v>
      </c>
      <c r="U955" s="26" t="str">
        <f>VLOOKUP(Main_Presentation[[#This Row],[LC Number]],Main_Issuance[],18,0)</f>
        <v>120 Days from Invoice Date</v>
      </c>
      <c r="V955" s="17" t="s">
        <v>22</v>
      </c>
      <c r="W955" s="22" t="s">
        <v>857</v>
      </c>
      <c r="X955" s="16"/>
      <c r="Y955" s="234" t="str">
        <f>TRIM(LEFT(Main_Presentation[[#This Row],[Payment Terms]],3))</f>
        <v>120</v>
      </c>
      <c r="Z955" s="16"/>
      <c r="AA955" s="316" cm="1">
        <f t="array" ref="AA955">Settlement(Main_Presentation[[#This Row],[Bank]],Main_Presentation[[#This Row],[ Invoice Amt (SAR)]],Main_Presentation[[#This Row],[Date Recd]],Main_Presentation[[#This Row],[Due Date]],Main_Presentation[[#This Row],[Days]])</f>
        <v>1437.5</v>
      </c>
      <c r="AB955" s="16"/>
    </row>
    <row r="956" spans="1:28" ht="15.75" hidden="1" x14ac:dyDescent="0.25">
      <c r="A956" s="20" t="s">
        <v>1194</v>
      </c>
      <c r="B956" s="15">
        <v>45862</v>
      </c>
      <c r="C956" s="26">
        <v>2</v>
      </c>
      <c r="D956" s="55" t="str">
        <f>VLOOKUP(Main_Presentation[[#This Row],[LC Number]],Main_Issuance[],3,0)</f>
        <v>Rabih Makhoul</v>
      </c>
      <c r="E956" s="16" t="s">
        <v>858</v>
      </c>
      <c r="F956" s="17" t="str">
        <f>VLOOKUP(Main_Presentation[[#This Row],[LC Number]],Main_Issuance[],5,0)</f>
        <v>Alinma</v>
      </c>
      <c r="G956" s="17" t="str">
        <f>VLOOKUP(Main_Presentation[[#This Row],[LC Number]],Main_Issuance[],6,0)</f>
        <v>KSP</v>
      </c>
      <c r="H956" s="17" t="str">
        <f>VLOOKUP(Main_Presentation[[#This Row],[LC Number]],Main_Issuance[],17,0)</f>
        <v>Credit</v>
      </c>
      <c r="I956" s="17" t="str">
        <f>VLOOKUP(Main_Presentation[[#This Row],[LC Number]],Main_Issuance[],7,0)</f>
        <v>Systemair For Electrical Equipment Co.</v>
      </c>
      <c r="J956" s="17" t="str">
        <f>VLOOKUP(Main_Presentation[[#This Row],[LC Number]],Main_Issuance[],8,0)</f>
        <v>FIRST FIX</v>
      </c>
      <c r="K956" s="17" t="str">
        <f>VLOOKUP(Main_Presentation[[#This Row],[LC Number]],Main_Issuance[],9,0)</f>
        <v>JCD SPMI</v>
      </c>
      <c r="L956" s="17">
        <f>VLOOKUP(Main_Presentation[[#This Row],[LC Number]],Main_Issuance[],10,0)</f>
        <v>1020100</v>
      </c>
      <c r="M956" s="17" t="str">
        <f>VLOOKUP(Main_Presentation[[#This Row],[LC Number]],Main_Issuance[],11,0)</f>
        <v>SAR</v>
      </c>
      <c r="N956" s="84">
        <f>VLOOKUP(Main_Presentation[[#This Row],[LC Number]],Main_Issuance[],12,0)</f>
        <v>500000</v>
      </c>
      <c r="O956" s="16" t="s">
        <v>20</v>
      </c>
      <c r="P956" s="16" t="s">
        <v>857</v>
      </c>
      <c r="Q956" s="131">
        <v>295697.42</v>
      </c>
      <c r="R956" s="18">
        <v>1</v>
      </c>
      <c r="S956" s="18">
        <f>Main_Presentation[[#This Row],[Invoice Amt (FCY)]]*Main_Presentation[[#This Row],[Rate]]</f>
        <v>295697.42</v>
      </c>
      <c r="T956" s="15">
        <v>45932</v>
      </c>
      <c r="U956" s="26" t="str">
        <f>VLOOKUP(Main_Presentation[[#This Row],[LC Number]],Main_Issuance[],18,0)</f>
        <v>90 Days from Invoice Date</v>
      </c>
      <c r="V956" s="17" t="s">
        <v>304</v>
      </c>
      <c r="W956" s="22" t="s">
        <v>378</v>
      </c>
      <c r="X956" s="16"/>
      <c r="Y956" s="234" t="str">
        <f>TRIM(LEFT(Main_Presentation[[#This Row],[Payment Terms]],3))</f>
        <v>90</v>
      </c>
      <c r="Z956" s="16"/>
      <c r="AA956" s="316" cm="1">
        <f t="array" ref="AA956">Settlement(Main_Presentation[[#This Row],[Bank]],Main_Presentation[[#This Row],[ Invoice Amt (SAR)]],Main_Presentation[[#This Row],[Date Recd]],Main_Presentation[[#This Row],[Due Date]],Main_Presentation[[#This Row],[Days]])</f>
        <v>1437.5</v>
      </c>
      <c r="AB956" s="16"/>
    </row>
    <row r="957" spans="1:28" ht="15.75" hidden="1" x14ac:dyDescent="0.25">
      <c r="A957" s="20" t="s">
        <v>1405</v>
      </c>
      <c r="B957" s="15">
        <v>45852</v>
      </c>
      <c r="C957" s="26">
        <v>1</v>
      </c>
      <c r="D957" s="55" t="str">
        <f>VLOOKUP(Main_Presentation[[#This Row],[LC Number]],Main_Issuance[],3,0)</f>
        <v>Hassan Taleb</v>
      </c>
      <c r="E957" s="16" t="s">
        <v>858</v>
      </c>
      <c r="F957" s="17" t="str">
        <f>VLOOKUP(Main_Presentation[[#This Row],[LC Number]],Main_Issuance[],5,0)</f>
        <v>Alinma</v>
      </c>
      <c r="G957" s="17" t="str">
        <f>VLOOKUP(Main_Presentation[[#This Row],[LC Number]],Main_Issuance[],6,0)</f>
        <v>KSP</v>
      </c>
      <c r="H957" s="17" t="str">
        <f>VLOOKUP(Main_Presentation[[#This Row],[LC Number]],Main_Issuance[],17,0)</f>
        <v>Credit</v>
      </c>
      <c r="I957" s="17" t="str">
        <f>VLOOKUP(Main_Presentation[[#This Row],[LC Number]],Main_Issuance[],7,0)</f>
        <v>BR.MUMTAZ &amp; CONSTRUCTION CO.MIRPUR A.K.</v>
      </c>
      <c r="J957" s="17" t="str">
        <f>VLOOKUP(Main_Presentation[[#This Row],[LC Number]],Main_Issuance[],8,0)</f>
        <v>FIRST FIX</v>
      </c>
      <c r="K957" s="17" t="str">
        <f>VLOOKUP(Main_Presentation[[#This Row],[LC Number]],Main_Issuance[],9,0)</f>
        <v>KSP</v>
      </c>
      <c r="L957" s="17">
        <f>VLOOKUP(Main_Presentation[[#This Row],[LC Number]],Main_Issuance[],10,0)</f>
        <v>1020055</v>
      </c>
      <c r="M957" s="17" t="str">
        <f>VLOOKUP(Main_Presentation[[#This Row],[LC Number]],Main_Issuance[],11,0)</f>
        <v>SAR</v>
      </c>
      <c r="N957" s="84">
        <f>VLOOKUP(Main_Presentation[[#This Row],[LC Number]],Main_Issuance[],12,0)</f>
        <v>250000</v>
      </c>
      <c r="O957" s="16" t="s">
        <v>20</v>
      </c>
      <c r="P957" s="16" t="s">
        <v>857</v>
      </c>
      <c r="Q957" s="131">
        <v>250000</v>
      </c>
      <c r="R957" s="18">
        <v>1</v>
      </c>
      <c r="S957" s="18">
        <f>Main_Presentation[[#This Row],[Invoice Amt (FCY)]]*Main_Presentation[[#This Row],[Rate]]</f>
        <v>250000</v>
      </c>
      <c r="T957" s="15">
        <v>45965</v>
      </c>
      <c r="U957" s="26" t="str">
        <f>VLOOKUP(Main_Presentation[[#This Row],[LC Number]],Main_Issuance[],18,0)</f>
        <v>120 Days from Invoice Date</v>
      </c>
      <c r="V957" s="17" t="s">
        <v>710</v>
      </c>
      <c r="W957" s="22" t="s">
        <v>378</v>
      </c>
      <c r="X957" s="16"/>
      <c r="Y957" s="234" t="str">
        <f>TRIM(LEFT(Main_Presentation[[#This Row],[Payment Terms]],3))</f>
        <v>120</v>
      </c>
      <c r="Z957" s="16"/>
      <c r="AA957" s="316" cm="1">
        <f t="array" ref="AA957">Settlement(Main_Presentation[[#This Row],[Bank]],Main_Presentation[[#This Row],[ Invoice Amt (SAR)]],Main_Presentation[[#This Row],[Date Recd]],Main_Presentation[[#This Row],[Due Date]],Main_Presentation[[#This Row],[Days]])</f>
        <v>1437.5</v>
      </c>
      <c r="AB957" s="16"/>
    </row>
    <row r="958" spans="1:28" ht="15.75" hidden="1" x14ac:dyDescent="0.25">
      <c r="A958" s="20" t="s">
        <v>719</v>
      </c>
      <c r="B958" s="15">
        <v>45925</v>
      </c>
      <c r="C958" s="26">
        <v>1</v>
      </c>
      <c r="D958" s="55" t="str">
        <f>VLOOKUP(Main_Presentation[[#This Row],[LC Number]],Main_Issuance[],3,0)</f>
        <v>Hassan Taleb</v>
      </c>
      <c r="E958" s="16" t="s">
        <v>858</v>
      </c>
      <c r="F958" s="17" t="str">
        <f>VLOOKUP(Main_Presentation[[#This Row],[LC Number]],Main_Issuance[],5,0)</f>
        <v>Jazira</v>
      </c>
      <c r="G958" s="17" t="str">
        <f>VLOOKUP(Main_Presentation[[#This Row],[LC Number]],Main_Issuance[],6,0)</f>
        <v>RCRC</v>
      </c>
      <c r="H958" s="17" t="str">
        <f>VLOOKUP(Main_Presentation[[#This Row],[LC Number]],Main_Issuance[],17,0)</f>
        <v>Credit</v>
      </c>
      <c r="I958" s="17" t="str">
        <f>VLOOKUP(Main_Presentation[[#This Row],[LC Number]],Main_Issuance[],7,0)</f>
        <v>Al Wasail Industrial Company</v>
      </c>
      <c r="J958" s="17" t="str">
        <f>VLOOKUP(Main_Presentation[[#This Row],[LC Number]],Main_Issuance[],8,0)</f>
        <v>FIRST FIX</v>
      </c>
      <c r="K958" s="17" t="str">
        <f>VLOOKUP(Main_Presentation[[#This Row],[LC Number]],Main_Issuance[],9,0)</f>
        <v>RCRC</v>
      </c>
      <c r="L958" s="17">
        <f>VLOOKUP(Main_Presentation[[#This Row],[LC Number]],Main_Issuance[],10,0)</f>
        <v>1020106</v>
      </c>
      <c r="M958" s="17" t="str">
        <f>VLOOKUP(Main_Presentation[[#This Row],[LC Number]],Main_Issuance[],11,0)</f>
        <v>SAR</v>
      </c>
      <c r="N958" s="84">
        <f>VLOOKUP(Main_Presentation[[#This Row],[LC Number]],Main_Issuance[],12,0)</f>
        <v>316864.68</v>
      </c>
      <c r="O958" s="16" t="s">
        <v>20</v>
      </c>
      <c r="P958" s="16" t="s">
        <v>857</v>
      </c>
      <c r="Q958" s="131">
        <v>231336.88</v>
      </c>
      <c r="R958" s="18">
        <v>1</v>
      </c>
      <c r="S958" s="18">
        <f>Main_Presentation[[#This Row],[Invoice Amt (FCY)]]*Main_Presentation[[#This Row],[Rate]]</f>
        <v>231336.88</v>
      </c>
      <c r="T958" s="15">
        <v>45935</v>
      </c>
      <c r="U958" s="26" t="str">
        <f>VLOOKUP(Main_Presentation[[#This Row],[LC Number]],Main_Issuance[],18,0)</f>
        <v>90 Days from Invoice Date</v>
      </c>
      <c r="V958" s="17" t="s">
        <v>613</v>
      </c>
      <c r="W958" s="22" t="s">
        <v>857</v>
      </c>
      <c r="X958" s="16"/>
      <c r="Y958" s="234" t="str">
        <f>TRIM(LEFT(Main_Presentation[[#This Row],[Payment Terms]],3))</f>
        <v>90</v>
      </c>
      <c r="Z958" s="16"/>
      <c r="AA958" s="316" cm="1">
        <f t="array" ref="AA958">Settlement(Main_Presentation[[#This Row],[Bank]],Main_Presentation[[#This Row],[ Invoice Amt (SAR)]],Main_Presentation[[#This Row],[Date Recd]],Main_Presentation[[#This Row],[Due Date]],Main_Presentation[[#This Row],[Days]])</f>
        <v>977.5</v>
      </c>
      <c r="AB958" s="16"/>
    </row>
    <row r="959" spans="1:28" ht="15.75" hidden="1" x14ac:dyDescent="0.25">
      <c r="A959" s="20" t="s">
        <v>629</v>
      </c>
      <c r="B959" s="15">
        <v>45853</v>
      </c>
      <c r="C959" s="26">
        <v>1</v>
      </c>
      <c r="D959" s="55" t="str">
        <f>VLOOKUP(Main_Presentation[[#This Row],[LC Number]],Main_Issuance[],3,0)</f>
        <v>Hassan Taleb</v>
      </c>
      <c r="E959" s="16" t="s">
        <v>856</v>
      </c>
      <c r="F959" s="17" t="str">
        <f>VLOOKUP(Main_Presentation[[#This Row],[LC Number]],Main_Issuance[],5,0)</f>
        <v>Alinma</v>
      </c>
      <c r="G959" s="17" t="str">
        <f>VLOOKUP(Main_Presentation[[#This Row],[LC Number]],Main_Issuance[],6,0)</f>
        <v>KSP</v>
      </c>
      <c r="H959" s="17" t="str">
        <f>VLOOKUP(Main_Presentation[[#This Row],[LC Number]],Main_Issuance[],17,0)</f>
        <v>Credit</v>
      </c>
      <c r="I959" s="17" t="str">
        <f>VLOOKUP(Main_Presentation[[#This Row],[LC Number]],Main_Issuance[],7,0)</f>
        <v>Light Technologies Company LTD / Lightech.</v>
      </c>
      <c r="J959" s="17" t="str">
        <f>VLOOKUP(Main_Presentation[[#This Row],[LC Number]],Main_Issuance[],8,0)</f>
        <v>FIRST FIX</v>
      </c>
      <c r="K959" s="17" t="str">
        <f>VLOOKUP(Main_Presentation[[#This Row],[LC Number]],Main_Issuance[],9,0)</f>
        <v>KSP</v>
      </c>
      <c r="L959" s="17">
        <f>VLOOKUP(Main_Presentation[[#This Row],[LC Number]],Main_Issuance[],10,0)</f>
        <v>1020055</v>
      </c>
      <c r="M959" s="17" t="str">
        <f>VLOOKUP(Main_Presentation[[#This Row],[LC Number]],Main_Issuance[],11,0)</f>
        <v>SAR</v>
      </c>
      <c r="N959" s="84">
        <f>VLOOKUP(Main_Presentation[[#This Row],[LC Number]],Main_Issuance[],12,0)</f>
        <v>900000</v>
      </c>
      <c r="O959" s="16" t="s">
        <v>20</v>
      </c>
      <c r="P959" s="16" t="s">
        <v>857</v>
      </c>
      <c r="Q959" s="131">
        <v>899345.63</v>
      </c>
      <c r="R959" s="18">
        <v>1</v>
      </c>
      <c r="S959" s="18">
        <f>Main_Presentation[[#This Row],[Invoice Amt (FCY)]]*Main_Presentation[[#This Row],[Rate]]</f>
        <v>899345.63</v>
      </c>
      <c r="T959" s="15">
        <v>45935</v>
      </c>
      <c r="U959" s="26" t="str">
        <f>VLOOKUP(Main_Presentation[[#This Row],[LC Number]],Main_Issuance[],18,0)</f>
        <v>90 Days from Invoice Date</v>
      </c>
      <c r="V959" s="17" t="s">
        <v>22</v>
      </c>
      <c r="W959" s="22" t="s">
        <v>857</v>
      </c>
      <c r="X959" s="16"/>
      <c r="Y959" s="234" t="str">
        <f>TRIM(LEFT(Main_Presentation[[#This Row],[Payment Terms]],3))</f>
        <v>90</v>
      </c>
      <c r="Z959" s="16"/>
      <c r="AA959" s="316" cm="1">
        <f t="array" ref="AA959">Settlement(Main_Presentation[[#This Row],[Bank]],Main_Presentation[[#This Row],[ Invoice Amt (SAR)]],Main_Presentation[[#This Row],[Date Recd]],Main_Presentation[[#This Row],[Due Date]],Main_Presentation[[#This Row],[Days]])</f>
        <v>1437.5</v>
      </c>
      <c r="AB959" s="16"/>
    </row>
    <row r="960" spans="1:28" ht="15.75" hidden="1" x14ac:dyDescent="0.25">
      <c r="A960" s="20" t="s">
        <v>1435</v>
      </c>
      <c r="B960" s="15">
        <v>45861</v>
      </c>
      <c r="C960" s="26">
        <v>1</v>
      </c>
      <c r="D960" s="55" t="str">
        <f>VLOOKUP(Main_Presentation[[#This Row],[LC Number]],Main_Issuance[],3,0)</f>
        <v>Hassan Taleb</v>
      </c>
      <c r="E960" s="16" t="s">
        <v>858</v>
      </c>
      <c r="F960" s="17" t="str">
        <f>VLOOKUP(Main_Presentation[[#This Row],[LC Number]],Main_Issuance[],5,0)</f>
        <v>SAB</v>
      </c>
      <c r="G960" s="17" t="str">
        <f>VLOOKUP(Main_Presentation[[#This Row],[LC Number]],Main_Issuance[],6,0)</f>
        <v>MP1</v>
      </c>
      <c r="H960" s="17" t="str">
        <f>VLOOKUP(Main_Presentation[[#This Row],[LC Number]],Main_Issuance[],17,0)</f>
        <v>Credit</v>
      </c>
      <c r="I960" s="17" t="str">
        <f>VLOOKUP(Main_Presentation[[#This Row],[LC Number]],Main_Issuance[],7,0)</f>
        <v>MASE GULF COMPANY</v>
      </c>
      <c r="J960" s="17" t="str">
        <f>VLOOKUP(Main_Presentation[[#This Row],[LC Number]],Main_Issuance[],8,0)</f>
        <v>FIRST FIX</v>
      </c>
      <c r="K960" s="17" t="str">
        <f>VLOOKUP(Main_Presentation[[#This Row],[LC Number]],Main_Issuance[],9,0)</f>
        <v>MP1</v>
      </c>
      <c r="L960" s="17">
        <f>VLOOKUP(Main_Presentation[[#This Row],[LC Number]],Main_Issuance[],10,0)</f>
        <v>1020088</v>
      </c>
      <c r="M960" s="17" t="str">
        <f>VLOOKUP(Main_Presentation[[#This Row],[LC Number]],Main_Issuance[],11,0)</f>
        <v>SAR</v>
      </c>
      <c r="N960" s="84">
        <f>VLOOKUP(Main_Presentation[[#This Row],[LC Number]],Main_Issuance[],12,0)</f>
        <v>894240</v>
      </c>
      <c r="O960" s="16" t="s">
        <v>20</v>
      </c>
      <c r="P960" s="16" t="s">
        <v>857</v>
      </c>
      <c r="Q960" s="131">
        <v>894240</v>
      </c>
      <c r="R960" s="18">
        <v>1</v>
      </c>
      <c r="S960" s="18">
        <f>Main_Presentation[[#This Row],[Invoice Amt (FCY)]]*Main_Presentation[[#This Row],[Rate]]</f>
        <v>894240</v>
      </c>
      <c r="T960" s="15">
        <v>45949</v>
      </c>
      <c r="U960" s="26" t="str">
        <f>VLOOKUP(Main_Presentation[[#This Row],[LC Number]],Main_Issuance[],18,0)</f>
        <v>120 Days from Invoice Date</v>
      </c>
      <c r="V960" s="17" t="s">
        <v>367</v>
      </c>
      <c r="W960" s="22" t="s">
        <v>378</v>
      </c>
      <c r="X960" s="16"/>
      <c r="Y960" s="234" t="str">
        <f>TRIM(LEFT(Main_Presentation[[#This Row],[Payment Terms]],3))</f>
        <v>120</v>
      </c>
      <c r="Z960" s="16"/>
      <c r="AA960" s="316" cm="1">
        <f t="array" ref="AA960">Settlement(Main_Presentation[[#This Row],[Bank]],Main_Presentation[[#This Row],[ Invoice Amt (SAR)]],Main_Presentation[[#This Row],[Date Recd]],Main_Presentation[[#This Row],[Due Date]],Main_Presentation[[#This Row],[Days]])</f>
        <v>3855.95</v>
      </c>
      <c r="AB960" s="16"/>
    </row>
    <row r="961" spans="1:28" ht="15.75" hidden="1" x14ac:dyDescent="0.25">
      <c r="A961" s="20" t="s">
        <v>1152</v>
      </c>
      <c r="B961" s="15">
        <v>45859</v>
      </c>
      <c r="C961" s="26">
        <v>2</v>
      </c>
      <c r="D961" s="55" t="str">
        <f>VLOOKUP(Main_Presentation[[#This Row],[LC Number]],Main_Issuance[],3,0)</f>
        <v>Hassan Taleb</v>
      </c>
      <c r="E961" s="16" t="s">
        <v>856</v>
      </c>
      <c r="F961" s="17" t="str">
        <f>VLOOKUP(Main_Presentation[[#This Row],[LC Number]],Main_Issuance[],5,0)</f>
        <v>Jazira</v>
      </c>
      <c r="G961" s="17" t="str">
        <f>VLOOKUP(Main_Presentation[[#This Row],[LC Number]],Main_Issuance[],6,0)</f>
        <v>RCRC</v>
      </c>
      <c r="H961" s="17" t="str">
        <f>VLOOKUP(Main_Presentation[[#This Row],[LC Number]],Main_Issuance[],17,0)</f>
        <v>Credit</v>
      </c>
      <c r="I961" s="17" t="str">
        <f>VLOOKUP(Main_Presentation[[#This Row],[LC Number]],Main_Issuance[],7,0)</f>
        <v>ELSEWEDY CABLES CO.LIMITED</v>
      </c>
      <c r="J961" s="17" t="str">
        <f>VLOOKUP(Main_Presentation[[#This Row],[LC Number]],Main_Issuance[],8,0)</f>
        <v>FIRST FIX</v>
      </c>
      <c r="K961" s="17" t="str">
        <f>VLOOKUP(Main_Presentation[[#This Row],[LC Number]],Main_Issuance[],9,0)</f>
        <v>RCRC</v>
      </c>
      <c r="L961" s="17">
        <f>VLOOKUP(Main_Presentation[[#This Row],[LC Number]],Main_Issuance[],10,0)</f>
        <v>1020106</v>
      </c>
      <c r="M961" s="17" t="str">
        <f>VLOOKUP(Main_Presentation[[#This Row],[LC Number]],Main_Issuance[],11,0)</f>
        <v>SAR</v>
      </c>
      <c r="N961" s="84">
        <f>VLOOKUP(Main_Presentation[[#This Row],[LC Number]],Main_Issuance[],12,0)</f>
        <v>2139000</v>
      </c>
      <c r="O961" s="16" t="s">
        <v>20</v>
      </c>
      <c r="P961" s="16" t="s">
        <v>857</v>
      </c>
      <c r="Q961" s="131">
        <v>568403</v>
      </c>
      <c r="R961" s="18">
        <v>1</v>
      </c>
      <c r="S961" s="18">
        <f>Main_Presentation[[#This Row],[Invoice Amt (FCY)]]*Main_Presentation[[#This Row],[Rate]]</f>
        <v>568403</v>
      </c>
      <c r="T961" s="15">
        <v>45921</v>
      </c>
      <c r="U961" s="26" t="str">
        <f>VLOOKUP(Main_Presentation[[#This Row],[LC Number]],Main_Issuance[],18,0)</f>
        <v>90 Days from Invoice Date</v>
      </c>
      <c r="V961" s="17" t="s">
        <v>613</v>
      </c>
      <c r="W961" s="22" t="s">
        <v>857</v>
      </c>
      <c r="X961" s="16"/>
      <c r="Y961" s="234" t="str">
        <f>TRIM(LEFT(Main_Presentation[[#This Row],[Payment Terms]],3))</f>
        <v>90</v>
      </c>
      <c r="Z961" s="16"/>
      <c r="AA961" s="316" cm="1">
        <f t="array" ref="AA961">Settlement(Main_Presentation[[#This Row],[Bank]],Main_Presentation[[#This Row],[ Invoice Amt (SAR)]],Main_Presentation[[#This Row],[Date Recd]],Main_Presentation[[#This Row],[Due Date]],Main_Presentation[[#This Row],[Days]])</f>
        <v>1162.6500000000001</v>
      </c>
      <c r="AB961" s="16"/>
    </row>
    <row r="962" spans="1:28" ht="15.75" hidden="1" x14ac:dyDescent="0.25">
      <c r="A962" s="20" t="s">
        <v>1151</v>
      </c>
      <c r="B962" s="15">
        <v>45861</v>
      </c>
      <c r="C962" s="26">
        <v>1</v>
      </c>
      <c r="D962" s="55" t="str">
        <f>VLOOKUP(Main_Presentation[[#This Row],[LC Number]],Main_Issuance[],3,0)</f>
        <v>Hassan Taleb</v>
      </c>
      <c r="E962" s="16" t="s">
        <v>856</v>
      </c>
      <c r="F962" s="17" t="str">
        <f>VLOOKUP(Main_Presentation[[#This Row],[LC Number]],Main_Issuance[],5,0)</f>
        <v>Jazira</v>
      </c>
      <c r="G962" s="17" t="str">
        <f>VLOOKUP(Main_Presentation[[#This Row],[LC Number]],Main_Issuance[],6,0)</f>
        <v>RCRC</v>
      </c>
      <c r="H962" s="17" t="str">
        <f>VLOOKUP(Main_Presentation[[#This Row],[LC Number]],Main_Issuance[],17,0)</f>
        <v>Credit</v>
      </c>
      <c r="I962" s="17" t="str">
        <f>VLOOKUP(Main_Presentation[[#This Row],[LC Number]],Main_Issuance[],7,0)</f>
        <v>SAUDI VITRIFIED CLAY PIPE CO</v>
      </c>
      <c r="J962" s="17" t="str">
        <f>VLOOKUP(Main_Presentation[[#This Row],[LC Number]],Main_Issuance[],8,0)</f>
        <v>FIRST FIX</v>
      </c>
      <c r="K962" s="17" t="str">
        <f>VLOOKUP(Main_Presentation[[#This Row],[LC Number]],Main_Issuance[],9,0)</f>
        <v>RCRC</v>
      </c>
      <c r="L962" s="17">
        <f>VLOOKUP(Main_Presentation[[#This Row],[LC Number]],Main_Issuance[],10,0)</f>
        <v>1020106</v>
      </c>
      <c r="M962" s="17" t="str">
        <f>VLOOKUP(Main_Presentation[[#This Row],[LC Number]],Main_Issuance[],11,0)</f>
        <v>SAR</v>
      </c>
      <c r="N962" s="84">
        <f>VLOOKUP(Main_Presentation[[#This Row],[LC Number]],Main_Issuance[],12,0)</f>
        <v>1033453.25</v>
      </c>
      <c r="O962" s="16" t="s">
        <v>20</v>
      </c>
      <c r="P962" s="16" t="s">
        <v>857</v>
      </c>
      <c r="Q962" s="131">
        <v>325907.7</v>
      </c>
      <c r="R962" s="18">
        <v>1</v>
      </c>
      <c r="S962" s="18">
        <f>Main_Presentation[[#This Row],[Invoice Amt (FCY)]]*Main_Presentation[[#This Row],[Rate]]</f>
        <v>325907.7</v>
      </c>
      <c r="T962" s="15">
        <v>45909</v>
      </c>
      <c r="U962" s="26" t="str">
        <f>VLOOKUP(Main_Presentation[[#This Row],[LC Number]],Main_Issuance[],18,0)</f>
        <v>90 Days from Invoice Date</v>
      </c>
      <c r="V962" s="17" t="s">
        <v>613</v>
      </c>
      <c r="W962" s="22" t="s">
        <v>857</v>
      </c>
      <c r="X962" s="16"/>
      <c r="Y962" s="234" t="str">
        <f>TRIM(LEFT(Main_Presentation[[#This Row],[Payment Terms]],3))</f>
        <v>90</v>
      </c>
      <c r="Z962" s="16"/>
      <c r="AA962" s="316" cm="1">
        <f t="array" ref="AA962">Settlement(Main_Presentation[[#This Row],[Bank]],Main_Presentation[[#This Row],[ Invoice Amt (SAR)]],Main_Presentation[[#This Row],[Date Recd]],Main_Presentation[[#This Row],[Due Date]],Main_Presentation[[#This Row],[Days]])</f>
        <v>813.05</v>
      </c>
      <c r="AB962" s="16"/>
    </row>
    <row r="963" spans="1:28" ht="15.75" hidden="1" x14ac:dyDescent="0.25">
      <c r="A963" s="20" t="s">
        <v>1328</v>
      </c>
      <c r="B963" s="15">
        <v>45848</v>
      </c>
      <c r="C963" s="26">
        <v>1</v>
      </c>
      <c r="D963" s="55" t="str">
        <f>VLOOKUP(Main_Presentation[[#This Row],[LC Number]],Main_Issuance[],3,0)</f>
        <v>Hassan Taleb</v>
      </c>
      <c r="E963" s="16" t="s">
        <v>856</v>
      </c>
      <c r="F963" s="17" t="str">
        <f>VLOOKUP(Main_Presentation[[#This Row],[LC Number]],Main_Issuance[],5,0)</f>
        <v>BAB</v>
      </c>
      <c r="G963" s="17" t="str">
        <f>VLOOKUP(Main_Presentation[[#This Row],[LC Number]],Main_Issuance[],6,0)</f>
        <v>Cash</v>
      </c>
      <c r="H963" s="17" t="str">
        <f>VLOOKUP(Main_Presentation[[#This Row],[LC Number]],Main_Issuance[],17,0)</f>
        <v>Cash</v>
      </c>
      <c r="I963" s="17" t="str">
        <f>VLOOKUP(Main_Presentation[[#This Row],[LC Number]],Main_Issuance[],7,0)</f>
        <v>Electric House Trading Company L.L.C.</v>
      </c>
      <c r="J963" s="17" t="str">
        <f>VLOOKUP(Main_Presentation[[#This Row],[LC Number]],Main_Issuance[],8,0)</f>
        <v>FIRST FIX</v>
      </c>
      <c r="K963" s="17" t="str">
        <f>VLOOKUP(Main_Presentation[[#This Row],[LC Number]],Main_Issuance[],9,0)</f>
        <v>KSP</v>
      </c>
      <c r="L963" s="17">
        <f>VLOOKUP(Main_Presentation[[#This Row],[LC Number]],Main_Issuance[],10,0)</f>
        <v>1020055</v>
      </c>
      <c r="M963" s="17" t="str">
        <f>VLOOKUP(Main_Presentation[[#This Row],[LC Number]],Main_Issuance[],11,0)</f>
        <v>SAR</v>
      </c>
      <c r="N963" s="84">
        <f>VLOOKUP(Main_Presentation[[#This Row],[LC Number]],Main_Issuance[],12,0)</f>
        <v>4639392.95</v>
      </c>
      <c r="O963" s="16" t="s">
        <v>20</v>
      </c>
      <c r="P963" s="16" t="s">
        <v>857</v>
      </c>
      <c r="Q963" s="131">
        <v>2255915</v>
      </c>
      <c r="R963" s="18">
        <v>1</v>
      </c>
      <c r="S963" s="18">
        <f>Main_Presentation[[#This Row],[Invoice Amt (FCY)]]*Main_Presentation[[#This Row],[Rate]]</f>
        <v>2255915</v>
      </c>
      <c r="T963" s="15">
        <v>45935</v>
      </c>
      <c r="U963" s="26" t="str">
        <f>VLOOKUP(Main_Presentation[[#This Row],[LC Number]],Main_Issuance[],18,0)</f>
        <v>90 Days from Invoice Date</v>
      </c>
      <c r="V963" s="17" t="s">
        <v>1849</v>
      </c>
      <c r="W963" s="22" t="s">
        <v>378</v>
      </c>
      <c r="X963" s="16"/>
      <c r="Y963" s="234" t="str">
        <f>TRIM(LEFT(Main_Presentation[[#This Row],[Payment Terms]],3))</f>
        <v>90</v>
      </c>
      <c r="Z963" s="16"/>
      <c r="AA963" s="316" cm="1">
        <f t="array" ref="AA963">Settlement(Main_Presentation[[#This Row],[Bank]],Main_Presentation[[#This Row],[ Invoice Amt (SAR)]],Main_Presentation[[#This Row],[Date Recd]],Main_Presentation[[#This Row],[Due Date]],Main_Presentation[[#This Row],[Days]])</f>
        <v>0</v>
      </c>
      <c r="AB963" s="16"/>
    </row>
    <row r="964" spans="1:28" ht="15.75" hidden="1" x14ac:dyDescent="0.25">
      <c r="A964" s="20" t="s">
        <v>1234</v>
      </c>
      <c r="B964" s="15">
        <v>45886</v>
      </c>
      <c r="C964" s="26">
        <v>1</v>
      </c>
      <c r="D964" s="55" t="str">
        <f>VLOOKUP(Main_Presentation[[#This Row],[LC Number]],Main_Issuance[],3,0)</f>
        <v>Hassan Taleb</v>
      </c>
      <c r="E964" s="16" t="s">
        <v>856</v>
      </c>
      <c r="F964" s="17" t="str">
        <f>VLOOKUP(Main_Presentation[[#This Row],[LC Number]],Main_Issuance[],5,0)</f>
        <v>Jazira</v>
      </c>
      <c r="G964" s="17" t="str">
        <f>VLOOKUP(Main_Presentation[[#This Row],[LC Number]],Main_Issuance[],6,0)</f>
        <v>RCRC</v>
      </c>
      <c r="H964" s="17" t="str">
        <f>VLOOKUP(Main_Presentation[[#This Row],[LC Number]],Main_Issuance[],17,0)</f>
        <v>Credit</v>
      </c>
      <c r="I964" s="17" t="str">
        <f>VLOOKUP(Main_Presentation[[#This Row],[LC Number]],Main_Issuance[],7,0)</f>
        <v>ELSEWEDY CABLES CO.LIMITED</v>
      </c>
      <c r="J964" s="17" t="str">
        <f>VLOOKUP(Main_Presentation[[#This Row],[LC Number]],Main_Issuance[],8,0)</f>
        <v>FIRST FIX</v>
      </c>
      <c r="K964" s="17" t="str">
        <f>VLOOKUP(Main_Presentation[[#This Row],[LC Number]],Main_Issuance[],9,0)</f>
        <v>RCRC</v>
      </c>
      <c r="L964" s="17">
        <f>VLOOKUP(Main_Presentation[[#This Row],[LC Number]],Main_Issuance[],10,0)</f>
        <v>1020106</v>
      </c>
      <c r="M964" s="17" t="str">
        <f>VLOOKUP(Main_Presentation[[#This Row],[LC Number]],Main_Issuance[],11,0)</f>
        <v>SAR</v>
      </c>
      <c r="N964" s="84">
        <f>VLOOKUP(Main_Presentation[[#This Row],[LC Number]],Main_Issuance[],12,0)</f>
        <v>499955.6</v>
      </c>
      <c r="O964" s="16" t="s">
        <v>20</v>
      </c>
      <c r="P964" s="16" t="s">
        <v>857</v>
      </c>
      <c r="Q964" s="131">
        <v>499955.6</v>
      </c>
      <c r="R964" s="18">
        <v>1</v>
      </c>
      <c r="S964" s="18">
        <f>Main_Presentation[[#This Row],[Invoice Amt (FCY)]]*Main_Presentation[[#This Row],[Rate]]</f>
        <v>499955.6</v>
      </c>
      <c r="T964" s="15">
        <v>45921</v>
      </c>
      <c r="U964" s="26" t="str">
        <f>VLOOKUP(Main_Presentation[[#This Row],[LC Number]],Main_Issuance[],18,0)</f>
        <v>90 Days from Invoice Date</v>
      </c>
      <c r="V964" s="17" t="s">
        <v>613</v>
      </c>
      <c r="W964" s="22" t="s">
        <v>857</v>
      </c>
      <c r="X964" s="16"/>
      <c r="Y964" s="234" t="str">
        <f>TRIM(LEFT(Main_Presentation[[#This Row],[Payment Terms]],3))</f>
        <v>90</v>
      </c>
      <c r="Z964" s="16"/>
      <c r="AA964" s="316" cm="1">
        <f t="array" ref="AA964">Settlement(Main_Presentation[[#This Row],[Bank]],Main_Presentation[[#This Row],[ Invoice Amt (SAR)]],Main_Presentation[[#This Row],[Date Recd]],Main_Presentation[[#This Row],[Due Date]],Main_Presentation[[#This Row],[Days]])</f>
        <v>824.55</v>
      </c>
      <c r="AB964" s="16"/>
    </row>
    <row r="965" spans="1:28" ht="15.75" hidden="1" x14ac:dyDescent="0.25">
      <c r="A965" s="20" t="s">
        <v>1342</v>
      </c>
      <c r="B965" s="15">
        <v>45861</v>
      </c>
      <c r="C965" s="26">
        <v>1</v>
      </c>
      <c r="D965" s="55" t="str">
        <f>VLOOKUP(Main_Presentation[[#This Row],[LC Number]],Main_Issuance[],3,0)</f>
        <v>Hassan Taleb</v>
      </c>
      <c r="E965" s="16" t="s">
        <v>858</v>
      </c>
      <c r="F965" s="17" t="str">
        <f>VLOOKUP(Main_Presentation[[#This Row],[LC Number]],Main_Issuance[],5,0)</f>
        <v>Alinma</v>
      </c>
      <c r="G965" s="17" t="str">
        <f>VLOOKUP(Main_Presentation[[#This Row],[LC Number]],Main_Issuance[],6,0)</f>
        <v>KSP</v>
      </c>
      <c r="H965" s="17" t="str">
        <f>VLOOKUP(Main_Presentation[[#This Row],[LC Number]],Main_Issuance[],17,0)</f>
        <v>Credit</v>
      </c>
      <c r="I965" s="17" t="str">
        <f>VLOOKUP(Main_Presentation[[#This Row],[LC Number]],Main_Issuance[],7,0)</f>
        <v>RAWABI AL MAHFAR TRADING CO.</v>
      </c>
      <c r="J965" s="17" t="str">
        <f>VLOOKUP(Main_Presentation[[#This Row],[LC Number]],Main_Issuance[],8,0)</f>
        <v>FIRST FIX</v>
      </c>
      <c r="K965" s="17" t="str">
        <f>VLOOKUP(Main_Presentation[[#This Row],[LC Number]],Main_Issuance[],9,0)</f>
        <v>KSP</v>
      </c>
      <c r="L965" s="17">
        <f>VLOOKUP(Main_Presentation[[#This Row],[LC Number]],Main_Issuance[],10,0)</f>
        <v>1020055</v>
      </c>
      <c r="M965" s="17" t="str">
        <f>VLOOKUP(Main_Presentation[[#This Row],[LC Number]],Main_Issuance[],11,0)</f>
        <v>SAR</v>
      </c>
      <c r="N965" s="84">
        <f>VLOOKUP(Main_Presentation[[#This Row],[LC Number]],Main_Issuance[],12,0)</f>
        <v>292628.84000000003</v>
      </c>
      <c r="O965" s="16" t="s">
        <v>20</v>
      </c>
      <c r="P965" s="16" t="s">
        <v>857</v>
      </c>
      <c r="Q965" s="131">
        <v>292628.83</v>
      </c>
      <c r="R965" s="18">
        <v>1</v>
      </c>
      <c r="S965" s="18">
        <f>Main_Presentation[[#This Row],[Invoice Amt (FCY)]]*Main_Presentation[[#This Row],[Rate]]</f>
        <v>292628.83</v>
      </c>
      <c r="T965" s="15">
        <v>45965</v>
      </c>
      <c r="U965" s="26" t="str">
        <f>VLOOKUP(Main_Presentation[[#This Row],[LC Number]],Main_Issuance[],18,0)</f>
        <v>120 Days from Invoice Date</v>
      </c>
      <c r="V965" s="17" t="s">
        <v>710</v>
      </c>
      <c r="W965" s="22" t="s">
        <v>378</v>
      </c>
      <c r="X965" s="16"/>
      <c r="Y965" s="234" t="str">
        <f>TRIM(LEFT(Main_Presentation[[#This Row],[Payment Terms]],3))</f>
        <v>120</v>
      </c>
      <c r="Z965" s="16"/>
      <c r="AA965" s="316" cm="1">
        <f t="array" ref="AA965">Settlement(Main_Presentation[[#This Row],[Bank]],Main_Presentation[[#This Row],[ Invoice Amt (SAR)]],Main_Presentation[[#This Row],[Date Recd]],Main_Presentation[[#This Row],[Due Date]],Main_Presentation[[#This Row],[Days]])</f>
        <v>1437.5</v>
      </c>
      <c r="AB965" s="16"/>
    </row>
    <row r="966" spans="1:28" ht="15.75" hidden="1" x14ac:dyDescent="0.25">
      <c r="A966" s="20" t="s">
        <v>702</v>
      </c>
      <c r="B966" s="15">
        <v>45844</v>
      </c>
      <c r="C966" s="26">
        <v>11</v>
      </c>
      <c r="D966" s="55" t="str">
        <f>VLOOKUP(Main_Presentation[[#This Row],[LC Number]],Main_Issuance[],3,0)</f>
        <v>Tareeq Telmasani</v>
      </c>
      <c r="E966" s="16" t="s">
        <v>856</v>
      </c>
      <c r="F966" s="17" t="str">
        <f>VLOOKUP(Main_Presentation[[#This Row],[LC Number]],Main_Issuance[],5,0)</f>
        <v>SNB</v>
      </c>
      <c r="G966" s="17" t="str">
        <f>VLOOKUP(Main_Presentation[[#This Row],[LC Number]],Main_Issuance[],6,0)</f>
        <v>Opera House</v>
      </c>
      <c r="H966" s="17" t="str">
        <f>VLOOKUP(Main_Presentation[[#This Row],[LC Number]],Main_Issuance[],17,0)</f>
        <v>Credit</v>
      </c>
      <c r="I966" s="17" t="str">
        <f>VLOOKUP(Main_Presentation[[#This Row],[LC Number]],Main_Issuance[],7,0)</f>
        <v>HOLCIM SOLUTIONS AND PRODUCTS EMEA BV</v>
      </c>
      <c r="J966" s="17" t="str">
        <f>VLOOKUP(Main_Presentation[[#This Row],[LC Number]],Main_Issuance[],8,0)</f>
        <v>MBL/IFAS</v>
      </c>
      <c r="K966" s="17" t="str">
        <f>VLOOKUP(Main_Presentation[[#This Row],[LC Number]],Main_Issuance[],9,0)</f>
        <v>CEER</v>
      </c>
      <c r="L966" s="17">
        <f>VLOOKUP(Main_Presentation[[#This Row],[LC Number]],Main_Issuance[],10,0)</f>
        <v>1020091</v>
      </c>
      <c r="M966" s="17" t="str">
        <f>VLOOKUP(Main_Presentation[[#This Row],[LC Number]],Main_Issuance[],11,0)</f>
        <v>USD</v>
      </c>
      <c r="N966" s="84">
        <f>VLOOKUP(Main_Presentation[[#This Row],[LC Number]],Main_Issuance[],12,0)</f>
        <v>2600115.56</v>
      </c>
      <c r="O966" s="16" t="s">
        <v>20</v>
      </c>
      <c r="P966" s="16" t="s">
        <v>857</v>
      </c>
      <c r="Q966" s="131">
        <v>73924.929999999993</v>
      </c>
      <c r="R966" s="18">
        <v>3.75</v>
      </c>
      <c r="S966" s="18">
        <f>Main_Presentation[[#This Row],[Invoice Amt (FCY)]]*Main_Presentation[[#This Row],[Rate]]</f>
        <v>277218.48749999999</v>
      </c>
      <c r="T966" s="15">
        <v>45915</v>
      </c>
      <c r="U966" s="26" t="str">
        <f>VLOOKUP(Main_Presentation[[#This Row],[LC Number]],Main_Issuance[],18,0)</f>
        <v>90 Days from Shipment Date</v>
      </c>
      <c r="V966" s="17" t="s">
        <v>367</v>
      </c>
      <c r="W966" s="22" t="s">
        <v>857</v>
      </c>
      <c r="X966" s="16"/>
      <c r="Y966" s="234" t="str">
        <f>TRIM(LEFT(Main_Presentation[[#This Row],[Payment Terms]],3))</f>
        <v>90</v>
      </c>
      <c r="Z966" s="16"/>
      <c r="AA966" s="316" cm="1">
        <f t="array" ref="AA966">Settlement(Main_Presentation[[#This Row],[Bank]],Main_Presentation[[#This Row],[ Invoice Amt (SAR)]],Main_Presentation[[#This Row],[Date Recd]],Main_Presentation[[#This Row],[Due Date]],Main_Presentation[[#This Row],[Days]])</f>
        <v>1368.5</v>
      </c>
      <c r="AB966" s="16"/>
    </row>
    <row r="967" spans="1:28" ht="15.75" hidden="1" x14ac:dyDescent="0.25">
      <c r="A967" s="20" t="s">
        <v>1446</v>
      </c>
      <c r="B967" s="15">
        <v>45852</v>
      </c>
      <c r="C967" s="26">
        <v>1</v>
      </c>
      <c r="D967" s="55" t="str">
        <f>VLOOKUP(Main_Presentation[[#This Row],[LC Number]],Main_Issuance[],3,0)</f>
        <v>Rabih Makhoul</v>
      </c>
      <c r="E967" s="16" t="s">
        <v>858</v>
      </c>
      <c r="F967" s="17" t="str">
        <f>VLOOKUP(Main_Presentation[[#This Row],[LC Number]],Main_Issuance[],5,0)</f>
        <v>SNB</v>
      </c>
      <c r="G967" s="17" t="str">
        <f>VLOOKUP(Main_Presentation[[#This Row],[LC Number]],Main_Issuance[],6,0)</f>
        <v>Opera House</v>
      </c>
      <c r="H967" s="17" t="str">
        <f>VLOOKUP(Main_Presentation[[#This Row],[LC Number]],Main_Issuance[],17,0)</f>
        <v>Credit</v>
      </c>
      <c r="I967" s="17" t="str">
        <f>VLOOKUP(Main_Presentation[[#This Row],[LC Number]],Main_Issuance[],7,0)</f>
        <v>Al Arabia Construction &amp; Building Co.</v>
      </c>
      <c r="J967" s="17" t="str">
        <f>VLOOKUP(Main_Presentation[[#This Row],[LC Number]],Main_Issuance[],8,0)</f>
        <v>MBL</v>
      </c>
      <c r="K967" s="17" t="str">
        <f>VLOOKUP(Main_Presentation[[#This Row],[LC Number]],Main_Issuance[],9,0)</f>
        <v>Rabigh Power Plant</v>
      </c>
      <c r="L967" s="17">
        <f>VLOOKUP(Main_Presentation[[#This Row],[LC Number]],Main_Issuance[],10,0)</f>
        <v>1020107</v>
      </c>
      <c r="M967" s="17" t="str">
        <f>VLOOKUP(Main_Presentation[[#This Row],[LC Number]],Main_Issuance[],11,0)</f>
        <v>SAR</v>
      </c>
      <c r="N967" s="84">
        <f>VLOOKUP(Main_Presentation[[#This Row],[LC Number]],Main_Issuance[],12,0)</f>
        <v>4738920</v>
      </c>
      <c r="O967" s="16" t="s">
        <v>20</v>
      </c>
      <c r="P967" s="16" t="s">
        <v>378</v>
      </c>
      <c r="Q967" s="131">
        <v>216257.5</v>
      </c>
      <c r="R967" s="18">
        <v>1</v>
      </c>
      <c r="S967" s="18">
        <f>Main_Presentation[[#This Row],[Invoice Amt (FCY)]]*Main_Presentation[[#This Row],[Rate]]</f>
        <v>216257.5</v>
      </c>
      <c r="T967" s="15">
        <v>45865</v>
      </c>
      <c r="U967" s="26" t="str">
        <f>VLOOKUP(Main_Presentation[[#This Row],[LC Number]],Main_Issuance[],18,0)</f>
        <v>45 Days from the Invoice Date</v>
      </c>
      <c r="V967" s="17" t="s">
        <v>1145</v>
      </c>
      <c r="W967" s="22" t="s">
        <v>378</v>
      </c>
      <c r="X967" s="16"/>
      <c r="Y967" s="234" t="str">
        <f>TRIM(LEFT(Main_Presentation[[#This Row],[Payment Terms]],3))</f>
        <v>45</v>
      </c>
      <c r="Z967" s="16"/>
      <c r="AA967" s="316" cm="1">
        <f t="array" ref="AA967">Settlement(Main_Presentation[[#This Row],[Bank]],Main_Presentation[[#This Row],[ Invoice Amt (SAR)]],Main_Presentation[[#This Row],[Date Recd]],Main_Presentation[[#This Row],[Due Date]],Main_Presentation[[#This Row],[Days]])</f>
        <v>655.5</v>
      </c>
      <c r="AB967" s="16"/>
    </row>
    <row r="968" spans="1:28" ht="15.75" hidden="1" x14ac:dyDescent="0.25">
      <c r="A968" s="20" t="s">
        <v>1429</v>
      </c>
      <c r="B968" s="15">
        <v>45862</v>
      </c>
      <c r="C968" s="26">
        <v>1</v>
      </c>
      <c r="D968" s="55" t="str">
        <f>VLOOKUP(Main_Presentation[[#This Row],[LC Number]],Main_Issuance[],3,0)</f>
        <v>Hassan Taleb</v>
      </c>
      <c r="E968" s="16" t="s">
        <v>856</v>
      </c>
      <c r="F968" s="17" t="str">
        <f>VLOOKUP(Main_Presentation[[#This Row],[LC Number]],Main_Issuance[],5,0)</f>
        <v>Alinma</v>
      </c>
      <c r="G968" s="17" t="str">
        <f>VLOOKUP(Main_Presentation[[#This Row],[LC Number]],Main_Issuance[],6,0)</f>
        <v>KSP</v>
      </c>
      <c r="H968" s="17" t="str">
        <f>VLOOKUP(Main_Presentation[[#This Row],[LC Number]],Main_Issuance[],17,0)</f>
        <v>Credit</v>
      </c>
      <c r="I968" s="17" t="str">
        <f>VLOOKUP(Main_Presentation[[#This Row],[LC Number]],Main_Issuance[],7,0)</f>
        <v>Al Maymanah for Contracting Co. Ltd.</v>
      </c>
      <c r="J968" s="17" t="str">
        <f>VLOOKUP(Main_Presentation[[#This Row],[LC Number]],Main_Issuance[],8,0)</f>
        <v>FIRST FIX</v>
      </c>
      <c r="K968" s="17" t="str">
        <f>VLOOKUP(Main_Presentation[[#This Row],[LC Number]],Main_Issuance[],9,0)</f>
        <v>KSP</v>
      </c>
      <c r="L968" s="17">
        <f>VLOOKUP(Main_Presentation[[#This Row],[LC Number]],Main_Issuance[],10,0)</f>
        <v>1020055</v>
      </c>
      <c r="M968" s="17" t="str">
        <f>VLOOKUP(Main_Presentation[[#This Row],[LC Number]],Main_Issuance[],11,0)</f>
        <v>SAR</v>
      </c>
      <c r="N968" s="84">
        <f>VLOOKUP(Main_Presentation[[#This Row],[LC Number]],Main_Issuance[],12,0)</f>
        <v>286074</v>
      </c>
      <c r="O968" s="16" t="s">
        <v>20</v>
      </c>
      <c r="P968" s="16" t="s">
        <v>857</v>
      </c>
      <c r="Q968" s="131">
        <v>286074</v>
      </c>
      <c r="R968" s="18">
        <v>1</v>
      </c>
      <c r="S968" s="18">
        <f>Main_Presentation[[#This Row],[Invoice Amt (FCY)]]*Main_Presentation[[#This Row],[Rate]]</f>
        <v>286074</v>
      </c>
      <c r="T968" s="15">
        <v>45965</v>
      </c>
      <c r="U968" s="26" t="str">
        <f>VLOOKUP(Main_Presentation[[#This Row],[LC Number]],Main_Issuance[],18,0)</f>
        <v>120 Days from Invoice Date</v>
      </c>
      <c r="V968" s="17" t="s">
        <v>710</v>
      </c>
      <c r="W968" s="22" t="s">
        <v>378</v>
      </c>
      <c r="X968" s="16"/>
      <c r="Y968" s="234" t="str">
        <f>TRIM(LEFT(Main_Presentation[[#This Row],[Payment Terms]],3))</f>
        <v>120</v>
      </c>
      <c r="Z968" s="16"/>
      <c r="AA968" s="316" cm="1">
        <f t="array" ref="AA968">Settlement(Main_Presentation[[#This Row],[Bank]],Main_Presentation[[#This Row],[ Invoice Amt (SAR)]],Main_Presentation[[#This Row],[Date Recd]],Main_Presentation[[#This Row],[Due Date]],Main_Presentation[[#This Row],[Days]])</f>
        <v>1437.5</v>
      </c>
      <c r="AB968" s="16"/>
    </row>
    <row r="969" spans="1:28" ht="15.75" hidden="1" x14ac:dyDescent="0.25">
      <c r="A969" s="20" t="s">
        <v>1233</v>
      </c>
      <c r="B969" s="15">
        <v>45893</v>
      </c>
      <c r="C969" s="26">
        <v>1</v>
      </c>
      <c r="D969" s="55" t="str">
        <f>VLOOKUP(Main_Presentation[[#This Row],[LC Number]],Main_Issuance[],3,0)</f>
        <v>Hassan Taleb</v>
      </c>
      <c r="E969" s="16" t="s">
        <v>856</v>
      </c>
      <c r="F969" s="17" t="str">
        <f>VLOOKUP(Main_Presentation[[#This Row],[LC Number]],Main_Issuance[],5,0)</f>
        <v>Jazira</v>
      </c>
      <c r="G969" s="17" t="str">
        <f>VLOOKUP(Main_Presentation[[#This Row],[LC Number]],Main_Issuance[],6,0)</f>
        <v>RCRC</v>
      </c>
      <c r="H969" s="17" t="str">
        <f>VLOOKUP(Main_Presentation[[#This Row],[LC Number]],Main_Issuance[],17,0)</f>
        <v>Credit</v>
      </c>
      <c r="I969" s="17" t="str">
        <f>VLOOKUP(Main_Presentation[[#This Row],[LC Number]],Main_Issuance[],7,0)</f>
        <v>SAUDI HEPCO</v>
      </c>
      <c r="J969" s="17" t="str">
        <f>VLOOKUP(Main_Presentation[[#This Row],[LC Number]],Main_Issuance[],8,0)</f>
        <v>FIRST FIX</v>
      </c>
      <c r="K969" s="17" t="str">
        <f>VLOOKUP(Main_Presentation[[#This Row],[LC Number]],Main_Issuance[],9,0)</f>
        <v>RCRC</v>
      </c>
      <c r="L969" s="17">
        <f>VLOOKUP(Main_Presentation[[#This Row],[LC Number]],Main_Issuance[],10,0)</f>
        <v>1020106</v>
      </c>
      <c r="M969" s="17" t="str">
        <f>VLOOKUP(Main_Presentation[[#This Row],[LC Number]],Main_Issuance[],11,0)</f>
        <v>SAR</v>
      </c>
      <c r="N969" s="84">
        <f>VLOOKUP(Main_Presentation[[#This Row],[LC Number]],Main_Issuance[],12,0)</f>
        <v>1000000</v>
      </c>
      <c r="O969" s="16" t="s">
        <v>20</v>
      </c>
      <c r="P969" s="16" t="s">
        <v>378</v>
      </c>
      <c r="Q969" s="131">
        <v>543834</v>
      </c>
      <c r="R969" s="18">
        <v>1</v>
      </c>
      <c r="S969" s="18">
        <f>Main_Presentation[[#This Row],[Invoice Amt (FCY)]]*Main_Presentation[[#This Row],[Rate]]</f>
        <v>543834</v>
      </c>
      <c r="T969" s="15">
        <v>45893</v>
      </c>
      <c r="U969" s="26" t="str">
        <f>VLOOKUP(Main_Presentation[[#This Row],[LC Number]],Main_Issuance[],18,0)</f>
        <v>90 Days from Invoice Date</v>
      </c>
      <c r="V969" s="17" t="s">
        <v>1772</v>
      </c>
      <c r="W969" s="22" t="s">
        <v>378</v>
      </c>
      <c r="X969" s="16"/>
      <c r="Y969" s="234" t="str">
        <f>TRIM(LEFT(Main_Presentation[[#This Row],[Payment Terms]],3))</f>
        <v>90</v>
      </c>
      <c r="Z969" s="16"/>
      <c r="AA969" s="316" cm="1">
        <f t="array" ref="AA969">Settlement(Main_Presentation[[#This Row],[Bank]],Main_Presentation[[#This Row],[ Invoice Amt (SAR)]],Main_Presentation[[#This Row],[Date Recd]],Main_Presentation[[#This Row],[Due Date]],Main_Presentation[[#This Row],[Days]])</f>
        <v>977.5</v>
      </c>
      <c r="AB969" s="16"/>
    </row>
    <row r="970" spans="1:28" ht="15.75" hidden="1" x14ac:dyDescent="0.25">
      <c r="A970" s="20" t="s">
        <v>1502</v>
      </c>
      <c r="B970" s="15">
        <v>45889</v>
      </c>
      <c r="C970" s="26">
        <v>1</v>
      </c>
      <c r="D970" s="55" t="str">
        <f>VLOOKUP(Main_Presentation[[#This Row],[LC Number]],Main_Issuance[],3,0)</f>
        <v>Hassan Taleb</v>
      </c>
      <c r="E970" s="16" t="s">
        <v>858</v>
      </c>
      <c r="F970" s="17" t="str">
        <f>VLOOKUP(Main_Presentation[[#This Row],[LC Number]],Main_Issuance[],5,0)</f>
        <v>Alinma</v>
      </c>
      <c r="G970" s="17" t="str">
        <f>VLOOKUP(Main_Presentation[[#This Row],[LC Number]],Main_Issuance[],6,0)</f>
        <v>KSP</v>
      </c>
      <c r="H970" s="17" t="str">
        <f>VLOOKUP(Main_Presentation[[#This Row],[LC Number]],Main_Issuance[],17,0)</f>
        <v>Credit</v>
      </c>
      <c r="I970" s="17" t="str">
        <f>VLOOKUP(Main_Presentation[[#This Row],[LC Number]],Main_Issuance[],7,0)</f>
        <v>Saudi Electric Supply Company</v>
      </c>
      <c r="J970" s="17" t="str">
        <f>VLOOKUP(Main_Presentation[[#This Row],[LC Number]],Main_Issuance[],8,0)</f>
        <v>FIRST FIX</v>
      </c>
      <c r="K970" s="17" t="str">
        <f>VLOOKUP(Main_Presentation[[#This Row],[LC Number]],Main_Issuance[],9,0)</f>
        <v>JCD SPMI</v>
      </c>
      <c r="L970" s="17">
        <f>VLOOKUP(Main_Presentation[[#This Row],[LC Number]],Main_Issuance[],10,0)</f>
        <v>1020100</v>
      </c>
      <c r="M970" s="17" t="str">
        <f>VLOOKUP(Main_Presentation[[#This Row],[LC Number]],Main_Issuance[],11,0)</f>
        <v>SAR</v>
      </c>
      <c r="N970" s="84">
        <f>VLOOKUP(Main_Presentation[[#This Row],[LC Number]],Main_Issuance[],12,0)</f>
        <v>400000</v>
      </c>
      <c r="O970" s="16" t="s">
        <v>20</v>
      </c>
      <c r="P970" s="16" t="s">
        <v>857</v>
      </c>
      <c r="Q970" s="131">
        <v>400000</v>
      </c>
      <c r="R970" s="18">
        <v>1</v>
      </c>
      <c r="S970" s="18">
        <f>Main_Presentation[[#This Row],[Invoice Amt (FCY)]]*Main_Presentation[[#This Row],[Rate]]</f>
        <v>400000</v>
      </c>
      <c r="T970" s="15">
        <v>45935</v>
      </c>
      <c r="U970" s="26" t="str">
        <f>VLOOKUP(Main_Presentation[[#This Row],[LC Number]],Main_Issuance[],18,0)</f>
        <v>120 Days from Invoice Date</v>
      </c>
      <c r="V970" s="17" t="s">
        <v>304</v>
      </c>
      <c r="W970" s="22" t="s">
        <v>378</v>
      </c>
      <c r="X970" s="16"/>
      <c r="Y970" s="234" t="str">
        <f>TRIM(LEFT(Main_Presentation[[#This Row],[Payment Terms]],3))</f>
        <v>120</v>
      </c>
      <c r="Z970" s="16"/>
      <c r="AA970" s="316" cm="1">
        <f t="array" ref="AA970">Settlement(Main_Presentation[[#This Row],[Bank]],Main_Presentation[[#This Row],[ Invoice Amt (SAR)]],Main_Presentation[[#This Row],[Date Recd]],Main_Presentation[[#This Row],[Due Date]],Main_Presentation[[#This Row],[Days]])</f>
        <v>1437.5</v>
      </c>
      <c r="AB970" s="16"/>
    </row>
    <row r="971" spans="1:28" ht="15.75" hidden="1" x14ac:dyDescent="0.25">
      <c r="A971" s="20" t="s">
        <v>692</v>
      </c>
      <c r="B971" s="15">
        <v>45867</v>
      </c>
      <c r="C971" s="26">
        <v>1</v>
      </c>
      <c r="D971" s="55" t="str">
        <f>VLOOKUP(Main_Presentation[[#This Row],[LC Number]],Main_Issuance[],3,0)</f>
        <v>Hassan Taleb</v>
      </c>
      <c r="E971" s="16" t="s">
        <v>856</v>
      </c>
      <c r="F971" s="17" t="str">
        <f>VLOOKUP(Main_Presentation[[#This Row],[LC Number]],Main_Issuance[],5,0)</f>
        <v>Jazira</v>
      </c>
      <c r="G971" s="17" t="str">
        <f>VLOOKUP(Main_Presentation[[#This Row],[LC Number]],Main_Issuance[],6,0)</f>
        <v>RCRC</v>
      </c>
      <c r="H971" s="17" t="str">
        <f>VLOOKUP(Main_Presentation[[#This Row],[LC Number]],Main_Issuance[],17,0)</f>
        <v>Credit</v>
      </c>
      <c r="I971" s="17" t="str">
        <f>VLOOKUP(Main_Presentation[[#This Row],[LC Number]],Main_Issuance[],7,0)</f>
        <v>Alpha Limit Trading and Contracting Company</v>
      </c>
      <c r="J971" s="17" t="str">
        <f>VLOOKUP(Main_Presentation[[#This Row],[LC Number]],Main_Issuance[],8,0)</f>
        <v>FIRST FIX</v>
      </c>
      <c r="K971" s="17" t="str">
        <f>VLOOKUP(Main_Presentation[[#This Row],[LC Number]],Main_Issuance[],9,0)</f>
        <v>RCRC</v>
      </c>
      <c r="L971" s="17">
        <f>VLOOKUP(Main_Presentation[[#This Row],[LC Number]],Main_Issuance[],10,0)</f>
        <v>1020106</v>
      </c>
      <c r="M971" s="17" t="str">
        <f>VLOOKUP(Main_Presentation[[#This Row],[LC Number]],Main_Issuance[],11,0)</f>
        <v>SAR</v>
      </c>
      <c r="N971" s="84">
        <f>VLOOKUP(Main_Presentation[[#This Row],[LC Number]],Main_Issuance[],12,0)</f>
        <v>799251.9</v>
      </c>
      <c r="O971" s="16" t="s">
        <v>20</v>
      </c>
      <c r="P971" s="16" t="s">
        <v>857</v>
      </c>
      <c r="Q971" s="131">
        <v>715041.88</v>
      </c>
      <c r="R971" s="18">
        <v>1</v>
      </c>
      <c r="S971" s="18">
        <f>Main_Presentation[[#This Row],[Invoice Amt (FCY)]]*Main_Presentation[[#This Row],[Rate]]</f>
        <v>715041.88</v>
      </c>
      <c r="T971" s="15">
        <v>45910</v>
      </c>
      <c r="U971" s="26" t="str">
        <f>VLOOKUP(Main_Presentation[[#This Row],[LC Number]],Main_Issuance[],18,0)</f>
        <v>90 Days from Invoice Date</v>
      </c>
      <c r="V971" s="17" t="s">
        <v>613</v>
      </c>
      <c r="W971" s="22" t="s">
        <v>857</v>
      </c>
      <c r="X971" s="16"/>
      <c r="Y971" s="234" t="str">
        <f>TRIM(LEFT(Main_Presentation[[#This Row],[Payment Terms]],3))</f>
        <v>90</v>
      </c>
      <c r="Z971" s="16"/>
      <c r="AA971" s="316" cm="1">
        <f t="array" ref="AA971">Settlement(Main_Presentation[[#This Row],[Bank]],Main_Presentation[[#This Row],[ Invoice Amt (SAR)]],Main_Presentation[[#This Row],[Date Recd]],Main_Presentation[[#This Row],[Due Date]],Main_Presentation[[#This Row],[Days]])</f>
        <v>1030.4000000000001</v>
      </c>
      <c r="AB971" s="16"/>
    </row>
    <row r="972" spans="1:28" ht="15.75" hidden="1" x14ac:dyDescent="0.25">
      <c r="A972" s="20" t="s">
        <v>1201</v>
      </c>
      <c r="B972" s="15">
        <v>45866</v>
      </c>
      <c r="C972" s="26">
        <v>4</v>
      </c>
      <c r="D972" s="55" t="str">
        <f>VLOOKUP(Main_Presentation[[#This Row],[LC Number]],Main_Issuance[],3,0)</f>
        <v>Hassan Taleb</v>
      </c>
      <c r="E972" s="16" t="s">
        <v>856</v>
      </c>
      <c r="F972" s="17" t="str">
        <f>VLOOKUP(Main_Presentation[[#This Row],[LC Number]],Main_Issuance[],5,0)</f>
        <v>SNB</v>
      </c>
      <c r="G972" s="17" t="str">
        <f>VLOOKUP(Main_Presentation[[#This Row],[LC Number]],Main_Issuance[],6,0)</f>
        <v>Opera House</v>
      </c>
      <c r="H972" s="17" t="str">
        <f>VLOOKUP(Main_Presentation[[#This Row],[LC Number]],Main_Issuance[],17,0)</f>
        <v>Credit</v>
      </c>
      <c r="I972" s="17" t="str">
        <f>VLOOKUP(Main_Presentation[[#This Row],[LC Number]],Main_Issuance[],7,0)</f>
        <v>ALFANAR ELECTRICAL SYSTEMS</v>
      </c>
      <c r="J972" s="17" t="str">
        <f>VLOOKUP(Main_Presentation[[#This Row],[LC Number]],Main_Issuance[],8,0)</f>
        <v>FIRST FIX</v>
      </c>
      <c r="K972" s="17" t="str">
        <f>VLOOKUP(Main_Presentation[[#This Row],[LC Number]],Main_Issuance[],9,0)</f>
        <v>KSP</v>
      </c>
      <c r="L972" s="17">
        <f>VLOOKUP(Main_Presentation[[#This Row],[LC Number]],Main_Issuance[],10,0)</f>
        <v>1020055</v>
      </c>
      <c r="M972" s="17" t="str">
        <f>VLOOKUP(Main_Presentation[[#This Row],[LC Number]],Main_Issuance[],11,0)</f>
        <v>SAR</v>
      </c>
      <c r="N972" s="84">
        <f>VLOOKUP(Main_Presentation[[#This Row],[LC Number]],Main_Issuance[],12,0)</f>
        <v>2330000.0099999998</v>
      </c>
      <c r="O972" s="16" t="s">
        <v>20</v>
      </c>
      <c r="P972" s="16" t="s">
        <v>378</v>
      </c>
      <c r="Q972" s="131">
        <v>76520.850000000006</v>
      </c>
      <c r="R972" s="18">
        <v>1</v>
      </c>
      <c r="S972" s="18">
        <f>Main_Presentation[[#This Row],[Invoice Amt (FCY)]]*Main_Presentation[[#This Row],[Rate]]</f>
        <v>76520.850000000006</v>
      </c>
      <c r="T972" s="15">
        <v>45935</v>
      </c>
      <c r="U972" s="26" t="str">
        <f>VLOOKUP(Main_Presentation[[#This Row],[LC Number]],Main_Issuance[],18,0)</f>
        <v>90 Days from Invoice Date</v>
      </c>
      <c r="V972" s="17" t="s">
        <v>22</v>
      </c>
      <c r="W972" s="22" t="s">
        <v>857</v>
      </c>
      <c r="X972" s="16"/>
      <c r="Y972" s="234" t="str">
        <f>TRIM(LEFT(Main_Presentation[[#This Row],[Payment Terms]],3))</f>
        <v>90</v>
      </c>
      <c r="Z972" s="16"/>
      <c r="AA972" s="316" cm="1">
        <f t="array" ref="AA972">Settlement(Main_Presentation[[#This Row],[Bank]],Main_Presentation[[#This Row],[ Invoice Amt (SAR)]],Main_Presentation[[#This Row],[Date Recd]],Main_Presentation[[#This Row],[Due Date]],Main_Presentation[[#This Row],[Days]])</f>
        <v>655.5</v>
      </c>
      <c r="AB972" s="16"/>
    </row>
    <row r="973" spans="1:28" ht="15.75" hidden="1" x14ac:dyDescent="0.25">
      <c r="A973" s="20" t="s">
        <v>1289</v>
      </c>
      <c r="B973" s="15">
        <v>45862</v>
      </c>
      <c r="C973" s="26">
        <v>1</v>
      </c>
      <c r="D973" s="55" t="str">
        <f>VLOOKUP(Main_Presentation[[#This Row],[LC Number]],Main_Issuance[],3,0)</f>
        <v>Hassan Taleb</v>
      </c>
      <c r="E973" s="16" t="s">
        <v>858</v>
      </c>
      <c r="F973" s="17" t="str">
        <f>VLOOKUP(Main_Presentation[[#This Row],[LC Number]],Main_Issuance[],5,0)</f>
        <v>BAB</v>
      </c>
      <c r="G973" s="17" t="str">
        <f>VLOOKUP(Main_Presentation[[#This Row],[LC Number]],Main_Issuance[],6,0)</f>
        <v>Cash</v>
      </c>
      <c r="H973" s="17" t="str">
        <f>VLOOKUP(Main_Presentation[[#This Row],[LC Number]],Main_Issuance[],17,0)</f>
        <v>Cash</v>
      </c>
      <c r="I973" s="17" t="str">
        <f>VLOOKUP(Main_Presentation[[#This Row],[LC Number]],Main_Issuance[],7,0)</f>
        <v>SAUD JAMAL ALHADDAD EQUIPMENT RENTAL EST.</v>
      </c>
      <c r="J973" s="17" t="str">
        <f>VLOOKUP(Main_Presentation[[#This Row],[LC Number]],Main_Issuance[],8,0)</f>
        <v>FIRST FIX</v>
      </c>
      <c r="K973" s="17" t="str">
        <f>VLOOKUP(Main_Presentation[[#This Row],[LC Number]],Main_Issuance[],9,0)</f>
        <v>JCD SPMI</v>
      </c>
      <c r="L973" s="17">
        <f>VLOOKUP(Main_Presentation[[#This Row],[LC Number]],Main_Issuance[],10,0)</f>
        <v>1020100</v>
      </c>
      <c r="M973" s="17" t="str">
        <f>VLOOKUP(Main_Presentation[[#This Row],[LC Number]],Main_Issuance[],11,0)</f>
        <v>SAR</v>
      </c>
      <c r="N973" s="84">
        <f>VLOOKUP(Main_Presentation[[#This Row],[LC Number]],Main_Issuance[],12,0)</f>
        <v>350000</v>
      </c>
      <c r="O973" s="16" t="s">
        <v>20</v>
      </c>
      <c r="P973" s="16" t="s">
        <v>857</v>
      </c>
      <c r="Q973" s="131">
        <v>350000</v>
      </c>
      <c r="R973" s="18">
        <v>1</v>
      </c>
      <c r="S973" s="18">
        <f>Main_Presentation[[#This Row],[Invoice Amt (FCY)]]*Main_Presentation[[#This Row],[Rate]]</f>
        <v>350000</v>
      </c>
      <c r="T973" s="15">
        <v>45910</v>
      </c>
      <c r="U973" s="26" t="str">
        <f>VLOOKUP(Main_Presentation[[#This Row],[LC Number]],Main_Issuance[],18,0)</f>
        <v>120 Days from Invoice Date</v>
      </c>
      <c r="V973" s="17" t="s">
        <v>1849</v>
      </c>
      <c r="W973" s="22" t="s">
        <v>378</v>
      </c>
      <c r="X973" s="16"/>
      <c r="Y973" s="234" t="str">
        <f>TRIM(LEFT(Main_Presentation[[#This Row],[Payment Terms]],3))</f>
        <v>120</v>
      </c>
      <c r="Z973" s="16"/>
      <c r="AA973" s="316" cm="1">
        <f t="array" ref="AA973">Settlement(Main_Presentation[[#This Row],[Bank]],Main_Presentation[[#This Row],[ Invoice Amt (SAR)]],Main_Presentation[[#This Row],[Date Recd]],Main_Presentation[[#This Row],[Due Date]],Main_Presentation[[#This Row],[Days]])</f>
        <v>0</v>
      </c>
      <c r="AB973" s="16"/>
    </row>
    <row r="974" spans="1:28" ht="15.75" hidden="1" x14ac:dyDescent="0.25">
      <c r="A974" s="20" t="s">
        <v>1493</v>
      </c>
      <c r="B974" s="15">
        <v>45881</v>
      </c>
      <c r="C974" s="26">
        <v>1</v>
      </c>
      <c r="D974" s="55" t="str">
        <f>VLOOKUP(Main_Presentation[[#This Row],[LC Number]],Main_Issuance[],3,0)</f>
        <v>Hassan Taleb</v>
      </c>
      <c r="E974" s="16" t="s">
        <v>856</v>
      </c>
      <c r="F974" s="17" t="str">
        <f>VLOOKUP(Main_Presentation[[#This Row],[LC Number]],Main_Issuance[],5,0)</f>
        <v>Alinma</v>
      </c>
      <c r="G974" s="17" t="str">
        <f>VLOOKUP(Main_Presentation[[#This Row],[LC Number]],Main_Issuance[],6,0)</f>
        <v>KSP</v>
      </c>
      <c r="H974" s="17" t="str">
        <f>VLOOKUP(Main_Presentation[[#This Row],[LC Number]],Main_Issuance[],17,0)</f>
        <v>Credit</v>
      </c>
      <c r="I974" s="17" t="str">
        <f>VLOOKUP(Main_Presentation[[#This Row],[LC Number]],Main_Issuance[],7,0)</f>
        <v>ELSEWEDY CABLES CO. LIMITED</v>
      </c>
      <c r="J974" s="17" t="str">
        <f>VLOOKUP(Main_Presentation[[#This Row],[LC Number]],Main_Issuance[],8,0)</f>
        <v>FIRST FIX</v>
      </c>
      <c r="K974" s="17" t="str">
        <f>VLOOKUP(Main_Presentation[[#This Row],[LC Number]],Main_Issuance[],9,0)</f>
        <v>JCD SPMI</v>
      </c>
      <c r="L974" s="17">
        <f>VLOOKUP(Main_Presentation[[#This Row],[LC Number]],Main_Issuance[],10,0)</f>
        <v>1020100</v>
      </c>
      <c r="M974" s="17" t="str">
        <f>VLOOKUP(Main_Presentation[[#This Row],[LC Number]],Main_Issuance[],11,0)</f>
        <v>SAR</v>
      </c>
      <c r="N974" s="84">
        <f>VLOOKUP(Main_Presentation[[#This Row],[LC Number]],Main_Issuance[],12,0)</f>
        <v>500000</v>
      </c>
      <c r="O974" s="16" t="s">
        <v>20</v>
      </c>
      <c r="P974" s="16" t="s">
        <v>857</v>
      </c>
      <c r="Q974" s="131">
        <v>500000</v>
      </c>
      <c r="R974" s="18">
        <v>1</v>
      </c>
      <c r="S974" s="18">
        <f>Main_Presentation[[#This Row],[Invoice Amt (FCY)]]*Main_Presentation[[#This Row],[Rate]]</f>
        <v>500000</v>
      </c>
      <c r="T974" s="15">
        <v>45945</v>
      </c>
      <c r="U974" s="26" t="str">
        <f>VLOOKUP(Main_Presentation[[#This Row],[LC Number]],Main_Issuance[],18,0)</f>
        <v>120 Days from Invoice Date</v>
      </c>
      <c r="V974" s="17" t="s">
        <v>304</v>
      </c>
      <c r="W974" s="22" t="s">
        <v>378</v>
      </c>
      <c r="X974" s="16"/>
      <c r="Y974" s="234" t="str">
        <f>TRIM(LEFT(Main_Presentation[[#This Row],[Payment Terms]],3))</f>
        <v>120</v>
      </c>
      <c r="Z974" s="16"/>
      <c r="AA974" s="316" cm="1">
        <f t="array" ref="AA974">Settlement(Main_Presentation[[#This Row],[Bank]],Main_Presentation[[#This Row],[ Invoice Amt (SAR)]],Main_Presentation[[#This Row],[Date Recd]],Main_Presentation[[#This Row],[Due Date]],Main_Presentation[[#This Row],[Days]])</f>
        <v>1437.5</v>
      </c>
      <c r="AB974" s="16"/>
    </row>
    <row r="975" spans="1:28" ht="15.75" hidden="1" x14ac:dyDescent="0.25">
      <c r="A975" s="20" t="s">
        <v>1495</v>
      </c>
      <c r="B975" s="15">
        <v>45862</v>
      </c>
      <c r="C975" s="26">
        <v>1</v>
      </c>
      <c r="D975" s="55" t="str">
        <f>VLOOKUP(Main_Presentation[[#This Row],[LC Number]],Main_Issuance[],3,0)</f>
        <v>Hassan Taleb</v>
      </c>
      <c r="E975" s="16" t="s">
        <v>858</v>
      </c>
      <c r="F975" s="17" t="str">
        <f>VLOOKUP(Main_Presentation[[#This Row],[LC Number]],Main_Issuance[],5,0)</f>
        <v>Alinma</v>
      </c>
      <c r="G975" s="17" t="str">
        <f>VLOOKUP(Main_Presentation[[#This Row],[LC Number]],Main_Issuance[],6,0)</f>
        <v>KSP</v>
      </c>
      <c r="H975" s="17" t="str">
        <f>VLOOKUP(Main_Presentation[[#This Row],[LC Number]],Main_Issuance[],17,0)</f>
        <v>Credit</v>
      </c>
      <c r="I975" s="17" t="str">
        <f>VLOOKUP(Main_Presentation[[#This Row],[LC Number]],Main_Issuance[],7,0)</f>
        <v>Almansha Almubasher Trading Company</v>
      </c>
      <c r="J975" s="17" t="str">
        <f>VLOOKUP(Main_Presentation[[#This Row],[LC Number]],Main_Issuance[],8,0)</f>
        <v>FIRST FIX</v>
      </c>
      <c r="K975" s="17" t="str">
        <f>VLOOKUP(Main_Presentation[[#This Row],[LC Number]],Main_Issuance[],9,0)</f>
        <v>JCD SPMI</v>
      </c>
      <c r="L975" s="17">
        <f>VLOOKUP(Main_Presentation[[#This Row],[LC Number]],Main_Issuance[],10,0)</f>
        <v>1020100</v>
      </c>
      <c r="M975" s="17" t="str">
        <f>VLOOKUP(Main_Presentation[[#This Row],[LC Number]],Main_Issuance[],11,0)</f>
        <v>SAR</v>
      </c>
      <c r="N975" s="84">
        <f>VLOOKUP(Main_Presentation[[#This Row],[LC Number]],Main_Issuance[],12,0)</f>
        <v>400000</v>
      </c>
      <c r="O975" s="16" t="s">
        <v>20</v>
      </c>
      <c r="P975" s="16" t="s">
        <v>857</v>
      </c>
      <c r="Q975" s="131">
        <v>362250</v>
      </c>
      <c r="R975" s="18">
        <v>1</v>
      </c>
      <c r="S975" s="18">
        <f>Main_Presentation[[#This Row],[Invoice Amt (FCY)]]*Main_Presentation[[#This Row],[Rate]]</f>
        <v>362250</v>
      </c>
      <c r="T975" s="15">
        <v>45942</v>
      </c>
      <c r="U975" s="26" t="str">
        <f>VLOOKUP(Main_Presentation[[#This Row],[LC Number]],Main_Issuance[],18,0)</f>
        <v>120 Days from Invoice Date</v>
      </c>
      <c r="V975" s="17" t="s">
        <v>304</v>
      </c>
      <c r="W975" s="22" t="s">
        <v>378</v>
      </c>
      <c r="X975" s="16"/>
      <c r="Y975" s="234" t="str">
        <f>TRIM(LEFT(Main_Presentation[[#This Row],[Payment Terms]],3))</f>
        <v>120</v>
      </c>
      <c r="Z975" s="16"/>
      <c r="AA975" s="316" cm="1">
        <f t="array" ref="AA975">Settlement(Main_Presentation[[#This Row],[Bank]],Main_Presentation[[#This Row],[ Invoice Amt (SAR)]],Main_Presentation[[#This Row],[Date Recd]],Main_Presentation[[#This Row],[Due Date]],Main_Presentation[[#This Row],[Days]])</f>
        <v>1437.5</v>
      </c>
      <c r="AB975" s="16"/>
    </row>
    <row r="976" spans="1:28" ht="15.75" hidden="1" x14ac:dyDescent="0.25">
      <c r="A976" s="20" t="s">
        <v>1492</v>
      </c>
      <c r="B976" s="15">
        <v>45866</v>
      </c>
      <c r="C976" s="26">
        <v>1</v>
      </c>
      <c r="D976" s="55" t="str">
        <f>VLOOKUP(Main_Presentation[[#This Row],[LC Number]],Main_Issuance[],3,0)</f>
        <v>Hassan Taleb</v>
      </c>
      <c r="E976" s="16" t="s">
        <v>858</v>
      </c>
      <c r="F976" s="17" t="str">
        <f>VLOOKUP(Main_Presentation[[#This Row],[LC Number]],Main_Issuance[],5,0)</f>
        <v>Alinma</v>
      </c>
      <c r="G976" s="17" t="str">
        <f>VLOOKUP(Main_Presentation[[#This Row],[LC Number]],Main_Issuance[],6,0)</f>
        <v>KSP</v>
      </c>
      <c r="H976" s="17" t="str">
        <f>VLOOKUP(Main_Presentation[[#This Row],[LC Number]],Main_Issuance[],17,0)</f>
        <v>Credit</v>
      </c>
      <c r="I976" s="17" t="str">
        <f>VLOOKUP(Main_Presentation[[#This Row],[LC Number]],Main_Issuance[],7,0)</f>
        <v>DELHAM AL JANOUB FOR CONTRACTING</v>
      </c>
      <c r="J976" s="17" t="str">
        <f>VLOOKUP(Main_Presentation[[#This Row],[LC Number]],Main_Issuance[],8,0)</f>
        <v>FIRST FIX</v>
      </c>
      <c r="K976" s="17" t="str">
        <f>VLOOKUP(Main_Presentation[[#This Row],[LC Number]],Main_Issuance[],9,0)</f>
        <v>JCD SPMI</v>
      </c>
      <c r="L976" s="17">
        <f>VLOOKUP(Main_Presentation[[#This Row],[LC Number]],Main_Issuance[],10,0)</f>
        <v>1020100</v>
      </c>
      <c r="M976" s="17" t="str">
        <f>VLOOKUP(Main_Presentation[[#This Row],[LC Number]],Main_Issuance[],11,0)</f>
        <v>SAR</v>
      </c>
      <c r="N976" s="84">
        <f>VLOOKUP(Main_Presentation[[#This Row],[LC Number]],Main_Issuance[],12,0)</f>
        <v>80000</v>
      </c>
      <c r="O976" s="16" t="s">
        <v>20</v>
      </c>
      <c r="P976" s="16" t="s">
        <v>857</v>
      </c>
      <c r="Q976" s="131">
        <v>80000</v>
      </c>
      <c r="R976" s="18">
        <v>1</v>
      </c>
      <c r="S976" s="18">
        <f>Main_Presentation[[#This Row],[Invoice Amt (FCY)]]*Main_Presentation[[#This Row],[Rate]]</f>
        <v>80000</v>
      </c>
      <c r="T976" s="15">
        <v>45974</v>
      </c>
      <c r="U976" s="26" t="str">
        <f>VLOOKUP(Main_Presentation[[#This Row],[LC Number]],Main_Issuance[],18,0)</f>
        <v>120 Days from Invoice Date</v>
      </c>
      <c r="V976" s="17" t="s">
        <v>304</v>
      </c>
      <c r="W976" s="22" t="s">
        <v>378</v>
      </c>
      <c r="X976" s="16"/>
      <c r="Y976" s="234" t="str">
        <f>TRIM(LEFT(Main_Presentation[[#This Row],[Payment Terms]],3))</f>
        <v>120</v>
      </c>
      <c r="Z976" s="16"/>
      <c r="AA976" s="316" cm="1">
        <f t="array" ref="AA976">Settlement(Main_Presentation[[#This Row],[Bank]],Main_Presentation[[#This Row],[ Invoice Amt (SAR)]],Main_Presentation[[#This Row],[Date Recd]],Main_Presentation[[#This Row],[Due Date]],Main_Presentation[[#This Row],[Days]])</f>
        <v>1437.5</v>
      </c>
      <c r="AB976" s="16"/>
    </row>
    <row r="977" spans="1:28" ht="15.75" hidden="1" x14ac:dyDescent="0.25">
      <c r="A977" s="20" t="s">
        <v>694</v>
      </c>
      <c r="B977" s="15">
        <v>45866</v>
      </c>
      <c r="C977" s="26">
        <v>3</v>
      </c>
      <c r="D977" s="55" t="str">
        <f>VLOOKUP(Main_Presentation[[#This Row],[LC Number]],Main_Issuance[],3,0)</f>
        <v>Hassan Taleb</v>
      </c>
      <c r="E977" s="16" t="s">
        <v>856</v>
      </c>
      <c r="F977" s="17" t="str">
        <f>VLOOKUP(Main_Presentation[[#This Row],[LC Number]],Main_Issuance[],5,0)</f>
        <v>Jazira</v>
      </c>
      <c r="G977" s="17" t="str">
        <f>VLOOKUP(Main_Presentation[[#This Row],[LC Number]],Main_Issuance[],6,0)</f>
        <v>RCRC</v>
      </c>
      <c r="H977" s="17" t="str">
        <f>VLOOKUP(Main_Presentation[[#This Row],[LC Number]],Main_Issuance[],17,0)</f>
        <v>Credit</v>
      </c>
      <c r="I977" s="17" t="str">
        <f>VLOOKUP(Main_Presentation[[#This Row],[LC Number]],Main_Issuance[],7,0)</f>
        <v>MOHAMMED RAMADAN SHAT FACTORY FOR METAL</v>
      </c>
      <c r="J977" s="17" t="str">
        <f>VLOOKUP(Main_Presentation[[#This Row],[LC Number]],Main_Issuance[],8,0)</f>
        <v>FIRST FIX</v>
      </c>
      <c r="K977" s="17" t="str">
        <f>VLOOKUP(Main_Presentation[[#This Row],[LC Number]],Main_Issuance[],9,0)</f>
        <v>RCRC</v>
      </c>
      <c r="L977" s="17">
        <f>VLOOKUP(Main_Presentation[[#This Row],[LC Number]],Main_Issuance[],10,0)</f>
        <v>1020106</v>
      </c>
      <c r="M977" s="17" t="str">
        <f>VLOOKUP(Main_Presentation[[#This Row],[LC Number]],Main_Issuance[],11,0)</f>
        <v>SAR</v>
      </c>
      <c r="N977" s="84">
        <f>VLOOKUP(Main_Presentation[[#This Row],[LC Number]],Main_Issuance[],12,0)</f>
        <v>1112374.18</v>
      </c>
      <c r="O977" s="16" t="s">
        <v>20</v>
      </c>
      <c r="P977" s="16" t="s">
        <v>857</v>
      </c>
      <c r="Q977" s="131">
        <v>661871.99</v>
      </c>
      <c r="R977" s="18">
        <v>1</v>
      </c>
      <c r="S977" s="18">
        <f>Main_Presentation[[#This Row],[Invoice Amt (FCY)]]*Main_Presentation[[#This Row],[Rate]]</f>
        <v>661871.99</v>
      </c>
      <c r="T977" s="15">
        <v>45916</v>
      </c>
      <c r="U977" s="26" t="str">
        <f>VLOOKUP(Main_Presentation[[#This Row],[LC Number]],Main_Issuance[],18,0)</f>
        <v>90 Days from Invoice Date</v>
      </c>
      <c r="V977" s="17" t="s">
        <v>613</v>
      </c>
      <c r="W977" s="22" t="s">
        <v>857</v>
      </c>
      <c r="X977" s="16"/>
      <c r="Y977" s="234" t="str">
        <f>TRIM(LEFT(Main_Presentation[[#This Row],[Payment Terms]],3))</f>
        <v>90</v>
      </c>
      <c r="Z977" s="16"/>
      <c r="AA977" s="316" cm="1">
        <f t="array" ref="AA977">Settlement(Main_Presentation[[#This Row],[Bank]],Main_Presentation[[#This Row],[ Invoice Amt (SAR)]],Main_Presentation[[#This Row],[Date Recd]],Main_Presentation[[#This Row],[Due Date]],Main_Presentation[[#This Row],[Days]])</f>
        <v>1296.05</v>
      </c>
      <c r="AB977" s="16"/>
    </row>
    <row r="978" spans="1:28" ht="15.75" hidden="1" x14ac:dyDescent="0.25">
      <c r="A978" s="20" t="s">
        <v>1496</v>
      </c>
      <c r="B978" s="15">
        <v>45860</v>
      </c>
      <c r="C978" s="26">
        <v>1</v>
      </c>
      <c r="D978" s="55" t="str">
        <f>VLOOKUP(Main_Presentation[[#This Row],[LC Number]],Main_Issuance[],3,0)</f>
        <v>Hassan Taleb</v>
      </c>
      <c r="E978" s="16" t="s">
        <v>856</v>
      </c>
      <c r="F978" s="17" t="str">
        <f>VLOOKUP(Main_Presentation[[#This Row],[LC Number]],Main_Issuance[],5,0)</f>
        <v>Alinma</v>
      </c>
      <c r="G978" s="17" t="str">
        <f>VLOOKUP(Main_Presentation[[#This Row],[LC Number]],Main_Issuance[],6,0)</f>
        <v>KSP</v>
      </c>
      <c r="H978" s="17" t="str">
        <f>VLOOKUP(Main_Presentation[[#This Row],[LC Number]],Main_Issuance[],17,0)</f>
        <v>Credit</v>
      </c>
      <c r="I978" s="17" t="str">
        <f>VLOOKUP(Main_Presentation[[#This Row],[LC Number]],Main_Issuance[],7,0)</f>
        <v>TEN POINTS EST</v>
      </c>
      <c r="J978" s="17" t="str">
        <f>VLOOKUP(Main_Presentation[[#This Row],[LC Number]],Main_Issuance[],8,0)</f>
        <v>FIRST FIX</v>
      </c>
      <c r="K978" s="17" t="str">
        <f>VLOOKUP(Main_Presentation[[#This Row],[LC Number]],Main_Issuance[],9,0)</f>
        <v>JCD SPMI</v>
      </c>
      <c r="L978" s="17">
        <f>VLOOKUP(Main_Presentation[[#This Row],[LC Number]],Main_Issuance[],10,0)</f>
        <v>1020100</v>
      </c>
      <c r="M978" s="17" t="str">
        <f>VLOOKUP(Main_Presentation[[#This Row],[LC Number]],Main_Issuance[],11,0)</f>
        <v>SAR</v>
      </c>
      <c r="N978" s="84">
        <f>VLOOKUP(Main_Presentation[[#This Row],[LC Number]],Main_Issuance[],12,0)</f>
        <v>309487</v>
      </c>
      <c r="O978" s="16" t="s">
        <v>20</v>
      </c>
      <c r="P978" s="16" t="s">
        <v>857</v>
      </c>
      <c r="Q978" s="131">
        <v>309487</v>
      </c>
      <c r="R978" s="18">
        <v>1</v>
      </c>
      <c r="S978" s="18">
        <f>Main_Presentation[[#This Row],[Invoice Amt (FCY)]]*Main_Presentation[[#This Row],[Rate]]</f>
        <v>309487</v>
      </c>
      <c r="T978" s="15">
        <v>45945</v>
      </c>
      <c r="U978" s="26" t="str">
        <f>VLOOKUP(Main_Presentation[[#This Row],[LC Number]],Main_Issuance[],18,0)</f>
        <v>120 Days from Invoice Date</v>
      </c>
      <c r="V978" s="17" t="s">
        <v>304</v>
      </c>
      <c r="W978" s="22" t="s">
        <v>378</v>
      </c>
      <c r="X978" s="16"/>
      <c r="Y978" s="234" t="str">
        <f>TRIM(LEFT(Main_Presentation[[#This Row],[Payment Terms]],3))</f>
        <v>120</v>
      </c>
      <c r="Z978" s="16"/>
      <c r="AA978" s="316" cm="1">
        <f t="array" ref="AA978">Settlement(Main_Presentation[[#This Row],[Bank]],Main_Presentation[[#This Row],[ Invoice Amt (SAR)]],Main_Presentation[[#This Row],[Date Recd]],Main_Presentation[[#This Row],[Due Date]],Main_Presentation[[#This Row],[Days]])</f>
        <v>1437.5</v>
      </c>
      <c r="AB978" s="16"/>
    </row>
    <row r="979" spans="1:28" ht="15.75" hidden="1" x14ac:dyDescent="0.25">
      <c r="A979" s="20" t="s">
        <v>1312</v>
      </c>
      <c r="B979" s="15">
        <v>45866</v>
      </c>
      <c r="C979" s="26">
        <v>1</v>
      </c>
      <c r="D979" s="55" t="str">
        <f>VLOOKUP(Main_Presentation[[#This Row],[LC Number]],Main_Issuance[],3,0)</f>
        <v>Hassan Taleb</v>
      </c>
      <c r="E979" s="16" t="s">
        <v>858</v>
      </c>
      <c r="F979" s="17" t="str">
        <f>VLOOKUP(Main_Presentation[[#This Row],[LC Number]],Main_Issuance[],5,0)</f>
        <v>Alinma</v>
      </c>
      <c r="G979" s="17" t="str">
        <f>VLOOKUP(Main_Presentation[[#This Row],[LC Number]],Main_Issuance[],6,0)</f>
        <v>KSP</v>
      </c>
      <c r="H979" s="17" t="str">
        <f>VLOOKUP(Main_Presentation[[#This Row],[LC Number]],Main_Issuance[],17,0)</f>
        <v>Credit</v>
      </c>
      <c r="I979" s="17" t="str">
        <f>VLOOKUP(Main_Presentation[[#This Row],[LC Number]],Main_Issuance[],7,0)</f>
        <v>ALBYT ALTHAKI TRADING CO</v>
      </c>
      <c r="J979" s="17" t="str">
        <f>VLOOKUP(Main_Presentation[[#This Row],[LC Number]],Main_Issuance[],8,0)</f>
        <v>FIRST FIX</v>
      </c>
      <c r="K979" s="17" t="str">
        <f>VLOOKUP(Main_Presentation[[#This Row],[LC Number]],Main_Issuance[],9,0)</f>
        <v>KSP</v>
      </c>
      <c r="L979" s="17">
        <f>VLOOKUP(Main_Presentation[[#This Row],[LC Number]],Main_Issuance[],10,0)</f>
        <v>1020055</v>
      </c>
      <c r="M979" s="17" t="str">
        <f>VLOOKUP(Main_Presentation[[#This Row],[LC Number]],Main_Issuance[],11,0)</f>
        <v>SAR</v>
      </c>
      <c r="N979" s="84">
        <f>VLOOKUP(Main_Presentation[[#This Row],[LC Number]],Main_Issuance[],12,0)</f>
        <v>624264.62</v>
      </c>
      <c r="O979" s="16" t="s">
        <v>20</v>
      </c>
      <c r="P979" s="16" t="s">
        <v>857</v>
      </c>
      <c r="Q979" s="131">
        <v>312132.31</v>
      </c>
      <c r="R979" s="18">
        <v>1</v>
      </c>
      <c r="S979" s="18">
        <f>Main_Presentation[[#This Row],[Invoice Amt (FCY)]]*Main_Presentation[[#This Row],[Rate]]</f>
        <v>312132.31</v>
      </c>
      <c r="T979" s="15">
        <v>45977</v>
      </c>
      <c r="U979" s="26" t="str">
        <f>VLOOKUP(Main_Presentation[[#This Row],[LC Number]],Main_Issuance[],18,0)</f>
        <v>120 Days from Appl. Representative Sign</v>
      </c>
      <c r="V979" s="17" t="s">
        <v>22</v>
      </c>
      <c r="W979" s="22" t="s">
        <v>857</v>
      </c>
      <c r="X979" s="16"/>
      <c r="Y979" s="234" t="str">
        <f>TRIM(LEFT(Main_Presentation[[#This Row],[Payment Terms]],3))</f>
        <v>120</v>
      </c>
      <c r="Z979" s="16"/>
      <c r="AA979" s="316" cm="1">
        <f t="array" ref="AA979">Settlement(Main_Presentation[[#This Row],[Bank]],Main_Presentation[[#This Row],[ Invoice Amt (SAR)]],Main_Presentation[[#This Row],[Date Recd]],Main_Presentation[[#This Row],[Due Date]],Main_Presentation[[#This Row],[Days]])</f>
        <v>1437.5</v>
      </c>
      <c r="AB979" s="16"/>
    </row>
    <row r="980" spans="1:28" ht="15.75" hidden="1" x14ac:dyDescent="0.25">
      <c r="A980" s="20" t="s">
        <v>1401</v>
      </c>
      <c r="B980" s="15">
        <v>45866</v>
      </c>
      <c r="C980" s="26">
        <v>1</v>
      </c>
      <c r="D980" s="55" t="str">
        <f>VLOOKUP(Main_Presentation[[#This Row],[LC Number]],Main_Issuance[],3,0)</f>
        <v>Hassan Taleb</v>
      </c>
      <c r="E980" s="16" t="s">
        <v>856</v>
      </c>
      <c r="F980" s="17" t="str">
        <f>VLOOKUP(Main_Presentation[[#This Row],[LC Number]],Main_Issuance[],5,0)</f>
        <v>Alinma</v>
      </c>
      <c r="G980" s="17" t="str">
        <f>VLOOKUP(Main_Presentation[[#This Row],[LC Number]],Main_Issuance[],6,0)</f>
        <v>KSP</v>
      </c>
      <c r="H980" s="17" t="str">
        <f>VLOOKUP(Main_Presentation[[#This Row],[LC Number]],Main_Issuance[],17,0)</f>
        <v>Credit</v>
      </c>
      <c r="I980" s="17" t="str">
        <f>VLOOKUP(Main_Presentation[[#This Row],[LC Number]],Main_Issuance[],7,0)</f>
        <v>ALFANAR ELECTRICAL SYSTEMS</v>
      </c>
      <c r="J980" s="17" t="str">
        <f>VLOOKUP(Main_Presentation[[#This Row],[LC Number]],Main_Issuance[],8,0)</f>
        <v>FIRST FIX</v>
      </c>
      <c r="K980" s="17" t="str">
        <f>VLOOKUP(Main_Presentation[[#This Row],[LC Number]],Main_Issuance[],9,0)</f>
        <v>KSP</v>
      </c>
      <c r="L980" s="17">
        <f>VLOOKUP(Main_Presentation[[#This Row],[LC Number]],Main_Issuance[],10,0)</f>
        <v>1020055</v>
      </c>
      <c r="M980" s="17" t="str">
        <f>VLOOKUP(Main_Presentation[[#This Row],[LC Number]],Main_Issuance[],11,0)</f>
        <v>SAR</v>
      </c>
      <c r="N980" s="84">
        <f>VLOOKUP(Main_Presentation[[#This Row],[LC Number]],Main_Issuance[],12,0)</f>
        <v>450000</v>
      </c>
      <c r="O980" s="16" t="s">
        <v>20</v>
      </c>
      <c r="P980" s="16" t="s">
        <v>857</v>
      </c>
      <c r="Q980" s="131">
        <v>394800</v>
      </c>
      <c r="R980" s="18">
        <v>1</v>
      </c>
      <c r="S980" s="18">
        <f>Main_Presentation[[#This Row],[Invoice Amt (FCY)]]*Main_Presentation[[#This Row],[Rate]]</f>
        <v>394800</v>
      </c>
      <c r="T980" s="15">
        <v>45973</v>
      </c>
      <c r="U980" s="26" t="str">
        <f>VLOOKUP(Main_Presentation[[#This Row],[LC Number]],Main_Issuance[],18,0)</f>
        <v>120 Days from Invoice Date</v>
      </c>
      <c r="V980" s="17" t="s">
        <v>613</v>
      </c>
      <c r="W980" s="22" t="s">
        <v>378</v>
      </c>
      <c r="X980" s="16"/>
      <c r="Y980" s="234" t="str">
        <f>TRIM(LEFT(Main_Presentation[[#This Row],[Payment Terms]],3))</f>
        <v>120</v>
      </c>
      <c r="Z980" s="16"/>
      <c r="AA980" s="316" cm="1">
        <f t="array" ref="AA980">Settlement(Main_Presentation[[#This Row],[Bank]],Main_Presentation[[#This Row],[ Invoice Amt (SAR)]],Main_Presentation[[#This Row],[Date Recd]],Main_Presentation[[#This Row],[Due Date]],Main_Presentation[[#This Row],[Days]])</f>
        <v>1437.5</v>
      </c>
      <c r="AB980" s="16"/>
    </row>
    <row r="981" spans="1:28" ht="15.75" hidden="1" x14ac:dyDescent="0.25">
      <c r="A981" s="20" t="s">
        <v>1444</v>
      </c>
      <c r="B981" s="15">
        <v>45866</v>
      </c>
      <c r="C981" s="26">
        <v>1</v>
      </c>
      <c r="D981" s="55" t="str">
        <f>VLOOKUP(Main_Presentation[[#This Row],[LC Number]],Main_Issuance[],3,0)</f>
        <v>Hassan Taleb</v>
      </c>
      <c r="E981" s="16" t="s">
        <v>858</v>
      </c>
      <c r="F981" s="17" t="str">
        <f>VLOOKUP(Main_Presentation[[#This Row],[LC Number]],Main_Issuance[],5,0)</f>
        <v>SAB</v>
      </c>
      <c r="G981" s="17" t="str">
        <f>VLOOKUP(Main_Presentation[[#This Row],[LC Number]],Main_Issuance[],6,0)</f>
        <v>MP1</v>
      </c>
      <c r="H981" s="17" t="str">
        <f>VLOOKUP(Main_Presentation[[#This Row],[LC Number]],Main_Issuance[],17,0)</f>
        <v>Credit</v>
      </c>
      <c r="I981" s="17" t="str">
        <f>VLOOKUP(Main_Presentation[[#This Row],[LC Number]],Main_Issuance[],7,0)</f>
        <v>ANDHMAH ALMNANI ALTWARH EST</v>
      </c>
      <c r="J981" s="17" t="str">
        <f>VLOOKUP(Main_Presentation[[#This Row],[LC Number]],Main_Issuance[],8,0)</f>
        <v>FIRST FIX</v>
      </c>
      <c r="K981" s="17" t="str">
        <f>VLOOKUP(Main_Presentation[[#This Row],[LC Number]],Main_Issuance[],9,0)</f>
        <v>MP1</v>
      </c>
      <c r="L981" s="17">
        <f>VLOOKUP(Main_Presentation[[#This Row],[LC Number]],Main_Issuance[],10,0)</f>
        <v>1020088</v>
      </c>
      <c r="M981" s="17" t="str">
        <f>VLOOKUP(Main_Presentation[[#This Row],[LC Number]],Main_Issuance[],11,0)</f>
        <v>SAR</v>
      </c>
      <c r="N981" s="84">
        <f>VLOOKUP(Main_Presentation[[#This Row],[LC Number]],Main_Issuance[],12,0)</f>
        <v>400000</v>
      </c>
      <c r="O981" s="16" t="s">
        <v>20</v>
      </c>
      <c r="P981" s="16" t="s">
        <v>857</v>
      </c>
      <c r="Q981" s="131">
        <v>305986.77</v>
      </c>
      <c r="R981" s="18">
        <v>1</v>
      </c>
      <c r="S981" s="18">
        <f>Main_Presentation[[#This Row],[Invoice Amt (FCY)]]*Main_Presentation[[#This Row],[Rate]]</f>
        <v>305986.77</v>
      </c>
      <c r="T981" s="15">
        <v>45959</v>
      </c>
      <c r="U981" s="26" t="str">
        <f>VLOOKUP(Main_Presentation[[#This Row],[LC Number]],Main_Issuance[],18,0)</f>
        <v>120 Days from Invoice Date</v>
      </c>
      <c r="V981" s="17" t="s">
        <v>710</v>
      </c>
      <c r="W981" s="22" t="s">
        <v>857</v>
      </c>
      <c r="X981" s="16"/>
      <c r="Y981" s="234" t="str">
        <f>TRIM(LEFT(Main_Presentation[[#This Row],[Payment Terms]],3))</f>
        <v>120</v>
      </c>
      <c r="Z981" s="16"/>
      <c r="AA981" s="316" cm="1">
        <f t="array" ref="AA981">Settlement(Main_Presentation[[#This Row],[Bank]],Main_Presentation[[#This Row],[ Invoice Amt (SAR)]],Main_Presentation[[#This Row],[Date Recd]],Main_Presentation[[#This Row],[Due Date]],Main_Presentation[[#This Row],[Days]])</f>
        <v>1319.05</v>
      </c>
      <c r="AB981" s="16"/>
    </row>
    <row r="982" spans="1:28" ht="15.75" hidden="1" x14ac:dyDescent="0.25">
      <c r="A982" s="20" t="s">
        <v>702</v>
      </c>
      <c r="B982" s="15">
        <v>45848</v>
      </c>
      <c r="C982" s="26">
        <v>12</v>
      </c>
      <c r="D982" s="55" t="str">
        <f>VLOOKUP(Main_Presentation[[#This Row],[LC Number]],Main_Issuance[],3,0)</f>
        <v>Tareeq Telmasani</v>
      </c>
      <c r="E982" s="16" t="s">
        <v>856</v>
      </c>
      <c r="F982" s="17" t="str">
        <f>VLOOKUP(Main_Presentation[[#This Row],[LC Number]],Main_Issuance[],5,0)</f>
        <v>SNB</v>
      </c>
      <c r="G982" s="17" t="str">
        <f>VLOOKUP(Main_Presentation[[#This Row],[LC Number]],Main_Issuance[],6,0)</f>
        <v>Opera House</v>
      </c>
      <c r="H982" s="17" t="str">
        <f>VLOOKUP(Main_Presentation[[#This Row],[LC Number]],Main_Issuance[],17,0)</f>
        <v>Credit</v>
      </c>
      <c r="I982" s="17" t="str">
        <f>VLOOKUP(Main_Presentation[[#This Row],[LC Number]],Main_Issuance[],7,0)</f>
        <v>HOLCIM SOLUTIONS AND PRODUCTS EMEA BV</v>
      </c>
      <c r="J982" s="17" t="str">
        <f>VLOOKUP(Main_Presentation[[#This Row],[LC Number]],Main_Issuance[],8,0)</f>
        <v>MBL/IFAS</v>
      </c>
      <c r="K982" s="17" t="str">
        <f>VLOOKUP(Main_Presentation[[#This Row],[LC Number]],Main_Issuance[],9,0)</f>
        <v>CEER</v>
      </c>
      <c r="L982" s="17">
        <f>VLOOKUP(Main_Presentation[[#This Row],[LC Number]],Main_Issuance[],10,0)</f>
        <v>1020091</v>
      </c>
      <c r="M982" s="17" t="str">
        <f>VLOOKUP(Main_Presentation[[#This Row],[LC Number]],Main_Issuance[],11,0)</f>
        <v>USD</v>
      </c>
      <c r="N982" s="84">
        <f>VLOOKUP(Main_Presentation[[#This Row],[LC Number]],Main_Issuance[],12,0)</f>
        <v>2600115.56</v>
      </c>
      <c r="O982" s="16" t="s">
        <v>20</v>
      </c>
      <c r="P982" s="16" t="s">
        <v>857</v>
      </c>
      <c r="Q982" s="131">
        <v>86738.11</v>
      </c>
      <c r="R982" s="18">
        <v>3.75</v>
      </c>
      <c r="S982" s="18">
        <f>Main_Presentation[[#This Row],[Invoice Amt (FCY)]]*Main_Presentation[[#This Row],[Rate]]</f>
        <v>325267.91249999998</v>
      </c>
      <c r="T982" s="15">
        <v>45925</v>
      </c>
      <c r="U982" s="26" t="str">
        <f>VLOOKUP(Main_Presentation[[#This Row],[LC Number]],Main_Issuance[],18,0)</f>
        <v>90 Days from Shipment Date</v>
      </c>
      <c r="V982" s="17" t="s">
        <v>367</v>
      </c>
      <c r="W982" s="22" t="s">
        <v>857</v>
      </c>
      <c r="X982" s="16"/>
      <c r="Y982" s="234" t="str">
        <f>TRIM(LEFT(Main_Presentation[[#This Row],[Payment Terms]],3))</f>
        <v>90</v>
      </c>
      <c r="Z982" s="16"/>
      <c r="AA982" s="316" cm="1">
        <f t="array" ref="AA982">Settlement(Main_Presentation[[#This Row],[Bank]],Main_Presentation[[#This Row],[ Invoice Amt (SAR)]],Main_Presentation[[#This Row],[Date Recd]],Main_Presentation[[#This Row],[Due Date]],Main_Presentation[[#This Row],[Days]])</f>
        <v>1598.5</v>
      </c>
      <c r="AB982" s="16"/>
    </row>
    <row r="983" spans="1:28" ht="15.75" hidden="1" x14ac:dyDescent="0.25">
      <c r="A983" s="20" t="s">
        <v>1280</v>
      </c>
      <c r="B983" s="15">
        <v>45876</v>
      </c>
      <c r="C983" s="26">
        <v>1</v>
      </c>
      <c r="D983" s="55" t="str">
        <f>VLOOKUP(Main_Presentation[[#This Row],[LC Number]],Main_Issuance[],3,0)</f>
        <v>Hassan Taleb</v>
      </c>
      <c r="E983" s="16" t="s">
        <v>858</v>
      </c>
      <c r="F983" s="17" t="str">
        <f>VLOOKUP(Main_Presentation[[#This Row],[LC Number]],Main_Issuance[],5,0)</f>
        <v>BAB</v>
      </c>
      <c r="G983" s="17" t="str">
        <f>VLOOKUP(Main_Presentation[[#This Row],[LC Number]],Main_Issuance[],6,0)</f>
        <v>Cash</v>
      </c>
      <c r="H983" s="17" t="str">
        <f>VLOOKUP(Main_Presentation[[#This Row],[LC Number]],Main_Issuance[],17,0)</f>
        <v>Cash</v>
      </c>
      <c r="I983" s="17" t="str">
        <f>VLOOKUP(Main_Presentation[[#This Row],[LC Number]],Main_Issuance[],7,0)</f>
        <v>KENZ SARAB MACHINERY AND EQUIPMENT COMPANY</v>
      </c>
      <c r="J983" s="17" t="str">
        <f>VLOOKUP(Main_Presentation[[#This Row],[LC Number]],Main_Issuance[],8,0)</f>
        <v>FIRST FIX</v>
      </c>
      <c r="K983" s="17" t="str">
        <f>VLOOKUP(Main_Presentation[[#This Row],[LC Number]],Main_Issuance[],9,0)</f>
        <v>JCD SPMI</v>
      </c>
      <c r="L983" s="17">
        <f>VLOOKUP(Main_Presentation[[#This Row],[LC Number]],Main_Issuance[],10,0)</f>
        <v>1020100</v>
      </c>
      <c r="M983" s="17" t="str">
        <f>VLOOKUP(Main_Presentation[[#This Row],[LC Number]],Main_Issuance[],11,0)</f>
        <v>SAR</v>
      </c>
      <c r="N983" s="84">
        <f>VLOOKUP(Main_Presentation[[#This Row],[LC Number]],Main_Issuance[],12,0)</f>
        <v>500000</v>
      </c>
      <c r="O983" s="16" t="s">
        <v>20</v>
      </c>
      <c r="P983" s="16" t="s">
        <v>857</v>
      </c>
      <c r="Q983" s="131">
        <v>292258.94</v>
      </c>
      <c r="R983" s="18">
        <v>1</v>
      </c>
      <c r="S983" s="18">
        <f>Main_Presentation[[#This Row],[Invoice Amt (FCY)]]*Main_Presentation[[#This Row],[Rate]]</f>
        <v>292258.94</v>
      </c>
      <c r="T983" s="15">
        <v>45949</v>
      </c>
      <c r="U983" s="26" t="str">
        <f>VLOOKUP(Main_Presentation[[#This Row],[LC Number]],Main_Issuance[],18,0)</f>
        <v>120 Days from Invoice Date</v>
      </c>
      <c r="V983" s="17" t="s">
        <v>1849</v>
      </c>
      <c r="W983" s="22" t="s">
        <v>378</v>
      </c>
      <c r="X983" s="16"/>
      <c r="Y983" s="234" t="str">
        <f>TRIM(LEFT(Main_Presentation[[#This Row],[Payment Terms]],3))</f>
        <v>120</v>
      </c>
      <c r="Z983" s="16"/>
      <c r="AA983" s="316" cm="1">
        <f t="array" ref="AA983">Settlement(Main_Presentation[[#This Row],[Bank]],Main_Presentation[[#This Row],[ Invoice Amt (SAR)]],Main_Presentation[[#This Row],[Date Recd]],Main_Presentation[[#This Row],[Due Date]],Main_Presentation[[#This Row],[Days]])</f>
        <v>0</v>
      </c>
      <c r="AB983" s="16"/>
    </row>
    <row r="984" spans="1:28" ht="15.75" hidden="1" x14ac:dyDescent="0.25">
      <c r="A984" s="20" t="s">
        <v>1420</v>
      </c>
      <c r="B984" s="15">
        <v>45922</v>
      </c>
      <c r="C984" s="26">
        <v>2</v>
      </c>
      <c r="D984" s="55" t="str">
        <f>VLOOKUP(Main_Presentation[[#This Row],[LC Number]],Main_Issuance[],3,0)</f>
        <v>Hassan Taleb</v>
      </c>
      <c r="E984" s="16" t="s">
        <v>858</v>
      </c>
      <c r="F984" s="17" t="str">
        <f>VLOOKUP(Main_Presentation[[#This Row],[LC Number]],Main_Issuance[],5,0)</f>
        <v>SNB</v>
      </c>
      <c r="G984" s="17" t="str">
        <f>VLOOKUP(Main_Presentation[[#This Row],[LC Number]],Main_Issuance[],6,0)</f>
        <v>Opera House</v>
      </c>
      <c r="H984" s="17" t="str">
        <f>VLOOKUP(Main_Presentation[[#This Row],[LC Number]],Main_Issuance[],17,0)</f>
        <v>Credit</v>
      </c>
      <c r="I984" s="17" t="str">
        <f>VLOOKUP(Main_Presentation[[#This Row],[LC Number]],Main_Issuance[],7,0)</f>
        <v>ALFANAR ELECTRICAL SYSTEMS</v>
      </c>
      <c r="J984" s="17" t="str">
        <f>VLOOKUP(Main_Presentation[[#This Row],[LC Number]],Main_Issuance[],8,0)</f>
        <v>FIRST FIX</v>
      </c>
      <c r="K984" s="17" t="str">
        <f>VLOOKUP(Main_Presentation[[#This Row],[LC Number]],Main_Issuance[],9,0)</f>
        <v>KSP</v>
      </c>
      <c r="L984" s="17">
        <f>VLOOKUP(Main_Presentation[[#This Row],[LC Number]],Main_Issuance[],10,0)</f>
        <v>1020055</v>
      </c>
      <c r="M984" s="17" t="str">
        <f>VLOOKUP(Main_Presentation[[#This Row],[LC Number]],Main_Issuance[],11,0)</f>
        <v>SAR</v>
      </c>
      <c r="N984" s="84">
        <f>VLOOKUP(Main_Presentation[[#This Row],[LC Number]],Main_Issuance[],12,0)</f>
        <v>1539808.94</v>
      </c>
      <c r="O984" s="16" t="s">
        <v>20</v>
      </c>
      <c r="P984" s="16" t="s">
        <v>378</v>
      </c>
      <c r="Q984" s="131">
        <v>134784.6</v>
      </c>
      <c r="R984" s="18">
        <v>1</v>
      </c>
      <c r="S984" s="18">
        <f>Main_Presentation[[#This Row],[Invoice Amt (FCY)]]*Main_Presentation[[#This Row],[Rate]]</f>
        <v>134784.6</v>
      </c>
      <c r="T984" s="15">
        <v>45957</v>
      </c>
      <c r="U984" s="26" t="str">
        <f>VLOOKUP(Main_Presentation[[#This Row],[LC Number]],Main_Issuance[],18,0)</f>
        <v>120 Days from Invoice Date</v>
      </c>
      <c r="V984" s="17" t="s">
        <v>22</v>
      </c>
      <c r="W984" s="22" t="s">
        <v>857</v>
      </c>
      <c r="X984" s="16"/>
      <c r="Y984" s="234" t="str">
        <f>TRIM(LEFT(Main_Presentation[[#This Row],[Payment Terms]],3))</f>
        <v>120</v>
      </c>
      <c r="Z984" s="16"/>
      <c r="AA984" s="316" cm="1">
        <f t="array" ref="AA984">Settlement(Main_Presentation[[#This Row],[Bank]],Main_Presentation[[#This Row],[ Invoice Amt (SAR)]],Main_Presentation[[#This Row],[Date Recd]],Main_Presentation[[#This Row],[Due Date]],Main_Presentation[[#This Row],[Days]])</f>
        <v>655.5</v>
      </c>
      <c r="AB984" s="16"/>
    </row>
    <row r="985" spans="1:28" ht="15.75" hidden="1" x14ac:dyDescent="0.25">
      <c r="A985" s="20" t="s">
        <v>1440</v>
      </c>
      <c r="B985" s="15">
        <v>45886</v>
      </c>
      <c r="C985" s="26">
        <v>1</v>
      </c>
      <c r="D985" s="55" t="str">
        <f>VLOOKUP(Main_Presentation[[#This Row],[LC Number]],Main_Issuance[],3,0)</f>
        <v>Hassan Taleb</v>
      </c>
      <c r="E985" s="16" t="s">
        <v>858</v>
      </c>
      <c r="F985" s="17" t="str">
        <f>VLOOKUP(Main_Presentation[[#This Row],[LC Number]],Main_Issuance[],5,0)</f>
        <v>SAB</v>
      </c>
      <c r="G985" s="17" t="str">
        <f>VLOOKUP(Main_Presentation[[#This Row],[LC Number]],Main_Issuance[],6,0)</f>
        <v>MP1</v>
      </c>
      <c r="H985" s="17" t="str">
        <f>VLOOKUP(Main_Presentation[[#This Row],[LC Number]],Main_Issuance[],17,0)</f>
        <v>Credit</v>
      </c>
      <c r="I985" s="17" t="str">
        <f>VLOOKUP(Main_Presentation[[#This Row],[LC Number]],Main_Issuance[],7,0)</f>
        <v>Saudi Electric Supply Company</v>
      </c>
      <c r="J985" s="17" t="str">
        <f>VLOOKUP(Main_Presentation[[#This Row],[LC Number]],Main_Issuance[],8,0)</f>
        <v>FIRST FIX</v>
      </c>
      <c r="K985" s="17" t="str">
        <f>VLOOKUP(Main_Presentation[[#This Row],[LC Number]],Main_Issuance[],9,0)</f>
        <v>MP1</v>
      </c>
      <c r="L985" s="17">
        <f>VLOOKUP(Main_Presentation[[#This Row],[LC Number]],Main_Issuance[],10,0)</f>
        <v>1020088</v>
      </c>
      <c r="M985" s="17" t="str">
        <f>VLOOKUP(Main_Presentation[[#This Row],[LC Number]],Main_Issuance[],11,0)</f>
        <v>SAR</v>
      </c>
      <c r="N985" s="84">
        <f>VLOOKUP(Main_Presentation[[#This Row],[LC Number]],Main_Issuance[],12,0)</f>
        <v>150000</v>
      </c>
      <c r="O985" s="16" t="s">
        <v>20</v>
      </c>
      <c r="P985" s="16" t="s">
        <v>857</v>
      </c>
      <c r="Q985" s="131">
        <v>150000</v>
      </c>
      <c r="R985" s="18">
        <v>1</v>
      </c>
      <c r="S985" s="18">
        <f>Main_Presentation[[#This Row],[Invoice Amt (FCY)]]*Main_Presentation[[#This Row],[Rate]]</f>
        <v>150000</v>
      </c>
      <c r="T985" s="15">
        <v>45938</v>
      </c>
      <c r="U985" s="26" t="str">
        <f>VLOOKUP(Main_Presentation[[#This Row],[LC Number]],Main_Issuance[],18,0)</f>
        <v>120 Days from Invoice Date</v>
      </c>
      <c r="V985" s="17" t="s">
        <v>1926</v>
      </c>
      <c r="W985" s="22" t="s">
        <v>378</v>
      </c>
      <c r="X985" s="16"/>
      <c r="Y985" s="234" t="str">
        <f>TRIM(LEFT(Main_Presentation[[#This Row],[Payment Terms]],3))</f>
        <v>120</v>
      </c>
      <c r="Z985" s="16"/>
      <c r="AA985" s="316" cm="1">
        <f t="array" ref="AA985">Settlement(Main_Presentation[[#This Row],[Bank]],Main_Presentation[[#This Row],[ Invoice Amt (SAR)]],Main_Presentation[[#This Row],[Date Recd]],Main_Presentation[[#This Row],[Due Date]],Main_Presentation[[#This Row],[Days]])</f>
        <v>646.29999999999995</v>
      </c>
      <c r="AB985" s="16"/>
    </row>
    <row r="986" spans="1:28" ht="15.75" hidden="1" x14ac:dyDescent="0.25">
      <c r="A986" s="20" t="s">
        <v>1523</v>
      </c>
      <c r="B986" s="15">
        <v>45862</v>
      </c>
      <c r="C986" s="26">
        <v>1</v>
      </c>
      <c r="D986" s="55" t="str">
        <f>VLOOKUP(Main_Presentation[[#This Row],[LC Number]],Main_Issuance[],3,0)</f>
        <v>Hassan Taleb</v>
      </c>
      <c r="E986" s="16" t="s">
        <v>858</v>
      </c>
      <c r="F986" s="17" t="str">
        <f>VLOOKUP(Main_Presentation[[#This Row],[LC Number]],Main_Issuance[],5,0)</f>
        <v>Alinma</v>
      </c>
      <c r="G986" s="17" t="str">
        <f>VLOOKUP(Main_Presentation[[#This Row],[LC Number]],Main_Issuance[],6,0)</f>
        <v>KSP</v>
      </c>
      <c r="H986" s="17" t="str">
        <f>VLOOKUP(Main_Presentation[[#This Row],[LC Number]],Main_Issuance[],17,0)</f>
        <v>Credit</v>
      </c>
      <c r="I986" s="17" t="str">
        <f>VLOOKUP(Main_Presentation[[#This Row],[LC Number]],Main_Issuance[],7,0)</f>
        <v>SAUD JAMAL ALHADDAD EQUIPMENT RENTAL EST.</v>
      </c>
      <c r="J986" s="17" t="str">
        <f>VLOOKUP(Main_Presentation[[#This Row],[LC Number]],Main_Issuance[],8,0)</f>
        <v>FIRST FIX</v>
      </c>
      <c r="K986" s="17" t="str">
        <f>VLOOKUP(Main_Presentation[[#This Row],[LC Number]],Main_Issuance[],9,0)</f>
        <v>JCD SPMI</v>
      </c>
      <c r="L986" s="17">
        <f>VLOOKUP(Main_Presentation[[#This Row],[LC Number]],Main_Issuance[],10,0)</f>
        <v>1020100</v>
      </c>
      <c r="M986" s="17" t="str">
        <f>VLOOKUP(Main_Presentation[[#This Row],[LC Number]],Main_Issuance[],11,0)</f>
        <v>SAR</v>
      </c>
      <c r="N986" s="84">
        <f>VLOOKUP(Main_Presentation[[#This Row],[LC Number]],Main_Issuance[],12,0)</f>
        <v>200000</v>
      </c>
      <c r="O986" s="16" t="s">
        <v>20</v>
      </c>
      <c r="P986" s="16" t="s">
        <v>857</v>
      </c>
      <c r="Q986" s="131">
        <v>200000</v>
      </c>
      <c r="R986" s="18">
        <v>1</v>
      </c>
      <c r="S986" s="18">
        <f>Main_Presentation[[#This Row],[Invoice Amt (FCY)]]*Main_Presentation[[#This Row],[Rate]]</f>
        <v>200000</v>
      </c>
      <c r="T986" s="15">
        <v>45974</v>
      </c>
      <c r="U986" s="26" t="str">
        <f>VLOOKUP(Main_Presentation[[#This Row],[LC Number]],Main_Issuance[],18,0)</f>
        <v>120 Days from Invoice Date</v>
      </c>
      <c r="V986" s="17" t="s">
        <v>304</v>
      </c>
      <c r="W986" s="22" t="s">
        <v>378</v>
      </c>
      <c r="X986" s="16"/>
      <c r="Y986" s="234" t="str">
        <f>TRIM(LEFT(Main_Presentation[[#This Row],[Payment Terms]],3))</f>
        <v>120</v>
      </c>
      <c r="Z986" s="16"/>
      <c r="AA986" s="316" cm="1">
        <f t="array" ref="AA986">Settlement(Main_Presentation[[#This Row],[Bank]],Main_Presentation[[#This Row],[ Invoice Amt (SAR)]],Main_Presentation[[#This Row],[Date Recd]],Main_Presentation[[#This Row],[Due Date]],Main_Presentation[[#This Row],[Days]])</f>
        <v>1437.5</v>
      </c>
      <c r="AB986" s="16"/>
    </row>
    <row r="987" spans="1:28" ht="15.75" hidden="1" x14ac:dyDescent="0.25">
      <c r="A987" s="20" t="s">
        <v>1188</v>
      </c>
      <c r="B987" s="15">
        <v>45869</v>
      </c>
      <c r="C987" s="26">
        <v>1</v>
      </c>
      <c r="D987" s="55" t="str">
        <f>VLOOKUP(Main_Presentation[[#This Row],[LC Number]],Main_Issuance[],3,0)</f>
        <v>Hassan Taleb</v>
      </c>
      <c r="E987" s="16" t="s">
        <v>858</v>
      </c>
      <c r="F987" s="17" t="str">
        <f>VLOOKUP(Main_Presentation[[#This Row],[LC Number]],Main_Issuance[],5,0)</f>
        <v>SAB</v>
      </c>
      <c r="G987" s="17" t="str">
        <f>VLOOKUP(Main_Presentation[[#This Row],[LC Number]],Main_Issuance[],6,0)</f>
        <v>MP1</v>
      </c>
      <c r="H987" s="17" t="str">
        <f>VLOOKUP(Main_Presentation[[#This Row],[LC Number]],Main_Issuance[],17,0)</f>
        <v>Credit</v>
      </c>
      <c r="I987" s="17" t="str">
        <f>VLOOKUP(Main_Presentation[[#This Row],[LC Number]],Main_Issuance[],7,0)</f>
        <v>DAIKIN AIR CONDITIONING SAUDI ARABIA</v>
      </c>
      <c r="J987" s="17" t="str">
        <f>VLOOKUP(Main_Presentation[[#This Row],[LC Number]],Main_Issuance[],8,0)</f>
        <v>FIRST FIX</v>
      </c>
      <c r="K987" s="17" t="str">
        <f>VLOOKUP(Main_Presentation[[#This Row],[LC Number]],Main_Issuance[],9,0)</f>
        <v>MP1</v>
      </c>
      <c r="L987" s="17">
        <f>VLOOKUP(Main_Presentation[[#This Row],[LC Number]],Main_Issuance[],10,0)</f>
        <v>1020088</v>
      </c>
      <c r="M987" s="17" t="str">
        <f>VLOOKUP(Main_Presentation[[#This Row],[LC Number]],Main_Issuance[],11,0)</f>
        <v>SAR</v>
      </c>
      <c r="N987" s="84">
        <f>VLOOKUP(Main_Presentation[[#This Row],[LC Number]],Main_Issuance[],12,0)</f>
        <v>1995000</v>
      </c>
      <c r="O987" s="16" t="s">
        <v>20</v>
      </c>
      <c r="P987" s="16" t="s">
        <v>857</v>
      </c>
      <c r="Q987" s="131">
        <v>1736499.95</v>
      </c>
      <c r="R987" s="18">
        <v>1</v>
      </c>
      <c r="S987" s="18">
        <f>Main_Presentation[[#This Row],[Invoice Amt (FCY)]]*Main_Presentation[[#This Row],[Rate]]</f>
        <v>1736499.95</v>
      </c>
      <c r="T987" s="15">
        <v>45928</v>
      </c>
      <c r="U987" s="26" t="str">
        <f>VLOOKUP(Main_Presentation[[#This Row],[LC Number]],Main_Issuance[],18,0)</f>
        <v>90 Days from Invoice Date</v>
      </c>
      <c r="V987" s="17" t="s">
        <v>367</v>
      </c>
      <c r="W987" s="22" t="s">
        <v>378</v>
      </c>
      <c r="X987" s="16"/>
      <c r="Y987" s="234" t="str">
        <f>TRIM(LEFT(Main_Presentation[[#This Row],[Payment Terms]],3))</f>
        <v>90</v>
      </c>
      <c r="Z987" s="16"/>
      <c r="AA987" s="316" cm="1">
        <f t="array" ref="AA987">Settlement(Main_Presentation[[#This Row],[Bank]],Main_Presentation[[#This Row],[ Invoice Amt (SAR)]],Main_Presentation[[#This Row],[Date Recd]],Main_Presentation[[#This Row],[Due Date]],Main_Presentation[[#This Row],[Days]])</f>
        <v>7488.8</v>
      </c>
      <c r="AB987" s="16"/>
    </row>
    <row r="988" spans="1:28" ht="15.75" hidden="1" x14ac:dyDescent="0.25">
      <c r="A988" s="20" t="s">
        <v>1494</v>
      </c>
      <c r="B988" s="15">
        <v>45869</v>
      </c>
      <c r="C988" s="26">
        <v>1</v>
      </c>
      <c r="D988" s="55" t="str">
        <f>VLOOKUP(Main_Presentation[[#This Row],[LC Number]],Main_Issuance[],3,0)</f>
        <v>Hassan Taleb</v>
      </c>
      <c r="E988" s="16" t="s">
        <v>858</v>
      </c>
      <c r="F988" s="17" t="str">
        <f>VLOOKUP(Main_Presentation[[#This Row],[LC Number]],Main_Issuance[],5,0)</f>
        <v>Alinma</v>
      </c>
      <c r="G988" s="17" t="str">
        <f>VLOOKUP(Main_Presentation[[#This Row],[LC Number]],Main_Issuance[],6,0)</f>
        <v>KSP</v>
      </c>
      <c r="H988" s="17" t="str">
        <f>VLOOKUP(Main_Presentation[[#This Row],[LC Number]],Main_Issuance[],17,0)</f>
        <v>Credit</v>
      </c>
      <c r="I988" s="17" t="str">
        <f>VLOOKUP(Main_Presentation[[#This Row],[LC Number]],Main_Issuance[],7,0)</f>
        <v>ENERGY CONCEPT CO LTD</v>
      </c>
      <c r="J988" s="17" t="str">
        <f>VLOOKUP(Main_Presentation[[#This Row],[LC Number]],Main_Issuance[],8,0)</f>
        <v>FIRST FIX</v>
      </c>
      <c r="K988" s="17" t="str">
        <f>VLOOKUP(Main_Presentation[[#This Row],[LC Number]],Main_Issuance[],9,0)</f>
        <v>JCD SPMI</v>
      </c>
      <c r="L988" s="17">
        <f>VLOOKUP(Main_Presentation[[#This Row],[LC Number]],Main_Issuance[],10,0)</f>
        <v>1020100</v>
      </c>
      <c r="M988" s="17" t="str">
        <f>VLOOKUP(Main_Presentation[[#This Row],[LC Number]],Main_Issuance[],11,0)</f>
        <v>SAR</v>
      </c>
      <c r="N988" s="84">
        <f>VLOOKUP(Main_Presentation[[#This Row],[LC Number]],Main_Issuance[],12,0)</f>
        <v>248951.85</v>
      </c>
      <c r="O988" s="16" t="s">
        <v>20</v>
      </c>
      <c r="P988" s="16" t="s">
        <v>857</v>
      </c>
      <c r="Q988" s="131">
        <v>248951.85</v>
      </c>
      <c r="R988" s="18">
        <v>1</v>
      </c>
      <c r="S988" s="18">
        <f>Main_Presentation[[#This Row],[Invoice Amt (FCY)]]*Main_Presentation[[#This Row],[Rate]]</f>
        <v>248951.85</v>
      </c>
      <c r="T988" s="15">
        <v>45974</v>
      </c>
      <c r="U988" s="26" t="str">
        <f>VLOOKUP(Main_Presentation[[#This Row],[LC Number]],Main_Issuance[],18,0)</f>
        <v>120 Days from Invoice Date</v>
      </c>
      <c r="V988" s="17" t="s">
        <v>304</v>
      </c>
      <c r="W988" s="22" t="s">
        <v>378</v>
      </c>
      <c r="X988" s="16"/>
      <c r="Y988" s="234" t="str">
        <f>TRIM(LEFT(Main_Presentation[[#This Row],[Payment Terms]],3))</f>
        <v>120</v>
      </c>
      <c r="Z988" s="16"/>
      <c r="AA988" s="316" cm="1">
        <f t="array" ref="AA988">Settlement(Main_Presentation[[#This Row],[Bank]],Main_Presentation[[#This Row],[ Invoice Amt (SAR)]],Main_Presentation[[#This Row],[Date Recd]],Main_Presentation[[#This Row],[Due Date]],Main_Presentation[[#This Row],[Days]])</f>
        <v>1437.5</v>
      </c>
      <c r="AB988" s="16"/>
    </row>
    <row r="989" spans="1:28" ht="15.75" hidden="1" x14ac:dyDescent="0.25">
      <c r="A989" s="20" t="s">
        <v>1520</v>
      </c>
      <c r="B989" s="15">
        <v>45861</v>
      </c>
      <c r="C989" s="26">
        <v>1</v>
      </c>
      <c r="D989" s="55" t="str">
        <f>VLOOKUP(Main_Presentation[[#This Row],[LC Number]],Main_Issuance[],3,0)</f>
        <v>Hassan Taleb</v>
      </c>
      <c r="E989" s="16" t="s">
        <v>858</v>
      </c>
      <c r="F989" s="17" t="str">
        <f>VLOOKUP(Main_Presentation[[#This Row],[LC Number]],Main_Issuance[],5,0)</f>
        <v>Alinma</v>
      </c>
      <c r="G989" s="17" t="str">
        <f>VLOOKUP(Main_Presentation[[#This Row],[LC Number]],Main_Issuance[],6,0)</f>
        <v>KSP</v>
      </c>
      <c r="H989" s="17" t="str">
        <f>VLOOKUP(Main_Presentation[[#This Row],[LC Number]],Main_Issuance[],17,0)</f>
        <v>Credit</v>
      </c>
      <c r="I989" s="17" t="str">
        <f>VLOOKUP(Main_Presentation[[#This Row],[LC Number]],Main_Issuance[],7,0)</f>
        <v>SAHM AL MADINAH CONTRACTING EST</v>
      </c>
      <c r="J989" s="17" t="str">
        <f>VLOOKUP(Main_Presentation[[#This Row],[LC Number]],Main_Issuance[],8,0)</f>
        <v>FIRST FIX</v>
      </c>
      <c r="K989" s="17" t="str">
        <f>VLOOKUP(Main_Presentation[[#This Row],[LC Number]],Main_Issuance[],9,0)</f>
        <v>JCD SPMI</v>
      </c>
      <c r="L989" s="17">
        <f>VLOOKUP(Main_Presentation[[#This Row],[LC Number]],Main_Issuance[],10,0)</f>
        <v>1020100</v>
      </c>
      <c r="M989" s="17" t="str">
        <f>VLOOKUP(Main_Presentation[[#This Row],[LC Number]],Main_Issuance[],11,0)</f>
        <v>SAR</v>
      </c>
      <c r="N989" s="84">
        <f>VLOOKUP(Main_Presentation[[#This Row],[LC Number]],Main_Issuance[],12,0)</f>
        <v>550000</v>
      </c>
      <c r="O989" s="16" t="s">
        <v>20</v>
      </c>
      <c r="P989" s="16" t="s">
        <v>857</v>
      </c>
      <c r="Q989" s="131">
        <v>550000</v>
      </c>
      <c r="R989" s="18">
        <v>1</v>
      </c>
      <c r="S989" s="18">
        <f>Main_Presentation[[#This Row],[Invoice Amt (FCY)]]*Main_Presentation[[#This Row],[Rate]]</f>
        <v>550000</v>
      </c>
      <c r="T989" s="15">
        <v>45974</v>
      </c>
      <c r="U989" s="26" t="str">
        <f>VLOOKUP(Main_Presentation[[#This Row],[LC Number]],Main_Issuance[],18,0)</f>
        <v>120 Days from Invoice Date</v>
      </c>
      <c r="V989" s="17" t="s">
        <v>304</v>
      </c>
      <c r="W989" s="22" t="s">
        <v>378</v>
      </c>
      <c r="X989" s="16"/>
      <c r="Y989" s="234" t="str">
        <f>TRIM(LEFT(Main_Presentation[[#This Row],[Payment Terms]],3))</f>
        <v>120</v>
      </c>
      <c r="Z989" s="16"/>
      <c r="AA989" s="316" cm="1">
        <f t="array" ref="AA989">Settlement(Main_Presentation[[#This Row],[Bank]],Main_Presentation[[#This Row],[ Invoice Amt (SAR)]],Main_Presentation[[#This Row],[Date Recd]],Main_Presentation[[#This Row],[Due Date]],Main_Presentation[[#This Row],[Days]])</f>
        <v>1437.5</v>
      </c>
      <c r="AB989" s="16"/>
    </row>
    <row r="990" spans="1:28" ht="15.75" hidden="1" x14ac:dyDescent="0.25">
      <c r="A990" s="20" t="s">
        <v>1398</v>
      </c>
      <c r="B990" s="15">
        <v>45886</v>
      </c>
      <c r="C990" s="26">
        <v>1</v>
      </c>
      <c r="D990" s="55" t="str">
        <f>VLOOKUP(Main_Presentation[[#This Row],[LC Number]],Main_Issuance[],3,0)</f>
        <v>Hassan Taleb</v>
      </c>
      <c r="E990" s="16" t="s">
        <v>856</v>
      </c>
      <c r="F990" s="17" t="str">
        <f>VLOOKUP(Main_Presentation[[#This Row],[LC Number]],Main_Issuance[],5,0)</f>
        <v>Jazira</v>
      </c>
      <c r="G990" s="17" t="str">
        <f>VLOOKUP(Main_Presentation[[#This Row],[LC Number]],Main_Issuance[],6,0)</f>
        <v>RCRC</v>
      </c>
      <c r="H990" s="17" t="str">
        <f>VLOOKUP(Main_Presentation[[#This Row],[LC Number]],Main_Issuance[],17,0)</f>
        <v>Credit</v>
      </c>
      <c r="I990" s="17" t="str">
        <f>VLOOKUP(Main_Presentation[[#This Row],[LC Number]],Main_Issuance[],7,0)</f>
        <v>Al Wasail Industrial Co</v>
      </c>
      <c r="J990" s="17" t="str">
        <f>VLOOKUP(Main_Presentation[[#This Row],[LC Number]],Main_Issuance[],8,0)</f>
        <v>FIRST FIX</v>
      </c>
      <c r="K990" s="17" t="str">
        <f>VLOOKUP(Main_Presentation[[#This Row],[LC Number]],Main_Issuance[],9,0)</f>
        <v>RCRC</v>
      </c>
      <c r="L990" s="17">
        <f>VLOOKUP(Main_Presentation[[#This Row],[LC Number]],Main_Issuance[],10,0)</f>
        <v>1020106</v>
      </c>
      <c r="M990" s="17" t="str">
        <f>VLOOKUP(Main_Presentation[[#This Row],[LC Number]],Main_Issuance[],11,0)</f>
        <v>SAR</v>
      </c>
      <c r="N990" s="84">
        <f>VLOOKUP(Main_Presentation[[#This Row],[LC Number]],Main_Issuance[],12,0)</f>
        <v>108757.8</v>
      </c>
      <c r="O990" s="16" t="s">
        <v>20</v>
      </c>
      <c r="P990" s="16" t="s">
        <v>857</v>
      </c>
      <c r="Q990" s="131">
        <v>108757.8</v>
      </c>
      <c r="R990" s="18">
        <v>1</v>
      </c>
      <c r="S990" s="18">
        <f>Main_Presentation[[#This Row],[Invoice Amt (FCY)]]*Main_Presentation[[#This Row],[Rate]]</f>
        <v>108757.8</v>
      </c>
      <c r="T990" s="15">
        <v>45895</v>
      </c>
      <c r="U990" s="26" t="str">
        <f>VLOOKUP(Main_Presentation[[#This Row],[LC Number]],Main_Issuance[],18,0)</f>
        <v>90 Days from Invoice Date</v>
      </c>
      <c r="V990" s="17" t="s">
        <v>1156</v>
      </c>
      <c r="W990" s="22" t="s">
        <v>378</v>
      </c>
      <c r="X990" s="16"/>
      <c r="Y990" s="234" t="str">
        <f>TRIM(LEFT(Main_Presentation[[#This Row],[Payment Terms]],3))</f>
        <v>90</v>
      </c>
      <c r="Z990" s="16"/>
      <c r="AA990" s="316" cm="1">
        <f t="array" ref="AA990">Settlement(Main_Presentation[[#This Row],[Bank]],Main_Presentation[[#This Row],[ Invoice Amt (SAR)]],Main_Presentation[[#This Row],[Date Recd]],Main_Presentation[[#This Row],[Due Date]],Main_Presentation[[#This Row],[Days]])</f>
        <v>977.5</v>
      </c>
      <c r="AB990" s="16"/>
    </row>
    <row r="991" spans="1:28" ht="15.75" hidden="1" x14ac:dyDescent="0.25">
      <c r="A991" s="20" t="s">
        <v>733</v>
      </c>
      <c r="B991" s="15">
        <v>45866</v>
      </c>
      <c r="C991" s="26">
        <v>3</v>
      </c>
      <c r="D991" s="55" t="str">
        <f>VLOOKUP(Main_Presentation[[#This Row],[LC Number]],Main_Issuance[],3,0)</f>
        <v>Hassan Taleb</v>
      </c>
      <c r="E991" s="16" t="s">
        <v>856</v>
      </c>
      <c r="F991" s="17" t="str">
        <f>VLOOKUP(Main_Presentation[[#This Row],[LC Number]],Main_Issuance[],5,0)</f>
        <v>Jazira</v>
      </c>
      <c r="G991" s="17" t="str">
        <f>VLOOKUP(Main_Presentation[[#This Row],[LC Number]],Main_Issuance[],6,0)</f>
        <v>RCRC</v>
      </c>
      <c r="H991" s="17" t="str">
        <f>VLOOKUP(Main_Presentation[[#This Row],[LC Number]],Main_Issuance[],17,0)</f>
        <v>Credit</v>
      </c>
      <c r="I991" s="17" t="str">
        <f>VLOOKUP(Main_Presentation[[#This Row],[LC Number]],Main_Issuance[],7,0)</f>
        <v>ALFANAR ELECTRICAL SYSTEMS</v>
      </c>
      <c r="J991" s="17" t="str">
        <f>VLOOKUP(Main_Presentation[[#This Row],[LC Number]],Main_Issuance[],8,0)</f>
        <v>FIRST FIX</v>
      </c>
      <c r="K991" s="17" t="str">
        <f>VLOOKUP(Main_Presentation[[#This Row],[LC Number]],Main_Issuance[],9,0)</f>
        <v>RCRC</v>
      </c>
      <c r="L991" s="17">
        <f>VLOOKUP(Main_Presentation[[#This Row],[LC Number]],Main_Issuance[],10,0)</f>
        <v>1020106</v>
      </c>
      <c r="M991" s="17" t="str">
        <f>VLOOKUP(Main_Presentation[[#This Row],[LC Number]],Main_Issuance[],11,0)</f>
        <v>SAR</v>
      </c>
      <c r="N991" s="84">
        <f>VLOOKUP(Main_Presentation[[#This Row],[LC Number]],Main_Issuance[],12,0)</f>
        <v>8002636.4299999997</v>
      </c>
      <c r="O991" s="16" t="s">
        <v>20</v>
      </c>
      <c r="P991" s="16" t="s">
        <v>857</v>
      </c>
      <c r="Q991" s="131">
        <v>3029188.92</v>
      </c>
      <c r="R991" s="18">
        <v>1</v>
      </c>
      <c r="S991" s="18">
        <f>Main_Presentation[[#This Row],[Invoice Amt (FCY)]]*Main_Presentation[[#This Row],[Rate]]</f>
        <v>3029188.92</v>
      </c>
      <c r="T991" s="15">
        <v>45897</v>
      </c>
      <c r="U991" s="26" t="str">
        <f>VLOOKUP(Main_Presentation[[#This Row],[LC Number]],Main_Issuance[],18,0)</f>
        <v>90 Days from Invoice Date</v>
      </c>
      <c r="V991" s="17" t="s">
        <v>613</v>
      </c>
      <c r="W991" s="22" t="s">
        <v>857</v>
      </c>
      <c r="X991" s="16"/>
      <c r="Y991" s="234" t="str">
        <f>TRIM(LEFT(Main_Presentation[[#This Row],[Payment Terms]],3))</f>
        <v>90</v>
      </c>
      <c r="Z991" s="16"/>
      <c r="AA991" s="316" cm="1">
        <f t="array" ref="AA991">Settlement(Main_Presentation[[#This Row],[Bank]],Main_Presentation[[#This Row],[ Invoice Amt (SAR)]],Main_Presentation[[#This Row],[Date Recd]],Main_Presentation[[#This Row],[Due Date]],Main_Presentation[[#This Row],[Days]])</f>
        <v>3247.6</v>
      </c>
      <c r="AB991" s="16"/>
    </row>
    <row r="992" spans="1:28" ht="15.75" hidden="1" x14ac:dyDescent="0.25">
      <c r="A992" s="20" t="s">
        <v>611</v>
      </c>
      <c r="B992" s="15">
        <v>45866</v>
      </c>
      <c r="C992" s="26">
        <v>1</v>
      </c>
      <c r="D992" s="55" t="str">
        <f>VLOOKUP(Main_Presentation[[#This Row],[LC Number]],Main_Issuance[],3,0)</f>
        <v>Hassan Taleb</v>
      </c>
      <c r="E992" s="16" t="s">
        <v>856</v>
      </c>
      <c r="F992" s="17" t="str">
        <f>VLOOKUP(Main_Presentation[[#This Row],[LC Number]],Main_Issuance[],5,0)</f>
        <v>Jazira</v>
      </c>
      <c r="G992" s="17" t="str">
        <f>VLOOKUP(Main_Presentation[[#This Row],[LC Number]],Main_Issuance[],6,0)</f>
        <v>RCRC</v>
      </c>
      <c r="H992" s="17" t="str">
        <f>VLOOKUP(Main_Presentation[[#This Row],[LC Number]],Main_Issuance[],17,0)</f>
        <v>Credit</v>
      </c>
      <c r="I992" s="17" t="str">
        <f>VLOOKUP(Main_Presentation[[#This Row],[LC Number]],Main_Issuance[],7,0)</f>
        <v>AL-Tawi Ready Mix Concrete Factory Co</v>
      </c>
      <c r="J992" s="17" t="str">
        <f>VLOOKUP(Main_Presentation[[#This Row],[LC Number]],Main_Issuance[],8,0)</f>
        <v>FIRST FIX</v>
      </c>
      <c r="K992" s="17" t="str">
        <f>VLOOKUP(Main_Presentation[[#This Row],[LC Number]],Main_Issuance[],9,0)</f>
        <v>RCRC</v>
      </c>
      <c r="L992" s="17">
        <f>VLOOKUP(Main_Presentation[[#This Row],[LC Number]],Main_Issuance[],10,0)</f>
        <v>1020106</v>
      </c>
      <c r="M992" s="17" t="str">
        <f>VLOOKUP(Main_Presentation[[#This Row],[LC Number]],Main_Issuance[],11,0)</f>
        <v>SAR</v>
      </c>
      <c r="N992" s="84">
        <f>VLOOKUP(Main_Presentation[[#This Row],[LC Number]],Main_Issuance[],12,0)</f>
        <v>1798725.35</v>
      </c>
      <c r="O992" s="16" t="s">
        <v>20</v>
      </c>
      <c r="P992" s="16" t="s">
        <v>857</v>
      </c>
      <c r="Q992" s="131">
        <v>500000</v>
      </c>
      <c r="R992" s="18">
        <v>1</v>
      </c>
      <c r="S992" s="18">
        <f>Main_Presentation[[#This Row],[Invoice Amt (FCY)]]*Main_Presentation[[#This Row],[Rate]]</f>
        <v>500000</v>
      </c>
      <c r="T992" s="15">
        <v>45900</v>
      </c>
      <c r="U992" s="26" t="str">
        <f>VLOOKUP(Main_Presentation[[#This Row],[LC Number]],Main_Issuance[],18,0)</f>
        <v>90 Days from Invoice Date</v>
      </c>
      <c r="V992" s="17" t="s">
        <v>613</v>
      </c>
      <c r="W992" s="22" t="s">
        <v>857</v>
      </c>
      <c r="X992" s="16"/>
      <c r="Y992" s="234" t="str">
        <f>TRIM(LEFT(Main_Presentation[[#This Row],[Payment Terms]],3))</f>
        <v>90</v>
      </c>
      <c r="Z992" s="16"/>
      <c r="AA992" s="316" cm="1">
        <f t="array" ref="AA992">Settlement(Main_Presentation[[#This Row],[Bank]],Main_Presentation[[#This Row],[ Invoice Amt (SAR)]],Main_Presentation[[#This Row],[Date Recd]],Main_Presentation[[#This Row],[Due Date]],Main_Presentation[[#This Row],[Days]])</f>
        <v>824.55</v>
      </c>
      <c r="AB992" s="16"/>
    </row>
    <row r="993" spans="1:28" ht="15.75" hidden="1" x14ac:dyDescent="0.25">
      <c r="A993" s="20" t="s">
        <v>1447</v>
      </c>
      <c r="B993" s="15">
        <v>45866</v>
      </c>
      <c r="C993" s="26">
        <v>1</v>
      </c>
      <c r="D993" s="55" t="str">
        <f>VLOOKUP(Main_Presentation[[#This Row],[LC Number]],Main_Issuance[],3,0)</f>
        <v>Hassan Taleb</v>
      </c>
      <c r="E993" s="16" t="s">
        <v>856</v>
      </c>
      <c r="F993" s="17" t="str">
        <f>VLOOKUP(Main_Presentation[[#This Row],[LC Number]],Main_Issuance[],5,0)</f>
        <v>Jazira</v>
      </c>
      <c r="G993" s="17" t="str">
        <f>VLOOKUP(Main_Presentation[[#This Row],[LC Number]],Main_Issuance[],6,0)</f>
        <v>RCRC</v>
      </c>
      <c r="H993" s="17" t="str">
        <f>VLOOKUP(Main_Presentation[[#This Row],[LC Number]],Main_Issuance[],17,0)</f>
        <v>Credit</v>
      </c>
      <c r="I993" s="17" t="str">
        <f>VLOOKUP(Main_Presentation[[#This Row],[LC Number]],Main_Issuance[],7,0)</f>
        <v>Metal and Glass Trading Co</v>
      </c>
      <c r="J993" s="17" t="str">
        <f>VLOOKUP(Main_Presentation[[#This Row],[LC Number]],Main_Issuance[],8,0)</f>
        <v>FIRST FIX</v>
      </c>
      <c r="K993" s="17" t="str">
        <f>VLOOKUP(Main_Presentation[[#This Row],[LC Number]],Main_Issuance[],9,0)</f>
        <v>RCRC</v>
      </c>
      <c r="L993" s="17">
        <f>VLOOKUP(Main_Presentation[[#This Row],[LC Number]],Main_Issuance[],10,0)</f>
        <v>1020106</v>
      </c>
      <c r="M993" s="17" t="str">
        <f>VLOOKUP(Main_Presentation[[#This Row],[LC Number]],Main_Issuance[],11,0)</f>
        <v>SAR</v>
      </c>
      <c r="N993" s="84">
        <f>VLOOKUP(Main_Presentation[[#This Row],[LC Number]],Main_Issuance[],12,0)</f>
        <v>2000097.25</v>
      </c>
      <c r="O993" s="16" t="s">
        <v>20</v>
      </c>
      <c r="P993" s="16" t="s">
        <v>857</v>
      </c>
      <c r="Q993" s="131">
        <v>413914</v>
      </c>
      <c r="R993" s="18">
        <v>1</v>
      </c>
      <c r="S993" s="18">
        <f>Main_Presentation[[#This Row],[Invoice Amt (FCY)]]*Main_Presentation[[#This Row],[Rate]]</f>
        <v>413914</v>
      </c>
      <c r="T993" s="15">
        <v>45928</v>
      </c>
      <c r="U993" s="26" t="str">
        <f>VLOOKUP(Main_Presentation[[#This Row],[LC Number]],Main_Issuance[],18,0)</f>
        <v>90 Days from Invoice Date</v>
      </c>
      <c r="V993" s="17" t="s">
        <v>613</v>
      </c>
      <c r="W993" s="22" t="s">
        <v>857</v>
      </c>
      <c r="X993" s="16"/>
      <c r="Y993" s="234" t="str">
        <f>TRIM(LEFT(Main_Presentation[[#This Row],[Payment Terms]],3))</f>
        <v>90</v>
      </c>
      <c r="Z993" s="16"/>
      <c r="AA993" s="316" cm="1">
        <f t="array" ref="AA993">Settlement(Main_Presentation[[#This Row],[Bank]],Main_Presentation[[#This Row],[ Invoice Amt (SAR)]],Main_Presentation[[#This Row],[Date Recd]],Main_Presentation[[#This Row],[Due Date]],Main_Presentation[[#This Row],[Days]])</f>
        <v>939.55</v>
      </c>
      <c r="AB993" s="16"/>
    </row>
    <row r="994" spans="1:28" ht="15.75" hidden="1" x14ac:dyDescent="0.25">
      <c r="A994" s="20" t="s">
        <v>1488</v>
      </c>
      <c r="B994" s="15">
        <v>45868</v>
      </c>
      <c r="C994" s="26">
        <v>1</v>
      </c>
      <c r="D994" s="55" t="str">
        <f>VLOOKUP(Main_Presentation[[#This Row],[LC Number]],Main_Issuance[],3,0)</f>
        <v>Hassan Taleb</v>
      </c>
      <c r="E994" s="16" t="s">
        <v>856</v>
      </c>
      <c r="F994" s="17" t="str">
        <f>VLOOKUP(Main_Presentation[[#This Row],[LC Number]],Main_Issuance[],5,0)</f>
        <v>Alinma</v>
      </c>
      <c r="G994" s="17" t="str">
        <f>VLOOKUP(Main_Presentation[[#This Row],[LC Number]],Main_Issuance[],6,0)</f>
        <v>KSP</v>
      </c>
      <c r="H994" s="17" t="str">
        <f>VLOOKUP(Main_Presentation[[#This Row],[LC Number]],Main_Issuance[],17,0)</f>
        <v>Credit</v>
      </c>
      <c r="I994" s="17" t="str">
        <f>VLOOKUP(Main_Presentation[[#This Row],[LC Number]],Main_Issuance[],7,0)</f>
        <v>Gulf Grilles Company</v>
      </c>
      <c r="J994" s="17" t="str">
        <f>VLOOKUP(Main_Presentation[[#This Row],[LC Number]],Main_Issuance[],8,0)</f>
        <v>FIRST FIX</v>
      </c>
      <c r="K994" s="17" t="str">
        <f>VLOOKUP(Main_Presentation[[#This Row],[LC Number]],Main_Issuance[],9,0)</f>
        <v>JCD SPMI</v>
      </c>
      <c r="L994" s="17">
        <f>VLOOKUP(Main_Presentation[[#This Row],[LC Number]],Main_Issuance[],10,0)</f>
        <v>1020100</v>
      </c>
      <c r="M994" s="17" t="str">
        <f>VLOOKUP(Main_Presentation[[#This Row],[LC Number]],Main_Issuance[],11,0)</f>
        <v>SAR</v>
      </c>
      <c r="N994" s="84">
        <f>VLOOKUP(Main_Presentation[[#This Row],[LC Number]],Main_Issuance[],12,0)</f>
        <v>300000.01</v>
      </c>
      <c r="O994" s="16" t="s">
        <v>20</v>
      </c>
      <c r="P994" s="16" t="s">
        <v>857</v>
      </c>
      <c r="Q994" s="131">
        <v>300000</v>
      </c>
      <c r="R994" s="18">
        <v>1</v>
      </c>
      <c r="S994" s="18">
        <f>Main_Presentation[[#This Row],[Invoice Amt (FCY)]]*Main_Presentation[[#This Row],[Rate]]</f>
        <v>300000</v>
      </c>
      <c r="T994" s="15">
        <v>45974</v>
      </c>
      <c r="U994" s="26" t="str">
        <f>VLOOKUP(Main_Presentation[[#This Row],[LC Number]],Main_Issuance[],18,0)</f>
        <v>120 Days from Invoice Date</v>
      </c>
      <c r="V994" s="17" t="s">
        <v>304</v>
      </c>
      <c r="W994" s="22" t="s">
        <v>378</v>
      </c>
      <c r="X994" s="16"/>
      <c r="Y994" s="234" t="str">
        <f>TRIM(LEFT(Main_Presentation[[#This Row],[Payment Terms]],3))</f>
        <v>120</v>
      </c>
      <c r="Z994" s="16"/>
      <c r="AA994" s="316" cm="1">
        <f t="array" ref="AA994">Settlement(Main_Presentation[[#This Row],[Bank]],Main_Presentation[[#This Row],[ Invoice Amt (SAR)]],Main_Presentation[[#This Row],[Date Recd]],Main_Presentation[[#This Row],[Due Date]],Main_Presentation[[#This Row],[Days]])</f>
        <v>1437.5</v>
      </c>
      <c r="AB994" s="16"/>
    </row>
    <row r="995" spans="1:28" ht="15.75" hidden="1" x14ac:dyDescent="0.25">
      <c r="A995" s="20" t="s">
        <v>1411</v>
      </c>
      <c r="B995" s="15">
        <v>45887</v>
      </c>
      <c r="C995" s="26">
        <v>1</v>
      </c>
      <c r="D995" s="55" t="str">
        <f>VLOOKUP(Main_Presentation[[#This Row],[LC Number]],Main_Issuance[],3,0)</f>
        <v>Hassan Taleb</v>
      </c>
      <c r="E995" s="16" t="s">
        <v>858</v>
      </c>
      <c r="F995" s="17" t="str">
        <f>VLOOKUP(Main_Presentation[[#This Row],[LC Number]],Main_Issuance[],5,0)</f>
        <v>Alinma</v>
      </c>
      <c r="G995" s="17" t="str">
        <f>VLOOKUP(Main_Presentation[[#This Row],[LC Number]],Main_Issuance[],6,0)</f>
        <v>KSP</v>
      </c>
      <c r="H995" s="17" t="str">
        <f>VLOOKUP(Main_Presentation[[#This Row],[LC Number]],Main_Issuance[],17,0)</f>
        <v>Credit</v>
      </c>
      <c r="I995" s="17" t="str">
        <f>VLOOKUP(Main_Presentation[[#This Row],[LC Number]],Main_Issuance[],7,0)</f>
        <v>Energy International Controls</v>
      </c>
      <c r="J995" s="17" t="str">
        <f>VLOOKUP(Main_Presentation[[#This Row],[LC Number]],Main_Issuance[],8,0)</f>
        <v>FIRST FIX</v>
      </c>
      <c r="K995" s="17" t="str">
        <f>VLOOKUP(Main_Presentation[[#This Row],[LC Number]],Main_Issuance[],9,0)</f>
        <v>KSP</v>
      </c>
      <c r="L995" s="17">
        <f>VLOOKUP(Main_Presentation[[#This Row],[LC Number]],Main_Issuance[],10,0)</f>
        <v>1020055</v>
      </c>
      <c r="M995" s="17" t="str">
        <f>VLOOKUP(Main_Presentation[[#This Row],[LC Number]],Main_Issuance[],11,0)</f>
        <v>SAR</v>
      </c>
      <c r="N995" s="84">
        <f>VLOOKUP(Main_Presentation[[#This Row],[LC Number]],Main_Issuance[],12,0)</f>
        <v>249901.5</v>
      </c>
      <c r="O995" s="16" t="s">
        <v>20</v>
      </c>
      <c r="P995" s="16" t="s">
        <v>857</v>
      </c>
      <c r="Q995" s="131">
        <v>249901.5</v>
      </c>
      <c r="R995" s="18">
        <v>1</v>
      </c>
      <c r="S995" s="18">
        <f>Main_Presentation[[#This Row],[Invoice Amt (FCY)]]*Main_Presentation[[#This Row],[Rate]]</f>
        <v>249901.5</v>
      </c>
      <c r="T995" s="15">
        <v>45974</v>
      </c>
      <c r="U995" s="26" t="str">
        <f>VLOOKUP(Main_Presentation[[#This Row],[LC Number]],Main_Issuance[],18,0)</f>
        <v>120 Days from Invoice Date</v>
      </c>
      <c r="V995" s="17" t="s">
        <v>613</v>
      </c>
      <c r="W995" s="22" t="s">
        <v>378</v>
      </c>
      <c r="X995" s="16"/>
      <c r="Y995" s="234" t="str">
        <f>TRIM(LEFT(Main_Presentation[[#This Row],[Payment Terms]],3))</f>
        <v>120</v>
      </c>
      <c r="Z995" s="16"/>
      <c r="AA995" s="316" cm="1">
        <f t="array" ref="AA995">Settlement(Main_Presentation[[#This Row],[Bank]],Main_Presentation[[#This Row],[ Invoice Amt (SAR)]],Main_Presentation[[#This Row],[Date Recd]],Main_Presentation[[#This Row],[Due Date]],Main_Presentation[[#This Row],[Days]])</f>
        <v>1437.5</v>
      </c>
      <c r="AB995" s="16"/>
    </row>
    <row r="996" spans="1:28" ht="15.75" hidden="1" x14ac:dyDescent="0.25">
      <c r="A996" s="20" t="s">
        <v>1402</v>
      </c>
      <c r="B996" s="15">
        <v>45875</v>
      </c>
      <c r="C996" s="26">
        <v>1</v>
      </c>
      <c r="D996" s="55" t="str">
        <f>VLOOKUP(Main_Presentation[[#This Row],[LC Number]],Main_Issuance[],3,0)</f>
        <v>Hassan Taleb</v>
      </c>
      <c r="E996" s="16" t="s">
        <v>856</v>
      </c>
      <c r="F996" s="17" t="str">
        <f>VLOOKUP(Main_Presentation[[#This Row],[LC Number]],Main_Issuance[],5,0)</f>
        <v>Alinma</v>
      </c>
      <c r="G996" s="17" t="str">
        <f>VLOOKUP(Main_Presentation[[#This Row],[LC Number]],Main_Issuance[],6,0)</f>
        <v>KSP</v>
      </c>
      <c r="H996" s="17" t="str">
        <f>VLOOKUP(Main_Presentation[[#This Row],[LC Number]],Main_Issuance[],17,0)</f>
        <v>Credit</v>
      </c>
      <c r="I996" s="17" t="str">
        <f>VLOOKUP(Main_Presentation[[#This Row],[LC Number]],Main_Issuance[],7,0)</f>
        <v>NAJM AL FALAK TRADING CO.</v>
      </c>
      <c r="J996" s="17" t="str">
        <f>VLOOKUP(Main_Presentation[[#This Row],[LC Number]],Main_Issuance[],8,0)</f>
        <v>FIRST FIX</v>
      </c>
      <c r="K996" s="17" t="str">
        <f>VLOOKUP(Main_Presentation[[#This Row],[LC Number]],Main_Issuance[],9,0)</f>
        <v>KSP</v>
      </c>
      <c r="L996" s="17">
        <f>VLOOKUP(Main_Presentation[[#This Row],[LC Number]],Main_Issuance[],10,0)</f>
        <v>1020055</v>
      </c>
      <c r="M996" s="17" t="str">
        <f>VLOOKUP(Main_Presentation[[#This Row],[LC Number]],Main_Issuance[],11,0)</f>
        <v>SAR</v>
      </c>
      <c r="N996" s="84">
        <f>VLOOKUP(Main_Presentation[[#This Row],[LC Number]],Main_Issuance[],12,0)</f>
        <v>250000</v>
      </c>
      <c r="O996" s="16" t="s">
        <v>20</v>
      </c>
      <c r="P996" s="16" t="s">
        <v>857</v>
      </c>
      <c r="Q996" s="131">
        <v>162607.04000000001</v>
      </c>
      <c r="R996" s="18">
        <v>1</v>
      </c>
      <c r="S996" s="18">
        <f>Main_Presentation[[#This Row],[Invoice Amt (FCY)]]*Main_Presentation[[#This Row],[Rate]]</f>
        <v>162607.04000000001</v>
      </c>
      <c r="T996" s="15">
        <v>45974</v>
      </c>
      <c r="U996" s="26" t="str">
        <f>VLOOKUP(Main_Presentation[[#This Row],[LC Number]],Main_Issuance[],18,0)</f>
        <v>120 Days from Appl. Representative Sign</v>
      </c>
      <c r="V996" s="17" t="s">
        <v>613</v>
      </c>
      <c r="W996" s="22" t="s">
        <v>378</v>
      </c>
      <c r="X996" s="16"/>
      <c r="Y996" s="234" t="str">
        <f>TRIM(LEFT(Main_Presentation[[#This Row],[Payment Terms]],3))</f>
        <v>120</v>
      </c>
      <c r="Z996" s="16"/>
      <c r="AA996" s="316" cm="1">
        <f t="array" ref="AA996">Settlement(Main_Presentation[[#This Row],[Bank]],Main_Presentation[[#This Row],[ Invoice Amt (SAR)]],Main_Presentation[[#This Row],[Date Recd]],Main_Presentation[[#This Row],[Due Date]],Main_Presentation[[#This Row],[Days]])</f>
        <v>1437.5</v>
      </c>
      <c r="AB996" s="16"/>
    </row>
    <row r="997" spans="1:28" ht="15.75" hidden="1" x14ac:dyDescent="0.25">
      <c r="A997" s="20" t="s">
        <v>1432</v>
      </c>
      <c r="B997" s="15">
        <v>45866</v>
      </c>
      <c r="C997" s="26">
        <v>1</v>
      </c>
      <c r="D997" s="55" t="str">
        <f>VLOOKUP(Main_Presentation[[#This Row],[LC Number]],Main_Issuance[],3,0)</f>
        <v>Hassan Taleb</v>
      </c>
      <c r="E997" s="16" t="s">
        <v>856</v>
      </c>
      <c r="F997" s="17" t="str">
        <f>VLOOKUP(Main_Presentation[[#This Row],[LC Number]],Main_Issuance[],5,0)</f>
        <v>SAB</v>
      </c>
      <c r="G997" s="17" t="str">
        <f>VLOOKUP(Main_Presentation[[#This Row],[LC Number]],Main_Issuance[],6,0)</f>
        <v>MP1</v>
      </c>
      <c r="H997" s="17" t="str">
        <f>VLOOKUP(Main_Presentation[[#This Row],[LC Number]],Main_Issuance[],17,0)</f>
        <v>Credit</v>
      </c>
      <c r="I997" s="17" t="str">
        <f>VLOOKUP(Main_Presentation[[#This Row],[LC Number]],Main_Issuance[],7,0)</f>
        <v>Arabian International Company For Contracting</v>
      </c>
      <c r="J997" s="17" t="str">
        <f>VLOOKUP(Main_Presentation[[#This Row],[LC Number]],Main_Issuance[],8,0)</f>
        <v>FIRST FIX</v>
      </c>
      <c r="K997" s="17" t="str">
        <f>VLOOKUP(Main_Presentation[[#This Row],[LC Number]],Main_Issuance[],9,0)</f>
        <v>MP1</v>
      </c>
      <c r="L997" s="17">
        <f>VLOOKUP(Main_Presentation[[#This Row],[LC Number]],Main_Issuance[],10,0)</f>
        <v>1020088</v>
      </c>
      <c r="M997" s="17" t="str">
        <f>VLOOKUP(Main_Presentation[[#This Row],[LC Number]],Main_Issuance[],11,0)</f>
        <v>SAR</v>
      </c>
      <c r="N997" s="84">
        <f>VLOOKUP(Main_Presentation[[#This Row],[LC Number]],Main_Issuance[],12,0)</f>
        <v>300000</v>
      </c>
      <c r="O997" s="16" t="s">
        <v>20</v>
      </c>
      <c r="P997" s="16" t="s">
        <v>857</v>
      </c>
      <c r="Q997" s="131">
        <v>300000</v>
      </c>
      <c r="R997" s="18">
        <v>1</v>
      </c>
      <c r="S997" s="18">
        <f>Main_Presentation[[#This Row],[Invoice Amt (FCY)]]*Main_Presentation[[#This Row],[Rate]]</f>
        <v>300000</v>
      </c>
      <c r="T997" s="15">
        <v>45960</v>
      </c>
      <c r="U997" s="26" t="str">
        <f>VLOOKUP(Main_Presentation[[#This Row],[LC Number]],Main_Issuance[],18,0)</f>
        <v>120 Days from Invoice Date</v>
      </c>
      <c r="V997" s="17" t="s">
        <v>710</v>
      </c>
      <c r="W997" s="22" t="s">
        <v>857</v>
      </c>
      <c r="X997" s="16"/>
      <c r="Y997" s="234" t="str">
        <f>TRIM(LEFT(Main_Presentation[[#This Row],[Payment Terms]],3))</f>
        <v>120</v>
      </c>
      <c r="Z997" s="16"/>
      <c r="AA997" s="316" cm="1">
        <f t="array" ref="AA997">Settlement(Main_Presentation[[#This Row],[Bank]],Main_Presentation[[#This Row],[ Invoice Amt (SAR)]],Main_Presentation[[#This Row],[Date Recd]],Main_Presentation[[#This Row],[Due Date]],Main_Presentation[[#This Row],[Days]])</f>
        <v>1293.75</v>
      </c>
      <c r="AB997" s="16"/>
    </row>
    <row r="998" spans="1:28" ht="15.75" hidden="1" x14ac:dyDescent="0.25">
      <c r="A998" s="20" t="s">
        <v>1336</v>
      </c>
      <c r="B998" s="15">
        <v>45859</v>
      </c>
      <c r="C998" s="26">
        <v>1</v>
      </c>
      <c r="D998" s="55" t="str">
        <f>VLOOKUP(Main_Presentation[[#This Row],[LC Number]],Main_Issuance[],3,0)</f>
        <v>Rabih Makhoul</v>
      </c>
      <c r="E998" s="16" t="s">
        <v>856</v>
      </c>
      <c r="F998" s="17" t="str">
        <f>VLOOKUP(Main_Presentation[[#This Row],[LC Number]],Main_Issuance[],5,0)</f>
        <v>SNB</v>
      </c>
      <c r="G998" s="17" t="str">
        <f>VLOOKUP(Main_Presentation[[#This Row],[LC Number]],Main_Issuance[],6,0)</f>
        <v>Opera House</v>
      </c>
      <c r="H998" s="17" t="str">
        <f>VLOOKUP(Main_Presentation[[#This Row],[LC Number]],Main_Issuance[],17,0)</f>
        <v>Credit</v>
      </c>
      <c r="I998" s="17" t="str">
        <f>VLOOKUP(Main_Presentation[[#This Row],[LC Number]],Main_Issuance[],7,0)</f>
        <v>Soliman Saleh Al Mohileb And Sons Holding Company (Closed Joint)</v>
      </c>
      <c r="J998" s="17" t="str">
        <f>VLOOKUP(Main_Presentation[[#This Row],[LC Number]],Main_Issuance[],8,0)</f>
        <v>MBL</v>
      </c>
      <c r="K998" s="17" t="str">
        <f>VLOOKUP(Main_Presentation[[#This Row],[LC Number]],Main_Issuance[],9,0)</f>
        <v>Neom - The Line</v>
      </c>
      <c r="L998" s="17">
        <f>VLOOKUP(Main_Presentation[[#This Row],[LC Number]],Main_Issuance[],10,0)</f>
        <v>1020098</v>
      </c>
      <c r="M998" s="17" t="str">
        <f>VLOOKUP(Main_Presentation[[#This Row],[LC Number]],Main_Issuance[],11,0)</f>
        <v>SAR</v>
      </c>
      <c r="N998" s="84">
        <f>VLOOKUP(Main_Presentation[[#This Row],[LC Number]],Main_Issuance[],12,0)</f>
        <v>23391922.5</v>
      </c>
      <c r="O998" s="16" t="s">
        <v>20</v>
      </c>
      <c r="P998" s="16" t="s">
        <v>378</v>
      </c>
      <c r="Q998" s="131">
        <v>4623922.5</v>
      </c>
      <c r="R998" s="18">
        <v>1</v>
      </c>
      <c r="S998" s="18">
        <f>Main_Presentation[[#This Row],[Invoice Amt (FCY)]]*Main_Presentation[[#This Row],[Rate]]</f>
        <v>4623922.5</v>
      </c>
      <c r="T998" s="15">
        <v>45859</v>
      </c>
      <c r="U998" s="26" t="str">
        <f>VLOOKUP(Main_Presentation[[#This Row],[LC Number]],Main_Issuance[],18,0)</f>
        <v>30 Days from Invoice Date</v>
      </c>
      <c r="V998" s="17" t="s">
        <v>1590</v>
      </c>
      <c r="W998" s="22" t="s">
        <v>378</v>
      </c>
      <c r="X998" s="16"/>
      <c r="Y998" s="234" t="str">
        <f>TRIM(LEFT(Main_Presentation[[#This Row],[Payment Terms]],3))</f>
        <v>30</v>
      </c>
      <c r="Z998" s="16"/>
      <c r="AA998" s="316" cm="1">
        <f t="array" ref="AA998">Settlement(Main_Presentation[[#This Row],[Bank]],Main_Presentation[[#This Row],[ Invoice Amt (SAR)]],Main_Presentation[[#This Row],[Date Recd]],Main_Presentation[[#This Row],[Due Date]],Main_Presentation[[#This Row],[Days]])</f>
        <v>655.5</v>
      </c>
      <c r="AB998" s="16"/>
    </row>
    <row r="999" spans="1:28" ht="15.75" hidden="1" x14ac:dyDescent="0.25">
      <c r="A999" s="20" t="s">
        <v>1336</v>
      </c>
      <c r="B999" s="15">
        <v>45859</v>
      </c>
      <c r="C999" s="26" t="s">
        <v>1591</v>
      </c>
      <c r="D999" s="55" t="str">
        <f>VLOOKUP(Main_Presentation[[#This Row],[LC Number]],Main_Issuance[],3,0)</f>
        <v>Rabih Makhoul</v>
      </c>
      <c r="E999" s="16" t="s">
        <v>856</v>
      </c>
      <c r="F999" s="17" t="str">
        <f>VLOOKUP(Main_Presentation[[#This Row],[LC Number]],Main_Issuance[],5,0)</f>
        <v>SNB</v>
      </c>
      <c r="G999" s="17" t="str">
        <f>VLOOKUP(Main_Presentation[[#This Row],[LC Number]],Main_Issuance[],6,0)</f>
        <v>Opera House</v>
      </c>
      <c r="H999" s="17" t="str">
        <f>VLOOKUP(Main_Presentation[[#This Row],[LC Number]],Main_Issuance[],17,0)</f>
        <v>Credit</v>
      </c>
      <c r="I999" s="17" t="str">
        <f>VLOOKUP(Main_Presentation[[#This Row],[LC Number]],Main_Issuance[],7,0)</f>
        <v>Soliman Saleh Al Mohileb And Sons Holding Company (Closed Joint)</v>
      </c>
      <c r="J999" s="17" t="str">
        <f>VLOOKUP(Main_Presentation[[#This Row],[LC Number]],Main_Issuance[],8,0)</f>
        <v>MBL</v>
      </c>
      <c r="K999" s="17" t="str">
        <f>VLOOKUP(Main_Presentation[[#This Row],[LC Number]],Main_Issuance[],9,0)</f>
        <v>Neom - The Line</v>
      </c>
      <c r="L999" s="17">
        <f>VLOOKUP(Main_Presentation[[#This Row],[LC Number]],Main_Issuance[],10,0)</f>
        <v>1020098</v>
      </c>
      <c r="M999" s="17" t="str">
        <f>VLOOKUP(Main_Presentation[[#This Row],[LC Number]],Main_Issuance[],11,0)</f>
        <v>SAR</v>
      </c>
      <c r="N999" s="84">
        <f>VLOOKUP(Main_Presentation[[#This Row],[LC Number]],Main_Issuance[],12,0)</f>
        <v>23391922.5</v>
      </c>
      <c r="O999" s="16" t="s">
        <v>20</v>
      </c>
      <c r="P999" s="16" t="s">
        <v>378</v>
      </c>
      <c r="Q999" s="131">
        <f>18768000-5391922.5</f>
        <v>13376077.5</v>
      </c>
      <c r="R999" s="18">
        <v>1</v>
      </c>
      <c r="S999" s="18">
        <f>Main_Presentation[[#This Row],[Invoice Amt (FCY)]]*Main_Presentation[[#This Row],[Rate]]</f>
        <v>13376077.5</v>
      </c>
      <c r="T999" s="15">
        <v>45859</v>
      </c>
      <c r="U999" s="26" t="str">
        <f>VLOOKUP(Main_Presentation[[#This Row],[LC Number]],Main_Issuance[],18,0)</f>
        <v>30 Days from Invoice Date</v>
      </c>
      <c r="V999" s="17" t="s">
        <v>1590</v>
      </c>
      <c r="W999" s="22" t="s">
        <v>378</v>
      </c>
      <c r="X999" s="16"/>
      <c r="Y999" s="234" t="str">
        <f>TRIM(LEFT(Main_Presentation[[#This Row],[Payment Terms]],3))</f>
        <v>30</v>
      </c>
      <c r="Z999" s="16"/>
      <c r="AA999" s="316" cm="1">
        <f t="array" ref="AA999">Settlement(Main_Presentation[[#This Row],[Bank]],Main_Presentation[[#This Row],[ Invoice Amt (SAR)]],Main_Presentation[[#This Row],[Date Recd]],Main_Presentation[[#This Row],[Due Date]],Main_Presentation[[#This Row],[Days]])</f>
        <v>655.5</v>
      </c>
      <c r="AB999" s="16"/>
    </row>
    <row r="1000" spans="1:28" ht="15.75" hidden="1" x14ac:dyDescent="0.25">
      <c r="A1000" s="20" t="s">
        <v>1511</v>
      </c>
      <c r="B1000" s="15">
        <v>45889</v>
      </c>
      <c r="C1000" s="26">
        <v>1</v>
      </c>
      <c r="D1000" s="55" t="str">
        <f>VLOOKUP(Main_Presentation[[#This Row],[LC Number]],Main_Issuance[],3,0)</f>
        <v>Rabih Makhoul</v>
      </c>
      <c r="E1000" s="16" t="s">
        <v>856</v>
      </c>
      <c r="F1000" s="17" t="str">
        <f>VLOOKUP(Main_Presentation[[#This Row],[LC Number]],Main_Issuance[],5,0)</f>
        <v>Jazira</v>
      </c>
      <c r="G1000" s="17" t="str">
        <f>VLOOKUP(Main_Presentation[[#This Row],[LC Number]],Main_Issuance[],6,0)</f>
        <v>RCRC</v>
      </c>
      <c r="H1000" s="17" t="str">
        <f>VLOOKUP(Main_Presentation[[#This Row],[LC Number]],Main_Issuance[],17,0)</f>
        <v>Credit</v>
      </c>
      <c r="I1000" s="17" t="str">
        <f>VLOOKUP(Main_Presentation[[#This Row],[LC Number]],Main_Issuance[],7,0)</f>
        <v>Soliman Saleh Al Mohileb And Sons Holding Company (Closed Joint)</v>
      </c>
      <c r="J1000" s="17" t="str">
        <f>VLOOKUP(Main_Presentation[[#This Row],[LC Number]],Main_Issuance[],8,0)</f>
        <v>MBL</v>
      </c>
      <c r="K1000" s="17" t="str">
        <f>VLOOKUP(Main_Presentation[[#This Row],[LC Number]],Main_Issuance[],9,0)</f>
        <v>Neom - The Line</v>
      </c>
      <c r="L1000" s="17">
        <f>VLOOKUP(Main_Presentation[[#This Row],[LC Number]],Main_Issuance[],10,0)</f>
        <v>1020098</v>
      </c>
      <c r="M1000" s="17" t="str">
        <f>VLOOKUP(Main_Presentation[[#This Row],[LC Number]],Main_Issuance[],11,0)</f>
        <v>SAR</v>
      </c>
      <c r="N1000" s="84">
        <f>VLOOKUP(Main_Presentation[[#This Row],[LC Number]],Main_Issuance[],12,0)</f>
        <v>14000000</v>
      </c>
      <c r="O1000" s="16" t="s">
        <v>20</v>
      </c>
      <c r="P1000" s="16" t="s">
        <v>857</v>
      </c>
      <c r="Q1000" s="131">
        <v>14000000</v>
      </c>
      <c r="R1000" s="18">
        <v>1</v>
      </c>
      <c r="S1000" s="18">
        <f>Main_Presentation[[#This Row],[Invoice Amt (FCY)]]*Main_Presentation[[#This Row],[Rate]]</f>
        <v>14000000</v>
      </c>
      <c r="T1000" s="15">
        <v>45893</v>
      </c>
      <c r="U1000" s="26" t="str">
        <f>VLOOKUP(Main_Presentation[[#This Row],[LC Number]],Main_Issuance[],18,0)</f>
        <v>30 Days from Invoice Date</v>
      </c>
      <c r="V1000" s="17" t="s">
        <v>1156</v>
      </c>
      <c r="W1000" s="22" t="s">
        <v>378</v>
      </c>
      <c r="X1000" s="16"/>
      <c r="Y1000" s="234" t="str">
        <f>TRIM(LEFT(Main_Presentation[[#This Row],[Payment Terms]],3))</f>
        <v>30</v>
      </c>
      <c r="Z1000" s="16"/>
      <c r="AA1000" s="316" cm="1">
        <f t="array" ref="AA1000">Settlement(Main_Presentation[[#This Row],[Bank]],Main_Presentation[[#This Row],[ Invoice Amt (SAR)]],Main_Presentation[[#This Row],[Date Recd]],Main_Presentation[[#This Row],[Due Date]],Main_Presentation[[#This Row],[Days]])</f>
        <v>7052.95</v>
      </c>
      <c r="AB1000" s="16"/>
    </row>
    <row r="1001" spans="1:28" ht="15.75" hidden="1" x14ac:dyDescent="0.25">
      <c r="A1001" s="20" t="s">
        <v>820</v>
      </c>
      <c r="B1001" s="15">
        <v>45881</v>
      </c>
      <c r="C1001" s="26">
        <v>1</v>
      </c>
      <c r="D1001" s="55" t="str">
        <f>VLOOKUP(Main_Presentation[[#This Row],[LC Number]],Main_Issuance[],3,0)</f>
        <v>Hassan Taleb</v>
      </c>
      <c r="E1001" s="16" t="s">
        <v>858</v>
      </c>
      <c r="F1001" s="17" t="str">
        <f>VLOOKUP(Main_Presentation[[#This Row],[LC Number]],Main_Issuance[],5,0)</f>
        <v>Alinma</v>
      </c>
      <c r="G1001" s="17" t="str">
        <f>VLOOKUP(Main_Presentation[[#This Row],[LC Number]],Main_Issuance[],6,0)</f>
        <v>KSP</v>
      </c>
      <c r="H1001" s="17" t="str">
        <f>VLOOKUP(Main_Presentation[[#This Row],[LC Number]],Main_Issuance[],17,0)</f>
        <v>Credit</v>
      </c>
      <c r="I1001" s="17" t="str">
        <f>VLOOKUP(Main_Presentation[[#This Row],[LC Number]],Main_Issuance[],7,0)</f>
        <v>Masdar Technical Supplies Co</v>
      </c>
      <c r="J1001" s="17" t="str">
        <f>VLOOKUP(Main_Presentation[[#This Row],[LC Number]],Main_Issuance[],8,0)</f>
        <v>FIRST FIX</v>
      </c>
      <c r="K1001" s="17" t="str">
        <f>VLOOKUP(Main_Presentation[[#This Row],[LC Number]],Main_Issuance[],9,0)</f>
        <v>KSP</v>
      </c>
      <c r="L1001" s="17">
        <f>VLOOKUP(Main_Presentation[[#This Row],[LC Number]],Main_Issuance[],10,0)</f>
        <v>1020055</v>
      </c>
      <c r="M1001" s="17" t="str">
        <f>VLOOKUP(Main_Presentation[[#This Row],[LC Number]],Main_Issuance[],11,0)</f>
        <v>SAR</v>
      </c>
      <c r="N1001" s="84">
        <f>VLOOKUP(Main_Presentation[[#This Row],[LC Number]],Main_Issuance[],12,0)</f>
        <v>413173.15</v>
      </c>
      <c r="O1001" s="16" t="s">
        <v>20</v>
      </c>
      <c r="P1001" s="16" t="s">
        <v>857</v>
      </c>
      <c r="Q1001" s="131">
        <v>413173.15</v>
      </c>
      <c r="R1001" s="18">
        <v>1</v>
      </c>
      <c r="S1001" s="18">
        <f>Main_Presentation[[#This Row],[Invoice Amt (FCY)]]*Main_Presentation[[#This Row],[Rate]]</f>
        <v>413173.15</v>
      </c>
      <c r="T1001" s="15">
        <v>45944</v>
      </c>
      <c r="U1001" s="26" t="str">
        <f>VLOOKUP(Main_Presentation[[#This Row],[LC Number]],Main_Issuance[],18,0)</f>
        <v>90 Days from Invoice Date</v>
      </c>
      <c r="V1001" s="17" t="s">
        <v>22</v>
      </c>
      <c r="W1001" s="22" t="s">
        <v>857</v>
      </c>
      <c r="X1001" s="16"/>
      <c r="Y1001" s="234" t="str">
        <f>TRIM(LEFT(Main_Presentation[[#This Row],[Payment Terms]],3))</f>
        <v>90</v>
      </c>
      <c r="Z1001" s="16"/>
      <c r="AA1001" s="316" cm="1">
        <f t="array" ref="AA1001">Settlement(Main_Presentation[[#This Row],[Bank]],Main_Presentation[[#This Row],[ Invoice Amt (SAR)]],Main_Presentation[[#This Row],[Date Recd]],Main_Presentation[[#This Row],[Due Date]],Main_Presentation[[#This Row],[Days]])</f>
        <v>1437.5</v>
      </c>
      <c r="AB1001" s="16"/>
    </row>
    <row r="1002" spans="1:28" ht="15.75" hidden="1" x14ac:dyDescent="0.25">
      <c r="A1002" s="20" t="s">
        <v>632</v>
      </c>
      <c r="B1002" s="15">
        <v>45893</v>
      </c>
      <c r="C1002" s="26">
        <v>1</v>
      </c>
      <c r="D1002" s="55" t="str">
        <f>VLOOKUP(Main_Presentation[[#This Row],[LC Number]],Main_Issuance[],3,0)</f>
        <v>Hassan Taleb</v>
      </c>
      <c r="E1002" s="16" t="s">
        <v>858</v>
      </c>
      <c r="F1002" s="17" t="str">
        <f>VLOOKUP(Main_Presentation[[#This Row],[LC Number]],Main_Issuance[],5,0)</f>
        <v>SNB</v>
      </c>
      <c r="G1002" s="17" t="str">
        <f>VLOOKUP(Main_Presentation[[#This Row],[LC Number]],Main_Issuance[],6,0)</f>
        <v>Opera House</v>
      </c>
      <c r="H1002" s="17" t="str">
        <f>VLOOKUP(Main_Presentation[[#This Row],[LC Number]],Main_Issuance[],17,0)</f>
        <v>Credit</v>
      </c>
      <c r="I1002" s="17" t="str">
        <f>VLOOKUP(Main_Presentation[[#This Row],[LC Number]],Main_Issuance[],7,0)</f>
        <v>Alfa Laval Arabia for Maintenance Company</v>
      </c>
      <c r="J1002" s="17" t="str">
        <f>VLOOKUP(Main_Presentation[[#This Row],[LC Number]],Main_Issuance[],8,0)</f>
        <v>FIRST FIX</v>
      </c>
      <c r="K1002" s="17" t="str">
        <f>VLOOKUP(Main_Presentation[[#This Row],[LC Number]],Main_Issuance[],9,0)</f>
        <v>KSP</v>
      </c>
      <c r="L1002" s="17">
        <f>VLOOKUP(Main_Presentation[[#This Row],[LC Number]],Main_Issuance[],10,0)</f>
        <v>1020055</v>
      </c>
      <c r="M1002" s="17" t="str">
        <f>VLOOKUP(Main_Presentation[[#This Row],[LC Number]],Main_Issuance[],11,0)</f>
        <v>SAR</v>
      </c>
      <c r="N1002" s="84">
        <f>VLOOKUP(Main_Presentation[[#This Row],[LC Number]],Main_Issuance[],12,0)</f>
        <v>712597.7</v>
      </c>
      <c r="O1002" s="16" t="s">
        <v>20</v>
      </c>
      <c r="P1002" s="16" t="s">
        <v>378</v>
      </c>
      <c r="Q1002" s="131">
        <v>712597.7</v>
      </c>
      <c r="R1002" s="18">
        <v>1</v>
      </c>
      <c r="S1002" s="18">
        <f>Main_Presentation[[#This Row],[Invoice Amt (FCY)]]*Main_Presentation[[#This Row],[Rate]]</f>
        <v>712597.7</v>
      </c>
      <c r="T1002" s="15">
        <v>45949</v>
      </c>
      <c r="U1002" s="26" t="str">
        <f>VLOOKUP(Main_Presentation[[#This Row],[LC Number]],Main_Issuance[],18,0)</f>
        <v>90 Days from Invoice Date</v>
      </c>
      <c r="V1002" s="17" t="s">
        <v>22</v>
      </c>
      <c r="W1002" s="22" t="s">
        <v>857</v>
      </c>
      <c r="X1002" s="16"/>
      <c r="Y1002" s="234" t="str">
        <f>TRIM(LEFT(Main_Presentation[[#This Row],[Payment Terms]],3))</f>
        <v>90</v>
      </c>
      <c r="Z1002" s="16"/>
      <c r="AA1002" s="316" cm="1">
        <f t="array" ref="AA1002">Settlement(Main_Presentation[[#This Row],[Bank]],Main_Presentation[[#This Row],[ Invoice Amt (SAR)]],Main_Presentation[[#This Row],[Date Recd]],Main_Presentation[[#This Row],[Due Date]],Main_Presentation[[#This Row],[Days]])</f>
        <v>3454.6</v>
      </c>
      <c r="AB1002" s="16"/>
    </row>
    <row r="1003" spans="1:28" ht="15.75" hidden="1" x14ac:dyDescent="0.25">
      <c r="A1003" s="20" t="s">
        <v>770</v>
      </c>
      <c r="B1003" s="15">
        <v>45866</v>
      </c>
      <c r="C1003" s="26">
        <v>1</v>
      </c>
      <c r="D1003" s="55" t="str">
        <f>VLOOKUP(Main_Presentation[[#This Row],[LC Number]],Main_Issuance[],3,0)</f>
        <v>Rabih Makhoul</v>
      </c>
      <c r="E1003" s="16" t="s">
        <v>856</v>
      </c>
      <c r="F1003" s="17" t="str">
        <f>VLOOKUP(Main_Presentation[[#This Row],[LC Number]],Main_Issuance[],5,0)</f>
        <v>Alinma</v>
      </c>
      <c r="G1003" s="17" t="str">
        <f>VLOOKUP(Main_Presentation[[#This Row],[LC Number]],Main_Issuance[],6,0)</f>
        <v>KSP</v>
      </c>
      <c r="H1003" s="17" t="str">
        <f>VLOOKUP(Main_Presentation[[#This Row],[LC Number]],Main_Issuance[],17,0)</f>
        <v>Credit</v>
      </c>
      <c r="I1003" s="17" t="str">
        <f>VLOOKUP(Main_Presentation[[#This Row],[LC Number]],Main_Issuance[],7,0)</f>
        <v>ALFANAR ELECTRICAL SYSTEMS.</v>
      </c>
      <c r="J1003" s="17" t="str">
        <f>VLOOKUP(Main_Presentation[[#This Row],[LC Number]],Main_Issuance[],8,0)</f>
        <v>FIRST FIX</v>
      </c>
      <c r="K1003" s="17" t="str">
        <f>VLOOKUP(Main_Presentation[[#This Row],[LC Number]],Main_Issuance[],9,0)</f>
        <v>JCD SPMI</v>
      </c>
      <c r="L1003" s="17">
        <f>VLOOKUP(Main_Presentation[[#This Row],[LC Number]],Main_Issuance[],10,0)</f>
        <v>1020100</v>
      </c>
      <c r="M1003" s="17" t="str">
        <f>VLOOKUP(Main_Presentation[[#This Row],[LC Number]],Main_Issuance[],11,0)</f>
        <v>SAR</v>
      </c>
      <c r="N1003" s="84">
        <f>VLOOKUP(Main_Presentation[[#This Row],[LC Number]],Main_Issuance[],12,0)</f>
        <v>400000</v>
      </c>
      <c r="O1003" s="16" t="s">
        <v>20</v>
      </c>
      <c r="P1003" s="16" t="s">
        <v>857</v>
      </c>
      <c r="Q1003" s="131">
        <v>400000</v>
      </c>
      <c r="R1003" s="18">
        <v>1</v>
      </c>
      <c r="S1003" s="18">
        <f>Main_Presentation[[#This Row],[Invoice Amt (FCY)]]*Main_Presentation[[#This Row],[Rate]]</f>
        <v>400000</v>
      </c>
      <c r="T1003" s="15">
        <v>45944</v>
      </c>
      <c r="U1003" s="26" t="str">
        <f>VLOOKUP(Main_Presentation[[#This Row],[LC Number]],Main_Issuance[],18,0)</f>
        <v>90 Days from Invoice Date</v>
      </c>
      <c r="V1003" s="17" t="s">
        <v>304</v>
      </c>
      <c r="W1003" s="22" t="s">
        <v>378</v>
      </c>
      <c r="X1003" s="16"/>
      <c r="Y1003" s="234" t="str">
        <f>TRIM(LEFT(Main_Presentation[[#This Row],[Payment Terms]],3))</f>
        <v>90</v>
      </c>
      <c r="Z1003" s="16"/>
      <c r="AA1003" s="316" cm="1">
        <f t="array" ref="AA1003">Settlement(Main_Presentation[[#This Row],[Bank]],Main_Presentation[[#This Row],[ Invoice Amt (SAR)]],Main_Presentation[[#This Row],[Date Recd]],Main_Presentation[[#This Row],[Due Date]],Main_Presentation[[#This Row],[Days]])</f>
        <v>1437.5</v>
      </c>
      <c r="AB1003" s="16"/>
    </row>
    <row r="1004" spans="1:28" ht="15.75" hidden="1" x14ac:dyDescent="0.25">
      <c r="A1004" s="20" t="s">
        <v>1401</v>
      </c>
      <c r="B1004" s="15">
        <v>45866</v>
      </c>
      <c r="C1004" s="26">
        <v>2</v>
      </c>
      <c r="D1004" s="55" t="str">
        <f>VLOOKUP(Main_Presentation[[#This Row],[LC Number]],Main_Issuance[],3,0)</f>
        <v>Hassan Taleb</v>
      </c>
      <c r="E1004" s="16" t="s">
        <v>856</v>
      </c>
      <c r="F1004" s="17" t="str">
        <f>VLOOKUP(Main_Presentation[[#This Row],[LC Number]],Main_Issuance[],5,0)</f>
        <v>Alinma</v>
      </c>
      <c r="G1004" s="17" t="str">
        <f>VLOOKUP(Main_Presentation[[#This Row],[LC Number]],Main_Issuance[],6,0)</f>
        <v>KSP</v>
      </c>
      <c r="H1004" s="17" t="str">
        <f>VLOOKUP(Main_Presentation[[#This Row],[LC Number]],Main_Issuance[],17,0)</f>
        <v>Credit</v>
      </c>
      <c r="I1004" s="17" t="str">
        <f>VLOOKUP(Main_Presentation[[#This Row],[LC Number]],Main_Issuance[],7,0)</f>
        <v>ALFANAR ELECTRICAL SYSTEMS</v>
      </c>
      <c r="J1004" s="17" t="str">
        <f>VLOOKUP(Main_Presentation[[#This Row],[LC Number]],Main_Issuance[],8,0)</f>
        <v>FIRST FIX</v>
      </c>
      <c r="K1004" s="17" t="str">
        <f>VLOOKUP(Main_Presentation[[#This Row],[LC Number]],Main_Issuance[],9,0)</f>
        <v>KSP</v>
      </c>
      <c r="L1004" s="17">
        <f>VLOOKUP(Main_Presentation[[#This Row],[LC Number]],Main_Issuance[],10,0)</f>
        <v>1020055</v>
      </c>
      <c r="M1004" s="17" t="str">
        <f>VLOOKUP(Main_Presentation[[#This Row],[LC Number]],Main_Issuance[],11,0)</f>
        <v>SAR</v>
      </c>
      <c r="N1004" s="84">
        <f>VLOOKUP(Main_Presentation[[#This Row],[LC Number]],Main_Issuance[],12,0)</f>
        <v>450000</v>
      </c>
      <c r="O1004" s="16" t="s">
        <v>20</v>
      </c>
      <c r="P1004" s="16" t="s">
        <v>857</v>
      </c>
      <c r="Q1004" s="131">
        <v>55200</v>
      </c>
      <c r="R1004" s="18">
        <v>1</v>
      </c>
      <c r="S1004" s="18">
        <f>Main_Presentation[[#This Row],[Invoice Amt (FCY)]]*Main_Presentation[[#This Row],[Rate]]</f>
        <v>55200</v>
      </c>
      <c r="T1004" s="15">
        <v>45974</v>
      </c>
      <c r="U1004" s="26" t="str">
        <f>VLOOKUP(Main_Presentation[[#This Row],[LC Number]],Main_Issuance[],18,0)</f>
        <v>120 Days from Invoice Date</v>
      </c>
      <c r="V1004" s="17" t="s">
        <v>613</v>
      </c>
      <c r="W1004" s="22" t="s">
        <v>378</v>
      </c>
      <c r="X1004" s="16"/>
      <c r="Y1004" s="234" t="str">
        <f>TRIM(LEFT(Main_Presentation[[#This Row],[Payment Terms]],3))</f>
        <v>120</v>
      </c>
      <c r="Z1004" s="16"/>
      <c r="AA1004" s="316" cm="1">
        <f t="array" ref="AA1004">Settlement(Main_Presentation[[#This Row],[Bank]],Main_Presentation[[#This Row],[ Invoice Amt (SAR)]],Main_Presentation[[#This Row],[Date Recd]],Main_Presentation[[#This Row],[Due Date]],Main_Presentation[[#This Row],[Days]])</f>
        <v>1437.5</v>
      </c>
      <c r="AB1004" s="16"/>
    </row>
    <row r="1005" spans="1:28" ht="15.75" hidden="1" x14ac:dyDescent="0.25">
      <c r="A1005" s="20" t="s">
        <v>793</v>
      </c>
      <c r="B1005" s="15">
        <v>45869</v>
      </c>
      <c r="C1005" s="26">
        <v>1</v>
      </c>
      <c r="D1005" s="55" t="str">
        <f>VLOOKUP(Main_Presentation[[#This Row],[LC Number]],Main_Issuance[],3,0)</f>
        <v>Hassan Taleb</v>
      </c>
      <c r="E1005" s="16" t="s">
        <v>858</v>
      </c>
      <c r="F1005" s="17" t="str">
        <f>VLOOKUP(Main_Presentation[[#This Row],[LC Number]],Main_Issuance[],5,0)</f>
        <v>Alinma</v>
      </c>
      <c r="G1005" s="17" t="str">
        <f>VLOOKUP(Main_Presentation[[#This Row],[LC Number]],Main_Issuance[],6,0)</f>
        <v>KSP</v>
      </c>
      <c r="H1005" s="17" t="str">
        <f>VLOOKUP(Main_Presentation[[#This Row],[LC Number]],Main_Issuance[],17,0)</f>
        <v>Credit</v>
      </c>
      <c r="I1005" s="17" t="str">
        <f>VLOOKUP(Main_Presentation[[#This Row],[LC Number]],Main_Issuance[],7,0)</f>
        <v>ENERGY CONCEPT CO LTD</v>
      </c>
      <c r="J1005" s="17" t="str">
        <f>VLOOKUP(Main_Presentation[[#This Row],[LC Number]],Main_Issuance[],8,0)</f>
        <v>FIRST FIX</v>
      </c>
      <c r="K1005" s="17" t="str">
        <f>VLOOKUP(Main_Presentation[[#This Row],[LC Number]],Main_Issuance[],9,0)</f>
        <v>KSP</v>
      </c>
      <c r="L1005" s="17">
        <f>VLOOKUP(Main_Presentation[[#This Row],[LC Number]],Main_Issuance[],10,0)</f>
        <v>1020055</v>
      </c>
      <c r="M1005" s="17" t="str">
        <f>VLOOKUP(Main_Presentation[[#This Row],[LC Number]],Main_Issuance[],11,0)</f>
        <v>SAR</v>
      </c>
      <c r="N1005" s="84">
        <f>VLOOKUP(Main_Presentation[[#This Row],[LC Number]],Main_Issuance[],12,0)</f>
        <v>400000</v>
      </c>
      <c r="O1005" s="16" t="s">
        <v>20</v>
      </c>
      <c r="P1005" s="16" t="s">
        <v>857</v>
      </c>
      <c r="Q1005" s="131">
        <v>400000</v>
      </c>
      <c r="R1005" s="18">
        <v>1</v>
      </c>
      <c r="S1005" s="18">
        <f>Main_Presentation[[#This Row],[Invoice Amt (FCY)]]*Main_Presentation[[#This Row],[Rate]]</f>
        <v>400000</v>
      </c>
      <c r="T1005" s="15">
        <v>45974</v>
      </c>
      <c r="U1005" s="26" t="str">
        <f>VLOOKUP(Main_Presentation[[#This Row],[LC Number]],Main_Issuance[],18,0)</f>
        <v>90 Days from Invoice Date</v>
      </c>
      <c r="V1005" s="17" t="s">
        <v>613</v>
      </c>
      <c r="W1005" s="22" t="s">
        <v>378</v>
      </c>
      <c r="X1005" s="16"/>
      <c r="Y1005" s="234" t="str">
        <f>TRIM(LEFT(Main_Presentation[[#This Row],[Payment Terms]],3))</f>
        <v>90</v>
      </c>
      <c r="Z1005" s="16"/>
      <c r="AA1005" s="316" cm="1">
        <f t="array" ref="AA1005">Settlement(Main_Presentation[[#This Row],[Bank]],Main_Presentation[[#This Row],[ Invoice Amt (SAR)]],Main_Presentation[[#This Row],[Date Recd]],Main_Presentation[[#This Row],[Due Date]],Main_Presentation[[#This Row],[Days]])</f>
        <v>1437.5</v>
      </c>
      <c r="AB1005" s="16"/>
    </row>
    <row r="1006" spans="1:28" ht="15.75" hidden="1" x14ac:dyDescent="0.25">
      <c r="A1006" s="20" t="s">
        <v>1231</v>
      </c>
      <c r="B1006" s="15">
        <v>45862</v>
      </c>
      <c r="C1006" s="26">
        <v>1</v>
      </c>
      <c r="D1006" s="55" t="str">
        <f>VLOOKUP(Main_Presentation[[#This Row],[LC Number]],Main_Issuance[],3,0)</f>
        <v>Hassan Taleb</v>
      </c>
      <c r="E1006" s="16" t="s">
        <v>856</v>
      </c>
      <c r="F1006" s="17" t="str">
        <f>VLOOKUP(Main_Presentation[[#This Row],[LC Number]],Main_Issuance[],5,0)</f>
        <v>Jazira</v>
      </c>
      <c r="G1006" s="17" t="str">
        <f>VLOOKUP(Main_Presentation[[#This Row],[LC Number]],Main_Issuance[],6,0)</f>
        <v>RCRC</v>
      </c>
      <c r="H1006" s="17" t="str">
        <f>VLOOKUP(Main_Presentation[[#This Row],[LC Number]],Main_Issuance[],17,0)</f>
        <v>Credit</v>
      </c>
      <c r="I1006" s="17" t="str">
        <f>VLOOKUP(Main_Presentation[[#This Row],[LC Number]],Main_Issuance[],7,0)</f>
        <v>Branch of National Fire Fighting (NAFFCO)</v>
      </c>
      <c r="J1006" s="17" t="str">
        <f>VLOOKUP(Main_Presentation[[#This Row],[LC Number]],Main_Issuance[],8,0)</f>
        <v>FIRST FIX</v>
      </c>
      <c r="K1006" s="17" t="str">
        <f>VLOOKUP(Main_Presentation[[#This Row],[LC Number]],Main_Issuance[],9,0)</f>
        <v>RCRC</v>
      </c>
      <c r="L1006" s="17">
        <f>VLOOKUP(Main_Presentation[[#This Row],[LC Number]],Main_Issuance[],10,0)</f>
        <v>1020106</v>
      </c>
      <c r="M1006" s="17" t="str">
        <f>VLOOKUP(Main_Presentation[[#This Row],[LC Number]],Main_Issuance[],11,0)</f>
        <v>SAR</v>
      </c>
      <c r="N1006" s="84">
        <f>VLOOKUP(Main_Presentation[[#This Row],[LC Number]],Main_Issuance[],12,0)</f>
        <v>440466.43</v>
      </c>
      <c r="O1006" s="16" t="s">
        <v>20</v>
      </c>
      <c r="P1006" s="16" t="s">
        <v>857</v>
      </c>
      <c r="Q1006" s="131">
        <v>111315.33</v>
      </c>
      <c r="R1006" s="18">
        <v>1</v>
      </c>
      <c r="S1006" s="18">
        <f>Main_Presentation[[#This Row],[Invoice Amt (FCY)]]*Main_Presentation[[#This Row],[Rate]]</f>
        <v>111315.33</v>
      </c>
      <c r="T1006" s="15">
        <v>45925</v>
      </c>
      <c r="U1006" s="26" t="str">
        <f>VLOOKUP(Main_Presentation[[#This Row],[LC Number]],Main_Issuance[],18,0)</f>
        <v>90 Days from Invoice Date</v>
      </c>
      <c r="V1006" s="17" t="s">
        <v>613</v>
      </c>
      <c r="W1006" s="22" t="s">
        <v>857</v>
      </c>
      <c r="X1006" s="16"/>
      <c r="Y1006" s="234" t="str">
        <f>TRIM(LEFT(Main_Presentation[[#This Row],[Payment Terms]],3))</f>
        <v>90</v>
      </c>
      <c r="Z1006" s="16"/>
      <c r="AA1006" s="316" cm="1">
        <f t="array" ref="AA1006">Settlement(Main_Presentation[[#This Row],[Bank]],Main_Presentation[[#This Row],[ Invoice Amt (SAR)]],Main_Presentation[[#This Row],[Date Recd]],Main_Presentation[[#This Row],[Due Date]],Main_Presentation[[#This Row],[Days]])</f>
        <v>977.5</v>
      </c>
      <c r="AB1006" s="16"/>
    </row>
    <row r="1007" spans="1:28" ht="15.75" hidden="1" x14ac:dyDescent="0.25">
      <c r="A1007" s="20" t="s">
        <v>1433</v>
      </c>
      <c r="B1007" s="15">
        <v>45873</v>
      </c>
      <c r="C1007" s="26">
        <v>1</v>
      </c>
      <c r="D1007" s="55" t="str">
        <f>VLOOKUP(Main_Presentation[[#This Row],[LC Number]],Main_Issuance[],3,0)</f>
        <v>Hassan Taleb</v>
      </c>
      <c r="E1007" s="16" t="s">
        <v>858</v>
      </c>
      <c r="F1007" s="17" t="str">
        <f>VLOOKUP(Main_Presentation[[#This Row],[LC Number]],Main_Issuance[],5,0)</f>
        <v>SAB</v>
      </c>
      <c r="G1007" s="17" t="str">
        <f>VLOOKUP(Main_Presentation[[#This Row],[LC Number]],Main_Issuance[],6,0)</f>
        <v>MP1</v>
      </c>
      <c r="H1007" s="17" t="str">
        <f>VLOOKUP(Main_Presentation[[#This Row],[LC Number]],Main_Issuance[],17,0)</f>
        <v>Credit</v>
      </c>
      <c r="I1007" s="17" t="str">
        <f>VLOOKUP(Main_Presentation[[#This Row],[LC Number]],Main_Issuance[],7,0)</f>
        <v>ALI MANEA ALYAMI TRADING EST.</v>
      </c>
      <c r="J1007" s="17" t="str">
        <f>VLOOKUP(Main_Presentation[[#This Row],[LC Number]],Main_Issuance[],8,0)</f>
        <v>FIRST FIX</v>
      </c>
      <c r="K1007" s="17" t="str">
        <f>VLOOKUP(Main_Presentation[[#This Row],[LC Number]],Main_Issuance[],9,0)</f>
        <v>MP1</v>
      </c>
      <c r="L1007" s="17">
        <f>VLOOKUP(Main_Presentation[[#This Row],[LC Number]],Main_Issuance[],10,0)</f>
        <v>1020088</v>
      </c>
      <c r="M1007" s="17" t="str">
        <f>VLOOKUP(Main_Presentation[[#This Row],[LC Number]],Main_Issuance[],11,0)</f>
        <v>SAR</v>
      </c>
      <c r="N1007" s="84">
        <f>VLOOKUP(Main_Presentation[[#This Row],[LC Number]],Main_Issuance[],12,0)</f>
        <v>650000</v>
      </c>
      <c r="O1007" s="16" t="s">
        <v>20</v>
      </c>
      <c r="P1007" s="16" t="s">
        <v>857</v>
      </c>
      <c r="Q1007" s="131">
        <v>650000</v>
      </c>
      <c r="R1007" s="18">
        <v>1</v>
      </c>
      <c r="S1007" s="18">
        <f>Main_Presentation[[#This Row],[Invoice Amt (FCY)]]*Main_Presentation[[#This Row],[Rate]]</f>
        <v>650000</v>
      </c>
      <c r="T1007" s="15">
        <v>45930</v>
      </c>
      <c r="U1007" s="26" t="str">
        <f>VLOOKUP(Main_Presentation[[#This Row],[LC Number]],Main_Issuance[],18,0)</f>
        <v>120 Days from Invoice Date</v>
      </c>
      <c r="V1007" s="17" t="s">
        <v>710</v>
      </c>
      <c r="W1007" s="22" t="s">
        <v>857</v>
      </c>
      <c r="X1007" s="16"/>
      <c r="Y1007" s="234" t="str">
        <f>TRIM(LEFT(Main_Presentation[[#This Row],[Payment Terms]],3))</f>
        <v>120</v>
      </c>
      <c r="Z1007" s="16"/>
      <c r="AA1007" s="316" cm="1">
        <f t="array" ref="AA1007">Settlement(Main_Presentation[[#This Row],[Bank]],Main_Presentation[[#This Row],[ Invoice Amt (SAR)]],Main_Presentation[[#This Row],[Date Recd]],Main_Presentation[[#This Row],[Due Date]],Main_Presentation[[#This Row],[Days]])</f>
        <v>2803.7</v>
      </c>
      <c r="AB1007" s="16"/>
    </row>
    <row r="1008" spans="1:28" ht="15.75" hidden="1" x14ac:dyDescent="0.25">
      <c r="A1008" s="20" t="s">
        <v>1339</v>
      </c>
      <c r="B1008" s="15">
        <v>45868</v>
      </c>
      <c r="C1008" s="26">
        <v>1</v>
      </c>
      <c r="D1008" s="55" t="str">
        <f>VLOOKUP(Main_Presentation[[#This Row],[LC Number]],Main_Issuance[],3,0)</f>
        <v>Hassan Taleb</v>
      </c>
      <c r="E1008" s="16" t="s">
        <v>858</v>
      </c>
      <c r="F1008" s="17" t="str">
        <f>VLOOKUP(Main_Presentation[[#This Row],[LC Number]],Main_Issuance[],5,0)</f>
        <v>Alinma</v>
      </c>
      <c r="G1008" s="17" t="str">
        <f>VLOOKUP(Main_Presentation[[#This Row],[LC Number]],Main_Issuance[],6,0)</f>
        <v>KSP</v>
      </c>
      <c r="H1008" s="17" t="str">
        <f>VLOOKUP(Main_Presentation[[#This Row],[LC Number]],Main_Issuance[],17,0)</f>
        <v>Credit</v>
      </c>
      <c r="I1008" s="17" t="str">
        <f>VLOOKUP(Main_Presentation[[#This Row],[LC Number]],Main_Issuance[],7,0)</f>
        <v>IDEAL CALIBER COMPANY</v>
      </c>
      <c r="J1008" s="17" t="str">
        <f>VLOOKUP(Main_Presentation[[#This Row],[LC Number]],Main_Issuance[],8,0)</f>
        <v>FIRST FIX</v>
      </c>
      <c r="K1008" s="17" t="str">
        <f>VLOOKUP(Main_Presentation[[#This Row],[LC Number]],Main_Issuance[],9,0)</f>
        <v>KSP</v>
      </c>
      <c r="L1008" s="17">
        <f>VLOOKUP(Main_Presentation[[#This Row],[LC Number]],Main_Issuance[],10,0)</f>
        <v>1020055</v>
      </c>
      <c r="M1008" s="17" t="str">
        <f>VLOOKUP(Main_Presentation[[#This Row],[LC Number]],Main_Issuance[],11,0)</f>
        <v>SAR</v>
      </c>
      <c r="N1008" s="84">
        <f>VLOOKUP(Main_Presentation[[#This Row],[LC Number]],Main_Issuance[],12,0)</f>
        <v>302213.12</v>
      </c>
      <c r="O1008" s="16" t="s">
        <v>20</v>
      </c>
      <c r="P1008" s="16" t="s">
        <v>857</v>
      </c>
      <c r="Q1008" s="131">
        <v>171555.34</v>
      </c>
      <c r="R1008" s="18">
        <v>1</v>
      </c>
      <c r="S1008" s="18">
        <f>Main_Presentation[[#This Row],[Invoice Amt (FCY)]]*Main_Presentation[[#This Row],[Rate]]</f>
        <v>171555.34</v>
      </c>
      <c r="T1008" s="15">
        <v>45974</v>
      </c>
      <c r="U1008" s="26" t="str">
        <f>VLOOKUP(Main_Presentation[[#This Row],[LC Number]],Main_Issuance[],18,0)</f>
        <v>120 Days from Invoice Date</v>
      </c>
      <c r="V1008" s="17" t="s">
        <v>613</v>
      </c>
      <c r="W1008" s="22" t="s">
        <v>378</v>
      </c>
      <c r="X1008" s="16"/>
      <c r="Y1008" s="234" t="str">
        <f>TRIM(LEFT(Main_Presentation[[#This Row],[Payment Terms]],3))</f>
        <v>120</v>
      </c>
      <c r="Z1008" s="16"/>
      <c r="AA1008" s="316" cm="1">
        <f t="array" ref="AA1008">Settlement(Main_Presentation[[#This Row],[Bank]],Main_Presentation[[#This Row],[ Invoice Amt (SAR)]],Main_Presentation[[#This Row],[Date Recd]],Main_Presentation[[#This Row],[Due Date]],Main_Presentation[[#This Row],[Days]])</f>
        <v>1437.5</v>
      </c>
      <c r="AB1008" s="16"/>
    </row>
    <row r="1009" spans="1:28" ht="15.75" hidden="1" x14ac:dyDescent="0.25">
      <c r="A1009" s="20" t="s">
        <v>1500</v>
      </c>
      <c r="B1009" s="15">
        <v>45862</v>
      </c>
      <c r="C1009" s="26">
        <v>1</v>
      </c>
      <c r="D1009" s="55" t="str">
        <f>VLOOKUP(Main_Presentation[[#This Row],[LC Number]],Main_Issuance[],3,0)</f>
        <v>Hassan Taleb</v>
      </c>
      <c r="E1009" s="16" t="s">
        <v>858</v>
      </c>
      <c r="F1009" s="17" t="str">
        <f>VLOOKUP(Main_Presentation[[#This Row],[LC Number]],Main_Issuance[],5,0)</f>
        <v>Alinma</v>
      </c>
      <c r="G1009" s="17" t="str">
        <f>VLOOKUP(Main_Presentation[[#This Row],[LC Number]],Main_Issuance[],6,0)</f>
        <v>KSP</v>
      </c>
      <c r="H1009" s="17" t="str">
        <f>VLOOKUP(Main_Presentation[[#This Row],[LC Number]],Main_Issuance[],17,0)</f>
        <v>Credit</v>
      </c>
      <c r="I1009" s="17" t="str">
        <f>VLOOKUP(Main_Presentation[[#This Row],[LC Number]],Main_Issuance[],7,0)</f>
        <v>MAHMOUD ALTAHENI &amp; PARTNERS TRADING CO.</v>
      </c>
      <c r="J1009" s="17" t="str">
        <f>VLOOKUP(Main_Presentation[[#This Row],[LC Number]],Main_Issuance[],8,0)</f>
        <v>FIRST FIX</v>
      </c>
      <c r="K1009" s="17" t="str">
        <f>VLOOKUP(Main_Presentation[[#This Row],[LC Number]],Main_Issuance[],9,0)</f>
        <v>JCD SPMI</v>
      </c>
      <c r="L1009" s="17">
        <f>VLOOKUP(Main_Presentation[[#This Row],[LC Number]],Main_Issuance[],10,0)</f>
        <v>1020100</v>
      </c>
      <c r="M1009" s="17" t="str">
        <f>VLOOKUP(Main_Presentation[[#This Row],[LC Number]],Main_Issuance[],11,0)</f>
        <v>SAR</v>
      </c>
      <c r="N1009" s="84">
        <f>VLOOKUP(Main_Presentation[[#This Row],[LC Number]],Main_Issuance[],12,0)</f>
        <v>342207.75</v>
      </c>
      <c r="O1009" s="16" t="s">
        <v>20</v>
      </c>
      <c r="P1009" s="16" t="s">
        <v>857</v>
      </c>
      <c r="Q1009" s="131">
        <v>340841.26</v>
      </c>
      <c r="R1009" s="18">
        <v>1</v>
      </c>
      <c r="S1009" s="18">
        <f>Main_Presentation[[#This Row],[Invoice Amt (FCY)]]*Main_Presentation[[#This Row],[Rate]]</f>
        <v>340841.26</v>
      </c>
      <c r="T1009" s="15">
        <v>45944</v>
      </c>
      <c r="U1009" s="26" t="str">
        <f>VLOOKUP(Main_Presentation[[#This Row],[LC Number]],Main_Issuance[],18,0)</f>
        <v>120 Days from Invoice Date</v>
      </c>
      <c r="V1009" s="17" t="s">
        <v>304</v>
      </c>
      <c r="W1009" s="22" t="s">
        <v>378</v>
      </c>
      <c r="X1009" s="16"/>
      <c r="Y1009" s="234" t="str">
        <f>TRIM(LEFT(Main_Presentation[[#This Row],[Payment Terms]],3))</f>
        <v>120</v>
      </c>
      <c r="Z1009" s="16"/>
      <c r="AA1009" s="316" cm="1">
        <f t="array" ref="AA1009">Settlement(Main_Presentation[[#This Row],[Bank]],Main_Presentation[[#This Row],[ Invoice Amt (SAR)]],Main_Presentation[[#This Row],[Date Recd]],Main_Presentation[[#This Row],[Due Date]],Main_Presentation[[#This Row],[Days]])</f>
        <v>1437.5</v>
      </c>
      <c r="AB1009" s="16"/>
    </row>
    <row r="1010" spans="1:28" ht="15.75" hidden="1" x14ac:dyDescent="0.25">
      <c r="A1010" s="20" t="s">
        <v>1454</v>
      </c>
      <c r="B1010" s="15">
        <v>45861</v>
      </c>
      <c r="C1010" s="26">
        <v>1</v>
      </c>
      <c r="D1010" s="55" t="str">
        <f>VLOOKUP(Main_Presentation[[#This Row],[LC Number]],Main_Issuance[],3,0)</f>
        <v>Rabih Makhoul</v>
      </c>
      <c r="E1010" s="16" t="s">
        <v>856</v>
      </c>
      <c r="F1010" s="17" t="str">
        <f>VLOOKUP(Main_Presentation[[#This Row],[LC Number]],Main_Issuance[],5,0)</f>
        <v>SNB</v>
      </c>
      <c r="G1010" s="17" t="str">
        <f>VLOOKUP(Main_Presentation[[#This Row],[LC Number]],Main_Issuance[],6,0)</f>
        <v>Opera House</v>
      </c>
      <c r="H1010" s="17" t="str">
        <f>VLOOKUP(Main_Presentation[[#This Row],[LC Number]],Main_Issuance[],17,0)</f>
        <v>Credit</v>
      </c>
      <c r="I1010" s="17" t="str">
        <f>VLOOKUP(Main_Presentation[[#This Row],[LC Number]],Main_Issuance[],7,0)</f>
        <v>TAMEER STEEL FACTORY CO LTD</v>
      </c>
      <c r="J1010" s="17" t="str">
        <f>VLOOKUP(Main_Presentation[[#This Row],[LC Number]],Main_Issuance[],8,0)</f>
        <v>MBL</v>
      </c>
      <c r="K1010" s="17" t="str">
        <f>VLOOKUP(Main_Presentation[[#This Row],[LC Number]],Main_Issuance[],9,0)</f>
        <v>Neom - The Line</v>
      </c>
      <c r="L1010" s="17">
        <f>VLOOKUP(Main_Presentation[[#This Row],[LC Number]],Main_Issuance[],10,0)</f>
        <v>1020098</v>
      </c>
      <c r="M1010" s="17" t="str">
        <f>VLOOKUP(Main_Presentation[[#This Row],[LC Number]],Main_Issuance[],11,0)</f>
        <v>SAR</v>
      </c>
      <c r="N1010" s="84">
        <f>VLOOKUP(Main_Presentation[[#This Row],[LC Number]],Main_Issuance[],12,0)</f>
        <v>6947334</v>
      </c>
      <c r="O1010" s="16" t="s">
        <v>20</v>
      </c>
      <c r="P1010" s="16" t="s">
        <v>378</v>
      </c>
      <c r="Q1010" s="131">
        <v>3621879</v>
      </c>
      <c r="R1010" s="18">
        <v>1</v>
      </c>
      <c r="S1010" s="18">
        <f>Main_Presentation[[#This Row],[Invoice Amt (FCY)]]*Main_Presentation[[#This Row],[Rate]]</f>
        <v>3621879</v>
      </c>
      <c r="T1010" s="15">
        <v>45888</v>
      </c>
      <c r="U1010" s="26" t="str">
        <f>VLOOKUP(Main_Presentation[[#This Row],[LC Number]],Main_Issuance[],18,0)</f>
        <v>45 Days from Invoice Date</v>
      </c>
      <c r="V1010" s="17" t="s">
        <v>304</v>
      </c>
      <c r="W1010" s="22" t="s">
        <v>857</v>
      </c>
      <c r="X1010" s="16"/>
      <c r="Y1010" s="234" t="str">
        <f>TRIM(LEFT(Main_Presentation[[#This Row],[Payment Terms]],3))</f>
        <v>45</v>
      </c>
      <c r="Z1010" s="16"/>
      <c r="AA1010" s="316" cm="1">
        <f t="array" ref="AA1010">Settlement(Main_Presentation[[#This Row],[Bank]],Main_Presentation[[#This Row],[ Invoice Amt (SAR)]],Main_Presentation[[#This Row],[Date Recd]],Main_Presentation[[#This Row],[Due Date]],Main_Presentation[[#This Row],[Days]])</f>
        <v>8718.15</v>
      </c>
      <c r="AB1010" s="16"/>
    </row>
    <row r="1011" spans="1:28" ht="15.75" hidden="1" x14ac:dyDescent="0.25">
      <c r="A1011" s="20" t="s">
        <v>1454</v>
      </c>
      <c r="B1011" s="15">
        <v>45861</v>
      </c>
      <c r="C1011" s="26">
        <v>2</v>
      </c>
      <c r="D1011" s="55" t="str">
        <f>VLOOKUP(Main_Presentation[[#This Row],[LC Number]],Main_Issuance[],3,0)</f>
        <v>Rabih Makhoul</v>
      </c>
      <c r="E1011" s="16" t="s">
        <v>856</v>
      </c>
      <c r="F1011" s="17" t="str">
        <f>VLOOKUP(Main_Presentation[[#This Row],[LC Number]],Main_Issuance[],5,0)</f>
        <v>SNB</v>
      </c>
      <c r="G1011" s="17" t="str">
        <f>VLOOKUP(Main_Presentation[[#This Row],[LC Number]],Main_Issuance[],6,0)</f>
        <v>Opera House</v>
      </c>
      <c r="H1011" s="17" t="str">
        <f>VLOOKUP(Main_Presentation[[#This Row],[LC Number]],Main_Issuance[],17,0)</f>
        <v>Credit</v>
      </c>
      <c r="I1011" s="17" t="str">
        <f>VLOOKUP(Main_Presentation[[#This Row],[LC Number]],Main_Issuance[],7,0)</f>
        <v>TAMEER STEEL FACTORY CO LTD</v>
      </c>
      <c r="J1011" s="17" t="str">
        <f>VLOOKUP(Main_Presentation[[#This Row],[LC Number]],Main_Issuance[],8,0)</f>
        <v>MBL</v>
      </c>
      <c r="K1011" s="17" t="str">
        <f>VLOOKUP(Main_Presentation[[#This Row],[LC Number]],Main_Issuance[],9,0)</f>
        <v>Neom - The Line</v>
      </c>
      <c r="L1011" s="17">
        <f>VLOOKUP(Main_Presentation[[#This Row],[LC Number]],Main_Issuance[],10,0)</f>
        <v>1020098</v>
      </c>
      <c r="M1011" s="17" t="str">
        <f>VLOOKUP(Main_Presentation[[#This Row],[LC Number]],Main_Issuance[],11,0)</f>
        <v>SAR</v>
      </c>
      <c r="N1011" s="84">
        <f>VLOOKUP(Main_Presentation[[#This Row],[LC Number]],Main_Issuance[],12,0)</f>
        <v>6947334</v>
      </c>
      <c r="O1011" s="16" t="s">
        <v>20</v>
      </c>
      <c r="P1011" s="16" t="s">
        <v>378</v>
      </c>
      <c r="Q1011" s="131">
        <v>3185730</v>
      </c>
      <c r="R1011" s="18">
        <v>1</v>
      </c>
      <c r="S1011" s="18">
        <f>Main_Presentation[[#This Row],[Invoice Amt (FCY)]]*Main_Presentation[[#This Row],[Rate]]</f>
        <v>3185730</v>
      </c>
      <c r="T1011" s="15">
        <v>45888</v>
      </c>
      <c r="U1011" s="26" t="str">
        <f>VLOOKUP(Main_Presentation[[#This Row],[LC Number]],Main_Issuance[],18,0)</f>
        <v>45 Days from Invoice Date</v>
      </c>
      <c r="V1011" s="17" t="s">
        <v>304</v>
      </c>
      <c r="W1011" s="22" t="s">
        <v>857</v>
      </c>
      <c r="X1011" s="16"/>
      <c r="Y1011" s="234" t="str">
        <f>TRIM(LEFT(Main_Presentation[[#This Row],[Payment Terms]],3))</f>
        <v>45</v>
      </c>
      <c r="Z1011" s="16"/>
      <c r="AA1011" s="316" cm="1">
        <f t="array" ref="AA1011">Settlement(Main_Presentation[[#This Row],[Bank]],Main_Presentation[[#This Row],[ Invoice Amt (SAR)]],Main_Presentation[[#This Row],[Date Recd]],Main_Presentation[[#This Row],[Due Date]],Main_Presentation[[#This Row],[Days]])</f>
        <v>7672.8</v>
      </c>
      <c r="AB1011" s="16"/>
    </row>
    <row r="1012" spans="1:28" ht="15.75" hidden="1" x14ac:dyDescent="0.25">
      <c r="A1012" s="20" t="s">
        <v>1454</v>
      </c>
      <c r="B1012" s="15">
        <v>45896</v>
      </c>
      <c r="C1012" s="26">
        <v>3</v>
      </c>
      <c r="D1012" s="55" t="str">
        <f>VLOOKUP(Main_Presentation[[#This Row],[LC Number]],Main_Issuance[],3,0)</f>
        <v>Rabih Makhoul</v>
      </c>
      <c r="E1012" s="16" t="s">
        <v>856</v>
      </c>
      <c r="F1012" s="17" t="str">
        <f>VLOOKUP(Main_Presentation[[#This Row],[LC Number]],Main_Issuance[],5,0)</f>
        <v>SNB</v>
      </c>
      <c r="G1012" s="17" t="str">
        <f>VLOOKUP(Main_Presentation[[#This Row],[LC Number]],Main_Issuance[],6,0)</f>
        <v>Opera House</v>
      </c>
      <c r="H1012" s="17" t="str">
        <f>VLOOKUP(Main_Presentation[[#This Row],[LC Number]],Main_Issuance[],17,0)</f>
        <v>Credit</v>
      </c>
      <c r="I1012" s="17" t="str">
        <f>VLOOKUP(Main_Presentation[[#This Row],[LC Number]],Main_Issuance[],7,0)</f>
        <v>TAMEER STEEL FACTORY CO LTD</v>
      </c>
      <c r="J1012" s="17" t="str">
        <f>VLOOKUP(Main_Presentation[[#This Row],[LC Number]],Main_Issuance[],8,0)</f>
        <v>MBL</v>
      </c>
      <c r="K1012" s="17" t="str">
        <f>VLOOKUP(Main_Presentation[[#This Row],[LC Number]],Main_Issuance[],9,0)</f>
        <v>Neom - The Line</v>
      </c>
      <c r="L1012" s="17">
        <f>VLOOKUP(Main_Presentation[[#This Row],[LC Number]],Main_Issuance[],10,0)</f>
        <v>1020098</v>
      </c>
      <c r="M1012" s="17" t="str">
        <f>VLOOKUP(Main_Presentation[[#This Row],[LC Number]],Main_Issuance[],11,0)</f>
        <v>SAR</v>
      </c>
      <c r="N1012" s="84">
        <f>VLOOKUP(Main_Presentation[[#This Row],[LC Number]],Main_Issuance[],12,0)</f>
        <v>6947334</v>
      </c>
      <c r="O1012" s="16" t="s">
        <v>20</v>
      </c>
      <c r="P1012" s="16" t="s">
        <v>378</v>
      </c>
      <c r="Q1012" s="131">
        <v>139725</v>
      </c>
      <c r="R1012" s="18">
        <v>1</v>
      </c>
      <c r="S1012" s="18">
        <f>Main_Presentation[[#This Row],[Invoice Amt (FCY)]]*Main_Presentation[[#This Row],[Rate]]</f>
        <v>139725</v>
      </c>
      <c r="T1012" s="15">
        <v>45903</v>
      </c>
      <c r="U1012" s="26" t="str">
        <f>VLOOKUP(Main_Presentation[[#This Row],[LC Number]],Main_Issuance[],18,0)</f>
        <v>45 Days from Invoice Date</v>
      </c>
      <c r="V1012" s="17" t="s">
        <v>304</v>
      </c>
      <c r="W1012" s="22" t="s">
        <v>378</v>
      </c>
      <c r="X1012" s="16"/>
      <c r="Y1012" s="234" t="str">
        <f>TRIM(LEFT(Main_Presentation[[#This Row],[Payment Terms]],3))</f>
        <v>45</v>
      </c>
      <c r="Z1012" s="16"/>
      <c r="AA1012" s="316" cm="1">
        <f t="array" ref="AA1012">Settlement(Main_Presentation[[#This Row],[Bank]],Main_Presentation[[#This Row],[ Invoice Amt (SAR)]],Main_Presentation[[#This Row],[Date Recd]],Main_Presentation[[#This Row],[Due Date]],Main_Presentation[[#This Row],[Days]])</f>
        <v>655.5</v>
      </c>
      <c r="AB1012" s="16"/>
    </row>
    <row r="1013" spans="1:28" ht="15.75" hidden="1" x14ac:dyDescent="0.25">
      <c r="A1013" s="20" t="s">
        <v>1470</v>
      </c>
      <c r="B1013" s="15">
        <v>45868</v>
      </c>
      <c r="C1013" s="26">
        <v>1</v>
      </c>
      <c r="D1013" s="55" t="str">
        <f>VLOOKUP(Main_Presentation[[#This Row],[LC Number]],Main_Issuance[],3,0)</f>
        <v>Mohammed Kotb</v>
      </c>
      <c r="E1013" s="16" t="s">
        <v>858</v>
      </c>
      <c r="F1013" s="17" t="str">
        <f>VLOOKUP(Main_Presentation[[#This Row],[LC Number]],Main_Issuance[],5,0)</f>
        <v>SAB</v>
      </c>
      <c r="G1013" s="17" t="str">
        <f>VLOOKUP(Main_Presentation[[#This Row],[LC Number]],Main_Issuance[],6,0)</f>
        <v>MP1</v>
      </c>
      <c r="H1013" s="17" t="str">
        <f>VLOOKUP(Main_Presentation[[#This Row],[LC Number]],Main_Issuance[],17,0)</f>
        <v>Credit</v>
      </c>
      <c r="I1013" s="17" t="str">
        <f>VLOOKUP(Main_Presentation[[#This Row],[LC Number]],Main_Issuance[],7,0)</f>
        <v>Isam Kabbani &amp; Partners</v>
      </c>
      <c r="J1013" s="17" t="str">
        <f>VLOOKUP(Main_Presentation[[#This Row],[LC Number]],Main_Issuance[],8,0)</f>
        <v>MBL</v>
      </c>
      <c r="K1013" s="17" t="str">
        <f>VLOOKUP(Main_Presentation[[#This Row],[LC Number]],Main_Issuance[],9,0)</f>
        <v>ABHA</v>
      </c>
      <c r="L1013" s="17">
        <f>VLOOKUP(Main_Presentation[[#This Row],[LC Number]],Main_Issuance[],10,0)</f>
        <v>1020070</v>
      </c>
      <c r="M1013" s="17" t="str">
        <f>VLOOKUP(Main_Presentation[[#This Row],[LC Number]],Main_Issuance[],11,0)</f>
        <v>SAR</v>
      </c>
      <c r="N1013" s="84">
        <f>VLOOKUP(Main_Presentation[[#This Row],[LC Number]],Main_Issuance[],12,0)</f>
        <v>1900870.95</v>
      </c>
      <c r="O1013" s="16" t="s">
        <v>20</v>
      </c>
      <c r="P1013" s="16" t="s">
        <v>378</v>
      </c>
      <c r="Q1013" s="131">
        <v>1900870.95</v>
      </c>
      <c r="R1013" s="18">
        <v>1</v>
      </c>
      <c r="S1013" s="18">
        <f>Main_Presentation[[#This Row],[Invoice Amt (FCY)]]*Main_Presentation[[#This Row],[Rate]]</f>
        <v>1900870.95</v>
      </c>
      <c r="T1013" s="15">
        <v>45900</v>
      </c>
      <c r="U1013" s="26" t="str">
        <f>VLOOKUP(Main_Presentation[[#This Row],[LC Number]],Main_Issuance[],18,0)</f>
        <v>60 Days from Invoice Date</v>
      </c>
      <c r="V1013" s="17" t="s">
        <v>1831</v>
      </c>
      <c r="W1013" s="22" t="s">
        <v>378</v>
      </c>
      <c r="X1013" s="16"/>
      <c r="Y1013" s="234" t="str">
        <f>TRIM(LEFT(Main_Presentation[[#This Row],[Payment Terms]],3))</f>
        <v>60</v>
      </c>
      <c r="Z1013" s="16"/>
      <c r="AA1013" s="316" cm="1">
        <f t="array" ref="AA1013">Settlement(Main_Presentation[[#This Row],[Bank]],Main_Presentation[[#This Row],[ Invoice Amt (SAR)]],Main_Presentation[[#This Row],[Date Recd]],Main_Presentation[[#This Row],[Due Date]],Main_Presentation[[#This Row],[Days]])</f>
        <v>8197.2000000000007</v>
      </c>
      <c r="AB1013" s="16"/>
    </row>
    <row r="1014" spans="1:28" ht="15.75" hidden="1" x14ac:dyDescent="0.25">
      <c r="A1014" s="20" t="s">
        <v>1516</v>
      </c>
      <c r="B1014" s="15">
        <v>45900</v>
      </c>
      <c r="C1014" s="26">
        <v>1</v>
      </c>
      <c r="D1014" s="55" t="str">
        <f>VLOOKUP(Main_Presentation[[#This Row],[LC Number]],Main_Issuance[],3,0)</f>
        <v>Hassan Taleb</v>
      </c>
      <c r="E1014" s="16" t="s">
        <v>858</v>
      </c>
      <c r="F1014" s="17" t="str">
        <f>VLOOKUP(Main_Presentation[[#This Row],[LC Number]],Main_Issuance[],5,0)</f>
        <v>Alinma</v>
      </c>
      <c r="G1014" s="17" t="str">
        <f>VLOOKUP(Main_Presentation[[#This Row],[LC Number]],Main_Issuance[],6,0)</f>
        <v>KSP</v>
      </c>
      <c r="H1014" s="17" t="str">
        <f>VLOOKUP(Main_Presentation[[#This Row],[LC Number]],Main_Issuance[],17,0)</f>
        <v>Credit</v>
      </c>
      <c r="I1014" s="17" t="str">
        <f>VLOOKUP(Main_Presentation[[#This Row],[LC Number]],Main_Issuance[],7,0)</f>
        <v>Al Bayrak Red Contracting Establishment</v>
      </c>
      <c r="J1014" s="17" t="str">
        <f>VLOOKUP(Main_Presentation[[#This Row],[LC Number]],Main_Issuance[],8,0)</f>
        <v>FIRST FIX</v>
      </c>
      <c r="K1014" s="17" t="str">
        <f>VLOOKUP(Main_Presentation[[#This Row],[LC Number]],Main_Issuance[],9,0)</f>
        <v>JCD SPMI</v>
      </c>
      <c r="L1014" s="17">
        <f>VLOOKUP(Main_Presentation[[#This Row],[LC Number]],Main_Issuance[],10,0)</f>
        <v>1020100</v>
      </c>
      <c r="M1014" s="17" t="str">
        <f>VLOOKUP(Main_Presentation[[#This Row],[LC Number]],Main_Issuance[],11,0)</f>
        <v>SAR</v>
      </c>
      <c r="N1014" s="84">
        <f>VLOOKUP(Main_Presentation[[#This Row],[LC Number]],Main_Issuance[],12,0)</f>
        <v>870662</v>
      </c>
      <c r="O1014" s="16" t="s">
        <v>20</v>
      </c>
      <c r="P1014" s="16" t="s">
        <v>857</v>
      </c>
      <c r="Q1014" s="131">
        <v>870662</v>
      </c>
      <c r="R1014" s="18">
        <v>1</v>
      </c>
      <c r="S1014" s="18">
        <f>Main_Presentation[[#This Row],[Invoice Amt (FCY)]]*Main_Presentation[[#This Row],[Rate]]</f>
        <v>870662</v>
      </c>
      <c r="T1014" s="15">
        <v>45985</v>
      </c>
      <c r="U1014" s="26" t="str">
        <f>VLOOKUP(Main_Presentation[[#This Row],[LC Number]],Main_Issuance[],18,0)</f>
        <v>120 Days from Invoice Date</v>
      </c>
      <c r="V1014" s="17" t="s">
        <v>304</v>
      </c>
      <c r="W1014" s="22" t="s">
        <v>378</v>
      </c>
      <c r="X1014" s="16"/>
      <c r="Y1014" s="234" t="str">
        <f>TRIM(LEFT(Main_Presentation[[#This Row],[Payment Terms]],3))</f>
        <v>120</v>
      </c>
      <c r="Z1014" s="16"/>
      <c r="AA1014" s="316" cm="1">
        <f t="array" ref="AA1014">Settlement(Main_Presentation[[#This Row],[Bank]],Main_Presentation[[#This Row],[ Invoice Amt (SAR)]],Main_Presentation[[#This Row],[Date Recd]],Main_Presentation[[#This Row],[Due Date]],Main_Presentation[[#This Row],[Days]])</f>
        <v>1437.5</v>
      </c>
      <c r="AB1014" s="16"/>
    </row>
    <row r="1015" spans="1:28" ht="15.75" hidden="1" x14ac:dyDescent="0.25">
      <c r="A1015" s="20" t="s">
        <v>1521</v>
      </c>
      <c r="B1015" s="15">
        <v>45873</v>
      </c>
      <c r="C1015" s="26">
        <v>1</v>
      </c>
      <c r="D1015" s="55" t="str">
        <f>VLOOKUP(Main_Presentation[[#This Row],[LC Number]],Main_Issuance[],3,0)</f>
        <v>Hassan Taleb</v>
      </c>
      <c r="E1015" s="16" t="s">
        <v>858</v>
      </c>
      <c r="F1015" s="17" t="str">
        <f>VLOOKUP(Main_Presentation[[#This Row],[LC Number]],Main_Issuance[],5,0)</f>
        <v>Alinma</v>
      </c>
      <c r="G1015" s="17" t="str">
        <f>VLOOKUP(Main_Presentation[[#This Row],[LC Number]],Main_Issuance[],6,0)</f>
        <v>KSP</v>
      </c>
      <c r="H1015" s="17" t="str">
        <f>VLOOKUP(Main_Presentation[[#This Row],[LC Number]],Main_Issuance[],17,0)</f>
        <v>Credit</v>
      </c>
      <c r="I1015" s="17" t="str">
        <f>VLOOKUP(Main_Presentation[[#This Row],[LC Number]],Main_Issuance[],7,0)</f>
        <v>CAN AL SHARQ GENERAL CONT.EST</v>
      </c>
      <c r="J1015" s="17" t="str">
        <f>VLOOKUP(Main_Presentation[[#This Row],[LC Number]],Main_Issuance[],8,0)</f>
        <v>FIRST FIX</v>
      </c>
      <c r="K1015" s="17" t="str">
        <f>VLOOKUP(Main_Presentation[[#This Row],[LC Number]],Main_Issuance[],9,0)</f>
        <v>JCD SPMI</v>
      </c>
      <c r="L1015" s="17">
        <f>VLOOKUP(Main_Presentation[[#This Row],[LC Number]],Main_Issuance[],10,0)</f>
        <v>1020100</v>
      </c>
      <c r="M1015" s="17" t="str">
        <f>VLOOKUP(Main_Presentation[[#This Row],[LC Number]],Main_Issuance[],11,0)</f>
        <v>SAR</v>
      </c>
      <c r="N1015" s="84">
        <f>VLOOKUP(Main_Presentation[[#This Row],[LC Number]],Main_Issuance[],12,0)</f>
        <v>214923</v>
      </c>
      <c r="O1015" s="16" t="s">
        <v>20</v>
      </c>
      <c r="P1015" s="16" t="s">
        <v>857</v>
      </c>
      <c r="Q1015" s="131">
        <v>214923</v>
      </c>
      <c r="R1015" s="18">
        <v>1</v>
      </c>
      <c r="S1015" s="18">
        <f>Main_Presentation[[#This Row],[Invoice Amt (FCY)]]*Main_Presentation[[#This Row],[Rate]]</f>
        <v>214923</v>
      </c>
      <c r="T1015" s="15">
        <v>45985</v>
      </c>
      <c r="U1015" s="26" t="str">
        <f>VLOOKUP(Main_Presentation[[#This Row],[LC Number]],Main_Issuance[],18,0)</f>
        <v>120 Days from Invoice Date</v>
      </c>
      <c r="V1015" s="17" t="s">
        <v>304</v>
      </c>
      <c r="W1015" s="22" t="s">
        <v>378</v>
      </c>
      <c r="X1015" s="16"/>
      <c r="Y1015" s="234" t="str">
        <f>TRIM(LEFT(Main_Presentation[[#This Row],[Payment Terms]],3))</f>
        <v>120</v>
      </c>
      <c r="Z1015" s="16"/>
      <c r="AA1015" s="316" cm="1">
        <f t="array" ref="AA1015">Settlement(Main_Presentation[[#This Row],[Bank]],Main_Presentation[[#This Row],[ Invoice Amt (SAR)]],Main_Presentation[[#This Row],[Date Recd]],Main_Presentation[[#This Row],[Due Date]],Main_Presentation[[#This Row],[Days]])</f>
        <v>1437.5</v>
      </c>
      <c r="AB1015" s="16"/>
    </row>
    <row r="1016" spans="1:28" ht="15.75" hidden="1" x14ac:dyDescent="0.25">
      <c r="A1016" s="20" t="s">
        <v>1498</v>
      </c>
      <c r="B1016" s="15">
        <v>45873</v>
      </c>
      <c r="C1016" s="26">
        <v>1</v>
      </c>
      <c r="D1016" s="55" t="str">
        <f>VLOOKUP(Main_Presentation[[#This Row],[LC Number]],Main_Issuance[],3,0)</f>
        <v>Hassan Taleb</v>
      </c>
      <c r="E1016" s="16" t="s">
        <v>858</v>
      </c>
      <c r="F1016" s="17" t="str">
        <f>VLOOKUP(Main_Presentation[[#This Row],[LC Number]],Main_Issuance[],5,0)</f>
        <v>Alinma</v>
      </c>
      <c r="G1016" s="17" t="str">
        <f>VLOOKUP(Main_Presentation[[#This Row],[LC Number]],Main_Issuance[],6,0)</f>
        <v>KSP</v>
      </c>
      <c r="H1016" s="17" t="str">
        <f>VLOOKUP(Main_Presentation[[#This Row],[LC Number]],Main_Issuance[],17,0)</f>
        <v>Credit</v>
      </c>
      <c r="I1016" s="17" t="str">
        <f>VLOOKUP(Main_Presentation[[#This Row],[LC Number]],Main_Issuance[],7,0)</f>
        <v>Elite Arabian Contracting Co Ltd</v>
      </c>
      <c r="J1016" s="17" t="str">
        <f>VLOOKUP(Main_Presentation[[#This Row],[LC Number]],Main_Issuance[],8,0)</f>
        <v>FIRST FIX</v>
      </c>
      <c r="K1016" s="17" t="str">
        <f>VLOOKUP(Main_Presentation[[#This Row],[LC Number]],Main_Issuance[],9,0)</f>
        <v>JCD SPMI</v>
      </c>
      <c r="L1016" s="17">
        <f>VLOOKUP(Main_Presentation[[#This Row],[LC Number]],Main_Issuance[],10,0)</f>
        <v>1020100</v>
      </c>
      <c r="M1016" s="17" t="str">
        <f>VLOOKUP(Main_Presentation[[#This Row],[LC Number]],Main_Issuance[],11,0)</f>
        <v>SAR</v>
      </c>
      <c r="N1016" s="84">
        <f>VLOOKUP(Main_Presentation[[#This Row],[LC Number]],Main_Issuance[],12,0)</f>
        <v>94929.8</v>
      </c>
      <c r="O1016" s="16" t="s">
        <v>20</v>
      </c>
      <c r="P1016" s="16" t="s">
        <v>857</v>
      </c>
      <c r="Q1016" s="131">
        <v>94929.8</v>
      </c>
      <c r="R1016" s="18">
        <v>1</v>
      </c>
      <c r="S1016" s="18">
        <f>Main_Presentation[[#This Row],[Invoice Amt (FCY)]]*Main_Presentation[[#This Row],[Rate]]</f>
        <v>94929.8</v>
      </c>
      <c r="T1016" s="15">
        <v>45985</v>
      </c>
      <c r="U1016" s="26" t="str">
        <f>VLOOKUP(Main_Presentation[[#This Row],[LC Number]],Main_Issuance[],18,0)</f>
        <v>120 Days from Invoice Date</v>
      </c>
      <c r="V1016" s="17" t="s">
        <v>304</v>
      </c>
      <c r="W1016" s="22" t="s">
        <v>378</v>
      </c>
      <c r="X1016" s="16"/>
      <c r="Y1016" s="234" t="str">
        <f>TRIM(LEFT(Main_Presentation[[#This Row],[Payment Terms]],3))</f>
        <v>120</v>
      </c>
      <c r="Z1016" s="16"/>
      <c r="AA1016" s="316" cm="1">
        <f t="array" ref="AA1016">Settlement(Main_Presentation[[#This Row],[Bank]],Main_Presentation[[#This Row],[ Invoice Amt (SAR)]],Main_Presentation[[#This Row],[Date Recd]],Main_Presentation[[#This Row],[Due Date]],Main_Presentation[[#This Row],[Days]])</f>
        <v>1437.5</v>
      </c>
      <c r="AB1016" s="16"/>
    </row>
    <row r="1017" spans="1:28" ht="15.75" hidden="1" x14ac:dyDescent="0.25">
      <c r="A1017" s="20" t="s">
        <v>1497</v>
      </c>
      <c r="B1017" s="15">
        <v>45882</v>
      </c>
      <c r="C1017" s="26">
        <v>1</v>
      </c>
      <c r="D1017" s="55" t="str">
        <f>VLOOKUP(Main_Presentation[[#This Row],[LC Number]],Main_Issuance[],3,0)</f>
        <v>Hassan Taleb</v>
      </c>
      <c r="E1017" s="16" t="s">
        <v>858</v>
      </c>
      <c r="F1017" s="17" t="str">
        <f>VLOOKUP(Main_Presentation[[#This Row],[LC Number]],Main_Issuance[],5,0)</f>
        <v>Alinma</v>
      </c>
      <c r="G1017" s="17" t="str">
        <f>VLOOKUP(Main_Presentation[[#This Row],[LC Number]],Main_Issuance[],6,0)</f>
        <v>KSP</v>
      </c>
      <c r="H1017" s="17" t="str">
        <f>VLOOKUP(Main_Presentation[[#This Row],[LC Number]],Main_Issuance[],17,0)</f>
        <v>Credit</v>
      </c>
      <c r="I1017" s="17" t="str">
        <f>VLOOKUP(Main_Presentation[[#This Row],[LC Number]],Main_Issuance[],7,0)</f>
        <v>National Marketing Est. Co. Ltd</v>
      </c>
      <c r="J1017" s="17" t="str">
        <f>VLOOKUP(Main_Presentation[[#This Row],[LC Number]],Main_Issuance[],8,0)</f>
        <v>FIRST FIX</v>
      </c>
      <c r="K1017" s="17" t="str">
        <f>VLOOKUP(Main_Presentation[[#This Row],[LC Number]],Main_Issuance[],9,0)</f>
        <v>JCD SPMI</v>
      </c>
      <c r="L1017" s="17">
        <f>VLOOKUP(Main_Presentation[[#This Row],[LC Number]],Main_Issuance[],10,0)</f>
        <v>1020100</v>
      </c>
      <c r="M1017" s="17" t="str">
        <f>VLOOKUP(Main_Presentation[[#This Row],[LC Number]],Main_Issuance[],11,0)</f>
        <v>SAR</v>
      </c>
      <c r="N1017" s="84">
        <f>VLOOKUP(Main_Presentation[[#This Row],[LC Number]],Main_Issuance[],12,0)</f>
        <v>300000</v>
      </c>
      <c r="O1017" s="16" t="s">
        <v>20</v>
      </c>
      <c r="P1017" s="16" t="s">
        <v>857</v>
      </c>
      <c r="Q1017" s="131">
        <v>300000</v>
      </c>
      <c r="R1017" s="18">
        <v>1</v>
      </c>
      <c r="S1017" s="18">
        <f>Main_Presentation[[#This Row],[Invoice Amt (FCY)]]*Main_Presentation[[#This Row],[Rate]]</f>
        <v>300000</v>
      </c>
      <c r="T1017" s="15">
        <v>45956</v>
      </c>
      <c r="U1017" s="26" t="str">
        <f>VLOOKUP(Main_Presentation[[#This Row],[LC Number]],Main_Issuance[],18,0)</f>
        <v>120 Days from Invoice Date</v>
      </c>
      <c r="V1017" s="17" t="s">
        <v>304</v>
      </c>
      <c r="W1017" s="22" t="s">
        <v>378</v>
      </c>
      <c r="X1017" s="16"/>
      <c r="Y1017" s="234" t="str">
        <f>TRIM(LEFT(Main_Presentation[[#This Row],[Payment Terms]],3))</f>
        <v>120</v>
      </c>
      <c r="Z1017" s="16"/>
      <c r="AA1017" s="316" cm="1">
        <f t="array" ref="AA1017">Settlement(Main_Presentation[[#This Row],[Bank]],Main_Presentation[[#This Row],[ Invoice Amt (SAR)]],Main_Presentation[[#This Row],[Date Recd]],Main_Presentation[[#This Row],[Due Date]],Main_Presentation[[#This Row],[Days]])</f>
        <v>1437.5</v>
      </c>
      <c r="AB1017" s="16"/>
    </row>
    <row r="1018" spans="1:28" ht="15.75" hidden="1" x14ac:dyDescent="0.25">
      <c r="A1018" s="20" t="s">
        <v>1430</v>
      </c>
      <c r="B1018" s="15">
        <v>45879</v>
      </c>
      <c r="C1018" s="26">
        <v>1</v>
      </c>
      <c r="D1018" s="55" t="str">
        <f>VLOOKUP(Main_Presentation[[#This Row],[LC Number]],Main_Issuance[],3,0)</f>
        <v>Hassan Taleb</v>
      </c>
      <c r="E1018" s="16" t="s">
        <v>856</v>
      </c>
      <c r="F1018" s="17" t="str">
        <f>VLOOKUP(Main_Presentation[[#This Row],[LC Number]],Main_Issuance[],5,0)</f>
        <v>SAB</v>
      </c>
      <c r="G1018" s="17" t="str">
        <f>VLOOKUP(Main_Presentation[[#This Row],[LC Number]],Main_Issuance[],6,0)</f>
        <v>MP1</v>
      </c>
      <c r="H1018" s="17" t="str">
        <f>VLOOKUP(Main_Presentation[[#This Row],[LC Number]],Main_Issuance[],17,0)</f>
        <v>Credit</v>
      </c>
      <c r="I1018" s="17" t="str">
        <f>VLOOKUP(Main_Presentation[[#This Row],[LC Number]],Main_Issuance[],7,0)</f>
        <v>National Marketing Est. Co. Ltd</v>
      </c>
      <c r="J1018" s="17" t="str">
        <f>VLOOKUP(Main_Presentation[[#This Row],[LC Number]],Main_Issuance[],8,0)</f>
        <v>FIRST FIX</v>
      </c>
      <c r="K1018" s="17" t="str">
        <f>VLOOKUP(Main_Presentation[[#This Row],[LC Number]],Main_Issuance[],9,0)</f>
        <v>MP1</v>
      </c>
      <c r="L1018" s="17">
        <f>VLOOKUP(Main_Presentation[[#This Row],[LC Number]],Main_Issuance[],10,0)</f>
        <v>1020088</v>
      </c>
      <c r="M1018" s="17" t="str">
        <f>VLOOKUP(Main_Presentation[[#This Row],[LC Number]],Main_Issuance[],11,0)</f>
        <v>SAR</v>
      </c>
      <c r="N1018" s="84">
        <f>VLOOKUP(Main_Presentation[[#This Row],[LC Number]],Main_Issuance[],12,0)</f>
        <v>400000</v>
      </c>
      <c r="O1018" s="16" t="s">
        <v>20</v>
      </c>
      <c r="P1018" s="16" t="s">
        <v>857</v>
      </c>
      <c r="Q1018" s="131">
        <v>400000</v>
      </c>
      <c r="R1018" s="18">
        <v>1</v>
      </c>
      <c r="S1018" s="18">
        <f>Main_Presentation[[#This Row],[Invoice Amt (FCY)]]*Main_Presentation[[#This Row],[Rate]]</f>
        <v>400000</v>
      </c>
      <c r="T1018" s="15">
        <v>45963</v>
      </c>
      <c r="U1018" s="26" t="str">
        <f>VLOOKUP(Main_Presentation[[#This Row],[LC Number]],Main_Issuance[],18,0)</f>
        <v>120 Days from Invoice Date</v>
      </c>
      <c r="V1018" s="17" t="s">
        <v>367</v>
      </c>
      <c r="W1018" s="22" t="s">
        <v>378</v>
      </c>
      <c r="X1018" s="16"/>
      <c r="Y1018" s="234" t="str">
        <f>TRIM(LEFT(Main_Presentation[[#This Row],[Payment Terms]],3))</f>
        <v>120</v>
      </c>
      <c r="Z1018" s="16"/>
      <c r="AA1018" s="316" cm="1">
        <f t="array" ref="AA1018">Settlement(Main_Presentation[[#This Row],[Bank]],Main_Presentation[[#This Row],[ Invoice Amt (SAR)]],Main_Presentation[[#This Row],[Date Recd]],Main_Presentation[[#This Row],[Due Date]],Main_Presentation[[#This Row],[Days]])</f>
        <v>1725</v>
      </c>
      <c r="AB1018" s="16"/>
    </row>
    <row r="1019" spans="1:28" ht="15.75" hidden="1" x14ac:dyDescent="0.25">
      <c r="A1019" s="20" t="s">
        <v>1437</v>
      </c>
      <c r="B1019" s="15">
        <v>45889</v>
      </c>
      <c r="C1019" s="26">
        <v>1</v>
      </c>
      <c r="D1019" s="55" t="str">
        <f>VLOOKUP(Main_Presentation[[#This Row],[LC Number]],Main_Issuance[],3,0)</f>
        <v>Hassan Taleb</v>
      </c>
      <c r="E1019" s="16" t="s">
        <v>856</v>
      </c>
      <c r="F1019" s="17" t="str">
        <f>VLOOKUP(Main_Presentation[[#This Row],[LC Number]],Main_Issuance[],5,0)</f>
        <v>SAB</v>
      </c>
      <c r="G1019" s="17" t="str">
        <f>VLOOKUP(Main_Presentation[[#This Row],[LC Number]],Main_Issuance[],6,0)</f>
        <v>MP1</v>
      </c>
      <c r="H1019" s="17" t="str">
        <f>VLOOKUP(Main_Presentation[[#This Row],[LC Number]],Main_Issuance[],17,0)</f>
        <v>Credit</v>
      </c>
      <c r="I1019" s="17" t="str">
        <f>VLOOKUP(Main_Presentation[[#This Row],[LC Number]],Main_Issuance[],7,0)</f>
        <v xml:space="preserve">MARIAM TRADING CO. &amp; PARTNER </v>
      </c>
      <c r="J1019" s="17" t="str">
        <f>VLOOKUP(Main_Presentation[[#This Row],[LC Number]],Main_Issuance[],8,0)</f>
        <v>FIRST FIX</v>
      </c>
      <c r="K1019" s="17" t="str">
        <f>VLOOKUP(Main_Presentation[[#This Row],[LC Number]],Main_Issuance[],9,0)</f>
        <v>MP1</v>
      </c>
      <c r="L1019" s="17">
        <f>VLOOKUP(Main_Presentation[[#This Row],[LC Number]],Main_Issuance[],10,0)</f>
        <v>1020088</v>
      </c>
      <c r="M1019" s="17" t="str">
        <f>VLOOKUP(Main_Presentation[[#This Row],[LC Number]],Main_Issuance[],11,0)</f>
        <v>SAR</v>
      </c>
      <c r="N1019" s="84">
        <f>VLOOKUP(Main_Presentation[[#This Row],[LC Number]],Main_Issuance[],12,0)</f>
        <v>400000</v>
      </c>
      <c r="O1019" s="16" t="s">
        <v>20</v>
      </c>
      <c r="P1019" s="16" t="s">
        <v>857</v>
      </c>
      <c r="Q1019" s="131">
        <v>400000</v>
      </c>
      <c r="R1019" s="18">
        <v>1</v>
      </c>
      <c r="S1019" s="18">
        <f>Main_Presentation[[#This Row],[Invoice Amt (FCY)]]*Main_Presentation[[#This Row],[Rate]]</f>
        <v>400000</v>
      </c>
      <c r="T1019" s="15">
        <v>45963</v>
      </c>
      <c r="U1019" s="26" t="str">
        <f>VLOOKUP(Main_Presentation[[#This Row],[LC Number]],Main_Issuance[],18,0)</f>
        <v>120 Days from Invoice Date</v>
      </c>
      <c r="V1019" s="17" t="s">
        <v>1926</v>
      </c>
      <c r="W1019" s="22" t="s">
        <v>378</v>
      </c>
      <c r="X1019" s="16"/>
      <c r="Y1019" s="234" t="str">
        <f>TRIM(LEFT(Main_Presentation[[#This Row],[Payment Terms]],3))</f>
        <v>120</v>
      </c>
      <c r="Z1019" s="16"/>
      <c r="AA1019" s="316" cm="1">
        <f t="array" ref="AA1019">Settlement(Main_Presentation[[#This Row],[Bank]],Main_Presentation[[#This Row],[ Invoice Amt (SAR)]],Main_Presentation[[#This Row],[Date Recd]],Main_Presentation[[#This Row],[Due Date]],Main_Presentation[[#This Row],[Days]])</f>
        <v>1725</v>
      </c>
      <c r="AB1019" s="16"/>
    </row>
    <row r="1020" spans="1:28" ht="15.75" hidden="1" x14ac:dyDescent="0.25">
      <c r="A1020" s="20" t="s">
        <v>1419</v>
      </c>
      <c r="B1020" s="15">
        <v>45881</v>
      </c>
      <c r="C1020" s="26">
        <v>1</v>
      </c>
      <c r="D1020" s="55" t="str">
        <f>VLOOKUP(Main_Presentation[[#This Row],[LC Number]],Main_Issuance[],3,0)</f>
        <v>Hassan Taleb</v>
      </c>
      <c r="E1020" s="16" t="s">
        <v>856</v>
      </c>
      <c r="F1020" s="17" t="str">
        <f>VLOOKUP(Main_Presentation[[#This Row],[LC Number]],Main_Issuance[],5,0)</f>
        <v>SNB</v>
      </c>
      <c r="G1020" s="17" t="str">
        <f>VLOOKUP(Main_Presentation[[#This Row],[LC Number]],Main_Issuance[],6,0)</f>
        <v>Opera House</v>
      </c>
      <c r="H1020" s="17" t="str">
        <f>VLOOKUP(Main_Presentation[[#This Row],[LC Number]],Main_Issuance[],17,0)</f>
        <v>Credit</v>
      </c>
      <c r="I1020" s="17" t="str">
        <f>VLOOKUP(Main_Presentation[[#This Row],[LC Number]],Main_Issuance[],7,0)</f>
        <v>AL MABANI AL UMUMIYYAH LTD</v>
      </c>
      <c r="J1020" s="17" t="str">
        <f>VLOOKUP(Main_Presentation[[#This Row],[LC Number]],Main_Issuance[],8,0)</f>
        <v>FIRST FIX</v>
      </c>
      <c r="K1020" s="17" t="str">
        <f>VLOOKUP(Main_Presentation[[#This Row],[LC Number]],Main_Issuance[],9,0)</f>
        <v>KSP</v>
      </c>
      <c r="L1020" s="17">
        <f>VLOOKUP(Main_Presentation[[#This Row],[LC Number]],Main_Issuance[],10,0)</f>
        <v>1020055</v>
      </c>
      <c r="M1020" s="17" t="str">
        <f>VLOOKUP(Main_Presentation[[#This Row],[LC Number]],Main_Issuance[],11,0)</f>
        <v>SAR</v>
      </c>
      <c r="N1020" s="84">
        <f>VLOOKUP(Main_Presentation[[#This Row],[LC Number]],Main_Issuance[],12,0)</f>
        <v>1500000</v>
      </c>
      <c r="O1020" s="16" t="s">
        <v>20</v>
      </c>
      <c r="P1020" s="16" t="s">
        <v>378</v>
      </c>
      <c r="Q1020" s="131">
        <v>1500000</v>
      </c>
      <c r="R1020" s="18">
        <v>1</v>
      </c>
      <c r="S1020" s="18">
        <f>Main_Presentation[[#This Row],[Invoice Amt (FCY)]]*Main_Presentation[[#This Row],[Rate]]</f>
        <v>1500000</v>
      </c>
      <c r="T1020" s="15">
        <v>45943</v>
      </c>
      <c r="U1020" s="26" t="str">
        <f>VLOOKUP(Main_Presentation[[#This Row],[LC Number]],Main_Issuance[],18,0)</f>
        <v>120 Days from Invoice Date</v>
      </c>
      <c r="V1020" s="17" t="s">
        <v>22</v>
      </c>
      <c r="W1020" s="22" t="s">
        <v>857</v>
      </c>
      <c r="X1020" s="16"/>
      <c r="Y1020" s="234" t="str">
        <f>TRIM(LEFT(Main_Presentation[[#This Row],[Payment Terms]],3))</f>
        <v>120</v>
      </c>
      <c r="Z1020" s="16"/>
      <c r="AA1020" s="316" cm="1">
        <f t="array" ref="AA1020">Settlement(Main_Presentation[[#This Row],[Bank]],Main_Presentation[[#This Row],[ Invoice Amt (SAR)]],Main_Presentation[[#This Row],[Date Recd]],Main_Presentation[[#This Row],[Due Date]],Main_Presentation[[#This Row],[Days]])</f>
        <v>7227.75</v>
      </c>
      <c r="AB1020" s="16"/>
    </row>
    <row r="1021" spans="1:28" ht="15.75" hidden="1" x14ac:dyDescent="0.25">
      <c r="A1021" s="345" t="s">
        <v>317</v>
      </c>
      <c r="B1021" s="336">
        <v>45859</v>
      </c>
      <c r="C1021" s="337">
        <v>3</v>
      </c>
      <c r="D1021" s="338" t="str">
        <f>VLOOKUP(Main_Presentation[[#This Row],[LC Number]],Main_Issuance[],3,0)</f>
        <v>Dipu Sir</v>
      </c>
      <c r="E1021" s="339" t="s">
        <v>858</v>
      </c>
      <c r="F1021" s="340" t="str">
        <f>VLOOKUP(Main_Presentation[[#This Row],[LC Number]],Main_Issuance[],5,0)</f>
        <v>Riyad</v>
      </c>
      <c r="G1021" s="340" t="str">
        <f>VLOOKUP(Main_Presentation[[#This Row],[LC Number]],Main_Issuance[],6,0)</f>
        <v>Cash</v>
      </c>
      <c r="H1021" s="340" t="str">
        <f>VLOOKUP(Main_Presentation[[#This Row],[LC Number]],Main_Issuance[],17,0)</f>
        <v>Cash</v>
      </c>
      <c r="I1021" s="340" t="str">
        <f>VLOOKUP(Main_Presentation[[#This Row],[LC Number]],Main_Issuance[],7,0)</f>
        <v>SAMSARA SRL</v>
      </c>
      <c r="J1021" s="340" t="str">
        <f>VLOOKUP(Main_Presentation[[#This Row],[LC Number]],Main_Issuance[],8,0)</f>
        <v>MBL</v>
      </c>
      <c r="K1021" s="340" t="str">
        <f>VLOOKUP(Main_Presentation[[#This Row],[LC Number]],Main_Issuance[],9,0)</f>
        <v>L01-YAMMAMA</v>
      </c>
      <c r="L1021" s="340">
        <f>VLOOKUP(Main_Presentation[[#This Row],[LC Number]],Main_Issuance[],10,0)</f>
        <v>1020015</v>
      </c>
      <c r="M1021" s="340" t="str">
        <f>VLOOKUP(Main_Presentation[[#This Row],[LC Number]],Main_Issuance[],11,0)</f>
        <v>EUR</v>
      </c>
      <c r="N1021" s="341">
        <f>VLOOKUP(Main_Presentation[[#This Row],[LC Number]],Main_Issuance[],12,0)</f>
        <v>308759</v>
      </c>
      <c r="O1021" s="339" t="s">
        <v>20</v>
      </c>
      <c r="P1021" s="339" t="s">
        <v>857</v>
      </c>
      <c r="Q1021" s="342">
        <v>15437.95</v>
      </c>
      <c r="R1021" s="342">
        <v>4.6375999999999999</v>
      </c>
      <c r="S1021" s="342">
        <f>Main_Presentation[[#This Row],[Invoice Amt (FCY)]]*Main_Presentation[[#This Row],[Rate]]</f>
        <v>71595.036919999999</v>
      </c>
      <c r="T1021" s="336">
        <v>45861</v>
      </c>
      <c r="U1021" s="337" t="str">
        <f>VLOOKUP(Main_Presentation[[#This Row],[LC Number]],Main_Issuance[],18,0)</f>
        <v>Sight</v>
      </c>
      <c r="V1021" s="340" t="str">
        <f>VLOOKUP(Main_Presentation[[#This Row],[LC Number]],Main_Issuance[],9,0)</f>
        <v>L01-YAMMAMA</v>
      </c>
      <c r="W1021" s="344" t="s">
        <v>857</v>
      </c>
      <c r="X1021" s="339" t="s">
        <v>3811</v>
      </c>
      <c r="Y1021" s="401" t="str">
        <f>TRIM(LEFT(Main_Presentation[[#This Row],[Payment Terms]],3))</f>
        <v>Sig</v>
      </c>
      <c r="Z1021" s="339"/>
      <c r="AA1021" s="316" t="e" cm="1">
        <f t="array" ref="AA1021">Settlement(Main_Presentation[[#This Row],[Bank]],Main_Presentation[[#This Row],[ Invoice Amt (SAR)]],Main_Presentation[[#This Row],[Date Recd]],Main_Presentation[[#This Row],[Due Date]],Main_Presentation[[#This Row],[Days]])</f>
        <v>#VALUE!</v>
      </c>
      <c r="AB1021" s="339"/>
    </row>
    <row r="1022" spans="1:28" ht="15.75" hidden="1" x14ac:dyDescent="0.25">
      <c r="A1022" s="20" t="s">
        <v>1336</v>
      </c>
      <c r="B1022" s="15">
        <v>45859</v>
      </c>
      <c r="C1022" s="26" t="s">
        <v>1302</v>
      </c>
      <c r="D1022" s="55" t="str">
        <f>VLOOKUP(Main_Presentation[[#This Row],[LC Number]],Main_Issuance[],3,0)</f>
        <v>Rabih Makhoul</v>
      </c>
      <c r="E1022" s="16" t="s">
        <v>856</v>
      </c>
      <c r="F1022" s="17" t="str">
        <f>VLOOKUP(Main_Presentation[[#This Row],[LC Number]],Main_Issuance[],5,0)</f>
        <v>SNB</v>
      </c>
      <c r="G1022" s="17" t="str">
        <f>VLOOKUP(Main_Presentation[[#This Row],[LC Number]],Main_Issuance[],6,0)</f>
        <v>Opera House</v>
      </c>
      <c r="H1022" s="17" t="str">
        <f>VLOOKUP(Main_Presentation[[#This Row],[LC Number]],Main_Issuance[],17,0)</f>
        <v>Credit</v>
      </c>
      <c r="I1022" s="17" t="str">
        <f>VLOOKUP(Main_Presentation[[#This Row],[LC Number]],Main_Issuance[],7,0)</f>
        <v>Soliman Saleh Al Mohileb And Sons Holding Company (Closed Joint)</v>
      </c>
      <c r="J1022" s="17" t="str">
        <f>VLOOKUP(Main_Presentation[[#This Row],[LC Number]],Main_Issuance[],8,0)</f>
        <v>MBL</v>
      </c>
      <c r="K1022" s="17" t="str">
        <f>VLOOKUP(Main_Presentation[[#This Row],[LC Number]],Main_Issuance[],9,0)</f>
        <v>Neom - The Line</v>
      </c>
      <c r="L1022" s="17">
        <f>VLOOKUP(Main_Presentation[[#This Row],[LC Number]],Main_Issuance[],10,0)</f>
        <v>1020098</v>
      </c>
      <c r="M1022" s="17" t="str">
        <f>VLOOKUP(Main_Presentation[[#This Row],[LC Number]],Main_Issuance[],11,0)</f>
        <v>SAR</v>
      </c>
      <c r="N1022" s="84">
        <f>VLOOKUP(Main_Presentation[[#This Row],[LC Number]],Main_Issuance[],12,0)</f>
        <v>23391922.5</v>
      </c>
      <c r="O1022" s="16" t="s">
        <v>20</v>
      </c>
      <c r="P1022" s="16" t="s">
        <v>378</v>
      </c>
      <c r="Q1022" s="131">
        <f>18768000-13376077.5</f>
        <v>5391922.5</v>
      </c>
      <c r="R1022" s="18">
        <v>1</v>
      </c>
      <c r="S1022" s="18">
        <f>Main_Presentation[[#This Row],[Invoice Amt (FCY)]]*Main_Presentation[[#This Row],[Rate]]</f>
        <v>5391922.5</v>
      </c>
      <c r="T1022" s="15">
        <v>45859</v>
      </c>
      <c r="U1022" s="26" t="str">
        <f>VLOOKUP(Main_Presentation[[#This Row],[LC Number]],Main_Issuance[],18,0)</f>
        <v>30 Days from Invoice Date</v>
      </c>
      <c r="V1022" s="17" t="s">
        <v>304</v>
      </c>
      <c r="W1022" s="22" t="s">
        <v>857</v>
      </c>
      <c r="X1022" s="16"/>
      <c r="Y1022" s="234" t="str">
        <f>TRIM(LEFT(Main_Presentation[[#This Row],[Payment Terms]],3))</f>
        <v>30</v>
      </c>
      <c r="Z1022" s="16"/>
      <c r="AA1022" s="316" cm="1">
        <f t="array" ref="AA1022">Settlement(Main_Presentation[[#This Row],[Bank]],Main_Presentation[[#This Row],[ Invoice Amt (SAR)]],Main_Presentation[[#This Row],[Date Recd]],Main_Presentation[[#This Row],[Due Date]],Main_Presentation[[#This Row],[Days]])</f>
        <v>655.5</v>
      </c>
      <c r="AB1022" s="16"/>
    </row>
    <row r="1023" spans="1:28" ht="15.75" hidden="1" x14ac:dyDescent="0.25">
      <c r="A1023" s="20" t="s">
        <v>1449</v>
      </c>
      <c r="B1023" s="15">
        <v>45861</v>
      </c>
      <c r="C1023" s="26">
        <v>1</v>
      </c>
      <c r="D1023" s="55" t="str">
        <f>VLOOKUP(Main_Presentation[[#This Row],[LC Number]],Main_Issuance[],3,0)</f>
        <v>Rabih Makhoul</v>
      </c>
      <c r="E1023" s="16" t="s">
        <v>858</v>
      </c>
      <c r="F1023" s="17" t="str">
        <f>VLOOKUP(Main_Presentation[[#This Row],[LC Number]],Main_Issuance[],5,0)</f>
        <v>SNB</v>
      </c>
      <c r="G1023" s="17" t="str">
        <f>VLOOKUP(Main_Presentation[[#This Row],[LC Number]],Main_Issuance[],6,0)</f>
        <v>Opera House</v>
      </c>
      <c r="H1023" s="17" t="str">
        <f>VLOOKUP(Main_Presentation[[#This Row],[LC Number]],Main_Issuance[],17,0)</f>
        <v>Credit</v>
      </c>
      <c r="I1023" s="17" t="str">
        <f>VLOOKUP(Main_Presentation[[#This Row],[LC Number]],Main_Issuance[],7,0)</f>
        <v>I Engineering KSA</v>
      </c>
      <c r="J1023" s="17" t="str">
        <f>VLOOKUP(Main_Presentation[[#This Row],[LC Number]],Main_Issuance[],8,0)</f>
        <v>MBL</v>
      </c>
      <c r="K1023" s="17" t="str">
        <f>VLOOKUP(Main_Presentation[[#This Row],[LC Number]],Main_Issuance[],9,0)</f>
        <v>Rabigh Power Plant</v>
      </c>
      <c r="L1023" s="17">
        <f>VLOOKUP(Main_Presentation[[#This Row],[LC Number]],Main_Issuance[],10,0)</f>
        <v>1020107</v>
      </c>
      <c r="M1023" s="17" t="str">
        <f>VLOOKUP(Main_Presentation[[#This Row],[LC Number]],Main_Issuance[],11,0)</f>
        <v>SAR</v>
      </c>
      <c r="N1023" s="84">
        <f>VLOOKUP(Main_Presentation[[#This Row],[LC Number]],Main_Issuance[],12,0)</f>
        <v>6577809.0999999996</v>
      </c>
      <c r="O1023" s="16" t="s">
        <v>20</v>
      </c>
      <c r="P1023" s="16" t="s">
        <v>378</v>
      </c>
      <c r="Q1023" s="131">
        <v>1315561.82</v>
      </c>
      <c r="R1023" s="18">
        <v>1</v>
      </c>
      <c r="S1023" s="18">
        <f>Main_Presentation[[#This Row],[Invoice Amt (FCY)]]*Main_Presentation[[#This Row],[Rate]]</f>
        <v>1315561.82</v>
      </c>
      <c r="T1023" s="15">
        <v>45894</v>
      </c>
      <c r="U1023" s="26" t="str">
        <f>VLOOKUP(Main_Presentation[[#This Row],[LC Number]],Main_Issuance[],18,0)</f>
        <v>60 Days from Invoice Date</v>
      </c>
      <c r="V1023" s="17" t="s">
        <v>511</v>
      </c>
      <c r="W1023" s="22" t="s">
        <v>857</v>
      </c>
      <c r="X1023" s="16"/>
      <c r="Y1023" s="234" t="str">
        <f>TRIM(LEFT(Main_Presentation[[#This Row],[Payment Terms]],3))</f>
        <v>60</v>
      </c>
      <c r="Z1023" s="16"/>
      <c r="AA1023" s="316" cm="1">
        <f t="array" ref="AA1023">Settlement(Main_Presentation[[#This Row],[Bank]],Main_Presentation[[#This Row],[ Invoice Amt (SAR)]],Main_Presentation[[#This Row],[Date Recd]],Main_Presentation[[#This Row],[Due Date]],Main_Presentation[[#This Row],[Days]])</f>
        <v>3192.4</v>
      </c>
      <c r="AB1023" s="16"/>
    </row>
    <row r="1024" spans="1:28" ht="15.75" hidden="1" x14ac:dyDescent="0.25">
      <c r="A1024" s="20" t="s">
        <v>1540</v>
      </c>
      <c r="B1024" s="15">
        <v>45869</v>
      </c>
      <c r="C1024" s="26">
        <v>1</v>
      </c>
      <c r="D1024" s="55" t="str">
        <f>VLOOKUP(Main_Presentation[[#This Row],[LC Number]],Main_Issuance[],3,0)</f>
        <v>Justin Xavier</v>
      </c>
      <c r="E1024" s="16" t="s">
        <v>856</v>
      </c>
      <c r="F1024" s="17" t="str">
        <f>VLOOKUP(Main_Presentation[[#This Row],[LC Number]],Main_Issuance[],5,0)</f>
        <v>Alinma</v>
      </c>
      <c r="G1024" s="17" t="str">
        <f>VLOOKUP(Main_Presentation[[#This Row],[LC Number]],Main_Issuance[],6,0)</f>
        <v>KSP</v>
      </c>
      <c r="H1024" s="17" t="str">
        <f>VLOOKUP(Main_Presentation[[#This Row],[LC Number]],Main_Issuance[],17,0)</f>
        <v>Credit</v>
      </c>
      <c r="I1024" s="17" t="str">
        <f>VLOOKUP(Main_Presentation[[#This Row],[LC Number]],Main_Issuance[],7,0)</f>
        <v>Anixter Saudi Arabia Ltd</v>
      </c>
      <c r="J1024" s="17" t="str">
        <f>VLOOKUP(Main_Presentation[[#This Row],[LC Number]],Main_Issuance[],8,0)</f>
        <v>MBL/ICAD</v>
      </c>
      <c r="K1024" s="17" t="str">
        <f>VLOOKUP(Main_Presentation[[#This Row],[LC Number]],Main_Issuance[],9,0)</f>
        <v>ADF</v>
      </c>
      <c r="L1024" s="17">
        <f>VLOOKUP(Main_Presentation[[#This Row],[LC Number]],Main_Issuance[],10,0)</f>
        <v>1020001</v>
      </c>
      <c r="M1024" s="17" t="str">
        <f>VLOOKUP(Main_Presentation[[#This Row],[LC Number]],Main_Issuance[],11,0)</f>
        <v>SAR</v>
      </c>
      <c r="N1024" s="84">
        <f>VLOOKUP(Main_Presentation[[#This Row],[LC Number]],Main_Issuance[],12,0)</f>
        <v>1904115</v>
      </c>
      <c r="O1024" s="16" t="s">
        <v>20</v>
      </c>
      <c r="P1024" s="16" t="s">
        <v>378</v>
      </c>
      <c r="Q1024" s="131">
        <v>1904115</v>
      </c>
      <c r="R1024" s="18">
        <v>1</v>
      </c>
      <c r="S1024" s="18">
        <f>Main_Presentation[[#This Row],[Invoice Amt (FCY)]]*Main_Presentation[[#This Row],[Rate]]</f>
        <v>1904115</v>
      </c>
      <c r="T1024" s="15">
        <v>45921</v>
      </c>
      <c r="U1024" s="26" t="str">
        <f>VLOOKUP(Main_Presentation[[#This Row],[LC Number]],Main_Issuance[],18,0)</f>
        <v>60 Days from Invoice Date</v>
      </c>
      <c r="V1024" s="17" t="s">
        <v>22</v>
      </c>
      <c r="W1024" s="22" t="s">
        <v>378</v>
      </c>
      <c r="X1024" s="16"/>
      <c r="Y1024" s="234" t="str">
        <f>TRIM(LEFT(Main_Presentation[[#This Row],[Payment Terms]],3))</f>
        <v>60</v>
      </c>
      <c r="Z1024" s="16"/>
      <c r="AA1024" s="316" cm="1">
        <f t="array" ref="AA1024">Settlement(Main_Presentation[[#This Row],[Bank]],Main_Presentation[[#This Row],[ Invoice Amt (SAR)]],Main_Presentation[[#This Row],[Date Recd]],Main_Presentation[[#This Row],[Due Date]],Main_Presentation[[#This Row],[Days]])</f>
        <v>1825.05</v>
      </c>
      <c r="AB1024" s="16"/>
    </row>
    <row r="1025" spans="1:28" ht="15.75" hidden="1" x14ac:dyDescent="0.25">
      <c r="A1025" s="20" t="s">
        <v>1550</v>
      </c>
      <c r="B1025" s="15">
        <v>45869</v>
      </c>
      <c r="C1025" s="26">
        <v>1</v>
      </c>
      <c r="D1025" s="55" t="str">
        <f>VLOOKUP(Main_Presentation[[#This Row],[LC Number]],Main_Issuance[],3,0)</f>
        <v>Luis Puente</v>
      </c>
      <c r="E1025" s="16" t="s">
        <v>856</v>
      </c>
      <c r="F1025" s="17" t="str">
        <f>VLOOKUP(Main_Presentation[[#This Row],[LC Number]],Main_Issuance[],5,0)</f>
        <v>SNB</v>
      </c>
      <c r="G1025" s="17" t="str">
        <f>VLOOKUP(Main_Presentation[[#This Row],[LC Number]],Main_Issuance[],6,0)</f>
        <v>Opera House</v>
      </c>
      <c r="H1025" s="17" t="str">
        <f>VLOOKUP(Main_Presentation[[#This Row],[LC Number]],Main_Issuance[],17,0)</f>
        <v>Credit</v>
      </c>
      <c r="I1025" s="17" t="str">
        <f>VLOOKUP(Main_Presentation[[#This Row],[LC Number]],Main_Issuance[],7,0)</f>
        <v>Al Yamamah Company for Reinforcing Steel Bars</v>
      </c>
      <c r="J1025" s="17" t="str">
        <f>VLOOKUP(Main_Presentation[[#This Row],[LC Number]],Main_Issuance[],8,0)</f>
        <v>MBL</v>
      </c>
      <c r="K1025" s="17" t="str">
        <f>VLOOKUP(Main_Presentation[[#This Row],[LC Number]],Main_Issuance[],9,0)</f>
        <v>Oceanarium</v>
      </c>
      <c r="L1025" s="17">
        <f>VLOOKUP(Main_Presentation[[#This Row],[LC Number]],Main_Issuance[],10,0)</f>
        <v>1020096</v>
      </c>
      <c r="M1025" s="17" t="str">
        <f>VLOOKUP(Main_Presentation[[#This Row],[LC Number]],Main_Issuance[],11,0)</f>
        <v>SAR</v>
      </c>
      <c r="N1025" s="84">
        <f>VLOOKUP(Main_Presentation[[#This Row],[LC Number]],Main_Issuance[],12,0)</f>
        <v>17434337.5</v>
      </c>
      <c r="O1025" s="16" t="s">
        <v>20</v>
      </c>
      <c r="P1025" s="16" t="s">
        <v>378</v>
      </c>
      <c r="Q1025" s="131">
        <v>9484337.5</v>
      </c>
      <c r="R1025" s="18">
        <v>1</v>
      </c>
      <c r="S1025" s="18">
        <f>Main_Presentation[[#This Row],[Invoice Amt (FCY)]]*Main_Presentation[[#This Row],[Rate]]</f>
        <v>9484337.5</v>
      </c>
      <c r="T1025" s="15">
        <v>45972</v>
      </c>
      <c r="U1025" s="26" t="str">
        <f>VLOOKUP(Main_Presentation[[#This Row],[LC Number]],Main_Issuance[],18,0)</f>
        <v>90 Days from Invoice Date</v>
      </c>
      <c r="V1025" s="21" t="s">
        <v>483</v>
      </c>
      <c r="W1025" s="22" t="s">
        <v>857</v>
      </c>
      <c r="X1025" s="16"/>
      <c r="Y1025" s="234" t="str">
        <f>TRIM(LEFT(Main_Presentation[[#This Row],[Payment Terms]],3))</f>
        <v>90</v>
      </c>
      <c r="Z1025" s="16"/>
      <c r="AA1025" s="316" cm="1">
        <f t="array" ref="AA1025">Settlement(Main_Presentation[[#This Row],[Bank]],Main_Presentation[[#This Row],[ Invoice Amt (SAR)]],Main_Presentation[[#This Row],[Date Recd]],Main_Presentation[[#This Row],[Due Date]],Main_Presentation[[#This Row],[Days]])</f>
        <v>68208.800000000003</v>
      </c>
      <c r="AB1025" s="16"/>
    </row>
    <row r="1026" spans="1:28" ht="15.75" hidden="1" x14ac:dyDescent="0.25">
      <c r="A1026" s="20" t="s">
        <v>1251</v>
      </c>
      <c r="B1026" s="15">
        <v>45921</v>
      </c>
      <c r="C1026" s="26">
        <v>2</v>
      </c>
      <c r="D1026" s="55" t="str">
        <f>VLOOKUP(Main_Presentation[[#This Row],[LC Number]],Main_Issuance[],3,0)</f>
        <v>Rabih Makhoul</v>
      </c>
      <c r="E1026" s="16" t="s">
        <v>856</v>
      </c>
      <c r="F1026" s="17" t="str">
        <f>VLOOKUP(Main_Presentation[[#This Row],[LC Number]],Main_Issuance[],5,0)</f>
        <v>SNB</v>
      </c>
      <c r="G1026" s="17" t="str">
        <f>VLOOKUP(Main_Presentation[[#This Row],[LC Number]],Main_Issuance[],6,0)</f>
        <v>Opera House</v>
      </c>
      <c r="H1026" s="17" t="str">
        <f>VLOOKUP(Main_Presentation[[#This Row],[LC Number]],Main_Issuance[],17,0)</f>
        <v>Credit</v>
      </c>
      <c r="I1026" s="17" t="str">
        <f>VLOOKUP(Main_Presentation[[#This Row],[LC Number]],Main_Issuance[],7,0)</f>
        <v>High Al Shuhra Contracting Company</v>
      </c>
      <c r="J1026" s="17" t="str">
        <f>VLOOKUP(Main_Presentation[[#This Row],[LC Number]],Main_Issuance[],8,0)</f>
        <v>MBL</v>
      </c>
      <c r="K1026" s="17" t="str">
        <f>VLOOKUP(Main_Presentation[[#This Row],[LC Number]],Main_Issuance[],9,0)</f>
        <v>Rabigh Power Plant</v>
      </c>
      <c r="L1026" s="17">
        <f>VLOOKUP(Main_Presentation[[#This Row],[LC Number]],Main_Issuance[],10,0)</f>
        <v>1020107</v>
      </c>
      <c r="M1026" s="17" t="str">
        <f>VLOOKUP(Main_Presentation[[#This Row],[LC Number]],Main_Issuance[],11,0)</f>
        <v>SAR</v>
      </c>
      <c r="N1026" s="84">
        <f>VLOOKUP(Main_Presentation[[#This Row],[LC Number]],Main_Issuance[],12,0)</f>
        <v>3000000</v>
      </c>
      <c r="O1026" s="16" t="s">
        <v>20</v>
      </c>
      <c r="P1026" s="16" t="s">
        <v>378</v>
      </c>
      <c r="Q1026" s="131">
        <v>407201.89</v>
      </c>
      <c r="R1026" s="18">
        <v>1</v>
      </c>
      <c r="S1026" s="18">
        <f>Main_Presentation[[#This Row],[Invoice Amt (FCY)]]*Main_Presentation[[#This Row],[Rate]]</f>
        <v>407201.89</v>
      </c>
      <c r="T1026" s="15">
        <v>45921</v>
      </c>
      <c r="U1026" s="26" t="str">
        <f>VLOOKUP(Main_Presentation[[#This Row],[LC Number]],Main_Issuance[],18,0)</f>
        <v>45 Days from Invoice Date</v>
      </c>
      <c r="V1026" s="17" t="s">
        <v>1884</v>
      </c>
      <c r="W1026" s="22" t="s">
        <v>378</v>
      </c>
      <c r="X1026" s="16"/>
      <c r="Y1026" s="234" t="str">
        <f>TRIM(LEFT(Main_Presentation[[#This Row],[Payment Terms]],3))</f>
        <v>45</v>
      </c>
      <c r="Z1026" s="16"/>
      <c r="AA1026" s="316" cm="1">
        <f t="array" ref="AA1026">Settlement(Main_Presentation[[#This Row],[Bank]],Main_Presentation[[#This Row],[ Invoice Amt (SAR)]],Main_Presentation[[#This Row],[Date Recd]],Main_Presentation[[#This Row],[Due Date]],Main_Presentation[[#This Row],[Days]])</f>
        <v>655.5</v>
      </c>
      <c r="AB1026" s="16"/>
    </row>
    <row r="1027" spans="1:28" ht="15.75" hidden="1" x14ac:dyDescent="0.25">
      <c r="A1027" s="20" t="s">
        <v>1449</v>
      </c>
      <c r="B1027" s="15">
        <v>45881</v>
      </c>
      <c r="C1027" s="26">
        <v>2</v>
      </c>
      <c r="D1027" s="55" t="str">
        <f>VLOOKUP(Main_Presentation[[#This Row],[LC Number]],Main_Issuance[],3,0)</f>
        <v>Rabih Makhoul</v>
      </c>
      <c r="E1027" s="16" t="s">
        <v>856</v>
      </c>
      <c r="F1027" s="17" t="str">
        <f>VLOOKUP(Main_Presentation[[#This Row],[LC Number]],Main_Issuance[],5,0)</f>
        <v>SNB</v>
      </c>
      <c r="G1027" s="17" t="str">
        <f>VLOOKUP(Main_Presentation[[#This Row],[LC Number]],Main_Issuance[],6,0)</f>
        <v>Opera House</v>
      </c>
      <c r="H1027" s="17" t="str">
        <f>VLOOKUP(Main_Presentation[[#This Row],[LC Number]],Main_Issuance[],17,0)</f>
        <v>Credit</v>
      </c>
      <c r="I1027" s="17" t="str">
        <f>VLOOKUP(Main_Presentation[[#This Row],[LC Number]],Main_Issuance[],7,0)</f>
        <v>I Engineering KSA</v>
      </c>
      <c r="J1027" s="17" t="str">
        <f>VLOOKUP(Main_Presentation[[#This Row],[LC Number]],Main_Issuance[],8,0)</f>
        <v>MBL</v>
      </c>
      <c r="K1027" s="17" t="str">
        <f>VLOOKUP(Main_Presentation[[#This Row],[LC Number]],Main_Issuance[],9,0)</f>
        <v>Rabigh Power Plant</v>
      </c>
      <c r="L1027" s="17">
        <f>VLOOKUP(Main_Presentation[[#This Row],[LC Number]],Main_Issuance[],10,0)</f>
        <v>1020107</v>
      </c>
      <c r="M1027" s="17" t="str">
        <f>VLOOKUP(Main_Presentation[[#This Row],[LC Number]],Main_Issuance[],11,0)</f>
        <v>SAR</v>
      </c>
      <c r="N1027" s="84">
        <f>VLOOKUP(Main_Presentation[[#This Row],[LC Number]],Main_Issuance[],12,0)</f>
        <v>6577809.0999999996</v>
      </c>
      <c r="O1027" s="16" t="s">
        <v>20</v>
      </c>
      <c r="P1027" s="16" t="s">
        <v>378</v>
      </c>
      <c r="Q1027" s="131">
        <v>458740.58</v>
      </c>
      <c r="R1027" s="18">
        <v>1</v>
      </c>
      <c r="S1027" s="18">
        <f>Main_Presentation[[#This Row],[Invoice Amt (FCY)]]*Main_Presentation[[#This Row],[Rate]]</f>
        <v>458740.58</v>
      </c>
      <c r="T1027" s="15">
        <v>45890</v>
      </c>
      <c r="U1027" s="26" t="str">
        <f>VLOOKUP(Main_Presentation[[#This Row],[LC Number]],Main_Issuance[],18,0)</f>
        <v>60 Days from Invoice Date</v>
      </c>
      <c r="V1027" s="17" t="s">
        <v>511</v>
      </c>
      <c r="W1027" s="22" t="s">
        <v>857</v>
      </c>
      <c r="X1027" s="16"/>
      <c r="Y1027" s="234" t="str">
        <f>TRIM(LEFT(Main_Presentation[[#This Row],[Payment Terms]],3))</f>
        <v>60</v>
      </c>
      <c r="Z1027" s="16"/>
      <c r="AA1027" s="316" cm="1">
        <f t="array" ref="AA1027">Settlement(Main_Presentation[[#This Row],[Bank]],Main_Presentation[[#This Row],[ Invoice Amt (SAR)]],Main_Presentation[[#This Row],[Date Recd]],Main_Presentation[[#This Row],[Due Date]],Main_Presentation[[#This Row],[Days]])</f>
        <v>655.5</v>
      </c>
      <c r="AB1027" s="16"/>
    </row>
    <row r="1028" spans="1:28" ht="15.75" hidden="1" x14ac:dyDescent="0.25">
      <c r="A1028" s="20" t="s">
        <v>1438</v>
      </c>
      <c r="B1028" s="15">
        <v>45874</v>
      </c>
      <c r="C1028" s="26">
        <v>1</v>
      </c>
      <c r="D1028" s="55" t="str">
        <f>VLOOKUP(Main_Presentation[[#This Row],[LC Number]],Main_Issuance[],3,0)</f>
        <v>Hassan Taleb</v>
      </c>
      <c r="E1028" s="16" t="s">
        <v>858</v>
      </c>
      <c r="F1028" s="17" t="str">
        <f>VLOOKUP(Main_Presentation[[#This Row],[LC Number]],Main_Issuance[],5,0)</f>
        <v>SAB</v>
      </c>
      <c r="G1028" s="17" t="str">
        <f>VLOOKUP(Main_Presentation[[#This Row],[LC Number]],Main_Issuance[],6,0)</f>
        <v>MP1</v>
      </c>
      <c r="H1028" s="17" t="str">
        <f>VLOOKUP(Main_Presentation[[#This Row],[LC Number]],Main_Issuance[],17,0)</f>
        <v>Credit</v>
      </c>
      <c r="I1028" s="17" t="str">
        <f>VLOOKUP(Main_Presentation[[#This Row],[LC Number]],Main_Issuance[],7,0)</f>
        <v>Saudi Pipe Systems Co. Ltd.</v>
      </c>
      <c r="J1028" s="17" t="str">
        <f>VLOOKUP(Main_Presentation[[#This Row],[LC Number]],Main_Issuance[],8,0)</f>
        <v>FIRST FIX</v>
      </c>
      <c r="K1028" s="17" t="str">
        <f>VLOOKUP(Main_Presentation[[#This Row],[LC Number]],Main_Issuance[],9,0)</f>
        <v>MP1</v>
      </c>
      <c r="L1028" s="17">
        <f>VLOOKUP(Main_Presentation[[#This Row],[LC Number]],Main_Issuance[],10,0)</f>
        <v>1020088</v>
      </c>
      <c r="M1028" s="17" t="str">
        <f>VLOOKUP(Main_Presentation[[#This Row],[LC Number]],Main_Issuance[],11,0)</f>
        <v>SAR</v>
      </c>
      <c r="N1028" s="84">
        <f>VLOOKUP(Main_Presentation[[#This Row],[LC Number]],Main_Issuance[],12,0)</f>
        <v>524686.5</v>
      </c>
      <c r="O1028" s="16" t="s">
        <v>20</v>
      </c>
      <c r="P1028" s="16" t="s">
        <v>857</v>
      </c>
      <c r="Q1028" s="131">
        <v>524686.5</v>
      </c>
      <c r="R1028" s="18">
        <v>1</v>
      </c>
      <c r="S1028" s="18">
        <f>Main_Presentation[[#This Row],[Invoice Amt (FCY)]]*Main_Presentation[[#This Row],[Rate]]</f>
        <v>524686.5</v>
      </c>
      <c r="T1028" s="15">
        <v>45963</v>
      </c>
      <c r="U1028" s="26" t="str">
        <f>VLOOKUP(Main_Presentation[[#This Row],[LC Number]],Main_Issuance[],18,0)</f>
        <v>120 Days from Invoice Date</v>
      </c>
      <c r="V1028" s="17" t="s">
        <v>367</v>
      </c>
      <c r="W1028" s="22" t="s">
        <v>378</v>
      </c>
      <c r="X1028" s="16"/>
      <c r="Y1028" s="234" t="str">
        <f>TRIM(LEFT(Main_Presentation[[#This Row],[Payment Terms]],3))</f>
        <v>120</v>
      </c>
      <c r="Z1028" s="16"/>
      <c r="AA1028" s="316" cm="1">
        <f t="array" ref="AA1028">Settlement(Main_Presentation[[#This Row],[Bank]],Main_Presentation[[#This Row],[ Invoice Amt (SAR)]],Main_Presentation[[#This Row],[Date Recd]],Main_Presentation[[#This Row],[Due Date]],Main_Presentation[[#This Row],[Days]])</f>
        <v>2263.1999999999998</v>
      </c>
      <c r="AB1028" s="16"/>
    </row>
    <row r="1029" spans="1:28" ht="15.75" hidden="1" x14ac:dyDescent="0.25">
      <c r="A1029" s="20" t="s">
        <v>1420</v>
      </c>
      <c r="B1029" s="15">
        <v>45921</v>
      </c>
      <c r="C1029" s="26">
        <v>1</v>
      </c>
      <c r="D1029" s="55" t="str">
        <f>VLOOKUP(Main_Presentation[[#This Row],[LC Number]],Main_Issuance[],3,0)</f>
        <v>Hassan Taleb</v>
      </c>
      <c r="E1029" s="16" t="s">
        <v>856</v>
      </c>
      <c r="F1029" s="17" t="str">
        <f>VLOOKUP(Main_Presentation[[#This Row],[LC Number]],Main_Issuance[],5,0)</f>
        <v>SNB</v>
      </c>
      <c r="G1029" s="17" t="str">
        <f>VLOOKUP(Main_Presentation[[#This Row],[LC Number]],Main_Issuance[],6,0)</f>
        <v>Opera House</v>
      </c>
      <c r="H1029" s="17" t="str">
        <f>VLOOKUP(Main_Presentation[[#This Row],[LC Number]],Main_Issuance[],17,0)</f>
        <v>Credit</v>
      </c>
      <c r="I1029" s="17" t="str">
        <f>VLOOKUP(Main_Presentation[[#This Row],[LC Number]],Main_Issuance[],7,0)</f>
        <v>ALFANAR ELECTRICAL SYSTEMS</v>
      </c>
      <c r="J1029" s="17" t="str">
        <f>VLOOKUP(Main_Presentation[[#This Row],[LC Number]],Main_Issuance[],8,0)</f>
        <v>FIRST FIX</v>
      </c>
      <c r="K1029" s="17" t="str">
        <f>VLOOKUP(Main_Presentation[[#This Row],[LC Number]],Main_Issuance[],9,0)</f>
        <v>KSP</v>
      </c>
      <c r="L1029" s="17">
        <f>VLOOKUP(Main_Presentation[[#This Row],[LC Number]],Main_Issuance[],10,0)</f>
        <v>1020055</v>
      </c>
      <c r="M1029" s="17" t="str">
        <f>VLOOKUP(Main_Presentation[[#This Row],[LC Number]],Main_Issuance[],11,0)</f>
        <v>SAR</v>
      </c>
      <c r="N1029" s="84">
        <f>VLOOKUP(Main_Presentation[[#This Row],[LC Number]],Main_Issuance[],12,0)</f>
        <v>1539808.94</v>
      </c>
      <c r="O1029" s="16" t="s">
        <v>20</v>
      </c>
      <c r="P1029" s="16" t="s">
        <v>378</v>
      </c>
      <c r="Q1029" s="131">
        <v>1353135.09</v>
      </c>
      <c r="R1029" s="18">
        <v>1</v>
      </c>
      <c r="S1029" s="18">
        <f>Main_Presentation[[#This Row],[Invoice Amt (FCY)]]*Main_Presentation[[#This Row],[Rate]]</f>
        <v>1353135.09</v>
      </c>
      <c r="T1029" s="15">
        <v>45973</v>
      </c>
      <c r="U1029" s="26" t="str">
        <f>VLOOKUP(Main_Presentation[[#This Row],[LC Number]],Main_Issuance[],18,0)</f>
        <v>120 Days from Invoice Date</v>
      </c>
      <c r="V1029" s="17" t="s">
        <v>613</v>
      </c>
      <c r="W1029" s="22" t="s">
        <v>378</v>
      </c>
      <c r="X1029" s="16"/>
      <c r="Y1029" s="234" t="str">
        <f>TRIM(LEFT(Main_Presentation[[#This Row],[Payment Terms]],3))</f>
        <v>120</v>
      </c>
      <c r="Z1029" s="16"/>
      <c r="AA1029" s="316" cm="1">
        <f t="array" ref="AA1029">Settlement(Main_Presentation[[#This Row],[Bank]],Main_Presentation[[#This Row],[ Invoice Amt (SAR)]],Main_Presentation[[#This Row],[Date Recd]],Main_Presentation[[#This Row],[Due Date]],Main_Presentation[[#This Row],[Days]])</f>
        <v>6523.95</v>
      </c>
      <c r="AB1029" s="16"/>
    </row>
    <row r="1030" spans="1:28" ht="15.75" hidden="1" x14ac:dyDescent="0.25">
      <c r="A1030" s="20" t="s">
        <v>733</v>
      </c>
      <c r="B1030" s="15">
        <v>45886</v>
      </c>
      <c r="C1030" s="26">
        <v>4</v>
      </c>
      <c r="D1030" s="55" t="str">
        <f>VLOOKUP(Main_Presentation[[#This Row],[LC Number]],Main_Issuance[],3,0)</f>
        <v>Hassan Taleb</v>
      </c>
      <c r="E1030" s="16" t="s">
        <v>856</v>
      </c>
      <c r="F1030" s="17" t="str">
        <f>VLOOKUP(Main_Presentation[[#This Row],[LC Number]],Main_Issuance[],5,0)</f>
        <v>Jazira</v>
      </c>
      <c r="G1030" s="17" t="str">
        <f>VLOOKUP(Main_Presentation[[#This Row],[LC Number]],Main_Issuance[],6,0)</f>
        <v>RCRC</v>
      </c>
      <c r="H1030" s="17" t="str">
        <f>VLOOKUP(Main_Presentation[[#This Row],[LC Number]],Main_Issuance[],17,0)</f>
        <v>Credit</v>
      </c>
      <c r="I1030" s="17" t="str">
        <f>VLOOKUP(Main_Presentation[[#This Row],[LC Number]],Main_Issuance[],7,0)</f>
        <v>ALFANAR ELECTRICAL SYSTEMS</v>
      </c>
      <c r="J1030" s="17" t="str">
        <f>VLOOKUP(Main_Presentation[[#This Row],[LC Number]],Main_Issuance[],8,0)</f>
        <v>FIRST FIX</v>
      </c>
      <c r="K1030" s="17" t="str">
        <f>VLOOKUP(Main_Presentation[[#This Row],[LC Number]],Main_Issuance[],9,0)</f>
        <v>RCRC</v>
      </c>
      <c r="L1030" s="17">
        <f>VLOOKUP(Main_Presentation[[#This Row],[LC Number]],Main_Issuance[],10,0)</f>
        <v>1020106</v>
      </c>
      <c r="M1030" s="17" t="str">
        <f>VLOOKUP(Main_Presentation[[#This Row],[LC Number]],Main_Issuance[],11,0)</f>
        <v>SAR</v>
      </c>
      <c r="N1030" s="84">
        <f>VLOOKUP(Main_Presentation[[#This Row],[LC Number]],Main_Issuance[],12,0)</f>
        <v>8002636.4299999997</v>
      </c>
      <c r="O1030" s="16" t="s">
        <v>20</v>
      </c>
      <c r="P1030" s="16" t="s">
        <v>857</v>
      </c>
      <c r="Q1030" s="131">
        <v>1517946.44</v>
      </c>
      <c r="R1030" s="18">
        <v>1</v>
      </c>
      <c r="S1030" s="18">
        <f>Main_Presentation[[#This Row],[Invoice Amt (FCY)]]*Main_Presentation[[#This Row],[Rate]]</f>
        <v>1517946.44</v>
      </c>
      <c r="T1030" s="15">
        <v>45907</v>
      </c>
      <c r="U1030" s="26" t="str">
        <f>VLOOKUP(Main_Presentation[[#This Row],[LC Number]],Main_Issuance[],18,0)</f>
        <v>90 Days from Invoice Date</v>
      </c>
      <c r="V1030" s="17" t="s">
        <v>613</v>
      </c>
      <c r="W1030" s="22" t="s">
        <v>857</v>
      </c>
      <c r="X1030" s="16"/>
      <c r="Y1030" s="234" t="str">
        <f>TRIM(LEFT(Main_Presentation[[#This Row],[Payment Terms]],3))</f>
        <v>90</v>
      </c>
      <c r="Z1030" s="16"/>
      <c r="AA1030" s="316" cm="1">
        <f t="array" ref="AA1030">Settlement(Main_Presentation[[#This Row],[Bank]],Main_Presentation[[#This Row],[ Invoice Amt (SAR)]],Main_Presentation[[#This Row],[Date Recd]],Main_Presentation[[#This Row],[Due Date]],Main_Presentation[[#This Row],[Days]])</f>
        <v>1799.75</v>
      </c>
      <c r="AB1030" s="16"/>
    </row>
    <row r="1031" spans="1:28" ht="15.75" hidden="1" x14ac:dyDescent="0.25">
      <c r="A1031" s="20" t="s">
        <v>1275</v>
      </c>
      <c r="B1031" s="15">
        <v>45903</v>
      </c>
      <c r="C1031" s="26">
        <v>1</v>
      </c>
      <c r="D1031" s="55" t="str">
        <f>VLOOKUP(Main_Presentation[[#This Row],[LC Number]],Main_Issuance[],3,0)</f>
        <v>Hassan Taleb</v>
      </c>
      <c r="E1031" s="16" t="s">
        <v>858</v>
      </c>
      <c r="F1031" s="17" t="str">
        <f>VLOOKUP(Main_Presentation[[#This Row],[LC Number]],Main_Issuance[],5,0)</f>
        <v>BAB</v>
      </c>
      <c r="G1031" s="17" t="str">
        <f>VLOOKUP(Main_Presentation[[#This Row],[LC Number]],Main_Issuance[],6,0)</f>
        <v>Cash</v>
      </c>
      <c r="H1031" s="17" t="str">
        <f>VLOOKUP(Main_Presentation[[#This Row],[LC Number]],Main_Issuance[],17,0)</f>
        <v>Cash</v>
      </c>
      <c r="I1031" s="17" t="str">
        <f>VLOOKUP(Main_Presentation[[#This Row],[LC Number]],Main_Issuance[],7,0)</f>
        <v>ULTIMATE SOLUTIONS TRADING CO.</v>
      </c>
      <c r="J1031" s="17" t="str">
        <f>VLOOKUP(Main_Presentation[[#This Row],[LC Number]],Main_Issuance[],8,0)</f>
        <v>FIRST FIX</v>
      </c>
      <c r="K1031" s="17" t="str">
        <f>VLOOKUP(Main_Presentation[[#This Row],[LC Number]],Main_Issuance[],9,0)</f>
        <v>JCD SPMI</v>
      </c>
      <c r="L1031" s="17">
        <f>VLOOKUP(Main_Presentation[[#This Row],[LC Number]],Main_Issuance[],10,0)</f>
        <v>1020100</v>
      </c>
      <c r="M1031" s="17" t="str">
        <f>VLOOKUP(Main_Presentation[[#This Row],[LC Number]],Main_Issuance[],11,0)</f>
        <v>SAR</v>
      </c>
      <c r="N1031" s="84">
        <f>VLOOKUP(Main_Presentation[[#This Row],[LC Number]],Main_Issuance[],12,0)</f>
        <v>200000</v>
      </c>
      <c r="O1031" s="16" t="s">
        <v>20</v>
      </c>
      <c r="P1031" s="16" t="s">
        <v>857</v>
      </c>
      <c r="Q1031" s="131">
        <v>200000</v>
      </c>
      <c r="R1031" s="18">
        <v>1</v>
      </c>
      <c r="S1031" s="18">
        <f>Main_Presentation[[#This Row],[Invoice Amt (FCY)]]*Main_Presentation[[#This Row],[Rate]]</f>
        <v>200000</v>
      </c>
      <c r="T1031" s="15">
        <v>45956</v>
      </c>
      <c r="U1031" s="26" t="str">
        <f>VLOOKUP(Main_Presentation[[#This Row],[LC Number]],Main_Issuance[],18,0)</f>
        <v>120 Days from Invoice Date</v>
      </c>
      <c r="V1031" s="17" t="s">
        <v>1849</v>
      </c>
      <c r="W1031" s="22" t="s">
        <v>378</v>
      </c>
      <c r="X1031" s="16"/>
      <c r="Y1031" s="234" t="str">
        <f>TRIM(LEFT(Main_Presentation[[#This Row],[Payment Terms]],3))</f>
        <v>120</v>
      </c>
      <c r="Z1031" s="16"/>
      <c r="AA1031" s="316" cm="1">
        <f t="array" ref="AA1031">Settlement(Main_Presentation[[#This Row],[Bank]],Main_Presentation[[#This Row],[ Invoice Amt (SAR)]],Main_Presentation[[#This Row],[Date Recd]],Main_Presentation[[#This Row],[Due Date]],Main_Presentation[[#This Row],[Days]])</f>
        <v>0</v>
      </c>
      <c r="AB1031" s="16"/>
    </row>
    <row r="1032" spans="1:28" ht="15.75" hidden="1" x14ac:dyDescent="0.25">
      <c r="A1032" s="129" t="s">
        <v>1311</v>
      </c>
      <c r="B1032" s="15">
        <v>45917</v>
      </c>
      <c r="C1032" s="26">
        <v>2</v>
      </c>
      <c r="D1032" s="55" t="str">
        <f>VLOOKUP(Main_Presentation[[#This Row],[LC Number]],Main_Issuance[],3,0)</f>
        <v>Hassan Taleb</v>
      </c>
      <c r="E1032" s="16" t="s">
        <v>858</v>
      </c>
      <c r="F1032" s="17" t="str">
        <f>VLOOKUP(Main_Presentation[[#This Row],[LC Number]],Main_Issuance[],5,0)</f>
        <v>Alinma</v>
      </c>
      <c r="G1032" s="17" t="str">
        <f>VLOOKUP(Main_Presentation[[#This Row],[LC Number]],Main_Issuance[],6,0)</f>
        <v>KSP</v>
      </c>
      <c r="H1032" s="17" t="str">
        <f>VLOOKUP(Main_Presentation[[#This Row],[LC Number]],Main_Issuance[],17,0)</f>
        <v>Credit</v>
      </c>
      <c r="I1032" s="17" t="str">
        <f>VLOOKUP(Main_Presentation[[#This Row],[LC Number]],Main_Issuance[],7,0)</f>
        <v>AFAQ AL MALAZ TRADING CO.LTD</v>
      </c>
      <c r="J1032" s="17" t="str">
        <f>VLOOKUP(Main_Presentation[[#This Row],[LC Number]],Main_Issuance[],8,0)</f>
        <v>FIRST FIX</v>
      </c>
      <c r="K1032" s="17" t="str">
        <f>VLOOKUP(Main_Presentation[[#This Row],[LC Number]],Main_Issuance[],9,0)</f>
        <v>KSP</v>
      </c>
      <c r="L1032" s="17">
        <f>VLOOKUP(Main_Presentation[[#This Row],[LC Number]],Main_Issuance[],10,0)</f>
        <v>1020055</v>
      </c>
      <c r="M1032" s="17" t="str">
        <f>VLOOKUP(Main_Presentation[[#This Row],[LC Number]],Main_Issuance[],11,0)</f>
        <v>SAR</v>
      </c>
      <c r="N1032" s="84">
        <f>VLOOKUP(Main_Presentation[[#This Row],[LC Number]],Main_Issuance[],12,0)</f>
        <v>78117.13</v>
      </c>
      <c r="O1032" s="16" t="s">
        <v>20</v>
      </c>
      <c r="P1032" s="16" t="s">
        <v>857</v>
      </c>
      <c r="Q1032" s="131">
        <v>47696.38</v>
      </c>
      <c r="R1032" s="18">
        <v>1</v>
      </c>
      <c r="S1032" s="18">
        <f>Main_Presentation[[#This Row],[Invoice Amt (FCY)]]*Main_Presentation[[#This Row],[Rate]]</f>
        <v>47696.38</v>
      </c>
      <c r="T1032" s="15">
        <v>46028</v>
      </c>
      <c r="U1032" s="26" t="str">
        <f>VLOOKUP(Main_Presentation[[#This Row],[LC Number]],Main_Issuance[],18,0)</f>
        <v>120 Days from Invoice Date</v>
      </c>
      <c r="V1032" s="17" t="s">
        <v>22</v>
      </c>
      <c r="W1032" s="22" t="s">
        <v>857</v>
      </c>
      <c r="X1032" s="16"/>
      <c r="Y1032" s="234" t="str">
        <f>TRIM(LEFT(Main_Presentation[[#This Row],[Payment Terms]],3))</f>
        <v>120</v>
      </c>
      <c r="Z1032" s="16"/>
      <c r="AA1032" s="316" cm="1">
        <f t="array" ref="AA1032">Settlement(Main_Presentation[[#This Row],[Bank]],Main_Presentation[[#This Row],[ Invoice Amt (SAR)]],Main_Presentation[[#This Row],[Date Recd]],Main_Presentation[[#This Row],[Due Date]],Main_Presentation[[#This Row],[Days]])</f>
        <v>1437.5</v>
      </c>
      <c r="AB1032" s="16"/>
    </row>
    <row r="1033" spans="1:28" ht="15.75" hidden="1" x14ac:dyDescent="0.25">
      <c r="A1033" s="20" t="s">
        <v>717</v>
      </c>
      <c r="B1033" s="15">
        <v>45886</v>
      </c>
      <c r="C1033" s="26">
        <v>1</v>
      </c>
      <c r="D1033" s="55" t="str">
        <f>VLOOKUP(Main_Presentation[[#This Row],[LC Number]],Main_Issuance[],3,0)</f>
        <v>Hassan Taleb</v>
      </c>
      <c r="E1033" s="16" t="s">
        <v>856</v>
      </c>
      <c r="F1033" s="17" t="str">
        <f>VLOOKUP(Main_Presentation[[#This Row],[LC Number]],Main_Issuance[],5,0)</f>
        <v>Jazira</v>
      </c>
      <c r="G1033" s="17" t="str">
        <f>VLOOKUP(Main_Presentation[[#This Row],[LC Number]],Main_Issuance[],6,0)</f>
        <v>RCRC</v>
      </c>
      <c r="H1033" s="17" t="str">
        <f>VLOOKUP(Main_Presentation[[#This Row],[LC Number]],Main_Issuance[],17,0)</f>
        <v>Credit</v>
      </c>
      <c r="I1033" s="17" t="str">
        <f>VLOOKUP(Main_Presentation[[#This Row],[LC Number]],Main_Issuance[],7,0)</f>
        <v>Khorayef Industries</v>
      </c>
      <c r="J1033" s="17" t="str">
        <f>VLOOKUP(Main_Presentation[[#This Row],[LC Number]],Main_Issuance[],8,0)</f>
        <v>FIRST FIX</v>
      </c>
      <c r="K1033" s="17" t="str">
        <f>VLOOKUP(Main_Presentation[[#This Row],[LC Number]],Main_Issuance[],9,0)</f>
        <v>RCRC</v>
      </c>
      <c r="L1033" s="17">
        <f>VLOOKUP(Main_Presentation[[#This Row],[LC Number]],Main_Issuance[],10,0)</f>
        <v>1020106</v>
      </c>
      <c r="M1033" s="17" t="str">
        <f>VLOOKUP(Main_Presentation[[#This Row],[LC Number]],Main_Issuance[],11,0)</f>
        <v>SAR</v>
      </c>
      <c r="N1033" s="84">
        <f>VLOOKUP(Main_Presentation[[#This Row],[LC Number]],Main_Issuance[],12,0)</f>
        <v>646875</v>
      </c>
      <c r="O1033" s="16" t="s">
        <v>20</v>
      </c>
      <c r="P1033" s="16" t="s">
        <v>378</v>
      </c>
      <c r="Q1033" s="131">
        <v>646875</v>
      </c>
      <c r="R1033" s="18">
        <v>1</v>
      </c>
      <c r="S1033" s="18">
        <f>Main_Presentation[[#This Row],[Invoice Amt (FCY)]]*Main_Presentation[[#This Row],[Rate]]</f>
        <v>646875</v>
      </c>
      <c r="T1033" s="15">
        <v>45943</v>
      </c>
      <c r="U1033" s="26" t="str">
        <f>VLOOKUP(Main_Presentation[[#This Row],[LC Number]],Main_Issuance[],18,0)</f>
        <v>90 Days from Invoice Date</v>
      </c>
      <c r="V1033" s="17" t="s">
        <v>22</v>
      </c>
      <c r="W1033" s="22" t="s">
        <v>378</v>
      </c>
      <c r="X1033" s="16"/>
      <c r="Y1033" s="234" t="str">
        <f>TRIM(LEFT(Main_Presentation[[#This Row],[Payment Terms]],3))</f>
        <v>90</v>
      </c>
      <c r="Z1033" s="16"/>
      <c r="AA1033" s="316" cm="1">
        <f t="array" ref="AA1033">Settlement(Main_Presentation[[#This Row],[Bank]],Main_Presentation[[#This Row],[ Invoice Amt (SAR)]],Main_Presentation[[#This Row],[Date Recd]],Main_Presentation[[#This Row],[Due Date]],Main_Presentation[[#This Row],[Days]])</f>
        <v>1275.3499999999999</v>
      </c>
      <c r="AB1033" s="16"/>
    </row>
    <row r="1034" spans="1:28" ht="15.75" hidden="1" x14ac:dyDescent="0.25">
      <c r="A1034" s="20" t="s">
        <v>721</v>
      </c>
      <c r="B1034" s="15">
        <v>45937</v>
      </c>
      <c r="C1034" s="26">
        <v>2</v>
      </c>
      <c r="D1034" s="55" t="str">
        <f>VLOOKUP(Main_Presentation[[#This Row],[LC Number]],Main_Issuance[],3,0)</f>
        <v>Hassan Taleb</v>
      </c>
      <c r="E1034" s="16" t="s">
        <v>856</v>
      </c>
      <c r="F1034" s="17" t="str">
        <f>VLOOKUP(Main_Presentation[[#This Row],[LC Number]],Main_Issuance[],5,0)</f>
        <v>Jazira</v>
      </c>
      <c r="G1034" s="17" t="str">
        <f>VLOOKUP(Main_Presentation[[#This Row],[LC Number]],Main_Issuance[],6,0)</f>
        <v>RCRC</v>
      </c>
      <c r="H1034" s="17" t="str">
        <f>VLOOKUP(Main_Presentation[[#This Row],[LC Number]],Main_Issuance[],17,0)</f>
        <v>Credit</v>
      </c>
      <c r="I1034" s="17" t="str">
        <f>VLOOKUP(Main_Presentation[[#This Row],[LC Number]],Main_Issuance[],7,0)</f>
        <v>ALFANAR ELECTRICAL SYSTEMS</v>
      </c>
      <c r="J1034" s="17" t="str">
        <f>VLOOKUP(Main_Presentation[[#This Row],[LC Number]],Main_Issuance[],8,0)</f>
        <v>FIRST FIX</v>
      </c>
      <c r="K1034" s="17" t="str">
        <f>VLOOKUP(Main_Presentation[[#This Row],[LC Number]],Main_Issuance[],9,0)</f>
        <v>RCRC</v>
      </c>
      <c r="L1034" s="17">
        <f>VLOOKUP(Main_Presentation[[#This Row],[LC Number]],Main_Issuance[],10,0)</f>
        <v>1020106</v>
      </c>
      <c r="M1034" s="17" t="str">
        <f>VLOOKUP(Main_Presentation[[#This Row],[LC Number]],Main_Issuance[],11,0)</f>
        <v>SAR</v>
      </c>
      <c r="N1034" s="84">
        <f>VLOOKUP(Main_Presentation[[#This Row],[LC Number]],Main_Issuance[],12,0)</f>
        <v>2827275</v>
      </c>
      <c r="O1034" s="16" t="s">
        <v>20</v>
      </c>
      <c r="P1034" s="16" t="s">
        <v>857</v>
      </c>
      <c r="Q1034" s="131">
        <v>452640</v>
      </c>
      <c r="R1034" s="18">
        <v>1</v>
      </c>
      <c r="S1034" s="18">
        <f>Main_Presentation[[#This Row],[Invoice Amt (FCY)]]*Main_Presentation[[#This Row],[Rate]]</f>
        <v>452640</v>
      </c>
      <c r="T1034" s="15">
        <v>45937</v>
      </c>
      <c r="U1034" s="26" t="str">
        <f>VLOOKUP(Main_Presentation[[#This Row],[LC Number]],Main_Issuance[],18,0)</f>
        <v>90 Days from Invoice Date</v>
      </c>
      <c r="V1034" s="17" t="s">
        <v>613</v>
      </c>
      <c r="W1034" s="22" t="s">
        <v>857</v>
      </c>
      <c r="X1034" s="16"/>
      <c r="Y1034" s="234" t="str">
        <f>TRIM(LEFT(Main_Presentation[[#This Row],[Payment Terms]],3))</f>
        <v>90</v>
      </c>
      <c r="Z1034" s="16"/>
      <c r="AA1034" s="316" cm="1">
        <f t="array" ref="AA1034">Settlement(Main_Presentation[[#This Row],[Bank]],Main_Presentation[[#This Row],[ Invoice Amt (SAR)]],Main_Presentation[[#This Row],[Date Recd]],Main_Presentation[[#This Row],[Due Date]],Main_Presentation[[#This Row],[Days]])</f>
        <v>977.5</v>
      </c>
      <c r="AB1034" s="16"/>
    </row>
    <row r="1035" spans="1:28" ht="15.75" hidden="1" x14ac:dyDescent="0.25">
      <c r="A1035" s="20" t="s">
        <v>1280</v>
      </c>
      <c r="B1035" s="15">
        <v>45901</v>
      </c>
      <c r="C1035" s="26">
        <v>2</v>
      </c>
      <c r="D1035" s="55" t="str">
        <f>VLOOKUP(Main_Presentation[[#This Row],[LC Number]],Main_Issuance[],3,0)</f>
        <v>Hassan Taleb</v>
      </c>
      <c r="E1035" s="16" t="s">
        <v>858</v>
      </c>
      <c r="F1035" s="17" t="str">
        <f>VLOOKUP(Main_Presentation[[#This Row],[LC Number]],Main_Issuance[],5,0)</f>
        <v>BAB</v>
      </c>
      <c r="G1035" s="17" t="str">
        <f>VLOOKUP(Main_Presentation[[#This Row],[LC Number]],Main_Issuance[],6,0)</f>
        <v>Cash</v>
      </c>
      <c r="H1035" s="17" t="str">
        <f>VLOOKUP(Main_Presentation[[#This Row],[LC Number]],Main_Issuance[],17,0)</f>
        <v>Cash</v>
      </c>
      <c r="I1035" s="17" t="str">
        <f>VLOOKUP(Main_Presentation[[#This Row],[LC Number]],Main_Issuance[],7,0)</f>
        <v>KENZ SARAB MACHINERY AND EQUIPMENT COMPANY</v>
      </c>
      <c r="J1035" s="17" t="str">
        <f>VLOOKUP(Main_Presentation[[#This Row],[LC Number]],Main_Issuance[],8,0)</f>
        <v>FIRST FIX</v>
      </c>
      <c r="K1035" s="17" t="str">
        <f>VLOOKUP(Main_Presentation[[#This Row],[LC Number]],Main_Issuance[],9,0)</f>
        <v>JCD SPMI</v>
      </c>
      <c r="L1035" s="17">
        <f>VLOOKUP(Main_Presentation[[#This Row],[LC Number]],Main_Issuance[],10,0)</f>
        <v>1020100</v>
      </c>
      <c r="M1035" s="17" t="str">
        <f>VLOOKUP(Main_Presentation[[#This Row],[LC Number]],Main_Issuance[],11,0)</f>
        <v>SAR</v>
      </c>
      <c r="N1035" s="84">
        <f>VLOOKUP(Main_Presentation[[#This Row],[LC Number]],Main_Issuance[],12,0)</f>
        <v>500000</v>
      </c>
      <c r="O1035" s="16" t="s">
        <v>20</v>
      </c>
      <c r="P1035" s="16" t="s">
        <v>857</v>
      </c>
      <c r="Q1035" s="131">
        <v>141838.25</v>
      </c>
      <c r="R1035" s="18">
        <v>1</v>
      </c>
      <c r="S1035" s="18">
        <f>Main_Presentation[[#This Row],[Invoice Amt (FCY)]]*Main_Presentation[[#This Row],[Rate]]</f>
        <v>141838.25</v>
      </c>
      <c r="T1035" s="15">
        <v>45973</v>
      </c>
      <c r="U1035" s="26" t="str">
        <f>VLOOKUP(Main_Presentation[[#This Row],[LC Number]],Main_Issuance[],18,0)</f>
        <v>120 Days from Invoice Date</v>
      </c>
      <c r="V1035" s="17" t="s">
        <v>304</v>
      </c>
      <c r="W1035" s="22" t="s">
        <v>378</v>
      </c>
      <c r="X1035" s="16" t="s">
        <v>3787</v>
      </c>
      <c r="Y1035" s="234" t="str">
        <f>TRIM(LEFT(Main_Presentation[[#This Row],[Payment Terms]],3))</f>
        <v>120</v>
      </c>
      <c r="Z1035" s="16"/>
      <c r="AA1035" s="316" cm="1">
        <f t="array" ref="AA1035">Settlement(Main_Presentation[[#This Row],[Bank]],Main_Presentation[[#This Row],[ Invoice Amt (SAR)]],Main_Presentation[[#This Row],[Date Recd]],Main_Presentation[[#This Row],[Due Date]],Main_Presentation[[#This Row],[Days]])</f>
        <v>0</v>
      </c>
      <c r="AB1035" s="16"/>
    </row>
    <row r="1036" spans="1:28" ht="15.75" hidden="1" x14ac:dyDescent="0.25">
      <c r="A1036" s="20" t="s">
        <v>776</v>
      </c>
      <c r="B1036" s="15">
        <v>45917</v>
      </c>
      <c r="C1036" s="26">
        <v>1</v>
      </c>
      <c r="D1036" s="55" t="str">
        <f>VLOOKUP(Main_Presentation[[#This Row],[LC Number]],Main_Issuance[],3,0)</f>
        <v>Hassan Taleb</v>
      </c>
      <c r="E1036" s="16" t="s">
        <v>856</v>
      </c>
      <c r="F1036" s="17" t="str">
        <f>VLOOKUP(Main_Presentation[[#This Row],[LC Number]],Main_Issuance[],5,0)</f>
        <v>SAB</v>
      </c>
      <c r="G1036" s="17" t="str">
        <f>VLOOKUP(Main_Presentation[[#This Row],[LC Number]],Main_Issuance[],6,0)</f>
        <v>MP1</v>
      </c>
      <c r="H1036" s="17" t="str">
        <f>VLOOKUP(Main_Presentation[[#This Row],[LC Number]],Main_Issuance[],17,0)</f>
        <v>Credit</v>
      </c>
      <c r="I1036" s="17" t="str">
        <f>VLOOKUP(Main_Presentation[[#This Row],[LC Number]],Main_Issuance[],7,0)</f>
        <v>Mimar For Construction Tools And Trading Ltd</v>
      </c>
      <c r="J1036" s="17" t="str">
        <f>VLOOKUP(Main_Presentation[[#This Row],[LC Number]],Main_Issuance[],8,0)</f>
        <v>FIRST FIX</v>
      </c>
      <c r="K1036" s="17" t="str">
        <f>VLOOKUP(Main_Presentation[[#This Row],[LC Number]],Main_Issuance[],9,0)</f>
        <v>MP1</v>
      </c>
      <c r="L1036" s="17">
        <f>VLOOKUP(Main_Presentation[[#This Row],[LC Number]],Main_Issuance[],10,0)</f>
        <v>1020088</v>
      </c>
      <c r="M1036" s="17" t="str">
        <f>VLOOKUP(Main_Presentation[[#This Row],[LC Number]],Main_Issuance[],11,0)</f>
        <v>SAR</v>
      </c>
      <c r="N1036" s="84">
        <f>VLOOKUP(Main_Presentation[[#This Row],[LC Number]],Main_Issuance[],12,0)</f>
        <v>500000</v>
      </c>
      <c r="O1036" s="16" t="s">
        <v>20</v>
      </c>
      <c r="P1036" s="16" t="s">
        <v>857</v>
      </c>
      <c r="Q1036" s="131">
        <v>500000</v>
      </c>
      <c r="R1036" s="18">
        <v>1</v>
      </c>
      <c r="S1036" s="18">
        <f>Main_Presentation[[#This Row],[Invoice Amt (FCY)]]*Main_Presentation[[#This Row],[Rate]]</f>
        <v>500000</v>
      </c>
      <c r="T1036" s="15">
        <v>45942</v>
      </c>
      <c r="U1036" s="26" t="str">
        <f>VLOOKUP(Main_Presentation[[#This Row],[LC Number]],Main_Issuance[],18,0)</f>
        <v>90 Days from Invoice Date</v>
      </c>
      <c r="V1036" s="17" t="s">
        <v>710</v>
      </c>
      <c r="W1036" s="22" t="s">
        <v>857</v>
      </c>
      <c r="X1036" s="16"/>
      <c r="Y1036" s="234" t="str">
        <f>TRIM(LEFT(Main_Presentation[[#This Row],[Payment Terms]],3))</f>
        <v>90</v>
      </c>
      <c r="Z1036" s="16"/>
      <c r="AA1036" s="316" cm="1">
        <f t="array" ref="AA1036">Settlement(Main_Presentation[[#This Row],[Bank]],Main_Presentation[[#This Row],[ Invoice Amt (SAR)]],Main_Presentation[[#This Row],[Date Recd]],Main_Presentation[[#This Row],[Due Date]],Main_Presentation[[#This Row],[Days]])</f>
        <v>2156.25</v>
      </c>
      <c r="AB1036" s="16"/>
    </row>
    <row r="1037" spans="1:28" ht="15.75" hidden="1" x14ac:dyDescent="0.25">
      <c r="A1037" s="20" t="s">
        <v>1396</v>
      </c>
      <c r="B1037" s="15">
        <v>45882</v>
      </c>
      <c r="C1037" s="26">
        <v>1</v>
      </c>
      <c r="D1037" s="55" t="str">
        <f>VLOOKUP(Main_Presentation[[#This Row],[LC Number]],Main_Issuance[],3,0)</f>
        <v>Hassan Taleb</v>
      </c>
      <c r="E1037" s="16" t="s">
        <v>856</v>
      </c>
      <c r="F1037" s="17" t="str">
        <f>VLOOKUP(Main_Presentation[[#This Row],[LC Number]],Main_Issuance[],5,0)</f>
        <v>Jazira</v>
      </c>
      <c r="G1037" s="17" t="str">
        <f>VLOOKUP(Main_Presentation[[#This Row],[LC Number]],Main_Issuance[],6,0)</f>
        <v>RCRC</v>
      </c>
      <c r="H1037" s="17" t="str">
        <f>VLOOKUP(Main_Presentation[[#This Row],[LC Number]],Main_Issuance[],17,0)</f>
        <v>Credit</v>
      </c>
      <c r="I1037" s="17" t="str">
        <f>VLOOKUP(Main_Presentation[[#This Row],[LC Number]],Main_Issuance[],7,0)</f>
        <v>Baamer Group for Trading Company</v>
      </c>
      <c r="J1037" s="17" t="str">
        <f>VLOOKUP(Main_Presentation[[#This Row],[LC Number]],Main_Issuance[],8,0)</f>
        <v>FIRST FIX</v>
      </c>
      <c r="K1037" s="17" t="str">
        <f>VLOOKUP(Main_Presentation[[#This Row],[LC Number]],Main_Issuance[],9,0)</f>
        <v>RCRC</v>
      </c>
      <c r="L1037" s="17">
        <f>VLOOKUP(Main_Presentation[[#This Row],[LC Number]],Main_Issuance[],10,0)</f>
        <v>1020106</v>
      </c>
      <c r="M1037" s="17" t="str">
        <f>VLOOKUP(Main_Presentation[[#This Row],[LC Number]],Main_Issuance[],11,0)</f>
        <v>SAR</v>
      </c>
      <c r="N1037" s="84">
        <f>VLOOKUP(Main_Presentation[[#This Row],[LC Number]],Main_Issuance[],12,0)</f>
        <v>312828.75</v>
      </c>
      <c r="O1037" s="16" t="s">
        <v>20</v>
      </c>
      <c r="P1037" s="16" t="s">
        <v>378</v>
      </c>
      <c r="Q1037" s="131">
        <v>125131.5</v>
      </c>
      <c r="R1037" s="18">
        <v>1</v>
      </c>
      <c r="S1037" s="18">
        <f>Main_Presentation[[#This Row],[Invoice Amt (FCY)]]*Main_Presentation[[#This Row],[Rate]]</f>
        <v>125131.5</v>
      </c>
      <c r="T1037" s="15">
        <v>45943</v>
      </c>
      <c r="U1037" s="26" t="str">
        <f>VLOOKUP(Main_Presentation[[#This Row],[LC Number]],Main_Issuance[],18,0)</f>
        <v>90 Days from Invoice Date</v>
      </c>
      <c r="V1037" s="17" t="s">
        <v>22</v>
      </c>
      <c r="W1037" s="22" t="s">
        <v>378</v>
      </c>
      <c r="X1037" s="16"/>
      <c r="Y1037" s="234" t="str">
        <f>TRIM(LEFT(Main_Presentation[[#This Row],[Payment Terms]],3))</f>
        <v>90</v>
      </c>
      <c r="Z1037" s="16"/>
      <c r="AA1037" s="316" cm="1">
        <f t="array" ref="AA1037">Settlement(Main_Presentation[[#This Row],[Bank]],Main_Presentation[[#This Row],[ Invoice Amt (SAR)]],Main_Presentation[[#This Row],[Date Recd]],Main_Presentation[[#This Row],[Due Date]],Main_Presentation[[#This Row],[Days]])</f>
        <v>977.5</v>
      </c>
      <c r="AB1037" s="16"/>
    </row>
    <row r="1038" spans="1:28" ht="15.75" hidden="1" x14ac:dyDescent="0.25">
      <c r="A1038" s="20" t="s">
        <v>1499</v>
      </c>
      <c r="B1038" s="15">
        <v>45882</v>
      </c>
      <c r="C1038" s="26">
        <v>1</v>
      </c>
      <c r="D1038" s="55" t="str">
        <f>VLOOKUP(Main_Presentation[[#This Row],[LC Number]],Main_Issuance[],3,0)</f>
        <v>Hassan Taleb</v>
      </c>
      <c r="E1038" s="16" t="s">
        <v>858</v>
      </c>
      <c r="F1038" s="17" t="str">
        <f>VLOOKUP(Main_Presentation[[#This Row],[LC Number]],Main_Issuance[],5,0)</f>
        <v>Alinma</v>
      </c>
      <c r="G1038" s="17" t="str">
        <f>VLOOKUP(Main_Presentation[[#This Row],[LC Number]],Main_Issuance[],6,0)</f>
        <v>KSP</v>
      </c>
      <c r="H1038" s="17" t="str">
        <f>VLOOKUP(Main_Presentation[[#This Row],[LC Number]],Main_Issuance[],17,0)</f>
        <v>Credit</v>
      </c>
      <c r="I1038" s="17" t="str">
        <f>VLOOKUP(Main_Presentation[[#This Row],[LC Number]],Main_Issuance[],7,0)</f>
        <v>Electric House Trading Company L.L.C.</v>
      </c>
      <c r="J1038" s="17" t="str">
        <f>VLOOKUP(Main_Presentation[[#This Row],[LC Number]],Main_Issuance[],8,0)</f>
        <v>FIRST FIX</v>
      </c>
      <c r="K1038" s="17" t="str">
        <f>VLOOKUP(Main_Presentation[[#This Row],[LC Number]],Main_Issuance[],9,0)</f>
        <v>JCD SPMI</v>
      </c>
      <c r="L1038" s="17">
        <f>VLOOKUP(Main_Presentation[[#This Row],[LC Number]],Main_Issuance[],10,0)</f>
        <v>1020100</v>
      </c>
      <c r="M1038" s="17" t="str">
        <f>VLOOKUP(Main_Presentation[[#This Row],[LC Number]],Main_Issuance[],11,0)</f>
        <v>SAR</v>
      </c>
      <c r="N1038" s="84">
        <f>VLOOKUP(Main_Presentation[[#This Row],[LC Number]],Main_Issuance[],12,0)</f>
        <v>900000</v>
      </c>
      <c r="O1038" s="16" t="s">
        <v>20</v>
      </c>
      <c r="P1038" s="16" t="s">
        <v>857</v>
      </c>
      <c r="Q1038" s="131">
        <v>900000</v>
      </c>
      <c r="R1038" s="18">
        <v>1</v>
      </c>
      <c r="S1038" s="18">
        <f>Main_Presentation[[#This Row],[Invoice Amt (FCY)]]*Main_Presentation[[#This Row],[Rate]]</f>
        <v>900000</v>
      </c>
      <c r="T1038" s="15">
        <v>45965</v>
      </c>
      <c r="U1038" s="26" t="str">
        <f>VLOOKUP(Main_Presentation[[#This Row],[LC Number]],Main_Issuance[],18,0)</f>
        <v>120 Days from Invoice Date</v>
      </c>
      <c r="V1038" s="17" t="s">
        <v>511</v>
      </c>
      <c r="W1038" s="22" t="s">
        <v>378</v>
      </c>
      <c r="X1038" s="16"/>
      <c r="Y1038" s="234" t="str">
        <f>TRIM(LEFT(Main_Presentation[[#This Row],[Payment Terms]],3))</f>
        <v>120</v>
      </c>
      <c r="Z1038" s="16"/>
      <c r="AA1038" s="316" cm="1">
        <f t="array" ref="AA1038">Settlement(Main_Presentation[[#This Row],[Bank]],Main_Presentation[[#This Row],[ Invoice Amt (SAR)]],Main_Presentation[[#This Row],[Date Recd]],Main_Presentation[[#This Row],[Due Date]],Main_Presentation[[#This Row],[Days]])</f>
        <v>1437.5</v>
      </c>
      <c r="AB1038" s="16"/>
    </row>
    <row r="1039" spans="1:28" ht="15.75" hidden="1" x14ac:dyDescent="0.25">
      <c r="A1039" s="20" t="s">
        <v>1426</v>
      </c>
      <c r="B1039" s="15">
        <v>45924</v>
      </c>
      <c r="C1039" s="26">
        <v>1</v>
      </c>
      <c r="D1039" s="55" t="str">
        <f>VLOOKUP(Main_Presentation[[#This Row],[LC Number]],Main_Issuance[],3,0)</f>
        <v>Hassan Taleb</v>
      </c>
      <c r="E1039" s="16" t="s">
        <v>858</v>
      </c>
      <c r="F1039" s="17" t="str">
        <f>VLOOKUP(Main_Presentation[[#This Row],[LC Number]],Main_Issuance[],5,0)</f>
        <v>SNB</v>
      </c>
      <c r="G1039" s="17" t="str">
        <f>VLOOKUP(Main_Presentation[[#This Row],[LC Number]],Main_Issuance[],6,0)</f>
        <v>Opera House</v>
      </c>
      <c r="H1039" s="17" t="str">
        <f>VLOOKUP(Main_Presentation[[#This Row],[LC Number]],Main_Issuance[],17,0)</f>
        <v>Credit</v>
      </c>
      <c r="I1039" s="17" t="str">
        <f>VLOOKUP(Main_Presentation[[#This Row],[LC Number]],Main_Issuance[],7,0)</f>
        <v>ARABIAN INTERNATIONAL COMPANY FOR CONTRACTING</v>
      </c>
      <c r="J1039" s="17" t="str">
        <f>VLOOKUP(Main_Presentation[[#This Row],[LC Number]],Main_Issuance[],8,0)</f>
        <v>FIRST FIX</v>
      </c>
      <c r="K1039" s="17" t="str">
        <f>VLOOKUP(Main_Presentation[[#This Row],[LC Number]],Main_Issuance[],9,0)</f>
        <v>KSP</v>
      </c>
      <c r="L1039" s="17">
        <f>VLOOKUP(Main_Presentation[[#This Row],[LC Number]],Main_Issuance[],10,0)</f>
        <v>1020055</v>
      </c>
      <c r="M1039" s="17" t="str">
        <f>VLOOKUP(Main_Presentation[[#This Row],[LC Number]],Main_Issuance[],11,0)</f>
        <v>SAR</v>
      </c>
      <c r="N1039" s="84">
        <f>VLOOKUP(Main_Presentation[[#This Row],[LC Number]],Main_Issuance[],12,0)</f>
        <v>1000000</v>
      </c>
      <c r="O1039" s="16" t="s">
        <v>20</v>
      </c>
      <c r="P1039" s="16" t="s">
        <v>378</v>
      </c>
      <c r="Q1039" s="131">
        <v>1000000</v>
      </c>
      <c r="R1039" s="18">
        <v>1</v>
      </c>
      <c r="S1039" s="18">
        <f>Main_Presentation[[#This Row],[Invoice Amt (FCY)]]*Main_Presentation[[#This Row],[Rate]]</f>
        <v>1000000</v>
      </c>
      <c r="T1039" s="15">
        <v>45959</v>
      </c>
      <c r="U1039" s="26" t="str">
        <f>VLOOKUP(Main_Presentation[[#This Row],[LC Number]],Main_Issuance[],18,0)</f>
        <v>120 Days from Invoice Date</v>
      </c>
      <c r="V1039" s="17" t="s">
        <v>22</v>
      </c>
      <c r="W1039" s="22" t="s">
        <v>857</v>
      </c>
      <c r="X1039" s="246"/>
      <c r="Y1039" s="234" t="str">
        <f>TRIM(LEFT(Main_Presentation[[#This Row],[Payment Terms]],3))</f>
        <v>120</v>
      </c>
      <c r="Z1039" s="16"/>
      <c r="AA1039" s="316" cm="1">
        <f t="array" ref="AA1039">Settlement(Main_Presentation[[#This Row],[Bank]],Main_Presentation[[#This Row],[ Invoice Amt (SAR)]],Main_Presentation[[#This Row],[Date Recd]],Main_Presentation[[#This Row],[Due Date]],Main_Presentation[[#This Row],[Days]])</f>
        <v>2435.6999999999998</v>
      </c>
      <c r="AB1039" s="16"/>
    </row>
    <row r="1040" spans="1:28" ht="15.75" hidden="1" x14ac:dyDescent="0.25">
      <c r="A1040" s="20" t="s">
        <v>700</v>
      </c>
      <c r="B1040" s="15">
        <v>45869</v>
      </c>
      <c r="C1040" s="26">
        <v>3</v>
      </c>
      <c r="D1040" s="55" t="str">
        <f>VLOOKUP(Main_Presentation[[#This Row],[LC Number]],Main_Issuance[],3,0)</f>
        <v>Tareeq Telmasani</v>
      </c>
      <c r="E1040" s="16" t="s">
        <v>858</v>
      </c>
      <c r="F1040" s="17" t="str">
        <f>VLOOKUP(Main_Presentation[[#This Row],[LC Number]],Main_Issuance[],5,0)</f>
        <v>SAB</v>
      </c>
      <c r="G1040" s="17" t="str">
        <f>VLOOKUP(Main_Presentation[[#This Row],[LC Number]],Main_Issuance[],6,0)</f>
        <v>CEER</v>
      </c>
      <c r="H1040" s="17" t="str">
        <f>VLOOKUP(Main_Presentation[[#This Row],[LC Number]],Main_Issuance[],17,0)</f>
        <v>Credit</v>
      </c>
      <c r="I1040" s="17" t="str">
        <f>VLOOKUP(Main_Presentation[[#This Row],[LC Number]],Main_Issuance[],7,0)</f>
        <v>MATERIALS SYSTEMS AND INDUSTRIAL SOLUTIONS COMPANY</v>
      </c>
      <c r="J1040" s="17" t="str">
        <f>VLOOKUP(Main_Presentation[[#This Row],[LC Number]],Main_Issuance[],8,0)</f>
        <v>MBL</v>
      </c>
      <c r="K1040" s="17" t="str">
        <f>VLOOKUP(Main_Presentation[[#This Row],[LC Number]],Main_Issuance[],9,0)</f>
        <v>CEER</v>
      </c>
      <c r="L1040" s="17">
        <f>VLOOKUP(Main_Presentation[[#This Row],[LC Number]],Main_Issuance[],10,0)</f>
        <v>1020091</v>
      </c>
      <c r="M1040" s="17" t="str">
        <f>VLOOKUP(Main_Presentation[[#This Row],[LC Number]],Main_Issuance[],11,0)</f>
        <v>SAR</v>
      </c>
      <c r="N1040" s="84">
        <f>VLOOKUP(Main_Presentation[[#This Row],[LC Number]],Main_Issuance[],12,0)</f>
        <v>4859479.5600000005</v>
      </c>
      <c r="O1040" s="16" t="s">
        <v>20</v>
      </c>
      <c r="P1040" s="16" t="s">
        <v>857</v>
      </c>
      <c r="Q1040" s="131">
        <v>496480.71</v>
      </c>
      <c r="R1040" s="18">
        <v>1</v>
      </c>
      <c r="S1040" s="18">
        <f>Main_Presentation[[#This Row],[Invoice Amt (FCY)]]*Main_Presentation[[#This Row],[Rate]]</f>
        <v>496480.71</v>
      </c>
      <c r="T1040" s="15">
        <v>45936</v>
      </c>
      <c r="U1040" s="26" t="str">
        <f>VLOOKUP(Main_Presentation[[#This Row],[LC Number]],Main_Issuance[],18,0)</f>
        <v>90 Days from Invoice Date</v>
      </c>
      <c r="V1040" s="17" t="s">
        <v>367</v>
      </c>
      <c r="W1040" s="22" t="s">
        <v>857</v>
      </c>
      <c r="X1040" s="16"/>
      <c r="Y1040" s="234" t="str">
        <f>TRIM(LEFT(Main_Presentation[[#This Row],[Payment Terms]],3))</f>
        <v>90</v>
      </c>
      <c r="Z1040" s="16"/>
      <c r="AA1040" s="316" cm="1">
        <f t="array" ref="AA1040">Settlement(Main_Presentation[[#This Row],[Bank]],Main_Presentation[[#This Row],[ Invoice Amt (SAR)]],Main_Presentation[[#This Row],[Date Recd]],Main_Presentation[[#This Row],[Due Date]],Main_Presentation[[#This Row],[Days]])</f>
        <v>2141.3000000000002</v>
      </c>
      <c r="AB1040" s="16"/>
    </row>
    <row r="1041" spans="1:28" ht="15.75" hidden="1" x14ac:dyDescent="0.25">
      <c r="A1041" s="20" t="s">
        <v>700</v>
      </c>
      <c r="B1041" s="15">
        <v>45869</v>
      </c>
      <c r="C1041" s="26">
        <v>4</v>
      </c>
      <c r="D1041" s="55" t="str">
        <f>VLOOKUP(Main_Presentation[[#This Row],[LC Number]],Main_Issuance[],3,0)</f>
        <v>Tareeq Telmasani</v>
      </c>
      <c r="E1041" s="16" t="s">
        <v>858</v>
      </c>
      <c r="F1041" s="17" t="str">
        <f>VLOOKUP(Main_Presentation[[#This Row],[LC Number]],Main_Issuance[],5,0)</f>
        <v>SAB</v>
      </c>
      <c r="G1041" s="17" t="str">
        <f>VLOOKUP(Main_Presentation[[#This Row],[LC Number]],Main_Issuance[],6,0)</f>
        <v>CEER</v>
      </c>
      <c r="H1041" s="17" t="str">
        <f>VLOOKUP(Main_Presentation[[#This Row],[LC Number]],Main_Issuance[],17,0)</f>
        <v>Credit</v>
      </c>
      <c r="I1041" s="17" t="str">
        <f>VLOOKUP(Main_Presentation[[#This Row],[LC Number]],Main_Issuance[],7,0)</f>
        <v>MATERIALS SYSTEMS AND INDUSTRIAL SOLUTIONS COMPANY</v>
      </c>
      <c r="J1041" s="17" t="str">
        <f>VLOOKUP(Main_Presentation[[#This Row],[LC Number]],Main_Issuance[],8,0)</f>
        <v>MBL</v>
      </c>
      <c r="K1041" s="17" t="str">
        <f>VLOOKUP(Main_Presentation[[#This Row],[LC Number]],Main_Issuance[],9,0)</f>
        <v>CEER</v>
      </c>
      <c r="L1041" s="17">
        <f>VLOOKUP(Main_Presentation[[#This Row],[LC Number]],Main_Issuance[],10,0)</f>
        <v>1020091</v>
      </c>
      <c r="M1041" s="17" t="str">
        <f>VLOOKUP(Main_Presentation[[#This Row],[LC Number]],Main_Issuance[],11,0)</f>
        <v>SAR</v>
      </c>
      <c r="N1041" s="84">
        <f>VLOOKUP(Main_Presentation[[#This Row],[LC Number]],Main_Issuance[],12,0)</f>
        <v>4859479.5600000005</v>
      </c>
      <c r="O1041" s="16" t="s">
        <v>20</v>
      </c>
      <c r="P1041" s="16" t="s">
        <v>857</v>
      </c>
      <c r="Q1041" s="131">
        <v>602181.22</v>
      </c>
      <c r="R1041" s="18">
        <v>1</v>
      </c>
      <c r="S1041" s="18">
        <f>Main_Presentation[[#This Row],[Invoice Amt (FCY)]]*Main_Presentation[[#This Row],[Rate]]</f>
        <v>602181.22</v>
      </c>
      <c r="T1041" s="15">
        <v>45929</v>
      </c>
      <c r="U1041" s="26" t="str">
        <f>VLOOKUP(Main_Presentation[[#This Row],[LC Number]],Main_Issuance[],18,0)</f>
        <v>90 Days from Invoice Date</v>
      </c>
      <c r="V1041" s="17" t="s">
        <v>367</v>
      </c>
      <c r="W1041" s="22" t="s">
        <v>857</v>
      </c>
      <c r="X1041" s="16"/>
      <c r="Y1041" s="234" t="str">
        <f>TRIM(LEFT(Main_Presentation[[#This Row],[Payment Terms]],3))</f>
        <v>90</v>
      </c>
      <c r="Z1041" s="16"/>
      <c r="AA1041" s="316" cm="1">
        <f t="array" ref="AA1041">Settlement(Main_Presentation[[#This Row],[Bank]],Main_Presentation[[#This Row],[ Invoice Amt (SAR)]],Main_Presentation[[#This Row],[Date Recd]],Main_Presentation[[#This Row],[Due Date]],Main_Presentation[[#This Row],[Days]])</f>
        <v>2596.6999999999998</v>
      </c>
      <c r="AB1041" s="16"/>
    </row>
    <row r="1042" spans="1:28" ht="15.75" hidden="1" x14ac:dyDescent="0.25">
      <c r="A1042" s="20" t="s">
        <v>1285</v>
      </c>
      <c r="B1042" s="15">
        <v>45868</v>
      </c>
      <c r="C1042" s="26">
        <v>1</v>
      </c>
      <c r="D1042" s="55" t="str">
        <f>VLOOKUP(Main_Presentation[[#This Row],[LC Number]],Main_Issuance[],3,0)</f>
        <v>Hashmat Khan</v>
      </c>
      <c r="E1042" s="16" t="s">
        <v>856</v>
      </c>
      <c r="F1042" s="17" t="str">
        <f>VLOOKUP(Main_Presentation[[#This Row],[LC Number]],Main_Issuance[],5,0)</f>
        <v>Alinma</v>
      </c>
      <c r="G1042" s="17" t="str">
        <f>VLOOKUP(Main_Presentation[[#This Row],[LC Number]],Main_Issuance[],6,0)</f>
        <v>KSP</v>
      </c>
      <c r="H1042" s="17" t="str">
        <f>VLOOKUP(Main_Presentation[[#This Row],[LC Number]],Main_Issuance[],17,0)</f>
        <v>Credit</v>
      </c>
      <c r="I1042" s="17" t="str">
        <f>VLOOKUP(Main_Presentation[[#This Row],[LC Number]],Main_Issuance[],7,0)</f>
        <v>Extron Electronics Middle East FZE</v>
      </c>
      <c r="J1042" s="17" t="str">
        <f>VLOOKUP(Main_Presentation[[#This Row],[LC Number]],Main_Issuance[],8,0)</f>
        <v>MBL/ICAD</v>
      </c>
      <c r="K1042" s="17" t="str">
        <f>VLOOKUP(Main_Presentation[[#This Row],[LC Number]],Main_Issuance[],9,0)</f>
        <v>KSP</v>
      </c>
      <c r="L1042" s="17">
        <f>VLOOKUP(Main_Presentation[[#This Row],[LC Number]],Main_Issuance[],10,0)</f>
        <v>1020055</v>
      </c>
      <c r="M1042" s="17" t="str">
        <f>VLOOKUP(Main_Presentation[[#This Row],[LC Number]],Main_Issuance[],11,0)</f>
        <v>USD</v>
      </c>
      <c r="N1042" s="84">
        <f>VLOOKUP(Main_Presentation[[#This Row],[LC Number]],Main_Issuance[],12,0)</f>
        <v>272816.33999999997</v>
      </c>
      <c r="O1042" s="16" t="s">
        <v>20</v>
      </c>
      <c r="P1042" s="16" t="s">
        <v>857</v>
      </c>
      <c r="Q1042" s="131">
        <v>272816.34000000003</v>
      </c>
      <c r="R1042" s="18">
        <v>3.75</v>
      </c>
      <c r="S1042" s="18">
        <f>Main_Presentation[[#This Row],[Invoice Amt (FCY)]]*Main_Presentation[[#This Row],[Rate]]</f>
        <v>1023061.2750000001</v>
      </c>
      <c r="T1042" s="15">
        <v>45945</v>
      </c>
      <c r="U1042" s="26" t="str">
        <f>VLOOKUP(Main_Presentation[[#This Row],[LC Number]],Main_Issuance[],18,0)</f>
        <v>90 Days from Invoice Date</v>
      </c>
      <c r="V1042" s="17" t="s">
        <v>22</v>
      </c>
      <c r="W1042" s="22" t="s">
        <v>857</v>
      </c>
      <c r="X1042" s="16"/>
      <c r="Y1042" s="234" t="str">
        <f>TRIM(LEFT(Main_Presentation[[#This Row],[Payment Terms]],3))</f>
        <v>90</v>
      </c>
      <c r="Z1042" s="16"/>
      <c r="AA1042" s="316" cm="1">
        <f t="array" ref="AA1042">Settlement(Main_Presentation[[#This Row],[Bank]],Main_Presentation[[#This Row],[ Invoice Amt (SAR)]],Main_Presentation[[#This Row],[Date Recd]],Main_Presentation[[#This Row],[Due Date]],Main_Presentation[[#This Row],[Days]])</f>
        <v>1437.5</v>
      </c>
      <c r="AB1042" s="16"/>
    </row>
    <row r="1043" spans="1:28" ht="15.75" hidden="1" x14ac:dyDescent="0.25">
      <c r="A1043" s="20" t="s">
        <v>1637</v>
      </c>
      <c r="B1043" s="15">
        <v>45888</v>
      </c>
      <c r="C1043" s="26">
        <v>1</v>
      </c>
      <c r="D1043" s="55" t="str">
        <f>VLOOKUP(Main_Presentation[[#This Row],[LC Number]],Main_Issuance[],3,0)</f>
        <v>Tareeq Telmasani</v>
      </c>
      <c r="E1043" s="16" t="s">
        <v>858</v>
      </c>
      <c r="F1043" s="17" t="str">
        <f>VLOOKUP(Main_Presentation[[#This Row],[LC Number]],Main_Issuance[],5,0)</f>
        <v>SAB</v>
      </c>
      <c r="G1043" s="17" t="str">
        <f>VLOOKUP(Main_Presentation[[#This Row],[LC Number]],Main_Issuance[],6,0)</f>
        <v>CEER</v>
      </c>
      <c r="H1043" s="17" t="str">
        <f>VLOOKUP(Main_Presentation[[#This Row],[LC Number]],Main_Issuance[],17,0)</f>
        <v>Credit</v>
      </c>
      <c r="I1043" s="17" t="str">
        <f>VLOOKUP(Main_Presentation[[#This Row],[LC Number]],Main_Issuance[],7,0)</f>
        <v>The Fundamental Installation For Electric Work Co</v>
      </c>
      <c r="J1043" s="17" t="str">
        <f>VLOOKUP(Main_Presentation[[#This Row],[LC Number]],Main_Issuance[],8,0)</f>
        <v>FIRST FIX</v>
      </c>
      <c r="K1043" s="17" t="str">
        <f>VLOOKUP(Main_Presentation[[#This Row],[LC Number]],Main_Issuance[],9,0)</f>
        <v>CEER</v>
      </c>
      <c r="L1043" s="17">
        <f>VLOOKUP(Main_Presentation[[#This Row],[LC Number]],Main_Issuance[],10,0)</f>
        <v>1020091</v>
      </c>
      <c r="M1043" s="17" t="str">
        <f>VLOOKUP(Main_Presentation[[#This Row],[LC Number]],Main_Issuance[],11,0)</f>
        <v>SAR</v>
      </c>
      <c r="N1043" s="84">
        <f>VLOOKUP(Main_Presentation[[#This Row],[LC Number]],Main_Issuance[],12,0)</f>
        <v>40540825</v>
      </c>
      <c r="O1043" s="16" t="s">
        <v>20</v>
      </c>
      <c r="P1043" s="16" t="s">
        <v>857</v>
      </c>
      <c r="Q1043" s="131">
        <v>25000000</v>
      </c>
      <c r="R1043" s="18">
        <v>1</v>
      </c>
      <c r="S1043" s="18">
        <f>Main_Presentation[[#This Row],[Invoice Amt (FCY)]]*Main_Presentation[[#This Row],[Rate]]</f>
        <v>25000000</v>
      </c>
      <c r="T1043" s="15">
        <v>45928</v>
      </c>
      <c r="U1043" s="26" t="str">
        <f>VLOOKUP(Main_Presentation[[#This Row],[LC Number]],Main_Issuance[],18,0)</f>
        <v>60 Days from Invoice Date</v>
      </c>
      <c r="V1043" s="17" t="s">
        <v>367</v>
      </c>
      <c r="W1043" s="22" t="s">
        <v>857</v>
      </c>
      <c r="X1043" s="16"/>
      <c r="Y1043" s="234" t="str">
        <f>TRIM(LEFT(Main_Presentation[[#This Row],[Payment Terms]],3))</f>
        <v>60</v>
      </c>
      <c r="Z1043" s="16"/>
      <c r="AA1043" s="316" cm="1">
        <f t="array" ref="AA1043">Settlement(Main_Presentation[[#This Row],[Bank]],Main_Presentation[[#This Row],[ Invoice Amt (SAR)]],Main_Presentation[[#This Row],[Date Recd]],Main_Presentation[[#This Row],[Due Date]],Main_Presentation[[#This Row],[Days]])</f>
        <v>107812.5</v>
      </c>
      <c r="AB1043" s="16"/>
    </row>
    <row r="1044" spans="1:28" ht="15.75" hidden="1" x14ac:dyDescent="0.25">
      <c r="A1044" s="20" t="s">
        <v>493</v>
      </c>
      <c r="B1044" s="15">
        <v>45915</v>
      </c>
      <c r="C1044" s="26">
        <v>2</v>
      </c>
      <c r="D1044" s="55" t="str">
        <f>VLOOKUP(Main_Presentation[[#This Row],[LC Number]],Main_Issuance[],3,0)</f>
        <v>Rabih Makhoul</v>
      </c>
      <c r="E1044" s="16" t="s">
        <v>856</v>
      </c>
      <c r="F1044" s="17" t="str">
        <f>VLOOKUP(Main_Presentation[[#This Row],[LC Number]],Main_Issuance[],5,0)</f>
        <v>Alinma</v>
      </c>
      <c r="G1044" s="17" t="str">
        <f>VLOOKUP(Main_Presentation[[#This Row],[LC Number]],Main_Issuance[],6,0)</f>
        <v>KSP</v>
      </c>
      <c r="H1044" s="17" t="str">
        <f>VLOOKUP(Main_Presentation[[#This Row],[LC Number]],Main_Issuance[],17,0)</f>
        <v>Credit</v>
      </c>
      <c r="I1044" s="17" t="str">
        <f>VLOOKUP(Main_Presentation[[#This Row],[LC Number]],Main_Issuance[],7,0)</f>
        <v>MASTTE - Moadon Advance Services Technology Company</v>
      </c>
      <c r="J1044" s="17" t="str">
        <f>VLOOKUP(Main_Presentation[[#This Row],[LC Number]],Main_Issuance[],8,0)</f>
        <v>MBL</v>
      </c>
      <c r="K1044" s="17" t="str">
        <f>VLOOKUP(Main_Presentation[[#This Row],[LC Number]],Main_Issuance[],9,0)</f>
        <v>KAP</v>
      </c>
      <c r="L1044" s="17">
        <f>VLOOKUP(Main_Presentation[[#This Row],[LC Number]],Main_Issuance[],10,0)</f>
        <v>1020060</v>
      </c>
      <c r="M1044" s="17" t="str">
        <f>VLOOKUP(Main_Presentation[[#This Row],[LC Number]],Main_Issuance[],11,0)</f>
        <v>SAR</v>
      </c>
      <c r="N1044" s="84">
        <f>VLOOKUP(Main_Presentation[[#This Row],[LC Number]],Main_Issuance[],12,0)</f>
        <v>1253500</v>
      </c>
      <c r="O1044" s="16" t="s">
        <v>20</v>
      </c>
      <c r="P1044" s="16" t="s">
        <v>857</v>
      </c>
      <c r="Q1044" s="131">
        <v>125350</v>
      </c>
      <c r="R1044" s="18">
        <v>1</v>
      </c>
      <c r="S1044" s="18">
        <f>Main_Presentation[[#This Row],[Invoice Amt (FCY)]]*Main_Presentation[[#This Row],[Rate]]</f>
        <v>125350</v>
      </c>
      <c r="T1044" s="15">
        <v>45916</v>
      </c>
      <c r="U1044" s="26" t="str">
        <f>VLOOKUP(Main_Presentation[[#This Row],[LC Number]],Main_Issuance[],18,0)</f>
        <v>45 Days from Invoice Date</v>
      </c>
      <c r="V1044" s="17" t="s">
        <v>487</v>
      </c>
      <c r="W1044" s="22" t="s">
        <v>857</v>
      </c>
      <c r="X1044" s="16"/>
      <c r="Y1044" s="234" t="str">
        <f>TRIM(LEFT(Main_Presentation[[#This Row],[Payment Terms]],3))</f>
        <v>45</v>
      </c>
      <c r="Z1044" s="16"/>
      <c r="AA1044" s="316" cm="1">
        <f t="array" ref="AA1044">Settlement(Main_Presentation[[#This Row],[Bank]],Main_Presentation[[#This Row],[ Invoice Amt (SAR)]],Main_Presentation[[#This Row],[Date Recd]],Main_Presentation[[#This Row],[Due Date]],Main_Presentation[[#This Row],[Days]])</f>
        <v>1437.5</v>
      </c>
      <c r="AB1044" s="16"/>
    </row>
    <row r="1045" spans="1:28" ht="15.75" hidden="1" x14ac:dyDescent="0.25">
      <c r="A1045" s="20" t="s">
        <v>493</v>
      </c>
      <c r="B1045" s="15">
        <v>45915</v>
      </c>
      <c r="C1045" s="26">
        <v>3</v>
      </c>
      <c r="D1045" s="55" t="str">
        <f>VLOOKUP(Main_Presentation[[#This Row],[LC Number]],Main_Issuance[],3,0)</f>
        <v>Rabih Makhoul</v>
      </c>
      <c r="E1045" s="16" t="s">
        <v>856</v>
      </c>
      <c r="F1045" s="17" t="str">
        <f>VLOOKUP(Main_Presentation[[#This Row],[LC Number]],Main_Issuance[],5,0)</f>
        <v>Alinma</v>
      </c>
      <c r="G1045" s="17" t="str">
        <f>VLOOKUP(Main_Presentation[[#This Row],[LC Number]],Main_Issuance[],6,0)</f>
        <v>KSP</v>
      </c>
      <c r="H1045" s="17" t="str">
        <f>VLOOKUP(Main_Presentation[[#This Row],[LC Number]],Main_Issuance[],17,0)</f>
        <v>Credit</v>
      </c>
      <c r="I1045" s="17" t="str">
        <f>VLOOKUP(Main_Presentation[[#This Row],[LC Number]],Main_Issuance[],7,0)</f>
        <v>MASTTE - Moadon Advance Services Technology Company</v>
      </c>
      <c r="J1045" s="17" t="str">
        <f>VLOOKUP(Main_Presentation[[#This Row],[LC Number]],Main_Issuance[],8,0)</f>
        <v>MBL</v>
      </c>
      <c r="K1045" s="17" t="str">
        <f>VLOOKUP(Main_Presentation[[#This Row],[LC Number]],Main_Issuance[],9,0)</f>
        <v>KAP</v>
      </c>
      <c r="L1045" s="17">
        <f>VLOOKUP(Main_Presentation[[#This Row],[LC Number]],Main_Issuance[],10,0)</f>
        <v>1020060</v>
      </c>
      <c r="M1045" s="17" t="str">
        <f>VLOOKUP(Main_Presentation[[#This Row],[LC Number]],Main_Issuance[],11,0)</f>
        <v>SAR</v>
      </c>
      <c r="N1045" s="84">
        <f>VLOOKUP(Main_Presentation[[#This Row],[LC Number]],Main_Issuance[],12,0)</f>
        <v>1253500</v>
      </c>
      <c r="O1045" s="16" t="s">
        <v>20</v>
      </c>
      <c r="P1045" s="16" t="s">
        <v>857</v>
      </c>
      <c r="Q1045" s="131">
        <v>764635</v>
      </c>
      <c r="R1045" s="18">
        <v>1</v>
      </c>
      <c r="S1045" s="18">
        <f>Main_Presentation[[#This Row],[Invoice Amt (FCY)]]*Main_Presentation[[#This Row],[Rate]]</f>
        <v>764635</v>
      </c>
      <c r="T1045" s="15">
        <v>45916</v>
      </c>
      <c r="U1045" s="26" t="str">
        <f>VLOOKUP(Main_Presentation[[#This Row],[LC Number]],Main_Issuance[],18,0)</f>
        <v>45 Days from Invoice Date</v>
      </c>
      <c r="V1045" s="17" t="s">
        <v>487</v>
      </c>
      <c r="W1045" s="22" t="s">
        <v>857</v>
      </c>
      <c r="X1045" s="16"/>
      <c r="Y1045" s="234" t="str">
        <f>TRIM(LEFT(Main_Presentation[[#This Row],[Payment Terms]],3))</f>
        <v>45</v>
      </c>
      <c r="Z1045" s="16"/>
      <c r="AA1045" s="316" cm="1">
        <f t="array" ref="AA1045">Settlement(Main_Presentation[[#This Row],[Bank]],Main_Presentation[[#This Row],[ Invoice Amt (SAR)]],Main_Presentation[[#This Row],[Date Recd]],Main_Presentation[[#This Row],[Due Date]],Main_Presentation[[#This Row],[Days]])</f>
        <v>1437.5</v>
      </c>
      <c r="AB1045" s="16"/>
    </row>
    <row r="1046" spans="1:28" ht="15.75" hidden="1" x14ac:dyDescent="0.25">
      <c r="A1046" s="20" t="s">
        <v>834</v>
      </c>
      <c r="B1046" s="15">
        <v>45889</v>
      </c>
      <c r="C1046" s="26">
        <v>2</v>
      </c>
      <c r="D1046" s="55" t="str">
        <f>VLOOKUP(Main_Presentation[[#This Row],[LC Number]],Main_Issuance[],3,0)</f>
        <v>Hassan Taleb</v>
      </c>
      <c r="E1046" s="16" t="s">
        <v>856</v>
      </c>
      <c r="F1046" s="17" t="str">
        <f>VLOOKUP(Main_Presentation[[#This Row],[LC Number]],Main_Issuance[],5,0)</f>
        <v>Jazira</v>
      </c>
      <c r="G1046" s="17" t="str">
        <f>VLOOKUP(Main_Presentation[[#This Row],[LC Number]],Main_Issuance[],6,0)</f>
        <v>RCRC</v>
      </c>
      <c r="H1046" s="17" t="str">
        <f>VLOOKUP(Main_Presentation[[#This Row],[LC Number]],Main_Issuance[],17,0)</f>
        <v>Credit</v>
      </c>
      <c r="I1046" s="17" t="str">
        <f>VLOOKUP(Main_Presentation[[#This Row],[LC Number]],Main_Issuance[],7,0)</f>
        <v>Branch of National Fire Fighting (NAFFCO)</v>
      </c>
      <c r="J1046" s="17" t="str">
        <f>VLOOKUP(Main_Presentation[[#This Row],[LC Number]],Main_Issuance[],8,0)</f>
        <v>FIRST FIX</v>
      </c>
      <c r="K1046" s="17" t="str">
        <f>VLOOKUP(Main_Presentation[[#This Row],[LC Number]],Main_Issuance[],9,0)</f>
        <v>RCRC</v>
      </c>
      <c r="L1046" s="17">
        <f>VLOOKUP(Main_Presentation[[#This Row],[LC Number]],Main_Issuance[],10,0)</f>
        <v>1020106</v>
      </c>
      <c r="M1046" s="17" t="str">
        <f>VLOOKUP(Main_Presentation[[#This Row],[LC Number]],Main_Issuance[],11,0)</f>
        <v>SAR</v>
      </c>
      <c r="N1046" s="84">
        <f>VLOOKUP(Main_Presentation[[#This Row],[LC Number]],Main_Issuance[],12,0)</f>
        <v>205980.49</v>
      </c>
      <c r="O1046" s="16" t="s">
        <v>20</v>
      </c>
      <c r="P1046" s="16" t="s">
        <v>857</v>
      </c>
      <c r="Q1046" s="131">
        <v>55597.26</v>
      </c>
      <c r="R1046" s="18">
        <v>1</v>
      </c>
      <c r="S1046" s="18">
        <f>Main_Presentation[[#This Row],[Invoice Amt (FCY)]]*Main_Presentation[[#This Row],[Rate]]</f>
        <v>55597.26</v>
      </c>
      <c r="T1046" s="15">
        <v>45950</v>
      </c>
      <c r="U1046" s="26" t="str">
        <f>VLOOKUP(Main_Presentation[[#This Row],[LC Number]],Main_Issuance[],18,0)</f>
        <v>60 Days from Invoice Date</v>
      </c>
      <c r="V1046" s="17" t="s">
        <v>613</v>
      </c>
      <c r="W1046" s="22" t="s">
        <v>857</v>
      </c>
      <c r="X1046" s="16"/>
      <c r="Y1046" s="234" t="str">
        <f>TRIM(LEFT(Main_Presentation[[#This Row],[Payment Terms]],3))</f>
        <v>60</v>
      </c>
      <c r="Z1046" s="16"/>
      <c r="AA1046" s="316" cm="1">
        <f t="array" ref="AA1046">Settlement(Main_Presentation[[#This Row],[Bank]],Main_Presentation[[#This Row],[ Invoice Amt (SAR)]],Main_Presentation[[#This Row],[Date Recd]],Main_Presentation[[#This Row],[Due Date]],Main_Presentation[[#This Row],[Days]])</f>
        <v>977.5</v>
      </c>
      <c r="AB1046" s="16"/>
    </row>
    <row r="1047" spans="1:28" ht="15.75" hidden="1" x14ac:dyDescent="0.25">
      <c r="A1047" s="20" t="s">
        <v>1235</v>
      </c>
      <c r="B1047" s="15">
        <v>45880</v>
      </c>
      <c r="C1047" s="26">
        <v>1</v>
      </c>
      <c r="D1047" s="55" t="str">
        <f>VLOOKUP(Main_Presentation[[#This Row],[LC Number]],Main_Issuance[],3,0)</f>
        <v>Hassan Taleb</v>
      </c>
      <c r="E1047" s="16" t="s">
        <v>856</v>
      </c>
      <c r="F1047" s="17" t="str">
        <f>VLOOKUP(Main_Presentation[[#This Row],[LC Number]],Main_Issuance[],5,0)</f>
        <v>Jazira</v>
      </c>
      <c r="G1047" s="17" t="str">
        <f>VLOOKUP(Main_Presentation[[#This Row],[LC Number]],Main_Issuance[],6,0)</f>
        <v>RCRC</v>
      </c>
      <c r="H1047" s="17" t="str">
        <f>VLOOKUP(Main_Presentation[[#This Row],[LC Number]],Main_Issuance[],17,0)</f>
        <v>Credit</v>
      </c>
      <c r="I1047" s="17" t="str">
        <f>VLOOKUP(Main_Presentation[[#This Row],[LC Number]],Main_Issuance[],7,0)</f>
        <v>MOHAMMED RAMADAN SHAT FACTORY FOR METAL INDUSTRIES</v>
      </c>
      <c r="J1047" s="17" t="str">
        <f>VLOOKUP(Main_Presentation[[#This Row],[LC Number]],Main_Issuance[],8,0)</f>
        <v>FIRST FIX</v>
      </c>
      <c r="K1047" s="17" t="str">
        <f>VLOOKUP(Main_Presentation[[#This Row],[LC Number]],Main_Issuance[],9,0)</f>
        <v>RCRC</v>
      </c>
      <c r="L1047" s="17">
        <f>VLOOKUP(Main_Presentation[[#This Row],[LC Number]],Main_Issuance[],10,0)</f>
        <v>1020106</v>
      </c>
      <c r="M1047" s="17" t="str">
        <f>VLOOKUP(Main_Presentation[[#This Row],[LC Number]],Main_Issuance[],11,0)</f>
        <v>SAR</v>
      </c>
      <c r="N1047" s="84">
        <f>VLOOKUP(Main_Presentation[[#This Row],[LC Number]],Main_Issuance[],12,0)</f>
        <v>284688.25</v>
      </c>
      <c r="O1047" s="16" t="s">
        <v>20</v>
      </c>
      <c r="P1047" s="16" t="s">
        <v>857</v>
      </c>
      <c r="Q1047" s="131">
        <v>153844.13</v>
      </c>
      <c r="R1047" s="18">
        <v>1</v>
      </c>
      <c r="S1047" s="18">
        <f>Main_Presentation[[#This Row],[Invoice Amt (FCY)]]*Main_Presentation[[#This Row],[Rate]]</f>
        <v>153844.13</v>
      </c>
      <c r="T1047" s="15">
        <v>45944</v>
      </c>
      <c r="U1047" s="26" t="str">
        <f>VLOOKUP(Main_Presentation[[#This Row],[LC Number]],Main_Issuance[],18,0)</f>
        <v>90 Days from Invoice Date</v>
      </c>
      <c r="V1047" s="17" t="s">
        <v>22</v>
      </c>
      <c r="W1047" s="22" t="s">
        <v>378</v>
      </c>
      <c r="X1047" s="16"/>
      <c r="Y1047" s="234" t="str">
        <f>TRIM(LEFT(Main_Presentation[[#This Row],[Payment Terms]],3))</f>
        <v>90</v>
      </c>
      <c r="Z1047" s="16"/>
      <c r="AA1047" s="316" cm="1">
        <f t="array" ref="AA1047">Settlement(Main_Presentation[[#This Row],[Bank]],Main_Presentation[[#This Row],[ Invoice Amt (SAR)]],Main_Presentation[[#This Row],[Date Recd]],Main_Presentation[[#This Row],[Due Date]],Main_Presentation[[#This Row],[Days]])</f>
        <v>977.5</v>
      </c>
      <c r="AB1047" s="16"/>
    </row>
    <row r="1048" spans="1:28" ht="15.75" hidden="1" x14ac:dyDescent="0.25">
      <c r="A1048" s="20" t="s">
        <v>723</v>
      </c>
      <c r="B1048" s="15">
        <v>45876</v>
      </c>
      <c r="C1048" s="26">
        <v>1</v>
      </c>
      <c r="D1048" s="55" t="str">
        <f>VLOOKUP(Main_Presentation[[#This Row],[LC Number]],Main_Issuance[],3,0)</f>
        <v>Hassan Taleb</v>
      </c>
      <c r="E1048" s="16" t="s">
        <v>858</v>
      </c>
      <c r="F1048" s="17" t="str">
        <f>VLOOKUP(Main_Presentation[[#This Row],[LC Number]],Main_Issuance[],5,0)</f>
        <v>Jazira</v>
      </c>
      <c r="G1048" s="17" t="str">
        <f>VLOOKUP(Main_Presentation[[#This Row],[LC Number]],Main_Issuance[],6,0)</f>
        <v>RCRC</v>
      </c>
      <c r="H1048" s="17" t="str">
        <f>VLOOKUP(Main_Presentation[[#This Row],[LC Number]],Main_Issuance[],17,0)</f>
        <v>Credit</v>
      </c>
      <c r="I1048" s="17" t="str">
        <f>VLOOKUP(Main_Presentation[[#This Row],[LC Number]],Main_Issuance[],7,0)</f>
        <v>UNITED PARK CO</v>
      </c>
      <c r="J1048" s="17" t="str">
        <f>VLOOKUP(Main_Presentation[[#This Row],[LC Number]],Main_Issuance[],8,0)</f>
        <v>FIRST FIX</v>
      </c>
      <c r="K1048" s="17" t="str">
        <f>VLOOKUP(Main_Presentation[[#This Row],[LC Number]],Main_Issuance[],9,0)</f>
        <v>RCRC</v>
      </c>
      <c r="L1048" s="17">
        <f>VLOOKUP(Main_Presentation[[#This Row],[LC Number]],Main_Issuance[],10,0)</f>
        <v>1020106</v>
      </c>
      <c r="M1048" s="17" t="str">
        <f>VLOOKUP(Main_Presentation[[#This Row],[LC Number]],Main_Issuance[],11,0)</f>
        <v>SAR</v>
      </c>
      <c r="N1048" s="84">
        <f>VLOOKUP(Main_Presentation[[#This Row],[LC Number]],Main_Issuance[],12,0)</f>
        <v>753402</v>
      </c>
      <c r="O1048" s="16" t="s">
        <v>20</v>
      </c>
      <c r="P1048" s="16" t="s">
        <v>378</v>
      </c>
      <c r="Q1048" s="131">
        <v>502268.01</v>
      </c>
      <c r="R1048" s="18">
        <v>1</v>
      </c>
      <c r="S1048" s="18">
        <f>Main_Presentation[[#This Row],[Invoice Amt (FCY)]]*Main_Presentation[[#This Row],[Rate]]</f>
        <v>502268.01</v>
      </c>
      <c r="T1048" s="15">
        <v>45949</v>
      </c>
      <c r="U1048" s="26" t="str">
        <f>VLOOKUP(Main_Presentation[[#This Row],[LC Number]],Main_Issuance[],18,0)</f>
        <v>90 Days from Invoice Date</v>
      </c>
      <c r="V1048" s="17" t="s">
        <v>613</v>
      </c>
      <c r="W1048" s="22" t="s">
        <v>857</v>
      </c>
      <c r="X1048" s="16"/>
      <c r="Y1048" s="234" t="str">
        <f>TRIM(LEFT(Main_Presentation[[#This Row],[Payment Terms]],3))</f>
        <v>90</v>
      </c>
      <c r="Z1048" s="16"/>
      <c r="AA1048" s="316" cm="1">
        <f t="array" ref="AA1048">Settlement(Main_Presentation[[#This Row],[Bank]],Main_Presentation[[#This Row],[ Invoice Amt (SAR)]],Main_Presentation[[#This Row],[Date Recd]],Main_Presentation[[#This Row],[Due Date]],Main_Presentation[[#This Row],[Days]])</f>
        <v>1067.2</v>
      </c>
      <c r="AB1048" s="16"/>
    </row>
    <row r="1049" spans="1:28" ht="15.75" hidden="1" x14ac:dyDescent="0.25">
      <c r="A1049" s="129" t="s">
        <v>1233</v>
      </c>
      <c r="B1049" s="137">
        <v>45916</v>
      </c>
      <c r="C1049" s="138">
        <v>2</v>
      </c>
      <c r="D1049" s="139" t="str">
        <f>VLOOKUP(Main_Presentation[[#This Row],[LC Number]],Main_Issuance[],3,0)</f>
        <v>Hassan Taleb</v>
      </c>
      <c r="E1049" s="140" t="s">
        <v>856</v>
      </c>
      <c r="F1049" s="230" t="str">
        <f>VLOOKUP(Main_Presentation[[#This Row],[LC Number]],Main_Issuance[],5,0)</f>
        <v>Jazira</v>
      </c>
      <c r="G1049" s="230" t="str">
        <f>VLOOKUP(Main_Presentation[[#This Row],[LC Number]],Main_Issuance[],6,0)</f>
        <v>RCRC</v>
      </c>
      <c r="H1049" s="230" t="str">
        <f>VLOOKUP(Main_Presentation[[#This Row],[LC Number]],Main_Issuance[],17,0)</f>
        <v>Credit</v>
      </c>
      <c r="I1049" s="230" t="str">
        <f>VLOOKUP(Main_Presentation[[#This Row],[LC Number]],Main_Issuance[],7,0)</f>
        <v>SAUDI HEPCO</v>
      </c>
      <c r="J1049" s="230" t="str">
        <f>VLOOKUP(Main_Presentation[[#This Row],[LC Number]],Main_Issuance[],8,0)</f>
        <v>FIRST FIX</v>
      </c>
      <c r="K1049" s="230" t="str">
        <f>VLOOKUP(Main_Presentation[[#This Row],[LC Number]],Main_Issuance[],9,0)</f>
        <v>RCRC</v>
      </c>
      <c r="L1049" s="230">
        <f>VLOOKUP(Main_Presentation[[#This Row],[LC Number]],Main_Issuance[],10,0)</f>
        <v>1020106</v>
      </c>
      <c r="M1049" s="230" t="str">
        <f>VLOOKUP(Main_Presentation[[#This Row],[LC Number]],Main_Issuance[],11,0)</f>
        <v>SAR</v>
      </c>
      <c r="N1049" s="231">
        <f>VLOOKUP(Main_Presentation[[#This Row],[LC Number]],Main_Issuance[],12,0)</f>
        <v>1000000</v>
      </c>
      <c r="O1049" s="140" t="s">
        <v>20</v>
      </c>
      <c r="P1049" s="140" t="s">
        <v>378</v>
      </c>
      <c r="Q1049" s="131">
        <v>456166</v>
      </c>
      <c r="R1049" s="131">
        <v>1</v>
      </c>
      <c r="S1049" s="131">
        <f>Main_Presentation[[#This Row],[Invoice Amt (FCY)]]*Main_Presentation[[#This Row],[Rate]]</f>
        <v>456166</v>
      </c>
      <c r="T1049" s="137">
        <v>45942</v>
      </c>
      <c r="U1049" s="138" t="str">
        <f>VLOOKUP(Main_Presentation[[#This Row],[LC Number]],Main_Issuance[],18,0)</f>
        <v>90 Days from Invoice Date</v>
      </c>
      <c r="V1049" s="230" t="s">
        <v>22</v>
      </c>
      <c r="W1049" s="145" t="s">
        <v>378</v>
      </c>
      <c r="X1049" s="140"/>
      <c r="Y1049" s="400" t="str">
        <f>TRIM(LEFT(Main_Presentation[[#This Row],[Payment Terms]],3))</f>
        <v>90</v>
      </c>
      <c r="Z1049" s="140"/>
      <c r="AA1049" s="316" cm="1">
        <f t="array" ref="AA1049">Settlement(Main_Presentation[[#This Row],[Bank]],Main_Presentation[[#This Row],[ Invoice Amt (SAR)]],Main_Presentation[[#This Row],[Date Recd]],Main_Presentation[[#This Row],[Due Date]],Main_Presentation[[#This Row],[Days]])</f>
        <v>782</v>
      </c>
      <c r="AB1049" s="140"/>
    </row>
    <row r="1050" spans="1:28" ht="15.75" hidden="1" x14ac:dyDescent="0.25">
      <c r="A1050" s="20" t="s">
        <v>713</v>
      </c>
      <c r="B1050" s="15">
        <v>45909</v>
      </c>
      <c r="C1050" s="26">
        <v>2</v>
      </c>
      <c r="D1050" s="55" t="str">
        <f>VLOOKUP(Main_Presentation[[#This Row],[LC Number]],Main_Issuance[],3,0)</f>
        <v>Hassan Taleb</v>
      </c>
      <c r="E1050" s="16" t="s">
        <v>858</v>
      </c>
      <c r="F1050" s="17" t="str">
        <f>VLOOKUP(Main_Presentation[[#This Row],[LC Number]],Main_Issuance[],5,0)</f>
        <v>SAB</v>
      </c>
      <c r="G1050" s="17" t="str">
        <f>VLOOKUP(Main_Presentation[[#This Row],[LC Number]],Main_Issuance[],6,0)</f>
        <v>MP1</v>
      </c>
      <c r="H1050" s="17" t="str">
        <f>VLOOKUP(Main_Presentation[[#This Row],[LC Number]],Main_Issuance[],17,0)</f>
        <v>Credit</v>
      </c>
      <c r="I1050" s="17" t="str">
        <f>VLOOKUP(Main_Presentation[[#This Row],[LC Number]],Main_Issuance[],7,0)</f>
        <v>Interplast Co Ltd</v>
      </c>
      <c r="J1050" s="17" t="str">
        <f>VLOOKUP(Main_Presentation[[#This Row],[LC Number]],Main_Issuance[],8,0)</f>
        <v>FIRST FIX</v>
      </c>
      <c r="K1050" s="17" t="str">
        <f>VLOOKUP(Main_Presentation[[#This Row],[LC Number]],Main_Issuance[],9,0)</f>
        <v>MP1</v>
      </c>
      <c r="L1050" s="17">
        <f>VLOOKUP(Main_Presentation[[#This Row],[LC Number]],Main_Issuance[],10,0)</f>
        <v>1020088</v>
      </c>
      <c r="M1050" s="17" t="str">
        <f>VLOOKUP(Main_Presentation[[#This Row],[LC Number]],Main_Issuance[],11,0)</f>
        <v>SAR</v>
      </c>
      <c r="N1050" s="84">
        <f>VLOOKUP(Main_Presentation[[#This Row],[LC Number]],Main_Issuance[],12,0)</f>
        <v>800000</v>
      </c>
      <c r="O1050" s="16" t="s">
        <v>20</v>
      </c>
      <c r="P1050" s="16" t="s">
        <v>857</v>
      </c>
      <c r="Q1050" s="131">
        <v>129604</v>
      </c>
      <c r="R1050" s="18">
        <v>1</v>
      </c>
      <c r="S1050" s="18">
        <f>Main_Presentation[[#This Row],[Invoice Amt (FCY)]]*Main_Presentation[[#This Row],[Rate]]</f>
        <v>129604</v>
      </c>
      <c r="T1050" s="15">
        <v>45911</v>
      </c>
      <c r="U1050" s="26" t="str">
        <f>VLOOKUP(Main_Presentation[[#This Row],[LC Number]],Main_Issuance[],18,0)</f>
        <v>90 Days from Invoice Date</v>
      </c>
      <c r="V1050" s="17" t="s">
        <v>410</v>
      </c>
      <c r="W1050" s="22" t="s">
        <v>378</v>
      </c>
      <c r="X1050" s="16"/>
      <c r="Y1050" s="234" t="str">
        <f>TRIM(LEFT(Main_Presentation[[#This Row],[Payment Terms]],3))</f>
        <v>90</v>
      </c>
      <c r="Z1050" s="16"/>
      <c r="AA1050" s="316" cm="1">
        <f t="array" ref="AA1050">Settlement(Main_Presentation[[#This Row],[Bank]],Main_Presentation[[#This Row],[ Invoice Amt (SAR)]],Main_Presentation[[#This Row],[Date Recd]],Main_Presentation[[#This Row],[Due Date]],Main_Presentation[[#This Row],[Days]])</f>
        <v>575</v>
      </c>
      <c r="AB1050" s="16"/>
    </row>
    <row r="1051" spans="1:28" ht="15.75" hidden="1" x14ac:dyDescent="0.25">
      <c r="A1051" s="20" t="s">
        <v>1431</v>
      </c>
      <c r="B1051" s="15">
        <v>45917</v>
      </c>
      <c r="C1051" s="26">
        <v>1</v>
      </c>
      <c r="D1051" s="55" t="str">
        <f>VLOOKUP(Main_Presentation[[#This Row],[LC Number]],Main_Issuance[],3,0)</f>
        <v>Hassan Taleb</v>
      </c>
      <c r="E1051" s="16" t="s">
        <v>856</v>
      </c>
      <c r="F1051" s="17" t="str">
        <f>VLOOKUP(Main_Presentation[[#This Row],[LC Number]],Main_Issuance[],5,0)</f>
        <v>SAB</v>
      </c>
      <c r="G1051" s="17" t="str">
        <f>VLOOKUP(Main_Presentation[[#This Row],[LC Number]],Main_Issuance[],6,0)</f>
        <v>MP1</v>
      </c>
      <c r="H1051" s="17" t="str">
        <f>VLOOKUP(Main_Presentation[[#This Row],[LC Number]],Main_Issuance[],17,0)</f>
        <v>Credit</v>
      </c>
      <c r="I1051" s="17" t="str">
        <f>VLOOKUP(Main_Presentation[[#This Row],[LC Number]],Main_Issuance[],7,0)</f>
        <v>Mimar for Construction Tools &amp; Tradina Ltd.</v>
      </c>
      <c r="J1051" s="17" t="str">
        <f>VLOOKUP(Main_Presentation[[#This Row],[LC Number]],Main_Issuance[],8,0)</f>
        <v>FIRST FIX</v>
      </c>
      <c r="K1051" s="17" t="str">
        <f>VLOOKUP(Main_Presentation[[#This Row],[LC Number]],Main_Issuance[],9,0)</f>
        <v>MP1</v>
      </c>
      <c r="L1051" s="17">
        <f>VLOOKUP(Main_Presentation[[#This Row],[LC Number]],Main_Issuance[],10,0)</f>
        <v>1020088</v>
      </c>
      <c r="M1051" s="17" t="str">
        <f>VLOOKUP(Main_Presentation[[#This Row],[LC Number]],Main_Issuance[],11,0)</f>
        <v>SAR</v>
      </c>
      <c r="N1051" s="84">
        <f>VLOOKUP(Main_Presentation[[#This Row],[LC Number]],Main_Issuance[],12,0)</f>
        <v>700000</v>
      </c>
      <c r="O1051" s="16" t="s">
        <v>20</v>
      </c>
      <c r="P1051" s="16" t="s">
        <v>857</v>
      </c>
      <c r="Q1051" s="131">
        <v>667529.19999999995</v>
      </c>
      <c r="R1051" s="18">
        <v>1</v>
      </c>
      <c r="S1051" s="18">
        <f>Main_Presentation[[#This Row],[Invoice Amt (FCY)]]*Main_Presentation[[#This Row],[Rate]]</f>
        <v>667529.19999999995</v>
      </c>
      <c r="T1051" s="15">
        <v>45964</v>
      </c>
      <c r="U1051" s="26" t="str">
        <f>VLOOKUP(Main_Presentation[[#This Row],[LC Number]],Main_Issuance[],18,0)</f>
        <v>120 Days from Invoice Date</v>
      </c>
      <c r="V1051" s="17" t="s">
        <v>710</v>
      </c>
      <c r="W1051" s="22" t="s">
        <v>857</v>
      </c>
      <c r="X1051" s="16"/>
      <c r="Y1051" s="234" t="str">
        <f>TRIM(LEFT(Main_Presentation[[#This Row],[Payment Terms]],3))</f>
        <v>120</v>
      </c>
      <c r="Z1051" s="16"/>
      <c r="AA1051" s="316" cm="1">
        <f t="array" ref="AA1051">Settlement(Main_Presentation[[#This Row],[Bank]],Main_Presentation[[#This Row],[ Invoice Amt (SAR)]],Main_Presentation[[#This Row],[Date Recd]],Main_Presentation[[#This Row],[Due Date]],Main_Presentation[[#This Row],[Days]])</f>
        <v>2878.45</v>
      </c>
      <c r="AB1051" s="16"/>
    </row>
    <row r="1052" spans="1:28" ht="15.75" hidden="1" x14ac:dyDescent="0.25">
      <c r="A1052" s="20" t="s">
        <v>1518</v>
      </c>
      <c r="B1052" s="15">
        <v>45932</v>
      </c>
      <c r="C1052" s="26">
        <v>1</v>
      </c>
      <c r="D1052" s="55" t="str">
        <f>VLOOKUP(Main_Presentation[[#This Row],[LC Number]],Main_Issuance[],3,0)</f>
        <v>Hassan Taleb</v>
      </c>
      <c r="E1052" s="16" t="s">
        <v>858</v>
      </c>
      <c r="F1052" s="17" t="str">
        <f>VLOOKUP(Main_Presentation[[#This Row],[LC Number]],Main_Issuance[],5,0)</f>
        <v>Alinma</v>
      </c>
      <c r="G1052" s="17" t="str">
        <f>VLOOKUP(Main_Presentation[[#This Row],[LC Number]],Main_Issuance[],6,0)</f>
        <v>KSP</v>
      </c>
      <c r="H1052" s="17" t="str">
        <f>VLOOKUP(Main_Presentation[[#This Row],[LC Number]],Main_Issuance[],17,0)</f>
        <v>Credit</v>
      </c>
      <c r="I1052" s="17" t="str">
        <f>VLOOKUP(Main_Presentation[[#This Row],[LC Number]],Main_Issuance[],7,0)</f>
        <v>AL RAWNAQ AL THAHABI ENGINEERING CONSULTING. CO.</v>
      </c>
      <c r="J1052" s="17" t="str">
        <f>VLOOKUP(Main_Presentation[[#This Row],[LC Number]],Main_Issuance[],8,0)</f>
        <v>FIRST FIX</v>
      </c>
      <c r="K1052" s="17" t="str">
        <f>VLOOKUP(Main_Presentation[[#This Row],[LC Number]],Main_Issuance[],9,0)</f>
        <v>JCD SPMI</v>
      </c>
      <c r="L1052" s="17">
        <f>VLOOKUP(Main_Presentation[[#This Row],[LC Number]],Main_Issuance[],10,0)</f>
        <v>1020100</v>
      </c>
      <c r="M1052" s="17" t="str">
        <f>VLOOKUP(Main_Presentation[[#This Row],[LC Number]],Main_Issuance[],11,0)</f>
        <v>SAR</v>
      </c>
      <c r="N1052" s="84">
        <f>VLOOKUP(Main_Presentation[[#This Row],[LC Number]],Main_Issuance[],12,0)</f>
        <v>350461</v>
      </c>
      <c r="O1052" s="16" t="s">
        <v>20</v>
      </c>
      <c r="P1052" s="16" t="s">
        <v>857</v>
      </c>
      <c r="Q1052" s="131">
        <v>350461</v>
      </c>
      <c r="R1052" s="18">
        <v>1</v>
      </c>
      <c r="S1052" s="18">
        <f>Main_Presentation[[#This Row],[Invoice Amt (FCY)]]*Main_Presentation[[#This Row],[Rate]]</f>
        <v>350461</v>
      </c>
      <c r="T1052" s="15">
        <v>46029</v>
      </c>
      <c r="U1052" s="26" t="str">
        <f>VLOOKUP(Main_Presentation[[#This Row],[LC Number]],Main_Issuance[],18,0)</f>
        <v>120 Days from Invoice Date</v>
      </c>
      <c r="V1052" s="242" t="s">
        <v>1460</v>
      </c>
      <c r="W1052" s="22" t="s">
        <v>378</v>
      </c>
      <c r="X1052" s="16"/>
      <c r="Y1052" s="234" t="str">
        <f>TRIM(LEFT(Main_Presentation[[#This Row],[Payment Terms]],3))</f>
        <v>120</v>
      </c>
      <c r="Z1052" s="16"/>
      <c r="AA1052" s="316" cm="1">
        <f t="array" ref="AA1052">Settlement(Main_Presentation[[#This Row],[Bank]],Main_Presentation[[#This Row],[ Invoice Amt (SAR)]],Main_Presentation[[#This Row],[Date Recd]],Main_Presentation[[#This Row],[Due Date]],Main_Presentation[[#This Row],[Days]])</f>
        <v>1437.5</v>
      </c>
      <c r="AB1052" s="16"/>
    </row>
    <row r="1053" spans="1:28" ht="15.75" hidden="1" x14ac:dyDescent="0.25">
      <c r="A1053" s="20" t="s">
        <v>1491</v>
      </c>
      <c r="B1053" s="15">
        <v>45922</v>
      </c>
      <c r="C1053" s="26">
        <v>1</v>
      </c>
      <c r="D1053" s="55" t="str">
        <f>VLOOKUP(Main_Presentation[[#This Row],[LC Number]],Main_Issuance[],3,0)</f>
        <v>Hassan Taleb</v>
      </c>
      <c r="E1053" s="16" t="s">
        <v>856</v>
      </c>
      <c r="F1053" s="17" t="str">
        <f>VLOOKUP(Main_Presentation[[#This Row],[LC Number]],Main_Issuance[],5,0)</f>
        <v>Alinma</v>
      </c>
      <c r="G1053" s="17" t="str">
        <f>VLOOKUP(Main_Presentation[[#This Row],[LC Number]],Main_Issuance[],6,0)</f>
        <v>KSP</v>
      </c>
      <c r="H1053" s="17" t="str">
        <f>VLOOKUP(Main_Presentation[[#This Row],[LC Number]],Main_Issuance[],17,0)</f>
        <v>Credit</v>
      </c>
      <c r="I1053" s="17" t="str">
        <f>VLOOKUP(Main_Presentation[[#This Row],[LC Number]],Main_Issuance[],7,0)</f>
        <v>Khorayef Industries</v>
      </c>
      <c r="J1053" s="17" t="str">
        <f>VLOOKUP(Main_Presentation[[#This Row],[LC Number]],Main_Issuance[],8,0)</f>
        <v>FIRST FIX</v>
      </c>
      <c r="K1053" s="17" t="str">
        <f>VLOOKUP(Main_Presentation[[#This Row],[LC Number]],Main_Issuance[],9,0)</f>
        <v>JCD SPMI</v>
      </c>
      <c r="L1053" s="17">
        <f>VLOOKUP(Main_Presentation[[#This Row],[LC Number]],Main_Issuance[],10,0)</f>
        <v>1020100</v>
      </c>
      <c r="M1053" s="17" t="str">
        <f>VLOOKUP(Main_Presentation[[#This Row],[LC Number]],Main_Issuance[],11,0)</f>
        <v>SAR</v>
      </c>
      <c r="N1053" s="84">
        <f>VLOOKUP(Main_Presentation[[#This Row],[LC Number]],Main_Issuance[],12,0)</f>
        <v>511750</v>
      </c>
      <c r="O1053" s="16" t="s">
        <v>20</v>
      </c>
      <c r="P1053" s="16" t="s">
        <v>857</v>
      </c>
      <c r="Q1053" s="131">
        <v>511750</v>
      </c>
      <c r="R1053" s="18">
        <v>1</v>
      </c>
      <c r="S1053" s="18">
        <f>Main_Presentation[[#This Row],[Invoice Amt (FCY)]]*Main_Presentation[[#This Row],[Rate]]</f>
        <v>511750</v>
      </c>
      <c r="T1053" s="15">
        <v>45998</v>
      </c>
      <c r="U1053" s="26" t="str">
        <f>VLOOKUP(Main_Presentation[[#This Row],[LC Number]],Main_Issuance[],18,0)</f>
        <v>120 Days from Invoice Date</v>
      </c>
      <c r="V1053" s="17" t="s">
        <v>304</v>
      </c>
      <c r="W1053" s="22" t="s">
        <v>378</v>
      </c>
      <c r="X1053" s="16"/>
      <c r="Y1053" s="234" t="str">
        <f>TRIM(LEFT(Main_Presentation[[#This Row],[Payment Terms]],3))</f>
        <v>120</v>
      </c>
      <c r="Z1053" s="16"/>
      <c r="AA1053" s="316" cm="1">
        <f t="array" ref="AA1053">Settlement(Main_Presentation[[#This Row],[Bank]],Main_Presentation[[#This Row],[ Invoice Amt (SAR)]],Main_Presentation[[#This Row],[Date Recd]],Main_Presentation[[#This Row],[Due Date]],Main_Presentation[[#This Row],[Days]])</f>
        <v>1437.5</v>
      </c>
      <c r="AB1053" s="16"/>
    </row>
    <row r="1054" spans="1:28" ht="15.75" hidden="1" x14ac:dyDescent="0.25">
      <c r="A1054" s="20" t="s">
        <v>1434</v>
      </c>
      <c r="B1054" s="15">
        <v>45917</v>
      </c>
      <c r="C1054" s="26">
        <v>1</v>
      </c>
      <c r="D1054" s="55" t="str">
        <f>VLOOKUP(Main_Presentation[[#This Row],[LC Number]],Main_Issuance[],3,0)</f>
        <v>Hassan Taleb</v>
      </c>
      <c r="E1054" s="16" t="s">
        <v>856</v>
      </c>
      <c r="F1054" s="17" t="str">
        <f>VLOOKUP(Main_Presentation[[#This Row],[LC Number]],Main_Issuance[],5,0)</f>
        <v>SAB</v>
      </c>
      <c r="G1054" s="17" t="str">
        <f>VLOOKUP(Main_Presentation[[#This Row],[LC Number]],Main_Issuance[],6,0)</f>
        <v>MP1</v>
      </c>
      <c r="H1054" s="17" t="str">
        <f>VLOOKUP(Main_Presentation[[#This Row],[LC Number]],Main_Issuance[],17,0)</f>
        <v>Credit</v>
      </c>
      <c r="I1054" s="17" t="str">
        <f>VLOOKUP(Main_Presentation[[#This Row],[LC Number]],Main_Issuance[],7,0)</f>
        <v>Brooq Al-Amaan Trading Company</v>
      </c>
      <c r="J1054" s="17" t="str">
        <f>VLOOKUP(Main_Presentation[[#This Row],[LC Number]],Main_Issuance[],8,0)</f>
        <v>FIRST FIX</v>
      </c>
      <c r="K1054" s="17" t="str">
        <f>VLOOKUP(Main_Presentation[[#This Row],[LC Number]],Main_Issuance[],9,0)</f>
        <v>MP1</v>
      </c>
      <c r="L1054" s="17">
        <f>VLOOKUP(Main_Presentation[[#This Row],[LC Number]],Main_Issuance[],10,0)</f>
        <v>1020088</v>
      </c>
      <c r="M1054" s="17" t="str">
        <f>VLOOKUP(Main_Presentation[[#This Row],[LC Number]],Main_Issuance[],11,0)</f>
        <v>SAR</v>
      </c>
      <c r="N1054" s="84">
        <f>VLOOKUP(Main_Presentation[[#This Row],[LC Number]],Main_Issuance[],12,0)</f>
        <v>800000</v>
      </c>
      <c r="O1054" s="16" t="s">
        <v>20</v>
      </c>
      <c r="P1054" s="16" t="s">
        <v>857</v>
      </c>
      <c r="Q1054" s="131">
        <v>779721.04</v>
      </c>
      <c r="R1054" s="18">
        <v>1</v>
      </c>
      <c r="S1054" s="18">
        <f>Main_Presentation[[#This Row],[Invoice Amt (FCY)]]*Main_Presentation[[#This Row],[Rate]]</f>
        <v>779721.04</v>
      </c>
      <c r="T1054" s="15">
        <v>45967</v>
      </c>
      <c r="U1054" s="26" t="str">
        <f>VLOOKUP(Main_Presentation[[#This Row],[LC Number]],Main_Issuance[],18,0)</f>
        <v>120 Days from Invoice Date</v>
      </c>
      <c r="V1054" s="17" t="s">
        <v>710</v>
      </c>
      <c r="W1054" s="22" t="s">
        <v>857</v>
      </c>
      <c r="X1054" s="16"/>
      <c r="Y1054" s="234" t="str">
        <f>TRIM(LEFT(Main_Presentation[[#This Row],[Payment Terms]],3))</f>
        <v>120</v>
      </c>
      <c r="Z1054" s="16"/>
      <c r="AA1054" s="316" cm="1">
        <f t="array" ref="AA1054">Settlement(Main_Presentation[[#This Row],[Bank]],Main_Presentation[[#This Row],[ Invoice Amt (SAR)]],Main_Presentation[[#This Row],[Date Recd]],Main_Presentation[[#This Row],[Due Date]],Main_Presentation[[#This Row],[Days]])</f>
        <v>3362.6</v>
      </c>
      <c r="AB1054" s="16"/>
    </row>
    <row r="1055" spans="1:28" ht="15.75" hidden="1" x14ac:dyDescent="0.25">
      <c r="A1055" s="20" t="s">
        <v>1424</v>
      </c>
      <c r="B1055" s="15">
        <v>45924</v>
      </c>
      <c r="C1055" s="26">
        <v>1</v>
      </c>
      <c r="D1055" s="55" t="str">
        <f>VLOOKUP(Main_Presentation[[#This Row],[LC Number]],Main_Issuance[],3,0)</f>
        <v>Hassan Taleb</v>
      </c>
      <c r="E1055" s="16" t="s">
        <v>858</v>
      </c>
      <c r="F1055" s="17" t="str">
        <f>VLOOKUP(Main_Presentation[[#This Row],[LC Number]],Main_Issuance[],5,0)</f>
        <v>SNB</v>
      </c>
      <c r="G1055" s="17" t="str">
        <f>VLOOKUP(Main_Presentation[[#This Row],[LC Number]],Main_Issuance[],6,0)</f>
        <v>Opera House</v>
      </c>
      <c r="H1055" s="17" t="str">
        <f>VLOOKUP(Main_Presentation[[#This Row],[LC Number]],Main_Issuance[],17,0)</f>
        <v>Credit</v>
      </c>
      <c r="I1055" s="17" t="str">
        <f>VLOOKUP(Main_Presentation[[#This Row],[LC Number]],Main_Issuance[],7,0)</f>
        <v>AL-SAYED CENTER A/C FOR MATERIALS COMPANY</v>
      </c>
      <c r="J1055" s="17" t="str">
        <f>VLOOKUP(Main_Presentation[[#This Row],[LC Number]],Main_Issuance[],8,0)</f>
        <v>FIRST FIX</v>
      </c>
      <c r="K1055" s="17" t="str">
        <f>VLOOKUP(Main_Presentation[[#This Row],[LC Number]],Main_Issuance[],9,0)</f>
        <v>KSP</v>
      </c>
      <c r="L1055" s="17">
        <f>VLOOKUP(Main_Presentation[[#This Row],[LC Number]],Main_Issuance[],10,0)</f>
        <v>1020055</v>
      </c>
      <c r="M1055" s="17" t="str">
        <f>VLOOKUP(Main_Presentation[[#This Row],[LC Number]],Main_Issuance[],11,0)</f>
        <v>SAR</v>
      </c>
      <c r="N1055" s="84">
        <f>VLOOKUP(Main_Presentation[[#This Row],[LC Number]],Main_Issuance[],12,0)</f>
        <v>734118.99</v>
      </c>
      <c r="O1055" s="16" t="s">
        <v>20</v>
      </c>
      <c r="P1055" s="16" t="s">
        <v>378</v>
      </c>
      <c r="Q1055" s="131">
        <v>734118.99</v>
      </c>
      <c r="R1055" s="18">
        <v>1</v>
      </c>
      <c r="S1055" s="18">
        <f>Main_Presentation[[#This Row],[Invoice Amt (FCY)]]*Main_Presentation[[#This Row],[Rate]]</f>
        <v>734118.99</v>
      </c>
      <c r="T1055" s="15">
        <v>45959</v>
      </c>
      <c r="U1055" s="26" t="str">
        <f>VLOOKUP(Main_Presentation[[#This Row],[LC Number]],Main_Issuance[],18,0)</f>
        <v>120 Days from Invoice Date</v>
      </c>
      <c r="V1055" s="17" t="s">
        <v>22</v>
      </c>
      <c r="W1055" s="22" t="s">
        <v>857</v>
      </c>
      <c r="X1055" s="246"/>
      <c r="Y1055" s="234" t="str">
        <f>TRIM(LEFT(Main_Presentation[[#This Row],[Payment Terms]],3))</f>
        <v>120</v>
      </c>
      <c r="Z1055" s="16"/>
      <c r="AA1055" s="316" cm="1">
        <f t="array" ref="AA1055">Settlement(Main_Presentation[[#This Row],[Bank]],Main_Presentation[[#This Row],[ Invoice Amt (SAR)]],Main_Presentation[[#This Row],[Date Recd]],Main_Presentation[[#This Row],[Due Date]],Main_Presentation[[#This Row],[Days]])</f>
        <v>1798.6</v>
      </c>
      <c r="AB1055" s="16"/>
    </row>
    <row r="1056" spans="1:28" ht="15.75" hidden="1" x14ac:dyDescent="0.25">
      <c r="A1056" s="20" t="s">
        <v>1522</v>
      </c>
      <c r="B1056" s="15">
        <v>45930</v>
      </c>
      <c r="C1056" s="26">
        <v>1</v>
      </c>
      <c r="D1056" s="55" t="str">
        <f>VLOOKUP(Main_Presentation[[#This Row],[LC Number]],Main_Issuance[],3,0)</f>
        <v>Hassan Taleb</v>
      </c>
      <c r="E1056" s="16" t="s">
        <v>856</v>
      </c>
      <c r="F1056" s="17" t="str">
        <f>VLOOKUP(Main_Presentation[[#This Row],[LC Number]],Main_Issuance[],5,0)</f>
        <v>Alinma</v>
      </c>
      <c r="G1056" s="17" t="str">
        <f>VLOOKUP(Main_Presentation[[#This Row],[LC Number]],Main_Issuance[],6,0)</f>
        <v>KSP</v>
      </c>
      <c r="H1056" s="17" t="str">
        <f>VLOOKUP(Main_Presentation[[#This Row],[LC Number]],Main_Issuance[],17,0)</f>
        <v>Credit</v>
      </c>
      <c r="I1056" s="17" t="str">
        <f>VLOOKUP(Main_Presentation[[#This Row],[LC Number]],Main_Issuance[],7,0)</f>
        <v>LAILA M.BIN ABDULLAH AL-FARAJ FOR GENERAL CONT.EST</v>
      </c>
      <c r="J1056" s="17" t="str">
        <f>VLOOKUP(Main_Presentation[[#This Row],[LC Number]],Main_Issuance[],8,0)</f>
        <v>FIRST FIX</v>
      </c>
      <c r="K1056" s="17" t="str">
        <f>VLOOKUP(Main_Presentation[[#This Row],[LC Number]],Main_Issuance[],9,0)</f>
        <v>JCD SPMI</v>
      </c>
      <c r="L1056" s="17">
        <f>VLOOKUP(Main_Presentation[[#This Row],[LC Number]],Main_Issuance[],10,0)</f>
        <v>1020100</v>
      </c>
      <c r="M1056" s="17" t="str">
        <f>VLOOKUP(Main_Presentation[[#This Row],[LC Number]],Main_Issuance[],11,0)</f>
        <v>SAR</v>
      </c>
      <c r="N1056" s="84">
        <f>VLOOKUP(Main_Presentation[[#This Row],[LC Number]],Main_Issuance[],12,0)</f>
        <v>263032</v>
      </c>
      <c r="O1056" s="16" t="s">
        <v>20</v>
      </c>
      <c r="P1056" s="16" t="s">
        <v>857</v>
      </c>
      <c r="Q1056" s="131">
        <v>263032</v>
      </c>
      <c r="R1056" s="18">
        <v>1</v>
      </c>
      <c r="S1056" s="18">
        <f>Main_Presentation[[#This Row],[Invoice Amt (FCY)]]*Main_Presentation[[#This Row],[Rate]]</f>
        <v>263032</v>
      </c>
      <c r="T1056" s="15">
        <v>46029</v>
      </c>
      <c r="U1056" s="26" t="str">
        <f>VLOOKUP(Main_Presentation[[#This Row],[LC Number]],Main_Issuance[],18,0)</f>
        <v>120 Days from Invoice Date</v>
      </c>
      <c r="V1056" s="242" t="s">
        <v>1460</v>
      </c>
      <c r="W1056" s="22" t="s">
        <v>378</v>
      </c>
      <c r="X1056" s="16"/>
      <c r="Y1056" s="234" t="str">
        <f>TRIM(LEFT(Main_Presentation[[#This Row],[Payment Terms]],3))</f>
        <v>120</v>
      </c>
      <c r="Z1056" s="16"/>
      <c r="AA1056" s="316" cm="1">
        <f t="array" ref="AA1056">Settlement(Main_Presentation[[#This Row],[Bank]],Main_Presentation[[#This Row],[ Invoice Amt (SAR)]],Main_Presentation[[#This Row],[Date Recd]],Main_Presentation[[#This Row],[Due Date]],Main_Presentation[[#This Row],[Days]])</f>
        <v>1437.5</v>
      </c>
      <c r="AB1056" s="16"/>
    </row>
    <row r="1057" spans="1:28" ht="15.75" hidden="1" x14ac:dyDescent="0.25">
      <c r="A1057" s="20" t="s">
        <v>1315</v>
      </c>
      <c r="B1057" s="15">
        <v>45922</v>
      </c>
      <c r="C1057" s="26">
        <v>1</v>
      </c>
      <c r="D1057" s="55" t="str">
        <f>VLOOKUP(Main_Presentation[[#This Row],[LC Number]],Main_Issuance[],3,0)</f>
        <v>Hassan Taleb</v>
      </c>
      <c r="E1057" s="16" t="s">
        <v>858</v>
      </c>
      <c r="F1057" s="17" t="str">
        <f>VLOOKUP(Main_Presentation[[#This Row],[LC Number]],Main_Issuance[],5,0)</f>
        <v>Alinma</v>
      </c>
      <c r="G1057" s="17" t="str">
        <f>VLOOKUP(Main_Presentation[[#This Row],[LC Number]],Main_Issuance[],6,0)</f>
        <v>KSP</v>
      </c>
      <c r="H1057" s="17" t="str">
        <f>VLOOKUP(Main_Presentation[[#This Row],[LC Number]],Main_Issuance[],17,0)</f>
        <v>Credit</v>
      </c>
      <c r="I1057" s="17" t="str">
        <f>VLOOKUP(Main_Presentation[[#This Row],[LC Number]],Main_Issuance[],7,0)</f>
        <v>RAWABI AL MAHFAR TRADING CO.</v>
      </c>
      <c r="J1057" s="17" t="str">
        <f>VLOOKUP(Main_Presentation[[#This Row],[LC Number]],Main_Issuance[],8,0)</f>
        <v>FIRST FIX</v>
      </c>
      <c r="K1057" s="17" t="str">
        <f>VLOOKUP(Main_Presentation[[#This Row],[LC Number]],Main_Issuance[],9,0)</f>
        <v>KSP</v>
      </c>
      <c r="L1057" s="17">
        <f>VLOOKUP(Main_Presentation[[#This Row],[LC Number]],Main_Issuance[],10,0)</f>
        <v>1020055</v>
      </c>
      <c r="M1057" s="17" t="str">
        <f>VLOOKUP(Main_Presentation[[#This Row],[LC Number]],Main_Issuance[],11,0)</f>
        <v>SAR</v>
      </c>
      <c r="N1057" s="84">
        <f>VLOOKUP(Main_Presentation[[#This Row],[LC Number]],Main_Issuance[],12,0)</f>
        <v>102859.94</v>
      </c>
      <c r="O1057" s="16" t="s">
        <v>20</v>
      </c>
      <c r="P1057" s="16" t="s">
        <v>857</v>
      </c>
      <c r="Q1057" s="131">
        <v>102859.94</v>
      </c>
      <c r="R1057" s="18">
        <v>1</v>
      </c>
      <c r="S1057" s="18">
        <f>Main_Presentation[[#This Row],[Invoice Amt (FCY)]]*Main_Presentation[[#This Row],[Rate]]</f>
        <v>102859.94</v>
      </c>
      <c r="T1057" s="15">
        <v>46028</v>
      </c>
      <c r="U1057" s="26" t="str">
        <f>VLOOKUP(Main_Presentation[[#This Row],[LC Number]],Main_Issuance[],18,0)</f>
        <v>120 Days from Invoice Date</v>
      </c>
      <c r="V1057" s="17" t="s">
        <v>22</v>
      </c>
      <c r="W1057" s="22" t="s">
        <v>857</v>
      </c>
      <c r="X1057" s="16"/>
      <c r="Y1057" s="234" t="str">
        <f>TRIM(LEFT(Main_Presentation[[#This Row],[Payment Terms]],3))</f>
        <v>120</v>
      </c>
      <c r="Z1057" s="16"/>
      <c r="AA1057" s="316" cm="1">
        <f t="array" ref="AA1057">Settlement(Main_Presentation[[#This Row],[Bank]],Main_Presentation[[#This Row],[ Invoice Amt (SAR)]],Main_Presentation[[#This Row],[Date Recd]],Main_Presentation[[#This Row],[Due Date]],Main_Presentation[[#This Row],[Days]])</f>
        <v>1437.5</v>
      </c>
      <c r="AB1057" s="16"/>
    </row>
    <row r="1058" spans="1:28" ht="15.75" hidden="1" x14ac:dyDescent="0.25">
      <c r="A1058" s="20" t="s">
        <v>1441</v>
      </c>
      <c r="B1058" s="15">
        <v>45914</v>
      </c>
      <c r="C1058" s="26">
        <v>1</v>
      </c>
      <c r="D1058" s="55" t="str">
        <f>VLOOKUP(Main_Presentation[[#This Row],[LC Number]],Main_Issuance[],3,0)</f>
        <v>Hassan Taleb</v>
      </c>
      <c r="E1058" s="16" t="s">
        <v>858</v>
      </c>
      <c r="F1058" s="17" t="str">
        <f>VLOOKUP(Main_Presentation[[#This Row],[LC Number]],Main_Issuance[],5,0)</f>
        <v>SAB</v>
      </c>
      <c r="G1058" s="17" t="str">
        <f>VLOOKUP(Main_Presentation[[#This Row],[LC Number]],Main_Issuance[],6,0)</f>
        <v>MP1</v>
      </c>
      <c r="H1058" s="17" t="str">
        <f>VLOOKUP(Main_Presentation[[#This Row],[LC Number]],Main_Issuance[],17,0)</f>
        <v>Credit</v>
      </c>
      <c r="I1058" s="17" t="str">
        <f>VLOOKUP(Main_Presentation[[#This Row],[LC Number]],Main_Issuance[],7,0)</f>
        <v>Ajzal United for Safety CO.LTD.</v>
      </c>
      <c r="J1058" s="17" t="str">
        <f>VLOOKUP(Main_Presentation[[#This Row],[LC Number]],Main_Issuance[],8,0)</f>
        <v>FIRST FIX</v>
      </c>
      <c r="K1058" s="17" t="str">
        <f>VLOOKUP(Main_Presentation[[#This Row],[LC Number]],Main_Issuance[],9,0)</f>
        <v>MP1</v>
      </c>
      <c r="L1058" s="17">
        <f>VLOOKUP(Main_Presentation[[#This Row],[LC Number]],Main_Issuance[],10,0)</f>
        <v>1020088</v>
      </c>
      <c r="M1058" s="17" t="str">
        <f>VLOOKUP(Main_Presentation[[#This Row],[LC Number]],Main_Issuance[],11,0)</f>
        <v>SAR</v>
      </c>
      <c r="N1058" s="84">
        <f>VLOOKUP(Main_Presentation[[#This Row],[LC Number]],Main_Issuance[],12,0)</f>
        <v>500000</v>
      </c>
      <c r="O1058" s="16" t="s">
        <v>20</v>
      </c>
      <c r="P1058" s="16" t="s">
        <v>857</v>
      </c>
      <c r="Q1058" s="131">
        <v>500000</v>
      </c>
      <c r="R1058" s="18">
        <v>1</v>
      </c>
      <c r="S1058" s="18">
        <f>Main_Presentation[[#This Row],[Invoice Amt (FCY)]]*Main_Presentation[[#This Row],[Rate]]</f>
        <v>500000</v>
      </c>
      <c r="T1058" s="15">
        <v>45970</v>
      </c>
      <c r="U1058" s="26" t="str">
        <f>VLOOKUP(Main_Presentation[[#This Row],[LC Number]],Main_Issuance[],18,0)</f>
        <v>120 Days from Invoice Date</v>
      </c>
      <c r="V1058" s="17" t="s">
        <v>710</v>
      </c>
      <c r="W1058" s="22" t="s">
        <v>857</v>
      </c>
      <c r="X1058" s="16"/>
      <c r="Y1058" s="234" t="str">
        <f>TRIM(LEFT(Main_Presentation[[#This Row],[Payment Terms]],3))</f>
        <v>120</v>
      </c>
      <c r="Z1058" s="16"/>
      <c r="AA1058" s="316" cm="1">
        <f t="array" ref="AA1058">Settlement(Main_Presentation[[#This Row],[Bank]],Main_Presentation[[#This Row],[ Invoice Amt (SAR)]],Main_Presentation[[#This Row],[Date Recd]],Main_Presentation[[#This Row],[Due Date]],Main_Presentation[[#This Row],[Days]])</f>
        <v>2156.25</v>
      </c>
      <c r="AB1058" s="16"/>
    </row>
    <row r="1059" spans="1:28" ht="15.75" hidden="1" x14ac:dyDescent="0.25">
      <c r="A1059" s="20" t="s">
        <v>1417</v>
      </c>
      <c r="B1059" s="15">
        <v>45928</v>
      </c>
      <c r="C1059" s="26">
        <v>1</v>
      </c>
      <c r="D1059" s="55" t="str">
        <f>VLOOKUP(Main_Presentation[[#This Row],[LC Number]],Main_Issuance[],3,0)</f>
        <v>Hassan Taleb</v>
      </c>
      <c r="E1059" s="16" t="s">
        <v>856</v>
      </c>
      <c r="F1059" s="17" t="str">
        <f>VLOOKUP(Main_Presentation[[#This Row],[LC Number]],Main_Issuance[],5,0)</f>
        <v>SNB</v>
      </c>
      <c r="G1059" s="17" t="str">
        <f>VLOOKUP(Main_Presentation[[#This Row],[LC Number]],Main_Issuance[],6,0)</f>
        <v>Opera House</v>
      </c>
      <c r="H1059" s="17" t="str">
        <f>VLOOKUP(Main_Presentation[[#This Row],[LC Number]],Main_Issuance[],17,0)</f>
        <v>Credit</v>
      </c>
      <c r="I1059" s="17" t="str">
        <f>VLOOKUP(Main_Presentation[[#This Row],[LC Number]],Main_Issuance[],7,0)</f>
        <v>Gulf Grilles Company</v>
      </c>
      <c r="J1059" s="17" t="str">
        <f>VLOOKUP(Main_Presentation[[#This Row],[LC Number]],Main_Issuance[],8,0)</f>
        <v>FIRST FIX</v>
      </c>
      <c r="K1059" s="17" t="str">
        <f>VLOOKUP(Main_Presentation[[#This Row],[LC Number]],Main_Issuance[],9,0)</f>
        <v>KSP</v>
      </c>
      <c r="L1059" s="17">
        <f>VLOOKUP(Main_Presentation[[#This Row],[LC Number]],Main_Issuance[],10,0)</f>
        <v>1020055</v>
      </c>
      <c r="M1059" s="17" t="str">
        <f>VLOOKUP(Main_Presentation[[#This Row],[LC Number]],Main_Issuance[],11,0)</f>
        <v>SAR</v>
      </c>
      <c r="N1059" s="84">
        <f>VLOOKUP(Main_Presentation[[#This Row],[LC Number]],Main_Issuance[],12,0)</f>
        <v>524263.78</v>
      </c>
      <c r="O1059" s="16" t="s">
        <v>20</v>
      </c>
      <c r="P1059" s="16" t="s">
        <v>378</v>
      </c>
      <c r="Q1059" s="131">
        <v>524263.78</v>
      </c>
      <c r="R1059" s="18">
        <v>1</v>
      </c>
      <c r="S1059" s="18">
        <f>Main_Presentation[[#This Row],[Invoice Amt (FCY)]]*Main_Presentation[[#This Row],[Rate]]</f>
        <v>524263.78</v>
      </c>
      <c r="T1059" s="15">
        <v>45960</v>
      </c>
      <c r="U1059" s="26" t="str">
        <f>VLOOKUP(Main_Presentation[[#This Row],[LC Number]],Main_Issuance[],18,0)</f>
        <v>120 Days from Invoice Date</v>
      </c>
      <c r="V1059" s="17" t="s">
        <v>22</v>
      </c>
      <c r="W1059" s="22" t="s">
        <v>857</v>
      </c>
      <c r="X1059" s="16"/>
      <c r="Y1059" s="234" t="str">
        <f>TRIM(LEFT(Main_Presentation[[#This Row],[Payment Terms]],3))</f>
        <v>120</v>
      </c>
      <c r="Z1059" s="16"/>
      <c r="AA1059" s="316" cm="1">
        <f t="array" ref="AA1059">Settlement(Main_Presentation[[#This Row],[Bank]],Main_Presentation[[#This Row],[ Invoice Amt (SAR)]],Main_Presentation[[#This Row],[Date Recd]],Main_Presentation[[#This Row],[Due Date]],Main_Presentation[[#This Row],[Days]])</f>
        <v>1296.05</v>
      </c>
      <c r="AB1059" s="16"/>
    </row>
    <row r="1060" spans="1:28" ht="15.75" hidden="1" x14ac:dyDescent="0.25">
      <c r="A1060" s="20" t="s">
        <v>1229</v>
      </c>
      <c r="B1060" s="15">
        <v>45874</v>
      </c>
      <c r="C1060" s="26">
        <v>3</v>
      </c>
      <c r="D1060" s="55" t="str">
        <f>VLOOKUP(Main_Presentation[[#This Row],[LC Number]],Main_Issuance[],3,0)</f>
        <v>Tareeq - Premium</v>
      </c>
      <c r="E1060" s="16" t="s">
        <v>856</v>
      </c>
      <c r="F1060" s="17" t="str">
        <f>VLOOKUP(Main_Presentation[[#This Row],[LC Number]],Main_Issuance[],5,0)</f>
        <v>SAB</v>
      </c>
      <c r="G1060" s="17" t="str">
        <f>VLOOKUP(Main_Presentation[[#This Row],[LC Number]],Main_Issuance[],6,0)</f>
        <v>CEER</v>
      </c>
      <c r="H1060" s="17" t="str">
        <f>VLOOKUP(Main_Presentation[[#This Row],[LC Number]],Main_Issuance[],17,0)</f>
        <v>Credit</v>
      </c>
      <c r="I1060" s="17" t="str">
        <f>VLOOKUP(Main_Presentation[[#This Row],[LC Number]],Main_Issuance[],7,0)</f>
        <v>VENTLINE AIR CONDITIONING REQUISITES MANUFACTURING LLC</v>
      </c>
      <c r="J1060" s="17" t="str">
        <f>VLOOKUP(Main_Presentation[[#This Row],[LC Number]],Main_Issuance[],8,0)</f>
        <v>MBL/Premium</v>
      </c>
      <c r="K1060" s="17" t="str">
        <f>VLOOKUP(Main_Presentation[[#This Row],[LC Number]],Main_Issuance[],9,0)</f>
        <v>CEER</v>
      </c>
      <c r="L1060" s="17">
        <f>VLOOKUP(Main_Presentation[[#This Row],[LC Number]],Main_Issuance[],10,0)</f>
        <v>1020091</v>
      </c>
      <c r="M1060" s="17" t="str">
        <f>VLOOKUP(Main_Presentation[[#This Row],[LC Number]],Main_Issuance[],11,0)</f>
        <v>AED</v>
      </c>
      <c r="N1060" s="84">
        <f>VLOOKUP(Main_Presentation[[#This Row],[LC Number]],Main_Issuance[],12,0)</f>
        <v>6500000</v>
      </c>
      <c r="O1060" s="16" t="s">
        <v>20</v>
      </c>
      <c r="P1060" s="16" t="s">
        <v>857</v>
      </c>
      <c r="Q1060" s="131">
        <v>760000</v>
      </c>
      <c r="R1060" s="18">
        <v>1.03</v>
      </c>
      <c r="S1060" s="18">
        <f>Main_Presentation[[#This Row],[Invoice Amt (FCY)]]*Main_Presentation[[#This Row],[Rate]]</f>
        <v>782800</v>
      </c>
      <c r="T1060" s="15">
        <v>45876</v>
      </c>
      <c r="U1060" s="26" t="str">
        <f>VLOOKUP(Main_Presentation[[#This Row],[LC Number]],Main_Issuance[],18,0)</f>
        <v>Sight</v>
      </c>
      <c r="V1060" s="17" t="s">
        <v>367</v>
      </c>
      <c r="W1060" s="22" t="s">
        <v>857</v>
      </c>
      <c r="X1060" s="16"/>
      <c r="Y1060" s="234" t="str">
        <f>TRIM(LEFT(Main_Presentation[[#This Row],[Payment Terms]],3))</f>
        <v>Sig</v>
      </c>
      <c r="Z1060" s="16"/>
      <c r="AA1060" s="316" t="e" cm="1">
        <f t="array" ref="AA1060">Settlement(Main_Presentation[[#This Row],[Bank]],Main_Presentation[[#This Row],[ Invoice Amt (SAR)]],Main_Presentation[[#This Row],[Date Recd]],Main_Presentation[[#This Row],[Due Date]],Main_Presentation[[#This Row],[Days]])</f>
        <v>#VALUE!</v>
      </c>
      <c r="AB1060" s="16"/>
    </row>
    <row r="1061" spans="1:28" ht="15.75" hidden="1" x14ac:dyDescent="0.25">
      <c r="A1061" s="20" t="s">
        <v>1129</v>
      </c>
      <c r="B1061" s="15">
        <v>45876</v>
      </c>
      <c r="C1061" s="26">
        <v>2</v>
      </c>
      <c r="D1061" s="55" t="str">
        <f>VLOOKUP(Main_Presentation[[#This Row],[LC Number]],Main_Issuance[],3,0)</f>
        <v>Tareeq - Premium</v>
      </c>
      <c r="E1061" s="16" t="s">
        <v>858</v>
      </c>
      <c r="F1061" s="17" t="str">
        <f>VLOOKUP(Main_Presentation[[#This Row],[LC Number]],Main_Issuance[],5,0)</f>
        <v>SAB</v>
      </c>
      <c r="G1061" s="17" t="str">
        <f>VLOOKUP(Main_Presentation[[#This Row],[LC Number]],Main_Issuance[],6,0)</f>
        <v>CEER</v>
      </c>
      <c r="H1061" s="17" t="str">
        <f>VLOOKUP(Main_Presentation[[#This Row],[LC Number]],Main_Issuance[],17,0)</f>
        <v>Credit</v>
      </c>
      <c r="I1061" s="17" t="str">
        <f>VLOOKUP(Main_Presentation[[#This Row],[LC Number]],Main_Issuance[],7,0)</f>
        <v>ISAM MUAMMED KHAIRI KABBANI GLASS (IKK Glass)</v>
      </c>
      <c r="J1061" s="17" t="str">
        <f>VLOOKUP(Main_Presentation[[#This Row],[LC Number]],Main_Issuance[],8,0)</f>
        <v>MBL/Premium</v>
      </c>
      <c r="K1061" s="17" t="str">
        <f>VLOOKUP(Main_Presentation[[#This Row],[LC Number]],Main_Issuance[],9,0)</f>
        <v>CEER</v>
      </c>
      <c r="L1061" s="17">
        <f>VLOOKUP(Main_Presentation[[#This Row],[LC Number]],Main_Issuance[],10,0)</f>
        <v>1020091</v>
      </c>
      <c r="M1061" s="17" t="str">
        <f>VLOOKUP(Main_Presentation[[#This Row],[LC Number]],Main_Issuance[],11,0)</f>
        <v>SAR</v>
      </c>
      <c r="N1061" s="84">
        <f>VLOOKUP(Main_Presentation[[#This Row],[LC Number]],Main_Issuance[],12,0)</f>
        <v>3500000</v>
      </c>
      <c r="O1061" s="16" t="s">
        <v>20</v>
      </c>
      <c r="P1061" s="16" t="s">
        <v>857</v>
      </c>
      <c r="Q1061" s="131">
        <v>525000</v>
      </c>
      <c r="R1061" s="18">
        <v>1</v>
      </c>
      <c r="S1061" s="18">
        <f>Main_Presentation[[#This Row],[Invoice Amt (FCY)]]*Main_Presentation[[#This Row],[Rate]]</f>
        <v>525000</v>
      </c>
      <c r="T1061" s="15">
        <v>45879</v>
      </c>
      <c r="U1061" s="26" t="str">
        <f>VLOOKUP(Main_Presentation[[#This Row],[LC Number]],Main_Issuance[],18,0)</f>
        <v>30 Days from Invoice Date</v>
      </c>
      <c r="V1061" s="17" t="s">
        <v>367</v>
      </c>
      <c r="W1061" s="22" t="s">
        <v>857</v>
      </c>
      <c r="X1061" s="16"/>
      <c r="Y1061" s="234" t="str">
        <f>TRIM(LEFT(Main_Presentation[[#This Row],[Payment Terms]],3))</f>
        <v>30</v>
      </c>
      <c r="Z1061" s="16"/>
      <c r="AA1061" s="316" cm="1">
        <f t="array" ref="AA1061">Settlement(Main_Presentation[[#This Row],[Bank]],Main_Presentation[[#This Row],[ Invoice Amt (SAR)]],Main_Presentation[[#This Row],[Date Recd]],Main_Presentation[[#This Row],[Due Date]],Main_Presentation[[#This Row],[Days]])</f>
        <v>2264.35</v>
      </c>
      <c r="AB1061" s="16"/>
    </row>
    <row r="1062" spans="1:28" ht="15.75" hidden="1" x14ac:dyDescent="0.25">
      <c r="A1062" s="20" t="s">
        <v>689</v>
      </c>
      <c r="B1062" s="15">
        <v>45876</v>
      </c>
      <c r="C1062" s="26">
        <v>2</v>
      </c>
      <c r="D1062" s="55" t="str">
        <f>VLOOKUP(Main_Presentation[[#This Row],[LC Number]],Main_Issuance[],3,0)</f>
        <v>Tareeq Telmasani</v>
      </c>
      <c r="E1062" s="16" t="s">
        <v>856</v>
      </c>
      <c r="F1062" s="17" t="str">
        <f>VLOOKUP(Main_Presentation[[#This Row],[LC Number]],Main_Issuance[],5,0)</f>
        <v>SAB</v>
      </c>
      <c r="G1062" s="17" t="str">
        <f>VLOOKUP(Main_Presentation[[#This Row],[LC Number]],Main_Issuance[],6,0)</f>
        <v>CEER</v>
      </c>
      <c r="H1062" s="17" t="str">
        <f>VLOOKUP(Main_Presentation[[#This Row],[LC Number]],Main_Issuance[],17,0)</f>
        <v>Credit</v>
      </c>
      <c r="I1062" s="17" t="str">
        <f>VLOOKUP(Main_Presentation[[#This Row],[LC Number]],Main_Issuance[],7,0)</f>
        <v>Arnon Plastic Industries Co Ltd</v>
      </c>
      <c r="J1062" s="17" t="str">
        <f>VLOOKUP(Main_Presentation[[#This Row],[LC Number]],Main_Issuance[],8,0)</f>
        <v>MBL</v>
      </c>
      <c r="K1062" s="17" t="str">
        <f>VLOOKUP(Main_Presentation[[#This Row],[LC Number]],Main_Issuance[],9,0)</f>
        <v>CEER</v>
      </c>
      <c r="L1062" s="17">
        <f>VLOOKUP(Main_Presentation[[#This Row],[LC Number]],Main_Issuance[],10,0)</f>
        <v>1020091</v>
      </c>
      <c r="M1062" s="17" t="str">
        <f>VLOOKUP(Main_Presentation[[#This Row],[LC Number]],Main_Issuance[],11,0)</f>
        <v>SAR</v>
      </c>
      <c r="N1062" s="84">
        <f>VLOOKUP(Main_Presentation[[#This Row],[LC Number]],Main_Issuance[],12,0)</f>
        <v>15413737.5</v>
      </c>
      <c r="O1062" s="16" t="s">
        <v>20</v>
      </c>
      <c r="P1062" s="16" t="s">
        <v>857</v>
      </c>
      <c r="Q1062" s="131">
        <v>4852096.79</v>
      </c>
      <c r="R1062" s="18">
        <v>1</v>
      </c>
      <c r="S1062" s="18">
        <f>Main_Presentation[[#This Row],[Invoice Amt (FCY)]]*Main_Presentation[[#This Row],[Rate]]</f>
        <v>4852096.79</v>
      </c>
      <c r="T1062" s="15">
        <v>45894</v>
      </c>
      <c r="U1062" s="26" t="str">
        <f>VLOOKUP(Main_Presentation[[#This Row],[LC Number]],Main_Issuance[],18,0)</f>
        <v>90 Days from Invoice Date</v>
      </c>
      <c r="V1062" s="17" t="s">
        <v>367</v>
      </c>
      <c r="W1062" s="22" t="s">
        <v>857</v>
      </c>
      <c r="X1062" s="16"/>
      <c r="Y1062" s="234" t="str">
        <f>TRIM(LEFT(Main_Presentation[[#This Row],[Payment Terms]],3))</f>
        <v>90</v>
      </c>
      <c r="Z1062" s="16"/>
      <c r="AA1062" s="316" cm="1">
        <f t="array" ref="AA1062">Settlement(Main_Presentation[[#This Row],[Bank]],Main_Presentation[[#This Row],[ Invoice Amt (SAR)]],Main_Presentation[[#This Row],[Date Recd]],Main_Presentation[[#This Row],[Due Date]],Main_Presentation[[#This Row],[Days]])</f>
        <v>20924.25</v>
      </c>
      <c r="AB1062" s="16"/>
    </row>
    <row r="1063" spans="1:28" ht="15.75" hidden="1" x14ac:dyDescent="0.25">
      <c r="A1063" s="20" t="s">
        <v>1530</v>
      </c>
      <c r="B1063" s="15">
        <v>45886</v>
      </c>
      <c r="C1063" s="26">
        <v>1</v>
      </c>
      <c r="D1063" s="55" t="str">
        <f>VLOOKUP(Main_Presentation[[#This Row],[LC Number]],Main_Issuance[],3,0)</f>
        <v>Tareeq - Premium</v>
      </c>
      <c r="E1063" s="16" t="s">
        <v>856</v>
      </c>
      <c r="F1063" s="17" t="str">
        <f>VLOOKUP(Main_Presentation[[#This Row],[LC Number]],Main_Issuance[],5,0)</f>
        <v>SAB</v>
      </c>
      <c r="G1063" s="17" t="str">
        <f>VLOOKUP(Main_Presentation[[#This Row],[LC Number]],Main_Issuance[],6,0)</f>
        <v>CEER</v>
      </c>
      <c r="H1063" s="17" t="str">
        <f>VLOOKUP(Main_Presentation[[#This Row],[LC Number]],Main_Issuance[],17,0)</f>
        <v>Credit</v>
      </c>
      <c r="I1063" s="17" t="str">
        <f>VLOOKUP(Main_Presentation[[#This Row],[LC Number]],Main_Issuance[],7,0)</f>
        <v>Aluminium Products company (ALUPCO)</v>
      </c>
      <c r="J1063" s="17" t="str">
        <f>VLOOKUP(Main_Presentation[[#This Row],[LC Number]],Main_Issuance[],8,0)</f>
        <v>MBL/Premium</v>
      </c>
      <c r="K1063" s="17" t="str">
        <f>VLOOKUP(Main_Presentation[[#This Row],[LC Number]],Main_Issuance[],9,0)</f>
        <v>CEER</v>
      </c>
      <c r="L1063" s="17">
        <f>VLOOKUP(Main_Presentation[[#This Row],[LC Number]],Main_Issuance[],10,0)</f>
        <v>1020091</v>
      </c>
      <c r="M1063" s="17" t="str">
        <f>VLOOKUP(Main_Presentation[[#This Row],[LC Number]],Main_Issuance[],11,0)</f>
        <v>SAR</v>
      </c>
      <c r="N1063" s="84">
        <f>VLOOKUP(Main_Presentation[[#This Row],[LC Number]],Main_Issuance[],12,0)</f>
        <v>2500000</v>
      </c>
      <c r="O1063" s="16" t="s">
        <v>20</v>
      </c>
      <c r="P1063" s="16" t="s">
        <v>857</v>
      </c>
      <c r="Q1063" s="131">
        <v>627519.39</v>
      </c>
      <c r="R1063" s="18">
        <v>1</v>
      </c>
      <c r="S1063" s="18">
        <f>Main_Presentation[[#This Row],[Invoice Amt (FCY)]]*Main_Presentation[[#This Row],[Rate]]</f>
        <v>627519.39</v>
      </c>
      <c r="T1063" s="15">
        <v>45956</v>
      </c>
      <c r="U1063" s="26" t="str">
        <f>VLOOKUP(Main_Presentation[[#This Row],[LC Number]],Main_Issuance[],18,0)</f>
        <v>90 Days from Invoice Date</v>
      </c>
      <c r="V1063" s="17" t="s">
        <v>367</v>
      </c>
      <c r="W1063" s="22" t="s">
        <v>857</v>
      </c>
      <c r="X1063" s="16"/>
      <c r="Y1063" s="234" t="str">
        <f>TRIM(LEFT(Main_Presentation[[#This Row],[Payment Terms]],3))</f>
        <v>90</v>
      </c>
      <c r="Z1063" s="16"/>
      <c r="AA1063" s="316" cm="1">
        <f t="array" ref="AA1063">Settlement(Main_Presentation[[#This Row],[Bank]],Main_Presentation[[#This Row],[ Invoice Amt (SAR)]],Main_Presentation[[#This Row],[Date Recd]],Main_Presentation[[#This Row],[Due Date]],Main_Presentation[[#This Row],[Days]])</f>
        <v>2705.95</v>
      </c>
      <c r="AB1063" s="16"/>
    </row>
    <row r="1064" spans="1:28" ht="15.75" hidden="1" x14ac:dyDescent="0.25">
      <c r="A1064" s="20" t="s">
        <v>1129</v>
      </c>
      <c r="B1064" s="15">
        <v>45890</v>
      </c>
      <c r="C1064" s="26">
        <v>3</v>
      </c>
      <c r="D1064" s="55" t="str">
        <f>VLOOKUP(Main_Presentation[[#This Row],[LC Number]],Main_Issuance[],3,0)</f>
        <v>Tareeq - Premium</v>
      </c>
      <c r="E1064" s="16" t="s">
        <v>858</v>
      </c>
      <c r="F1064" s="17" t="str">
        <f>VLOOKUP(Main_Presentation[[#This Row],[LC Number]],Main_Issuance[],5,0)</f>
        <v>SAB</v>
      </c>
      <c r="G1064" s="17" t="str">
        <f>VLOOKUP(Main_Presentation[[#This Row],[LC Number]],Main_Issuance[],6,0)</f>
        <v>CEER</v>
      </c>
      <c r="H1064" s="17" t="str">
        <f>VLOOKUP(Main_Presentation[[#This Row],[LC Number]],Main_Issuance[],17,0)</f>
        <v>Credit</v>
      </c>
      <c r="I1064" s="17" t="str">
        <f>VLOOKUP(Main_Presentation[[#This Row],[LC Number]],Main_Issuance[],7,0)</f>
        <v>ISAM MUAMMED KHAIRI KABBANI GLASS (IKK Glass)</v>
      </c>
      <c r="J1064" s="17" t="str">
        <f>VLOOKUP(Main_Presentation[[#This Row],[LC Number]],Main_Issuance[],8,0)</f>
        <v>MBL/Premium</v>
      </c>
      <c r="K1064" s="17" t="str">
        <f>VLOOKUP(Main_Presentation[[#This Row],[LC Number]],Main_Issuance[],9,0)</f>
        <v>CEER</v>
      </c>
      <c r="L1064" s="17">
        <f>VLOOKUP(Main_Presentation[[#This Row],[LC Number]],Main_Issuance[],10,0)</f>
        <v>1020091</v>
      </c>
      <c r="M1064" s="17" t="str">
        <f>VLOOKUP(Main_Presentation[[#This Row],[LC Number]],Main_Issuance[],11,0)</f>
        <v>SAR</v>
      </c>
      <c r="N1064" s="84">
        <f>VLOOKUP(Main_Presentation[[#This Row],[LC Number]],Main_Issuance[],12,0)</f>
        <v>3500000</v>
      </c>
      <c r="O1064" s="16" t="s">
        <v>20</v>
      </c>
      <c r="P1064" s="16" t="s">
        <v>857</v>
      </c>
      <c r="Q1064" s="131">
        <v>945000</v>
      </c>
      <c r="R1064" s="18">
        <v>1</v>
      </c>
      <c r="S1064" s="18">
        <f>Main_Presentation[[#This Row],[Invoice Amt (FCY)]]*Main_Presentation[[#This Row],[Rate]]</f>
        <v>945000</v>
      </c>
      <c r="T1064" s="15">
        <v>45902</v>
      </c>
      <c r="U1064" s="26" t="str">
        <f>VLOOKUP(Main_Presentation[[#This Row],[LC Number]],Main_Issuance[],18,0)</f>
        <v>30 Days from Invoice Date</v>
      </c>
      <c r="V1064" s="17" t="s">
        <v>367</v>
      </c>
      <c r="W1064" s="22" t="s">
        <v>857</v>
      </c>
      <c r="X1064" s="16"/>
      <c r="Y1064" s="234" t="str">
        <f>TRIM(LEFT(Main_Presentation[[#This Row],[Payment Terms]],3))</f>
        <v>30</v>
      </c>
      <c r="Z1064" s="16"/>
      <c r="AA1064" s="316" cm="1">
        <f t="array" ref="AA1064">Settlement(Main_Presentation[[#This Row],[Bank]],Main_Presentation[[#This Row],[ Invoice Amt (SAR)]],Main_Presentation[[#This Row],[Date Recd]],Main_Presentation[[#This Row],[Due Date]],Main_Presentation[[#This Row],[Days]])</f>
        <v>4075.6</v>
      </c>
      <c r="AB1064" s="16"/>
    </row>
    <row r="1065" spans="1:28" ht="15.75" hidden="1" x14ac:dyDescent="0.25">
      <c r="A1065" s="20" t="s">
        <v>1127</v>
      </c>
      <c r="B1065" s="15">
        <v>45888</v>
      </c>
      <c r="C1065" s="26">
        <v>2</v>
      </c>
      <c r="D1065" s="55" t="str">
        <f>VLOOKUP(Main_Presentation[[#This Row],[LC Number]],Main_Issuance[],3,0)</f>
        <v>Tareeq - Premium</v>
      </c>
      <c r="E1065" s="16" t="s">
        <v>858</v>
      </c>
      <c r="F1065" s="17" t="str">
        <f>VLOOKUP(Main_Presentation[[#This Row],[LC Number]],Main_Issuance[],5,0)</f>
        <v>SAB</v>
      </c>
      <c r="G1065" s="17" t="str">
        <f>VLOOKUP(Main_Presentation[[#This Row],[LC Number]],Main_Issuance[],6,0)</f>
        <v>CEER</v>
      </c>
      <c r="H1065" s="17" t="str">
        <f>VLOOKUP(Main_Presentation[[#This Row],[LC Number]],Main_Issuance[],17,0)</f>
        <v>Credit</v>
      </c>
      <c r="I1065" s="17" t="str">
        <f>VLOOKUP(Main_Presentation[[#This Row],[LC Number]],Main_Issuance[],7,0)</f>
        <v>SCHUCO MIDDLE EAST WINDOWS AND FACADE SYSTEMS LLC</v>
      </c>
      <c r="J1065" s="17" t="str">
        <f>VLOOKUP(Main_Presentation[[#This Row],[LC Number]],Main_Issuance[],8,0)</f>
        <v>MBL/Premium</v>
      </c>
      <c r="K1065" s="17" t="str">
        <f>VLOOKUP(Main_Presentation[[#This Row],[LC Number]],Main_Issuance[],9,0)</f>
        <v>CEER</v>
      </c>
      <c r="L1065" s="17">
        <f>VLOOKUP(Main_Presentation[[#This Row],[LC Number]],Main_Issuance[],10,0)</f>
        <v>1020091</v>
      </c>
      <c r="M1065" s="17" t="str">
        <f>VLOOKUP(Main_Presentation[[#This Row],[LC Number]],Main_Issuance[],11,0)</f>
        <v>AED</v>
      </c>
      <c r="N1065" s="84">
        <f>VLOOKUP(Main_Presentation[[#This Row],[LC Number]],Main_Issuance[],12,0)</f>
        <v>4750000</v>
      </c>
      <c r="O1065" s="16" t="s">
        <v>20</v>
      </c>
      <c r="P1065" s="16" t="s">
        <v>857</v>
      </c>
      <c r="Q1065" s="131">
        <v>1233679.24</v>
      </c>
      <c r="R1065" s="18">
        <v>1.0265</v>
      </c>
      <c r="S1065" s="18">
        <f>Main_Presentation[[#This Row],[Invoice Amt (FCY)]]*Main_Presentation[[#This Row],[Rate]]</f>
        <v>1266371.7398599999</v>
      </c>
      <c r="T1065" s="15">
        <v>45893</v>
      </c>
      <c r="U1065" s="26" t="str">
        <f>VLOOKUP(Main_Presentation[[#This Row],[LC Number]],Main_Issuance[],18,0)</f>
        <v>60 Days from Invoice Date</v>
      </c>
      <c r="V1065" s="17" t="s">
        <v>367</v>
      </c>
      <c r="W1065" s="22" t="s">
        <v>857</v>
      </c>
      <c r="X1065" s="16"/>
      <c r="Y1065" s="234" t="str">
        <f>TRIM(LEFT(Main_Presentation[[#This Row],[Payment Terms]],3))</f>
        <v>60</v>
      </c>
      <c r="Z1065" s="16"/>
      <c r="AA1065" s="316" cm="1">
        <f t="array" ref="AA1065">Settlement(Main_Presentation[[#This Row],[Bank]],Main_Presentation[[#This Row],[ Invoice Amt (SAR)]],Main_Presentation[[#This Row],[Date Recd]],Main_Presentation[[#This Row],[Due Date]],Main_Presentation[[#This Row],[Days]])</f>
        <v>5461.35</v>
      </c>
      <c r="AB1065" s="16"/>
    </row>
    <row r="1066" spans="1:28" ht="15.75" hidden="1" x14ac:dyDescent="0.25">
      <c r="A1066" s="20" t="s">
        <v>1127</v>
      </c>
      <c r="B1066" s="15">
        <v>45888</v>
      </c>
      <c r="C1066" s="26">
        <v>3</v>
      </c>
      <c r="D1066" s="55" t="str">
        <f>VLOOKUP(Main_Presentation[[#This Row],[LC Number]],Main_Issuance[],3,0)</f>
        <v>Tareeq - Premium</v>
      </c>
      <c r="E1066" s="16" t="s">
        <v>858</v>
      </c>
      <c r="F1066" s="17" t="str">
        <f>VLOOKUP(Main_Presentation[[#This Row],[LC Number]],Main_Issuance[],5,0)</f>
        <v>SAB</v>
      </c>
      <c r="G1066" s="17" t="str">
        <f>VLOOKUP(Main_Presentation[[#This Row],[LC Number]],Main_Issuance[],6,0)</f>
        <v>CEER</v>
      </c>
      <c r="H1066" s="17" t="str">
        <f>VLOOKUP(Main_Presentation[[#This Row],[LC Number]],Main_Issuance[],17,0)</f>
        <v>Credit</v>
      </c>
      <c r="I1066" s="17" t="str">
        <f>VLOOKUP(Main_Presentation[[#This Row],[LC Number]],Main_Issuance[],7,0)</f>
        <v>SCHUCO MIDDLE EAST WINDOWS AND FACADE SYSTEMS LLC</v>
      </c>
      <c r="J1066" s="17" t="str">
        <f>VLOOKUP(Main_Presentation[[#This Row],[LC Number]],Main_Issuance[],8,0)</f>
        <v>MBL/Premium</v>
      </c>
      <c r="K1066" s="17" t="str">
        <f>VLOOKUP(Main_Presentation[[#This Row],[LC Number]],Main_Issuance[],9,0)</f>
        <v>CEER</v>
      </c>
      <c r="L1066" s="17">
        <f>VLOOKUP(Main_Presentation[[#This Row],[LC Number]],Main_Issuance[],10,0)</f>
        <v>1020091</v>
      </c>
      <c r="M1066" s="17" t="str">
        <f>VLOOKUP(Main_Presentation[[#This Row],[LC Number]],Main_Issuance[],11,0)</f>
        <v>AED</v>
      </c>
      <c r="N1066" s="84">
        <f>VLOOKUP(Main_Presentation[[#This Row],[LC Number]],Main_Issuance[],12,0)</f>
        <v>4750000</v>
      </c>
      <c r="O1066" s="16" t="s">
        <v>20</v>
      </c>
      <c r="P1066" s="16" t="s">
        <v>857</v>
      </c>
      <c r="Q1066" s="131">
        <v>576949.91</v>
      </c>
      <c r="R1066" s="18">
        <v>1.026</v>
      </c>
      <c r="S1066" s="18">
        <f>Main_Presentation[[#This Row],[Invoice Amt (FCY)]]*Main_Presentation[[#This Row],[Rate]]</f>
        <v>591950.6076600001</v>
      </c>
      <c r="T1066" s="15">
        <v>45901</v>
      </c>
      <c r="U1066" s="26" t="str">
        <f>VLOOKUP(Main_Presentation[[#This Row],[LC Number]],Main_Issuance[],18,0)</f>
        <v>60 Days from Invoice Date</v>
      </c>
      <c r="V1066" s="17" t="s">
        <v>367</v>
      </c>
      <c r="W1066" s="22" t="s">
        <v>857</v>
      </c>
      <c r="X1066" s="16"/>
      <c r="Y1066" s="234" t="str">
        <f>TRIM(LEFT(Main_Presentation[[#This Row],[Payment Terms]],3))</f>
        <v>60</v>
      </c>
      <c r="Z1066" s="16"/>
      <c r="AA1066" s="316" cm="1">
        <f t="array" ref="AA1066">Settlement(Main_Presentation[[#This Row],[Bank]],Main_Presentation[[#This Row],[ Invoice Amt (SAR)]],Main_Presentation[[#This Row],[Date Recd]],Main_Presentation[[#This Row],[Due Date]],Main_Presentation[[#This Row],[Days]])</f>
        <v>2553</v>
      </c>
      <c r="AB1066" s="16"/>
    </row>
    <row r="1067" spans="1:28" ht="15.75" hidden="1" x14ac:dyDescent="0.25">
      <c r="A1067" s="20" t="s">
        <v>1229</v>
      </c>
      <c r="B1067" s="15">
        <v>45888</v>
      </c>
      <c r="C1067" s="26">
        <v>5</v>
      </c>
      <c r="D1067" s="55" t="str">
        <f>VLOOKUP(Main_Presentation[[#This Row],[LC Number]],Main_Issuance[],3,0)</f>
        <v>Tareeq - Premium</v>
      </c>
      <c r="E1067" s="16" t="s">
        <v>856</v>
      </c>
      <c r="F1067" s="17" t="str">
        <f>VLOOKUP(Main_Presentation[[#This Row],[LC Number]],Main_Issuance[],5,0)</f>
        <v>SAB</v>
      </c>
      <c r="G1067" s="17" t="str">
        <f>VLOOKUP(Main_Presentation[[#This Row],[LC Number]],Main_Issuance[],6,0)</f>
        <v>CEER</v>
      </c>
      <c r="H1067" s="17" t="str">
        <f>VLOOKUP(Main_Presentation[[#This Row],[LC Number]],Main_Issuance[],17,0)</f>
        <v>Credit</v>
      </c>
      <c r="I1067" s="17" t="str">
        <f>VLOOKUP(Main_Presentation[[#This Row],[LC Number]],Main_Issuance[],7,0)</f>
        <v>VENTLINE AIR CONDITIONING REQUISITES MANUFACTURING LLC</v>
      </c>
      <c r="J1067" s="17" t="str">
        <f>VLOOKUP(Main_Presentation[[#This Row],[LC Number]],Main_Issuance[],8,0)</f>
        <v>MBL/Premium</v>
      </c>
      <c r="K1067" s="17" t="str">
        <f>VLOOKUP(Main_Presentation[[#This Row],[LC Number]],Main_Issuance[],9,0)</f>
        <v>CEER</v>
      </c>
      <c r="L1067" s="17">
        <f>VLOOKUP(Main_Presentation[[#This Row],[LC Number]],Main_Issuance[],10,0)</f>
        <v>1020091</v>
      </c>
      <c r="M1067" s="17" t="str">
        <f>VLOOKUP(Main_Presentation[[#This Row],[LC Number]],Main_Issuance[],11,0)</f>
        <v>AED</v>
      </c>
      <c r="N1067" s="84">
        <f>VLOOKUP(Main_Presentation[[#This Row],[LC Number]],Main_Issuance[],12,0)</f>
        <v>6500000</v>
      </c>
      <c r="O1067" s="16" t="s">
        <v>20</v>
      </c>
      <c r="P1067" s="16" t="s">
        <v>857</v>
      </c>
      <c r="Q1067" s="131">
        <v>1064000</v>
      </c>
      <c r="R1067" s="18">
        <v>1.03</v>
      </c>
      <c r="S1067" s="18">
        <f>Main_Presentation[[#This Row],[Invoice Amt (FCY)]]*Main_Presentation[[#This Row],[Rate]]</f>
        <v>1095920</v>
      </c>
      <c r="T1067" s="15">
        <v>45890</v>
      </c>
      <c r="U1067" s="26" t="str">
        <f>VLOOKUP(Main_Presentation[[#This Row],[LC Number]],Main_Issuance[],18,0)</f>
        <v>Sight</v>
      </c>
      <c r="V1067" s="17" t="s">
        <v>367</v>
      </c>
      <c r="W1067" s="22" t="s">
        <v>857</v>
      </c>
      <c r="X1067" s="16"/>
      <c r="Y1067" s="234" t="str">
        <f>TRIM(LEFT(Main_Presentation[[#This Row],[Payment Terms]],3))</f>
        <v>Sig</v>
      </c>
      <c r="Z1067" s="16"/>
      <c r="AA1067" s="316" t="e" cm="1">
        <f t="array" ref="AA1067">Settlement(Main_Presentation[[#This Row],[Bank]],Main_Presentation[[#This Row],[ Invoice Amt (SAR)]],Main_Presentation[[#This Row],[Date Recd]],Main_Presentation[[#This Row],[Due Date]],Main_Presentation[[#This Row],[Days]])</f>
        <v>#VALUE!</v>
      </c>
      <c r="AB1067" s="16"/>
    </row>
    <row r="1068" spans="1:28" ht="15.75" hidden="1" x14ac:dyDescent="0.25">
      <c r="A1068" s="20" t="s">
        <v>1229</v>
      </c>
      <c r="B1068" s="15">
        <v>45888</v>
      </c>
      <c r="C1068" s="26">
        <v>4</v>
      </c>
      <c r="D1068" s="55" t="str">
        <f>VLOOKUP(Main_Presentation[[#This Row],[LC Number]],Main_Issuance[],3,0)</f>
        <v>Tareeq - Premium</v>
      </c>
      <c r="E1068" s="16" t="s">
        <v>856</v>
      </c>
      <c r="F1068" s="17" t="str">
        <f>VLOOKUP(Main_Presentation[[#This Row],[LC Number]],Main_Issuance[],5,0)</f>
        <v>SAB</v>
      </c>
      <c r="G1068" s="17" t="str">
        <f>VLOOKUP(Main_Presentation[[#This Row],[LC Number]],Main_Issuance[],6,0)</f>
        <v>CEER</v>
      </c>
      <c r="H1068" s="17" t="str">
        <f>VLOOKUP(Main_Presentation[[#This Row],[LC Number]],Main_Issuance[],17,0)</f>
        <v>Credit</v>
      </c>
      <c r="I1068" s="17" t="str">
        <f>VLOOKUP(Main_Presentation[[#This Row],[LC Number]],Main_Issuance[],7,0)</f>
        <v>VENTLINE AIR CONDITIONING REQUISITES MANUFACTURING LLC</v>
      </c>
      <c r="J1068" s="17" t="str">
        <f>VLOOKUP(Main_Presentation[[#This Row],[LC Number]],Main_Issuance[],8,0)</f>
        <v>MBL/Premium</v>
      </c>
      <c r="K1068" s="17" t="str">
        <f>VLOOKUP(Main_Presentation[[#This Row],[LC Number]],Main_Issuance[],9,0)</f>
        <v>CEER</v>
      </c>
      <c r="L1068" s="17">
        <f>VLOOKUP(Main_Presentation[[#This Row],[LC Number]],Main_Issuance[],10,0)</f>
        <v>1020091</v>
      </c>
      <c r="M1068" s="17" t="str">
        <f>VLOOKUP(Main_Presentation[[#This Row],[LC Number]],Main_Issuance[],11,0)</f>
        <v>AED</v>
      </c>
      <c r="N1068" s="84">
        <f>VLOOKUP(Main_Presentation[[#This Row],[LC Number]],Main_Issuance[],12,0)</f>
        <v>6500000</v>
      </c>
      <c r="O1068" s="16" t="s">
        <v>20</v>
      </c>
      <c r="P1068" s="16" t="s">
        <v>857</v>
      </c>
      <c r="Q1068" s="131">
        <v>805600</v>
      </c>
      <c r="R1068" s="18">
        <v>1.03</v>
      </c>
      <c r="S1068" s="18">
        <f>Main_Presentation[[#This Row],[Invoice Amt (FCY)]]*Main_Presentation[[#This Row],[Rate]]</f>
        <v>829768</v>
      </c>
      <c r="T1068" s="15">
        <v>45890</v>
      </c>
      <c r="U1068" s="26" t="str">
        <f>VLOOKUP(Main_Presentation[[#This Row],[LC Number]],Main_Issuance[],18,0)</f>
        <v>Sight</v>
      </c>
      <c r="V1068" s="17" t="s">
        <v>367</v>
      </c>
      <c r="W1068" s="22" t="s">
        <v>857</v>
      </c>
      <c r="X1068" s="16"/>
      <c r="Y1068" s="234" t="str">
        <f>TRIM(LEFT(Main_Presentation[[#This Row],[Payment Terms]],3))</f>
        <v>Sig</v>
      </c>
      <c r="Z1068" s="16"/>
      <c r="AA1068" s="316" t="e" cm="1">
        <f t="array" ref="AA1068">Settlement(Main_Presentation[[#This Row],[Bank]],Main_Presentation[[#This Row],[ Invoice Amt (SAR)]],Main_Presentation[[#This Row],[Date Recd]],Main_Presentation[[#This Row],[Due Date]],Main_Presentation[[#This Row],[Days]])</f>
        <v>#VALUE!</v>
      </c>
      <c r="AB1068" s="16"/>
    </row>
    <row r="1069" spans="1:28" ht="15.75" hidden="1" x14ac:dyDescent="0.25">
      <c r="A1069" s="20" t="s">
        <v>1569</v>
      </c>
      <c r="B1069" s="15">
        <v>45911</v>
      </c>
      <c r="C1069" s="26">
        <v>1</v>
      </c>
      <c r="D1069" s="55" t="str">
        <f>VLOOKUP(Main_Presentation[[#This Row],[LC Number]],Main_Issuance[],3,0)</f>
        <v>Hassan Taleb</v>
      </c>
      <c r="E1069" s="16" t="s">
        <v>856</v>
      </c>
      <c r="F1069" s="17" t="str">
        <f>VLOOKUP(Main_Presentation[[#This Row],[LC Number]],Main_Issuance[],5,0)</f>
        <v>Jazira</v>
      </c>
      <c r="G1069" s="17" t="str">
        <f>VLOOKUP(Main_Presentation[[#This Row],[LC Number]],Main_Issuance[],6,0)</f>
        <v>RCRC</v>
      </c>
      <c r="H1069" s="17" t="str">
        <f>VLOOKUP(Main_Presentation[[#This Row],[LC Number]],Main_Issuance[],17,0)</f>
        <v>Credit</v>
      </c>
      <c r="I1069" s="17" t="str">
        <f>VLOOKUP(Main_Presentation[[#This Row],[LC Number]],Main_Issuance[],7,0)</f>
        <v>ALFANAR ELECTRICAL SYSTEMS</v>
      </c>
      <c r="J1069" s="17" t="str">
        <f>VLOOKUP(Main_Presentation[[#This Row],[LC Number]],Main_Issuance[],8,0)</f>
        <v>FIRST FIX</v>
      </c>
      <c r="K1069" s="17" t="str">
        <f>VLOOKUP(Main_Presentation[[#This Row],[LC Number]],Main_Issuance[],9,0)</f>
        <v>RCRC</v>
      </c>
      <c r="L1069" s="17">
        <f>VLOOKUP(Main_Presentation[[#This Row],[LC Number]],Main_Issuance[],10,0)</f>
        <v>1020106</v>
      </c>
      <c r="M1069" s="17" t="str">
        <f>VLOOKUP(Main_Presentation[[#This Row],[LC Number]],Main_Issuance[],11,0)</f>
        <v>SAR</v>
      </c>
      <c r="N1069" s="84">
        <f>VLOOKUP(Main_Presentation[[#This Row],[LC Number]],Main_Issuance[],12,0)</f>
        <v>4000010.22</v>
      </c>
      <c r="O1069" s="16" t="s">
        <v>20</v>
      </c>
      <c r="P1069" s="16" t="s">
        <v>378</v>
      </c>
      <c r="Q1069" s="131">
        <v>2595590.6</v>
      </c>
      <c r="R1069" s="18">
        <v>1</v>
      </c>
      <c r="S1069" s="18">
        <f>Main_Presentation[[#This Row],[Invoice Amt (FCY)]]*Main_Presentation[[#This Row],[Rate]]</f>
        <v>2595590.6</v>
      </c>
      <c r="T1069" s="15">
        <v>45958</v>
      </c>
      <c r="U1069" s="26" t="str">
        <f>VLOOKUP(Main_Presentation[[#This Row],[LC Number]],Main_Issuance[],18,0)</f>
        <v>90 Days from Invoice Date</v>
      </c>
      <c r="V1069" s="17" t="s">
        <v>22</v>
      </c>
      <c r="W1069" s="22" t="s">
        <v>378</v>
      </c>
      <c r="X1069" s="16"/>
      <c r="Y1069" s="234" t="str">
        <f>TRIM(LEFT(Main_Presentation[[#This Row],[Payment Terms]],3))</f>
        <v>90</v>
      </c>
      <c r="Z1069" s="16"/>
      <c r="AA1069" s="316" cm="1">
        <f t="array" ref="AA1069">Settlement(Main_Presentation[[#This Row],[Bank]],Main_Presentation[[#This Row],[ Invoice Amt (SAR)]],Main_Presentation[[#This Row],[Date Recd]],Main_Presentation[[#This Row],[Due Date]],Main_Presentation[[#This Row],[Days]])</f>
        <v>4075.6</v>
      </c>
      <c r="AB1069" s="16"/>
    </row>
    <row r="1070" spans="1:28" ht="15.75" hidden="1" x14ac:dyDescent="0.25">
      <c r="A1070" s="20" t="s">
        <v>1399</v>
      </c>
      <c r="B1070" s="15">
        <v>45924</v>
      </c>
      <c r="C1070" s="26">
        <v>1</v>
      </c>
      <c r="D1070" s="55" t="str">
        <f>VLOOKUP(Main_Presentation[[#This Row],[LC Number]],Main_Issuance[],3,0)</f>
        <v>Hassan Taleb</v>
      </c>
      <c r="E1070" s="16" t="s">
        <v>858</v>
      </c>
      <c r="F1070" s="17" t="str">
        <f>VLOOKUP(Main_Presentation[[#This Row],[LC Number]],Main_Issuance[],5,0)</f>
        <v>Alinma</v>
      </c>
      <c r="G1070" s="17" t="str">
        <f>VLOOKUP(Main_Presentation[[#This Row],[LC Number]],Main_Issuance[],6,0)</f>
        <v>KSP</v>
      </c>
      <c r="H1070" s="17" t="str">
        <f>VLOOKUP(Main_Presentation[[#This Row],[LC Number]],Main_Issuance[],17,0)</f>
        <v>Credit</v>
      </c>
      <c r="I1070" s="17" t="str">
        <f>VLOOKUP(Main_Presentation[[#This Row],[LC Number]],Main_Issuance[],7,0)</f>
        <v>GAS SOLUTIONS</v>
      </c>
      <c r="J1070" s="17" t="str">
        <f>VLOOKUP(Main_Presentation[[#This Row],[LC Number]],Main_Issuance[],8,0)</f>
        <v>FIRST FIX</v>
      </c>
      <c r="K1070" s="17" t="str">
        <f>VLOOKUP(Main_Presentation[[#This Row],[LC Number]],Main_Issuance[],9,0)</f>
        <v>KSP</v>
      </c>
      <c r="L1070" s="17">
        <f>VLOOKUP(Main_Presentation[[#This Row],[LC Number]],Main_Issuance[],10,0)</f>
        <v>1020055</v>
      </c>
      <c r="M1070" s="17" t="str">
        <f>VLOOKUP(Main_Presentation[[#This Row],[LC Number]],Main_Issuance[],11,0)</f>
        <v>SAR</v>
      </c>
      <c r="N1070" s="84">
        <f>VLOOKUP(Main_Presentation[[#This Row],[LC Number]],Main_Issuance[],12,0)</f>
        <v>381276.62</v>
      </c>
      <c r="O1070" s="16" t="s">
        <v>20</v>
      </c>
      <c r="P1070" s="16" t="s">
        <v>857</v>
      </c>
      <c r="Q1070" s="131">
        <v>140641.01</v>
      </c>
      <c r="R1070" s="18">
        <v>1</v>
      </c>
      <c r="S1070" s="18">
        <f>Main_Presentation[[#This Row],[Invoice Amt (FCY)]]*Main_Presentation[[#This Row],[Rate]]</f>
        <v>140641.01</v>
      </c>
      <c r="T1070" s="15">
        <v>46028</v>
      </c>
      <c r="U1070" s="26" t="str">
        <f>VLOOKUP(Main_Presentation[[#This Row],[LC Number]],Main_Issuance[],18,0)</f>
        <v>120 Days from Invoice Date</v>
      </c>
      <c r="V1070" s="17" t="s">
        <v>22</v>
      </c>
      <c r="W1070" s="22" t="s">
        <v>857</v>
      </c>
      <c r="X1070" s="16"/>
      <c r="Y1070" s="234" t="str">
        <f>TRIM(LEFT(Main_Presentation[[#This Row],[Payment Terms]],3))</f>
        <v>120</v>
      </c>
      <c r="Z1070" s="16"/>
      <c r="AA1070" s="316" cm="1">
        <f t="array" ref="AA1070">Settlement(Main_Presentation[[#This Row],[Bank]],Main_Presentation[[#This Row],[ Invoice Amt (SAR)]],Main_Presentation[[#This Row],[Date Recd]],Main_Presentation[[#This Row],[Due Date]],Main_Presentation[[#This Row],[Days]])</f>
        <v>1437.5</v>
      </c>
      <c r="AB1070" s="16"/>
    </row>
    <row r="1071" spans="1:28" ht="15.75" hidden="1" x14ac:dyDescent="0.25">
      <c r="A1071" s="20" t="s">
        <v>692</v>
      </c>
      <c r="B1071" s="15">
        <v>45918</v>
      </c>
      <c r="C1071" s="26">
        <v>2</v>
      </c>
      <c r="D1071" s="55" t="str">
        <f>VLOOKUP(Main_Presentation[[#This Row],[LC Number]],Main_Issuance[],3,0)</f>
        <v>Hassan Taleb</v>
      </c>
      <c r="E1071" s="16" t="s">
        <v>856</v>
      </c>
      <c r="F1071" s="17" t="str">
        <f>VLOOKUP(Main_Presentation[[#This Row],[LC Number]],Main_Issuance[],5,0)</f>
        <v>Jazira</v>
      </c>
      <c r="G1071" s="17" t="str">
        <f>VLOOKUP(Main_Presentation[[#This Row],[LC Number]],Main_Issuance[],6,0)</f>
        <v>RCRC</v>
      </c>
      <c r="H1071" s="17" t="str">
        <f>VLOOKUP(Main_Presentation[[#This Row],[LC Number]],Main_Issuance[],17,0)</f>
        <v>Credit</v>
      </c>
      <c r="I1071" s="17" t="str">
        <f>VLOOKUP(Main_Presentation[[#This Row],[LC Number]],Main_Issuance[],7,0)</f>
        <v>Alpha Limit Trading and Contracting Company</v>
      </c>
      <c r="J1071" s="17" t="str">
        <f>VLOOKUP(Main_Presentation[[#This Row],[LC Number]],Main_Issuance[],8,0)</f>
        <v>FIRST FIX</v>
      </c>
      <c r="K1071" s="17" t="str">
        <f>VLOOKUP(Main_Presentation[[#This Row],[LC Number]],Main_Issuance[],9,0)</f>
        <v>RCRC</v>
      </c>
      <c r="L1071" s="17">
        <f>VLOOKUP(Main_Presentation[[#This Row],[LC Number]],Main_Issuance[],10,0)</f>
        <v>1020106</v>
      </c>
      <c r="M1071" s="17" t="str">
        <f>VLOOKUP(Main_Presentation[[#This Row],[LC Number]],Main_Issuance[],11,0)</f>
        <v>SAR</v>
      </c>
      <c r="N1071" s="84">
        <f>VLOOKUP(Main_Presentation[[#This Row],[LC Number]],Main_Issuance[],12,0)</f>
        <v>799251.9</v>
      </c>
      <c r="O1071" s="16" t="s">
        <v>20</v>
      </c>
      <c r="P1071" s="16" t="s">
        <v>857</v>
      </c>
      <c r="Q1071" s="131">
        <v>84210.02</v>
      </c>
      <c r="R1071" s="18">
        <v>1</v>
      </c>
      <c r="S1071" s="18">
        <f>Main_Presentation[[#This Row],[Invoice Amt (FCY)]]*Main_Presentation[[#This Row],[Rate]]</f>
        <v>84210.02</v>
      </c>
      <c r="T1071" s="15">
        <v>45942</v>
      </c>
      <c r="U1071" s="26" t="str">
        <f>VLOOKUP(Main_Presentation[[#This Row],[LC Number]],Main_Issuance[],18,0)</f>
        <v>90 Days from Invoice Date</v>
      </c>
      <c r="V1071" s="230" t="s">
        <v>22</v>
      </c>
      <c r="W1071" s="22" t="s">
        <v>378</v>
      </c>
      <c r="X1071" s="16"/>
      <c r="Y1071" s="234" t="str">
        <f>TRIM(LEFT(Main_Presentation[[#This Row],[Payment Terms]],3))</f>
        <v>90</v>
      </c>
      <c r="Z1071" s="16"/>
      <c r="AA1071" s="316" cm="1">
        <f t="array" ref="AA1071">Settlement(Main_Presentation[[#This Row],[Bank]],Main_Presentation[[#This Row],[ Invoice Amt (SAR)]],Main_Presentation[[#This Row],[Date Recd]],Main_Presentation[[#This Row],[Due Date]],Main_Presentation[[#This Row],[Days]])</f>
        <v>977.5</v>
      </c>
      <c r="AB1071" s="16"/>
    </row>
    <row r="1072" spans="1:28" ht="15.75" hidden="1" x14ac:dyDescent="0.25">
      <c r="A1072" s="20" t="s">
        <v>1193</v>
      </c>
      <c r="B1072" s="15">
        <v>45918</v>
      </c>
      <c r="C1072" s="26">
        <v>2</v>
      </c>
      <c r="D1072" s="55" t="str">
        <f>VLOOKUP(Main_Presentation[[#This Row],[LC Number]],Main_Issuance[],3,0)</f>
        <v>Rabih Makhoul</v>
      </c>
      <c r="E1072" s="16" t="s">
        <v>856</v>
      </c>
      <c r="F1072" s="17" t="str">
        <f>VLOOKUP(Main_Presentation[[#This Row],[LC Number]],Main_Issuance[],5,0)</f>
        <v>Alinma</v>
      </c>
      <c r="G1072" s="17" t="str">
        <f>VLOOKUP(Main_Presentation[[#This Row],[LC Number]],Main_Issuance[],6,0)</f>
        <v>KSP</v>
      </c>
      <c r="H1072" s="17" t="str">
        <f>VLOOKUP(Main_Presentation[[#This Row],[LC Number]],Main_Issuance[],17,0)</f>
        <v>Credit</v>
      </c>
      <c r="I1072" s="17" t="str">
        <f>VLOOKUP(Main_Presentation[[#This Row],[LC Number]],Main_Issuance[],7,0)</f>
        <v>National Marketing Est Co Ltd</v>
      </c>
      <c r="J1072" s="17" t="str">
        <f>VLOOKUP(Main_Presentation[[#This Row],[LC Number]],Main_Issuance[],8,0)</f>
        <v>FIRST FIX</v>
      </c>
      <c r="K1072" s="17" t="str">
        <f>VLOOKUP(Main_Presentation[[#This Row],[LC Number]],Main_Issuance[],9,0)</f>
        <v>JCD SPMI</v>
      </c>
      <c r="L1072" s="17">
        <f>VLOOKUP(Main_Presentation[[#This Row],[LC Number]],Main_Issuance[],10,0)</f>
        <v>1020100</v>
      </c>
      <c r="M1072" s="17" t="str">
        <f>VLOOKUP(Main_Presentation[[#This Row],[LC Number]],Main_Issuance[],11,0)</f>
        <v>SAR</v>
      </c>
      <c r="N1072" s="84">
        <f>VLOOKUP(Main_Presentation[[#This Row],[LC Number]],Main_Issuance[],12,0)</f>
        <v>780158</v>
      </c>
      <c r="O1072" s="16" t="s">
        <v>20</v>
      </c>
      <c r="P1072" s="16" t="s">
        <v>857</v>
      </c>
      <c r="Q1072" s="131">
        <v>135071.07</v>
      </c>
      <c r="R1072" s="18">
        <v>1</v>
      </c>
      <c r="S1072" s="18">
        <f>Main_Presentation[[#This Row],[Invoice Amt (FCY)]]*Main_Presentation[[#This Row],[Rate]]</f>
        <v>135071.07</v>
      </c>
      <c r="T1072" s="15">
        <v>45998</v>
      </c>
      <c r="U1072" s="26" t="str">
        <f>VLOOKUP(Main_Presentation[[#This Row],[LC Number]],Main_Issuance[],18,0)</f>
        <v>90 Days from Invoice Date</v>
      </c>
      <c r="V1072" s="17" t="s">
        <v>1460</v>
      </c>
      <c r="W1072" s="22" t="s">
        <v>378</v>
      </c>
      <c r="X1072" s="16"/>
      <c r="Y1072" s="234" t="str">
        <f>TRIM(LEFT(Main_Presentation[[#This Row],[Payment Terms]],3))</f>
        <v>90</v>
      </c>
      <c r="Z1072" s="16"/>
      <c r="AA1072" s="316" cm="1">
        <f t="array" ref="AA1072">Settlement(Main_Presentation[[#This Row],[Bank]],Main_Presentation[[#This Row],[ Invoice Amt (SAR)]],Main_Presentation[[#This Row],[Date Recd]],Main_Presentation[[#This Row],[Due Date]],Main_Presentation[[#This Row],[Days]])</f>
        <v>1437.5</v>
      </c>
      <c r="AB1072" s="16"/>
    </row>
    <row r="1073" spans="1:28" ht="15.75" hidden="1" x14ac:dyDescent="0.25">
      <c r="A1073" s="20" t="s">
        <v>580</v>
      </c>
      <c r="B1073" s="15">
        <v>45909</v>
      </c>
      <c r="C1073" s="26">
        <v>2</v>
      </c>
      <c r="D1073" s="55" t="str">
        <f>VLOOKUP(Main_Presentation[[#This Row],[LC Number]],Main_Issuance[],3,0)</f>
        <v>Hassan Taleb</v>
      </c>
      <c r="E1073" s="16" t="s">
        <v>856</v>
      </c>
      <c r="F1073" s="17" t="str">
        <f>VLOOKUP(Main_Presentation[[#This Row],[LC Number]],Main_Issuance[],5,0)</f>
        <v>BAB</v>
      </c>
      <c r="G1073" s="17" t="str">
        <f>VLOOKUP(Main_Presentation[[#This Row],[LC Number]],Main_Issuance[],6,0)</f>
        <v>Cash</v>
      </c>
      <c r="H1073" s="17" t="str">
        <f>VLOOKUP(Main_Presentation[[#This Row],[LC Number]],Main_Issuance[],17,0)</f>
        <v>Cash</v>
      </c>
      <c r="I1073" s="17" t="str">
        <f>VLOOKUP(Main_Presentation[[#This Row],[LC Number]],Main_Issuance[],7,0)</f>
        <v>ALFANAR ELECTRICAL SYSTEMS</v>
      </c>
      <c r="J1073" s="17" t="str">
        <f>VLOOKUP(Main_Presentation[[#This Row],[LC Number]],Main_Issuance[],8,0)</f>
        <v>FIRST FIX</v>
      </c>
      <c r="K1073" s="17" t="str">
        <f>VLOOKUP(Main_Presentation[[#This Row],[LC Number]],Main_Issuance[],9,0)</f>
        <v>KSP</v>
      </c>
      <c r="L1073" s="17">
        <f>VLOOKUP(Main_Presentation[[#This Row],[LC Number]],Main_Issuance[],10,0)</f>
        <v>1020055</v>
      </c>
      <c r="M1073" s="17" t="str">
        <f>VLOOKUP(Main_Presentation[[#This Row],[LC Number]],Main_Issuance[],11,0)</f>
        <v>SAR</v>
      </c>
      <c r="N1073" s="84">
        <f>VLOOKUP(Main_Presentation[[#This Row],[LC Number]],Main_Issuance[],12,0)</f>
        <v>150129.60999999999</v>
      </c>
      <c r="O1073" s="16" t="s">
        <v>20</v>
      </c>
      <c r="P1073" s="16" t="s">
        <v>857</v>
      </c>
      <c r="Q1073" s="131">
        <v>150129.60999999999</v>
      </c>
      <c r="R1073" s="18">
        <v>1</v>
      </c>
      <c r="S1073" s="18">
        <f>Main_Presentation[[#This Row],[Invoice Amt (FCY)]]*Main_Presentation[[#This Row],[Rate]]</f>
        <v>150129.60999999999</v>
      </c>
      <c r="T1073" s="15">
        <v>45950</v>
      </c>
      <c r="U1073" s="26" t="str">
        <f>VLOOKUP(Main_Presentation[[#This Row],[LC Number]],Main_Issuance[],18,0)</f>
        <v>90 Days from Invoice Date</v>
      </c>
      <c r="V1073" s="17" t="s">
        <v>1849</v>
      </c>
      <c r="W1073" s="22" t="s">
        <v>378</v>
      </c>
      <c r="X1073" s="16"/>
      <c r="Y1073" s="234" t="str">
        <f>TRIM(LEFT(Main_Presentation[[#This Row],[Payment Terms]],3))</f>
        <v>90</v>
      </c>
      <c r="Z1073" s="16"/>
      <c r="AA1073" s="316" cm="1">
        <f t="array" ref="AA1073">Settlement(Main_Presentation[[#This Row],[Bank]],Main_Presentation[[#This Row],[ Invoice Amt (SAR)]],Main_Presentation[[#This Row],[Date Recd]],Main_Presentation[[#This Row],[Due Date]],Main_Presentation[[#This Row],[Days]])</f>
        <v>0</v>
      </c>
      <c r="AB1073" s="16"/>
    </row>
    <row r="1074" spans="1:28" ht="15.75" hidden="1" x14ac:dyDescent="0.25">
      <c r="A1074" s="20" t="s">
        <v>1600</v>
      </c>
      <c r="B1074" s="15">
        <v>45917</v>
      </c>
      <c r="C1074" s="26">
        <v>1</v>
      </c>
      <c r="D1074" s="55" t="str">
        <f>VLOOKUP(Main_Presentation[[#This Row],[LC Number]],Main_Issuance[],3,0)</f>
        <v>Hassan Taleb</v>
      </c>
      <c r="E1074" s="16" t="s">
        <v>858</v>
      </c>
      <c r="F1074" s="17" t="str">
        <f>VLOOKUP(Main_Presentation[[#This Row],[LC Number]],Main_Issuance[],5,0)</f>
        <v>SAB</v>
      </c>
      <c r="G1074" s="17" t="str">
        <f>VLOOKUP(Main_Presentation[[#This Row],[LC Number]],Main_Issuance[],6,0)</f>
        <v>MP1</v>
      </c>
      <c r="H1074" s="17" t="str">
        <f>VLOOKUP(Main_Presentation[[#This Row],[LC Number]],Main_Issuance[],17,0)</f>
        <v>Credit</v>
      </c>
      <c r="I1074" s="17" t="str">
        <f>VLOOKUP(Main_Presentation[[#This Row],[LC Number]],Main_Issuance[],7,0)</f>
        <v>Saudi Electric Supply Company</v>
      </c>
      <c r="J1074" s="17" t="str">
        <f>VLOOKUP(Main_Presentation[[#This Row],[LC Number]],Main_Issuance[],8,0)</f>
        <v>FIRST FIX</v>
      </c>
      <c r="K1074" s="17" t="str">
        <f>VLOOKUP(Main_Presentation[[#This Row],[LC Number]],Main_Issuance[],9,0)</f>
        <v>MP1</v>
      </c>
      <c r="L1074" s="17">
        <f>VLOOKUP(Main_Presentation[[#This Row],[LC Number]],Main_Issuance[],10,0)</f>
        <v>1020088</v>
      </c>
      <c r="M1074" s="17" t="str">
        <f>VLOOKUP(Main_Presentation[[#This Row],[LC Number]],Main_Issuance[],11,0)</f>
        <v>SAR</v>
      </c>
      <c r="N1074" s="84">
        <f>VLOOKUP(Main_Presentation[[#This Row],[LC Number]],Main_Issuance[],12,0)</f>
        <v>293143.98</v>
      </c>
      <c r="O1074" s="16" t="s">
        <v>20</v>
      </c>
      <c r="P1074" s="16" t="s">
        <v>857</v>
      </c>
      <c r="Q1074" s="131">
        <v>293143.98</v>
      </c>
      <c r="R1074" s="18">
        <v>1</v>
      </c>
      <c r="S1074" s="18">
        <f>Main_Presentation[[#This Row],[Invoice Amt (FCY)]]*Main_Presentation[[#This Row],[Rate]]</f>
        <v>293143.98</v>
      </c>
      <c r="T1074" s="15">
        <v>45985</v>
      </c>
      <c r="U1074" s="26" t="str">
        <f>VLOOKUP(Main_Presentation[[#This Row],[LC Number]],Main_Issuance[],18,0)</f>
        <v>120 Days from Invoice Date</v>
      </c>
      <c r="V1074" s="17" t="s">
        <v>710</v>
      </c>
      <c r="W1074" s="22" t="s">
        <v>857</v>
      </c>
      <c r="X1074" s="16"/>
      <c r="Y1074" s="234" t="str">
        <f>TRIM(LEFT(Main_Presentation[[#This Row],[Payment Terms]],3))</f>
        <v>120</v>
      </c>
      <c r="Z1074" s="16"/>
      <c r="AA1074" s="316" cm="1">
        <f t="array" ref="AA1074">Settlement(Main_Presentation[[#This Row],[Bank]],Main_Presentation[[#This Row],[ Invoice Amt (SAR)]],Main_Presentation[[#This Row],[Date Recd]],Main_Presentation[[#This Row],[Due Date]],Main_Presentation[[#This Row],[Days]])</f>
        <v>1263.8499999999999</v>
      </c>
      <c r="AB1074" s="16"/>
    </row>
    <row r="1075" spans="1:28" ht="15.75" hidden="1" x14ac:dyDescent="0.25">
      <c r="A1075" s="20" t="s">
        <v>1313</v>
      </c>
      <c r="B1075" s="15">
        <v>45922</v>
      </c>
      <c r="C1075" s="26">
        <v>1</v>
      </c>
      <c r="D1075" s="55" t="str">
        <f>VLOOKUP(Main_Presentation[[#This Row],[LC Number]],Main_Issuance[],3,0)</f>
        <v>Hassan Taleb</v>
      </c>
      <c r="E1075" s="16" t="s">
        <v>856</v>
      </c>
      <c r="F1075" s="17" t="str">
        <f>VLOOKUP(Main_Presentation[[#This Row],[LC Number]],Main_Issuance[],5,0)</f>
        <v>Alinma</v>
      </c>
      <c r="G1075" s="17" t="str">
        <f>VLOOKUP(Main_Presentation[[#This Row],[LC Number]],Main_Issuance[],6,0)</f>
        <v>KSP</v>
      </c>
      <c r="H1075" s="17" t="str">
        <f>VLOOKUP(Main_Presentation[[#This Row],[LC Number]],Main_Issuance[],17,0)</f>
        <v>Credit</v>
      </c>
      <c r="I1075" s="17" t="str">
        <f>VLOOKUP(Main_Presentation[[#This Row],[LC Number]],Main_Issuance[],7,0)</f>
        <v>ELECTRIC HOUSE TRADING COMPANY L.L.C.</v>
      </c>
      <c r="J1075" s="17" t="str">
        <f>VLOOKUP(Main_Presentation[[#This Row],[LC Number]],Main_Issuance[],8,0)</f>
        <v>FIRST FIX</v>
      </c>
      <c r="K1075" s="17" t="str">
        <f>VLOOKUP(Main_Presentation[[#This Row],[LC Number]],Main_Issuance[],9,0)</f>
        <v>KSP</v>
      </c>
      <c r="L1075" s="17">
        <f>VLOOKUP(Main_Presentation[[#This Row],[LC Number]],Main_Issuance[],10,0)</f>
        <v>1020055</v>
      </c>
      <c r="M1075" s="17" t="str">
        <f>VLOOKUP(Main_Presentation[[#This Row],[LC Number]],Main_Issuance[],11,0)</f>
        <v>SAR</v>
      </c>
      <c r="N1075" s="84">
        <f>VLOOKUP(Main_Presentation[[#This Row],[LC Number]],Main_Issuance[],12,0)</f>
        <v>891914.65</v>
      </c>
      <c r="O1075" s="16" t="s">
        <v>20</v>
      </c>
      <c r="P1075" s="16" t="s">
        <v>857</v>
      </c>
      <c r="Q1075" s="131">
        <v>891914.65</v>
      </c>
      <c r="R1075" s="18">
        <v>1</v>
      </c>
      <c r="S1075" s="18">
        <f>Main_Presentation[[#This Row],[Invoice Amt (FCY)]]*Main_Presentation[[#This Row],[Rate]]</f>
        <v>891914.65</v>
      </c>
      <c r="T1075" s="15">
        <v>46028</v>
      </c>
      <c r="U1075" s="26" t="str">
        <f>VLOOKUP(Main_Presentation[[#This Row],[LC Number]],Main_Issuance[],18,0)</f>
        <v>120 Days from Invoice Date</v>
      </c>
      <c r="V1075" s="17" t="s">
        <v>22</v>
      </c>
      <c r="W1075" s="22" t="s">
        <v>857</v>
      </c>
      <c r="X1075" s="16"/>
      <c r="Y1075" s="234" t="str">
        <f>TRIM(LEFT(Main_Presentation[[#This Row],[Payment Terms]],3))</f>
        <v>120</v>
      </c>
      <c r="Z1075" s="16"/>
      <c r="AA1075" s="316" cm="1">
        <f t="array" ref="AA1075">Settlement(Main_Presentation[[#This Row],[Bank]],Main_Presentation[[#This Row],[ Invoice Amt (SAR)]],Main_Presentation[[#This Row],[Date Recd]],Main_Presentation[[#This Row],[Due Date]],Main_Presentation[[#This Row],[Days]])</f>
        <v>1437.5</v>
      </c>
      <c r="AB1075" s="16"/>
    </row>
    <row r="1076" spans="1:28" ht="15.75" hidden="1" x14ac:dyDescent="0.25">
      <c r="A1076" s="20" t="s">
        <v>1604</v>
      </c>
      <c r="B1076" s="15">
        <v>45910</v>
      </c>
      <c r="C1076" s="26">
        <v>1</v>
      </c>
      <c r="D1076" s="55" t="str">
        <f>VLOOKUP(Main_Presentation[[#This Row],[LC Number]],Main_Issuance[],3,0)</f>
        <v>Hassan Taleb</v>
      </c>
      <c r="E1076" s="16" t="s">
        <v>856</v>
      </c>
      <c r="F1076" s="17" t="str">
        <f>VLOOKUP(Main_Presentation[[#This Row],[LC Number]],Main_Issuance[],5,0)</f>
        <v>SAB</v>
      </c>
      <c r="G1076" s="17" t="str">
        <f>VLOOKUP(Main_Presentation[[#This Row],[LC Number]],Main_Issuance[],6,0)</f>
        <v>MP1</v>
      </c>
      <c r="H1076" s="17" t="str">
        <f>VLOOKUP(Main_Presentation[[#This Row],[LC Number]],Main_Issuance[],17,0)</f>
        <v>Credit</v>
      </c>
      <c r="I1076" s="17" t="str">
        <f>VLOOKUP(Main_Presentation[[#This Row],[LC Number]],Main_Issuance[],7,0)</f>
        <v>Al Maymanah for Contracting Co. Ltd.</v>
      </c>
      <c r="J1076" s="17" t="str">
        <f>VLOOKUP(Main_Presentation[[#This Row],[LC Number]],Main_Issuance[],8,0)</f>
        <v>FIRST FIX</v>
      </c>
      <c r="K1076" s="17" t="str">
        <f>VLOOKUP(Main_Presentation[[#This Row],[LC Number]],Main_Issuance[],9,0)</f>
        <v>MP1</v>
      </c>
      <c r="L1076" s="17">
        <f>VLOOKUP(Main_Presentation[[#This Row],[LC Number]],Main_Issuance[],10,0)</f>
        <v>1020088</v>
      </c>
      <c r="M1076" s="17" t="str">
        <f>VLOOKUP(Main_Presentation[[#This Row],[LC Number]],Main_Issuance[],11,0)</f>
        <v>SAR</v>
      </c>
      <c r="N1076" s="84">
        <f>VLOOKUP(Main_Presentation[[#This Row],[LC Number]],Main_Issuance[],12,0)</f>
        <v>500000</v>
      </c>
      <c r="O1076" s="16" t="s">
        <v>20</v>
      </c>
      <c r="P1076" s="16" t="s">
        <v>857</v>
      </c>
      <c r="Q1076" s="131">
        <v>500000</v>
      </c>
      <c r="R1076" s="18">
        <v>1</v>
      </c>
      <c r="S1076" s="18">
        <f>Main_Presentation[[#This Row],[Invoice Amt (FCY)]]*Main_Presentation[[#This Row],[Rate]]</f>
        <v>500000</v>
      </c>
      <c r="T1076" s="15">
        <v>45987</v>
      </c>
      <c r="U1076" s="26" t="str">
        <f>VLOOKUP(Main_Presentation[[#This Row],[LC Number]],Main_Issuance[],18,0)</f>
        <v>120 Days from Invoice Date</v>
      </c>
      <c r="V1076" s="17" t="s">
        <v>710</v>
      </c>
      <c r="W1076" s="22" t="s">
        <v>857</v>
      </c>
      <c r="X1076" s="16"/>
      <c r="Y1076" s="234" t="str">
        <f>TRIM(LEFT(Main_Presentation[[#This Row],[Payment Terms]],3))</f>
        <v>120</v>
      </c>
      <c r="Z1076" s="16"/>
      <c r="AA1076" s="316" cm="1">
        <f t="array" ref="AA1076">Settlement(Main_Presentation[[#This Row],[Bank]],Main_Presentation[[#This Row],[ Invoice Amt (SAR)]],Main_Presentation[[#This Row],[Date Recd]],Main_Presentation[[#This Row],[Due Date]],Main_Presentation[[#This Row],[Days]])</f>
        <v>2156.25</v>
      </c>
      <c r="AB1076" s="16"/>
    </row>
    <row r="1077" spans="1:28" ht="15.75" hidden="1" x14ac:dyDescent="0.25">
      <c r="A1077" s="20" t="s">
        <v>1273</v>
      </c>
      <c r="B1077" s="15">
        <v>45895</v>
      </c>
      <c r="C1077" s="26">
        <v>1</v>
      </c>
      <c r="D1077" s="55" t="str">
        <f>VLOOKUP(Main_Presentation[[#This Row],[LC Number]],Main_Issuance[],3,0)</f>
        <v>Hassan Taleb</v>
      </c>
      <c r="E1077" s="16" t="s">
        <v>858</v>
      </c>
      <c r="F1077" s="17" t="str">
        <f>VLOOKUP(Main_Presentation[[#This Row],[LC Number]],Main_Issuance[],5,0)</f>
        <v>BAB</v>
      </c>
      <c r="G1077" s="17" t="str">
        <f>VLOOKUP(Main_Presentation[[#This Row],[LC Number]],Main_Issuance[],6,0)</f>
        <v>Cash</v>
      </c>
      <c r="H1077" s="17" t="str">
        <f>VLOOKUP(Main_Presentation[[#This Row],[LC Number]],Main_Issuance[],17,0)</f>
        <v>Cash</v>
      </c>
      <c r="I1077" s="17" t="str">
        <f>VLOOKUP(Main_Presentation[[#This Row],[LC Number]],Main_Issuance[],7,0)</f>
        <v>AFAQ AL MALAZ TRADING CO LTD.</v>
      </c>
      <c r="J1077" s="17" t="str">
        <f>VLOOKUP(Main_Presentation[[#This Row],[LC Number]],Main_Issuance[],8,0)</f>
        <v>FIRST FIX</v>
      </c>
      <c r="K1077" s="17" t="str">
        <f>VLOOKUP(Main_Presentation[[#This Row],[LC Number]],Main_Issuance[],9,0)</f>
        <v>JCD SPMI</v>
      </c>
      <c r="L1077" s="17">
        <f>VLOOKUP(Main_Presentation[[#This Row],[LC Number]],Main_Issuance[],10,0)</f>
        <v>1020100</v>
      </c>
      <c r="M1077" s="17" t="str">
        <f>VLOOKUP(Main_Presentation[[#This Row],[LC Number]],Main_Issuance[],11,0)</f>
        <v>SAR</v>
      </c>
      <c r="N1077" s="84">
        <f>VLOOKUP(Main_Presentation[[#This Row],[LC Number]],Main_Issuance[],12,0)</f>
        <v>275000</v>
      </c>
      <c r="O1077" s="16" t="s">
        <v>20</v>
      </c>
      <c r="P1077" s="16" t="s">
        <v>857</v>
      </c>
      <c r="Q1077" s="131">
        <v>253477.32</v>
      </c>
      <c r="R1077" s="18">
        <v>1</v>
      </c>
      <c r="S1077" s="18">
        <f>Main_Presentation[[#This Row],[Invoice Amt (FCY)]]*Main_Presentation[[#This Row],[Rate]]</f>
        <v>253477.32</v>
      </c>
      <c r="T1077" s="15">
        <v>45988</v>
      </c>
      <c r="U1077" s="26" t="str">
        <f>VLOOKUP(Main_Presentation[[#This Row],[LC Number]],Main_Issuance[],18,0)</f>
        <v>120 Days from Invoice Date</v>
      </c>
      <c r="V1077" s="17" t="s">
        <v>1849</v>
      </c>
      <c r="W1077" s="22" t="s">
        <v>378</v>
      </c>
      <c r="X1077" s="16"/>
      <c r="Y1077" s="234" t="str">
        <f>TRIM(LEFT(Main_Presentation[[#This Row],[Payment Terms]],3))</f>
        <v>120</v>
      </c>
      <c r="Z1077" s="16"/>
      <c r="AA1077" s="316" cm="1">
        <f t="array" ref="AA1077">Settlement(Main_Presentation[[#This Row],[Bank]],Main_Presentation[[#This Row],[ Invoice Amt (SAR)]],Main_Presentation[[#This Row],[Date Recd]],Main_Presentation[[#This Row],[Due Date]],Main_Presentation[[#This Row],[Days]])</f>
        <v>0</v>
      </c>
      <c r="AB1077" s="16"/>
    </row>
    <row r="1078" spans="1:28" ht="15.75" hidden="1" x14ac:dyDescent="0.25">
      <c r="A1078" s="20" t="s">
        <v>1354</v>
      </c>
      <c r="B1078" s="15">
        <v>45922</v>
      </c>
      <c r="C1078" s="26">
        <v>1</v>
      </c>
      <c r="D1078" s="55" t="str">
        <f>VLOOKUP(Main_Presentation[[#This Row],[LC Number]],Main_Issuance[],3,0)</f>
        <v>Hassan Taleb</v>
      </c>
      <c r="E1078" s="16" t="s">
        <v>858</v>
      </c>
      <c r="F1078" s="17" t="str">
        <f>VLOOKUP(Main_Presentation[[#This Row],[LC Number]],Main_Issuance[],5,0)</f>
        <v>Alinma</v>
      </c>
      <c r="G1078" s="17" t="str">
        <f>VLOOKUP(Main_Presentation[[#This Row],[LC Number]],Main_Issuance[],6,0)</f>
        <v>KSP</v>
      </c>
      <c r="H1078" s="17" t="str">
        <f>VLOOKUP(Main_Presentation[[#This Row],[LC Number]],Main_Issuance[],17,0)</f>
        <v>Credit</v>
      </c>
      <c r="I1078" s="17" t="str">
        <f>VLOOKUP(Main_Presentation[[#This Row],[LC Number]],Main_Issuance[],7,0)</f>
        <v>ALI MANEA ALYAMI TRADING EST.</v>
      </c>
      <c r="J1078" s="17" t="str">
        <f>VLOOKUP(Main_Presentation[[#This Row],[LC Number]],Main_Issuance[],8,0)</f>
        <v>FIRST FIX</v>
      </c>
      <c r="K1078" s="17" t="str">
        <f>VLOOKUP(Main_Presentation[[#This Row],[LC Number]],Main_Issuance[],9,0)</f>
        <v>KSP</v>
      </c>
      <c r="L1078" s="17">
        <f>VLOOKUP(Main_Presentation[[#This Row],[LC Number]],Main_Issuance[],10,0)</f>
        <v>1020055</v>
      </c>
      <c r="M1078" s="17" t="str">
        <f>VLOOKUP(Main_Presentation[[#This Row],[LC Number]],Main_Issuance[],11,0)</f>
        <v>SAR</v>
      </c>
      <c r="N1078" s="84">
        <f>VLOOKUP(Main_Presentation[[#This Row],[LC Number]],Main_Issuance[],12,0)</f>
        <v>221169.27</v>
      </c>
      <c r="O1078" s="16" t="s">
        <v>20</v>
      </c>
      <c r="P1078" s="16" t="s">
        <v>857</v>
      </c>
      <c r="Q1078" s="131">
        <v>221169.27</v>
      </c>
      <c r="R1078" s="18">
        <v>1</v>
      </c>
      <c r="S1078" s="18">
        <f>Main_Presentation[[#This Row],[Invoice Amt (FCY)]]*Main_Presentation[[#This Row],[Rate]]</f>
        <v>221169.27</v>
      </c>
      <c r="T1078" s="15">
        <v>46030</v>
      </c>
      <c r="U1078" s="26" t="str">
        <f>VLOOKUP(Main_Presentation[[#This Row],[LC Number]],Main_Issuance[],18,0)</f>
        <v>120 Days from Invoice Date</v>
      </c>
      <c r="V1078" s="17" t="s">
        <v>22</v>
      </c>
      <c r="W1078" s="22" t="s">
        <v>857</v>
      </c>
      <c r="X1078" s="16"/>
      <c r="Y1078" s="234" t="str">
        <f>TRIM(LEFT(Main_Presentation[[#This Row],[Payment Terms]],3))</f>
        <v>120</v>
      </c>
      <c r="Z1078" s="16"/>
      <c r="AA1078" s="316" cm="1">
        <f t="array" ref="AA1078">Settlement(Main_Presentation[[#This Row],[Bank]],Main_Presentation[[#This Row],[ Invoice Amt (SAR)]],Main_Presentation[[#This Row],[Date Recd]],Main_Presentation[[#This Row],[Due Date]],Main_Presentation[[#This Row],[Days]])</f>
        <v>1437.5</v>
      </c>
      <c r="AB1078" s="16"/>
    </row>
    <row r="1079" spans="1:28" ht="15.75" hidden="1" x14ac:dyDescent="0.25">
      <c r="A1079" s="20" t="s">
        <v>1622</v>
      </c>
      <c r="B1079" s="15">
        <v>45880</v>
      </c>
      <c r="C1079" s="26">
        <v>1</v>
      </c>
      <c r="D1079" s="55" t="str">
        <f>VLOOKUP(Main_Presentation[[#This Row],[LC Number]],Main_Issuance[],3,0)</f>
        <v>Tareeq Telmasani</v>
      </c>
      <c r="E1079" s="16" t="s">
        <v>856</v>
      </c>
      <c r="F1079" s="17" t="str">
        <f>VLOOKUP(Main_Presentation[[#This Row],[LC Number]],Main_Issuance[],5,0)</f>
        <v>SAB</v>
      </c>
      <c r="G1079" s="17" t="str">
        <f>VLOOKUP(Main_Presentation[[#This Row],[LC Number]],Main_Issuance[],6,0)</f>
        <v>CEER</v>
      </c>
      <c r="H1079" s="17" t="str">
        <f>VLOOKUP(Main_Presentation[[#This Row],[LC Number]],Main_Issuance[],17,0)</f>
        <v>Credit</v>
      </c>
      <c r="I1079" s="17" t="str">
        <f>VLOOKUP(Main_Presentation[[#This Row],[LC Number]],Main_Issuance[],7,0)</f>
        <v>Roof Metal Ind LLC</v>
      </c>
      <c r="J1079" s="17" t="str">
        <f>VLOOKUP(Main_Presentation[[#This Row],[LC Number]],Main_Issuance[],8,0)</f>
        <v>MBL</v>
      </c>
      <c r="K1079" s="17" t="str">
        <f>VLOOKUP(Main_Presentation[[#This Row],[LC Number]],Main_Issuance[],9,0)</f>
        <v>CEER</v>
      </c>
      <c r="L1079" s="17">
        <f>VLOOKUP(Main_Presentation[[#This Row],[LC Number]],Main_Issuance[],10,0)</f>
        <v>1020091</v>
      </c>
      <c r="M1079" s="17" t="str">
        <f>VLOOKUP(Main_Presentation[[#This Row],[LC Number]],Main_Issuance[],11,0)</f>
        <v>AED</v>
      </c>
      <c r="N1079" s="84">
        <f>VLOOKUP(Main_Presentation[[#This Row],[LC Number]],Main_Issuance[],12,0)</f>
        <v>1248463.2195000001</v>
      </c>
      <c r="O1079" s="16" t="s">
        <v>20</v>
      </c>
      <c r="P1079" s="16" t="s">
        <v>857</v>
      </c>
      <c r="Q1079" s="131">
        <v>351542.15</v>
      </c>
      <c r="R1079" s="18">
        <v>1.03</v>
      </c>
      <c r="S1079" s="18">
        <f>Main_Presentation[[#This Row],[Invoice Amt (FCY)]]*Main_Presentation[[#This Row],[Rate]]</f>
        <v>362088.41450000001</v>
      </c>
      <c r="T1079" s="15">
        <v>45882</v>
      </c>
      <c r="U1079" s="26" t="str">
        <f>VLOOKUP(Main_Presentation[[#This Row],[LC Number]],Main_Issuance[],18,0)</f>
        <v>Sight</v>
      </c>
      <c r="V1079" s="17" t="s">
        <v>367</v>
      </c>
      <c r="W1079" s="22" t="s">
        <v>857</v>
      </c>
      <c r="X1079" s="16"/>
      <c r="Y1079" s="234" t="str">
        <f>TRIM(LEFT(Main_Presentation[[#This Row],[Payment Terms]],3))</f>
        <v>Sig</v>
      </c>
      <c r="Z1079" s="16"/>
      <c r="AA1079" s="316" t="e" cm="1">
        <f t="array" ref="AA1079">Settlement(Main_Presentation[[#This Row],[Bank]],Main_Presentation[[#This Row],[ Invoice Amt (SAR)]],Main_Presentation[[#This Row],[Date Recd]],Main_Presentation[[#This Row],[Due Date]],Main_Presentation[[#This Row],[Days]])</f>
        <v>#VALUE!</v>
      </c>
      <c r="AB1079" s="16"/>
    </row>
    <row r="1080" spans="1:28" ht="15.75" hidden="1" x14ac:dyDescent="0.25">
      <c r="A1080" s="20" t="s">
        <v>1622</v>
      </c>
      <c r="B1080" s="15">
        <v>45880</v>
      </c>
      <c r="C1080" s="26">
        <v>2</v>
      </c>
      <c r="D1080" s="55" t="str">
        <f>VLOOKUP(Main_Presentation[[#This Row],[LC Number]],Main_Issuance[],3,0)</f>
        <v>Tareeq Telmasani</v>
      </c>
      <c r="E1080" s="16" t="s">
        <v>856</v>
      </c>
      <c r="F1080" s="17" t="str">
        <f>VLOOKUP(Main_Presentation[[#This Row],[LC Number]],Main_Issuance[],5,0)</f>
        <v>SAB</v>
      </c>
      <c r="G1080" s="17" t="str">
        <f>VLOOKUP(Main_Presentation[[#This Row],[LC Number]],Main_Issuance[],6,0)</f>
        <v>CEER</v>
      </c>
      <c r="H1080" s="17" t="str">
        <f>VLOOKUP(Main_Presentation[[#This Row],[LC Number]],Main_Issuance[],17,0)</f>
        <v>Credit</v>
      </c>
      <c r="I1080" s="17" t="str">
        <f>VLOOKUP(Main_Presentation[[#This Row],[LC Number]],Main_Issuance[],7,0)</f>
        <v>Roof Metal Ind LLC</v>
      </c>
      <c r="J1080" s="17" t="str">
        <f>VLOOKUP(Main_Presentation[[#This Row],[LC Number]],Main_Issuance[],8,0)</f>
        <v>MBL</v>
      </c>
      <c r="K1080" s="17" t="str">
        <f>VLOOKUP(Main_Presentation[[#This Row],[LC Number]],Main_Issuance[],9,0)</f>
        <v>CEER</v>
      </c>
      <c r="L1080" s="17">
        <f>VLOOKUP(Main_Presentation[[#This Row],[LC Number]],Main_Issuance[],10,0)</f>
        <v>1020091</v>
      </c>
      <c r="M1080" s="17" t="str">
        <f>VLOOKUP(Main_Presentation[[#This Row],[LC Number]],Main_Issuance[],11,0)</f>
        <v>AED</v>
      </c>
      <c r="N1080" s="84">
        <f>VLOOKUP(Main_Presentation[[#This Row],[LC Number]],Main_Issuance[],12,0)</f>
        <v>1248463.2195000001</v>
      </c>
      <c r="O1080" s="16" t="s">
        <v>20</v>
      </c>
      <c r="P1080" s="16" t="s">
        <v>857</v>
      </c>
      <c r="Q1080" s="131">
        <v>408136.93</v>
      </c>
      <c r="R1080" s="18">
        <v>1.03</v>
      </c>
      <c r="S1080" s="18">
        <f>Main_Presentation[[#This Row],[Invoice Amt (FCY)]]*Main_Presentation[[#This Row],[Rate]]</f>
        <v>420381.0379</v>
      </c>
      <c r="T1080" s="15">
        <v>45881</v>
      </c>
      <c r="U1080" s="26" t="str">
        <f>VLOOKUP(Main_Presentation[[#This Row],[LC Number]],Main_Issuance[],18,0)</f>
        <v>Sight</v>
      </c>
      <c r="V1080" s="17" t="s">
        <v>367</v>
      </c>
      <c r="W1080" s="22" t="s">
        <v>857</v>
      </c>
      <c r="X1080" s="16"/>
      <c r="Y1080" s="234" t="str">
        <f>TRIM(LEFT(Main_Presentation[[#This Row],[Payment Terms]],3))</f>
        <v>Sig</v>
      </c>
      <c r="Z1080" s="16"/>
      <c r="AA1080" s="316" t="e" cm="1">
        <f t="array" ref="AA1080">Settlement(Main_Presentation[[#This Row],[Bank]],Main_Presentation[[#This Row],[ Invoice Amt (SAR)]],Main_Presentation[[#This Row],[Date Recd]],Main_Presentation[[#This Row],[Due Date]],Main_Presentation[[#This Row],[Days]])</f>
        <v>#VALUE!</v>
      </c>
      <c r="AB1080" s="16"/>
    </row>
    <row r="1081" spans="1:28" ht="15.75" hidden="1" x14ac:dyDescent="0.25">
      <c r="A1081" s="20" t="s">
        <v>1622</v>
      </c>
      <c r="B1081" s="15">
        <v>45881</v>
      </c>
      <c r="C1081" s="26">
        <v>3</v>
      </c>
      <c r="D1081" s="55" t="str">
        <f>VLOOKUP(Main_Presentation[[#This Row],[LC Number]],Main_Issuance[],3,0)</f>
        <v>Tareeq Telmasani</v>
      </c>
      <c r="E1081" s="16" t="s">
        <v>856</v>
      </c>
      <c r="F1081" s="17" t="str">
        <f>VLOOKUP(Main_Presentation[[#This Row],[LC Number]],Main_Issuance[],5,0)</f>
        <v>SAB</v>
      </c>
      <c r="G1081" s="17" t="str">
        <f>VLOOKUP(Main_Presentation[[#This Row],[LC Number]],Main_Issuance[],6,0)</f>
        <v>CEER</v>
      </c>
      <c r="H1081" s="17" t="str">
        <f>VLOOKUP(Main_Presentation[[#This Row],[LC Number]],Main_Issuance[],17,0)</f>
        <v>Credit</v>
      </c>
      <c r="I1081" s="17" t="str">
        <f>VLOOKUP(Main_Presentation[[#This Row],[LC Number]],Main_Issuance[],7,0)</f>
        <v>Roof Metal Ind LLC</v>
      </c>
      <c r="J1081" s="17" t="str">
        <f>VLOOKUP(Main_Presentation[[#This Row],[LC Number]],Main_Issuance[],8,0)</f>
        <v>MBL</v>
      </c>
      <c r="K1081" s="17" t="str">
        <f>VLOOKUP(Main_Presentation[[#This Row],[LC Number]],Main_Issuance[],9,0)</f>
        <v>CEER</v>
      </c>
      <c r="L1081" s="17">
        <f>VLOOKUP(Main_Presentation[[#This Row],[LC Number]],Main_Issuance[],10,0)</f>
        <v>1020091</v>
      </c>
      <c r="M1081" s="17" t="str">
        <f>VLOOKUP(Main_Presentation[[#This Row],[LC Number]],Main_Issuance[],11,0)</f>
        <v>AED</v>
      </c>
      <c r="N1081" s="84">
        <f>VLOOKUP(Main_Presentation[[#This Row],[LC Number]],Main_Issuance[],12,0)</f>
        <v>1248463.2195000001</v>
      </c>
      <c r="O1081" s="16" t="s">
        <v>20</v>
      </c>
      <c r="P1081" s="16" t="s">
        <v>857</v>
      </c>
      <c r="Q1081" s="131">
        <v>437478.03</v>
      </c>
      <c r="R1081" s="18">
        <v>1.03</v>
      </c>
      <c r="S1081" s="18">
        <f>Main_Presentation[[#This Row],[Invoice Amt (FCY)]]*Main_Presentation[[#This Row],[Rate]]</f>
        <v>450602.37090000004</v>
      </c>
      <c r="T1081" s="15">
        <v>45883</v>
      </c>
      <c r="U1081" s="26" t="str">
        <f>VLOOKUP(Main_Presentation[[#This Row],[LC Number]],Main_Issuance[],18,0)</f>
        <v>Sight</v>
      </c>
      <c r="V1081" s="17" t="s">
        <v>367</v>
      </c>
      <c r="W1081" s="22" t="s">
        <v>857</v>
      </c>
      <c r="X1081" s="16"/>
      <c r="Y1081" s="234" t="str">
        <f>TRIM(LEFT(Main_Presentation[[#This Row],[Payment Terms]],3))</f>
        <v>Sig</v>
      </c>
      <c r="Z1081" s="16"/>
      <c r="AA1081" s="316" t="e" cm="1">
        <f t="array" ref="AA1081">Settlement(Main_Presentation[[#This Row],[Bank]],Main_Presentation[[#This Row],[ Invoice Amt (SAR)]],Main_Presentation[[#This Row],[Date Recd]],Main_Presentation[[#This Row],[Due Date]],Main_Presentation[[#This Row],[Days]])</f>
        <v>#VALUE!</v>
      </c>
      <c r="AB1081" s="16"/>
    </row>
    <row r="1082" spans="1:28" ht="15.75" hidden="1" x14ac:dyDescent="0.25">
      <c r="A1082" s="20" t="s">
        <v>702</v>
      </c>
      <c r="B1082" s="15">
        <v>45881</v>
      </c>
      <c r="C1082" s="26">
        <v>13</v>
      </c>
      <c r="D1082" s="55" t="str">
        <f>VLOOKUP(Main_Presentation[[#This Row],[LC Number]],Main_Issuance[],3,0)</f>
        <v>Tareeq Telmasani</v>
      </c>
      <c r="E1082" s="16" t="s">
        <v>856</v>
      </c>
      <c r="F1082" s="17" t="str">
        <f>VLOOKUP(Main_Presentation[[#This Row],[LC Number]],Main_Issuance[],5,0)</f>
        <v>SNB</v>
      </c>
      <c r="G1082" s="17" t="str">
        <f>VLOOKUP(Main_Presentation[[#This Row],[LC Number]],Main_Issuance[],6,0)</f>
        <v>Opera House</v>
      </c>
      <c r="H1082" s="17" t="str">
        <f>VLOOKUP(Main_Presentation[[#This Row],[LC Number]],Main_Issuance[],17,0)</f>
        <v>Credit</v>
      </c>
      <c r="I1082" s="17" t="str">
        <f>VLOOKUP(Main_Presentation[[#This Row],[LC Number]],Main_Issuance[],7,0)</f>
        <v>HOLCIM SOLUTIONS AND PRODUCTS EMEA BV</v>
      </c>
      <c r="J1082" s="17" t="str">
        <f>VLOOKUP(Main_Presentation[[#This Row],[LC Number]],Main_Issuance[],8,0)</f>
        <v>MBL/IFAS</v>
      </c>
      <c r="K1082" s="17" t="str">
        <f>VLOOKUP(Main_Presentation[[#This Row],[LC Number]],Main_Issuance[],9,0)</f>
        <v>CEER</v>
      </c>
      <c r="L1082" s="17">
        <f>VLOOKUP(Main_Presentation[[#This Row],[LC Number]],Main_Issuance[],10,0)</f>
        <v>1020091</v>
      </c>
      <c r="M1082" s="17" t="str">
        <f>VLOOKUP(Main_Presentation[[#This Row],[LC Number]],Main_Issuance[],11,0)</f>
        <v>USD</v>
      </c>
      <c r="N1082" s="84">
        <f>VLOOKUP(Main_Presentation[[#This Row],[LC Number]],Main_Issuance[],12,0)</f>
        <v>2600115.56</v>
      </c>
      <c r="O1082" s="16" t="s">
        <v>20</v>
      </c>
      <c r="P1082" s="16" t="s">
        <v>857</v>
      </c>
      <c r="Q1082" s="131">
        <v>254774.28</v>
      </c>
      <c r="R1082" s="18">
        <v>3.75</v>
      </c>
      <c r="S1082" s="18">
        <f>Main_Presentation[[#This Row],[Invoice Amt (FCY)]]*Main_Presentation[[#This Row],[Rate]]</f>
        <v>955403.55</v>
      </c>
      <c r="T1082" s="15">
        <v>45956</v>
      </c>
      <c r="U1082" s="26" t="str">
        <f>VLOOKUP(Main_Presentation[[#This Row],[LC Number]],Main_Issuance[],18,0)</f>
        <v>90 Days from Shipment Date</v>
      </c>
      <c r="V1082" s="17" t="s">
        <v>367</v>
      </c>
      <c r="W1082" s="22" t="s">
        <v>857</v>
      </c>
      <c r="X1082" s="16"/>
      <c r="Y1082" s="234" t="str">
        <f>TRIM(LEFT(Main_Presentation[[#This Row],[Payment Terms]],3))</f>
        <v>90</v>
      </c>
      <c r="Z1082" s="16"/>
      <c r="AA1082" s="316" cm="1">
        <f t="array" ref="AA1082">Settlement(Main_Presentation[[#This Row],[Bank]],Main_Presentation[[#This Row],[ Invoice Amt (SAR)]],Main_Presentation[[#This Row],[Date Recd]],Main_Presentation[[#This Row],[Due Date]],Main_Presentation[[#This Row],[Days]])</f>
        <v>4618.3999999999996</v>
      </c>
      <c r="AB1082" s="16"/>
    </row>
    <row r="1083" spans="1:28" ht="15.75" hidden="1" x14ac:dyDescent="0.25">
      <c r="A1083" s="20" t="s">
        <v>306</v>
      </c>
      <c r="B1083" s="15">
        <v>45882</v>
      </c>
      <c r="C1083" s="26">
        <v>122</v>
      </c>
      <c r="D1083" s="55" t="str">
        <f>VLOOKUP(Main_Presentation[[#This Row],[LC Number]],Main_Issuance[],3,0)</f>
        <v>Dipu Sir</v>
      </c>
      <c r="E1083" s="16" t="s">
        <v>858</v>
      </c>
      <c r="F1083" s="17" t="str">
        <f>VLOOKUP(Main_Presentation[[#This Row],[LC Number]],Main_Issuance[],5,0)</f>
        <v>Riyad</v>
      </c>
      <c r="G1083" s="17" t="str">
        <f>VLOOKUP(Main_Presentation[[#This Row],[LC Number]],Main_Issuance[],6,0)</f>
        <v>Cash</v>
      </c>
      <c r="H1083" s="17" t="str">
        <f>VLOOKUP(Main_Presentation[[#This Row],[LC Number]],Main_Issuance[],17,0)</f>
        <v>Cash</v>
      </c>
      <c r="I1083" s="17" t="str">
        <f>VLOOKUP(Main_Presentation[[#This Row],[LC Number]],Main_Issuance[],7,0)</f>
        <v>ATELIER HOSPITALITY SRL</v>
      </c>
      <c r="J1083" s="17" t="str">
        <f>VLOOKUP(Main_Presentation[[#This Row],[LC Number]],Main_Issuance[],8,0)</f>
        <v>MBL</v>
      </c>
      <c r="K1083" s="17" t="str">
        <f>VLOOKUP(Main_Presentation[[#This Row],[LC Number]],Main_Issuance[],9,0)</f>
        <v>L01-YAMMAMA</v>
      </c>
      <c r="L1083" s="17">
        <f>VLOOKUP(Main_Presentation[[#This Row],[LC Number]],Main_Issuance[],10,0)</f>
        <v>1020015</v>
      </c>
      <c r="M1083" s="17" t="str">
        <f>VLOOKUP(Main_Presentation[[#This Row],[LC Number]],Main_Issuance[],11,0)</f>
        <v>EUR</v>
      </c>
      <c r="N1083" s="84">
        <f>VLOOKUP(Main_Presentation[[#This Row],[LC Number]],Main_Issuance[],12,0)</f>
        <v>50762045.400000006</v>
      </c>
      <c r="O1083" s="16" t="s">
        <v>20</v>
      </c>
      <c r="P1083" s="16" t="s">
        <v>857</v>
      </c>
      <c r="Q1083" s="131">
        <v>1966.91</v>
      </c>
      <c r="R1083" s="18">
        <v>4.5700921750359704</v>
      </c>
      <c r="S1083" s="18">
        <f>Main_Presentation[[#This Row],[Invoice Amt (FCY)]]*Main_Presentation[[#This Row],[Rate]]</f>
        <v>8988.9600000000009</v>
      </c>
      <c r="T1083" s="15">
        <v>45909</v>
      </c>
      <c r="U1083" s="26" t="str">
        <f>VLOOKUP(Main_Presentation[[#This Row],[LC Number]],Main_Issuance[],18,0)</f>
        <v>30 days from the date of comm. inv.</v>
      </c>
      <c r="V1083" s="17" t="s">
        <v>213</v>
      </c>
      <c r="W1083" s="22" t="s">
        <v>857</v>
      </c>
      <c r="X1083" s="16"/>
      <c r="Y1083" s="402" t="str">
        <f>TRIM(LEFT(Main_Presentation[[#This Row],[Payment Terms]],3))</f>
        <v>30</v>
      </c>
      <c r="Z1083" s="16"/>
      <c r="AA1083" s="316" cm="1">
        <f t="array" ref="AA1083">Settlement(Main_Presentation[[#This Row],[Bank]],Main_Presentation[[#This Row],[ Invoice Amt (SAR)]],Main_Presentation[[#This Row],[Date Recd]],Main_Presentation[[#This Row],[Due Date]],Main_Presentation[[#This Row],[Days]])</f>
        <v>230</v>
      </c>
      <c r="AB1083" s="16"/>
    </row>
    <row r="1084" spans="1:28" ht="15.75" hidden="1" x14ac:dyDescent="0.25">
      <c r="A1084" s="20" t="s">
        <v>1638</v>
      </c>
      <c r="B1084" s="15">
        <v>45883</v>
      </c>
      <c r="C1084" s="26">
        <v>1</v>
      </c>
      <c r="D1084" s="55" t="str">
        <f>VLOOKUP(Main_Presentation[[#This Row],[LC Number]],Main_Issuance[],3,0)</f>
        <v>Tareeq Telmasani</v>
      </c>
      <c r="E1084" s="16" t="s">
        <v>856</v>
      </c>
      <c r="F1084" s="17" t="str">
        <f>VLOOKUP(Main_Presentation[[#This Row],[LC Number]],Main_Issuance[],5,0)</f>
        <v>SAB</v>
      </c>
      <c r="G1084" s="17" t="str">
        <f>VLOOKUP(Main_Presentation[[#This Row],[LC Number]],Main_Issuance[],6,0)</f>
        <v>CEER</v>
      </c>
      <c r="H1084" s="17" t="str">
        <f>VLOOKUP(Main_Presentation[[#This Row],[LC Number]],Main_Issuance[],17,0)</f>
        <v>Credit</v>
      </c>
      <c r="I1084" s="17" t="str">
        <f>VLOOKUP(Main_Presentation[[#This Row],[LC Number]],Main_Issuance[],7,0)</f>
        <v>Electric House Trading Company L.L.C.</v>
      </c>
      <c r="J1084" s="17" t="str">
        <f>VLOOKUP(Main_Presentation[[#This Row],[LC Number]],Main_Issuance[],8,0)</f>
        <v>FIRST FIX</v>
      </c>
      <c r="K1084" s="17" t="str">
        <f>VLOOKUP(Main_Presentation[[#This Row],[LC Number]],Main_Issuance[],9,0)</f>
        <v>CEER</v>
      </c>
      <c r="L1084" s="17">
        <f>VLOOKUP(Main_Presentation[[#This Row],[LC Number]],Main_Issuance[],10,0)</f>
        <v>1020091</v>
      </c>
      <c r="M1084" s="17" t="str">
        <f>VLOOKUP(Main_Presentation[[#This Row],[LC Number]],Main_Issuance[],11,0)</f>
        <v>SAR</v>
      </c>
      <c r="N1084" s="84">
        <f>VLOOKUP(Main_Presentation[[#This Row],[LC Number]],Main_Issuance[],12,0)</f>
        <v>20000000</v>
      </c>
      <c r="O1084" s="16" t="s">
        <v>20</v>
      </c>
      <c r="P1084" s="16" t="s">
        <v>857</v>
      </c>
      <c r="Q1084" s="131">
        <v>20000000</v>
      </c>
      <c r="R1084" s="18">
        <v>1</v>
      </c>
      <c r="S1084" s="18">
        <f>Main_Presentation[[#This Row],[Invoice Amt (FCY)]]*Main_Presentation[[#This Row],[Rate]]</f>
        <v>20000000</v>
      </c>
      <c r="T1084" s="15">
        <v>45971</v>
      </c>
      <c r="U1084" s="26" t="str">
        <f>VLOOKUP(Main_Presentation[[#This Row],[LC Number]],Main_Issuance[],18,0)</f>
        <v>90 Days from Appl. Representative Sign</v>
      </c>
      <c r="V1084" s="17" t="s">
        <v>367</v>
      </c>
      <c r="W1084" s="22" t="s">
        <v>857</v>
      </c>
      <c r="X1084" s="16"/>
      <c r="Y1084" s="234" t="str">
        <f>TRIM(LEFT(Main_Presentation[[#This Row],[Payment Terms]],3))</f>
        <v>90</v>
      </c>
      <c r="Z1084" s="16"/>
      <c r="AA1084" s="316" cm="1">
        <f t="array" ref="AA1084">Settlement(Main_Presentation[[#This Row],[Bank]],Main_Presentation[[#This Row],[ Invoice Amt (SAR)]],Main_Presentation[[#This Row],[Date Recd]],Main_Presentation[[#This Row],[Due Date]],Main_Presentation[[#This Row],[Days]])</f>
        <v>86250</v>
      </c>
      <c r="AB1084" s="16"/>
    </row>
    <row r="1085" spans="1:28" ht="15.75" hidden="1" x14ac:dyDescent="0.25">
      <c r="A1085" s="20" t="s">
        <v>1691</v>
      </c>
      <c r="B1085" s="15">
        <v>45893</v>
      </c>
      <c r="C1085" s="26">
        <v>1</v>
      </c>
      <c r="D1085" s="55" t="str">
        <f>VLOOKUP(Main_Presentation[[#This Row],[LC Number]],Main_Issuance[],3,0)</f>
        <v>Tareeq Telmasani</v>
      </c>
      <c r="E1085" s="16" t="s">
        <v>858</v>
      </c>
      <c r="F1085" s="17" t="str">
        <f>VLOOKUP(Main_Presentation[[#This Row],[LC Number]],Main_Issuance[],5,0)</f>
        <v>SAB</v>
      </c>
      <c r="G1085" s="17" t="str">
        <f>VLOOKUP(Main_Presentation[[#This Row],[LC Number]],Main_Issuance[],6,0)</f>
        <v>CEER</v>
      </c>
      <c r="H1085" s="17" t="str">
        <f>VLOOKUP(Main_Presentation[[#This Row],[LC Number]],Main_Issuance[],17,0)</f>
        <v>Credit</v>
      </c>
      <c r="I1085" s="17" t="str">
        <f>VLOOKUP(Main_Presentation[[#This Row],[LC Number]],Main_Issuance[],7,0)</f>
        <v>Cube Metal Industries Co.</v>
      </c>
      <c r="J1085" s="17" t="str">
        <f>VLOOKUP(Main_Presentation[[#This Row],[LC Number]],Main_Issuance[],8,0)</f>
        <v>FIRST FIX</v>
      </c>
      <c r="K1085" s="17" t="str">
        <f>VLOOKUP(Main_Presentation[[#This Row],[LC Number]],Main_Issuance[],9,0)</f>
        <v>CEER</v>
      </c>
      <c r="L1085" s="17">
        <f>VLOOKUP(Main_Presentation[[#This Row],[LC Number]],Main_Issuance[],10,0)</f>
        <v>1020091</v>
      </c>
      <c r="M1085" s="17" t="str">
        <f>VLOOKUP(Main_Presentation[[#This Row],[LC Number]],Main_Issuance[],11,0)</f>
        <v>SAR</v>
      </c>
      <c r="N1085" s="84">
        <f>VLOOKUP(Main_Presentation[[#This Row],[LC Number]],Main_Issuance[],12,0)</f>
        <v>500000</v>
      </c>
      <c r="O1085" s="16" t="s">
        <v>20</v>
      </c>
      <c r="P1085" s="16" t="s">
        <v>857</v>
      </c>
      <c r="Q1085" s="131">
        <v>500000</v>
      </c>
      <c r="R1085" s="18">
        <v>1</v>
      </c>
      <c r="S1085" s="18">
        <f>Main_Presentation[[#This Row],[Invoice Amt (FCY)]]*Main_Presentation[[#This Row],[Rate]]</f>
        <v>500000</v>
      </c>
      <c r="T1085" s="15">
        <v>45977</v>
      </c>
      <c r="U1085" s="26" t="str">
        <f>VLOOKUP(Main_Presentation[[#This Row],[LC Number]],Main_Issuance[],18,0)</f>
        <v>90 Days from Appl. Representative Sign</v>
      </c>
      <c r="V1085" s="17" t="s">
        <v>367</v>
      </c>
      <c r="W1085" s="22" t="s">
        <v>857</v>
      </c>
      <c r="X1085" s="16"/>
      <c r="Y1085" s="234" t="str">
        <f>TRIM(LEFT(Main_Presentation[[#This Row],[Payment Terms]],3))</f>
        <v>90</v>
      </c>
      <c r="Z1085" s="16"/>
      <c r="AA1085" s="316" cm="1">
        <f t="array" ref="AA1085">Settlement(Main_Presentation[[#This Row],[Bank]],Main_Presentation[[#This Row],[ Invoice Amt (SAR)]],Main_Presentation[[#This Row],[Date Recd]],Main_Presentation[[#This Row],[Due Date]],Main_Presentation[[#This Row],[Days]])</f>
        <v>2156.25</v>
      </c>
      <c r="AB1085" s="16"/>
    </row>
    <row r="1086" spans="1:28" ht="15.75" hidden="1" x14ac:dyDescent="0.25">
      <c r="A1086" s="20" t="s">
        <v>1649</v>
      </c>
      <c r="B1086" s="15">
        <v>45909</v>
      </c>
      <c r="C1086" s="26">
        <v>1</v>
      </c>
      <c r="D1086" s="55" t="str">
        <f>VLOOKUP(Main_Presentation[[#This Row],[LC Number]],Main_Issuance[],3,0)</f>
        <v>Tareeq Telmasani</v>
      </c>
      <c r="E1086" s="16" t="s">
        <v>856</v>
      </c>
      <c r="F1086" s="17" t="str">
        <f>VLOOKUP(Main_Presentation[[#This Row],[LC Number]],Main_Issuance[],5,0)</f>
        <v>SAB</v>
      </c>
      <c r="G1086" s="17" t="str">
        <f>VLOOKUP(Main_Presentation[[#This Row],[LC Number]],Main_Issuance[],6,0)</f>
        <v>CEER</v>
      </c>
      <c r="H1086" s="17" t="str">
        <f>VLOOKUP(Main_Presentation[[#This Row],[LC Number]],Main_Issuance[],17,0)</f>
        <v>Credit</v>
      </c>
      <c r="I1086" s="17" t="str">
        <f>VLOOKUP(Main_Presentation[[#This Row],[LC Number]],Main_Issuance[],7,0)</f>
        <v>Alkhorayef Commercial co.</v>
      </c>
      <c r="J1086" s="17" t="str">
        <f>VLOOKUP(Main_Presentation[[#This Row],[LC Number]],Main_Issuance[],8,0)</f>
        <v>FIRST FIX</v>
      </c>
      <c r="K1086" s="17" t="str">
        <f>VLOOKUP(Main_Presentation[[#This Row],[LC Number]],Main_Issuance[],9,0)</f>
        <v>CEER</v>
      </c>
      <c r="L1086" s="17">
        <f>VLOOKUP(Main_Presentation[[#This Row],[LC Number]],Main_Issuance[],10,0)</f>
        <v>1020091</v>
      </c>
      <c r="M1086" s="17" t="str">
        <f>VLOOKUP(Main_Presentation[[#This Row],[LC Number]],Main_Issuance[],11,0)</f>
        <v>SAR</v>
      </c>
      <c r="N1086" s="84">
        <f>VLOOKUP(Main_Presentation[[#This Row],[LC Number]],Main_Issuance[],12,0)</f>
        <v>2080350</v>
      </c>
      <c r="O1086" s="16" t="s">
        <v>20</v>
      </c>
      <c r="P1086" s="16" t="s">
        <v>378</v>
      </c>
      <c r="Q1086" s="131">
        <v>621000</v>
      </c>
      <c r="R1086" s="18">
        <v>1</v>
      </c>
      <c r="S1086" s="18">
        <f>Main_Presentation[[#This Row],[Invoice Amt (FCY)]]*Main_Presentation[[#This Row],[Rate]]</f>
        <v>621000</v>
      </c>
      <c r="T1086" s="15">
        <v>46007</v>
      </c>
      <c r="U1086" s="26" t="str">
        <f>VLOOKUP(Main_Presentation[[#This Row],[LC Number]],Main_Issuance[],18,0)</f>
        <v>120 Days from Appl. Representative Sign</v>
      </c>
      <c r="V1086" s="17" t="s">
        <v>367</v>
      </c>
      <c r="W1086" s="22" t="s">
        <v>857</v>
      </c>
      <c r="X1086" s="16"/>
      <c r="Y1086" s="234" t="str">
        <f>TRIM(LEFT(Main_Presentation[[#This Row],[Payment Terms]],3))</f>
        <v>120</v>
      </c>
      <c r="Z1086" s="16"/>
      <c r="AA1086" s="316" cm="1">
        <f t="array" ref="AA1086">Settlement(Main_Presentation[[#This Row],[Bank]],Main_Presentation[[#This Row],[ Invoice Amt (SAR)]],Main_Presentation[[#This Row],[Date Recd]],Main_Presentation[[#This Row],[Due Date]],Main_Presentation[[#This Row],[Days]])</f>
        <v>2678.35</v>
      </c>
      <c r="AB1086" s="16"/>
    </row>
    <row r="1087" spans="1:28" ht="15.75" hidden="1" x14ac:dyDescent="0.25">
      <c r="A1087" s="20" t="s">
        <v>1686</v>
      </c>
      <c r="B1087" s="15">
        <v>45893</v>
      </c>
      <c r="C1087" s="26">
        <v>1</v>
      </c>
      <c r="D1087" s="55" t="str">
        <f>VLOOKUP(Main_Presentation[[#This Row],[LC Number]],Main_Issuance[],3,0)</f>
        <v>Tareeq Telmasani</v>
      </c>
      <c r="E1087" s="16" t="s">
        <v>856</v>
      </c>
      <c r="F1087" s="17" t="str">
        <f>VLOOKUP(Main_Presentation[[#This Row],[LC Number]],Main_Issuance[],5,0)</f>
        <v>SAB</v>
      </c>
      <c r="G1087" s="17" t="str">
        <f>VLOOKUP(Main_Presentation[[#This Row],[LC Number]],Main_Issuance[],6,0)</f>
        <v>CEER</v>
      </c>
      <c r="H1087" s="17" t="str">
        <f>VLOOKUP(Main_Presentation[[#This Row],[LC Number]],Main_Issuance[],17,0)</f>
        <v>Credit</v>
      </c>
      <c r="I1087" s="17" t="str">
        <f>VLOOKUP(Main_Presentation[[#This Row],[LC Number]],Main_Issuance[],7,0)</f>
        <v>National Fire Fighting Manufacturing</v>
      </c>
      <c r="J1087" s="17" t="str">
        <f>VLOOKUP(Main_Presentation[[#This Row],[LC Number]],Main_Issuance[],8,0)</f>
        <v>FIRST FIX</v>
      </c>
      <c r="K1087" s="17" t="str">
        <f>VLOOKUP(Main_Presentation[[#This Row],[LC Number]],Main_Issuance[],9,0)</f>
        <v>CEER</v>
      </c>
      <c r="L1087" s="17">
        <f>VLOOKUP(Main_Presentation[[#This Row],[LC Number]],Main_Issuance[],10,0)</f>
        <v>1020091</v>
      </c>
      <c r="M1087" s="17" t="str">
        <f>VLOOKUP(Main_Presentation[[#This Row],[LC Number]],Main_Issuance[],11,0)</f>
        <v>SAR</v>
      </c>
      <c r="N1087" s="84">
        <f>VLOOKUP(Main_Presentation[[#This Row],[LC Number]],Main_Issuance[],12,0)</f>
        <v>4782000</v>
      </c>
      <c r="O1087" s="16" t="s">
        <v>20</v>
      </c>
      <c r="P1087" s="16" t="s">
        <v>857</v>
      </c>
      <c r="Q1087" s="131">
        <v>4782000</v>
      </c>
      <c r="R1087" s="18">
        <v>1</v>
      </c>
      <c r="S1087" s="18">
        <f>Main_Presentation[[#This Row],[Invoice Amt (FCY)]]*Main_Presentation[[#This Row],[Rate]]</f>
        <v>4782000</v>
      </c>
      <c r="T1087" s="15">
        <v>46007</v>
      </c>
      <c r="U1087" s="26" t="str">
        <f>VLOOKUP(Main_Presentation[[#This Row],[LC Number]],Main_Issuance[],18,0)</f>
        <v>120 Days from Appl. Representative Sign</v>
      </c>
      <c r="V1087" s="17" t="s">
        <v>367</v>
      </c>
      <c r="W1087" s="22" t="s">
        <v>857</v>
      </c>
      <c r="X1087" s="16"/>
      <c r="Y1087" s="234" t="str">
        <f>TRIM(LEFT(Main_Presentation[[#This Row],[Payment Terms]],3))</f>
        <v>120</v>
      </c>
      <c r="Z1087" s="16"/>
      <c r="AA1087" s="316" cm="1">
        <f t="array" ref="AA1087">Settlement(Main_Presentation[[#This Row],[Bank]],Main_Presentation[[#This Row],[ Invoice Amt (SAR)]],Main_Presentation[[#This Row],[Date Recd]],Main_Presentation[[#This Row],[Due Date]],Main_Presentation[[#This Row],[Days]])</f>
        <v>20621.8</v>
      </c>
      <c r="AB1087" s="16"/>
    </row>
    <row r="1088" spans="1:28" ht="15.75" hidden="1" x14ac:dyDescent="0.25">
      <c r="A1088" s="20" t="s">
        <v>1347</v>
      </c>
      <c r="B1088" s="15">
        <v>45937</v>
      </c>
      <c r="C1088" s="26">
        <v>1</v>
      </c>
      <c r="D1088" s="55" t="str">
        <f>VLOOKUP(Main_Presentation[[#This Row],[LC Number]],Main_Issuance[],3,0)</f>
        <v>Hassan Taleb</v>
      </c>
      <c r="E1088" s="16" t="s">
        <v>858</v>
      </c>
      <c r="F1088" s="17" t="str">
        <f>VLOOKUP(Main_Presentation[[#This Row],[LC Number]],Main_Issuance[],5,0)</f>
        <v>Alinma</v>
      </c>
      <c r="G1088" s="17" t="str">
        <f>VLOOKUP(Main_Presentation[[#This Row],[LC Number]],Main_Issuance[],6,0)</f>
        <v>KSP</v>
      </c>
      <c r="H1088" s="17" t="str">
        <f>VLOOKUP(Main_Presentation[[#This Row],[LC Number]],Main_Issuance[],17,0)</f>
        <v>Credit</v>
      </c>
      <c r="I1088" s="17" t="str">
        <f>VLOOKUP(Main_Presentation[[#This Row],[LC Number]],Main_Issuance[],7,0)</f>
        <v>MODERN HOUSING CONTRACTING CO.</v>
      </c>
      <c r="J1088" s="17" t="str">
        <f>VLOOKUP(Main_Presentation[[#This Row],[LC Number]],Main_Issuance[],8,0)</f>
        <v>FIRST FIX</v>
      </c>
      <c r="K1088" s="17" t="str">
        <f>VLOOKUP(Main_Presentation[[#This Row],[LC Number]],Main_Issuance[],9,0)</f>
        <v>KSP</v>
      </c>
      <c r="L1088" s="17">
        <f>VLOOKUP(Main_Presentation[[#This Row],[LC Number]],Main_Issuance[],10,0)</f>
        <v>1020055</v>
      </c>
      <c r="M1088" s="17" t="str">
        <f>VLOOKUP(Main_Presentation[[#This Row],[LC Number]],Main_Issuance[],11,0)</f>
        <v>SAR</v>
      </c>
      <c r="N1088" s="84">
        <f>VLOOKUP(Main_Presentation[[#This Row],[LC Number]],Main_Issuance[],12,0)</f>
        <v>254390</v>
      </c>
      <c r="O1088" s="16" t="s">
        <v>20</v>
      </c>
      <c r="P1088" s="16" t="s">
        <v>857</v>
      </c>
      <c r="Q1088" s="131">
        <v>254390</v>
      </c>
      <c r="R1088" s="18">
        <v>1</v>
      </c>
      <c r="S1088" s="18">
        <f>Main_Presentation[[#This Row],[Invoice Amt (FCY)]]*Main_Presentation[[#This Row],[Rate]]</f>
        <v>254390</v>
      </c>
      <c r="T1088" s="15">
        <v>46028</v>
      </c>
      <c r="U1088" s="26" t="str">
        <f>VLOOKUP(Main_Presentation[[#This Row],[LC Number]],Main_Issuance[],18,0)</f>
        <v>120 Days from Invoice Date</v>
      </c>
      <c r="V1088" s="17" t="s">
        <v>22</v>
      </c>
      <c r="W1088" s="22" t="s">
        <v>857</v>
      </c>
      <c r="X1088" s="16"/>
      <c r="Y1088" s="234" t="str">
        <f>TRIM(LEFT(Main_Presentation[[#This Row],[Payment Terms]],3))</f>
        <v>120</v>
      </c>
      <c r="Z1088" s="16"/>
      <c r="AA1088" s="316" cm="1">
        <f t="array" ref="AA1088">Settlement(Main_Presentation[[#This Row],[Bank]],Main_Presentation[[#This Row],[ Invoice Amt (SAR)]],Main_Presentation[[#This Row],[Date Recd]],Main_Presentation[[#This Row],[Due Date]],Main_Presentation[[#This Row],[Days]])</f>
        <v>1437.5</v>
      </c>
      <c r="AB1088" s="16"/>
    </row>
    <row r="1089" spans="1:28" ht="15.75" hidden="1" x14ac:dyDescent="0.25">
      <c r="A1089" s="20" t="s">
        <v>1423</v>
      </c>
      <c r="B1089" s="15">
        <v>45957</v>
      </c>
      <c r="C1089" s="26">
        <v>1</v>
      </c>
      <c r="D1089" s="55" t="str">
        <f>VLOOKUP(Main_Presentation[[#This Row],[LC Number]],Main_Issuance[],3,0)</f>
        <v>Hassan Taleb</v>
      </c>
      <c r="E1089" s="16" t="s">
        <v>858</v>
      </c>
      <c r="F1089" s="17" t="str">
        <f>VLOOKUP(Main_Presentation[[#This Row],[LC Number]],Main_Issuance[],5,0)</f>
        <v>SNB</v>
      </c>
      <c r="G1089" s="17" t="str">
        <f>VLOOKUP(Main_Presentation[[#This Row],[LC Number]],Main_Issuance[],6,0)</f>
        <v>Opera House</v>
      </c>
      <c r="H1089" s="17" t="str">
        <f>VLOOKUP(Main_Presentation[[#This Row],[LC Number]],Main_Issuance[],17,0)</f>
        <v>Credit</v>
      </c>
      <c r="I1089" s="17" t="str">
        <f>VLOOKUP(Main_Presentation[[#This Row],[LC Number]],Main_Issuance[],7,0)</f>
        <v>MARIAM TRADING CO &amp; PARTNERS</v>
      </c>
      <c r="J1089" s="17" t="str">
        <f>VLOOKUP(Main_Presentation[[#This Row],[LC Number]],Main_Issuance[],8,0)</f>
        <v>FIRST FIX</v>
      </c>
      <c r="K1089" s="17" t="str">
        <f>VLOOKUP(Main_Presentation[[#This Row],[LC Number]],Main_Issuance[],9,0)</f>
        <v>KSP</v>
      </c>
      <c r="L1089" s="17">
        <f>VLOOKUP(Main_Presentation[[#This Row],[LC Number]],Main_Issuance[],10,0)</f>
        <v>1020055</v>
      </c>
      <c r="M1089" s="17" t="str">
        <f>VLOOKUP(Main_Presentation[[#This Row],[LC Number]],Main_Issuance[],11,0)</f>
        <v>SAR</v>
      </c>
      <c r="N1089" s="84">
        <f>VLOOKUP(Main_Presentation[[#This Row],[LC Number]],Main_Issuance[],12,0)</f>
        <v>547153.36</v>
      </c>
      <c r="O1089" s="16" t="s">
        <v>20</v>
      </c>
      <c r="P1089" s="16" t="s">
        <v>378</v>
      </c>
      <c r="Q1089" s="131">
        <v>547153.37</v>
      </c>
      <c r="R1089" s="18">
        <v>1</v>
      </c>
      <c r="S1089" s="18">
        <f>Main_Presentation[[#This Row],[Invoice Amt (FCY)]]*Main_Presentation[[#This Row],[Rate]]</f>
        <v>547153.37</v>
      </c>
      <c r="T1089" s="15">
        <v>45986</v>
      </c>
      <c r="U1089" s="26" t="str">
        <f>VLOOKUP(Main_Presentation[[#This Row],[LC Number]],Main_Issuance[],18,0)</f>
        <v>120 Days from Invoice Date</v>
      </c>
      <c r="V1089" s="17" t="s">
        <v>613</v>
      </c>
      <c r="W1089" s="22" t="s">
        <v>378</v>
      </c>
      <c r="X1089" s="16"/>
      <c r="Y1089" s="234" t="str">
        <f>TRIM(LEFT(Main_Presentation[[#This Row],[Payment Terms]],3))</f>
        <v>120</v>
      </c>
      <c r="Z1089" s="16"/>
      <c r="AA1089" s="316" cm="1">
        <f t="array" ref="AA1089">Settlement(Main_Presentation[[#This Row],[Bank]],Main_Presentation[[#This Row],[ Invoice Amt (SAR)]],Main_Presentation[[#This Row],[Date Recd]],Main_Presentation[[#This Row],[Due Date]],Main_Presentation[[#This Row],[Days]])</f>
        <v>1351.25</v>
      </c>
      <c r="AB1089" s="16"/>
    </row>
    <row r="1090" spans="1:28" ht="15.75" hidden="1" x14ac:dyDescent="0.25">
      <c r="A1090" s="129" t="s">
        <v>1656</v>
      </c>
      <c r="B1090" s="15">
        <v>45915</v>
      </c>
      <c r="C1090" s="26">
        <v>1</v>
      </c>
      <c r="D1090" s="55" t="str">
        <f>VLOOKUP(Main_Presentation[[#This Row],[LC Number]],Main_Issuance[],3,0)</f>
        <v>Hassan Taleb</v>
      </c>
      <c r="E1090" s="16" t="s">
        <v>858</v>
      </c>
      <c r="F1090" s="17" t="str">
        <f>VLOOKUP(Main_Presentation[[#This Row],[LC Number]],Main_Issuance[],5,0)</f>
        <v>Alinma</v>
      </c>
      <c r="G1090" s="17" t="str">
        <f>VLOOKUP(Main_Presentation[[#This Row],[LC Number]],Main_Issuance[],6,0)</f>
        <v>KSP</v>
      </c>
      <c r="H1090" s="17" t="str">
        <f>VLOOKUP(Main_Presentation[[#This Row],[LC Number]],Main_Issuance[],17,0)</f>
        <v>Credit</v>
      </c>
      <c r="I1090" s="17" t="str">
        <f>VLOOKUP(Main_Presentation[[#This Row],[LC Number]],Main_Issuance[],7,0)</f>
        <v>Almansha Almubasher Trading Company</v>
      </c>
      <c r="J1090" s="17" t="str">
        <f>VLOOKUP(Main_Presentation[[#This Row],[LC Number]],Main_Issuance[],8,0)</f>
        <v>FIRST FIX</v>
      </c>
      <c r="K1090" s="17" t="str">
        <f>VLOOKUP(Main_Presentation[[#This Row],[LC Number]],Main_Issuance[],9,0)</f>
        <v>KSP</v>
      </c>
      <c r="L1090" s="17">
        <f>VLOOKUP(Main_Presentation[[#This Row],[LC Number]],Main_Issuance[],10,0)</f>
        <v>1020055</v>
      </c>
      <c r="M1090" s="17" t="str">
        <f>VLOOKUP(Main_Presentation[[#This Row],[LC Number]],Main_Issuance[],11,0)</f>
        <v>SAR</v>
      </c>
      <c r="N1090" s="84">
        <f>VLOOKUP(Main_Presentation[[#This Row],[LC Number]],Main_Issuance[],12,0)</f>
        <v>305000</v>
      </c>
      <c r="O1090" s="16" t="s">
        <v>20</v>
      </c>
      <c r="P1090" s="16" t="s">
        <v>857</v>
      </c>
      <c r="Q1090" s="131">
        <v>305000</v>
      </c>
      <c r="R1090" s="18">
        <v>1</v>
      </c>
      <c r="S1090" s="18">
        <f>Main_Presentation[[#This Row],[Invoice Amt (FCY)]]*Main_Presentation[[#This Row],[Rate]]</f>
        <v>305000</v>
      </c>
      <c r="T1090" s="15">
        <v>45992</v>
      </c>
      <c r="U1090" s="26" t="str">
        <f>VLOOKUP(Main_Presentation[[#This Row],[LC Number]],Main_Issuance[],18,0)</f>
        <v>120 Days from Invoice Date</v>
      </c>
      <c r="V1090" s="17" t="s">
        <v>710</v>
      </c>
      <c r="W1090" s="22" t="s">
        <v>378</v>
      </c>
      <c r="X1090" s="16"/>
      <c r="Y1090" s="234" t="str">
        <f>TRIM(LEFT(Main_Presentation[[#This Row],[Payment Terms]],3))</f>
        <v>120</v>
      </c>
      <c r="Z1090" s="16"/>
      <c r="AA1090" s="316" cm="1">
        <f t="array" ref="AA1090">Settlement(Main_Presentation[[#This Row],[Bank]],Main_Presentation[[#This Row],[ Invoice Amt (SAR)]],Main_Presentation[[#This Row],[Date Recd]],Main_Presentation[[#This Row],[Due Date]],Main_Presentation[[#This Row],[Days]])</f>
        <v>1437.5</v>
      </c>
      <c r="AB1090" s="16"/>
    </row>
    <row r="1091" spans="1:28" ht="15.75" hidden="1" x14ac:dyDescent="0.25">
      <c r="A1091" s="20" t="s">
        <v>1603</v>
      </c>
      <c r="B1091" s="15">
        <v>45914</v>
      </c>
      <c r="C1091" s="26">
        <v>1</v>
      </c>
      <c r="D1091" s="55" t="str">
        <f>VLOOKUP(Main_Presentation[[#This Row],[LC Number]],Main_Issuance[],3,0)</f>
        <v>Hassan Taleb</v>
      </c>
      <c r="E1091" s="16" t="s">
        <v>858</v>
      </c>
      <c r="F1091" s="17" t="str">
        <f>VLOOKUP(Main_Presentation[[#This Row],[LC Number]],Main_Issuance[],5,0)</f>
        <v>SAB</v>
      </c>
      <c r="G1091" s="17" t="str">
        <f>VLOOKUP(Main_Presentation[[#This Row],[LC Number]],Main_Issuance[],6,0)</f>
        <v>MP1</v>
      </c>
      <c r="H1091" s="17" t="str">
        <f>VLOOKUP(Main_Presentation[[#This Row],[LC Number]],Main_Issuance[],17,0)</f>
        <v>Credit</v>
      </c>
      <c r="I1091" s="17" t="str">
        <f>VLOOKUP(Main_Presentation[[#This Row],[LC Number]],Main_Issuance[],7,0)</f>
        <v>NMA ALMUTAMIZA INDUSTRIAL AND EQUIPMENT CO.</v>
      </c>
      <c r="J1091" s="17" t="str">
        <f>VLOOKUP(Main_Presentation[[#This Row],[LC Number]],Main_Issuance[],8,0)</f>
        <v>FIRST FIX</v>
      </c>
      <c r="K1091" s="17" t="str">
        <f>VLOOKUP(Main_Presentation[[#This Row],[LC Number]],Main_Issuance[],9,0)</f>
        <v>MP1</v>
      </c>
      <c r="L1091" s="17">
        <f>VLOOKUP(Main_Presentation[[#This Row],[LC Number]],Main_Issuance[],10,0)</f>
        <v>1020088</v>
      </c>
      <c r="M1091" s="17" t="str">
        <f>VLOOKUP(Main_Presentation[[#This Row],[LC Number]],Main_Issuance[],11,0)</f>
        <v>SAR</v>
      </c>
      <c r="N1091" s="84">
        <f>VLOOKUP(Main_Presentation[[#This Row],[LC Number]],Main_Issuance[],12,0)</f>
        <v>250000</v>
      </c>
      <c r="O1091" s="16" t="s">
        <v>20</v>
      </c>
      <c r="P1091" s="16" t="s">
        <v>857</v>
      </c>
      <c r="Q1091" s="131">
        <v>250000</v>
      </c>
      <c r="R1091" s="18">
        <v>1</v>
      </c>
      <c r="S1091" s="18">
        <f>Main_Presentation[[#This Row],[Invoice Amt (FCY)]]*Main_Presentation[[#This Row],[Rate]]</f>
        <v>250000</v>
      </c>
      <c r="T1091" s="15">
        <v>45984</v>
      </c>
      <c r="U1091" s="26" t="str">
        <f>VLOOKUP(Main_Presentation[[#This Row],[LC Number]],Main_Issuance[],18,0)</f>
        <v>120 Days from Invoice Date</v>
      </c>
      <c r="V1091" s="17" t="s">
        <v>710</v>
      </c>
      <c r="W1091" s="22" t="s">
        <v>857</v>
      </c>
      <c r="X1091" s="16"/>
      <c r="Y1091" s="234" t="str">
        <f>TRIM(LEFT(Main_Presentation[[#This Row],[Payment Terms]],3))</f>
        <v>120</v>
      </c>
      <c r="Z1091" s="16"/>
      <c r="AA1091" s="316" cm="1">
        <f t="array" ref="AA1091">Settlement(Main_Presentation[[#This Row],[Bank]],Main_Presentation[[#This Row],[ Invoice Amt (SAR)]],Main_Presentation[[#This Row],[Date Recd]],Main_Presentation[[#This Row],[Due Date]],Main_Presentation[[#This Row],[Days]])</f>
        <v>1078.7</v>
      </c>
      <c r="AB1091" s="16"/>
    </row>
    <row r="1092" spans="1:28" ht="15.75" hidden="1" x14ac:dyDescent="0.25">
      <c r="A1092" s="20" t="s">
        <v>1194</v>
      </c>
      <c r="B1092" s="15">
        <v>45924</v>
      </c>
      <c r="C1092" s="26">
        <v>3</v>
      </c>
      <c r="D1092" s="55" t="str">
        <f>VLOOKUP(Main_Presentation[[#This Row],[LC Number]],Main_Issuance[],3,0)</f>
        <v>Rabih Makhoul</v>
      </c>
      <c r="E1092" s="16" t="s">
        <v>856</v>
      </c>
      <c r="F1092" s="17" t="str">
        <f>VLOOKUP(Main_Presentation[[#This Row],[LC Number]],Main_Issuance[],5,0)</f>
        <v>Alinma</v>
      </c>
      <c r="G1092" s="17" t="str">
        <f>VLOOKUP(Main_Presentation[[#This Row],[LC Number]],Main_Issuance[],6,0)</f>
        <v>KSP</v>
      </c>
      <c r="H1092" s="17" t="str">
        <f>VLOOKUP(Main_Presentation[[#This Row],[LC Number]],Main_Issuance[],17,0)</f>
        <v>Credit</v>
      </c>
      <c r="I1092" s="17" t="str">
        <f>VLOOKUP(Main_Presentation[[#This Row],[LC Number]],Main_Issuance[],7,0)</f>
        <v>Systemair For Electrical Equipment Co.</v>
      </c>
      <c r="J1092" s="17" t="str">
        <f>VLOOKUP(Main_Presentation[[#This Row],[LC Number]],Main_Issuance[],8,0)</f>
        <v>FIRST FIX</v>
      </c>
      <c r="K1092" s="17" t="str">
        <f>VLOOKUP(Main_Presentation[[#This Row],[LC Number]],Main_Issuance[],9,0)</f>
        <v>JCD SPMI</v>
      </c>
      <c r="L1092" s="17">
        <f>VLOOKUP(Main_Presentation[[#This Row],[LC Number]],Main_Issuance[],10,0)</f>
        <v>1020100</v>
      </c>
      <c r="M1092" s="17" t="str">
        <f>VLOOKUP(Main_Presentation[[#This Row],[LC Number]],Main_Issuance[],11,0)</f>
        <v>SAR</v>
      </c>
      <c r="N1092" s="84">
        <f>VLOOKUP(Main_Presentation[[#This Row],[LC Number]],Main_Issuance[],12,0)</f>
        <v>500000</v>
      </c>
      <c r="O1092" s="16" t="s">
        <v>20</v>
      </c>
      <c r="P1092" s="16" t="s">
        <v>857</v>
      </c>
      <c r="Q1092" s="131">
        <v>48414.03</v>
      </c>
      <c r="R1092" s="18">
        <v>1</v>
      </c>
      <c r="S1092" s="18">
        <f>Main_Presentation[[#This Row],[Invoice Amt (FCY)]]*Main_Presentation[[#This Row],[Rate]]</f>
        <v>48414.03</v>
      </c>
      <c r="T1092" s="15">
        <v>45999</v>
      </c>
      <c r="U1092" s="26" t="str">
        <f>VLOOKUP(Main_Presentation[[#This Row],[LC Number]],Main_Issuance[],18,0)</f>
        <v>90 Days from Invoice Date</v>
      </c>
      <c r="V1092" s="17" t="s">
        <v>1460</v>
      </c>
      <c r="W1092" s="22" t="s">
        <v>378</v>
      </c>
      <c r="X1092" s="16"/>
      <c r="Y1092" s="234" t="str">
        <f>TRIM(LEFT(Main_Presentation[[#This Row],[Payment Terms]],3))</f>
        <v>90</v>
      </c>
      <c r="Z1092" s="16"/>
      <c r="AA1092" s="316" cm="1">
        <f t="array" ref="AA1092">Settlement(Main_Presentation[[#This Row],[Bank]],Main_Presentation[[#This Row],[ Invoice Amt (SAR)]],Main_Presentation[[#This Row],[Date Recd]],Main_Presentation[[#This Row],[Due Date]],Main_Presentation[[#This Row],[Days]])</f>
        <v>1437.5</v>
      </c>
      <c r="AB1092" s="16"/>
    </row>
    <row r="1093" spans="1:28" ht="15.75" hidden="1" x14ac:dyDescent="0.25">
      <c r="A1093" s="20" t="s">
        <v>1566</v>
      </c>
      <c r="B1093" s="15">
        <v>45918</v>
      </c>
      <c r="C1093" s="26">
        <v>1</v>
      </c>
      <c r="D1093" s="55" t="str">
        <f>VLOOKUP(Main_Presentation[[#This Row],[LC Number]],Main_Issuance[],3,0)</f>
        <v>Hassan Taleb</v>
      </c>
      <c r="E1093" s="16" t="s">
        <v>856</v>
      </c>
      <c r="F1093" s="17" t="str">
        <f>VLOOKUP(Main_Presentation[[#This Row],[LC Number]],Main_Issuance[],5,0)</f>
        <v>Jazira</v>
      </c>
      <c r="G1093" s="17" t="str">
        <f>VLOOKUP(Main_Presentation[[#This Row],[LC Number]],Main_Issuance[],6,0)</f>
        <v>RCRC</v>
      </c>
      <c r="H1093" s="17" t="str">
        <f>VLOOKUP(Main_Presentation[[#This Row],[LC Number]],Main_Issuance[],17,0)</f>
        <v>Credit</v>
      </c>
      <c r="I1093" s="17" t="str">
        <f>VLOOKUP(Main_Presentation[[#This Row],[LC Number]],Main_Issuance[],7,0)</f>
        <v>Alpha Limit Trading and Contracting Company</v>
      </c>
      <c r="J1093" s="17" t="str">
        <f>VLOOKUP(Main_Presentation[[#This Row],[LC Number]],Main_Issuance[],8,0)</f>
        <v>FIRST FIX</v>
      </c>
      <c r="K1093" s="17" t="str">
        <f>VLOOKUP(Main_Presentation[[#This Row],[LC Number]],Main_Issuance[],9,0)</f>
        <v>RCRC</v>
      </c>
      <c r="L1093" s="17">
        <f>VLOOKUP(Main_Presentation[[#This Row],[LC Number]],Main_Issuance[],10,0)</f>
        <v>1020106</v>
      </c>
      <c r="M1093" s="17" t="str">
        <f>VLOOKUP(Main_Presentation[[#This Row],[LC Number]],Main_Issuance[],11,0)</f>
        <v>SAR</v>
      </c>
      <c r="N1093" s="84">
        <f>VLOOKUP(Main_Presentation[[#This Row],[LC Number]],Main_Issuance[],12,0)</f>
        <v>399623.8</v>
      </c>
      <c r="O1093" s="16" t="s">
        <v>20</v>
      </c>
      <c r="P1093" s="16" t="s">
        <v>857</v>
      </c>
      <c r="Q1093" s="131">
        <v>154977.42000000001</v>
      </c>
      <c r="R1093" s="18">
        <v>1</v>
      </c>
      <c r="S1093" s="18">
        <f>Main_Presentation[[#This Row],[Invoice Amt (FCY)]]*Main_Presentation[[#This Row],[Rate]]</f>
        <v>154977.42000000001</v>
      </c>
      <c r="T1093" s="15">
        <v>45942</v>
      </c>
      <c r="U1093" s="26" t="str">
        <f>VLOOKUP(Main_Presentation[[#This Row],[LC Number]],Main_Issuance[],18,0)</f>
        <v>90 Days from Invoice Date</v>
      </c>
      <c r="V1093" s="230" t="s">
        <v>22</v>
      </c>
      <c r="W1093" s="22" t="s">
        <v>378</v>
      </c>
      <c r="X1093" s="16"/>
      <c r="Y1093" s="234" t="str">
        <f>TRIM(LEFT(Main_Presentation[[#This Row],[Payment Terms]],3))</f>
        <v>90</v>
      </c>
      <c r="Z1093" s="16"/>
      <c r="AA1093" s="316" cm="1">
        <f t="array" ref="AA1093">Settlement(Main_Presentation[[#This Row],[Bank]],Main_Presentation[[#This Row],[ Invoice Amt (SAR)]],Main_Presentation[[#This Row],[Date Recd]],Main_Presentation[[#This Row],[Due Date]],Main_Presentation[[#This Row],[Days]])</f>
        <v>977.5</v>
      </c>
      <c r="AB1093" s="16"/>
    </row>
    <row r="1094" spans="1:28" ht="15.75" hidden="1" x14ac:dyDescent="0.25">
      <c r="A1094" s="20" t="s">
        <v>1403</v>
      </c>
      <c r="B1094" s="15">
        <v>45937</v>
      </c>
      <c r="C1094" s="26">
        <v>1</v>
      </c>
      <c r="D1094" s="55" t="str">
        <f>VLOOKUP(Main_Presentation[[#This Row],[LC Number]],Main_Issuance[],3,0)</f>
        <v>Hassan Taleb</v>
      </c>
      <c r="E1094" s="16" t="s">
        <v>858</v>
      </c>
      <c r="F1094" s="17" t="str">
        <f>VLOOKUP(Main_Presentation[[#This Row],[LC Number]],Main_Issuance[],5,0)</f>
        <v>Alinma</v>
      </c>
      <c r="G1094" s="17" t="str">
        <f>VLOOKUP(Main_Presentation[[#This Row],[LC Number]],Main_Issuance[],6,0)</f>
        <v>KSP</v>
      </c>
      <c r="H1094" s="17" t="str">
        <f>VLOOKUP(Main_Presentation[[#This Row],[LC Number]],Main_Issuance[],17,0)</f>
        <v>Credit</v>
      </c>
      <c r="I1094" s="17" t="str">
        <f>VLOOKUP(Main_Presentation[[#This Row],[LC Number]],Main_Issuance[],7,0)</f>
        <v>World Systems Co. Ltd.</v>
      </c>
      <c r="J1094" s="17" t="str">
        <f>VLOOKUP(Main_Presentation[[#This Row],[LC Number]],Main_Issuance[],8,0)</f>
        <v>FIRST FIX</v>
      </c>
      <c r="K1094" s="17" t="str">
        <f>VLOOKUP(Main_Presentation[[#This Row],[LC Number]],Main_Issuance[],9,0)</f>
        <v>KSP</v>
      </c>
      <c r="L1094" s="17">
        <f>VLOOKUP(Main_Presentation[[#This Row],[LC Number]],Main_Issuance[],10,0)</f>
        <v>1020055</v>
      </c>
      <c r="M1094" s="17" t="str">
        <f>VLOOKUP(Main_Presentation[[#This Row],[LC Number]],Main_Issuance[],11,0)</f>
        <v>SAR</v>
      </c>
      <c r="N1094" s="84">
        <f>VLOOKUP(Main_Presentation[[#This Row],[LC Number]],Main_Issuance[],12,0)</f>
        <v>381871.86</v>
      </c>
      <c r="O1094" s="16" t="s">
        <v>20</v>
      </c>
      <c r="P1094" s="16" t="s">
        <v>857</v>
      </c>
      <c r="Q1094" s="131">
        <v>381871.86</v>
      </c>
      <c r="R1094" s="18">
        <v>1</v>
      </c>
      <c r="S1094" s="18">
        <f>Main_Presentation[[#This Row],[Invoice Amt (FCY)]]*Main_Presentation[[#This Row],[Rate]]</f>
        <v>381871.86</v>
      </c>
      <c r="T1094" s="15">
        <v>46028</v>
      </c>
      <c r="U1094" s="26" t="str">
        <f>VLOOKUP(Main_Presentation[[#This Row],[LC Number]],Main_Issuance[],18,0)</f>
        <v>120 Days from Invoice Date</v>
      </c>
      <c r="V1094" s="17" t="s">
        <v>22</v>
      </c>
      <c r="W1094" s="22" t="s">
        <v>857</v>
      </c>
      <c r="X1094" s="16"/>
      <c r="Y1094" s="234" t="str">
        <f>TRIM(LEFT(Main_Presentation[[#This Row],[Payment Terms]],3))</f>
        <v>120</v>
      </c>
      <c r="Z1094" s="16"/>
      <c r="AA1094" s="316" cm="1">
        <f t="array" ref="AA1094">Settlement(Main_Presentation[[#This Row],[Bank]],Main_Presentation[[#This Row],[ Invoice Amt (SAR)]],Main_Presentation[[#This Row],[Date Recd]],Main_Presentation[[#This Row],[Due Date]],Main_Presentation[[#This Row],[Days]])</f>
        <v>1437.5</v>
      </c>
      <c r="AB1094" s="16"/>
    </row>
    <row r="1095" spans="1:28" ht="15.75" hidden="1" x14ac:dyDescent="0.25">
      <c r="A1095" s="20" t="s">
        <v>1661</v>
      </c>
      <c r="B1095" s="15">
        <v>45895</v>
      </c>
      <c r="C1095" s="26">
        <v>1</v>
      </c>
      <c r="D1095" s="55" t="str">
        <f>VLOOKUP(Main_Presentation[[#This Row],[LC Number]],Main_Issuance[],3,0)</f>
        <v>Hassan Taleb</v>
      </c>
      <c r="E1095" s="16" t="s">
        <v>856</v>
      </c>
      <c r="F1095" s="17" t="str">
        <f>VLOOKUP(Main_Presentation[[#This Row],[LC Number]],Main_Issuance[],5,0)</f>
        <v>Alinma</v>
      </c>
      <c r="G1095" s="17" t="str">
        <f>VLOOKUP(Main_Presentation[[#This Row],[LC Number]],Main_Issuance[],6,0)</f>
        <v>KSP</v>
      </c>
      <c r="H1095" s="17" t="str">
        <f>VLOOKUP(Main_Presentation[[#This Row],[LC Number]],Main_Issuance[],17,0)</f>
        <v>Credit</v>
      </c>
      <c r="I1095" s="17" t="str">
        <f>VLOOKUP(Main_Presentation[[#This Row],[LC Number]],Main_Issuance[],7,0)</f>
        <v>ZAHID TRACTOR &amp; HEAVY MACHINERY CO. LTD.</v>
      </c>
      <c r="J1095" s="17" t="str">
        <f>VLOOKUP(Main_Presentation[[#This Row],[LC Number]],Main_Issuance[],8,0)</f>
        <v>FIRST FIX</v>
      </c>
      <c r="K1095" s="17" t="str">
        <f>VLOOKUP(Main_Presentation[[#This Row],[LC Number]],Main_Issuance[],9,0)</f>
        <v>KSP</v>
      </c>
      <c r="L1095" s="17">
        <f>VLOOKUP(Main_Presentation[[#This Row],[LC Number]],Main_Issuance[],10,0)</f>
        <v>1020055</v>
      </c>
      <c r="M1095" s="17" t="str">
        <f>VLOOKUP(Main_Presentation[[#This Row],[LC Number]],Main_Issuance[],11,0)</f>
        <v>SAR</v>
      </c>
      <c r="N1095" s="84">
        <f>VLOOKUP(Main_Presentation[[#This Row],[LC Number]],Main_Issuance[],12,0)</f>
        <v>4106471.65</v>
      </c>
      <c r="O1095" s="16" t="s">
        <v>20</v>
      </c>
      <c r="P1095" s="16" t="s">
        <v>857</v>
      </c>
      <c r="Q1095" s="131">
        <v>4106471.65</v>
      </c>
      <c r="R1095" s="18">
        <v>1</v>
      </c>
      <c r="S1095" s="18">
        <f>Main_Presentation[[#This Row],[Invoice Amt (FCY)]]*Main_Presentation[[#This Row],[Rate]]</f>
        <v>4106471.65</v>
      </c>
      <c r="T1095" s="15">
        <v>45992</v>
      </c>
      <c r="U1095" s="26" t="str">
        <f>VLOOKUP(Main_Presentation[[#This Row],[LC Number]],Main_Issuance[],18,0)</f>
        <v>120 Days from Invoice Date</v>
      </c>
      <c r="V1095" s="17" t="s">
        <v>710</v>
      </c>
      <c r="W1095" s="22" t="s">
        <v>378</v>
      </c>
      <c r="X1095" s="16"/>
      <c r="Y1095" s="234" t="str">
        <f>TRIM(LEFT(Main_Presentation[[#This Row],[Payment Terms]],3))</f>
        <v>120</v>
      </c>
      <c r="Z1095" s="16"/>
      <c r="AA1095" s="316" cm="1">
        <f t="array" ref="AA1095">Settlement(Main_Presentation[[#This Row],[Bank]],Main_Presentation[[#This Row],[ Invoice Amt (SAR)]],Main_Presentation[[#This Row],[Date Recd]],Main_Presentation[[#This Row],[Due Date]],Main_Presentation[[#This Row],[Days]])</f>
        <v>5902.95</v>
      </c>
      <c r="AB1095" s="16"/>
    </row>
    <row r="1096" spans="1:28" ht="15.75" hidden="1" x14ac:dyDescent="0.25">
      <c r="A1096" s="20" t="s">
        <v>1677</v>
      </c>
      <c r="B1096" s="15">
        <v>45900</v>
      </c>
      <c r="C1096" s="26">
        <v>1</v>
      </c>
      <c r="D1096" s="55" t="str">
        <f>VLOOKUP(Main_Presentation[[#This Row],[LC Number]],Main_Issuance[],3,0)</f>
        <v>Tareeq Telmasani</v>
      </c>
      <c r="E1096" s="16" t="s">
        <v>858</v>
      </c>
      <c r="F1096" s="17" t="str">
        <f>VLOOKUP(Main_Presentation[[#This Row],[LC Number]],Main_Issuance[],5,0)</f>
        <v>SAB</v>
      </c>
      <c r="G1096" s="17" t="str">
        <f>VLOOKUP(Main_Presentation[[#This Row],[LC Number]],Main_Issuance[],6,0)</f>
        <v>CEER</v>
      </c>
      <c r="H1096" s="17" t="str">
        <f>VLOOKUP(Main_Presentation[[#This Row],[LC Number]],Main_Issuance[],17,0)</f>
        <v>Credit</v>
      </c>
      <c r="I1096" s="17" t="str">
        <f>VLOOKUP(Main_Presentation[[#This Row],[LC Number]],Main_Issuance[],7,0)</f>
        <v>Fawaz Refrigeration &amp; Air Conditioning Cont. Co. LLC</v>
      </c>
      <c r="J1096" s="17" t="str">
        <f>VLOOKUP(Main_Presentation[[#This Row],[LC Number]],Main_Issuance[],8,0)</f>
        <v>FIRST FIX</v>
      </c>
      <c r="K1096" s="17" t="str">
        <f>VLOOKUP(Main_Presentation[[#This Row],[LC Number]],Main_Issuance[],9,0)</f>
        <v>CEER</v>
      </c>
      <c r="L1096" s="17">
        <f>VLOOKUP(Main_Presentation[[#This Row],[LC Number]],Main_Issuance[],10,0)</f>
        <v>1020091</v>
      </c>
      <c r="M1096" s="17" t="str">
        <f>VLOOKUP(Main_Presentation[[#This Row],[LC Number]],Main_Issuance[],11,0)</f>
        <v>SAR</v>
      </c>
      <c r="N1096" s="84">
        <f>VLOOKUP(Main_Presentation[[#This Row],[LC Number]],Main_Issuance[],12,0)</f>
        <v>699476</v>
      </c>
      <c r="O1096" s="16" t="s">
        <v>20</v>
      </c>
      <c r="P1096" s="16" t="s">
        <v>857</v>
      </c>
      <c r="Q1096" s="131">
        <v>243215.8</v>
      </c>
      <c r="R1096" s="18">
        <v>1</v>
      </c>
      <c r="S1096" s="18">
        <f>Main_Presentation[[#This Row],[Invoice Amt (FCY)]]*Main_Presentation[[#This Row],[Rate]]</f>
        <v>243215.8</v>
      </c>
      <c r="T1096" s="15">
        <v>45978</v>
      </c>
      <c r="U1096" s="26" t="str">
        <f>VLOOKUP(Main_Presentation[[#This Row],[LC Number]],Main_Issuance[],18,0)</f>
        <v>90 Days from Appl. Representative Sign</v>
      </c>
      <c r="V1096" s="17" t="s">
        <v>367</v>
      </c>
      <c r="W1096" s="22" t="s">
        <v>857</v>
      </c>
      <c r="X1096" s="16"/>
      <c r="Y1096" s="234" t="str">
        <f>TRIM(LEFT(Main_Presentation[[#This Row],[Payment Terms]],3))</f>
        <v>90</v>
      </c>
      <c r="Z1096" s="16"/>
      <c r="AA1096" s="316" cm="1">
        <f t="array" ref="AA1096">Settlement(Main_Presentation[[#This Row],[Bank]],Main_Presentation[[#This Row],[ Invoice Amt (SAR)]],Main_Presentation[[#This Row],[Date Recd]],Main_Presentation[[#This Row],[Due Date]],Main_Presentation[[#This Row],[Days]])</f>
        <v>1048.8</v>
      </c>
      <c r="AB1096" s="16"/>
    </row>
    <row r="1097" spans="1:28" ht="15.75" hidden="1" x14ac:dyDescent="0.25">
      <c r="A1097" s="20" t="s">
        <v>1648</v>
      </c>
      <c r="B1097" s="15">
        <v>45896</v>
      </c>
      <c r="C1097" s="26">
        <v>1</v>
      </c>
      <c r="D1097" s="55" t="str">
        <f>VLOOKUP(Main_Presentation[[#This Row],[LC Number]],Main_Issuance[],3,0)</f>
        <v>Tareeq Telmasani</v>
      </c>
      <c r="E1097" s="16" t="s">
        <v>858</v>
      </c>
      <c r="F1097" s="17" t="str">
        <f>VLOOKUP(Main_Presentation[[#This Row],[LC Number]],Main_Issuance[],5,0)</f>
        <v>SAB</v>
      </c>
      <c r="G1097" s="17" t="str">
        <f>VLOOKUP(Main_Presentation[[#This Row],[LC Number]],Main_Issuance[],6,0)</f>
        <v>CEER</v>
      </c>
      <c r="H1097" s="17" t="str">
        <f>VLOOKUP(Main_Presentation[[#This Row],[LC Number]],Main_Issuance[],17,0)</f>
        <v>Credit</v>
      </c>
      <c r="I1097" s="17" t="str">
        <f>VLOOKUP(Main_Presentation[[#This Row],[LC Number]],Main_Issuance[],7,0)</f>
        <v>Atlas Industrial Equipment Co.</v>
      </c>
      <c r="J1097" s="17" t="str">
        <f>VLOOKUP(Main_Presentation[[#This Row],[LC Number]],Main_Issuance[],8,0)</f>
        <v>FIRST FIX</v>
      </c>
      <c r="K1097" s="17" t="str">
        <f>VLOOKUP(Main_Presentation[[#This Row],[LC Number]],Main_Issuance[],9,0)</f>
        <v>CEER</v>
      </c>
      <c r="L1097" s="17">
        <f>VLOOKUP(Main_Presentation[[#This Row],[LC Number]],Main_Issuance[],10,0)</f>
        <v>1020091</v>
      </c>
      <c r="M1097" s="17" t="str">
        <f>VLOOKUP(Main_Presentation[[#This Row],[LC Number]],Main_Issuance[],11,0)</f>
        <v>SAR</v>
      </c>
      <c r="N1097" s="84">
        <f>VLOOKUP(Main_Presentation[[#This Row],[LC Number]],Main_Issuance[],12,0)</f>
        <v>4030520.1</v>
      </c>
      <c r="O1097" s="16" t="s">
        <v>20</v>
      </c>
      <c r="P1097" s="16" t="s">
        <v>857</v>
      </c>
      <c r="Q1097" s="131">
        <v>2874080</v>
      </c>
      <c r="R1097" s="18">
        <v>1</v>
      </c>
      <c r="S1097" s="18">
        <f>Main_Presentation[[#This Row],[Invoice Amt (FCY)]]*Main_Presentation[[#This Row],[Rate]]</f>
        <v>2874080</v>
      </c>
      <c r="T1097" s="15">
        <v>46040</v>
      </c>
      <c r="U1097" s="26" t="str">
        <f>VLOOKUP(Main_Presentation[[#This Row],[LC Number]],Main_Issuance[],18,0)</f>
        <v>150 Days from Appl. Representative Sign</v>
      </c>
      <c r="V1097" s="233" t="s">
        <v>367</v>
      </c>
      <c r="W1097" s="22" t="s">
        <v>857</v>
      </c>
      <c r="X1097" s="16"/>
      <c r="Y1097" s="234" t="str">
        <f>TRIM(LEFT(Main_Presentation[[#This Row],[Payment Terms]],3))</f>
        <v>150</v>
      </c>
      <c r="Z1097" s="16"/>
      <c r="AA1097" s="316" cm="1">
        <f t="array" ref="AA1097">Settlement(Main_Presentation[[#This Row],[Bank]],Main_Presentation[[#This Row],[ Invoice Amt (SAR)]],Main_Presentation[[#This Row],[Date Recd]],Main_Presentation[[#This Row],[Due Date]],Main_Presentation[[#This Row],[Days]])</f>
        <v>12394.7</v>
      </c>
      <c r="AB1097" s="16"/>
    </row>
    <row r="1098" spans="1:28" ht="15.75" hidden="1" x14ac:dyDescent="0.25">
      <c r="A1098" s="20" t="s">
        <v>1501</v>
      </c>
      <c r="B1098" s="15">
        <v>45945</v>
      </c>
      <c r="C1098" s="26">
        <v>1</v>
      </c>
      <c r="D1098" s="55" t="str">
        <f>VLOOKUP(Main_Presentation[[#This Row],[LC Number]],Main_Issuance[],3,0)</f>
        <v>Hassan Taleb</v>
      </c>
      <c r="E1098" s="16" t="s">
        <v>856</v>
      </c>
      <c r="F1098" s="17" t="str">
        <f>VLOOKUP(Main_Presentation[[#This Row],[LC Number]],Main_Issuance[],5,0)</f>
        <v>Alinma</v>
      </c>
      <c r="G1098" s="17" t="str">
        <f>VLOOKUP(Main_Presentation[[#This Row],[LC Number]],Main_Issuance[],6,0)</f>
        <v>KSP</v>
      </c>
      <c r="H1098" s="17" t="str">
        <f>VLOOKUP(Main_Presentation[[#This Row],[LC Number]],Main_Issuance[],17,0)</f>
        <v>Credit</v>
      </c>
      <c r="I1098" s="17" t="str">
        <f>VLOOKUP(Main_Presentation[[#This Row],[LC Number]],Main_Issuance[],7,0)</f>
        <v>ALFANAR ELECTRICAL SYSTEMS</v>
      </c>
      <c r="J1098" s="17" t="str">
        <f>VLOOKUP(Main_Presentation[[#This Row],[LC Number]],Main_Issuance[],8,0)</f>
        <v>FIRST FIX</v>
      </c>
      <c r="K1098" s="17" t="str">
        <f>VLOOKUP(Main_Presentation[[#This Row],[LC Number]],Main_Issuance[],9,0)</f>
        <v>JCD SPMI</v>
      </c>
      <c r="L1098" s="17">
        <f>VLOOKUP(Main_Presentation[[#This Row],[LC Number]],Main_Issuance[],10,0)</f>
        <v>1020100</v>
      </c>
      <c r="M1098" s="17" t="str">
        <f>VLOOKUP(Main_Presentation[[#This Row],[LC Number]],Main_Issuance[],11,0)</f>
        <v>SAR</v>
      </c>
      <c r="N1098" s="84">
        <f>VLOOKUP(Main_Presentation[[#This Row],[LC Number]],Main_Issuance[],12,0)</f>
        <v>500000</v>
      </c>
      <c r="O1098" s="16" t="s">
        <v>20</v>
      </c>
      <c r="P1098" s="16" t="s">
        <v>857</v>
      </c>
      <c r="Q1098" s="131">
        <v>500000</v>
      </c>
      <c r="R1098" s="18">
        <v>1</v>
      </c>
      <c r="S1098" s="18">
        <f>Main_Presentation[[#This Row],[Invoice Amt (FCY)]]*Main_Presentation[[#This Row],[Rate]]</f>
        <v>500000</v>
      </c>
      <c r="T1098" s="15">
        <v>45998</v>
      </c>
      <c r="U1098" s="26" t="str">
        <f>VLOOKUP(Main_Presentation[[#This Row],[LC Number]],Main_Issuance[],18,0)</f>
        <v>120 Days from Invoice Date</v>
      </c>
      <c r="V1098" s="17" t="s">
        <v>304</v>
      </c>
      <c r="W1098" s="22" t="s">
        <v>378</v>
      </c>
      <c r="X1098" s="16"/>
      <c r="Y1098" s="234" t="str">
        <f>TRIM(LEFT(Main_Presentation[[#This Row],[Payment Terms]],3))</f>
        <v>120</v>
      </c>
      <c r="Z1098" s="16"/>
      <c r="AA1098" s="316" cm="1">
        <f t="array" ref="AA1098">Settlement(Main_Presentation[[#This Row],[Bank]],Main_Presentation[[#This Row],[ Invoice Amt (SAR)]],Main_Presentation[[#This Row],[Date Recd]],Main_Presentation[[#This Row],[Due Date]],Main_Presentation[[#This Row],[Days]])</f>
        <v>1437.5</v>
      </c>
      <c r="AB1098" s="16"/>
    </row>
    <row r="1099" spans="1:28" ht="15.75" hidden="1" x14ac:dyDescent="0.25">
      <c r="A1099" s="20" t="s">
        <v>1599</v>
      </c>
      <c r="B1099" s="15">
        <v>45910</v>
      </c>
      <c r="C1099" s="26">
        <v>1</v>
      </c>
      <c r="D1099" s="55" t="str">
        <f>VLOOKUP(Main_Presentation[[#This Row],[LC Number]],Main_Issuance[],3,0)</f>
        <v>Hassan Taleb</v>
      </c>
      <c r="E1099" s="16" t="s">
        <v>856</v>
      </c>
      <c r="F1099" s="17" t="str">
        <f>VLOOKUP(Main_Presentation[[#This Row],[LC Number]],Main_Issuance[],5,0)</f>
        <v>SAB</v>
      </c>
      <c r="G1099" s="17" t="str">
        <f>VLOOKUP(Main_Presentation[[#This Row],[LC Number]],Main_Issuance[],6,0)</f>
        <v>MP1</v>
      </c>
      <c r="H1099" s="17" t="str">
        <f>VLOOKUP(Main_Presentation[[#This Row],[LC Number]],Main_Issuance[],17,0)</f>
        <v>Credit</v>
      </c>
      <c r="I1099" s="17" t="str">
        <f>VLOOKUP(Main_Presentation[[#This Row],[LC Number]],Main_Issuance[],7,0)</f>
        <v>ALFANAR ELECTRICAL SYSTEMS</v>
      </c>
      <c r="J1099" s="17" t="str">
        <f>VLOOKUP(Main_Presentation[[#This Row],[LC Number]],Main_Issuance[],8,0)</f>
        <v>FIRST FIX</v>
      </c>
      <c r="K1099" s="17" t="str">
        <f>VLOOKUP(Main_Presentation[[#This Row],[LC Number]],Main_Issuance[],9,0)</f>
        <v>MP1</v>
      </c>
      <c r="L1099" s="17">
        <f>VLOOKUP(Main_Presentation[[#This Row],[LC Number]],Main_Issuance[],10,0)</f>
        <v>1020088</v>
      </c>
      <c r="M1099" s="17" t="str">
        <f>VLOOKUP(Main_Presentation[[#This Row],[LC Number]],Main_Issuance[],11,0)</f>
        <v>SAR</v>
      </c>
      <c r="N1099" s="84">
        <f>VLOOKUP(Main_Presentation[[#This Row],[LC Number]],Main_Issuance[],12,0)</f>
        <v>546393.94999999995</v>
      </c>
      <c r="O1099" s="16" t="s">
        <v>20</v>
      </c>
      <c r="P1099" s="16" t="s">
        <v>857</v>
      </c>
      <c r="Q1099" s="131">
        <v>546393.94999999995</v>
      </c>
      <c r="R1099" s="18">
        <v>1</v>
      </c>
      <c r="S1099" s="18">
        <f>Main_Presentation[[#This Row],[Invoice Amt (FCY)]]*Main_Presentation[[#This Row],[Rate]]</f>
        <v>546393.94999999995</v>
      </c>
      <c r="T1099" s="15">
        <v>46000</v>
      </c>
      <c r="U1099" s="26" t="str">
        <f>VLOOKUP(Main_Presentation[[#This Row],[LC Number]],Main_Issuance[],18,0)</f>
        <v>120 Days from Invoice Date</v>
      </c>
      <c r="V1099" s="17" t="s">
        <v>710</v>
      </c>
      <c r="W1099" s="22" t="s">
        <v>857</v>
      </c>
      <c r="X1099" s="16"/>
      <c r="Y1099" s="234" t="str">
        <f>TRIM(LEFT(Main_Presentation[[#This Row],[Payment Terms]],3))</f>
        <v>120</v>
      </c>
      <c r="Z1099" s="16"/>
      <c r="AA1099" s="316" cm="1">
        <f t="array" ref="AA1099">Settlement(Main_Presentation[[#This Row],[Bank]],Main_Presentation[[#This Row],[ Invoice Amt (SAR)]],Main_Presentation[[#This Row],[Date Recd]],Main_Presentation[[#This Row],[Due Date]],Main_Presentation[[#This Row],[Days]])</f>
        <v>2356.35</v>
      </c>
      <c r="AB1099" s="16"/>
    </row>
    <row r="1100" spans="1:28" ht="15.75" hidden="1" x14ac:dyDescent="0.25">
      <c r="A1100" s="20" t="s">
        <v>1397</v>
      </c>
      <c r="B1100" s="15">
        <v>45916</v>
      </c>
      <c r="C1100" s="26">
        <v>1</v>
      </c>
      <c r="D1100" s="55" t="str">
        <f>VLOOKUP(Main_Presentation[[#This Row],[LC Number]],Main_Issuance[],3,0)</f>
        <v>Hassan Taleb</v>
      </c>
      <c r="E1100" s="16" t="s">
        <v>856</v>
      </c>
      <c r="F1100" s="17" t="str">
        <f>VLOOKUP(Main_Presentation[[#This Row],[LC Number]],Main_Issuance[],5,0)</f>
        <v>Jazira</v>
      </c>
      <c r="G1100" s="17" t="str">
        <f>VLOOKUP(Main_Presentation[[#This Row],[LC Number]],Main_Issuance[],6,0)</f>
        <v>RCRC</v>
      </c>
      <c r="H1100" s="17" t="str">
        <f>VLOOKUP(Main_Presentation[[#This Row],[LC Number]],Main_Issuance[],17,0)</f>
        <v>Credit</v>
      </c>
      <c r="I1100" s="17" t="str">
        <f>VLOOKUP(Main_Presentation[[#This Row],[LC Number]],Main_Issuance[],7,0)</f>
        <v xml:space="preserve">EALLA FOR GENERAL CONTRACTING CO </v>
      </c>
      <c r="J1100" s="17" t="str">
        <f>VLOOKUP(Main_Presentation[[#This Row],[LC Number]],Main_Issuance[],8,0)</f>
        <v>FIRST FIX</v>
      </c>
      <c r="K1100" s="17" t="str">
        <f>VLOOKUP(Main_Presentation[[#This Row],[LC Number]],Main_Issuance[],9,0)</f>
        <v>RCRC</v>
      </c>
      <c r="L1100" s="17">
        <f>VLOOKUP(Main_Presentation[[#This Row],[LC Number]],Main_Issuance[],10,0)</f>
        <v>1020106</v>
      </c>
      <c r="M1100" s="17" t="str">
        <f>VLOOKUP(Main_Presentation[[#This Row],[LC Number]],Main_Issuance[],11,0)</f>
        <v>SAR</v>
      </c>
      <c r="N1100" s="84">
        <f>VLOOKUP(Main_Presentation[[#This Row],[LC Number]],Main_Issuance[],12,0)</f>
        <v>552155.25</v>
      </c>
      <c r="O1100" s="16" t="s">
        <v>20</v>
      </c>
      <c r="P1100" s="16" t="s">
        <v>378</v>
      </c>
      <c r="Q1100" s="131">
        <v>552155.25</v>
      </c>
      <c r="R1100" s="18">
        <v>1</v>
      </c>
      <c r="S1100" s="18">
        <f>Main_Presentation[[#This Row],[Invoice Amt (FCY)]]*Main_Presentation[[#This Row],[Rate]]</f>
        <v>552155.25</v>
      </c>
      <c r="T1100" s="15">
        <v>45964</v>
      </c>
      <c r="U1100" s="26" t="str">
        <f>VLOOKUP(Main_Presentation[[#This Row],[LC Number]],Main_Issuance[],18,0)</f>
        <v>90 Days from Invoice Date</v>
      </c>
      <c r="V1100" s="17" t="s">
        <v>377</v>
      </c>
      <c r="W1100" s="22" t="s">
        <v>378</v>
      </c>
      <c r="X1100" s="16"/>
      <c r="Y1100" s="234" t="str">
        <f>TRIM(LEFT(Main_Presentation[[#This Row],[Payment Terms]],3))</f>
        <v>90</v>
      </c>
      <c r="Z1100" s="16"/>
      <c r="AA1100" s="316" cm="1">
        <f t="array" ref="AA1100">Settlement(Main_Presentation[[#This Row],[Bank]],Main_Presentation[[#This Row],[ Invoice Amt (SAR)]],Main_Presentation[[#This Row],[Date Recd]],Main_Presentation[[#This Row],[Due Date]],Main_Presentation[[#This Row],[Days]])</f>
        <v>1138.5</v>
      </c>
      <c r="AB1100" s="16"/>
    </row>
    <row r="1101" spans="1:28" ht="15.75" hidden="1" x14ac:dyDescent="0.25">
      <c r="A1101" s="20" t="s">
        <v>1598</v>
      </c>
      <c r="B1101" s="15">
        <v>45911</v>
      </c>
      <c r="C1101" s="26">
        <v>1</v>
      </c>
      <c r="D1101" s="55" t="str">
        <f>VLOOKUP(Main_Presentation[[#This Row],[LC Number]],Main_Issuance[],3,0)</f>
        <v>Hassan Taleb</v>
      </c>
      <c r="E1101" s="16" t="s">
        <v>858</v>
      </c>
      <c r="F1101" s="17" t="str">
        <f>VLOOKUP(Main_Presentation[[#This Row],[LC Number]],Main_Issuance[],5,0)</f>
        <v>SAB</v>
      </c>
      <c r="G1101" s="17" t="str">
        <f>VLOOKUP(Main_Presentation[[#This Row],[LC Number]],Main_Issuance[],6,0)</f>
        <v>MP1</v>
      </c>
      <c r="H1101" s="17" t="str">
        <f>VLOOKUP(Main_Presentation[[#This Row],[LC Number]],Main_Issuance[],17,0)</f>
        <v>Credit</v>
      </c>
      <c r="I1101" s="17" t="str">
        <f>VLOOKUP(Main_Presentation[[#This Row],[LC Number]],Main_Issuance[],7,0)</f>
        <v>MASQ FOR ELECTRICAL TOOLS CO</v>
      </c>
      <c r="J1101" s="17" t="str">
        <f>VLOOKUP(Main_Presentation[[#This Row],[LC Number]],Main_Issuance[],8,0)</f>
        <v>FIRST FIX</v>
      </c>
      <c r="K1101" s="17" t="str">
        <f>VLOOKUP(Main_Presentation[[#This Row],[LC Number]],Main_Issuance[],9,0)</f>
        <v>MP1</v>
      </c>
      <c r="L1101" s="17">
        <f>VLOOKUP(Main_Presentation[[#This Row],[LC Number]],Main_Issuance[],10,0)</f>
        <v>1020088</v>
      </c>
      <c r="M1101" s="17" t="str">
        <f>VLOOKUP(Main_Presentation[[#This Row],[LC Number]],Main_Issuance[],11,0)</f>
        <v>SAR</v>
      </c>
      <c r="N1101" s="84">
        <f>VLOOKUP(Main_Presentation[[#This Row],[LC Number]],Main_Issuance[],12,0)</f>
        <v>2250000</v>
      </c>
      <c r="O1101" s="16" t="s">
        <v>20</v>
      </c>
      <c r="P1101" s="16" t="s">
        <v>857</v>
      </c>
      <c r="Q1101" s="131">
        <v>2250000</v>
      </c>
      <c r="R1101" s="18">
        <v>1</v>
      </c>
      <c r="S1101" s="18">
        <f>Main_Presentation[[#This Row],[Invoice Amt (FCY)]]*Main_Presentation[[#This Row],[Rate]]</f>
        <v>2250000</v>
      </c>
      <c r="T1101" s="15">
        <v>45986</v>
      </c>
      <c r="U1101" s="26" t="str">
        <f>VLOOKUP(Main_Presentation[[#This Row],[LC Number]],Main_Issuance[],18,0)</f>
        <v>120 Days from Invoice Date</v>
      </c>
      <c r="V1101" s="17" t="s">
        <v>710</v>
      </c>
      <c r="W1101" s="22" t="s">
        <v>857</v>
      </c>
      <c r="X1101" s="16"/>
      <c r="Y1101" s="234" t="str">
        <f>TRIM(LEFT(Main_Presentation[[#This Row],[Payment Terms]],3))</f>
        <v>120</v>
      </c>
      <c r="Z1101" s="16"/>
      <c r="AA1101" s="316" cm="1">
        <f t="array" ref="AA1101">Settlement(Main_Presentation[[#This Row],[Bank]],Main_Presentation[[#This Row],[ Invoice Amt (SAR)]],Main_Presentation[[#This Row],[Date Recd]],Main_Presentation[[#This Row],[Due Date]],Main_Presentation[[#This Row],[Days]])</f>
        <v>9703.7000000000007</v>
      </c>
      <c r="AB1101" s="16"/>
    </row>
    <row r="1102" spans="1:28" ht="15.75" hidden="1" x14ac:dyDescent="0.25">
      <c r="A1102" s="20" t="s">
        <v>1616</v>
      </c>
      <c r="B1102" s="15">
        <v>45914</v>
      </c>
      <c r="C1102" s="26">
        <v>1</v>
      </c>
      <c r="D1102" s="55" t="str">
        <f>VLOOKUP(Main_Presentation[[#This Row],[LC Number]],Main_Issuance[],3,0)</f>
        <v>Hassan Taleb</v>
      </c>
      <c r="E1102" s="16" t="s">
        <v>856</v>
      </c>
      <c r="F1102" s="17" t="str">
        <f>VLOOKUP(Main_Presentation[[#This Row],[LC Number]],Main_Issuance[],5,0)</f>
        <v>SNB</v>
      </c>
      <c r="G1102" s="17" t="str">
        <f>VLOOKUP(Main_Presentation[[#This Row],[LC Number]],Main_Issuance[],6,0)</f>
        <v>Opera House</v>
      </c>
      <c r="H1102" s="17" t="str">
        <f>VLOOKUP(Main_Presentation[[#This Row],[LC Number]],Main_Issuance[],17,0)</f>
        <v>Credit</v>
      </c>
      <c r="I1102" s="17" t="str">
        <f>VLOOKUP(Main_Presentation[[#This Row],[LC Number]],Main_Issuance[],7,0)</f>
        <v>Mahmoud AI-Taheni &amp; Partners Trading Co.</v>
      </c>
      <c r="J1102" s="17" t="str">
        <f>VLOOKUP(Main_Presentation[[#This Row],[LC Number]],Main_Issuance[],8,0)</f>
        <v>FIRST FIX</v>
      </c>
      <c r="K1102" s="17" t="str">
        <f>VLOOKUP(Main_Presentation[[#This Row],[LC Number]],Main_Issuance[],9,0)</f>
        <v>JCD SPMI</v>
      </c>
      <c r="L1102" s="17">
        <f>VLOOKUP(Main_Presentation[[#This Row],[LC Number]],Main_Issuance[],10,0)</f>
        <v>1020100</v>
      </c>
      <c r="M1102" s="17" t="str">
        <f>VLOOKUP(Main_Presentation[[#This Row],[LC Number]],Main_Issuance[],11,0)</f>
        <v>SAR</v>
      </c>
      <c r="N1102" s="84">
        <f>VLOOKUP(Main_Presentation[[#This Row],[LC Number]],Main_Issuance[],12,0)</f>
        <v>150000</v>
      </c>
      <c r="O1102" s="16" t="s">
        <v>20</v>
      </c>
      <c r="P1102" s="16" t="s">
        <v>378</v>
      </c>
      <c r="Q1102" s="131">
        <v>150000</v>
      </c>
      <c r="R1102" s="18">
        <v>1</v>
      </c>
      <c r="S1102" s="18">
        <f>Main_Presentation[[#This Row],[Invoice Amt (FCY)]]*Main_Presentation[[#This Row],[Rate]]</f>
        <v>150000</v>
      </c>
      <c r="T1102" s="15">
        <v>45995</v>
      </c>
      <c r="U1102" s="26" t="str">
        <f>VLOOKUP(Main_Presentation[[#This Row],[LC Number]],Main_Issuance[],18,0)</f>
        <v>120 Days from Invoice Date</v>
      </c>
      <c r="V1102" s="17" t="s">
        <v>1460</v>
      </c>
      <c r="W1102" s="22" t="s">
        <v>378</v>
      </c>
      <c r="X1102" s="16"/>
      <c r="Y1102" s="234" t="str">
        <f>TRIM(LEFT(Main_Presentation[[#This Row],[Payment Terms]],3))</f>
        <v>120</v>
      </c>
      <c r="Z1102" s="16"/>
      <c r="AA1102" s="316" cm="1">
        <f t="array" ref="AA1102">Settlement(Main_Presentation[[#This Row],[Bank]],Main_Presentation[[#This Row],[ Invoice Amt (SAR)]],Main_Presentation[[#This Row],[Date Recd]],Main_Presentation[[#This Row],[Due Date]],Main_Presentation[[#This Row],[Days]])</f>
        <v>1118.95</v>
      </c>
      <c r="AB1102" s="16"/>
    </row>
    <row r="1103" spans="1:28" ht="15.75" hidden="1" x14ac:dyDescent="0.25">
      <c r="A1103" s="20" t="s">
        <v>1654</v>
      </c>
      <c r="B1103" s="15">
        <v>45930</v>
      </c>
      <c r="C1103" s="26">
        <v>1</v>
      </c>
      <c r="D1103" s="55" t="str">
        <f>VLOOKUP(Main_Presentation[[#This Row],[LC Number]],Main_Issuance[],3,0)</f>
        <v>Hassan Taleb</v>
      </c>
      <c r="E1103" s="16" t="s">
        <v>856</v>
      </c>
      <c r="F1103" s="17" t="str">
        <f>VLOOKUP(Main_Presentation[[#This Row],[LC Number]],Main_Issuance[],5,0)</f>
        <v>Alinma</v>
      </c>
      <c r="G1103" s="17" t="str">
        <f>VLOOKUP(Main_Presentation[[#This Row],[LC Number]],Main_Issuance[],6,0)</f>
        <v>KSP</v>
      </c>
      <c r="H1103" s="17" t="str">
        <f>VLOOKUP(Main_Presentation[[#This Row],[LC Number]],Main_Issuance[],17,0)</f>
        <v>Credit</v>
      </c>
      <c r="I1103" s="17" t="str">
        <f>VLOOKUP(Main_Presentation[[#This Row],[LC Number]],Main_Issuance[],7,0)</f>
        <v>ATLANTIC SUPPLIES FOR TRADING</v>
      </c>
      <c r="J1103" s="17" t="str">
        <f>VLOOKUP(Main_Presentation[[#This Row],[LC Number]],Main_Issuance[],8,0)</f>
        <v>FIRST FIX</v>
      </c>
      <c r="K1103" s="17" t="str">
        <f>VLOOKUP(Main_Presentation[[#This Row],[LC Number]],Main_Issuance[],9,0)</f>
        <v>KSP</v>
      </c>
      <c r="L1103" s="17">
        <f>VLOOKUP(Main_Presentation[[#This Row],[LC Number]],Main_Issuance[],10,0)</f>
        <v>1020055</v>
      </c>
      <c r="M1103" s="17" t="str">
        <f>VLOOKUP(Main_Presentation[[#This Row],[LC Number]],Main_Issuance[],11,0)</f>
        <v>SAR</v>
      </c>
      <c r="N1103" s="84">
        <f>VLOOKUP(Main_Presentation[[#This Row],[LC Number]],Main_Issuance[],12,0)</f>
        <v>311571.08</v>
      </c>
      <c r="O1103" s="16" t="s">
        <v>20</v>
      </c>
      <c r="P1103" s="16" t="s">
        <v>857</v>
      </c>
      <c r="Q1103" s="131">
        <v>311571.08</v>
      </c>
      <c r="R1103" s="18">
        <v>1</v>
      </c>
      <c r="S1103" s="18">
        <f>Main_Presentation[[#This Row],[Invoice Amt (FCY)]]*Main_Presentation[[#This Row],[Rate]]</f>
        <v>311571.08</v>
      </c>
      <c r="T1103" s="15">
        <v>46002</v>
      </c>
      <c r="U1103" s="26" t="str">
        <f>VLOOKUP(Main_Presentation[[#This Row],[LC Number]],Main_Issuance[],18,0)</f>
        <v>120 Days from Invoice Date</v>
      </c>
      <c r="V1103" s="17" t="s">
        <v>613</v>
      </c>
      <c r="W1103" s="22" t="s">
        <v>378</v>
      </c>
      <c r="X1103" s="16"/>
      <c r="Y1103" s="234" t="str">
        <f>TRIM(LEFT(Main_Presentation[[#This Row],[Payment Terms]],3))</f>
        <v>120</v>
      </c>
      <c r="Z1103" s="16"/>
      <c r="AA1103" s="316" cm="1">
        <f t="array" ref="AA1103">Settlement(Main_Presentation[[#This Row],[Bank]],Main_Presentation[[#This Row],[ Invoice Amt (SAR)]],Main_Presentation[[#This Row],[Date Recd]],Main_Presentation[[#This Row],[Due Date]],Main_Presentation[[#This Row],[Days]])</f>
        <v>1437.5</v>
      </c>
      <c r="AB1103" s="16"/>
    </row>
    <row r="1104" spans="1:28" ht="15.75" hidden="1" x14ac:dyDescent="0.25">
      <c r="A1104" s="20" t="s">
        <v>1559</v>
      </c>
      <c r="B1104" s="15">
        <v>45916</v>
      </c>
      <c r="C1104" s="26">
        <v>1</v>
      </c>
      <c r="D1104" s="55" t="str">
        <f>VLOOKUP(Main_Presentation[[#This Row],[LC Number]],Main_Issuance[],3,0)</f>
        <v>Hassan Taleb</v>
      </c>
      <c r="E1104" s="16" t="s">
        <v>856</v>
      </c>
      <c r="F1104" s="17" t="str">
        <f>VLOOKUP(Main_Presentation[[#This Row],[LC Number]],Main_Issuance[],5,0)</f>
        <v>Jazira</v>
      </c>
      <c r="G1104" s="17" t="str">
        <f>VLOOKUP(Main_Presentation[[#This Row],[LC Number]],Main_Issuance[],6,0)</f>
        <v>RCRC</v>
      </c>
      <c r="H1104" s="17" t="str">
        <f>VLOOKUP(Main_Presentation[[#This Row],[LC Number]],Main_Issuance[],17,0)</f>
        <v>Credit</v>
      </c>
      <c r="I1104" s="17" t="str">
        <f>VLOOKUP(Main_Presentation[[#This Row],[LC Number]],Main_Issuance[],7,0)</f>
        <v>Union Pipes Industry Co LLC</v>
      </c>
      <c r="J1104" s="17" t="str">
        <f>VLOOKUP(Main_Presentation[[#This Row],[LC Number]],Main_Issuance[],8,0)</f>
        <v>FIRST FIX</v>
      </c>
      <c r="K1104" s="17" t="str">
        <f>VLOOKUP(Main_Presentation[[#This Row],[LC Number]],Main_Issuance[],9,0)</f>
        <v>RCRC</v>
      </c>
      <c r="L1104" s="17">
        <f>VLOOKUP(Main_Presentation[[#This Row],[LC Number]],Main_Issuance[],10,0)</f>
        <v>1020106</v>
      </c>
      <c r="M1104" s="17" t="str">
        <f>VLOOKUP(Main_Presentation[[#This Row],[LC Number]],Main_Issuance[],11,0)</f>
        <v>SAR</v>
      </c>
      <c r="N1104" s="84">
        <f>VLOOKUP(Main_Presentation[[#This Row],[LC Number]],Main_Issuance[],12,0)</f>
        <v>225103.44</v>
      </c>
      <c r="O1104" s="16" t="s">
        <v>20</v>
      </c>
      <c r="P1104" s="16" t="s">
        <v>378</v>
      </c>
      <c r="Q1104" s="131">
        <v>225103.44</v>
      </c>
      <c r="R1104" s="18">
        <v>1</v>
      </c>
      <c r="S1104" s="18">
        <f>Main_Presentation[[#This Row],[Invoice Amt (FCY)]]*Main_Presentation[[#This Row],[Rate]]</f>
        <v>225103.44</v>
      </c>
      <c r="T1104" s="15">
        <v>45979</v>
      </c>
      <c r="U1104" s="26" t="str">
        <f>VLOOKUP(Main_Presentation[[#This Row],[LC Number]],Main_Issuance[],18,0)</f>
        <v>90 Days from Invoice Date</v>
      </c>
      <c r="V1104" s="17" t="s">
        <v>613</v>
      </c>
      <c r="W1104" s="22" t="s">
        <v>857</v>
      </c>
      <c r="X1104" s="16"/>
      <c r="Y1104" s="234" t="str">
        <f>TRIM(LEFT(Main_Presentation[[#This Row],[Payment Terms]],3))</f>
        <v>90</v>
      </c>
      <c r="Z1104" s="16"/>
      <c r="AA1104" s="316" cm="1">
        <f t="array" ref="AA1104">Settlement(Main_Presentation[[#This Row],[Bank]],Main_Presentation[[#This Row],[ Invoice Amt (SAR)]],Main_Presentation[[#This Row],[Date Recd]],Main_Presentation[[#This Row],[Due Date]],Main_Presentation[[#This Row],[Days]])</f>
        <v>668.15</v>
      </c>
      <c r="AB1104" s="16"/>
    </row>
    <row r="1105" spans="1:28" ht="15.75" hidden="1" x14ac:dyDescent="0.25">
      <c r="A1105" s="20" t="s">
        <v>1564</v>
      </c>
      <c r="B1105" s="15">
        <v>45929</v>
      </c>
      <c r="C1105" s="26">
        <v>1</v>
      </c>
      <c r="D1105" s="55" t="str">
        <f>VLOOKUP(Main_Presentation[[#This Row],[LC Number]],Main_Issuance[],3,0)</f>
        <v>Hassan Taleb</v>
      </c>
      <c r="E1105" s="16" t="s">
        <v>856</v>
      </c>
      <c r="F1105" s="17" t="str">
        <f>VLOOKUP(Main_Presentation[[#This Row],[LC Number]],Main_Issuance[],5,0)</f>
        <v>Jazira</v>
      </c>
      <c r="G1105" s="17" t="str">
        <f>VLOOKUP(Main_Presentation[[#This Row],[LC Number]],Main_Issuance[],6,0)</f>
        <v>RCRC</v>
      </c>
      <c r="H1105" s="17" t="str">
        <f>VLOOKUP(Main_Presentation[[#This Row],[LC Number]],Main_Issuance[],17,0)</f>
        <v>Credit</v>
      </c>
      <c r="I1105" s="17" t="str">
        <f>VLOOKUP(Main_Presentation[[#This Row],[LC Number]],Main_Issuance[],7,0)</f>
        <v>Future Plastic Factory for Industry</v>
      </c>
      <c r="J1105" s="17" t="str">
        <f>VLOOKUP(Main_Presentation[[#This Row],[LC Number]],Main_Issuance[],8,0)</f>
        <v>FIRST FIX</v>
      </c>
      <c r="K1105" s="17" t="str">
        <f>VLOOKUP(Main_Presentation[[#This Row],[LC Number]],Main_Issuance[],9,0)</f>
        <v>RCRC</v>
      </c>
      <c r="L1105" s="17">
        <f>VLOOKUP(Main_Presentation[[#This Row],[LC Number]],Main_Issuance[],10,0)</f>
        <v>1020106</v>
      </c>
      <c r="M1105" s="17" t="str">
        <f>VLOOKUP(Main_Presentation[[#This Row],[LC Number]],Main_Issuance[],11,0)</f>
        <v>SAR</v>
      </c>
      <c r="N1105" s="84">
        <f>VLOOKUP(Main_Presentation[[#This Row],[LC Number]],Main_Issuance[],12,0)</f>
        <v>300000</v>
      </c>
      <c r="O1105" s="16" t="s">
        <v>20</v>
      </c>
      <c r="P1105" s="16" t="s">
        <v>857</v>
      </c>
      <c r="Q1105" s="131">
        <v>300000</v>
      </c>
      <c r="R1105" s="18">
        <v>1</v>
      </c>
      <c r="S1105" s="18">
        <f>Main_Presentation[[#This Row],[Invoice Amt (FCY)]]*Main_Presentation[[#This Row],[Rate]]</f>
        <v>300000</v>
      </c>
      <c r="T1105" s="15">
        <v>45971</v>
      </c>
      <c r="U1105" s="26" t="str">
        <f>VLOOKUP(Main_Presentation[[#This Row],[LC Number]],Main_Issuance[],18,0)</f>
        <v>90 Days from Invoice Date</v>
      </c>
      <c r="V1105" s="17" t="s">
        <v>613</v>
      </c>
      <c r="W1105" s="22" t="s">
        <v>857</v>
      </c>
      <c r="X1105" s="16"/>
      <c r="Y1105" s="234" t="str">
        <f>TRIM(LEFT(Main_Presentation[[#This Row],[Payment Terms]],3))</f>
        <v>90</v>
      </c>
      <c r="Z1105" s="16"/>
      <c r="AA1105" s="316" cm="1">
        <f t="array" ref="AA1105">Settlement(Main_Presentation[[#This Row],[Bank]],Main_Presentation[[#This Row],[ Invoice Amt (SAR)]],Main_Presentation[[#This Row],[Date Recd]],Main_Presentation[[#This Row],[Due Date]],Main_Presentation[[#This Row],[Days]])</f>
        <v>632.5</v>
      </c>
      <c r="AB1105" s="16"/>
    </row>
    <row r="1106" spans="1:28" ht="15.75" hidden="1" x14ac:dyDescent="0.25">
      <c r="A1106" s="20" t="s">
        <v>1555</v>
      </c>
      <c r="B1106" s="15">
        <v>45964</v>
      </c>
      <c r="C1106" s="26">
        <v>1</v>
      </c>
      <c r="D1106" s="55" t="str">
        <f>VLOOKUP(Main_Presentation[[#This Row],[LC Number]],Main_Issuance[],3,0)</f>
        <v>Hassan Taleb</v>
      </c>
      <c r="E1106" s="16" t="s">
        <v>858</v>
      </c>
      <c r="F1106" s="17" t="str">
        <f>VLOOKUP(Main_Presentation[[#This Row],[LC Number]],Main_Issuance[],5,0)</f>
        <v>Alinma</v>
      </c>
      <c r="G1106" s="17" t="str">
        <f>VLOOKUP(Main_Presentation[[#This Row],[LC Number]],Main_Issuance[],6,0)</f>
        <v>KSP</v>
      </c>
      <c r="H1106" s="17" t="str">
        <f>VLOOKUP(Main_Presentation[[#This Row],[LC Number]],Main_Issuance[],17,0)</f>
        <v>Credit</v>
      </c>
      <c r="I1106" s="17" t="str">
        <f>VLOOKUP(Main_Presentation[[#This Row],[LC Number]],Main_Issuance[],7,0)</f>
        <v>Depa Saudi Arabia for Contracting and Interior Decorating Co. Ltd.</v>
      </c>
      <c r="J1106" s="17" t="str">
        <f>VLOOKUP(Main_Presentation[[#This Row],[LC Number]],Main_Issuance[],8,0)</f>
        <v>MBL</v>
      </c>
      <c r="K1106" s="17" t="str">
        <f>VLOOKUP(Main_Presentation[[#This Row],[LC Number]],Main_Issuance[],9,0)</f>
        <v>KSP</v>
      </c>
      <c r="L1106" s="17">
        <f>VLOOKUP(Main_Presentation[[#This Row],[LC Number]],Main_Issuance[],10,0)</f>
        <v>1020055</v>
      </c>
      <c r="M1106" s="17" t="str">
        <f>VLOOKUP(Main_Presentation[[#This Row],[LC Number]],Main_Issuance[],11,0)</f>
        <v>SAR</v>
      </c>
      <c r="N1106" s="84">
        <f>VLOOKUP(Main_Presentation[[#This Row],[LC Number]],Main_Issuance[],12,0)</f>
        <v>10095188.34</v>
      </c>
      <c r="O1106" s="16" t="s">
        <v>20</v>
      </c>
      <c r="P1106" s="16" t="s">
        <v>378</v>
      </c>
      <c r="Q1106" s="131">
        <v>10095188.34</v>
      </c>
      <c r="R1106" s="18">
        <v>1</v>
      </c>
      <c r="S1106" s="18">
        <f>Main_Presentation[[#This Row],[Invoice Amt (FCY)]]*Main_Presentation[[#This Row],[Rate]]</f>
        <v>10095188.34</v>
      </c>
      <c r="T1106" s="15">
        <v>45977</v>
      </c>
      <c r="U1106" s="26" t="str">
        <f>VLOOKUP(Main_Presentation[[#This Row],[LC Number]],Main_Issuance[],18,0)</f>
        <v>30 Days from Invoice Date</v>
      </c>
      <c r="V1106" s="17" t="s">
        <v>613</v>
      </c>
      <c r="W1106" s="22" t="s">
        <v>378</v>
      </c>
      <c r="X1106" s="16" t="s">
        <v>3649</v>
      </c>
      <c r="Y1106" s="234" t="str">
        <f>TRIM(LEFT(Main_Presentation[[#This Row],[Payment Terms]],3))</f>
        <v>30</v>
      </c>
      <c r="Z1106" s="16"/>
      <c r="AA1106" s="316" cm="1">
        <f t="array" ref="AA1106">Settlement(Main_Presentation[[#This Row],[Bank]],Main_Presentation[[#This Row],[ Invoice Amt (SAR)]],Main_Presentation[[#This Row],[Date Recd]],Main_Presentation[[#This Row],[Due Date]],Main_Presentation[[#This Row],[Days]])</f>
        <v>1437.5</v>
      </c>
      <c r="AB1106" s="16"/>
    </row>
    <row r="1107" spans="1:28" ht="15.75" hidden="1" x14ac:dyDescent="0.25">
      <c r="A1107" s="20" t="s">
        <v>1685</v>
      </c>
      <c r="B1107" s="15">
        <v>45902</v>
      </c>
      <c r="C1107" s="26">
        <v>1</v>
      </c>
      <c r="D1107" s="55" t="str">
        <f>VLOOKUP(Main_Presentation[[#This Row],[LC Number]],Main_Issuance[],3,0)</f>
        <v>Tareeq Telmasani</v>
      </c>
      <c r="E1107" s="16" t="s">
        <v>856</v>
      </c>
      <c r="F1107" s="17" t="str">
        <f>VLOOKUP(Main_Presentation[[#This Row],[LC Number]],Main_Issuance[],5,0)</f>
        <v>SAB</v>
      </c>
      <c r="G1107" s="17" t="str">
        <f>VLOOKUP(Main_Presentation[[#This Row],[LC Number]],Main_Issuance[],6,0)</f>
        <v>CEER</v>
      </c>
      <c r="H1107" s="17" t="str">
        <f>VLOOKUP(Main_Presentation[[#This Row],[LC Number]],Main_Issuance[],17,0)</f>
        <v>Credit</v>
      </c>
      <c r="I1107" s="17" t="str">
        <f>VLOOKUP(Main_Presentation[[#This Row],[LC Number]],Main_Issuance[],7,0)</f>
        <v>Modern Times Technical System Co</v>
      </c>
      <c r="J1107" s="17" t="str">
        <f>VLOOKUP(Main_Presentation[[#This Row],[LC Number]],Main_Issuance[],8,0)</f>
        <v>FIRST FIX</v>
      </c>
      <c r="K1107" s="17" t="str">
        <f>VLOOKUP(Main_Presentation[[#This Row],[LC Number]],Main_Issuance[],9,0)</f>
        <v>CEER</v>
      </c>
      <c r="L1107" s="17">
        <f>VLOOKUP(Main_Presentation[[#This Row],[LC Number]],Main_Issuance[],10,0)</f>
        <v>1020091</v>
      </c>
      <c r="M1107" s="17" t="str">
        <f>VLOOKUP(Main_Presentation[[#This Row],[LC Number]],Main_Issuance[],11,0)</f>
        <v>SAR</v>
      </c>
      <c r="N1107" s="84">
        <f>VLOOKUP(Main_Presentation[[#This Row],[LC Number]],Main_Issuance[],12,0)</f>
        <v>1400000</v>
      </c>
      <c r="O1107" s="16" t="s">
        <v>20</v>
      </c>
      <c r="P1107" s="16" t="s">
        <v>857</v>
      </c>
      <c r="Q1107" s="131">
        <v>1400000</v>
      </c>
      <c r="R1107" s="18">
        <v>1</v>
      </c>
      <c r="S1107" s="18">
        <f>Main_Presentation[[#This Row],[Invoice Amt (FCY)]]*Main_Presentation[[#This Row],[Rate]]</f>
        <v>1400000</v>
      </c>
      <c r="T1107" s="15">
        <v>45980</v>
      </c>
      <c r="U1107" s="26" t="str">
        <f>VLOOKUP(Main_Presentation[[#This Row],[LC Number]],Main_Issuance[],18,0)</f>
        <v>90 Days from Appl. Representative Sign</v>
      </c>
      <c r="V1107" s="17" t="s">
        <v>367</v>
      </c>
      <c r="W1107" s="22" t="s">
        <v>857</v>
      </c>
      <c r="X1107" s="16"/>
      <c r="Y1107" s="234" t="str">
        <f>TRIM(LEFT(Main_Presentation[[#This Row],[Payment Terms]],3))</f>
        <v>90</v>
      </c>
      <c r="Z1107" s="16"/>
      <c r="AA1107" s="316" cm="1">
        <f t="array" ref="AA1107">Settlement(Main_Presentation[[#This Row],[Bank]],Main_Presentation[[#This Row],[ Invoice Amt (SAR)]],Main_Presentation[[#This Row],[Date Recd]],Main_Presentation[[#This Row],[Due Date]],Main_Presentation[[#This Row],[Days]])</f>
        <v>6037.5</v>
      </c>
      <c r="AB1107" s="16"/>
    </row>
    <row r="1108" spans="1:28" ht="15.75" hidden="1" x14ac:dyDescent="0.25">
      <c r="A1108" s="20" t="s">
        <v>1674</v>
      </c>
      <c r="B1108" s="15">
        <v>45903</v>
      </c>
      <c r="C1108" s="26">
        <v>1</v>
      </c>
      <c r="D1108" s="55" t="str">
        <f>VLOOKUP(Main_Presentation[[#This Row],[LC Number]],Main_Issuance[],3,0)</f>
        <v>Tareeq Telmasani</v>
      </c>
      <c r="E1108" s="16" t="s">
        <v>856</v>
      </c>
      <c r="F1108" s="17" t="str">
        <f>VLOOKUP(Main_Presentation[[#This Row],[LC Number]],Main_Issuance[],5,0)</f>
        <v>SAB</v>
      </c>
      <c r="G1108" s="17" t="str">
        <f>VLOOKUP(Main_Presentation[[#This Row],[LC Number]],Main_Issuance[],6,0)</f>
        <v>CEER</v>
      </c>
      <c r="H1108" s="17" t="str">
        <f>VLOOKUP(Main_Presentation[[#This Row],[LC Number]],Main_Issuance[],17,0)</f>
        <v>Credit</v>
      </c>
      <c r="I1108" s="17" t="str">
        <f>VLOOKUP(Main_Presentation[[#This Row],[LC Number]],Main_Issuance[],7,0)</f>
        <v>AL-RIYADHA AL-OULA FOR INDUSTRIAL MATERIAL SUPPLY CO.</v>
      </c>
      <c r="J1108" s="17" t="str">
        <f>VLOOKUP(Main_Presentation[[#This Row],[LC Number]],Main_Issuance[],8,0)</f>
        <v>FIRST FIX</v>
      </c>
      <c r="K1108" s="17" t="str">
        <f>VLOOKUP(Main_Presentation[[#This Row],[LC Number]],Main_Issuance[],9,0)</f>
        <v>CEER</v>
      </c>
      <c r="L1108" s="17">
        <f>VLOOKUP(Main_Presentation[[#This Row],[LC Number]],Main_Issuance[],10,0)</f>
        <v>1020091</v>
      </c>
      <c r="M1108" s="17" t="str">
        <f>VLOOKUP(Main_Presentation[[#This Row],[LC Number]],Main_Issuance[],11,0)</f>
        <v>SAR</v>
      </c>
      <c r="N1108" s="84">
        <f>VLOOKUP(Main_Presentation[[#This Row],[LC Number]],Main_Issuance[],12,0)</f>
        <v>1400000</v>
      </c>
      <c r="O1108" s="16" t="s">
        <v>20</v>
      </c>
      <c r="P1108" s="16" t="s">
        <v>857</v>
      </c>
      <c r="Q1108" s="131">
        <v>1246756.1200000001</v>
      </c>
      <c r="R1108" s="18">
        <v>1</v>
      </c>
      <c r="S1108" s="18">
        <f>Main_Presentation[[#This Row],[Invoice Amt (FCY)]]*Main_Presentation[[#This Row],[Rate]]</f>
        <v>1246756.1200000001</v>
      </c>
      <c r="T1108" s="15">
        <v>46012</v>
      </c>
      <c r="U1108" s="26" t="str">
        <f>VLOOKUP(Main_Presentation[[#This Row],[LC Number]],Main_Issuance[],18,0)</f>
        <v>120 Days from Appl. Representative Sign</v>
      </c>
      <c r="V1108" s="17" t="s">
        <v>367</v>
      </c>
      <c r="W1108" s="22" t="s">
        <v>857</v>
      </c>
      <c r="X1108" s="16"/>
      <c r="Y1108" s="234" t="str">
        <f>TRIM(LEFT(Main_Presentation[[#This Row],[Payment Terms]],3))</f>
        <v>120</v>
      </c>
      <c r="Z1108" s="16"/>
      <c r="AA1108" s="316" cm="1">
        <f t="array" ref="AA1108">Settlement(Main_Presentation[[#This Row],[Bank]],Main_Presentation[[#This Row],[ Invoice Amt (SAR)]],Main_Presentation[[#This Row],[Date Recd]],Main_Presentation[[#This Row],[Due Date]],Main_Presentation[[#This Row],[Days]])</f>
        <v>5376.25</v>
      </c>
      <c r="AB1108" s="16"/>
    </row>
    <row r="1109" spans="1:28" ht="15.75" hidden="1" x14ac:dyDescent="0.25">
      <c r="A1109" s="20" t="s">
        <v>1558</v>
      </c>
      <c r="B1109" s="15">
        <v>45918</v>
      </c>
      <c r="C1109" s="26">
        <v>1</v>
      </c>
      <c r="D1109" s="55" t="str">
        <f>VLOOKUP(Main_Presentation[[#This Row],[LC Number]],Main_Issuance[],3,0)</f>
        <v>Hassan Taleb</v>
      </c>
      <c r="E1109" s="16" t="s">
        <v>856</v>
      </c>
      <c r="F1109" s="17" t="str">
        <f>VLOOKUP(Main_Presentation[[#This Row],[LC Number]],Main_Issuance[],5,0)</f>
        <v>Jazira</v>
      </c>
      <c r="G1109" s="17" t="str">
        <f>VLOOKUP(Main_Presentation[[#This Row],[LC Number]],Main_Issuance[],6,0)</f>
        <v>RCRC</v>
      </c>
      <c r="H1109" s="17" t="str">
        <f>VLOOKUP(Main_Presentation[[#This Row],[LC Number]],Main_Issuance[],17,0)</f>
        <v>Credit</v>
      </c>
      <c r="I1109" s="17" t="str">
        <f>VLOOKUP(Main_Presentation[[#This Row],[LC Number]],Main_Issuance[],7,0)</f>
        <v>Saudi Hepco Co Ltd</v>
      </c>
      <c r="J1109" s="17" t="str">
        <f>VLOOKUP(Main_Presentation[[#This Row],[LC Number]],Main_Issuance[],8,0)</f>
        <v>FIRST FIX</v>
      </c>
      <c r="K1109" s="17" t="str">
        <f>VLOOKUP(Main_Presentation[[#This Row],[LC Number]],Main_Issuance[],9,0)</f>
        <v>RCRC</v>
      </c>
      <c r="L1109" s="17">
        <f>VLOOKUP(Main_Presentation[[#This Row],[LC Number]],Main_Issuance[],10,0)</f>
        <v>1020106</v>
      </c>
      <c r="M1109" s="17" t="str">
        <f>VLOOKUP(Main_Presentation[[#This Row],[LC Number]],Main_Issuance[],11,0)</f>
        <v>SAR</v>
      </c>
      <c r="N1109" s="84">
        <f>VLOOKUP(Main_Presentation[[#This Row],[LC Number]],Main_Issuance[],12,0)</f>
        <v>1000000.94</v>
      </c>
      <c r="O1109" s="16" t="s">
        <v>20</v>
      </c>
      <c r="P1109" s="16" t="s">
        <v>378</v>
      </c>
      <c r="Q1109" s="131">
        <v>472000</v>
      </c>
      <c r="R1109" s="18">
        <v>1</v>
      </c>
      <c r="S1109" s="18">
        <f>Main_Presentation[[#This Row],[Invoice Amt (FCY)]]*Main_Presentation[[#This Row],[Rate]]</f>
        <v>472000</v>
      </c>
      <c r="T1109" s="15">
        <v>45963</v>
      </c>
      <c r="U1109" s="26" t="str">
        <f>VLOOKUP(Main_Presentation[[#This Row],[LC Number]],Main_Issuance[],18,0)</f>
        <v>90 Days from Invoice Date</v>
      </c>
      <c r="V1109" s="17" t="s">
        <v>377</v>
      </c>
      <c r="W1109" s="22" t="s">
        <v>378</v>
      </c>
      <c r="X1109" s="16"/>
      <c r="Y1109" s="234" t="str">
        <f>TRIM(LEFT(Main_Presentation[[#This Row],[Payment Terms]],3))</f>
        <v>90</v>
      </c>
      <c r="Z1109" s="16"/>
      <c r="AA1109" s="316" cm="1">
        <f t="array" ref="AA1109">Settlement(Main_Presentation[[#This Row],[Bank]],Main_Presentation[[#This Row],[ Invoice Amt (SAR)]],Main_Presentation[[#This Row],[Date Recd]],Main_Presentation[[#This Row],[Due Date]],Main_Presentation[[#This Row],[Days]])</f>
        <v>796.95</v>
      </c>
      <c r="AB1109" s="16"/>
    </row>
    <row r="1110" spans="1:28" ht="15.75" hidden="1" x14ac:dyDescent="0.25">
      <c r="A1110" s="20" t="s">
        <v>1660</v>
      </c>
      <c r="B1110" s="15">
        <v>45910</v>
      </c>
      <c r="C1110" s="26">
        <v>1</v>
      </c>
      <c r="D1110" s="55" t="str">
        <f>VLOOKUP(Main_Presentation[[#This Row],[LC Number]],Main_Issuance[],3,0)</f>
        <v>Hassan Taleb</v>
      </c>
      <c r="E1110" s="16" t="s">
        <v>856</v>
      </c>
      <c r="F1110" s="17" t="str">
        <f>VLOOKUP(Main_Presentation[[#This Row],[LC Number]],Main_Issuance[],5,0)</f>
        <v>Alinma</v>
      </c>
      <c r="G1110" s="17" t="str">
        <f>VLOOKUP(Main_Presentation[[#This Row],[LC Number]],Main_Issuance[],6,0)</f>
        <v>KSP</v>
      </c>
      <c r="H1110" s="17" t="str">
        <f>VLOOKUP(Main_Presentation[[#This Row],[LC Number]],Main_Issuance[],17,0)</f>
        <v>Credit</v>
      </c>
      <c r="I1110" s="17" t="str">
        <f>VLOOKUP(Main_Presentation[[#This Row],[LC Number]],Main_Issuance[],7,0)</f>
        <v>AL MOUSA TRADING CO.</v>
      </c>
      <c r="J1110" s="17" t="str">
        <f>VLOOKUP(Main_Presentation[[#This Row],[LC Number]],Main_Issuance[],8,0)</f>
        <v>FIRST FIX</v>
      </c>
      <c r="K1110" s="17" t="str">
        <f>VLOOKUP(Main_Presentation[[#This Row],[LC Number]],Main_Issuance[],9,0)</f>
        <v>KSP</v>
      </c>
      <c r="L1110" s="17">
        <f>VLOOKUP(Main_Presentation[[#This Row],[LC Number]],Main_Issuance[],10,0)</f>
        <v>1020055</v>
      </c>
      <c r="M1110" s="17" t="str">
        <f>VLOOKUP(Main_Presentation[[#This Row],[LC Number]],Main_Issuance[],11,0)</f>
        <v>SAR</v>
      </c>
      <c r="N1110" s="84">
        <f>VLOOKUP(Main_Presentation[[#This Row],[LC Number]],Main_Issuance[],12,0)</f>
        <v>417625.03</v>
      </c>
      <c r="O1110" s="16" t="s">
        <v>20</v>
      </c>
      <c r="P1110" s="16" t="s">
        <v>857</v>
      </c>
      <c r="Q1110" s="131">
        <v>417625.03</v>
      </c>
      <c r="R1110" s="18">
        <v>1</v>
      </c>
      <c r="S1110" s="18">
        <f>Main_Presentation[[#This Row],[Invoice Amt (FCY)]]*Main_Presentation[[#This Row],[Rate]]</f>
        <v>417625.03</v>
      </c>
      <c r="T1110" s="15">
        <v>45994</v>
      </c>
      <c r="U1110" s="26" t="str">
        <f>VLOOKUP(Main_Presentation[[#This Row],[LC Number]],Main_Issuance[],18,0)</f>
        <v>120 Days from Invoice Date</v>
      </c>
      <c r="V1110" s="17" t="s">
        <v>613</v>
      </c>
      <c r="W1110" s="22" t="s">
        <v>378</v>
      </c>
      <c r="X1110" s="16"/>
      <c r="Y1110" s="234" t="str">
        <f>TRIM(LEFT(Main_Presentation[[#This Row],[Payment Terms]],3))</f>
        <v>120</v>
      </c>
      <c r="Z1110" s="16"/>
      <c r="AA1110" s="316" cm="1">
        <f t="array" ref="AA1110">Settlement(Main_Presentation[[#This Row],[Bank]],Main_Presentation[[#This Row],[ Invoice Amt (SAR)]],Main_Presentation[[#This Row],[Date Recd]],Main_Presentation[[#This Row],[Due Date]],Main_Presentation[[#This Row],[Days]])</f>
        <v>1437.5</v>
      </c>
      <c r="AB1110" s="16"/>
    </row>
    <row r="1111" spans="1:28" ht="15.75" hidden="1" x14ac:dyDescent="0.25">
      <c r="A1111" s="20" t="s">
        <v>778</v>
      </c>
      <c r="B1111" s="15">
        <v>45910</v>
      </c>
      <c r="C1111" s="26">
        <v>2</v>
      </c>
      <c r="D1111" s="55" t="str">
        <f>VLOOKUP(Main_Presentation[[#This Row],[LC Number]],Main_Issuance[],3,0)</f>
        <v>Hassan Taleb</v>
      </c>
      <c r="E1111" s="16" t="s">
        <v>856</v>
      </c>
      <c r="F1111" s="17" t="str">
        <f>VLOOKUP(Main_Presentation[[#This Row],[LC Number]],Main_Issuance[],5,0)</f>
        <v>SAB</v>
      </c>
      <c r="G1111" s="17" t="str">
        <f>VLOOKUP(Main_Presentation[[#This Row],[LC Number]],Main_Issuance[],6,0)</f>
        <v>MP1</v>
      </c>
      <c r="H1111" s="17" t="str">
        <f>VLOOKUP(Main_Presentation[[#This Row],[LC Number]],Main_Issuance[],17,0)</f>
        <v>Credit</v>
      </c>
      <c r="I1111" s="17" t="str">
        <f>VLOOKUP(Main_Presentation[[#This Row],[LC Number]],Main_Issuance[],7,0)</f>
        <v>Alfanar Electrical Systems</v>
      </c>
      <c r="J1111" s="17" t="str">
        <f>VLOOKUP(Main_Presentation[[#This Row],[LC Number]],Main_Issuance[],8,0)</f>
        <v>FIRST FIX</v>
      </c>
      <c r="K1111" s="17" t="str">
        <f>VLOOKUP(Main_Presentation[[#This Row],[LC Number]],Main_Issuance[],9,0)</f>
        <v>MP1</v>
      </c>
      <c r="L1111" s="17">
        <f>VLOOKUP(Main_Presentation[[#This Row],[LC Number]],Main_Issuance[],10,0)</f>
        <v>1020088</v>
      </c>
      <c r="M1111" s="17" t="str">
        <f>VLOOKUP(Main_Presentation[[#This Row],[LC Number]],Main_Issuance[],11,0)</f>
        <v>SAR</v>
      </c>
      <c r="N1111" s="84">
        <f>VLOOKUP(Main_Presentation[[#This Row],[LC Number]],Main_Issuance[],12,0)</f>
        <v>3000000</v>
      </c>
      <c r="O1111" s="16" t="s">
        <v>20</v>
      </c>
      <c r="P1111" s="16" t="s">
        <v>857</v>
      </c>
      <c r="Q1111" s="131">
        <v>1627247.7</v>
      </c>
      <c r="R1111" s="18">
        <v>1</v>
      </c>
      <c r="S1111" s="18">
        <f>Main_Presentation[[#This Row],[Invoice Amt (FCY)]]*Main_Presentation[[#This Row],[Rate]]</f>
        <v>1627247.7</v>
      </c>
      <c r="T1111" s="15">
        <v>45945</v>
      </c>
      <c r="U1111" s="26" t="str">
        <f>VLOOKUP(Main_Presentation[[#This Row],[LC Number]],Main_Issuance[],18,0)</f>
        <v>90 Days from Invoice Date</v>
      </c>
      <c r="V1111" s="17" t="s">
        <v>710</v>
      </c>
      <c r="W1111" s="22" t="s">
        <v>857</v>
      </c>
      <c r="X1111" s="16"/>
      <c r="Y1111" s="234" t="str">
        <f>TRIM(LEFT(Main_Presentation[[#This Row],[Payment Terms]],3))</f>
        <v>90</v>
      </c>
      <c r="Z1111" s="16"/>
      <c r="AA1111" s="316" cm="1">
        <f t="array" ref="AA1111">Settlement(Main_Presentation[[#This Row],[Bank]],Main_Presentation[[#This Row],[ Invoice Amt (SAR)]],Main_Presentation[[#This Row],[Date Recd]],Main_Presentation[[#This Row],[Due Date]],Main_Presentation[[#This Row],[Days]])</f>
        <v>7017.3</v>
      </c>
      <c r="AB1111" s="16"/>
    </row>
    <row r="1112" spans="1:28" ht="15.75" hidden="1" x14ac:dyDescent="0.25">
      <c r="A1112" s="20" t="s">
        <v>1669</v>
      </c>
      <c r="B1112" s="15">
        <v>45911</v>
      </c>
      <c r="C1112" s="26">
        <v>1</v>
      </c>
      <c r="D1112" s="55" t="str">
        <f>VLOOKUP(Main_Presentation[[#This Row],[LC Number]],Main_Issuance[],3,0)</f>
        <v>Tareeq Telmasani</v>
      </c>
      <c r="E1112" s="16" t="s">
        <v>858</v>
      </c>
      <c r="F1112" s="17" t="str">
        <f>VLOOKUP(Main_Presentation[[#This Row],[LC Number]],Main_Issuance[],5,0)</f>
        <v>SAB</v>
      </c>
      <c r="G1112" s="17" t="str">
        <f>VLOOKUP(Main_Presentation[[#This Row],[LC Number]],Main_Issuance[],6,0)</f>
        <v>CEER</v>
      </c>
      <c r="H1112" s="17" t="str">
        <f>VLOOKUP(Main_Presentation[[#This Row],[LC Number]],Main_Issuance[],17,0)</f>
        <v>Credit</v>
      </c>
      <c r="I1112" s="17" t="str">
        <f>VLOOKUP(Main_Presentation[[#This Row],[LC Number]],Main_Issuance[],7,0)</f>
        <v>MODON ADVANCE SERVICES TECH CO.</v>
      </c>
      <c r="J1112" s="17" t="str">
        <f>VLOOKUP(Main_Presentation[[#This Row],[LC Number]],Main_Issuance[],8,0)</f>
        <v>FIRST FIX</v>
      </c>
      <c r="K1112" s="17" t="str">
        <f>VLOOKUP(Main_Presentation[[#This Row],[LC Number]],Main_Issuance[],9,0)</f>
        <v>CEER</v>
      </c>
      <c r="L1112" s="17">
        <f>VLOOKUP(Main_Presentation[[#This Row],[LC Number]],Main_Issuance[],10,0)</f>
        <v>1020091</v>
      </c>
      <c r="M1112" s="17" t="str">
        <f>VLOOKUP(Main_Presentation[[#This Row],[LC Number]],Main_Issuance[],11,0)</f>
        <v>SAR</v>
      </c>
      <c r="N1112" s="84">
        <f>VLOOKUP(Main_Presentation[[#This Row],[LC Number]],Main_Issuance[],12,0)</f>
        <v>273781</v>
      </c>
      <c r="O1112" s="16" t="s">
        <v>20</v>
      </c>
      <c r="P1112" s="16" t="s">
        <v>857</v>
      </c>
      <c r="Q1112" s="131">
        <v>273781</v>
      </c>
      <c r="R1112" s="18">
        <v>1</v>
      </c>
      <c r="S1112" s="18">
        <f>Main_Presentation[[#This Row],[Invoice Amt (FCY)]]*Main_Presentation[[#This Row],[Rate]]</f>
        <v>273781</v>
      </c>
      <c r="T1112" s="15">
        <v>45986</v>
      </c>
      <c r="U1112" s="26" t="str">
        <f>VLOOKUP(Main_Presentation[[#This Row],[LC Number]],Main_Issuance[],18,0)</f>
        <v>90 Days from Appl. Representative Sign</v>
      </c>
      <c r="V1112" s="17" t="s">
        <v>367</v>
      </c>
      <c r="W1112" s="22" t="s">
        <v>857</v>
      </c>
      <c r="X1112" s="16"/>
      <c r="Y1112" s="234" t="str">
        <f>TRIM(LEFT(Main_Presentation[[#This Row],[Payment Terms]],3))</f>
        <v>90</v>
      </c>
      <c r="Z1112" s="16"/>
      <c r="AA1112" s="316" cm="1">
        <f t="array" ref="AA1112">Settlement(Main_Presentation[[#This Row],[Bank]],Main_Presentation[[#This Row],[ Invoice Amt (SAR)]],Main_Presentation[[#This Row],[Date Recd]],Main_Presentation[[#This Row],[Due Date]],Main_Presentation[[#This Row],[Days]])</f>
        <v>1181.05</v>
      </c>
      <c r="AB1112" s="16"/>
    </row>
    <row r="1113" spans="1:28" ht="15.75" hidden="1" x14ac:dyDescent="0.25">
      <c r="A1113" s="20" t="s">
        <v>1664</v>
      </c>
      <c r="B1113" s="15">
        <v>45915</v>
      </c>
      <c r="C1113" s="26">
        <v>1</v>
      </c>
      <c r="D1113" s="55" t="str">
        <f>VLOOKUP(Main_Presentation[[#This Row],[LC Number]],Main_Issuance[],3,0)</f>
        <v>Tareeq Telmasani</v>
      </c>
      <c r="E1113" s="16" t="s">
        <v>858</v>
      </c>
      <c r="F1113" s="17" t="str">
        <f>VLOOKUP(Main_Presentation[[#This Row],[LC Number]],Main_Issuance[],5,0)</f>
        <v>SAB</v>
      </c>
      <c r="G1113" s="17" t="str">
        <f>VLOOKUP(Main_Presentation[[#This Row],[LC Number]],Main_Issuance[],6,0)</f>
        <v>CEER</v>
      </c>
      <c r="H1113" s="17" t="str">
        <f>VLOOKUP(Main_Presentation[[#This Row],[LC Number]],Main_Issuance[],17,0)</f>
        <v>Credit</v>
      </c>
      <c r="I1113" s="17" t="str">
        <f>VLOOKUP(Main_Presentation[[#This Row],[LC Number]],Main_Issuance[],7,0)</f>
        <v>AC SOLUTIONS TRADING CO</v>
      </c>
      <c r="J1113" s="17" t="str">
        <f>VLOOKUP(Main_Presentation[[#This Row],[LC Number]],Main_Issuance[],8,0)</f>
        <v>FIRST FIX</v>
      </c>
      <c r="K1113" s="17" t="str">
        <f>VLOOKUP(Main_Presentation[[#This Row],[LC Number]],Main_Issuance[],9,0)</f>
        <v>CEER</v>
      </c>
      <c r="L1113" s="17">
        <f>VLOOKUP(Main_Presentation[[#This Row],[LC Number]],Main_Issuance[],10,0)</f>
        <v>1020091</v>
      </c>
      <c r="M1113" s="17" t="str">
        <f>VLOOKUP(Main_Presentation[[#This Row],[LC Number]],Main_Issuance[],11,0)</f>
        <v>SAR</v>
      </c>
      <c r="N1113" s="84">
        <f>VLOOKUP(Main_Presentation[[#This Row],[LC Number]],Main_Issuance[],12,0)</f>
        <v>1000000</v>
      </c>
      <c r="O1113" s="16" t="s">
        <v>20</v>
      </c>
      <c r="P1113" s="16" t="s">
        <v>857</v>
      </c>
      <c r="Q1113" s="131">
        <v>658511</v>
      </c>
      <c r="R1113" s="18">
        <v>1</v>
      </c>
      <c r="S1113" s="18">
        <f>Main_Presentation[[#This Row],[Invoice Amt (FCY)]]*Main_Presentation[[#This Row],[Rate]]</f>
        <v>658511</v>
      </c>
      <c r="T1113" s="15">
        <v>45986</v>
      </c>
      <c r="U1113" s="26" t="str">
        <f>VLOOKUP(Main_Presentation[[#This Row],[LC Number]],Main_Issuance[],18,0)</f>
        <v>90 Days from Appl. Representative Sign</v>
      </c>
      <c r="V1113" s="17" t="s">
        <v>367</v>
      </c>
      <c r="W1113" s="22" t="s">
        <v>857</v>
      </c>
      <c r="X1113" s="16"/>
      <c r="Y1113" s="234" t="str">
        <f>TRIM(LEFT(Main_Presentation[[#This Row],[Payment Terms]],3))</f>
        <v>90</v>
      </c>
      <c r="Z1113" s="16"/>
      <c r="AA1113" s="316" cm="1">
        <f t="array" ref="AA1113">Settlement(Main_Presentation[[#This Row],[Bank]],Main_Presentation[[#This Row],[ Invoice Amt (SAR)]],Main_Presentation[[#This Row],[Date Recd]],Main_Presentation[[#This Row],[Due Date]],Main_Presentation[[#This Row],[Days]])</f>
        <v>2839.35</v>
      </c>
      <c r="AB1113" s="16"/>
    </row>
    <row r="1114" spans="1:28" ht="15.75" hidden="1" x14ac:dyDescent="0.25">
      <c r="A1114" s="20" t="s">
        <v>1670</v>
      </c>
      <c r="B1114" s="15">
        <v>45900</v>
      </c>
      <c r="C1114" s="26">
        <v>1</v>
      </c>
      <c r="D1114" s="55" t="str">
        <f>VLOOKUP(Main_Presentation[[#This Row],[LC Number]],Main_Issuance[],3,0)</f>
        <v>Tareeq Telmasani</v>
      </c>
      <c r="E1114" s="16" t="s">
        <v>856</v>
      </c>
      <c r="F1114" s="17" t="str">
        <f>VLOOKUP(Main_Presentation[[#This Row],[LC Number]],Main_Issuance[],5,0)</f>
        <v>SAB</v>
      </c>
      <c r="G1114" s="17" t="str">
        <f>VLOOKUP(Main_Presentation[[#This Row],[LC Number]],Main_Issuance[],6,0)</f>
        <v>CEER</v>
      </c>
      <c r="H1114" s="17" t="str">
        <f>VLOOKUP(Main_Presentation[[#This Row],[LC Number]],Main_Issuance[],17,0)</f>
        <v>Credit</v>
      </c>
      <c r="I1114" s="17" t="str">
        <f>VLOOKUP(Main_Presentation[[#This Row],[LC Number]],Main_Issuance[],7,0)</f>
        <v>AFKAR ALTATHBET TRADING COMPANY</v>
      </c>
      <c r="J1114" s="17" t="str">
        <f>VLOOKUP(Main_Presentation[[#This Row],[LC Number]],Main_Issuance[],8,0)</f>
        <v>FIRST FIX</v>
      </c>
      <c r="K1114" s="17" t="str">
        <f>VLOOKUP(Main_Presentation[[#This Row],[LC Number]],Main_Issuance[],9,0)</f>
        <v>CEER</v>
      </c>
      <c r="L1114" s="17">
        <f>VLOOKUP(Main_Presentation[[#This Row],[LC Number]],Main_Issuance[],10,0)</f>
        <v>1020091</v>
      </c>
      <c r="M1114" s="17" t="str">
        <f>VLOOKUP(Main_Presentation[[#This Row],[LC Number]],Main_Issuance[],11,0)</f>
        <v>SAR</v>
      </c>
      <c r="N1114" s="84">
        <f>VLOOKUP(Main_Presentation[[#This Row],[LC Number]],Main_Issuance[],12,0)</f>
        <v>500000</v>
      </c>
      <c r="O1114" s="16" t="s">
        <v>20</v>
      </c>
      <c r="P1114" s="16" t="s">
        <v>857</v>
      </c>
      <c r="Q1114" s="131">
        <v>273958.68</v>
      </c>
      <c r="R1114" s="18">
        <v>1</v>
      </c>
      <c r="S1114" s="18">
        <f>Main_Presentation[[#This Row],[Invoice Amt (FCY)]]*Main_Presentation[[#This Row],[Rate]]</f>
        <v>273958.68</v>
      </c>
      <c r="T1114" s="15">
        <v>45986</v>
      </c>
      <c r="U1114" s="26" t="str">
        <f>VLOOKUP(Main_Presentation[[#This Row],[LC Number]],Main_Issuance[],18,0)</f>
        <v>90 Days from Appl. Representative Sign</v>
      </c>
      <c r="V1114" s="17" t="s">
        <v>367</v>
      </c>
      <c r="W1114" s="22" t="s">
        <v>857</v>
      </c>
      <c r="X1114" s="16"/>
      <c r="Y1114" s="234" t="str">
        <f>TRIM(LEFT(Main_Presentation[[#This Row],[Payment Terms]],3))</f>
        <v>90</v>
      </c>
      <c r="Z1114" s="16"/>
      <c r="AA1114" s="316" cm="1">
        <f t="array" ref="AA1114">Settlement(Main_Presentation[[#This Row],[Bank]],Main_Presentation[[#This Row],[ Invoice Amt (SAR)]],Main_Presentation[[#This Row],[Date Recd]],Main_Presentation[[#This Row],[Due Date]],Main_Presentation[[#This Row],[Days]])</f>
        <v>1181.05</v>
      </c>
      <c r="AB1114" s="16"/>
    </row>
    <row r="1115" spans="1:28" ht="15.75" hidden="1" x14ac:dyDescent="0.25">
      <c r="A1115" s="20" t="s">
        <v>1607</v>
      </c>
      <c r="B1115" s="15">
        <v>45917</v>
      </c>
      <c r="C1115" s="26">
        <v>1</v>
      </c>
      <c r="D1115" s="55" t="str">
        <f>VLOOKUP(Main_Presentation[[#This Row],[LC Number]],Main_Issuance[],3,0)</f>
        <v>Hassan Taleb</v>
      </c>
      <c r="E1115" s="16" t="s">
        <v>858</v>
      </c>
      <c r="F1115" s="17" t="str">
        <f>VLOOKUP(Main_Presentation[[#This Row],[LC Number]],Main_Issuance[],5,0)</f>
        <v>SAB</v>
      </c>
      <c r="G1115" s="17" t="str">
        <f>VLOOKUP(Main_Presentation[[#This Row],[LC Number]],Main_Issuance[],6,0)</f>
        <v>MP1</v>
      </c>
      <c r="H1115" s="17" t="str">
        <f>VLOOKUP(Main_Presentation[[#This Row],[LC Number]],Main_Issuance[],17,0)</f>
        <v>Credit</v>
      </c>
      <c r="I1115" s="17" t="str">
        <f>VLOOKUP(Main_Presentation[[#This Row],[LC Number]],Main_Issuance[],7,0)</f>
        <v>MASDAR TECHNICAL SUPPLIES CO</v>
      </c>
      <c r="J1115" s="17" t="str">
        <f>VLOOKUP(Main_Presentation[[#This Row],[LC Number]],Main_Issuance[],8,0)</f>
        <v>FIRST FIX</v>
      </c>
      <c r="K1115" s="17" t="str">
        <f>VLOOKUP(Main_Presentation[[#This Row],[LC Number]],Main_Issuance[],9,0)</f>
        <v>MP1</v>
      </c>
      <c r="L1115" s="17">
        <f>VLOOKUP(Main_Presentation[[#This Row],[LC Number]],Main_Issuance[],10,0)</f>
        <v>1020088</v>
      </c>
      <c r="M1115" s="17" t="str">
        <f>VLOOKUP(Main_Presentation[[#This Row],[LC Number]],Main_Issuance[],11,0)</f>
        <v>SAR</v>
      </c>
      <c r="N1115" s="84">
        <f>VLOOKUP(Main_Presentation[[#This Row],[LC Number]],Main_Issuance[],12,0)</f>
        <v>160462</v>
      </c>
      <c r="O1115" s="16" t="s">
        <v>20</v>
      </c>
      <c r="P1115" s="16" t="s">
        <v>857</v>
      </c>
      <c r="Q1115" s="131">
        <v>160462</v>
      </c>
      <c r="R1115" s="18">
        <v>1</v>
      </c>
      <c r="S1115" s="18">
        <f>Main_Presentation[[#This Row],[Invoice Amt (FCY)]]*Main_Presentation[[#This Row],[Rate]]</f>
        <v>160462</v>
      </c>
      <c r="T1115" s="15">
        <v>46001</v>
      </c>
      <c r="U1115" s="26" t="str">
        <f>VLOOKUP(Main_Presentation[[#This Row],[LC Number]],Main_Issuance[],18,0)</f>
        <v>120 Days from Invoice Date</v>
      </c>
      <c r="V1115" s="17" t="s">
        <v>710</v>
      </c>
      <c r="W1115" s="22" t="s">
        <v>857</v>
      </c>
      <c r="X1115" s="16"/>
      <c r="Y1115" s="234" t="str">
        <f>TRIM(LEFT(Main_Presentation[[#This Row],[Payment Terms]],3))</f>
        <v>120</v>
      </c>
      <c r="Z1115" s="16"/>
      <c r="AA1115" s="316" cm="1">
        <f t="array" ref="AA1115">Settlement(Main_Presentation[[#This Row],[Bank]],Main_Presentation[[#This Row],[ Invoice Amt (SAR)]],Main_Presentation[[#This Row],[Date Recd]],Main_Presentation[[#This Row],[Due Date]],Main_Presentation[[#This Row],[Days]])</f>
        <v>692.3</v>
      </c>
      <c r="AB1115" s="16"/>
    </row>
    <row r="1116" spans="1:28" ht="15.75" hidden="1" x14ac:dyDescent="0.25">
      <c r="A1116" s="20" t="s">
        <v>596</v>
      </c>
      <c r="B1116" s="15">
        <v>45901</v>
      </c>
      <c r="C1116" s="26">
        <v>3</v>
      </c>
      <c r="D1116" s="55" t="str">
        <f>VLOOKUP(Main_Presentation[[#This Row],[LC Number]],Main_Issuance[],3,0)</f>
        <v>Hassan Taleb</v>
      </c>
      <c r="E1116" s="16" t="s">
        <v>858</v>
      </c>
      <c r="F1116" s="17" t="str">
        <f>VLOOKUP(Main_Presentation[[#This Row],[LC Number]],Main_Issuance[],5,0)</f>
        <v>BAB</v>
      </c>
      <c r="G1116" s="17" t="str">
        <f>VLOOKUP(Main_Presentation[[#This Row],[LC Number]],Main_Issuance[],6,0)</f>
        <v>Cash</v>
      </c>
      <c r="H1116" s="17" t="str">
        <f>VLOOKUP(Main_Presentation[[#This Row],[LC Number]],Main_Issuance[],17,0)</f>
        <v>Cash</v>
      </c>
      <c r="I1116" s="17" t="str">
        <f>VLOOKUP(Main_Presentation[[#This Row],[LC Number]],Main_Issuance[],7,0)</f>
        <v>Branch of National Fire Fighting (NAFFCO)</v>
      </c>
      <c r="J1116" s="17" t="str">
        <f>VLOOKUP(Main_Presentation[[#This Row],[LC Number]],Main_Issuance[],8,0)</f>
        <v>FIRST FIX</v>
      </c>
      <c r="K1116" s="17" t="str">
        <f>VLOOKUP(Main_Presentation[[#This Row],[LC Number]],Main_Issuance[],9,0)</f>
        <v>KSP</v>
      </c>
      <c r="L1116" s="17">
        <f>VLOOKUP(Main_Presentation[[#This Row],[LC Number]],Main_Issuance[],10,0)</f>
        <v>1020055</v>
      </c>
      <c r="M1116" s="17" t="str">
        <f>VLOOKUP(Main_Presentation[[#This Row],[LC Number]],Main_Issuance[],11,0)</f>
        <v>SAR</v>
      </c>
      <c r="N1116" s="84">
        <f>VLOOKUP(Main_Presentation[[#This Row],[LC Number]],Main_Issuance[],12,0)</f>
        <v>886481.72000000009</v>
      </c>
      <c r="O1116" s="16" t="s">
        <v>910</v>
      </c>
      <c r="P1116" s="16" t="s">
        <v>378</v>
      </c>
      <c r="Q1116" s="131">
        <v>822387.22</v>
      </c>
      <c r="R1116" s="18">
        <v>1</v>
      </c>
      <c r="S1116" s="18">
        <f>Main_Presentation[[#This Row],[Invoice Amt (FCY)]]*Main_Presentation[[#This Row],[Rate]]</f>
        <v>822387.22</v>
      </c>
      <c r="T1116" s="15">
        <v>45959</v>
      </c>
      <c r="U1116" s="26" t="str">
        <f>VLOOKUP(Main_Presentation[[#This Row],[LC Number]],Main_Issuance[],18,0)</f>
        <v>90 Days from Invoice Date</v>
      </c>
      <c r="V1116" s="17"/>
      <c r="W1116" s="22" t="s">
        <v>378</v>
      </c>
      <c r="X1116" s="16" t="s">
        <v>2254</v>
      </c>
      <c r="Y1116" s="234" t="str">
        <f>TRIM(LEFT(Main_Presentation[[#This Row],[Payment Terms]],3))</f>
        <v>90</v>
      </c>
      <c r="Z1116" s="16"/>
      <c r="AA1116" s="316" cm="1">
        <f t="array" ref="AA1116">Settlement(Main_Presentation[[#This Row],[Bank]],Main_Presentation[[#This Row],[ Invoice Amt (SAR)]],Main_Presentation[[#This Row],[Date Recd]],Main_Presentation[[#This Row],[Due Date]],Main_Presentation[[#This Row],[Days]])</f>
        <v>0</v>
      </c>
      <c r="AB1116" s="16"/>
    </row>
    <row r="1117" spans="1:28" ht="15.75" hidden="1" x14ac:dyDescent="0.25">
      <c r="A1117" s="20" t="s">
        <v>702</v>
      </c>
      <c r="B1117" s="15">
        <v>45893</v>
      </c>
      <c r="C1117" s="26">
        <v>14</v>
      </c>
      <c r="D1117" s="55" t="str">
        <f>VLOOKUP(Main_Presentation[[#This Row],[LC Number]],Main_Issuance[],3,0)</f>
        <v>Tareeq Telmasani</v>
      </c>
      <c r="E1117" s="16" t="s">
        <v>856</v>
      </c>
      <c r="F1117" s="17" t="str">
        <f>VLOOKUP(Main_Presentation[[#This Row],[LC Number]],Main_Issuance[],5,0)</f>
        <v>SNB</v>
      </c>
      <c r="G1117" s="17" t="str">
        <f>VLOOKUP(Main_Presentation[[#This Row],[LC Number]],Main_Issuance[],6,0)</f>
        <v>Opera House</v>
      </c>
      <c r="H1117" s="17" t="str">
        <f>VLOOKUP(Main_Presentation[[#This Row],[LC Number]],Main_Issuance[],17,0)</f>
        <v>Credit</v>
      </c>
      <c r="I1117" s="17" t="str">
        <f>VLOOKUP(Main_Presentation[[#This Row],[LC Number]],Main_Issuance[],7,0)</f>
        <v>HOLCIM SOLUTIONS AND PRODUCTS EMEA BV</v>
      </c>
      <c r="J1117" s="17" t="str">
        <f>VLOOKUP(Main_Presentation[[#This Row],[LC Number]],Main_Issuance[],8,0)</f>
        <v>MBL/IFAS</v>
      </c>
      <c r="K1117" s="17" t="str">
        <f>VLOOKUP(Main_Presentation[[#This Row],[LC Number]],Main_Issuance[],9,0)</f>
        <v>CEER</v>
      </c>
      <c r="L1117" s="17">
        <f>VLOOKUP(Main_Presentation[[#This Row],[LC Number]],Main_Issuance[],10,0)</f>
        <v>1020091</v>
      </c>
      <c r="M1117" s="17" t="str">
        <f>VLOOKUP(Main_Presentation[[#This Row],[LC Number]],Main_Issuance[],11,0)</f>
        <v>USD</v>
      </c>
      <c r="N1117" s="84">
        <f>VLOOKUP(Main_Presentation[[#This Row],[LC Number]],Main_Issuance[],12,0)</f>
        <v>2600115.56</v>
      </c>
      <c r="O1117" s="16" t="s">
        <v>20</v>
      </c>
      <c r="P1117" s="16" t="s">
        <v>857</v>
      </c>
      <c r="Q1117" s="131">
        <v>88184.93</v>
      </c>
      <c r="R1117" s="18">
        <v>3.75</v>
      </c>
      <c r="S1117" s="18">
        <f>Main_Presentation[[#This Row],[Invoice Amt (FCY)]]*Main_Presentation[[#This Row],[Rate]]</f>
        <v>330693.48749999999</v>
      </c>
      <c r="T1117" s="15">
        <v>45965</v>
      </c>
      <c r="U1117" s="26" t="str">
        <f>VLOOKUP(Main_Presentation[[#This Row],[LC Number]],Main_Issuance[],18,0)</f>
        <v>90 Days from Shipment Date</v>
      </c>
      <c r="V1117" s="17" t="s">
        <v>367</v>
      </c>
      <c r="W1117" s="22" t="s">
        <v>857</v>
      </c>
      <c r="X1117" s="16"/>
      <c r="Y1117" s="234" t="str">
        <f>TRIM(LEFT(Main_Presentation[[#This Row],[Payment Terms]],3))</f>
        <v>90</v>
      </c>
      <c r="Z1117" s="16"/>
      <c r="AA1117" s="316" cm="1">
        <f t="array" ref="AA1117">Settlement(Main_Presentation[[#This Row],[Bank]],Main_Presentation[[#This Row],[ Invoice Amt (SAR)]],Main_Presentation[[#This Row],[Date Recd]],Main_Presentation[[#This Row],[Due Date]],Main_Presentation[[#This Row],[Days]])</f>
        <v>1624.95</v>
      </c>
      <c r="AB1117" s="16"/>
    </row>
    <row r="1118" spans="1:28" ht="15.75" hidden="1" x14ac:dyDescent="0.25">
      <c r="A1118" s="20" t="s">
        <v>1650</v>
      </c>
      <c r="B1118" s="15">
        <v>45908</v>
      </c>
      <c r="C1118" s="26">
        <v>1</v>
      </c>
      <c r="D1118" s="55" t="str">
        <f>VLOOKUP(Main_Presentation[[#This Row],[LC Number]],Main_Issuance[],3,0)</f>
        <v>Tareeq Telmasani</v>
      </c>
      <c r="E1118" s="16" t="s">
        <v>856</v>
      </c>
      <c r="F1118" s="17" t="str">
        <f>VLOOKUP(Main_Presentation[[#This Row],[LC Number]],Main_Issuance[],5,0)</f>
        <v>SAB</v>
      </c>
      <c r="G1118" s="17" t="str">
        <f>VLOOKUP(Main_Presentation[[#This Row],[LC Number]],Main_Issuance[],6,0)</f>
        <v>CEER</v>
      </c>
      <c r="H1118" s="17" t="str">
        <f>VLOOKUP(Main_Presentation[[#This Row],[LC Number]],Main_Issuance[],17,0)</f>
        <v>Credit</v>
      </c>
      <c r="I1118" s="17" t="str">
        <f>VLOOKUP(Main_Presentation[[#This Row],[LC Number]],Main_Issuance[],7,0)</f>
        <v>AFAQ AL MALAZ TRADING CO. LTD.</v>
      </c>
      <c r="J1118" s="17" t="str">
        <f>VLOOKUP(Main_Presentation[[#This Row],[LC Number]],Main_Issuance[],8,0)</f>
        <v>FIRST FIX</v>
      </c>
      <c r="K1118" s="17" t="str">
        <f>VLOOKUP(Main_Presentation[[#This Row],[LC Number]],Main_Issuance[],9,0)</f>
        <v>CEER</v>
      </c>
      <c r="L1118" s="17">
        <f>VLOOKUP(Main_Presentation[[#This Row],[LC Number]],Main_Issuance[],10,0)</f>
        <v>1020091</v>
      </c>
      <c r="M1118" s="17" t="str">
        <f>VLOOKUP(Main_Presentation[[#This Row],[LC Number]],Main_Issuance[],11,0)</f>
        <v>SAR</v>
      </c>
      <c r="N1118" s="84">
        <f>VLOOKUP(Main_Presentation[[#This Row],[LC Number]],Main_Issuance[],12,0)</f>
        <v>2000000</v>
      </c>
      <c r="O1118" s="16" t="s">
        <v>20</v>
      </c>
      <c r="P1118" s="16" t="s">
        <v>857</v>
      </c>
      <c r="Q1118" s="131">
        <v>1994342</v>
      </c>
      <c r="R1118" s="18">
        <v>1</v>
      </c>
      <c r="S1118" s="18">
        <f>Main_Presentation[[#This Row],[Invoice Amt (FCY)]]*Main_Presentation[[#This Row],[Rate]]</f>
        <v>1994342</v>
      </c>
      <c r="T1118" s="15">
        <v>45986</v>
      </c>
      <c r="U1118" s="26" t="str">
        <f>VLOOKUP(Main_Presentation[[#This Row],[LC Number]],Main_Issuance[],18,0)</f>
        <v>90 Days from Appl. Representative Sign</v>
      </c>
      <c r="V1118" s="17" t="s">
        <v>367</v>
      </c>
      <c r="W1118" s="22" t="s">
        <v>857</v>
      </c>
      <c r="X1118" s="16"/>
      <c r="Y1118" s="234" t="str">
        <f>TRIM(LEFT(Main_Presentation[[#This Row],[Payment Terms]],3))</f>
        <v>90</v>
      </c>
      <c r="Z1118" s="16"/>
      <c r="AA1118" s="316" cm="1">
        <f t="array" ref="AA1118">Settlement(Main_Presentation[[#This Row],[Bank]],Main_Presentation[[#This Row],[ Invoice Amt (SAR)]],Main_Presentation[[#This Row],[Date Recd]],Main_Presentation[[#This Row],[Due Date]],Main_Presentation[[#This Row],[Days]])</f>
        <v>8600.85</v>
      </c>
      <c r="AB1118" s="16"/>
    </row>
    <row r="1119" spans="1:28" ht="15.75" hidden="1" x14ac:dyDescent="0.25">
      <c r="A1119" s="20" t="s">
        <v>1504</v>
      </c>
      <c r="B1119" s="15">
        <v>45917</v>
      </c>
      <c r="C1119" s="26">
        <v>1</v>
      </c>
      <c r="D1119" s="55" t="str">
        <f>VLOOKUP(Main_Presentation[[#This Row],[LC Number]],Main_Issuance[],3,0)</f>
        <v>Hassan Taleb</v>
      </c>
      <c r="E1119" s="16" t="s">
        <v>856</v>
      </c>
      <c r="F1119" s="17" t="str">
        <f>VLOOKUP(Main_Presentation[[#This Row],[LC Number]],Main_Issuance[],5,0)</f>
        <v>Alinma</v>
      </c>
      <c r="G1119" s="17" t="str">
        <f>VLOOKUP(Main_Presentation[[#This Row],[LC Number]],Main_Issuance[],6,0)</f>
        <v>KSP</v>
      </c>
      <c r="H1119" s="17" t="str">
        <f>VLOOKUP(Main_Presentation[[#This Row],[LC Number]],Main_Issuance[],17,0)</f>
        <v>Credit</v>
      </c>
      <c r="I1119" s="17" t="str">
        <f>VLOOKUP(Main_Presentation[[#This Row],[LC Number]],Main_Issuance[],7,0)</f>
        <v>HILTI SAUDI ARABIA FOR CONSTRUCTION TOOLS</v>
      </c>
      <c r="J1119" s="17" t="str">
        <f>VLOOKUP(Main_Presentation[[#This Row],[LC Number]],Main_Issuance[],8,0)</f>
        <v>FIRST FIX</v>
      </c>
      <c r="K1119" s="17" t="str">
        <f>VLOOKUP(Main_Presentation[[#This Row],[LC Number]],Main_Issuance[],9,0)</f>
        <v>JCD SPMI</v>
      </c>
      <c r="L1119" s="17">
        <f>VLOOKUP(Main_Presentation[[#This Row],[LC Number]],Main_Issuance[],10,0)</f>
        <v>1020100</v>
      </c>
      <c r="M1119" s="17" t="str">
        <f>VLOOKUP(Main_Presentation[[#This Row],[LC Number]],Main_Issuance[],11,0)</f>
        <v>SAR</v>
      </c>
      <c r="N1119" s="84">
        <f>VLOOKUP(Main_Presentation[[#This Row],[LC Number]],Main_Issuance[],12,0)</f>
        <v>200000</v>
      </c>
      <c r="O1119" s="16" t="s">
        <v>20</v>
      </c>
      <c r="P1119" s="16" t="s">
        <v>857</v>
      </c>
      <c r="Q1119" s="131">
        <v>200000</v>
      </c>
      <c r="R1119" s="18">
        <v>1</v>
      </c>
      <c r="S1119" s="18">
        <f>Main_Presentation[[#This Row],[Invoice Amt (FCY)]]*Main_Presentation[[#This Row],[Rate]]</f>
        <v>200000</v>
      </c>
      <c r="T1119" s="15">
        <v>46028</v>
      </c>
      <c r="U1119" s="26" t="str">
        <f>VLOOKUP(Main_Presentation[[#This Row],[LC Number]],Main_Issuance[],18,0)</f>
        <v>120 Days from Invoice Date</v>
      </c>
      <c r="V1119" s="17" t="s">
        <v>407</v>
      </c>
      <c r="W1119" s="22" t="s">
        <v>857</v>
      </c>
      <c r="X1119" s="16"/>
      <c r="Y1119" s="234" t="str">
        <f>TRIM(LEFT(Main_Presentation[[#This Row],[Payment Terms]],3))</f>
        <v>120</v>
      </c>
      <c r="Z1119" s="16"/>
      <c r="AA1119" s="316" cm="1">
        <f t="array" ref="AA1119">Settlement(Main_Presentation[[#This Row],[Bank]],Main_Presentation[[#This Row],[ Invoice Amt (SAR)]],Main_Presentation[[#This Row],[Date Recd]],Main_Presentation[[#This Row],[Due Date]],Main_Presentation[[#This Row],[Days]])</f>
        <v>1437.5</v>
      </c>
      <c r="AB1119" s="16"/>
    </row>
    <row r="1120" spans="1:28" ht="15.75" hidden="1" x14ac:dyDescent="0.25">
      <c r="A1120" s="20" t="s">
        <v>1680</v>
      </c>
      <c r="B1120" s="15">
        <v>45928</v>
      </c>
      <c r="C1120" s="26">
        <v>1</v>
      </c>
      <c r="D1120" s="55" t="str">
        <f>VLOOKUP(Main_Presentation[[#This Row],[LC Number]],Main_Issuance[],3,0)</f>
        <v>Hassan Taleb</v>
      </c>
      <c r="E1120" s="16" t="s">
        <v>858</v>
      </c>
      <c r="F1120" s="17" t="str">
        <f>VLOOKUP(Main_Presentation[[#This Row],[LC Number]],Main_Issuance[],5,0)</f>
        <v>Alinma</v>
      </c>
      <c r="G1120" s="17" t="str">
        <f>VLOOKUP(Main_Presentation[[#This Row],[LC Number]],Main_Issuance[],6,0)</f>
        <v>KSP</v>
      </c>
      <c r="H1120" s="17" t="str">
        <f>VLOOKUP(Main_Presentation[[#This Row],[LC Number]],Main_Issuance[],17,0)</f>
        <v>Credit</v>
      </c>
      <c r="I1120" s="17" t="str">
        <f>VLOOKUP(Main_Presentation[[#This Row],[LC Number]],Main_Issuance[],7,0)</f>
        <v>DELHAM ALJANOUB FOR TRADING CONTRACTING</v>
      </c>
      <c r="J1120" s="17" t="str">
        <f>VLOOKUP(Main_Presentation[[#This Row],[LC Number]],Main_Issuance[],8,0)</f>
        <v>FIRST FIX</v>
      </c>
      <c r="K1120" s="17" t="str">
        <f>VLOOKUP(Main_Presentation[[#This Row],[LC Number]],Main_Issuance[],9,0)</f>
        <v>KSP</v>
      </c>
      <c r="L1120" s="17">
        <f>VLOOKUP(Main_Presentation[[#This Row],[LC Number]],Main_Issuance[],10,0)</f>
        <v>1020055</v>
      </c>
      <c r="M1120" s="17" t="str">
        <f>VLOOKUP(Main_Presentation[[#This Row],[LC Number]],Main_Issuance[],11,0)</f>
        <v>SAR</v>
      </c>
      <c r="N1120" s="84">
        <f>VLOOKUP(Main_Presentation[[#This Row],[LC Number]],Main_Issuance[],12,0)</f>
        <v>200000</v>
      </c>
      <c r="O1120" s="16" t="s">
        <v>20</v>
      </c>
      <c r="P1120" s="16" t="s">
        <v>857</v>
      </c>
      <c r="Q1120" s="131">
        <v>200000</v>
      </c>
      <c r="R1120" s="18">
        <v>1</v>
      </c>
      <c r="S1120" s="18">
        <f>Main_Presentation[[#This Row],[Invoice Amt (FCY)]]*Main_Presentation[[#This Row],[Rate]]</f>
        <v>200000</v>
      </c>
      <c r="T1120" s="15">
        <v>46030</v>
      </c>
      <c r="U1120" s="26" t="str">
        <f>VLOOKUP(Main_Presentation[[#This Row],[LC Number]],Main_Issuance[],18,0)</f>
        <v>120 Days from Invoice Date</v>
      </c>
      <c r="V1120" s="21" t="s">
        <v>483</v>
      </c>
      <c r="W1120" s="22" t="s">
        <v>378</v>
      </c>
      <c r="X1120" s="16"/>
      <c r="Y1120" s="234" t="str">
        <f>TRIM(LEFT(Main_Presentation[[#This Row],[Payment Terms]],3))</f>
        <v>120</v>
      </c>
      <c r="Z1120" s="16"/>
      <c r="AA1120" s="316" cm="1">
        <f t="array" ref="AA1120">Settlement(Main_Presentation[[#This Row],[Bank]],Main_Presentation[[#This Row],[ Invoice Amt (SAR)]],Main_Presentation[[#This Row],[Date Recd]],Main_Presentation[[#This Row],[Due Date]],Main_Presentation[[#This Row],[Days]])</f>
        <v>1437.5</v>
      </c>
      <c r="AB1120" s="16"/>
    </row>
    <row r="1121" spans="1:28" ht="15.75" hidden="1" x14ac:dyDescent="0.25">
      <c r="A1121" s="129" t="s">
        <v>1657</v>
      </c>
      <c r="B1121" s="15">
        <v>45915</v>
      </c>
      <c r="C1121" s="26">
        <v>1</v>
      </c>
      <c r="D1121" s="55" t="str">
        <f>VLOOKUP(Main_Presentation[[#This Row],[LC Number]],Main_Issuance[],3,0)</f>
        <v>Hassan Taleb</v>
      </c>
      <c r="E1121" s="16" t="s">
        <v>858</v>
      </c>
      <c r="F1121" s="17" t="str">
        <f>VLOOKUP(Main_Presentation[[#This Row],[LC Number]],Main_Issuance[],5,0)</f>
        <v>Alinma</v>
      </c>
      <c r="G1121" s="17" t="str">
        <f>VLOOKUP(Main_Presentation[[#This Row],[LC Number]],Main_Issuance[],6,0)</f>
        <v>KSP</v>
      </c>
      <c r="H1121" s="17" t="str">
        <f>VLOOKUP(Main_Presentation[[#This Row],[LC Number]],Main_Issuance[],17,0)</f>
        <v>Credit</v>
      </c>
      <c r="I1121" s="17" t="str">
        <f>VLOOKUP(Main_Presentation[[#This Row],[LC Number]],Main_Issuance[],7,0)</f>
        <v>CONTRACTORS SERVICES CO.</v>
      </c>
      <c r="J1121" s="17" t="str">
        <f>VLOOKUP(Main_Presentation[[#This Row],[LC Number]],Main_Issuance[],8,0)</f>
        <v>FIRST FIX</v>
      </c>
      <c r="K1121" s="17" t="str">
        <f>VLOOKUP(Main_Presentation[[#This Row],[LC Number]],Main_Issuance[],9,0)</f>
        <v>KSP</v>
      </c>
      <c r="L1121" s="17">
        <f>VLOOKUP(Main_Presentation[[#This Row],[LC Number]],Main_Issuance[],10,0)</f>
        <v>1020055</v>
      </c>
      <c r="M1121" s="17" t="str">
        <f>VLOOKUP(Main_Presentation[[#This Row],[LC Number]],Main_Issuance[],11,0)</f>
        <v>SAR</v>
      </c>
      <c r="N1121" s="84">
        <f>VLOOKUP(Main_Presentation[[#This Row],[LC Number]],Main_Issuance[],12,0)</f>
        <v>304000.75</v>
      </c>
      <c r="O1121" s="16" t="s">
        <v>20</v>
      </c>
      <c r="P1121" s="16" t="s">
        <v>857</v>
      </c>
      <c r="Q1121" s="131">
        <v>304000.75</v>
      </c>
      <c r="R1121" s="18">
        <v>1</v>
      </c>
      <c r="S1121" s="18">
        <f>Main_Presentation[[#This Row],[Invoice Amt (FCY)]]*Main_Presentation[[#This Row],[Rate]]</f>
        <v>304000.75</v>
      </c>
      <c r="T1121" s="15">
        <v>45998</v>
      </c>
      <c r="U1121" s="26" t="str">
        <f>VLOOKUP(Main_Presentation[[#This Row],[LC Number]],Main_Issuance[],18,0)</f>
        <v>120 Days from Invoice Date</v>
      </c>
      <c r="V1121" s="17" t="s">
        <v>613</v>
      </c>
      <c r="W1121" s="22" t="s">
        <v>378</v>
      </c>
      <c r="X1121" s="16"/>
      <c r="Y1121" s="234" t="str">
        <f>TRIM(LEFT(Main_Presentation[[#This Row],[Payment Terms]],3))</f>
        <v>120</v>
      </c>
      <c r="Z1121" s="16"/>
      <c r="AA1121" s="316" cm="1">
        <f t="array" ref="AA1121">Settlement(Main_Presentation[[#This Row],[Bank]],Main_Presentation[[#This Row],[ Invoice Amt (SAR)]],Main_Presentation[[#This Row],[Date Recd]],Main_Presentation[[#This Row],[Due Date]],Main_Presentation[[#This Row],[Days]])</f>
        <v>1437.5</v>
      </c>
      <c r="AB1121" s="16"/>
    </row>
    <row r="1122" spans="1:28" ht="15.75" hidden="1" x14ac:dyDescent="0.25">
      <c r="A1122" s="129" t="s">
        <v>810</v>
      </c>
      <c r="B1122" s="15">
        <v>45915</v>
      </c>
      <c r="C1122" s="26">
        <v>1</v>
      </c>
      <c r="D1122" s="55" t="str">
        <f>VLOOKUP(Main_Presentation[[#This Row],[LC Number]],Main_Issuance[],3,0)</f>
        <v>Hassan Taleb</v>
      </c>
      <c r="E1122" s="16" t="s">
        <v>858</v>
      </c>
      <c r="F1122" s="17" t="str">
        <f>VLOOKUP(Main_Presentation[[#This Row],[LC Number]],Main_Issuance[],5,0)</f>
        <v>Alinma</v>
      </c>
      <c r="G1122" s="17" t="str">
        <f>VLOOKUP(Main_Presentation[[#This Row],[LC Number]],Main_Issuance[],6,0)</f>
        <v>KSP</v>
      </c>
      <c r="H1122" s="17" t="str">
        <f>VLOOKUP(Main_Presentation[[#This Row],[LC Number]],Main_Issuance[],17,0)</f>
        <v>Credit</v>
      </c>
      <c r="I1122" s="17" t="str">
        <f>VLOOKUP(Main_Presentation[[#This Row],[LC Number]],Main_Issuance[],7,0)</f>
        <v>Tabark Al-Momyza For Tarding Est.</v>
      </c>
      <c r="J1122" s="17" t="str">
        <f>VLOOKUP(Main_Presentation[[#This Row],[LC Number]],Main_Issuance[],8,0)</f>
        <v>FIRST FIX</v>
      </c>
      <c r="K1122" s="17" t="str">
        <f>VLOOKUP(Main_Presentation[[#This Row],[LC Number]],Main_Issuance[],9,0)</f>
        <v>KSP</v>
      </c>
      <c r="L1122" s="17">
        <f>VLOOKUP(Main_Presentation[[#This Row],[LC Number]],Main_Issuance[],10,0)</f>
        <v>1020055</v>
      </c>
      <c r="M1122" s="17" t="str">
        <f>VLOOKUP(Main_Presentation[[#This Row],[LC Number]],Main_Issuance[],11,0)</f>
        <v>SAR</v>
      </c>
      <c r="N1122" s="84">
        <f>VLOOKUP(Main_Presentation[[#This Row],[LC Number]],Main_Issuance[],12,0)</f>
        <v>450163.23</v>
      </c>
      <c r="O1122" s="16" t="s">
        <v>20</v>
      </c>
      <c r="P1122" s="16" t="s">
        <v>857</v>
      </c>
      <c r="Q1122" s="131">
        <v>450163.23</v>
      </c>
      <c r="R1122" s="18">
        <v>1</v>
      </c>
      <c r="S1122" s="18">
        <f>Main_Presentation[[#This Row],[Invoice Amt (FCY)]]*Main_Presentation[[#This Row],[Rate]]</f>
        <v>450163.23</v>
      </c>
      <c r="T1122" s="15">
        <v>45924</v>
      </c>
      <c r="U1122" s="26" t="str">
        <f>VLOOKUP(Main_Presentation[[#This Row],[LC Number]],Main_Issuance[],18,0)</f>
        <v>90 Days from Invoice Date</v>
      </c>
      <c r="V1122" s="17" t="s">
        <v>22</v>
      </c>
      <c r="W1122" s="22" t="s">
        <v>857</v>
      </c>
      <c r="X1122" s="16"/>
      <c r="Y1122" s="234" t="str">
        <f>TRIM(LEFT(Main_Presentation[[#This Row],[Payment Terms]],3))</f>
        <v>90</v>
      </c>
      <c r="Z1122" s="16"/>
      <c r="AA1122" s="316" cm="1">
        <f t="array" ref="AA1122">Settlement(Main_Presentation[[#This Row],[Bank]],Main_Presentation[[#This Row],[ Invoice Amt (SAR)]],Main_Presentation[[#This Row],[Date Recd]],Main_Presentation[[#This Row],[Due Date]],Main_Presentation[[#This Row],[Days]])</f>
        <v>1437.5</v>
      </c>
      <c r="AB1122" s="16"/>
    </row>
    <row r="1123" spans="1:28" ht="15.75" hidden="1" x14ac:dyDescent="0.25">
      <c r="A1123" s="129" t="s">
        <v>1658</v>
      </c>
      <c r="B1123" s="15">
        <v>45915</v>
      </c>
      <c r="C1123" s="26">
        <v>1</v>
      </c>
      <c r="D1123" s="55" t="str">
        <f>VLOOKUP(Main_Presentation[[#This Row],[LC Number]],Main_Issuance[],3,0)</f>
        <v>Hassan Taleb</v>
      </c>
      <c r="E1123" s="16" t="s">
        <v>858</v>
      </c>
      <c r="F1123" s="17" t="str">
        <f>VLOOKUP(Main_Presentation[[#This Row],[LC Number]],Main_Issuance[],5,0)</f>
        <v>Alinma</v>
      </c>
      <c r="G1123" s="17" t="str">
        <f>VLOOKUP(Main_Presentation[[#This Row],[LC Number]],Main_Issuance[],6,0)</f>
        <v>KSP</v>
      </c>
      <c r="H1123" s="17" t="str">
        <f>VLOOKUP(Main_Presentation[[#This Row],[LC Number]],Main_Issuance[],17,0)</f>
        <v>Credit</v>
      </c>
      <c r="I1123" s="17" t="str">
        <f>VLOOKUP(Main_Presentation[[#This Row],[LC Number]],Main_Issuance[],7,0)</f>
        <v>TABARK AL-MOMMYZA FOR TRADING COMPANY</v>
      </c>
      <c r="J1123" s="17" t="str">
        <f>VLOOKUP(Main_Presentation[[#This Row],[LC Number]],Main_Issuance[],8,0)</f>
        <v>FIRST FIX</v>
      </c>
      <c r="K1123" s="17" t="str">
        <f>VLOOKUP(Main_Presentation[[#This Row],[LC Number]],Main_Issuance[],9,0)</f>
        <v>KSP</v>
      </c>
      <c r="L1123" s="17">
        <f>VLOOKUP(Main_Presentation[[#This Row],[LC Number]],Main_Issuance[],10,0)</f>
        <v>1020055</v>
      </c>
      <c r="M1123" s="17" t="str">
        <f>VLOOKUP(Main_Presentation[[#This Row],[LC Number]],Main_Issuance[],11,0)</f>
        <v>SAR</v>
      </c>
      <c r="N1123" s="84">
        <f>VLOOKUP(Main_Presentation[[#This Row],[LC Number]],Main_Issuance[],12,0)</f>
        <v>395588.5</v>
      </c>
      <c r="O1123" s="16" t="s">
        <v>20</v>
      </c>
      <c r="P1123" s="16" t="s">
        <v>857</v>
      </c>
      <c r="Q1123" s="131">
        <v>150000</v>
      </c>
      <c r="R1123" s="18">
        <v>1</v>
      </c>
      <c r="S1123" s="18">
        <f>Main_Presentation[[#This Row],[Invoice Amt (FCY)]]*Main_Presentation[[#This Row],[Rate]]</f>
        <v>150000</v>
      </c>
      <c r="T1123" s="15">
        <v>45995</v>
      </c>
      <c r="U1123" s="26" t="str">
        <f>VLOOKUP(Main_Presentation[[#This Row],[LC Number]],Main_Issuance[],18,0)</f>
        <v>120 Days from Invoice Date</v>
      </c>
      <c r="V1123" s="17" t="s">
        <v>613</v>
      </c>
      <c r="W1123" s="22" t="s">
        <v>378</v>
      </c>
      <c r="X1123" s="16"/>
      <c r="Y1123" s="234" t="str">
        <f>TRIM(LEFT(Main_Presentation[[#This Row],[Payment Terms]],3))</f>
        <v>120</v>
      </c>
      <c r="Z1123" s="16"/>
      <c r="AA1123" s="316" cm="1">
        <f t="array" ref="AA1123">Settlement(Main_Presentation[[#This Row],[Bank]],Main_Presentation[[#This Row],[ Invoice Amt (SAR)]],Main_Presentation[[#This Row],[Date Recd]],Main_Presentation[[#This Row],[Due Date]],Main_Presentation[[#This Row],[Days]])</f>
        <v>1437.5</v>
      </c>
      <c r="AB1123" s="16"/>
    </row>
    <row r="1124" spans="1:28" ht="15.75" hidden="1" x14ac:dyDescent="0.25">
      <c r="A1124" s="129" t="s">
        <v>1668</v>
      </c>
      <c r="B1124" s="15">
        <v>45915</v>
      </c>
      <c r="C1124" s="26">
        <v>1</v>
      </c>
      <c r="D1124" s="55" t="str">
        <f>VLOOKUP(Main_Presentation[[#This Row],[LC Number]],Main_Issuance[],3,0)</f>
        <v>Hassan Taleb</v>
      </c>
      <c r="E1124" s="16" t="s">
        <v>858</v>
      </c>
      <c r="F1124" s="17" t="str">
        <f>VLOOKUP(Main_Presentation[[#This Row],[LC Number]],Main_Issuance[],5,0)</f>
        <v>Alinma</v>
      </c>
      <c r="G1124" s="17" t="str">
        <f>VLOOKUP(Main_Presentation[[#This Row],[LC Number]],Main_Issuance[],6,0)</f>
        <v>KSP</v>
      </c>
      <c r="H1124" s="17" t="str">
        <f>VLOOKUP(Main_Presentation[[#This Row],[LC Number]],Main_Issuance[],17,0)</f>
        <v>Credit</v>
      </c>
      <c r="I1124" s="17" t="str">
        <f>VLOOKUP(Main_Presentation[[#This Row],[LC Number]],Main_Issuance[],7,0)</f>
        <v>Albarq Alarabi For Logistics Services</v>
      </c>
      <c r="J1124" s="17" t="str">
        <f>VLOOKUP(Main_Presentation[[#This Row],[LC Number]],Main_Issuance[],8,0)</f>
        <v>FIRST FIX</v>
      </c>
      <c r="K1124" s="17" t="str">
        <f>VLOOKUP(Main_Presentation[[#This Row],[LC Number]],Main_Issuance[],9,0)</f>
        <v>KSP</v>
      </c>
      <c r="L1124" s="17">
        <f>VLOOKUP(Main_Presentation[[#This Row],[LC Number]],Main_Issuance[],10,0)</f>
        <v>1020055</v>
      </c>
      <c r="M1124" s="17" t="str">
        <f>VLOOKUP(Main_Presentation[[#This Row],[LC Number]],Main_Issuance[],11,0)</f>
        <v>SAR</v>
      </c>
      <c r="N1124" s="84">
        <f>VLOOKUP(Main_Presentation[[#This Row],[LC Number]],Main_Issuance[],12,0)</f>
        <v>150000</v>
      </c>
      <c r="O1124" s="16" t="s">
        <v>20</v>
      </c>
      <c r="P1124" s="16" t="s">
        <v>857</v>
      </c>
      <c r="Q1124" s="131">
        <v>150000</v>
      </c>
      <c r="R1124" s="18">
        <v>1</v>
      </c>
      <c r="S1124" s="18">
        <f>Main_Presentation[[#This Row],[Invoice Amt (FCY)]]*Main_Presentation[[#This Row],[Rate]]</f>
        <v>150000</v>
      </c>
      <c r="T1124" s="15">
        <v>46027</v>
      </c>
      <c r="U1124" s="26" t="str">
        <f>VLOOKUP(Main_Presentation[[#This Row],[LC Number]],Main_Issuance[],18,0)</f>
        <v>120 Days from Invoice Date</v>
      </c>
      <c r="V1124" s="17" t="s">
        <v>22</v>
      </c>
      <c r="W1124" s="22" t="s">
        <v>857</v>
      </c>
      <c r="X1124" s="16"/>
      <c r="Y1124" s="234" t="str">
        <f>TRIM(LEFT(Main_Presentation[[#This Row],[Payment Terms]],3))</f>
        <v>120</v>
      </c>
      <c r="Z1124" s="16"/>
      <c r="AA1124" s="316" cm="1">
        <f t="array" ref="AA1124">Settlement(Main_Presentation[[#This Row],[Bank]],Main_Presentation[[#This Row],[ Invoice Amt (SAR)]],Main_Presentation[[#This Row],[Date Recd]],Main_Presentation[[#This Row],[Due Date]],Main_Presentation[[#This Row],[Days]])</f>
        <v>1437.5</v>
      </c>
      <c r="AB1124" s="16"/>
    </row>
    <row r="1125" spans="1:28" ht="15.75" hidden="1" x14ac:dyDescent="0.25">
      <c r="A1125" s="20" t="s">
        <v>1444</v>
      </c>
      <c r="B1125" s="15">
        <v>45908</v>
      </c>
      <c r="C1125" s="26">
        <v>2</v>
      </c>
      <c r="D1125" s="55" t="str">
        <f>VLOOKUP(Main_Presentation[[#This Row],[LC Number]],Main_Issuance[],3,0)</f>
        <v>Hassan Taleb</v>
      </c>
      <c r="E1125" s="16" t="s">
        <v>858</v>
      </c>
      <c r="F1125" s="17" t="str">
        <f>VLOOKUP(Main_Presentation[[#This Row],[LC Number]],Main_Issuance[],5,0)</f>
        <v>SAB</v>
      </c>
      <c r="G1125" s="17" t="str">
        <f>VLOOKUP(Main_Presentation[[#This Row],[LC Number]],Main_Issuance[],6,0)</f>
        <v>MP1</v>
      </c>
      <c r="H1125" s="17" t="str">
        <f>VLOOKUP(Main_Presentation[[#This Row],[LC Number]],Main_Issuance[],17,0)</f>
        <v>Credit</v>
      </c>
      <c r="I1125" s="17" t="str">
        <f>VLOOKUP(Main_Presentation[[#This Row],[LC Number]],Main_Issuance[],7,0)</f>
        <v>ANDHMAH ALMNANI ALTWARH EST</v>
      </c>
      <c r="J1125" s="17" t="str">
        <f>VLOOKUP(Main_Presentation[[#This Row],[LC Number]],Main_Issuance[],8,0)</f>
        <v>FIRST FIX</v>
      </c>
      <c r="K1125" s="17" t="str">
        <f>VLOOKUP(Main_Presentation[[#This Row],[LC Number]],Main_Issuance[],9,0)</f>
        <v>MP1</v>
      </c>
      <c r="L1125" s="17">
        <f>VLOOKUP(Main_Presentation[[#This Row],[LC Number]],Main_Issuance[],10,0)</f>
        <v>1020088</v>
      </c>
      <c r="M1125" s="17" t="str">
        <f>VLOOKUP(Main_Presentation[[#This Row],[LC Number]],Main_Issuance[],11,0)</f>
        <v>SAR</v>
      </c>
      <c r="N1125" s="84">
        <f>VLOOKUP(Main_Presentation[[#This Row],[LC Number]],Main_Issuance[],12,0)</f>
        <v>400000</v>
      </c>
      <c r="O1125" s="16" t="s">
        <v>20</v>
      </c>
      <c r="P1125" s="16" t="s">
        <v>857</v>
      </c>
      <c r="Q1125" s="131">
        <v>94000.88</v>
      </c>
      <c r="R1125" s="18">
        <v>1</v>
      </c>
      <c r="S1125" s="18">
        <f>Main_Presentation[[#This Row],[Invoice Amt (FCY)]]*Main_Presentation[[#This Row],[Rate]]</f>
        <v>94000.88</v>
      </c>
      <c r="T1125" s="15">
        <v>45988</v>
      </c>
      <c r="U1125" s="26" t="str">
        <f>VLOOKUP(Main_Presentation[[#This Row],[LC Number]],Main_Issuance[],18,0)</f>
        <v>120 Days from Invoice Date</v>
      </c>
      <c r="V1125" s="17" t="s">
        <v>710</v>
      </c>
      <c r="W1125" s="22" t="s">
        <v>857</v>
      </c>
      <c r="X1125" s="16"/>
      <c r="Y1125" s="234" t="str">
        <f>TRIM(LEFT(Main_Presentation[[#This Row],[Payment Terms]],3))</f>
        <v>120</v>
      </c>
      <c r="Z1125" s="16"/>
      <c r="AA1125" s="316" cm="1">
        <f t="array" ref="AA1125">Settlement(Main_Presentation[[#This Row],[Bank]],Main_Presentation[[#This Row],[ Invoice Amt (SAR)]],Main_Presentation[[#This Row],[Date Recd]],Main_Presentation[[#This Row],[Due Date]],Main_Presentation[[#This Row],[Days]])</f>
        <v>575</v>
      </c>
      <c r="AB1125" s="16"/>
    </row>
    <row r="1126" spans="1:28" ht="15.75" hidden="1" x14ac:dyDescent="0.25">
      <c r="A1126" s="20" t="s">
        <v>1332</v>
      </c>
      <c r="B1126" s="15">
        <v>45936</v>
      </c>
      <c r="C1126" s="26">
        <v>1</v>
      </c>
      <c r="D1126" s="55" t="str">
        <f>VLOOKUP(Main_Presentation[[#This Row],[LC Number]],Main_Issuance[],3,0)</f>
        <v>Hassan Taleb</v>
      </c>
      <c r="E1126" s="16" t="s">
        <v>856</v>
      </c>
      <c r="F1126" s="17" t="str">
        <f>VLOOKUP(Main_Presentation[[#This Row],[LC Number]],Main_Issuance[],5,0)</f>
        <v>Alinma</v>
      </c>
      <c r="G1126" s="17" t="str">
        <f>VLOOKUP(Main_Presentation[[#This Row],[LC Number]],Main_Issuance[],6,0)</f>
        <v>KSP</v>
      </c>
      <c r="H1126" s="17" t="str">
        <f>VLOOKUP(Main_Presentation[[#This Row],[LC Number]],Main_Issuance[],17,0)</f>
        <v>Credit</v>
      </c>
      <c r="I1126" s="17" t="str">
        <f>VLOOKUP(Main_Presentation[[#This Row],[LC Number]],Main_Issuance[],7,0)</f>
        <v>AKNAN ALKHAIR TRADING EST</v>
      </c>
      <c r="J1126" s="17" t="str">
        <f>VLOOKUP(Main_Presentation[[#This Row],[LC Number]],Main_Issuance[],8,0)</f>
        <v>FIRST FIX</v>
      </c>
      <c r="K1126" s="17" t="str">
        <f>VLOOKUP(Main_Presentation[[#This Row],[LC Number]],Main_Issuance[],9,0)</f>
        <v>KSP</v>
      </c>
      <c r="L1126" s="17">
        <f>VLOOKUP(Main_Presentation[[#This Row],[LC Number]],Main_Issuance[],10,0)</f>
        <v>1020055</v>
      </c>
      <c r="M1126" s="17" t="str">
        <f>VLOOKUP(Main_Presentation[[#This Row],[LC Number]],Main_Issuance[],11,0)</f>
        <v>SAR</v>
      </c>
      <c r="N1126" s="84">
        <f>VLOOKUP(Main_Presentation[[#This Row],[LC Number]],Main_Issuance[],12,0)</f>
        <v>253537.11</v>
      </c>
      <c r="O1126" s="16" t="s">
        <v>20</v>
      </c>
      <c r="P1126" s="16" t="s">
        <v>857</v>
      </c>
      <c r="Q1126" s="131">
        <v>253537.11</v>
      </c>
      <c r="R1126" s="18">
        <v>1</v>
      </c>
      <c r="S1126" s="18">
        <f>Main_Presentation[[#This Row],[Invoice Amt (FCY)]]*Main_Presentation[[#This Row],[Rate]]</f>
        <v>253537.11</v>
      </c>
      <c r="T1126" s="15">
        <v>46029</v>
      </c>
      <c r="U1126" s="26" t="str">
        <f>VLOOKUP(Main_Presentation[[#This Row],[LC Number]],Main_Issuance[],18,0)</f>
        <v>120 Days from Invoice Date</v>
      </c>
      <c r="V1126" s="17" t="s">
        <v>22</v>
      </c>
      <c r="W1126" s="22" t="s">
        <v>857</v>
      </c>
      <c r="X1126" s="16"/>
      <c r="Y1126" s="234" t="str">
        <f>TRIM(LEFT(Main_Presentation[[#This Row],[Payment Terms]],3))</f>
        <v>120</v>
      </c>
      <c r="Z1126" s="16"/>
      <c r="AA1126" s="316" cm="1">
        <f t="array" ref="AA1126">Settlement(Main_Presentation[[#This Row],[Bank]],Main_Presentation[[#This Row],[ Invoice Amt (SAR)]],Main_Presentation[[#This Row],[Date Recd]],Main_Presentation[[#This Row],[Due Date]],Main_Presentation[[#This Row],[Days]])</f>
        <v>1437.5</v>
      </c>
      <c r="AB1126" s="16"/>
    </row>
    <row r="1127" spans="1:28" ht="15.75" hidden="1" x14ac:dyDescent="0.25">
      <c r="A1127" s="20" t="s">
        <v>1353</v>
      </c>
      <c r="B1127" s="15">
        <v>45932</v>
      </c>
      <c r="C1127" s="26">
        <v>1</v>
      </c>
      <c r="D1127" s="55" t="str">
        <f>VLOOKUP(Main_Presentation[[#This Row],[LC Number]],Main_Issuance[],3,0)</f>
        <v>Hassan Taleb</v>
      </c>
      <c r="E1127" s="16" t="s">
        <v>858</v>
      </c>
      <c r="F1127" s="17" t="str">
        <f>VLOOKUP(Main_Presentation[[#This Row],[LC Number]],Main_Issuance[],5,0)</f>
        <v>Alinma</v>
      </c>
      <c r="G1127" s="17" t="str">
        <f>VLOOKUP(Main_Presentation[[#This Row],[LC Number]],Main_Issuance[],6,0)</f>
        <v>KSP</v>
      </c>
      <c r="H1127" s="17" t="str">
        <f>VLOOKUP(Main_Presentation[[#This Row],[LC Number]],Main_Issuance[],17,0)</f>
        <v>Credit</v>
      </c>
      <c r="I1127" s="17" t="str">
        <f>VLOOKUP(Main_Presentation[[#This Row],[LC Number]],Main_Issuance[],7,0)</f>
        <v>MANATIQ GENERAL CONTRACTING COMPANY</v>
      </c>
      <c r="J1127" s="17" t="str">
        <f>VLOOKUP(Main_Presentation[[#This Row],[LC Number]],Main_Issuance[],8,0)</f>
        <v>FIRST FIX</v>
      </c>
      <c r="K1127" s="17" t="str">
        <f>VLOOKUP(Main_Presentation[[#This Row],[LC Number]],Main_Issuance[],9,0)</f>
        <v>KSP</v>
      </c>
      <c r="L1127" s="17">
        <f>VLOOKUP(Main_Presentation[[#This Row],[LC Number]],Main_Issuance[],10,0)</f>
        <v>1020055</v>
      </c>
      <c r="M1127" s="17" t="str">
        <f>VLOOKUP(Main_Presentation[[#This Row],[LC Number]],Main_Issuance[],11,0)</f>
        <v>SAR</v>
      </c>
      <c r="N1127" s="84">
        <f>VLOOKUP(Main_Presentation[[#This Row],[LC Number]],Main_Issuance[],12,0)</f>
        <v>283912</v>
      </c>
      <c r="O1127" s="16" t="s">
        <v>20</v>
      </c>
      <c r="P1127" s="16" t="s">
        <v>857</v>
      </c>
      <c r="Q1127" s="131">
        <v>283912</v>
      </c>
      <c r="R1127" s="18">
        <v>1</v>
      </c>
      <c r="S1127" s="18">
        <f>Main_Presentation[[#This Row],[Invoice Amt (FCY)]]*Main_Presentation[[#This Row],[Rate]]</f>
        <v>283912</v>
      </c>
      <c r="T1127" s="15">
        <v>46028</v>
      </c>
      <c r="U1127" s="26" t="str">
        <f>VLOOKUP(Main_Presentation[[#This Row],[LC Number]],Main_Issuance[],18,0)</f>
        <v>120 Days from Invoice Date</v>
      </c>
      <c r="V1127" s="17" t="s">
        <v>22</v>
      </c>
      <c r="W1127" s="22" t="s">
        <v>857</v>
      </c>
      <c r="X1127" s="16"/>
      <c r="Y1127" s="234" t="str">
        <f>TRIM(LEFT(Main_Presentation[[#This Row],[Payment Terms]],3))</f>
        <v>120</v>
      </c>
      <c r="Z1127" s="16"/>
      <c r="AA1127" s="316" cm="1">
        <f t="array" ref="AA1127">Settlement(Main_Presentation[[#This Row],[Bank]],Main_Presentation[[#This Row],[ Invoice Amt (SAR)]],Main_Presentation[[#This Row],[Date Recd]],Main_Presentation[[#This Row],[Due Date]],Main_Presentation[[#This Row],[Days]])</f>
        <v>1437.5</v>
      </c>
      <c r="AB1127" s="16"/>
    </row>
    <row r="1128" spans="1:28" ht="15.75" hidden="1" x14ac:dyDescent="0.25">
      <c r="A1128" s="20" t="s">
        <v>1293</v>
      </c>
      <c r="B1128" s="15">
        <v>45915</v>
      </c>
      <c r="C1128" s="26">
        <v>1</v>
      </c>
      <c r="D1128" s="55" t="str">
        <f>VLOOKUP(Main_Presentation[[#This Row],[LC Number]],Main_Issuance[],3,0)</f>
        <v>Hassan Taleb</v>
      </c>
      <c r="E1128" s="16" t="s">
        <v>858</v>
      </c>
      <c r="F1128" s="17" t="str">
        <f>VLOOKUP(Main_Presentation[[#This Row],[LC Number]],Main_Issuance[],5,0)</f>
        <v>BAB</v>
      </c>
      <c r="G1128" s="17" t="str">
        <f>VLOOKUP(Main_Presentation[[#This Row],[LC Number]],Main_Issuance[],6,0)</f>
        <v>Cash</v>
      </c>
      <c r="H1128" s="17" t="str">
        <f>VLOOKUP(Main_Presentation[[#This Row],[LC Number]],Main_Issuance[],17,0)</f>
        <v>Cash</v>
      </c>
      <c r="I1128" s="17" t="str">
        <f>VLOOKUP(Main_Presentation[[#This Row],[LC Number]],Main_Issuance[],7,0)</f>
        <v>AKNAN ALKHAIR TRADING EST.</v>
      </c>
      <c r="J1128" s="17" t="str">
        <f>VLOOKUP(Main_Presentation[[#This Row],[LC Number]],Main_Issuance[],8,0)</f>
        <v>FIRST FIX</v>
      </c>
      <c r="K1128" s="17" t="str">
        <f>VLOOKUP(Main_Presentation[[#This Row],[LC Number]],Main_Issuance[],9,0)</f>
        <v>JCD SPMI</v>
      </c>
      <c r="L1128" s="17">
        <f>VLOOKUP(Main_Presentation[[#This Row],[LC Number]],Main_Issuance[],10,0)</f>
        <v>1020100</v>
      </c>
      <c r="M1128" s="17" t="str">
        <f>VLOOKUP(Main_Presentation[[#This Row],[LC Number]],Main_Issuance[],11,0)</f>
        <v>SAR</v>
      </c>
      <c r="N1128" s="84">
        <f>VLOOKUP(Main_Presentation[[#This Row],[LC Number]],Main_Issuance[],12,0)</f>
        <v>200000</v>
      </c>
      <c r="O1128" s="16" t="s">
        <v>20</v>
      </c>
      <c r="P1128" s="16" t="s">
        <v>857</v>
      </c>
      <c r="Q1128" s="131">
        <v>200000</v>
      </c>
      <c r="R1128" s="18">
        <v>1</v>
      </c>
      <c r="S1128" s="18">
        <f>Main_Presentation[[#This Row],[Invoice Amt (FCY)]]*Main_Presentation[[#This Row],[Rate]]</f>
        <v>200000</v>
      </c>
      <c r="T1128" s="15">
        <v>45999</v>
      </c>
      <c r="U1128" s="26" t="str">
        <f>VLOOKUP(Main_Presentation[[#This Row],[LC Number]],Main_Issuance[],18,0)</f>
        <v>120 Days from Invoice Date</v>
      </c>
      <c r="V1128" s="17" t="s">
        <v>1849</v>
      </c>
      <c r="W1128" s="22" t="s">
        <v>378</v>
      </c>
      <c r="X1128" s="16"/>
      <c r="Y1128" s="234" t="str">
        <f>TRIM(LEFT(Main_Presentation[[#This Row],[Payment Terms]],3))</f>
        <v>120</v>
      </c>
      <c r="Z1128" s="16"/>
      <c r="AA1128" s="316" cm="1">
        <f t="array" ref="AA1128">Settlement(Main_Presentation[[#This Row],[Bank]],Main_Presentation[[#This Row],[ Invoice Amt (SAR)]],Main_Presentation[[#This Row],[Date Recd]],Main_Presentation[[#This Row],[Due Date]],Main_Presentation[[#This Row],[Days]])</f>
        <v>0</v>
      </c>
      <c r="AB1128" s="16"/>
    </row>
    <row r="1129" spans="1:28" ht="15.75" hidden="1" x14ac:dyDescent="0.25">
      <c r="A1129" s="20" t="s">
        <v>1615</v>
      </c>
      <c r="B1129" s="15">
        <v>45924</v>
      </c>
      <c r="C1129" s="26">
        <v>1</v>
      </c>
      <c r="D1129" s="55" t="str">
        <f>VLOOKUP(Main_Presentation[[#This Row],[LC Number]],Main_Issuance[],3,0)</f>
        <v>Hassan Taleb</v>
      </c>
      <c r="E1129" s="16" t="s">
        <v>858</v>
      </c>
      <c r="F1129" s="17" t="str">
        <f>VLOOKUP(Main_Presentation[[#This Row],[LC Number]],Main_Issuance[],5,0)</f>
        <v>SAB</v>
      </c>
      <c r="G1129" s="17" t="str">
        <f>VLOOKUP(Main_Presentation[[#This Row],[LC Number]],Main_Issuance[],6,0)</f>
        <v>MP1</v>
      </c>
      <c r="H1129" s="17" t="str">
        <f>VLOOKUP(Main_Presentation[[#This Row],[LC Number]],Main_Issuance[],17,0)</f>
        <v>Credit</v>
      </c>
      <c r="I1129" s="17" t="str">
        <f>VLOOKUP(Main_Presentation[[#This Row],[LC Number]],Main_Issuance[],7,0)</f>
        <v>ALDREES INDUSTRIAL AND TRADING CO</v>
      </c>
      <c r="J1129" s="17" t="str">
        <f>VLOOKUP(Main_Presentation[[#This Row],[LC Number]],Main_Issuance[],8,0)</f>
        <v>FIRST FIX</v>
      </c>
      <c r="K1129" s="17" t="str">
        <f>VLOOKUP(Main_Presentation[[#This Row],[LC Number]],Main_Issuance[],9,0)</f>
        <v>MP1</v>
      </c>
      <c r="L1129" s="17">
        <f>VLOOKUP(Main_Presentation[[#This Row],[LC Number]],Main_Issuance[],10,0)</f>
        <v>1020088</v>
      </c>
      <c r="M1129" s="17" t="str">
        <f>VLOOKUP(Main_Presentation[[#This Row],[LC Number]],Main_Issuance[],11,0)</f>
        <v>SAR</v>
      </c>
      <c r="N1129" s="84">
        <f>VLOOKUP(Main_Presentation[[#This Row],[LC Number]],Main_Issuance[],12,0)</f>
        <v>150000.01</v>
      </c>
      <c r="O1129" s="16" t="s">
        <v>20</v>
      </c>
      <c r="P1129" s="16" t="s">
        <v>857</v>
      </c>
      <c r="Q1129" s="131">
        <v>150000</v>
      </c>
      <c r="R1129" s="18">
        <v>1</v>
      </c>
      <c r="S1129" s="18">
        <f>Main_Presentation[[#This Row],[Invoice Amt (FCY)]]*Main_Presentation[[#This Row],[Rate]]</f>
        <v>150000</v>
      </c>
      <c r="T1129" s="15">
        <v>45987</v>
      </c>
      <c r="U1129" s="26" t="str">
        <f>VLOOKUP(Main_Presentation[[#This Row],[LC Number]],Main_Issuance[],18,0)</f>
        <v>120 Days from Invoice Date</v>
      </c>
      <c r="V1129" s="17" t="s">
        <v>710</v>
      </c>
      <c r="W1129" s="22" t="s">
        <v>857</v>
      </c>
      <c r="X1129" s="16"/>
      <c r="Y1129" s="234" t="str">
        <f>TRIM(LEFT(Main_Presentation[[#This Row],[Payment Terms]],3))</f>
        <v>120</v>
      </c>
      <c r="Z1129" s="16"/>
      <c r="AA1129" s="316" cm="1">
        <f t="array" ref="AA1129">Settlement(Main_Presentation[[#This Row],[Bank]],Main_Presentation[[#This Row],[ Invoice Amt (SAR)]],Main_Presentation[[#This Row],[Date Recd]],Main_Presentation[[#This Row],[Due Date]],Main_Presentation[[#This Row],[Days]])</f>
        <v>646.29999999999995</v>
      </c>
      <c r="AB1129" s="16"/>
    </row>
    <row r="1130" spans="1:28" ht="15.75" hidden="1" x14ac:dyDescent="0.25">
      <c r="A1130" s="20" t="s">
        <v>702</v>
      </c>
      <c r="B1130" s="15">
        <v>45893</v>
      </c>
      <c r="C1130" s="26">
        <v>15</v>
      </c>
      <c r="D1130" s="55" t="str">
        <f>VLOOKUP(Main_Presentation[[#This Row],[LC Number]],Main_Issuance[],3,0)</f>
        <v>Tareeq Telmasani</v>
      </c>
      <c r="E1130" s="16" t="s">
        <v>856</v>
      </c>
      <c r="F1130" s="17" t="str">
        <f>VLOOKUP(Main_Presentation[[#This Row],[LC Number]],Main_Issuance[],5,0)</f>
        <v>SNB</v>
      </c>
      <c r="G1130" s="17" t="str">
        <f>VLOOKUP(Main_Presentation[[#This Row],[LC Number]],Main_Issuance[],6,0)</f>
        <v>Opera House</v>
      </c>
      <c r="H1130" s="17" t="str">
        <f>VLOOKUP(Main_Presentation[[#This Row],[LC Number]],Main_Issuance[],17,0)</f>
        <v>Credit</v>
      </c>
      <c r="I1130" s="17" t="str">
        <f>VLOOKUP(Main_Presentation[[#This Row],[LC Number]],Main_Issuance[],7,0)</f>
        <v>HOLCIM SOLUTIONS AND PRODUCTS EMEA BV</v>
      </c>
      <c r="J1130" s="17" t="str">
        <f>VLOOKUP(Main_Presentation[[#This Row],[LC Number]],Main_Issuance[],8,0)</f>
        <v>MBL/IFAS</v>
      </c>
      <c r="K1130" s="17" t="str">
        <f>VLOOKUP(Main_Presentation[[#This Row],[LC Number]],Main_Issuance[],9,0)</f>
        <v>CEER</v>
      </c>
      <c r="L1130" s="17">
        <f>VLOOKUP(Main_Presentation[[#This Row],[LC Number]],Main_Issuance[],10,0)</f>
        <v>1020091</v>
      </c>
      <c r="M1130" s="17" t="str">
        <f>VLOOKUP(Main_Presentation[[#This Row],[LC Number]],Main_Issuance[],11,0)</f>
        <v>USD</v>
      </c>
      <c r="N1130" s="84">
        <f>VLOOKUP(Main_Presentation[[#This Row],[LC Number]],Main_Issuance[],12,0)</f>
        <v>2600115.56</v>
      </c>
      <c r="O1130" s="16" t="s">
        <v>20</v>
      </c>
      <c r="P1130" s="16" t="s">
        <v>857</v>
      </c>
      <c r="Q1130" s="131">
        <v>254774.28</v>
      </c>
      <c r="R1130" s="18">
        <v>3.75</v>
      </c>
      <c r="S1130" s="18">
        <f>Main_Presentation[[#This Row],[Invoice Amt (FCY)]]*Main_Presentation[[#This Row],[Rate]]</f>
        <v>955403.55</v>
      </c>
      <c r="T1130" s="15">
        <v>45965</v>
      </c>
      <c r="U1130" s="26" t="str">
        <f>VLOOKUP(Main_Presentation[[#This Row],[LC Number]],Main_Issuance[],18,0)</f>
        <v>90 Days from Shipment Date</v>
      </c>
      <c r="V1130" s="17" t="s">
        <v>367</v>
      </c>
      <c r="W1130" s="22" t="s">
        <v>857</v>
      </c>
      <c r="X1130" s="16"/>
      <c r="Y1130" s="234" t="str">
        <f>TRIM(LEFT(Main_Presentation[[#This Row],[Payment Terms]],3))</f>
        <v>90</v>
      </c>
      <c r="Z1130" s="16"/>
      <c r="AA1130" s="316" cm="1">
        <f t="array" ref="AA1130">Settlement(Main_Presentation[[#This Row],[Bank]],Main_Presentation[[#This Row],[ Invoice Amt (SAR)]],Main_Presentation[[#This Row],[Date Recd]],Main_Presentation[[#This Row],[Due Date]],Main_Presentation[[#This Row],[Days]])</f>
        <v>4618.3999999999996</v>
      </c>
      <c r="AB1130" s="16"/>
    </row>
    <row r="1131" spans="1:28" ht="15.75" hidden="1" x14ac:dyDescent="0.25">
      <c r="A1131" s="20" t="s">
        <v>1687</v>
      </c>
      <c r="B1131" s="15">
        <v>45907</v>
      </c>
      <c r="C1131" s="26">
        <v>1</v>
      </c>
      <c r="D1131" s="55" t="str">
        <f>VLOOKUP(Main_Presentation[[#This Row],[LC Number]],Main_Issuance[],3,0)</f>
        <v>Tareeq Telmasani</v>
      </c>
      <c r="E1131" s="16" t="s">
        <v>858</v>
      </c>
      <c r="F1131" s="17" t="str">
        <f>VLOOKUP(Main_Presentation[[#This Row],[LC Number]],Main_Issuance[],5,0)</f>
        <v>SAB</v>
      </c>
      <c r="G1131" s="17" t="str">
        <f>VLOOKUP(Main_Presentation[[#This Row],[LC Number]],Main_Issuance[],6,0)</f>
        <v>CEER</v>
      </c>
      <c r="H1131" s="17" t="str">
        <f>VLOOKUP(Main_Presentation[[#This Row],[LC Number]],Main_Issuance[],17,0)</f>
        <v>Credit</v>
      </c>
      <c r="I1131" s="17" t="str">
        <f>VLOOKUP(Main_Presentation[[#This Row],[LC Number]],Main_Issuance[],7,0)</f>
        <v>Alshrkt Mzaya Almttwrt Alsnaayt shkhs Wahd</v>
      </c>
      <c r="J1131" s="17" t="str">
        <f>VLOOKUP(Main_Presentation[[#This Row],[LC Number]],Main_Issuance[],8,0)</f>
        <v>FIRST FIX</v>
      </c>
      <c r="K1131" s="17" t="str">
        <f>VLOOKUP(Main_Presentation[[#This Row],[LC Number]],Main_Issuance[],9,0)</f>
        <v>CEER</v>
      </c>
      <c r="L1131" s="17">
        <f>VLOOKUP(Main_Presentation[[#This Row],[LC Number]],Main_Issuance[],10,0)</f>
        <v>1020091</v>
      </c>
      <c r="M1131" s="17" t="str">
        <f>VLOOKUP(Main_Presentation[[#This Row],[LC Number]],Main_Issuance[],11,0)</f>
        <v>SAR</v>
      </c>
      <c r="N1131" s="84">
        <f>VLOOKUP(Main_Presentation[[#This Row],[LC Number]],Main_Issuance[],12,0)</f>
        <v>500000</v>
      </c>
      <c r="O1131" s="16" t="s">
        <v>20</v>
      </c>
      <c r="P1131" s="16" t="s">
        <v>857</v>
      </c>
      <c r="Q1131" s="131">
        <v>98871.6</v>
      </c>
      <c r="R1131" s="18">
        <v>1</v>
      </c>
      <c r="S1131" s="18">
        <f>Main_Presentation[[#This Row],[Invoice Amt (FCY)]]*Main_Presentation[[#This Row],[Rate]]</f>
        <v>98871.6</v>
      </c>
      <c r="T1131" s="15">
        <v>46016</v>
      </c>
      <c r="U1131" s="26" t="str">
        <f>VLOOKUP(Main_Presentation[[#This Row],[LC Number]],Main_Issuance[],18,0)</f>
        <v>120 Days from Appl. Representative Sign</v>
      </c>
      <c r="V1131" s="17" t="s">
        <v>367</v>
      </c>
      <c r="W1131" s="22" t="s">
        <v>857</v>
      </c>
      <c r="X1131" s="16"/>
      <c r="Y1131" s="234" t="str">
        <f>TRIM(LEFT(Main_Presentation[[#This Row],[Payment Terms]],3))</f>
        <v>120</v>
      </c>
      <c r="Z1131" s="16"/>
      <c r="AA1131" s="316" cm="1">
        <f t="array" ref="AA1131">Settlement(Main_Presentation[[#This Row],[Bank]],Main_Presentation[[#This Row],[ Invoice Amt (SAR)]],Main_Presentation[[#This Row],[Date Recd]],Main_Presentation[[#This Row],[Due Date]],Main_Presentation[[#This Row],[Days]])</f>
        <v>575</v>
      </c>
      <c r="AB1131" s="16"/>
    </row>
    <row r="1132" spans="1:28" ht="15.75" hidden="1" x14ac:dyDescent="0.25">
      <c r="A1132" s="20" t="s">
        <v>1652</v>
      </c>
      <c r="B1132" s="15">
        <v>45910</v>
      </c>
      <c r="C1132" s="26">
        <v>1</v>
      </c>
      <c r="D1132" s="55" t="str">
        <f>VLOOKUP(Main_Presentation[[#This Row],[LC Number]],Main_Issuance[],3,0)</f>
        <v>Tareeq Telmasani</v>
      </c>
      <c r="E1132" s="16" t="s">
        <v>858</v>
      </c>
      <c r="F1132" s="17" t="str">
        <f>VLOOKUP(Main_Presentation[[#This Row],[LC Number]],Main_Issuance[],5,0)</f>
        <v>SAB</v>
      </c>
      <c r="G1132" s="17" t="str">
        <f>VLOOKUP(Main_Presentation[[#This Row],[LC Number]],Main_Issuance[],6,0)</f>
        <v>CEER</v>
      </c>
      <c r="H1132" s="17" t="str">
        <f>VLOOKUP(Main_Presentation[[#This Row],[LC Number]],Main_Issuance[],17,0)</f>
        <v>Credit</v>
      </c>
      <c r="I1132" s="17" t="str">
        <f>VLOOKUP(Main_Presentation[[#This Row],[LC Number]],Main_Issuance[],7,0)</f>
        <v>Riyadh Unity for Trading</v>
      </c>
      <c r="J1132" s="17" t="str">
        <f>VLOOKUP(Main_Presentation[[#This Row],[LC Number]],Main_Issuance[],8,0)</f>
        <v>FIRST FIX</v>
      </c>
      <c r="K1132" s="17" t="str">
        <f>VLOOKUP(Main_Presentation[[#This Row],[LC Number]],Main_Issuance[],9,0)</f>
        <v>CEER</v>
      </c>
      <c r="L1132" s="17">
        <f>VLOOKUP(Main_Presentation[[#This Row],[LC Number]],Main_Issuance[],10,0)</f>
        <v>1020091</v>
      </c>
      <c r="M1132" s="17" t="str">
        <f>VLOOKUP(Main_Presentation[[#This Row],[LC Number]],Main_Issuance[],11,0)</f>
        <v>SAR</v>
      </c>
      <c r="N1132" s="84">
        <f>VLOOKUP(Main_Presentation[[#This Row],[LC Number]],Main_Issuance[],12,0)</f>
        <v>1600000</v>
      </c>
      <c r="O1132" s="16" t="s">
        <v>20</v>
      </c>
      <c r="P1132" s="16" t="s">
        <v>857</v>
      </c>
      <c r="Q1132" s="131">
        <v>1304831.8899999999</v>
      </c>
      <c r="R1132" s="18">
        <v>1</v>
      </c>
      <c r="S1132" s="18">
        <f>Main_Presentation[[#This Row],[Invoice Amt (FCY)]]*Main_Presentation[[#This Row],[Rate]]</f>
        <v>1304831.8899999999</v>
      </c>
      <c r="T1132" s="15">
        <v>45986</v>
      </c>
      <c r="U1132" s="26" t="str">
        <f>VLOOKUP(Main_Presentation[[#This Row],[LC Number]],Main_Issuance[],18,0)</f>
        <v>90 Days from Appl. Representative Sign</v>
      </c>
      <c r="V1132" s="17" t="s">
        <v>367</v>
      </c>
      <c r="W1132" s="22" t="s">
        <v>857</v>
      </c>
      <c r="X1132" s="16"/>
      <c r="Y1132" s="234" t="str">
        <f>TRIM(LEFT(Main_Presentation[[#This Row],[Payment Terms]],3))</f>
        <v>90</v>
      </c>
      <c r="Z1132" s="16"/>
      <c r="AA1132" s="316" cm="1">
        <f t="array" ref="AA1132">Settlement(Main_Presentation[[#This Row],[Bank]],Main_Presentation[[#This Row],[ Invoice Amt (SAR)]],Main_Presentation[[#This Row],[Date Recd]],Main_Presentation[[#This Row],[Due Date]],Main_Presentation[[#This Row],[Days]])</f>
        <v>5626.95</v>
      </c>
      <c r="AB1132" s="16"/>
    </row>
    <row r="1133" spans="1:28" ht="15.75" hidden="1" x14ac:dyDescent="0.25">
      <c r="A1133" s="20" t="s">
        <v>1662</v>
      </c>
      <c r="B1133" s="15">
        <v>45901</v>
      </c>
      <c r="C1133" s="26">
        <v>1</v>
      </c>
      <c r="D1133" s="55" t="str">
        <f>VLOOKUP(Main_Presentation[[#This Row],[LC Number]],Main_Issuance[],3,0)</f>
        <v>Tareeq Telmasani</v>
      </c>
      <c r="E1133" s="16" t="s">
        <v>856</v>
      </c>
      <c r="F1133" s="17" t="str">
        <f>VLOOKUP(Main_Presentation[[#This Row],[LC Number]],Main_Issuance[],5,0)</f>
        <v>SAB</v>
      </c>
      <c r="G1133" s="17" t="str">
        <f>VLOOKUP(Main_Presentation[[#This Row],[LC Number]],Main_Issuance[],6,0)</f>
        <v>CEER</v>
      </c>
      <c r="H1133" s="17" t="str">
        <f>VLOOKUP(Main_Presentation[[#This Row],[LC Number]],Main_Issuance[],17,0)</f>
        <v>Credit</v>
      </c>
      <c r="I1133" s="17" t="str">
        <f>VLOOKUP(Main_Presentation[[#This Row],[LC Number]],Main_Issuance[],7,0)</f>
        <v>JAD AL RIYADH Trading Co. Ltd</v>
      </c>
      <c r="J1133" s="17" t="str">
        <f>VLOOKUP(Main_Presentation[[#This Row],[LC Number]],Main_Issuance[],8,0)</f>
        <v>FIRST FIX</v>
      </c>
      <c r="K1133" s="17" t="str">
        <f>VLOOKUP(Main_Presentation[[#This Row],[LC Number]],Main_Issuance[],9,0)</f>
        <v>CEER</v>
      </c>
      <c r="L1133" s="17">
        <f>VLOOKUP(Main_Presentation[[#This Row],[LC Number]],Main_Issuance[],10,0)</f>
        <v>1020091</v>
      </c>
      <c r="M1133" s="17" t="str">
        <f>VLOOKUP(Main_Presentation[[#This Row],[LC Number]],Main_Issuance[],11,0)</f>
        <v>SAR</v>
      </c>
      <c r="N1133" s="84">
        <f>VLOOKUP(Main_Presentation[[#This Row],[LC Number]],Main_Issuance[],12,0)</f>
        <v>1400000</v>
      </c>
      <c r="O1133" s="16" t="s">
        <v>20</v>
      </c>
      <c r="P1133" s="16" t="s">
        <v>857</v>
      </c>
      <c r="Q1133" s="131">
        <v>327131.67</v>
      </c>
      <c r="R1133" s="18">
        <v>1</v>
      </c>
      <c r="S1133" s="18">
        <f>Main_Presentation[[#This Row],[Invoice Amt (FCY)]]*Main_Presentation[[#This Row],[Rate]]</f>
        <v>327131.67</v>
      </c>
      <c r="T1133" s="15">
        <v>45986</v>
      </c>
      <c r="U1133" s="26" t="str">
        <f>VLOOKUP(Main_Presentation[[#This Row],[LC Number]],Main_Issuance[],18,0)</f>
        <v>90 Days from Appl. Representative Sign</v>
      </c>
      <c r="V1133" s="17" t="s">
        <v>367</v>
      </c>
      <c r="W1133" s="22" t="s">
        <v>857</v>
      </c>
      <c r="X1133" s="16"/>
      <c r="Y1133" s="234" t="str">
        <f>TRIM(LEFT(Main_Presentation[[#This Row],[Payment Terms]],3))</f>
        <v>90</v>
      </c>
      <c r="Z1133" s="16"/>
      <c r="AA1133" s="316" cm="1">
        <f t="array" ref="AA1133">Settlement(Main_Presentation[[#This Row],[Bank]],Main_Presentation[[#This Row],[ Invoice Amt (SAR)]],Main_Presentation[[#This Row],[Date Recd]],Main_Presentation[[#This Row],[Due Date]],Main_Presentation[[#This Row],[Days]])</f>
        <v>1411.05</v>
      </c>
      <c r="AB1133" s="16"/>
    </row>
    <row r="1134" spans="1:28" ht="15.75" hidden="1" x14ac:dyDescent="0.25">
      <c r="A1134" s="20" t="s">
        <v>1519</v>
      </c>
      <c r="B1134" s="15">
        <v>46020</v>
      </c>
      <c r="C1134" s="26">
        <v>1</v>
      </c>
      <c r="D1134" s="55" t="str">
        <f>VLOOKUP(Main_Presentation[[#This Row],[LC Number]],Main_Issuance[],3,0)</f>
        <v>Hassan Taleb</v>
      </c>
      <c r="E1134" s="16" t="s">
        <v>858</v>
      </c>
      <c r="F1134" s="17" t="str">
        <f>VLOOKUP(Main_Presentation[[#This Row],[LC Number]],Main_Issuance[],5,0)</f>
        <v>Alinma</v>
      </c>
      <c r="G1134" s="17" t="str">
        <f>VLOOKUP(Main_Presentation[[#This Row],[LC Number]],Main_Issuance[],6,0)</f>
        <v>KSP</v>
      </c>
      <c r="H1134" s="17" t="str">
        <f>VLOOKUP(Main_Presentation[[#This Row],[LC Number]],Main_Issuance[],17,0)</f>
        <v>Credit</v>
      </c>
      <c r="I1134" s="17" t="str">
        <f>VLOOKUP(Main_Presentation[[#This Row],[LC Number]],Main_Issuance[],7,0)</f>
        <v>MAHAWAR AL JAZEERA CONTRACTING CO.</v>
      </c>
      <c r="J1134" s="17" t="str">
        <f>VLOOKUP(Main_Presentation[[#This Row],[LC Number]],Main_Issuance[],8,0)</f>
        <v>FIRST FIX</v>
      </c>
      <c r="K1134" s="17" t="str">
        <f>VLOOKUP(Main_Presentation[[#This Row],[LC Number]],Main_Issuance[],9,0)</f>
        <v>JCD SPMI</v>
      </c>
      <c r="L1134" s="17">
        <f>VLOOKUP(Main_Presentation[[#This Row],[LC Number]],Main_Issuance[],10,0)</f>
        <v>1020100</v>
      </c>
      <c r="M1134" s="17" t="str">
        <f>VLOOKUP(Main_Presentation[[#This Row],[LC Number]],Main_Issuance[],11,0)</f>
        <v>SAR</v>
      </c>
      <c r="N1134" s="84">
        <f>VLOOKUP(Main_Presentation[[#This Row],[LC Number]],Main_Issuance[],12,0)</f>
        <v>93771</v>
      </c>
      <c r="O1134" s="16" t="s">
        <v>20</v>
      </c>
      <c r="P1134" s="16" t="s">
        <v>857</v>
      </c>
      <c r="Q1134" s="131">
        <v>93771</v>
      </c>
      <c r="R1134" s="18">
        <v>1</v>
      </c>
      <c r="S1134" s="18">
        <f>Main_Presentation[[#This Row],[Invoice Amt (FCY)]]*Main_Presentation[[#This Row],[Rate]]</f>
        <v>93771</v>
      </c>
      <c r="T1134" s="15">
        <v>46028</v>
      </c>
      <c r="U1134" s="26" t="str">
        <f>VLOOKUP(Main_Presentation[[#This Row],[LC Number]],Main_Issuance[],18,0)</f>
        <v>120 Days from Invoice Date</v>
      </c>
      <c r="V1134" s="242" t="s">
        <v>1460</v>
      </c>
      <c r="W1134" s="22" t="s">
        <v>378</v>
      </c>
      <c r="X1134" s="16"/>
      <c r="Y1134" s="234" t="str">
        <f>TRIM(LEFT(Main_Presentation[[#This Row],[Payment Terms]],3))</f>
        <v>120</v>
      </c>
      <c r="Z1134" s="16"/>
      <c r="AA1134" s="316" cm="1">
        <f t="array" ref="AA1134">Settlement(Main_Presentation[[#This Row],[Bank]],Main_Presentation[[#This Row],[ Invoice Amt (SAR)]],Main_Presentation[[#This Row],[Date Recd]],Main_Presentation[[#This Row],[Due Date]],Main_Presentation[[#This Row],[Days]])</f>
        <v>1437.5</v>
      </c>
      <c r="AB1134" s="16"/>
    </row>
    <row r="1135" spans="1:28" ht="15.75" hidden="1" x14ac:dyDescent="0.25">
      <c r="A1135" s="20" t="s">
        <v>1736</v>
      </c>
      <c r="B1135" s="15">
        <v>45901</v>
      </c>
      <c r="C1135" s="26">
        <v>1</v>
      </c>
      <c r="D1135" s="55" t="str">
        <f>VLOOKUP(Main_Presentation[[#This Row],[LC Number]],Main_Issuance[],3,0)</f>
        <v>Tareeq Telmasani</v>
      </c>
      <c r="E1135" s="16" t="s">
        <v>856</v>
      </c>
      <c r="F1135" s="17" t="str">
        <f>VLOOKUP(Main_Presentation[[#This Row],[LC Number]],Main_Issuance[],5,0)</f>
        <v>SAB</v>
      </c>
      <c r="G1135" s="17" t="str">
        <f>VLOOKUP(Main_Presentation[[#This Row],[LC Number]],Main_Issuance[],6,0)</f>
        <v>CEER</v>
      </c>
      <c r="H1135" s="17" t="str">
        <f>VLOOKUP(Main_Presentation[[#This Row],[LC Number]],Main_Issuance[],17,0)</f>
        <v>Credit</v>
      </c>
      <c r="I1135" s="17" t="str">
        <f>VLOOKUP(Main_Presentation[[#This Row],[LC Number]],Main_Issuance[],7,0)</f>
        <v>Electric House Trading Company L.L.C.</v>
      </c>
      <c r="J1135" s="17" t="str">
        <f>VLOOKUP(Main_Presentation[[#This Row],[LC Number]],Main_Issuance[],8,0)</f>
        <v>FIRST FIX</v>
      </c>
      <c r="K1135" s="17" t="str">
        <f>VLOOKUP(Main_Presentation[[#This Row],[LC Number]],Main_Issuance[],9,0)</f>
        <v>CEER</v>
      </c>
      <c r="L1135" s="17">
        <f>VLOOKUP(Main_Presentation[[#This Row],[LC Number]],Main_Issuance[],10,0)</f>
        <v>1020091</v>
      </c>
      <c r="M1135" s="17" t="str">
        <f>VLOOKUP(Main_Presentation[[#This Row],[LC Number]],Main_Issuance[],11,0)</f>
        <v>SAR</v>
      </c>
      <c r="N1135" s="84">
        <f>VLOOKUP(Main_Presentation[[#This Row],[LC Number]],Main_Issuance[],12,0)</f>
        <v>40000000</v>
      </c>
      <c r="O1135" s="16" t="s">
        <v>20</v>
      </c>
      <c r="P1135" s="16" t="s">
        <v>857</v>
      </c>
      <c r="Q1135" s="131">
        <v>10000000</v>
      </c>
      <c r="R1135" s="18">
        <v>1</v>
      </c>
      <c r="S1135" s="18">
        <f>Main_Presentation[[#This Row],[Invoice Amt (FCY)]]*Main_Presentation[[#This Row],[Rate]]</f>
        <v>10000000</v>
      </c>
      <c r="T1135" s="15">
        <v>45986</v>
      </c>
      <c r="U1135" s="26" t="str">
        <f>VLOOKUP(Main_Presentation[[#This Row],[LC Number]],Main_Issuance[],18,0)</f>
        <v>90 Days from Appl. Representative Sign</v>
      </c>
      <c r="V1135" s="17" t="s">
        <v>367</v>
      </c>
      <c r="W1135" s="22" t="s">
        <v>857</v>
      </c>
      <c r="X1135" s="16"/>
      <c r="Y1135" s="234" t="str">
        <f>TRIM(LEFT(Main_Presentation[[#This Row],[Payment Terms]],3))</f>
        <v>90</v>
      </c>
      <c r="Z1135" s="16"/>
      <c r="AA1135" s="316" cm="1">
        <f t="array" ref="AA1135">Settlement(Main_Presentation[[#This Row],[Bank]],Main_Presentation[[#This Row],[ Invoice Amt (SAR)]],Main_Presentation[[#This Row],[Date Recd]],Main_Presentation[[#This Row],[Due Date]],Main_Presentation[[#This Row],[Days]])</f>
        <v>43125</v>
      </c>
      <c r="AB1135" s="16"/>
    </row>
    <row r="1136" spans="1:28" ht="15.75" hidden="1" x14ac:dyDescent="0.25">
      <c r="A1136" s="20" t="s">
        <v>1517</v>
      </c>
      <c r="B1136" s="15">
        <v>45985</v>
      </c>
      <c r="C1136" s="26">
        <v>1</v>
      </c>
      <c r="D1136" s="55" t="str">
        <f>VLOOKUP(Main_Presentation[[#This Row],[LC Number]],Main_Issuance[],3,0)</f>
        <v>Hassan Taleb</v>
      </c>
      <c r="E1136" s="16" t="s">
        <v>858</v>
      </c>
      <c r="F1136" s="17" t="str">
        <f>VLOOKUP(Main_Presentation[[#This Row],[LC Number]],Main_Issuance[],5,0)</f>
        <v>Alinma</v>
      </c>
      <c r="G1136" s="17" t="str">
        <f>VLOOKUP(Main_Presentation[[#This Row],[LC Number]],Main_Issuance[],6,0)</f>
        <v>KSP</v>
      </c>
      <c r="H1136" s="17" t="str">
        <f>VLOOKUP(Main_Presentation[[#This Row],[LC Number]],Main_Issuance[],17,0)</f>
        <v>Credit</v>
      </c>
      <c r="I1136" s="17" t="str">
        <f>VLOOKUP(Main_Presentation[[#This Row],[LC Number]],Main_Issuance[],7,0)</f>
        <v>ENGINEERING STYLES EST FOR CONTRACTING</v>
      </c>
      <c r="J1136" s="17" t="str">
        <f>VLOOKUP(Main_Presentation[[#This Row],[LC Number]],Main_Issuance[],8,0)</f>
        <v>FIRST FIX</v>
      </c>
      <c r="K1136" s="17" t="str">
        <f>VLOOKUP(Main_Presentation[[#This Row],[LC Number]],Main_Issuance[],9,0)</f>
        <v>JCD SPMI</v>
      </c>
      <c r="L1136" s="17">
        <f>VLOOKUP(Main_Presentation[[#This Row],[LC Number]],Main_Issuance[],10,0)</f>
        <v>1020100</v>
      </c>
      <c r="M1136" s="17" t="str">
        <f>VLOOKUP(Main_Presentation[[#This Row],[LC Number]],Main_Issuance[],11,0)</f>
        <v>SAR</v>
      </c>
      <c r="N1136" s="84">
        <f>VLOOKUP(Main_Presentation[[#This Row],[LC Number]],Main_Issuance[],12,0)</f>
        <v>378574</v>
      </c>
      <c r="O1136" s="16" t="s">
        <v>20</v>
      </c>
      <c r="P1136" s="16" t="s">
        <v>857</v>
      </c>
      <c r="Q1136" s="131">
        <v>378574</v>
      </c>
      <c r="R1136" s="18">
        <v>1</v>
      </c>
      <c r="S1136" s="18">
        <f>Main_Presentation[[#This Row],[Invoice Amt (FCY)]]*Main_Presentation[[#This Row],[Rate]]</f>
        <v>378574</v>
      </c>
      <c r="T1136" s="15">
        <v>46029</v>
      </c>
      <c r="U1136" s="26" t="str">
        <f>VLOOKUP(Main_Presentation[[#This Row],[LC Number]],Main_Issuance[],18,0)</f>
        <v>120 Days from Invoice Date</v>
      </c>
      <c r="V1136" s="21" t="s">
        <v>483</v>
      </c>
      <c r="W1136" s="22" t="s">
        <v>857</v>
      </c>
      <c r="X1136" s="16"/>
      <c r="Y1136" s="234" t="str">
        <f>TRIM(LEFT(Main_Presentation[[#This Row],[Payment Terms]],3))</f>
        <v>120</v>
      </c>
      <c r="Z1136" s="16"/>
      <c r="AA1136" s="316" cm="1">
        <f t="array" ref="AA1136">Settlement(Main_Presentation[[#This Row],[Bank]],Main_Presentation[[#This Row],[ Invoice Amt (SAR)]],Main_Presentation[[#This Row],[Date Recd]],Main_Presentation[[#This Row],[Due Date]],Main_Presentation[[#This Row],[Days]])</f>
        <v>1437.5</v>
      </c>
      <c r="AB1136" s="16"/>
    </row>
    <row r="1137" spans="1:28" ht="15.75" hidden="1" x14ac:dyDescent="0.25">
      <c r="A1137" s="20" t="s">
        <v>1231</v>
      </c>
      <c r="B1137" s="15">
        <v>45916</v>
      </c>
      <c r="C1137" s="26">
        <v>2</v>
      </c>
      <c r="D1137" s="55" t="str">
        <f>VLOOKUP(Main_Presentation[[#This Row],[LC Number]],Main_Issuance[],3,0)</f>
        <v>Hassan Taleb</v>
      </c>
      <c r="E1137" s="16" t="s">
        <v>856</v>
      </c>
      <c r="F1137" s="17" t="str">
        <f>VLOOKUP(Main_Presentation[[#This Row],[LC Number]],Main_Issuance[],5,0)</f>
        <v>Jazira</v>
      </c>
      <c r="G1137" s="17" t="str">
        <f>VLOOKUP(Main_Presentation[[#This Row],[LC Number]],Main_Issuance[],6,0)</f>
        <v>RCRC</v>
      </c>
      <c r="H1137" s="17" t="str">
        <f>VLOOKUP(Main_Presentation[[#This Row],[LC Number]],Main_Issuance[],17,0)</f>
        <v>Credit</v>
      </c>
      <c r="I1137" s="17" t="str">
        <f>VLOOKUP(Main_Presentation[[#This Row],[LC Number]],Main_Issuance[],7,0)</f>
        <v>Branch of National Fire Fighting (NAFFCO)</v>
      </c>
      <c r="J1137" s="17" t="str">
        <f>VLOOKUP(Main_Presentation[[#This Row],[LC Number]],Main_Issuance[],8,0)</f>
        <v>FIRST FIX</v>
      </c>
      <c r="K1137" s="17" t="str">
        <f>VLOOKUP(Main_Presentation[[#This Row],[LC Number]],Main_Issuance[],9,0)</f>
        <v>RCRC</v>
      </c>
      <c r="L1137" s="17">
        <f>VLOOKUP(Main_Presentation[[#This Row],[LC Number]],Main_Issuance[],10,0)</f>
        <v>1020106</v>
      </c>
      <c r="M1137" s="17" t="str">
        <f>VLOOKUP(Main_Presentation[[#This Row],[LC Number]],Main_Issuance[],11,0)</f>
        <v>SAR</v>
      </c>
      <c r="N1137" s="84">
        <f>VLOOKUP(Main_Presentation[[#This Row],[LC Number]],Main_Issuance[],12,0)</f>
        <v>440466.43</v>
      </c>
      <c r="O1137" s="16" t="s">
        <v>20</v>
      </c>
      <c r="P1137" s="16" t="s">
        <v>378</v>
      </c>
      <c r="Q1137" s="131">
        <v>329151.09999999998</v>
      </c>
      <c r="R1137" s="18">
        <v>1</v>
      </c>
      <c r="S1137" s="18">
        <f>Main_Presentation[[#This Row],[Invoice Amt (FCY)]]*Main_Presentation[[#This Row],[Rate]]</f>
        <v>329151.09999999998</v>
      </c>
      <c r="T1137" s="15">
        <v>45978</v>
      </c>
      <c r="U1137" s="26" t="str">
        <f>VLOOKUP(Main_Presentation[[#This Row],[LC Number]],Main_Issuance[],18,0)</f>
        <v>90 Days from Invoice Date</v>
      </c>
      <c r="V1137" s="17" t="s">
        <v>613</v>
      </c>
      <c r="W1137" s="22" t="s">
        <v>857</v>
      </c>
      <c r="X1137" s="16"/>
      <c r="Y1137" s="234" t="str">
        <f>TRIM(LEFT(Main_Presentation[[#This Row],[Payment Terms]],3))</f>
        <v>90</v>
      </c>
      <c r="Z1137" s="16"/>
      <c r="AA1137" s="316" cm="1">
        <f t="array" ref="AA1137">Settlement(Main_Presentation[[#This Row],[Bank]],Main_Presentation[[#This Row],[ Invoice Amt (SAR)]],Main_Presentation[[#This Row],[Date Recd]],Main_Presentation[[#This Row],[Due Date]],Main_Presentation[[#This Row],[Days]])</f>
        <v>817.65</v>
      </c>
      <c r="AB1137" s="16"/>
    </row>
    <row r="1138" spans="1:28" ht="15.75" hidden="1" x14ac:dyDescent="0.25">
      <c r="A1138" s="129" t="s">
        <v>1412</v>
      </c>
      <c r="B1138" s="15">
        <v>45915</v>
      </c>
      <c r="C1138" s="26">
        <v>1</v>
      </c>
      <c r="D1138" s="55" t="str">
        <f>VLOOKUP(Main_Presentation[[#This Row],[LC Number]],Main_Issuance[],3,0)</f>
        <v>Hassan Taleb</v>
      </c>
      <c r="E1138" s="16" t="s">
        <v>858</v>
      </c>
      <c r="F1138" s="17" t="str">
        <f>VLOOKUP(Main_Presentation[[#This Row],[LC Number]],Main_Issuance[],5,0)</f>
        <v>Alinma</v>
      </c>
      <c r="G1138" s="17" t="str">
        <f>VLOOKUP(Main_Presentation[[#This Row],[LC Number]],Main_Issuance[],6,0)</f>
        <v>KSP</v>
      </c>
      <c r="H1138" s="17" t="str">
        <f>VLOOKUP(Main_Presentation[[#This Row],[LC Number]],Main_Issuance[],17,0)</f>
        <v>Credit</v>
      </c>
      <c r="I1138" s="17" t="str">
        <f>VLOOKUP(Main_Presentation[[#This Row],[LC Number]],Main_Issuance[],7,0)</f>
        <v>Klimacontra International</v>
      </c>
      <c r="J1138" s="17" t="str">
        <f>VLOOKUP(Main_Presentation[[#This Row],[LC Number]],Main_Issuance[],8,0)</f>
        <v>FIRST FIX</v>
      </c>
      <c r="K1138" s="17" t="str">
        <f>VLOOKUP(Main_Presentation[[#This Row],[LC Number]],Main_Issuance[],9,0)</f>
        <v>KSP</v>
      </c>
      <c r="L1138" s="17">
        <f>VLOOKUP(Main_Presentation[[#This Row],[LC Number]],Main_Issuance[],10,0)</f>
        <v>1020055</v>
      </c>
      <c r="M1138" s="17" t="str">
        <f>VLOOKUP(Main_Presentation[[#This Row],[LC Number]],Main_Issuance[],11,0)</f>
        <v>SAR</v>
      </c>
      <c r="N1138" s="84">
        <f>VLOOKUP(Main_Presentation[[#This Row],[LC Number]],Main_Issuance[],12,0)</f>
        <v>255852.91</v>
      </c>
      <c r="O1138" s="16" t="s">
        <v>20</v>
      </c>
      <c r="P1138" s="16" t="s">
        <v>857</v>
      </c>
      <c r="Q1138" s="131">
        <v>255852.91</v>
      </c>
      <c r="R1138" s="18">
        <v>1</v>
      </c>
      <c r="S1138" s="18">
        <f>Main_Presentation[[#This Row],[Invoice Amt (FCY)]]*Main_Presentation[[#This Row],[Rate]]</f>
        <v>255852.91</v>
      </c>
      <c r="T1138" s="15">
        <v>46028</v>
      </c>
      <c r="U1138" s="26" t="str">
        <f>VLOOKUP(Main_Presentation[[#This Row],[LC Number]],Main_Issuance[],18,0)</f>
        <v>120 Days from Invoice Date</v>
      </c>
      <c r="V1138" s="17" t="s">
        <v>22</v>
      </c>
      <c r="W1138" s="22" t="s">
        <v>857</v>
      </c>
      <c r="X1138" s="16"/>
      <c r="Y1138" s="234" t="str">
        <f>TRIM(LEFT(Main_Presentation[[#This Row],[Payment Terms]],3))</f>
        <v>120</v>
      </c>
      <c r="Z1138" s="16"/>
      <c r="AA1138" s="316" cm="1">
        <f t="array" ref="AA1138">Settlement(Main_Presentation[[#This Row],[Bank]],Main_Presentation[[#This Row],[ Invoice Amt (SAR)]],Main_Presentation[[#This Row],[Date Recd]],Main_Presentation[[#This Row],[Due Date]],Main_Presentation[[#This Row],[Days]])</f>
        <v>1437.5</v>
      </c>
      <c r="AB1138" s="16"/>
    </row>
    <row r="1139" spans="1:28" ht="15.75" hidden="1" x14ac:dyDescent="0.25">
      <c r="A1139" s="20" t="s">
        <v>1566</v>
      </c>
      <c r="B1139" s="15">
        <v>45918</v>
      </c>
      <c r="C1139" s="26">
        <v>2</v>
      </c>
      <c r="D1139" s="55" t="str">
        <f>VLOOKUP(Main_Presentation[[#This Row],[LC Number]],Main_Issuance[],3,0)</f>
        <v>Hassan Taleb</v>
      </c>
      <c r="E1139" s="16" t="s">
        <v>856</v>
      </c>
      <c r="F1139" s="17" t="str">
        <f>VLOOKUP(Main_Presentation[[#This Row],[LC Number]],Main_Issuance[],5,0)</f>
        <v>Jazira</v>
      </c>
      <c r="G1139" s="17" t="str">
        <f>VLOOKUP(Main_Presentation[[#This Row],[LC Number]],Main_Issuance[],6,0)</f>
        <v>RCRC</v>
      </c>
      <c r="H1139" s="17" t="str">
        <f>VLOOKUP(Main_Presentation[[#This Row],[LC Number]],Main_Issuance[],17,0)</f>
        <v>Credit</v>
      </c>
      <c r="I1139" s="17" t="str">
        <f>VLOOKUP(Main_Presentation[[#This Row],[LC Number]],Main_Issuance[],7,0)</f>
        <v>Alpha Limit Trading and Contracting Company</v>
      </c>
      <c r="J1139" s="17" t="str">
        <f>VLOOKUP(Main_Presentation[[#This Row],[LC Number]],Main_Issuance[],8,0)</f>
        <v>FIRST FIX</v>
      </c>
      <c r="K1139" s="17" t="str">
        <f>VLOOKUP(Main_Presentation[[#This Row],[LC Number]],Main_Issuance[],9,0)</f>
        <v>RCRC</v>
      </c>
      <c r="L1139" s="17">
        <f>VLOOKUP(Main_Presentation[[#This Row],[LC Number]],Main_Issuance[],10,0)</f>
        <v>1020106</v>
      </c>
      <c r="M1139" s="17" t="str">
        <f>VLOOKUP(Main_Presentation[[#This Row],[LC Number]],Main_Issuance[],11,0)</f>
        <v>SAR</v>
      </c>
      <c r="N1139" s="84">
        <f>VLOOKUP(Main_Presentation[[#This Row],[LC Number]],Main_Issuance[],12,0)</f>
        <v>399623.8</v>
      </c>
      <c r="O1139" s="16" t="s">
        <v>20</v>
      </c>
      <c r="P1139" s="16" t="s">
        <v>857</v>
      </c>
      <c r="Q1139" s="131">
        <v>98885.28</v>
      </c>
      <c r="R1139" s="18">
        <v>1</v>
      </c>
      <c r="S1139" s="18">
        <f>Main_Presentation[[#This Row],[Invoice Amt (FCY)]]*Main_Presentation[[#This Row],[Rate]]</f>
        <v>98885.28</v>
      </c>
      <c r="T1139" s="15">
        <v>45984</v>
      </c>
      <c r="U1139" s="26" t="str">
        <f>VLOOKUP(Main_Presentation[[#This Row],[LC Number]],Main_Issuance[],18,0)</f>
        <v>90 Days from Invoice Date</v>
      </c>
      <c r="V1139" s="17" t="s">
        <v>613</v>
      </c>
      <c r="W1139" s="22" t="s">
        <v>857</v>
      </c>
      <c r="X1139" s="16"/>
      <c r="Y1139" s="234" t="str">
        <f>TRIM(LEFT(Main_Presentation[[#This Row],[Payment Terms]],3))</f>
        <v>90</v>
      </c>
      <c r="Z1139" s="16"/>
      <c r="AA1139" s="316" cm="1">
        <f t="array" ref="AA1139">Settlement(Main_Presentation[[#This Row],[Bank]],Main_Presentation[[#This Row],[ Invoice Amt (SAR)]],Main_Presentation[[#This Row],[Date Recd]],Main_Presentation[[#This Row],[Due Date]],Main_Presentation[[#This Row],[Days]])</f>
        <v>977.5</v>
      </c>
      <c r="AB1139" s="16"/>
    </row>
    <row r="1140" spans="1:28" ht="15.75" hidden="1" x14ac:dyDescent="0.25">
      <c r="A1140" s="20" t="s">
        <v>1663</v>
      </c>
      <c r="B1140" s="15">
        <v>45918</v>
      </c>
      <c r="C1140" s="26">
        <v>1</v>
      </c>
      <c r="D1140" s="55" t="str">
        <f>VLOOKUP(Main_Presentation[[#This Row],[LC Number]],Main_Issuance[],3,0)</f>
        <v>Tareeq Telmasani</v>
      </c>
      <c r="E1140" s="16" t="s">
        <v>858</v>
      </c>
      <c r="F1140" s="17" t="str">
        <f>VLOOKUP(Main_Presentation[[#This Row],[LC Number]],Main_Issuance[],5,0)</f>
        <v>SAB</v>
      </c>
      <c r="G1140" s="17" t="str">
        <f>VLOOKUP(Main_Presentation[[#This Row],[LC Number]],Main_Issuance[],6,0)</f>
        <v>CEER</v>
      </c>
      <c r="H1140" s="17" t="str">
        <f>VLOOKUP(Main_Presentation[[#This Row],[LC Number]],Main_Issuance[],17,0)</f>
        <v>Credit</v>
      </c>
      <c r="I1140" s="17" t="str">
        <f>VLOOKUP(Main_Presentation[[#This Row],[LC Number]],Main_Issuance[],7,0)</f>
        <v>IDEAL CALIBER COMPANY LTD</v>
      </c>
      <c r="J1140" s="17" t="str">
        <f>VLOOKUP(Main_Presentation[[#This Row],[LC Number]],Main_Issuance[],8,0)</f>
        <v>FIRST FIX</v>
      </c>
      <c r="K1140" s="17" t="str">
        <f>VLOOKUP(Main_Presentation[[#This Row],[LC Number]],Main_Issuance[],9,0)</f>
        <v>CEER</v>
      </c>
      <c r="L1140" s="17">
        <f>VLOOKUP(Main_Presentation[[#This Row],[LC Number]],Main_Issuance[],10,0)</f>
        <v>1020091</v>
      </c>
      <c r="M1140" s="17" t="str">
        <f>VLOOKUP(Main_Presentation[[#This Row],[LC Number]],Main_Issuance[],11,0)</f>
        <v>SAR</v>
      </c>
      <c r="N1140" s="84">
        <f>VLOOKUP(Main_Presentation[[#This Row],[LC Number]],Main_Issuance[],12,0)</f>
        <v>1500000</v>
      </c>
      <c r="O1140" s="16" t="s">
        <v>20</v>
      </c>
      <c r="P1140" s="16" t="s">
        <v>857</v>
      </c>
      <c r="Q1140" s="131">
        <v>1500000</v>
      </c>
      <c r="R1140" s="18">
        <v>1</v>
      </c>
      <c r="S1140" s="18">
        <f>Main_Presentation[[#This Row],[Invoice Amt (FCY)]]*Main_Presentation[[#This Row],[Rate]]</f>
        <v>1500000</v>
      </c>
      <c r="T1140" s="15">
        <v>45998</v>
      </c>
      <c r="U1140" s="26" t="str">
        <f>VLOOKUP(Main_Presentation[[#This Row],[LC Number]],Main_Issuance[],18,0)</f>
        <v>90 Days from Appl. Representative Sign</v>
      </c>
      <c r="V1140" s="17" t="s">
        <v>367</v>
      </c>
      <c r="W1140" s="22" t="s">
        <v>857</v>
      </c>
      <c r="X1140" s="16"/>
      <c r="Y1140" s="234" t="str">
        <f>TRIM(LEFT(Main_Presentation[[#This Row],[Payment Terms]],3))</f>
        <v>90</v>
      </c>
      <c r="Z1140" s="16"/>
      <c r="AA1140" s="316" cm="1">
        <f t="array" ref="AA1140">Settlement(Main_Presentation[[#This Row],[Bank]],Main_Presentation[[#This Row],[ Invoice Amt (SAR)]],Main_Presentation[[#This Row],[Date Recd]],Main_Presentation[[#This Row],[Due Date]],Main_Presentation[[#This Row],[Days]])</f>
        <v>6468.75</v>
      </c>
      <c r="AB1140" s="16"/>
    </row>
    <row r="1141" spans="1:28" ht="15.75" hidden="1" x14ac:dyDescent="0.25">
      <c r="A1141" s="20" t="s">
        <v>1649</v>
      </c>
      <c r="B1141" s="15">
        <v>45925</v>
      </c>
      <c r="C1141" s="26">
        <v>2</v>
      </c>
      <c r="D1141" s="55" t="str">
        <f>VLOOKUP(Main_Presentation[[#This Row],[LC Number]],Main_Issuance[],3,0)</f>
        <v>Tareeq Telmasani</v>
      </c>
      <c r="E1141" s="16" t="s">
        <v>856</v>
      </c>
      <c r="F1141" s="17" t="str">
        <f>VLOOKUP(Main_Presentation[[#This Row],[LC Number]],Main_Issuance[],5,0)</f>
        <v>SAB</v>
      </c>
      <c r="G1141" s="17" t="str">
        <f>VLOOKUP(Main_Presentation[[#This Row],[LC Number]],Main_Issuance[],6,0)</f>
        <v>CEER</v>
      </c>
      <c r="H1141" s="17" t="str">
        <f>VLOOKUP(Main_Presentation[[#This Row],[LC Number]],Main_Issuance[],17,0)</f>
        <v>Credit</v>
      </c>
      <c r="I1141" s="17" t="str">
        <f>VLOOKUP(Main_Presentation[[#This Row],[LC Number]],Main_Issuance[],7,0)</f>
        <v>Alkhorayef Commercial co.</v>
      </c>
      <c r="J1141" s="17" t="str">
        <f>VLOOKUP(Main_Presentation[[#This Row],[LC Number]],Main_Issuance[],8,0)</f>
        <v>FIRST FIX</v>
      </c>
      <c r="K1141" s="17" t="str">
        <f>VLOOKUP(Main_Presentation[[#This Row],[LC Number]],Main_Issuance[],9,0)</f>
        <v>CEER</v>
      </c>
      <c r="L1141" s="17">
        <f>VLOOKUP(Main_Presentation[[#This Row],[LC Number]],Main_Issuance[],10,0)</f>
        <v>1020091</v>
      </c>
      <c r="M1141" s="17" t="str">
        <f>VLOOKUP(Main_Presentation[[#This Row],[LC Number]],Main_Issuance[],11,0)</f>
        <v>SAR</v>
      </c>
      <c r="N1141" s="84">
        <f>VLOOKUP(Main_Presentation[[#This Row],[LC Number]],Main_Issuance[],12,0)</f>
        <v>2080350</v>
      </c>
      <c r="O1141" s="16" t="s">
        <v>20</v>
      </c>
      <c r="P1141" s="16" t="s">
        <v>857</v>
      </c>
      <c r="Q1141" s="131">
        <v>1459350</v>
      </c>
      <c r="R1141" s="18">
        <v>1</v>
      </c>
      <c r="S1141" s="18">
        <f>Main_Presentation[[#This Row],[Invoice Amt (FCY)]]*Main_Presentation[[#This Row],[Rate]]</f>
        <v>1459350</v>
      </c>
      <c r="T1141" s="15">
        <v>46027</v>
      </c>
      <c r="U1141" s="26" t="str">
        <f>VLOOKUP(Main_Presentation[[#This Row],[LC Number]],Main_Issuance[],18,0)</f>
        <v>120 Days from Appl. Representative Sign</v>
      </c>
      <c r="V1141" s="17" t="s">
        <v>367</v>
      </c>
      <c r="W1141" s="22" t="s">
        <v>857</v>
      </c>
      <c r="X1141" s="16"/>
      <c r="Y1141" s="234" t="str">
        <f>TRIM(LEFT(Main_Presentation[[#This Row],[Payment Terms]],3))</f>
        <v>120</v>
      </c>
      <c r="Z1141" s="16"/>
      <c r="AA1141" s="316" cm="1">
        <f t="array" ref="AA1141">Settlement(Main_Presentation[[#This Row],[Bank]],Main_Presentation[[#This Row],[ Invoice Amt (SAR)]],Main_Presentation[[#This Row],[Date Recd]],Main_Presentation[[#This Row],[Due Date]],Main_Presentation[[#This Row],[Days]])</f>
        <v>6293.95</v>
      </c>
      <c r="AB1141" s="16"/>
    </row>
    <row r="1142" spans="1:28" ht="15.75" hidden="1" x14ac:dyDescent="0.25">
      <c r="A1142" s="20" t="s">
        <v>1734</v>
      </c>
      <c r="B1142" s="15">
        <v>45911</v>
      </c>
      <c r="C1142" s="26">
        <v>1</v>
      </c>
      <c r="D1142" s="55" t="str">
        <f>VLOOKUP(Main_Presentation[[#This Row],[LC Number]],Main_Issuance[],3,0)</f>
        <v>Tareeq Telmasani</v>
      </c>
      <c r="E1142" s="16" t="s">
        <v>856</v>
      </c>
      <c r="F1142" s="17" t="str">
        <f>VLOOKUP(Main_Presentation[[#This Row],[LC Number]],Main_Issuance[],5,0)</f>
        <v>SAB</v>
      </c>
      <c r="G1142" s="17" t="str">
        <f>VLOOKUP(Main_Presentation[[#This Row],[LC Number]],Main_Issuance[],6,0)</f>
        <v>CEER</v>
      </c>
      <c r="H1142" s="17" t="str">
        <f>VLOOKUP(Main_Presentation[[#This Row],[LC Number]],Main_Issuance[],17,0)</f>
        <v>Credit</v>
      </c>
      <c r="I1142" s="17" t="str">
        <f>VLOOKUP(Main_Presentation[[#This Row],[LC Number]],Main_Issuance[],7,0)</f>
        <v>Johnson Controls Arabia Ltd</v>
      </c>
      <c r="J1142" s="17" t="str">
        <f>VLOOKUP(Main_Presentation[[#This Row],[LC Number]],Main_Issuance[],8,0)</f>
        <v>FIRST FIX</v>
      </c>
      <c r="K1142" s="17" t="str">
        <f>VLOOKUP(Main_Presentation[[#This Row],[LC Number]],Main_Issuance[],9,0)</f>
        <v>CEER</v>
      </c>
      <c r="L1142" s="17">
        <f>VLOOKUP(Main_Presentation[[#This Row],[LC Number]],Main_Issuance[],10,0)</f>
        <v>1020091</v>
      </c>
      <c r="M1142" s="17" t="str">
        <f>VLOOKUP(Main_Presentation[[#This Row],[LC Number]],Main_Issuance[],11,0)</f>
        <v>SAR</v>
      </c>
      <c r="N1142" s="84">
        <f>VLOOKUP(Main_Presentation[[#This Row],[LC Number]],Main_Issuance[],12,0)</f>
        <v>5000000</v>
      </c>
      <c r="O1142" s="16" t="s">
        <v>20</v>
      </c>
      <c r="P1142" s="16" t="s">
        <v>857</v>
      </c>
      <c r="Q1142" s="131">
        <v>5000000</v>
      </c>
      <c r="R1142" s="18">
        <v>1</v>
      </c>
      <c r="S1142" s="18">
        <f>Main_Presentation[[#This Row],[Invoice Amt (FCY)]]*Main_Presentation[[#This Row],[Rate]]</f>
        <v>5000000</v>
      </c>
      <c r="T1142" s="15">
        <v>45998</v>
      </c>
      <c r="U1142" s="26" t="str">
        <f>VLOOKUP(Main_Presentation[[#This Row],[LC Number]],Main_Issuance[],18,0)</f>
        <v>90 Days from Appl. Representative Sign</v>
      </c>
      <c r="V1142" s="17" t="s">
        <v>367</v>
      </c>
      <c r="W1142" s="22" t="s">
        <v>857</v>
      </c>
      <c r="X1142" s="16"/>
      <c r="Y1142" s="234" t="str">
        <f>TRIM(LEFT(Main_Presentation[[#This Row],[Payment Terms]],3))</f>
        <v>90</v>
      </c>
      <c r="Z1142" s="16"/>
      <c r="AA1142" s="316" cm="1">
        <f t="array" ref="AA1142">Settlement(Main_Presentation[[#This Row],[Bank]],Main_Presentation[[#This Row],[ Invoice Amt (SAR)]],Main_Presentation[[#This Row],[Date Recd]],Main_Presentation[[#This Row],[Due Date]],Main_Presentation[[#This Row],[Days]])</f>
        <v>21562.5</v>
      </c>
      <c r="AB1142" s="16"/>
    </row>
    <row r="1143" spans="1:28" ht="15.75" hidden="1" x14ac:dyDescent="0.25">
      <c r="A1143" s="20" t="s">
        <v>702</v>
      </c>
      <c r="B1143" s="15">
        <v>45897</v>
      </c>
      <c r="C1143" s="26">
        <v>16</v>
      </c>
      <c r="D1143" s="55" t="str">
        <f>VLOOKUP(Main_Presentation[[#This Row],[LC Number]],Main_Issuance[],3,0)</f>
        <v>Tareeq Telmasani</v>
      </c>
      <c r="E1143" s="16" t="s">
        <v>858</v>
      </c>
      <c r="F1143" s="17" t="str">
        <f>VLOOKUP(Main_Presentation[[#This Row],[LC Number]],Main_Issuance[],5,0)</f>
        <v>SNB</v>
      </c>
      <c r="G1143" s="17" t="str">
        <f>VLOOKUP(Main_Presentation[[#This Row],[LC Number]],Main_Issuance[],6,0)</f>
        <v>Opera House</v>
      </c>
      <c r="H1143" s="17" t="str">
        <f>VLOOKUP(Main_Presentation[[#This Row],[LC Number]],Main_Issuance[],17,0)</f>
        <v>Credit</v>
      </c>
      <c r="I1143" s="17" t="str">
        <f>VLOOKUP(Main_Presentation[[#This Row],[LC Number]],Main_Issuance[],7,0)</f>
        <v>HOLCIM SOLUTIONS AND PRODUCTS EMEA BV</v>
      </c>
      <c r="J1143" s="17" t="str">
        <f>VLOOKUP(Main_Presentation[[#This Row],[LC Number]],Main_Issuance[],8,0)</f>
        <v>MBL/IFAS</v>
      </c>
      <c r="K1143" s="17" t="str">
        <f>VLOOKUP(Main_Presentation[[#This Row],[LC Number]],Main_Issuance[],9,0)</f>
        <v>CEER</v>
      </c>
      <c r="L1143" s="17">
        <f>VLOOKUP(Main_Presentation[[#This Row],[LC Number]],Main_Issuance[],10,0)</f>
        <v>1020091</v>
      </c>
      <c r="M1143" s="17" t="str">
        <f>VLOOKUP(Main_Presentation[[#This Row],[LC Number]],Main_Issuance[],11,0)</f>
        <v>USD</v>
      </c>
      <c r="N1143" s="84">
        <f>VLOOKUP(Main_Presentation[[#This Row],[LC Number]],Main_Issuance[],12,0)</f>
        <v>2600115.56</v>
      </c>
      <c r="O1143" s="16" t="s">
        <v>20</v>
      </c>
      <c r="P1143" s="16" t="s">
        <v>857</v>
      </c>
      <c r="Q1143" s="131">
        <v>339699.04</v>
      </c>
      <c r="R1143" s="18">
        <v>3.75</v>
      </c>
      <c r="S1143" s="18">
        <f>Main_Presentation[[#This Row],[Invoice Amt (FCY)]]*Main_Presentation[[#This Row],[Rate]]</f>
        <v>1273871.3999999999</v>
      </c>
      <c r="T1143" s="15">
        <v>45978</v>
      </c>
      <c r="U1143" s="26" t="str">
        <f>VLOOKUP(Main_Presentation[[#This Row],[LC Number]],Main_Issuance[],18,0)</f>
        <v>90 Days from Shipment Date</v>
      </c>
      <c r="V1143" s="17" t="s">
        <v>367</v>
      </c>
      <c r="W1143" s="22" t="s">
        <v>857</v>
      </c>
      <c r="X1143" s="16"/>
      <c r="Y1143" s="234" t="str">
        <f>TRIM(LEFT(Main_Presentation[[#This Row],[Payment Terms]],3))</f>
        <v>90</v>
      </c>
      <c r="Z1143" s="16"/>
      <c r="AA1143" s="316" cm="1">
        <f t="array" ref="AA1143">Settlement(Main_Presentation[[#This Row],[Bank]],Main_Presentation[[#This Row],[ Invoice Amt (SAR)]],Main_Presentation[[#This Row],[Date Recd]],Main_Presentation[[#This Row],[Due Date]],Main_Presentation[[#This Row],[Days]])</f>
        <v>9196.5499999999993</v>
      </c>
      <c r="AB1143" s="16"/>
    </row>
    <row r="1144" spans="1:28" ht="15.75" hidden="1" x14ac:dyDescent="0.25">
      <c r="A1144" s="20" t="s">
        <v>1486</v>
      </c>
      <c r="B1144" s="15">
        <v>45900</v>
      </c>
      <c r="C1144" s="26">
        <v>1</v>
      </c>
      <c r="D1144" s="55" t="str">
        <f>VLOOKUP(Main_Presentation[[#This Row],[LC Number]],Main_Issuance[],3,0)</f>
        <v>Tareeq - Premium</v>
      </c>
      <c r="E1144" s="16" t="s">
        <v>858</v>
      </c>
      <c r="F1144" s="17" t="str">
        <f>VLOOKUP(Main_Presentation[[#This Row],[LC Number]],Main_Issuance[],5,0)</f>
        <v>SAB</v>
      </c>
      <c r="G1144" s="17" t="str">
        <f>VLOOKUP(Main_Presentation[[#This Row],[LC Number]],Main_Issuance[],6,0)</f>
        <v>CEER</v>
      </c>
      <c r="H1144" s="17" t="str">
        <f>VLOOKUP(Main_Presentation[[#This Row],[LC Number]],Main_Issuance[],17,0)</f>
        <v>Credit</v>
      </c>
      <c r="I1144" s="17" t="str">
        <f>VLOOKUP(Main_Presentation[[#This Row],[LC Number]],Main_Issuance[],7,0)</f>
        <v>ASSA ABLOY ENTRANCE SYSTEMS SAUDI CO.</v>
      </c>
      <c r="J1144" s="17" t="str">
        <f>VLOOKUP(Main_Presentation[[#This Row],[LC Number]],Main_Issuance[],8,0)</f>
        <v>MBL/Premium</v>
      </c>
      <c r="K1144" s="17" t="str">
        <f>VLOOKUP(Main_Presentation[[#This Row],[LC Number]],Main_Issuance[],9,0)</f>
        <v>CEER</v>
      </c>
      <c r="L1144" s="17">
        <f>VLOOKUP(Main_Presentation[[#This Row],[LC Number]],Main_Issuance[],10,0)</f>
        <v>1020091</v>
      </c>
      <c r="M1144" s="17" t="str">
        <f>VLOOKUP(Main_Presentation[[#This Row],[LC Number]],Main_Issuance[],11,0)</f>
        <v>SAR</v>
      </c>
      <c r="N1144" s="84">
        <f>VLOOKUP(Main_Presentation[[#This Row],[LC Number]],Main_Issuance[],12,0)</f>
        <v>1150000</v>
      </c>
      <c r="O1144" s="16" t="s">
        <v>20</v>
      </c>
      <c r="P1144" s="16" t="s">
        <v>857</v>
      </c>
      <c r="Q1144" s="131">
        <v>575000</v>
      </c>
      <c r="R1144" s="18">
        <v>1</v>
      </c>
      <c r="S1144" s="18">
        <f>Main_Presentation[[#This Row],[Invoice Amt (FCY)]]*Main_Presentation[[#This Row],[Rate]]</f>
        <v>575000</v>
      </c>
      <c r="T1144" s="15">
        <v>45959</v>
      </c>
      <c r="U1144" s="26" t="str">
        <f>VLOOKUP(Main_Presentation[[#This Row],[LC Number]],Main_Issuance[],18,0)</f>
        <v>90 Days from Invoice Date</v>
      </c>
      <c r="V1144" s="17" t="s">
        <v>367</v>
      </c>
      <c r="W1144" s="22" t="s">
        <v>857</v>
      </c>
      <c r="X1144" s="16"/>
      <c r="Y1144" s="234" t="str">
        <f>TRIM(LEFT(Main_Presentation[[#This Row],[Payment Terms]],3))</f>
        <v>90</v>
      </c>
      <c r="Z1144" s="16"/>
      <c r="AA1144" s="316" cm="1">
        <f t="array" ref="AA1144">Settlement(Main_Presentation[[#This Row],[Bank]],Main_Presentation[[#This Row],[ Invoice Amt (SAR)]],Main_Presentation[[#This Row],[Date Recd]],Main_Presentation[[#This Row],[Due Date]],Main_Presentation[[#This Row],[Days]])</f>
        <v>2479.4</v>
      </c>
      <c r="AB1144" s="16"/>
    </row>
    <row r="1145" spans="1:28" ht="15.75" hidden="1" x14ac:dyDescent="0.25">
      <c r="A1145" s="20" t="s">
        <v>1610</v>
      </c>
      <c r="B1145" s="15">
        <v>45939</v>
      </c>
      <c r="C1145" s="26">
        <v>2</v>
      </c>
      <c r="D1145" s="55" t="str">
        <f>VLOOKUP(Main_Presentation[[#This Row],[LC Number]],Main_Issuance[],3,0)</f>
        <v>AbdulAziz Eraiba Fawzi</v>
      </c>
      <c r="E1145" s="16" t="s">
        <v>856</v>
      </c>
      <c r="F1145" s="17" t="str">
        <f>VLOOKUP(Main_Presentation[[#This Row],[LC Number]],Main_Issuance[],5,0)</f>
        <v>Jazira</v>
      </c>
      <c r="G1145" s="17" t="str">
        <f>VLOOKUP(Main_Presentation[[#This Row],[LC Number]],Main_Issuance[],6,0)</f>
        <v>RCRC</v>
      </c>
      <c r="H1145" s="17" t="str">
        <f>VLOOKUP(Main_Presentation[[#This Row],[LC Number]],Main_Issuance[],17,0)</f>
        <v>Credit</v>
      </c>
      <c r="I1145" s="17" t="str">
        <f>VLOOKUP(Main_Presentation[[#This Row],[LC Number]],Main_Issuance[],7,0)</f>
        <v>Metten Al-Arabia Ltd Co (METARA)</v>
      </c>
      <c r="J1145" s="17" t="str">
        <f>VLOOKUP(Main_Presentation[[#This Row],[LC Number]],Main_Issuance[],8,0)</f>
        <v>MBL</v>
      </c>
      <c r="K1145" s="17" t="str">
        <f>VLOOKUP(Main_Presentation[[#This Row],[LC Number]],Main_Issuance[],9,0)</f>
        <v>RCRC</v>
      </c>
      <c r="L1145" s="17">
        <f>VLOOKUP(Main_Presentation[[#This Row],[LC Number]],Main_Issuance[],10,0)</f>
        <v>1020106</v>
      </c>
      <c r="M1145" s="17" t="str">
        <f>VLOOKUP(Main_Presentation[[#This Row],[LC Number]],Main_Issuance[],11,0)</f>
        <v>SAR</v>
      </c>
      <c r="N1145" s="84">
        <f>VLOOKUP(Main_Presentation[[#This Row],[LC Number]],Main_Issuance[],12,0)</f>
        <v>12956001.199999999</v>
      </c>
      <c r="O1145" s="16" t="s">
        <v>20</v>
      </c>
      <c r="P1145" s="16" t="s">
        <v>378</v>
      </c>
      <c r="Q1145" s="131">
        <v>359031.77</v>
      </c>
      <c r="R1145" s="18">
        <v>1</v>
      </c>
      <c r="S1145" s="18">
        <f>Main_Presentation[[#This Row],[Invoice Amt (FCY)]]*Main_Presentation[[#This Row],[Rate]]</f>
        <v>359031.77</v>
      </c>
      <c r="T1145" s="15">
        <v>45943</v>
      </c>
      <c r="U1145" s="26" t="str">
        <f>VLOOKUP(Main_Presentation[[#This Row],[LC Number]],Main_Issuance[],18,0)</f>
        <v>60 Days from Invoice Date</v>
      </c>
      <c r="V1145" s="17" t="s">
        <v>22</v>
      </c>
      <c r="W1145" s="22" t="s">
        <v>378</v>
      </c>
      <c r="X1145" s="16"/>
      <c r="Y1145" s="234" t="str">
        <f>TRIM(LEFT(Main_Presentation[[#This Row],[Payment Terms]],3))</f>
        <v>60</v>
      </c>
      <c r="Z1145" s="16"/>
      <c r="AA1145" s="316" cm="1">
        <f t="array" ref="AA1145">Settlement(Main_Presentation[[#This Row],[Bank]],Main_Presentation[[#This Row],[ Invoice Amt (SAR)]],Main_Presentation[[#This Row],[Date Recd]],Main_Presentation[[#This Row],[Due Date]],Main_Presentation[[#This Row],[Days]])</f>
        <v>977.5</v>
      </c>
      <c r="AB1145" s="16"/>
    </row>
    <row r="1146" spans="1:28" ht="15.75" hidden="1" x14ac:dyDescent="0.25">
      <c r="A1146" s="20" t="s">
        <v>700</v>
      </c>
      <c r="B1146" s="15">
        <v>45908</v>
      </c>
      <c r="C1146" s="26">
        <v>5</v>
      </c>
      <c r="D1146" s="55" t="str">
        <f>VLOOKUP(Main_Presentation[[#This Row],[LC Number]],Main_Issuance[],3,0)</f>
        <v>Tareeq Telmasani</v>
      </c>
      <c r="E1146" s="16" t="s">
        <v>856</v>
      </c>
      <c r="F1146" s="17" t="str">
        <f>VLOOKUP(Main_Presentation[[#This Row],[LC Number]],Main_Issuance[],5,0)</f>
        <v>SAB</v>
      </c>
      <c r="G1146" s="17" t="str">
        <f>VLOOKUP(Main_Presentation[[#This Row],[LC Number]],Main_Issuance[],6,0)</f>
        <v>CEER</v>
      </c>
      <c r="H1146" s="17" t="str">
        <f>VLOOKUP(Main_Presentation[[#This Row],[LC Number]],Main_Issuance[],17,0)</f>
        <v>Credit</v>
      </c>
      <c r="I1146" s="17" t="str">
        <f>VLOOKUP(Main_Presentation[[#This Row],[LC Number]],Main_Issuance[],7,0)</f>
        <v>MATERIALS SYSTEMS AND INDUSTRIAL SOLUTIONS COMPANY</v>
      </c>
      <c r="J1146" s="17" t="str">
        <f>VLOOKUP(Main_Presentation[[#This Row],[LC Number]],Main_Issuance[],8,0)</f>
        <v>MBL</v>
      </c>
      <c r="K1146" s="17" t="str">
        <f>VLOOKUP(Main_Presentation[[#This Row],[LC Number]],Main_Issuance[],9,0)</f>
        <v>CEER</v>
      </c>
      <c r="L1146" s="17">
        <f>VLOOKUP(Main_Presentation[[#This Row],[LC Number]],Main_Issuance[],10,0)</f>
        <v>1020091</v>
      </c>
      <c r="M1146" s="17" t="str">
        <f>VLOOKUP(Main_Presentation[[#This Row],[LC Number]],Main_Issuance[],11,0)</f>
        <v>SAR</v>
      </c>
      <c r="N1146" s="84">
        <f>VLOOKUP(Main_Presentation[[#This Row],[LC Number]],Main_Issuance[],12,0)</f>
        <v>4859479.5600000005</v>
      </c>
      <c r="O1146" s="16" t="s">
        <v>20</v>
      </c>
      <c r="P1146" s="16" t="s">
        <v>857</v>
      </c>
      <c r="Q1146" s="131">
        <v>912973.22</v>
      </c>
      <c r="R1146" s="18">
        <v>1</v>
      </c>
      <c r="S1146" s="18">
        <f>Main_Presentation[[#This Row],[Invoice Amt (FCY)]]*Main_Presentation[[#This Row],[Rate]]</f>
        <v>912973.22</v>
      </c>
      <c r="T1146" s="15">
        <v>45980</v>
      </c>
      <c r="U1146" s="26" t="str">
        <f>VLOOKUP(Main_Presentation[[#This Row],[LC Number]],Main_Issuance[],18,0)</f>
        <v>90 Days from Invoice Date</v>
      </c>
      <c r="V1146" s="17" t="s">
        <v>367</v>
      </c>
      <c r="W1146" s="22" t="s">
        <v>857</v>
      </c>
      <c r="X1146" s="16"/>
      <c r="Y1146" s="234" t="str">
        <f>TRIM(LEFT(Main_Presentation[[#This Row],[Payment Terms]],3))</f>
        <v>90</v>
      </c>
      <c r="Z1146" s="16"/>
      <c r="AA1146" s="316" cm="1">
        <f t="array" ref="AA1146">Settlement(Main_Presentation[[#This Row],[Bank]],Main_Presentation[[#This Row],[ Invoice Amt (SAR)]],Main_Presentation[[#This Row],[Date Recd]],Main_Presentation[[#This Row],[Due Date]],Main_Presentation[[#This Row],[Days]])</f>
        <v>3937.6</v>
      </c>
      <c r="AB1146" s="16"/>
    </row>
    <row r="1147" spans="1:28" ht="15.75" hidden="1" x14ac:dyDescent="0.25">
      <c r="A1147" s="129" t="s">
        <v>1404</v>
      </c>
      <c r="B1147" s="15">
        <v>45902</v>
      </c>
      <c r="C1147" s="26">
        <v>2</v>
      </c>
      <c r="D1147" s="55" t="str">
        <f>VLOOKUP(Main_Presentation[[#This Row],[LC Number]],Main_Issuance[],3,0)</f>
        <v>Hassan Taleb</v>
      </c>
      <c r="E1147" s="16" t="s">
        <v>858</v>
      </c>
      <c r="F1147" s="17" t="str">
        <f>VLOOKUP(Main_Presentation[[#This Row],[LC Number]],Main_Issuance[],5,0)</f>
        <v>Alinma</v>
      </c>
      <c r="G1147" s="17" t="str">
        <f>VLOOKUP(Main_Presentation[[#This Row],[LC Number]],Main_Issuance[],6,0)</f>
        <v>KSP</v>
      </c>
      <c r="H1147" s="17" t="str">
        <f>VLOOKUP(Main_Presentation[[#This Row],[LC Number]],Main_Issuance[],17,0)</f>
        <v>Credit</v>
      </c>
      <c r="I1147" s="17" t="str">
        <f>VLOOKUP(Main_Presentation[[#This Row],[LC Number]],Main_Issuance[],7,0)</f>
        <v>DANIA AIR CONTROL SYSTEM FACTORY</v>
      </c>
      <c r="J1147" s="17" t="str">
        <f>VLOOKUP(Main_Presentation[[#This Row],[LC Number]],Main_Issuance[],8,0)</f>
        <v>FIRST FIX</v>
      </c>
      <c r="K1147" s="17" t="str">
        <f>VLOOKUP(Main_Presentation[[#This Row],[LC Number]],Main_Issuance[],9,0)</f>
        <v>KSP</v>
      </c>
      <c r="L1147" s="17">
        <f>VLOOKUP(Main_Presentation[[#This Row],[LC Number]],Main_Issuance[],10,0)</f>
        <v>1020055</v>
      </c>
      <c r="M1147" s="17" t="str">
        <f>VLOOKUP(Main_Presentation[[#This Row],[LC Number]],Main_Issuance[],11,0)</f>
        <v>SAR</v>
      </c>
      <c r="N1147" s="84">
        <f>VLOOKUP(Main_Presentation[[#This Row],[LC Number]],Main_Issuance[],12,0)</f>
        <v>197999.99</v>
      </c>
      <c r="O1147" s="16" t="s">
        <v>20</v>
      </c>
      <c r="P1147" s="16" t="s">
        <v>857</v>
      </c>
      <c r="Q1147" s="131">
        <v>197000</v>
      </c>
      <c r="R1147" s="18">
        <v>1</v>
      </c>
      <c r="S1147" s="18">
        <f>Main_Presentation[[#This Row],[Invoice Amt (FCY)]]*Main_Presentation[[#This Row],[Rate]]</f>
        <v>197000</v>
      </c>
      <c r="T1147" s="15">
        <v>45937</v>
      </c>
      <c r="U1147" s="26" t="str">
        <f>VLOOKUP(Main_Presentation[[#This Row],[LC Number]],Main_Issuance[],18,0)</f>
        <v>120 Days from Invoice Date</v>
      </c>
      <c r="V1147" s="17" t="s">
        <v>22</v>
      </c>
      <c r="W1147" s="22" t="s">
        <v>857</v>
      </c>
      <c r="X1147" s="16"/>
      <c r="Y1147" s="234" t="str">
        <f>TRIM(LEFT(Main_Presentation[[#This Row],[Payment Terms]],3))</f>
        <v>120</v>
      </c>
      <c r="Z1147" s="16"/>
      <c r="AA1147" s="316" cm="1">
        <f t="array" ref="AA1147">Settlement(Main_Presentation[[#This Row],[Bank]],Main_Presentation[[#This Row],[ Invoice Amt (SAR)]],Main_Presentation[[#This Row],[Date Recd]],Main_Presentation[[#This Row],[Due Date]],Main_Presentation[[#This Row],[Days]])</f>
        <v>1437.5</v>
      </c>
      <c r="AB1147" s="16"/>
    </row>
    <row r="1148" spans="1:28" ht="15.75" hidden="1" x14ac:dyDescent="0.25">
      <c r="A1148" s="20" t="s">
        <v>1648</v>
      </c>
      <c r="B1148" s="15">
        <v>45915</v>
      </c>
      <c r="C1148" s="26">
        <v>2</v>
      </c>
      <c r="D1148" s="55" t="str">
        <f>VLOOKUP(Main_Presentation[[#This Row],[LC Number]],Main_Issuance[],3,0)</f>
        <v>Tareeq Telmasani</v>
      </c>
      <c r="E1148" s="16" t="s">
        <v>858</v>
      </c>
      <c r="F1148" s="17" t="str">
        <f>VLOOKUP(Main_Presentation[[#This Row],[LC Number]],Main_Issuance[],5,0)</f>
        <v>SAB</v>
      </c>
      <c r="G1148" s="17" t="str">
        <f>VLOOKUP(Main_Presentation[[#This Row],[LC Number]],Main_Issuance[],6,0)</f>
        <v>CEER</v>
      </c>
      <c r="H1148" s="17" t="str">
        <f>VLOOKUP(Main_Presentation[[#This Row],[LC Number]],Main_Issuance[],17,0)</f>
        <v>Credit</v>
      </c>
      <c r="I1148" s="17" t="str">
        <f>VLOOKUP(Main_Presentation[[#This Row],[LC Number]],Main_Issuance[],7,0)</f>
        <v>Atlas Industrial Equipment Co.</v>
      </c>
      <c r="J1148" s="17" t="str">
        <f>VLOOKUP(Main_Presentation[[#This Row],[LC Number]],Main_Issuance[],8,0)</f>
        <v>FIRST FIX</v>
      </c>
      <c r="K1148" s="17" t="str">
        <f>VLOOKUP(Main_Presentation[[#This Row],[LC Number]],Main_Issuance[],9,0)</f>
        <v>CEER</v>
      </c>
      <c r="L1148" s="17">
        <f>VLOOKUP(Main_Presentation[[#This Row],[LC Number]],Main_Issuance[],10,0)</f>
        <v>1020091</v>
      </c>
      <c r="M1148" s="17" t="str">
        <f>VLOOKUP(Main_Presentation[[#This Row],[LC Number]],Main_Issuance[],11,0)</f>
        <v>SAR</v>
      </c>
      <c r="N1148" s="84">
        <f>VLOOKUP(Main_Presentation[[#This Row],[LC Number]],Main_Issuance[],12,0)</f>
        <v>4030520.1</v>
      </c>
      <c r="O1148" s="16" t="s">
        <v>20</v>
      </c>
      <c r="P1148" s="16" t="s">
        <v>857</v>
      </c>
      <c r="Q1148" s="131">
        <v>1156440.1000000001</v>
      </c>
      <c r="R1148" s="18">
        <v>1</v>
      </c>
      <c r="S1148" s="18">
        <f>Main_Presentation[[#This Row],[Invoice Amt (FCY)]]*Main_Presentation[[#This Row],[Rate]]</f>
        <v>1156440.1000000001</v>
      </c>
      <c r="T1148" s="15">
        <v>46057</v>
      </c>
      <c r="U1148" s="26" t="str">
        <f>VLOOKUP(Main_Presentation[[#This Row],[LC Number]],Main_Issuance[],18,0)</f>
        <v>150 Days from Appl. Representative Sign</v>
      </c>
      <c r="V1148" s="17" t="s">
        <v>367</v>
      </c>
      <c r="W1148" s="22" t="s">
        <v>857</v>
      </c>
      <c r="X1148" s="16"/>
      <c r="Y1148" s="234" t="str">
        <f>TRIM(LEFT(Main_Presentation[[#This Row],[Payment Terms]],3))</f>
        <v>150</v>
      </c>
      <c r="Z1148" s="16"/>
      <c r="AA1148" s="316" cm="1">
        <f t="array" ref="AA1148">Settlement(Main_Presentation[[#This Row],[Bank]],Main_Presentation[[#This Row],[ Invoice Amt (SAR)]],Main_Presentation[[#This Row],[Date Recd]],Main_Presentation[[#This Row],[Due Date]],Main_Presentation[[#This Row],[Days]])</f>
        <v>4987.55</v>
      </c>
      <c r="AB1148" s="16"/>
    </row>
    <row r="1149" spans="1:28" ht="15.75" hidden="1" x14ac:dyDescent="0.25">
      <c r="A1149" s="20" t="s">
        <v>1651</v>
      </c>
      <c r="B1149" s="15">
        <v>45931</v>
      </c>
      <c r="C1149" s="26">
        <v>1</v>
      </c>
      <c r="D1149" s="55" t="str">
        <f>VLOOKUP(Main_Presentation[[#This Row],[LC Number]],Main_Issuance[],3,0)</f>
        <v>Tareeq Telmasani</v>
      </c>
      <c r="E1149" s="16" t="s">
        <v>858</v>
      </c>
      <c r="F1149" s="17" t="str">
        <f>VLOOKUP(Main_Presentation[[#This Row],[LC Number]],Main_Issuance[],5,0)</f>
        <v>SAB</v>
      </c>
      <c r="G1149" s="17" t="str">
        <f>VLOOKUP(Main_Presentation[[#This Row],[LC Number]],Main_Issuance[],6,0)</f>
        <v>CEER</v>
      </c>
      <c r="H1149" s="17" t="str">
        <f>VLOOKUP(Main_Presentation[[#This Row],[LC Number]],Main_Issuance[],17,0)</f>
        <v>Credit</v>
      </c>
      <c r="I1149" s="17" t="str">
        <f>VLOOKUP(Main_Presentation[[#This Row],[LC Number]],Main_Issuance[],7,0)</f>
        <v xml:space="preserve">Masdar Technical Supplies Co. </v>
      </c>
      <c r="J1149" s="17" t="str">
        <f>VLOOKUP(Main_Presentation[[#This Row],[LC Number]],Main_Issuance[],8,0)</f>
        <v>FIRST FIX</v>
      </c>
      <c r="K1149" s="17" t="str">
        <f>VLOOKUP(Main_Presentation[[#This Row],[LC Number]],Main_Issuance[],9,0)</f>
        <v>CEER</v>
      </c>
      <c r="L1149" s="17">
        <f>VLOOKUP(Main_Presentation[[#This Row],[LC Number]],Main_Issuance[],10,0)</f>
        <v>1020091</v>
      </c>
      <c r="M1149" s="17" t="str">
        <f>VLOOKUP(Main_Presentation[[#This Row],[LC Number]],Main_Issuance[],11,0)</f>
        <v>SAR</v>
      </c>
      <c r="N1149" s="84">
        <f>VLOOKUP(Main_Presentation[[#This Row],[LC Number]],Main_Issuance[],12,0)</f>
        <v>1800000</v>
      </c>
      <c r="O1149" s="16" t="s">
        <v>20</v>
      </c>
      <c r="P1149" s="16" t="s">
        <v>857</v>
      </c>
      <c r="Q1149" s="131">
        <v>1800000</v>
      </c>
      <c r="R1149" s="18">
        <v>1</v>
      </c>
      <c r="S1149" s="18">
        <f>Main_Presentation[[#This Row],[Invoice Amt (FCY)]]*Main_Presentation[[#This Row],[Rate]]</f>
        <v>1800000</v>
      </c>
      <c r="T1149" s="15">
        <v>45998</v>
      </c>
      <c r="U1149" s="26" t="str">
        <f>VLOOKUP(Main_Presentation[[#This Row],[LC Number]],Main_Issuance[],18,0)</f>
        <v>90 Days from Appl. Representative Sign</v>
      </c>
      <c r="V1149" s="17" t="s">
        <v>367</v>
      </c>
      <c r="W1149" s="22" t="s">
        <v>857</v>
      </c>
      <c r="X1149" s="16"/>
      <c r="Y1149" s="234" t="str">
        <f>TRIM(LEFT(Main_Presentation[[#This Row],[Payment Terms]],3))</f>
        <v>90</v>
      </c>
      <c r="Z1149" s="16"/>
      <c r="AA1149" s="316" cm="1">
        <f t="array" ref="AA1149">Settlement(Main_Presentation[[#This Row],[Bank]],Main_Presentation[[#This Row],[ Invoice Amt (SAR)]],Main_Presentation[[#This Row],[Date Recd]],Main_Presentation[[#This Row],[Due Date]],Main_Presentation[[#This Row],[Days]])</f>
        <v>7762.5</v>
      </c>
      <c r="AB1149" s="16"/>
    </row>
    <row r="1150" spans="1:28" ht="15.75" hidden="1" x14ac:dyDescent="0.25">
      <c r="A1150" s="20" t="s">
        <v>1735</v>
      </c>
      <c r="B1150" s="15">
        <v>45918</v>
      </c>
      <c r="C1150" s="26">
        <v>1</v>
      </c>
      <c r="D1150" s="55" t="str">
        <f>VLOOKUP(Main_Presentation[[#This Row],[LC Number]],Main_Issuance[],3,0)</f>
        <v>Tareeq Telmasani</v>
      </c>
      <c r="E1150" s="16" t="s">
        <v>856</v>
      </c>
      <c r="F1150" s="17" t="str">
        <f>VLOOKUP(Main_Presentation[[#This Row],[LC Number]],Main_Issuance[],5,0)</f>
        <v>SAB</v>
      </c>
      <c r="G1150" s="17" t="str">
        <f>VLOOKUP(Main_Presentation[[#This Row],[LC Number]],Main_Issuance[],6,0)</f>
        <v>CEER</v>
      </c>
      <c r="H1150" s="17" t="str">
        <f>VLOOKUP(Main_Presentation[[#This Row],[LC Number]],Main_Issuance[],17,0)</f>
        <v>Credit</v>
      </c>
      <c r="I1150" s="17" t="str">
        <f>VLOOKUP(Main_Presentation[[#This Row],[LC Number]],Main_Issuance[],7,0)</f>
        <v>ALFANAR ELECTRICAL SYSTEMS</v>
      </c>
      <c r="J1150" s="17" t="str">
        <f>VLOOKUP(Main_Presentation[[#This Row],[LC Number]],Main_Issuance[],8,0)</f>
        <v>FIRST FIX</v>
      </c>
      <c r="K1150" s="17" t="str">
        <f>VLOOKUP(Main_Presentation[[#This Row],[LC Number]],Main_Issuance[],9,0)</f>
        <v>CEER</v>
      </c>
      <c r="L1150" s="17">
        <f>VLOOKUP(Main_Presentation[[#This Row],[LC Number]],Main_Issuance[],10,0)</f>
        <v>1020091</v>
      </c>
      <c r="M1150" s="17" t="str">
        <f>VLOOKUP(Main_Presentation[[#This Row],[LC Number]],Main_Issuance[],11,0)</f>
        <v>SAR</v>
      </c>
      <c r="N1150" s="84">
        <f>VLOOKUP(Main_Presentation[[#This Row],[LC Number]],Main_Issuance[],12,0)</f>
        <v>6250000</v>
      </c>
      <c r="O1150" s="16" t="s">
        <v>20</v>
      </c>
      <c r="P1150" s="16" t="s">
        <v>857</v>
      </c>
      <c r="Q1150" s="131">
        <v>5443652.0700000003</v>
      </c>
      <c r="R1150" s="18">
        <v>1</v>
      </c>
      <c r="S1150" s="18">
        <f>Main_Presentation[[#This Row],[Invoice Amt (FCY)]]*Main_Presentation[[#This Row],[Rate]]</f>
        <v>5443652.0700000003</v>
      </c>
      <c r="T1150" s="15">
        <v>45998</v>
      </c>
      <c r="U1150" s="26" t="str">
        <f>VLOOKUP(Main_Presentation[[#This Row],[LC Number]],Main_Issuance[],18,0)</f>
        <v>90 Days from Appl. Representative Sign</v>
      </c>
      <c r="V1150" s="17" t="s">
        <v>367</v>
      </c>
      <c r="W1150" s="22" t="s">
        <v>857</v>
      </c>
      <c r="X1150" s="16"/>
      <c r="Y1150" s="234" t="str">
        <f>TRIM(LEFT(Main_Presentation[[#This Row],[Payment Terms]],3))</f>
        <v>90</v>
      </c>
      <c r="Z1150" s="16"/>
      <c r="AA1150" s="316" cm="1">
        <f t="array" ref="AA1150">Settlement(Main_Presentation[[#This Row],[Bank]],Main_Presentation[[#This Row],[ Invoice Amt (SAR)]],Main_Presentation[[#This Row],[Date Recd]],Main_Presentation[[#This Row],[Due Date]],Main_Presentation[[#This Row],[Days]])</f>
        <v>23476.1</v>
      </c>
      <c r="AB1150" s="16"/>
    </row>
    <row r="1151" spans="1:28" ht="15.75" hidden="1" x14ac:dyDescent="0.25">
      <c r="A1151" s="20" t="s">
        <v>1733</v>
      </c>
      <c r="B1151" s="15">
        <v>45929</v>
      </c>
      <c r="C1151" s="26">
        <v>1</v>
      </c>
      <c r="D1151" s="55" t="str">
        <f>VLOOKUP(Main_Presentation[[#This Row],[LC Number]],Main_Issuance[],3,0)</f>
        <v>Tareeq Telmasani</v>
      </c>
      <c r="E1151" s="16" t="s">
        <v>856</v>
      </c>
      <c r="F1151" s="17" t="str">
        <f>VLOOKUP(Main_Presentation[[#This Row],[LC Number]],Main_Issuance[],5,0)</f>
        <v>SAB</v>
      </c>
      <c r="G1151" s="17" t="str">
        <f>VLOOKUP(Main_Presentation[[#This Row],[LC Number]],Main_Issuance[],6,0)</f>
        <v>CEER</v>
      </c>
      <c r="H1151" s="17" t="str">
        <f>VLOOKUP(Main_Presentation[[#This Row],[LC Number]],Main_Issuance[],17,0)</f>
        <v>Credit</v>
      </c>
      <c r="I1151" s="17" t="str">
        <f>VLOOKUP(Main_Presentation[[#This Row],[LC Number]],Main_Issuance[],7,0)</f>
        <v>MARIAM TRADING CO &amp; PARTNER</v>
      </c>
      <c r="J1151" s="17" t="str">
        <f>VLOOKUP(Main_Presentation[[#This Row],[LC Number]],Main_Issuance[],8,0)</f>
        <v>FIRST FIX</v>
      </c>
      <c r="K1151" s="17" t="str">
        <f>VLOOKUP(Main_Presentation[[#This Row],[LC Number]],Main_Issuance[],9,0)</f>
        <v>CEER</v>
      </c>
      <c r="L1151" s="17">
        <f>VLOOKUP(Main_Presentation[[#This Row],[LC Number]],Main_Issuance[],10,0)</f>
        <v>1020091</v>
      </c>
      <c r="M1151" s="17" t="str">
        <f>VLOOKUP(Main_Presentation[[#This Row],[LC Number]],Main_Issuance[],11,0)</f>
        <v>SAR</v>
      </c>
      <c r="N1151" s="84">
        <f>VLOOKUP(Main_Presentation[[#This Row],[LC Number]],Main_Issuance[],12,0)</f>
        <v>600000</v>
      </c>
      <c r="O1151" s="16" t="s">
        <v>20</v>
      </c>
      <c r="P1151" s="16" t="s">
        <v>857</v>
      </c>
      <c r="Q1151" s="131">
        <v>600000</v>
      </c>
      <c r="R1151" s="18">
        <v>1</v>
      </c>
      <c r="S1151" s="18">
        <f>Main_Presentation[[#This Row],[Invoice Amt (FCY)]]*Main_Presentation[[#This Row],[Rate]]</f>
        <v>600000</v>
      </c>
      <c r="T1151" s="15">
        <v>45967</v>
      </c>
      <c r="U1151" s="26" t="str">
        <f>VLOOKUP(Main_Presentation[[#This Row],[LC Number]],Main_Issuance[],18,0)</f>
        <v>60 Days from Appl. Representative Sign</v>
      </c>
      <c r="V1151" s="17" t="s">
        <v>367</v>
      </c>
      <c r="W1151" s="22" t="s">
        <v>857</v>
      </c>
      <c r="X1151" s="16"/>
      <c r="Y1151" s="234" t="str">
        <f>TRIM(LEFT(Main_Presentation[[#This Row],[Payment Terms]],3))</f>
        <v>60</v>
      </c>
      <c r="Z1151" s="16"/>
      <c r="AA1151" s="316" cm="1">
        <f t="array" ref="AA1151">Settlement(Main_Presentation[[#This Row],[Bank]],Main_Presentation[[#This Row],[ Invoice Amt (SAR)]],Main_Presentation[[#This Row],[Date Recd]],Main_Presentation[[#This Row],[Due Date]],Main_Presentation[[#This Row],[Days]])</f>
        <v>2587.5</v>
      </c>
      <c r="AB1151" s="16"/>
    </row>
    <row r="1152" spans="1:28" ht="15.75" hidden="1" x14ac:dyDescent="0.25">
      <c r="A1152" s="20" t="s">
        <v>1675</v>
      </c>
      <c r="B1152" s="15">
        <v>45921</v>
      </c>
      <c r="C1152" s="26">
        <v>1</v>
      </c>
      <c r="D1152" s="55" t="str">
        <f>VLOOKUP(Main_Presentation[[#This Row],[LC Number]],Main_Issuance[],3,0)</f>
        <v>Tareeq Telmasani</v>
      </c>
      <c r="E1152" s="16" t="s">
        <v>856</v>
      </c>
      <c r="F1152" s="17" t="str">
        <f>VLOOKUP(Main_Presentation[[#This Row],[LC Number]],Main_Issuance[],5,0)</f>
        <v>SAB</v>
      </c>
      <c r="G1152" s="17" t="str">
        <f>VLOOKUP(Main_Presentation[[#This Row],[LC Number]],Main_Issuance[],6,0)</f>
        <v>CEER</v>
      </c>
      <c r="H1152" s="17" t="str">
        <f>VLOOKUP(Main_Presentation[[#This Row],[LC Number]],Main_Issuance[],17,0)</f>
        <v>Credit</v>
      </c>
      <c r="I1152" s="17" t="str">
        <f>VLOOKUP(Main_Presentation[[#This Row],[LC Number]],Main_Issuance[],7,0)</f>
        <v>Ezdehar Industrial Services Co.</v>
      </c>
      <c r="J1152" s="17" t="str">
        <f>VLOOKUP(Main_Presentation[[#This Row],[LC Number]],Main_Issuance[],8,0)</f>
        <v>FIRST FIX</v>
      </c>
      <c r="K1152" s="17" t="str">
        <f>VLOOKUP(Main_Presentation[[#This Row],[LC Number]],Main_Issuance[],9,0)</f>
        <v>CEER</v>
      </c>
      <c r="L1152" s="17">
        <f>VLOOKUP(Main_Presentation[[#This Row],[LC Number]],Main_Issuance[],10,0)</f>
        <v>1020091</v>
      </c>
      <c r="M1152" s="17" t="str">
        <f>VLOOKUP(Main_Presentation[[#This Row],[LC Number]],Main_Issuance[],11,0)</f>
        <v>SAR</v>
      </c>
      <c r="N1152" s="84">
        <f>VLOOKUP(Main_Presentation[[#This Row],[LC Number]],Main_Issuance[],12,0)</f>
        <v>863207.81</v>
      </c>
      <c r="O1152" s="16" t="s">
        <v>20</v>
      </c>
      <c r="P1152" s="16" t="s">
        <v>857</v>
      </c>
      <c r="Q1152" s="131">
        <v>851717.19</v>
      </c>
      <c r="R1152" s="18">
        <v>1</v>
      </c>
      <c r="S1152" s="18">
        <f>Main_Presentation[[#This Row],[Invoice Amt (FCY)]]*Main_Presentation[[#This Row],[Rate]]</f>
        <v>851717.19</v>
      </c>
      <c r="T1152" s="15">
        <v>45998</v>
      </c>
      <c r="U1152" s="26" t="str">
        <f>VLOOKUP(Main_Presentation[[#This Row],[LC Number]],Main_Issuance[],18,0)</f>
        <v>90 Days from Appl. Representative Sign</v>
      </c>
      <c r="V1152" s="17" t="s">
        <v>367</v>
      </c>
      <c r="W1152" s="22" t="s">
        <v>857</v>
      </c>
      <c r="X1152" s="16"/>
      <c r="Y1152" s="234" t="str">
        <f>TRIM(LEFT(Main_Presentation[[#This Row],[Payment Terms]],3))</f>
        <v>90</v>
      </c>
      <c r="Z1152" s="16"/>
      <c r="AA1152" s="316" cm="1">
        <f t="array" ref="AA1152">Settlement(Main_Presentation[[#This Row],[Bank]],Main_Presentation[[#This Row],[ Invoice Amt (SAR)]],Main_Presentation[[#This Row],[Date Recd]],Main_Presentation[[#This Row],[Due Date]],Main_Presentation[[#This Row],[Days]])</f>
        <v>3673.1</v>
      </c>
      <c r="AB1152" s="234"/>
    </row>
    <row r="1153" spans="1:28" ht="15.75" hidden="1" x14ac:dyDescent="0.25">
      <c r="A1153" s="20" t="s">
        <v>1736</v>
      </c>
      <c r="B1153" s="15">
        <v>45914</v>
      </c>
      <c r="C1153" s="26">
        <v>2</v>
      </c>
      <c r="D1153" s="55" t="str">
        <f>VLOOKUP(Main_Presentation[[#This Row],[LC Number]],Main_Issuance[],3,0)</f>
        <v>Tareeq Telmasani</v>
      </c>
      <c r="E1153" s="16" t="s">
        <v>856</v>
      </c>
      <c r="F1153" s="17" t="str">
        <f>VLOOKUP(Main_Presentation[[#This Row],[LC Number]],Main_Issuance[],5,0)</f>
        <v>SAB</v>
      </c>
      <c r="G1153" s="17" t="str">
        <f>VLOOKUP(Main_Presentation[[#This Row],[LC Number]],Main_Issuance[],6,0)</f>
        <v>CEER</v>
      </c>
      <c r="H1153" s="17" t="str">
        <f>VLOOKUP(Main_Presentation[[#This Row],[LC Number]],Main_Issuance[],17,0)</f>
        <v>Credit</v>
      </c>
      <c r="I1153" s="17" t="str">
        <f>VLOOKUP(Main_Presentation[[#This Row],[LC Number]],Main_Issuance[],7,0)</f>
        <v>Electric House Trading Company L.L.C.</v>
      </c>
      <c r="J1153" s="17" t="str">
        <f>VLOOKUP(Main_Presentation[[#This Row],[LC Number]],Main_Issuance[],8,0)</f>
        <v>FIRST FIX</v>
      </c>
      <c r="K1153" s="17" t="str">
        <f>VLOOKUP(Main_Presentation[[#This Row],[LC Number]],Main_Issuance[],9,0)</f>
        <v>CEER</v>
      </c>
      <c r="L1153" s="17">
        <f>VLOOKUP(Main_Presentation[[#This Row],[LC Number]],Main_Issuance[],10,0)</f>
        <v>1020091</v>
      </c>
      <c r="M1153" s="17" t="str">
        <f>VLOOKUP(Main_Presentation[[#This Row],[LC Number]],Main_Issuance[],11,0)</f>
        <v>SAR</v>
      </c>
      <c r="N1153" s="84">
        <f>VLOOKUP(Main_Presentation[[#This Row],[LC Number]],Main_Issuance[],12,0)</f>
        <v>40000000</v>
      </c>
      <c r="O1153" s="16" t="s">
        <v>20</v>
      </c>
      <c r="P1153" s="16" t="s">
        <v>857</v>
      </c>
      <c r="Q1153" s="131">
        <v>5000000</v>
      </c>
      <c r="R1153" s="18">
        <v>1</v>
      </c>
      <c r="S1153" s="18">
        <f>Main_Presentation[[#This Row],[Invoice Amt (FCY)]]*Main_Presentation[[#This Row],[Rate]]</f>
        <v>5000000</v>
      </c>
      <c r="T1153" s="15">
        <v>45998</v>
      </c>
      <c r="U1153" s="26" t="str">
        <f>VLOOKUP(Main_Presentation[[#This Row],[LC Number]],Main_Issuance[],18,0)</f>
        <v>90 Days from Appl. Representative Sign</v>
      </c>
      <c r="V1153" s="17" t="s">
        <v>367</v>
      </c>
      <c r="W1153" s="22" t="s">
        <v>857</v>
      </c>
      <c r="X1153" s="16"/>
      <c r="Y1153" s="234" t="str">
        <f>TRIM(LEFT(Main_Presentation[[#This Row],[Payment Terms]],3))</f>
        <v>90</v>
      </c>
      <c r="Z1153" s="16"/>
      <c r="AA1153" s="316" cm="1">
        <f t="array" ref="AA1153">Settlement(Main_Presentation[[#This Row],[Bank]],Main_Presentation[[#This Row],[ Invoice Amt (SAR)]],Main_Presentation[[#This Row],[Date Recd]],Main_Presentation[[#This Row],[Due Date]],Main_Presentation[[#This Row],[Days]])</f>
        <v>21562.5</v>
      </c>
      <c r="AB1153" s="16"/>
    </row>
    <row r="1154" spans="1:28" ht="15.75" hidden="1" x14ac:dyDescent="0.25">
      <c r="A1154" s="20" t="s">
        <v>1636</v>
      </c>
      <c r="B1154" s="15">
        <v>45931</v>
      </c>
      <c r="C1154" s="26">
        <v>1</v>
      </c>
      <c r="D1154" s="55" t="str">
        <f>VLOOKUP(Main_Presentation[[#This Row],[LC Number]],Main_Issuance[],3,0)</f>
        <v>Tareeq Telmasani</v>
      </c>
      <c r="E1154" s="16" t="s">
        <v>856</v>
      </c>
      <c r="F1154" s="17" t="str">
        <f>VLOOKUP(Main_Presentation[[#This Row],[LC Number]],Main_Issuance[],5,0)</f>
        <v>SAB</v>
      </c>
      <c r="G1154" s="17" t="str">
        <f>VLOOKUP(Main_Presentation[[#This Row],[LC Number]],Main_Issuance[],6,0)</f>
        <v>CEER</v>
      </c>
      <c r="H1154" s="17" t="str">
        <f>VLOOKUP(Main_Presentation[[#This Row],[LC Number]],Main_Issuance[],17,0)</f>
        <v>Credit</v>
      </c>
      <c r="I1154" s="17" t="str">
        <f>VLOOKUP(Main_Presentation[[#This Row],[LC Number]],Main_Issuance[],7,0)</f>
        <v>SAFID CO.LTD</v>
      </c>
      <c r="J1154" s="17" t="str">
        <f>VLOOKUP(Main_Presentation[[#This Row],[LC Number]],Main_Issuance[],8,0)</f>
        <v>FIRST FIX</v>
      </c>
      <c r="K1154" s="17" t="str">
        <f>VLOOKUP(Main_Presentation[[#This Row],[LC Number]],Main_Issuance[],9,0)</f>
        <v>CEER</v>
      </c>
      <c r="L1154" s="17">
        <f>VLOOKUP(Main_Presentation[[#This Row],[LC Number]],Main_Issuance[],10,0)</f>
        <v>1020091</v>
      </c>
      <c r="M1154" s="17" t="str">
        <f>VLOOKUP(Main_Presentation[[#This Row],[LC Number]],Main_Issuance[],11,0)</f>
        <v>SAR</v>
      </c>
      <c r="N1154" s="84">
        <f>VLOOKUP(Main_Presentation[[#This Row],[LC Number]],Main_Issuance[],12,0)</f>
        <v>5000000</v>
      </c>
      <c r="O1154" s="16" t="s">
        <v>20</v>
      </c>
      <c r="P1154" s="16" t="s">
        <v>857</v>
      </c>
      <c r="Q1154" s="131">
        <v>5000000</v>
      </c>
      <c r="R1154" s="18">
        <v>1</v>
      </c>
      <c r="S1154" s="18">
        <f>Main_Presentation[[#This Row],[Invoice Amt (FCY)]]*Main_Presentation[[#This Row],[Rate]]</f>
        <v>5000000</v>
      </c>
      <c r="T1154" s="15">
        <v>45998</v>
      </c>
      <c r="U1154" s="26" t="str">
        <f>VLOOKUP(Main_Presentation[[#This Row],[LC Number]],Main_Issuance[],18,0)</f>
        <v>90 Days from Appl. Representative Sign</v>
      </c>
      <c r="V1154" s="17" t="s">
        <v>367</v>
      </c>
      <c r="W1154" s="22" t="s">
        <v>857</v>
      </c>
      <c r="X1154" s="16"/>
      <c r="Y1154" s="234" t="str">
        <f>TRIM(LEFT(Main_Presentation[[#This Row],[Payment Terms]],3))</f>
        <v>90</v>
      </c>
      <c r="Z1154" s="16"/>
      <c r="AA1154" s="316" cm="1">
        <f t="array" ref="AA1154">Settlement(Main_Presentation[[#This Row],[Bank]],Main_Presentation[[#This Row],[ Invoice Amt (SAR)]],Main_Presentation[[#This Row],[Date Recd]],Main_Presentation[[#This Row],[Due Date]],Main_Presentation[[#This Row],[Days]])</f>
        <v>21562.5</v>
      </c>
      <c r="AB1154" s="16"/>
    </row>
    <row r="1155" spans="1:28" ht="15.75" hidden="1" x14ac:dyDescent="0.25">
      <c r="A1155" s="20" t="s">
        <v>1280</v>
      </c>
      <c r="B1155" s="15">
        <v>45928</v>
      </c>
      <c r="C1155" s="26">
        <v>3</v>
      </c>
      <c r="D1155" s="55" t="str">
        <f>VLOOKUP(Main_Presentation[[#This Row],[LC Number]],Main_Issuance[],3,0)</f>
        <v>Hassan Taleb</v>
      </c>
      <c r="E1155" s="16" t="s">
        <v>858</v>
      </c>
      <c r="F1155" s="17" t="str">
        <f>VLOOKUP(Main_Presentation[[#This Row],[LC Number]],Main_Issuance[],5,0)</f>
        <v>BAB</v>
      </c>
      <c r="G1155" s="17" t="str">
        <f>VLOOKUP(Main_Presentation[[#This Row],[LC Number]],Main_Issuance[],6,0)</f>
        <v>Cash</v>
      </c>
      <c r="H1155" s="17" t="str">
        <f>VLOOKUP(Main_Presentation[[#This Row],[LC Number]],Main_Issuance[],17,0)</f>
        <v>Cash</v>
      </c>
      <c r="I1155" s="17" t="str">
        <f>VLOOKUP(Main_Presentation[[#This Row],[LC Number]],Main_Issuance[],7,0)</f>
        <v>KENZ SARAB MACHINERY AND EQUIPMENT COMPANY</v>
      </c>
      <c r="J1155" s="17" t="str">
        <f>VLOOKUP(Main_Presentation[[#This Row],[LC Number]],Main_Issuance[],8,0)</f>
        <v>FIRST FIX</v>
      </c>
      <c r="K1155" s="17" t="str">
        <f>VLOOKUP(Main_Presentation[[#This Row],[LC Number]],Main_Issuance[],9,0)</f>
        <v>JCD SPMI</v>
      </c>
      <c r="L1155" s="17">
        <f>VLOOKUP(Main_Presentation[[#This Row],[LC Number]],Main_Issuance[],10,0)</f>
        <v>1020100</v>
      </c>
      <c r="M1155" s="17" t="str">
        <f>VLOOKUP(Main_Presentation[[#This Row],[LC Number]],Main_Issuance[],11,0)</f>
        <v>SAR</v>
      </c>
      <c r="N1155" s="84">
        <f>VLOOKUP(Main_Presentation[[#This Row],[LC Number]],Main_Issuance[],12,0)</f>
        <v>500000</v>
      </c>
      <c r="O1155" s="16" t="s">
        <v>20</v>
      </c>
      <c r="P1155" s="16" t="s">
        <v>857</v>
      </c>
      <c r="Q1155" s="131">
        <v>65902.81</v>
      </c>
      <c r="R1155" s="18">
        <v>1</v>
      </c>
      <c r="S1155" s="18">
        <f>Main_Presentation[[#This Row],[Invoice Amt (FCY)]]*Main_Presentation[[#This Row],[Rate]]</f>
        <v>65902.81</v>
      </c>
      <c r="T1155" s="15">
        <v>46006</v>
      </c>
      <c r="U1155" s="26" t="str">
        <f>VLOOKUP(Main_Presentation[[#This Row],[LC Number]],Main_Issuance[],18,0)</f>
        <v>120 Days from Invoice Date</v>
      </c>
      <c r="V1155" s="17" t="s">
        <v>1849</v>
      </c>
      <c r="W1155" s="22" t="s">
        <v>378</v>
      </c>
      <c r="X1155" s="16"/>
      <c r="Y1155" s="234" t="str">
        <f>TRIM(LEFT(Main_Presentation[[#This Row],[Payment Terms]],3))</f>
        <v>120</v>
      </c>
      <c r="Z1155" s="16"/>
      <c r="AA1155" s="316" cm="1">
        <f t="array" ref="AA1155">Settlement(Main_Presentation[[#This Row],[Bank]],Main_Presentation[[#This Row],[ Invoice Amt (SAR)]],Main_Presentation[[#This Row],[Date Recd]],Main_Presentation[[#This Row],[Due Date]],Main_Presentation[[#This Row],[Days]])</f>
        <v>0</v>
      </c>
      <c r="AB1155" s="16"/>
    </row>
    <row r="1156" spans="1:28" ht="15.75" hidden="1" x14ac:dyDescent="0.25">
      <c r="A1156" s="20" t="s">
        <v>721</v>
      </c>
      <c r="B1156" s="15">
        <v>45945</v>
      </c>
      <c r="C1156" s="26">
        <v>3</v>
      </c>
      <c r="D1156" s="55" t="str">
        <f>VLOOKUP(Main_Presentation[[#This Row],[LC Number]],Main_Issuance[],3,0)</f>
        <v>Hassan Taleb</v>
      </c>
      <c r="E1156" s="16" t="s">
        <v>856</v>
      </c>
      <c r="F1156" s="17" t="str">
        <f>VLOOKUP(Main_Presentation[[#This Row],[LC Number]],Main_Issuance[],5,0)</f>
        <v>Jazira</v>
      </c>
      <c r="G1156" s="17" t="str">
        <f>VLOOKUP(Main_Presentation[[#This Row],[LC Number]],Main_Issuance[],6,0)</f>
        <v>RCRC</v>
      </c>
      <c r="H1156" s="17" t="str">
        <f>VLOOKUP(Main_Presentation[[#This Row],[LC Number]],Main_Issuance[],17,0)</f>
        <v>Credit</v>
      </c>
      <c r="I1156" s="17" t="str">
        <f>VLOOKUP(Main_Presentation[[#This Row],[LC Number]],Main_Issuance[],7,0)</f>
        <v>ALFANAR ELECTRICAL SYSTEMS</v>
      </c>
      <c r="J1156" s="17" t="str">
        <f>VLOOKUP(Main_Presentation[[#This Row],[LC Number]],Main_Issuance[],8,0)</f>
        <v>FIRST FIX</v>
      </c>
      <c r="K1156" s="17" t="str">
        <f>VLOOKUP(Main_Presentation[[#This Row],[LC Number]],Main_Issuance[],9,0)</f>
        <v>RCRC</v>
      </c>
      <c r="L1156" s="17">
        <f>VLOOKUP(Main_Presentation[[#This Row],[LC Number]],Main_Issuance[],10,0)</f>
        <v>1020106</v>
      </c>
      <c r="M1156" s="17" t="str">
        <f>VLOOKUP(Main_Presentation[[#This Row],[LC Number]],Main_Issuance[],11,0)</f>
        <v>SAR</v>
      </c>
      <c r="N1156" s="84">
        <f>VLOOKUP(Main_Presentation[[#This Row],[LC Number]],Main_Issuance[],12,0)</f>
        <v>2827275</v>
      </c>
      <c r="O1156" s="16" t="s">
        <v>20</v>
      </c>
      <c r="P1156" s="16" t="s">
        <v>378</v>
      </c>
      <c r="Q1156" s="131">
        <v>733654</v>
      </c>
      <c r="R1156" s="18">
        <v>1</v>
      </c>
      <c r="S1156" s="18">
        <f>Main_Presentation[[#This Row],[Invoice Amt (FCY)]]*Main_Presentation[[#This Row],[Rate]]</f>
        <v>733654</v>
      </c>
      <c r="T1156" s="15">
        <v>45988</v>
      </c>
      <c r="U1156" s="26" t="str">
        <f>VLOOKUP(Main_Presentation[[#This Row],[LC Number]],Main_Issuance[],18,0)</f>
        <v>90 Days from Invoice Date</v>
      </c>
      <c r="V1156" s="17" t="s">
        <v>613</v>
      </c>
      <c r="W1156" s="22" t="s">
        <v>857</v>
      </c>
      <c r="X1156" s="16"/>
      <c r="Y1156" s="234" t="str">
        <f>TRIM(LEFT(Main_Presentation[[#This Row],[Payment Terms]],3))</f>
        <v>90</v>
      </c>
      <c r="Z1156" s="16"/>
      <c r="AA1156" s="316" cm="1">
        <f t="array" ref="AA1156">Settlement(Main_Presentation[[#This Row],[Bank]],Main_Presentation[[#This Row],[ Invoice Amt (SAR)]],Main_Presentation[[#This Row],[Date Recd]],Main_Presentation[[#This Row],[Due Date]],Main_Presentation[[#This Row],[Days]])</f>
        <v>1047.6500000000001</v>
      </c>
      <c r="AB1156" s="16"/>
    </row>
    <row r="1157" spans="1:28" ht="15.75" hidden="1" x14ac:dyDescent="0.25">
      <c r="A1157" s="129" t="s">
        <v>1793</v>
      </c>
      <c r="B1157" s="15">
        <v>45915</v>
      </c>
      <c r="C1157" s="26">
        <v>1</v>
      </c>
      <c r="D1157" s="55" t="str">
        <f>VLOOKUP(Main_Presentation[[#This Row],[LC Number]],Main_Issuance[],3,0)</f>
        <v>Hassan Taleb</v>
      </c>
      <c r="E1157" s="16" t="s">
        <v>858</v>
      </c>
      <c r="F1157" s="17" t="str">
        <f>VLOOKUP(Main_Presentation[[#This Row],[LC Number]],Main_Issuance[],5,0)</f>
        <v>Alinma</v>
      </c>
      <c r="G1157" s="17" t="str">
        <f>VLOOKUP(Main_Presentation[[#This Row],[LC Number]],Main_Issuance[],6,0)</f>
        <v>KSP</v>
      </c>
      <c r="H1157" s="17" t="str">
        <f>VLOOKUP(Main_Presentation[[#This Row],[LC Number]],Main_Issuance[],17,0)</f>
        <v>Credit</v>
      </c>
      <c r="I1157" s="17" t="str">
        <f>VLOOKUP(Main_Presentation[[#This Row],[LC Number]],Main_Issuance[],7,0)</f>
        <v>COMPANY IMDAD AL-TAQA FOR LOGISTIC</v>
      </c>
      <c r="J1157" s="17" t="str">
        <f>VLOOKUP(Main_Presentation[[#This Row],[LC Number]],Main_Issuance[],8,0)</f>
        <v>FIRST FIX</v>
      </c>
      <c r="K1157" s="17" t="str">
        <f>VLOOKUP(Main_Presentation[[#This Row],[LC Number]],Main_Issuance[],9,0)</f>
        <v>KSP</v>
      </c>
      <c r="L1157" s="17">
        <f>VLOOKUP(Main_Presentation[[#This Row],[LC Number]],Main_Issuance[],10,0)</f>
        <v>1020055</v>
      </c>
      <c r="M1157" s="17" t="str">
        <f>VLOOKUP(Main_Presentation[[#This Row],[LC Number]],Main_Issuance[],11,0)</f>
        <v>SAR</v>
      </c>
      <c r="N1157" s="84">
        <f>VLOOKUP(Main_Presentation[[#This Row],[LC Number]],Main_Issuance[],12,0)</f>
        <v>245149.44</v>
      </c>
      <c r="O1157" s="16" t="s">
        <v>20</v>
      </c>
      <c r="P1157" s="16" t="s">
        <v>857</v>
      </c>
      <c r="Q1157" s="131">
        <v>245149.44</v>
      </c>
      <c r="R1157" s="18">
        <v>1</v>
      </c>
      <c r="S1157" s="18">
        <f>Main_Presentation[[#This Row],[Invoice Amt (FCY)]]*Main_Presentation[[#This Row],[Rate]]</f>
        <v>245149.44</v>
      </c>
      <c r="T1157" s="15">
        <v>45925</v>
      </c>
      <c r="U1157" s="26" t="str">
        <f>VLOOKUP(Main_Presentation[[#This Row],[LC Number]],Main_Issuance[],18,0)</f>
        <v>120 Days from Invoice Date</v>
      </c>
      <c r="V1157" s="17" t="s">
        <v>22</v>
      </c>
      <c r="W1157" s="22" t="s">
        <v>857</v>
      </c>
      <c r="X1157" s="16"/>
      <c r="Y1157" s="234" t="str">
        <f>TRIM(LEFT(Main_Presentation[[#This Row],[Payment Terms]],3))</f>
        <v>120</v>
      </c>
      <c r="Z1157" s="16"/>
      <c r="AA1157" s="316" cm="1">
        <f t="array" ref="AA1157">Settlement(Main_Presentation[[#This Row],[Bank]],Main_Presentation[[#This Row],[ Invoice Amt (SAR)]],Main_Presentation[[#This Row],[Date Recd]],Main_Presentation[[#This Row],[Due Date]],Main_Presentation[[#This Row],[Days]])</f>
        <v>1437.5</v>
      </c>
      <c r="AB1157" s="16"/>
    </row>
    <row r="1158" spans="1:28" ht="15.75" hidden="1" x14ac:dyDescent="0.25">
      <c r="A1158" s="20" t="s">
        <v>1792</v>
      </c>
      <c r="B1158" s="15">
        <v>45925</v>
      </c>
      <c r="C1158" s="26">
        <v>1</v>
      </c>
      <c r="D1158" s="55" t="str">
        <f>VLOOKUP(Main_Presentation[[#This Row],[LC Number]],Main_Issuance[],3,0)</f>
        <v>Hassan Taleb</v>
      </c>
      <c r="E1158" s="16" t="s">
        <v>858</v>
      </c>
      <c r="F1158" s="17" t="str">
        <f>VLOOKUP(Main_Presentation[[#This Row],[LC Number]],Main_Issuance[],5,0)</f>
        <v>Alinma</v>
      </c>
      <c r="G1158" s="17" t="str">
        <f>VLOOKUP(Main_Presentation[[#This Row],[LC Number]],Main_Issuance[],6,0)</f>
        <v>KSP</v>
      </c>
      <c r="H1158" s="17" t="str">
        <f>VLOOKUP(Main_Presentation[[#This Row],[LC Number]],Main_Issuance[],17,0)</f>
        <v>Credit</v>
      </c>
      <c r="I1158" s="17" t="str">
        <f>VLOOKUP(Main_Presentation[[#This Row],[LC Number]],Main_Issuance[],7,0)</f>
        <v>Prime Star Technologies Company Limited</v>
      </c>
      <c r="J1158" s="17" t="str">
        <f>VLOOKUP(Main_Presentation[[#This Row],[LC Number]],Main_Issuance[],8,0)</f>
        <v>FIRST FIX</v>
      </c>
      <c r="K1158" s="17" t="str">
        <f>VLOOKUP(Main_Presentation[[#This Row],[LC Number]],Main_Issuance[],9,0)</f>
        <v>KSP</v>
      </c>
      <c r="L1158" s="17">
        <f>VLOOKUP(Main_Presentation[[#This Row],[LC Number]],Main_Issuance[],10,0)</f>
        <v>1020055</v>
      </c>
      <c r="M1158" s="17" t="str">
        <f>VLOOKUP(Main_Presentation[[#This Row],[LC Number]],Main_Issuance[],11,0)</f>
        <v>SAR</v>
      </c>
      <c r="N1158" s="84">
        <f>VLOOKUP(Main_Presentation[[#This Row],[LC Number]],Main_Issuance[],12,0)</f>
        <v>900000</v>
      </c>
      <c r="O1158" s="16" t="s">
        <v>20</v>
      </c>
      <c r="P1158" s="16" t="s">
        <v>857</v>
      </c>
      <c r="Q1158" s="131">
        <v>900000</v>
      </c>
      <c r="R1158" s="18">
        <v>1</v>
      </c>
      <c r="S1158" s="18">
        <f>Main_Presentation[[#This Row],[Invoice Amt (FCY)]]*Main_Presentation[[#This Row],[Rate]]</f>
        <v>900000</v>
      </c>
      <c r="T1158" s="15">
        <v>46014</v>
      </c>
      <c r="U1158" s="26" t="str">
        <f>VLOOKUP(Main_Presentation[[#This Row],[LC Number]],Main_Issuance[],18,0)</f>
        <v>120 Days from Invoice Date</v>
      </c>
      <c r="V1158" s="17" t="s">
        <v>22</v>
      </c>
      <c r="W1158" s="22" t="s">
        <v>857</v>
      </c>
      <c r="X1158" s="16"/>
      <c r="Y1158" s="234" t="str">
        <f>TRIM(LEFT(Main_Presentation[[#This Row],[Payment Terms]],3))</f>
        <v>120</v>
      </c>
      <c r="Z1158" s="16"/>
      <c r="AA1158" s="316" cm="1">
        <f t="array" ref="AA1158">Settlement(Main_Presentation[[#This Row],[Bank]],Main_Presentation[[#This Row],[ Invoice Amt (SAR)]],Main_Presentation[[#This Row],[Date Recd]],Main_Presentation[[#This Row],[Due Date]],Main_Presentation[[#This Row],[Days]])</f>
        <v>1437.5</v>
      </c>
      <c r="AB1158" s="16"/>
    </row>
    <row r="1159" spans="1:28" ht="15.75" hidden="1" x14ac:dyDescent="0.25">
      <c r="A1159" s="20" t="s">
        <v>1445</v>
      </c>
      <c r="B1159" s="15">
        <v>45945</v>
      </c>
      <c r="C1159" s="26">
        <v>1</v>
      </c>
      <c r="D1159" s="55" t="str">
        <f>VLOOKUP(Main_Presentation[[#This Row],[LC Number]],Main_Issuance[],3,0)</f>
        <v>Hassan Taleb</v>
      </c>
      <c r="E1159" s="16" t="s">
        <v>858</v>
      </c>
      <c r="F1159" s="17" t="str">
        <f>VLOOKUP(Main_Presentation[[#This Row],[LC Number]],Main_Issuance[],5,0)</f>
        <v>SAB</v>
      </c>
      <c r="G1159" s="17" t="str">
        <f>VLOOKUP(Main_Presentation[[#This Row],[LC Number]],Main_Issuance[],6,0)</f>
        <v>MP1</v>
      </c>
      <c r="H1159" s="17" t="str">
        <f>VLOOKUP(Main_Presentation[[#This Row],[LC Number]],Main_Issuance[],17,0)</f>
        <v>Credit</v>
      </c>
      <c r="I1159" s="17" t="str">
        <f>VLOOKUP(Main_Presentation[[#This Row],[LC Number]],Main_Issuance[],7,0)</f>
        <v xml:space="preserve">Daikin Air Conditioning Saudi Arabia </v>
      </c>
      <c r="J1159" s="17" t="str">
        <f>VLOOKUP(Main_Presentation[[#This Row],[LC Number]],Main_Issuance[],8,0)</f>
        <v>FIRST FIX</v>
      </c>
      <c r="K1159" s="17" t="str">
        <f>VLOOKUP(Main_Presentation[[#This Row],[LC Number]],Main_Issuance[],9,0)</f>
        <v>MP1</v>
      </c>
      <c r="L1159" s="17">
        <f>VLOOKUP(Main_Presentation[[#This Row],[LC Number]],Main_Issuance[],10,0)</f>
        <v>1020088</v>
      </c>
      <c r="M1159" s="17" t="str">
        <f>VLOOKUP(Main_Presentation[[#This Row],[LC Number]],Main_Issuance[],11,0)</f>
        <v>SAR</v>
      </c>
      <c r="N1159" s="84">
        <f>VLOOKUP(Main_Presentation[[#This Row],[LC Number]],Main_Issuance[],12,0)</f>
        <v>2000000</v>
      </c>
      <c r="O1159" s="16" t="s">
        <v>20</v>
      </c>
      <c r="P1159" s="16" t="s">
        <v>857</v>
      </c>
      <c r="Q1159" s="131">
        <v>2000000</v>
      </c>
      <c r="R1159" s="18">
        <v>1</v>
      </c>
      <c r="S1159" s="18">
        <f>Main_Presentation[[#This Row],[Invoice Amt (FCY)]]*Main_Presentation[[#This Row],[Rate]]</f>
        <v>2000000</v>
      </c>
      <c r="T1159" s="15">
        <v>46013</v>
      </c>
      <c r="U1159" s="26" t="str">
        <f>VLOOKUP(Main_Presentation[[#This Row],[LC Number]],Main_Issuance[],18,0)</f>
        <v>120 Days from Invoice Date</v>
      </c>
      <c r="V1159" s="17" t="s">
        <v>710</v>
      </c>
      <c r="W1159" s="22" t="s">
        <v>857</v>
      </c>
      <c r="X1159" s="16"/>
      <c r="Y1159" s="234" t="str">
        <f>TRIM(LEFT(Main_Presentation[[#This Row],[Payment Terms]],3))</f>
        <v>120</v>
      </c>
      <c r="Z1159" s="16"/>
      <c r="AA1159" s="316" cm="1">
        <f t="array" ref="AA1159">Settlement(Main_Presentation[[#This Row],[Bank]],Main_Presentation[[#This Row],[ Invoice Amt (SAR)]],Main_Presentation[[#This Row],[Date Recd]],Main_Presentation[[#This Row],[Due Date]],Main_Presentation[[#This Row],[Days]])</f>
        <v>8625</v>
      </c>
      <c r="AB1159" s="16"/>
    </row>
    <row r="1160" spans="1:28" ht="15.75" hidden="1" x14ac:dyDescent="0.25">
      <c r="A1160" s="20" t="s">
        <v>1436</v>
      </c>
      <c r="B1160" s="15">
        <v>45929</v>
      </c>
      <c r="C1160" s="26">
        <v>1</v>
      </c>
      <c r="D1160" s="55" t="str">
        <f>VLOOKUP(Main_Presentation[[#This Row],[LC Number]],Main_Issuance[],3,0)</f>
        <v>Hassan Taleb</v>
      </c>
      <c r="E1160" s="16" t="s">
        <v>856</v>
      </c>
      <c r="F1160" s="17" t="str">
        <f>VLOOKUP(Main_Presentation[[#This Row],[LC Number]],Main_Issuance[],5,0)</f>
        <v>SAB</v>
      </c>
      <c r="G1160" s="17" t="str">
        <f>VLOOKUP(Main_Presentation[[#This Row],[LC Number]],Main_Issuance[],6,0)</f>
        <v>MP1</v>
      </c>
      <c r="H1160" s="17" t="str">
        <f>VLOOKUP(Main_Presentation[[#This Row],[LC Number]],Main_Issuance[],17,0)</f>
        <v>Credit</v>
      </c>
      <c r="I1160" s="17" t="str">
        <f>VLOOKUP(Main_Presentation[[#This Row],[LC Number]],Main_Issuance[],7,0)</f>
        <v>Electric House Trading Company L.L.C.</v>
      </c>
      <c r="J1160" s="17" t="str">
        <f>VLOOKUP(Main_Presentation[[#This Row],[LC Number]],Main_Issuance[],8,0)</f>
        <v>FIRST FIX</v>
      </c>
      <c r="K1160" s="17" t="str">
        <f>VLOOKUP(Main_Presentation[[#This Row],[LC Number]],Main_Issuance[],9,0)</f>
        <v>MP1</v>
      </c>
      <c r="L1160" s="17">
        <f>VLOOKUP(Main_Presentation[[#This Row],[LC Number]],Main_Issuance[],10,0)</f>
        <v>1020088</v>
      </c>
      <c r="M1160" s="17" t="str">
        <f>VLOOKUP(Main_Presentation[[#This Row],[LC Number]],Main_Issuance[],11,0)</f>
        <v>SAR</v>
      </c>
      <c r="N1160" s="84">
        <f>VLOOKUP(Main_Presentation[[#This Row],[LC Number]],Main_Issuance[],12,0)</f>
        <v>400000</v>
      </c>
      <c r="O1160" s="16" t="s">
        <v>20</v>
      </c>
      <c r="P1160" s="16" t="s">
        <v>857</v>
      </c>
      <c r="Q1160" s="131">
        <v>400000</v>
      </c>
      <c r="R1160" s="18">
        <v>1</v>
      </c>
      <c r="S1160" s="18">
        <f>Main_Presentation[[#This Row],[Invoice Amt (FCY)]]*Main_Presentation[[#This Row],[Rate]]</f>
        <v>400000</v>
      </c>
      <c r="T1160" s="15">
        <v>46027</v>
      </c>
      <c r="U1160" s="26" t="str">
        <f>VLOOKUP(Main_Presentation[[#This Row],[LC Number]],Main_Issuance[],18,0)</f>
        <v>120 Days from Invoice Date</v>
      </c>
      <c r="V1160" s="17" t="s">
        <v>710</v>
      </c>
      <c r="W1160" s="22" t="s">
        <v>857</v>
      </c>
      <c r="X1160" s="16"/>
      <c r="Y1160" s="234" t="str">
        <f>TRIM(LEFT(Main_Presentation[[#This Row],[Payment Terms]],3))</f>
        <v>120</v>
      </c>
      <c r="Z1160" s="16"/>
      <c r="AA1160" s="316" cm="1">
        <f t="array" ref="AA1160">Settlement(Main_Presentation[[#This Row],[Bank]],Main_Presentation[[#This Row],[ Invoice Amt (SAR)]],Main_Presentation[[#This Row],[Date Recd]],Main_Presentation[[#This Row],[Due Date]],Main_Presentation[[#This Row],[Days]])</f>
        <v>1725</v>
      </c>
      <c r="AB1160" s="16"/>
    </row>
    <row r="1161" spans="1:28" ht="15.75" hidden="1" x14ac:dyDescent="0.25">
      <c r="A1161" s="20" t="s">
        <v>1569</v>
      </c>
      <c r="B1161" s="15">
        <v>45946</v>
      </c>
      <c r="C1161" s="26">
        <v>2</v>
      </c>
      <c r="D1161" s="55" t="str">
        <f>VLOOKUP(Main_Presentation[[#This Row],[LC Number]],Main_Issuance[],3,0)</f>
        <v>Hassan Taleb</v>
      </c>
      <c r="E1161" s="16" t="s">
        <v>856</v>
      </c>
      <c r="F1161" s="17" t="str">
        <f>VLOOKUP(Main_Presentation[[#This Row],[LC Number]],Main_Issuance[],5,0)</f>
        <v>Jazira</v>
      </c>
      <c r="G1161" s="17" t="str">
        <f>VLOOKUP(Main_Presentation[[#This Row],[LC Number]],Main_Issuance[],6,0)</f>
        <v>RCRC</v>
      </c>
      <c r="H1161" s="17" t="str">
        <f>VLOOKUP(Main_Presentation[[#This Row],[LC Number]],Main_Issuance[],17,0)</f>
        <v>Credit</v>
      </c>
      <c r="I1161" s="17" t="str">
        <f>VLOOKUP(Main_Presentation[[#This Row],[LC Number]],Main_Issuance[],7,0)</f>
        <v>ALFANAR ELECTRICAL SYSTEMS</v>
      </c>
      <c r="J1161" s="17" t="str">
        <f>VLOOKUP(Main_Presentation[[#This Row],[LC Number]],Main_Issuance[],8,0)</f>
        <v>FIRST FIX</v>
      </c>
      <c r="K1161" s="17" t="str">
        <f>VLOOKUP(Main_Presentation[[#This Row],[LC Number]],Main_Issuance[],9,0)</f>
        <v>RCRC</v>
      </c>
      <c r="L1161" s="17">
        <f>VLOOKUP(Main_Presentation[[#This Row],[LC Number]],Main_Issuance[],10,0)</f>
        <v>1020106</v>
      </c>
      <c r="M1161" s="17" t="str">
        <f>VLOOKUP(Main_Presentation[[#This Row],[LC Number]],Main_Issuance[],11,0)</f>
        <v>SAR</v>
      </c>
      <c r="N1161" s="84">
        <f>VLOOKUP(Main_Presentation[[#This Row],[LC Number]],Main_Issuance[],12,0)</f>
        <v>4000010.22</v>
      </c>
      <c r="O1161" s="16" t="s">
        <v>20</v>
      </c>
      <c r="P1161" s="16" t="s">
        <v>378</v>
      </c>
      <c r="Q1161" s="131">
        <v>1036414.51</v>
      </c>
      <c r="R1161" s="18">
        <v>1</v>
      </c>
      <c r="S1161" s="18">
        <f>Main_Presentation[[#This Row],[Invoice Amt (FCY)]]*Main_Presentation[[#This Row],[Rate]]</f>
        <v>1036414.51</v>
      </c>
      <c r="T1161" s="15">
        <v>45987</v>
      </c>
      <c r="U1161" s="26" t="str">
        <f>VLOOKUP(Main_Presentation[[#This Row],[LC Number]],Main_Issuance[],18,0)</f>
        <v>90 Days from Invoice Date</v>
      </c>
      <c r="V1161" s="17" t="s">
        <v>613</v>
      </c>
      <c r="W1161" s="22" t="s">
        <v>857</v>
      </c>
      <c r="X1161" s="16"/>
      <c r="Y1161" s="234" t="str">
        <f>TRIM(LEFT(Main_Presentation[[#This Row],[Payment Terms]],3))</f>
        <v>90</v>
      </c>
      <c r="Z1161" s="16"/>
      <c r="AA1161" s="316" cm="1">
        <f t="array" ref="AA1161">Settlement(Main_Presentation[[#This Row],[Bank]],Main_Presentation[[#This Row],[ Invoice Amt (SAR)]],Main_Presentation[[#This Row],[Date Recd]],Main_Presentation[[#This Row],[Due Date]],Main_Presentation[[#This Row],[Days]])</f>
        <v>1338.6</v>
      </c>
      <c r="AB1161" s="16"/>
    </row>
    <row r="1162" spans="1:28" ht="15.75" hidden="1" x14ac:dyDescent="0.25">
      <c r="A1162" s="20" t="s">
        <v>1443</v>
      </c>
      <c r="B1162" s="15">
        <v>45921</v>
      </c>
      <c r="C1162" s="26">
        <v>1</v>
      </c>
      <c r="D1162" s="55" t="str">
        <f>VLOOKUP(Main_Presentation[[#This Row],[LC Number]],Main_Issuance[],3,0)</f>
        <v>Hassan Taleb</v>
      </c>
      <c r="E1162" s="16" t="s">
        <v>856</v>
      </c>
      <c r="F1162" s="17" t="str">
        <f>VLOOKUP(Main_Presentation[[#This Row],[LC Number]],Main_Issuance[],5,0)</f>
        <v>SAB</v>
      </c>
      <c r="G1162" s="17" t="str">
        <f>VLOOKUP(Main_Presentation[[#This Row],[LC Number]],Main_Issuance[],6,0)</f>
        <v>MP1</v>
      </c>
      <c r="H1162" s="17" t="str">
        <f>VLOOKUP(Main_Presentation[[#This Row],[LC Number]],Main_Issuance[],17,0)</f>
        <v>Credit</v>
      </c>
      <c r="I1162" s="17" t="str">
        <f>VLOOKUP(Main_Presentation[[#This Row],[LC Number]],Main_Issuance[],7,0)</f>
        <v>Bahra Advanced Cable Manufacture Co.Ltd</v>
      </c>
      <c r="J1162" s="17" t="str">
        <f>VLOOKUP(Main_Presentation[[#This Row],[LC Number]],Main_Issuance[],8,0)</f>
        <v>FIRST FIX</v>
      </c>
      <c r="K1162" s="17" t="str">
        <f>VLOOKUP(Main_Presentation[[#This Row],[LC Number]],Main_Issuance[],9,0)</f>
        <v>MP1</v>
      </c>
      <c r="L1162" s="17">
        <f>VLOOKUP(Main_Presentation[[#This Row],[LC Number]],Main_Issuance[],10,0)</f>
        <v>1020088</v>
      </c>
      <c r="M1162" s="17" t="str">
        <f>VLOOKUP(Main_Presentation[[#This Row],[LC Number]],Main_Issuance[],11,0)</f>
        <v>SAR</v>
      </c>
      <c r="N1162" s="84">
        <f>VLOOKUP(Main_Presentation[[#This Row],[LC Number]],Main_Issuance[],12,0)</f>
        <v>875313.5</v>
      </c>
      <c r="O1162" s="16" t="s">
        <v>20</v>
      </c>
      <c r="P1162" s="16" t="s">
        <v>857</v>
      </c>
      <c r="Q1162" s="131">
        <v>766157.63</v>
      </c>
      <c r="R1162" s="18">
        <v>1</v>
      </c>
      <c r="S1162" s="18">
        <f>Main_Presentation[[#This Row],[Invoice Amt (FCY)]]*Main_Presentation[[#This Row],[Rate]]</f>
        <v>766157.63</v>
      </c>
      <c r="T1162" s="15">
        <v>46030</v>
      </c>
      <c r="U1162" s="26" t="str">
        <f>VLOOKUP(Main_Presentation[[#This Row],[LC Number]],Main_Issuance[],18,0)</f>
        <v>120 Days from Invoice Date</v>
      </c>
      <c r="V1162" s="17" t="s">
        <v>710</v>
      </c>
      <c r="W1162" s="22" t="s">
        <v>857</v>
      </c>
      <c r="X1162" s="16"/>
      <c r="Y1162" s="234" t="str">
        <f>TRIM(LEFT(Main_Presentation[[#This Row],[Payment Terms]],3))</f>
        <v>120</v>
      </c>
      <c r="Z1162" s="16"/>
      <c r="AA1162" s="316" cm="1">
        <f t="array" ref="AA1162">Settlement(Main_Presentation[[#This Row],[Bank]],Main_Presentation[[#This Row],[ Invoice Amt (SAR)]],Main_Presentation[[#This Row],[Date Recd]],Main_Presentation[[#This Row],[Due Date]],Main_Presentation[[#This Row],[Days]])</f>
        <v>3303.95</v>
      </c>
      <c r="AB1162" s="16"/>
    </row>
    <row r="1163" spans="1:28" ht="15.75" hidden="1" x14ac:dyDescent="0.25">
      <c r="A1163" s="20" t="s">
        <v>1601</v>
      </c>
      <c r="B1163" s="15">
        <v>45924</v>
      </c>
      <c r="C1163" s="26">
        <v>1</v>
      </c>
      <c r="D1163" s="55" t="str">
        <f>VLOOKUP(Main_Presentation[[#This Row],[LC Number]],Main_Issuance[],3,0)</f>
        <v>Hassan Taleb</v>
      </c>
      <c r="E1163" s="16" t="s">
        <v>858</v>
      </c>
      <c r="F1163" s="17" t="str">
        <f>VLOOKUP(Main_Presentation[[#This Row],[LC Number]],Main_Issuance[],5,0)</f>
        <v>SAB</v>
      </c>
      <c r="G1163" s="17" t="str">
        <f>VLOOKUP(Main_Presentation[[#This Row],[LC Number]],Main_Issuance[],6,0)</f>
        <v>MP1</v>
      </c>
      <c r="H1163" s="17" t="str">
        <f>VLOOKUP(Main_Presentation[[#This Row],[LC Number]],Main_Issuance[],17,0)</f>
        <v>Credit</v>
      </c>
      <c r="I1163" s="17" t="str">
        <f>VLOOKUP(Main_Presentation[[#This Row],[LC Number]],Main_Issuance[],7,0)</f>
        <v>ALGHAMDI COMPANY FOR SANITARY WARES</v>
      </c>
      <c r="J1163" s="17" t="str">
        <f>VLOOKUP(Main_Presentation[[#This Row],[LC Number]],Main_Issuance[],8,0)</f>
        <v>FIRST FIX</v>
      </c>
      <c r="K1163" s="17" t="str">
        <f>VLOOKUP(Main_Presentation[[#This Row],[LC Number]],Main_Issuance[],9,0)</f>
        <v>MP1</v>
      </c>
      <c r="L1163" s="17">
        <f>VLOOKUP(Main_Presentation[[#This Row],[LC Number]],Main_Issuance[],10,0)</f>
        <v>1020088</v>
      </c>
      <c r="M1163" s="17" t="str">
        <f>VLOOKUP(Main_Presentation[[#This Row],[LC Number]],Main_Issuance[],11,0)</f>
        <v>SAR</v>
      </c>
      <c r="N1163" s="84">
        <f>VLOOKUP(Main_Presentation[[#This Row],[LC Number]],Main_Issuance[],12,0)</f>
        <v>400000.94</v>
      </c>
      <c r="O1163" s="16" t="s">
        <v>20</v>
      </c>
      <c r="P1163" s="16" t="s">
        <v>857</v>
      </c>
      <c r="Q1163" s="131">
        <v>378800.2</v>
      </c>
      <c r="R1163" s="18">
        <v>1</v>
      </c>
      <c r="S1163" s="18">
        <f>Main_Presentation[[#This Row],[Invoice Amt (FCY)]]*Main_Presentation[[#This Row],[Rate]]</f>
        <v>378800.2</v>
      </c>
      <c r="T1163" s="15">
        <v>46015</v>
      </c>
      <c r="U1163" s="26" t="str">
        <f>VLOOKUP(Main_Presentation[[#This Row],[LC Number]],Main_Issuance[],18,0)</f>
        <v>120 Days from Invoice Date</v>
      </c>
      <c r="V1163" s="17" t="s">
        <v>710</v>
      </c>
      <c r="W1163" s="22" t="s">
        <v>857</v>
      </c>
      <c r="X1163" s="16"/>
      <c r="Y1163" s="234" t="str">
        <f>TRIM(LEFT(Main_Presentation[[#This Row],[Payment Terms]],3))</f>
        <v>120</v>
      </c>
      <c r="Z1163" s="16"/>
      <c r="AA1163" s="316" cm="1">
        <f t="array" ref="AA1163">Settlement(Main_Presentation[[#This Row],[Bank]],Main_Presentation[[#This Row],[ Invoice Amt (SAR)]],Main_Presentation[[#This Row],[Date Recd]],Main_Presentation[[#This Row],[Due Date]],Main_Presentation[[#This Row],[Days]])</f>
        <v>1634.15</v>
      </c>
      <c r="AB1163" s="16"/>
    </row>
    <row r="1164" spans="1:28" ht="15.75" hidden="1" x14ac:dyDescent="0.25">
      <c r="A1164" s="20" t="s">
        <v>1602</v>
      </c>
      <c r="B1164" s="15">
        <v>45929</v>
      </c>
      <c r="C1164" s="26">
        <v>1</v>
      </c>
      <c r="D1164" s="55" t="str">
        <f>VLOOKUP(Main_Presentation[[#This Row],[LC Number]],Main_Issuance[],3,0)</f>
        <v>Hassan Taleb</v>
      </c>
      <c r="E1164" s="16" t="s">
        <v>856</v>
      </c>
      <c r="F1164" s="17" t="str">
        <f>VLOOKUP(Main_Presentation[[#This Row],[LC Number]],Main_Issuance[],5,0)</f>
        <v>SAB</v>
      </c>
      <c r="G1164" s="17" t="str">
        <f>VLOOKUP(Main_Presentation[[#This Row],[LC Number]],Main_Issuance[],6,0)</f>
        <v>MP1</v>
      </c>
      <c r="H1164" s="17" t="str">
        <f>VLOOKUP(Main_Presentation[[#This Row],[LC Number]],Main_Issuance[],17,0)</f>
        <v>Credit</v>
      </c>
      <c r="I1164" s="17" t="str">
        <f>VLOOKUP(Main_Presentation[[#This Row],[LC Number]],Main_Issuance[],7,0)</f>
        <v>Electric House Trading Company L.L.C.</v>
      </c>
      <c r="J1164" s="17" t="str">
        <f>VLOOKUP(Main_Presentation[[#This Row],[LC Number]],Main_Issuance[],8,0)</f>
        <v>FIRST FIX</v>
      </c>
      <c r="K1164" s="17" t="str">
        <f>VLOOKUP(Main_Presentation[[#This Row],[LC Number]],Main_Issuance[],9,0)</f>
        <v>MP1</v>
      </c>
      <c r="L1164" s="17">
        <f>VLOOKUP(Main_Presentation[[#This Row],[LC Number]],Main_Issuance[],10,0)</f>
        <v>1020088</v>
      </c>
      <c r="M1164" s="17" t="str">
        <f>VLOOKUP(Main_Presentation[[#This Row],[LC Number]],Main_Issuance[],11,0)</f>
        <v>SAR</v>
      </c>
      <c r="N1164" s="84">
        <f>VLOOKUP(Main_Presentation[[#This Row],[LC Number]],Main_Issuance[],12,0)</f>
        <v>250000</v>
      </c>
      <c r="O1164" s="16" t="s">
        <v>20</v>
      </c>
      <c r="P1164" s="16" t="s">
        <v>857</v>
      </c>
      <c r="Q1164" s="131">
        <v>250000</v>
      </c>
      <c r="R1164" s="18">
        <v>1</v>
      </c>
      <c r="S1164" s="18">
        <f>Main_Presentation[[#This Row],[Invoice Amt (FCY)]]*Main_Presentation[[#This Row],[Rate]]</f>
        <v>250000</v>
      </c>
      <c r="T1164" s="15">
        <v>46027</v>
      </c>
      <c r="U1164" s="26" t="str">
        <f>VLOOKUP(Main_Presentation[[#This Row],[LC Number]],Main_Issuance[],18,0)</f>
        <v>120 Days from Invoice Date</v>
      </c>
      <c r="V1164" s="17" t="s">
        <v>710</v>
      </c>
      <c r="W1164" s="22" t="s">
        <v>857</v>
      </c>
      <c r="X1164" s="16"/>
      <c r="Y1164" s="234" t="str">
        <f>TRIM(LEFT(Main_Presentation[[#This Row],[Payment Terms]],3))</f>
        <v>120</v>
      </c>
      <c r="Z1164" s="16"/>
      <c r="AA1164" s="316" cm="1">
        <f t="array" ref="AA1164">Settlement(Main_Presentation[[#This Row],[Bank]],Main_Presentation[[#This Row],[ Invoice Amt (SAR)]],Main_Presentation[[#This Row],[Date Recd]],Main_Presentation[[#This Row],[Due Date]],Main_Presentation[[#This Row],[Days]])</f>
        <v>1078.7</v>
      </c>
      <c r="AB1164" s="16"/>
    </row>
    <row r="1165" spans="1:28" ht="15.75" hidden="1" x14ac:dyDescent="0.25">
      <c r="A1165" s="20" t="s">
        <v>1596</v>
      </c>
      <c r="B1165" s="15">
        <v>45916</v>
      </c>
      <c r="C1165" s="26">
        <v>1</v>
      </c>
      <c r="D1165" s="55" t="str">
        <f>VLOOKUP(Main_Presentation[[#This Row],[LC Number]],Main_Issuance[],3,0)</f>
        <v>Hassan Taleb</v>
      </c>
      <c r="E1165" s="16" t="s">
        <v>858</v>
      </c>
      <c r="F1165" s="17" t="str">
        <f>VLOOKUP(Main_Presentation[[#This Row],[LC Number]],Main_Issuance[],5,0)</f>
        <v>SAB</v>
      </c>
      <c r="G1165" s="17" t="str">
        <f>VLOOKUP(Main_Presentation[[#This Row],[LC Number]],Main_Issuance[],6,0)</f>
        <v>MP1</v>
      </c>
      <c r="H1165" s="17" t="str">
        <f>VLOOKUP(Main_Presentation[[#This Row],[LC Number]],Main_Issuance[],17,0)</f>
        <v>Credit</v>
      </c>
      <c r="I1165" s="17" t="str">
        <f>VLOOKUP(Main_Presentation[[#This Row],[LC Number]],Main_Issuance[],7,0)</f>
        <v>TECHNICAL TOOLS TRADING CO.</v>
      </c>
      <c r="J1165" s="17" t="str">
        <f>VLOOKUP(Main_Presentation[[#This Row],[LC Number]],Main_Issuance[],8,0)</f>
        <v>FIRST FIX</v>
      </c>
      <c r="K1165" s="17" t="str">
        <f>VLOOKUP(Main_Presentation[[#This Row],[LC Number]],Main_Issuance[],9,0)</f>
        <v>MP1</v>
      </c>
      <c r="L1165" s="17">
        <f>VLOOKUP(Main_Presentation[[#This Row],[LC Number]],Main_Issuance[],10,0)</f>
        <v>1020088</v>
      </c>
      <c r="M1165" s="17" t="str">
        <f>VLOOKUP(Main_Presentation[[#This Row],[LC Number]],Main_Issuance[],11,0)</f>
        <v>SAR</v>
      </c>
      <c r="N1165" s="84">
        <f>VLOOKUP(Main_Presentation[[#This Row],[LC Number]],Main_Issuance[],12,0)</f>
        <v>250000</v>
      </c>
      <c r="O1165" s="16" t="s">
        <v>20</v>
      </c>
      <c r="P1165" s="16" t="s">
        <v>857</v>
      </c>
      <c r="Q1165" s="131">
        <v>250000</v>
      </c>
      <c r="R1165" s="18">
        <v>1</v>
      </c>
      <c r="S1165" s="18">
        <f>Main_Presentation[[#This Row],[Invoice Amt (FCY)]]*Main_Presentation[[#This Row],[Rate]]</f>
        <v>250000</v>
      </c>
      <c r="T1165" s="15">
        <v>45985</v>
      </c>
      <c r="U1165" s="26" t="str">
        <f>VLOOKUP(Main_Presentation[[#This Row],[LC Number]],Main_Issuance[],18,0)</f>
        <v>120 Days from Invoice Date</v>
      </c>
      <c r="V1165" s="17" t="s">
        <v>710</v>
      </c>
      <c r="W1165" s="22" t="s">
        <v>857</v>
      </c>
      <c r="X1165" s="16"/>
      <c r="Y1165" s="234" t="str">
        <f>TRIM(LEFT(Main_Presentation[[#This Row],[Payment Terms]],3))</f>
        <v>120</v>
      </c>
      <c r="Z1165" s="16"/>
      <c r="AA1165" s="316" cm="1">
        <f t="array" ref="AA1165">Settlement(Main_Presentation[[#This Row],[Bank]],Main_Presentation[[#This Row],[ Invoice Amt (SAR)]],Main_Presentation[[#This Row],[Date Recd]],Main_Presentation[[#This Row],[Due Date]],Main_Presentation[[#This Row],[Days]])</f>
        <v>1078.7</v>
      </c>
      <c r="AB1165" s="16"/>
    </row>
    <row r="1166" spans="1:28" ht="15.75" hidden="1" x14ac:dyDescent="0.25">
      <c r="A1166" s="20" t="s">
        <v>1801</v>
      </c>
      <c r="B1166" s="15">
        <v>45922</v>
      </c>
      <c r="C1166" s="26">
        <v>1</v>
      </c>
      <c r="D1166" s="55" t="str">
        <f>VLOOKUP(Main_Presentation[[#This Row],[LC Number]],Main_Issuance[],3,0)</f>
        <v>Mohammed Kotb</v>
      </c>
      <c r="E1166" s="16" t="s">
        <v>858</v>
      </c>
      <c r="F1166" s="17" t="str">
        <f>VLOOKUP(Main_Presentation[[#This Row],[LC Number]],Main_Issuance[],5,0)</f>
        <v>SAB</v>
      </c>
      <c r="G1166" s="17" t="str">
        <f>VLOOKUP(Main_Presentation[[#This Row],[LC Number]],Main_Issuance[],6,0)</f>
        <v>MP1</v>
      </c>
      <c r="H1166" s="17" t="str">
        <f>VLOOKUP(Main_Presentation[[#This Row],[LC Number]],Main_Issuance[],17,0)</f>
        <v>Credit</v>
      </c>
      <c r="I1166" s="17" t="str">
        <f>VLOOKUP(Main_Presentation[[#This Row],[LC Number]],Main_Issuance[],7,0)</f>
        <v>Soundlines Administrative Co Ltd.</v>
      </c>
      <c r="J1166" s="17" t="str">
        <f>VLOOKUP(Main_Presentation[[#This Row],[LC Number]],Main_Issuance[],8,0)</f>
        <v>MBL/ICAD</v>
      </c>
      <c r="K1166" s="17" t="str">
        <f>VLOOKUP(Main_Presentation[[#This Row],[LC Number]],Main_Issuance[],9,0)</f>
        <v>ABHA</v>
      </c>
      <c r="L1166" s="17">
        <f>VLOOKUP(Main_Presentation[[#This Row],[LC Number]],Main_Issuance[],10,0)</f>
        <v>1020070</v>
      </c>
      <c r="M1166" s="17" t="str">
        <f>VLOOKUP(Main_Presentation[[#This Row],[LC Number]],Main_Issuance[],11,0)</f>
        <v>SAR</v>
      </c>
      <c r="N1166" s="84">
        <f>VLOOKUP(Main_Presentation[[#This Row],[LC Number]],Main_Issuance[],12,0)</f>
        <v>1500000</v>
      </c>
      <c r="O1166" s="16" t="s">
        <v>20</v>
      </c>
      <c r="P1166" s="16" t="s">
        <v>857</v>
      </c>
      <c r="Q1166" s="131">
        <v>1500000</v>
      </c>
      <c r="R1166" s="18">
        <v>1</v>
      </c>
      <c r="S1166" s="18">
        <f>Main_Presentation[[#This Row],[Invoice Amt (FCY)]]*Main_Presentation[[#This Row],[Rate]]</f>
        <v>1500000</v>
      </c>
      <c r="T1166" s="15">
        <v>46016</v>
      </c>
      <c r="U1166" s="26" t="str">
        <f>VLOOKUP(Main_Presentation[[#This Row],[LC Number]],Main_Issuance[],18,0)</f>
        <v>120 Days from Date of Delivery</v>
      </c>
      <c r="V1166" s="17" t="s">
        <v>377</v>
      </c>
      <c r="W1166" s="22" t="s">
        <v>857</v>
      </c>
      <c r="X1166" s="16"/>
      <c r="Y1166" s="234" t="str">
        <f>TRIM(LEFT(Main_Presentation[[#This Row],[Payment Terms]],3))</f>
        <v>120</v>
      </c>
      <c r="Z1166" s="16"/>
      <c r="AA1166" s="316" cm="1">
        <f t="array" ref="AA1166">Settlement(Main_Presentation[[#This Row],[Bank]],Main_Presentation[[#This Row],[ Invoice Amt (SAR)]],Main_Presentation[[#This Row],[Date Recd]],Main_Presentation[[#This Row],[Due Date]],Main_Presentation[[#This Row],[Days]])</f>
        <v>6468.75</v>
      </c>
      <c r="AB1166" s="16"/>
    </row>
    <row r="1167" spans="1:28" ht="15.75" hidden="1" x14ac:dyDescent="0.25">
      <c r="A1167" s="20" t="s">
        <v>1800</v>
      </c>
      <c r="B1167" s="15">
        <v>45920</v>
      </c>
      <c r="C1167" s="26">
        <v>1</v>
      </c>
      <c r="D1167" s="55" t="str">
        <f>VLOOKUP(Main_Presentation[[#This Row],[LC Number]],Main_Issuance[],3,0)</f>
        <v>Mohammed Kotb</v>
      </c>
      <c r="E1167" s="16" t="s">
        <v>858</v>
      </c>
      <c r="F1167" s="17" t="str">
        <f>VLOOKUP(Main_Presentation[[#This Row],[LC Number]],Main_Issuance[],5,0)</f>
        <v>SAB</v>
      </c>
      <c r="G1167" s="17" t="str">
        <f>VLOOKUP(Main_Presentation[[#This Row],[LC Number]],Main_Issuance[],6,0)</f>
        <v>MP1</v>
      </c>
      <c r="H1167" s="17" t="str">
        <f>VLOOKUP(Main_Presentation[[#This Row],[LC Number]],Main_Issuance[],17,0)</f>
        <v>Credit</v>
      </c>
      <c r="I1167" s="17" t="str">
        <f>VLOOKUP(Main_Presentation[[#This Row],[LC Number]],Main_Issuance[],7,0)</f>
        <v>Depth Modern Technologies</v>
      </c>
      <c r="J1167" s="17" t="str">
        <f>VLOOKUP(Main_Presentation[[#This Row],[LC Number]],Main_Issuance[],8,0)</f>
        <v>MBL/ICAD</v>
      </c>
      <c r="K1167" s="17" t="str">
        <f>VLOOKUP(Main_Presentation[[#This Row],[LC Number]],Main_Issuance[],9,0)</f>
        <v>ABHA</v>
      </c>
      <c r="L1167" s="17">
        <f>VLOOKUP(Main_Presentation[[#This Row],[LC Number]],Main_Issuance[],10,0)</f>
        <v>1020070</v>
      </c>
      <c r="M1167" s="17" t="str">
        <f>VLOOKUP(Main_Presentation[[#This Row],[LC Number]],Main_Issuance[],11,0)</f>
        <v>SAR</v>
      </c>
      <c r="N1167" s="84">
        <f>VLOOKUP(Main_Presentation[[#This Row],[LC Number]],Main_Issuance[],12,0)</f>
        <v>3000000</v>
      </c>
      <c r="O1167" s="16" t="s">
        <v>20</v>
      </c>
      <c r="P1167" s="16" t="s">
        <v>857</v>
      </c>
      <c r="Q1167" s="131">
        <v>2704025</v>
      </c>
      <c r="R1167" s="18">
        <v>1</v>
      </c>
      <c r="S1167" s="18">
        <f>Main_Presentation[[#This Row],[Invoice Amt (FCY)]]*Main_Presentation[[#This Row],[Rate]]</f>
        <v>2704025</v>
      </c>
      <c r="T1167" s="15">
        <v>45986</v>
      </c>
      <c r="U1167" s="26" t="str">
        <f>VLOOKUP(Main_Presentation[[#This Row],[LC Number]],Main_Issuance[],18,0)</f>
        <v>90 Days from Date of Delivery</v>
      </c>
      <c r="V1167" s="17" t="s">
        <v>710</v>
      </c>
      <c r="W1167" s="22" t="s">
        <v>378</v>
      </c>
      <c r="X1167" s="16"/>
      <c r="Y1167" s="234" t="str">
        <f>TRIM(LEFT(Main_Presentation[[#This Row],[Payment Terms]],3))</f>
        <v>90</v>
      </c>
      <c r="Z1167" s="16"/>
      <c r="AA1167" s="316" cm="1">
        <f t="array" ref="AA1167">Settlement(Main_Presentation[[#This Row],[Bank]],Main_Presentation[[#This Row],[ Invoice Amt (SAR)]],Main_Presentation[[#This Row],[Date Recd]],Main_Presentation[[#This Row],[Due Date]],Main_Presentation[[#This Row],[Days]])</f>
        <v>11661</v>
      </c>
      <c r="AB1167" s="16"/>
    </row>
    <row r="1168" spans="1:28" ht="15.75" hidden="1" x14ac:dyDescent="0.25">
      <c r="A1168" s="20" t="s">
        <v>1779</v>
      </c>
      <c r="B1168" s="15">
        <v>45925</v>
      </c>
      <c r="C1168" s="26">
        <v>1</v>
      </c>
      <c r="D1168" s="55" t="str">
        <f>VLOOKUP(Main_Presentation[[#This Row],[LC Number]],Main_Issuance[],3,0)</f>
        <v>Muhammed Khan</v>
      </c>
      <c r="E1168" s="16" t="s">
        <v>858</v>
      </c>
      <c r="F1168" s="17" t="str">
        <f>VLOOKUP(Main_Presentation[[#This Row],[LC Number]],Main_Issuance[],5,0)</f>
        <v>Riyad</v>
      </c>
      <c r="G1168" s="17" t="str">
        <f>VLOOKUP(Main_Presentation[[#This Row],[LC Number]],Main_Issuance[],6,0)</f>
        <v>Cash</v>
      </c>
      <c r="H1168" s="17" t="str">
        <f>VLOOKUP(Main_Presentation[[#This Row],[LC Number]],Main_Issuance[],17,0)</f>
        <v>Cash</v>
      </c>
      <c r="I1168" s="17" t="str">
        <f>VLOOKUP(Main_Presentation[[#This Row],[LC Number]],Main_Issuance[],7,0)</f>
        <v>Nesma Nibras Maintenance &amp; Cleaning International Co.</v>
      </c>
      <c r="J1168" s="17" t="str">
        <f>VLOOKUP(Main_Presentation[[#This Row],[LC Number]],Main_Issuance[],8,0)</f>
        <v>IFAS</v>
      </c>
      <c r="K1168" s="17" t="str">
        <f>VLOOKUP(Main_Presentation[[#This Row],[LC Number]],Main_Issuance[],9,0)</f>
        <v>IFAS - Various Projects</v>
      </c>
      <c r="L1168" s="17">
        <f>VLOOKUP(Main_Presentation[[#This Row],[LC Number]],Main_Issuance[],10,0)</f>
        <v>0</v>
      </c>
      <c r="M1168" s="17" t="str">
        <f>VLOOKUP(Main_Presentation[[#This Row],[LC Number]],Main_Issuance[],11,0)</f>
        <v>SAR</v>
      </c>
      <c r="N1168" s="84">
        <f>VLOOKUP(Main_Presentation[[#This Row],[LC Number]],Main_Issuance[],12,0)</f>
        <v>313581.86</v>
      </c>
      <c r="O1168" s="16" t="s">
        <v>20</v>
      </c>
      <c r="P1168" s="16" t="s">
        <v>378</v>
      </c>
      <c r="Q1168" s="131">
        <v>313581.86</v>
      </c>
      <c r="R1168" s="18">
        <v>1</v>
      </c>
      <c r="S1168" s="18">
        <f>Main_Presentation[[#This Row],[Invoice Amt (FCY)]]*Main_Presentation[[#This Row],[Rate]]</f>
        <v>313581.86</v>
      </c>
      <c r="T1168" s="15">
        <v>45943</v>
      </c>
      <c r="U1168" s="26" t="str">
        <f>VLOOKUP(Main_Presentation[[#This Row],[LC Number]],Main_Issuance[],18,0)</f>
        <v>Sight</v>
      </c>
      <c r="V1168" s="17" t="s">
        <v>70</v>
      </c>
      <c r="W1168" s="22" t="s">
        <v>857</v>
      </c>
      <c r="X1168" s="16" t="s">
        <v>1943</v>
      </c>
      <c r="Y1168" s="234" t="str">
        <f>TRIM(LEFT(Main_Presentation[[#This Row],[Payment Terms]],3))</f>
        <v>Sig</v>
      </c>
      <c r="Z1168" s="16"/>
      <c r="AA1168" s="316" t="e" cm="1">
        <f t="array" ref="AA1168">Settlement(Main_Presentation[[#This Row],[Bank]],Main_Presentation[[#This Row],[ Invoice Amt (SAR)]],Main_Presentation[[#This Row],[Date Recd]],Main_Presentation[[#This Row],[Due Date]],Main_Presentation[[#This Row],[Days]])</f>
        <v>#VALUE!</v>
      </c>
      <c r="AB1168" s="16"/>
    </row>
    <row r="1169" spans="1:28" ht="15.75" hidden="1" x14ac:dyDescent="0.25">
      <c r="A1169" s="20" t="s">
        <v>1751</v>
      </c>
      <c r="B1169" s="15">
        <v>45942</v>
      </c>
      <c r="C1169" s="26">
        <v>1</v>
      </c>
      <c r="D1169" s="55" t="str">
        <f>VLOOKUP(Main_Presentation[[#This Row],[LC Number]],Main_Issuance[],3,0)</f>
        <v>Muhammed Khan</v>
      </c>
      <c r="E1169" s="16" t="s">
        <v>858</v>
      </c>
      <c r="F1169" s="17" t="str">
        <f>VLOOKUP(Main_Presentation[[#This Row],[LC Number]],Main_Issuance[],5,0)</f>
        <v>Riyad</v>
      </c>
      <c r="G1169" s="17" t="str">
        <f>VLOOKUP(Main_Presentation[[#This Row],[LC Number]],Main_Issuance[],6,0)</f>
        <v>Cash</v>
      </c>
      <c r="H1169" s="17" t="str">
        <f>VLOOKUP(Main_Presentation[[#This Row],[LC Number]],Main_Issuance[],17,0)</f>
        <v>Cash</v>
      </c>
      <c r="I1169" s="17" t="str">
        <f>VLOOKUP(Main_Presentation[[#This Row],[LC Number]],Main_Issuance[],7,0)</f>
        <v>Naseej Uniforms Co.</v>
      </c>
      <c r="J1169" s="17" t="str">
        <f>VLOOKUP(Main_Presentation[[#This Row],[LC Number]],Main_Issuance[],8,0)</f>
        <v>IFAS</v>
      </c>
      <c r="K1169" s="17" t="str">
        <f>VLOOKUP(Main_Presentation[[#This Row],[LC Number]],Main_Issuance[],9,0)</f>
        <v>IFAS - Various Projects</v>
      </c>
      <c r="L1169" s="17">
        <f>VLOOKUP(Main_Presentation[[#This Row],[LC Number]],Main_Issuance[],10,0)</f>
        <v>0</v>
      </c>
      <c r="M1169" s="17" t="str">
        <f>VLOOKUP(Main_Presentation[[#This Row],[LC Number]],Main_Issuance[],11,0)</f>
        <v>SAR</v>
      </c>
      <c r="N1169" s="84">
        <f>VLOOKUP(Main_Presentation[[#This Row],[LC Number]],Main_Issuance[],12,0)</f>
        <v>435085.25</v>
      </c>
      <c r="O1169" s="16" t="s">
        <v>20</v>
      </c>
      <c r="P1169" s="16" t="s">
        <v>857</v>
      </c>
      <c r="Q1169" s="131">
        <v>435085.25</v>
      </c>
      <c r="R1169" s="18">
        <v>1</v>
      </c>
      <c r="S1169" s="18">
        <f>Main_Presentation[[#This Row],[Invoice Amt (FCY)]]*Main_Presentation[[#This Row],[Rate]]</f>
        <v>435085.25</v>
      </c>
      <c r="T1169" s="15">
        <v>45944</v>
      </c>
      <c r="U1169" s="26" t="str">
        <f>VLOOKUP(Main_Presentation[[#This Row],[LC Number]],Main_Issuance[],18,0)</f>
        <v>Sight</v>
      </c>
      <c r="V1169" s="17" t="s">
        <v>70</v>
      </c>
      <c r="W1169" s="22" t="s">
        <v>857</v>
      </c>
      <c r="X1169" s="16"/>
      <c r="Y1169" s="234" t="str">
        <f>TRIM(LEFT(Main_Presentation[[#This Row],[Payment Terms]],3))</f>
        <v>Sig</v>
      </c>
      <c r="Z1169" s="16"/>
      <c r="AA1169" s="316" t="e" cm="1">
        <f t="array" ref="AA1169">Settlement(Main_Presentation[[#This Row],[Bank]],Main_Presentation[[#This Row],[ Invoice Amt (SAR)]],Main_Presentation[[#This Row],[Date Recd]],Main_Presentation[[#This Row],[Due Date]],Main_Presentation[[#This Row],[Days]])</f>
        <v>#VALUE!</v>
      </c>
      <c r="AB1169" s="16"/>
    </row>
    <row r="1170" spans="1:28" ht="15.75" hidden="1" x14ac:dyDescent="0.25">
      <c r="A1170" s="20" t="s">
        <v>482</v>
      </c>
      <c r="B1170" s="15">
        <v>45911</v>
      </c>
      <c r="C1170" s="26">
        <v>1</v>
      </c>
      <c r="D1170" s="55" t="str">
        <f>VLOOKUP(Main_Presentation[[#This Row],[LC Number]],Main_Issuance[],3,0)</f>
        <v>Rabih Makhoul</v>
      </c>
      <c r="E1170" s="16" t="s">
        <v>858</v>
      </c>
      <c r="F1170" s="17" t="str">
        <f>VLOOKUP(Main_Presentation[[#This Row],[LC Number]],Main_Issuance[],5,0)</f>
        <v>BAB</v>
      </c>
      <c r="G1170" s="17" t="str">
        <f>VLOOKUP(Main_Presentation[[#This Row],[LC Number]],Main_Issuance[],6,0)</f>
        <v>Cash</v>
      </c>
      <c r="H1170" s="17" t="str">
        <f>VLOOKUP(Main_Presentation[[#This Row],[LC Number]],Main_Issuance[],17,0)</f>
        <v>Cash</v>
      </c>
      <c r="I1170" s="17" t="str">
        <f>VLOOKUP(Main_Presentation[[#This Row],[LC Number]],Main_Issuance[],7,0)</f>
        <v>Stratconn Commercial Broker LLC</v>
      </c>
      <c r="J1170" s="17" t="str">
        <f>VLOOKUP(Main_Presentation[[#This Row],[LC Number]],Main_Issuance[],8,0)</f>
        <v>MBL</v>
      </c>
      <c r="K1170" s="17" t="str">
        <f>VLOOKUP(Main_Presentation[[#This Row],[LC Number]],Main_Issuance[],9,0)</f>
        <v>JCD SPMI</v>
      </c>
      <c r="L1170" s="17">
        <f>VLOOKUP(Main_Presentation[[#This Row],[LC Number]],Main_Issuance[],10,0)</f>
        <v>1020100</v>
      </c>
      <c r="M1170" s="17" t="str">
        <f>VLOOKUP(Main_Presentation[[#This Row],[LC Number]],Main_Issuance[],11,0)</f>
        <v>EUR</v>
      </c>
      <c r="N1170" s="84">
        <f>VLOOKUP(Main_Presentation[[#This Row],[LC Number]],Main_Issuance[],12,0)</f>
        <v>965047</v>
      </c>
      <c r="O1170" s="16" t="s">
        <v>20</v>
      </c>
      <c r="P1170" s="16" t="s">
        <v>857</v>
      </c>
      <c r="Q1170" s="131">
        <v>965046.86</v>
      </c>
      <c r="R1170" s="18">
        <v>4.6084506699999999</v>
      </c>
      <c r="S1170" s="18">
        <f>Main_Presentation[[#This Row],[Invoice Amt (FCY)]]*Main_Presentation[[#This Row],[Rate]]</f>
        <v>4447370.8485483956</v>
      </c>
      <c r="T1170" s="15">
        <v>45924</v>
      </c>
      <c r="U1170" s="26" t="str">
        <f>VLOOKUP(Main_Presentation[[#This Row],[LC Number]],Main_Issuance[],18,0)</f>
        <v>Sight</v>
      </c>
      <c r="V1170" s="17" t="s">
        <v>1849</v>
      </c>
      <c r="W1170" s="22" t="s">
        <v>378</v>
      </c>
      <c r="X1170" s="16"/>
      <c r="Y1170" s="234" t="str">
        <f>TRIM(LEFT(Main_Presentation[[#This Row],[Payment Terms]],3))</f>
        <v>Sig</v>
      </c>
      <c r="Z1170" s="16"/>
      <c r="AA1170" s="316" t="e" cm="1">
        <f t="array" ref="AA1170">Settlement(Main_Presentation[[#This Row],[Bank]],Main_Presentation[[#This Row],[ Invoice Amt (SAR)]],Main_Presentation[[#This Row],[Date Recd]],Main_Presentation[[#This Row],[Due Date]],Main_Presentation[[#This Row],[Days]])</f>
        <v>#VALUE!</v>
      </c>
      <c r="AB1170" s="16"/>
    </row>
    <row r="1171" spans="1:28" ht="15.75" hidden="1" x14ac:dyDescent="0.25">
      <c r="A1171" s="20" t="s">
        <v>1742</v>
      </c>
      <c r="B1171" s="15">
        <v>45938</v>
      </c>
      <c r="C1171" s="26">
        <v>1</v>
      </c>
      <c r="D1171" s="55" t="str">
        <f>VLOOKUP(Main_Presentation[[#This Row],[LC Number]],Main_Issuance[],3,0)</f>
        <v>Muhammed Khan</v>
      </c>
      <c r="E1171" s="16" t="s">
        <v>856</v>
      </c>
      <c r="F1171" s="17" t="str">
        <f>VLOOKUP(Main_Presentation[[#This Row],[LC Number]],Main_Issuance[],5,0)</f>
        <v>Riyad</v>
      </c>
      <c r="G1171" s="17" t="str">
        <f>VLOOKUP(Main_Presentation[[#This Row],[LC Number]],Main_Issuance[],6,0)</f>
        <v>Cash</v>
      </c>
      <c r="H1171" s="17" t="str">
        <f>VLOOKUP(Main_Presentation[[#This Row],[LC Number]],Main_Issuance[],17,0)</f>
        <v>Cash</v>
      </c>
      <c r="I1171" s="17" t="str">
        <f>VLOOKUP(Main_Presentation[[#This Row],[LC Number]],Main_Issuance[],7,0)</f>
        <v>Abdul Aziz Mohammed Abu Shaiea Trading Est</v>
      </c>
      <c r="J1171" s="17" t="str">
        <f>VLOOKUP(Main_Presentation[[#This Row],[LC Number]],Main_Issuance[],8,0)</f>
        <v>IFAS</v>
      </c>
      <c r="K1171" s="17" t="str">
        <f>VLOOKUP(Main_Presentation[[#This Row],[LC Number]],Main_Issuance[],9,0)</f>
        <v>IFAS - Various Projects</v>
      </c>
      <c r="L1171" s="17">
        <f>VLOOKUP(Main_Presentation[[#This Row],[LC Number]],Main_Issuance[],10,0)</f>
        <v>0</v>
      </c>
      <c r="M1171" s="17" t="str">
        <f>VLOOKUP(Main_Presentation[[#This Row],[LC Number]],Main_Issuance[],11,0)</f>
        <v>SAR</v>
      </c>
      <c r="N1171" s="84">
        <f>VLOOKUP(Main_Presentation[[#This Row],[LC Number]],Main_Issuance[],12,0)</f>
        <v>551681.93000000005</v>
      </c>
      <c r="O1171" s="16" t="s">
        <v>20</v>
      </c>
      <c r="P1171" s="16" t="s">
        <v>378</v>
      </c>
      <c r="Q1171" s="131">
        <v>397922</v>
      </c>
      <c r="R1171" s="18">
        <v>1</v>
      </c>
      <c r="S1171" s="18">
        <f>Main_Presentation[[#This Row],[Invoice Amt (FCY)]]*Main_Presentation[[#This Row],[Rate]]</f>
        <v>397922</v>
      </c>
      <c r="T1171" s="15">
        <v>45939</v>
      </c>
      <c r="U1171" s="26" t="str">
        <f>VLOOKUP(Main_Presentation[[#This Row],[LC Number]],Main_Issuance[],18,0)</f>
        <v>Sight</v>
      </c>
      <c r="V1171" s="17" t="s">
        <v>70</v>
      </c>
      <c r="W1171" s="22" t="s">
        <v>857</v>
      </c>
      <c r="X1171" s="16"/>
      <c r="Y1171" s="234" t="str">
        <f>TRIM(LEFT(Main_Presentation[[#This Row],[Payment Terms]],3))</f>
        <v>Sig</v>
      </c>
      <c r="Z1171" s="16"/>
      <c r="AA1171" s="316" t="e" cm="1">
        <f t="array" ref="AA1171">Settlement(Main_Presentation[[#This Row],[Bank]],Main_Presentation[[#This Row],[ Invoice Amt (SAR)]],Main_Presentation[[#This Row],[Date Recd]],Main_Presentation[[#This Row],[Due Date]],Main_Presentation[[#This Row],[Days]])</f>
        <v>#VALUE!</v>
      </c>
      <c r="AB1171" s="16"/>
    </row>
    <row r="1172" spans="1:28" ht="15.75" hidden="1" x14ac:dyDescent="0.25">
      <c r="A1172" s="20" t="s">
        <v>1752</v>
      </c>
      <c r="B1172" s="15">
        <v>45936</v>
      </c>
      <c r="C1172" s="26">
        <v>1</v>
      </c>
      <c r="D1172" s="55" t="str">
        <f>VLOOKUP(Main_Presentation[[#This Row],[LC Number]],Main_Issuance[],3,0)</f>
        <v>Muhammed Khan</v>
      </c>
      <c r="E1172" s="16" t="s">
        <v>856</v>
      </c>
      <c r="F1172" s="17" t="str">
        <f>VLOOKUP(Main_Presentation[[#This Row],[LC Number]],Main_Issuance[],5,0)</f>
        <v>Riyad</v>
      </c>
      <c r="G1172" s="17" t="str">
        <f>VLOOKUP(Main_Presentation[[#This Row],[LC Number]],Main_Issuance[],6,0)</f>
        <v>Cash</v>
      </c>
      <c r="H1172" s="17" t="str">
        <f>VLOOKUP(Main_Presentation[[#This Row],[LC Number]],Main_Issuance[],17,0)</f>
        <v>Cash</v>
      </c>
      <c r="I1172" s="17" t="str">
        <f>VLOOKUP(Main_Presentation[[#This Row],[LC Number]],Main_Issuance[],7,0)</f>
        <v>EASTERN CATERING &amp; OPERATIONS CO</v>
      </c>
      <c r="J1172" s="17" t="str">
        <f>VLOOKUP(Main_Presentation[[#This Row],[LC Number]],Main_Issuance[],8,0)</f>
        <v>IFAS</v>
      </c>
      <c r="K1172" s="17" t="str">
        <f>VLOOKUP(Main_Presentation[[#This Row],[LC Number]],Main_Issuance[],9,0)</f>
        <v>IFAS - Various Projects</v>
      </c>
      <c r="L1172" s="17">
        <f>VLOOKUP(Main_Presentation[[#This Row],[LC Number]],Main_Issuance[],10,0)</f>
        <v>0</v>
      </c>
      <c r="M1172" s="17" t="str">
        <f>VLOOKUP(Main_Presentation[[#This Row],[LC Number]],Main_Issuance[],11,0)</f>
        <v>SAR</v>
      </c>
      <c r="N1172" s="84">
        <f>VLOOKUP(Main_Presentation[[#This Row],[LC Number]],Main_Issuance[],12,0)</f>
        <v>500339.7</v>
      </c>
      <c r="O1172" s="16" t="s">
        <v>20</v>
      </c>
      <c r="P1172" s="16" t="s">
        <v>857</v>
      </c>
      <c r="Q1172" s="131">
        <v>500339.7</v>
      </c>
      <c r="R1172" s="18">
        <v>1</v>
      </c>
      <c r="S1172" s="18">
        <f>Main_Presentation[[#This Row],[Invoice Amt (FCY)]]*Main_Presentation[[#This Row],[Rate]]</f>
        <v>500339.7</v>
      </c>
      <c r="T1172" s="15">
        <v>45937</v>
      </c>
      <c r="U1172" s="26" t="str">
        <f>VLOOKUP(Main_Presentation[[#This Row],[LC Number]],Main_Issuance[],18,0)</f>
        <v>Sight</v>
      </c>
      <c r="V1172" s="17" t="s">
        <v>70</v>
      </c>
      <c r="W1172" s="22" t="s">
        <v>857</v>
      </c>
      <c r="X1172" s="16"/>
      <c r="Y1172" s="234" t="str">
        <f>TRIM(LEFT(Main_Presentation[[#This Row],[Payment Terms]],3))</f>
        <v>Sig</v>
      </c>
      <c r="Z1172" s="16"/>
      <c r="AA1172" s="316" t="e" cm="1">
        <f t="array" ref="AA1172">Settlement(Main_Presentation[[#This Row],[Bank]],Main_Presentation[[#This Row],[ Invoice Amt (SAR)]],Main_Presentation[[#This Row],[Date Recd]],Main_Presentation[[#This Row],[Due Date]],Main_Presentation[[#This Row],[Days]])</f>
        <v>#VALUE!</v>
      </c>
      <c r="AB1172" s="16"/>
    </row>
    <row r="1173" spans="1:28" ht="15.75" hidden="1" x14ac:dyDescent="0.25">
      <c r="A1173" s="20" t="s">
        <v>1776</v>
      </c>
      <c r="B1173" s="15">
        <v>45924</v>
      </c>
      <c r="C1173" s="26">
        <v>1</v>
      </c>
      <c r="D1173" s="55" t="str">
        <f>VLOOKUP(Main_Presentation[[#This Row],[LC Number]],Main_Issuance[],3,0)</f>
        <v>Muhammed Khan</v>
      </c>
      <c r="E1173" s="16" t="s">
        <v>858</v>
      </c>
      <c r="F1173" s="17" t="str">
        <f>VLOOKUP(Main_Presentation[[#This Row],[LC Number]],Main_Issuance[],5,0)</f>
        <v>Riyad</v>
      </c>
      <c r="G1173" s="17" t="str">
        <f>VLOOKUP(Main_Presentation[[#This Row],[LC Number]],Main_Issuance[],6,0)</f>
        <v>Cash</v>
      </c>
      <c r="H1173" s="17" t="str">
        <f>VLOOKUP(Main_Presentation[[#This Row],[LC Number]],Main_Issuance[],17,0)</f>
        <v>Cash</v>
      </c>
      <c r="I1173" s="17" t="str">
        <f>VLOOKUP(Main_Presentation[[#This Row],[LC Number]],Main_Issuance[],7,0)</f>
        <v>ALMAYMANAH FOR CONTRACTING CO.</v>
      </c>
      <c r="J1173" s="17" t="str">
        <f>VLOOKUP(Main_Presentation[[#This Row],[LC Number]],Main_Issuance[],8,0)</f>
        <v>IFAS</v>
      </c>
      <c r="K1173" s="17" t="str">
        <f>VLOOKUP(Main_Presentation[[#This Row],[LC Number]],Main_Issuance[],9,0)</f>
        <v>IFAS - Various Projects</v>
      </c>
      <c r="L1173" s="17">
        <f>VLOOKUP(Main_Presentation[[#This Row],[LC Number]],Main_Issuance[],10,0)</f>
        <v>0</v>
      </c>
      <c r="M1173" s="17" t="str">
        <f>VLOOKUP(Main_Presentation[[#This Row],[LC Number]],Main_Issuance[],11,0)</f>
        <v>SAR</v>
      </c>
      <c r="N1173" s="84">
        <f>VLOOKUP(Main_Presentation[[#This Row],[LC Number]],Main_Issuance[],12,0)</f>
        <v>510271</v>
      </c>
      <c r="O1173" s="16" t="s">
        <v>20</v>
      </c>
      <c r="P1173" s="16" t="s">
        <v>857</v>
      </c>
      <c r="Q1173" s="131">
        <v>510271</v>
      </c>
      <c r="R1173" s="18">
        <v>1</v>
      </c>
      <c r="S1173" s="18">
        <f>Main_Presentation[[#This Row],[Invoice Amt (FCY)]]*Main_Presentation[[#This Row],[Rate]]</f>
        <v>510271</v>
      </c>
      <c r="T1173" s="15">
        <v>45943</v>
      </c>
      <c r="U1173" s="26" t="str">
        <f>VLOOKUP(Main_Presentation[[#This Row],[LC Number]],Main_Issuance[],18,0)</f>
        <v>Sight</v>
      </c>
      <c r="V1173" s="17" t="s">
        <v>70</v>
      </c>
      <c r="W1173" s="22" t="s">
        <v>857</v>
      </c>
      <c r="X1173" s="16" t="s">
        <v>1942</v>
      </c>
      <c r="Y1173" s="234" t="str">
        <f>TRIM(LEFT(Main_Presentation[[#This Row],[Payment Terms]],3))</f>
        <v>Sig</v>
      </c>
      <c r="Z1173" s="16"/>
      <c r="AA1173" s="316" t="e" cm="1">
        <f t="array" ref="AA1173">Settlement(Main_Presentation[[#This Row],[Bank]],Main_Presentation[[#This Row],[ Invoice Amt (SAR)]],Main_Presentation[[#This Row],[Date Recd]],Main_Presentation[[#This Row],[Due Date]],Main_Presentation[[#This Row],[Days]])</f>
        <v>#VALUE!</v>
      </c>
      <c r="AB1173" s="16"/>
    </row>
    <row r="1174" spans="1:28" ht="15.75" hidden="1" x14ac:dyDescent="0.25">
      <c r="A1174" s="20" t="s">
        <v>1780</v>
      </c>
      <c r="B1174" s="15">
        <v>45928</v>
      </c>
      <c r="C1174" s="26">
        <v>1</v>
      </c>
      <c r="D1174" s="55" t="str">
        <f>VLOOKUP(Main_Presentation[[#This Row],[LC Number]],Main_Issuance[],3,0)</f>
        <v>Muhammed Khan</v>
      </c>
      <c r="E1174" s="16" t="s">
        <v>856</v>
      </c>
      <c r="F1174" s="17" t="str">
        <f>VLOOKUP(Main_Presentation[[#This Row],[LC Number]],Main_Issuance[],5,0)</f>
        <v>Riyad</v>
      </c>
      <c r="G1174" s="17" t="str">
        <f>VLOOKUP(Main_Presentation[[#This Row],[LC Number]],Main_Issuance[],6,0)</f>
        <v>Cash</v>
      </c>
      <c r="H1174" s="17" t="str">
        <f>VLOOKUP(Main_Presentation[[#This Row],[LC Number]],Main_Issuance[],17,0)</f>
        <v>Cash</v>
      </c>
      <c r="I1174" s="17" t="str">
        <f>VLOOKUP(Main_Presentation[[#This Row],[LC Number]],Main_Issuance[],7,0)</f>
        <v>Norah Abdullah Mubarak Abu Dhabi Fuel Est</v>
      </c>
      <c r="J1174" s="17" t="str">
        <f>VLOOKUP(Main_Presentation[[#This Row],[LC Number]],Main_Issuance[],8,0)</f>
        <v>IFAS</v>
      </c>
      <c r="K1174" s="17" t="str">
        <f>VLOOKUP(Main_Presentation[[#This Row],[LC Number]],Main_Issuance[],9,0)</f>
        <v>IFAS - Various Projects</v>
      </c>
      <c r="L1174" s="17">
        <f>VLOOKUP(Main_Presentation[[#This Row],[LC Number]],Main_Issuance[],10,0)</f>
        <v>0</v>
      </c>
      <c r="M1174" s="17" t="str">
        <f>VLOOKUP(Main_Presentation[[#This Row],[LC Number]],Main_Issuance[],11,0)</f>
        <v>SAR</v>
      </c>
      <c r="N1174" s="84">
        <f>VLOOKUP(Main_Presentation[[#This Row],[LC Number]],Main_Issuance[],12,0)</f>
        <v>2395477.52</v>
      </c>
      <c r="O1174" s="16" t="s">
        <v>20</v>
      </c>
      <c r="P1174" s="16" t="s">
        <v>857</v>
      </c>
      <c r="Q1174" s="131">
        <v>2395477.52</v>
      </c>
      <c r="R1174" s="18">
        <v>1</v>
      </c>
      <c r="S1174" s="18">
        <f>Main_Presentation[[#This Row],[Invoice Amt (FCY)]]*Main_Presentation[[#This Row],[Rate]]</f>
        <v>2395477.52</v>
      </c>
      <c r="T1174" s="15">
        <v>45929</v>
      </c>
      <c r="U1174" s="26" t="str">
        <f>VLOOKUP(Main_Presentation[[#This Row],[LC Number]],Main_Issuance[],18,0)</f>
        <v>Sight</v>
      </c>
      <c r="V1174" s="17" t="s">
        <v>70</v>
      </c>
      <c r="W1174" s="22" t="s">
        <v>857</v>
      </c>
      <c r="X1174" s="16"/>
      <c r="Y1174" s="234" t="str">
        <f>TRIM(LEFT(Main_Presentation[[#This Row],[Payment Terms]],3))</f>
        <v>Sig</v>
      </c>
      <c r="Z1174" s="16"/>
      <c r="AA1174" s="316" t="e" cm="1">
        <f t="array" ref="AA1174">Settlement(Main_Presentation[[#This Row],[Bank]],Main_Presentation[[#This Row],[ Invoice Amt (SAR)]],Main_Presentation[[#This Row],[Date Recd]],Main_Presentation[[#This Row],[Due Date]],Main_Presentation[[#This Row],[Days]])</f>
        <v>#VALUE!</v>
      </c>
      <c r="AB1174" s="16"/>
    </row>
    <row r="1175" spans="1:28" ht="15.75" hidden="1" x14ac:dyDescent="0.25">
      <c r="A1175" s="20" t="s">
        <v>689</v>
      </c>
      <c r="B1175" s="15">
        <v>45914</v>
      </c>
      <c r="C1175" s="26">
        <v>3</v>
      </c>
      <c r="D1175" s="55" t="str">
        <f>VLOOKUP(Main_Presentation[[#This Row],[LC Number]],Main_Issuance[],3,0)</f>
        <v>Tareeq Telmasani</v>
      </c>
      <c r="E1175" s="16" t="s">
        <v>858</v>
      </c>
      <c r="F1175" s="17" t="str">
        <f>VLOOKUP(Main_Presentation[[#This Row],[LC Number]],Main_Issuance[],5,0)</f>
        <v>SAB</v>
      </c>
      <c r="G1175" s="17" t="str">
        <f>VLOOKUP(Main_Presentation[[#This Row],[LC Number]],Main_Issuance[],6,0)</f>
        <v>CEER</v>
      </c>
      <c r="H1175" s="17" t="str">
        <f>VLOOKUP(Main_Presentation[[#This Row],[LC Number]],Main_Issuance[],17,0)</f>
        <v>Credit</v>
      </c>
      <c r="I1175" s="17" t="str">
        <f>VLOOKUP(Main_Presentation[[#This Row],[LC Number]],Main_Issuance[],7,0)</f>
        <v>Arnon Plastic Industries Co Ltd</v>
      </c>
      <c r="J1175" s="17" t="str">
        <f>VLOOKUP(Main_Presentation[[#This Row],[LC Number]],Main_Issuance[],8,0)</f>
        <v>MBL</v>
      </c>
      <c r="K1175" s="17" t="str">
        <f>VLOOKUP(Main_Presentation[[#This Row],[LC Number]],Main_Issuance[],9,0)</f>
        <v>CEER</v>
      </c>
      <c r="L1175" s="17">
        <f>VLOOKUP(Main_Presentation[[#This Row],[LC Number]],Main_Issuance[],10,0)</f>
        <v>1020091</v>
      </c>
      <c r="M1175" s="17" t="str">
        <f>VLOOKUP(Main_Presentation[[#This Row],[LC Number]],Main_Issuance[],11,0)</f>
        <v>SAR</v>
      </c>
      <c r="N1175" s="84">
        <f>VLOOKUP(Main_Presentation[[#This Row],[LC Number]],Main_Issuance[],12,0)</f>
        <v>15413737.5</v>
      </c>
      <c r="O1175" s="16" t="s">
        <v>20</v>
      </c>
      <c r="P1175" s="16" t="s">
        <v>857</v>
      </c>
      <c r="Q1175" s="131">
        <v>2660497.44</v>
      </c>
      <c r="R1175" s="18">
        <v>1</v>
      </c>
      <c r="S1175" s="18">
        <f>Main_Presentation[[#This Row],[Invoice Amt (FCY)]]*Main_Presentation[[#This Row],[Rate]]</f>
        <v>2660497.44</v>
      </c>
      <c r="T1175" s="15">
        <v>45953</v>
      </c>
      <c r="U1175" s="26" t="str">
        <f>VLOOKUP(Main_Presentation[[#This Row],[LC Number]],Main_Issuance[],18,0)</f>
        <v>90 Days from Invoice Date</v>
      </c>
      <c r="V1175" s="17" t="s">
        <v>367</v>
      </c>
      <c r="W1175" s="22" t="s">
        <v>857</v>
      </c>
      <c r="X1175" s="16"/>
      <c r="Y1175" s="234" t="str">
        <f>TRIM(LEFT(Main_Presentation[[#This Row],[Payment Terms]],3))</f>
        <v>90</v>
      </c>
      <c r="Z1175" s="16"/>
      <c r="AA1175" s="316" cm="1">
        <f t="array" ref="AA1175">Settlement(Main_Presentation[[#This Row],[Bank]],Main_Presentation[[#This Row],[ Invoice Amt (SAR)]],Main_Presentation[[#This Row],[Date Recd]],Main_Presentation[[#This Row],[Due Date]],Main_Presentation[[#This Row],[Days]])</f>
        <v>11473.55</v>
      </c>
      <c r="AB1175" s="16"/>
    </row>
    <row r="1176" spans="1:28" ht="15.75" hidden="1" x14ac:dyDescent="0.25">
      <c r="A1176" s="129" t="s">
        <v>321</v>
      </c>
      <c r="B1176" s="137">
        <v>45932</v>
      </c>
      <c r="C1176" s="138">
        <v>8</v>
      </c>
      <c r="D1176" s="139" t="str">
        <f>VLOOKUP(Main_Presentation[[#This Row],[LC Number]],Main_Issuance[],3,0)</f>
        <v>Dipu Sir</v>
      </c>
      <c r="E1176" s="140" t="s">
        <v>858</v>
      </c>
      <c r="F1176" s="230" t="str">
        <f>VLOOKUP(Main_Presentation[[#This Row],[LC Number]],Main_Issuance[],5,0)</f>
        <v>Riyad</v>
      </c>
      <c r="G1176" s="230" t="str">
        <f>VLOOKUP(Main_Presentation[[#This Row],[LC Number]],Main_Issuance[],6,0)</f>
        <v>Cash</v>
      </c>
      <c r="H1176" s="230" t="str">
        <f>VLOOKUP(Main_Presentation[[#This Row],[LC Number]],Main_Issuance[],17,0)</f>
        <v>Cash</v>
      </c>
      <c r="I1176" s="230" t="str">
        <f>VLOOKUP(Main_Presentation[[#This Row],[LC Number]],Main_Issuance[],7,0)</f>
        <v>Visio INC</v>
      </c>
      <c r="J1176" s="230" t="str">
        <f>VLOOKUP(Main_Presentation[[#This Row],[LC Number]],Main_Issuance[],8,0)</f>
        <v>MBL</v>
      </c>
      <c r="K1176" s="230" t="str">
        <f>VLOOKUP(Main_Presentation[[#This Row],[LC Number]],Main_Issuance[],9,0)</f>
        <v>L01-YAMMAMA</v>
      </c>
      <c r="L1176" s="230">
        <f>VLOOKUP(Main_Presentation[[#This Row],[LC Number]],Main_Issuance[],10,0)</f>
        <v>1020015</v>
      </c>
      <c r="M1176" s="230" t="str">
        <f>VLOOKUP(Main_Presentation[[#This Row],[LC Number]],Main_Issuance[],11,0)</f>
        <v>SAR</v>
      </c>
      <c r="N1176" s="231">
        <f>VLOOKUP(Main_Presentation[[#This Row],[LC Number]],Main_Issuance[],12,0)</f>
        <v>16327500.880000001</v>
      </c>
      <c r="O1176" s="140" t="s">
        <v>20</v>
      </c>
      <c r="P1176" s="140" t="s">
        <v>857</v>
      </c>
      <c r="Q1176" s="131">
        <v>1039300.19</v>
      </c>
      <c r="R1176" s="131">
        <v>1</v>
      </c>
      <c r="S1176" s="131">
        <f>Main_Presentation[[#This Row],[Invoice Amt (FCY)]]*Main_Presentation[[#This Row],[Rate]]</f>
        <v>1039300.19</v>
      </c>
      <c r="T1176" s="137">
        <v>45937</v>
      </c>
      <c r="U1176" s="138" t="str">
        <f>VLOOKUP(Main_Presentation[[#This Row],[LC Number]],Main_Issuance[],18,0)</f>
        <v>30 Days from Delivery Date</v>
      </c>
      <c r="V1176" s="230" t="str">
        <f>VLOOKUP(Main_Presentation[[#This Row],[LC Number]],Main_Issuance[],9,0)</f>
        <v>L01-YAMMAMA</v>
      </c>
      <c r="W1176" s="145" t="s">
        <v>857</v>
      </c>
      <c r="X1176" s="140"/>
      <c r="Y1176" s="400" t="str">
        <f>TRIM(LEFT(Main_Presentation[[#This Row],[Payment Terms]],3))</f>
        <v>30</v>
      </c>
      <c r="Z1176" s="140"/>
      <c r="AA1176" s="468" cm="1">
        <f t="array" ref="AA1176">Settlement(Main_Presentation[[#This Row],[Bank]],Main_Presentation[[#This Row],[ Invoice Amt (SAR)]],Main_Presentation[[#This Row],[Date Recd]],Main_Presentation[[#This Row],[Due Date]],Main_Presentation[[#This Row],[Days]])</f>
        <v>230</v>
      </c>
      <c r="AB1176" s="140"/>
    </row>
    <row r="1177" spans="1:28" ht="15.75" hidden="1" x14ac:dyDescent="0.25">
      <c r="A1177" s="20" t="s">
        <v>1339</v>
      </c>
      <c r="B1177" s="15">
        <v>45936</v>
      </c>
      <c r="C1177" s="26">
        <v>2</v>
      </c>
      <c r="D1177" s="55" t="str">
        <f>VLOOKUP(Main_Presentation[[#This Row],[LC Number]],Main_Issuance[],3,0)</f>
        <v>Hassan Taleb</v>
      </c>
      <c r="E1177" s="16" t="s">
        <v>858</v>
      </c>
      <c r="F1177" s="17" t="str">
        <f>VLOOKUP(Main_Presentation[[#This Row],[LC Number]],Main_Issuance[],5,0)</f>
        <v>Alinma</v>
      </c>
      <c r="G1177" s="17" t="str">
        <f>VLOOKUP(Main_Presentation[[#This Row],[LC Number]],Main_Issuance[],6,0)</f>
        <v>KSP</v>
      </c>
      <c r="H1177" s="17" t="str">
        <f>VLOOKUP(Main_Presentation[[#This Row],[LC Number]],Main_Issuance[],17,0)</f>
        <v>Credit</v>
      </c>
      <c r="I1177" s="17" t="str">
        <f>VLOOKUP(Main_Presentation[[#This Row],[LC Number]],Main_Issuance[],7,0)</f>
        <v>IDEAL CALIBER COMPANY</v>
      </c>
      <c r="J1177" s="17" t="str">
        <f>VLOOKUP(Main_Presentation[[#This Row],[LC Number]],Main_Issuance[],8,0)</f>
        <v>FIRST FIX</v>
      </c>
      <c r="K1177" s="17" t="str">
        <f>VLOOKUP(Main_Presentation[[#This Row],[LC Number]],Main_Issuance[],9,0)</f>
        <v>KSP</v>
      </c>
      <c r="L1177" s="17">
        <f>VLOOKUP(Main_Presentation[[#This Row],[LC Number]],Main_Issuance[],10,0)</f>
        <v>1020055</v>
      </c>
      <c r="M1177" s="17" t="str">
        <f>VLOOKUP(Main_Presentation[[#This Row],[LC Number]],Main_Issuance[],11,0)</f>
        <v>SAR</v>
      </c>
      <c r="N1177" s="84">
        <f>VLOOKUP(Main_Presentation[[#This Row],[LC Number]],Main_Issuance[],12,0)</f>
        <v>302213.12</v>
      </c>
      <c r="O1177" s="16" t="s">
        <v>20</v>
      </c>
      <c r="P1177" s="16" t="s">
        <v>857</v>
      </c>
      <c r="Q1177" s="131">
        <v>124411.18</v>
      </c>
      <c r="R1177" s="18">
        <v>1</v>
      </c>
      <c r="S1177" s="18">
        <f>Main_Presentation[[#This Row],[Invoice Amt (FCY)]]*Main_Presentation[[#This Row],[Rate]]</f>
        <v>124411.18</v>
      </c>
      <c r="T1177" s="15">
        <v>46006</v>
      </c>
      <c r="U1177" s="26" t="str">
        <f>VLOOKUP(Main_Presentation[[#This Row],[LC Number]],Main_Issuance[],18,0)</f>
        <v>120 Days from Invoice Date</v>
      </c>
      <c r="V1177" s="17" t="s">
        <v>613</v>
      </c>
      <c r="W1177" s="22" t="s">
        <v>378</v>
      </c>
      <c r="X1177" s="16"/>
      <c r="Y1177" s="234" t="str">
        <f>TRIM(LEFT(Main_Presentation[[#This Row],[Payment Terms]],3))</f>
        <v>120</v>
      </c>
      <c r="Z1177" s="16"/>
      <c r="AA1177" s="316" cm="1">
        <f t="array" ref="AA1177">Settlement(Main_Presentation[[#This Row],[Bank]],Main_Presentation[[#This Row],[ Invoice Amt (SAR)]],Main_Presentation[[#This Row],[Date Recd]],Main_Presentation[[#This Row],[Due Date]],Main_Presentation[[#This Row],[Days]])</f>
        <v>1437.5</v>
      </c>
      <c r="AB1177" s="16"/>
    </row>
    <row r="1178" spans="1:28" ht="15.75" hidden="1" x14ac:dyDescent="0.25">
      <c r="A1178" s="20" t="s">
        <v>1768</v>
      </c>
      <c r="B1178" s="15">
        <v>45949</v>
      </c>
      <c r="C1178" s="26">
        <v>1</v>
      </c>
      <c r="D1178" s="55" t="str">
        <f>VLOOKUP(Main_Presentation[[#This Row],[LC Number]],Main_Issuance[],3,0)</f>
        <v>Hassan Taleb</v>
      </c>
      <c r="E1178" s="16" t="s">
        <v>858</v>
      </c>
      <c r="F1178" s="17" t="str">
        <f>VLOOKUP(Main_Presentation[[#This Row],[LC Number]],Main_Issuance[],5,0)</f>
        <v>SAB</v>
      </c>
      <c r="G1178" s="17" t="str">
        <f>VLOOKUP(Main_Presentation[[#This Row],[LC Number]],Main_Issuance[],6,0)</f>
        <v>MP1</v>
      </c>
      <c r="H1178" s="17" t="str">
        <f>VLOOKUP(Main_Presentation[[#This Row],[LC Number]],Main_Issuance[],17,0)</f>
        <v>Credit</v>
      </c>
      <c r="I1178" s="17" t="str">
        <f>VLOOKUP(Main_Presentation[[#This Row],[LC Number]],Main_Issuance[],7,0)</f>
        <v>Masdar Technical Supplies Co.</v>
      </c>
      <c r="J1178" s="17" t="str">
        <f>VLOOKUP(Main_Presentation[[#This Row],[LC Number]],Main_Issuance[],8,0)</f>
        <v>FIRST FIX</v>
      </c>
      <c r="K1178" s="17" t="str">
        <f>VLOOKUP(Main_Presentation[[#This Row],[LC Number]],Main_Issuance[],9,0)</f>
        <v>MP1</v>
      </c>
      <c r="L1178" s="17">
        <f>VLOOKUP(Main_Presentation[[#This Row],[LC Number]],Main_Issuance[],10,0)</f>
        <v>1020088</v>
      </c>
      <c r="M1178" s="17" t="str">
        <f>VLOOKUP(Main_Presentation[[#This Row],[LC Number]],Main_Issuance[],11,0)</f>
        <v>SAR</v>
      </c>
      <c r="N1178" s="84">
        <f>VLOOKUP(Main_Presentation[[#This Row],[LC Number]],Main_Issuance[],12,0)</f>
        <v>200000</v>
      </c>
      <c r="O1178" s="16" t="s">
        <v>20</v>
      </c>
      <c r="P1178" s="16" t="s">
        <v>857</v>
      </c>
      <c r="Q1178" s="131">
        <v>200000</v>
      </c>
      <c r="R1178" s="18">
        <v>1</v>
      </c>
      <c r="S1178" s="18">
        <f>Main_Presentation[[#This Row],[Invoice Amt (FCY)]]*Main_Presentation[[#This Row],[Rate]]</f>
        <v>200000</v>
      </c>
      <c r="T1178" s="15">
        <v>46008</v>
      </c>
      <c r="U1178" s="26" t="str">
        <f>VLOOKUP(Main_Presentation[[#This Row],[LC Number]],Main_Issuance[],18,0)</f>
        <v>120 Days from Invoice Date</v>
      </c>
      <c r="V1178" s="17" t="s">
        <v>710</v>
      </c>
      <c r="W1178" s="22" t="s">
        <v>857</v>
      </c>
      <c r="X1178" s="16"/>
      <c r="Y1178" s="234" t="str">
        <f>TRIM(LEFT(Main_Presentation[[#This Row],[Payment Terms]],3))</f>
        <v>120</v>
      </c>
      <c r="Z1178" s="16"/>
      <c r="AA1178" s="316" cm="1">
        <f t="array" ref="AA1178">Settlement(Main_Presentation[[#This Row],[Bank]],Main_Presentation[[#This Row],[ Invoice Amt (SAR)]],Main_Presentation[[#This Row],[Date Recd]],Main_Presentation[[#This Row],[Due Date]],Main_Presentation[[#This Row],[Days]])</f>
        <v>862.5</v>
      </c>
      <c r="AB1178" s="16"/>
    </row>
    <row r="1179" spans="1:28" ht="15.75" hidden="1" x14ac:dyDescent="0.25">
      <c r="A1179" s="20" t="s">
        <v>1820</v>
      </c>
      <c r="B1179" s="15">
        <v>45944</v>
      </c>
      <c r="C1179" s="26">
        <v>1</v>
      </c>
      <c r="D1179" s="55" t="str">
        <f>VLOOKUP(Main_Presentation[[#This Row],[LC Number]],Main_Issuance[],3,0)</f>
        <v>Hassan Taleb</v>
      </c>
      <c r="E1179" s="16" t="s">
        <v>856</v>
      </c>
      <c r="F1179" s="17" t="str">
        <f>VLOOKUP(Main_Presentation[[#This Row],[LC Number]],Main_Issuance[],5,0)</f>
        <v>Jazira</v>
      </c>
      <c r="G1179" s="17" t="str">
        <f>VLOOKUP(Main_Presentation[[#This Row],[LC Number]],Main_Issuance[],6,0)</f>
        <v>RCRC</v>
      </c>
      <c r="H1179" s="17" t="str">
        <f>VLOOKUP(Main_Presentation[[#This Row],[LC Number]],Main_Issuance[],17,0)</f>
        <v>Credit</v>
      </c>
      <c r="I1179" s="17" t="str">
        <f>VLOOKUP(Main_Presentation[[#This Row],[LC Number]],Main_Issuance[],7,0)</f>
        <v>Saudi Benaa Company for Building Materials</v>
      </c>
      <c r="J1179" s="17" t="str">
        <f>VLOOKUP(Main_Presentation[[#This Row],[LC Number]],Main_Issuance[],8,0)</f>
        <v>FIRST FIX</v>
      </c>
      <c r="K1179" s="17" t="str">
        <f>VLOOKUP(Main_Presentation[[#This Row],[LC Number]],Main_Issuance[],9,0)</f>
        <v>RCRC</v>
      </c>
      <c r="L1179" s="17">
        <f>VLOOKUP(Main_Presentation[[#This Row],[LC Number]],Main_Issuance[],10,0)</f>
        <v>1020106</v>
      </c>
      <c r="M1179" s="17" t="str">
        <f>VLOOKUP(Main_Presentation[[#This Row],[LC Number]],Main_Issuance[],11,0)</f>
        <v>SAR</v>
      </c>
      <c r="N1179" s="84">
        <f>VLOOKUP(Main_Presentation[[#This Row],[LC Number]],Main_Issuance[],12,0)</f>
        <v>148350</v>
      </c>
      <c r="O1179" s="16" t="s">
        <v>20</v>
      </c>
      <c r="P1179" s="16" t="s">
        <v>378</v>
      </c>
      <c r="Q1179" s="131">
        <v>148350</v>
      </c>
      <c r="R1179" s="18">
        <v>1</v>
      </c>
      <c r="S1179" s="18">
        <f>Main_Presentation[[#This Row],[Invoice Amt (FCY)]]*Main_Presentation[[#This Row],[Rate]]</f>
        <v>148350</v>
      </c>
      <c r="T1179" s="15">
        <v>45991</v>
      </c>
      <c r="U1179" s="26" t="str">
        <f>VLOOKUP(Main_Presentation[[#This Row],[LC Number]],Main_Issuance[],18,0)</f>
        <v>90 Days from Invoice Date</v>
      </c>
      <c r="V1179" s="17" t="s">
        <v>613</v>
      </c>
      <c r="W1179" s="22" t="s">
        <v>857</v>
      </c>
      <c r="X1179" s="16"/>
      <c r="Y1179" s="234" t="str">
        <f>TRIM(LEFT(Main_Presentation[[#This Row],[Payment Terms]],3))</f>
        <v>90</v>
      </c>
      <c r="Z1179" s="16"/>
      <c r="AA1179" s="316" cm="1">
        <f t="array" ref="AA1179">Settlement(Main_Presentation[[#This Row],[Bank]],Main_Presentation[[#This Row],[ Invoice Amt (SAR)]],Main_Presentation[[#This Row],[Date Recd]],Main_Presentation[[#This Row],[Due Date]],Main_Presentation[[#This Row],[Days]])</f>
        <v>977.5</v>
      </c>
      <c r="AB1179" s="16"/>
    </row>
    <row r="1180" spans="1:28" ht="15.75" hidden="1" x14ac:dyDescent="0.25">
      <c r="A1180" s="20" t="s">
        <v>1617</v>
      </c>
      <c r="B1180" s="15">
        <v>45935</v>
      </c>
      <c r="C1180" s="26">
        <v>1</v>
      </c>
      <c r="D1180" s="55" t="str">
        <f>VLOOKUP(Main_Presentation[[#This Row],[LC Number]],Main_Issuance[],3,0)</f>
        <v>Hassan Taleb</v>
      </c>
      <c r="E1180" s="16" t="s">
        <v>858</v>
      </c>
      <c r="F1180" s="17" t="str">
        <f>VLOOKUP(Main_Presentation[[#This Row],[LC Number]],Main_Issuance[],5,0)</f>
        <v>SNB</v>
      </c>
      <c r="G1180" s="17" t="str">
        <f>VLOOKUP(Main_Presentation[[#This Row],[LC Number]],Main_Issuance[],6,0)</f>
        <v>Opera House</v>
      </c>
      <c r="H1180" s="17" t="str">
        <f>VLOOKUP(Main_Presentation[[#This Row],[LC Number]],Main_Issuance[],17,0)</f>
        <v>Credit</v>
      </c>
      <c r="I1180" s="17" t="str">
        <f>VLOOKUP(Main_Presentation[[#This Row],[LC Number]],Main_Issuance[],7,0)</f>
        <v>Sami Yousee Bin Abdel Rahim Alharbi Foundation</v>
      </c>
      <c r="J1180" s="17" t="str">
        <f>VLOOKUP(Main_Presentation[[#This Row],[LC Number]],Main_Issuance[],8,0)</f>
        <v>FIRST FIX</v>
      </c>
      <c r="K1180" s="17" t="str">
        <f>VLOOKUP(Main_Presentation[[#This Row],[LC Number]],Main_Issuance[],9,0)</f>
        <v>JCD SPMI</v>
      </c>
      <c r="L1180" s="17">
        <f>VLOOKUP(Main_Presentation[[#This Row],[LC Number]],Main_Issuance[],10,0)</f>
        <v>1020100</v>
      </c>
      <c r="M1180" s="17" t="str">
        <f>VLOOKUP(Main_Presentation[[#This Row],[LC Number]],Main_Issuance[],11,0)</f>
        <v>SAR</v>
      </c>
      <c r="N1180" s="84">
        <f>VLOOKUP(Main_Presentation[[#This Row],[LC Number]],Main_Issuance[],12,0)</f>
        <v>200000</v>
      </c>
      <c r="O1180" s="16" t="s">
        <v>20</v>
      </c>
      <c r="P1180" s="16" t="s">
        <v>378</v>
      </c>
      <c r="Q1180" s="131">
        <v>184701.44</v>
      </c>
      <c r="R1180" s="18">
        <v>1</v>
      </c>
      <c r="S1180" s="18">
        <f>Main_Presentation[[#This Row],[Invoice Amt (FCY)]]*Main_Presentation[[#This Row],[Rate]]</f>
        <v>184701.44</v>
      </c>
      <c r="T1180" s="15">
        <v>46029</v>
      </c>
      <c r="U1180" s="26" t="str">
        <f>VLOOKUP(Main_Presentation[[#This Row],[LC Number]],Main_Issuance[],18,0)</f>
        <v>120 Days from Invoice Date</v>
      </c>
      <c r="V1180" s="21" t="s">
        <v>483</v>
      </c>
      <c r="W1180" s="22" t="s">
        <v>857</v>
      </c>
      <c r="X1180" s="246"/>
      <c r="Y1180" s="234" t="str">
        <f>TRIM(LEFT(Main_Presentation[[#This Row],[Payment Terms]],3))</f>
        <v>120</v>
      </c>
      <c r="Z1180" s="16"/>
      <c r="AA1180" s="316" cm="1">
        <f t="array" ref="AA1180">Settlement(Main_Presentation[[#This Row],[Bank]],Main_Presentation[[#This Row],[ Invoice Amt (SAR)]],Main_Presentation[[#This Row],[Date Recd]],Main_Presentation[[#This Row],[Due Date]],Main_Presentation[[#This Row],[Days]])</f>
        <v>1367.35</v>
      </c>
      <c r="AB1180" s="16"/>
    </row>
    <row r="1181" spans="1:28" ht="15.75" hidden="1" x14ac:dyDescent="0.25">
      <c r="A1181" s="20" t="s">
        <v>1771</v>
      </c>
      <c r="B1181" s="15">
        <v>45931</v>
      </c>
      <c r="C1181" s="26">
        <v>1</v>
      </c>
      <c r="D1181" s="55" t="str">
        <f>VLOOKUP(Main_Presentation[[#This Row],[LC Number]],Main_Issuance[],3,0)</f>
        <v>Hassan Taleb</v>
      </c>
      <c r="E1181" s="16" t="s">
        <v>856</v>
      </c>
      <c r="F1181" s="17" t="str">
        <f>VLOOKUP(Main_Presentation[[#This Row],[LC Number]],Main_Issuance[],5,0)</f>
        <v>SAB</v>
      </c>
      <c r="G1181" s="17" t="str">
        <f>VLOOKUP(Main_Presentation[[#This Row],[LC Number]],Main_Issuance[],6,0)</f>
        <v>MP1</v>
      </c>
      <c r="H1181" s="17" t="str">
        <f>VLOOKUP(Main_Presentation[[#This Row],[LC Number]],Main_Issuance[],17,0)</f>
        <v>Credit</v>
      </c>
      <c r="I1181" s="17" t="str">
        <f>VLOOKUP(Main_Presentation[[#This Row],[LC Number]],Main_Issuance[],7,0)</f>
        <v>TEN POINTS TRADING EST</v>
      </c>
      <c r="J1181" s="17" t="str">
        <f>VLOOKUP(Main_Presentation[[#This Row],[LC Number]],Main_Issuance[],8,0)</f>
        <v>FIRST FIX</v>
      </c>
      <c r="K1181" s="17" t="str">
        <f>VLOOKUP(Main_Presentation[[#This Row],[LC Number]],Main_Issuance[],9,0)</f>
        <v>MP1</v>
      </c>
      <c r="L1181" s="17">
        <f>VLOOKUP(Main_Presentation[[#This Row],[LC Number]],Main_Issuance[],10,0)</f>
        <v>1020088</v>
      </c>
      <c r="M1181" s="17" t="str">
        <f>VLOOKUP(Main_Presentation[[#This Row],[LC Number]],Main_Issuance[],11,0)</f>
        <v>SAR</v>
      </c>
      <c r="N1181" s="84">
        <f>VLOOKUP(Main_Presentation[[#This Row],[LC Number]],Main_Issuance[],12,0)</f>
        <v>300000</v>
      </c>
      <c r="O1181" s="16" t="s">
        <v>20</v>
      </c>
      <c r="P1181" s="16" t="s">
        <v>857</v>
      </c>
      <c r="Q1181" s="131">
        <v>300000</v>
      </c>
      <c r="R1181" s="18">
        <v>1</v>
      </c>
      <c r="S1181" s="18">
        <f>Main_Presentation[[#This Row],[Invoice Amt (FCY)]]*Main_Presentation[[#This Row],[Rate]]</f>
        <v>300000</v>
      </c>
      <c r="T1181" s="15">
        <v>46029</v>
      </c>
      <c r="U1181" s="26" t="str">
        <f>VLOOKUP(Main_Presentation[[#This Row],[LC Number]],Main_Issuance[],18,0)</f>
        <v>120 Days from Invoice Date</v>
      </c>
      <c r="V1181" s="17" t="s">
        <v>710</v>
      </c>
      <c r="W1181" s="22" t="s">
        <v>857</v>
      </c>
      <c r="X1181" s="16"/>
      <c r="Y1181" s="234" t="str">
        <f>TRIM(LEFT(Main_Presentation[[#This Row],[Payment Terms]],3))</f>
        <v>120</v>
      </c>
      <c r="Z1181" s="16"/>
      <c r="AA1181" s="316" cm="1">
        <f t="array" ref="AA1181">Settlement(Main_Presentation[[#This Row],[Bank]],Main_Presentation[[#This Row],[ Invoice Amt (SAR)]],Main_Presentation[[#This Row],[Date Recd]],Main_Presentation[[#This Row],[Due Date]],Main_Presentation[[#This Row],[Days]])</f>
        <v>1293.75</v>
      </c>
      <c r="AB1181" s="16"/>
    </row>
    <row r="1182" spans="1:28" ht="15.75" hidden="1" x14ac:dyDescent="0.25">
      <c r="A1182" s="20" t="s">
        <v>1605</v>
      </c>
      <c r="B1182" s="15">
        <v>45930</v>
      </c>
      <c r="C1182" s="26">
        <v>1</v>
      </c>
      <c r="D1182" s="55" t="str">
        <f>VLOOKUP(Main_Presentation[[#This Row],[LC Number]],Main_Issuance[],3,0)</f>
        <v>Hassan Taleb</v>
      </c>
      <c r="E1182" s="16" t="s">
        <v>856</v>
      </c>
      <c r="F1182" s="17" t="str">
        <f>VLOOKUP(Main_Presentation[[#This Row],[LC Number]],Main_Issuance[],5,0)</f>
        <v>SAB</v>
      </c>
      <c r="G1182" s="17" t="str">
        <f>VLOOKUP(Main_Presentation[[#This Row],[LC Number]],Main_Issuance[],6,0)</f>
        <v>MP1</v>
      </c>
      <c r="H1182" s="17" t="str">
        <f>VLOOKUP(Main_Presentation[[#This Row],[LC Number]],Main_Issuance[],17,0)</f>
        <v>Credit</v>
      </c>
      <c r="I1182" s="17" t="str">
        <f>VLOOKUP(Main_Presentation[[#This Row],[LC Number]],Main_Issuance[],7,0)</f>
        <v>OPTIMAL ENGINEERING SOLUTIONS</v>
      </c>
      <c r="J1182" s="17" t="str">
        <f>VLOOKUP(Main_Presentation[[#This Row],[LC Number]],Main_Issuance[],8,0)</f>
        <v>FIRST FIX</v>
      </c>
      <c r="K1182" s="17" t="str">
        <f>VLOOKUP(Main_Presentation[[#This Row],[LC Number]],Main_Issuance[],9,0)</f>
        <v>MP1</v>
      </c>
      <c r="L1182" s="17">
        <f>VLOOKUP(Main_Presentation[[#This Row],[LC Number]],Main_Issuance[],10,0)</f>
        <v>1020088</v>
      </c>
      <c r="M1182" s="17" t="str">
        <f>VLOOKUP(Main_Presentation[[#This Row],[LC Number]],Main_Issuance[],11,0)</f>
        <v>SAR</v>
      </c>
      <c r="N1182" s="84">
        <f>VLOOKUP(Main_Presentation[[#This Row],[LC Number]],Main_Issuance[],12,0)</f>
        <v>300000</v>
      </c>
      <c r="O1182" s="16" t="s">
        <v>20</v>
      </c>
      <c r="P1182" s="16" t="s">
        <v>857</v>
      </c>
      <c r="Q1182" s="131">
        <v>300000</v>
      </c>
      <c r="R1182" s="18">
        <v>1</v>
      </c>
      <c r="S1182" s="18">
        <f>Main_Presentation[[#This Row],[Invoice Amt (FCY)]]*Main_Presentation[[#This Row],[Rate]]</f>
        <v>300000</v>
      </c>
      <c r="T1182" s="15">
        <v>46006</v>
      </c>
      <c r="U1182" s="26" t="str">
        <f>VLOOKUP(Main_Presentation[[#This Row],[LC Number]],Main_Issuance[],18,0)</f>
        <v>120 Days from Invoice Date</v>
      </c>
      <c r="V1182" s="17" t="s">
        <v>710</v>
      </c>
      <c r="W1182" s="22" t="s">
        <v>857</v>
      </c>
      <c r="X1182" s="16"/>
      <c r="Y1182" s="234" t="str">
        <f>TRIM(LEFT(Main_Presentation[[#This Row],[Payment Terms]],3))</f>
        <v>120</v>
      </c>
      <c r="Z1182" s="16"/>
      <c r="AA1182" s="316" cm="1">
        <f t="array" ref="AA1182">Settlement(Main_Presentation[[#This Row],[Bank]],Main_Presentation[[#This Row],[ Invoice Amt (SAR)]],Main_Presentation[[#This Row],[Date Recd]],Main_Presentation[[#This Row],[Due Date]],Main_Presentation[[#This Row],[Days]])</f>
        <v>1293.75</v>
      </c>
      <c r="AB1182" s="16"/>
    </row>
    <row r="1183" spans="1:28" ht="15.75" hidden="1" x14ac:dyDescent="0.25">
      <c r="A1183" s="20" t="s">
        <v>1769</v>
      </c>
      <c r="B1183" s="15">
        <v>45929</v>
      </c>
      <c r="C1183" s="26">
        <v>1</v>
      </c>
      <c r="D1183" s="55" t="str">
        <f>VLOOKUP(Main_Presentation[[#This Row],[LC Number]],Main_Issuance[],3,0)</f>
        <v>Hassan Taleb</v>
      </c>
      <c r="E1183" s="16" t="s">
        <v>858</v>
      </c>
      <c r="F1183" s="17" t="str">
        <f>VLOOKUP(Main_Presentation[[#This Row],[LC Number]],Main_Issuance[],5,0)</f>
        <v>SAB</v>
      </c>
      <c r="G1183" s="17" t="str">
        <f>VLOOKUP(Main_Presentation[[#This Row],[LC Number]],Main_Issuance[],6,0)</f>
        <v>MP1</v>
      </c>
      <c r="H1183" s="17" t="str">
        <f>VLOOKUP(Main_Presentation[[#This Row],[LC Number]],Main_Issuance[],17,0)</f>
        <v>Credit</v>
      </c>
      <c r="I1183" s="17" t="str">
        <f>VLOOKUP(Main_Presentation[[#This Row],[LC Number]],Main_Issuance[],7,0)</f>
        <v>MASQ FOR ELECTRICAL TOOLS CO</v>
      </c>
      <c r="J1183" s="17" t="str">
        <f>VLOOKUP(Main_Presentation[[#This Row],[LC Number]],Main_Issuance[],8,0)</f>
        <v>FIRST FIX</v>
      </c>
      <c r="K1183" s="17" t="str">
        <f>VLOOKUP(Main_Presentation[[#This Row],[LC Number]],Main_Issuance[],9,0)</f>
        <v>MP1</v>
      </c>
      <c r="L1183" s="17">
        <f>VLOOKUP(Main_Presentation[[#This Row],[LC Number]],Main_Issuance[],10,0)</f>
        <v>1020088</v>
      </c>
      <c r="M1183" s="17" t="str">
        <f>VLOOKUP(Main_Presentation[[#This Row],[LC Number]],Main_Issuance[],11,0)</f>
        <v>SAR</v>
      </c>
      <c r="N1183" s="84">
        <f>VLOOKUP(Main_Presentation[[#This Row],[LC Number]],Main_Issuance[],12,0)</f>
        <v>700000</v>
      </c>
      <c r="O1183" s="16" t="s">
        <v>20</v>
      </c>
      <c r="P1183" s="16" t="s">
        <v>857</v>
      </c>
      <c r="Q1183" s="131">
        <v>700000</v>
      </c>
      <c r="R1183" s="18">
        <v>1</v>
      </c>
      <c r="S1183" s="18">
        <f>Main_Presentation[[#This Row],[Invoice Amt (FCY)]]*Main_Presentation[[#This Row],[Rate]]</f>
        <v>700000</v>
      </c>
      <c r="T1183" s="15">
        <v>46008</v>
      </c>
      <c r="U1183" s="26" t="str">
        <f>VLOOKUP(Main_Presentation[[#This Row],[LC Number]],Main_Issuance[],18,0)</f>
        <v>120 Days from Invoice Date</v>
      </c>
      <c r="V1183" s="17" t="s">
        <v>710</v>
      </c>
      <c r="W1183" s="22" t="s">
        <v>857</v>
      </c>
      <c r="X1183" s="16"/>
      <c r="Y1183" s="234" t="str">
        <f>TRIM(LEFT(Main_Presentation[[#This Row],[Payment Terms]],3))</f>
        <v>120</v>
      </c>
      <c r="Z1183" s="16"/>
      <c r="AA1183" s="316" cm="1">
        <f t="array" ref="AA1183">Settlement(Main_Presentation[[#This Row],[Bank]],Main_Presentation[[#This Row],[ Invoice Amt (SAR)]],Main_Presentation[[#This Row],[Date Recd]],Main_Presentation[[#This Row],[Due Date]],Main_Presentation[[#This Row],[Days]])</f>
        <v>3018.75</v>
      </c>
      <c r="AB1183" s="16"/>
    </row>
    <row r="1184" spans="1:28" ht="15.75" hidden="1" x14ac:dyDescent="0.25">
      <c r="A1184" s="20" t="s">
        <v>1328</v>
      </c>
      <c r="B1184" s="15">
        <v>45943</v>
      </c>
      <c r="C1184" s="26">
        <v>3</v>
      </c>
      <c r="D1184" s="55" t="str">
        <f>VLOOKUP(Main_Presentation[[#This Row],[LC Number]],Main_Issuance[],3,0)</f>
        <v>Hassan Taleb</v>
      </c>
      <c r="E1184" s="16" t="s">
        <v>858</v>
      </c>
      <c r="F1184" s="17" t="str">
        <f>VLOOKUP(Main_Presentation[[#This Row],[LC Number]],Main_Issuance[],5,0)</f>
        <v>BAB</v>
      </c>
      <c r="G1184" s="17" t="str">
        <f>VLOOKUP(Main_Presentation[[#This Row],[LC Number]],Main_Issuance[],6,0)</f>
        <v>Cash</v>
      </c>
      <c r="H1184" s="17" t="str">
        <f>VLOOKUP(Main_Presentation[[#This Row],[LC Number]],Main_Issuance[],17,0)</f>
        <v>Cash</v>
      </c>
      <c r="I1184" s="17" t="str">
        <f>VLOOKUP(Main_Presentation[[#This Row],[LC Number]],Main_Issuance[],7,0)</f>
        <v>Electric House Trading Company L.L.C.</v>
      </c>
      <c r="J1184" s="17" t="str">
        <f>VLOOKUP(Main_Presentation[[#This Row],[LC Number]],Main_Issuance[],8,0)</f>
        <v>FIRST FIX</v>
      </c>
      <c r="K1184" s="17" t="str">
        <f>VLOOKUP(Main_Presentation[[#This Row],[LC Number]],Main_Issuance[],9,0)</f>
        <v>KSP</v>
      </c>
      <c r="L1184" s="17">
        <f>VLOOKUP(Main_Presentation[[#This Row],[LC Number]],Main_Issuance[],10,0)</f>
        <v>1020055</v>
      </c>
      <c r="M1184" s="17" t="str">
        <f>VLOOKUP(Main_Presentation[[#This Row],[LC Number]],Main_Issuance[],11,0)</f>
        <v>SAR</v>
      </c>
      <c r="N1184" s="84">
        <f>VLOOKUP(Main_Presentation[[#This Row],[LC Number]],Main_Issuance[],12,0)</f>
        <v>4639392.95</v>
      </c>
      <c r="O1184" s="16" t="s">
        <v>20</v>
      </c>
      <c r="P1184" s="16" t="s">
        <v>857</v>
      </c>
      <c r="Q1184" s="131">
        <v>1101821.3999999999</v>
      </c>
      <c r="R1184" s="18">
        <v>1</v>
      </c>
      <c r="S1184" s="18">
        <f>Main_Presentation[[#This Row],[Invoice Amt (FCY)]]*Main_Presentation[[#This Row],[Rate]]</f>
        <v>1101821.3999999999</v>
      </c>
      <c r="T1184" s="15">
        <v>46005</v>
      </c>
      <c r="U1184" s="26" t="str">
        <f>VLOOKUP(Main_Presentation[[#This Row],[LC Number]],Main_Issuance[],18,0)</f>
        <v>90 Days from Invoice Date</v>
      </c>
      <c r="V1184" s="17" t="s">
        <v>1849</v>
      </c>
      <c r="W1184" s="22" t="s">
        <v>378</v>
      </c>
      <c r="X1184" s="16" t="s">
        <v>2566</v>
      </c>
      <c r="Y1184" s="234" t="str">
        <f>TRIM(LEFT(Main_Presentation[[#This Row],[Payment Terms]],3))</f>
        <v>90</v>
      </c>
      <c r="Z1184" s="16"/>
      <c r="AA1184" s="316" cm="1">
        <f t="array" ref="AA1184">Settlement(Main_Presentation[[#This Row],[Bank]],Main_Presentation[[#This Row],[ Invoice Amt (SAR)]],Main_Presentation[[#This Row],[Date Recd]],Main_Presentation[[#This Row],[Due Date]],Main_Presentation[[#This Row],[Days]])</f>
        <v>0</v>
      </c>
      <c r="AB1184" s="16"/>
    </row>
    <row r="1185" spans="1:28" ht="15.75" hidden="1" x14ac:dyDescent="0.25">
      <c r="A1185" s="20" t="s">
        <v>1447</v>
      </c>
      <c r="B1185" s="15">
        <v>45935</v>
      </c>
      <c r="C1185" s="26">
        <v>2</v>
      </c>
      <c r="D1185" s="55" t="str">
        <f>VLOOKUP(Main_Presentation[[#This Row],[LC Number]],Main_Issuance[],3,0)</f>
        <v>Hassan Taleb</v>
      </c>
      <c r="E1185" s="16" t="s">
        <v>856</v>
      </c>
      <c r="F1185" s="17" t="str">
        <f>VLOOKUP(Main_Presentation[[#This Row],[LC Number]],Main_Issuance[],5,0)</f>
        <v>Jazira</v>
      </c>
      <c r="G1185" s="17" t="str">
        <f>VLOOKUP(Main_Presentation[[#This Row],[LC Number]],Main_Issuance[],6,0)</f>
        <v>RCRC</v>
      </c>
      <c r="H1185" s="17" t="str">
        <f>VLOOKUP(Main_Presentation[[#This Row],[LC Number]],Main_Issuance[],17,0)</f>
        <v>Credit</v>
      </c>
      <c r="I1185" s="17" t="str">
        <f>VLOOKUP(Main_Presentation[[#This Row],[LC Number]],Main_Issuance[],7,0)</f>
        <v>Metal and Glass Trading Co</v>
      </c>
      <c r="J1185" s="17" t="str">
        <f>VLOOKUP(Main_Presentation[[#This Row],[LC Number]],Main_Issuance[],8,0)</f>
        <v>FIRST FIX</v>
      </c>
      <c r="K1185" s="17" t="str">
        <f>VLOOKUP(Main_Presentation[[#This Row],[LC Number]],Main_Issuance[],9,0)</f>
        <v>RCRC</v>
      </c>
      <c r="L1185" s="17">
        <f>VLOOKUP(Main_Presentation[[#This Row],[LC Number]],Main_Issuance[],10,0)</f>
        <v>1020106</v>
      </c>
      <c r="M1185" s="17" t="str">
        <f>VLOOKUP(Main_Presentation[[#This Row],[LC Number]],Main_Issuance[],11,0)</f>
        <v>SAR</v>
      </c>
      <c r="N1185" s="84">
        <f>VLOOKUP(Main_Presentation[[#This Row],[LC Number]],Main_Issuance[],12,0)</f>
        <v>2000097.25</v>
      </c>
      <c r="O1185" s="16" t="s">
        <v>20</v>
      </c>
      <c r="P1185" s="16" t="s">
        <v>378</v>
      </c>
      <c r="Q1185" s="131">
        <v>564484.85</v>
      </c>
      <c r="R1185" s="18">
        <v>1</v>
      </c>
      <c r="S1185" s="18">
        <f>Main_Presentation[[#This Row],[Invoice Amt (FCY)]]*Main_Presentation[[#This Row],[Rate]]</f>
        <v>564484.85</v>
      </c>
      <c r="T1185" s="15">
        <v>45991</v>
      </c>
      <c r="U1185" s="26" t="str">
        <f>VLOOKUP(Main_Presentation[[#This Row],[LC Number]],Main_Issuance[],18,0)</f>
        <v>90 Days from Invoice Date</v>
      </c>
      <c r="V1185" s="17" t="s">
        <v>613</v>
      </c>
      <c r="W1185" s="22" t="s">
        <v>857</v>
      </c>
      <c r="X1185" s="16"/>
      <c r="Y1185" s="234" t="str">
        <f>TRIM(LEFT(Main_Presentation[[#This Row],[Payment Terms]],3))</f>
        <v>90</v>
      </c>
      <c r="Z1185" s="16"/>
      <c r="AA1185" s="316" cm="1">
        <f t="array" ref="AA1185">Settlement(Main_Presentation[[#This Row],[Bank]],Main_Presentation[[#This Row],[ Invoice Amt (SAR)]],Main_Presentation[[#This Row],[Date Recd]],Main_Presentation[[#This Row],[Due Date]],Main_Presentation[[#This Row],[Days]])</f>
        <v>1156.9000000000001</v>
      </c>
      <c r="AB1185" s="16"/>
    </row>
    <row r="1186" spans="1:28" ht="15.75" hidden="1" x14ac:dyDescent="0.25">
      <c r="A1186" s="20" t="s">
        <v>719</v>
      </c>
      <c r="B1186" s="15">
        <v>45935</v>
      </c>
      <c r="C1186" s="26">
        <v>2</v>
      </c>
      <c r="D1186" s="55" t="str">
        <f>VLOOKUP(Main_Presentation[[#This Row],[LC Number]],Main_Issuance[],3,0)</f>
        <v>Hassan Taleb</v>
      </c>
      <c r="E1186" s="16" t="s">
        <v>858</v>
      </c>
      <c r="F1186" s="17" t="str">
        <f>VLOOKUP(Main_Presentation[[#This Row],[LC Number]],Main_Issuance[],5,0)</f>
        <v>Jazira</v>
      </c>
      <c r="G1186" s="17" t="str">
        <f>VLOOKUP(Main_Presentation[[#This Row],[LC Number]],Main_Issuance[],6,0)</f>
        <v>RCRC</v>
      </c>
      <c r="H1186" s="17" t="str">
        <f>VLOOKUP(Main_Presentation[[#This Row],[LC Number]],Main_Issuance[],17,0)</f>
        <v>Credit</v>
      </c>
      <c r="I1186" s="17" t="str">
        <f>VLOOKUP(Main_Presentation[[#This Row],[LC Number]],Main_Issuance[],7,0)</f>
        <v>Al Wasail Industrial Company</v>
      </c>
      <c r="J1186" s="17" t="str">
        <f>VLOOKUP(Main_Presentation[[#This Row],[LC Number]],Main_Issuance[],8,0)</f>
        <v>FIRST FIX</v>
      </c>
      <c r="K1186" s="17" t="str">
        <f>VLOOKUP(Main_Presentation[[#This Row],[LC Number]],Main_Issuance[],9,0)</f>
        <v>RCRC</v>
      </c>
      <c r="L1186" s="17">
        <f>VLOOKUP(Main_Presentation[[#This Row],[LC Number]],Main_Issuance[],10,0)</f>
        <v>1020106</v>
      </c>
      <c r="M1186" s="17" t="str">
        <f>VLOOKUP(Main_Presentation[[#This Row],[LC Number]],Main_Issuance[],11,0)</f>
        <v>SAR</v>
      </c>
      <c r="N1186" s="84">
        <f>VLOOKUP(Main_Presentation[[#This Row],[LC Number]],Main_Issuance[],12,0)</f>
        <v>316864.68</v>
      </c>
      <c r="O1186" s="16" t="s">
        <v>20</v>
      </c>
      <c r="P1186" s="16" t="s">
        <v>857</v>
      </c>
      <c r="Q1186" s="131">
        <v>85527.8</v>
      </c>
      <c r="R1186" s="18">
        <v>1</v>
      </c>
      <c r="S1186" s="18">
        <f>Main_Presentation[[#This Row],[Invoice Amt (FCY)]]*Main_Presentation[[#This Row],[Rate]]</f>
        <v>85527.8</v>
      </c>
      <c r="T1186" s="15">
        <v>45979</v>
      </c>
      <c r="U1186" s="26" t="str">
        <f>VLOOKUP(Main_Presentation[[#This Row],[LC Number]],Main_Issuance[],18,0)</f>
        <v>90 Days from Invoice Date</v>
      </c>
      <c r="V1186" s="17" t="s">
        <v>613</v>
      </c>
      <c r="W1186" s="22" t="s">
        <v>857</v>
      </c>
      <c r="X1186" s="16"/>
      <c r="Y1186" s="234" t="str">
        <f>TRIM(LEFT(Main_Presentation[[#This Row],[Payment Terms]],3))</f>
        <v>90</v>
      </c>
      <c r="Z1186" s="16"/>
      <c r="AA1186" s="316" cm="1">
        <f t="array" ref="AA1186">Settlement(Main_Presentation[[#This Row],[Bank]],Main_Presentation[[#This Row],[ Invoice Amt (SAR)]],Main_Presentation[[#This Row],[Date Recd]],Main_Presentation[[#This Row],[Due Date]],Main_Presentation[[#This Row],[Days]])</f>
        <v>977.5</v>
      </c>
      <c r="AB1186" s="16"/>
    </row>
    <row r="1187" spans="1:28" ht="15.75" hidden="1" x14ac:dyDescent="0.25">
      <c r="A1187" s="20" t="s">
        <v>1294</v>
      </c>
      <c r="B1187" s="15">
        <v>45925</v>
      </c>
      <c r="C1187" s="26">
        <v>1</v>
      </c>
      <c r="D1187" s="55" t="str">
        <f>VLOOKUP(Main_Presentation[[#This Row],[LC Number]],Main_Issuance[],3,0)</f>
        <v>Rabih Makhoul</v>
      </c>
      <c r="E1187" s="16" t="s">
        <v>858</v>
      </c>
      <c r="F1187" s="17" t="str">
        <f>VLOOKUP(Main_Presentation[[#This Row],[LC Number]],Main_Issuance[],5,0)</f>
        <v>BAB</v>
      </c>
      <c r="G1187" s="17" t="str">
        <f>VLOOKUP(Main_Presentation[[#This Row],[LC Number]],Main_Issuance[],6,0)</f>
        <v>Cash</v>
      </c>
      <c r="H1187" s="17" t="str">
        <f>VLOOKUP(Main_Presentation[[#This Row],[LC Number]],Main_Issuance[],17,0)</f>
        <v>Cash</v>
      </c>
      <c r="I1187" s="17" t="str">
        <f>VLOOKUP(Main_Presentation[[#This Row],[LC Number]],Main_Issuance[],7,0)</f>
        <v>BRC Industrial (Saudia) Company</v>
      </c>
      <c r="J1187" s="17" t="str">
        <f>VLOOKUP(Main_Presentation[[#This Row],[LC Number]],Main_Issuance[],8,0)</f>
        <v>MBL</v>
      </c>
      <c r="K1187" s="17" t="str">
        <f>VLOOKUP(Main_Presentation[[#This Row],[LC Number]],Main_Issuance[],9,0)</f>
        <v>Rabigh Power Plant</v>
      </c>
      <c r="L1187" s="17">
        <f>VLOOKUP(Main_Presentation[[#This Row],[LC Number]],Main_Issuance[],10,0)</f>
        <v>1020107</v>
      </c>
      <c r="M1187" s="17" t="str">
        <f>VLOOKUP(Main_Presentation[[#This Row],[LC Number]],Main_Issuance[],11,0)</f>
        <v>SAR</v>
      </c>
      <c r="N1187" s="84">
        <f>VLOOKUP(Main_Presentation[[#This Row],[LC Number]],Main_Issuance[],12,0)</f>
        <v>1964200</v>
      </c>
      <c r="O1187" s="16" t="s">
        <v>20</v>
      </c>
      <c r="P1187" s="16" t="s">
        <v>857</v>
      </c>
      <c r="Q1187" s="131">
        <v>1233769.43</v>
      </c>
      <c r="R1187" s="18">
        <v>1</v>
      </c>
      <c r="S1187" s="18">
        <f>Main_Presentation[[#This Row],[Invoice Amt (FCY)]]*Main_Presentation[[#This Row],[Rate]]</f>
        <v>1233769.43</v>
      </c>
      <c r="T1187" s="15">
        <v>45950</v>
      </c>
      <c r="U1187" s="26" t="str">
        <f>VLOOKUP(Main_Presentation[[#This Row],[LC Number]],Main_Issuance[],18,0)</f>
        <v>120 Days from Invoice Date</v>
      </c>
      <c r="V1187" s="17" t="s">
        <v>1849</v>
      </c>
      <c r="W1187" s="22" t="s">
        <v>378</v>
      </c>
      <c r="X1187" s="16"/>
      <c r="Y1187" s="234" t="str">
        <f>TRIM(LEFT(Main_Presentation[[#This Row],[Payment Terms]],3))</f>
        <v>120</v>
      </c>
      <c r="Z1187" s="16"/>
      <c r="AA1187" s="316" cm="1">
        <f t="array" ref="AA1187">Settlement(Main_Presentation[[#This Row],[Bank]],Main_Presentation[[#This Row],[ Invoice Amt (SAR)]],Main_Presentation[[#This Row],[Date Recd]],Main_Presentation[[#This Row],[Due Date]],Main_Presentation[[#This Row],[Days]])</f>
        <v>0</v>
      </c>
      <c r="AB1187" s="16"/>
    </row>
    <row r="1188" spans="1:28" ht="15.75" hidden="1" x14ac:dyDescent="0.25">
      <c r="A1188" s="20" t="s">
        <v>1816</v>
      </c>
      <c r="B1188" s="15">
        <v>45924</v>
      </c>
      <c r="C1188" s="26">
        <v>1</v>
      </c>
      <c r="D1188" s="55" t="str">
        <f>VLOOKUP(Main_Presentation[[#This Row],[LC Number]],Main_Issuance[],3,0)</f>
        <v>Mohammed Kotb</v>
      </c>
      <c r="E1188" s="16" t="s">
        <v>856</v>
      </c>
      <c r="F1188" s="17" t="str">
        <f>VLOOKUP(Main_Presentation[[#This Row],[LC Number]],Main_Issuance[],5,0)</f>
        <v>SAB</v>
      </c>
      <c r="G1188" s="17" t="str">
        <f>VLOOKUP(Main_Presentation[[#This Row],[LC Number]],Main_Issuance[],6,0)</f>
        <v>MP1</v>
      </c>
      <c r="H1188" s="17" t="str">
        <f>VLOOKUP(Main_Presentation[[#This Row],[LC Number]],Main_Issuance[],17,0)</f>
        <v>Credit</v>
      </c>
      <c r="I1188" s="17" t="str">
        <f>VLOOKUP(Main_Presentation[[#This Row],[LC Number]],Main_Issuance[],7,0)</f>
        <v>Electric House Trading Company L.L.C.</v>
      </c>
      <c r="J1188" s="17" t="str">
        <f>VLOOKUP(Main_Presentation[[#This Row],[LC Number]],Main_Issuance[],8,0)</f>
        <v>MBL/ICAD</v>
      </c>
      <c r="K1188" s="17" t="str">
        <f>VLOOKUP(Main_Presentation[[#This Row],[LC Number]],Main_Issuance[],9,0)</f>
        <v>ABHA</v>
      </c>
      <c r="L1188" s="17">
        <f>VLOOKUP(Main_Presentation[[#This Row],[LC Number]],Main_Issuance[],10,0)</f>
        <v>1020070</v>
      </c>
      <c r="M1188" s="17" t="str">
        <f>VLOOKUP(Main_Presentation[[#This Row],[LC Number]],Main_Issuance[],11,0)</f>
        <v>SAR</v>
      </c>
      <c r="N1188" s="84">
        <f>VLOOKUP(Main_Presentation[[#This Row],[LC Number]],Main_Issuance[],12,0)</f>
        <v>809915</v>
      </c>
      <c r="O1188" s="16" t="s">
        <v>20</v>
      </c>
      <c r="P1188" s="16" t="s">
        <v>857</v>
      </c>
      <c r="Q1188" s="131">
        <v>809915</v>
      </c>
      <c r="R1188" s="18">
        <v>1</v>
      </c>
      <c r="S1188" s="18">
        <f>Main_Presentation[[#This Row],[Invoice Amt (FCY)]]*Main_Presentation[[#This Row],[Rate]]</f>
        <v>809915</v>
      </c>
      <c r="T1188" s="15">
        <v>46008</v>
      </c>
      <c r="U1188" s="26" t="str">
        <f>VLOOKUP(Main_Presentation[[#This Row],[LC Number]],Main_Issuance[],18,0)</f>
        <v>90 Days from Date of Delivery</v>
      </c>
      <c r="V1188" s="17" t="s">
        <v>377</v>
      </c>
      <c r="W1188" s="22" t="s">
        <v>857</v>
      </c>
      <c r="X1188" s="16"/>
      <c r="Y1188" s="234" t="str">
        <f>TRIM(LEFT(Main_Presentation[[#This Row],[Payment Terms]],3))</f>
        <v>90</v>
      </c>
      <c r="Z1188" s="16"/>
      <c r="AA1188" s="316" cm="1">
        <f t="array" ref="AA1188">Settlement(Main_Presentation[[#This Row],[Bank]],Main_Presentation[[#This Row],[ Invoice Amt (SAR)]],Main_Presentation[[#This Row],[Date Recd]],Main_Presentation[[#This Row],[Due Date]],Main_Presentation[[#This Row],[Days]])</f>
        <v>3492.55</v>
      </c>
      <c r="AB1188" s="16"/>
    </row>
    <row r="1189" spans="1:28" ht="15.75" hidden="1" x14ac:dyDescent="0.25">
      <c r="A1189" s="20" t="s">
        <v>1808</v>
      </c>
      <c r="B1189" s="15">
        <v>45935</v>
      </c>
      <c r="C1189" s="26">
        <v>1</v>
      </c>
      <c r="D1189" s="55" t="str">
        <f>VLOOKUP(Main_Presentation[[#This Row],[LC Number]],Main_Issuance[],3,0)</f>
        <v>Mohammed Kotb</v>
      </c>
      <c r="E1189" s="16" t="s">
        <v>858</v>
      </c>
      <c r="F1189" s="17" t="str">
        <f>VLOOKUP(Main_Presentation[[#This Row],[LC Number]],Main_Issuance[],5,0)</f>
        <v>SAB</v>
      </c>
      <c r="G1189" s="17" t="str">
        <f>VLOOKUP(Main_Presentation[[#This Row],[LC Number]],Main_Issuance[],6,0)</f>
        <v>MP1</v>
      </c>
      <c r="H1189" s="17" t="str">
        <f>VLOOKUP(Main_Presentation[[#This Row],[LC Number]],Main_Issuance[],17,0)</f>
        <v>Credit</v>
      </c>
      <c r="I1189" s="17" t="str">
        <f>VLOOKUP(Main_Presentation[[#This Row],[LC Number]],Main_Issuance[],7,0)</f>
        <v>Al Saadeh Trading Establishment</v>
      </c>
      <c r="J1189" s="17" t="str">
        <f>VLOOKUP(Main_Presentation[[#This Row],[LC Number]],Main_Issuance[],8,0)</f>
        <v>MBL/ICAD</v>
      </c>
      <c r="K1189" s="17" t="str">
        <f>VLOOKUP(Main_Presentation[[#This Row],[LC Number]],Main_Issuance[],9,0)</f>
        <v>ABHA</v>
      </c>
      <c r="L1189" s="17">
        <f>VLOOKUP(Main_Presentation[[#This Row],[LC Number]],Main_Issuance[],10,0)</f>
        <v>1020070</v>
      </c>
      <c r="M1189" s="17" t="str">
        <f>VLOOKUP(Main_Presentation[[#This Row],[LC Number]],Main_Issuance[],11,0)</f>
        <v>SAR</v>
      </c>
      <c r="N1189" s="84">
        <f>VLOOKUP(Main_Presentation[[#This Row],[LC Number]],Main_Issuance[],12,0)</f>
        <v>699367</v>
      </c>
      <c r="O1189" s="16" t="s">
        <v>20</v>
      </c>
      <c r="P1189" s="16" t="s">
        <v>857</v>
      </c>
      <c r="Q1189" s="131">
        <v>699367</v>
      </c>
      <c r="R1189" s="18">
        <v>1</v>
      </c>
      <c r="S1189" s="18">
        <f>Main_Presentation[[#This Row],[Invoice Amt (FCY)]]*Main_Presentation[[#This Row],[Rate]]</f>
        <v>699367</v>
      </c>
      <c r="T1189" s="15">
        <v>45960</v>
      </c>
      <c r="U1189" s="26" t="str">
        <f>VLOOKUP(Main_Presentation[[#This Row],[LC Number]],Main_Issuance[],18,0)</f>
        <v>60 Days from Date of Delivery</v>
      </c>
      <c r="V1189" s="17" t="s">
        <v>377</v>
      </c>
      <c r="W1189" s="22" t="s">
        <v>857</v>
      </c>
      <c r="X1189" s="246"/>
      <c r="Y1189" s="234" t="str">
        <f>TRIM(LEFT(Main_Presentation[[#This Row],[Payment Terms]],3))</f>
        <v>60</v>
      </c>
      <c r="Z1189" s="16"/>
      <c r="AA1189" s="316" cm="1">
        <f t="array" ref="AA1189">Settlement(Main_Presentation[[#This Row],[Bank]],Main_Presentation[[#This Row],[ Invoice Amt (SAR)]],Main_Presentation[[#This Row],[Date Recd]],Main_Presentation[[#This Row],[Due Date]],Main_Presentation[[#This Row],[Days]])</f>
        <v>3016.45</v>
      </c>
      <c r="AB1189" s="16"/>
    </row>
    <row r="1190" spans="1:28" ht="15.75" hidden="1" x14ac:dyDescent="0.25">
      <c r="A1190" s="20" t="s">
        <v>1812</v>
      </c>
      <c r="B1190" s="15">
        <v>45939</v>
      </c>
      <c r="C1190" s="26">
        <v>1</v>
      </c>
      <c r="D1190" s="55" t="str">
        <f>VLOOKUP(Main_Presentation[[#This Row],[LC Number]],Main_Issuance[],3,0)</f>
        <v>Mohammed Kotb</v>
      </c>
      <c r="E1190" s="16" t="s">
        <v>858</v>
      </c>
      <c r="F1190" s="17" t="str">
        <f>VLOOKUP(Main_Presentation[[#This Row],[LC Number]],Main_Issuance[],5,0)</f>
        <v>SAB</v>
      </c>
      <c r="G1190" s="17" t="str">
        <f>VLOOKUP(Main_Presentation[[#This Row],[LC Number]],Main_Issuance[],6,0)</f>
        <v>MP1</v>
      </c>
      <c r="H1190" s="17" t="str">
        <f>VLOOKUP(Main_Presentation[[#This Row],[LC Number]],Main_Issuance[],17,0)</f>
        <v>Credit</v>
      </c>
      <c r="I1190" s="17" t="str">
        <f>VLOOKUP(Main_Presentation[[#This Row],[LC Number]],Main_Issuance[],7,0)</f>
        <v>FAISAL AWAD AL HARBI COMPANY</v>
      </c>
      <c r="J1190" s="17" t="str">
        <f>VLOOKUP(Main_Presentation[[#This Row],[LC Number]],Main_Issuance[],8,0)</f>
        <v>MBL/ICAD</v>
      </c>
      <c r="K1190" s="17" t="str">
        <f>VLOOKUP(Main_Presentation[[#This Row],[LC Number]],Main_Issuance[],9,0)</f>
        <v>ABHA</v>
      </c>
      <c r="L1190" s="17">
        <f>VLOOKUP(Main_Presentation[[#This Row],[LC Number]],Main_Issuance[],10,0)</f>
        <v>1020070</v>
      </c>
      <c r="M1190" s="17" t="str">
        <f>VLOOKUP(Main_Presentation[[#This Row],[LC Number]],Main_Issuance[],11,0)</f>
        <v>SAR</v>
      </c>
      <c r="N1190" s="84">
        <f>VLOOKUP(Main_Presentation[[#This Row],[LC Number]],Main_Issuance[],12,0)</f>
        <v>784558</v>
      </c>
      <c r="O1190" s="16" t="s">
        <v>20</v>
      </c>
      <c r="P1190" s="16" t="s">
        <v>857</v>
      </c>
      <c r="Q1190" s="131">
        <v>784558</v>
      </c>
      <c r="R1190" s="18">
        <v>1</v>
      </c>
      <c r="S1190" s="18">
        <f>Main_Presentation[[#This Row],[Invoice Amt (FCY)]]*Main_Presentation[[#This Row],[Rate]]</f>
        <v>784558</v>
      </c>
      <c r="T1190" s="15">
        <v>45991</v>
      </c>
      <c r="U1190" s="26" t="str">
        <f>VLOOKUP(Main_Presentation[[#This Row],[LC Number]],Main_Issuance[],18,0)</f>
        <v>90 Days from Date of Delivery</v>
      </c>
      <c r="V1190" s="17" t="s">
        <v>710</v>
      </c>
      <c r="W1190" s="22" t="s">
        <v>378</v>
      </c>
      <c r="X1190" s="16"/>
      <c r="Y1190" s="234" t="str">
        <f>TRIM(LEFT(Main_Presentation[[#This Row],[Payment Terms]],3))</f>
        <v>90</v>
      </c>
      <c r="Z1190" s="16"/>
      <c r="AA1190" s="316" cm="1">
        <f t="array" ref="AA1190">Settlement(Main_Presentation[[#This Row],[Bank]],Main_Presentation[[#This Row],[ Invoice Amt (SAR)]],Main_Presentation[[#This Row],[Date Recd]],Main_Presentation[[#This Row],[Due Date]],Main_Presentation[[#This Row],[Days]])</f>
        <v>3383.3</v>
      </c>
      <c r="AB1190" s="16"/>
    </row>
    <row r="1191" spans="1:28" ht="15.75" hidden="1" x14ac:dyDescent="0.25">
      <c r="A1191" s="20" t="s">
        <v>1810</v>
      </c>
      <c r="B1191" s="15">
        <v>45938</v>
      </c>
      <c r="C1191" s="26">
        <v>1</v>
      </c>
      <c r="D1191" s="55" t="str">
        <f>VLOOKUP(Main_Presentation[[#This Row],[LC Number]],Main_Issuance[],3,0)</f>
        <v>AbdulAziz Eraiba Fawzi</v>
      </c>
      <c r="E1191" s="16" t="s">
        <v>858</v>
      </c>
      <c r="F1191" s="17" t="str">
        <f>VLOOKUP(Main_Presentation[[#This Row],[LC Number]],Main_Issuance[],5,0)</f>
        <v>Jazira</v>
      </c>
      <c r="G1191" s="17" t="str">
        <f>VLOOKUP(Main_Presentation[[#This Row],[LC Number]],Main_Issuance[],6,0)</f>
        <v>RCRC</v>
      </c>
      <c r="H1191" s="17" t="str">
        <f>VLOOKUP(Main_Presentation[[#This Row],[LC Number]],Main_Issuance[],17,0)</f>
        <v>Credit</v>
      </c>
      <c r="I1191" s="17" t="str">
        <f>VLOOKUP(Main_Presentation[[#This Row],[LC Number]],Main_Issuance[],7,0)</f>
        <v>AL FALWA CO. LTD. FOR READYMIX CONCRETE</v>
      </c>
      <c r="J1191" s="17" t="str">
        <f>VLOOKUP(Main_Presentation[[#This Row],[LC Number]],Main_Issuance[],8,0)</f>
        <v>MBL</v>
      </c>
      <c r="K1191" s="17" t="str">
        <f>VLOOKUP(Main_Presentation[[#This Row],[LC Number]],Main_Issuance[],9,0)</f>
        <v>RCRC</v>
      </c>
      <c r="L1191" s="17">
        <f>VLOOKUP(Main_Presentation[[#This Row],[LC Number]],Main_Issuance[],10,0)</f>
        <v>1020106</v>
      </c>
      <c r="M1191" s="17" t="str">
        <f>VLOOKUP(Main_Presentation[[#This Row],[LC Number]],Main_Issuance[],11,0)</f>
        <v>SAR</v>
      </c>
      <c r="N1191" s="84">
        <f>VLOOKUP(Main_Presentation[[#This Row],[LC Number]],Main_Issuance[],12,0)</f>
        <v>10000000</v>
      </c>
      <c r="O1191" s="16" t="s">
        <v>20</v>
      </c>
      <c r="P1191" s="16" t="s">
        <v>857</v>
      </c>
      <c r="Q1191" s="131">
        <v>1210253.1000000001</v>
      </c>
      <c r="R1191" s="18">
        <v>1</v>
      </c>
      <c r="S1191" s="18">
        <f>Main_Presentation[[#This Row],[Invoice Amt (FCY)]]*Main_Presentation[[#This Row],[Rate]]</f>
        <v>1210253.1000000001</v>
      </c>
      <c r="T1191" s="15">
        <v>45952</v>
      </c>
      <c r="U1191" s="26" t="str">
        <f>VLOOKUP(Main_Presentation[[#This Row],[LC Number]],Main_Issuance[],18,0)</f>
        <v>60 Days from Invoice Date</v>
      </c>
      <c r="V1191" s="17" t="s">
        <v>613</v>
      </c>
      <c r="W1191" s="22" t="s">
        <v>857</v>
      </c>
      <c r="X1191" s="16"/>
      <c r="Y1191" s="234" t="str">
        <f>TRIM(LEFT(Main_Presentation[[#This Row],[Payment Terms]],3))</f>
        <v>60</v>
      </c>
      <c r="Z1191" s="16"/>
      <c r="AA1191" s="316" cm="1">
        <f t="array" ref="AA1191">Settlement(Main_Presentation[[#This Row],[Bank]],Main_Presentation[[#This Row],[ Invoice Amt (SAR)]],Main_Presentation[[#This Row],[Date Recd]],Main_Presentation[[#This Row],[Due Date]],Main_Presentation[[#This Row],[Days]])</f>
        <v>924.6</v>
      </c>
      <c r="AB1191" s="16"/>
    </row>
    <row r="1192" spans="1:28" ht="15.75" hidden="1" x14ac:dyDescent="0.25">
      <c r="A1192" s="20" t="s">
        <v>1610</v>
      </c>
      <c r="B1192" s="15">
        <v>45932</v>
      </c>
      <c r="C1192" s="26">
        <v>1</v>
      </c>
      <c r="D1192" s="55" t="str">
        <f>VLOOKUP(Main_Presentation[[#This Row],[LC Number]],Main_Issuance[],3,0)</f>
        <v>AbdulAziz Eraiba Fawzi</v>
      </c>
      <c r="E1192" s="16" t="s">
        <v>856</v>
      </c>
      <c r="F1192" s="17" t="str">
        <f>VLOOKUP(Main_Presentation[[#This Row],[LC Number]],Main_Issuance[],5,0)</f>
        <v>Jazira</v>
      </c>
      <c r="G1192" s="17" t="str">
        <f>VLOOKUP(Main_Presentation[[#This Row],[LC Number]],Main_Issuance[],6,0)</f>
        <v>RCRC</v>
      </c>
      <c r="H1192" s="17" t="str">
        <f>VLOOKUP(Main_Presentation[[#This Row],[LC Number]],Main_Issuance[],17,0)</f>
        <v>Credit</v>
      </c>
      <c r="I1192" s="17" t="str">
        <f>VLOOKUP(Main_Presentation[[#This Row],[LC Number]],Main_Issuance[],7,0)</f>
        <v>Metten Al-Arabia Ltd Co (METARA)</v>
      </c>
      <c r="J1192" s="17" t="str">
        <f>VLOOKUP(Main_Presentation[[#This Row],[LC Number]],Main_Issuance[],8,0)</f>
        <v>MBL</v>
      </c>
      <c r="K1192" s="17" t="str">
        <f>VLOOKUP(Main_Presentation[[#This Row],[LC Number]],Main_Issuance[],9,0)</f>
        <v>RCRC</v>
      </c>
      <c r="L1192" s="17">
        <f>VLOOKUP(Main_Presentation[[#This Row],[LC Number]],Main_Issuance[],10,0)</f>
        <v>1020106</v>
      </c>
      <c r="M1192" s="17" t="str">
        <f>VLOOKUP(Main_Presentation[[#This Row],[LC Number]],Main_Issuance[],11,0)</f>
        <v>SAR</v>
      </c>
      <c r="N1192" s="84">
        <f>VLOOKUP(Main_Presentation[[#This Row],[LC Number]],Main_Issuance[],12,0)</f>
        <v>12956001.199999999</v>
      </c>
      <c r="O1192" s="16" t="s">
        <v>20</v>
      </c>
      <c r="P1192" s="16" t="s">
        <v>378</v>
      </c>
      <c r="Q1192" s="131">
        <v>450632</v>
      </c>
      <c r="R1192" s="18">
        <v>1</v>
      </c>
      <c r="S1192" s="18">
        <f>Main_Presentation[[#This Row],[Invoice Amt (FCY)]]*Main_Presentation[[#This Row],[Rate]]</f>
        <v>450632</v>
      </c>
      <c r="T1192" s="15">
        <v>45960</v>
      </c>
      <c r="U1192" s="26" t="str">
        <f>VLOOKUP(Main_Presentation[[#This Row],[LC Number]],Main_Issuance[],18,0)</f>
        <v>60 Days from Invoice Date</v>
      </c>
      <c r="V1192" s="17" t="s">
        <v>22</v>
      </c>
      <c r="W1192" s="22" t="s">
        <v>378</v>
      </c>
      <c r="X1192" s="16"/>
      <c r="Y1192" s="234" t="str">
        <f>TRIM(LEFT(Main_Presentation[[#This Row],[Payment Terms]],3))</f>
        <v>60</v>
      </c>
      <c r="Z1192" s="16"/>
      <c r="AA1192" s="316" cm="1">
        <f t="array" ref="AA1192">Settlement(Main_Presentation[[#This Row],[Bank]],Main_Presentation[[#This Row],[ Invoice Amt (SAR)]],Main_Presentation[[#This Row],[Date Recd]],Main_Presentation[[#This Row],[Due Date]],Main_Presentation[[#This Row],[Days]])</f>
        <v>777.4</v>
      </c>
      <c r="AB1192" s="16"/>
    </row>
    <row r="1193" spans="1:28" ht="15.75" hidden="1" x14ac:dyDescent="0.25">
      <c r="A1193" s="20" t="s">
        <v>1439</v>
      </c>
      <c r="B1193" s="15">
        <v>45935</v>
      </c>
      <c r="C1193" s="26">
        <v>1</v>
      </c>
      <c r="D1193" s="55" t="str">
        <f>VLOOKUP(Main_Presentation[[#This Row],[LC Number]],Main_Issuance[],3,0)</f>
        <v>Hassan Taleb</v>
      </c>
      <c r="E1193" s="16" t="s">
        <v>858</v>
      </c>
      <c r="F1193" s="17" t="str">
        <f>VLOOKUP(Main_Presentation[[#This Row],[LC Number]],Main_Issuance[],5,0)</f>
        <v>SAB</v>
      </c>
      <c r="G1193" s="17" t="str">
        <f>VLOOKUP(Main_Presentation[[#This Row],[LC Number]],Main_Issuance[],6,0)</f>
        <v>MP1</v>
      </c>
      <c r="H1193" s="17" t="str">
        <f>VLOOKUP(Main_Presentation[[#This Row],[LC Number]],Main_Issuance[],17,0)</f>
        <v>Credit</v>
      </c>
      <c r="I1193" s="17" t="str">
        <f>VLOOKUP(Main_Presentation[[#This Row],[LC Number]],Main_Issuance[],7,0)</f>
        <v>Al-Sayed Center A/C for Materials Company</v>
      </c>
      <c r="J1193" s="17" t="str">
        <f>VLOOKUP(Main_Presentation[[#This Row],[LC Number]],Main_Issuance[],8,0)</f>
        <v>FIRST FIX</v>
      </c>
      <c r="K1193" s="17" t="str">
        <f>VLOOKUP(Main_Presentation[[#This Row],[LC Number]],Main_Issuance[],9,0)</f>
        <v>MP1</v>
      </c>
      <c r="L1193" s="17">
        <f>VLOOKUP(Main_Presentation[[#This Row],[LC Number]],Main_Issuance[],10,0)</f>
        <v>1020088</v>
      </c>
      <c r="M1193" s="17" t="str">
        <f>VLOOKUP(Main_Presentation[[#This Row],[LC Number]],Main_Issuance[],11,0)</f>
        <v>SAR</v>
      </c>
      <c r="N1193" s="84">
        <f>VLOOKUP(Main_Presentation[[#This Row],[LC Number]],Main_Issuance[],12,0)</f>
        <v>205760</v>
      </c>
      <c r="O1193" s="16" t="s">
        <v>20</v>
      </c>
      <c r="P1193" s="16" t="s">
        <v>857</v>
      </c>
      <c r="Q1193" s="131">
        <v>205760</v>
      </c>
      <c r="R1193" s="18">
        <v>1</v>
      </c>
      <c r="S1193" s="18">
        <f>Main_Presentation[[#This Row],[Invoice Amt (FCY)]]*Main_Presentation[[#This Row],[Rate]]</f>
        <v>205760</v>
      </c>
      <c r="T1193" s="15">
        <v>45998</v>
      </c>
      <c r="U1193" s="26" t="str">
        <f>VLOOKUP(Main_Presentation[[#This Row],[LC Number]],Main_Issuance[],18,0)</f>
        <v>120 Days from Invoice Date</v>
      </c>
      <c r="V1193" s="17" t="s">
        <v>710</v>
      </c>
      <c r="W1193" s="22" t="s">
        <v>857</v>
      </c>
      <c r="X1193" s="246"/>
      <c r="Y1193" s="234" t="str">
        <f>TRIM(LEFT(Main_Presentation[[#This Row],[Payment Terms]],3))</f>
        <v>120</v>
      </c>
      <c r="Z1193" s="16"/>
      <c r="AA1193" s="316" cm="1">
        <f t="array" ref="AA1193">Settlement(Main_Presentation[[#This Row],[Bank]],Main_Presentation[[#This Row],[ Invoice Amt (SAR)]],Main_Presentation[[#This Row],[Date Recd]],Main_Presentation[[#This Row],[Due Date]],Main_Presentation[[#This Row],[Days]])</f>
        <v>887.8</v>
      </c>
      <c r="AB1193" s="16"/>
    </row>
    <row r="1194" spans="1:28" ht="15.75" hidden="1" x14ac:dyDescent="0.25">
      <c r="A1194" s="20" t="s">
        <v>1558</v>
      </c>
      <c r="B1194" s="15">
        <v>45932</v>
      </c>
      <c r="C1194" s="26">
        <v>2</v>
      </c>
      <c r="D1194" s="55" t="str">
        <f>VLOOKUP(Main_Presentation[[#This Row],[LC Number]],Main_Issuance[],3,0)</f>
        <v>Hassan Taleb</v>
      </c>
      <c r="E1194" s="16" t="s">
        <v>856</v>
      </c>
      <c r="F1194" s="17" t="str">
        <f>VLOOKUP(Main_Presentation[[#This Row],[LC Number]],Main_Issuance[],5,0)</f>
        <v>Jazira</v>
      </c>
      <c r="G1194" s="17" t="str">
        <f>VLOOKUP(Main_Presentation[[#This Row],[LC Number]],Main_Issuance[],6,0)</f>
        <v>RCRC</v>
      </c>
      <c r="H1194" s="17" t="str">
        <f>VLOOKUP(Main_Presentation[[#This Row],[LC Number]],Main_Issuance[],17,0)</f>
        <v>Credit</v>
      </c>
      <c r="I1194" s="17" t="str">
        <f>VLOOKUP(Main_Presentation[[#This Row],[LC Number]],Main_Issuance[],7,0)</f>
        <v>Saudi Hepco Co Ltd</v>
      </c>
      <c r="J1194" s="17" t="str">
        <f>VLOOKUP(Main_Presentation[[#This Row],[LC Number]],Main_Issuance[],8,0)</f>
        <v>FIRST FIX</v>
      </c>
      <c r="K1194" s="17" t="str">
        <f>VLOOKUP(Main_Presentation[[#This Row],[LC Number]],Main_Issuance[],9,0)</f>
        <v>RCRC</v>
      </c>
      <c r="L1194" s="17">
        <f>VLOOKUP(Main_Presentation[[#This Row],[LC Number]],Main_Issuance[],10,0)</f>
        <v>1020106</v>
      </c>
      <c r="M1194" s="17" t="str">
        <f>VLOOKUP(Main_Presentation[[#This Row],[LC Number]],Main_Issuance[],11,0)</f>
        <v>SAR</v>
      </c>
      <c r="N1194" s="84">
        <f>VLOOKUP(Main_Presentation[[#This Row],[LC Number]],Main_Issuance[],12,0)</f>
        <v>1000000.94</v>
      </c>
      <c r="O1194" s="16" t="s">
        <v>20</v>
      </c>
      <c r="P1194" s="16" t="s">
        <v>378</v>
      </c>
      <c r="Q1194" s="131">
        <v>528000</v>
      </c>
      <c r="R1194" s="18">
        <v>1</v>
      </c>
      <c r="S1194" s="18">
        <f>Main_Presentation[[#This Row],[Invoice Amt (FCY)]]*Main_Presentation[[#This Row],[Rate]]</f>
        <v>528000</v>
      </c>
      <c r="T1194" s="15">
        <v>45992</v>
      </c>
      <c r="U1194" s="26" t="str">
        <f>VLOOKUP(Main_Presentation[[#This Row],[LC Number]],Main_Issuance[],18,0)</f>
        <v>90 Days from Invoice Date</v>
      </c>
      <c r="V1194" s="17" t="s">
        <v>613</v>
      </c>
      <c r="W1194" s="22" t="s">
        <v>857</v>
      </c>
      <c r="X1194" s="16"/>
      <c r="Y1194" s="234" t="str">
        <f>TRIM(LEFT(Main_Presentation[[#This Row],[Payment Terms]],3))</f>
        <v>90</v>
      </c>
      <c r="Z1194" s="16"/>
      <c r="AA1194" s="316" cm="1">
        <f t="array" ref="AA1194">Settlement(Main_Presentation[[#This Row],[Bank]],Main_Presentation[[#This Row],[ Invoice Amt (SAR)]],Main_Presentation[[#This Row],[Date Recd]],Main_Presentation[[#This Row],[Due Date]],Main_Presentation[[#This Row],[Days]])</f>
        <v>1104</v>
      </c>
      <c r="AB1194" s="16"/>
    </row>
    <row r="1195" spans="1:28" ht="15.75" hidden="1" x14ac:dyDescent="0.25">
      <c r="A1195" s="20" t="s">
        <v>1487</v>
      </c>
      <c r="B1195" s="15">
        <v>45936</v>
      </c>
      <c r="C1195" s="26">
        <v>1</v>
      </c>
      <c r="D1195" s="55" t="str">
        <f>VLOOKUP(Main_Presentation[[#This Row],[LC Number]],Main_Issuance[],3,0)</f>
        <v>Hassan Taleb</v>
      </c>
      <c r="E1195" s="16" t="s">
        <v>856</v>
      </c>
      <c r="F1195" s="17" t="str">
        <f>VLOOKUP(Main_Presentation[[#This Row],[LC Number]],Main_Issuance[],5,0)</f>
        <v>Alinma</v>
      </c>
      <c r="G1195" s="17" t="str">
        <f>VLOOKUP(Main_Presentation[[#This Row],[LC Number]],Main_Issuance[],6,0)</f>
        <v>KSP</v>
      </c>
      <c r="H1195" s="17" t="str">
        <f>VLOOKUP(Main_Presentation[[#This Row],[LC Number]],Main_Issuance[],17,0)</f>
        <v>Credit</v>
      </c>
      <c r="I1195" s="17" t="str">
        <f>VLOOKUP(Main_Presentation[[#This Row],[LC Number]],Main_Issuance[],7,0)</f>
        <v>SCHNEIDER ELECTRIC SAUDI ARABIA CO</v>
      </c>
      <c r="J1195" s="17" t="str">
        <f>VLOOKUP(Main_Presentation[[#This Row],[LC Number]],Main_Issuance[],8,0)</f>
        <v>FIRST FIX</v>
      </c>
      <c r="K1195" s="17" t="str">
        <f>VLOOKUP(Main_Presentation[[#This Row],[LC Number]],Main_Issuance[],9,0)</f>
        <v>JCD SPMI</v>
      </c>
      <c r="L1195" s="17">
        <f>VLOOKUP(Main_Presentation[[#This Row],[LC Number]],Main_Issuance[],10,0)</f>
        <v>1020100</v>
      </c>
      <c r="M1195" s="17" t="str">
        <f>VLOOKUP(Main_Presentation[[#This Row],[LC Number]],Main_Issuance[],11,0)</f>
        <v>SAR</v>
      </c>
      <c r="N1195" s="84">
        <f>VLOOKUP(Main_Presentation[[#This Row],[LC Number]],Main_Issuance[],12,0)</f>
        <v>578910</v>
      </c>
      <c r="O1195" s="16" t="s">
        <v>20</v>
      </c>
      <c r="P1195" s="16" t="s">
        <v>857</v>
      </c>
      <c r="Q1195" s="131">
        <v>578910</v>
      </c>
      <c r="R1195" s="18">
        <v>1</v>
      </c>
      <c r="S1195" s="18">
        <f>Main_Presentation[[#This Row],[Invoice Amt (FCY)]]*Main_Presentation[[#This Row],[Rate]]</f>
        <v>578910</v>
      </c>
      <c r="T1195" s="15">
        <v>46012</v>
      </c>
      <c r="U1195" s="26" t="str">
        <f>VLOOKUP(Main_Presentation[[#This Row],[LC Number]],Main_Issuance[],18,0)</f>
        <v>120 Days from Invoice Date</v>
      </c>
      <c r="V1195" s="17" t="s">
        <v>511</v>
      </c>
      <c r="W1195" s="22" t="s">
        <v>378</v>
      </c>
      <c r="X1195" s="16"/>
      <c r="Y1195" s="234" t="str">
        <f>TRIM(LEFT(Main_Presentation[[#This Row],[Payment Terms]],3))</f>
        <v>120</v>
      </c>
      <c r="Z1195" s="16"/>
      <c r="AA1195" s="316" cm="1">
        <f t="array" ref="AA1195">Settlement(Main_Presentation[[#This Row],[Bank]],Main_Presentation[[#This Row],[ Invoice Amt (SAR)]],Main_Presentation[[#This Row],[Date Recd]],Main_Presentation[[#This Row],[Due Date]],Main_Presentation[[#This Row],[Days]])</f>
        <v>1437.5</v>
      </c>
      <c r="AB1195" s="16"/>
    </row>
    <row r="1196" spans="1:28" ht="15.75" hidden="1" x14ac:dyDescent="0.25">
      <c r="A1196" s="20" t="s">
        <v>778</v>
      </c>
      <c r="B1196" s="15">
        <v>45937</v>
      </c>
      <c r="C1196" s="26">
        <v>3</v>
      </c>
      <c r="D1196" s="55" t="str">
        <f>VLOOKUP(Main_Presentation[[#This Row],[LC Number]],Main_Issuance[],3,0)</f>
        <v>Hassan Taleb</v>
      </c>
      <c r="E1196" s="16" t="s">
        <v>856</v>
      </c>
      <c r="F1196" s="17" t="str">
        <f>VLOOKUP(Main_Presentation[[#This Row],[LC Number]],Main_Issuance[],5,0)</f>
        <v>SAB</v>
      </c>
      <c r="G1196" s="17" t="str">
        <f>VLOOKUP(Main_Presentation[[#This Row],[LC Number]],Main_Issuance[],6,0)</f>
        <v>MP1</v>
      </c>
      <c r="H1196" s="17" t="str">
        <f>VLOOKUP(Main_Presentation[[#This Row],[LC Number]],Main_Issuance[],17,0)</f>
        <v>Credit</v>
      </c>
      <c r="I1196" s="17" t="str">
        <f>VLOOKUP(Main_Presentation[[#This Row],[LC Number]],Main_Issuance[],7,0)</f>
        <v>Alfanar Electrical Systems</v>
      </c>
      <c r="J1196" s="17" t="str">
        <f>VLOOKUP(Main_Presentation[[#This Row],[LC Number]],Main_Issuance[],8,0)</f>
        <v>FIRST FIX</v>
      </c>
      <c r="K1196" s="17" t="str">
        <f>VLOOKUP(Main_Presentation[[#This Row],[LC Number]],Main_Issuance[],9,0)</f>
        <v>MP1</v>
      </c>
      <c r="L1196" s="17">
        <f>VLOOKUP(Main_Presentation[[#This Row],[LC Number]],Main_Issuance[],10,0)</f>
        <v>1020088</v>
      </c>
      <c r="M1196" s="17" t="str">
        <f>VLOOKUP(Main_Presentation[[#This Row],[LC Number]],Main_Issuance[],11,0)</f>
        <v>SAR</v>
      </c>
      <c r="N1196" s="84">
        <f>VLOOKUP(Main_Presentation[[#This Row],[LC Number]],Main_Issuance[],12,0)</f>
        <v>3000000</v>
      </c>
      <c r="O1196" s="16" t="s">
        <v>20</v>
      </c>
      <c r="P1196" s="16" t="s">
        <v>857</v>
      </c>
      <c r="Q1196" s="131">
        <v>267233.01</v>
      </c>
      <c r="R1196" s="18">
        <v>1</v>
      </c>
      <c r="S1196" s="18">
        <f>Main_Presentation[[#This Row],[Invoice Amt (FCY)]]*Main_Presentation[[#This Row],[Rate]]</f>
        <v>267233.01</v>
      </c>
      <c r="T1196" s="15">
        <v>45970</v>
      </c>
      <c r="U1196" s="26" t="str">
        <f>VLOOKUP(Main_Presentation[[#This Row],[LC Number]],Main_Issuance[],18,0)</f>
        <v>90 Days from Invoice Date</v>
      </c>
      <c r="V1196" s="17" t="s">
        <v>710</v>
      </c>
      <c r="W1196" s="22" t="s">
        <v>857</v>
      </c>
      <c r="X1196" s="16"/>
      <c r="Y1196" s="234" t="str">
        <f>TRIM(LEFT(Main_Presentation[[#This Row],[Payment Terms]],3))</f>
        <v>90</v>
      </c>
      <c r="Z1196" s="16"/>
      <c r="AA1196" s="316" cm="1">
        <f t="array" ref="AA1196">Settlement(Main_Presentation[[#This Row],[Bank]],Main_Presentation[[#This Row],[ Invoice Amt (SAR)]],Main_Presentation[[#This Row],[Date Recd]],Main_Presentation[[#This Row],[Due Date]],Main_Presentation[[#This Row],[Days]])</f>
        <v>1152.3</v>
      </c>
      <c r="AB1196" s="16"/>
    </row>
    <row r="1197" spans="1:28" ht="15.75" hidden="1" x14ac:dyDescent="0.25">
      <c r="A1197" s="20" t="s">
        <v>1834</v>
      </c>
      <c r="B1197" s="15">
        <v>45942</v>
      </c>
      <c r="C1197" s="26">
        <v>1</v>
      </c>
      <c r="D1197" s="55" t="str">
        <f>VLOOKUP(Main_Presentation[[#This Row],[LC Number]],Main_Issuance[],3,0)</f>
        <v>Luis Puente</v>
      </c>
      <c r="E1197" s="16" t="s">
        <v>856</v>
      </c>
      <c r="F1197" s="17" t="str">
        <f>VLOOKUP(Main_Presentation[[#This Row],[LC Number]],Main_Issuance[],5,0)</f>
        <v>Riyad</v>
      </c>
      <c r="G1197" s="17" t="str">
        <f>VLOOKUP(Main_Presentation[[#This Row],[LC Number]],Main_Issuance[],6,0)</f>
        <v>Oceanarium</v>
      </c>
      <c r="H1197" s="17" t="str">
        <f>VLOOKUP(Main_Presentation[[#This Row],[LC Number]],Main_Issuance[],17,0)</f>
        <v>Credit</v>
      </c>
      <c r="I1197" s="17" t="str">
        <f>VLOOKUP(Main_Presentation[[#This Row],[LC Number]],Main_Issuance[],7,0)</f>
        <v>Jiangsu Donchamp New Materials Technology Co.Ltd.</v>
      </c>
      <c r="J1197" s="17" t="str">
        <f>VLOOKUP(Main_Presentation[[#This Row],[LC Number]],Main_Issuance[],8,0)</f>
        <v>MBL</v>
      </c>
      <c r="K1197" s="17" t="str">
        <f>VLOOKUP(Main_Presentation[[#This Row],[LC Number]],Main_Issuance[],9,0)</f>
        <v>Oceanarium</v>
      </c>
      <c r="L1197" s="17">
        <f>VLOOKUP(Main_Presentation[[#This Row],[LC Number]],Main_Issuance[],10,0)</f>
        <v>1020096</v>
      </c>
      <c r="M1197" s="17" t="str">
        <f>VLOOKUP(Main_Presentation[[#This Row],[LC Number]],Main_Issuance[],11,0)</f>
        <v>USD</v>
      </c>
      <c r="N1197" s="84">
        <f>VLOOKUP(Main_Presentation[[#This Row],[LC Number]],Main_Issuance[],12,0)</f>
        <v>7339154</v>
      </c>
      <c r="O1197" s="16" t="s">
        <v>20</v>
      </c>
      <c r="P1197" s="16" t="s">
        <v>857</v>
      </c>
      <c r="Q1197" s="131">
        <v>351822.69</v>
      </c>
      <c r="R1197" s="18">
        <v>3.753809</v>
      </c>
      <c r="S1197" s="18">
        <f>Main_Presentation[[#This Row],[Invoice Amt (FCY)]]*Main_Presentation[[#This Row],[Rate]]</f>
        <v>1320675.18012621</v>
      </c>
      <c r="T1197" s="15">
        <v>45943</v>
      </c>
      <c r="U1197" s="26" t="str">
        <f>VLOOKUP(Main_Presentation[[#This Row],[LC Number]],Main_Issuance[],18,0)</f>
        <v>45 Days from Invoice Date / Sight</v>
      </c>
      <c r="V1197" s="21" t="s">
        <v>483</v>
      </c>
      <c r="W1197" s="22" t="s">
        <v>857</v>
      </c>
      <c r="X1197" s="16"/>
      <c r="Y1197" s="234" t="str">
        <f>TRIM(LEFT(Main_Presentation[[#This Row],[Payment Terms]],3))</f>
        <v>45</v>
      </c>
      <c r="Z1197" s="16"/>
      <c r="AA1197" s="316" cm="1">
        <f t="array" ref="AA1197">Settlement(Main_Presentation[[#This Row],[Bank]],Main_Presentation[[#This Row],[ Invoice Amt (SAR)]],Main_Presentation[[#This Row],[Date Recd]],Main_Presentation[[#This Row],[Due Date]],Main_Presentation[[#This Row],[Days]])</f>
        <v>230</v>
      </c>
      <c r="AB1197" s="16"/>
    </row>
    <row r="1198" spans="1:28" ht="15.75" hidden="1" x14ac:dyDescent="0.25">
      <c r="A1198" s="20" t="s">
        <v>1745</v>
      </c>
      <c r="B1198" s="15">
        <v>45938</v>
      </c>
      <c r="C1198" s="26">
        <v>1</v>
      </c>
      <c r="D1198" s="55" t="str">
        <f>VLOOKUP(Main_Presentation[[#This Row],[LC Number]],Main_Issuance[],3,0)</f>
        <v>Muhammed Khan</v>
      </c>
      <c r="E1198" s="16" t="s">
        <v>858</v>
      </c>
      <c r="F1198" s="17" t="str">
        <f>VLOOKUP(Main_Presentation[[#This Row],[LC Number]],Main_Issuance[],5,0)</f>
        <v>Riyad</v>
      </c>
      <c r="G1198" s="17" t="str">
        <f>VLOOKUP(Main_Presentation[[#This Row],[LC Number]],Main_Issuance[],6,0)</f>
        <v>Cash</v>
      </c>
      <c r="H1198" s="17" t="str">
        <f>VLOOKUP(Main_Presentation[[#This Row],[LC Number]],Main_Issuance[],17,0)</f>
        <v>Cash</v>
      </c>
      <c r="I1198" s="17" t="str">
        <f>VLOOKUP(Main_Presentation[[#This Row],[LC Number]],Main_Issuance[],7,0)</f>
        <v>Business Existing Trading Company</v>
      </c>
      <c r="J1198" s="17" t="str">
        <f>VLOOKUP(Main_Presentation[[#This Row],[LC Number]],Main_Issuance[],8,0)</f>
        <v>IFAS</v>
      </c>
      <c r="K1198" s="17" t="str">
        <f>VLOOKUP(Main_Presentation[[#This Row],[LC Number]],Main_Issuance[],9,0)</f>
        <v>IFAS - Various Projects</v>
      </c>
      <c r="L1198" s="17">
        <f>VLOOKUP(Main_Presentation[[#This Row],[LC Number]],Main_Issuance[],10,0)</f>
        <v>0</v>
      </c>
      <c r="M1198" s="17" t="str">
        <f>VLOOKUP(Main_Presentation[[#This Row],[LC Number]],Main_Issuance[],11,0)</f>
        <v>SAR</v>
      </c>
      <c r="N1198" s="84">
        <f>VLOOKUP(Main_Presentation[[#This Row],[LC Number]],Main_Issuance[],12,0)</f>
        <v>205442.15</v>
      </c>
      <c r="O1198" s="16" t="s">
        <v>20</v>
      </c>
      <c r="P1198" s="16" t="s">
        <v>857</v>
      </c>
      <c r="Q1198" s="131">
        <v>205442.15</v>
      </c>
      <c r="R1198" s="18">
        <v>1</v>
      </c>
      <c r="S1198" s="18">
        <f>Main_Presentation[[#This Row],[Invoice Amt (FCY)]]*Main_Presentation[[#This Row],[Rate]]</f>
        <v>205442.15</v>
      </c>
      <c r="T1198" s="15">
        <v>45939</v>
      </c>
      <c r="U1198" s="26" t="str">
        <f>VLOOKUP(Main_Presentation[[#This Row],[LC Number]],Main_Issuance[],18,0)</f>
        <v>Sight</v>
      </c>
      <c r="V1198" s="17" t="s">
        <v>70</v>
      </c>
      <c r="W1198" s="22" t="s">
        <v>857</v>
      </c>
      <c r="X1198" s="16"/>
      <c r="Y1198" s="234" t="str">
        <f>TRIM(LEFT(Main_Presentation[[#This Row],[Payment Terms]],3))</f>
        <v>Sig</v>
      </c>
      <c r="Z1198" s="16"/>
      <c r="AA1198" s="316" t="e" cm="1">
        <f t="array" ref="AA1198">Settlement(Main_Presentation[[#This Row],[Bank]],Main_Presentation[[#This Row],[ Invoice Amt (SAR)]],Main_Presentation[[#This Row],[Date Recd]],Main_Presentation[[#This Row],[Due Date]],Main_Presentation[[#This Row],[Days]])</f>
        <v>#VALUE!</v>
      </c>
      <c r="AB1198" s="16"/>
    </row>
    <row r="1199" spans="1:28" ht="15.75" hidden="1" x14ac:dyDescent="0.25">
      <c r="A1199" s="20" t="s">
        <v>1741</v>
      </c>
      <c r="B1199" s="15">
        <v>45939</v>
      </c>
      <c r="C1199" s="26">
        <v>1</v>
      </c>
      <c r="D1199" s="55" t="str">
        <f>VLOOKUP(Main_Presentation[[#This Row],[LC Number]],Main_Issuance[],3,0)</f>
        <v>Muhammed Khan</v>
      </c>
      <c r="E1199" s="16" t="s">
        <v>858</v>
      </c>
      <c r="F1199" s="17" t="str">
        <f>VLOOKUP(Main_Presentation[[#This Row],[LC Number]],Main_Issuance[],5,0)</f>
        <v>Riyad</v>
      </c>
      <c r="G1199" s="17" t="str">
        <f>VLOOKUP(Main_Presentation[[#This Row],[LC Number]],Main_Issuance[],6,0)</f>
        <v>Cash</v>
      </c>
      <c r="H1199" s="17" t="str">
        <f>VLOOKUP(Main_Presentation[[#This Row],[LC Number]],Main_Issuance[],17,0)</f>
        <v>Cash</v>
      </c>
      <c r="I1199" s="17" t="str">
        <f>VLOOKUP(Main_Presentation[[#This Row],[LC Number]],Main_Issuance[],7,0)</f>
        <v>KONE AREECO LIMITED COMPANY</v>
      </c>
      <c r="J1199" s="17" t="str">
        <f>VLOOKUP(Main_Presentation[[#This Row],[LC Number]],Main_Issuance[],8,0)</f>
        <v>IFAS</v>
      </c>
      <c r="K1199" s="17" t="str">
        <f>VLOOKUP(Main_Presentation[[#This Row],[LC Number]],Main_Issuance[],9,0)</f>
        <v>IFAS - Various Projects</v>
      </c>
      <c r="L1199" s="17">
        <f>VLOOKUP(Main_Presentation[[#This Row],[LC Number]],Main_Issuance[],10,0)</f>
        <v>0</v>
      </c>
      <c r="M1199" s="17" t="str">
        <f>VLOOKUP(Main_Presentation[[#This Row],[LC Number]],Main_Issuance[],11,0)</f>
        <v>SAR</v>
      </c>
      <c r="N1199" s="84">
        <f>VLOOKUP(Main_Presentation[[#This Row],[LC Number]],Main_Issuance[],12,0)</f>
        <v>408291.9</v>
      </c>
      <c r="O1199" s="16" t="s">
        <v>20</v>
      </c>
      <c r="P1199" s="16" t="s">
        <v>857</v>
      </c>
      <c r="Q1199" s="131">
        <v>408291.9</v>
      </c>
      <c r="R1199" s="18">
        <v>1</v>
      </c>
      <c r="S1199" s="18">
        <f>Main_Presentation[[#This Row],[Invoice Amt (FCY)]]*Main_Presentation[[#This Row],[Rate]]</f>
        <v>408291.9</v>
      </c>
      <c r="T1199" s="15">
        <v>45942</v>
      </c>
      <c r="U1199" s="26" t="str">
        <f>VLOOKUP(Main_Presentation[[#This Row],[LC Number]],Main_Issuance[],18,0)</f>
        <v>Sight</v>
      </c>
      <c r="V1199" s="17" t="s">
        <v>70</v>
      </c>
      <c r="W1199" s="22" t="s">
        <v>857</v>
      </c>
      <c r="X1199" s="16"/>
      <c r="Y1199" s="234" t="str">
        <f>TRIM(LEFT(Main_Presentation[[#This Row],[Payment Terms]],3))</f>
        <v>Sig</v>
      </c>
      <c r="Z1199" s="16"/>
      <c r="AA1199" s="316" t="e" cm="1">
        <f t="array" ref="AA1199">Settlement(Main_Presentation[[#This Row],[Bank]],Main_Presentation[[#This Row],[ Invoice Amt (SAR)]],Main_Presentation[[#This Row],[Date Recd]],Main_Presentation[[#This Row],[Due Date]],Main_Presentation[[#This Row],[Days]])</f>
        <v>#VALUE!</v>
      </c>
      <c r="AB1199" s="16"/>
    </row>
    <row r="1200" spans="1:28" ht="15.75" hidden="1" x14ac:dyDescent="0.25">
      <c r="A1200" s="20" t="s">
        <v>1739</v>
      </c>
      <c r="B1200" s="15">
        <v>45943</v>
      </c>
      <c r="C1200" s="26">
        <v>1</v>
      </c>
      <c r="D1200" s="55" t="str">
        <f>VLOOKUP(Main_Presentation[[#This Row],[LC Number]],Main_Issuance[],3,0)</f>
        <v>Muhammed Khan</v>
      </c>
      <c r="E1200" s="16" t="s">
        <v>858</v>
      </c>
      <c r="F1200" s="17" t="str">
        <f>VLOOKUP(Main_Presentation[[#This Row],[LC Number]],Main_Issuance[],5,0)</f>
        <v>Riyad</v>
      </c>
      <c r="G1200" s="17" t="str">
        <f>VLOOKUP(Main_Presentation[[#This Row],[LC Number]],Main_Issuance[],6,0)</f>
        <v>Cash</v>
      </c>
      <c r="H1200" s="17" t="str">
        <f>VLOOKUP(Main_Presentation[[#This Row],[LC Number]],Main_Issuance[],17,0)</f>
        <v>Cash</v>
      </c>
      <c r="I1200" s="17" t="str">
        <f>VLOOKUP(Main_Presentation[[#This Row],[LC Number]],Main_Issuance[],7,0)</f>
        <v>Sindal Arabia Trading Company</v>
      </c>
      <c r="J1200" s="17" t="str">
        <f>VLOOKUP(Main_Presentation[[#This Row],[LC Number]],Main_Issuance[],8,0)</f>
        <v>IFAS</v>
      </c>
      <c r="K1200" s="17" t="str">
        <f>VLOOKUP(Main_Presentation[[#This Row],[LC Number]],Main_Issuance[],9,0)</f>
        <v>IFAS - Various Projects</v>
      </c>
      <c r="L1200" s="17">
        <f>VLOOKUP(Main_Presentation[[#This Row],[LC Number]],Main_Issuance[],10,0)</f>
        <v>0</v>
      </c>
      <c r="M1200" s="17" t="str">
        <f>VLOOKUP(Main_Presentation[[#This Row],[LC Number]],Main_Issuance[],11,0)</f>
        <v>SAR</v>
      </c>
      <c r="N1200" s="84">
        <f>VLOOKUP(Main_Presentation[[#This Row],[LC Number]],Main_Issuance[],12,0)</f>
        <v>345402.56</v>
      </c>
      <c r="O1200" s="16" t="s">
        <v>20</v>
      </c>
      <c r="P1200" s="16" t="s">
        <v>857</v>
      </c>
      <c r="Q1200" s="131">
        <v>345402.56</v>
      </c>
      <c r="R1200" s="18">
        <v>1</v>
      </c>
      <c r="S1200" s="18">
        <f>Main_Presentation[[#This Row],[Invoice Amt (FCY)]]*Main_Presentation[[#This Row],[Rate]]</f>
        <v>345402.56</v>
      </c>
      <c r="T1200" s="15">
        <v>45945</v>
      </c>
      <c r="U1200" s="26" t="str">
        <f>VLOOKUP(Main_Presentation[[#This Row],[LC Number]],Main_Issuance[],18,0)</f>
        <v>Sight</v>
      </c>
      <c r="V1200" s="17" t="s">
        <v>70</v>
      </c>
      <c r="W1200" s="22" t="s">
        <v>857</v>
      </c>
      <c r="X1200" s="16"/>
      <c r="Y1200" s="234" t="str">
        <f>TRIM(LEFT(Main_Presentation[[#This Row],[Payment Terms]],3))</f>
        <v>Sig</v>
      </c>
      <c r="Z1200" s="16"/>
      <c r="AA1200" s="316" t="e" cm="1">
        <f t="array" ref="AA1200">Settlement(Main_Presentation[[#This Row],[Bank]],Main_Presentation[[#This Row],[ Invoice Amt (SAR)]],Main_Presentation[[#This Row],[Date Recd]],Main_Presentation[[#This Row],[Due Date]],Main_Presentation[[#This Row],[Days]])</f>
        <v>#VALUE!</v>
      </c>
      <c r="AB1200" s="16"/>
    </row>
    <row r="1201" spans="1:28" ht="15.75" hidden="1" x14ac:dyDescent="0.25">
      <c r="A1201" s="20" t="s">
        <v>1738</v>
      </c>
      <c r="B1201" s="15">
        <v>45949</v>
      </c>
      <c r="C1201" s="26">
        <v>1</v>
      </c>
      <c r="D1201" s="55" t="str">
        <f>VLOOKUP(Main_Presentation[[#This Row],[LC Number]],Main_Issuance[],3,0)</f>
        <v>Muhammed Khan</v>
      </c>
      <c r="E1201" s="16" t="s">
        <v>858</v>
      </c>
      <c r="F1201" s="17" t="str">
        <f>VLOOKUP(Main_Presentation[[#This Row],[LC Number]],Main_Issuance[],5,0)</f>
        <v>Riyad</v>
      </c>
      <c r="G1201" s="17" t="str">
        <f>VLOOKUP(Main_Presentation[[#This Row],[LC Number]],Main_Issuance[],6,0)</f>
        <v>Cash</v>
      </c>
      <c r="H1201" s="17" t="str">
        <f>VLOOKUP(Main_Presentation[[#This Row],[LC Number]],Main_Issuance[],17,0)</f>
        <v>Cash</v>
      </c>
      <c r="I1201" s="17" t="str">
        <f>VLOOKUP(Main_Presentation[[#This Row],[LC Number]],Main_Issuance[],7,0)</f>
        <v>Theqah Al Tawseel Co. for Transport</v>
      </c>
      <c r="J1201" s="17" t="str">
        <f>VLOOKUP(Main_Presentation[[#This Row],[LC Number]],Main_Issuance[],8,0)</f>
        <v>IFAS</v>
      </c>
      <c r="K1201" s="17" t="str">
        <f>VLOOKUP(Main_Presentation[[#This Row],[LC Number]],Main_Issuance[],9,0)</f>
        <v>IFAS - Various Projects</v>
      </c>
      <c r="L1201" s="17">
        <f>VLOOKUP(Main_Presentation[[#This Row],[LC Number]],Main_Issuance[],10,0)</f>
        <v>0</v>
      </c>
      <c r="M1201" s="17" t="str">
        <f>VLOOKUP(Main_Presentation[[#This Row],[LC Number]],Main_Issuance[],11,0)</f>
        <v>SAR</v>
      </c>
      <c r="N1201" s="84">
        <f>VLOOKUP(Main_Presentation[[#This Row],[LC Number]],Main_Issuance[],12,0)</f>
        <v>303062.95</v>
      </c>
      <c r="O1201" s="16" t="s">
        <v>20</v>
      </c>
      <c r="P1201" s="16" t="s">
        <v>857</v>
      </c>
      <c r="Q1201" s="131">
        <v>303062.95</v>
      </c>
      <c r="R1201" s="18">
        <v>1</v>
      </c>
      <c r="S1201" s="18">
        <f>Main_Presentation[[#This Row],[Invoice Amt (FCY)]]*Main_Presentation[[#This Row],[Rate]]</f>
        <v>303062.95</v>
      </c>
      <c r="T1201" s="15">
        <v>45950</v>
      </c>
      <c r="U1201" s="26" t="str">
        <f>VLOOKUP(Main_Presentation[[#This Row],[LC Number]],Main_Issuance[],18,0)</f>
        <v>Sight</v>
      </c>
      <c r="V1201" s="17" t="s">
        <v>70</v>
      </c>
      <c r="W1201" s="22" t="s">
        <v>857</v>
      </c>
      <c r="X1201" s="16" t="s">
        <v>2256</v>
      </c>
      <c r="Y1201" s="234" t="str">
        <f>TRIM(LEFT(Main_Presentation[[#This Row],[Payment Terms]],3))</f>
        <v>Sig</v>
      </c>
      <c r="Z1201" s="16"/>
      <c r="AA1201" s="316" t="e" cm="1">
        <f t="array" ref="AA1201">Settlement(Main_Presentation[[#This Row],[Bank]],Main_Presentation[[#This Row],[ Invoice Amt (SAR)]],Main_Presentation[[#This Row],[Date Recd]],Main_Presentation[[#This Row],[Due Date]],Main_Presentation[[#This Row],[Days]])</f>
        <v>#VALUE!</v>
      </c>
      <c r="AB1201" s="16"/>
    </row>
    <row r="1202" spans="1:28" ht="15.75" hidden="1" x14ac:dyDescent="0.25">
      <c r="A1202" s="20" t="s">
        <v>1744</v>
      </c>
      <c r="B1202" s="15">
        <v>45938</v>
      </c>
      <c r="C1202" s="26">
        <v>1</v>
      </c>
      <c r="D1202" s="55" t="str">
        <f>VLOOKUP(Main_Presentation[[#This Row],[LC Number]],Main_Issuance[],3,0)</f>
        <v>Muhammed Khan</v>
      </c>
      <c r="E1202" s="16" t="s">
        <v>856</v>
      </c>
      <c r="F1202" s="17" t="str">
        <f>VLOOKUP(Main_Presentation[[#This Row],[LC Number]],Main_Issuance[],5,0)</f>
        <v>Riyad</v>
      </c>
      <c r="G1202" s="17" t="str">
        <f>VLOOKUP(Main_Presentation[[#This Row],[LC Number]],Main_Issuance[],6,0)</f>
        <v>Cash</v>
      </c>
      <c r="H1202" s="17" t="str">
        <f>VLOOKUP(Main_Presentation[[#This Row],[LC Number]],Main_Issuance[],17,0)</f>
        <v>Cash</v>
      </c>
      <c r="I1202" s="17" t="str">
        <f>VLOOKUP(Main_Presentation[[#This Row],[LC Number]],Main_Issuance[],7,0)</f>
        <v>TRAP Pest Control and Garden Maintenance Co. Ltd</v>
      </c>
      <c r="J1202" s="17" t="str">
        <f>VLOOKUP(Main_Presentation[[#This Row],[LC Number]],Main_Issuance[],8,0)</f>
        <v>IFAS</v>
      </c>
      <c r="K1202" s="17" t="str">
        <f>VLOOKUP(Main_Presentation[[#This Row],[LC Number]],Main_Issuance[],9,0)</f>
        <v>IFAS - Various Projects</v>
      </c>
      <c r="L1202" s="17">
        <f>VLOOKUP(Main_Presentation[[#This Row],[LC Number]],Main_Issuance[],10,0)</f>
        <v>0</v>
      </c>
      <c r="M1202" s="17" t="str">
        <f>VLOOKUP(Main_Presentation[[#This Row],[LC Number]],Main_Issuance[],11,0)</f>
        <v>SAR</v>
      </c>
      <c r="N1202" s="84">
        <f>VLOOKUP(Main_Presentation[[#This Row],[LC Number]],Main_Issuance[],12,0)</f>
        <v>567886.03</v>
      </c>
      <c r="O1202" s="16" t="s">
        <v>20</v>
      </c>
      <c r="P1202" s="16" t="s">
        <v>857</v>
      </c>
      <c r="Q1202" s="131">
        <v>567886.03</v>
      </c>
      <c r="R1202" s="18">
        <v>1</v>
      </c>
      <c r="S1202" s="18">
        <f>Main_Presentation[[#This Row],[Invoice Amt (FCY)]]*Main_Presentation[[#This Row],[Rate]]</f>
        <v>567886.03</v>
      </c>
      <c r="T1202" s="15">
        <v>45939</v>
      </c>
      <c r="U1202" s="26" t="str">
        <f>VLOOKUP(Main_Presentation[[#This Row],[LC Number]],Main_Issuance[],18,0)</f>
        <v>Sight</v>
      </c>
      <c r="V1202" s="17" t="s">
        <v>70</v>
      </c>
      <c r="W1202" s="22" t="s">
        <v>857</v>
      </c>
      <c r="X1202" s="16"/>
      <c r="Y1202" s="234" t="str">
        <f>TRIM(LEFT(Main_Presentation[[#This Row],[Payment Terms]],3))</f>
        <v>Sig</v>
      </c>
      <c r="Z1202" s="16"/>
      <c r="AA1202" s="316" t="e" cm="1">
        <f t="array" ref="AA1202">Settlement(Main_Presentation[[#This Row],[Bank]],Main_Presentation[[#This Row],[ Invoice Amt (SAR)]],Main_Presentation[[#This Row],[Date Recd]],Main_Presentation[[#This Row],[Due Date]],Main_Presentation[[#This Row],[Days]])</f>
        <v>#VALUE!</v>
      </c>
      <c r="AB1202" s="16"/>
    </row>
    <row r="1203" spans="1:28" ht="15.75" hidden="1" x14ac:dyDescent="0.25">
      <c r="A1203" s="20" t="s">
        <v>1778</v>
      </c>
      <c r="B1203" s="15">
        <v>45945</v>
      </c>
      <c r="C1203" s="26">
        <v>1</v>
      </c>
      <c r="D1203" s="55" t="str">
        <f>VLOOKUP(Main_Presentation[[#This Row],[LC Number]],Main_Issuance[],3,0)</f>
        <v>Muhammed Khan</v>
      </c>
      <c r="E1203" s="16" t="s">
        <v>858</v>
      </c>
      <c r="F1203" s="17" t="str">
        <f>VLOOKUP(Main_Presentation[[#This Row],[LC Number]],Main_Issuance[],5,0)</f>
        <v>Riyad</v>
      </c>
      <c r="G1203" s="17" t="str">
        <f>VLOOKUP(Main_Presentation[[#This Row],[LC Number]],Main_Issuance[],6,0)</f>
        <v>Cash</v>
      </c>
      <c r="H1203" s="17" t="str">
        <f>VLOOKUP(Main_Presentation[[#This Row],[LC Number]],Main_Issuance[],17,0)</f>
        <v>Cash</v>
      </c>
      <c r="I1203" s="17" t="str">
        <f>VLOOKUP(Main_Presentation[[#This Row],[LC Number]],Main_Issuance[],7,0)</f>
        <v>Saudi company for development of construction and trading limited - SACODECO</v>
      </c>
      <c r="J1203" s="17" t="str">
        <f>VLOOKUP(Main_Presentation[[#This Row],[LC Number]],Main_Issuance[],8,0)</f>
        <v>IFAS</v>
      </c>
      <c r="K1203" s="17" t="str">
        <f>VLOOKUP(Main_Presentation[[#This Row],[LC Number]],Main_Issuance[],9,0)</f>
        <v>IFAS - Various Projects</v>
      </c>
      <c r="L1203" s="17">
        <f>VLOOKUP(Main_Presentation[[#This Row],[LC Number]],Main_Issuance[],10,0)</f>
        <v>0</v>
      </c>
      <c r="M1203" s="17" t="str">
        <f>VLOOKUP(Main_Presentation[[#This Row],[LC Number]],Main_Issuance[],11,0)</f>
        <v>SAR</v>
      </c>
      <c r="N1203" s="84">
        <f>VLOOKUP(Main_Presentation[[#This Row],[LC Number]],Main_Issuance[],12,0)</f>
        <v>711169</v>
      </c>
      <c r="O1203" s="16" t="s">
        <v>20</v>
      </c>
      <c r="P1203" s="16" t="s">
        <v>857</v>
      </c>
      <c r="Q1203" s="131">
        <v>711169</v>
      </c>
      <c r="R1203" s="18">
        <v>1</v>
      </c>
      <c r="S1203" s="18">
        <f>Main_Presentation[[#This Row],[Invoice Amt (FCY)]]*Main_Presentation[[#This Row],[Rate]]</f>
        <v>711169</v>
      </c>
      <c r="T1203" s="15">
        <v>45949</v>
      </c>
      <c r="U1203" s="26" t="str">
        <f>VLOOKUP(Main_Presentation[[#This Row],[LC Number]],Main_Issuance[],18,0)</f>
        <v>Sight</v>
      </c>
      <c r="V1203" s="17" t="s">
        <v>70</v>
      </c>
      <c r="W1203" s="22" t="s">
        <v>857</v>
      </c>
      <c r="X1203" s="16"/>
      <c r="Y1203" s="234" t="str">
        <f>TRIM(LEFT(Main_Presentation[[#This Row],[Payment Terms]],3))</f>
        <v>Sig</v>
      </c>
      <c r="Z1203" s="16"/>
      <c r="AA1203" s="316" t="e" cm="1">
        <f t="array" ref="AA1203">Settlement(Main_Presentation[[#This Row],[Bank]],Main_Presentation[[#This Row],[ Invoice Amt (SAR)]],Main_Presentation[[#This Row],[Date Recd]],Main_Presentation[[#This Row],[Due Date]],Main_Presentation[[#This Row],[Days]])</f>
        <v>#VALUE!</v>
      </c>
      <c r="AB1203" s="16"/>
    </row>
    <row r="1204" spans="1:28" ht="15.75" hidden="1" x14ac:dyDescent="0.25">
      <c r="A1204" s="20" t="s">
        <v>1777</v>
      </c>
      <c r="B1204" s="15">
        <v>45936</v>
      </c>
      <c r="C1204" s="26">
        <v>1</v>
      </c>
      <c r="D1204" s="55" t="str">
        <f>VLOOKUP(Main_Presentation[[#This Row],[LC Number]],Main_Issuance[],3,0)</f>
        <v>Muhammed Khan</v>
      </c>
      <c r="E1204" s="16" t="s">
        <v>856</v>
      </c>
      <c r="F1204" s="17" t="str">
        <f>VLOOKUP(Main_Presentation[[#This Row],[LC Number]],Main_Issuance[],5,0)</f>
        <v>Riyad</v>
      </c>
      <c r="G1204" s="17" t="str">
        <f>VLOOKUP(Main_Presentation[[#This Row],[LC Number]],Main_Issuance[],6,0)</f>
        <v>Cash</v>
      </c>
      <c r="H1204" s="17" t="str">
        <f>VLOOKUP(Main_Presentation[[#This Row],[LC Number]],Main_Issuance[],17,0)</f>
        <v>Cash</v>
      </c>
      <c r="I1204" s="17" t="str">
        <f>VLOOKUP(Main_Presentation[[#This Row],[LC Number]],Main_Issuance[],7,0)</f>
        <v>Al Salem York Services Co Ltd</v>
      </c>
      <c r="J1204" s="17" t="str">
        <f>VLOOKUP(Main_Presentation[[#This Row],[LC Number]],Main_Issuance[],8,0)</f>
        <v>IFAS</v>
      </c>
      <c r="K1204" s="17" t="str">
        <f>VLOOKUP(Main_Presentation[[#This Row],[LC Number]],Main_Issuance[],9,0)</f>
        <v>IFAS - Various Projects</v>
      </c>
      <c r="L1204" s="17">
        <f>VLOOKUP(Main_Presentation[[#This Row],[LC Number]],Main_Issuance[],10,0)</f>
        <v>0</v>
      </c>
      <c r="M1204" s="17" t="str">
        <f>VLOOKUP(Main_Presentation[[#This Row],[LC Number]],Main_Issuance[],11,0)</f>
        <v>SAR</v>
      </c>
      <c r="N1204" s="84">
        <f>VLOOKUP(Main_Presentation[[#This Row],[LC Number]],Main_Issuance[],12,0)</f>
        <v>1000000</v>
      </c>
      <c r="O1204" s="16" t="s">
        <v>20</v>
      </c>
      <c r="P1204" s="16" t="s">
        <v>857</v>
      </c>
      <c r="Q1204" s="131">
        <v>1000000</v>
      </c>
      <c r="R1204" s="18">
        <v>1</v>
      </c>
      <c r="S1204" s="18">
        <f>Main_Presentation[[#This Row],[Invoice Amt (FCY)]]*Main_Presentation[[#This Row],[Rate]]</f>
        <v>1000000</v>
      </c>
      <c r="T1204" s="15">
        <v>45937</v>
      </c>
      <c r="U1204" s="26" t="str">
        <f>VLOOKUP(Main_Presentation[[#This Row],[LC Number]],Main_Issuance[],18,0)</f>
        <v>Sight</v>
      </c>
      <c r="V1204" s="17" t="s">
        <v>70</v>
      </c>
      <c r="W1204" s="22" t="s">
        <v>857</v>
      </c>
      <c r="X1204" s="16"/>
      <c r="Y1204" s="234" t="str">
        <f>TRIM(LEFT(Main_Presentation[[#This Row],[Payment Terms]],3))</f>
        <v>Sig</v>
      </c>
      <c r="Z1204" s="16"/>
      <c r="AA1204" s="316" t="e" cm="1">
        <f t="array" ref="AA1204">Settlement(Main_Presentation[[#This Row],[Bank]],Main_Presentation[[#This Row],[ Invoice Amt (SAR)]],Main_Presentation[[#This Row],[Date Recd]],Main_Presentation[[#This Row],[Due Date]],Main_Presentation[[#This Row],[Days]])</f>
        <v>#VALUE!</v>
      </c>
      <c r="AB1204" s="16"/>
    </row>
    <row r="1205" spans="1:28" ht="15.75" hidden="1" x14ac:dyDescent="0.25">
      <c r="A1205" s="20" t="s">
        <v>702</v>
      </c>
      <c r="B1205" s="15">
        <v>45922</v>
      </c>
      <c r="C1205" s="26">
        <v>17</v>
      </c>
      <c r="D1205" s="55" t="str">
        <f>VLOOKUP(Main_Presentation[[#This Row],[LC Number]],Main_Issuance[],3,0)</f>
        <v>Tareeq Telmasani</v>
      </c>
      <c r="E1205" s="16" t="s">
        <v>856</v>
      </c>
      <c r="F1205" s="17" t="str">
        <f>VLOOKUP(Main_Presentation[[#This Row],[LC Number]],Main_Issuance[],5,0)</f>
        <v>SNB</v>
      </c>
      <c r="G1205" s="17" t="str">
        <f>VLOOKUP(Main_Presentation[[#This Row],[LC Number]],Main_Issuance[],6,0)</f>
        <v>Opera House</v>
      </c>
      <c r="H1205" s="17" t="str">
        <f>VLOOKUP(Main_Presentation[[#This Row],[LC Number]],Main_Issuance[],17,0)</f>
        <v>Credit</v>
      </c>
      <c r="I1205" s="17" t="str">
        <f>VLOOKUP(Main_Presentation[[#This Row],[LC Number]],Main_Issuance[],7,0)</f>
        <v>HOLCIM SOLUTIONS AND PRODUCTS EMEA BV</v>
      </c>
      <c r="J1205" s="17" t="str">
        <f>VLOOKUP(Main_Presentation[[#This Row],[LC Number]],Main_Issuance[],8,0)</f>
        <v>MBL/IFAS</v>
      </c>
      <c r="K1205" s="17" t="str">
        <f>VLOOKUP(Main_Presentation[[#This Row],[LC Number]],Main_Issuance[],9,0)</f>
        <v>CEER</v>
      </c>
      <c r="L1205" s="17">
        <f>VLOOKUP(Main_Presentation[[#This Row],[LC Number]],Main_Issuance[],10,0)</f>
        <v>1020091</v>
      </c>
      <c r="M1205" s="17" t="str">
        <f>VLOOKUP(Main_Presentation[[#This Row],[LC Number]],Main_Issuance[],11,0)</f>
        <v>USD</v>
      </c>
      <c r="N1205" s="84">
        <f>VLOOKUP(Main_Presentation[[#This Row],[LC Number]],Main_Issuance[],12,0)</f>
        <v>2600115.56</v>
      </c>
      <c r="O1205" s="16" t="s">
        <v>20</v>
      </c>
      <c r="P1205" s="16" t="s">
        <v>857</v>
      </c>
      <c r="Q1205" s="131">
        <v>84924.76</v>
      </c>
      <c r="R1205" s="18">
        <v>3.75</v>
      </c>
      <c r="S1205" s="18">
        <f>Main_Presentation[[#This Row],[Invoice Amt (FCY)]]*Main_Presentation[[#This Row],[Rate]]</f>
        <v>318467.84999999998</v>
      </c>
      <c r="T1205" s="15">
        <v>45992</v>
      </c>
      <c r="U1205" s="26" t="str">
        <f>VLOOKUP(Main_Presentation[[#This Row],[LC Number]],Main_Issuance[],18,0)</f>
        <v>90 Days from Shipment Date</v>
      </c>
      <c r="V1205" s="17" t="s">
        <v>367</v>
      </c>
      <c r="W1205" s="22" t="s">
        <v>857</v>
      </c>
      <c r="X1205" s="16"/>
      <c r="Y1205" s="234" t="str">
        <f>TRIM(LEFT(Main_Presentation[[#This Row],[Payment Terms]],3))</f>
        <v>90</v>
      </c>
      <c r="Z1205" s="16"/>
      <c r="AA1205" s="316" cm="1">
        <f t="array" ref="AA1205">Settlement(Main_Presentation[[#This Row],[Bank]],Main_Presentation[[#This Row],[ Invoice Amt (SAR)]],Main_Presentation[[#This Row],[Date Recd]],Main_Presentation[[#This Row],[Due Date]],Main_Presentation[[#This Row],[Days]])</f>
        <v>1566.3</v>
      </c>
      <c r="AB1205" s="16"/>
    </row>
    <row r="1206" spans="1:28" ht="15.75" hidden="1" x14ac:dyDescent="0.25">
      <c r="A1206" s="20" t="s">
        <v>1191</v>
      </c>
      <c r="B1206" s="15">
        <v>45936</v>
      </c>
      <c r="C1206" s="26">
        <v>3</v>
      </c>
      <c r="D1206" s="55" t="str">
        <f>VLOOKUP(Main_Presentation[[#This Row],[LC Number]],Main_Issuance[],3,0)</f>
        <v>Rabih Makhoul</v>
      </c>
      <c r="E1206" s="140" t="s">
        <v>858</v>
      </c>
      <c r="F1206" s="17" t="str">
        <f>VLOOKUP(Main_Presentation[[#This Row],[LC Number]],Main_Issuance[],5,0)</f>
        <v>Alinma</v>
      </c>
      <c r="G1206" s="17" t="str">
        <f>VLOOKUP(Main_Presentation[[#This Row],[LC Number]],Main_Issuance[],6,0)</f>
        <v>KSP</v>
      </c>
      <c r="H1206" s="17" t="str">
        <f>VLOOKUP(Main_Presentation[[#This Row],[LC Number]],Main_Issuance[],17,0)</f>
        <v>Credit</v>
      </c>
      <c r="I1206" s="17" t="str">
        <f>VLOOKUP(Main_Presentation[[#This Row],[LC Number]],Main_Issuance[],7,0)</f>
        <v>Awtad Jeddah for General Contracting Company</v>
      </c>
      <c r="J1206" s="17" t="str">
        <f>VLOOKUP(Main_Presentation[[#This Row],[LC Number]],Main_Issuance[],8,0)</f>
        <v>MBL</v>
      </c>
      <c r="K1206" s="17" t="str">
        <f>VLOOKUP(Main_Presentation[[#This Row],[LC Number]],Main_Issuance[],9,0)</f>
        <v>Rabigh Power Plant</v>
      </c>
      <c r="L1206" s="17">
        <f>VLOOKUP(Main_Presentation[[#This Row],[LC Number]],Main_Issuance[],10,0)</f>
        <v>1020107</v>
      </c>
      <c r="M1206" s="17" t="str">
        <f>VLOOKUP(Main_Presentation[[#This Row],[LC Number]],Main_Issuance[],11,0)</f>
        <v>SAR</v>
      </c>
      <c r="N1206" s="84">
        <f>VLOOKUP(Main_Presentation[[#This Row],[LC Number]],Main_Issuance[],12,0)</f>
        <v>5233040.5</v>
      </c>
      <c r="O1206" s="16" t="s">
        <v>20</v>
      </c>
      <c r="P1206" s="16" t="s">
        <v>857</v>
      </c>
      <c r="Q1206" s="131">
        <v>295500</v>
      </c>
      <c r="R1206" s="18">
        <v>1</v>
      </c>
      <c r="S1206" s="18">
        <f>Main_Presentation[[#This Row],[Invoice Amt (FCY)]]*Main_Presentation[[#This Row],[Rate]]</f>
        <v>295500</v>
      </c>
      <c r="T1206" s="15">
        <v>45967</v>
      </c>
      <c r="U1206" s="26" t="str">
        <f>VLOOKUP(Main_Presentation[[#This Row],[LC Number]],Main_Issuance[],18,0)</f>
        <v>45 Days from Applicant Sign on Invoice</v>
      </c>
      <c r="V1206" s="17" t="s">
        <v>511</v>
      </c>
      <c r="W1206" s="22" t="s">
        <v>857</v>
      </c>
      <c r="X1206" s="16"/>
      <c r="Y1206" s="234" t="str">
        <f>TRIM(LEFT(Main_Presentation[[#This Row],[Payment Terms]],3))</f>
        <v>45</v>
      </c>
      <c r="Z1206" s="16"/>
      <c r="AA1206" s="316" cm="1">
        <f t="array" ref="AA1206">Settlement(Main_Presentation[[#This Row],[Bank]],Main_Presentation[[#This Row],[ Invoice Amt (SAR)]],Main_Presentation[[#This Row],[Date Recd]],Main_Presentation[[#This Row],[Due Date]],Main_Presentation[[#This Row],[Days]])</f>
        <v>1437.5</v>
      </c>
      <c r="AB1206" s="16"/>
    </row>
    <row r="1207" spans="1:28" ht="15.75" hidden="1" x14ac:dyDescent="0.25">
      <c r="A1207" s="20" t="s">
        <v>1191</v>
      </c>
      <c r="B1207" s="15">
        <v>45936</v>
      </c>
      <c r="C1207" s="26">
        <v>4</v>
      </c>
      <c r="D1207" s="55" t="str">
        <f>VLOOKUP(Main_Presentation[[#This Row],[LC Number]],Main_Issuance[],3,0)</f>
        <v>Rabih Makhoul</v>
      </c>
      <c r="E1207" s="140" t="s">
        <v>858</v>
      </c>
      <c r="F1207" s="17" t="str">
        <f>VLOOKUP(Main_Presentation[[#This Row],[LC Number]],Main_Issuance[],5,0)</f>
        <v>Alinma</v>
      </c>
      <c r="G1207" s="17" t="str">
        <f>VLOOKUP(Main_Presentation[[#This Row],[LC Number]],Main_Issuance[],6,0)</f>
        <v>KSP</v>
      </c>
      <c r="H1207" s="17" t="str">
        <f>VLOOKUP(Main_Presentation[[#This Row],[LC Number]],Main_Issuance[],17,0)</f>
        <v>Credit</v>
      </c>
      <c r="I1207" s="17" t="str">
        <f>VLOOKUP(Main_Presentation[[#This Row],[LC Number]],Main_Issuance[],7,0)</f>
        <v>Awtad Jeddah for General Contracting Company</v>
      </c>
      <c r="J1207" s="17" t="str">
        <f>VLOOKUP(Main_Presentation[[#This Row],[LC Number]],Main_Issuance[],8,0)</f>
        <v>MBL</v>
      </c>
      <c r="K1207" s="17" t="str">
        <f>VLOOKUP(Main_Presentation[[#This Row],[LC Number]],Main_Issuance[],9,0)</f>
        <v>Rabigh Power Plant</v>
      </c>
      <c r="L1207" s="17">
        <f>VLOOKUP(Main_Presentation[[#This Row],[LC Number]],Main_Issuance[],10,0)</f>
        <v>1020107</v>
      </c>
      <c r="M1207" s="17" t="str">
        <f>VLOOKUP(Main_Presentation[[#This Row],[LC Number]],Main_Issuance[],11,0)</f>
        <v>SAR</v>
      </c>
      <c r="N1207" s="84">
        <f>VLOOKUP(Main_Presentation[[#This Row],[LC Number]],Main_Issuance[],12,0)</f>
        <v>5233040.5</v>
      </c>
      <c r="O1207" s="16" t="s">
        <v>20</v>
      </c>
      <c r="P1207" s="16" t="s">
        <v>857</v>
      </c>
      <c r="Q1207" s="131">
        <v>507064.21</v>
      </c>
      <c r="R1207" s="18">
        <v>1</v>
      </c>
      <c r="S1207" s="18">
        <f>Main_Presentation[[#This Row],[Invoice Amt (FCY)]]*Main_Presentation[[#This Row],[Rate]]</f>
        <v>507064.21</v>
      </c>
      <c r="T1207" s="15">
        <v>45967</v>
      </c>
      <c r="U1207" s="26" t="str">
        <f>VLOOKUP(Main_Presentation[[#This Row],[LC Number]],Main_Issuance[],18,0)</f>
        <v>45 Days from Applicant Sign on Invoice</v>
      </c>
      <c r="V1207" s="17" t="s">
        <v>511</v>
      </c>
      <c r="W1207" s="22" t="s">
        <v>857</v>
      </c>
      <c r="X1207" s="16"/>
      <c r="Y1207" s="234" t="str">
        <f>TRIM(LEFT(Main_Presentation[[#This Row],[Payment Terms]],3))</f>
        <v>45</v>
      </c>
      <c r="Z1207" s="16"/>
      <c r="AA1207" s="316" cm="1">
        <f t="array" ref="AA1207">Settlement(Main_Presentation[[#This Row],[Bank]],Main_Presentation[[#This Row],[ Invoice Amt (SAR)]],Main_Presentation[[#This Row],[Date Recd]],Main_Presentation[[#This Row],[Due Date]],Main_Presentation[[#This Row],[Days]])</f>
        <v>1437.5</v>
      </c>
      <c r="AB1207" s="16"/>
    </row>
    <row r="1208" spans="1:28" ht="15.75" hidden="1" x14ac:dyDescent="0.25">
      <c r="A1208" s="20" t="s">
        <v>1608</v>
      </c>
      <c r="B1208" s="15">
        <v>45956</v>
      </c>
      <c r="C1208" s="26">
        <v>1</v>
      </c>
      <c r="D1208" s="55" t="str">
        <f>VLOOKUP(Main_Presentation[[#This Row],[LC Number]],Main_Issuance[],3,0)</f>
        <v>Hassan Taleb</v>
      </c>
      <c r="E1208" s="16" t="s">
        <v>858</v>
      </c>
      <c r="F1208" s="17" t="str">
        <f>VLOOKUP(Main_Presentation[[#This Row],[LC Number]],Main_Issuance[],5,0)</f>
        <v>SAB</v>
      </c>
      <c r="G1208" s="17" t="str">
        <f>VLOOKUP(Main_Presentation[[#This Row],[LC Number]],Main_Issuance[],6,0)</f>
        <v>MP1</v>
      </c>
      <c r="H1208" s="17" t="str">
        <f>VLOOKUP(Main_Presentation[[#This Row],[LC Number]],Main_Issuance[],17,0)</f>
        <v>Credit</v>
      </c>
      <c r="I1208" s="17" t="str">
        <f>VLOOKUP(Main_Presentation[[#This Row],[LC Number]],Main_Issuance[],7,0)</f>
        <v>Al Wasail Industrial Co.</v>
      </c>
      <c r="J1208" s="17" t="str">
        <f>VLOOKUP(Main_Presentation[[#This Row],[LC Number]],Main_Issuance[],8,0)</f>
        <v>FIRST FIX</v>
      </c>
      <c r="K1208" s="17" t="str">
        <f>VLOOKUP(Main_Presentation[[#This Row],[LC Number]],Main_Issuance[],9,0)</f>
        <v>MP1</v>
      </c>
      <c r="L1208" s="17">
        <f>VLOOKUP(Main_Presentation[[#This Row],[LC Number]],Main_Issuance[],10,0)</f>
        <v>1020088</v>
      </c>
      <c r="M1208" s="17" t="str">
        <f>VLOOKUP(Main_Presentation[[#This Row],[LC Number]],Main_Issuance[],11,0)</f>
        <v>SAR</v>
      </c>
      <c r="N1208" s="84">
        <f>VLOOKUP(Main_Presentation[[#This Row],[LC Number]],Main_Issuance[],12,0)</f>
        <v>200000</v>
      </c>
      <c r="O1208" s="16" t="s">
        <v>20</v>
      </c>
      <c r="P1208" s="16" t="s">
        <v>857</v>
      </c>
      <c r="Q1208" s="131">
        <v>200000</v>
      </c>
      <c r="R1208" s="18">
        <v>1</v>
      </c>
      <c r="S1208" s="18">
        <f>Main_Presentation[[#This Row],[Invoice Amt (FCY)]]*Main_Presentation[[#This Row],[Rate]]</f>
        <v>200000</v>
      </c>
      <c r="T1208" s="15">
        <v>46030</v>
      </c>
      <c r="U1208" s="26" t="str">
        <f>VLOOKUP(Main_Presentation[[#This Row],[LC Number]],Main_Issuance[],18,0)</f>
        <v>120 Days from Invoice Date</v>
      </c>
      <c r="V1208" s="17" t="s">
        <v>710</v>
      </c>
      <c r="W1208" s="22" t="s">
        <v>857</v>
      </c>
      <c r="X1208" s="16"/>
      <c r="Y1208" s="234" t="str">
        <f>TRIM(LEFT(Main_Presentation[[#This Row],[Payment Terms]],3))</f>
        <v>120</v>
      </c>
      <c r="Z1208" s="16"/>
      <c r="AA1208" s="316" cm="1">
        <f t="array" ref="AA1208">Settlement(Main_Presentation[[#This Row],[Bank]],Main_Presentation[[#This Row],[ Invoice Amt (SAR)]],Main_Presentation[[#This Row],[Date Recd]],Main_Presentation[[#This Row],[Due Date]],Main_Presentation[[#This Row],[Days]])</f>
        <v>862.5</v>
      </c>
      <c r="AB1208" s="16"/>
    </row>
    <row r="1209" spans="1:28" ht="15.75" hidden="1" x14ac:dyDescent="0.25">
      <c r="A1209" s="20" t="s">
        <v>1735</v>
      </c>
      <c r="B1209" s="15">
        <v>45942</v>
      </c>
      <c r="C1209" s="26">
        <v>2</v>
      </c>
      <c r="D1209" s="55" t="str">
        <f>VLOOKUP(Main_Presentation[[#This Row],[LC Number]],Main_Issuance[],3,0)</f>
        <v>Tareeq Telmasani</v>
      </c>
      <c r="E1209" s="16" t="s">
        <v>858</v>
      </c>
      <c r="F1209" s="17" t="str">
        <f>VLOOKUP(Main_Presentation[[#This Row],[LC Number]],Main_Issuance[],5,0)</f>
        <v>SAB</v>
      </c>
      <c r="G1209" s="17" t="str">
        <f>VLOOKUP(Main_Presentation[[#This Row],[LC Number]],Main_Issuance[],6,0)</f>
        <v>CEER</v>
      </c>
      <c r="H1209" s="17" t="str">
        <f>VLOOKUP(Main_Presentation[[#This Row],[LC Number]],Main_Issuance[],17,0)</f>
        <v>Credit</v>
      </c>
      <c r="I1209" s="17" t="str">
        <f>VLOOKUP(Main_Presentation[[#This Row],[LC Number]],Main_Issuance[],7,0)</f>
        <v>ALFANAR ELECTRICAL SYSTEMS</v>
      </c>
      <c r="J1209" s="17" t="str">
        <f>VLOOKUP(Main_Presentation[[#This Row],[LC Number]],Main_Issuance[],8,0)</f>
        <v>FIRST FIX</v>
      </c>
      <c r="K1209" s="17" t="str">
        <f>VLOOKUP(Main_Presentation[[#This Row],[LC Number]],Main_Issuance[],9,0)</f>
        <v>CEER</v>
      </c>
      <c r="L1209" s="17">
        <f>VLOOKUP(Main_Presentation[[#This Row],[LC Number]],Main_Issuance[],10,0)</f>
        <v>1020091</v>
      </c>
      <c r="M1209" s="17" t="str">
        <f>VLOOKUP(Main_Presentation[[#This Row],[LC Number]],Main_Issuance[],11,0)</f>
        <v>SAR</v>
      </c>
      <c r="N1209" s="84">
        <f>VLOOKUP(Main_Presentation[[#This Row],[LC Number]],Main_Issuance[],12,0)</f>
        <v>6250000</v>
      </c>
      <c r="O1209" s="16" t="s">
        <v>20</v>
      </c>
      <c r="P1209" s="16" t="s">
        <v>857</v>
      </c>
      <c r="Q1209" s="131">
        <v>806347.93</v>
      </c>
      <c r="R1209" s="18">
        <v>1</v>
      </c>
      <c r="S1209" s="18">
        <f>Main_Presentation[[#This Row],[Invoice Amt (FCY)]]*Main_Presentation[[#This Row],[Rate]]</f>
        <v>806347.93</v>
      </c>
      <c r="T1209" s="15">
        <v>46019</v>
      </c>
      <c r="U1209" s="26" t="str">
        <f>VLOOKUP(Main_Presentation[[#This Row],[LC Number]],Main_Issuance[],18,0)</f>
        <v>90 Days from Appl. Representative Sign</v>
      </c>
      <c r="V1209" s="17" t="s">
        <v>367</v>
      </c>
      <c r="W1209" s="22" t="s">
        <v>857</v>
      </c>
      <c r="X1209" s="16"/>
      <c r="Y1209" s="234" t="str">
        <f>TRIM(LEFT(Main_Presentation[[#This Row],[Payment Terms]],3))</f>
        <v>90</v>
      </c>
      <c r="Z1209" s="16"/>
      <c r="AA1209" s="316" cm="1">
        <f t="array" ref="AA1209">Settlement(Main_Presentation[[#This Row],[Bank]],Main_Presentation[[#This Row],[ Invoice Amt (SAR)]],Main_Presentation[[#This Row],[Date Recd]],Main_Presentation[[#This Row],[Due Date]],Main_Presentation[[#This Row],[Days]])</f>
        <v>3477.6</v>
      </c>
      <c r="AB1209" s="16"/>
    </row>
    <row r="1210" spans="1:28" ht="15.75" hidden="1" x14ac:dyDescent="0.25">
      <c r="A1210" s="20" t="s">
        <v>1814</v>
      </c>
      <c r="B1210" s="15">
        <v>45945</v>
      </c>
      <c r="C1210" s="26">
        <v>1</v>
      </c>
      <c r="D1210" s="55" t="str">
        <f>VLOOKUP(Main_Presentation[[#This Row],[LC Number]],Main_Issuance[],3,0)</f>
        <v>Hassan Taleb</v>
      </c>
      <c r="E1210" s="16" t="s">
        <v>856</v>
      </c>
      <c r="F1210" s="17" t="str">
        <f>VLOOKUP(Main_Presentation[[#This Row],[LC Number]],Main_Issuance[],5,0)</f>
        <v>Jazira</v>
      </c>
      <c r="G1210" s="17" t="str">
        <f>VLOOKUP(Main_Presentation[[#This Row],[LC Number]],Main_Issuance[],6,0)</f>
        <v>RCRC</v>
      </c>
      <c r="H1210" s="17" t="str">
        <f>VLOOKUP(Main_Presentation[[#This Row],[LC Number]],Main_Issuance[],17,0)</f>
        <v>Credit</v>
      </c>
      <c r="I1210" s="17" t="str">
        <f>VLOOKUP(Main_Presentation[[#This Row],[LC Number]],Main_Issuance[],7,0)</f>
        <v>ALFANAR ELECTRICAL SYSTEMS</v>
      </c>
      <c r="J1210" s="17" t="str">
        <f>VLOOKUP(Main_Presentation[[#This Row],[LC Number]],Main_Issuance[],8,0)</f>
        <v>FIRST FIX</v>
      </c>
      <c r="K1210" s="17" t="str">
        <f>VLOOKUP(Main_Presentation[[#This Row],[LC Number]],Main_Issuance[],9,0)</f>
        <v>RCRC</v>
      </c>
      <c r="L1210" s="17">
        <f>VLOOKUP(Main_Presentation[[#This Row],[LC Number]],Main_Issuance[],10,0)</f>
        <v>1020106</v>
      </c>
      <c r="M1210" s="17" t="str">
        <f>VLOOKUP(Main_Presentation[[#This Row],[LC Number]],Main_Issuance[],11,0)</f>
        <v>SAR</v>
      </c>
      <c r="N1210" s="84">
        <f>VLOOKUP(Main_Presentation[[#This Row],[LC Number]],Main_Issuance[],12,0)</f>
        <v>1000000</v>
      </c>
      <c r="O1210" s="16" t="s">
        <v>20</v>
      </c>
      <c r="P1210" s="16" t="s">
        <v>378</v>
      </c>
      <c r="Q1210" s="131">
        <v>1000000</v>
      </c>
      <c r="R1210" s="18">
        <v>1</v>
      </c>
      <c r="S1210" s="18">
        <f>Main_Presentation[[#This Row],[Invoice Amt (FCY)]]*Main_Presentation[[#This Row],[Rate]]</f>
        <v>1000000</v>
      </c>
      <c r="T1210" s="15">
        <v>46002</v>
      </c>
      <c r="U1210" s="26" t="str">
        <f>VLOOKUP(Main_Presentation[[#This Row],[LC Number]],Main_Issuance[],18,0)</f>
        <v>90 Days from Invoice Date</v>
      </c>
      <c r="V1210" s="17" t="s">
        <v>613</v>
      </c>
      <c r="W1210" s="22" t="s">
        <v>857</v>
      </c>
      <c r="X1210" s="16"/>
      <c r="Y1210" s="234" t="str">
        <f>TRIM(LEFT(Main_Presentation[[#This Row],[Payment Terms]],3))</f>
        <v>90</v>
      </c>
      <c r="Z1210" s="16"/>
      <c r="AA1210" s="316" cm="1">
        <f t="array" ref="AA1210">Settlement(Main_Presentation[[#This Row],[Bank]],Main_Presentation[[#This Row],[ Invoice Amt (SAR)]],Main_Presentation[[#This Row],[Date Recd]],Main_Presentation[[#This Row],[Due Date]],Main_Presentation[[#This Row],[Days]])</f>
        <v>1782.5</v>
      </c>
      <c r="AB1210" s="16"/>
    </row>
    <row r="1211" spans="1:28" ht="15.75" hidden="1" x14ac:dyDescent="0.25">
      <c r="A1211" s="20" t="s">
        <v>694</v>
      </c>
      <c r="B1211" s="15">
        <v>45945</v>
      </c>
      <c r="C1211" s="26">
        <v>4</v>
      </c>
      <c r="D1211" s="55" t="str">
        <f>VLOOKUP(Main_Presentation[[#This Row],[LC Number]],Main_Issuance[],3,0)</f>
        <v>Hassan Taleb</v>
      </c>
      <c r="E1211" s="16" t="s">
        <v>856</v>
      </c>
      <c r="F1211" s="17" t="str">
        <f>VLOOKUP(Main_Presentation[[#This Row],[LC Number]],Main_Issuance[],5,0)</f>
        <v>Jazira</v>
      </c>
      <c r="G1211" s="17" t="str">
        <f>VLOOKUP(Main_Presentation[[#This Row],[LC Number]],Main_Issuance[],6,0)</f>
        <v>RCRC</v>
      </c>
      <c r="H1211" s="17" t="str">
        <f>VLOOKUP(Main_Presentation[[#This Row],[LC Number]],Main_Issuance[],17,0)</f>
        <v>Credit</v>
      </c>
      <c r="I1211" s="17" t="str">
        <f>VLOOKUP(Main_Presentation[[#This Row],[LC Number]],Main_Issuance[],7,0)</f>
        <v>MOHAMMED RAMADAN SHAT FACTORY FOR METAL</v>
      </c>
      <c r="J1211" s="17" t="str">
        <f>VLOOKUP(Main_Presentation[[#This Row],[LC Number]],Main_Issuance[],8,0)</f>
        <v>FIRST FIX</v>
      </c>
      <c r="K1211" s="17" t="str">
        <f>VLOOKUP(Main_Presentation[[#This Row],[LC Number]],Main_Issuance[],9,0)</f>
        <v>RCRC</v>
      </c>
      <c r="L1211" s="17">
        <f>VLOOKUP(Main_Presentation[[#This Row],[LC Number]],Main_Issuance[],10,0)</f>
        <v>1020106</v>
      </c>
      <c r="M1211" s="17" t="str">
        <f>VLOOKUP(Main_Presentation[[#This Row],[LC Number]],Main_Issuance[],11,0)</f>
        <v>SAR</v>
      </c>
      <c r="N1211" s="84">
        <f>VLOOKUP(Main_Presentation[[#This Row],[LC Number]],Main_Issuance[],12,0)</f>
        <v>1112374.18</v>
      </c>
      <c r="O1211" s="16" t="s">
        <v>20</v>
      </c>
      <c r="P1211" s="16" t="s">
        <v>378</v>
      </c>
      <c r="Q1211" s="131">
        <v>119761.29</v>
      </c>
      <c r="R1211" s="18">
        <v>1</v>
      </c>
      <c r="S1211" s="18">
        <f>Main_Presentation[[#This Row],[Invoice Amt (FCY)]]*Main_Presentation[[#This Row],[Rate]]</f>
        <v>119761.29</v>
      </c>
      <c r="T1211" s="15">
        <v>46034</v>
      </c>
      <c r="U1211" s="26" t="str">
        <f>VLOOKUP(Main_Presentation[[#This Row],[LC Number]],Main_Issuance[],18,0)</f>
        <v>90 Days from Invoice Date</v>
      </c>
      <c r="V1211" s="17" t="s">
        <v>613</v>
      </c>
      <c r="W1211" s="22" t="s">
        <v>857</v>
      </c>
      <c r="X1211" s="16"/>
      <c r="Y1211" s="234" t="str">
        <f>TRIM(LEFT(Main_Presentation[[#This Row],[Payment Terms]],3))</f>
        <v>90</v>
      </c>
      <c r="Z1211" s="16"/>
      <c r="AA1211" s="316" cm="1">
        <f t="array" ref="AA1211">Settlement(Main_Presentation[[#This Row],[Bank]],Main_Presentation[[#This Row],[ Invoice Amt (SAR)]],Main_Presentation[[#This Row],[Date Recd]],Main_Presentation[[#This Row],[Due Date]],Main_Presentation[[#This Row],[Days]])</f>
        <v>977.5</v>
      </c>
      <c r="AB1211" s="16"/>
    </row>
    <row r="1212" spans="1:28" ht="15.75" hidden="1" x14ac:dyDescent="0.25">
      <c r="A1212" s="20" t="s">
        <v>1736</v>
      </c>
      <c r="B1212" s="15">
        <v>45931</v>
      </c>
      <c r="C1212" s="26">
        <v>3</v>
      </c>
      <c r="D1212" s="55" t="str">
        <f>VLOOKUP(Main_Presentation[[#This Row],[LC Number]],Main_Issuance[],3,0)</f>
        <v>Tareeq Telmasani</v>
      </c>
      <c r="E1212" s="16" t="s">
        <v>856</v>
      </c>
      <c r="F1212" s="17" t="str">
        <f>VLOOKUP(Main_Presentation[[#This Row],[LC Number]],Main_Issuance[],5,0)</f>
        <v>SAB</v>
      </c>
      <c r="G1212" s="17" t="str">
        <f>VLOOKUP(Main_Presentation[[#This Row],[LC Number]],Main_Issuance[],6,0)</f>
        <v>CEER</v>
      </c>
      <c r="H1212" s="17" t="str">
        <f>VLOOKUP(Main_Presentation[[#This Row],[LC Number]],Main_Issuance[],17,0)</f>
        <v>Credit</v>
      </c>
      <c r="I1212" s="17" t="str">
        <f>VLOOKUP(Main_Presentation[[#This Row],[LC Number]],Main_Issuance[],7,0)</f>
        <v>Electric House Trading Company L.L.C.</v>
      </c>
      <c r="J1212" s="17" t="str">
        <f>VLOOKUP(Main_Presentation[[#This Row],[LC Number]],Main_Issuance[],8,0)</f>
        <v>FIRST FIX</v>
      </c>
      <c r="K1212" s="17" t="str">
        <f>VLOOKUP(Main_Presentation[[#This Row],[LC Number]],Main_Issuance[],9,0)</f>
        <v>CEER</v>
      </c>
      <c r="L1212" s="17">
        <f>VLOOKUP(Main_Presentation[[#This Row],[LC Number]],Main_Issuance[],10,0)</f>
        <v>1020091</v>
      </c>
      <c r="M1212" s="17" t="str">
        <f>VLOOKUP(Main_Presentation[[#This Row],[LC Number]],Main_Issuance[],11,0)</f>
        <v>SAR</v>
      </c>
      <c r="N1212" s="84">
        <f>VLOOKUP(Main_Presentation[[#This Row],[LC Number]],Main_Issuance[],12,0)</f>
        <v>40000000</v>
      </c>
      <c r="O1212" s="16" t="s">
        <v>20</v>
      </c>
      <c r="P1212" s="16" t="s">
        <v>857</v>
      </c>
      <c r="Q1212" s="131">
        <v>25000000</v>
      </c>
      <c r="R1212" s="18">
        <v>1</v>
      </c>
      <c r="S1212" s="18">
        <f>Main_Presentation[[#This Row],[Invoice Amt (FCY)]]*Main_Presentation[[#This Row],[Rate]]</f>
        <v>25000000</v>
      </c>
      <c r="T1212" s="15">
        <v>46015</v>
      </c>
      <c r="U1212" s="26" t="str">
        <f>VLOOKUP(Main_Presentation[[#This Row],[LC Number]],Main_Issuance[],18,0)</f>
        <v>90 Days from Appl. Representative Sign</v>
      </c>
      <c r="V1212" s="17" t="s">
        <v>367</v>
      </c>
      <c r="W1212" s="22" t="s">
        <v>857</v>
      </c>
      <c r="X1212" s="16"/>
      <c r="Y1212" s="234" t="str">
        <f>TRIM(LEFT(Main_Presentation[[#This Row],[Payment Terms]],3))</f>
        <v>90</v>
      </c>
      <c r="Z1212" s="16"/>
      <c r="AA1212" s="316" cm="1">
        <f t="array" ref="AA1212">Settlement(Main_Presentation[[#This Row],[Bank]],Main_Presentation[[#This Row],[ Invoice Amt (SAR)]],Main_Presentation[[#This Row],[Date Recd]],Main_Presentation[[#This Row],[Due Date]],Main_Presentation[[#This Row],[Days]])</f>
        <v>107812.5</v>
      </c>
      <c r="AB1212" s="16"/>
    </row>
    <row r="1213" spans="1:28" ht="15.75" hidden="1" x14ac:dyDescent="0.25">
      <c r="A1213" s="20" t="s">
        <v>1569</v>
      </c>
      <c r="B1213" s="15">
        <v>45995</v>
      </c>
      <c r="C1213" s="26">
        <v>3</v>
      </c>
      <c r="D1213" s="55" t="str">
        <f>VLOOKUP(Main_Presentation[[#This Row],[LC Number]],Main_Issuance[],3,0)</f>
        <v>Hassan Taleb</v>
      </c>
      <c r="E1213" s="16" t="s">
        <v>856</v>
      </c>
      <c r="F1213" s="17" t="str">
        <f>VLOOKUP(Main_Presentation[[#This Row],[LC Number]],Main_Issuance[],5,0)</f>
        <v>Jazira</v>
      </c>
      <c r="G1213" s="17" t="str">
        <f>VLOOKUP(Main_Presentation[[#This Row],[LC Number]],Main_Issuance[],6,0)</f>
        <v>RCRC</v>
      </c>
      <c r="H1213" s="17" t="str">
        <f>VLOOKUP(Main_Presentation[[#This Row],[LC Number]],Main_Issuance[],17,0)</f>
        <v>Credit</v>
      </c>
      <c r="I1213" s="17" t="str">
        <f>VLOOKUP(Main_Presentation[[#This Row],[LC Number]],Main_Issuance[],7,0)</f>
        <v>ALFANAR ELECTRICAL SYSTEMS</v>
      </c>
      <c r="J1213" s="17" t="str">
        <f>VLOOKUP(Main_Presentation[[#This Row],[LC Number]],Main_Issuance[],8,0)</f>
        <v>FIRST FIX</v>
      </c>
      <c r="K1213" s="17" t="str">
        <f>VLOOKUP(Main_Presentation[[#This Row],[LC Number]],Main_Issuance[],9,0)</f>
        <v>RCRC</v>
      </c>
      <c r="L1213" s="17">
        <f>VLOOKUP(Main_Presentation[[#This Row],[LC Number]],Main_Issuance[],10,0)</f>
        <v>1020106</v>
      </c>
      <c r="M1213" s="17" t="str">
        <f>VLOOKUP(Main_Presentation[[#This Row],[LC Number]],Main_Issuance[],11,0)</f>
        <v>SAR</v>
      </c>
      <c r="N1213" s="84">
        <f>VLOOKUP(Main_Presentation[[#This Row],[LC Number]],Main_Issuance[],12,0)</f>
        <v>4000010.22</v>
      </c>
      <c r="O1213" s="16" t="s">
        <v>20</v>
      </c>
      <c r="P1213" s="16" t="s">
        <v>378</v>
      </c>
      <c r="Q1213" s="131">
        <v>368005.11</v>
      </c>
      <c r="R1213" s="18">
        <v>1</v>
      </c>
      <c r="S1213" s="18">
        <f>Main_Presentation[[#This Row],[Invoice Amt (FCY)]]*Main_Presentation[[#This Row],[Rate]]</f>
        <v>368005.11</v>
      </c>
      <c r="T1213" s="15">
        <v>46002</v>
      </c>
      <c r="U1213" s="26" t="str">
        <f>VLOOKUP(Main_Presentation[[#This Row],[LC Number]],Main_Issuance[],18,0)</f>
        <v>90 Days from Invoice Date</v>
      </c>
      <c r="V1213" s="17" t="s">
        <v>613</v>
      </c>
      <c r="W1213" s="22" t="s">
        <v>857</v>
      </c>
      <c r="X1213" s="16"/>
      <c r="Y1213" s="234" t="str">
        <f>TRIM(LEFT(Main_Presentation[[#This Row],[Payment Terms]],3))</f>
        <v>90</v>
      </c>
      <c r="Z1213" s="16"/>
      <c r="AA1213" s="316" cm="1">
        <f t="array" ref="AA1213">Settlement(Main_Presentation[[#This Row],[Bank]],Main_Presentation[[#This Row],[ Invoice Amt (SAR)]],Main_Presentation[[#This Row],[Date Recd]],Main_Presentation[[#This Row],[Due Date]],Main_Presentation[[#This Row],[Days]])</f>
        <v>977.5</v>
      </c>
      <c r="AB1213" s="16"/>
    </row>
    <row r="1214" spans="1:28" ht="15.75" hidden="1" x14ac:dyDescent="0.25">
      <c r="A1214" s="20" t="s">
        <v>1673</v>
      </c>
      <c r="B1214" s="15">
        <v>45936</v>
      </c>
      <c r="C1214" s="26">
        <v>1</v>
      </c>
      <c r="D1214" s="55" t="str">
        <f>VLOOKUP(Main_Presentation[[#This Row],[LC Number]],Main_Issuance[],3,0)</f>
        <v>Tareeq Telmasani</v>
      </c>
      <c r="E1214" s="16" t="s">
        <v>858</v>
      </c>
      <c r="F1214" s="17" t="str">
        <f>VLOOKUP(Main_Presentation[[#This Row],[LC Number]],Main_Issuance[],5,0)</f>
        <v>SAB</v>
      </c>
      <c r="G1214" s="17" t="str">
        <f>VLOOKUP(Main_Presentation[[#This Row],[LC Number]],Main_Issuance[],6,0)</f>
        <v>CEER</v>
      </c>
      <c r="H1214" s="17" t="str">
        <f>VLOOKUP(Main_Presentation[[#This Row],[LC Number]],Main_Issuance[],17,0)</f>
        <v>Credit</v>
      </c>
      <c r="I1214" s="17" t="str">
        <f>VLOOKUP(Main_Presentation[[#This Row],[LC Number]],Main_Issuance[],7,0)</f>
        <v>Mab United For Trading &amp; Contracting Co</v>
      </c>
      <c r="J1214" s="17" t="str">
        <f>VLOOKUP(Main_Presentation[[#This Row],[LC Number]],Main_Issuance[],8,0)</f>
        <v>FIRST FIX</v>
      </c>
      <c r="K1214" s="17" t="str">
        <f>VLOOKUP(Main_Presentation[[#This Row],[LC Number]],Main_Issuance[],9,0)</f>
        <v>CEER</v>
      </c>
      <c r="L1214" s="17">
        <f>VLOOKUP(Main_Presentation[[#This Row],[LC Number]],Main_Issuance[],10,0)</f>
        <v>1020091</v>
      </c>
      <c r="M1214" s="17" t="str">
        <f>VLOOKUP(Main_Presentation[[#This Row],[LC Number]],Main_Issuance[],11,0)</f>
        <v>SAR</v>
      </c>
      <c r="N1214" s="84">
        <f>VLOOKUP(Main_Presentation[[#This Row],[LC Number]],Main_Issuance[],12,0)</f>
        <v>850000</v>
      </c>
      <c r="O1214" s="16" t="s">
        <v>20</v>
      </c>
      <c r="P1214" s="16" t="s">
        <v>857</v>
      </c>
      <c r="Q1214" s="131">
        <v>239654.07</v>
      </c>
      <c r="R1214" s="18">
        <v>1</v>
      </c>
      <c r="S1214" s="18">
        <f>Main_Presentation[[#This Row],[Invoice Amt (FCY)]]*Main_Presentation[[#This Row],[Rate]]</f>
        <v>239654.07</v>
      </c>
      <c r="T1214" s="15">
        <v>46047</v>
      </c>
      <c r="U1214" s="26" t="str">
        <f>VLOOKUP(Main_Presentation[[#This Row],[LC Number]],Main_Issuance[],18,0)</f>
        <v>120 Days from Appl. Representative Sign</v>
      </c>
      <c r="V1214" s="17" t="s">
        <v>367</v>
      </c>
      <c r="W1214" s="22" t="s">
        <v>857</v>
      </c>
      <c r="X1214" s="246"/>
      <c r="Y1214" s="234" t="str">
        <f>TRIM(LEFT(Main_Presentation[[#This Row],[Payment Terms]],3))</f>
        <v>120</v>
      </c>
      <c r="Z1214" s="16"/>
      <c r="AA1214" s="316" cm="1">
        <f t="array" ref="AA1214">Settlement(Main_Presentation[[#This Row],[Bank]],Main_Presentation[[#This Row],[ Invoice Amt (SAR)]],Main_Presentation[[#This Row],[Date Recd]],Main_Presentation[[#This Row],[Due Date]],Main_Presentation[[#This Row],[Days]])</f>
        <v>1033.8499999999999</v>
      </c>
      <c r="AB1214" s="16"/>
    </row>
    <row r="1215" spans="1:28" ht="15.75" hidden="1" x14ac:dyDescent="0.25">
      <c r="A1215" s="20" t="s">
        <v>1871</v>
      </c>
      <c r="B1215" s="15">
        <v>45952</v>
      </c>
      <c r="C1215" s="26">
        <v>1</v>
      </c>
      <c r="D1215" s="55" t="str">
        <f>VLOOKUP(Main_Presentation[[#This Row],[LC Number]],Main_Issuance[],3,0)</f>
        <v>Hassan Taleb</v>
      </c>
      <c r="E1215" s="16" t="s">
        <v>856</v>
      </c>
      <c r="F1215" s="17" t="str">
        <f>VLOOKUP(Main_Presentation[[#This Row],[LC Number]],Main_Issuance[],5,0)</f>
        <v>SAB</v>
      </c>
      <c r="G1215" s="17" t="str">
        <f>VLOOKUP(Main_Presentation[[#This Row],[LC Number]],Main_Issuance[],6,0)</f>
        <v>MP1</v>
      </c>
      <c r="H1215" s="17" t="str">
        <f>VLOOKUP(Main_Presentation[[#This Row],[LC Number]],Main_Issuance[],17,0)</f>
        <v>Credit</v>
      </c>
      <c r="I1215" s="17" t="str">
        <f>VLOOKUP(Main_Presentation[[#This Row],[LC Number]],Main_Issuance[],7,0)</f>
        <v>TEN POINTS EST</v>
      </c>
      <c r="J1215" s="17" t="str">
        <f>VLOOKUP(Main_Presentation[[#This Row],[LC Number]],Main_Issuance[],8,0)</f>
        <v>FIRST FIX</v>
      </c>
      <c r="K1215" s="17" t="str">
        <f>VLOOKUP(Main_Presentation[[#This Row],[LC Number]],Main_Issuance[],9,0)</f>
        <v>MP1</v>
      </c>
      <c r="L1215" s="17">
        <f>VLOOKUP(Main_Presentation[[#This Row],[LC Number]],Main_Issuance[],10,0)</f>
        <v>1020088</v>
      </c>
      <c r="M1215" s="17" t="str">
        <f>VLOOKUP(Main_Presentation[[#This Row],[LC Number]],Main_Issuance[],11,0)</f>
        <v>SAR</v>
      </c>
      <c r="N1215" s="84">
        <f>VLOOKUP(Main_Presentation[[#This Row],[LC Number]],Main_Issuance[],12,0)</f>
        <v>500000</v>
      </c>
      <c r="O1215" s="16" t="s">
        <v>20</v>
      </c>
      <c r="P1215" s="16" t="s">
        <v>857</v>
      </c>
      <c r="Q1215" s="131">
        <v>500000</v>
      </c>
      <c r="R1215" s="18">
        <v>1</v>
      </c>
      <c r="S1215" s="18">
        <f>Main_Presentation[[#This Row],[Invoice Amt (FCY)]]*Main_Presentation[[#This Row],[Rate]]</f>
        <v>500000</v>
      </c>
      <c r="T1215" s="15">
        <v>46050</v>
      </c>
      <c r="U1215" s="26" t="str">
        <f>VLOOKUP(Main_Presentation[[#This Row],[LC Number]],Main_Issuance[],18,0)</f>
        <v>120 Days from Invoice Date</v>
      </c>
      <c r="V1215" s="17" t="s">
        <v>710</v>
      </c>
      <c r="W1215" s="22" t="s">
        <v>857</v>
      </c>
      <c r="X1215" s="16"/>
      <c r="Y1215" s="234" t="str">
        <f>TRIM(LEFT(Main_Presentation[[#This Row],[Payment Terms]],3))</f>
        <v>120</v>
      </c>
      <c r="Z1215" s="16"/>
      <c r="AA1215" s="316" cm="1">
        <f t="array" ref="AA1215">Settlement(Main_Presentation[[#This Row],[Bank]],Main_Presentation[[#This Row],[ Invoice Amt (SAR)]],Main_Presentation[[#This Row],[Date Recd]],Main_Presentation[[#This Row],[Due Date]],Main_Presentation[[#This Row],[Days]])</f>
        <v>2156.25</v>
      </c>
      <c r="AB1215" s="16"/>
    </row>
    <row r="1216" spans="1:28" ht="15.75" hidden="1" x14ac:dyDescent="0.25">
      <c r="A1216" s="20" t="s">
        <v>1127</v>
      </c>
      <c r="B1216" s="15">
        <v>45929</v>
      </c>
      <c r="C1216" s="26">
        <v>4</v>
      </c>
      <c r="D1216" s="55" t="str">
        <f>VLOOKUP(Main_Presentation[[#This Row],[LC Number]],Main_Issuance[],3,0)</f>
        <v>Tareeq - Premium</v>
      </c>
      <c r="E1216" s="16" t="s">
        <v>858</v>
      </c>
      <c r="F1216" s="17" t="str">
        <f>VLOOKUP(Main_Presentation[[#This Row],[LC Number]],Main_Issuance[],5,0)</f>
        <v>SAB</v>
      </c>
      <c r="G1216" s="17" t="str">
        <f>VLOOKUP(Main_Presentation[[#This Row],[LC Number]],Main_Issuance[],6,0)</f>
        <v>CEER</v>
      </c>
      <c r="H1216" s="17" t="str">
        <f>VLOOKUP(Main_Presentation[[#This Row],[LC Number]],Main_Issuance[],17,0)</f>
        <v>Credit</v>
      </c>
      <c r="I1216" s="17" t="str">
        <f>VLOOKUP(Main_Presentation[[#This Row],[LC Number]],Main_Issuance[],7,0)</f>
        <v>SCHUCO MIDDLE EAST WINDOWS AND FACADE SYSTEMS LLC</v>
      </c>
      <c r="J1216" s="17" t="str">
        <f>VLOOKUP(Main_Presentation[[#This Row],[LC Number]],Main_Issuance[],8,0)</f>
        <v>MBL/Premium</v>
      </c>
      <c r="K1216" s="17" t="str">
        <f>VLOOKUP(Main_Presentation[[#This Row],[LC Number]],Main_Issuance[],9,0)</f>
        <v>CEER</v>
      </c>
      <c r="L1216" s="17">
        <f>VLOOKUP(Main_Presentation[[#This Row],[LC Number]],Main_Issuance[],10,0)</f>
        <v>1020091</v>
      </c>
      <c r="M1216" s="17" t="str">
        <f>VLOOKUP(Main_Presentation[[#This Row],[LC Number]],Main_Issuance[],11,0)</f>
        <v>AED</v>
      </c>
      <c r="N1216" s="84">
        <f>VLOOKUP(Main_Presentation[[#This Row],[LC Number]],Main_Issuance[],12,0)</f>
        <v>4750000</v>
      </c>
      <c r="O1216" s="16" t="s">
        <v>20</v>
      </c>
      <c r="P1216" s="16" t="s">
        <v>857</v>
      </c>
      <c r="Q1216" s="131">
        <v>309771.8</v>
      </c>
      <c r="R1216" s="18">
        <v>1.0262</v>
      </c>
      <c r="S1216" s="18">
        <f>Main_Presentation[[#This Row],[Invoice Amt (FCY)]]*Main_Presentation[[#This Row],[Rate]]</f>
        <v>317887.82115999999</v>
      </c>
      <c r="T1216" s="15">
        <v>45931</v>
      </c>
      <c r="U1216" s="26" t="str">
        <f>VLOOKUP(Main_Presentation[[#This Row],[LC Number]],Main_Issuance[],18,0)</f>
        <v>60 Days from Invoice Date</v>
      </c>
      <c r="V1216" s="17" t="s">
        <v>367</v>
      </c>
      <c r="W1216" s="22" t="s">
        <v>857</v>
      </c>
      <c r="X1216" s="16"/>
      <c r="Y1216" s="234" t="str">
        <f>TRIM(LEFT(Main_Presentation[[#This Row],[Payment Terms]],3))</f>
        <v>60</v>
      </c>
      <c r="Z1216" s="16"/>
      <c r="AA1216" s="316" cm="1">
        <f t="array" ref="AA1216">Settlement(Main_Presentation[[#This Row],[Bank]],Main_Presentation[[#This Row],[ Invoice Amt (SAR)]],Main_Presentation[[#This Row],[Date Recd]],Main_Presentation[[#This Row],[Due Date]],Main_Presentation[[#This Row],[Days]])</f>
        <v>1370.8</v>
      </c>
      <c r="AB1216" s="16"/>
    </row>
    <row r="1217" spans="1:28" ht="15.75" hidden="1" x14ac:dyDescent="0.25">
      <c r="A1217" s="20" t="s">
        <v>1748</v>
      </c>
      <c r="B1217" s="15">
        <v>45929</v>
      </c>
      <c r="C1217" s="26">
        <v>1</v>
      </c>
      <c r="D1217" s="55" t="str">
        <f>VLOOKUP(Main_Presentation[[#This Row],[LC Number]],Main_Issuance[],3,0)</f>
        <v>Muhammed Khan</v>
      </c>
      <c r="E1217" s="16" t="s">
        <v>856</v>
      </c>
      <c r="F1217" s="17" t="str">
        <f>VLOOKUP(Main_Presentation[[#This Row],[LC Number]],Main_Issuance[],5,0)</f>
        <v>Riyad</v>
      </c>
      <c r="G1217" s="17" t="str">
        <f>VLOOKUP(Main_Presentation[[#This Row],[LC Number]],Main_Issuance[],6,0)</f>
        <v>Cash</v>
      </c>
      <c r="H1217" s="17" t="str">
        <f>VLOOKUP(Main_Presentation[[#This Row],[LC Number]],Main_Issuance[],17,0)</f>
        <v>Cash</v>
      </c>
      <c r="I1217" s="17" t="str">
        <f>VLOOKUP(Main_Presentation[[#This Row],[LC Number]],Main_Issuance[],7,0)</f>
        <v>European World Trading Co.</v>
      </c>
      <c r="J1217" s="17" t="str">
        <f>VLOOKUP(Main_Presentation[[#This Row],[LC Number]],Main_Issuance[],8,0)</f>
        <v>IFAS</v>
      </c>
      <c r="K1217" s="17" t="str">
        <f>VLOOKUP(Main_Presentation[[#This Row],[LC Number]],Main_Issuance[],9,0)</f>
        <v>IFAS - Various Projects</v>
      </c>
      <c r="L1217" s="17">
        <f>VLOOKUP(Main_Presentation[[#This Row],[LC Number]],Main_Issuance[],10,0)</f>
        <v>0</v>
      </c>
      <c r="M1217" s="17" t="str">
        <f>VLOOKUP(Main_Presentation[[#This Row],[LC Number]],Main_Issuance[],11,0)</f>
        <v>SAR</v>
      </c>
      <c r="N1217" s="84">
        <f>VLOOKUP(Main_Presentation[[#This Row],[LC Number]],Main_Issuance[],12,0)</f>
        <v>425000</v>
      </c>
      <c r="O1217" s="16" t="s">
        <v>20</v>
      </c>
      <c r="P1217" s="16" t="s">
        <v>857</v>
      </c>
      <c r="Q1217" s="131">
        <v>425000</v>
      </c>
      <c r="R1217" s="18">
        <v>1</v>
      </c>
      <c r="S1217" s="18">
        <f>Main_Presentation[[#This Row],[Invoice Amt (FCY)]]*Main_Presentation[[#This Row],[Rate]]</f>
        <v>425000</v>
      </c>
      <c r="T1217" s="15">
        <v>45930</v>
      </c>
      <c r="U1217" s="26" t="str">
        <f>VLOOKUP(Main_Presentation[[#This Row],[LC Number]],Main_Issuance[],18,0)</f>
        <v>Sight</v>
      </c>
      <c r="V1217" s="17" t="s">
        <v>70</v>
      </c>
      <c r="W1217" s="22" t="s">
        <v>857</v>
      </c>
      <c r="X1217" s="16"/>
      <c r="Y1217" s="234" t="str">
        <f>TRIM(LEFT(Main_Presentation[[#This Row],[Payment Terms]],3))</f>
        <v>Sig</v>
      </c>
      <c r="Z1217" s="16"/>
      <c r="AA1217" s="316" t="e" cm="1">
        <f t="array" ref="AA1217">Settlement(Main_Presentation[[#This Row],[Bank]],Main_Presentation[[#This Row],[ Invoice Amt (SAR)]],Main_Presentation[[#This Row],[Date Recd]],Main_Presentation[[#This Row],[Due Date]],Main_Presentation[[#This Row],[Days]])</f>
        <v>#VALUE!</v>
      </c>
      <c r="AB1217" s="16"/>
    </row>
    <row r="1218" spans="1:28" ht="15.75" hidden="1" x14ac:dyDescent="0.25">
      <c r="A1218" s="20" t="s">
        <v>1747</v>
      </c>
      <c r="B1218" s="15">
        <v>45929</v>
      </c>
      <c r="C1218" s="26">
        <v>1</v>
      </c>
      <c r="D1218" s="55" t="str">
        <f>VLOOKUP(Main_Presentation[[#This Row],[LC Number]],Main_Issuance[],3,0)</f>
        <v>Muhammed Khan</v>
      </c>
      <c r="E1218" s="16" t="s">
        <v>856</v>
      </c>
      <c r="F1218" s="17" t="str">
        <f>VLOOKUP(Main_Presentation[[#This Row],[LC Number]],Main_Issuance[],5,0)</f>
        <v>Riyad</v>
      </c>
      <c r="G1218" s="17" t="str">
        <f>VLOOKUP(Main_Presentation[[#This Row],[LC Number]],Main_Issuance[],6,0)</f>
        <v>Cash</v>
      </c>
      <c r="H1218" s="17" t="str">
        <f>VLOOKUP(Main_Presentation[[#This Row],[LC Number]],Main_Issuance[],17,0)</f>
        <v>Cash</v>
      </c>
      <c r="I1218" s="17" t="str">
        <f>VLOOKUP(Main_Presentation[[#This Row],[LC Number]],Main_Issuance[],7,0)</f>
        <v>Al Qimam Contracting &amp; Trading Est</v>
      </c>
      <c r="J1218" s="17" t="str">
        <f>VLOOKUP(Main_Presentation[[#This Row],[LC Number]],Main_Issuance[],8,0)</f>
        <v>IFAS</v>
      </c>
      <c r="K1218" s="17" t="str">
        <f>VLOOKUP(Main_Presentation[[#This Row],[LC Number]],Main_Issuance[],9,0)</f>
        <v>IFAS - Various Projects</v>
      </c>
      <c r="L1218" s="17">
        <f>VLOOKUP(Main_Presentation[[#This Row],[LC Number]],Main_Issuance[],10,0)</f>
        <v>0</v>
      </c>
      <c r="M1218" s="17" t="str">
        <f>VLOOKUP(Main_Presentation[[#This Row],[LC Number]],Main_Issuance[],11,0)</f>
        <v>SAR</v>
      </c>
      <c r="N1218" s="84">
        <f>VLOOKUP(Main_Presentation[[#This Row],[LC Number]],Main_Issuance[],12,0)</f>
        <v>500575.54</v>
      </c>
      <c r="O1218" s="16" t="s">
        <v>20</v>
      </c>
      <c r="P1218" s="16" t="s">
        <v>857</v>
      </c>
      <c r="Q1218" s="131">
        <v>500575.54</v>
      </c>
      <c r="R1218" s="18">
        <v>1</v>
      </c>
      <c r="S1218" s="18">
        <f>Main_Presentation[[#This Row],[Invoice Amt (FCY)]]*Main_Presentation[[#This Row],[Rate]]</f>
        <v>500575.54</v>
      </c>
      <c r="T1218" s="15">
        <v>45930</v>
      </c>
      <c r="U1218" s="26" t="str">
        <f>VLOOKUP(Main_Presentation[[#This Row],[LC Number]],Main_Issuance[],18,0)</f>
        <v>Sight</v>
      </c>
      <c r="V1218" s="17" t="s">
        <v>70</v>
      </c>
      <c r="W1218" s="22" t="s">
        <v>857</v>
      </c>
      <c r="X1218" s="16"/>
      <c r="Y1218" s="234" t="str">
        <f>TRIM(LEFT(Main_Presentation[[#This Row],[Payment Terms]],3))</f>
        <v>Sig</v>
      </c>
      <c r="Z1218" s="16"/>
      <c r="AA1218" s="316" t="e" cm="1">
        <f t="array" ref="AA1218">Settlement(Main_Presentation[[#This Row],[Bank]],Main_Presentation[[#This Row],[ Invoice Amt (SAR)]],Main_Presentation[[#This Row],[Date Recd]],Main_Presentation[[#This Row],[Due Date]],Main_Presentation[[#This Row],[Days]])</f>
        <v>#VALUE!</v>
      </c>
      <c r="AB1218" s="16"/>
    </row>
    <row r="1219" spans="1:28" ht="15.75" hidden="1" x14ac:dyDescent="0.25">
      <c r="A1219" s="226" t="s">
        <v>1810</v>
      </c>
      <c r="B1219" s="15">
        <v>45942</v>
      </c>
      <c r="C1219" s="26">
        <v>2</v>
      </c>
      <c r="D1219" s="55" t="str">
        <f>VLOOKUP(Main_Presentation[[#This Row],[LC Number]],Main_Issuance[],3,0)</f>
        <v>AbdulAziz Eraiba Fawzi</v>
      </c>
      <c r="E1219" s="16" t="s">
        <v>856</v>
      </c>
      <c r="F1219" s="17" t="str">
        <f>VLOOKUP(Main_Presentation[[#This Row],[LC Number]],Main_Issuance[],5,0)</f>
        <v>Jazira</v>
      </c>
      <c r="G1219" s="17" t="str">
        <f>VLOOKUP(Main_Presentation[[#This Row],[LC Number]],Main_Issuance[],6,0)</f>
        <v>RCRC</v>
      </c>
      <c r="H1219" s="17" t="str">
        <f>VLOOKUP(Main_Presentation[[#This Row],[LC Number]],Main_Issuance[],17,0)</f>
        <v>Credit</v>
      </c>
      <c r="I1219" s="17" t="str">
        <f>VLOOKUP(Main_Presentation[[#This Row],[LC Number]],Main_Issuance[],7,0)</f>
        <v>AL FALWA CO. LTD. FOR READYMIX CONCRETE</v>
      </c>
      <c r="J1219" s="17" t="str">
        <f>VLOOKUP(Main_Presentation[[#This Row],[LC Number]],Main_Issuance[],8,0)</f>
        <v>MBL</v>
      </c>
      <c r="K1219" s="17" t="str">
        <f>VLOOKUP(Main_Presentation[[#This Row],[LC Number]],Main_Issuance[],9,0)</f>
        <v>RCRC</v>
      </c>
      <c r="L1219" s="17">
        <f>VLOOKUP(Main_Presentation[[#This Row],[LC Number]],Main_Issuance[],10,0)</f>
        <v>1020106</v>
      </c>
      <c r="M1219" s="17" t="str">
        <f>VLOOKUP(Main_Presentation[[#This Row],[LC Number]],Main_Issuance[],11,0)</f>
        <v>SAR</v>
      </c>
      <c r="N1219" s="84">
        <f>VLOOKUP(Main_Presentation[[#This Row],[LC Number]],Main_Issuance[],12,0)</f>
        <v>10000000</v>
      </c>
      <c r="O1219" s="16" t="s">
        <v>20</v>
      </c>
      <c r="P1219" s="16" t="s">
        <v>378</v>
      </c>
      <c r="Q1219" s="131">
        <v>403652.3</v>
      </c>
      <c r="R1219" s="18">
        <v>1</v>
      </c>
      <c r="S1219" s="18">
        <f>Main_Presentation[[#This Row],[Invoice Amt (FCY)]]*Main_Presentation[[#This Row],[Rate]]</f>
        <v>403652.3</v>
      </c>
      <c r="T1219" s="15">
        <v>45966</v>
      </c>
      <c r="U1219" s="26" t="str">
        <f>VLOOKUP(Main_Presentation[[#This Row],[LC Number]],Main_Issuance[],18,0)</f>
        <v>60 Days from Invoice Date</v>
      </c>
      <c r="V1219" s="17" t="s">
        <v>377</v>
      </c>
      <c r="W1219" s="22" t="s">
        <v>378</v>
      </c>
      <c r="X1219" s="16"/>
      <c r="Y1219" s="234" t="str">
        <f>TRIM(LEFT(Main_Presentation[[#This Row],[Payment Terms]],3))</f>
        <v>60</v>
      </c>
      <c r="Z1219" s="16"/>
      <c r="AA1219" s="316" cm="1">
        <f t="array" ref="AA1219">Settlement(Main_Presentation[[#This Row],[Bank]],Main_Presentation[[#This Row],[ Invoice Amt (SAR)]],Main_Presentation[[#This Row],[Date Recd]],Main_Presentation[[#This Row],[Due Date]],Main_Presentation[[#This Row],[Days]])</f>
        <v>731.4</v>
      </c>
      <c r="AB1219" s="16"/>
    </row>
    <row r="1220" spans="1:28" ht="15.75" hidden="1" x14ac:dyDescent="0.25">
      <c r="A1220" s="226" t="s">
        <v>736</v>
      </c>
      <c r="B1220" s="15">
        <v>45931</v>
      </c>
      <c r="C1220" s="26">
        <v>4</v>
      </c>
      <c r="D1220" s="55" t="str">
        <f>VLOOKUP(Main_Presentation[[#This Row],[LC Number]],Main_Issuance[],3,0)</f>
        <v>Tareeq Telmasani</v>
      </c>
      <c r="E1220" s="16" t="s">
        <v>858</v>
      </c>
      <c r="F1220" s="17" t="str">
        <f>VLOOKUP(Main_Presentation[[#This Row],[LC Number]],Main_Issuance[],5,0)</f>
        <v>SAB</v>
      </c>
      <c r="G1220" s="17" t="str">
        <f>VLOOKUP(Main_Presentation[[#This Row],[LC Number]],Main_Issuance[],6,0)</f>
        <v>CEER</v>
      </c>
      <c r="H1220" s="17" t="str">
        <f>VLOOKUP(Main_Presentation[[#This Row],[LC Number]],Main_Issuance[],17,0)</f>
        <v>Credit</v>
      </c>
      <c r="I1220" s="17" t="str">
        <f>VLOOKUP(Main_Presentation[[#This Row],[LC Number]],Main_Issuance[],7,0)</f>
        <v>Kingspan Insulated Panels Manufacturing LLC</v>
      </c>
      <c r="J1220" s="17" t="str">
        <f>VLOOKUP(Main_Presentation[[#This Row],[LC Number]],Main_Issuance[],8,0)</f>
        <v>MBL</v>
      </c>
      <c r="K1220" s="17" t="str">
        <f>VLOOKUP(Main_Presentation[[#This Row],[LC Number]],Main_Issuance[],9,0)</f>
        <v>CEER</v>
      </c>
      <c r="L1220" s="17">
        <f>VLOOKUP(Main_Presentation[[#This Row],[LC Number]],Main_Issuance[],10,0)</f>
        <v>1020091</v>
      </c>
      <c r="M1220" s="17" t="str">
        <f>VLOOKUP(Main_Presentation[[#This Row],[LC Number]],Main_Issuance[],11,0)</f>
        <v>SAR</v>
      </c>
      <c r="N1220" s="84">
        <f>VLOOKUP(Main_Presentation[[#This Row],[LC Number]],Main_Issuance[],12,0)</f>
        <v>11632450.5</v>
      </c>
      <c r="O1220" s="16" t="s">
        <v>20</v>
      </c>
      <c r="P1220" s="16" t="s">
        <v>857</v>
      </c>
      <c r="Q1220" s="131">
        <v>3095923</v>
      </c>
      <c r="R1220" s="18">
        <v>1</v>
      </c>
      <c r="S1220" s="18">
        <f>Main_Presentation[[#This Row],[Invoice Amt (FCY)]]*Main_Presentation[[#This Row],[Rate]]</f>
        <v>3095923</v>
      </c>
      <c r="T1220" s="15">
        <v>46049</v>
      </c>
      <c r="U1220" s="26" t="str">
        <f>VLOOKUP(Main_Presentation[[#This Row],[LC Number]],Main_Issuance[],18,0)</f>
        <v>180 Days from Invoice Date</v>
      </c>
      <c r="V1220" s="17" t="s">
        <v>367</v>
      </c>
      <c r="W1220" s="22" t="s">
        <v>857</v>
      </c>
      <c r="X1220" s="16"/>
      <c r="Y1220" s="234" t="str">
        <f>TRIM(LEFT(Main_Presentation[[#This Row],[Payment Terms]],3))</f>
        <v>180</v>
      </c>
      <c r="Z1220" s="16"/>
      <c r="AA1220" s="316" cm="1">
        <f t="array" ref="AA1220">Settlement(Main_Presentation[[#This Row],[Bank]],Main_Presentation[[#This Row],[ Invoice Amt (SAR)]],Main_Presentation[[#This Row],[Date Recd]],Main_Presentation[[#This Row],[Due Date]],Main_Presentation[[#This Row],[Days]])</f>
        <v>13351.5</v>
      </c>
      <c r="AB1220" s="16"/>
    </row>
    <row r="1221" spans="1:28" ht="15.75" hidden="1" x14ac:dyDescent="0.25">
      <c r="A1221" s="226" t="s">
        <v>1229</v>
      </c>
      <c r="B1221" s="15">
        <v>45931</v>
      </c>
      <c r="C1221" s="26">
        <v>6</v>
      </c>
      <c r="D1221" s="55" t="str">
        <f>VLOOKUP(Main_Presentation[[#This Row],[LC Number]],Main_Issuance[],3,0)</f>
        <v>Tareeq - Premium</v>
      </c>
      <c r="E1221" s="16" t="s">
        <v>856</v>
      </c>
      <c r="F1221" s="17" t="str">
        <f>VLOOKUP(Main_Presentation[[#This Row],[LC Number]],Main_Issuance[],5,0)</f>
        <v>SAB</v>
      </c>
      <c r="G1221" s="17" t="str">
        <f>VLOOKUP(Main_Presentation[[#This Row],[LC Number]],Main_Issuance[],6,0)</f>
        <v>CEER</v>
      </c>
      <c r="H1221" s="17" t="str">
        <f>VLOOKUP(Main_Presentation[[#This Row],[LC Number]],Main_Issuance[],17,0)</f>
        <v>Credit</v>
      </c>
      <c r="I1221" s="17" t="str">
        <f>VLOOKUP(Main_Presentation[[#This Row],[LC Number]],Main_Issuance[],7,0)</f>
        <v>VENTLINE AIR CONDITIONING REQUISITES MANUFACTURING LLC</v>
      </c>
      <c r="J1221" s="17" t="str">
        <f>VLOOKUP(Main_Presentation[[#This Row],[LC Number]],Main_Issuance[],8,0)</f>
        <v>MBL/Premium</v>
      </c>
      <c r="K1221" s="17" t="str">
        <f>VLOOKUP(Main_Presentation[[#This Row],[LC Number]],Main_Issuance[],9,0)</f>
        <v>CEER</v>
      </c>
      <c r="L1221" s="17">
        <f>VLOOKUP(Main_Presentation[[#This Row],[LC Number]],Main_Issuance[],10,0)</f>
        <v>1020091</v>
      </c>
      <c r="M1221" s="17" t="str">
        <f>VLOOKUP(Main_Presentation[[#This Row],[LC Number]],Main_Issuance[],11,0)</f>
        <v>AED</v>
      </c>
      <c r="N1221" s="84">
        <f>VLOOKUP(Main_Presentation[[#This Row],[LC Number]],Main_Issuance[],12,0)</f>
        <v>6500000</v>
      </c>
      <c r="O1221" s="16" t="s">
        <v>20</v>
      </c>
      <c r="P1221" s="16" t="s">
        <v>857</v>
      </c>
      <c r="Q1221" s="131">
        <v>760000</v>
      </c>
      <c r="R1221" s="18">
        <v>1.026</v>
      </c>
      <c r="S1221" s="18">
        <f>Main_Presentation[[#This Row],[Invoice Amt (FCY)]]*Main_Presentation[[#This Row],[Rate]]</f>
        <v>779760</v>
      </c>
      <c r="T1221" s="15">
        <v>45932</v>
      </c>
      <c r="U1221" s="26" t="str">
        <f>VLOOKUP(Main_Presentation[[#This Row],[LC Number]],Main_Issuance[],18,0)</f>
        <v>Sight</v>
      </c>
      <c r="V1221" s="17" t="s">
        <v>367</v>
      </c>
      <c r="W1221" s="22" t="s">
        <v>857</v>
      </c>
      <c r="X1221" s="16"/>
      <c r="Y1221" s="234" t="str">
        <f>TRIM(LEFT(Main_Presentation[[#This Row],[Payment Terms]],3))</f>
        <v>Sig</v>
      </c>
      <c r="Z1221" s="16"/>
      <c r="AA1221" s="316" t="e" cm="1">
        <f t="array" ref="AA1221">Settlement(Main_Presentation[[#This Row],[Bank]],Main_Presentation[[#This Row],[ Invoice Amt (SAR)]],Main_Presentation[[#This Row],[Date Recd]],Main_Presentation[[#This Row],[Due Date]],Main_Presentation[[#This Row],[Days]])</f>
        <v>#VALUE!</v>
      </c>
      <c r="AB1221" s="16"/>
    </row>
    <row r="1222" spans="1:28" ht="15.75" hidden="1" x14ac:dyDescent="0.25">
      <c r="A1222" s="226" t="s">
        <v>1129</v>
      </c>
      <c r="B1222" s="15">
        <v>45931</v>
      </c>
      <c r="C1222" s="26">
        <v>4</v>
      </c>
      <c r="D1222" s="55" t="str">
        <f>VLOOKUP(Main_Presentation[[#This Row],[LC Number]],Main_Issuance[],3,0)</f>
        <v>Tareeq - Premium</v>
      </c>
      <c r="E1222" s="16" t="s">
        <v>858</v>
      </c>
      <c r="F1222" s="17" t="str">
        <f>VLOOKUP(Main_Presentation[[#This Row],[LC Number]],Main_Issuance[],5,0)</f>
        <v>SAB</v>
      </c>
      <c r="G1222" s="17" t="str">
        <f>VLOOKUP(Main_Presentation[[#This Row],[LC Number]],Main_Issuance[],6,0)</f>
        <v>CEER</v>
      </c>
      <c r="H1222" s="17" t="str">
        <f>VLOOKUP(Main_Presentation[[#This Row],[LC Number]],Main_Issuance[],17,0)</f>
        <v>Credit</v>
      </c>
      <c r="I1222" s="17" t="str">
        <f>VLOOKUP(Main_Presentation[[#This Row],[LC Number]],Main_Issuance[],7,0)</f>
        <v>ISAM MUAMMED KHAIRI KABBANI GLASS (IKK Glass)</v>
      </c>
      <c r="J1222" s="17" t="str">
        <f>VLOOKUP(Main_Presentation[[#This Row],[LC Number]],Main_Issuance[],8,0)</f>
        <v>MBL/Premium</v>
      </c>
      <c r="K1222" s="17" t="str">
        <f>VLOOKUP(Main_Presentation[[#This Row],[LC Number]],Main_Issuance[],9,0)</f>
        <v>CEER</v>
      </c>
      <c r="L1222" s="17">
        <f>VLOOKUP(Main_Presentation[[#This Row],[LC Number]],Main_Issuance[],10,0)</f>
        <v>1020091</v>
      </c>
      <c r="M1222" s="17" t="str">
        <f>VLOOKUP(Main_Presentation[[#This Row],[LC Number]],Main_Issuance[],11,0)</f>
        <v>SAR</v>
      </c>
      <c r="N1222" s="84">
        <f>VLOOKUP(Main_Presentation[[#This Row],[LC Number]],Main_Issuance[],12,0)</f>
        <v>3500000</v>
      </c>
      <c r="O1222" s="16" t="s">
        <v>20</v>
      </c>
      <c r="P1222" s="16" t="s">
        <v>857</v>
      </c>
      <c r="Q1222" s="131">
        <v>600000</v>
      </c>
      <c r="R1222" s="18">
        <v>1</v>
      </c>
      <c r="S1222" s="18">
        <f>Main_Presentation[[#This Row],[Invoice Amt (FCY)]]*Main_Presentation[[#This Row],[Rate]]</f>
        <v>600000</v>
      </c>
      <c r="T1222" s="15">
        <v>45938</v>
      </c>
      <c r="U1222" s="26" t="str">
        <f>VLOOKUP(Main_Presentation[[#This Row],[LC Number]],Main_Issuance[],18,0)</f>
        <v>30 Days from Invoice Date</v>
      </c>
      <c r="V1222" s="17" t="s">
        <v>367</v>
      </c>
      <c r="W1222" s="22" t="s">
        <v>857</v>
      </c>
      <c r="X1222" s="16"/>
      <c r="Y1222" s="234" t="str">
        <f>TRIM(LEFT(Main_Presentation[[#This Row],[Payment Terms]],3))</f>
        <v>30</v>
      </c>
      <c r="Z1222" s="16"/>
      <c r="AA1222" s="316" cm="1">
        <f t="array" ref="AA1222">Settlement(Main_Presentation[[#This Row],[Bank]],Main_Presentation[[#This Row],[ Invoice Amt (SAR)]],Main_Presentation[[#This Row],[Date Recd]],Main_Presentation[[#This Row],[Due Date]],Main_Presentation[[#This Row],[Days]])</f>
        <v>2587.5</v>
      </c>
      <c r="AB1222" s="16"/>
    </row>
    <row r="1223" spans="1:28" ht="15.75" hidden="1" x14ac:dyDescent="0.25">
      <c r="A1223" s="226" t="s">
        <v>1783</v>
      </c>
      <c r="B1223" s="15">
        <v>45932</v>
      </c>
      <c r="C1223" s="26">
        <v>1</v>
      </c>
      <c r="D1223" s="55" t="str">
        <f>VLOOKUP(Main_Presentation[[#This Row],[LC Number]],Main_Issuance[],3,0)</f>
        <v>Muhammed Khan</v>
      </c>
      <c r="E1223" s="16" t="s">
        <v>856</v>
      </c>
      <c r="F1223" s="17" t="str">
        <f>VLOOKUP(Main_Presentation[[#This Row],[LC Number]],Main_Issuance[],5,0)</f>
        <v>Riyad</v>
      </c>
      <c r="G1223" s="17" t="str">
        <f>VLOOKUP(Main_Presentation[[#This Row],[LC Number]],Main_Issuance[],6,0)</f>
        <v>Cash</v>
      </c>
      <c r="H1223" s="17" t="str">
        <f>VLOOKUP(Main_Presentation[[#This Row],[LC Number]],Main_Issuance[],17,0)</f>
        <v>Cash</v>
      </c>
      <c r="I1223" s="17" t="str">
        <f>VLOOKUP(Main_Presentation[[#This Row],[LC Number]],Main_Issuance[],7,0)</f>
        <v>Abu Dawood Trading Co.</v>
      </c>
      <c r="J1223" s="17" t="str">
        <f>VLOOKUP(Main_Presentation[[#This Row],[LC Number]],Main_Issuance[],8,0)</f>
        <v>IFAS</v>
      </c>
      <c r="K1223" s="17" t="str">
        <f>VLOOKUP(Main_Presentation[[#This Row],[LC Number]],Main_Issuance[],9,0)</f>
        <v>IFAS - Various Projects</v>
      </c>
      <c r="L1223" s="17">
        <f>VLOOKUP(Main_Presentation[[#This Row],[LC Number]],Main_Issuance[],10,0)</f>
        <v>0</v>
      </c>
      <c r="M1223" s="17" t="str">
        <f>VLOOKUP(Main_Presentation[[#This Row],[LC Number]],Main_Issuance[],11,0)</f>
        <v>SAR</v>
      </c>
      <c r="N1223" s="84">
        <f>VLOOKUP(Main_Presentation[[#This Row],[LC Number]],Main_Issuance[],12,0)</f>
        <v>377983</v>
      </c>
      <c r="O1223" s="16" t="s">
        <v>20</v>
      </c>
      <c r="P1223" s="16" t="s">
        <v>857</v>
      </c>
      <c r="Q1223" s="131">
        <v>295901.15999999997</v>
      </c>
      <c r="R1223" s="18">
        <v>1</v>
      </c>
      <c r="S1223" s="18">
        <f>Main_Presentation[[#This Row],[Invoice Amt (FCY)]]*Main_Presentation[[#This Row],[Rate]]</f>
        <v>295901.15999999997</v>
      </c>
      <c r="T1223" s="15">
        <v>45935</v>
      </c>
      <c r="U1223" s="26" t="str">
        <f>VLOOKUP(Main_Presentation[[#This Row],[LC Number]],Main_Issuance[],18,0)</f>
        <v>Sight</v>
      </c>
      <c r="V1223" s="17" t="s">
        <v>70</v>
      </c>
      <c r="W1223" s="22" t="s">
        <v>857</v>
      </c>
      <c r="X1223" s="16"/>
      <c r="Y1223" s="234" t="str">
        <f>TRIM(LEFT(Main_Presentation[[#This Row],[Payment Terms]],3))</f>
        <v>Sig</v>
      </c>
      <c r="Z1223" s="16"/>
      <c r="AA1223" s="316" t="e" cm="1">
        <f t="array" ref="AA1223">Settlement(Main_Presentation[[#This Row],[Bank]],Main_Presentation[[#This Row],[ Invoice Amt (SAR)]],Main_Presentation[[#This Row],[Date Recd]],Main_Presentation[[#This Row],[Due Date]],Main_Presentation[[#This Row],[Days]])</f>
        <v>#VALUE!</v>
      </c>
      <c r="AB1223" s="16"/>
    </row>
    <row r="1224" spans="1:28" ht="15.75" hidden="1" x14ac:dyDescent="0.25">
      <c r="A1224" s="226" t="s">
        <v>1781</v>
      </c>
      <c r="B1224" s="227">
        <v>45935</v>
      </c>
      <c r="C1224" s="243">
        <v>1</v>
      </c>
      <c r="D1224" s="228" t="str">
        <f>VLOOKUP(Main_Presentation[[#This Row],[LC Number]],Main_Issuance[],3,0)</f>
        <v>Muhammed Khan</v>
      </c>
      <c r="E1224" s="217" t="s">
        <v>856</v>
      </c>
      <c r="F1224" s="244" t="str">
        <f>VLOOKUP(Main_Presentation[[#This Row],[LC Number]],Main_Issuance[],5,0)</f>
        <v>Riyad</v>
      </c>
      <c r="G1224" s="244" t="str">
        <f>VLOOKUP(Main_Presentation[[#This Row],[LC Number]],Main_Issuance[],6,0)</f>
        <v>Cash</v>
      </c>
      <c r="H1224" s="244" t="str">
        <f>VLOOKUP(Main_Presentation[[#This Row],[LC Number]],Main_Issuance[],17,0)</f>
        <v>Cash</v>
      </c>
      <c r="I1224" s="244" t="str">
        <f>VLOOKUP(Main_Presentation[[#This Row],[LC Number]],Main_Issuance[],7,0)</f>
        <v>Mohammed hamad Bin Dakhil EST.For Contracting</v>
      </c>
      <c r="J1224" s="244" t="str">
        <f>VLOOKUP(Main_Presentation[[#This Row],[LC Number]],Main_Issuance[],8,0)</f>
        <v>IFAS</v>
      </c>
      <c r="K1224" s="244" t="str">
        <f>VLOOKUP(Main_Presentation[[#This Row],[LC Number]],Main_Issuance[],9,0)</f>
        <v>IFAS - Various Projects</v>
      </c>
      <c r="L1224" s="244">
        <f>VLOOKUP(Main_Presentation[[#This Row],[LC Number]],Main_Issuance[],10,0)</f>
        <v>0</v>
      </c>
      <c r="M1224" s="244" t="str">
        <f>VLOOKUP(Main_Presentation[[#This Row],[LC Number]],Main_Issuance[],11,0)</f>
        <v>SAR</v>
      </c>
      <c r="N1224" s="245">
        <f>VLOOKUP(Main_Presentation[[#This Row],[LC Number]],Main_Issuance[],12,0)</f>
        <v>355517.15</v>
      </c>
      <c r="O1224" s="217" t="s">
        <v>20</v>
      </c>
      <c r="P1224" s="217" t="s">
        <v>857</v>
      </c>
      <c r="Q1224" s="131">
        <v>355517.15</v>
      </c>
      <c r="R1224" s="218">
        <v>1</v>
      </c>
      <c r="S1224" s="218">
        <f>Main_Presentation[[#This Row],[Invoice Amt (FCY)]]*Main_Presentation[[#This Row],[Rate]]</f>
        <v>355517.15</v>
      </c>
      <c r="T1224" s="227">
        <v>45936</v>
      </c>
      <c r="U1224" s="243" t="str">
        <f>VLOOKUP(Main_Presentation[[#This Row],[LC Number]],Main_Issuance[],18,0)</f>
        <v>Sight</v>
      </c>
      <c r="V1224" s="233" t="s">
        <v>70</v>
      </c>
      <c r="W1224" s="229" t="s">
        <v>857</v>
      </c>
      <c r="X1224" s="217"/>
      <c r="Y1224" s="399" t="str">
        <f>TRIM(LEFT(Main_Presentation[[#This Row],[Payment Terms]],3))</f>
        <v>Sig</v>
      </c>
      <c r="Z1224" s="217"/>
      <c r="AA1224" s="316" t="e" cm="1">
        <f t="array" ref="AA1224">Settlement(Main_Presentation[[#This Row],[Bank]],Main_Presentation[[#This Row],[ Invoice Amt (SAR)]],Main_Presentation[[#This Row],[Date Recd]],Main_Presentation[[#This Row],[Due Date]],Main_Presentation[[#This Row],[Days]])</f>
        <v>#VALUE!</v>
      </c>
      <c r="AB1224" s="217"/>
    </row>
    <row r="1225" spans="1:28" ht="15.75" hidden="1" x14ac:dyDescent="0.25">
      <c r="A1225" s="226" t="s">
        <v>689</v>
      </c>
      <c r="B1225" s="227">
        <v>45936</v>
      </c>
      <c r="C1225" s="243">
        <v>4</v>
      </c>
      <c r="D1225" s="228" t="str">
        <f>VLOOKUP(Main_Presentation[[#This Row],[LC Number]],Main_Issuance[],3,0)</f>
        <v>Tareeq Telmasani</v>
      </c>
      <c r="E1225" s="217" t="s">
        <v>858</v>
      </c>
      <c r="F1225" s="244" t="str">
        <f>VLOOKUP(Main_Presentation[[#This Row],[LC Number]],Main_Issuance[],5,0)</f>
        <v>SAB</v>
      </c>
      <c r="G1225" s="244" t="str">
        <f>VLOOKUP(Main_Presentation[[#This Row],[LC Number]],Main_Issuance[],6,0)</f>
        <v>CEER</v>
      </c>
      <c r="H1225" s="244" t="str">
        <f>VLOOKUP(Main_Presentation[[#This Row],[LC Number]],Main_Issuance[],17,0)</f>
        <v>Credit</v>
      </c>
      <c r="I1225" s="244" t="str">
        <f>VLOOKUP(Main_Presentation[[#This Row],[LC Number]],Main_Issuance[],7,0)</f>
        <v>Arnon Plastic Industries Co Ltd</v>
      </c>
      <c r="J1225" s="244" t="str">
        <f>VLOOKUP(Main_Presentation[[#This Row],[LC Number]],Main_Issuance[],8,0)</f>
        <v>MBL</v>
      </c>
      <c r="K1225" s="244" t="str">
        <f>VLOOKUP(Main_Presentation[[#This Row],[LC Number]],Main_Issuance[],9,0)</f>
        <v>CEER</v>
      </c>
      <c r="L1225" s="244">
        <f>VLOOKUP(Main_Presentation[[#This Row],[LC Number]],Main_Issuance[],10,0)</f>
        <v>1020091</v>
      </c>
      <c r="M1225" s="244" t="str">
        <f>VLOOKUP(Main_Presentation[[#This Row],[LC Number]],Main_Issuance[],11,0)</f>
        <v>SAR</v>
      </c>
      <c r="N1225" s="245">
        <f>VLOOKUP(Main_Presentation[[#This Row],[LC Number]],Main_Issuance[],12,0)</f>
        <v>15413737.5</v>
      </c>
      <c r="O1225" s="217" t="s">
        <v>20</v>
      </c>
      <c r="P1225" s="217" t="s">
        <v>857</v>
      </c>
      <c r="Q1225" s="131">
        <v>1364259.37</v>
      </c>
      <c r="R1225" s="218">
        <v>1</v>
      </c>
      <c r="S1225" s="218">
        <f>Main_Presentation[[#This Row],[Invoice Amt (FCY)]]*Main_Presentation[[#This Row],[Rate]]</f>
        <v>1364259.37</v>
      </c>
      <c r="T1225" s="227">
        <v>45980</v>
      </c>
      <c r="U1225" s="243" t="str">
        <f>VLOOKUP(Main_Presentation[[#This Row],[LC Number]],Main_Issuance[],18,0)</f>
        <v>90 Days from Invoice Date</v>
      </c>
      <c r="V1225" s="233" t="s">
        <v>367</v>
      </c>
      <c r="W1225" s="229" t="s">
        <v>857</v>
      </c>
      <c r="X1225" s="246"/>
      <c r="Y1225" s="399" t="str">
        <f>TRIM(LEFT(Main_Presentation[[#This Row],[Payment Terms]],3))</f>
        <v>90</v>
      </c>
      <c r="Z1225" s="217"/>
      <c r="AA1225" s="316" cm="1">
        <f t="array" ref="AA1225">Settlement(Main_Presentation[[#This Row],[Bank]],Main_Presentation[[#This Row],[ Invoice Amt (SAR)]],Main_Presentation[[#This Row],[Date Recd]],Main_Presentation[[#This Row],[Due Date]],Main_Presentation[[#This Row],[Days]])</f>
        <v>5883.4</v>
      </c>
      <c r="AB1225" s="217"/>
    </row>
    <row r="1226" spans="1:28" ht="15.75" hidden="1" x14ac:dyDescent="0.25">
      <c r="A1226" s="226" t="s">
        <v>689</v>
      </c>
      <c r="B1226" s="227">
        <v>45936</v>
      </c>
      <c r="C1226" s="243">
        <v>5</v>
      </c>
      <c r="D1226" s="228" t="str">
        <f>VLOOKUP(Main_Presentation[[#This Row],[LC Number]],Main_Issuance[],3,0)</f>
        <v>Tareeq Telmasani</v>
      </c>
      <c r="E1226" s="217" t="s">
        <v>858</v>
      </c>
      <c r="F1226" s="244" t="str">
        <f>VLOOKUP(Main_Presentation[[#This Row],[LC Number]],Main_Issuance[],5,0)</f>
        <v>SAB</v>
      </c>
      <c r="G1226" s="244" t="str">
        <f>VLOOKUP(Main_Presentation[[#This Row],[LC Number]],Main_Issuance[],6,0)</f>
        <v>CEER</v>
      </c>
      <c r="H1226" s="244" t="str">
        <f>VLOOKUP(Main_Presentation[[#This Row],[LC Number]],Main_Issuance[],17,0)</f>
        <v>Credit</v>
      </c>
      <c r="I1226" s="244" t="str">
        <f>VLOOKUP(Main_Presentation[[#This Row],[LC Number]],Main_Issuance[],7,0)</f>
        <v>Arnon Plastic Industries Co Ltd</v>
      </c>
      <c r="J1226" s="244" t="str">
        <f>VLOOKUP(Main_Presentation[[#This Row],[LC Number]],Main_Issuance[],8,0)</f>
        <v>MBL</v>
      </c>
      <c r="K1226" s="244" t="str">
        <f>VLOOKUP(Main_Presentation[[#This Row],[LC Number]],Main_Issuance[],9,0)</f>
        <v>CEER</v>
      </c>
      <c r="L1226" s="244">
        <f>VLOOKUP(Main_Presentation[[#This Row],[LC Number]],Main_Issuance[],10,0)</f>
        <v>1020091</v>
      </c>
      <c r="M1226" s="244" t="str">
        <f>VLOOKUP(Main_Presentation[[#This Row],[LC Number]],Main_Issuance[],11,0)</f>
        <v>SAR</v>
      </c>
      <c r="N1226" s="245">
        <f>VLOOKUP(Main_Presentation[[#This Row],[LC Number]],Main_Issuance[],12,0)</f>
        <v>15413737.5</v>
      </c>
      <c r="O1226" s="217" t="s">
        <v>20</v>
      </c>
      <c r="P1226" s="217" t="s">
        <v>857</v>
      </c>
      <c r="Q1226" s="131">
        <v>825735.95</v>
      </c>
      <c r="R1226" s="218">
        <v>1</v>
      </c>
      <c r="S1226" s="218">
        <f>Main_Presentation[[#This Row],[Invoice Amt (FCY)]]*Main_Presentation[[#This Row],[Rate]]</f>
        <v>825735.95</v>
      </c>
      <c r="T1226" s="227">
        <v>45991</v>
      </c>
      <c r="U1226" s="243" t="str">
        <f>VLOOKUP(Main_Presentation[[#This Row],[LC Number]],Main_Issuance[],18,0)</f>
        <v>90 Days from Invoice Date</v>
      </c>
      <c r="V1226" s="233" t="s">
        <v>367</v>
      </c>
      <c r="W1226" s="229" t="s">
        <v>857</v>
      </c>
      <c r="X1226" s="246"/>
      <c r="Y1226" s="399" t="str">
        <f>TRIM(LEFT(Main_Presentation[[#This Row],[Payment Terms]],3))</f>
        <v>90</v>
      </c>
      <c r="Z1226" s="217"/>
      <c r="AA1226" s="316" cm="1">
        <f t="array" ref="AA1226">Settlement(Main_Presentation[[#This Row],[Bank]],Main_Presentation[[#This Row],[ Invoice Amt (SAR)]],Main_Presentation[[#This Row],[Date Recd]],Main_Presentation[[#This Row],[Due Date]],Main_Presentation[[#This Row],[Days]])</f>
        <v>3561.55</v>
      </c>
      <c r="AB1226" s="217"/>
    </row>
    <row r="1227" spans="1:28" ht="15.75" hidden="1" x14ac:dyDescent="0.25">
      <c r="A1227" s="226" t="s">
        <v>1851</v>
      </c>
      <c r="B1227" s="227">
        <v>45936</v>
      </c>
      <c r="C1227" s="243">
        <v>1</v>
      </c>
      <c r="D1227" s="228" t="str">
        <f>VLOOKUP(Main_Presentation[[#This Row],[LC Number]],Main_Issuance[],3,0)</f>
        <v>Tareeq - Premium</v>
      </c>
      <c r="E1227" s="217" t="s">
        <v>858</v>
      </c>
      <c r="F1227" s="244" t="str">
        <f>VLOOKUP(Main_Presentation[[#This Row],[LC Number]],Main_Issuance[],5,0)</f>
        <v>SAB</v>
      </c>
      <c r="G1227" s="244" t="str">
        <f>VLOOKUP(Main_Presentation[[#This Row],[LC Number]],Main_Issuance[],6,0)</f>
        <v>CEER</v>
      </c>
      <c r="H1227" s="244" t="str">
        <f>VLOOKUP(Main_Presentation[[#This Row],[LC Number]],Main_Issuance[],17,0)</f>
        <v>Credit</v>
      </c>
      <c r="I1227" s="244" t="str">
        <f>VLOOKUP(Main_Presentation[[#This Row],[LC Number]],Main_Issuance[],7,0)</f>
        <v>Company Alabwab Aldulaya For Contracting</v>
      </c>
      <c r="J1227" s="244" t="str">
        <f>VLOOKUP(Main_Presentation[[#This Row],[LC Number]],Main_Issuance[],8,0)</f>
        <v>MBL/Premium</v>
      </c>
      <c r="K1227" s="244" t="str">
        <f>VLOOKUP(Main_Presentation[[#This Row],[LC Number]],Main_Issuance[],9,0)</f>
        <v>CEER</v>
      </c>
      <c r="L1227" s="244">
        <f>VLOOKUP(Main_Presentation[[#This Row],[LC Number]],Main_Issuance[],10,0)</f>
        <v>1020091</v>
      </c>
      <c r="M1227" s="244" t="str">
        <f>VLOOKUP(Main_Presentation[[#This Row],[LC Number]],Main_Issuance[],11,0)</f>
        <v>SAR</v>
      </c>
      <c r="N1227" s="245">
        <f>VLOOKUP(Main_Presentation[[#This Row],[LC Number]],Main_Issuance[],12,0)</f>
        <v>3000000</v>
      </c>
      <c r="O1227" s="217" t="s">
        <v>20</v>
      </c>
      <c r="P1227" s="217" t="s">
        <v>857</v>
      </c>
      <c r="Q1227" s="131">
        <v>1000000</v>
      </c>
      <c r="R1227" s="218">
        <v>1</v>
      </c>
      <c r="S1227" s="218">
        <f>Main_Presentation[[#This Row],[Invoice Amt (FCY)]]*Main_Presentation[[#This Row],[Rate]]</f>
        <v>1000000</v>
      </c>
      <c r="T1227" s="227">
        <v>45952</v>
      </c>
      <c r="U1227" s="243" t="str">
        <f>VLOOKUP(Main_Presentation[[#This Row],[LC Number]],Main_Issuance[],18,0)</f>
        <v>30 Days from Delivery Note Date</v>
      </c>
      <c r="V1227" s="233" t="s">
        <v>367</v>
      </c>
      <c r="W1227" s="229" t="s">
        <v>857</v>
      </c>
      <c r="X1227" s="246"/>
      <c r="Y1227" s="399" t="str">
        <f>TRIM(LEFT(Main_Presentation[[#This Row],[Payment Terms]],3))</f>
        <v>30</v>
      </c>
      <c r="Z1227" s="217"/>
      <c r="AA1227" s="316" cm="1">
        <f t="array" ref="AA1227">Settlement(Main_Presentation[[#This Row],[Bank]],Main_Presentation[[#This Row],[ Invoice Amt (SAR)]],Main_Presentation[[#This Row],[Date Recd]],Main_Presentation[[#This Row],[Due Date]],Main_Presentation[[#This Row],[Days]])</f>
        <v>4312.5</v>
      </c>
      <c r="AB1227" s="217"/>
    </row>
    <row r="1228" spans="1:28" ht="15.75" hidden="1" x14ac:dyDescent="0.25">
      <c r="A1228" s="226" t="s">
        <v>1530</v>
      </c>
      <c r="B1228" s="227">
        <v>45937</v>
      </c>
      <c r="C1228" s="243">
        <v>2</v>
      </c>
      <c r="D1228" s="228" t="str">
        <f>VLOOKUP(Main_Presentation[[#This Row],[LC Number]],Main_Issuance[],3,0)</f>
        <v>Tareeq - Premium</v>
      </c>
      <c r="E1228" s="217" t="s">
        <v>856</v>
      </c>
      <c r="F1228" s="244" t="str">
        <f>VLOOKUP(Main_Presentation[[#This Row],[LC Number]],Main_Issuance[],5,0)</f>
        <v>SAB</v>
      </c>
      <c r="G1228" s="244" t="str">
        <f>VLOOKUP(Main_Presentation[[#This Row],[LC Number]],Main_Issuance[],6,0)</f>
        <v>CEER</v>
      </c>
      <c r="H1228" s="244" t="str">
        <f>VLOOKUP(Main_Presentation[[#This Row],[LC Number]],Main_Issuance[],17,0)</f>
        <v>Credit</v>
      </c>
      <c r="I1228" s="244" t="str">
        <f>VLOOKUP(Main_Presentation[[#This Row],[LC Number]],Main_Issuance[],7,0)</f>
        <v>Aluminium Products company (ALUPCO)</v>
      </c>
      <c r="J1228" s="244" t="str">
        <f>VLOOKUP(Main_Presentation[[#This Row],[LC Number]],Main_Issuance[],8,0)</f>
        <v>MBL/Premium</v>
      </c>
      <c r="K1228" s="244" t="str">
        <f>VLOOKUP(Main_Presentation[[#This Row],[LC Number]],Main_Issuance[],9,0)</f>
        <v>CEER</v>
      </c>
      <c r="L1228" s="244">
        <f>VLOOKUP(Main_Presentation[[#This Row],[LC Number]],Main_Issuance[],10,0)</f>
        <v>1020091</v>
      </c>
      <c r="M1228" s="244" t="str">
        <f>VLOOKUP(Main_Presentation[[#This Row],[LC Number]],Main_Issuance[],11,0)</f>
        <v>SAR</v>
      </c>
      <c r="N1228" s="245">
        <f>VLOOKUP(Main_Presentation[[#This Row],[LC Number]],Main_Issuance[],12,0)</f>
        <v>2500000</v>
      </c>
      <c r="O1228" s="217" t="s">
        <v>20</v>
      </c>
      <c r="P1228" s="217" t="s">
        <v>857</v>
      </c>
      <c r="Q1228" s="131">
        <v>570425.12</v>
      </c>
      <c r="R1228" s="218">
        <v>1</v>
      </c>
      <c r="S1228" s="218">
        <f>Main_Presentation[[#This Row],[Invoice Amt (FCY)]]*Main_Presentation[[#This Row],[Rate]]</f>
        <v>570425.12</v>
      </c>
      <c r="T1228" s="227">
        <v>46001</v>
      </c>
      <c r="U1228" s="243" t="str">
        <f>VLOOKUP(Main_Presentation[[#This Row],[LC Number]],Main_Issuance[],18,0)</f>
        <v>90 Days from Invoice Date</v>
      </c>
      <c r="V1228" s="233" t="s">
        <v>367</v>
      </c>
      <c r="W1228" s="229" t="s">
        <v>857</v>
      </c>
      <c r="X1228" s="217"/>
      <c r="Y1228" s="399" t="str">
        <f>TRIM(LEFT(Main_Presentation[[#This Row],[Payment Terms]],3))</f>
        <v>90</v>
      </c>
      <c r="Z1228" s="217"/>
      <c r="AA1228" s="316" cm="1">
        <f t="array" ref="AA1228">Settlement(Main_Presentation[[#This Row],[Bank]],Main_Presentation[[#This Row],[ Invoice Amt (SAR)]],Main_Presentation[[#This Row],[Date Recd]],Main_Presentation[[#This Row],[Due Date]],Main_Presentation[[#This Row],[Days]])</f>
        <v>2459.85</v>
      </c>
      <c r="AB1228" s="217"/>
    </row>
    <row r="1229" spans="1:28" ht="15.75" hidden="1" x14ac:dyDescent="0.25">
      <c r="A1229" s="226" t="s">
        <v>689</v>
      </c>
      <c r="B1229" s="227">
        <v>45937</v>
      </c>
      <c r="C1229" s="243">
        <v>6</v>
      </c>
      <c r="D1229" s="228" t="str">
        <f>VLOOKUP(Main_Presentation[[#This Row],[LC Number]],Main_Issuance[],3,0)</f>
        <v>Tareeq Telmasani</v>
      </c>
      <c r="E1229" s="217" t="s">
        <v>858</v>
      </c>
      <c r="F1229" s="244" t="str">
        <f>VLOOKUP(Main_Presentation[[#This Row],[LC Number]],Main_Issuance[],5,0)</f>
        <v>SAB</v>
      </c>
      <c r="G1229" s="244" t="str">
        <f>VLOOKUP(Main_Presentation[[#This Row],[LC Number]],Main_Issuance[],6,0)</f>
        <v>CEER</v>
      </c>
      <c r="H1229" s="244" t="str">
        <f>VLOOKUP(Main_Presentation[[#This Row],[LC Number]],Main_Issuance[],17,0)</f>
        <v>Credit</v>
      </c>
      <c r="I1229" s="244" t="str">
        <f>VLOOKUP(Main_Presentation[[#This Row],[LC Number]],Main_Issuance[],7,0)</f>
        <v>Arnon Plastic Industries Co Ltd</v>
      </c>
      <c r="J1229" s="244" t="str">
        <f>VLOOKUP(Main_Presentation[[#This Row],[LC Number]],Main_Issuance[],8,0)</f>
        <v>MBL</v>
      </c>
      <c r="K1229" s="244" t="str">
        <f>VLOOKUP(Main_Presentation[[#This Row],[LC Number]],Main_Issuance[],9,0)</f>
        <v>CEER</v>
      </c>
      <c r="L1229" s="244">
        <f>VLOOKUP(Main_Presentation[[#This Row],[LC Number]],Main_Issuance[],10,0)</f>
        <v>1020091</v>
      </c>
      <c r="M1229" s="244" t="str">
        <f>VLOOKUP(Main_Presentation[[#This Row],[LC Number]],Main_Issuance[],11,0)</f>
        <v>SAR</v>
      </c>
      <c r="N1229" s="245">
        <f>VLOOKUP(Main_Presentation[[#This Row],[LC Number]],Main_Issuance[],12,0)</f>
        <v>15413737.5</v>
      </c>
      <c r="O1229" s="217" t="s">
        <v>20</v>
      </c>
      <c r="P1229" s="217" t="s">
        <v>857</v>
      </c>
      <c r="Q1229" s="131">
        <v>1367465.33</v>
      </c>
      <c r="R1229" s="218">
        <v>1</v>
      </c>
      <c r="S1229" s="218">
        <f>Main_Presentation[[#This Row],[Invoice Amt (FCY)]]*Main_Presentation[[#This Row],[Rate]]</f>
        <v>1367465.33</v>
      </c>
      <c r="T1229" s="227">
        <v>45959</v>
      </c>
      <c r="U1229" s="243" t="str">
        <f>VLOOKUP(Main_Presentation[[#This Row],[LC Number]],Main_Issuance[],18,0)</f>
        <v>90 Days from Invoice Date</v>
      </c>
      <c r="V1229" s="233" t="s">
        <v>367</v>
      </c>
      <c r="W1229" s="229" t="s">
        <v>857</v>
      </c>
      <c r="X1229" s="217"/>
      <c r="Y1229" s="399" t="str">
        <f>TRIM(LEFT(Main_Presentation[[#This Row],[Payment Terms]],3))</f>
        <v>90</v>
      </c>
      <c r="Z1229" s="217"/>
      <c r="AA1229" s="316" cm="1">
        <f t="array" ref="AA1229">Settlement(Main_Presentation[[#This Row],[Bank]],Main_Presentation[[#This Row],[ Invoice Amt (SAR)]],Main_Presentation[[#This Row],[Date Recd]],Main_Presentation[[#This Row],[Due Date]],Main_Presentation[[#This Row],[Days]])</f>
        <v>5897.2</v>
      </c>
      <c r="AB1229" s="217"/>
    </row>
    <row r="1230" spans="1:28" ht="15.75" hidden="1" x14ac:dyDescent="0.25">
      <c r="A1230" s="226" t="s">
        <v>1674</v>
      </c>
      <c r="B1230" s="227">
        <v>45965</v>
      </c>
      <c r="C1230" s="243">
        <v>2</v>
      </c>
      <c r="D1230" s="228" t="str">
        <f>VLOOKUP(Main_Presentation[[#This Row],[LC Number]],Main_Issuance[],3,0)</f>
        <v>Tareeq Telmasani</v>
      </c>
      <c r="E1230" s="217" t="s">
        <v>858</v>
      </c>
      <c r="F1230" s="244" t="str">
        <f>VLOOKUP(Main_Presentation[[#This Row],[LC Number]],Main_Issuance[],5,0)</f>
        <v>SAB</v>
      </c>
      <c r="G1230" s="244" t="str">
        <f>VLOOKUP(Main_Presentation[[#This Row],[LC Number]],Main_Issuance[],6,0)</f>
        <v>CEER</v>
      </c>
      <c r="H1230" s="244" t="str">
        <f>VLOOKUP(Main_Presentation[[#This Row],[LC Number]],Main_Issuance[],17,0)</f>
        <v>Credit</v>
      </c>
      <c r="I1230" s="244" t="str">
        <f>VLOOKUP(Main_Presentation[[#This Row],[LC Number]],Main_Issuance[],7,0)</f>
        <v>AL-RIYADHA AL-OULA FOR INDUSTRIAL MATERIAL SUPPLY CO.</v>
      </c>
      <c r="J1230" s="244" t="str">
        <f>VLOOKUP(Main_Presentation[[#This Row],[LC Number]],Main_Issuance[],8,0)</f>
        <v>FIRST FIX</v>
      </c>
      <c r="K1230" s="244" t="str">
        <f>VLOOKUP(Main_Presentation[[#This Row],[LC Number]],Main_Issuance[],9,0)</f>
        <v>CEER</v>
      </c>
      <c r="L1230" s="244">
        <f>VLOOKUP(Main_Presentation[[#This Row],[LC Number]],Main_Issuance[],10,0)</f>
        <v>1020091</v>
      </c>
      <c r="M1230" s="244" t="str">
        <f>VLOOKUP(Main_Presentation[[#This Row],[LC Number]],Main_Issuance[],11,0)</f>
        <v>SAR</v>
      </c>
      <c r="N1230" s="245">
        <f>VLOOKUP(Main_Presentation[[#This Row],[LC Number]],Main_Issuance[],12,0)</f>
        <v>1400000</v>
      </c>
      <c r="O1230" s="217" t="s">
        <v>20</v>
      </c>
      <c r="P1230" s="217" t="s">
        <v>857</v>
      </c>
      <c r="Q1230" s="131">
        <v>148419.23000000001</v>
      </c>
      <c r="R1230" s="218">
        <v>1</v>
      </c>
      <c r="S1230" s="218">
        <f>Main_Presentation[[#This Row],[Invoice Amt (FCY)]]*Main_Presentation[[#This Row],[Rate]]</f>
        <v>148419.23000000001</v>
      </c>
      <c r="T1230" s="227">
        <v>46069</v>
      </c>
      <c r="U1230" s="243" t="str">
        <f>VLOOKUP(Main_Presentation[[#This Row],[LC Number]],Main_Issuance[],18,0)</f>
        <v>120 Days from Appl. Representative Sign</v>
      </c>
      <c r="V1230" s="233" t="s">
        <v>367</v>
      </c>
      <c r="W1230" s="229" t="s">
        <v>857</v>
      </c>
      <c r="X1230" s="217"/>
      <c r="Y1230" s="399" t="str">
        <f>TRIM(LEFT(Main_Presentation[[#This Row],[Payment Terms]],3))</f>
        <v>120</v>
      </c>
      <c r="Z1230" s="217"/>
      <c r="AA1230" s="316" cm="1">
        <f t="array" ref="AA1230">Settlement(Main_Presentation[[#This Row],[Bank]],Main_Presentation[[#This Row],[ Invoice Amt (SAR)]],Main_Presentation[[#This Row],[Date Recd]],Main_Presentation[[#This Row],[Due Date]],Main_Presentation[[#This Row],[Days]])</f>
        <v>640.54999999999995</v>
      </c>
      <c r="AB1230" s="217"/>
    </row>
    <row r="1231" spans="1:28" ht="15.75" hidden="1" x14ac:dyDescent="0.25">
      <c r="A1231" s="226" t="s">
        <v>1672</v>
      </c>
      <c r="B1231" s="15">
        <v>45984</v>
      </c>
      <c r="C1231" s="26">
        <v>1</v>
      </c>
      <c r="D1231" s="55" t="str">
        <f>VLOOKUP(Main_Presentation[[#This Row],[LC Number]],Main_Issuance[],3,0)</f>
        <v>Tareeq Telmasani</v>
      </c>
      <c r="E1231" s="16" t="s">
        <v>856</v>
      </c>
      <c r="F1231" s="17" t="str">
        <f>VLOOKUP(Main_Presentation[[#This Row],[LC Number]],Main_Issuance[],5,0)</f>
        <v>SAB</v>
      </c>
      <c r="G1231" s="17" t="str">
        <f>VLOOKUP(Main_Presentation[[#This Row],[LC Number]],Main_Issuance[],6,0)</f>
        <v>CEER</v>
      </c>
      <c r="H1231" s="17" t="str">
        <f>VLOOKUP(Main_Presentation[[#This Row],[LC Number]],Main_Issuance[],17,0)</f>
        <v>Credit</v>
      </c>
      <c r="I1231" s="17" t="str">
        <f>VLOOKUP(Main_Presentation[[#This Row],[LC Number]],Main_Issuance[],7,0)</f>
        <v>Systemair for Electrical Equipment Co.</v>
      </c>
      <c r="J1231" s="17" t="str">
        <f>VLOOKUP(Main_Presentation[[#This Row],[LC Number]],Main_Issuance[],8,0)</f>
        <v>FIRST FIX</v>
      </c>
      <c r="K1231" s="17" t="str">
        <f>VLOOKUP(Main_Presentation[[#This Row],[LC Number]],Main_Issuance[],9,0)</f>
        <v>CEER</v>
      </c>
      <c r="L1231" s="17">
        <f>VLOOKUP(Main_Presentation[[#This Row],[LC Number]],Main_Issuance[],10,0)</f>
        <v>1020091</v>
      </c>
      <c r="M1231" s="17" t="str">
        <f>VLOOKUP(Main_Presentation[[#This Row],[LC Number]],Main_Issuance[],11,0)</f>
        <v>SAR</v>
      </c>
      <c r="N1231" s="84">
        <f>VLOOKUP(Main_Presentation[[#This Row],[LC Number]],Main_Issuance[],12,0)</f>
        <v>120000</v>
      </c>
      <c r="O1231" s="16" t="s">
        <v>20</v>
      </c>
      <c r="P1231" s="16" t="s">
        <v>857</v>
      </c>
      <c r="Q1231" s="131">
        <v>73226.539999999994</v>
      </c>
      <c r="R1231" s="18">
        <v>1</v>
      </c>
      <c r="S1231" s="18">
        <f>Main_Presentation[[#This Row],[Invoice Amt (FCY)]]*Main_Presentation[[#This Row],[Rate]]</f>
        <v>73226.539999999994</v>
      </c>
      <c r="T1231" s="15">
        <v>46057</v>
      </c>
      <c r="U1231" s="26" t="str">
        <f>VLOOKUP(Main_Presentation[[#This Row],[LC Number]],Main_Issuance[],18,0)</f>
        <v>90 Days from Appl. Representative Sign</v>
      </c>
      <c r="V1231" s="249" t="s">
        <v>367</v>
      </c>
      <c r="W1231" s="22" t="s">
        <v>857</v>
      </c>
      <c r="X1231" s="217"/>
      <c r="Y1231" s="234" t="str">
        <f>TRIM(LEFT(Main_Presentation[[#This Row],[Payment Terms]],3))</f>
        <v>90</v>
      </c>
      <c r="Z1231" s="16"/>
      <c r="AA1231" s="316" cm="1">
        <f t="array" ref="AA1231">Settlement(Main_Presentation[[#This Row],[Bank]],Main_Presentation[[#This Row],[ Invoice Amt (SAR)]],Main_Presentation[[#This Row],[Date Recd]],Main_Presentation[[#This Row],[Due Date]],Main_Presentation[[#This Row],[Days]])</f>
        <v>575</v>
      </c>
      <c r="AB1231" s="16"/>
    </row>
    <row r="1232" spans="1:28" ht="15.75" hidden="1" x14ac:dyDescent="0.25">
      <c r="A1232" s="226" t="s">
        <v>1689</v>
      </c>
      <c r="B1232" s="15">
        <v>45959</v>
      </c>
      <c r="C1232" s="26">
        <v>1</v>
      </c>
      <c r="D1232" s="55" t="str">
        <f>VLOOKUP(Main_Presentation[[#This Row],[LC Number]],Main_Issuance[],3,0)</f>
        <v>Tareeq Telmasani</v>
      </c>
      <c r="E1232" s="16" t="s">
        <v>858</v>
      </c>
      <c r="F1232" s="17" t="str">
        <f>VLOOKUP(Main_Presentation[[#This Row],[LC Number]],Main_Issuance[],5,0)</f>
        <v>SAB</v>
      </c>
      <c r="G1232" s="17" t="str">
        <f>VLOOKUP(Main_Presentation[[#This Row],[LC Number]],Main_Issuance[],6,0)</f>
        <v>CEER</v>
      </c>
      <c r="H1232" s="17" t="str">
        <f>VLOOKUP(Main_Presentation[[#This Row],[LC Number]],Main_Issuance[],17,0)</f>
        <v>Credit</v>
      </c>
      <c r="I1232" s="17" t="str">
        <f>VLOOKUP(Main_Presentation[[#This Row],[LC Number]],Main_Issuance[],7,0)</f>
        <v>EVOLVING CONSTELLATION CO. FOR ENERGY</v>
      </c>
      <c r="J1232" s="17" t="str">
        <f>VLOOKUP(Main_Presentation[[#This Row],[LC Number]],Main_Issuance[],8,0)</f>
        <v>FIRST FIX</v>
      </c>
      <c r="K1232" s="17" t="str">
        <f>VLOOKUP(Main_Presentation[[#This Row],[LC Number]],Main_Issuance[],9,0)</f>
        <v>CEER</v>
      </c>
      <c r="L1232" s="17">
        <f>VLOOKUP(Main_Presentation[[#This Row],[LC Number]],Main_Issuance[],10,0)</f>
        <v>1020091</v>
      </c>
      <c r="M1232" s="17" t="str">
        <f>VLOOKUP(Main_Presentation[[#This Row],[LC Number]],Main_Issuance[],11,0)</f>
        <v>SAR</v>
      </c>
      <c r="N1232" s="84">
        <f>VLOOKUP(Main_Presentation[[#This Row],[LC Number]],Main_Issuance[],12,0)</f>
        <v>550000.15</v>
      </c>
      <c r="O1232" s="16" t="s">
        <v>20</v>
      </c>
      <c r="P1232" s="16" t="s">
        <v>857</v>
      </c>
      <c r="Q1232" s="131">
        <v>88221.07</v>
      </c>
      <c r="R1232" s="18">
        <v>1</v>
      </c>
      <c r="S1232" s="18">
        <f>Main_Presentation[[#This Row],[Invoice Amt (FCY)]]*Main_Presentation[[#This Row],[Rate]]</f>
        <v>88221.07</v>
      </c>
      <c r="T1232" s="15">
        <v>46009</v>
      </c>
      <c r="U1232" s="26" t="str">
        <f>VLOOKUP(Main_Presentation[[#This Row],[LC Number]],Main_Issuance[],18,0)</f>
        <v>60 Days from Appl. Representative Sign</v>
      </c>
      <c r="V1232" s="249" t="s">
        <v>367</v>
      </c>
      <c r="W1232" s="22" t="s">
        <v>857</v>
      </c>
      <c r="X1232" s="217"/>
      <c r="Y1232" s="234" t="str">
        <f>TRIM(LEFT(Main_Presentation[[#This Row],[Payment Terms]],3))</f>
        <v>60</v>
      </c>
      <c r="Z1232" s="16"/>
      <c r="AA1232" s="316" cm="1">
        <f t="array" ref="AA1232">Settlement(Main_Presentation[[#This Row],[Bank]],Main_Presentation[[#This Row],[ Invoice Amt (SAR)]],Main_Presentation[[#This Row],[Date Recd]],Main_Presentation[[#This Row],[Due Date]],Main_Presentation[[#This Row],[Days]])</f>
        <v>575</v>
      </c>
      <c r="AB1232" s="16"/>
    </row>
    <row r="1233" spans="1:28" ht="15.75" hidden="1" x14ac:dyDescent="0.25">
      <c r="A1233" s="226" t="s">
        <v>1664</v>
      </c>
      <c r="B1233" s="15">
        <v>45977</v>
      </c>
      <c r="C1233" s="26">
        <v>2</v>
      </c>
      <c r="D1233" s="55" t="str">
        <f>VLOOKUP(Main_Presentation[[#This Row],[LC Number]],Main_Issuance[],3,0)</f>
        <v>Tareeq Telmasani</v>
      </c>
      <c r="E1233" s="16" t="s">
        <v>858</v>
      </c>
      <c r="F1233" s="17" t="str">
        <f>VLOOKUP(Main_Presentation[[#This Row],[LC Number]],Main_Issuance[],5,0)</f>
        <v>SAB</v>
      </c>
      <c r="G1233" s="17" t="str">
        <f>VLOOKUP(Main_Presentation[[#This Row],[LC Number]],Main_Issuance[],6,0)</f>
        <v>CEER</v>
      </c>
      <c r="H1233" s="17" t="str">
        <f>VLOOKUP(Main_Presentation[[#This Row],[LC Number]],Main_Issuance[],17,0)</f>
        <v>Credit</v>
      </c>
      <c r="I1233" s="17" t="str">
        <f>VLOOKUP(Main_Presentation[[#This Row],[LC Number]],Main_Issuance[],7,0)</f>
        <v>AC SOLUTIONS TRADING CO</v>
      </c>
      <c r="J1233" s="17" t="str">
        <f>VLOOKUP(Main_Presentation[[#This Row],[LC Number]],Main_Issuance[],8,0)</f>
        <v>FIRST FIX</v>
      </c>
      <c r="K1233" s="17" t="str">
        <f>VLOOKUP(Main_Presentation[[#This Row],[LC Number]],Main_Issuance[],9,0)</f>
        <v>CEER</v>
      </c>
      <c r="L1233" s="17">
        <f>VLOOKUP(Main_Presentation[[#This Row],[LC Number]],Main_Issuance[],10,0)</f>
        <v>1020091</v>
      </c>
      <c r="M1233" s="17" t="str">
        <f>VLOOKUP(Main_Presentation[[#This Row],[LC Number]],Main_Issuance[],11,0)</f>
        <v>SAR</v>
      </c>
      <c r="N1233" s="84">
        <f>VLOOKUP(Main_Presentation[[#This Row],[LC Number]],Main_Issuance[],12,0)</f>
        <v>1000000</v>
      </c>
      <c r="O1233" s="16" t="s">
        <v>20</v>
      </c>
      <c r="P1233" s="16" t="s">
        <v>857</v>
      </c>
      <c r="Q1233" s="131">
        <v>164946.54999999999</v>
      </c>
      <c r="R1233" s="18">
        <v>1</v>
      </c>
      <c r="S1233" s="18">
        <f>Main_Presentation[[#This Row],[Invoice Amt (FCY)]]*Main_Presentation[[#This Row],[Rate]]</f>
        <v>164946.54999999999</v>
      </c>
      <c r="T1233" s="15">
        <v>46040</v>
      </c>
      <c r="U1233" s="26" t="str">
        <f>VLOOKUP(Main_Presentation[[#This Row],[LC Number]],Main_Issuance[],18,0)</f>
        <v>90 Days from Appl. Representative Sign</v>
      </c>
      <c r="V1233" s="233" t="s">
        <v>367</v>
      </c>
      <c r="W1233" s="22" t="s">
        <v>857</v>
      </c>
      <c r="X1233" s="217"/>
      <c r="Y1233" s="234" t="str">
        <f>TRIM(LEFT(Main_Presentation[[#This Row],[Payment Terms]],3))</f>
        <v>90</v>
      </c>
      <c r="Z1233" s="16"/>
      <c r="AA1233" s="316" cm="1">
        <f t="array" ref="AA1233">Settlement(Main_Presentation[[#This Row],[Bank]],Main_Presentation[[#This Row],[ Invoice Amt (SAR)]],Main_Presentation[[#This Row],[Date Recd]],Main_Presentation[[#This Row],[Due Date]],Main_Presentation[[#This Row],[Days]])</f>
        <v>711.85</v>
      </c>
      <c r="AB1233" s="16"/>
    </row>
    <row r="1234" spans="1:28" ht="15.75" hidden="1" x14ac:dyDescent="0.25">
      <c r="A1234" s="226" t="s">
        <v>1662</v>
      </c>
      <c r="B1234" s="15">
        <v>45957</v>
      </c>
      <c r="C1234" s="26">
        <v>2</v>
      </c>
      <c r="D1234" s="55" t="str">
        <f>VLOOKUP(Main_Presentation[[#This Row],[LC Number]],Main_Issuance[],3,0)</f>
        <v>Tareeq Telmasani</v>
      </c>
      <c r="E1234" s="16" t="s">
        <v>858</v>
      </c>
      <c r="F1234" s="17" t="str">
        <f>VLOOKUP(Main_Presentation[[#This Row],[LC Number]],Main_Issuance[],5,0)</f>
        <v>SAB</v>
      </c>
      <c r="G1234" s="17" t="str">
        <f>VLOOKUP(Main_Presentation[[#This Row],[LC Number]],Main_Issuance[],6,0)</f>
        <v>CEER</v>
      </c>
      <c r="H1234" s="17" t="str">
        <f>VLOOKUP(Main_Presentation[[#This Row],[LC Number]],Main_Issuance[],17,0)</f>
        <v>Credit</v>
      </c>
      <c r="I1234" s="17" t="str">
        <f>VLOOKUP(Main_Presentation[[#This Row],[LC Number]],Main_Issuance[],7,0)</f>
        <v>JAD AL RIYADH Trading Co. Ltd</v>
      </c>
      <c r="J1234" s="17" t="str">
        <f>VLOOKUP(Main_Presentation[[#This Row],[LC Number]],Main_Issuance[],8,0)</f>
        <v>FIRST FIX</v>
      </c>
      <c r="K1234" s="17" t="str">
        <f>VLOOKUP(Main_Presentation[[#This Row],[LC Number]],Main_Issuance[],9,0)</f>
        <v>CEER</v>
      </c>
      <c r="L1234" s="17">
        <f>VLOOKUP(Main_Presentation[[#This Row],[LC Number]],Main_Issuance[],10,0)</f>
        <v>1020091</v>
      </c>
      <c r="M1234" s="17" t="str">
        <f>VLOOKUP(Main_Presentation[[#This Row],[LC Number]],Main_Issuance[],11,0)</f>
        <v>SAR</v>
      </c>
      <c r="N1234" s="84">
        <f>VLOOKUP(Main_Presentation[[#This Row],[LC Number]],Main_Issuance[],12,0)</f>
        <v>1400000</v>
      </c>
      <c r="O1234" s="16" t="s">
        <v>20</v>
      </c>
      <c r="P1234" s="16" t="s">
        <v>857</v>
      </c>
      <c r="Q1234" s="131">
        <v>314788.40000000002</v>
      </c>
      <c r="R1234" s="18">
        <v>1</v>
      </c>
      <c r="S1234" s="18">
        <f>Main_Presentation[[#This Row],[Invoice Amt (FCY)]]*Main_Presentation[[#This Row],[Rate]]</f>
        <v>314788.40000000002</v>
      </c>
      <c r="T1234" s="15">
        <v>46040</v>
      </c>
      <c r="U1234" s="26" t="str">
        <f>VLOOKUP(Main_Presentation[[#This Row],[LC Number]],Main_Issuance[],18,0)</f>
        <v>90 Days from Appl. Representative Sign</v>
      </c>
      <c r="V1234" s="233" t="s">
        <v>367</v>
      </c>
      <c r="W1234" s="22" t="s">
        <v>857</v>
      </c>
      <c r="X1234" s="217"/>
      <c r="Y1234" s="234" t="str">
        <f>TRIM(LEFT(Main_Presentation[[#This Row],[Payment Terms]],3))</f>
        <v>90</v>
      </c>
      <c r="Z1234" s="16"/>
      <c r="AA1234" s="316" cm="1">
        <f t="array" ref="AA1234">Settlement(Main_Presentation[[#This Row],[Bank]],Main_Presentation[[#This Row],[ Invoice Amt (SAR)]],Main_Presentation[[#This Row],[Date Recd]],Main_Presentation[[#This Row],[Due Date]],Main_Presentation[[#This Row],[Days]])</f>
        <v>1357</v>
      </c>
      <c r="AB1234" s="16"/>
    </row>
    <row r="1235" spans="1:28" ht="15.75" hidden="1" x14ac:dyDescent="0.25">
      <c r="A1235" s="226" t="s">
        <v>1857</v>
      </c>
      <c r="B1235" s="227">
        <v>45957</v>
      </c>
      <c r="C1235" s="243">
        <v>1</v>
      </c>
      <c r="D1235" s="228" t="str">
        <f>VLOOKUP(Main_Presentation[[#This Row],[LC Number]],Main_Issuance[],3,0)</f>
        <v>Tareeq Telmasani</v>
      </c>
      <c r="E1235" s="217" t="s">
        <v>856</v>
      </c>
      <c r="F1235" s="244" t="str">
        <f>VLOOKUP(Main_Presentation[[#This Row],[LC Number]],Main_Issuance[],5,0)</f>
        <v>SAB</v>
      </c>
      <c r="G1235" s="244" t="str">
        <f>VLOOKUP(Main_Presentation[[#This Row],[LC Number]],Main_Issuance[],6,0)</f>
        <v>CEER</v>
      </c>
      <c r="H1235" s="244" t="str">
        <f>VLOOKUP(Main_Presentation[[#This Row],[LC Number]],Main_Issuance[],17,0)</f>
        <v>Credit</v>
      </c>
      <c r="I1235" s="244" t="str">
        <f>VLOOKUP(Main_Presentation[[#This Row],[LC Number]],Main_Issuance[],7,0)</f>
        <v>ELECTRIC HOUSE LIMITED COMPANY.</v>
      </c>
      <c r="J1235" s="244" t="str">
        <f>VLOOKUP(Main_Presentation[[#This Row],[LC Number]],Main_Issuance[],8,0)</f>
        <v>FIRST FIX</v>
      </c>
      <c r="K1235" s="244" t="str">
        <f>VLOOKUP(Main_Presentation[[#This Row],[LC Number]],Main_Issuance[],9,0)</f>
        <v>CEER</v>
      </c>
      <c r="L1235" s="244">
        <f>VLOOKUP(Main_Presentation[[#This Row],[LC Number]],Main_Issuance[],10,0)</f>
        <v>1020091</v>
      </c>
      <c r="M1235" s="244" t="str">
        <f>VLOOKUP(Main_Presentation[[#This Row],[LC Number]],Main_Issuance[],11,0)</f>
        <v>SAR</v>
      </c>
      <c r="N1235" s="245">
        <f>VLOOKUP(Main_Presentation[[#This Row],[LC Number]],Main_Issuance[],12,0)</f>
        <v>2000000</v>
      </c>
      <c r="O1235" s="217" t="s">
        <v>20</v>
      </c>
      <c r="P1235" s="217" t="s">
        <v>857</v>
      </c>
      <c r="Q1235" s="131">
        <v>2000000</v>
      </c>
      <c r="R1235" s="218">
        <v>1</v>
      </c>
      <c r="S1235" s="218">
        <f>Main_Presentation[[#This Row],[Invoice Amt (FCY)]]*Main_Presentation[[#This Row],[Rate]]</f>
        <v>2000000</v>
      </c>
      <c r="T1235" s="227">
        <v>46069</v>
      </c>
      <c r="U1235" s="243" t="str">
        <f>VLOOKUP(Main_Presentation[[#This Row],[LC Number]],Main_Issuance[],18,0)</f>
        <v>120 Days from Appl. Representative Sign</v>
      </c>
      <c r="V1235" s="233" t="s">
        <v>367</v>
      </c>
      <c r="W1235" s="229" t="s">
        <v>857</v>
      </c>
      <c r="X1235" s="217"/>
      <c r="Y1235" s="399" t="str">
        <f>TRIM(LEFT(Main_Presentation[[#This Row],[Payment Terms]],3))</f>
        <v>120</v>
      </c>
      <c r="Z1235" s="217"/>
      <c r="AA1235" s="316" cm="1">
        <f t="array" ref="AA1235">Settlement(Main_Presentation[[#This Row],[Bank]],Main_Presentation[[#This Row],[ Invoice Amt (SAR)]],Main_Presentation[[#This Row],[Date Recd]],Main_Presentation[[#This Row],[Due Date]],Main_Presentation[[#This Row],[Days]])</f>
        <v>8625</v>
      </c>
      <c r="AB1235" s="217"/>
    </row>
    <row r="1236" spans="1:28" ht="15.75" hidden="1" x14ac:dyDescent="0.25">
      <c r="A1236" s="226" t="s">
        <v>1447</v>
      </c>
      <c r="B1236" s="15">
        <v>45952</v>
      </c>
      <c r="C1236" s="26">
        <v>3</v>
      </c>
      <c r="D1236" s="55" t="str">
        <f>VLOOKUP(Main_Presentation[[#This Row],[LC Number]],Main_Issuance[],3,0)</f>
        <v>Hassan Taleb</v>
      </c>
      <c r="E1236" s="16" t="s">
        <v>856</v>
      </c>
      <c r="F1236" s="17" t="str">
        <f>VLOOKUP(Main_Presentation[[#This Row],[LC Number]],Main_Issuance[],5,0)</f>
        <v>Jazira</v>
      </c>
      <c r="G1236" s="17" t="str">
        <f>VLOOKUP(Main_Presentation[[#This Row],[LC Number]],Main_Issuance[],6,0)</f>
        <v>RCRC</v>
      </c>
      <c r="H1236" s="17" t="str">
        <f>VLOOKUP(Main_Presentation[[#This Row],[LC Number]],Main_Issuance[],17,0)</f>
        <v>Credit</v>
      </c>
      <c r="I1236" s="17" t="str">
        <f>VLOOKUP(Main_Presentation[[#This Row],[LC Number]],Main_Issuance[],7,0)</f>
        <v>Metal and Glass Trading Co</v>
      </c>
      <c r="J1236" s="17" t="str">
        <f>VLOOKUP(Main_Presentation[[#This Row],[LC Number]],Main_Issuance[],8,0)</f>
        <v>FIRST FIX</v>
      </c>
      <c r="K1236" s="17" t="str">
        <f>VLOOKUP(Main_Presentation[[#This Row],[LC Number]],Main_Issuance[],9,0)</f>
        <v>RCRC</v>
      </c>
      <c r="L1236" s="17">
        <f>VLOOKUP(Main_Presentation[[#This Row],[LC Number]],Main_Issuance[],10,0)</f>
        <v>1020106</v>
      </c>
      <c r="M1236" s="17" t="str">
        <f>VLOOKUP(Main_Presentation[[#This Row],[LC Number]],Main_Issuance[],11,0)</f>
        <v>SAR</v>
      </c>
      <c r="N1236" s="84">
        <f>VLOOKUP(Main_Presentation[[#This Row],[LC Number]],Main_Issuance[],12,0)</f>
        <v>2000097.25</v>
      </c>
      <c r="O1236" s="16" t="s">
        <v>20</v>
      </c>
      <c r="P1236" s="16" t="s">
        <v>378</v>
      </c>
      <c r="Q1236" s="131">
        <v>500000</v>
      </c>
      <c r="R1236" s="18">
        <v>1</v>
      </c>
      <c r="S1236" s="18">
        <f>Main_Presentation[[#This Row],[Invoice Amt (FCY)]]*Main_Presentation[[#This Row],[Rate]]</f>
        <v>500000</v>
      </c>
      <c r="T1236" s="15">
        <v>46015</v>
      </c>
      <c r="U1236" s="26" t="str">
        <f>VLOOKUP(Main_Presentation[[#This Row],[LC Number]],Main_Issuance[],18,0)</f>
        <v>90 Days from Invoice Date</v>
      </c>
      <c r="V1236" s="249" t="s">
        <v>613</v>
      </c>
      <c r="W1236" s="22" t="s">
        <v>857</v>
      </c>
      <c r="X1236" s="217"/>
      <c r="Y1236" s="234" t="str">
        <f>TRIM(LEFT(Main_Presentation[[#This Row],[Payment Terms]],3))</f>
        <v>90</v>
      </c>
      <c r="Z1236" s="16"/>
      <c r="AA1236" s="316" cm="1">
        <f t="array" ref="AA1236">Settlement(Main_Presentation[[#This Row],[Bank]],Main_Presentation[[#This Row],[ Invoice Amt (SAR)]],Main_Presentation[[#This Row],[Date Recd]],Main_Presentation[[#This Row],[Due Date]],Main_Presentation[[#This Row],[Days]])</f>
        <v>1063.75</v>
      </c>
      <c r="AB1236" s="16"/>
    </row>
    <row r="1237" spans="1:28" ht="15.75" hidden="1" x14ac:dyDescent="0.25">
      <c r="A1237" s="226" t="s">
        <v>1395</v>
      </c>
      <c r="B1237" s="15">
        <v>45967</v>
      </c>
      <c r="C1237" s="26">
        <v>1</v>
      </c>
      <c r="D1237" s="55" t="str">
        <f>VLOOKUP(Main_Presentation[[#This Row],[LC Number]],Main_Issuance[],3,0)</f>
        <v>Hassan Taleb</v>
      </c>
      <c r="E1237" s="16" t="s">
        <v>858</v>
      </c>
      <c r="F1237" s="17" t="str">
        <f>VLOOKUP(Main_Presentation[[#This Row],[LC Number]],Main_Issuance[],5,0)</f>
        <v>Jazira</v>
      </c>
      <c r="G1237" s="17" t="str">
        <f>VLOOKUP(Main_Presentation[[#This Row],[LC Number]],Main_Issuance[],6,0)</f>
        <v>RCRC</v>
      </c>
      <c r="H1237" s="17" t="str">
        <f>VLOOKUP(Main_Presentation[[#This Row],[LC Number]],Main_Issuance[],17,0)</f>
        <v>Credit</v>
      </c>
      <c r="I1237" s="17" t="str">
        <f>VLOOKUP(Main_Presentation[[#This Row],[LC Number]],Main_Issuance[],7,0)</f>
        <v xml:space="preserve">VOLTAGE ELEMENTS INDUSTRIAL Co. </v>
      </c>
      <c r="J1237" s="17" t="str">
        <f>VLOOKUP(Main_Presentation[[#This Row],[LC Number]],Main_Issuance[],8,0)</f>
        <v>FIRST FIX</v>
      </c>
      <c r="K1237" s="17" t="str">
        <f>VLOOKUP(Main_Presentation[[#This Row],[LC Number]],Main_Issuance[],9,0)</f>
        <v>RCRC</v>
      </c>
      <c r="L1237" s="17">
        <f>VLOOKUP(Main_Presentation[[#This Row],[LC Number]],Main_Issuance[],10,0)</f>
        <v>1020106</v>
      </c>
      <c r="M1237" s="17" t="str">
        <f>VLOOKUP(Main_Presentation[[#This Row],[LC Number]],Main_Issuance[],11,0)</f>
        <v>SAR</v>
      </c>
      <c r="N1237" s="84">
        <f>VLOOKUP(Main_Presentation[[#This Row],[LC Number]],Main_Issuance[],12,0)</f>
        <v>618700.01</v>
      </c>
      <c r="O1237" s="16" t="s">
        <v>20</v>
      </c>
      <c r="P1237" s="16" t="s">
        <v>378</v>
      </c>
      <c r="Q1237" s="131">
        <v>618700</v>
      </c>
      <c r="R1237" s="18">
        <v>1</v>
      </c>
      <c r="S1237" s="18">
        <f>Main_Presentation[[#This Row],[Invoice Amt (FCY)]]*Main_Presentation[[#This Row],[Rate]]</f>
        <v>618700</v>
      </c>
      <c r="T1237" s="15">
        <v>45991</v>
      </c>
      <c r="U1237" s="26" t="str">
        <f>VLOOKUP(Main_Presentation[[#This Row],[LC Number]],Main_Issuance[],18,0)</f>
        <v>90 Days from Invoice Date</v>
      </c>
      <c r="V1237" s="249" t="s">
        <v>613</v>
      </c>
      <c r="W1237" s="22" t="s">
        <v>857</v>
      </c>
      <c r="X1237" s="217"/>
      <c r="Y1237" s="234" t="str">
        <f>TRIM(LEFT(Main_Presentation[[#This Row],[Payment Terms]],3))</f>
        <v>90</v>
      </c>
      <c r="Z1237" s="16"/>
      <c r="AA1237" s="316" cm="1">
        <f t="array" ref="AA1237">Settlement(Main_Presentation[[#This Row],[Bank]],Main_Presentation[[#This Row],[ Invoice Amt (SAR)]],Main_Presentation[[#This Row],[Date Recd]],Main_Presentation[[#This Row],[Due Date]],Main_Presentation[[#This Row],[Days]])</f>
        <v>938.4</v>
      </c>
      <c r="AB1237" s="16"/>
    </row>
    <row r="1238" spans="1:28" ht="15.75" hidden="1" x14ac:dyDescent="0.25">
      <c r="A1238" s="226" t="s">
        <v>721</v>
      </c>
      <c r="B1238" s="15">
        <v>45953</v>
      </c>
      <c r="C1238" s="26">
        <v>4</v>
      </c>
      <c r="D1238" s="55" t="str">
        <f>VLOOKUP(Main_Presentation[[#This Row],[LC Number]],Main_Issuance[],3,0)</f>
        <v>Hassan Taleb</v>
      </c>
      <c r="E1238" s="16" t="s">
        <v>856</v>
      </c>
      <c r="F1238" s="17" t="str">
        <f>VLOOKUP(Main_Presentation[[#This Row],[LC Number]],Main_Issuance[],5,0)</f>
        <v>Jazira</v>
      </c>
      <c r="G1238" s="17" t="str">
        <f>VLOOKUP(Main_Presentation[[#This Row],[LC Number]],Main_Issuance[],6,0)</f>
        <v>RCRC</v>
      </c>
      <c r="H1238" s="17" t="str">
        <f>VLOOKUP(Main_Presentation[[#This Row],[LC Number]],Main_Issuance[],17,0)</f>
        <v>Credit</v>
      </c>
      <c r="I1238" s="17" t="str">
        <f>VLOOKUP(Main_Presentation[[#This Row],[LC Number]],Main_Issuance[],7,0)</f>
        <v>ALFANAR ELECTRICAL SYSTEMS</v>
      </c>
      <c r="J1238" s="17" t="str">
        <f>VLOOKUP(Main_Presentation[[#This Row],[LC Number]],Main_Issuance[],8,0)</f>
        <v>FIRST FIX</v>
      </c>
      <c r="K1238" s="17" t="str">
        <f>VLOOKUP(Main_Presentation[[#This Row],[LC Number]],Main_Issuance[],9,0)</f>
        <v>RCRC</v>
      </c>
      <c r="L1238" s="17">
        <f>VLOOKUP(Main_Presentation[[#This Row],[LC Number]],Main_Issuance[],10,0)</f>
        <v>1020106</v>
      </c>
      <c r="M1238" s="17" t="str">
        <f>VLOOKUP(Main_Presentation[[#This Row],[LC Number]],Main_Issuance[],11,0)</f>
        <v>SAR</v>
      </c>
      <c r="N1238" s="84">
        <f>VLOOKUP(Main_Presentation[[#This Row],[LC Number]],Main_Issuance[],12,0)</f>
        <v>2827275</v>
      </c>
      <c r="O1238" s="16" t="s">
        <v>20</v>
      </c>
      <c r="P1238" s="16" t="s">
        <v>378</v>
      </c>
      <c r="Q1238" s="131">
        <v>565800</v>
      </c>
      <c r="R1238" s="18">
        <v>1</v>
      </c>
      <c r="S1238" s="18">
        <f>Main_Presentation[[#This Row],[Invoice Amt (FCY)]]*Main_Presentation[[#This Row],[Rate]]</f>
        <v>565800</v>
      </c>
      <c r="T1238" s="15">
        <v>46007</v>
      </c>
      <c r="U1238" s="26" t="str">
        <f>VLOOKUP(Main_Presentation[[#This Row],[LC Number]],Main_Issuance[],18,0)</f>
        <v>90 Days from Invoice Date</v>
      </c>
      <c r="V1238" s="249" t="s">
        <v>613</v>
      </c>
      <c r="W1238" s="22" t="s">
        <v>857</v>
      </c>
      <c r="X1238" s="217"/>
      <c r="Y1238" s="234" t="str">
        <f>TRIM(LEFT(Main_Presentation[[#This Row],[Payment Terms]],3))</f>
        <v>90</v>
      </c>
      <c r="Z1238" s="16"/>
      <c r="AA1238" s="316" cm="1">
        <f t="array" ref="AA1238">Settlement(Main_Presentation[[#This Row],[Bank]],Main_Presentation[[#This Row],[ Invoice Amt (SAR)]],Main_Presentation[[#This Row],[Date Recd]],Main_Presentation[[#This Row],[Due Date]],Main_Presentation[[#This Row],[Days]])</f>
        <v>1158.05</v>
      </c>
      <c r="AB1238" s="16"/>
    </row>
    <row r="1239" spans="1:28" ht="15.75" hidden="1" x14ac:dyDescent="0.25">
      <c r="A1239" s="226" t="s">
        <v>1235</v>
      </c>
      <c r="B1239" s="15">
        <v>45950</v>
      </c>
      <c r="C1239" s="26">
        <v>2</v>
      </c>
      <c r="D1239" s="55" t="str">
        <f>VLOOKUP(Main_Presentation[[#This Row],[LC Number]],Main_Issuance[],3,0)</f>
        <v>Hassan Taleb</v>
      </c>
      <c r="E1239" s="16" t="s">
        <v>856</v>
      </c>
      <c r="F1239" s="17" t="str">
        <f>VLOOKUP(Main_Presentation[[#This Row],[LC Number]],Main_Issuance[],5,0)</f>
        <v>Jazira</v>
      </c>
      <c r="G1239" s="17" t="str">
        <f>VLOOKUP(Main_Presentation[[#This Row],[LC Number]],Main_Issuance[],6,0)</f>
        <v>RCRC</v>
      </c>
      <c r="H1239" s="17" t="str">
        <f>VLOOKUP(Main_Presentation[[#This Row],[LC Number]],Main_Issuance[],17,0)</f>
        <v>Credit</v>
      </c>
      <c r="I1239" s="17" t="str">
        <f>VLOOKUP(Main_Presentation[[#This Row],[LC Number]],Main_Issuance[],7,0)</f>
        <v>MOHAMMED RAMADAN SHAT FACTORY FOR METAL INDUSTRIES</v>
      </c>
      <c r="J1239" s="17" t="str">
        <f>VLOOKUP(Main_Presentation[[#This Row],[LC Number]],Main_Issuance[],8,0)</f>
        <v>FIRST FIX</v>
      </c>
      <c r="K1239" s="17" t="str">
        <f>VLOOKUP(Main_Presentation[[#This Row],[LC Number]],Main_Issuance[],9,0)</f>
        <v>RCRC</v>
      </c>
      <c r="L1239" s="17">
        <f>VLOOKUP(Main_Presentation[[#This Row],[LC Number]],Main_Issuance[],10,0)</f>
        <v>1020106</v>
      </c>
      <c r="M1239" s="17" t="str">
        <f>VLOOKUP(Main_Presentation[[#This Row],[LC Number]],Main_Issuance[],11,0)</f>
        <v>SAR</v>
      </c>
      <c r="N1239" s="84">
        <f>VLOOKUP(Main_Presentation[[#This Row],[LC Number]],Main_Issuance[],12,0)</f>
        <v>284688.25</v>
      </c>
      <c r="O1239" s="16" t="s">
        <v>20</v>
      </c>
      <c r="P1239" s="16" t="s">
        <v>378</v>
      </c>
      <c r="Q1239" s="131">
        <v>130844.12</v>
      </c>
      <c r="R1239" s="18">
        <v>1</v>
      </c>
      <c r="S1239" s="18">
        <f>Main_Presentation[[#This Row],[Invoice Amt (FCY)]]*Main_Presentation[[#This Row],[Rate]]</f>
        <v>130844.12</v>
      </c>
      <c r="T1239" s="15">
        <v>46009</v>
      </c>
      <c r="U1239" s="26" t="str">
        <f>VLOOKUP(Main_Presentation[[#This Row],[LC Number]],Main_Issuance[],18,0)</f>
        <v>90 Days from Invoice Date</v>
      </c>
      <c r="V1239" s="249" t="s">
        <v>613</v>
      </c>
      <c r="W1239" s="22" t="s">
        <v>857</v>
      </c>
      <c r="X1239" s="217"/>
      <c r="Y1239" s="234" t="str">
        <f>TRIM(LEFT(Main_Presentation[[#This Row],[Payment Terms]],3))</f>
        <v>90</v>
      </c>
      <c r="Z1239" s="16"/>
      <c r="AA1239" s="316" cm="1">
        <f t="array" ref="AA1239">Settlement(Main_Presentation[[#This Row],[Bank]],Main_Presentation[[#This Row],[ Invoice Amt (SAR)]],Main_Presentation[[#This Row],[Date Recd]],Main_Presentation[[#This Row],[Due Date]],Main_Presentation[[#This Row],[Days]])</f>
        <v>977.5</v>
      </c>
      <c r="AB1239" s="16"/>
    </row>
    <row r="1240" spans="1:28" ht="15.75" hidden="1" x14ac:dyDescent="0.25">
      <c r="A1240" s="226" t="s">
        <v>1872</v>
      </c>
      <c r="B1240" s="15">
        <v>45964</v>
      </c>
      <c r="C1240" s="26">
        <v>1</v>
      </c>
      <c r="D1240" s="55" t="str">
        <f>VLOOKUP(Main_Presentation[[#This Row],[LC Number]],Main_Issuance[],3,0)</f>
        <v>Hassan Taleb</v>
      </c>
      <c r="E1240" s="16" t="s">
        <v>856</v>
      </c>
      <c r="F1240" s="17" t="str">
        <f>VLOOKUP(Main_Presentation[[#This Row],[LC Number]],Main_Issuance[],5,0)</f>
        <v>SAB</v>
      </c>
      <c r="G1240" s="17" t="str">
        <f>VLOOKUP(Main_Presentation[[#This Row],[LC Number]],Main_Issuance[],6,0)</f>
        <v>MP1</v>
      </c>
      <c r="H1240" s="17" t="str">
        <f>VLOOKUP(Main_Presentation[[#This Row],[LC Number]],Main_Issuance[],17,0)</f>
        <v>Credit</v>
      </c>
      <c r="I1240" s="17" t="str">
        <f>VLOOKUP(Main_Presentation[[#This Row],[LC Number]],Main_Issuance[],7,0)</f>
        <v>Mimar For Construction Tools &amp; Trading Ltd.</v>
      </c>
      <c r="J1240" s="17" t="str">
        <f>VLOOKUP(Main_Presentation[[#This Row],[LC Number]],Main_Issuance[],8,0)</f>
        <v>FIRST FIX</v>
      </c>
      <c r="K1240" s="17" t="str">
        <f>VLOOKUP(Main_Presentation[[#This Row],[LC Number]],Main_Issuance[],9,0)</f>
        <v>MP1</v>
      </c>
      <c r="L1240" s="17">
        <f>VLOOKUP(Main_Presentation[[#This Row],[LC Number]],Main_Issuance[],10,0)</f>
        <v>1020088</v>
      </c>
      <c r="M1240" s="17" t="str">
        <f>VLOOKUP(Main_Presentation[[#This Row],[LC Number]],Main_Issuance[],11,0)</f>
        <v>SAR</v>
      </c>
      <c r="N1240" s="84">
        <f>VLOOKUP(Main_Presentation[[#This Row],[LC Number]],Main_Issuance[],12,0)</f>
        <v>1200000</v>
      </c>
      <c r="O1240" s="16" t="s">
        <v>20</v>
      </c>
      <c r="P1240" s="16" t="s">
        <v>857</v>
      </c>
      <c r="Q1240" s="131">
        <v>906374.06</v>
      </c>
      <c r="R1240" s="18">
        <v>1</v>
      </c>
      <c r="S1240" s="18">
        <f>Main_Presentation[[#This Row],[Invoice Amt (FCY)]]*Main_Presentation[[#This Row],[Rate]]</f>
        <v>906374.06</v>
      </c>
      <c r="T1240" s="15">
        <v>46037</v>
      </c>
      <c r="U1240" s="26" t="str">
        <f>VLOOKUP(Main_Presentation[[#This Row],[LC Number]],Main_Issuance[],18,0)</f>
        <v>120 Days from Invoice Date</v>
      </c>
      <c r="V1240" s="249" t="s">
        <v>710</v>
      </c>
      <c r="W1240" s="22" t="s">
        <v>857</v>
      </c>
      <c r="X1240" s="217"/>
      <c r="Y1240" s="234" t="str">
        <f>TRIM(LEFT(Main_Presentation[[#This Row],[Payment Terms]],3))</f>
        <v>120</v>
      </c>
      <c r="Z1240" s="16"/>
      <c r="AA1240" s="316" cm="1">
        <f t="array" ref="AA1240">Settlement(Main_Presentation[[#This Row],[Bank]],Main_Presentation[[#This Row],[ Invoice Amt (SAR)]],Main_Presentation[[#This Row],[Date Recd]],Main_Presentation[[#This Row],[Due Date]],Main_Presentation[[#This Row],[Days]])</f>
        <v>3908.85</v>
      </c>
      <c r="AB1240" s="16"/>
    </row>
    <row r="1241" spans="1:28" ht="15.75" hidden="1" x14ac:dyDescent="0.25">
      <c r="A1241" s="226" t="s">
        <v>1876</v>
      </c>
      <c r="B1241" s="15">
        <v>45960</v>
      </c>
      <c r="C1241" s="26">
        <v>1</v>
      </c>
      <c r="D1241" s="55" t="str">
        <f>VLOOKUP(Main_Presentation[[#This Row],[LC Number]],Main_Issuance[],3,0)</f>
        <v>Hassan Taleb</v>
      </c>
      <c r="E1241" s="16" t="s">
        <v>856</v>
      </c>
      <c r="F1241" s="17" t="str">
        <f>VLOOKUP(Main_Presentation[[#This Row],[LC Number]],Main_Issuance[],5,0)</f>
        <v>SAB</v>
      </c>
      <c r="G1241" s="17" t="str">
        <f>VLOOKUP(Main_Presentation[[#This Row],[LC Number]],Main_Issuance[],6,0)</f>
        <v>MP1</v>
      </c>
      <c r="H1241" s="17" t="str">
        <f>VLOOKUP(Main_Presentation[[#This Row],[LC Number]],Main_Issuance[],17,0)</f>
        <v>Credit</v>
      </c>
      <c r="I1241" s="17" t="str">
        <f>VLOOKUP(Main_Presentation[[#This Row],[LC Number]],Main_Issuance[],7,0)</f>
        <v>ELSEWEDY CABLES COMPANY LTD.</v>
      </c>
      <c r="J1241" s="17" t="str">
        <f>VLOOKUP(Main_Presentation[[#This Row],[LC Number]],Main_Issuance[],8,0)</f>
        <v>FIRST FIX</v>
      </c>
      <c r="K1241" s="17" t="str">
        <f>VLOOKUP(Main_Presentation[[#This Row],[LC Number]],Main_Issuance[],9,0)</f>
        <v>MP1</v>
      </c>
      <c r="L1241" s="17">
        <f>VLOOKUP(Main_Presentation[[#This Row],[LC Number]],Main_Issuance[],10,0)</f>
        <v>1020088</v>
      </c>
      <c r="M1241" s="17" t="str">
        <f>VLOOKUP(Main_Presentation[[#This Row],[LC Number]],Main_Issuance[],11,0)</f>
        <v>SAR</v>
      </c>
      <c r="N1241" s="84">
        <f>VLOOKUP(Main_Presentation[[#This Row],[LC Number]],Main_Issuance[],12,0)</f>
        <v>5000000</v>
      </c>
      <c r="O1241" s="16" t="s">
        <v>20</v>
      </c>
      <c r="P1241" s="16" t="s">
        <v>857</v>
      </c>
      <c r="Q1241" s="131">
        <v>4182477.33</v>
      </c>
      <c r="R1241" s="18">
        <v>1</v>
      </c>
      <c r="S1241" s="18">
        <f>Main_Presentation[[#This Row],[Invoice Amt (FCY)]]*Main_Presentation[[#This Row],[Rate]]</f>
        <v>4182477.33</v>
      </c>
      <c r="T1241" s="15">
        <v>46044</v>
      </c>
      <c r="U1241" s="26" t="str">
        <f>VLOOKUP(Main_Presentation[[#This Row],[LC Number]],Main_Issuance[],18,0)</f>
        <v>120 Days from Invoice Date</v>
      </c>
      <c r="V1241" s="249" t="s">
        <v>710</v>
      </c>
      <c r="W1241" s="22" t="s">
        <v>857</v>
      </c>
      <c r="X1241" s="217"/>
      <c r="Y1241" s="234" t="str">
        <f>TRIM(LEFT(Main_Presentation[[#This Row],[Payment Terms]],3))</f>
        <v>120</v>
      </c>
      <c r="Z1241" s="16"/>
      <c r="AA1241" s="316" cm="1">
        <f t="array" ref="AA1241">Settlement(Main_Presentation[[#This Row],[Bank]],Main_Presentation[[#This Row],[ Invoice Amt (SAR)]],Main_Presentation[[#This Row],[Date Recd]],Main_Presentation[[#This Row],[Due Date]],Main_Presentation[[#This Row],[Days]])</f>
        <v>18036.599999999999</v>
      </c>
      <c r="AB1241" s="16"/>
    </row>
    <row r="1242" spans="1:28" ht="15.75" hidden="1" x14ac:dyDescent="0.25">
      <c r="A1242" s="226" t="s">
        <v>1597</v>
      </c>
      <c r="B1242" s="15">
        <v>45957</v>
      </c>
      <c r="C1242" s="26">
        <v>1</v>
      </c>
      <c r="D1242" s="55" t="str">
        <f>VLOOKUP(Main_Presentation[[#This Row],[LC Number]],Main_Issuance[],3,0)</f>
        <v>Hassan Taleb</v>
      </c>
      <c r="E1242" s="16" t="s">
        <v>856</v>
      </c>
      <c r="F1242" s="17" t="str">
        <f>VLOOKUP(Main_Presentation[[#This Row],[LC Number]],Main_Issuance[],5,0)</f>
        <v>SAB</v>
      </c>
      <c r="G1242" s="17" t="str">
        <f>VLOOKUP(Main_Presentation[[#This Row],[LC Number]],Main_Issuance[],6,0)</f>
        <v>MP1</v>
      </c>
      <c r="H1242" s="17" t="str">
        <f>VLOOKUP(Main_Presentation[[#This Row],[LC Number]],Main_Issuance[],17,0)</f>
        <v>Credit</v>
      </c>
      <c r="I1242" s="17" t="str">
        <f>VLOOKUP(Main_Presentation[[#This Row],[LC Number]],Main_Issuance[],7,0)</f>
        <v>JOHNSON CONTROLS ARABIA LTD.</v>
      </c>
      <c r="J1242" s="17" t="str">
        <f>VLOOKUP(Main_Presentation[[#This Row],[LC Number]],Main_Issuance[],8,0)</f>
        <v>FIRST FIX</v>
      </c>
      <c r="K1242" s="17" t="str">
        <f>VLOOKUP(Main_Presentation[[#This Row],[LC Number]],Main_Issuance[],9,0)</f>
        <v>MP1</v>
      </c>
      <c r="L1242" s="17">
        <f>VLOOKUP(Main_Presentation[[#This Row],[LC Number]],Main_Issuance[],10,0)</f>
        <v>1020088</v>
      </c>
      <c r="M1242" s="17" t="str">
        <f>VLOOKUP(Main_Presentation[[#This Row],[LC Number]],Main_Issuance[],11,0)</f>
        <v>SAR</v>
      </c>
      <c r="N1242" s="84">
        <f>VLOOKUP(Main_Presentation[[#This Row],[LC Number]],Main_Issuance[],12,0)</f>
        <v>300000</v>
      </c>
      <c r="O1242" s="16" t="s">
        <v>20</v>
      </c>
      <c r="P1242" s="16" t="s">
        <v>857</v>
      </c>
      <c r="Q1242" s="131">
        <v>283333.74</v>
      </c>
      <c r="R1242" s="18">
        <v>1</v>
      </c>
      <c r="S1242" s="18">
        <f>Main_Presentation[[#This Row],[Invoice Amt (FCY)]]*Main_Presentation[[#This Row],[Rate]]</f>
        <v>283333.74</v>
      </c>
      <c r="T1242" s="15">
        <v>46007</v>
      </c>
      <c r="U1242" s="26" t="str">
        <f>VLOOKUP(Main_Presentation[[#This Row],[LC Number]],Main_Issuance[],18,0)</f>
        <v>120 Days from Invoice Date</v>
      </c>
      <c r="V1242" s="249" t="s">
        <v>710</v>
      </c>
      <c r="W1242" s="22" t="s">
        <v>857</v>
      </c>
      <c r="X1242" s="217"/>
      <c r="Y1242" s="234" t="str">
        <f>TRIM(LEFT(Main_Presentation[[#This Row],[Payment Terms]],3))</f>
        <v>120</v>
      </c>
      <c r="Z1242" s="16"/>
      <c r="AA1242" s="316" cm="1">
        <f t="array" ref="AA1242">Settlement(Main_Presentation[[#This Row],[Bank]],Main_Presentation[[#This Row],[ Invoice Amt (SAR)]],Main_Presentation[[#This Row],[Date Recd]],Main_Presentation[[#This Row],[Due Date]],Main_Presentation[[#This Row],[Days]])</f>
        <v>1222.45</v>
      </c>
      <c r="AB1242" s="16"/>
    </row>
    <row r="1243" spans="1:28" ht="15.75" hidden="1" x14ac:dyDescent="0.25">
      <c r="A1243" s="226" t="s">
        <v>1794</v>
      </c>
      <c r="B1243" s="15">
        <v>45985</v>
      </c>
      <c r="C1243" s="26">
        <v>1</v>
      </c>
      <c r="D1243" s="55" t="str">
        <f>VLOOKUP(Main_Presentation[[#This Row],[LC Number]],Main_Issuance[],3,0)</f>
        <v>Hassan Taleb</v>
      </c>
      <c r="E1243" s="16" t="s">
        <v>858</v>
      </c>
      <c r="F1243" s="17" t="str">
        <f>VLOOKUP(Main_Presentation[[#This Row],[LC Number]],Main_Issuance[],5,0)</f>
        <v>Alinma</v>
      </c>
      <c r="G1243" s="17" t="str">
        <f>VLOOKUP(Main_Presentation[[#This Row],[LC Number]],Main_Issuance[],6,0)</f>
        <v>KSP</v>
      </c>
      <c r="H1243" s="17" t="str">
        <f>VLOOKUP(Main_Presentation[[#This Row],[LC Number]],Main_Issuance[],17,0)</f>
        <v>Credit</v>
      </c>
      <c r="I1243" s="17" t="str">
        <f>VLOOKUP(Main_Presentation[[#This Row],[LC Number]],Main_Issuance[],7,0)</f>
        <v>STAR SQUARES CO. LTD.</v>
      </c>
      <c r="J1243" s="17" t="str">
        <f>VLOOKUP(Main_Presentation[[#This Row],[LC Number]],Main_Issuance[],8,0)</f>
        <v>FIRST FIX</v>
      </c>
      <c r="K1243" s="17" t="str">
        <f>VLOOKUP(Main_Presentation[[#This Row],[LC Number]],Main_Issuance[],9,0)</f>
        <v>KSP</v>
      </c>
      <c r="L1243" s="17">
        <f>VLOOKUP(Main_Presentation[[#This Row],[LC Number]],Main_Issuance[],10,0)</f>
        <v>1020055</v>
      </c>
      <c r="M1243" s="17" t="str">
        <f>VLOOKUP(Main_Presentation[[#This Row],[LC Number]],Main_Issuance[],11,0)</f>
        <v>SAR</v>
      </c>
      <c r="N1243" s="84">
        <f>VLOOKUP(Main_Presentation[[#This Row],[LC Number]],Main_Issuance[],12,0)</f>
        <v>200000</v>
      </c>
      <c r="O1243" s="16" t="s">
        <v>20</v>
      </c>
      <c r="P1243" s="16" t="s">
        <v>857</v>
      </c>
      <c r="Q1243" s="131">
        <v>200000</v>
      </c>
      <c r="R1243" s="18">
        <v>1</v>
      </c>
      <c r="S1243" s="18">
        <f>Main_Presentation[[#This Row],[Invoice Amt (FCY)]]*Main_Presentation[[#This Row],[Rate]]</f>
        <v>200000</v>
      </c>
      <c r="T1243" s="15">
        <v>46020</v>
      </c>
      <c r="U1243" s="26" t="str">
        <f>VLOOKUP(Main_Presentation[[#This Row],[LC Number]],Main_Issuance[],18,0)</f>
        <v>120 Days from Invoice Date</v>
      </c>
      <c r="V1243" s="249" t="s">
        <v>22</v>
      </c>
      <c r="W1243" s="22" t="s">
        <v>857</v>
      </c>
      <c r="X1243" s="217"/>
      <c r="Y1243" s="234" t="str">
        <f>TRIM(LEFT(Main_Presentation[[#This Row],[Payment Terms]],3))</f>
        <v>120</v>
      </c>
      <c r="Z1243" s="16"/>
      <c r="AA1243" s="316" cm="1">
        <f t="array" ref="AA1243">Settlement(Main_Presentation[[#This Row],[Bank]],Main_Presentation[[#This Row],[ Invoice Amt (SAR)]],Main_Presentation[[#This Row],[Date Recd]],Main_Presentation[[#This Row],[Due Date]],Main_Presentation[[#This Row],[Days]])</f>
        <v>1437.5</v>
      </c>
      <c r="AB1243" s="16"/>
    </row>
    <row r="1244" spans="1:28" ht="15.75" hidden="1" x14ac:dyDescent="0.25">
      <c r="A1244" s="226" t="s">
        <v>1658</v>
      </c>
      <c r="B1244" s="227">
        <v>45951</v>
      </c>
      <c r="C1244" s="243">
        <v>2</v>
      </c>
      <c r="D1244" s="228" t="str">
        <f>VLOOKUP(Main_Presentation[[#This Row],[LC Number]],Main_Issuance[],3,0)</f>
        <v>Hassan Taleb</v>
      </c>
      <c r="E1244" s="217" t="s">
        <v>858</v>
      </c>
      <c r="F1244" s="244" t="str">
        <f>VLOOKUP(Main_Presentation[[#This Row],[LC Number]],Main_Issuance[],5,0)</f>
        <v>Alinma</v>
      </c>
      <c r="G1244" s="244" t="str">
        <f>VLOOKUP(Main_Presentation[[#This Row],[LC Number]],Main_Issuance[],6,0)</f>
        <v>KSP</v>
      </c>
      <c r="H1244" s="244" t="str">
        <f>VLOOKUP(Main_Presentation[[#This Row],[LC Number]],Main_Issuance[],17,0)</f>
        <v>Credit</v>
      </c>
      <c r="I1244" s="244" t="str">
        <f>VLOOKUP(Main_Presentation[[#This Row],[LC Number]],Main_Issuance[],7,0)</f>
        <v>TABARK AL-MOMMYZA FOR TRADING COMPANY</v>
      </c>
      <c r="J1244" s="244" t="str">
        <f>VLOOKUP(Main_Presentation[[#This Row],[LC Number]],Main_Issuance[],8,0)</f>
        <v>FIRST FIX</v>
      </c>
      <c r="K1244" s="244" t="str">
        <f>VLOOKUP(Main_Presentation[[#This Row],[LC Number]],Main_Issuance[],9,0)</f>
        <v>KSP</v>
      </c>
      <c r="L1244" s="244">
        <f>VLOOKUP(Main_Presentation[[#This Row],[LC Number]],Main_Issuance[],10,0)</f>
        <v>1020055</v>
      </c>
      <c r="M1244" s="244" t="str">
        <f>VLOOKUP(Main_Presentation[[#This Row],[LC Number]],Main_Issuance[],11,0)</f>
        <v>SAR</v>
      </c>
      <c r="N1244" s="245">
        <f>VLOOKUP(Main_Presentation[[#This Row],[LC Number]],Main_Issuance[],12,0)</f>
        <v>395588.5</v>
      </c>
      <c r="O1244" s="217" t="s">
        <v>20</v>
      </c>
      <c r="P1244" s="217" t="s">
        <v>857</v>
      </c>
      <c r="Q1244" s="131">
        <v>245588.5</v>
      </c>
      <c r="R1244" s="218">
        <v>1</v>
      </c>
      <c r="S1244" s="218">
        <f>Main_Presentation[[#This Row],[Invoice Amt (FCY)]]*Main_Presentation[[#This Row],[Rate]]</f>
        <v>245588.5</v>
      </c>
      <c r="T1244" s="227">
        <v>46040</v>
      </c>
      <c r="U1244" s="243" t="str">
        <f>VLOOKUP(Main_Presentation[[#This Row],[LC Number]],Main_Issuance[],18,0)</f>
        <v>120 Days from Invoice Date</v>
      </c>
      <c r="V1244" s="233" t="s">
        <v>613</v>
      </c>
      <c r="W1244" s="229" t="s">
        <v>378</v>
      </c>
      <c r="X1244" s="217"/>
      <c r="Y1244" s="399" t="str">
        <f>TRIM(LEFT(Main_Presentation[[#This Row],[Payment Terms]],3))</f>
        <v>120</v>
      </c>
      <c r="Z1244" s="217"/>
      <c r="AA1244" s="316" cm="1">
        <f t="array" ref="AA1244">Settlement(Main_Presentation[[#This Row],[Bank]],Main_Presentation[[#This Row],[ Invoice Amt (SAR)]],Main_Presentation[[#This Row],[Date Recd]],Main_Presentation[[#This Row],[Due Date]],Main_Presentation[[#This Row],[Days]])</f>
        <v>1437.5</v>
      </c>
      <c r="AB1244" s="217"/>
    </row>
    <row r="1245" spans="1:28" ht="15.75" hidden="1" x14ac:dyDescent="0.25">
      <c r="A1245" s="226" t="s">
        <v>1750</v>
      </c>
      <c r="B1245" s="227">
        <v>45943</v>
      </c>
      <c r="C1245" s="243">
        <v>1</v>
      </c>
      <c r="D1245" s="228" t="str">
        <f>VLOOKUP(Main_Presentation[[#This Row],[LC Number]],Main_Issuance[],3,0)</f>
        <v>Muhammed Khan</v>
      </c>
      <c r="E1245" s="217" t="s">
        <v>858</v>
      </c>
      <c r="F1245" s="244" t="str">
        <f>VLOOKUP(Main_Presentation[[#This Row],[LC Number]],Main_Issuance[],5,0)</f>
        <v>Riyad</v>
      </c>
      <c r="G1245" s="244" t="str">
        <f>VLOOKUP(Main_Presentation[[#This Row],[LC Number]],Main_Issuance[],6,0)</f>
        <v>Cash</v>
      </c>
      <c r="H1245" s="244" t="str">
        <f>VLOOKUP(Main_Presentation[[#This Row],[LC Number]],Main_Issuance[],17,0)</f>
        <v>Cash</v>
      </c>
      <c r="I1245" s="244" t="str">
        <f>VLOOKUP(Main_Presentation[[#This Row],[LC Number]],Main_Issuance[],7,0)</f>
        <v>Diamond Towers Trading &amp; Contracting Company</v>
      </c>
      <c r="J1245" s="244" t="str">
        <f>VLOOKUP(Main_Presentation[[#This Row],[LC Number]],Main_Issuance[],8,0)</f>
        <v>IFAS</v>
      </c>
      <c r="K1245" s="244" t="str">
        <f>VLOOKUP(Main_Presentation[[#This Row],[LC Number]],Main_Issuance[],9,0)</f>
        <v>IFAS - Various Projects</v>
      </c>
      <c r="L1245" s="244">
        <f>VLOOKUP(Main_Presentation[[#This Row],[LC Number]],Main_Issuance[],10,0)</f>
        <v>0</v>
      </c>
      <c r="M1245" s="244" t="str">
        <f>VLOOKUP(Main_Presentation[[#This Row],[LC Number]],Main_Issuance[],11,0)</f>
        <v>SAR</v>
      </c>
      <c r="N1245" s="245">
        <f>VLOOKUP(Main_Presentation[[#This Row],[LC Number]],Main_Issuance[],12,0)</f>
        <v>351509.38</v>
      </c>
      <c r="O1245" s="16" t="s">
        <v>20</v>
      </c>
      <c r="P1245" s="217" t="s">
        <v>857</v>
      </c>
      <c r="Q1245" s="131">
        <v>351509.38</v>
      </c>
      <c r="R1245" s="218">
        <v>1</v>
      </c>
      <c r="S1245" s="218">
        <f>Main_Presentation[[#This Row],[Invoice Amt (FCY)]]*Main_Presentation[[#This Row],[Rate]]</f>
        <v>351509.38</v>
      </c>
      <c r="T1245" s="15">
        <v>45945</v>
      </c>
      <c r="U1245" s="243" t="str">
        <f>VLOOKUP(Main_Presentation[[#This Row],[LC Number]],Main_Issuance[],18,0)</f>
        <v>Sight</v>
      </c>
      <c r="V1245" s="233" t="s">
        <v>70</v>
      </c>
      <c r="W1245" s="229" t="s">
        <v>857</v>
      </c>
      <c r="X1245" s="16"/>
      <c r="Y1245" s="399" t="str">
        <f>TRIM(LEFT(Main_Presentation[[#This Row],[Payment Terms]],3))</f>
        <v>Sig</v>
      </c>
      <c r="Z1245" s="217"/>
      <c r="AA1245" s="316" t="e" cm="1">
        <f t="array" ref="AA1245">Settlement(Main_Presentation[[#This Row],[Bank]],Main_Presentation[[#This Row],[ Invoice Amt (SAR)]],Main_Presentation[[#This Row],[Date Recd]],Main_Presentation[[#This Row],[Due Date]],Main_Presentation[[#This Row],[Days]])</f>
        <v>#VALUE!</v>
      </c>
      <c r="AB1245" s="217"/>
    </row>
    <row r="1246" spans="1:28" ht="15.75" hidden="1" x14ac:dyDescent="0.25">
      <c r="A1246" s="226" t="s">
        <v>1749</v>
      </c>
      <c r="B1246" s="227">
        <v>45943</v>
      </c>
      <c r="C1246" s="243">
        <v>1</v>
      </c>
      <c r="D1246" s="228" t="str">
        <f>VLOOKUP(Main_Presentation[[#This Row],[LC Number]],Main_Issuance[],3,0)</f>
        <v>Muhammed Khan</v>
      </c>
      <c r="E1246" s="217" t="s">
        <v>858</v>
      </c>
      <c r="F1246" s="244" t="str">
        <f>VLOOKUP(Main_Presentation[[#This Row],[LC Number]],Main_Issuance[],5,0)</f>
        <v>Riyad</v>
      </c>
      <c r="G1246" s="244" t="str">
        <f>VLOOKUP(Main_Presentation[[#This Row],[LC Number]],Main_Issuance[],6,0)</f>
        <v>Cash</v>
      </c>
      <c r="H1246" s="244" t="str">
        <f>VLOOKUP(Main_Presentation[[#This Row],[LC Number]],Main_Issuance[],17,0)</f>
        <v>Cash</v>
      </c>
      <c r="I1246" s="244" t="str">
        <f>VLOOKUP(Main_Presentation[[#This Row],[LC Number]],Main_Issuance[],7,0)</f>
        <v>JARIR MARKETING CO</v>
      </c>
      <c r="J1246" s="244" t="str">
        <f>VLOOKUP(Main_Presentation[[#This Row],[LC Number]],Main_Issuance[],8,0)</f>
        <v>IFAS</v>
      </c>
      <c r="K1246" s="244" t="str">
        <f>VLOOKUP(Main_Presentation[[#This Row],[LC Number]],Main_Issuance[],9,0)</f>
        <v>IFAS - Various Projects</v>
      </c>
      <c r="L1246" s="244">
        <f>VLOOKUP(Main_Presentation[[#This Row],[LC Number]],Main_Issuance[],10,0)</f>
        <v>0</v>
      </c>
      <c r="M1246" s="244" t="str">
        <f>VLOOKUP(Main_Presentation[[#This Row],[LC Number]],Main_Issuance[],11,0)</f>
        <v>SAR</v>
      </c>
      <c r="N1246" s="245">
        <f>VLOOKUP(Main_Presentation[[#This Row],[LC Number]],Main_Issuance[],12,0)</f>
        <v>349170.7</v>
      </c>
      <c r="O1246" s="16" t="s">
        <v>20</v>
      </c>
      <c r="P1246" s="217" t="s">
        <v>857</v>
      </c>
      <c r="Q1246" s="131">
        <v>349170.7</v>
      </c>
      <c r="R1246" s="218">
        <v>1</v>
      </c>
      <c r="S1246" s="218">
        <f>Main_Presentation[[#This Row],[Invoice Amt (FCY)]]*Main_Presentation[[#This Row],[Rate]]</f>
        <v>349170.7</v>
      </c>
      <c r="T1246" s="15">
        <v>45945</v>
      </c>
      <c r="U1246" s="243" t="str">
        <f>VLOOKUP(Main_Presentation[[#This Row],[LC Number]],Main_Issuance[],18,0)</f>
        <v>Sight</v>
      </c>
      <c r="V1246" s="233" t="s">
        <v>70</v>
      </c>
      <c r="W1246" s="229" t="s">
        <v>857</v>
      </c>
      <c r="X1246" s="16"/>
      <c r="Y1246" s="399" t="str">
        <f>TRIM(LEFT(Main_Presentation[[#This Row],[Payment Terms]],3))</f>
        <v>Sig</v>
      </c>
      <c r="Z1246" s="217"/>
      <c r="AA1246" s="316" t="e" cm="1">
        <f t="array" ref="AA1246">Settlement(Main_Presentation[[#This Row],[Bank]],Main_Presentation[[#This Row],[ Invoice Amt (SAR)]],Main_Presentation[[#This Row],[Date Recd]],Main_Presentation[[#This Row],[Due Date]],Main_Presentation[[#This Row],[Days]])</f>
        <v>#VALUE!</v>
      </c>
      <c r="AB1246" s="217"/>
    </row>
    <row r="1247" spans="1:28" ht="15.75" hidden="1" x14ac:dyDescent="0.25">
      <c r="A1247" s="226" t="s">
        <v>306</v>
      </c>
      <c r="B1247" s="227">
        <v>45943</v>
      </c>
      <c r="C1247" s="243">
        <v>123</v>
      </c>
      <c r="D1247" s="228" t="str">
        <f>VLOOKUP(Main_Presentation[[#This Row],[LC Number]],Main_Issuance[],3,0)</f>
        <v>Dipu Sir</v>
      </c>
      <c r="E1247" s="217" t="s">
        <v>858</v>
      </c>
      <c r="F1247" s="244" t="str">
        <f>VLOOKUP(Main_Presentation[[#This Row],[LC Number]],Main_Issuance[],5,0)</f>
        <v>Riyad</v>
      </c>
      <c r="G1247" s="244" t="str">
        <f>VLOOKUP(Main_Presentation[[#This Row],[LC Number]],Main_Issuance[],6,0)</f>
        <v>Cash</v>
      </c>
      <c r="H1247" s="244" t="str">
        <f>VLOOKUP(Main_Presentation[[#This Row],[LC Number]],Main_Issuance[],17,0)</f>
        <v>Cash</v>
      </c>
      <c r="I1247" s="244" t="str">
        <f>VLOOKUP(Main_Presentation[[#This Row],[LC Number]],Main_Issuance[],7,0)</f>
        <v>ATELIER HOSPITALITY SRL</v>
      </c>
      <c r="J1247" s="244" t="str">
        <f>VLOOKUP(Main_Presentation[[#This Row],[LC Number]],Main_Issuance[],8,0)</f>
        <v>MBL</v>
      </c>
      <c r="K1247" s="244" t="str">
        <f>VLOOKUP(Main_Presentation[[#This Row],[LC Number]],Main_Issuance[],9,0)</f>
        <v>L01-YAMMAMA</v>
      </c>
      <c r="L1247" s="244">
        <f>VLOOKUP(Main_Presentation[[#This Row],[LC Number]],Main_Issuance[],10,0)</f>
        <v>1020015</v>
      </c>
      <c r="M1247" s="244" t="str">
        <f>VLOOKUP(Main_Presentation[[#This Row],[LC Number]],Main_Issuance[],11,0)</f>
        <v>EUR</v>
      </c>
      <c r="N1247" s="245">
        <f>VLOOKUP(Main_Presentation[[#This Row],[LC Number]],Main_Issuance[],12,0)</f>
        <v>50762045.400000006</v>
      </c>
      <c r="O1247" s="217" t="s">
        <v>20</v>
      </c>
      <c r="P1247" s="217" t="s">
        <v>857</v>
      </c>
      <c r="Q1247" s="131">
        <v>1226540.45</v>
      </c>
      <c r="R1247" s="18">
        <v>4.5700921750359704</v>
      </c>
      <c r="S1247" s="218">
        <f>Main_Presentation[[#This Row],[Invoice Amt (FCY)]]*Main_Presentation[[#This Row],[Rate]]</f>
        <v>5605402.9129100973</v>
      </c>
      <c r="T1247" s="227">
        <v>45972</v>
      </c>
      <c r="U1247" s="243" t="str">
        <f>VLOOKUP(Main_Presentation[[#This Row],[LC Number]],Main_Issuance[],18,0)</f>
        <v>30 days from the date of comm. inv.</v>
      </c>
      <c r="V1247" s="17" t="s">
        <v>213</v>
      </c>
      <c r="W1247" s="22" t="s">
        <v>857</v>
      </c>
      <c r="X1247" s="16"/>
      <c r="Y1247" s="403" t="str">
        <f>TRIM(LEFT(Main_Presentation[[#This Row],[Payment Terms]],3))</f>
        <v>30</v>
      </c>
      <c r="Z1247" s="217"/>
      <c r="AA1247" s="316" cm="1">
        <f t="array" ref="AA1247">Settlement(Main_Presentation[[#This Row],[Bank]],Main_Presentation[[#This Row],[ Invoice Amt (SAR)]],Main_Presentation[[#This Row],[Date Recd]],Main_Presentation[[#This Row],[Due Date]],Main_Presentation[[#This Row],[Days]])</f>
        <v>8058.05</v>
      </c>
      <c r="AB1247" s="217"/>
    </row>
    <row r="1248" spans="1:28" ht="15.75" hidden="1" x14ac:dyDescent="0.25">
      <c r="A1248" s="226" t="s">
        <v>1191</v>
      </c>
      <c r="B1248" s="227">
        <v>45957</v>
      </c>
      <c r="C1248" s="243">
        <v>5</v>
      </c>
      <c r="D1248" s="228" t="str">
        <f>VLOOKUP(Main_Presentation[[#This Row],[LC Number]],Main_Issuance[],3,0)</f>
        <v>Rabih Makhoul</v>
      </c>
      <c r="E1248" s="217" t="s">
        <v>858</v>
      </c>
      <c r="F1248" s="244" t="str">
        <f>VLOOKUP(Main_Presentation[[#This Row],[LC Number]],Main_Issuance[],5,0)</f>
        <v>Alinma</v>
      </c>
      <c r="G1248" s="244" t="str">
        <f>VLOOKUP(Main_Presentation[[#This Row],[LC Number]],Main_Issuance[],6,0)</f>
        <v>KSP</v>
      </c>
      <c r="H1248" s="244" t="str">
        <f>VLOOKUP(Main_Presentation[[#This Row],[LC Number]],Main_Issuance[],17,0)</f>
        <v>Credit</v>
      </c>
      <c r="I1248" s="244" t="str">
        <f>VLOOKUP(Main_Presentation[[#This Row],[LC Number]],Main_Issuance[],7,0)</f>
        <v>Awtad Jeddah for General Contracting Company</v>
      </c>
      <c r="J1248" s="244" t="str">
        <f>VLOOKUP(Main_Presentation[[#This Row],[LC Number]],Main_Issuance[],8,0)</f>
        <v>MBL</v>
      </c>
      <c r="K1248" s="244" t="str">
        <f>VLOOKUP(Main_Presentation[[#This Row],[LC Number]],Main_Issuance[],9,0)</f>
        <v>Rabigh Power Plant</v>
      </c>
      <c r="L1248" s="244">
        <f>VLOOKUP(Main_Presentation[[#This Row],[LC Number]],Main_Issuance[],10,0)</f>
        <v>1020107</v>
      </c>
      <c r="M1248" s="244" t="str">
        <f>VLOOKUP(Main_Presentation[[#This Row],[LC Number]],Main_Issuance[],11,0)</f>
        <v>SAR</v>
      </c>
      <c r="N1248" s="245">
        <f>VLOOKUP(Main_Presentation[[#This Row],[LC Number]],Main_Issuance[],12,0)</f>
        <v>5233040.5</v>
      </c>
      <c r="O1248" s="217" t="s">
        <v>20</v>
      </c>
      <c r="P1248" s="217" t="s">
        <v>857</v>
      </c>
      <c r="Q1248" s="131">
        <v>439810.72</v>
      </c>
      <c r="R1248" s="218">
        <v>1</v>
      </c>
      <c r="S1248" s="218">
        <f>Main_Presentation[[#This Row],[Invoice Amt (FCY)]]*Main_Presentation[[#This Row],[Rate]]</f>
        <v>439810.72</v>
      </c>
      <c r="T1248" s="227">
        <v>45988</v>
      </c>
      <c r="U1248" s="243" t="str">
        <f>VLOOKUP(Main_Presentation[[#This Row],[LC Number]],Main_Issuance[],18,0)</f>
        <v>45 Days from Applicant Sign on Invoice</v>
      </c>
      <c r="V1248" s="233" t="s">
        <v>304</v>
      </c>
      <c r="W1248" s="229" t="s">
        <v>378</v>
      </c>
      <c r="X1248" s="217"/>
      <c r="Y1248" s="399" t="str">
        <f>TRIM(LEFT(Main_Presentation[[#This Row],[Payment Terms]],3))</f>
        <v>45</v>
      </c>
      <c r="Z1248" s="217"/>
      <c r="AA1248" s="316" cm="1">
        <f t="array" ref="AA1248">Settlement(Main_Presentation[[#This Row],[Bank]],Main_Presentation[[#This Row],[ Invoice Amt (SAR)]],Main_Presentation[[#This Row],[Date Recd]],Main_Presentation[[#This Row],[Due Date]],Main_Presentation[[#This Row],[Days]])</f>
        <v>1437.5</v>
      </c>
      <c r="AB1248" s="217"/>
    </row>
    <row r="1249" spans="1:28" ht="15.75" hidden="1" x14ac:dyDescent="0.25">
      <c r="A1249" s="226" t="s">
        <v>1446</v>
      </c>
      <c r="B1249" s="227">
        <v>45957</v>
      </c>
      <c r="C1249" s="243">
        <v>2</v>
      </c>
      <c r="D1249" s="228" t="str">
        <f>VLOOKUP(Main_Presentation[[#This Row],[LC Number]],Main_Issuance[],3,0)</f>
        <v>Rabih Makhoul</v>
      </c>
      <c r="E1249" s="217" t="s">
        <v>858</v>
      </c>
      <c r="F1249" s="244" t="str">
        <f>VLOOKUP(Main_Presentation[[#This Row],[LC Number]],Main_Issuance[],5,0)</f>
        <v>SNB</v>
      </c>
      <c r="G1249" s="244" t="str">
        <f>VLOOKUP(Main_Presentation[[#This Row],[LC Number]],Main_Issuance[],6,0)</f>
        <v>Opera House</v>
      </c>
      <c r="H1249" s="244" t="str">
        <f>VLOOKUP(Main_Presentation[[#This Row],[LC Number]],Main_Issuance[],17,0)</f>
        <v>Credit</v>
      </c>
      <c r="I1249" s="244" t="str">
        <f>VLOOKUP(Main_Presentation[[#This Row],[LC Number]],Main_Issuance[],7,0)</f>
        <v>Al Arabia Construction &amp; Building Co.</v>
      </c>
      <c r="J1249" s="244" t="str">
        <f>VLOOKUP(Main_Presentation[[#This Row],[LC Number]],Main_Issuance[],8,0)</f>
        <v>MBL</v>
      </c>
      <c r="K1249" s="244" t="str">
        <f>VLOOKUP(Main_Presentation[[#This Row],[LC Number]],Main_Issuance[],9,0)</f>
        <v>Rabigh Power Plant</v>
      </c>
      <c r="L1249" s="244">
        <f>VLOOKUP(Main_Presentation[[#This Row],[LC Number]],Main_Issuance[],10,0)</f>
        <v>1020107</v>
      </c>
      <c r="M1249" s="244" t="str">
        <f>VLOOKUP(Main_Presentation[[#This Row],[LC Number]],Main_Issuance[],11,0)</f>
        <v>SAR</v>
      </c>
      <c r="N1249" s="245">
        <f>VLOOKUP(Main_Presentation[[#This Row],[LC Number]],Main_Issuance[],12,0)</f>
        <v>4738920</v>
      </c>
      <c r="O1249" s="217" t="s">
        <v>20</v>
      </c>
      <c r="P1249" s="217" t="s">
        <v>378</v>
      </c>
      <c r="Q1249" s="131">
        <v>180745.25</v>
      </c>
      <c r="R1249" s="131">
        <v>1</v>
      </c>
      <c r="S1249" s="218">
        <f>Main_Presentation[[#This Row],[Invoice Amt (FCY)]]*Main_Presentation[[#This Row],[Rate]]</f>
        <v>180745.25</v>
      </c>
      <c r="T1249" s="227">
        <v>45966</v>
      </c>
      <c r="U1249" s="243" t="str">
        <f>VLOOKUP(Main_Presentation[[#This Row],[LC Number]],Main_Issuance[],18,0)</f>
        <v>45 Days from the Invoice Date</v>
      </c>
      <c r="V1249" s="233" t="s">
        <v>511</v>
      </c>
      <c r="W1249" s="229" t="s">
        <v>857</v>
      </c>
      <c r="X1249" s="217"/>
      <c r="Y1249" s="399" t="str">
        <f>TRIM(LEFT(Main_Presentation[[#This Row],[Payment Terms]],3))</f>
        <v>45</v>
      </c>
      <c r="Z1249" s="217"/>
      <c r="AA1249" s="316" cm="1">
        <f t="array" ref="AA1249">Settlement(Main_Presentation[[#This Row],[Bank]],Main_Presentation[[#This Row],[ Invoice Amt (SAR)]],Main_Presentation[[#This Row],[Date Recd]],Main_Presentation[[#This Row],[Due Date]],Main_Presentation[[#This Row],[Days]])</f>
        <v>655.5</v>
      </c>
      <c r="AB1249" s="217"/>
    </row>
    <row r="1250" spans="1:28" ht="15.75" hidden="1" x14ac:dyDescent="0.25">
      <c r="A1250" s="226" t="s">
        <v>1767</v>
      </c>
      <c r="B1250" s="227">
        <v>45957</v>
      </c>
      <c r="C1250" s="243">
        <v>1</v>
      </c>
      <c r="D1250" s="228" t="str">
        <f>VLOOKUP(Main_Presentation[[#This Row],[LC Number]],Main_Issuance[],3,0)</f>
        <v>Rabih Makhoul</v>
      </c>
      <c r="E1250" s="217" t="s">
        <v>856</v>
      </c>
      <c r="F1250" s="244" t="str">
        <f>VLOOKUP(Main_Presentation[[#This Row],[LC Number]],Main_Issuance[],5,0)</f>
        <v>Alinma</v>
      </c>
      <c r="G1250" s="244" t="str">
        <f>VLOOKUP(Main_Presentation[[#This Row],[LC Number]],Main_Issuance[],6,0)</f>
        <v>KSP</v>
      </c>
      <c r="H1250" s="244" t="str">
        <f>VLOOKUP(Main_Presentation[[#This Row],[LC Number]],Main_Issuance[],17,0)</f>
        <v>Credit</v>
      </c>
      <c r="I1250" s="244" t="str">
        <f>VLOOKUP(Main_Presentation[[#This Row],[LC Number]],Main_Issuance[],7,0)</f>
        <v>Al Arabia Construction &amp; Building Co.</v>
      </c>
      <c r="J1250" s="244" t="str">
        <f>VLOOKUP(Main_Presentation[[#This Row],[LC Number]],Main_Issuance[],8,0)</f>
        <v>MBL</v>
      </c>
      <c r="K1250" s="244" t="str">
        <f>VLOOKUP(Main_Presentation[[#This Row],[LC Number]],Main_Issuance[],9,0)</f>
        <v>Rabigh Power Plant</v>
      </c>
      <c r="L1250" s="244">
        <f>VLOOKUP(Main_Presentation[[#This Row],[LC Number]],Main_Issuance[],10,0)</f>
        <v>1020107</v>
      </c>
      <c r="M1250" s="244" t="str">
        <f>VLOOKUP(Main_Presentation[[#This Row],[LC Number]],Main_Issuance[],11,0)</f>
        <v>SAR</v>
      </c>
      <c r="N1250" s="245">
        <f>VLOOKUP(Main_Presentation[[#This Row],[LC Number]],Main_Issuance[],12,0)</f>
        <v>3009600</v>
      </c>
      <c r="O1250" s="217" t="s">
        <v>20</v>
      </c>
      <c r="P1250" s="217" t="s">
        <v>857</v>
      </c>
      <c r="Q1250" s="131">
        <v>183895.49</v>
      </c>
      <c r="R1250" s="131">
        <v>1</v>
      </c>
      <c r="S1250" s="218">
        <f>Main_Presentation[[#This Row],[Invoice Amt (FCY)]]*Main_Presentation[[#This Row],[Rate]]</f>
        <v>183895.49</v>
      </c>
      <c r="T1250" s="227">
        <v>45959</v>
      </c>
      <c r="U1250" s="243" t="str">
        <f>VLOOKUP(Main_Presentation[[#This Row],[LC Number]],Main_Issuance[],18,0)</f>
        <v>45 Days from the Invoice Date</v>
      </c>
      <c r="V1250" s="233" t="s">
        <v>22</v>
      </c>
      <c r="W1250" s="229" t="s">
        <v>378</v>
      </c>
      <c r="X1250" s="217"/>
      <c r="Y1250" s="399" t="str">
        <f>TRIM(LEFT(Main_Presentation[[#This Row],[Payment Terms]],3))</f>
        <v>45</v>
      </c>
      <c r="Z1250" s="217"/>
      <c r="AA1250" s="316" cm="1">
        <f t="array" ref="AA1250">Settlement(Main_Presentation[[#This Row],[Bank]],Main_Presentation[[#This Row],[ Invoice Amt (SAR)]],Main_Presentation[[#This Row],[Date Recd]],Main_Presentation[[#This Row],[Due Date]],Main_Presentation[[#This Row],[Days]])</f>
        <v>1437.5</v>
      </c>
      <c r="AB1250" s="217"/>
    </row>
    <row r="1251" spans="1:28" ht="15.75" hidden="1" x14ac:dyDescent="0.25">
      <c r="A1251" s="226" t="s">
        <v>1671</v>
      </c>
      <c r="B1251" s="227">
        <v>45965</v>
      </c>
      <c r="C1251" s="243">
        <v>1</v>
      </c>
      <c r="D1251" s="228" t="str">
        <f>VLOOKUP(Main_Presentation[[#This Row],[LC Number]],Main_Issuance[],3,0)</f>
        <v>Tareeq Telmasani</v>
      </c>
      <c r="E1251" s="217" t="s">
        <v>856</v>
      </c>
      <c r="F1251" s="244" t="str">
        <f>VLOOKUP(Main_Presentation[[#This Row],[LC Number]],Main_Issuance[],5,0)</f>
        <v>SAB</v>
      </c>
      <c r="G1251" s="244" t="str">
        <f>VLOOKUP(Main_Presentation[[#This Row],[LC Number]],Main_Issuance[],6,0)</f>
        <v>CEER</v>
      </c>
      <c r="H1251" s="244" t="str">
        <f>VLOOKUP(Main_Presentation[[#This Row],[LC Number]],Main_Issuance[],17,0)</f>
        <v>Credit</v>
      </c>
      <c r="I1251" s="244" t="str">
        <f>VLOOKUP(Main_Presentation[[#This Row],[LC Number]],Main_Issuance[],7,0)</f>
        <v>Al-Sayed Center A/C &amp; Refrigeration Materials Company</v>
      </c>
      <c r="J1251" s="244" t="str">
        <f>VLOOKUP(Main_Presentation[[#This Row],[LC Number]],Main_Issuance[],8,0)</f>
        <v>FIRST FIX</v>
      </c>
      <c r="K1251" s="244" t="str">
        <f>VLOOKUP(Main_Presentation[[#This Row],[LC Number]],Main_Issuance[],9,0)</f>
        <v>CEER</v>
      </c>
      <c r="L1251" s="244">
        <f>VLOOKUP(Main_Presentation[[#This Row],[LC Number]],Main_Issuance[],10,0)</f>
        <v>1020091</v>
      </c>
      <c r="M1251" s="244" t="str">
        <f>VLOOKUP(Main_Presentation[[#This Row],[LC Number]],Main_Issuance[],11,0)</f>
        <v>SAR</v>
      </c>
      <c r="N1251" s="245">
        <f>VLOOKUP(Main_Presentation[[#This Row],[LC Number]],Main_Issuance[],12,0)</f>
        <v>871119.25</v>
      </c>
      <c r="O1251" s="217" t="s">
        <v>20</v>
      </c>
      <c r="P1251" s="217" t="s">
        <v>857</v>
      </c>
      <c r="Q1251" s="131">
        <v>871119.25</v>
      </c>
      <c r="R1251" s="131">
        <v>1</v>
      </c>
      <c r="S1251" s="218">
        <f>Main_Presentation[[#This Row],[Invoice Amt (FCY)]]*Main_Presentation[[#This Row],[Rate]]</f>
        <v>871119.25</v>
      </c>
      <c r="T1251" s="227">
        <v>46040</v>
      </c>
      <c r="U1251" s="243" t="str">
        <f>VLOOKUP(Main_Presentation[[#This Row],[LC Number]],Main_Issuance[],18,0)</f>
        <v>90 Days from Appl. Representative Sign</v>
      </c>
      <c r="V1251" s="233" t="s">
        <v>367</v>
      </c>
      <c r="W1251" s="229" t="s">
        <v>857</v>
      </c>
      <c r="X1251" s="217"/>
      <c r="Y1251" s="399" t="str">
        <f>TRIM(LEFT(Main_Presentation[[#This Row],[Payment Terms]],3))</f>
        <v>90</v>
      </c>
      <c r="Z1251" s="217"/>
      <c r="AA1251" s="316" cm="1">
        <f t="array" ref="AA1251">Settlement(Main_Presentation[[#This Row],[Bank]],Main_Presentation[[#This Row],[ Invoice Amt (SAR)]],Main_Presentation[[#This Row],[Date Recd]],Main_Presentation[[#This Row],[Due Date]],Main_Presentation[[#This Row],[Days]])</f>
        <v>3757.05</v>
      </c>
      <c r="AB1251" s="217"/>
    </row>
    <row r="1252" spans="1:28" ht="15.75" hidden="1" x14ac:dyDescent="0.25">
      <c r="A1252" s="226" t="s">
        <v>1689</v>
      </c>
      <c r="B1252" s="227">
        <v>45960</v>
      </c>
      <c r="C1252" s="243">
        <v>2</v>
      </c>
      <c r="D1252" s="228" t="str">
        <f>VLOOKUP(Main_Presentation[[#This Row],[LC Number]],Main_Issuance[],3,0)</f>
        <v>Tareeq Telmasani</v>
      </c>
      <c r="E1252" s="217" t="s">
        <v>858</v>
      </c>
      <c r="F1252" s="244" t="str">
        <f>VLOOKUP(Main_Presentation[[#This Row],[LC Number]],Main_Issuance[],5,0)</f>
        <v>SAB</v>
      </c>
      <c r="G1252" s="244" t="str">
        <f>VLOOKUP(Main_Presentation[[#This Row],[LC Number]],Main_Issuance[],6,0)</f>
        <v>CEER</v>
      </c>
      <c r="H1252" s="244" t="str">
        <f>VLOOKUP(Main_Presentation[[#This Row],[LC Number]],Main_Issuance[],17,0)</f>
        <v>Credit</v>
      </c>
      <c r="I1252" s="244" t="str">
        <f>VLOOKUP(Main_Presentation[[#This Row],[LC Number]],Main_Issuance[],7,0)</f>
        <v>EVOLVING CONSTELLATION CO. FOR ENERGY</v>
      </c>
      <c r="J1252" s="244" t="str">
        <f>VLOOKUP(Main_Presentation[[#This Row],[LC Number]],Main_Issuance[],8,0)</f>
        <v>FIRST FIX</v>
      </c>
      <c r="K1252" s="244" t="str">
        <f>VLOOKUP(Main_Presentation[[#This Row],[LC Number]],Main_Issuance[],9,0)</f>
        <v>CEER</v>
      </c>
      <c r="L1252" s="244">
        <f>VLOOKUP(Main_Presentation[[#This Row],[LC Number]],Main_Issuance[],10,0)</f>
        <v>1020091</v>
      </c>
      <c r="M1252" s="244" t="str">
        <f>VLOOKUP(Main_Presentation[[#This Row],[LC Number]],Main_Issuance[],11,0)</f>
        <v>SAR</v>
      </c>
      <c r="N1252" s="245">
        <f>VLOOKUP(Main_Presentation[[#This Row],[LC Number]],Main_Issuance[],12,0)</f>
        <v>550000.15</v>
      </c>
      <c r="O1252" s="217" t="s">
        <v>20</v>
      </c>
      <c r="P1252" s="217" t="s">
        <v>857</v>
      </c>
      <c r="Q1252" s="131">
        <v>379272.9</v>
      </c>
      <c r="R1252" s="131">
        <v>1</v>
      </c>
      <c r="S1252" s="218">
        <f>Main_Presentation[[#This Row],[Invoice Amt (FCY)]]*Main_Presentation[[#This Row],[Rate]]</f>
        <v>379272.9</v>
      </c>
      <c r="T1252" s="227">
        <v>46012</v>
      </c>
      <c r="U1252" s="243" t="str">
        <f>VLOOKUP(Main_Presentation[[#This Row],[LC Number]],Main_Issuance[],18,0)</f>
        <v>60 Days from Appl. Representative Sign</v>
      </c>
      <c r="V1252" s="233" t="s">
        <v>367</v>
      </c>
      <c r="W1252" s="229" t="s">
        <v>857</v>
      </c>
      <c r="X1252" s="217"/>
      <c r="Y1252" s="399" t="str">
        <f>TRIM(LEFT(Main_Presentation[[#This Row],[Payment Terms]],3))</f>
        <v>60</v>
      </c>
      <c r="Z1252" s="217"/>
      <c r="AA1252" s="316" cm="1">
        <f t="array" ref="AA1252">Settlement(Main_Presentation[[#This Row],[Bank]],Main_Presentation[[#This Row],[ Invoice Amt (SAR)]],Main_Presentation[[#This Row],[Date Recd]],Main_Presentation[[#This Row],[Due Date]],Main_Presentation[[#This Row],[Days]])</f>
        <v>1635.3</v>
      </c>
      <c r="AB1252" s="217"/>
    </row>
    <row r="1253" spans="1:28" ht="15.75" hidden="1" x14ac:dyDescent="0.25">
      <c r="A1253" s="226" t="s">
        <v>1652</v>
      </c>
      <c r="B1253" s="227">
        <v>45964</v>
      </c>
      <c r="C1253" s="243">
        <v>2</v>
      </c>
      <c r="D1253" s="228" t="str">
        <f>VLOOKUP(Main_Presentation[[#This Row],[LC Number]],Main_Issuance[],3,0)</f>
        <v>Tareeq Telmasani</v>
      </c>
      <c r="E1253" s="217" t="s">
        <v>858</v>
      </c>
      <c r="F1253" s="244" t="str">
        <f>VLOOKUP(Main_Presentation[[#This Row],[LC Number]],Main_Issuance[],5,0)</f>
        <v>SAB</v>
      </c>
      <c r="G1253" s="244" t="str">
        <f>VLOOKUP(Main_Presentation[[#This Row],[LC Number]],Main_Issuance[],6,0)</f>
        <v>CEER</v>
      </c>
      <c r="H1253" s="244" t="str">
        <f>VLOOKUP(Main_Presentation[[#This Row],[LC Number]],Main_Issuance[],17,0)</f>
        <v>Credit</v>
      </c>
      <c r="I1253" s="244" t="str">
        <f>VLOOKUP(Main_Presentation[[#This Row],[LC Number]],Main_Issuance[],7,0)</f>
        <v>Riyadh Unity for Trading</v>
      </c>
      <c r="J1253" s="244" t="str">
        <f>VLOOKUP(Main_Presentation[[#This Row],[LC Number]],Main_Issuance[],8,0)</f>
        <v>FIRST FIX</v>
      </c>
      <c r="K1253" s="244" t="str">
        <f>VLOOKUP(Main_Presentation[[#This Row],[LC Number]],Main_Issuance[],9,0)</f>
        <v>CEER</v>
      </c>
      <c r="L1253" s="244">
        <f>VLOOKUP(Main_Presentation[[#This Row],[LC Number]],Main_Issuance[],10,0)</f>
        <v>1020091</v>
      </c>
      <c r="M1253" s="244" t="str">
        <f>VLOOKUP(Main_Presentation[[#This Row],[LC Number]],Main_Issuance[],11,0)</f>
        <v>SAR</v>
      </c>
      <c r="N1253" s="245">
        <f>VLOOKUP(Main_Presentation[[#This Row],[LC Number]],Main_Issuance[],12,0)</f>
        <v>1600000</v>
      </c>
      <c r="O1253" s="217" t="s">
        <v>20</v>
      </c>
      <c r="P1253" s="217" t="s">
        <v>857</v>
      </c>
      <c r="Q1253" s="218">
        <v>194357.37</v>
      </c>
      <c r="R1253" s="131">
        <v>1</v>
      </c>
      <c r="S1253" s="218">
        <f>Main_Presentation[[#This Row],[Invoice Amt (FCY)]]*Main_Presentation[[#This Row],[Rate]]</f>
        <v>194357.37</v>
      </c>
      <c r="T1253" s="227">
        <v>46040</v>
      </c>
      <c r="U1253" s="243" t="str">
        <f>VLOOKUP(Main_Presentation[[#This Row],[LC Number]],Main_Issuance[],18,0)</f>
        <v>90 Days from Appl. Representative Sign</v>
      </c>
      <c r="V1253" s="233" t="s">
        <v>367</v>
      </c>
      <c r="W1253" s="229" t="s">
        <v>857</v>
      </c>
      <c r="X1253" s="217"/>
      <c r="Y1253" s="399" t="str">
        <f>TRIM(LEFT(Main_Presentation[[#This Row],[Payment Terms]],3))</f>
        <v>90</v>
      </c>
      <c r="Z1253" s="217"/>
      <c r="AA1253" s="316" cm="1">
        <f t="array" ref="AA1253">Settlement(Main_Presentation[[#This Row],[Bank]],Main_Presentation[[#This Row],[ Invoice Amt (SAR)]],Main_Presentation[[#This Row],[Date Recd]],Main_Presentation[[#This Row],[Due Date]],Main_Presentation[[#This Row],[Days]])</f>
        <v>838.35</v>
      </c>
      <c r="AB1253" s="217"/>
    </row>
    <row r="1254" spans="1:28" ht="15.75" hidden="1" x14ac:dyDescent="0.25">
      <c r="A1254" s="226" t="s">
        <v>721</v>
      </c>
      <c r="B1254" s="227">
        <v>45971</v>
      </c>
      <c r="C1254" s="243">
        <v>5</v>
      </c>
      <c r="D1254" s="228" t="str">
        <f>VLOOKUP(Main_Presentation[[#This Row],[LC Number]],Main_Issuance[],3,0)</f>
        <v>Hassan Taleb</v>
      </c>
      <c r="E1254" s="217" t="s">
        <v>856</v>
      </c>
      <c r="F1254" s="244" t="str">
        <f>VLOOKUP(Main_Presentation[[#This Row],[LC Number]],Main_Issuance[],5,0)</f>
        <v>Jazira</v>
      </c>
      <c r="G1254" s="244" t="str">
        <f>VLOOKUP(Main_Presentation[[#This Row],[LC Number]],Main_Issuance[],6,0)</f>
        <v>RCRC</v>
      </c>
      <c r="H1254" s="244" t="str">
        <f>VLOOKUP(Main_Presentation[[#This Row],[LC Number]],Main_Issuance[],17,0)</f>
        <v>Credit</v>
      </c>
      <c r="I1254" s="244" t="str">
        <f>VLOOKUP(Main_Presentation[[#This Row],[LC Number]],Main_Issuance[],7,0)</f>
        <v>ALFANAR ELECTRICAL SYSTEMS</v>
      </c>
      <c r="J1254" s="244" t="str">
        <f>VLOOKUP(Main_Presentation[[#This Row],[LC Number]],Main_Issuance[],8,0)</f>
        <v>FIRST FIX</v>
      </c>
      <c r="K1254" s="244" t="str">
        <f>VLOOKUP(Main_Presentation[[#This Row],[LC Number]],Main_Issuance[],9,0)</f>
        <v>RCRC</v>
      </c>
      <c r="L1254" s="244">
        <f>VLOOKUP(Main_Presentation[[#This Row],[LC Number]],Main_Issuance[],10,0)</f>
        <v>1020106</v>
      </c>
      <c r="M1254" s="244" t="str">
        <f>VLOOKUP(Main_Presentation[[#This Row],[LC Number]],Main_Issuance[],11,0)</f>
        <v>SAR</v>
      </c>
      <c r="N1254" s="245">
        <f>VLOOKUP(Main_Presentation[[#This Row],[LC Number]],Main_Issuance[],12,0)</f>
        <v>2827275</v>
      </c>
      <c r="O1254" s="217" t="s">
        <v>20</v>
      </c>
      <c r="P1254" s="217" t="s">
        <v>378</v>
      </c>
      <c r="Q1254" s="218">
        <v>497076</v>
      </c>
      <c r="R1254" s="131">
        <v>1</v>
      </c>
      <c r="S1254" s="218">
        <f>Main_Presentation[[#This Row],[Invoice Amt (FCY)]]*Main_Presentation[[#This Row],[Rate]]</f>
        <v>497076</v>
      </c>
      <c r="T1254" s="227">
        <v>46026</v>
      </c>
      <c r="U1254" s="243" t="str">
        <f>VLOOKUP(Main_Presentation[[#This Row],[LC Number]],Main_Issuance[],18,0)</f>
        <v>90 Days from Invoice Date</v>
      </c>
      <c r="V1254" s="233" t="s">
        <v>613</v>
      </c>
      <c r="W1254" s="229" t="s">
        <v>857</v>
      </c>
      <c r="X1254" s="217"/>
      <c r="Y1254" s="399" t="str">
        <f>TRIM(LEFT(Main_Presentation[[#This Row],[Payment Terms]],3))</f>
        <v>90</v>
      </c>
      <c r="Z1254" s="217"/>
      <c r="AA1254" s="316" cm="1">
        <f t="array" ref="AA1254">Settlement(Main_Presentation[[#This Row],[Bank]],Main_Presentation[[#This Row],[ Invoice Amt (SAR)]],Main_Presentation[[#This Row],[Date Recd]],Main_Presentation[[#This Row],[Due Date]],Main_Presentation[[#This Row],[Days]])</f>
        <v>1059.1500000000001</v>
      </c>
      <c r="AB1254" s="217"/>
    </row>
    <row r="1255" spans="1:28" ht="15.75" hidden="1" x14ac:dyDescent="0.25">
      <c r="A1255" s="226" t="s">
        <v>1443</v>
      </c>
      <c r="B1255" s="227">
        <v>45963</v>
      </c>
      <c r="C1255" s="243">
        <v>2</v>
      </c>
      <c r="D1255" s="228" t="str">
        <f>VLOOKUP(Main_Presentation[[#This Row],[LC Number]],Main_Issuance[],3,0)</f>
        <v>Hassan Taleb</v>
      </c>
      <c r="E1255" s="217" t="s">
        <v>856</v>
      </c>
      <c r="F1255" s="244" t="str">
        <f>VLOOKUP(Main_Presentation[[#This Row],[LC Number]],Main_Issuance[],5,0)</f>
        <v>SAB</v>
      </c>
      <c r="G1255" s="244" t="str">
        <f>VLOOKUP(Main_Presentation[[#This Row],[LC Number]],Main_Issuance[],6,0)</f>
        <v>MP1</v>
      </c>
      <c r="H1255" s="244" t="str">
        <f>VLOOKUP(Main_Presentation[[#This Row],[LC Number]],Main_Issuance[],17,0)</f>
        <v>Credit</v>
      </c>
      <c r="I1255" s="244" t="str">
        <f>VLOOKUP(Main_Presentation[[#This Row],[LC Number]],Main_Issuance[],7,0)</f>
        <v>Bahra Advanced Cable Manufacture Co.Ltd</v>
      </c>
      <c r="J1255" s="244" t="str">
        <f>VLOOKUP(Main_Presentation[[#This Row],[LC Number]],Main_Issuance[],8,0)</f>
        <v>FIRST FIX</v>
      </c>
      <c r="K1255" s="244" t="str">
        <f>VLOOKUP(Main_Presentation[[#This Row],[LC Number]],Main_Issuance[],9,0)</f>
        <v>MP1</v>
      </c>
      <c r="L1255" s="244">
        <f>VLOOKUP(Main_Presentation[[#This Row],[LC Number]],Main_Issuance[],10,0)</f>
        <v>1020088</v>
      </c>
      <c r="M1255" s="244" t="str">
        <f>VLOOKUP(Main_Presentation[[#This Row],[LC Number]],Main_Issuance[],11,0)</f>
        <v>SAR</v>
      </c>
      <c r="N1255" s="245">
        <f>VLOOKUP(Main_Presentation[[#This Row],[LC Number]],Main_Issuance[],12,0)</f>
        <v>875313.5</v>
      </c>
      <c r="O1255" s="217" t="s">
        <v>20</v>
      </c>
      <c r="P1255" s="217" t="s">
        <v>857</v>
      </c>
      <c r="Q1255" s="218">
        <v>109036.65</v>
      </c>
      <c r="R1255" s="131">
        <v>1</v>
      </c>
      <c r="S1255" s="218">
        <f>Main_Presentation[[#This Row],[Invoice Amt (FCY)]]*Main_Presentation[[#This Row],[Rate]]</f>
        <v>109036.65</v>
      </c>
      <c r="T1255" s="227">
        <v>46068</v>
      </c>
      <c r="U1255" s="243" t="str">
        <f>VLOOKUP(Main_Presentation[[#This Row],[LC Number]],Main_Issuance[],18,0)</f>
        <v>120 Days from Invoice Date</v>
      </c>
      <c r="V1255" s="233" t="s">
        <v>613</v>
      </c>
      <c r="W1255" s="229" t="s">
        <v>378</v>
      </c>
      <c r="X1255" s="217"/>
      <c r="Y1255" s="399" t="str">
        <f>TRIM(LEFT(Main_Presentation[[#This Row],[Payment Terms]],3))</f>
        <v>120</v>
      </c>
      <c r="Z1255" s="217"/>
      <c r="AA1255" s="316" cm="1">
        <f t="array" ref="AA1255">Settlement(Main_Presentation[[#This Row],[Bank]],Main_Presentation[[#This Row],[ Invoice Amt (SAR)]],Main_Presentation[[#This Row],[Date Recd]],Main_Presentation[[#This Row],[Due Date]],Main_Presentation[[#This Row],[Days]])</f>
        <v>575</v>
      </c>
      <c r="AB1255" s="217"/>
    </row>
    <row r="1256" spans="1:28" ht="15.75" hidden="1" x14ac:dyDescent="0.25">
      <c r="A1256" s="226" t="s">
        <v>1566</v>
      </c>
      <c r="B1256" s="227">
        <v>45963</v>
      </c>
      <c r="C1256" s="243">
        <v>3</v>
      </c>
      <c r="D1256" s="228" t="str">
        <f>VLOOKUP(Main_Presentation[[#This Row],[LC Number]],Main_Issuance[],3,0)</f>
        <v>Hassan Taleb</v>
      </c>
      <c r="E1256" s="217" t="s">
        <v>856</v>
      </c>
      <c r="F1256" s="244" t="str">
        <f>VLOOKUP(Main_Presentation[[#This Row],[LC Number]],Main_Issuance[],5,0)</f>
        <v>Jazira</v>
      </c>
      <c r="G1256" s="244" t="str">
        <f>VLOOKUP(Main_Presentation[[#This Row],[LC Number]],Main_Issuance[],6,0)</f>
        <v>RCRC</v>
      </c>
      <c r="H1256" s="244" t="str">
        <f>VLOOKUP(Main_Presentation[[#This Row],[LC Number]],Main_Issuance[],17,0)</f>
        <v>Credit</v>
      </c>
      <c r="I1256" s="244" t="str">
        <f>VLOOKUP(Main_Presentation[[#This Row],[LC Number]],Main_Issuance[],7,0)</f>
        <v>Alpha Limit Trading and Contracting Company</v>
      </c>
      <c r="J1256" s="244" t="str">
        <f>VLOOKUP(Main_Presentation[[#This Row],[LC Number]],Main_Issuance[],8,0)</f>
        <v>FIRST FIX</v>
      </c>
      <c r="K1256" s="244" t="str">
        <f>VLOOKUP(Main_Presentation[[#This Row],[LC Number]],Main_Issuance[],9,0)</f>
        <v>RCRC</v>
      </c>
      <c r="L1256" s="244">
        <f>VLOOKUP(Main_Presentation[[#This Row],[LC Number]],Main_Issuance[],10,0)</f>
        <v>1020106</v>
      </c>
      <c r="M1256" s="244" t="str">
        <f>VLOOKUP(Main_Presentation[[#This Row],[LC Number]],Main_Issuance[],11,0)</f>
        <v>SAR</v>
      </c>
      <c r="N1256" s="245">
        <f>VLOOKUP(Main_Presentation[[#This Row],[LC Number]],Main_Issuance[],12,0)</f>
        <v>399623.8</v>
      </c>
      <c r="O1256" s="217" t="s">
        <v>20</v>
      </c>
      <c r="P1256" s="217" t="s">
        <v>378</v>
      </c>
      <c r="Q1256" s="218">
        <v>48936.47</v>
      </c>
      <c r="R1256" s="131">
        <v>1</v>
      </c>
      <c r="S1256" s="218">
        <f>Main_Presentation[[#This Row],[Invoice Amt (FCY)]]*Main_Presentation[[#This Row],[Rate]]</f>
        <v>48936.47</v>
      </c>
      <c r="T1256" s="227">
        <v>46036</v>
      </c>
      <c r="U1256" s="243" t="str">
        <f>VLOOKUP(Main_Presentation[[#This Row],[LC Number]],Main_Issuance[],18,0)</f>
        <v>90 Days from Invoice Date</v>
      </c>
      <c r="V1256" s="233" t="s">
        <v>613</v>
      </c>
      <c r="W1256" s="229" t="s">
        <v>857</v>
      </c>
      <c r="X1256" s="217"/>
      <c r="Y1256" s="399" t="str">
        <f>TRIM(LEFT(Main_Presentation[[#This Row],[Payment Terms]],3))</f>
        <v>90</v>
      </c>
      <c r="Z1256" s="217"/>
      <c r="AA1256" s="316" cm="1">
        <f t="array" ref="AA1256">Settlement(Main_Presentation[[#This Row],[Bank]],Main_Presentation[[#This Row],[ Invoice Amt (SAR)]],Main_Presentation[[#This Row],[Date Recd]],Main_Presentation[[#This Row],[Due Date]],Main_Presentation[[#This Row],[Days]])</f>
        <v>977.5</v>
      </c>
      <c r="AB1256" s="217"/>
    </row>
    <row r="1257" spans="1:28" ht="15.75" hidden="1" x14ac:dyDescent="0.25">
      <c r="A1257" s="226" t="s">
        <v>1876</v>
      </c>
      <c r="B1257" s="227">
        <v>45965</v>
      </c>
      <c r="C1257" s="243">
        <v>2</v>
      </c>
      <c r="D1257" s="228" t="str">
        <f>VLOOKUP(Main_Presentation[[#This Row],[LC Number]],Main_Issuance[],3,0)</f>
        <v>Hassan Taleb</v>
      </c>
      <c r="E1257" s="217" t="s">
        <v>856</v>
      </c>
      <c r="F1257" s="244" t="str">
        <f>VLOOKUP(Main_Presentation[[#This Row],[LC Number]],Main_Issuance[],5,0)</f>
        <v>SAB</v>
      </c>
      <c r="G1257" s="244" t="str">
        <f>VLOOKUP(Main_Presentation[[#This Row],[LC Number]],Main_Issuance[],6,0)</f>
        <v>MP1</v>
      </c>
      <c r="H1257" s="244" t="str">
        <f>VLOOKUP(Main_Presentation[[#This Row],[LC Number]],Main_Issuance[],17,0)</f>
        <v>Credit</v>
      </c>
      <c r="I1257" s="244" t="str">
        <f>VLOOKUP(Main_Presentation[[#This Row],[LC Number]],Main_Issuance[],7,0)</f>
        <v>ELSEWEDY CABLES COMPANY LTD.</v>
      </c>
      <c r="J1257" s="244" t="str">
        <f>VLOOKUP(Main_Presentation[[#This Row],[LC Number]],Main_Issuance[],8,0)</f>
        <v>FIRST FIX</v>
      </c>
      <c r="K1257" s="244" t="str">
        <f>VLOOKUP(Main_Presentation[[#This Row],[LC Number]],Main_Issuance[],9,0)</f>
        <v>MP1</v>
      </c>
      <c r="L1257" s="244">
        <f>VLOOKUP(Main_Presentation[[#This Row],[LC Number]],Main_Issuance[],10,0)</f>
        <v>1020088</v>
      </c>
      <c r="M1257" s="244" t="str">
        <f>VLOOKUP(Main_Presentation[[#This Row],[LC Number]],Main_Issuance[],11,0)</f>
        <v>SAR</v>
      </c>
      <c r="N1257" s="245">
        <f>VLOOKUP(Main_Presentation[[#This Row],[LC Number]],Main_Issuance[],12,0)</f>
        <v>5000000</v>
      </c>
      <c r="O1257" s="217" t="s">
        <v>20</v>
      </c>
      <c r="P1257" s="217" t="s">
        <v>857</v>
      </c>
      <c r="Q1257" s="218">
        <v>816561.09</v>
      </c>
      <c r="R1257" s="131">
        <v>1</v>
      </c>
      <c r="S1257" s="218">
        <f>Main_Presentation[[#This Row],[Invoice Amt (FCY)]]*Main_Presentation[[#This Row],[Rate]]</f>
        <v>816561.09</v>
      </c>
      <c r="T1257" s="227">
        <v>46049</v>
      </c>
      <c r="U1257" s="243" t="str">
        <f>VLOOKUP(Main_Presentation[[#This Row],[LC Number]],Main_Issuance[],18,0)</f>
        <v>120 Days from Invoice Date</v>
      </c>
      <c r="V1257" s="233" t="s">
        <v>710</v>
      </c>
      <c r="W1257" s="229" t="s">
        <v>857</v>
      </c>
      <c r="X1257" s="217"/>
      <c r="Y1257" s="399" t="str">
        <f>TRIM(LEFT(Main_Presentation[[#This Row],[Payment Terms]],3))</f>
        <v>120</v>
      </c>
      <c r="Z1257" s="217"/>
      <c r="AA1257" s="316" cm="1">
        <f t="array" ref="AA1257">Settlement(Main_Presentation[[#This Row],[Bank]],Main_Presentation[[#This Row],[ Invoice Amt (SAR)]],Main_Presentation[[#This Row],[Date Recd]],Main_Presentation[[#This Row],[Due Date]],Main_Presentation[[#This Row],[Days]])</f>
        <v>3521.3</v>
      </c>
      <c r="AB1257" s="217"/>
    </row>
    <row r="1258" spans="1:28" ht="15.75" hidden="1" x14ac:dyDescent="0.25">
      <c r="A1258" s="226" t="s">
        <v>1874</v>
      </c>
      <c r="B1258" s="227">
        <v>45986</v>
      </c>
      <c r="C1258" s="243">
        <v>1</v>
      </c>
      <c r="D1258" s="228" t="str">
        <f>VLOOKUP(Main_Presentation[[#This Row],[LC Number]],Main_Issuance[],3,0)</f>
        <v>Hassan Taleb</v>
      </c>
      <c r="E1258" s="217" t="s">
        <v>858</v>
      </c>
      <c r="F1258" s="244" t="str">
        <f>VLOOKUP(Main_Presentation[[#This Row],[LC Number]],Main_Issuance[],5,0)</f>
        <v>SAB</v>
      </c>
      <c r="G1258" s="244" t="str">
        <f>VLOOKUP(Main_Presentation[[#This Row],[LC Number]],Main_Issuance[],6,0)</f>
        <v>MP1</v>
      </c>
      <c r="H1258" s="244" t="str">
        <f>VLOOKUP(Main_Presentation[[#This Row],[LC Number]],Main_Issuance[],17,0)</f>
        <v>Credit</v>
      </c>
      <c r="I1258" s="244" t="str">
        <f>VLOOKUP(Main_Presentation[[#This Row],[LC Number]],Main_Issuance[],7,0)</f>
        <v>Saudi Electric Supply Company</v>
      </c>
      <c r="J1258" s="244" t="str">
        <f>VLOOKUP(Main_Presentation[[#This Row],[LC Number]],Main_Issuance[],8,0)</f>
        <v>FIRST FIX</v>
      </c>
      <c r="K1258" s="244" t="str">
        <f>VLOOKUP(Main_Presentation[[#This Row],[LC Number]],Main_Issuance[],9,0)</f>
        <v>MP1</v>
      </c>
      <c r="L1258" s="244">
        <f>VLOOKUP(Main_Presentation[[#This Row],[LC Number]],Main_Issuance[],10,0)</f>
        <v>1020088</v>
      </c>
      <c r="M1258" s="244" t="str">
        <f>VLOOKUP(Main_Presentation[[#This Row],[LC Number]],Main_Issuance[],11,0)</f>
        <v>SAR</v>
      </c>
      <c r="N1258" s="245">
        <f>VLOOKUP(Main_Presentation[[#This Row],[LC Number]],Main_Issuance[],12,0)</f>
        <v>2000000</v>
      </c>
      <c r="O1258" s="217" t="s">
        <v>20</v>
      </c>
      <c r="P1258" s="217" t="s">
        <v>857</v>
      </c>
      <c r="Q1258" s="218">
        <v>2000000</v>
      </c>
      <c r="R1258" s="131">
        <v>1</v>
      </c>
      <c r="S1258" s="218">
        <f>Main_Presentation[[#This Row],[Invoice Amt (FCY)]]*Main_Presentation[[#This Row],[Rate]]</f>
        <v>2000000</v>
      </c>
      <c r="T1258" s="227">
        <v>46041</v>
      </c>
      <c r="U1258" s="243" t="str">
        <f>VLOOKUP(Main_Presentation[[#This Row],[LC Number]],Main_Issuance[],18,0)</f>
        <v>120 Days from Invoice Date</v>
      </c>
      <c r="V1258" s="233" t="s">
        <v>710</v>
      </c>
      <c r="W1258" s="229" t="s">
        <v>857</v>
      </c>
      <c r="X1258" s="217"/>
      <c r="Y1258" s="399" t="str">
        <f>TRIM(LEFT(Main_Presentation[[#This Row],[Payment Terms]],3))</f>
        <v>120</v>
      </c>
      <c r="Z1258" s="217"/>
      <c r="AA1258" s="316" cm="1">
        <f t="array" ref="AA1258">Settlement(Main_Presentation[[#This Row],[Bank]],Main_Presentation[[#This Row],[ Invoice Amt (SAR)]],Main_Presentation[[#This Row],[Date Recd]],Main_Presentation[[#This Row],[Due Date]],Main_Presentation[[#This Row],[Days]])</f>
        <v>8625</v>
      </c>
      <c r="AB1258" s="217"/>
    </row>
    <row r="1259" spans="1:28" ht="15.75" hidden="1" x14ac:dyDescent="0.25">
      <c r="A1259" s="226" t="s">
        <v>1229</v>
      </c>
      <c r="B1259" s="227">
        <v>45950</v>
      </c>
      <c r="C1259" s="243">
        <v>7</v>
      </c>
      <c r="D1259" s="228" t="str">
        <f>VLOOKUP(Main_Presentation[[#This Row],[LC Number]],Main_Issuance[],3,0)</f>
        <v>Tareeq - Premium</v>
      </c>
      <c r="E1259" s="217" t="s">
        <v>856</v>
      </c>
      <c r="F1259" s="244" t="str">
        <f>VLOOKUP(Main_Presentation[[#This Row],[LC Number]],Main_Issuance[],5,0)</f>
        <v>SAB</v>
      </c>
      <c r="G1259" s="244" t="str">
        <f>VLOOKUP(Main_Presentation[[#This Row],[LC Number]],Main_Issuance[],6,0)</f>
        <v>CEER</v>
      </c>
      <c r="H1259" s="244" t="str">
        <f>VLOOKUP(Main_Presentation[[#This Row],[LC Number]],Main_Issuance[],17,0)</f>
        <v>Credit</v>
      </c>
      <c r="I1259" s="244" t="str">
        <f>VLOOKUP(Main_Presentation[[#This Row],[LC Number]],Main_Issuance[],7,0)</f>
        <v>VENTLINE AIR CONDITIONING REQUISITES MANUFACTURING LLC</v>
      </c>
      <c r="J1259" s="244" t="str">
        <f>VLOOKUP(Main_Presentation[[#This Row],[LC Number]],Main_Issuance[],8,0)</f>
        <v>MBL/Premium</v>
      </c>
      <c r="K1259" s="244" t="str">
        <f>VLOOKUP(Main_Presentation[[#This Row],[LC Number]],Main_Issuance[],9,0)</f>
        <v>CEER</v>
      </c>
      <c r="L1259" s="244">
        <f>VLOOKUP(Main_Presentation[[#This Row],[LC Number]],Main_Issuance[],10,0)</f>
        <v>1020091</v>
      </c>
      <c r="M1259" s="244" t="str">
        <f>VLOOKUP(Main_Presentation[[#This Row],[LC Number]],Main_Issuance[],11,0)</f>
        <v>AED</v>
      </c>
      <c r="N1259" s="245">
        <f>VLOOKUP(Main_Presentation[[#This Row],[LC Number]],Main_Issuance[],12,0)</f>
        <v>6500000</v>
      </c>
      <c r="O1259" s="217" t="s">
        <v>20</v>
      </c>
      <c r="P1259" s="217" t="s">
        <v>857</v>
      </c>
      <c r="Q1259" s="218">
        <v>532000</v>
      </c>
      <c r="R1259" s="218">
        <v>1.0259</v>
      </c>
      <c r="S1259" s="218">
        <f>Main_Presentation[[#This Row],[Invoice Amt (FCY)]]*Main_Presentation[[#This Row],[Rate]]</f>
        <v>545778.80000000005</v>
      </c>
      <c r="T1259" s="227">
        <v>45952</v>
      </c>
      <c r="U1259" s="243" t="str">
        <f>VLOOKUP(Main_Presentation[[#This Row],[LC Number]],Main_Issuance[],18,0)</f>
        <v>Sight</v>
      </c>
      <c r="V1259" s="233" t="s">
        <v>367</v>
      </c>
      <c r="W1259" s="229" t="s">
        <v>857</v>
      </c>
      <c r="X1259" s="217"/>
      <c r="Y1259" s="399" t="str">
        <f>TRIM(LEFT(Main_Presentation[[#This Row],[Payment Terms]],3))</f>
        <v>Sig</v>
      </c>
      <c r="Z1259" s="217"/>
      <c r="AA1259" s="316" t="e" cm="1">
        <f t="array" ref="AA1259">Settlement(Main_Presentation[[#This Row],[Bank]],Main_Presentation[[#This Row],[ Invoice Amt (SAR)]],Main_Presentation[[#This Row],[Date Recd]],Main_Presentation[[#This Row],[Due Date]],Main_Presentation[[#This Row],[Days]])</f>
        <v>#VALUE!</v>
      </c>
      <c r="AB1259" s="217"/>
    </row>
    <row r="1260" spans="1:28" ht="15.75" hidden="1" x14ac:dyDescent="0.25">
      <c r="A1260" s="226" t="s">
        <v>1753</v>
      </c>
      <c r="B1260" s="227">
        <v>45951</v>
      </c>
      <c r="C1260" s="243">
        <v>1</v>
      </c>
      <c r="D1260" s="228" t="str">
        <f>VLOOKUP(Main_Presentation[[#This Row],[LC Number]],Main_Issuance[],3,0)</f>
        <v>Muhammed Khan</v>
      </c>
      <c r="E1260" s="217" t="s">
        <v>858</v>
      </c>
      <c r="F1260" s="244" t="str">
        <f>VLOOKUP(Main_Presentation[[#This Row],[LC Number]],Main_Issuance[],5,0)</f>
        <v>Riyad</v>
      </c>
      <c r="G1260" s="244" t="str">
        <f>VLOOKUP(Main_Presentation[[#This Row],[LC Number]],Main_Issuance[],6,0)</f>
        <v>Cash</v>
      </c>
      <c r="H1260" s="244" t="str">
        <f>VLOOKUP(Main_Presentation[[#This Row],[LC Number]],Main_Issuance[],17,0)</f>
        <v>Cash</v>
      </c>
      <c r="I1260" s="244" t="str">
        <f>VLOOKUP(Main_Presentation[[#This Row],[LC Number]],Main_Issuance[],7,0)</f>
        <v>Seerah Operation &amp; Maintenance Company</v>
      </c>
      <c r="J1260" s="244" t="str">
        <f>VLOOKUP(Main_Presentation[[#This Row],[LC Number]],Main_Issuance[],8,0)</f>
        <v>IFAS</v>
      </c>
      <c r="K1260" s="244" t="str">
        <f>VLOOKUP(Main_Presentation[[#This Row],[LC Number]],Main_Issuance[],9,0)</f>
        <v>IFAS - Various Projects</v>
      </c>
      <c r="L1260" s="244">
        <f>VLOOKUP(Main_Presentation[[#This Row],[LC Number]],Main_Issuance[],10,0)</f>
        <v>0</v>
      </c>
      <c r="M1260" s="244" t="str">
        <f>VLOOKUP(Main_Presentation[[#This Row],[LC Number]],Main_Issuance[],11,0)</f>
        <v>SAR</v>
      </c>
      <c r="N1260" s="245">
        <f>VLOOKUP(Main_Presentation[[#This Row],[LC Number]],Main_Issuance[],12,0)</f>
        <v>500000</v>
      </c>
      <c r="O1260" s="217" t="s">
        <v>20</v>
      </c>
      <c r="P1260" s="217" t="s">
        <v>857</v>
      </c>
      <c r="Q1260" s="218">
        <v>500000</v>
      </c>
      <c r="R1260" s="218">
        <v>1</v>
      </c>
      <c r="S1260" s="218">
        <f>Main_Presentation[[#This Row],[Invoice Amt (FCY)]]*Main_Presentation[[#This Row],[Rate]]</f>
        <v>500000</v>
      </c>
      <c r="T1260" s="227">
        <v>45952</v>
      </c>
      <c r="U1260" s="243" t="str">
        <f>VLOOKUP(Main_Presentation[[#This Row],[LC Number]],Main_Issuance[],18,0)</f>
        <v>Sight</v>
      </c>
      <c r="V1260" s="233" t="s">
        <v>70</v>
      </c>
      <c r="W1260" s="229" t="s">
        <v>857</v>
      </c>
      <c r="X1260" s="217"/>
      <c r="Y1260" s="399" t="str">
        <f>TRIM(LEFT(Main_Presentation[[#This Row],[Payment Terms]],3))</f>
        <v>Sig</v>
      </c>
      <c r="Z1260" s="217"/>
      <c r="AA1260" s="316" t="e" cm="1">
        <f t="array" ref="AA1260">Settlement(Main_Presentation[[#This Row],[Bank]],Main_Presentation[[#This Row],[ Invoice Amt (SAR)]],Main_Presentation[[#This Row],[Date Recd]],Main_Presentation[[#This Row],[Due Date]],Main_Presentation[[#This Row],[Days]])</f>
        <v>#VALUE!</v>
      </c>
      <c r="AB1260" s="217"/>
    </row>
    <row r="1261" spans="1:28" ht="15.75" hidden="1" x14ac:dyDescent="0.25">
      <c r="A1261" s="226" t="s">
        <v>1551</v>
      </c>
      <c r="B1261" s="227">
        <v>45952</v>
      </c>
      <c r="C1261" s="243">
        <v>1</v>
      </c>
      <c r="D1261" s="228" t="str">
        <f>VLOOKUP(Main_Presentation[[#This Row],[LC Number]],Main_Issuance[],3,0)</f>
        <v>Pierre Samaha</v>
      </c>
      <c r="E1261" s="217" t="s">
        <v>856</v>
      </c>
      <c r="F1261" s="244" t="str">
        <f>VLOOKUP(Main_Presentation[[#This Row],[LC Number]],Main_Issuance[],5,0)</f>
        <v>Alinma</v>
      </c>
      <c r="G1261" s="244" t="str">
        <f>VLOOKUP(Main_Presentation[[#This Row],[LC Number]],Main_Issuance[],6,0)</f>
        <v>KSP</v>
      </c>
      <c r="H1261" s="244" t="str">
        <f>VLOOKUP(Main_Presentation[[#This Row],[LC Number]],Main_Issuance[],17,0)</f>
        <v>Credit</v>
      </c>
      <c r="I1261" s="244" t="str">
        <f>VLOOKUP(Main_Presentation[[#This Row],[LC Number]],Main_Issuance[],7,0)</f>
        <v>BBH-CHEMTROL INTERNATIONAL ORGANIZATION S.L</v>
      </c>
      <c r="J1261" s="244" t="str">
        <f>VLOOKUP(Main_Presentation[[#This Row],[LC Number]],Main_Issuance[],8,0)</f>
        <v>MBL/ICAD</v>
      </c>
      <c r="K1261" s="244" t="str">
        <f>VLOOKUP(Main_Presentation[[#This Row],[LC Number]],Main_Issuance[],9,0)</f>
        <v>KSP</v>
      </c>
      <c r="L1261" s="244">
        <f>VLOOKUP(Main_Presentation[[#This Row],[LC Number]],Main_Issuance[],10,0)</f>
        <v>1020055</v>
      </c>
      <c r="M1261" s="244" t="str">
        <f>VLOOKUP(Main_Presentation[[#This Row],[LC Number]],Main_Issuance[],11,0)</f>
        <v>EUR</v>
      </c>
      <c r="N1261" s="245">
        <f>VLOOKUP(Main_Presentation[[#This Row],[LC Number]],Main_Issuance[],12,0)</f>
        <v>240542.66</v>
      </c>
      <c r="O1261" s="217" t="s">
        <v>20</v>
      </c>
      <c r="P1261" s="217" t="s">
        <v>857</v>
      </c>
      <c r="Q1261" s="218">
        <v>87487.54</v>
      </c>
      <c r="R1261" s="218">
        <v>4.3594999999999997</v>
      </c>
      <c r="S1261" s="218">
        <f>Main_Presentation[[#This Row],[Invoice Amt (FCY)]]*Main_Presentation[[#This Row],[Rate]]</f>
        <v>381401.93062999996</v>
      </c>
      <c r="T1261" s="227">
        <v>45953</v>
      </c>
      <c r="U1261" s="243" t="str">
        <f>VLOOKUP(Main_Presentation[[#This Row],[LC Number]],Main_Issuance[],18,0)</f>
        <v>90 Days from Shipment Date</v>
      </c>
      <c r="V1261" s="233" t="s">
        <v>22</v>
      </c>
      <c r="W1261" s="229" t="s">
        <v>857</v>
      </c>
      <c r="X1261" s="217" t="s">
        <v>2310</v>
      </c>
      <c r="Y1261" s="399" t="str">
        <f>TRIM(LEFT(Main_Presentation[[#This Row],[Payment Terms]],3))</f>
        <v>90</v>
      </c>
      <c r="Z1261" s="217"/>
      <c r="AA1261" s="316" cm="1">
        <f t="array" ref="AA1261">Settlement(Main_Presentation[[#This Row],[Bank]],Main_Presentation[[#This Row],[ Invoice Amt (SAR)]],Main_Presentation[[#This Row],[Date Recd]],Main_Presentation[[#This Row],[Due Date]],Main_Presentation[[#This Row],[Days]])</f>
        <v>1437.5</v>
      </c>
      <c r="AB1261" s="217"/>
    </row>
    <row r="1262" spans="1:28" ht="15.75" hidden="1" x14ac:dyDescent="0.25">
      <c r="A1262" s="226" t="s">
        <v>1743</v>
      </c>
      <c r="B1262" s="227">
        <v>45952</v>
      </c>
      <c r="C1262" s="243">
        <v>1</v>
      </c>
      <c r="D1262" s="228" t="str">
        <f>VLOOKUP(Main_Presentation[[#This Row],[LC Number]],Main_Issuance[],3,0)</f>
        <v>Muhammed Khan</v>
      </c>
      <c r="E1262" s="217" t="s">
        <v>858</v>
      </c>
      <c r="F1262" s="244" t="str">
        <f>VLOOKUP(Main_Presentation[[#This Row],[LC Number]],Main_Issuance[],5,0)</f>
        <v>Riyad</v>
      </c>
      <c r="G1262" s="244" t="str">
        <f>VLOOKUP(Main_Presentation[[#This Row],[LC Number]],Main_Issuance[],6,0)</f>
        <v>Cash</v>
      </c>
      <c r="H1262" s="244" t="str">
        <f>VLOOKUP(Main_Presentation[[#This Row],[LC Number]],Main_Issuance[],17,0)</f>
        <v>Cash</v>
      </c>
      <c r="I1262" s="244" t="str">
        <f>VLOOKUP(Main_Presentation[[#This Row],[LC Number]],Main_Issuance[],7,0)</f>
        <v>Dalal Al Sham Security Company</v>
      </c>
      <c r="J1262" s="244" t="str">
        <f>VLOOKUP(Main_Presentation[[#This Row],[LC Number]],Main_Issuance[],8,0)</f>
        <v>IFAS</v>
      </c>
      <c r="K1262" s="244" t="str">
        <f>VLOOKUP(Main_Presentation[[#This Row],[LC Number]],Main_Issuance[],9,0)</f>
        <v>IFAS - Various Projects</v>
      </c>
      <c r="L1262" s="244">
        <f>VLOOKUP(Main_Presentation[[#This Row],[LC Number]],Main_Issuance[],10,0)</f>
        <v>0</v>
      </c>
      <c r="M1262" s="244" t="str">
        <f>VLOOKUP(Main_Presentation[[#This Row],[LC Number]],Main_Issuance[],11,0)</f>
        <v>SAR</v>
      </c>
      <c r="N1262" s="245">
        <f>VLOOKUP(Main_Presentation[[#This Row],[LC Number]],Main_Issuance[],12,0)</f>
        <v>273082</v>
      </c>
      <c r="O1262" s="217" t="s">
        <v>20</v>
      </c>
      <c r="P1262" s="217" t="s">
        <v>857</v>
      </c>
      <c r="Q1262" s="218">
        <v>86185.85</v>
      </c>
      <c r="R1262" s="218">
        <v>1</v>
      </c>
      <c r="S1262" s="218">
        <f>Main_Presentation[[#This Row],[Invoice Amt (FCY)]]*Main_Presentation[[#This Row],[Rate]]</f>
        <v>86185.85</v>
      </c>
      <c r="T1262" s="227">
        <v>45953</v>
      </c>
      <c r="U1262" s="243" t="str">
        <f>VLOOKUP(Main_Presentation[[#This Row],[LC Number]],Main_Issuance[],18,0)</f>
        <v>Sight</v>
      </c>
      <c r="V1262" s="233" t="s">
        <v>70</v>
      </c>
      <c r="W1262" s="229" t="s">
        <v>857</v>
      </c>
      <c r="X1262" s="217"/>
      <c r="Y1262" s="399" t="str">
        <f>TRIM(LEFT(Main_Presentation[[#This Row],[Payment Terms]],3))</f>
        <v>Sig</v>
      </c>
      <c r="Z1262" s="217"/>
      <c r="AA1262" s="316" t="e" cm="1">
        <f t="array" ref="AA1262">Settlement(Main_Presentation[[#This Row],[Bank]],Main_Presentation[[#This Row],[ Invoice Amt (SAR)]],Main_Presentation[[#This Row],[Date Recd]],Main_Presentation[[#This Row],[Due Date]],Main_Presentation[[#This Row],[Days]])</f>
        <v>#VALUE!</v>
      </c>
      <c r="AB1262" s="217"/>
    </row>
    <row r="1263" spans="1:28" ht="15.75" hidden="1" x14ac:dyDescent="0.25">
      <c r="A1263" s="226" t="s">
        <v>1817</v>
      </c>
      <c r="B1263" s="227">
        <v>45970</v>
      </c>
      <c r="C1263" s="243">
        <v>1</v>
      </c>
      <c r="D1263" s="228" t="str">
        <f>VLOOKUP(Main_Presentation[[#This Row],[LC Number]],Main_Issuance[],3,0)</f>
        <v>Mohammed Kotb</v>
      </c>
      <c r="E1263" s="217" t="s">
        <v>856</v>
      </c>
      <c r="F1263" s="244" t="str">
        <f>VLOOKUP(Main_Presentation[[#This Row],[LC Number]],Main_Issuance[],5,0)</f>
        <v>SAB</v>
      </c>
      <c r="G1263" s="244" t="str">
        <f>VLOOKUP(Main_Presentation[[#This Row],[LC Number]],Main_Issuance[],6,0)</f>
        <v>MP1</v>
      </c>
      <c r="H1263" s="244" t="str">
        <f>VLOOKUP(Main_Presentation[[#This Row],[LC Number]],Main_Issuance[],17,0)</f>
        <v>Credit</v>
      </c>
      <c r="I1263" s="244" t="str">
        <f>VLOOKUP(Main_Presentation[[#This Row],[LC Number]],Main_Issuance[],7,0)</f>
        <v>Safid Co. Ltd</v>
      </c>
      <c r="J1263" s="244" t="str">
        <f>VLOOKUP(Main_Presentation[[#This Row],[LC Number]],Main_Issuance[],8,0)</f>
        <v>MBL/ICAD</v>
      </c>
      <c r="K1263" s="244" t="str">
        <f>VLOOKUP(Main_Presentation[[#This Row],[LC Number]],Main_Issuance[],9,0)</f>
        <v>ABHA</v>
      </c>
      <c r="L1263" s="244">
        <f>VLOOKUP(Main_Presentation[[#This Row],[LC Number]],Main_Issuance[],10,0)</f>
        <v>1020070</v>
      </c>
      <c r="M1263" s="244" t="str">
        <f>VLOOKUP(Main_Presentation[[#This Row],[LC Number]],Main_Issuance[],11,0)</f>
        <v>SAR</v>
      </c>
      <c r="N1263" s="245">
        <f>VLOOKUP(Main_Presentation[[#This Row],[LC Number]],Main_Issuance[],12,0)</f>
        <v>1180195</v>
      </c>
      <c r="O1263" s="217" t="s">
        <v>20</v>
      </c>
      <c r="P1263" s="217" t="s">
        <v>857</v>
      </c>
      <c r="Q1263" s="218">
        <v>1180195</v>
      </c>
      <c r="R1263" s="218">
        <v>1</v>
      </c>
      <c r="S1263" s="218">
        <f>Main_Presentation[[#This Row],[Invoice Amt (FCY)]]*Main_Presentation[[#This Row],[Rate]]</f>
        <v>1180195</v>
      </c>
      <c r="T1263" s="227">
        <v>46047</v>
      </c>
      <c r="U1263" s="243" t="str">
        <f>VLOOKUP(Main_Presentation[[#This Row],[LC Number]],Main_Issuance[],18,0)</f>
        <v>90 Days from Date of Delivery</v>
      </c>
      <c r="V1263" s="233" t="s">
        <v>367</v>
      </c>
      <c r="W1263" s="229" t="s">
        <v>857</v>
      </c>
      <c r="X1263" s="217"/>
      <c r="Y1263" s="399" t="str">
        <f>TRIM(LEFT(Main_Presentation[[#This Row],[Payment Terms]],3))</f>
        <v>90</v>
      </c>
      <c r="Z1263" s="217"/>
      <c r="AA1263" s="316" cm="1">
        <f t="array" ref="AA1263">Settlement(Main_Presentation[[#This Row],[Bank]],Main_Presentation[[#This Row],[ Invoice Amt (SAR)]],Main_Presentation[[#This Row],[Date Recd]],Main_Presentation[[#This Row],[Due Date]],Main_Presentation[[#This Row],[Days]])</f>
        <v>5089.8999999999996</v>
      </c>
      <c r="AB1263" s="217"/>
    </row>
    <row r="1264" spans="1:28" ht="15.75" hidden="1" x14ac:dyDescent="0.25">
      <c r="A1264" s="226" t="s">
        <v>1127</v>
      </c>
      <c r="B1264" s="227">
        <v>45953</v>
      </c>
      <c r="C1264" s="243">
        <v>5</v>
      </c>
      <c r="D1264" s="228" t="str">
        <f>VLOOKUP(Main_Presentation[[#This Row],[LC Number]],Main_Issuance[],3,0)</f>
        <v>Tareeq - Premium</v>
      </c>
      <c r="E1264" s="217" t="s">
        <v>858</v>
      </c>
      <c r="F1264" s="244" t="str">
        <f>VLOOKUP(Main_Presentation[[#This Row],[LC Number]],Main_Issuance[],5,0)</f>
        <v>SAB</v>
      </c>
      <c r="G1264" s="244" t="str">
        <f>VLOOKUP(Main_Presentation[[#This Row],[LC Number]],Main_Issuance[],6,0)</f>
        <v>CEER</v>
      </c>
      <c r="H1264" s="244" t="str">
        <f>VLOOKUP(Main_Presentation[[#This Row],[LC Number]],Main_Issuance[],17,0)</f>
        <v>Credit</v>
      </c>
      <c r="I1264" s="244" t="str">
        <f>VLOOKUP(Main_Presentation[[#This Row],[LC Number]],Main_Issuance[],7,0)</f>
        <v>SCHUCO MIDDLE EAST WINDOWS AND FACADE SYSTEMS LLC</v>
      </c>
      <c r="J1264" s="244" t="str">
        <f>VLOOKUP(Main_Presentation[[#This Row],[LC Number]],Main_Issuance[],8,0)</f>
        <v>MBL/Premium</v>
      </c>
      <c r="K1264" s="244" t="str">
        <f>VLOOKUP(Main_Presentation[[#This Row],[LC Number]],Main_Issuance[],9,0)</f>
        <v>CEER</v>
      </c>
      <c r="L1264" s="244">
        <f>VLOOKUP(Main_Presentation[[#This Row],[LC Number]],Main_Issuance[],10,0)</f>
        <v>1020091</v>
      </c>
      <c r="M1264" s="244" t="str">
        <f>VLOOKUP(Main_Presentation[[#This Row],[LC Number]],Main_Issuance[],11,0)</f>
        <v>AED</v>
      </c>
      <c r="N1264" s="245">
        <f>VLOOKUP(Main_Presentation[[#This Row],[LC Number]],Main_Issuance[],12,0)</f>
        <v>4750000</v>
      </c>
      <c r="O1264" s="217" t="s">
        <v>20</v>
      </c>
      <c r="P1264" s="217" t="s">
        <v>857</v>
      </c>
      <c r="Q1264" s="218">
        <v>799878.87</v>
      </c>
      <c r="R1264" s="218">
        <v>1.0262</v>
      </c>
      <c r="S1264" s="218">
        <f>Main_Presentation[[#This Row],[Invoice Amt (FCY)]]*Main_Presentation[[#This Row],[Rate]]</f>
        <v>820835.69639399997</v>
      </c>
      <c r="T1264" s="227">
        <v>45988</v>
      </c>
      <c r="U1264" s="243" t="str">
        <f>VLOOKUP(Main_Presentation[[#This Row],[LC Number]],Main_Issuance[],18,0)</f>
        <v>60 Days from Invoice Date</v>
      </c>
      <c r="V1264" s="233" t="s">
        <v>367</v>
      </c>
      <c r="W1264" s="229" t="s">
        <v>857</v>
      </c>
      <c r="X1264" s="217"/>
      <c r="Y1264" s="399" t="str">
        <f>TRIM(LEFT(Main_Presentation[[#This Row],[Payment Terms]],3))</f>
        <v>60</v>
      </c>
      <c r="Z1264" s="217"/>
      <c r="AA1264" s="316" cm="1">
        <f t="array" ref="AA1264">Settlement(Main_Presentation[[#This Row],[Bank]],Main_Presentation[[#This Row],[ Invoice Amt (SAR)]],Main_Presentation[[#This Row],[Date Recd]],Main_Presentation[[#This Row],[Due Date]],Main_Presentation[[#This Row],[Days]])</f>
        <v>3539.7</v>
      </c>
      <c r="AB1264" s="217"/>
    </row>
    <row r="1265" spans="1:28" ht="15.75" hidden="1" x14ac:dyDescent="0.25">
      <c r="A1265" s="226" t="s">
        <v>1127</v>
      </c>
      <c r="B1265" s="227">
        <v>45953</v>
      </c>
      <c r="C1265" s="243">
        <v>6</v>
      </c>
      <c r="D1265" s="228" t="str">
        <f>VLOOKUP(Main_Presentation[[#This Row],[LC Number]],Main_Issuance[],3,0)</f>
        <v>Tareeq - Premium</v>
      </c>
      <c r="E1265" s="217" t="s">
        <v>858</v>
      </c>
      <c r="F1265" s="244" t="str">
        <f>VLOOKUP(Main_Presentation[[#This Row],[LC Number]],Main_Issuance[],5,0)</f>
        <v>SAB</v>
      </c>
      <c r="G1265" s="244" t="str">
        <f>VLOOKUP(Main_Presentation[[#This Row],[LC Number]],Main_Issuance[],6,0)</f>
        <v>CEER</v>
      </c>
      <c r="H1265" s="244" t="str">
        <f>VLOOKUP(Main_Presentation[[#This Row],[LC Number]],Main_Issuance[],17,0)</f>
        <v>Credit</v>
      </c>
      <c r="I1265" s="244" t="str">
        <f>VLOOKUP(Main_Presentation[[#This Row],[LC Number]],Main_Issuance[],7,0)</f>
        <v>SCHUCO MIDDLE EAST WINDOWS AND FACADE SYSTEMS LLC</v>
      </c>
      <c r="J1265" s="244" t="str">
        <f>VLOOKUP(Main_Presentation[[#This Row],[LC Number]],Main_Issuance[],8,0)</f>
        <v>MBL/Premium</v>
      </c>
      <c r="K1265" s="244" t="str">
        <f>VLOOKUP(Main_Presentation[[#This Row],[LC Number]],Main_Issuance[],9,0)</f>
        <v>CEER</v>
      </c>
      <c r="L1265" s="244">
        <f>VLOOKUP(Main_Presentation[[#This Row],[LC Number]],Main_Issuance[],10,0)</f>
        <v>1020091</v>
      </c>
      <c r="M1265" s="244" t="str">
        <f>VLOOKUP(Main_Presentation[[#This Row],[LC Number]],Main_Issuance[],11,0)</f>
        <v>AED</v>
      </c>
      <c r="N1265" s="245">
        <f>VLOOKUP(Main_Presentation[[#This Row],[LC Number]],Main_Issuance[],12,0)</f>
        <v>4750000</v>
      </c>
      <c r="O1265" s="217" t="s">
        <v>20</v>
      </c>
      <c r="P1265" s="217" t="s">
        <v>857</v>
      </c>
      <c r="Q1265" s="218">
        <v>537863.22</v>
      </c>
      <c r="R1265" s="218">
        <v>1.0262</v>
      </c>
      <c r="S1265" s="218">
        <f>Main_Presentation[[#This Row],[Invoice Amt (FCY)]]*Main_Presentation[[#This Row],[Rate]]</f>
        <v>551955.23636400001</v>
      </c>
      <c r="T1265" s="227">
        <v>45958</v>
      </c>
      <c r="U1265" s="243" t="str">
        <f>VLOOKUP(Main_Presentation[[#This Row],[LC Number]],Main_Issuance[],18,0)</f>
        <v>60 Days from Invoice Date</v>
      </c>
      <c r="V1265" s="233" t="s">
        <v>367</v>
      </c>
      <c r="W1265" s="229" t="s">
        <v>857</v>
      </c>
      <c r="X1265" s="217"/>
      <c r="Y1265" s="399" t="str">
        <f>TRIM(LEFT(Main_Presentation[[#This Row],[Payment Terms]],3))</f>
        <v>60</v>
      </c>
      <c r="Z1265" s="217"/>
      <c r="AA1265" s="316" cm="1">
        <f t="array" ref="AA1265">Settlement(Main_Presentation[[#This Row],[Bank]],Main_Presentation[[#This Row],[ Invoice Amt (SAR)]],Main_Presentation[[#This Row],[Date Recd]],Main_Presentation[[#This Row],[Due Date]],Main_Presentation[[#This Row],[Days]])</f>
        <v>2380.5</v>
      </c>
      <c r="AB1265" s="217"/>
    </row>
    <row r="1266" spans="1:28" ht="15.75" hidden="1" x14ac:dyDescent="0.25">
      <c r="A1266" s="226" t="s">
        <v>1434</v>
      </c>
      <c r="B1266" s="15">
        <v>45974</v>
      </c>
      <c r="C1266" s="26">
        <v>2</v>
      </c>
      <c r="D1266" s="55" t="str">
        <f>VLOOKUP(Main_Presentation[[#This Row],[LC Number]],Main_Issuance[],3,0)</f>
        <v>Hassan Taleb</v>
      </c>
      <c r="E1266" s="16" t="s">
        <v>858</v>
      </c>
      <c r="F1266" s="17" t="str">
        <f>VLOOKUP(Main_Presentation[[#This Row],[LC Number]],Main_Issuance[],5,0)</f>
        <v>SAB</v>
      </c>
      <c r="G1266" s="17" t="str">
        <f>VLOOKUP(Main_Presentation[[#This Row],[LC Number]],Main_Issuance[],6,0)</f>
        <v>MP1</v>
      </c>
      <c r="H1266" s="17" t="str">
        <f>VLOOKUP(Main_Presentation[[#This Row],[LC Number]],Main_Issuance[],17,0)</f>
        <v>Credit</v>
      </c>
      <c r="I1266" s="17" t="str">
        <f>VLOOKUP(Main_Presentation[[#This Row],[LC Number]],Main_Issuance[],7,0)</f>
        <v>Brooq Al-Amaan Trading Company</v>
      </c>
      <c r="J1266" s="17" t="str">
        <f>VLOOKUP(Main_Presentation[[#This Row],[LC Number]],Main_Issuance[],8,0)</f>
        <v>FIRST FIX</v>
      </c>
      <c r="K1266" s="17" t="str">
        <f>VLOOKUP(Main_Presentation[[#This Row],[LC Number]],Main_Issuance[],9,0)</f>
        <v>MP1</v>
      </c>
      <c r="L1266" s="17">
        <f>VLOOKUP(Main_Presentation[[#This Row],[LC Number]],Main_Issuance[],10,0)</f>
        <v>1020088</v>
      </c>
      <c r="M1266" s="17" t="str">
        <f>VLOOKUP(Main_Presentation[[#This Row],[LC Number]],Main_Issuance[],11,0)</f>
        <v>SAR</v>
      </c>
      <c r="N1266" s="84">
        <f>VLOOKUP(Main_Presentation[[#This Row],[LC Number]],Main_Issuance[],12,0)</f>
        <v>800000</v>
      </c>
      <c r="O1266" s="16" t="s">
        <v>20</v>
      </c>
      <c r="P1266" s="16" t="s">
        <v>857</v>
      </c>
      <c r="Q1266" s="218">
        <v>20278.96</v>
      </c>
      <c r="R1266" s="18">
        <v>1</v>
      </c>
      <c r="S1266" s="18">
        <f>Main_Presentation[[#This Row],[Invoice Amt (FCY)]]*Main_Presentation[[#This Row],[Rate]]</f>
        <v>20278.96</v>
      </c>
      <c r="T1266" s="15">
        <v>46057</v>
      </c>
      <c r="U1266" s="26" t="str">
        <f>VLOOKUP(Main_Presentation[[#This Row],[LC Number]],Main_Issuance[],18,0)</f>
        <v>120 Days from Invoice Date</v>
      </c>
      <c r="V1266" s="249" t="s">
        <v>613</v>
      </c>
      <c r="W1266" s="22" t="s">
        <v>378</v>
      </c>
      <c r="X1266" s="217"/>
      <c r="Y1266" s="234" t="str">
        <f>TRIM(LEFT(Main_Presentation[[#This Row],[Payment Terms]],3))</f>
        <v>120</v>
      </c>
      <c r="Z1266" s="16"/>
      <c r="AA1266" s="316" cm="1">
        <f t="array" ref="AA1266">Settlement(Main_Presentation[[#This Row],[Bank]],Main_Presentation[[#This Row],[ Invoice Amt (SAR)]],Main_Presentation[[#This Row],[Date Recd]],Main_Presentation[[#This Row],[Due Date]],Main_Presentation[[#This Row],[Days]])</f>
        <v>575</v>
      </c>
      <c r="AB1266" s="16"/>
    </row>
    <row r="1267" spans="1:28" ht="15.75" hidden="1" x14ac:dyDescent="0.25">
      <c r="A1267" s="20" t="s">
        <v>1188</v>
      </c>
      <c r="B1267" s="15">
        <v>46005</v>
      </c>
      <c r="C1267" s="26">
        <v>2</v>
      </c>
      <c r="D1267" s="55" t="str">
        <f>VLOOKUP(Main_Presentation[[#This Row],[LC Number]],Main_Issuance[],3,0)</f>
        <v>Hassan Taleb</v>
      </c>
      <c r="E1267" s="16" t="s">
        <v>858</v>
      </c>
      <c r="F1267" s="17" t="str">
        <f>VLOOKUP(Main_Presentation[[#This Row],[LC Number]],Main_Issuance[],5,0)</f>
        <v>SAB</v>
      </c>
      <c r="G1267" s="17" t="str">
        <f>VLOOKUP(Main_Presentation[[#This Row],[LC Number]],Main_Issuance[],6,0)</f>
        <v>MP1</v>
      </c>
      <c r="H1267" s="17" t="str">
        <f>VLOOKUP(Main_Presentation[[#This Row],[LC Number]],Main_Issuance[],17,0)</f>
        <v>Credit</v>
      </c>
      <c r="I1267" s="17" t="str">
        <f>VLOOKUP(Main_Presentation[[#This Row],[LC Number]],Main_Issuance[],7,0)</f>
        <v>DAIKIN AIR CONDITIONING SAUDI ARABIA</v>
      </c>
      <c r="J1267" s="17" t="str">
        <f>VLOOKUP(Main_Presentation[[#This Row],[LC Number]],Main_Issuance[],8,0)</f>
        <v>FIRST FIX</v>
      </c>
      <c r="K1267" s="17" t="str">
        <f>VLOOKUP(Main_Presentation[[#This Row],[LC Number]],Main_Issuance[],9,0)</f>
        <v>MP1</v>
      </c>
      <c r="L1267" s="17">
        <f>VLOOKUP(Main_Presentation[[#This Row],[LC Number]],Main_Issuance[],10,0)</f>
        <v>1020088</v>
      </c>
      <c r="M1267" s="17" t="str">
        <f>VLOOKUP(Main_Presentation[[#This Row],[LC Number]],Main_Issuance[],11,0)</f>
        <v>SAR</v>
      </c>
      <c r="N1267" s="84">
        <f>VLOOKUP(Main_Presentation[[#This Row],[LC Number]],Main_Issuance[],12,0)</f>
        <v>1995000</v>
      </c>
      <c r="O1267" s="16" t="s">
        <v>20</v>
      </c>
      <c r="P1267" s="16" t="s">
        <v>378</v>
      </c>
      <c r="Q1267" s="218">
        <v>258500.05</v>
      </c>
      <c r="R1267" s="18">
        <v>1</v>
      </c>
      <c r="S1267" s="18">
        <f>Main_Presentation[[#This Row],[Invoice Amt (FCY)]]*Main_Presentation[[#This Row],[Rate]]</f>
        <v>258500.05</v>
      </c>
      <c r="T1267" s="15">
        <v>46033</v>
      </c>
      <c r="U1267" s="26" t="str">
        <f>VLOOKUP(Main_Presentation[[#This Row],[LC Number]],Main_Issuance[],18,0)</f>
        <v>90 Days from Invoice Date</v>
      </c>
      <c r="V1267" s="249" t="s">
        <v>710</v>
      </c>
      <c r="W1267" s="22" t="s">
        <v>857</v>
      </c>
      <c r="X1267" s="16"/>
      <c r="Y1267" s="234" t="str">
        <f>TRIM(LEFT(Main_Presentation[[#This Row],[Payment Terms]],3))</f>
        <v>90</v>
      </c>
      <c r="Z1267" s="16"/>
      <c r="AA1267" s="316" cm="1">
        <f t="array" ref="AA1267">Settlement(Main_Presentation[[#This Row],[Bank]],Main_Presentation[[#This Row],[ Invoice Amt (SAR)]],Main_Presentation[[#This Row],[Date Recd]],Main_Presentation[[#This Row],[Due Date]],Main_Presentation[[#This Row],[Days]])</f>
        <v>1114.3499999999999</v>
      </c>
      <c r="AB1267" s="16"/>
    </row>
    <row r="1268" spans="1:28" ht="15.75" hidden="1" x14ac:dyDescent="0.25">
      <c r="A1268" s="226" t="s">
        <v>1609</v>
      </c>
      <c r="B1268" s="15">
        <v>45982</v>
      </c>
      <c r="C1268" s="26">
        <v>1</v>
      </c>
      <c r="D1268" s="55" t="str">
        <f>VLOOKUP(Main_Presentation[[#This Row],[LC Number]],Main_Issuance[],3,0)</f>
        <v>Hassan Taleb</v>
      </c>
      <c r="E1268" s="16" t="s">
        <v>858</v>
      </c>
      <c r="F1268" s="17" t="str">
        <f>VLOOKUP(Main_Presentation[[#This Row],[LC Number]],Main_Issuance[],5,0)</f>
        <v>SAB</v>
      </c>
      <c r="G1268" s="17" t="str">
        <f>VLOOKUP(Main_Presentation[[#This Row],[LC Number]],Main_Issuance[],6,0)</f>
        <v>MP1</v>
      </c>
      <c r="H1268" s="17" t="str">
        <f>VLOOKUP(Main_Presentation[[#This Row],[LC Number]],Main_Issuance[],17,0)</f>
        <v>Credit</v>
      </c>
      <c r="I1268" s="17" t="str">
        <f>VLOOKUP(Main_Presentation[[#This Row],[LC Number]],Main_Issuance[],7,0)</f>
        <v>BROOQ ALAMAAN TRAD COMPANY</v>
      </c>
      <c r="J1268" s="17" t="str">
        <f>VLOOKUP(Main_Presentation[[#This Row],[LC Number]],Main_Issuance[],8,0)</f>
        <v>FIRST FIX</v>
      </c>
      <c r="K1268" s="17" t="str">
        <f>VLOOKUP(Main_Presentation[[#This Row],[LC Number]],Main_Issuance[],9,0)</f>
        <v>MP1</v>
      </c>
      <c r="L1268" s="17">
        <f>VLOOKUP(Main_Presentation[[#This Row],[LC Number]],Main_Issuance[],10,0)</f>
        <v>1020088</v>
      </c>
      <c r="M1268" s="17" t="str">
        <f>VLOOKUP(Main_Presentation[[#This Row],[LC Number]],Main_Issuance[],11,0)</f>
        <v>SAR</v>
      </c>
      <c r="N1268" s="84">
        <f>VLOOKUP(Main_Presentation[[#This Row],[LC Number]],Main_Issuance[],12,0)</f>
        <v>300000.01</v>
      </c>
      <c r="O1268" s="16" t="s">
        <v>20</v>
      </c>
      <c r="P1268" s="16" t="s">
        <v>857</v>
      </c>
      <c r="Q1268" s="218">
        <v>137792.10999999999</v>
      </c>
      <c r="R1268" s="18">
        <v>1</v>
      </c>
      <c r="S1268" s="18">
        <f>Main_Presentation[[#This Row],[Invoice Amt (FCY)]]*Main_Presentation[[#This Row],[Rate]]</f>
        <v>137792.10999999999</v>
      </c>
      <c r="T1268" s="15">
        <v>46058</v>
      </c>
      <c r="U1268" s="26" t="str">
        <f>VLOOKUP(Main_Presentation[[#This Row],[LC Number]],Main_Issuance[],18,0)</f>
        <v>120 Days from Invoice Date</v>
      </c>
      <c r="V1268" s="249" t="s">
        <v>613</v>
      </c>
      <c r="W1268" s="22" t="s">
        <v>378</v>
      </c>
      <c r="X1268" s="217"/>
      <c r="Y1268" s="234" t="str">
        <f>TRIM(LEFT(Main_Presentation[[#This Row],[Payment Terms]],3))</f>
        <v>120</v>
      </c>
      <c r="Z1268" s="16"/>
      <c r="AA1268" s="316" cm="1">
        <f t="array" ref="AA1268">Settlement(Main_Presentation[[#This Row],[Bank]],Main_Presentation[[#This Row],[ Invoice Amt (SAR)]],Main_Presentation[[#This Row],[Date Recd]],Main_Presentation[[#This Row],[Due Date]],Main_Presentation[[#This Row],[Days]])</f>
        <v>594.54999999999995</v>
      </c>
      <c r="AB1268" s="16"/>
    </row>
    <row r="1269" spans="1:28" ht="15.75" hidden="1" x14ac:dyDescent="0.25">
      <c r="A1269" s="226" t="s">
        <v>1897</v>
      </c>
      <c r="B1269" s="15">
        <v>45967</v>
      </c>
      <c r="C1269" s="26">
        <v>1</v>
      </c>
      <c r="D1269" s="55" t="str">
        <f>VLOOKUP(Main_Presentation[[#This Row],[LC Number]],Main_Issuance[],3,0)</f>
        <v>Hassan Taleb</v>
      </c>
      <c r="E1269" s="16" t="s">
        <v>856</v>
      </c>
      <c r="F1269" s="17" t="str">
        <f>VLOOKUP(Main_Presentation[[#This Row],[LC Number]],Main_Issuance[],5,0)</f>
        <v>SAB</v>
      </c>
      <c r="G1269" s="17" t="str">
        <f>VLOOKUP(Main_Presentation[[#This Row],[LC Number]],Main_Issuance[],6,0)</f>
        <v>MP1</v>
      </c>
      <c r="H1269" s="17" t="str">
        <f>VLOOKUP(Main_Presentation[[#This Row],[LC Number]],Main_Issuance[],17,0)</f>
        <v>Credit</v>
      </c>
      <c r="I1269" s="17" t="str">
        <f>VLOOKUP(Main_Presentation[[#This Row],[LC Number]],Main_Issuance[],7,0)</f>
        <v xml:space="preserve">National Marketing Est. Co. Ltd. </v>
      </c>
      <c r="J1269" s="17" t="str">
        <f>VLOOKUP(Main_Presentation[[#This Row],[LC Number]],Main_Issuance[],8,0)</f>
        <v>FIRST FIX</v>
      </c>
      <c r="K1269" s="17" t="str">
        <f>VLOOKUP(Main_Presentation[[#This Row],[LC Number]],Main_Issuance[],9,0)</f>
        <v>MP1</v>
      </c>
      <c r="L1269" s="17">
        <f>VLOOKUP(Main_Presentation[[#This Row],[LC Number]],Main_Issuance[],10,0)</f>
        <v>1020088</v>
      </c>
      <c r="M1269" s="17" t="str">
        <f>VLOOKUP(Main_Presentation[[#This Row],[LC Number]],Main_Issuance[],11,0)</f>
        <v>SAR</v>
      </c>
      <c r="N1269" s="84">
        <f>VLOOKUP(Main_Presentation[[#This Row],[LC Number]],Main_Issuance[],12,0)</f>
        <v>300000</v>
      </c>
      <c r="O1269" s="16" t="s">
        <v>20</v>
      </c>
      <c r="P1269" s="16" t="s">
        <v>857</v>
      </c>
      <c r="Q1269" s="218">
        <v>299950.92</v>
      </c>
      <c r="R1269" s="18">
        <v>1</v>
      </c>
      <c r="S1269" s="18">
        <f>Main_Presentation[[#This Row],[Invoice Amt (FCY)]]*Main_Presentation[[#This Row],[Rate]]</f>
        <v>299950.92</v>
      </c>
      <c r="T1269" s="15">
        <v>46064</v>
      </c>
      <c r="U1269" s="26" t="str">
        <f>VLOOKUP(Main_Presentation[[#This Row],[LC Number]],Main_Issuance[],18,0)</f>
        <v>120 Days from Invoice Date</v>
      </c>
      <c r="V1269" s="249" t="s">
        <v>613</v>
      </c>
      <c r="W1269" s="22" t="s">
        <v>378</v>
      </c>
      <c r="X1269" s="16"/>
      <c r="Y1269" s="234" t="str">
        <f>TRIM(LEFT(Main_Presentation[[#This Row],[Payment Terms]],3))</f>
        <v>120</v>
      </c>
      <c r="Z1269" s="16"/>
      <c r="AA1269" s="316" cm="1">
        <f t="array" ref="AA1269">Settlement(Main_Presentation[[#This Row],[Bank]],Main_Presentation[[#This Row],[ Invoice Amt (SAR)]],Main_Presentation[[#This Row],[Date Recd]],Main_Presentation[[#This Row],[Due Date]],Main_Presentation[[#This Row],[Days]])</f>
        <v>1293.75</v>
      </c>
      <c r="AB1269" s="16"/>
    </row>
    <row r="1270" spans="1:28" ht="15.75" hidden="1" x14ac:dyDescent="0.25">
      <c r="A1270" s="226" t="s">
        <v>1898</v>
      </c>
      <c r="B1270" s="227">
        <v>45973</v>
      </c>
      <c r="C1270" s="243">
        <v>1</v>
      </c>
      <c r="D1270" s="228" t="str">
        <f>VLOOKUP(Main_Presentation[[#This Row],[LC Number]],Main_Issuance[],3,0)</f>
        <v>Hassan Taleb</v>
      </c>
      <c r="E1270" s="217" t="s">
        <v>856</v>
      </c>
      <c r="F1270" s="244" t="str">
        <f>VLOOKUP(Main_Presentation[[#This Row],[LC Number]],Main_Issuance[],5,0)</f>
        <v>SAB</v>
      </c>
      <c r="G1270" s="244" t="str">
        <f>VLOOKUP(Main_Presentation[[#This Row],[LC Number]],Main_Issuance[],6,0)</f>
        <v>MP1</v>
      </c>
      <c r="H1270" s="244" t="str">
        <f>VLOOKUP(Main_Presentation[[#This Row],[LC Number]],Main_Issuance[],17,0)</f>
        <v>Credit</v>
      </c>
      <c r="I1270" s="244" t="str">
        <f>VLOOKUP(Main_Presentation[[#This Row],[LC Number]],Main_Issuance[],7,0)</f>
        <v xml:space="preserve">MARIAM TRADING CO. &amp; PARTNER </v>
      </c>
      <c r="J1270" s="244" t="str">
        <f>VLOOKUP(Main_Presentation[[#This Row],[LC Number]],Main_Issuance[],8,0)</f>
        <v>FIRST FIX</v>
      </c>
      <c r="K1270" s="244" t="str">
        <f>VLOOKUP(Main_Presentation[[#This Row],[LC Number]],Main_Issuance[],9,0)</f>
        <v>MP1</v>
      </c>
      <c r="L1270" s="244">
        <f>VLOOKUP(Main_Presentation[[#This Row],[LC Number]],Main_Issuance[],10,0)</f>
        <v>1020088</v>
      </c>
      <c r="M1270" s="244" t="str">
        <f>VLOOKUP(Main_Presentation[[#This Row],[LC Number]],Main_Issuance[],11,0)</f>
        <v>SAR</v>
      </c>
      <c r="N1270" s="245">
        <f>VLOOKUP(Main_Presentation[[#This Row],[LC Number]],Main_Issuance[],12,0)</f>
        <v>550000</v>
      </c>
      <c r="O1270" s="217" t="s">
        <v>20</v>
      </c>
      <c r="P1270" s="217" t="s">
        <v>857</v>
      </c>
      <c r="Q1270" s="218">
        <v>550000</v>
      </c>
      <c r="R1270" s="218">
        <v>1</v>
      </c>
      <c r="S1270" s="218">
        <f>Main_Presentation[[#This Row],[Invoice Amt (FCY)]]*Main_Presentation[[#This Row],[Rate]]</f>
        <v>550000</v>
      </c>
      <c r="T1270" s="227">
        <v>46057</v>
      </c>
      <c r="U1270" s="243" t="str">
        <f>VLOOKUP(Main_Presentation[[#This Row],[LC Number]],Main_Issuance[],18,0)</f>
        <v>120 Days from Invoice Date</v>
      </c>
      <c r="V1270" s="233" t="s">
        <v>613</v>
      </c>
      <c r="W1270" s="229" t="s">
        <v>378</v>
      </c>
      <c r="X1270" s="217"/>
      <c r="Y1270" s="399" t="str">
        <f>TRIM(LEFT(Main_Presentation[[#This Row],[Payment Terms]],3))</f>
        <v>120</v>
      </c>
      <c r="Z1270" s="217"/>
      <c r="AA1270" s="316" cm="1">
        <f t="array" ref="AA1270">Settlement(Main_Presentation[[#This Row],[Bank]],Main_Presentation[[#This Row],[ Invoice Amt (SAR)]],Main_Presentation[[#This Row],[Date Recd]],Main_Presentation[[#This Row],[Due Date]],Main_Presentation[[#This Row],[Days]])</f>
        <v>2371.3000000000002</v>
      </c>
      <c r="AB1270" s="217"/>
    </row>
    <row r="1271" spans="1:28" ht="15.75" hidden="1" x14ac:dyDescent="0.25">
      <c r="A1271" s="20" t="s">
        <v>1659</v>
      </c>
      <c r="B1271" s="15">
        <v>45982</v>
      </c>
      <c r="C1271" s="26">
        <v>1</v>
      </c>
      <c r="D1271" s="55" t="str">
        <f>VLOOKUP(Main_Presentation[[#This Row],[LC Number]],Main_Issuance[],3,0)</f>
        <v>Hassan Taleb</v>
      </c>
      <c r="E1271" s="16" t="s">
        <v>858</v>
      </c>
      <c r="F1271" s="17" t="str">
        <f>VLOOKUP(Main_Presentation[[#This Row],[LC Number]],Main_Issuance[],5,0)</f>
        <v>Alinma</v>
      </c>
      <c r="G1271" s="17" t="str">
        <f>VLOOKUP(Main_Presentation[[#This Row],[LC Number]],Main_Issuance[],6,0)</f>
        <v>KSP</v>
      </c>
      <c r="H1271" s="17" t="str">
        <f>VLOOKUP(Main_Presentation[[#This Row],[LC Number]],Main_Issuance[],17,0)</f>
        <v>Credit</v>
      </c>
      <c r="I1271" s="17" t="str">
        <f>VLOOKUP(Main_Presentation[[#This Row],[LC Number]],Main_Issuance[],7,0)</f>
        <v>AL-HADBANIA TRADING CO.</v>
      </c>
      <c r="J1271" s="17" t="str">
        <f>VLOOKUP(Main_Presentation[[#This Row],[LC Number]],Main_Issuance[],8,0)</f>
        <v>FIRST FIX</v>
      </c>
      <c r="K1271" s="17" t="str">
        <f>VLOOKUP(Main_Presentation[[#This Row],[LC Number]],Main_Issuance[],9,0)</f>
        <v>KSP</v>
      </c>
      <c r="L1271" s="17">
        <f>VLOOKUP(Main_Presentation[[#This Row],[LC Number]],Main_Issuance[],10,0)</f>
        <v>1020055</v>
      </c>
      <c r="M1271" s="17" t="str">
        <f>VLOOKUP(Main_Presentation[[#This Row],[LC Number]],Main_Issuance[],11,0)</f>
        <v>SAR</v>
      </c>
      <c r="N1271" s="84">
        <f>VLOOKUP(Main_Presentation[[#This Row],[LC Number]],Main_Issuance[],12,0)</f>
        <v>250000</v>
      </c>
      <c r="O1271" s="16" t="s">
        <v>20</v>
      </c>
      <c r="P1271" s="16" t="s">
        <v>857</v>
      </c>
      <c r="Q1271" s="218">
        <v>250000</v>
      </c>
      <c r="R1271" s="18">
        <v>1</v>
      </c>
      <c r="S1271" s="18">
        <f>Main_Presentation[[#This Row],[Invoice Amt (FCY)]]*Main_Presentation[[#This Row],[Rate]]</f>
        <v>250000</v>
      </c>
      <c r="T1271" s="15">
        <v>46064</v>
      </c>
      <c r="U1271" s="26" t="str">
        <f>VLOOKUP(Main_Presentation[[#This Row],[LC Number]],Main_Issuance[],18,0)</f>
        <v>120 Days from Invoice Date</v>
      </c>
      <c r="V1271" s="249" t="s">
        <v>613</v>
      </c>
      <c r="W1271" s="22" t="s">
        <v>378</v>
      </c>
      <c r="X1271" s="217"/>
      <c r="Y1271" s="234" t="str">
        <f>TRIM(LEFT(Main_Presentation[[#This Row],[Payment Terms]],3))</f>
        <v>120</v>
      </c>
      <c r="Z1271" s="16"/>
      <c r="AA1271" s="316" cm="1">
        <f t="array" ref="AA1271">Settlement(Main_Presentation[[#This Row],[Bank]],Main_Presentation[[#This Row],[ Invoice Amt (SAR)]],Main_Presentation[[#This Row],[Date Recd]],Main_Presentation[[#This Row],[Due Date]],Main_Presentation[[#This Row],[Days]])</f>
        <v>1437.5</v>
      </c>
      <c r="AB1271" s="16"/>
    </row>
    <row r="1272" spans="1:28" ht="15.75" hidden="1" x14ac:dyDescent="0.25">
      <c r="A1272" s="226" t="s">
        <v>1885</v>
      </c>
      <c r="B1272" s="15">
        <v>45973</v>
      </c>
      <c r="C1272" s="26">
        <v>1</v>
      </c>
      <c r="D1272" s="55" t="str">
        <f>VLOOKUP(Main_Presentation[[#This Row],[LC Number]],Main_Issuance[],3,0)</f>
        <v>Hassan Taleb</v>
      </c>
      <c r="E1272" s="16" t="s">
        <v>858</v>
      </c>
      <c r="F1272" s="17" t="str">
        <f>VLOOKUP(Main_Presentation[[#This Row],[LC Number]],Main_Issuance[],5,0)</f>
        <v>Alinma</v>
      </c>
      <c r="G1272" s="17" t="str">
        <f>VLOOKUP(Main_Presentation[[#This Row],[LC Number]],Main_Issuance[],6,0)</f>
        <v>KSP</v>
      </c>
      <c r="H1272" s="17" t="str">
        <f>VLOOKUP(Main_Presentation[[#This Row],[LC Number]],Main_Issuance[],17,0)</f>
        <v>Credit</v>
      </c>
      <c r="I1272" s="17" t="str">
        <f>VLOOKUP(Main_Presentation[[#This Row],[LC Number]],Main_Issuance[],7,0)</f>
        <v>DANAH METAL CO.</v>
      </c>
      <c r="J1272" s="17" t="str">
        <f>VLOOKUP(Main_Presentation[[#This Row],[LC Number]],Main_Issuance[],8,0)</f>
        <v>FIRST FIX</v>
      </c>
      <c r="K1272" s="17" t="str">
        <f>VLOOKUP(Main_Presentation[[#This Row],[LC Number]],Main_Issuance[],9,0)</f>
        <v>KSP</v>
      </c>
      <c r="L1272" s="17">
        <f>VLOOKUP(Main_Presentation[[#This Row],[LC Number]],Main_Issuance[],10,0)</f>
        <v>1020055</v>
      </c>
      <c r="M1272" s="17" t="str">
        <f>VLOOKUP(Main_Presentation[[#This Row],[LC Number]],Main_Issuance[],11,0)</f>
        <v>SAR</v>
      </c>
      <c r="N1272" s="84">
        <f>VLOOKUP(Main_Presentation[[#This Row],[LC Number]],Main_Issuance[],12,0)</f>
        <v>207933.08</v>
      </c>
      <c r="O1272" s="16" t="s">
        <v>20</v>
      </c>
      <c r="P1272" s="16" t="s">
        <v>857</v>
      </c>
      <c r="Q1272" s="218">
        <v>207933.08</v>
      </c>
      <c r="R1272" s="18">
        <v>1</v>
      </c>
      <c r="S1272" s="18">
        <f>Main_Presentation[[#This Row],[Invoice Amt (FCY)]]*Main_Presentation[[#This Row],[Rate]]</f>
        <v>207933.08</v>
      </c>
      <c r="T1272" s="15">
        <v>46047</v>
      </c>
      <c r="U1272" s="26" t="str">
        <f>VLOOKUP(Main_Presentation[[#This Row],[LC Number]],Main_Issuance[],18,0)</f>
        <v>120 Days from Invoice Date</v>
      </c>
      <c r="V1272" s="249" t="s">
        <v>613</v>
      </c>
      <c r="W1272" s="22" t="s">
        <v>378</v>
      </c>
      <c r="X1272" s="217"/>
      <c r="Y1272" s="234" t="str">
        <f>TRIM(LEFT(Main_Presentation[[#This Row],[Payment Terms]],3))</f>
        <v>120</v>
      </c>
      <c r="Z1272" s="16"/>
      <c r="AA1272" s="316" cm="1">
        <f t="array" ref="AA1272">Settlement(Main_Presentation[[#This Row],[Bank]],Main_Presentation[[#This Row],[ Invoice Amt (SAR)]],Main_Presentation[[#This Row],[Date Recd]],Main_Presentation[[#This Row],[Due Date]],Main_Presentation[[#This Row],[Days]])</f>
        <v>1437.5</v>
      </c>
      <c r="AB1272" s="16"/>
    </row>
    <row r="1273" spans="1:28" ht="15.75" hidden="1" x14ac:dyDescent="0.25">
      <c r="A1273" s="226" t="s">
        <v>1350</v>
      </c>
      <c r="B1273" s="15">
        <v>45985</v>
      </c>
      <c r="C1273" s="26">
        <v>1</v>
      </c>
      <c r="D1273" s="55" t="str">
        <f>VLOOKUP(Main_Presentation[[#This Row],[LC Number]],Main_Issuance[],3,0)</f>
        <v>Hassan Taleb</v>
      </c>
      <c r="E1273" s="16" t="s">
        <v>858</v>
      </c>
      <c r="F1273" s="17" t="str">
        <f>VLOOKUP(Main_Presentation[[#This Row],[LC Number]],Main_Issuance[],5,0)</f>
        <v>Alinma</v>
      </c>
      <c r="G1273" s="17" t="str">
        <f>VLOOKUP(Main_Presentation[[#This Row],[LC Number]],Main_Issuance[],6,0)</f>
        <v>KSP</v>
      </c>
      <c r="H1273" s="17" t="str">
        <f>VLOOKUP(Main_Presentation[[#This Row],[LC Number]],Main_Issuance[],17,0)</f>
        <v>Credit</v>
      </c>
      <c r="I1273" s="17" t="str">
        <f>VLOOKUP(Main_Presentation[[#This Row],[LC Number]],Main_Issuance[],7,0)</f>
        <v>ANSSAM AL RIYADH CONTRACTING EST</v>
      </c>
      <c r="J1273" s="17" t="str">
        <f>VLOOKUP(Main_Presentation[[#This Row],[LC Number]],Main_Issuance[],8,0)</f>
        <v>FIRST FIX</v>
      </c>
      <c r="K1273" s="17" t="str">
        <f>VLOOKUP(Main_Presentation[[#This Row],[LC Number]],Main_Issuance[],9,0)</f>
        <v>KSP</v>
      </c>
      <c r="L1273" s="17">
        <f>VLOOKUP(Main_Presentation[[#This Row],[LC Number]],Main_Issuance[],10,0)</f>
        <v>1020055</v>
      </c>
      <c r="M1273" s="17" t="str">
        <f>VLOOKUP(Main_Presentation[[#This Row],[LC Number]],Main_Issuance[],11,0)</f>
        <v>SAR</v>
      </c>
      <c r="N1273" s="84">
        <f>VLOOKUP(Main_Presentation[[#This Row],[LC Number]],Main_Issuance[],12,0)</f>
        <v>235199.15</v>
      </c>
      <c r="O1273" s="16" t="s">
        <v>20</v>
      </c>
      <c r="P1273" s="16" t="s">
        <v>857</v>
      </c>
      <c r="Q1273" s="218">
        <v>235199.15</v>
      </c>
      <c r="R1273" s="18">
        <v>1</v>
      </c>
      <c r="S1273" s="18">
        <f>Main_Presentation[[#This Row],[Invoice Amt (FCY)]]*Main_Presentation[[#This Row],[Rate]]</f>
        <v>235199.15</v>
      </c>
      <c r="T1273" s="15">
        <v>46049</v>
      </c>
      <c r="U1273" s="26" t="str">
        <f>VLOOKUP(Main_Presentation[[#This Row],[LC Number]],Main_Issuance[],18,0)</f>
        <v>120 Days from Invoice Date</v>
      </c>
      <c r="V1273" s="249" t="s">
        <v>613</v>
      </c>
      <c r="W1273" s="22" t="s">
        <v>378</v>
      </c>
      <c r="X1273" s="217"/>
      <c r="Y1273" s="234" t="str">
        <f>TRIM(LEFT(Main_Presentation[[#This Row],[Payment Terms]],3))</f>
        <v>120</v>
      </c>
      <c r="Z1273" s="16"/>
      <c r="AA1273" s="316" cm="1">
        <f t="array" ref="AA1273">Settlement(Main_Presentation[[#This Row],[Bank]],Main_Presentation[[#This Row],[ Invoice Amt (SAR)]],Main_Presentation[[#This Row],[Date Recd]],Main_Presentation[[#This Row],[Due Date]],Main_Presentation[[#This Row],[Days]])</f>
        <v>1437.5</v>
      </c>
      <c r="AB1273" s="16"/>
    </row>
    <row r="1274" spans="1:28" ht="15.75" hidden="1" x14ac:dyDescent="0.25">
      <c r="A1274" s="226" t="s">
        <v>1328</v>
      </c>
      <c r="B1274" s="15">
        <v>45970</v>
      </c>
      <c r="C1274" s="26">
        <v>4</v>
      </c>
      <c r="D1274" s="55" t="str">
        <f>VLOOKUP(Main_Presentation[[#This Row],[LC Number]],Main_Issuance[],3,0)</f>
        <v>Hassan Taleb</v>
      </c>
      <c r="E1274" s="16" t="s">
        <v>856</v>
      </c>
      <c r="F1274" s="17" t="str">
        <f>VLOOKUP(Main_Presentation[[#This Row],[LC Number]],Main_Issuance[],5,0)</f>
        <v>BAB</v>
      </c>
      <c r="G1274" s="17" t="str">
        <f>VLOOKUP(Main_Presentation[[#This Row],[LC Number]],Main_Issuance[],6,0)</f>
        <v>Cash</v>
      </c>
      <c r="H1274" s="17" t="str">
        <f>VLOOKUP(Main_Presentation[[#This Row],[LC Number]],Main_Issuance[],17,0)</f>
        <v>Cash</v>
      </c>
      <c r="I1274" s="17" t="str">
        <f>VLOOKUP(Main_Presentation[[#This Row],[LC Number]],Main_Issuance[],7,0)</f>
        <v>Electric House Trading Company L.L.C.</v>
      </c>
      <c r="J1274" s="17" t="str">
        <f>VLOOKUP(Main_Presentation[[#This Row],[LC Number]],Main_Issuance[],8,0)</f>
        <v>FIRST FIX</v>
      </c>
      <c r="K1274" s="17" t="str">
        <f>VLOOKUP(Main_Presentation[[#This Row],[LC Number]],Main_Issuance[],9,0)</f>
        <v>KSP</v>
      </c>
      <c r="L1274" s="17">
        <f>VLOOKUP(Main_Presentation[[#This Row],[LC Number]],Main_Issuance[],10,0)</f>
        <v>1020055</v>
      </c>
      <c r="M1274" s="17" t="str">
        <f>VLOOKUP(Main_Presentation[[#This Row],[LC Number]],Main_Issuance[],11,0)</f>
        <v>SAR</v>
      </c>
      <c r="N1274" s="84">
        <f>VLOOKUP(Main_Presentation[[#This Row],[LC Number]],Main_Issuance[],12,0)</f>
        <v>4639392.95</v>
      </c>
      <c r="O1274" s="16" t="s">
        <v>20</v>
      </c>
      <c r="P1274" s="16" t="s">
        <v>857</v>
      </c>
      <c r="Q1274" s="218">
        <v>1281656.55</v>
      </c>
      <c r="R1274" s="18">
        <v>1</v>
      </c>
      <c r="S1274" s="18">
        <f>Main_Presentation[[#This Row],[Invoice Amt (FCY)]]*Main_Presentation[[#This Row],[Rate]]</f>
        <v>1281656.55</v>
      </c>
      <c r="T1274" s="15">
        <v>46040</v>
      </c>
      <c r="U1274" s="26" t="str">
        <f>VLOOKUP(Main_Presentation[[#This Row],[LC Number]],Main_Issuance[],18,0)</f>
        <v>90 Days from Invoice Date</v>
      </c>
      <c r="V1274" s="17" t="s">
        <v>1849</v>
      </c>
      <c r="W1274" s="22" t="s">
        <v>378</v>
      </c>
      <c r="X1274" s="16"/>
      <c r="Y1274" s="234" t="str">
        <f>TRIM(LEFT(Main_Presentation[[#This Row],[Payment Terms]],3))</f>
        <v>90</v>
      </c>
      <c r="Z1274" s="16"/>
      <c r="AA1274" s="316" cm="1">
        <f t="array" ref="AA1274">Settlement(Main_Presentation[[#This Row],[Bank]],Main_Presentation[[#This Row],[ Invoice Amt (SAR)]],Main_Presentation[[#This Row],[Date Recd]],Main_Presentation[[#This Row],[Due Date]],Main_Presentation[[#This Row],[Days]])</f>
        <v>0</v>
      </c>
      <c r="AB1274" s="16"/>
    </row>
    <row r="1275" spans="1:28" ht="15.75" hidden="1" x14ac:dyDescent="0.25">
      <c r="A1275" s="226" t="s">
        <v>1861</v>
      </c>
      <c r="B1275" s="15">
        <v>45988</v>
      </c>
      <c r="C1275" s="26">
        <v>1</v>
      </c>
      <c r="D1275" s="55" t="str">
        <f>VLOOKUP(Main_Presentation[[#This Row],[LC Number]],Main_Issuance[],3,0)</f>
        <v>Luis Puente</v>
      </c>
      <c r="E1275" s="16" t="s">
        <v>858</v>
      </c>
      <c r="F1275" s="17" t="str">
        <f>VLOOKUP(Main_Presentation[[#This Row],[LC Number]],Main_Issuance[],5,0)</f>
        <v>Riyad</v>
      </c>
      <c r="G1275" s="17" t="str">
        <f>VLOOKUP(Main_Presentation[[#This Row],[LC Number]],Main_Issuance[],6,0)</f>
        <v>Cash</v>
      </c>
      <c r="H1275" s="17" t="str">
        <f>VLOOKUP(Main_Presentation[[#This Row],[LC Number]],Main_Issuance[],17,0)</f>
        <v>Cash</v>
      </c>
      <c r="I1275" s="17" t="str">
        <f>VLOOKUP(Main_Presentation[[#This Row],[LC Number]],Main_Issuance[],7,0)</f>
        <v>Saudi Electric Supply Company</v>
      </c>
      <c r="J1275" s="17" t="str">
        <f>VLOOKUP(Main_Presentation[[#This Row],[LC Number]],Main_Issuance[],8,0)</f>
        <v>FIRST FIX</v>
      </c>
      <c r="K1275" s="17" t="str">
        <f>VLOOKUP(Main_Presentation[[#This Row],[LC Number]],Main_Issuance[],9,0)</f>
        <v>Oceanarium</v>
      </c>
      <c r="L1275" s="17">
        <f>VLOOKUP(Main_Presentation[[#This Row],[LC Number]],Main_Issuance[],10,0)</f>
        <v>1020096</v>
      </c>
      <c r="M1275" s="17" t="str">
        <f>VLOOKUP(Main_Presentation[[#This Row],[LC Number]],Main_Issuance[],11,0)</f>
        <v>SAR</v>
      </c>
      <c r="N1275" s="84">
        <f>VLOOKUP(Main_Presentation[[#This Row],[LC Number]],Main_Issuance[],12,0)</f>
        <v>600000</v>
      </c>
      <c r="O1275" s="16" t="s">
        <v>20</v>
      </c>
      <c r="P1275" s="16" t="s">
        <v>857</v>
      </c>
      <c r="Q1275" s="218">
        <v>600000</v>
      </c>
      <c r="R1275" s="18">
        <v>1</v>
      </c>
      <c r="S1275" s="18">
        <f>Main_Presentation[[#This Row],[Invoice Amt (FCY)]]*Main_Presentation[[#This Row],[Rate]]</f>
        <v>600000</v>
      </c>
      <c r="T1275" s="15">
        <v>46049</v>
      </c>
      <c r="U1275" s="26" t="str">
        <f>VLOOKUP(Main_Presentation[[#This Row],[LC Number]],Main_Issuance[],18,0)</f>
        <v>120 Days from Invoice Date</v>
      </c>
      <c r="V1275" s="249" t="s">
        <v>70</v>
      </c>
      <c r="W1275" s="22" t="s">
        <v>857</v>
      </c>
      <c r="X1275" s="16"/>
      <c r="Y1275" s="234" t="str">
        <f>TRIM(LEFT(Main_Presentation[[#This Row],[Payment Terms]],3))</f>
        <v>120</v>
      </c>
      <c r="Z1275" s="16"/>
      <c r="AA1275" s="316" cm="1">
        <f t="array" ref="AA1275">Settlement(Main_Presentation[[#This Row],[Bank]],Main_Presentation[[#This Row],[ Invoice Amt (SAR)]],Main_Presentation[[#This Row],[Date Recd]],Main_Presentation[[#This Row],[Due Date]],Main_Presentation[[#This Row],[Days]])</f>
        <v>1725</v>
      </c>
      <c r="AB1275" s="16"/>
    </row>
    <row r="1276" spans="1:28" ht="15.75" hidden="1" x14ac:dyDescent="0.25">
      <c r="A1276" s="226" t="s">
        <v>1809</v>
      </c>
      <c r="B1276" s="227">
        <v>46016</v>
      </c>
      <c r="C1276" s="243">
        <v>1</v>
      </c>
      <c r="D1276" s="228" t="str">
        <f>VLOOKUP(Main_Presentation[[#This Row],[LC Number]],Main_Issuance[],3,0)</f>
        <v>Hassan Taleb</v>
      </c>
      <c r="E1276" s="217" t="s">
        <v>858</v>
      </c>
      <c r="F1276" s="244" t="str">
        <f>VLOOKUP(Main_Presentation[[#This Row],[LC Number]],Main_Issuance[],5,0)</f>
        <v>Jazira</v>
      </c>
      <c r="G1276" s="244" t="str">
        <f>VLOOKUP(Main_Presentation[[#This Row],[LC Number]],Main_Issuance[],6,0)</f>
        <v>RCRC</v>
      </c>
      <c r="H1276" s="244" t="str">
        <f>VLOOKUP(Main_Presentation[[#This Row],[LC Number]],Main_Issuance[],17,0)</f>
        <v>Credit</v>
      </c>
      <c r="I1276" s="244" t="str">
        <f>VLOOKUP(Main_Presentation[[#This Row],[LC Number]],Main_Issuance[],7,0)</f>
        <v>EALAA FOR GENERAL CONTRACTING CO</v>
      </c>
      <c r="J1276" s="244" t="str">
        <f>VLOOKUP(Main_Presentation[[#This Row],[LC Number]],Main_Issuance[],8,0)</f>
        <v>FIRST FIX</v>
      </c>
      <c r="K1276" s="244" t="str">
        <f>VLOOKUP(Main_Presentation[[#This Row],[LC Number]],Main_Issuance[],9,0)</f>
        <v>RCRC</v>
      </c>
      <c r="L1276" s="244">
        <f>VLOOKUP(Main_Presentation[[#This Row],[LC Number]],Main_Issuance[],10,0)</f>
        <v>1020106</v>
      </c>
      <c r="M1276" s="244" t="str">
        <f>VLOOKUP(Main_Presentation[[#This Row],[LC Number]],Main_Issuance[],11,0)</f>
        <v>SAR</v>
      </c>
      <c r="N1276" s="245">
        <f>VLOOKUP(Main_Presentation[[#This Row],[LC Number]],Main_Issuance[],12,0)</f>
        <v>70863</v>
      </c>
      <c r="O1276" s="217" t="s">
        <v>20</v>
      </c>
      <c r="P1276" s="217" t="s">
        <v>378</v>
      </c>
      <c r="Q1276" s="218">
        <v>70863</v>
      </c>
      <c r="R1276" s="218">
        <v>1</v>
      </c>
      <c r="S1276" s="218">
        <f>Main_Presentation[[#This Row],[Invoice Amt (FCY)]]*Main_Presentation[[#This Row],[Rate]]</f>
        <v>70863</v>
      </c>
      <c r="T1276" s="227">
        <v>46062</v>
      </c>
      <c r="U1276" s="243" t="str">
        <f>VLOOKUP(Main_Presentation[[#This Row],[LC Number]],Main_Issuance[],18,0)</f>
        <v>90 Days from Invoice Date</v>
      </c>
      <c r="V1276" s="233" t="s">
        <v>613</v>
      </c>
      <c r="W1276" s="229" t="s">
        <v>857</v>
      </c>
      <c r="X1276" s="217"/>
      <c r="Y1276" s="399" t="str">
        <f>TRIM(LEFT(Main_Presentation[[#This Row],[Payment Terms]],3))</f>
        <v>90</v>
      </c>
      <c r="Z1276" s="217"/>
      <c r="AA1276" s="316" cm="1">
        <f t="array" ref="AA1276">Settlement(Main_Presentation[[#This Row],[Bank]],Main_Presentation[[#This Row],[ Invoice Amt (SAR)]],Main_Presentation[[#This Row],[Date Recd]],Main_Presentation[[#This Row],[Due Date]],Main_Presentation[[#This Row],[Days]])</f>
        <v>977.5</v>
      </c>
      <c r="AB1276" s="217"/>
    </row>
    <row r="1277" spans="1:28" ht="15.75" hidden="1" x14ac:dyDescent="0.25">
      <c r="A1277" s="226" t="s">
        <v>1746</v>
      </c>
      <c r="B1277" s="227">
        <v>45956</v>
      </c>
      <c r="C1277" s="243">
        <v>1</v>
      </c>
      <c r="D1277" s="228" t="str">
        <f>VLOOKUP(Main_Presentation[[#This Row],[LC Number]],Main_Issuance[],3,0)</f>
        <v>Muhammed Khan</v>
      </c>
      <c r="E1277" s="217" t="s">
        <v>858</v>
      </c>
      <c r="F1277" s="244" t="str">
        <f>VLOOKUP(Main_Presentation[[#This Row],[LC Number]],Main_Issuance[],5,0)</f>
        <v>Riyad</v>
      </c>
      <c r="G1277" s="244" t="str">
        <f>VLOOKUP(Main_Presentation[[#This Row],[LC Number]],Main_Issuance[],6,0)</f>
        <v>Cash</v>
      </c>
      <c r="H1277" s="244" t="str">
        <f>VLOOKUP(Main_Presentation[[#This Row],[LC Number]],Main_Issuance[],17,0)</f>
        <v>Cash</v>
      </c>
      <c r="I1277" s="244" t="str">
        <f>VLOOKUP(Main_Presentation[[#This Row],[LC Number]],Main_Issuance[],7,0)</f>
        <v>ASCO Company Ltd</v>
      </c>
      <c r="J1277" s="244" t="str">
        <f>VLOOKUP(Main_Presentation[[#This Row],[LC Number]],Main_Issuance[],8,0)</f>
        <v>IFAS</v>
      </c>
      <c r="K1277" s="244" t="str">
        <f>VLOOKUP(Main_Presentation[[#This Row],[LC Number]],Main_Issuance[],9,0)</f>
        <v>IFAS - Various Projects</v>
      </c>
      <c r="L1277" s="244">
        <f>VLOOKUP(Main_Presentation[[#This Row],[LC Number]],Main_Issuance[],10,0)</f>
        <v>0</v>
      </c>
      <c r="M1277" s="244" t="str">
        <f>VLOOKUP(Main_Presentation[[#This Row],[LC Number]],Main_Issuance[],11,0)</f>
        <v>SAR</v>
      </c>
      <c r="N1277" s="245">
        <f>VLOOKUP(Main_Presentation[[#This Row],[LC Number]],Main_Issuance[],12,0)</f>
        <v>222582</v>
      </c>
      <c r="O1277" s="217" t="s">
        <v>20</v>
      </c>
      <c r="P1277" s="217" t="s">
        <v>857</v>
      </c>
      <c r="Q1277" s="218">
        <v>83778</v>
      </c>
      <c r="R1277" s="218">
        <v>1</v>
      </c>
      <c r="S1277" s="218">
        <f>Main_Presentation[[#This Row],[Invoice Amt (FCY)]]*Main_Presentation[[#This Row],[Rate]]</f>
        <v>83778</v>
      </c>
      <c r="T1277" s="227">
        <v>45957</v>
      </c>
      <c r="U1277" s="243" t="str">
        <f>VLOOKUP(Main_Presentation[[#This Row],[LC Number]],Main_Issuance[],18,0)</f>
        <v>Sight</v>
      </c>
      <c r="V1277" s="233" t="s">
        <v>70</v>
      </c>
      <c r="W1277" s="229" t="s">
        <v>857</v>
      </c>
      <c r="X1277" s="217"/>
      <c r="Y1277" s="399" t="str">
        <f>TRIM(LEFT(Main_Presentation[[#This Row],[Payment Terms]],3))</f>
        <v>Sig</v>
      </c>
      <c r="Z1277" s="217"/>
      <c r="AA1277" s="316" t="e" cm="1">
        <f t="array" ref="AA1277">Settlement(Main_Presentation[[#This Row],[Bank]],Main_Presentation[[#This Row],[ Invoice Amt (SAR)]],Main_Presentation[[#This Row],[Date Recd]],Main_Presentation[[#This Row],[Due Date]],Main_Presentation[[#This Row],[Days]])</f>
        <v>#VALUE!</v>
      </c>
      <c r="AB1277" s="217"/>
    </row>
    <row r="1278" spans="1:28" ht="15.75" hidden="1" x14ac:dyDescent="0.25">
      <c r="A1278" s="226" t="s">
        <v>2568</v>
      </c>
      <c r="B1278" s="227">
        <v>45956</v>
      </c>
      <c r="C1278" s="243">
        <v>1</v>
      </c>
      <c r="D1278" s="228" t="str">
        <f>VLOOKUP(Main_Presentation[[#This Row],[LC Number]],Main_Issuance[],3,0)</f>
        <v>Luis Puente</v>
      </c>
      <c r="E1278" s="217" t="s">
        <v>856</v>
      </c>
      <c r="F1278" s="244" t="str">
        <f>VLOOKUP(Main_Presentation[[#This Row],[LC Number]],Main_Issuance[],5,0)</f>
        <v>Riyad</v>
      </c>
      <c r="G1278" s="244" t="str">
        <f>VLOOKUP(Main_Presentation[[#This Row],[LC Number]],Main_Issuance[],6,0)</f>
        <v>Cash</v>
      </c>
      <c r="H1278" s="244" t="str">
        <f>VLOOKUP(Main_Presentation[[#This Row],[LC Number]],Main_Issuance[],17,0)</f>
        <v>Cash</v>
      </c>
      <c r="I1278" s="244" t="str">
        <f>VLOOKUP(Main_Presentation[[#This Row],[LC Number]],Main_Issuance[],7,0)</f>
        <v>Mat Filtrasyon Teknolojeleri A.S</v>
      </c>
      <c r="J1278" s="244" t="str">
        <f>VLOOKUP(Main_Presentation[[#This Row],[LC Number]],Main_Issuance[],8,0)</f>
        <v>MBL</v>
      </c>
      <c r="K1278" s="244" t="str">
        <f>VLOOKUP(Main_Presentation[[#This Row],[LC Number]],Main_Issuance[],9,0)</f>
        <v>Oceanarium</v>
      </c>
      <c r="L1278" s="244">
        <f>VLOOKUP(Main_Presentation[[#This Row],[LC Number]],Main_Issuance[],10,0)</f>
        <v>1020096</v>
      </c>
      <c r="M1278" s="244" t="str">
        <f>VLOOKUP(Main_Presentation[[#This Row],[LC Number]],Main_Issuance[],11,0)</f>
        <v>SAR</v>
      </c>
      <c r="N1278" s="245">
        <f>VLOOKUP(Main_Presentation[[#This Row],[LC Number]],Main_Issuance[],12,0)</f>
        <v>4092796.2399999998</v>
      </c>
      <c r="O1278" s="217" t="s">
        <v>20</v>
      </c>
      <c r="P1278" s="217" t="s">
        <v>857</v>
      </c>
      <c r="Q1278" s="218">
        <v>215118.36</v>
      </c>
      <c r="R1278" s="218">
        <v>1</v>
      </c>
      <c r="S1278" s="218">
        <f>Main_Presentation[[#This Row],[Invoice Amt (FCY)]]*Main_Presentation[[#This Row],[Rate]]</f>
        <v>215118.36</v>
      </c>
      <c r="T1278" s="227">
        <v>45984</v>
      </c>
      <c r="U1278" s="243" t="str">
        <f>VLOOKUP(Main_Presentation[[#This Row],[LC Number]],Main_Issuance[],18,0)</f>
        <v>45 Days from Invoice Date</v>
      </c>
      <c r="V1278" s="233" t="s">
        <v>70</v>
      </c>
      <c r="W1278" s="229" t="s">
        <v>857</v>
      </c>
      <c r="X1278" s="217"/>
      <c r="Y1278" s="399" t="str">
        <f>TRIM(LEFT(Main_Presentation[[#This Row],[Payment Terms]],3))</f>
        <v>45</v>
      </c>
      <c r="Z1278" s="217"/>
      <c r="AA1278" s="316" cm="1">
        <f t="array" ref="AA1278">Settlement(Main_Presentation[[#This Row],[Bank]],Main_Presentation[[#This Row],[ Invoice Amt (SAR)]],Main_Presentation[[#This Row],[Date Recd]],Main_Presentation[[#This Row],[Due Date]],Main_Presentation[[#This Row],[Days]])</f>
        <v>309.35000000000002</v>
      </c>
      <c r="AB1278" s="217"/>
    </row>
    <row r="1279" spans="1:28" ht="15.75" hidden="1" x14ac:dyDescent="0.25">
      <c r="A1279" s="226" t="s">
        <v>1800</v>
      </c>
      <c r="B1279" s="227">
        <v>45965</v>
      </c>
      <c r="C1279" s="243">
        <v>2</v>
      </c>
      <c r="D1279" s="228" t="str">
        <f>VLOOKUP(Main_Presentation[[#This Row],[LC Number]],Main_Issuance[],3,0)</f>
        <v>Mohammed Kotb</v>
      </c>
      <c r="E1279" s="217" t="s">
        <v>856</v>
      </c>
      <c r="F1279" s="244" t="str">
        <f>VLOOKUP(Main_Presentation[[#This Row],[LC Number]],Main_Issuance[],5,0)</f>
        <v>SAB</v>
      </c>
      <c r="G1279" s="244" t="str">
        <f>VLOOKUP(Main_Presentation[[#This Row],[LC Number]],Main_Issuance[],6,0)</f>
        <v>MP1</v>
      </c>
      <c r="H1279" s="244" t="str">
        <f>VLOOKUP(Main_Presentation[[#This Row],[LC Number]],Main_Issuance[],17,0)</f>
        <v>Credit</v>
      </c>
      <c r="I1279" s="244" t="str">
        <f>VLOOKUP(Main_Presentation[[#This Row],[LC Number]],Main_Issuance[],7,0)</f>
        <v>Depth Modern Technologies</v>
      </c>
      <c r="J1279" s="244" t="str">
        <f>VLOOKUP(Main_Presentation[[#This Row],[LC Number]],Main_Issuance[],8,0)</f>
        <v>MBL/ICAD</v>
      </c>
      <c r="K1279" s="244" t="str">
        <f>VLOOKUP(Main_Presentation[[#This Row],[LC Number]],Main_Issuance[],9,0)</f>
        <v>ABHA</v>
      </c>
      <c r="L1279" s="244">
        <f>VLOOKUP(Main_Presentation[[#This Row],[LC Number]],Main_Issuance[],10,0)</f>
        <v>1020070</v>
      </c>
      <c r="M1279" s="244" t="str">
        <f>VLOOKUP(Main_Presentation[[#This Row],[LC Number]],Main_Issuance[],11,0)</f>
        <v>SAR</v>
      </c>
      <c r="N1279" s="245">
        <f>VLOOKUP(Main_Presentation[[#This Row],[LC Number]],Main_Issuance[],12,0)</f>
        <v>3000000</v>
      </c>
      <c r="O1279" s="217" t="s">
        <v>20</v>
      </c>
      <c r="P1279" s="217" t="s">
        <v>857</v>
      </c>
      <c r="Q1279" s="218">
        <v>295975</v>
      </c>
      <c r="R1279" s="218">
        <v>1</v>
      </c>
      <c r="S1279" s="218">
        <f>Main_Presentation[[#This Row],[Invoice Amt (FCY)]]*Main_Presentation[[#This Row],[Rate]]</f>
        <v>295975</v>
      </c>
      <c r="T1279" s="227">
        <v>46020</v>
      </c>
      <c r="U1279" s="243" t="str">
        <f>VLOOKUP(Main_Presentation[[#This Row],[LC Number]],Main_Issuance[],18,0)</f>
        <v>90 Days from Date of Delivery</v>
      </c>
      <c r="V1279" s="233" t="s">
        <v>377</v>
      </c>
      <c r="W1279" s="229" t="s">
        <v>857</v>
      </c>
      <c r="X1279" s="217"/>
      <c r="Y1279" s="399" t="str">
        <f>TRIM(LEFT(Main_Presentation[[#This Row],[Payment Terms]],3))</f>
        <v>90</v>
      </c>
      <c r="Z1279" s="217"/>
      <c r="AA1279" s="316" cm="1">
        <f t="array" ref="AA1279">Settlement(Main_Presentation[[#This Row],[Bank]],Main_Presentation[[#This Row],[ Invoice Amt (SAR)]],Main_Presentation[[#This Row],[Date Recd]],Main_Presentation[[#This Row],[Due Date]],Main_Presentation[[#This Row],[Days]])</f>
        <v>1276.5</v>
      </c>
      <c r="AB1279" s="217"/>
    </row>
    <row r="1280" spans="1:28" ht="15.75" hidden="1" x14ac:dyDescent="0.25">
      <c r="A1280" s="226" t="s">
        <v>1807</v>
      </c>
      <c r="B1280" s="227">
        <v>45971</v>
      </c>
      <c r="C1280" s="243">
        <v>1</v>
      </c>
      <c r="D1280" s="228" t="str">
        <f>VLOOKUP(Main_Presentation[[#This Row],[LC Number]],Main_Issuance[],3,0)</f>
        <v>Mohammed Kotb</v>
      </c>
      <c r="E1280" s="217" t="s">
        <v>858</v>
      </c>
      <c r="F1280" s="244" t="str">
        <f>VLOOKUP(Main_Presentation[[#This Row],[LC Number]],Main_Issuance[],5,0)</f>
        <v>SAB</v>
      </c>
      <c r="G1280" s="244" t="str">
        <f>VLOOKUP(Main_Presentation[[#This Row],[LC Number]],Main_Issuance[],6,0)</f>
        <v>MP1</v>
      </c>
      <c r="H1280" s="244" t="str">
        <f>VLOOKUP(Main_Presentation[[#This Row],[LC Number]],Main_Issuance[],17,0)</f>
        <v>Credit</v>
      </c>
      <c r="I1280" s="244" t="str">
        <f>VLOOKUP(Main_Presentation[[#This Row],[LC Number]],Main_Issuance[],7,0)</f>
        <v xml:space="preserve">Advance Future Al Arabiya </v>
      </c>
      <c r="J1280" s="244" t="str">
        <f>VLOOKUP(Main_Presentation[[#This Row],[LC Number]],Main_Issuance[],8,0)</f>
        <v>MBL/ICAD</v>
      </c>
      <c r="K1280" s="244" t="str">
        <f>VLOOKUP(Main_Presentation[[#This Row],[LC Number]],Main_Issuance[],9,0)</f>
        <v>ABHA</v>
      </c>
      <c r="L1280" s="244">
        <f>VLOOKUP(Main_Presentation[[#This Row],[LC Number]],Main_Issuance[],10,0)</f>
        <v>1020070</v>
      </c>
      <c r="M1280" s="244" t="str">
        <f>VLOOKUP(Main_Presentation[[#This Row],[LC Number]],Main_Issuance[],11,0)</f>
        <v>SAR</v>
      </c>
      <c r="N1280" s="245">
        <f>VLOOKUP(Main_Presentation[[#This Row],[LC Number]],Main_Issuance[],12,0)</f>
        <v>500000</v>
      </c>
      <c r="O1280" s="217" t="s">
        <v>20</v>
      </c>
      <c r="P1280" s="217" t="s">
        <v>857</v>
      </c>
      <c r="Q1280" s="218">
        <v>500000</v>
      </c>
      <c r="R1280" s="218">
        <v>1</v>
      </c>
      <c r="S1280" s="218">
        <f>Main_Presentation[[#This Row],[Invoice Amt (FCY)]]*Main_Presentation[[#This Row],[Rate]]</f>
        <v>500000</v>
      </c>
      <c r="T1280" s="227">
        <v>46049</v>
      </c>
      <c r="U1280" s="243" t="str">
        <f>VLOOKUP(Main_Presentation[[#This Row],[LC Number]],Main_Issuance[],18,0)</f>
        <v>90 Days from Date of Delivery</v>
      </c>
      <c r="V1280" s="233" t="s">
        <v>710</v>
      </c>
      <c r="W1280" s="229" t="s">
        <v>378</v>
      </c>
      <c r="X1280" s="217"/>
      <c r="Y1280" s="399" t="str">
        <f>TRIM(LEFT(Main_Presentation[[#This Row],[Payment Terms]],3))</f>
        <v>90</v>
      </c>
      <c r="Z1280" s="217"/>
      <c r="AA1280" s="316" cm="1">
        <f t="array" ref="AA1280">Settlement(Main_Presentation[[#This Row],[Bank]],Main_Presentation[[#This Row],[ Invoice Amt (SAR)]],Main_Presentation[[#This Row],[Date Recd]],Main_Presentation[[#This Row],[Due Date]],Main_Presentation[[#This Row],[Days]])</f>
        <v>2156.25</v>
      </c>
      <c r="AB1280" s="217"/>
    </row>
    <row r="1281" spans="1:28" ht="15.75" hidden="1" x14ac:dyDescent="0.25">
      <c r="A1281" s="226" t="s">
        <v>1815</v>
      </c>
      <c r="B1281" s="227">
        <v>45970</v>
      </c>
      <c r="C1281" s="243">
        <v>1</v>
      </c>
      <c r="D1281" s="228" t="str">
        <f>VLOOKUP(Main_Presentation[[#This Row],[LC Number]],Main_Issuance[],3,0)</f>
        <v>Mohammed Kotb</v>
      </c>
      <c r="E1281" s="217" t="s">
        <v>858</v>
      </c>
      <c r="F1281" s="244" t="str">
        <f>VLOOKUP(Main_Presentation[[#This Row],[LC Number]],Main_Issuance[],5,0)</f>
        <v>SAB</v>
      </c>
      <c r="G1281" s="244" t="str">
        <f>VLOOKUP(Main_Presentation[[#This Row],[LC Number]],Main_Issuance[],6,0)</f>
        <v>MP1</v>
      </c>
      <c r="H1281" s="244" t="str">
        <f>VLOOKUP(Main_Presentation[[#This Row],[LC Number]],Main_Issuance[],17,0)</f>
        <v>Credit</v>
      </c>
      <c r="I1281" s="244" t="str">
        <f>VLOOKUP(Main_Presentation[[#This Row],[LC Number]],Main_Issuance[],7,0)</f>
        <v>Al-Sayed Center A/C &amp; Refrigeration Materials Company.</v>
      </c>
      <c r="J1281" s="244" t="str">
        <f>VLOOKUP(Main_Presentation[[#This Row],[LC Number]],Main_Issuance[],8,0)</f>
        <v>MBL/ICAD</v>
      </c>
      <c r="K1281" s="244" t="str">
        <f>VLOOKUP(Main_Presentation[[#This Row],[LC Number]],Main_Issuance[],9,0)</f>
        <v>ABHA</v>
      </c>
      <c r="L1281" s="244">
        <f>VLOOKUP(Main_Presentation[[#This Row],[LC Number]],Main_Issuance[],10,0)</f>
        <v>1020070</v>
      </c>
      <c r="M1281" s="244" t="str">
        <f>VLOOKUP(Main_Presentation[[#This Row],[LC Number]],Main_Issuance[],11,0)</f>
        <v>SAR</v>
      </c>
      <c r="N1281" s="245">
        <f>VLOOKUP(Main_Presentation[[#This Row],[LC Number]],Main_Issuance[],12,0)</f>
        <v>686883</v>
      </c>
      <c r="O1281" s="217" t="s">
        <v>20</v>
      </c>
      <c r="P1281" s="217" t="s">
        <v>857</v>
      </c>
      <c r="Q1281" s="218">
        <v>686883</v>
      </c>
      <c r="R1281" s="218">
        <v>1</v>
      </c>
      <c r="S1281" s="218">
        <f>Main_Presentation[[#This Row],[Invoice Amt (FCY)]]*Main_Presentation[[#This Row],[Rate]]</f>
        <v>686883</v>
      </c>
      <c r="T1281" s="227">
        <v>45973</v>
      </c>
      <c r="U1281" s="243" t="str">
        <f>VLOOKUP(Main_Presentation[[#This Row],[LC Number]],Main_Issuance[],18,0)</f>
        <v>120 Days from Date of Delivery</v>
      </c>
      <c r="V1281" s="233" t="s">
        <v>377</v>
      </c>
      <c r="W1281" s="229" t="s">
        <v>857</v>
      </c>
      <c r="X1281" s="217"/>
      <c r="Y1281" s="399" t="str">
        <f>TRIM(LEFT(Main_Presentation[[#This Row],[Payment Terms]],3))</f>
        <v>120</v>
      </c>
      <c r="Z1281" s="217"/>
      <c r="AA1281" s="316" cm="1">
        <f t="array" ref="AA1281">Settlement(Main_Presentation[[#This Row],[Bank]],Main_Presentation[[#This Row],[ Invoice Amt (SAR)]],Main_Presentation[[#This Row],[Date Recd]],Main_Presentation[[#This Row],[Due Date]],Main_Presentation[[#This Row],[Days]])</f>
        <v>2962.4</v>
      </c>
      <c r="AB1281" s="217"/>
    </row>
    <row r="1282" spans="1:28" ht="15.75" hidden="1" x14ac:dyDescent="0.25">
      <c r="A1282" s="226" t="s">
        <v>1446</v>
      </c>
      <c r="B1282" s="227">
        <v>45963</v>
      </c>
      <c r="C1282" s="243">
        <v>3</v>
      </c>
      <c r="D1282" s="228" t="str">
        <f>VLOOKUP(Main_Presentation[[#This Row],[LC Number]],Main_Issuance[],3,0)</f>
        <v>Rabih Makhoul</v>
      </c>
      <c r="E1282" s="217" t="s">
        <v>858</v>
      </c>
      <c r="F1282" s="244" t="str">
        <f>VLOOKUP(Main_Presentation[[#This Row],[LC Number]],Main_Issuance[],5,0)</f>
        <v>SNB</v>
      </c>
      <c r="G1282" s="244" t="str">
        <f>VLOOKUP(Main_Presentation[[#This Row],[LC Number]],Main_Issuance[],6,0)</f>
        <v>Opera House</v>
      </c>
      <c r="H1282" s="244" t="str">
        <f>VLOOKUP(Main_Presentation[[#This Row],[LC Number]],Main_Issuance[],17,0)</f>
        <v>Credit</v>
      </c>
      <c r="I1282" s="244" t="str">
        <f>VLOOKUP(Main_Presentation[[#This Row],[LC Number]],Main_Issuance[],7,0)</f>
        <v>Al Arabia Construction &amp; Building Co.</v>
      </c>
      <c r="J1282" s="244" t="str">
        <f>VLOOKUP(Main_Presentation[[#This Row],[LC Number]],Main_Issuance[],8,0)</f>
        <v>MBL</v>
      </c>
      <c r="K1282" s="244" t="str">
        <f>VLOOKUP(Main_Presentation[[#This Row],[LC Number]],Main_Issuance[],9,0)</f>
        <v>Rabigh Power Plant</v>
      </c>
      <c r="L1282" s="244">
        <f>VLOOKUP(Main_Presentation[[#This Row],[LC Number]],Main_Issuance[],10,0)</f>
        <v>1020107</v>
      </c>
      <c r="M1282" s="244" t="str">
        <f>VLOOKUP(Main_Presentation[[#This Row],[LC Number]],Main_Issuance[],11,0)</f>
        <v>SAR</v>
      </c>
      <c r="N1282" s="245">
        <f>VLOOKUP(Main_Presentation[[#This Row],[LC Number]],Main_Issuance[],12,0)</f>
        <v>4738920</v>
      </c>
      <c r="O1282" s="217" t="s">
        <v>20</v>
      </c>
      <c r="P1282" s="217" t="s">
        <v>378</v>
      </c>
      <c r="Q1282" s="218">
        <v>386911.75</v>
      </c>
      <c r="R1282" s="218">
        <v>1</v>
      </c>
      <c r="S1282" s="218">
        <f>Main_Presentation[[#This Row],[Invoice Amt (FCY)]]*Main_Presentation[[#This Row],[Rate]]</f>
        <v>386911.75</v>
      </c>
      <c r="T1282" s="227">
        <v>45967</v>
      </c>
      <c r="U1282" s="243" t="str">
        <f>VLOOKUP(Main_Presentation[[#This Row],[LC Number]],Main_Issuance[],18,0)</f>
        <v>45 Days from the Invoice Date</v>
      </c>
      <c r="V1282" s="233" t="s">
        <v>511</v>
      </c>
      <c r="W1282" s="229" t="s">
        <v>857</v>
      </c>
      <c r="X1282" s="217"/>
      <c r="Y1282" s="399" t="str">
        <f>TRIM(LEFT(Main_Presentation[[#This Row],[Payment Terms]],3))</f>
        <v>45</v>
      </c>
      <c r="Z1282" s="217"/>
      <c r="AA1282" s="316" cm="1">
        <f t="array" ref="AA1282">Settlement(Main_Presentation[[#This Row],[Bank]],Main_Presentation[[#This Row],[ Invoice Amt (SAR)]],Main_Presentation[[#This Row],[Date Recd]],Main_Presentation[[#This Row],[Due Date]],Main_Presentation[[#This Row],[Days]])</f>
        <v>655.5</v>
      </c>
      <c r="AB1282" s="217"/>
    </row>
    <row r="1283" spans="1:28" ht="15.75" hidden="1" x14ac:dyDescent="0.25">
      <c r="A1283" s="226" t="s">
        <v>1191</v>
      </c>
      <c r="B1283" s="227">
        <v>45965</v>
      </c>
      <c r="C1283" s="243">
        <v>6</v>
      </c>
      <c r="D1283" s="228" t="str">
        <f>VLOOKUP(Main_Presentation[[#This Row],[LC Number]],Main_Issuance[],3,0)</f>
        <v>Rabih Makhoul</v>
      </c>
      <c r="E1283" s="217" t="s">
        <v>858</v>
      </c>
      <c r="F1283" s="244" t="str">
        <f>VLOOKUP(Main_Presentation[[#This Row],[LC Number]],Main_Issuance[],5,0)</f>
        <v>Alinma</v>
      </c>
      <c r="G1283" s="244" t="str">
        <f>VLOOKUP(Main_Presentation[[#This Row],[LC Number]],Main_Issuance[],6,0)</f>
        <v>KSP</v>
      </c>
      <c r="H1283" s="244" t="str">
        <f>VLOOKUP(Main_Presentation[[#This Row],[LC Number]],Main_Issuance[],17,0)</f>
        <v>Credit</v>
      </c>
      <c r="I1283" s="244" t="str">
        <f>VLOOKUP(Main_Presentation[[#This Row],[LC Number]],Main_Issuance[],7,0)</f>
        <v>Awtad Jeddah for General Contracting Company</v>
      </c>
      <c r="J1283" s="244" t="str">
        <f>VLOOKUP(Main_Presentation[[#This Row],[LC Number]],Main_Issuance[],8,0)</f>
        <v>MBL</v>
      </c>
      <c r="K1283" s="244" t="str">
        <f>VLOOKUP(Main_Presentation[[#This Row],[LC Number]],Main_Issuance[],9,0)</f>
        <v>Rabigh Power Plant</v>
      </c>
      <c r="L1283" s="244">
        <f>VLOOKUP(Main_Presentation[[#This Row],[LC Number]],Main_Issuance[],10,0)</f>
        <v>1020107</v>
      </c>
      <c r="M1283" s="244" t="str">
        <f>VLOOKUP(Main_Presentation[[#This Row],[LC Number]],Main_Issuance[],11,0)</f>
        <v>SAR</v>
      </c>
      <c r="N1283" s="245">
        <f>VLOOKUP(Main_Presentation[[#This Row],[LC Number]],Main_Issuance[],12,0)</f>
        <v>5233040.5</v>
      </c>
      <c r="O1283" s="217" t="s">
        <v>20</v>
      </c>
      <c r="P1283" s="217" t="s">
        <v>857</v>
      </c>
      <c r="Q1283" s="218">
        <v>403641.7</v>
      </c>
      <c r="R1283" s="218">
        <v>1</v>
      </c>
      <c r="S1283" s="218">
        <f>Main_Presentation[[#This Row],[Invoice Amt (FCY)]]*Main_Presentation[[#This Row],[Rate]]</f>
        <v>403641.7</v>
      </c>
      <c r="T1283" s="227">
        <v>45984</v>
      </c>
      <c r="U1283" s="243" t="str">
        <f>VLOOKUP(Main_Presentation[[#This Row],[LC Number]],Main_Issuance[],18,0)</f>
        <v>45 Days from Applicant Sign on Invoice</v>
      </c>
      <c r="V1283" s="233" t="s">
        <v>304</v>
      </c>
      <c r="W1283" s="229" t="s">
        <v>378</v>
      </c>
      <c r="X1283" s="217"/>
      <c r="Y1283" s="399" t="str">
        <f>TRIM(LEFT(Main_Presentation[[#This Row],[Payment Terms]],3))</f>
        <v>45</v>
      </c>
      <c r="Z1283" s="217"/>
      <c r="AA1283" s="316" cm="1">
        <f t="array" ref="AA1283">Settlement(Main_Presentation[[#This Row],[Bank]],Main_Presentation[[#This Row],[ Invoice Amt (SAR)]],Main_Presentation[[#This Row],[Date Recd]],Main_Presentation[[#This Row],[Due Date]],Main_Presentation[[#This Row],[Days]])</f>
        <v>1437.5</v>
      </c>
      <c r="AB1283" s="217"/>
    </row>
    <row r="1284" spans="1:28" ht="15.75" hidden="1" x14ac:dyDescent="0.25">
      <c r="A1284" s="226" t="s">
        <v>1639</v>
      </c>
      <c r="B1284" s="227">
        <v>45982</v>
      </c>
      <c r="C1284" s="243">
        <v>1</v>
      </c>
      <c r="D1284" s="228" t="str">
        <f>VLOOKUP(Main_Presentation[[#This Row],[LC Number]],Main_Issuance[],3,0)</f>
        <v>Rabih Makhoul</v>
      </c>
      <c r="E1284" s="217" t="s">
        <v>858</v>
      </c>
      <c r="F1284" s="244" t="str">
        <f>VLOOKUP(Main_Presentation[[#This Row],[LC Number]],Main_Issuance[],5,0)</f>
        <v>SNB</v>
      </c>
      <c r="G1284" s="244" t="str">
        <f>VLOOKUP(Main_Presentation[[#This Row],[LC Number]],Main_Issuance[],6,0)</f>
        <v>Opera House</v>
      </c>
      <c r="H1284" s="244" t="str">
        <f>VLOOKUP(Main_Presentation[[#This Row],[LC Number]],Main_Issuance[],17,0)</f>
        <v>Credit</v>
      </c>
      <c r="I1284" s="244" t="str">
        <f>VLOOKUP(Main_Presentation[[#This Row],[LC Number]],Main_Issuance[],7,0)</f>
        <v>Mohammed A. Al-Awani Trading</v>
      </c>
      <c r="J1284" s="244" t="str">
        <f>VLOOKUP(Main_Presentation[[#This Row],[LC Number]],Main_Issuance[],8,0)</f>
        <v>MBL</v>
      </c>
      <c r="K1284" s="244" t="str">
        <f>VLOOKUP(Main_Presentation[[#This Row],[LC Number]],Main_Issuance[],9,0)</f>
        <v>Rabigh Power Plant</v>
      </c>
      <c r="L1284" s="244">
        <f>VLOOKUP(Main_Presentation[[#This Row],[LC Number]],Main_Issuance[],10,0)</f>
        <v>1020107</v>
      </c>
      <c r="M1284" s="244" t="str">
        <f>VLOOKUP(Main_Presentation[[#This Row],[LC Number]],Main_Issuance[],11,0)</f>
        <v>SAR</v>
      </c>
      <c r="N1284" s="245">
        <f>VLOOKUP(Main_Presentation[[#This Row],[LC Number]],Main_Issuance[],12,0)</f>
        <v>2826301.05</v>
      </c>
      <c r="O1284" s="217" t="s">
        <v>20</v>
      </c>
      <c r="P1284" s="217" t="s">
        <v>378</v>
      </c>
      <c r="Q1284" s="218">
        <v>586589.85</v>
      </c>
      <c r="R1284" s="218">
        <v>1</v>
      </c>
      <c r="S1284" s="218">
        <f>Main_Presentation[[#This Row],[Invoice Amt (FCY)]]*Main_Presentation[[#This Row],[Rate]]</f>
        <v>586589.85</v>
      </c>
      <c r="T1284" s="227">
        <v>45988</v>
      </c>
      <c r="U1284" s="243" t="str">
        <f>VLOOKUP(Main_Presentation[[#This Row],[LC Number]],Main_Issuance[],18,0)</f>
        <v>45 Days from the Invoice Date</v>
      </c>
      <c r="V1284" s="233" t="s">
        <v>304</v>
      </c>
      <c r="W1284" s="229" t="s">
        <v>378</v>
      </c>
      <c r="X1284" s="217"/>
      <c r="Y1284" s="399" t="str">
        <f>TRIM(LEFT(Main_Presentation[[#This Row],[Payment Terms]],3))</f>
        <v>45</v>
      </c>
      <c r="Z1284" s="217"/>
      <c r="AA1284" s="316" cm="1">
        <f t="array" ref="AA1284">Settlement(Main_Presentation[[#This Row],[Bank]],Main_Presentation[[#This Row],[ Invoice Amt (SAR)]],Main_Presentation[[#This Row],[Date Recd]],Main_Presentation[[#This Row],[Due Date]],Main_Presentation[[#This Row],[Days]])</f>
        <v>655.5</v>
      </c>
      <c r="AB1284" s="217"/>
    </row>
    <row r="1285" spans="1:28" ht="15.75" hidden="1" x14ac:dyDescent="0.25">
      <c r="A1285" s="226" t="s">
        <v>1251</v>
      </c>
      <c r="B1285" s="227">
        <v>45964</v>
      </c>
      <c r="C1285" s="243">
        <v>3</v>
      </c>
      <c r="D1285" s="228" t="str">
        <f>VLOOKUP(Main_Presentation[[#This Row],[LC Number]],Main_Issuance[],3,0)</f>
        <v>Rabih Makhoul</v>
      </c>
      <c r="E1285" s="217" t="s">
        <v>856</v>
      </c>
      <c r="F1285" s="244" t="str">
        <f>VLOOKUP(Main_Presentation[[#This Row],[LC Number]],Main_Issuance[],5,0)</f>
        <v>SNB</v>
      </c>
      <c r="G1285" s="244" t="str">
        <f>VLOOKUP(Main_Presentation[[#This Row],[LC Number]],Main_Issuance[],6,0)</f>
        <v>Opera House</v>
      </c>
      <c r="H1285" s="244" t="str">
        <f>VLOOKUP(Main_Presentation[[#This Row],[LC Number]],Main_Issuance[],17,0)</f>
        <v>Credit</v>
      </c>
      <c r="I1285" s="244" t="str">
        <f>VLOOKUP(Main_Presentation[[#This Row],[LC Number]],Main_Issuance[],7,0)</f>
        <v>High Al Shuhra Contracting Company</v>
      </c>
      <c r="J1285" s="244" t="str">
        <f>VLOOKUP(Main_Presentation[[#This Row],[LC Number]],Main_Issuance[],8,0)</f>
        <v>MBL</v>
      </c>
      <c r="K1285" s="244" t="str">
        <f>VLOOKUP(Main_Presentation[[#This Row],[LC Number]],Main_Issuance[],9,0)</f>
        <v>Rabigh Power Plant</v>
      </c>
      <c r="L1285" s="244">
        <f>VLOOKUP(Main_Presentation[[#This Row],[LC Number]],Main_Issuance[],10,0)</f>
        <v>1020107</v>
      </c>
      <c r="M1285" s="244" t="str">
        <f>VLOOKUP(Main_Presentation[[#This Row],[LC Number]],Main_Issuance[],11,0)</f>
        <v>SAR</v>
      </c>
      <c r="N1285" s="245">
        <f>VLOOKUP(Main_Presentation[[#This Row],[LC Number]],Main_Issuance[],12,0)</f>
        <v>3000000</v>
      </c>
      <c r="O1285" s="217" t="s">
        <v>20</v>
      </c>
      <c r="P1285" s="217" t="s">
        <v>378</v>
      </c>
      <c r="Q1285" s="218">
        <v>1789060.46</v>
      </c>
      <c r="R1285" s="218">
        <v>1</v>
      </c>
      <c r="S1285" s="218">
        <f>Main_Presentation[[#This Row],[Invoice Amt (FCY)]]*Main_Presentation[[#This Row],[Rate]]</f>
        <v>1789060.46</v>
      </c>
      <c r="T1285" s="227">
        <v>45964</v>
      </c>
      <c r="U1285" s="243" t="str">
        <f>VLOOKUP(Main_Presentation[[#This Row],[LC Number]],Main_Issuance[],18,0)</f>
        <v>45 Days from Invoice Date</v>
      </c>
      <c r="V1285" s="233" t="s">
        <v>511</v>
      </c>
      <c r="W1285" s="229" t="s">
        <v>857</v>
      </c>
      <c r="X1285" s="217"/>
      <c r="Y1285" s="399" t="str">
        <f>TRIM(LEFT(Main_Presentation[[#This Row],[Payment Terms]],3))</f>
        <v>45</v>
      </c>
      <c r="Z1285" s="217"/>
      <c r="AA1285" s="316" cm="1">
        <f t="array" ref="AA1285">Settlement(Main_Presentation[[#This Row],[Bank]],Main_Presentation[[#This Row],[ Invoice Amt (SAR)]],Main_Presentation[[#This Row],[Date Recd]],Main_Presentation[[#This Row],[Due Date]],Main_Presentation[[#This Row],[Days]])</f>
        <v>655.5</v>
      </c>
      <c r="AB1285" s="217"/>
    </row>
    <row r="1286" spans="1:28" ht="15.75" hidden="1" x14ac:dyDescent="0.25">
      <c r="A1286" s="226" t="s">
        <v>1229</v>
      </c>
      <c r="B1286" s="227">
        <v>45958</v>
      </c>
      <c r="C1286" s="243">
        <v>8</v>
      </c>
      <c r="D1286" s="228" t="str">
        <f>VLOOKUP(Main_Presentation[[#This Row],[LC Number]],Main_Issuance[],3,0)</f>
        <v>Tareeq - Premium</v>
      </c>
      <c r="E1286" s="217" t="s">
        <v>858</v>
      </c>
      <c r="F1286" s="244" t="str">
        <f>VLOOKUP(Main_Presentation[[#This Row],[LC Number]],Main_Issuance[],5,0)</f>
        <v>SAB</v>
      </c>
      <c r="G1286" s="244" t="str">
        <f>VLOOKUP(Main_Presentation[[#This Row],[LC Number]],Main_Issuance[],6,0)</f>
        <v>CEER</v>
      </c>
      <c r="H1286" s="244" t="str">
        <f>VLOOKUP(Main_Presentation[[#This Row],[LC Number]],Main_Issuance[],17,0)</f>
        <v>Credit</v>
      </c>
      <c r="I1286" s="244" t="str">
        <f>VLOOKUP(Main_Presentation[[#This Row],[LC Number]],Main_Issuance[],7,0)</f>
        <v>VENTLINE AIR CONDITIONING REQUISITES MANUFACTURING LLC</v>
      </c>
      <c r="J1286" s="244" t="str">
        <f>VLOOKUP(Main_Presentation[[#This Row],[LC Number]],Main_Issuance[],8,0)</f>
        <v>MBL/Premium</v>
      </c>
      <c r="K1286" s="244" t="str">
        <f>VLOOKUP(Main_Presentation[[#This Row],[LC Number]],Main_Issuance[],9,0)</f>
        <v>CEER</v>
      </c>
      <c r="L1286" s="244">
        <f>VLOOKUP(Main_Presentation[[#This Row],[LC Number]],Main_Issuance[],10,0)</f>
        <v>1020091</v>
      </c>
      <c r="M1286" s="244" t="str">
        <f>VLOOKUP(Main_Presentation[[#This Row],[LC Number]],Main_Issuance[],11,0)</f>
        <v>AED</v>
      </c>
      <c r="N1286" s="245">
        <f>VLOOKUP(Main_Presentation[[#This Row],[LC Number]],Main_Issuance[],12,0)</f>
        <v>6500000</v>
      </c>
      <c r="O1286" s="217" t="s">
        <v>20</v>
      </c>
      <c r="P1286" s="217" t="s">
        <v>857</v>
      </c>
      <c r="Q1286" s="218">
        <v>906400</v>
      </c>
      <c r="R1286" s="218">
        <v>1.0259</v>
      </c>
      <c r="S1286" s="218">
        <f>Main_Presentation[[#This Row],[Invoice Amt (FCY)]]*Main_Presentation[[#This Row],[Rate]]</f>
        <v>929875.76</v>
      </c>
      <c r="T1286" s="227">
        <v>45959</v>
      </c>
      <c r="U1286" s="243" t="str">
        <f>VLOOKUP(Main_Presentation[[#This Row],[LC Number]],Main_Issuance[],18,0)</f>
        <v>Sight</v>
      </c>
      <c r="V1286" s="233" t="s">
        <v>367</v>
      </c>
      <c r="W1286" s="229" t="s">
        <v>857</v>
      </c>
      <c r="X1286" s="217"/>
      <c r="Y1286" s="399" t="str">
        <f>TRIM(LEFT(Main_Presentation[[#This Row],[Payment Terms]],3))</f>
        <v>Sig</v>
      </c>
      <c r="Z1286" s="217"/>
      <c r="AA1286" s="316" t="e" cm="1">
        <f t="array" ref="AA1286">Settlement(Main_Presentation[[#This Row],[Bank]],Main_Presentation[[#This Row],[ Invoice Amt (SAR)]],Main_Presentation[[#This Row],[Date Recd]],Main_Presentation[[#This Row],[Due Date]],Main_Presentation[[#This Row],[Days]])</f>
        <v>#VALUE!</v>
      </c>
      <c r="AB1286" s="217"/>
    </row>
    <row r="1287" spans="1:28" ht="15.75" hidden="1" x14ac:dyDescent="0.25">
      <c r="A1287" s="226" t="s">
        <v>1530</v>
      </c>
      <c r="B1287" s="227">
        <v>45958</v>
      </c>
      <c r="C1287" s="243">
        <v>3</v>
      </c>
      <c r="D1287" s="228" t="str">
        <f>VLOOKUP(Main_Presentation[[#This Row],[LC Number]],Main_Issuance[],3,0)</f>
        <v>Tareeq - Premium</v>
      </c>
      <c r="E1287" s="217" t="s">
        <v>856</v>
      </c>
      <c r="F1287" s="244" t="str">
        <f>VLOOKUP(Main_Presentation[[#This Row],[LC Number]],Main_Issuance[],5,0)</f>
        <v>SAB</v>
      </c>
      <c r="G1287" s="244" t="str">
        <f>VLOOKUP(Main_Presentation[[#This Row],[LC Number]],Main_Issuance[],6,0)</f>
        <v>CEER</v>
      </c>
      <c r="H1287" s="244" t="str">
        <f>VLOOKUP(Main_Presentation[[#This Row],[LC Number]],Main_Issuance[],17,0)</f>
        <v>Credit</v>
      </c>
      <c r="I1287" s="244" t="str">
        <f>VLOOKUP(Main_Presentation[[#This Row],[LC Number]],Main_Issuance[],7,0)</f>
        <v>Aluminium Products company (ALUPCO)</v>
      </c>
      <c r="J1287" s="244" t="str">
        <f>VLOOKUP(Main_Presentation[[#This Row],[LC Number]],Main_Issuance[],8,0)</f>
        <v>MBL/Premium</v>
      </c>
      <c r="K1287" s="244" t="str">
        <f>VLOOKUP(Main_Presentation[[#This Row],[LC Number]],Main_Issuance[],9,0)</f>
        <v>CEER</v>
      </c>
      <c r="L1287" s="244">
        <f>VLOOKUP(Main_Presentation[[#This Row],[LC Number]],Main_Issuance[],10,0)</f>
        <v>1020091</v>
      </c>
      <c r="M1287" s="244" t="str">
        <f>VLOOKUP(Main_Presentation[[#This Row],[LC Number]],Main_Issuance[],11,0)</f>
        <v>SAR</v>
      </c>
      <c r="N1287" s="245">
        <f>VLOOKUP(Main_Presentation[[#This Row],[LC Number]],Main_Issuance[],12,0)</f>
        <v>2500000</v>
      </c>
      <c r="O1287" s="217" t="s">
        <v>20</v>
      </c>
      <c r="P1287" s="217" t="s">
        <v>857</v>
      </c>
      <c r="Q1287" s="218">
        <v>1302055.49</v>
      </c>
      <c r="R1287" s="218">
        <v>1</v>
      </c>
      <c r="S1287" s="218">
        <f>Main_Presentation[[#This Row],[Invoice Amt (FCY)]]*Main_Presentation[[#This Row],[Rate]]</f>
        <v>1302055.49</v>
      </c>
      <c r="T1287" s="227">
        <v>46026</v>
      </c>
      <c r="U1287" s="243" t="str">
        <f>VLOOKUP(Main_Presentation[[#This Row],[LC Number]],Main_Issuance[],18,0)</f>
        <v>90 Days from Invoice Date</v>
      </c>
      <c r="V1287" s="233" t="s">
        <v>367</v>
      </c>
      <c r="W1287" s="229" t="s">
        <v>857</v>
      </c>
      <c r="X1287" s="217"/>
      <c r="Y1287" s="399" t="str">
        <f>TRIM(LEFT(Main_Presentation[[#This Row],[Payment Terms]],3))</f>
        <v>90</v>
      </c>
      <c r="Z1287" s="217"/>
      <c r="AA1287" s="316" cm="1">
        <f t="array" ref="AA1287">Settlement(Main_Presentation[[#This Row],[Bank]],Main_Presentation[[#This Row],[ Invoice Amt (SAR)]],Main_Presentation[[#This Row],[Date Recd]],Main_Presentation[[#This Row],[Due Date]],Main_Presentation[[#This Row],[Days]])</f>
        <v>5615.45</v>
      </c>
      <c r="AB1287" s="217"/>
    </row>
    <row r="1288" spans="1:28" ht="15.75" hidden="1" x14ac:dyDescent="0.25">
      <c r="A1288" s="226" t="s">
        <v>2255</v>
      </c>
      <c r="B1288" s="227">
        <v>45960</v>
      </c>
      <c r="C1288" s="243">
        <v>1</v>
      </c>
      <c r="D1288" s="228" t="str">
        <f>VLOOKUP(Main_Presentation[[#This Row],[LC Number]],Main_Issuance[],3,0)</f>
        <v>Tareeq - Premium</v>
      </c>
      <c r="E1288" s="217" t="s">
        <v>858</v>
      </c>
      <c r="F1288" s="244" t="str">
        <f>VLOOKUP(Main_Presentation[[#This Row],[LC Number]],Main_Issuance[],5,0)</f>
        <v>SAB</v>
      </c>
      <c r="G1288" s="244" t="str">
        <f>VLOOKUP(Main_Presentation[[#This Row],[LC Number]],Main_Issuance[],6,0)</f>
        <v>CEER</v>
      </c>
      <c r="H1288" s="244" t="str">
        <f>VLOOKUP(Main_Presentation[[#This Row],[LC Number]],Main_Issuance[],17,0)</f>
        <v>Credit</v>
      </c>
      <c r="I1288" s="244" t="str">
        <f>VLOOKUP(Main_Presentation[[#This Row],[LC Number]],Main_Issuance[],7,0)</f>
        <v>ROLLC FOR TRADING COMPANY</v>
      </c>
      <c r="J1288" s="244" t="str">
        <f>VLOOKUP(Main_Presentation[[#This Row],[LC Number]],Main_Issuance[],8,0)</f>
        <v>MBL/Premium</v>
      </c>
      <c r="K1288" s="244" t="str">
        <f>VLOOKUP(Main_Presentation[[#This Row],[LC Number]],Main_Issuance[],9,0)</f>
        <v>CEER</v>
      </c>
      <c r="L1288" s="244">
        <f>VLOOKUP(Main_Presentation[[#This Row],[LC Number]],Main_Issuance[],10,0)</f>
        <v>1020091</v>
      </c>
      <c r="M1288" s="244" t="str">
        <f>VLOOKUP(Main_Presentation[[#This Row],[LC Number]],Main_Issuance[],11,0)</f>
        <v>SAR</v>
      </c>
      <c r="N1288" s="245">
        <f>VLOOKUP(Main_Presentation[[#This Row],[LC Number]],Main_Issuance[],12,0)</f>
        <v>3000000</v>
      </c>
      <c r="O1288" s="217" t="s">
        <v>20</v>
      </c>
      <c r="P1288" s="217" t="s">
        <v>857</v>
      </c>
      <c r="Q1288" s="218">
        <v>1200000</v>
      </c>
      <c r="R1288" s="218">
        <v>1</v>
      </c>
      <c r="S1288" s="218">
        <f>Main_Presentation[[#This Row],[Invoice Amt (FCY)]]*Main_Presentation[[#This Row],[Rate]]</f>
        <v>1200000</v>
      </c>
      <c r="T1288" s="227">
        <v>45964</v>
      </c>
      <c r="U1288" s="243" t="str">
        <f>VLOOKUP(Main_Presentation[[#This Row],[LC Number]],Main_Issuance[],18,0)</f>
        <v>7 Days from Delivery Date</v>
      </c>
      <c r="V1288" s="233" t="s">
        <v>367</v>
      </c>
      <c r="W1288" s="229" t="s">
        <v>857</v>
      </c>
      <c r="X1288" s="217"/>
      <c r="Y1288" s="399" t="str">
        <f>TRIM(LEFT(Main_Presentation[[#This Row],[Payment Terms]],3))</f>
        <v>7 D</v>
      </c>
      <c r="Z1288" s="217"/>
      <c r="AA1288" s="316" t="e" cm="1">
        <f t="array" ref="AA1288">Settlement(Main_Presentation[[#This Row],[Bank]],Main_Presentation[[#This Row],[ Invoice Amt (SAR)]],Main_Presentation[[#This Row],[Date Recd]],Main_Presentation[[#This Row],[Due Date]],Main_Presentation[[#This Row],[Days]])</f>
        <v>#VALUE!</v>
      </c>
      <c r="AB1288" s="217"/>
    </row>
    <row r="1289" spans="1:28" ht="15.75" hidden="1" x14ac:dyDescent="0.25">
      <c r="A1289" s="226" t="s">
        <v>611</v>
      </c>
      <c r="B1289" s="15">
        <v>45987</v>
      </c>
      <c r="C1289" s="26">
        <v>2</v>
      </c>
      <c r="D1289" s="55" t="str">
        <f>VLOOKUP(Main_Presentation[[#This Row],[LC Number]],Main_Issuance[],3,0)</f>
        <v>Hassan Taleb</v>
      </c>
      <c r="E1289" s="16" t="s">
        <v>856</v>
      </c>
      <c r="F1289" s="17" t="str">
        <f>VLOOKUP(Main_Presentation[[#This Row],[LC Number]],Main_Issuance[],5,0)</f>
        <v>Jazira</v>
      </c>
      <c r="G1289" s="17" t="str">
        <f>VLOOKUP(Main_Presentation[[#This Row],[LC Number]],Main_Issuance[],6,0)</f>
        <v>RCRC</v>
      </c>
      <c r="H1289" s="17" t="str">
        <f>VLOOKUP(Main_Presentation[[#This Row],[LC Number]],Main_Issuance[],17,0)</f>
        <v>Credit</v>
      </c>
      <c r="I1289" s="17" t="str">
        <f>VLOOKUP(Main_Presentation[[#This Row],[LC Number]],Main_Issuance[],7,0)</f>
        <v>AL-Tawi Ready Mix Concrete Factory Co</v>
      </c>
      <c r="J1289" s="17" t="str">
        <f>VLOOKUP(Main_Presentation[[#This Row],[LC Number]],Main_Issuance[],8,0)</f>
        <v>FIRST FIX</v>
      </c>
      <c r="K1289" s="17" t="str">
        <f>VLOOKUP(Main_Presentation[[#This Row],[LC Number]],Main_Issuance[],9,0)</f>
        <v>RCRC</v>
      </c>
      <c r="L1289" s="17">
        <f>VLOOKUP(Main_Presentation[[#This Row],[LC Number]],Main_Issuance[],10,0)</f>
        <v>1020106</v>
      </c>
      <c r="M1289" s="17" t="str">
        <f>VLOOKUP(Main_Presentation[[#This Row],[LC Number]],Main_Issuance[],11,0)</f>
        <v>SAR</v>
      </c>
      <c r="N1289" s="84">
        <f>VLOOKUP(Main_Presentation[[#This Row],[LC Number]],Main_Issuance[],12,0)</f>
        <v>1798725.35</v>
      </c>
      <c r="O1289" s="16" t="s">
        <v>20</v>
      </c>
      <c r="P1289" s="16" t="s">
        <v>378</v>
      </c>
      <c r="Q1289" s="218">
        <v>1000000</v>
      </c>
      <c r="R1289" s="18">
        <v>1</v>
      </c>
      <c r="S1289" s="18">
        <f>Main_Presentation[[#This Row],[Invoice Amt (FCY)]]*Main_Presentation[[#This Row],[Rate]]</f>
        <v>1000000</v>
      </c>
      <c r="T1289" s="15">
        <v>46021</v>
      </c>
      <c r="U1289" s="26" t="str">
        <f>VLOOKUP(Main_Presentation[[#This Row],[LC Number]],Main_Issuance[],18,0)</f>
        <v>90 Days from Invoice Date</v>
      </c>
      <c r="V1289" s="249" t="s">
        <v>613</v>
      </c>
      <c r="W1289" s="22" t="s">
        <v>857</v>
      </c>
      <c r="X1289" s="16"/>
      <c r="Y1289" s="234" t="str">
        <f>TRIM(LEFT(Main_Presentation[[#This Row],[Payment Terms]],3))</f>
        <v>90</v>
      </c>
      <c r="Z1289" s="16"/>
      <c r="AA1289" s="316" cm="1">
        <f t="array" ref="AA1289">Settlement(Main_Presentation[[#This Row],[Bank]],Main_Presentation[[#This Row],[ Invoice Amt (SAR)]],Main_Presentation[[#This Row],[Date Recd]],Main_Presentation[[#This Row],[Due Date]],Main_Presentation[[#This Row],[Days]])</f>
        <v>1302.95</v>
      </c>
      <c r="AB1289" s="16"/>
    </row>
    <row r="1290" spans="1:28" ht="15.75" hidden="1" x14ac:dyDescent="0.25">
      <c r="A1290" s="226" t="s">
        <v>1912</v>
      </c>
      <c r="B1290" s="15">
        <v>45982</v>
      </c>
      <c r="C1290" s="26">
        <v>1</v>
      </c>
      <c r="D1290" s="55" t="str">
        <f>VLOOKUP(Main_Presentation[[#This Row],[LC Number]],Main_Issuance[],3,0)</f>
        <v>Hassan Taleb</v>
      </c>
      <c r="E1290" s="16" t="s">
        <v>856</v>
      </c>
      <c r="F1290" s="17" t="str">
        <f>VLOOKUP(Main_Presentation[[#This Row],[LC Number]],Main_Issuance[],5,0)</f>
        <v>SAB</v>
      </c>
      <c r="G1290" s="17" t="str">
        <f>VLOOKUP(Main_Presentation[[#This Row],[LC Number]],Main_Issuance[],6,0)</f>
        <v>MP1</v>
      </c>
      <c r="H1290" s="17" t="str">
        <f>VLOOKUP(Main_Presentation[[#This Row],[LC Number]],Main_Issuance[],17,0)</f>
        <v>Credit</v>
      </c>
      <c r="I1290" s="17" t="str">
        <f>VLOOKUP(Main_Presentation[[#This Row],[LC Number]],Main_Issuance[],7,0)</f>
        <v>Electric House Trading Company L.L.C.</v>
      </c>
      <c r="J1290" s="17" t="str">
        <f>VLOOKUP(Main_Presentation[[#This Row],[LC Number]],Main_Issuance[],8,0)</f>
        <v>FIRST FIX</v>
      </c>
      <c r="K1290" s="17" t="str">
        <f>VLOOKUP(Main_Presentation[[#This Row],[LC Number]],Main_Issuance[],9,0)</f>
        <v>MP1</v>
      </c>
      <c r="L1290" s="17">
        <f>VLOOKUP(Main_Presentation[[#This Row],[LC Number]],Main_Issuance[],10,0)</f>
        <v>1020088</v>
      </c>
      <c r="M1290" s="17" t="str">
        <f>VLOOKUP(Main_Presentation[[#This Row],[LC Number]],Main_Issuance[],11,0)</f>
        <v>SAR</v>
      </c>
      <c r="N1290" s="84">
        <f>VLOOKUP(Main_Presentation[[#This Row],[LC Number]],Main_Issuance[],12,0)</f>
        <v>600000</v>
      </c>
      <c r="O1290" s="16" t="s">
        <v>20</v>
      </c>
      <c r="P1290" s="16" t="s">
        <v>857</v>
      </c>
      <c r="Q1290" s="218">
        <v>600000</v>
      </c>
      <c r="R1290" s="18">
        <v>1</v>
      </c>
      <c r="S1290" s="18">
        <f>Main_Presentation[[#This Row],[Invoice Amt (FCY)]]*Main_Presentation[[#This Row],[Rate]]</f>
        <v>600000</v>
      </c>
      <c r="T1290" s="15">
        <v>46084</v>
      </c>
      <c r="U1290" s="26" t="str">
        <f>VLOOKUP(Main_Presentation[[#This Row],[LC Number]],Main_Issuance[],18,0)</f>
        <v>120 Days from Invoice Date</v>
      </c>
      <c r="V1290" s="249" t="s">
        <v>710</v>
      </c>
      <c r="W1290" s="22" t="s">
        <v>857</v>
      </c>
      <c r="X1290" s="16"/>
      <c r="Y1290" s="234" t="str">
        <f>TRIM(LEFT(Main_Presentation[[#This Row],[Payment Terms]],3))</f>
        <v>120</v>
      </c>
      <c r="Z1290" s="16"/>
      <c r="AA1290" s="316" cm="1">
        <f t="array" ref="AA1290">Settlement(Main_Presentation[[#This Row],[Bank]],Main_Presentation[[#This Row],[ Invoice Amt (SAR)]],Main_Presentation[[#This Row],[Date Recd]],Main_Presentation[[#This Row],[Due Date]],Main_Presentation[[#This Row],[Days]])</f>
        <v>2587.5</v>
      </c>
      <c r="AB1290" s="16"/>
    </row>
    <row r="1291" spans="1:28" ht="15.75" hidden="1" x14ac:dyDescent="0.25">
      <c r="A1291" s="226" t="s">
        <v>1503</v>
      </c>
      <c r="B1291" s="15">
        <v>45982</v>
      </c>
      <c r="C1291" s="26">
        <v>1</v>
      </c>
      <c r="D1291" s="55" t="str">
        <f>VLOOKUP(Main_Presentation[[#This Row],[LC Number]],Main_Issuance[],3,0)</f>
        <v>Hassan Taleb</v>
      </c>
      <c r="E1291" s="16" t="s">
        <v>858</v>
      </c>
      <c r="F1291" s="17" t="str">
        <f>VLOOKUP(Main_Presentation[[#This Row],[LC Number]],Main_Issuance[],5,0)</f>
        <v>Alinma</v>
      </c>
      <c r="G1291" s="17" t="str">
        <f>VLOOKUP(Main_Presentation[[#This Row],[LC Number]],Main_Issuance[],6,0)</f>
        <v>KSP</v>
      </c>
      <c r="H1291" s="17" t="str">
        <f>VLOOKUP(Main_Presentation[[#This Row],[LC Number]],Main_Issuance[],17,0)</f>
        <v>Credit</v>
      </c>
      <c r="I1291" s="17" t="str">
        <f>VLOOKUP(Main_Presentation[[#This Row],[LC Number]],Main_Issuance[],7,0)</f>
        <v>SKM AIR CONDITIONING CO</v>
      </c>
      <c r="J1291" s="17" t="str">
        <f>VLOOKUP(Main_Presentation[[#This Row],[LC Number]],Main_Issuance[],8,0)</f>
        <v>FIRST FIX</v>
      </c>
      <c r="K1291" s="17" t="str">
        <f>VLOOKUP(Main_Presentation[[#This Row],[LC Number]],Main_Issuance[],9,0)</f>
        <v>JCD SPMI</v>
      </c>
      <c r="L1291" s="17">
        <f>VLOOKUP(Main_Presentation[[#This Row],[LC Number]],Main_Issuance[],10,0)</f>
        <v>1020100</v>
      </c>
      <c r="M1291" s="17" t="str">
        <f>VLOOKUP(Main_Presentation[[#This Row],[LC Number]],Main_Issuance[],11,0)</f>
        <v>SAR</v>
      </c>
      <c r="N1291" s="84">
        <f>VLOOKUP(Main_Presentation[[#This Row],[LC Number]],Main_Issuance[],12,0)</f>
        <v>922106.57</v>
      </c>
      <c r="O1291" s="16" t="s">
        <v>20</v>
      </c>
      <c r="P1291" s="16" t="s">
        <v>857</v>
      </c>
      <c r="Q1291" s="218">
        <v>207691.38</v>
      </c>
      <c r="R1291" s="18">
        <v>1</v>
      </c>
      <c r="S1291" s="18">
        <f>Main_Presentation[[#This Row],[Invoice Amt (FCY)]]*Main_Presentation[[#This Row],[Rate]]</f>
        <v>207691.38</v>
      </c>
      <c r="T1291" s="15">
        <v>46086</v>
      </c>
      <c r="U1291" s="26" t="str">
        <f>VLOOKUP(Main_Presentation[[#This Row],[LC Number]],Main_Issuance[],18,0)</f>
        <v>120 Days from Invoice Date</v>
      </c>
      <c r="V1291" s="249" t="s">
        <v>22</v>
      </c>
      <c r="W1291" s="22" t="s">
        <v>378</v>
      </c>
      <c r="X1291" s="217"/>
      <c r="Y1291" s="234" t="str">
        <f>TRIM(LEFT(Main_Presentation[[#This Row],[Payment Terms]],3))</f>
        <v>120</v>
      </c>
      <c r="Z1291" s="16"/>
      <c r="AA1291" s="316" cm="1">
        <f t="array" ref="AA1291">Settlement(Main_Presentation[[#This Row],[Bank]],Main_Presentation[[#This Row],[ Invoice Amt (SAR)]],Main_Presentation[[#This Row],[Date Recd]],Main_Presentation[[#This Row],[Due Date]],Main_Presentation[[#This Row],[Days]])</f>
        <v>1437.5</v>
      </c>
      <c r="AB1291" s="16"/>
    </row>
    <row r="1292" spans="1:28" ht="15.75" hidden="1" x14ac:dyDescent="0.25">
      <c r="A1292" s="226" t="s">
        <v>1906</v>
      </c>
      <c r="B1292" s="15">
        <v>45973</v>
      </c>
      <c r="C1292" s="26">
        <v>1</v>
      </c>
      <c r="D1292" s="55" t="str">
        <f>VLOOKUP(Main_Presentation[[#This Row],[LC Number]],Main_Issuance[],3,0)</f>
        <v>Hassan Taleb</v>
      </c>
      <c r="E1292" s="16" t="s">
        <v>856</v>
      </c>
      <c r="F1292" s="17" t="str">
        <f>VLOOKUP(Main_Presentation[[#This Row],[LC Number]],Main_Issuance[],5,0)</f>
        <v>SAB</v>
      </c>
      <c r="G1292" s="17" t="str">
        <f>VLOOKUP(Main_Presentation[[#This Row],[LC Number]],Main_Issuance[],6,0)</f>
        <v>MP1</v>
      </c>
      <c r="H1292" s="17" t="str">
        <f>VLOOKUP(Main_Presentation[[#This Row],[LC Number]],Main_Issuance[],17,0)</f>
        <v>Credit</v>
      </c>
      <c r="I1292" s="17" t="str">
        <f>VLOOKUP(Main_Presentation[[#This Row],[LC Number]],Main_Issuance[],7,0)</f>
        <v>Al Maymanah for Contracting Co. Ltd.</v>
      </c>
      <c r="J1292" s="17" t="str">
        <f>VLOOKUP(Main_Presentation[[#This Row],[LC Number]],Main_Issuance[],8,0)</f>
        <v>FIRST FIX</v>
      </c>
      <c r="K1292" s="17" t="str">
        <f>VLOOKUP(Main_Presentation[[#This Row],[LC Number]],Main_Issuance[],9,0)</f>
        <v>MP1</v>
      </c>
      <c r="L1292" s="17">
        <f>VLOOKUP(Main_Presentation[[#This Row],[LC Number]],Main_Issuance[],10,0)</f>
        <v>1020088</v>
      </c>
      <c r="M1292" s="17" t="str">
        <f>VLOOKUP(Main_Presentation[[#This Row],[LC Number]],Main_Issuance[],11,0)</f>
        <v>SAR</v>
      </c>
      <c r="N1292" s="84">
        <f>VLOOKUP(Main_Presentation[[#This Row],[LC Number]],Main_Issuance[],12,0)</f>
        <v>1500000</v>
      </c>
      <c r="O1292" s="16" t="s">
        <v>20</v>
      </c>
      <c r="P1292" s="16" t="s">
        <v>857</v>
      </c>
      <c r="Q1292" s="218">
        <v>1500000</v>
      </c>
      <c r="R1292" s="18">
        <v>1</v>
      </c>
      <c r="S1292" s="18">
        <f>Main_Presentation[[#This Row],[Invoice Amt (FCY)]]*Main_Presentation[[#This Row],[Rate]]</f>
        <v>1500000</v>
      </c>
      <c r="T1292" s="15">
        <v>46054</v>
      </c>
      <c r="U1292" s="26" t="str">
        <f>VLOOKUP(Main_Presentation[[#This Row],[LC Number]],Main_Issuance[],18,0)</f>
        <v>120 Days from Invoice Date</v>
      </c>
      <c r="V1292" s="249" t="s">
        <v>613</v>
      </c>
      <c r="W1292" s="22" t="s">
        <v>378</v>
      </c>
      <c r="X1292" s="16"/>
      <c r="Y1292" s="234" t="str">
        <f>TRIM(LEFT(Main_Presentation[[#This Row],[Payment Terms]],3))</f>
        <v>120</v>
      </c>
      <c r="Z1292" s="16"/>
      <c r="AA1292" s="316" cm="1">
        <f t="array" ref="AA1292">Settlement(Main_Presentation[[#This Row],[Bank]],Main_Presentation[[#This Row],[ Invoice Amt (SAR)]],Main_Presentation[[#This Row],[Date Recd]],Main_Presentation[[#This Row],[Due Date]],Main_Presentation[[#This Row],[Days]])</f>
        <v>6468.75</v>
      </c>
      <c r="AB1292" s="16"/>
    </row>
    <row r="1293" spans="1:28" ht="15.75" hidden="1" x14ac:dyDescent="0.25">
      <c r="A1293" s="226" t="s">
        <v>1189</v>
      </c>
      <c r="B1293" s="15">
        <v>45986</v>
      </c>
      <c r="C1293" s="26">
        <v>2</v>
      </c>
      <c r="D1293" s="55" t="str">
        <f>VLOOKUP(Main_Presentation[[#This Row],[LC Number]],Main_Issuance[],3,0)</f>
        <v>Hassan Taleb</v>
      </c>
      <c r="E1293" s="16" t="s">
        <v>858</v>
      </c>
      <c r="F1293" s="17" t="str">
        <f>VLOOKUP(Main_Presentation[[#This Row],[LC Number]],Main_Issuance[],5,0)</f>
        <v>SAB</v>
      </c>
      <c r="G1293" s="17" t="str">
        <f>VLOOKUP(Main_Presentation[[#This Row],[LC Number]],Main_Issuance[],6,0)</f>
        <v>MP1</v>
      </c>
      <c r="H1293" s="17" t="str">
        <f>VLOOKUP(Main_Presentation[[#This Row],[LC Number]],Main_Issuance[],17,0)</f>
        <v>Credit</v>
      </c>
      <c r="I1293" s="17" t="str">
        <f>VLOOKUP(Main_Presentation[[#This Row],[LC Number]],Main_Issuance[],7,0)</f>
        <v>Rawadf International Co.</v>
      </c>
      <c r="J1293" s="17" t="str">
        <f>VLOOKUP(Main_Presentation[[#This Row],[LC Number]],Main_Issuance[],8,0)</f>
        <v>FIRST FIX</v>
      </c>
      <c r="K1293" s="17" t="str">
        <f>VLOOKUP(Main_Presentation[[#This Row],[LC Number]],Main_Issuance[],9,0)</f>
        <v>MP1</v>
      </c>
      <c r="L1293" s="17">
        <f>VLOOKUP(Main_Presentation[[#This Row],[LC Number]],Main_Issuance[],10,0)</f>
        <v>1020088</v>
      </c>
      <c r="M1293" s="17" t="str">
        <f>VLOOKUP(Main_Presentation[[#This Row],[LC Number]],Main_Issuance[],11,0)</f>
        <v>SAR</v>
      </c>
      <c r="N1293" s="84">
        <f>VLOOKUP(Main_Presentation[[#This Row],[LC Number]],Main_Issuance[],12,0)</f>
        <v>1000000</v>
      </c>
      <c r="O1293" s="16" t="s">
        <v>20</v>
      </c>
      <c r="P1293" s="16" t="s">
        <v>857</v>
      </c>
      <c r="Q1293" s="218">
        <v>188433.83</v>
      </c>
      <c r="R1293" s="18">
        <v>1</v>
      </c>
      <c r="S1293" s="18">
        <f>Main_Presentation[[#This Row],[Invoice Amt (FCY)]]*Main_Presentation[[#This Row],[Rate]]</f>
        <v>188433.83</v>
      </c>
      <c r="T1293" s="15">
        <v>46040</v>
      </c>
      <c r="U1293" s="26" t="str">
        <f>VLOOKUP(Main_Presentation[[#This Row],[LC Number]],Main_Issuance[],18,0)</f>
        <v>60 Days from Invoice Date</v>
      </c>
      <c r="V1293" s="249" t="s">
        <v>710</v>
      </c>
      <c r="W1293" s="22" t="s">
        <v>857</v>
      </c>
      <c r="X1293" s="16"/>
      <c r="Y1293" s="234" t="str">
        <f>TRIM(LEFT(Main_Presentation[[#This Row],[Payment Terms]],3))</f>
        <v>60</v>
      </c>
      <c r="Z1293" s="16"/>
      <c r="AA1293" s="316" cm="1">
        <f t="array" ref="AA1293">Settlement(Main_Presentation[[#This Row],[Bank]],Main_Presentation[[#This Row],[ Invoice Amt (SAR)]],Main_Presentation[[#This Row],[Date Recd]],Main_Presentation[[#This Row],[Due Date]],Main_Presentation[[#This Row],[Days]])</f>
        <v>813.05</v>
      </c>
      <c r="AB1293" s="16"/>
    </row>
    <row r="1294" spans="1:28" ht="15.75" hidden="1" x14ac:dyDescent="0.25">
      <c r="A1294" s="226" t="s">
        <v>1869</v>
      </c>
      <c r="B1294" s="15">
        <v>46005</v>
      </c>
      <c r="C1294" s="26">
        <v>1</v>
      </c>
      <c r="D1294" s="55" t="str">
        <f>VLOOKUP(Main_Presentation[[#This Row],[LC Number]],Main_Issuance[],3,0)</f>
        <v>Hassan Taleb</v>
      </c>
      <c r="E1294" s="16" t="s">
        <v>858</v>
      </c>
      <c r="F1294" s="17" t="str">
        <f>VLOOKUP(Main_Presentation[[#This Row],[LC Number]],Main_Issuance[],5,0)</f>
        <v>SAB</v>
      </c>
      <c r="G1294" s="17" t="str">
        <f>VLOOKUP(Main_Presentation[[#This Row],[LC Number]],Main_Issuance[],6,0)</f>
        <v>MP1</v>
      </c>
      <c r="H1294" s="17" t="str">
        <f>VLOOKUP(Main_Presentation[[#This Row],[LC Number]],Main_Issuance[],17,0)</f>
        <v>Credit</v>
      </c>
      <c r="I1294" s="17" t="str">
        <f>VLOOKUP(Main_Presentation[[#This Row],[LC Number]],Main_Issuance[],7,0)</f>
        <v xml:space="preserve">DAIKIN AIR CONDITIONING SAUDI ARABIA LLC </v>
      </c>
      <c r="J1294" s="17" t="str">
        <f>VLOOKUP(Main_Presentation[[#This Row],[LC Number]],Main_Issuance[],8,0)</f>
        <v>FIRST FIX</v>
      </c>
      <c r="K1294" s="17" t="str">
        <f>VLOOKUP(Main_Presentation[[#This Row],[LC Number]],Main_Issuance[],9,0)</f>
        <v>MP1</v>
      </c>
      <c r="L1294" s="17">
        <f>VLOOKUP(Main_Presentation[[#This Row],[LC Number]],Main_Issuance[],10,0)</f>
        <v>1020088</v>
      </c>
      <c r="M1294" s="17" t="str">
        <f>VLOOKUP(Main_Presentation[[#This Row],[LC Number]],Main_Issuance[],11,0)</f>
        <v>SAR</v>
      </c>
      <c r="N1294" s="84">
        <f>VLOOKUP(Main_Presentation[[#This Row],[LC Number]],Main_Issuance[],12,0)</f>
        <v>2500000</v>
      </c>
      <c r="O1294" s="16" t="s">
        <v>20</v>
      </c>
      <c r="P1294" s="16" t="s">
        <v>378</v>
      </c>
      <c r="Q1294" s="218">
        <v>539548.79</v>
      </c>
      <c r="R1294" s="18">
        <v>1</v>
      </c>
      <c r="S1294" s="18">
        <f>Main_Presentation[[#This Row],[Invoice Amt (FCY)]]*Main_Presentation[[#This Row],[Rate]]</f>
        <v>539548.79</v>
      </c>
      <c r="T1294" s="15">
        <v>46063</v>
      </c>
      <c r="U1294" s="26" t="str">
        <f>VLOOKUP(Main_Presentation[[#This Row],[LC Number]],Main_Issuance[],18,0)</f>
        <v>120 Days from Invoice Date</v>
      </c>
      <c r="V1294" s="249" t="s">
        <v>613</v>
      </c>
      <c r="W1294" s="22" t="s">
        <v>378</v>
      </c>
      <c r="X1294" s="16"/>
      <c r="Y1294" s="234" t="str">
        <f>TRIM(LEFT(Main_Presentation[[#This Row],[Payment Terms]],3))</f>
        <v>120</v>
      </c>
      <c r="Z1294" s="16"/>
      <c r="AA1294" s="316" cm="1">
        <f t="array" ref="AA1294">Settlement(Main_Presentation[[#This Row],[Bank]],Main_Presentation[[#This Row],[ Invoice Amt (SAR)]],Main_Presentation[[#This Row],[Date Recd]],Main_Presentation[[#This Row],[Due Date]],Main_Presentation[[#This Row],[Days]])</f>
        <v>2326.4499999999998</v>
      </c>
      <c r="AB1294" s="16"/>
    </row>
    <row r="1295" spans="1:28" ht="15.75" hidden="1" x14ac:dyDescent="0.25">
      <c r="A1295" s="226" t="s">
        <v>2434</v>
      </c>
      <c r="B1295" s="227">
        <v>45982</v>
      </c>
      <c r="C1295" s="243">
        <v>1</v>
      </c>
      <c r="D1295" s="228" t="str">
        <f>VLOOKUP(Main_Presentation[[#This Row],[LC Number]],Main_Issuance[],3,0)</f>
        <v>Hassan Taleb</v>
      </c>
      <c r="E1295" s="217" t="s">
        <v>858</v>
      </c>
      <c r="F1295" s="244" t="str">
        <f>VLOOKUP(Main_Presentation[[#This Row],[LC Number]],Main_Issuance[],5,0)</f>
        <v>SAB</v>
      </c>
      <c r="G1295" s="244" t="str">
        <f>VLOOKUP(Main_Presentation[[#This Row],[LC Number]],Main_Issuance[],6,0)</f>
        <v>MP1</v>
      </c>
      <c r="H1295" s="244" t="str">
        <f>VLOOKUP(Main_Presentation[[#This Row],[LC Number]],Main_Issuance[],17,0)</f>
        <v>Credit</v>
      </c>
      <c r="I1295" s="244" t="str">
        <f>VLOOKUP(Main_Presentation[[#This Row],[LC Number]],Main_Issuance[],7,0)</f>
        <v>Branch of National Fire Fighting</v>
      </c>
      <c r="J1295" s="244" t="str">
        <f>VLOOKUP(Main_Presentation[[#This Row],[LC Number]],Main_Issuance[],8,0)</f>
        <v>FIRST FIX</v>
      </c>
      <c r="K1295" s="244" t="str">
        <f>VLOOKUP(Main_Presentation[[#This Row],[LC Number]],Main_Issuance[],9,0)</f>
        <v>MP1</v>
      </c>
      <c r="L1295" s="244">
        <f>VLOOKUP(Main_Presentation[[#This Row],[LC Number]],Main_Issuance[],10,0)</f>
        <v>1020088</v>
      </c>
      <c r="M1295" s="244" t="str">
        <f>VLOOKUP(Main_Presentation[[#This Row],[LC Number]],Main_Issuance[],11,0)</f>
        <v>SAR</v>
      </c>
      <c r="N1295" s="245">
        <f>VLOOKUP(Main_Presentation[[#This Row],[LC Number]],Main_Issuance[],12,0)</f>
        <v>1500000</v>
      </c>
      <c r="O1295" s="217" t="s">
        <v>20</v>
      </c>
      <c r="P1295" s="217" t="s">
        <v>857</v>
      </c>
      <c r="Q1295" s="218">
        <v>1500000</v>
      </c>
      <c r="R1295" s="218">
        <v>1</v>
      </c>
      <c r="S1295" s="218">
        <f>Main_Presentation[[#This Row],[Invoice Amt (FCY)]]*Main_Presentation[[#This Row],[Rate]]</f>
        <v>1500000</v>
      </c>
      <c r="T1295" s="227">
        <v>46050</v>
      </c>
      <c r="U1295" s="243" t="str">
        <f>VLOOKUP(Main_Presentation[[#This Row],[LC Number]],Main_Issuance[],18,0)</f>
        <v>120 Days from Invoice Date</v>
      </c>
      <c r="V1295" s="249" t="s">
        <v>710</v>
      </c>
      <c r="W1295" s="229" t="s">
        <v>857</v>
      </c>
      <c r="X1295" s="217"/>
      <c r="Y1295" s="399" t="str">
        <f>TRIM(LEFT(Main_Presentation[[#This Row],[Payment Terms]],3))</f>
        <v>120</v>
      </c>
      <c r="Z1295" s="217"/>
      <c r="AA1295" s="316" cm="1">
        <f t="array" ref="AA1295">Settlement(Main_Presentation[[#This Row],[Bank]],Main_Presentation[[#This Row],[ Invoice Amt (SAR)]],Main_Presentation[[#This Row],[Date Recd]],Main_Presentation[[#This Row],[Due Date]],Main_Presentation[[#This Row],[Days]])</f>
        <v>6468.75</v>
      </c>
      <c r="AB1295" s="217"/>
    </row>
    <row r="1296" spans="1:28" ht="15.75" hidden="1" x14ac:dyDescent="0.25">
      <c r="A1296" s="226" t="s">
        <v>2255</v>
      </c>
      <c r="B1296" s="227">
        <v>45960</v>
      </c>
      <c r="C1296" s="243">
        <v>2</v>
      </c>
      <c r="D1296" s="228" t="str">
        <f>VLOOKUP(Main_Presentation[[#This Row],[LC Number]],Main_Issuance[],3,0)</f>
        <v>Tareeq - Premium</v>
      </c>
      <c r="E1296" s="217" t="s">
        <v>858</v>
      </c>
      <c r="F1296" s="244" t="str">
        <f>VLOOKUP(Main_Presentation[[#This Row],[LC Number]],Main_Issuance[],5,0)</f>
        <v>SAB</v>
      </c>
      <c r="G1296" s="244" t="str">
        <f>VLOOKUP(Main_Presentation[[#This Row],[LC Number]],Main_Issuance[],6,0)</f>
        <v>CEER</v>
      </c>
      <c r="H1296" s="244" t="str">
        <f>VLOOKUP(Main_Presentation[[#This Row],[LC Number]],Main_Issuance[],17,0)</f>
        <v>Credit</v>
      </c>
      <c r="I1296" s="244" t="str">
        <f>VLOOKUP(Main_Presentation[[#This Row],[LC Number]],Main_Issuance[],7,0)</f>
        <v>ROLLC FOR TRADING COMPANY</v>
      </c>
      <c r="J1296" s="244" t="str">
        <f>VLOOKUP(Main_Presentation[[#This Row],[LC Number]],Main_Issuance[],8,0)</f>
        <v>MBL/Premium</v>
      </c>
      <c r="K1296" s="244" t="str">
        <f>VLOOKUP(Main_Presentation[[#This Row],[LC Number]],Main_Issuance[],9,0)</f>
        <v>CEER</v>
      </c>
      <c r="L1296" s="244">
        <f>VLOOKUP(Main_Presentation[[#This Row],[LC Number]],Main_Issuance[],10,0)</f>
        <v>1020091</v>
      </c>
      <c r="M1296" s="244" t="str">
        <f>VLOOKUP(Main_Presentation[[#This Row],[LC Number]],Main_Issuance[],11,0)</f>
        <v>SAR</v>
      </c>
      <c r="N1296" s="245">
        <f>VLOOKUP(Main_Presentation[[#This Row],[LC Number]],Main_Issuance[],12,0)</f>
        <v>3000000</v>
      </c>
      <c r="O1296" s="217" t="s">
        <v>20</v>
      </c>
      <c r="P1296" s="217" t="s">
        <v>857</v>
      </c>
      <c r="Q1296" s="218">
        <v>1800000</v>
      </c>
      <c r="R1296" s="218">
        <v>1</v>
      </c>
      <c r="S1296" s="218">
        <f>Main_Presentation[[#This Row],[Invoice Amt (FCY)]]*Main_Presentation[[#This Row],[Rate]]</f>
        <v>1800000</v>
      </c>
      <c r="T1296" s="227">
        <v>45964</v>
      </c>
      <c r="U1296" s="243" t="str">
        <f>VLOOKUP(Main_Presentation[[#This Row],[LC Number]],Main_Issuance[],18,0)</f>
        <v>7 Days from Delivery Date</v>
      </c>
      <c r="V1296" s="233" t="s">
        <v>367</v>
      </c>
      <c r="W1296" s="229" t="s">
        <v>857</v>
      </c>
      <c r="X1296" s="217"/>
      <c r="Y1296" s="399" t="str">
        <f>TRIM(LEFT(Main_Presentation[[#This Row],[Payment Terms]],3))</f>
        <v>7 D</v>
      </c>
      <c r="Z1296" s="217"/>
      <c r="AA1296" s="316" t="e" cm="1">
        <f t="array" ref="AA1296">Settlement(Main_Presentation[[#This Row],[Bank]],Main_Presentation[[#This Row],[ Invoice Amt (SAR)]],Main_Presentation[[#This Row],[Date Recd]],Main_Presentation[[#This Row],[Due Date]],Main_Presentation[[#This Row],[Days]])</f>
        <v>#VALUE!</v>
      </c>
      <c r="AB1296" s="217"/>
    </row>
    <row r="1297" spans="1:28" ht="15.75" hidden="1" x14ac:dyDescent="0.25">
      <c r="A1297" s="226" t="s">
        <v>1526</v>
      </c>
      <c r="B1297" s="227">
        <v>45960</v>
      </c>
      <c r="C1297" s="243">
        <v>1</v>
      </c>
      <c r="D1297" s="228" t="str">
        <f>VLOOKUP(Main_Presentation[[#This Row],[LC Number]],Main_Issuance[],3,0)</f>
        <v>Hassan Taleb</v>
      </c>
      <c r="E1297" s="217" t="s">
        <v>858</v>
      </c>
      <c r="F1297" s="244" t="str">
        <f>VLOOKUP(Main_Presentation[[#This Row],[LC Number]],Main_Issuance[],5,0)</f>
        <v>Alinma</v>
      </c>
      <c r="G1297" s="244" t="str">
        <f>VLOOKUP(Main_Presentation[[#This Row],[LC Number]],Main_Issuance[],6,0)</f>
        <v>KSP</v>
      </c>
      <c r="H1297" s="244" t="str">
        <f>VLOOKUP(Main_Presentation[[#This Row],[LC Number]],Main_Issuance[],17,0)</f>
        <v>Credit</v>
      </c>
      <c r="I1297" s="244" t="str">
        <f>VLOOKUP(Main_Presentation[[#This Row],[LC Number]],Main_Issuance[],7,0)</f>
        <v>Establishment SAFIH ABDULLAH BEN BAKRI</v>
      </c>
      <c r="J1297" s="244" t="str">
        <f>VLOOKUP(Main_Presentation[[#This Row],[LC Number]],Main_Issuance[],8,0)</f>
        <v>FIRST FIX</v>
      </c>
      <c r="K1297" s="244" t="str">
        <f>VLOOKUP(Main_Presentation[[#This Row],[LC Number]],Main_Issuance[],9,0)</f>
        <v>JCD SPMI</v>
      </c>
      <c r="L1297" s="244">
        <f>VLOOKUP(Main_Presentation[[#This Row],[LC Number]],Main_Issuance[],10,0)</f>
        <v>1020100</v>
      </c>
      <c r="M1297" s="244" t="str">
        <f>VLOOKUP(Main_Presentation[[#This Row],[LC Number]],Main_Issuance[],11,0)</f>
        <v>SAR</v>
      </c>
      <c r="N1297" s="245">
        <f>VLOOKUP(Main_Presentation[[#This Row],[LC Number]],Main_Issuance[],12,0)</f>
        <v>123144</v>
      </c>
      <c r="O1297" s="217" t="s">
        <v>20</v>
      </c>
      <c r="P1297" s="217" t="s">
        <v>378</v>
      </c>
      <c r="Q1297" s="218">
        <v>123144</v>
      </c>
      <c r="R1297" s="218">
        <v>1</v>
      </c>
      <c r="S1297" s="218">
        <f>Main_Presentation[[#This Row],[Invoice Amt (FCY)]]*Main_Presentation[[#This Row],[Rate]]</f>
        <v>123144</v>
      </c>
      <c r="T1297" s="15">
        <v>45971</v>
      </c>
      <c r="U1297" s="243" t="str">
        <f>VLOOKUP(Main_Presentation[[#This Row],[LC Number]],Main_Issuance[],18,0)</f>
        <v>120 Days from Invoice Date</v>
      </c>
      <c r="V1297" s="233" t="s">
        <v>407</v>
      </c>
      <c r="W1297" s="229" t="s">
        <v>857</v>
      </c>
      <c r="X1297" s="217" t="s">
        <v>2567</v>
      </c>
      <c r="Y1297" s="399" t="str">
        <f>TRIM(LEFT(Main_Presentation[[#This Row],[Payment Terms]],3))</f>
        <v>120</v>
      </c>
      <c r="Z1297" s="217"/>
      <c r="AA1297" s="316" cm="1">
        <f t="array" ref="AA1297">Settlement(Main_Presentation[[#This Row],[Bank]],Main_Presentation[[#This Row],[ Invoice Amt (SAR)]],Main_Presentation[[#This Row],[Date Recd]],Main_Presentation[[#This Row],[Due Date]],Main_Presentation[[#This Row],[Days]])</f>
        <v>1437.5</v>
      </c>
      <c r="AB1297" s="217"/>
    </row>
    <row r="1298" spans="1:28" ht="15.75" hidden="1" x14ac:dyDescent="0.25">
      <c r="A1298" s="226" t="s">
        <v>1637</v>
      </c>
      <c r="B1298" s="227">
        <v>45967</v>
      </c>
      <c r="C1298" s="243">
        <v>2</v>
      </c>
      <c r="D1298" s="228" t="str">
        <f>VLOOKUP(Main_Presentation[[#This Row],[LC Number]],Main_Issuance[],3,0)</f>
        <v>Tareeq Telmasani</v>
      </c>
      <c r="E1298" s="217" t="s">
        <v>858</v>
      </c>
      <c r="F1298" s="244" t="str">
        <f>VLOOKUP(Main_Presentation[[#This Row],[LC Number]],Main_Issuance[],5,0)</f>
        <v>SAB</v>
      </c>
      <c r="G1298" s="244" t="str">
        <f>VLOOKUP(Main_Presentation[[#This Row],[LC Number]],Main_Issuance[],6,0)</f>
        <v>CEER</v>
      </c>
      <c r="H1298" s="244" t="str">
        <f>VLOOKUP(Main_Presentation[[#This Row],[LC Number]],Main_Issuance[],17,0)</f>
        <v>Credit</v>
      </c>
      <c r="I1298" s="244" t="str">
        <f>VLOOKUP(Main_Presentation[[#This Row],[LC Number]],Main_Issuance[],7,0)</f>
        <v>The Fundamental Installation For Electric Work Co</v>
      </c>
      <c r="J1298" s="244" t="str">
        <f>VLOOKUP(Main_Presentation[[#This Row],[LC Number]],Main_Issuance[],8,0)</f>
        <v>FIRST FIX</v>
      </c>
      <c r="K1298" s="244" t="str">
        <f>VLOOKUP(Main_Presentation[[#This Row],[LC Number]],Main_Issuance[],9,0)</f>
        <v>CEER</v>
      </c>
      <c r="L1298" s="244">
        <f>VLOOKUP(Main_Presentation[[#This Row],[LC Number]],Main_Issuance[],10,0)</f>
        <v>1020091</v>
      </c>
      <c r="M1298" s="244" t="str">
        <f>VLOOKUP(Main_Presentation[[#This Row],[LC Number]],Main_Issuance[],11,0)</f>
        <v>SAR</v>
      </c>
      <c r="N1298" s="245">
        <f>VLOOKUP(Main_Presentation[[#This Row],[LC Number]],Main_Issuance[],12,0)</f>
        <v>40540825</v>
      </c>
      <c r="O1298" s="217" t="s">
        <v>20</v>
      </c>
      <c r="P1298" s="217" t="s">
        <v>857</v>
      </c>
      <c r="Q1298" s="218">
        <v>15540825</v>
      </c>
      <c r="R1298" s="218">
        <v>1</v>
      </c>
      <c r="S1298" s="218">
        <f>Main_Presentation[[#This Row],[Invoice Amt (FCY)]]*Main_Presentation[[#This Row],[Rate]]</f>
        <v>15540825</v>
      </c>
      <c r="T1298" s="227">
        <v>46016</v>
      </c>
      <c r="U1298" s="243" t="str">
        <f>VLOOKUP(Main_Presentation[[#This Row],[LC Number]],Main_Issuance[],18,0)</f>
        <v>60 Days from Invoice Date</v>
      </c>
      <c r="V1298" s="233" t="s">
        <v>367</v>
      </c>
      <c r="W1298" s="229" t="s">
        <v>857</v>
      </c>
      <c r="X1298" s="217"/>
      <c r="Y1298" s="399" t="str">
        <f>TRIM(LEFT(Main_Presentation[[#This Row],[Payment Terms]],3))</f>
        <v>60</v>
      </c>
      <c r="Z1298" s="217"/>
      <c r="AA1298" s="316" cm="1">
        <f t="array" ref="AA1298">Settlement(Main_Presentation[[#This Row],[Bank]],Main_Presentation[[#This Row],[ Invoice Amt (SAR)]],Main_Presentation[[#This Row],[Date Recd]],Main_Presentation[[#This Row],[Due Date]],Main_Presentation[[#This Row],[Days]])</f>
        <v>67019.7</v>
      </c>
      <c r="AB1298" s="217"/>
    </row>
    <row r="1299" spans="1:28" ht="15.75" hidden="1" x14ac:dyDescent="0.25">
      <c r="A1299" s="226" t="s">
        <v>1818</v>
      </c>
      <c r="B1299" s="227">
        <v>45967</v>
      </c>
      <c r="C1299" s="243">
        <v>1</v>
      </c>
      <c r="D1299" s="228" t="str">
        <f>VLOOKUP(Main_Presentation[[#This Row],[LC Number]],Main_Issuance[],3,0)</f>
        <v>Mohammed Kotb</v>
      </c>
      <c r="E1299" s="217" t="s">
        <v>858</v>
      </c>
      <c r="F1299" s="244" t="str">
        <f>VLOOKUP(Main_Presentation[[#This Row],[LC Number]],Main_Issuance[],5,0)</f>
        <v>SAB</v>
      </c>
      <c r="G1299" s="244" t="str">
        <f>VLOOKUP(Main_Presentation[[#This Row],[LC Number]],Main_Issuance[],6,0)</f>
        <v>MP1</v>
      </c>
      <c r="H1299" s="244" t="str">
        <f>VLOOKUP(Main_Presentation[[#This Row],[LC Number]],Main_Issuance[],17,0)</f>
        <v>Credit</v>
      </c>
      <c r="I1299" s="244" t="str">
        <f>VLOOKUP(Main_Presentation[[#This Row],[LC Number]],Main_Issuance[],7,0)</f>
        <v>Sika Saudi Arabia Co. Ltd.</v>
      </c>
      <c r="J1299" s="244" t="str">
        <f>VLOOKUP(Main_Presentation[[#This Row],[LC Number]],Main_Issuance[],8,0)</f>
        <v>MBL</v>
      </c>
      <c r="K1299" s="244" t="str">
        <f>VLOOKUP(Main_Presentation[[#This Row],[LC Number]],Main_Issuance[],9,0)</f>
        <v>ABHA</v>
      </c>
      <c r="L1299" s="244">
        <f>VLOOKUP(Main_Presentation[[#This Row],[LC Number]],Main_Issuance[],10,0)</f>
        <v>1020070</v>
      </c>
      <c r="M1299" s="244" t="str">
        <f>VLOOKUP(Main_Presentation[[#This Row],[LC Number]],Main_Issuance[],11,0)</f>
        <v>SAR</v>
      </c>
      <c r="N1299" s="245">
        <f>VLOOKUP(Main_Presentation[[#This Row],[LC Number]],Main_Issuance[],12,0)</f>
        <v>2741025</v>
      </c>
      <c r="O1299" s="217" t="s">
        <v>20</v>
      </c>
      <c r="P1299" s="217" t="s">
        <v>378</v>
      </c>
      <c r="Q1299" s="218">
        <v>1641337.5</v>
      </c>
      <c r="R1299" s="218">
        <v>1</v>
      </c>
      <c r="S1299" s="218">
        <f>Main_Presentation[[#This Row],[Invoice Amt (FCY)]]*Main_Presentation[[#This Row],[Rate]]</f>
        <v>1641337.5</v>
      </c>
      <c r="T1299" s="227">
        <v>46175</v>
      </c>
      <c r="U1299" s="243" t="str">
        <f>VLOOKUP(Main_Presentation[[#This Row],[LC Number]],Main_Issuance[],18,0)</f>
        <v>120 Days from the Invoice Date</v>
      </c>
      <c r="V1299" s="16" t="s">
        <v>377</v>
      </c>
      <c r="W1299" s="22" t="s">
        <v>857</v>
      </c>
      <c r="X1299" s="217"/>
      <c r="Y1299" s="399" t="str">
        <f>TRIM(LEFT(Main_Presentation[[#This Row],[Payment Terms]],3))</f>
        <v>120</v>
      </c>
      <c r="Z1299" s="217"/>
      <c r="AA1299" s="316" cm="1">
        <f t="array" ref="AA1299">Settlement(Main_Presentation[[#This Row],[Bank]],Main_Presentation[[#This Row],[ Invoice Amt (SAR)]],Main_Presentation[[#This Row],[Date Recd]],Main_Presentation[[#This Row],[Due Date]],Main_Presentation[[#This Row],[Days]])</f>
        <v>7078.25</v>
      </c>
      <c r="AB1299" s="217"/>
    </row>
    <row r="1300" spans="1:28" ht="15.75" hidden="1" x14ac:dyDescent="0.25">
      <c r="A1300" s="226" t="s">
        <v>1851</v>
      </c>
      <c r="B1300" s="227">
        <v>45963</v>
      </c>
      <c r="C1300" s="243">
        <v>2</v>
      </c>
      <c r="D1300" s="228" t="str">
        <f>VLOOKUP(Main_Presentation[[#This Row],[LC Number]],Main_Issuance[],3,0)</f>
        <v>Tareeq - Premium</v>
      </c>
      <c r="E1300" s="217" t="s">
        <v>858</v>
      </c>
      <c r="F1300" s="244" t="str">
        <f>VLOOKUP(Main_Presentation[[#This Row],[LC Number]],Main_Issuance[],5,0)</f>
        <v>SAB</v>
      </c>
      <c r="G1300" s="244" t="str">
        <f>VLOOKUP(Main_Presentation[[#This Row],[LC Number]],Main_Issuance[],6,0)</f>
        <v>CEER</v>
      </c>
      <c r="H1300" s="244" t="str">
        <f>VLOOKUP(Main_Presentation[[#This Row],[LC Number]],Main_Issuance[],17,0)</f>
        <v>Credit</v>
      </c>
      <c r="I1300" s="244" t="str">
        <f>VLOOKUP(Main_Presentation[[#This Row],[LC Number]],Main_Issuance[],7,0)</f>
        <v>Company Alabwab Aldulaya For Contracting</v>
      </c>
      <c r="J1300" s="244" t="str">
        <f>VLOOKUP(Main_Presentation[[#This Row],[LC Number]],Main_Issuance[],8,0)</f>
        <v>MBL/Premium</v>
      </c>
      <c r="K1300" s="244" t="str">
        <f>VLOOKUP(Main_Presentation[[#This Row],[LC Number]],Main_Issuance[],9,0)</f>
        <v>CEER</v>
      </c>
      <c r="L1300" s="244">
        <f>VLOOKUP(Main_Presentation[[#This Row],[LC Number]],Main_Issuance[],10,0)</f>
        <v>1020091</v>
      </c>
      <c r="M1300" s="244" t="str">
        <f>VLOOKUP(Main_Presentation[[#This Row],[LC Number]],Main_Issuance[],11,0)</f>
        <v>SAR</v>
      </c>
      <c r="N1300" s="245">
        <f>VLOOKUP(Main_Presentation[[#This Row],[LC Number]],Main_Issuance[],12,0)</f>
        <v>3000000</v>
      </c>
      <c r="O1300" s="217" t="s">
        <v>20</v>
      </c>
      <c r="P1300" s="217" t="s">
        <v>857</v>
      </c>
      <c r="Q1300" s="218">
        <v>979998.95</v>
      </c>
      <c r="R1300" s="218">
        <v>1</v>
      </c>
      <c r="S1300" s="218">
        <f>Main_Presentation[[#This Row],[Invoice Amt (FCY)]]*Main_Presentation[[#This Row],[Rate]]</f>
        <v>979998.95</v>
      </c>
      <c r="T1300" s="227">
        <v>45973</v>
      </c>
      <c r="U1300" s="243" t="str">
        <f>VLOOKUP(Main_Presentation[[#This Row],[LC Number]],Main_Issuance[],18,0)</f>
        <v>30 Days from Delivery Note Date</v>
      </c>
      <c r="V1300" s="233" t="s">
        <v>367</v>
      </c>
      <c r="W1300" s="229" t="s">
        <v>857</v>
      </c>
      <c r="X1300" s="253"/>
      <c r="Y1300" s="399" t="str">
        <f>TRIM(LEFT(Main_Presentation[[#This Row],[Payment Terms]],3))</f>
        <v>30</v>
      </c>
      <c r="Z1300" s="217"/>
      <c r="AA1300" s="316" cm="1">
        <f t="array" ref="AA1300">Settlement(Main_Presentation[[#This Row],[Bank]],Main_Presentation[[#This Row],[ Invoice Amt (SAR)]],Main_Presentation[[#This Row],[Date Recd]],Main_Presentation[[#This Row],[Due Date]],Main_Presentation[[#This Row],[Days]])</f>
        <v>4226.25</v>
      </c>
      <c r="AB1300" s="217"/>
    </row>
    <row r="1301" spans="1:28" ht="15.75" hidden="1" x14ac:dyDescent="0.25">
      <c r="A1301" s="226" t="s">
        <v>707</v>
      </c>
      <c r="B1301" s="227">
        <v>45963</v>
      </c>
      <c r="C1301" s="243">
        <v>1</v>
      </c>
      <c r="D1301" s="228" t="str">
        <f>VLOOKUP(Main_Presentation[[#This Row],[LC Number]],Main_Issuance[],3,0)</f>
        <v>Chaminda Indrajit</v>
      </c>
      <c r="E1301" s="217" t="s">
        <v>858</v>
      </c>
      <c r="F1301" s="244" t="str">
        <f>VLOOKUP(Main_Presentation[[#This Row],[LC Number]],Main_Issuance[],5,0)</f>
        <v>SNB</v>
      </c>
      <c r="G1301" s="244" t="str">
        <f>VLOOKUP(Main_Presentation[[#This Row],[LC Number]],Main_Issuance[],6,0)</f>
        <v>Opera House</v>
      </c>
      <c r="H1301" s="244" t="str">
        <f>VLOOKUP(Main_Presentation[[#This Row],[LC Number]],Main_Issuance[],17,0)</f>
        <v>Credit</v>
      </c>
      <c r="I1301" s="244" t="str">
        <f>VLOOKUP(Main_Presentation[[#This Row],[LC Number]],Main_Issuance[],7,0)</f>
        <v>BBH-CHEMTROL INTERNATIONAL ORGANIZATION S.L</v>
      </c>
      <c r="J1301" s="244" t="str">
        <f>VLOOKUP(Main_Presentation[[#This Row],[LC Number]],Main_Issuance[],8,0)</f>
        <v>MBL/ICAD</v>
      </c>
      <c r="K1301" s="244" t="str">
        <f>VLOOKUP(Main_Presentation[[#This Row],[LC Number]],Main_Issuance[],9,0)</f>
        <v>OPERA House</v>
      </c>
      <c r="L1301" s="244">
        <f>VLOOKUP(Main_Presentation[[#This Row],[LC Number]],Main_Issuance[],10,0)</f>
        <v>1020097</v>
      </c>
      <c r="M1301" s="244" t="str">
        <f>VLOOKUP(Main_Presentation[[#This Row],[LC Number]],Main_Issuance[],11,0)</f>
        <v>EUR</v>
      </c>
      <c r="N1301" s="245">
        <f>VLOOKUP(Main_Presentation[[#This Row],[LC Number]],Main_Issuance[],12,0)</f>
        <v>10500000</v>
      </c>
      <c r="O1301" s="217" t="s">
        <v>20</v>
      </c>
      <c r="P1301" s="217" t="s">
        <v>857</v>
      </c>
      <c r="Q1301" s="218">
        <v>750369.22</v>
      </c>
      <c r="R1301" s="218">
        <v>4.5170000000000003</v>
      </c>
      <c r="S1301" s="218">
        <f>Main_Presentation[[#This Row],[Invoice Amt (FCY)]]*Main_Presentation[[#This Row],[Rate]]</f>
        <v>3389417.7667400003</v>
      </c>
      <c r="T1301" s="227">
        <v>45978</v>
      </c>
      <c r="U1301" s="243" t="str">
        <f>VLOOKUP(Main_Presentation[[#This Row],[LC Number]],Main_Issuance[],18,0)</f>
        <v>30 Days from Shipment Date</v>
      </c>
      <c r="V1301" s="233" t="s">
        <v>613</v>
      </c>
      <c r="W1301" s="229" t="s">
        <v>857</v>
      </c>
      <c r="X1301" s="217"/>
      <c r="Y1301" s="399" t="str">
        <f>TRIM(LEFT(Main_Presentation[[#This Row],[Payment Terms]],3))</f>
        <v>30</v>
      </c>
      <c r="Z1301" s="217"/>
      <c r="AA1301" s="316" cm="1">
        <f t="array" ref="AA1301">Settlement(Main_Presentation[[#This Row],[Bank]],Main_Presentation[[#This Row],[ Invoice Amt (SAR)]],Main_Presentation[[#This Row],[Date Recd]],Main_Presentation[[#This Row],[Due Date]],Main_Presentation[[#This Row],[Days]])</f>
        <v>655.5</v>
      </c>
      <c r="AB1301" s="217"/>
    </row>
    <row r="1302" spans="1:28" ht="15.75" hidden="1" x14ac:dyDescent="0.25">
      <c r="A1302" s="226" t="s">
        <v>1677</v>
      </c>
      <c r="B1302" s="227">
        <v>45973</v>
      </c>
      <c r="C1302" s="243">
        <v>2</v>
      </c>
      <c r="D1302" s="228" t="str">
        <f>VLOOKUP(Main_Presentation[[#This Row],[LC Number]],Main_Issuance[],3,0)</f>
        <v>Tareeq Telmasani</v>
      </c>
      <c r="E1302" s="217" t="s">
        <v>858</v>
      </c>
      <c r="F1302" s="244" t="str">
        <f>VLOOKUP(Main_Presentation[[#This Row],[LC Number]],Main_Issuance[],5,0)</f>
        <v>SAB</v>
      </c>
      <c r="G1302" s="244" t="str">
        <f>VLOOKUP(Main_Presentation[[#This Row],[LC Number]],Main_Issuance[],6,0)</f>
        <v>CEER</v>
      </c>
      <c r="H1302" s="244" t="str">
        <f>VLOOKUP(Main_Presentation[[#This Row],[LC Number]],Main_Issuance[],17,0)</f>
        <v>Credit</v>
      </c>
      <c r="I1302" s="244" t="str">
        <f>VLOOKUP(Main_Presentation[[#This Row],[LC Number]],Main_Issuance[],7,0)</f>
        <v>Fawaz Refrigeration &amp; Air Conditioning Cont. Co. LLC</v>
      </c>
      <c r="J1302" s="244" t="str">
        <f>VLOOKUP(Main_Presentation[[#This Row],[LC Number]],Main_Issuance[],8,0)</f>
        <v>FIRST FIX</v>
      </c>
      <c r="K1302" s="244" t="str">
        <f>VLOOKUP(Main_Presentation[[#This Row],[LC Number]],Main_Issuance[],9,0)</f>
        <v>CEER</v>
      </c>
      <c r="L1302" s="244">
        <f>VLOOKUP(Main_Presentation[[#This Row],[LC Number]],Main_Issuance[],10,0)</f>
        <v>1020091</v>
      </c>
      <c r="M1302" s="244" t="str">
        <f>VLOOKUP(Main_Presentation[[#This Row],[LC Number]],Main_Issuance[],11,0)</f>
        <v>SAR</v>
      </c>
      <c r="N1302" s="245">
        <f>VLOOKUP(Main_Presentation[[#This Row],[LC Number]],Main_Issuance[],12,0)</f>
        <v>699476</v>
      </c>
      <c r="O1302" s="217" t="s">
        <v>20</v>
      </c>
      <c r="P1302" s="217" t="s">
        <v>857</v>
      </c>
      <c r="Q1302" s="218">
        <v>456260.2</v>
      </c>
      <c r="R1302" s="218">
        <v>1</v>
      </c>
      <c r="S1302" s="218">
        <f>Main_Presentation[[#This Row],[Invoice Amt (FCY)]]*Main_Presentation[[#This Row],[Rate]]</f>
        <v>456260.2</v>
      </c>
      <c r="T1302" s="227">
        <v>46057</v>
      </c>
      <c r="U1302" s="243" t="str">
        <f>VLOOKUP(Main_Presentation[[#This Row],[LC Number]],Main_Issuance[],18,0)</f>
        <v>90 Days from Appl. Representative Sign</v>
      </c>
      <c r="V1302" s="233" t="s">
        <v>367</v>
      </c>
      <c r="W1302" s="229" t="s">
        <v>857</v>
      </c>
      <c r="X1302" s="217"/>
      <c r="Y1302" s="399" t="str">
        <f>TRIM(LEFT(Main_Presentation[[#This Row],[Payment Terms]],3))</f>
        <v>90</v>
      </c>
      <c r="Z1302" s="217"/>
      <c r="AA1302" s="316" cm="1">
        <f t="array" ref="AA1302">Settlement(Main_Presentation[[#This Row],[Bank]],Main_Presentation[[#This Row],[ Invoice Amt (SAR)]],Main_Presentation[[#This Row],[Date Recd]],Main_Presentation[[#This Row],[Due Date]],Main_Presentation[[#This Row],[Days]])</f>
        <v>1967.65</v>
      </c>
      <c r="AB1302" s="217"/>
    </row>
    <row r="1303" spans="1:28" ht="15.75" hidden="1" x14ac:dyDescent="0.25">
      <c r="A1303" s="226" t="s">
        <v>1662</v>
      </c>
      <c r="B1303" s="227">
        <v>45983</v>
      </c>
      <c r="C1303" s="243">
        <v>3</v>
      </c>
      <c r="D1303" s="228" t="str">
        <f>VLOOKUP(Main_Presentation[[#This Row],[LC Number]],Main_Issuance[],3,0)</f>
        <v>Tareeq Telmasani</v>
      </c>
      <c r="E1303" s="217" t="s">
        <v>858</v>
      </c>
      <c r="F1303" s="244" t="str">
        <f>VLOOKUP(Main_Presentation[[#This Row],[LC Number]],Main_Issuance[],5,0)</f>
        <v>SAB</v>
      </c>
      <c r="G1303" s="244" t="str">
        <f>VLOOKUP(Main_Presentation[[#This Row],[LC Number]],Main_Issuance[],6,0)</f>
        <v>CEER</v>
      </c>
      <c r="H1303" s="244" t="str">
        <f>VLOOKUP(Main_Presentation[[#This Row],[LC Number]],Main_Issuance[],17,0)</f>
        <v>Credit</v>
      </c>
      <c r="I1303" s="244" t="str">
        <f>VLOOKUP(Main_Presentation[[#This Row],[LC Number]],Main_Issuance[],7,0)</f>
        <v>JAD AL RIYADH Trading Co. Ltd</v>
      </c>
      <c r="J1303" s="244" t="str">
        <f>VLOOKUP(Main_Presentation[[#This Row],[LC Number]],Main_Issuance[],8,0)</f>
        <v>FIRST FIX</v>
      </c>
      <c r="K1303" s="244" t="str">
        <f>VLOOKUP(Main_Presentation[[#This Row],[LC Number]],Main_Issuance[],9,0)</f>
        <v>CEER</v>
      </c>
      <c r="L1303" s="244">
        <f>VLOOKUP(Main_Presentation[[#This Row],[LC Number]],Main_Issuance[],10,0)</f>
        <v>1020091</v>
      </c>
      <c r="M1303" s="244" t="str">
        <f>VLOOKUP(Main_Presentation[[#This Row],[LC Number]],Main_Issuance[],11,0)</f>
        <v>SAR</v>
      </c>
      <c r="N1303" s="245">
        <f>VLOOKUP(Main_Presentation[[#This Row],[LC Number]],Main_Issuance[],12,0)</f>
        <v>1400000</v>
      </c>
      <c r="O1303" s="217" t="s">
        <v>20</v>
      </c>
      <c r="P1303" s="217" t="s">
        <v>857</v>
      </c>
      <c r="Q1303" s="218">
        <v>266294.28999999998</v>
      </c>
      <c r="R1303" s="218">
        <v>1</v>
      </c>
      <c r="S1303" s="218">
        <f>Main_Presentation[[#This Row],[Invoice Amt (FCY)]]*Main_Presentation[[#This Row],[Rate]]</f>
        <v>266294.28999999998</v>
      </c>
      <c r="T1303" s="227">
        <v>46057</v>
      </c>
      <c r="U1303" s="243" t="str">
        <f>VLOOKUP(Main_Presentation[[#This Row],[LC Number]],Main_Issuance[],18,0)</f>
        <v>90 Days from Appl. Representative Sign</v>
      </c>
      <c r="V1303" s="233" t="s">
        <v>367</v>
      </c>
      <c r="W1303" s="229" t="s">
        <v>857</v>
      </c>
      <c r="X1303" s="217"/>
      <c r="Y1303" s="399" t="str">
        <f>TRIM(LEFT(Main_Presentation[[#This Row],[Payment Terms]],3))</f>
        <v>90</v>
      </c>
      <c r="Z1303" s="217"/>
      <c r="AA1303" s="316" cm="1">
        <f t="array" ref="AA1303">Settlement(Main_Presentation[[#This Row],[Bank]],Main_Presentation[[#This Row],[ Invoice Amt (SAR)]],Main_Presentation[[#This Row],[Date Recd]],Main_Presentation[[#This Row],[Due Date]],Main_Presentation[[#This Row],[Days]])</f>
        <v>1148.8499999999999</v>
      </c>
      <c r="AB1303" s="217"/>
    </row>
    <row r="1304" spans="1:28" ht="15.75" hidden="1" x14ac:dyDescent="0.25">
      <c r="A1304" s="226" t="s">
        <v>1855</v>
      </c>
      <c r="B1304" s="227">
        <v>45982</v>
      </c>
      <c r="C1304" s="243">
        <v>1</v>
      </c>
      <c r="D1304" s="228" t="str">
        <f>VLOOKUP(Main_Presentation[[#This Row],[LC Number]],Main_Issuance[],3,0)</f>
        <v>Luis Puente</v>
      </c>
      <c r="E1304" s="217" t="s">
        <v>856</v>
      </c>
      <c r="F1304" s="244" t="str">
        <f>VLOOKUP(Main_Presentation[[#This Row],[LC Number]],Main_Issuance[],5,0)</f>
        <v>Riyad</v>
      </c>
      <c r="G1304" s="244" t="str">
        <f>VLOOKUP(Main_Presentation[[#This Row],[LC Number]],Main_Issuance[],6,0)</f>
        <v>Cash</v>
      </c>
      <c r="H1304" s="244" t="str">
        <f>VLOOKUP(Main_Presentation[[#This Row],[LC Number]],Main_Issuance[],17,0)</f>
        <v>Cash</v>
      </c>
      <c r="I1304" s="244" t="str">
        <f>VLOOKUP(Main_Presentation[[#This Row],[LC Number]],Main_Issuance[],7,0)</f>
        <v>Isam Kabbani &amp; Partners Ltd-Unitech</v>
      </c>
      <c r="J1304" s="244" t="str">
        <f>VLOOKUP(Main_Presentation[[#This Row],[LC Number]],Main_Issuance[],8,0)</f>
        <v>FIRST FIX</v>
      </c>
      <c r="K1304" s="244" t="str">
        <f>VLOOKUP(Main_Presentation[[#This Row],[LC Number]],Main_Issuance[],9,0)</f>
        <v>Oceanarium</v>
      </c>
      <c r="L1304" s="244">
        <f>VLOOKUP(Main_Presentation[[#This Row],[LC Number]],Main_Issuance[],10,0)</f>
        <v>1020096</v>
      </c>
      <c r="M1304" s="244" t="str">
        <f>VLOOKUP(Main_Presentation[[#This Row],[LC Number]],Main_Issuance[],11,0)</f>
        <v>SAR</v>
      </c>
      <c r="N1304" s="245">
        <f>VLOOKUP(Main_Presentation[[#This Row],[LC Number]],Main_Issuance[],12,0)</f>
        <v>300000</v>
      </c>
      <c r="O1304" s="217" t="s">
        <v>20</v>
      </c>
      <c r="P1304" s="217" t="s">
        <v>857</v>
      </c>
      <c r="Q1304" s="218">
        <v>300000</v>
      </c>
      <c r="R1304" s="218">
        <v>1</v>
      </c>
      <c r="S1304" s="218">
        <f>Main_Presentation[[#This Row],[Invoice Amt (FCY)]]*Main_Presentation[[#This Row],[Rate]]</f>
        <v>300000</v>
      </c>
      <c r="T1304" s="227">
        <v>46070</v>
      </c>
      <c r="U1304" s="243" t="str">
        <f>VLOOKUP(Main_Presentation[[#This Row],[LC Number]],Main_Issuance[],18,0)</f>
        <v>120 Days from Invoice Date</v>
      </c>
      <c r="V1304" s="233" t="s">
        <v>70</v>
      </c>
      <c r="W1304" s="229" t="s">
        <v>857</v>
      </c>
      <c r="X1304" s="217"/>
      <c r="Y1304" s="399" t="str">
        <f>TRIM(LEFT(Main_Presentation[[#This Row],[Payment Terms]],3))</f>
        <v>120</v>
      </c>
      <c r="Z1304" s="217"/>
      <c r="AA1304" s="316" cm="1">
        <f t="array" ref="AA1304">Settlement(Main_Presentation[[#This Row],[Bank]],Main_Presentation[[#This Row],[ Invoice Amt (SAR)]],Main_Presentation[[#This Row],[Date Recd]],Main_Presentation[[#This Row],[Due Date]],Main_Presentation[[#This Row],[Days]])</f>
        <v>1293.75</v>
      </c>
      <c r="AB1304" s="217"/>
    </row>
    <row r="1305" spans="1:28" ht="15.75" hidden="1" x14ac:dyDescent="0.25">
      <c r="A1305" s="226" t="s">
        <v>1862</v>
      </c>
      <c r="B1305" s="227">
        <v>45991</v>
      </c>
      <c r="C1305" s="243">
        <v>1</v>
      </c>
      <c r="D1305" s="228" t="str">
        <f>VLOOKUP(Main_Presentation[[#This Row],[LC Number]],Main_Issuance[],3,0)</f>
        <v>Luis Puente</v>
      </c>
      <c r="E1305" s="217" t="s">
        <v>858</v>
      </c>
      <c r="F1305" s="244" t="str">
        <f>VLOOKUP(Main_Presentation[[#This Row],[LC Number]],Main_Issuance[],5,0)</f>
        <v>Riyad</v>
      </c>
      <c r="G1305" s="244" t="str">
        <f>VLOOKUP(Main_Presentation[[#This Row],[LC Number]],Main_Issuance[],6,0)</f>
        <v>Cash</v>
      </c>
      <c r="H1305" s="244" t="str">
        <f>VLOOKUP(Main_Presentation[[#This Row],[LC Number]],Main_Issuance[],17,0)</f>
        <v>Cash</v>
      </c>
      <c r="I1305" s="244" t="str">
        <f>VLOOKUP(Main_Presentation[[#This Row],[LC Number]],Main_Issuance[],7,0)</f>
        <v>Al Othman Industrial Marketing Co.</v>
      </c>
      <c r="J1305" s="244" t="str">
        <f>VLOOKUP(Main_Presentation[[#This Row],[LC Number]],Main_Issuance[],8,0)</f>
        <v>FIRST FIX</v>
      </c>
      <c r="K1305" s="244" t="str">
        <f>VLOOKUP(Main_Presentation[[#This Row],[LC Number]],Main_Issuance[],9,0)</f>
        <v>Oceanarium</v>
      </c>
      <c r="L1305" s="244">
        <f>VLOOKUP(Main_Presentation[[#This Row],[LC Number]],Main_Issuance[],10,0)</f>
        <v>1020096</v>
      </c>
      <c r="M1305" s="244" t="str">
        <f>VLOOKUP(Main_Presentation[[#This Row],[LC Number]],Main_Issuance[],11,0)</f>
        <v>SAR</v>
      </c>
      <c r="N1305" s="245">
        <f>VLOOKUP(Main_Presentation[[#This Row],[LC Number]],Main_Issuance[],12,0)</f>
        <v>250000</v>
      </c>
      <c r="O1305" s="217" t="s">
        <v>20</v>
      </c>
      <c r="P1305" s="217" t="s">
        <v>857</v>
      </c>
      <c r="Q1305" s="218">
        <v>250000</v>
      </c>
      <c r="R1305" s="218">
        <v>1</v>
      </c>
      <c r="S1305" s="218">
        <f>Main_Presentation[[#This Row],[Invoice Amt (FCY)]]*Main_Presentation[[#This Row],[Rate]]</f>
        <v>250000</v>
      </c>
      <c r="T1305" s="227">
        <v>46069</v>
      </c>
      <c r="U1305" s="243" t="str">
        <f>VLOOKUP(Main_Presentation[[#This Row],[LC Number]],Main_Issuance[],18,0)</f>
        <v>120 Days from Invoice Date</v>
      </c>
      <c r="V1305" s="233" t="s">
        <v>70</v>
      </c>
      <c r="W1305" s="229" t="s">
        <v>857</v>
      </c>
      <c r="X1305" s="217"/>
      <c r="Y1305" s="399" t="str">
        <f>TRIM(LEFT(Main_Presentation[[#This Row],[Payment Terms]],3))</f>
        <v>120</v>
      </c>
      <c r="Z1305" s="217"/>
      <c r="AA1305" s="316" cm="1">
        <f t="array" ref="AA1305">Settlement(Main_Presentation[[#This Row],[Bank]],Main_Presentation[[#This Row],[ Invoice Amt (SAR)]],Main_Presentation[[#This Row],[Date Recd]],Main_Presentation[[#This Row],[Due Date]],Main_Presentation[[#This Row],[Days]])</f>
        <v>1078.7</v>
      </c>
      <c r="AB1305" s="217"/>
    </row>
    <row r="1306" spans="1:28" ht="15.75" hidden="1" x14ac:dyDescent="0.25">
      <c r="A1306" s="226" t="s">
        <v>1410</v>
      </c>
      <c r="B1306" s="227">
        <v>45985</v>
      </c>
      <c r="C1306" s="243">
        <v>1</v>
      </c>
      <c r="D1306" s="228" t="str">
        <f>VLOOKUP(Main_Presentation[[#This Row],[LC Number]],Main_Issuance[],3,0)</f>
        <v>Hassan Taleb</v>
      </c>
      <c r="E1306" s="217" t="s">
        <v>858</v>
      </c>
      <c r="F1306" s="244" t="str">
        <f>VLOOKUP(Main_Presentation[[#This Row],[LC Number]],Main_Issuance[],5,0)</f>
        <v>Alinma</v>
      </c>
      <c r="G1306" s="244" t="str">
        <f>VLOOKUP(Main_Presentation[[#This Row],[LC Number]],Main_Issuance[],6,0)</f>
        <v>KSP</v>
      </c>
      <c r="H1306" s="244" t="str">
        <f>VLOOKUP(Main_Presentation[[#This Row],[LC Number]],Main_Issuance[],17,0)</f>
        <v>Credit</v>
      </c>
      <c r="I1306" s="244" t="str">
        <f>VLOOKUP(Main_Presentation[[#This Row],[LC Number]],Main_Issuance[],7,0)</f>
        <v>MAWARID AISHAMELA TRADING CO.</v>
      </c>
      <c r="J1306" s="244" t="str">
        <f>VLOOKUP(Main_Presentation[[#This Row],[LC Number]],Main_Issuance[],8,0)</f>
        <v>FIRST FIX</v>
      </c>
      <c r="K1306" s="244" t="str">
        <f>VLOOKUP(Main_Presentation[[#This Row],[LC Number]],Main_Issuance[],9,0)</f>
        <v>KSP</v>
      </c>
      <c r="L1306" s="244">
        <f>VLOOKUP(Main_Presentation[[#This Row],[LC Number]],Main_Issuance[],10,0)</f>
        <v>1020055</v>
      </c>
      <c r="M1306" s="244" t="str">
        <f>VLOOKUP(Main_Presentation[[#This Row],[LC Number]],Main_Issuance[],11,0)</f>
        <v>SAR</v>
      </c>
      <c r="N1306" s="245">
        <f>VLOOKUP(Main_Presentation[[#This Row],[LC Number]],Main_Issuance[],12,0)</f>
        <v>73962.710000000006</v>
      </c>
      <c r="O1306" s="217" t="s">
        <v>20</v>
      </c>
      <c r="P1306" s="217" t="s">
        <v>857</v>
      </c>
      <c r="Q1306" s="218">
        <v>73962.710000000006</v>
      </c>
      <c r="R1306" s="218">
        <v>1</v>
      </c>
      <c r="S1306" s="218">
        <f>Main_Presentation[[#This Row],[Invoice Amt (FCY)]]*Main_Presentation[[#This Row],[Rate]]</f>
        <v>73962.710000000006</v>
      </c>
      <c r="T1306" s="15">
        <v>46086</v>
      </c>
      <c r="U1306" s="243" t="str">
        <f>VLOOKUP(Main_Presentation[[#This Row],[LC Number]],Main_Issuance[],18,0)</f>
        <v>120 Days from Invoice Date</v>
      </c>
      <c r="V1306" s="233" t="s">
        <v>22</v>
      </c>
      <c r="W1306" s="229" t="s">
        <v>857</v>
      </c>
      <c r="X1306" s="217"/>
      <c r="Y1306" s="399" t="str">
        <f>TRIM(LEFT(Main_Presentation[[#This Row],[Payment Terms]],3))</f>
        <v>120</v>
      </c>
      <c r="Z1306" s="217"/>
      <c r="AA1306" s="316" cm="1">
        <f t="array" ref="AA1306">Settlement(Main_Presentation[[#This Row],[Bank]],Main_Presentation[[#This Row],[ Invoice Amt (SAR)]],Main_Presentation[[#This Row],[Date Recd]],Main_Presentation[[#This Row],[Due Date]],Main_Presentation[[#This Row],[Days]])</f>
        <v>1437.5</v>
      </c>
      <c r="AB1306" s="217"/>
    </row>
    <row r="1307" spans="1:28" ht="15.75" hidden="1" x14ac:dyDescent="0.25">
      <c r="A1307" s="226" t="s">
        <v>1129</v>
      </c>
      <c r="B1307" s="227">
        <v>45965</v>
      </c>
      <c r="C1307" s="243">
        <v>5</v>
      </c>
      <c r="D1307" s="228" t="str">
        <f>VLOOKUP(Main_Presentation[[#This Row],[LC Number]],Main_Issuance[],3,0)</f>
        <v>Tareeq - Premium</v>
      </c>
      <c r="E1307" s="217" t="s">
        <v>858</v>
      </c>
      <c r="F1307" s="244" t="str">
        <f>VLOOKUP(Main_Presentation[[#This Row],[LC Number]],Main_Issuance[],5,0)</f>
        <v>SAB</v>
      </c>
      <c r="G1307" s="244" t="str">
        <f>VLOOKUP(Main_Presentation[[#This Row],[LC Number]],Main_Issuance[],6,0)</f>
        <v>CEER</v>
      </c>
      <c r="H1307" s="244" t="str">
        <f>VLOOKUP(Main_Presentation[[#This Row],[LC Number]],Main_Issuance[],17,0)</f>
        <v>Credit</v>
      </c>
      <c r="I1307" s="244" t="str">
        <f>VLOOKUP(Main_Presentation[[#This Row],[LC Number]],Main_Issuance[],7,0)</f>
        <v>ISAM MUAMMED KHAIRI KABBANI GLASS (IKK Glass)</v>
      </c>
      <c r="J1307" s="244" t="str">
        <f>VLOOKUP(Main_Presentation[[#This Row],[LC Number]],Main_Issuance[],8,0)</f>
        <v>MBL/Premium</v>
      </c>
      <c r="K1307" s="244" t="str">
        <f>VLOOKUP(Main_Presentation[[#This Row],[LC Number]],Main_Issuance[],9,0)</f>
        <v>CEER</v>
      </c>
      <c r="L1307" s="244">
        <f>VLOOKUP(Main_Presentation[[#This Row],[LC Number]],Main_Issuance[],10,0)</f>
        <v>1020091</v>
      </c>
      <c r="M1307" s="244" t="str">
        <f>VLOOKUP(Main_Presentation[[#This Row],[LC Number]],Main_Issuance[],11,0)</f>
        <v>SAR</v>
      </c>
      <c r="N1307" s="245">
        <f>VLOOKUP(Main_Presentation[[#This Row],[LC Number]],Main_Issuance[],12,0)</f>
        <v>3500000</v>
      </c>
      <c r="O1307" s="217" t="s">
        <v>20</v>
      </c>
      <c r="P1307" s="217" t="s">
        <v>857</v>
      </c>
      <c r="Q1307" s="218">
        <v>730000</v>
      </c>
      <c r="R1307" s="218">
        <v>1</v>
      </c>
      <c r="S1307" s="218">
        <f>Main_Presentation[[#This Row],[Invoice Amt (FCY)]]*Main_Presentation[[#This Row],[Rate]]</f>
        <v>730000</v>
      </c>
      <c r="T1307" s="227">
        <v>45972</v>
      </c>
      <c r="U1307" s="243" t="str">
        <f>VLOOKUP(Main_Presentation[[#This Row],[LC Number]],Main_Issuance[],18,0)</f>
        <v>30 Days from Invoice Date</v>
      </c>
      <c r="V1307" s="233" t="s">
        <v>367</v>
      </c>
      <c r="W1307" s="229" t="s">
        <v>857</v>
      </c>
      <c r="X1307" s="217"/>
      <c r="Y1307" s="399" t="str">
        <f>TRIM(LEFT(Main_Presentation[[#This Row],[Payment Terms]],3))</f>
        <v>30</v>
      </c>
      <c r="Z1307" s="217"/>
      <c r="AA1307" s="316" cm="1">
        <f t="array" ref="AA1307">Settlement(Main_Presentation[[#This Row],[Bank]],Main_Presentation[[#This Row],[ Invoice Amt (SAR)]],Main_Presentation[[#This Row],[Date Recd]],Main_Presentation[[#This Row],[Due Date]],Main_Presentation[[#This Row],[Days]])</f>
        <v>3148.7</v>
      </c>
      <c r="AB1307" s="217"/>
    </row>
    <row r="1308" spans="1:28" ht="15.75" hidden="1" x14ac:dyDescent="0.25">
      <c r="A1308" s="226" t="s">
        <v>306</v>
      </c>
      <c r="B1308" s="227">
        <v>45966</v>
      </c>
      <c r="C1308" s="243">
        <v>124</v>
      </c>
      <c r="D1308" s="228" t="str">
        <f>VLOOKUP(Main_Presentation[[#This Row],[LC Number]],Main_Issuance[],3,0)</f>
        <v>Dipu Sir</v>
      </c>
      <c r="E1308" s="217" t="s">
        <v>858</v>
      </c>
      <c r="F1308" s="244" t="str">
        <f>VLOOKUP(Main_Presentation[[#This Row],[LC Number]],Main_Issuance[],5,0)</f>
        <v>Riyad</v>
      </c>
      <c r="G1308" s="244" t="str">
        <f>VLOOKUP(Main_Presentation[[#This Row],[LC Number]],Main_Issuance[],6,0)</f>
        <v>Cash</v>
      </c>
      <c r="H1308" s="244" t="str">
        <f>VLOOKUP(Main_Presentation[[#This Row],[LC Number]],Main_Issuance[],17,0)</f>
        <v>Cash</v>
      </c>
      <c r="I1308" s="244" t="str">
        <f>VLOOKUP(Main_Presentation[[#This Row],[LC Number]],Main_Issuance[],7,0)</f>
        <v>ATELIER HOSPITALITY SRL</v>
      </c>
      <c r="J1308" s="244" t="str">
        <f>VLOOKUP(Main_Presentation[[#This Row],[LC Number]],Main_Issuance[],8,0)</f>
        <v>MBL</v>
      </c>
      <c r="K1308" s="244" t="str">
        <f>VLOOKUP(Main_Presentation[[#This Row],[LC Number]],Main_Issuance[],9,0)</f>
        <v>L01-YAMMAMA</v>
      </c>
      <c r="L1308" s="244">
        <f>VLOOKUP(Main_Presentation[[#This Row],[LC Number]],Main_Issuance[],10,0)</f>
        <v>1020015</v>
      </c>
      <c r="M1308" s="244" t="str">
        <f>VLOOKUP(Main_Presentation[[#This Row],[LC Number]],Main_Issuance[],11,0)</f>
        <v>EUR</v>
      </c>
      <c r="N1308" s="245">
        <f>VLOOKUP(Main_Presentation[[#This Row],[LC Number]],Main_Issuance[],12,0)</f>
        <v>50762045.400000006</v>
      </c>
      <c r="O1308" s="217" t="s">
        <v>20</v>
      </c>
      <c r="P1308" s="217" t="s">
        <v>857</v>
      </c>
      <c r="Q1308" s="218">
        <v>45021.19</v>
      </c>
      <c r="R1308" s="18">
        <v>4.5700921750359704</v>
      </c>
      <c r="S1308" s="218">
        <f>Main_Presentation[[#This Row],[Invoice Amt (FCY)]]*Main_Presentation[[#This Row],[Rate]]</f>
        <v>205750.98812980769</v>
      </c>
      <c r="T1308" s="227">
        <v>45973</v>
      </c>
      <c r="U1308" s="243" t="str">
        <f>VLOOKUP(Main_Presentation[[#This Row],[LC Number]],Main_Issuance[],18,0)</f>
        <v>30 days from the date of comm. inv.</v>
      </c>
      <c r="V1308" s="17" t="s">
        <v>213</v>
      </c>
      <c r="W1308" s="22" t="s">
        <v>857</v>
      </c>
      <c r="X1308" s="217"/>
      <c r="Y1308" s="403" t="str">
        <f>TRIM(LEFT(Main_Presentation[[#This Row],[Payment Terms]],3))</f>
        <v>30</v>
      </c>
      <c r="Z1308" s="217"/>
      <c r="AA1308" s="316" cm="1">
        <f t="array" ref="AA1308">Settlement(Main_Presentation[[#This Row],[Bank]],Main_Presentation[[#This Row],[ Invoice Amt (SAR)]],Main_Presentation[[#This Row],[Date Recd]],Main_Presentation[[#This Row],[Due Date]],Main_Presentation[[#This Row],[Days]])</f>
        <v>230</v>
      </c>
      <c r="AB1308" s="217"/>
    </row>
    <row r="1309" spans="1:28" ht="15.75" hidden="1" x14ac:dyDescent="0.25">
      <c r="A1309" s="278" t="s">
        <v>306</v>
      </c>
      <c r="B1309" s="227">
        <v>45966</v>
      </c>
      <c r="C1309" s="243">
        <v>125</v>
      </c>
      <c r="D1309" s="228" t="str">
        <f>VLOOKUP(Main_Presentation[[#This Row],[LC Number]],Main_Issuance[],3,0)</f>
        <v>Dipu Sir</v>
      </c>
      <c r="E1309" s="217" t="s">
        <v>858</v>
      </c>
      <c r="F1309" s="244" t="str">
        <f>VLOOKUP(Main_Presentation[[#This Row],[LC Number]],Main_Issuance[],5,0)</f>
        <v>Riyad</v>
      </c>
      <c r="G1309" s="244" t="str">
        <f>VLOOKUP(Main_Presentation[[#This Row],[LC Number]],Main_Issuance[],6,0)</f>
        <v>Cash</v>
      </c>
      <c r="H1309" s="244" t="str">
        <f>VLOOKUP(Main_Presentation[[#This Row],[LC Number]],Main_Issuance[],17,0)</f>
        <v>Cash</v>
      </c>
      <c r="I1309" s="244" t="str">
        <f>VLOOKUP(Main_Presentation[[#This Row],[LC Number]],Main_Issuance[],7,0)</f>
        <v>ATELIER HOSPITALITY SRL</v>
      </c>
      <c r="J1309" s="244" t="str">
        <f>VLOOKUP(Main_Presentation[[#This Row],[LC Number]],Main_Issuance[],8,0)</f>
        <v>MBL</v>
      </c>
      <c r="K1309" s="244" t="str">
        <f>VLOOKUP(Main_Presentation[[#This Row],[LC Number]],Main_Issuance[],9,0)</f>
        <v>L01-YAMMAMA</v>
      </c>
      <c r="L1309" s="244">
        <f>VLOOKUP(Main_Presentation[[#This Row],[LC Number]],Main_Issuance[],10,0)</f>
        <v>1020015</v>
      </c>
      <c r="M1309" s="244" t="str">
        <f>VLOOKUP(Main_Presentation[[#This Row],[LC Number]],Main_Issuance[],11,0)</f>
        <v>EUR</v>
      </c>
      <c r="N1309" s="245">
        <f>VLOOKUP(Main_Presentation[[#This Row],[LC Number]],Main_Issuance[],12,0)</f>
        <v>50762045.400000006</v>
      </c>
      <c r="O1309" s="217" t="s">
        <v>910</v>
      </c>
      <c r="P1309" s="217" t="s">
        <v>378</v>
      </c>
      <c r="Q1309" s="218">
        <v>42435</v>
      </c>
      <c r="R1309" s="18">
        <v>4.5700901448959899</v>
      </c>
      <c r="S1309" s="218">
        <f>Main_Presentation[[#This Row],[Invoice Amt (FCY)]]*Main_Presentation[[#This Row],[Rate]]</f>
        <v>193931.77529866132</v>
      </c>
      <c r="T1309" s="227">
        <v>46036</v>
      </c>
      <c r="U1309" s="243" t="str">
        <f>VLOOKUP(Main_Presentation[[#This Row],[LC Number]],Main_Issuance[],18,0)</f>
        <v>30 days from the date of comm. inv.</v>
      </c>
      <c r="V1309" s="233"/>
      <c r="W1309" s="229" t="s">
        <v>378</v>
      </c>
      <c r="X1309" s="217"/>
      <c r="Y1309" s="399" t="str">
        <f>TRIM(LEFT(Main_Presentation[[#This Row],[Payment Terms]],3))</f>
        <v>30</v>
      </c>
      <c r="Z1309" s="217"/>
      <c r="AA1309" s="316" cm="1">
        <f t="array" ref="AA1309">Settlement(Main_Presentation[[#This Row],[Bank]],Main_Presentation[[#This Row],[ Invoice Amt (SAR)]],Main_Presentation[[#This Row],[Date Recd]],Main_Presentation[[#This Row],[Due Date]],Main_Presentation[[#This Row],[Days]])</f>
        <v>557.75</v>
      </c>
      <c r="AB1309" s="217"/>
    </row>
    <row r="1310" spans="1:28" ht="15.75" hidden="1" x14ac:dyDescent="0.25">
      <c r="A1310" s="226" t="s">
        <v>1743</v>
      </c>
      <c r="B1310" s="227">
        <v>45966</v>
      </c>
      <c r="C1310" s="243">
        <v>2</v>
      </c>
      <c r="D1310" s="228" t="str">
        <f>VLOOKUP(Main_Presentation[[#This Row],[LC Number]],Main_Issuance[],3,0)</f>
        <v>Muhammed Khan</v>
      </c>
      <c r="E1310" s="217" t="s">
        <v>858</v>
      </c>
      <c r="F1310" s="244" t="str">
        <f>VLOOKUP(Main_Presentation[[#This Row],[LC Number]],Main_Issuance[],5,0)</f>
        <v>Riyad</v>
      </c>
      <c r="G1310" s="244" t="str">
        <f>VLOOKUP(Main_Presentation[[#This Row],[LC Number]],Main_Issuance[],6,0)</f>
        <v>Cash</v>
      </c>
      <c r="H1310" s="244" t="str">
        <f>VLOOKUP(Main_Presentation[[#This Row],[LC Number]],Main_Issuance[],17,0)</f>
        <v>Cash</v>
      </c>
      <c r="I1310" s="244" t="str">
        <f>VLOOKUP(Main_Presentation[[#This Row],[LC Number]],Main_Issuance[],7,0)</f>
        <v>Dalal Al Sham Security Company</v>
      </c>
      <c r="J1310" s="244" t="str">
        <f>VLOOKUP(Main_Presentation[[#This Row],[LC Number]],Main_Issuance[],8,0)</f>
        <v>IFAS</v>
      </c>
      <c r="K1310" s="244" t="str">
        <f>VLOOKUP(Main_Presentation[[#This Row],[LC Number]],Main_Issuance[],9,0)</f>
        <v>IFAS - Various Projects</v>
      </c>
      <c r="L1310" s="244">
        <f>VLOOKUP(Main_Presentation[[#This Row],[LC Number]],Main_Issuance[],10,0)</f>
        <v>0</v>
      </c>
      <c r="M1310" s="244" t="str">
        <f>VLOOKUP(Main_Presentation[[#This Row],[LC Number]],Main_Issuance[],11,0)</f>
        <v>SAR</v>
      </c>
      <c r="N1310" s="245">
        <f>VLOOKUP(Main_Presentation[[#This Row],[LC Number]],Main_Issuance[],12,0)</f>
        <v>273082</v>
      </c>
      <c r="O1310" s="217" t="s">
        <v>20</v>
      </c>
      <c r="P1310" s="217" t="s">
        <v>857</v>
      </c>
      <c r="Q1310" s="218">
        <v>136540.97</v>
      </c>
      <c r="R1310" s="218">
        <v>1</v>
      </c>
      <c r="S1310" s="218">
        <f>Main_Presentation[[#This Row],[Invoice Amt (FCY)]]*Main_Presentation[[#This Row],[Rate]]</f>
        <v>136540.97</v>
      </c>
      <c r="T1310" s="227">
        <v>45966</v>
      </c>
      <c r="U1310" s="243" t="str">
        <f>VLOOKUP(Main_Presentation[[#This Row],[LC Number]],Main_Issuance[],18,0)</f>
        <v>Sight</v>
      </c>
      <c r="V1310" s="233" t="s">
        <v>70</v>
      </c>
      <c r="W1310" s="229" t="s">
        <v>857</v>
      </c>
      <c r="X1310" s="217"/>
      <c r="Y1310" s="399" t="str">
        <f>TRIM(LEFT(Main_Presentation[[#This Row],[Payment Terms]],3))</f>
        <v>Sig</v>
      </c>
      <c r="Z1310" s="217"/>
      <c r="AA1310" s="316" t="e" cm="1">
        <f t="array" ref="AA1310">Settlement(Main_Presentation[[#This Row],[Bank]],Main_Presentation[[#This Row],[ Invoice Amt (SAR)]],Main_Presentation[[#This Row],[Date Recd]],Main_Presentation[[#This Row],[Due Date]],Main_Presentation[[#This Row],[Days]])</f>
        <v>#VALUE!</v>
      </c>
      <c r="AB1310" s="217"/>
    </row>
    <row r="1311" spans="1:28" ht="15.75" hidden="1" x14ac:dyDescent="0.25">
      <c r="A1311" s="226" t="s">
        <v>1806</v>
      </c>
      <c r="B1311" s="227">
        <v>45977</v>
      </c>
      <c r="C1311" s="243">
        <v>1</v>
      </c>
      <c r="D1311" s="228" t="str">
        <f>VLOOKUP(Main_Presentation[[#This Row],[LC Number]],Main_Issuance[],3,0)</f>
        <v>Mohammed Kotb</v>
      </c>
      <c r="E1311" s="217" t="s">
        <v>858</v>
      </c>
      <c r="F1311" s="244" t="str">
        <f>VLOOKUP(Main_Presentation[[#This Row],[LC Number]],Main_Issuance[],5,0)</f>
        <v>SAB</v>
      </c>
      <c r="G1311" s="244" t="str">
        <f>VLOOKUP(Main_Presentation[[#This Row],[LC Number]],Main_Issuance[],6,0)</f>
        <v>MP1</v>
      </c>
      <c r="H1311" s="244" t="str">
        <f>VLOOKUP(Main_Presentation[[#This Row],[LC Number]],Main_Issuance[],17,0)</f>
        <v>Credit</v>
      </c>
      <c r="I1311" s="244" t="str">
        <f>VLOOKUP(Main_Presentation[[#This Row],[LC Number]],Main_Issuance[],7,0)</f>
        <v>Brooq Al Amaan Trading Company</v>
      </c>
      <c r="J1311" s="244" t="str">
        <f>VLOOKUP(Main_Presentation[[#This Row],[LC Number]],Main_Issuance[],8,0)</f>
        <v>MBL/ICAD</v>
      </c>
      <c r="K1311" s="244" t="str">
        <f>VLOOKUP(Main_Presentation[[#This Row],[LC Number]],Main_Issuance[],9,0)</f>
        <v>ABHA</v>
      </c>
      <c r="L1311" s="244">
        <f>VLOOKUP(Main_Presentation[[#This Row],[LC Number]],Main_Issuance[],10,0)</f>
        <v>1020070</v>
      </c>
      <c r="M1311" s="244" t="str">
        <f>VLOOKUP(Main_Presentation[[#This Row],[LC Number]],Main_Issuance[],11,0)</f>
        <v>SAR</v>
      </c>
      <c r="N1311" s="245">
        <f>VLOOKUP(Main_Presentation[[#This Row],[LC Number]],Main_Issuance[],12,0)</f>
        <v>304417</v>
      </c>
      <c r="O1311" s="217" t="s">
        <v>20</v>
      </c>
      <c r="P1311" s="217" t="s">
        <v>857</v>
      </c>
      <c r="Q1311" s="218">
        <v>304417</v>
      </c>
      <c r="R1311" s="218">
        <v>1</v>
      </c>
      <c r="S1311" s="218">
        <f>Main_Presentation[[#This Row],[Invoice Amt (FCY)]]*Main_Presentation[[#This Row],[Rate]]</f>
        <v>304417</v>
      </c>
      <c r="T1311" s="227">
        <v>45995</v>
      </c>
      <c r="U1311" s="243" t="str">
        <f>VLOOKUP(Main_Presentation[[#This Row],[LC Number]],Main_Issuance[],18,0)</f>
        <v>90 Days from Date of Delivery</v>
      </c>
      <c r="V1311" s="233" t="s">
        <v>710</v>
      </c>
      <c r="W1311" s="229" t="s">
        <v>378</v>
      </c>
      <c r="X1311" s="217"/>
      <c r="Y1311" s="399" t="str">
        <f>TRIM(LEFT(Main_Presentation[[#This Row],[Payment Terms]],3))</f>
        <v>90</v>
      </c>
      <c r="Z1311" s="217"/>
      <c r="AA1311" s="316" cm="1">
        <f t="array" ref="AA1311">Settlement(Main_Presentation[[#This Row],[Bank]],Main_Presentation[[#This Row],[ Invoice Amt (SAR)]],Main_Presentation[[#This Row],[Date Recd]],Main_Presentation[[#This Row],[Due Date]],Main_Presentation[[#This Row],[Days]])</f>
        <v>1313.3</v>
      </c>
      <c r="AB1311" s="217"/>
    </row>
    <row r="1312" spans="1:28" ht="15.75" hidden="1" x14ac:dyDescent="0.25">
      <c r="A1312" s="226" t="s">
        <v>1731</v>
      </c>
      <c r="B1312" s="227">
        <v>45967</v>
      </c>
      <c r="C1312" s="243">
        <v>1</v>
      </c>
      <c r="D1312" s="228" t="str">
        <f>VLOOKUP(Main_Presentation[[#This Row],[LC Number]],Main_Issuance[],3,0)</f>
        <v>Mohammed Kotb</v>
      </c>
      <c r="E1312" s="217" t="s">
        <v>856</v>
      </c>
      <c r="F1312" s="244" t="str">
        <f>VLOOKUP(Main_Presentation[[#This Row],[LC Number]],Main_Issuance[],5,0)</f>
        <v>SAB</v>
      </c>
      <c r="G1312" s="244" t="str">
        <f>VLOOKUP(Main_Presentation[[#This Row],[LC Number]],Main_Issuance[],6,0)</f>
        <v>MP1</v>
      </c>
      <c r="H1312" s="244" t="str">
        <f>VLOOKUP(Main_Presentation[[#This Row],[LC Number]],Main_Issuance[],17,0)</f>
        <v>Credit</v>
      </c>
      <c r="I1312" s="244" t="str">
        <f>VLOOKUP(Main_Presentation[[#This Row],[LC Number]],Main_Issuance[],7,0)</f>
        <v>GIBCA Furniture Industry Co Ltd</v>
      </c>
      <c r="J1312" s="244" t="str">
        <f>VLOOKUP(Main_Presentation[[#This Row],[LC Number]],Main_Issuance[],8,0)</f>
        <v>MBL</v>
      </c>
      <c r="K1312" s="244" t="str">
        <f>VLOOKUP(Main_Presentation[[#This Row],[LC Number]],Main_Issuance[],9,0)</f>
        <v>ABHA</v>
      </c>
      <c r="L1312" s="244">
        <f>VLOOKUP(Main_Presentation[[#This Row],[LC Number]],Main_Issuance[],10,0)</f>
        <v>1020070</v>
      </c>
      <c r="M1312" s="244" t="str">
        <f>VLOOKUP(Main_Presentation[[#This Row],[LC Number]],Main_Issuance[],11,0)</f>
        <v>AED</v>
      </c>
      <c r="N1312" s="245">
        <f>VLOOKUP(Main_Presentation[[#This Row],[LC Number]],Main_Issuance[],12,0)</f>
        <v>899226.33</v>
      </c>
      <c r="O1312" s="217" t="s">
        <v>20</v>
      </c>
      <c r="P1312" s="217" t="s">
        <v>857</v>
      </c>
      <c r="Q1312" s="218">
        <v>786823.04</v>
      </c>
      <c r="R1312" s="218">
        <v>1.026</v>
      </c>
      <c r="S1312" s="218">
        <f>Main_Presentation[[#This Row],[Invoice Amt (FCY)]]*Main_Presentation[[#This Row],[Rate]]</f>
        <v>807280.43904000008</v>
      </c>
      <c r="T1312" s="227">
        <v>45985</v>
      </c>
      <c r="U1312" s="243" t="str">
        <f>VLOOKUP(Main_Presentation[[#This Row],[LC Number]],Main_Issuance[],18,0)</f>
        <v>30 Days from Invoice Date</v>
      </c>
      <c r="V1312" s="233" t="s">
        <v>377</v>
      </c>
      <c r="W1312" s="229" t="s">
        <v>857</v>
      </c>
      <c r="X1312" s="217"/>
      <c r="Y1312" s="399" t="str">
        <f>TRIM(LEFT(Main_Presentation[[#This Row],[Payment Terms]],3))</f>
        <v>30</v>
      </c>
      <c r="Z1312" s="217"/>
      <c r="AA1312" s="316" cm="1">
        <f t="array" ref="AA1312">Settlement(Main_Presentation[[#This Row],[Bank]],Main_Presentation[[#This Row],[ Invoice Amt (SAR)]],Main_Presentation[[#This Row],[Date Recd]],Main_Presentation[[#This Row],[Due Date]],Main_Presentation[[#This Row],[Days]])</f>
        <v>3481.05</v>
      </c>
      <c r="AB1312" s="217"/>
    </row>
    <row r="1313" spans="1:28" ht="15.75" hidden="1" x14ac:dyDescent="0.25">
      <c r="A1313" s="226" t="s">
        <v>1670</v>
      </c>
      <c r="B1313" s="227">
        <v>45998</v>
      </c>
      <c r="C1313" s="243">
        <v>2</v>
      </c>
      <c r="D1313" s="228" t="str">
        <f>VLOOKUP(Main_Presentation[[#This Row],[LC Number]],Main_Issuance[],3,0)</f>
        <v>Tareeq Telmasani</v>
      </c>
      <c r="E1313" s="217" t="s">
        <v>858</v>
      </c>
      <c r="F1313" s="244" t="str">
        <f>VLOOKUP(Main_Presentation[[#This Row],[LC Number]],Main_Issuance[],5,0)</f>
        <v>SAB</v>
      </c>
      <c r="G1313" s="244" t="str">
        <f>VLOOKUP(Main_Presentation[[#This Row],[LC Number]],Main_Issuance[],6,0)</f>
        <v>CEER</v>
      </c>
      <c r="H1313" s="244" t="str">
        <f>VLOOKUP(Main_Presentation[[#This Row],[LC Number]],Main_Issuance[],17,0)</f>
        <v>Credit</v>
      </c>
      <c r="I1313" s="244" t="str">
        <f>VLOOKUP(Main_Presentation[[#This Row],[LC Number]],Main_Issuance[],7,0)</f>
        <v>AFKAR ALTATHBET TRADING COMPANY</v>
      </c>
      <c r="J1313" s="244" t="str">
        <f>VLOOKUP(Main_Presentation[[#This Row],[LC Number]],Main_Issuance[],8,0)</f>
        <v>FIRST FIX</v>
      </c>
      <c r="K1313" s="244" t="str">
        <f>VLOOKUP(Main_Presentation[[#This Row],[LC Number]],Main_Issuance[],9,0)</f>
        <v>CEER</v>
      </c>
      <c r="L1313" s="244">
        <f>VLOOKUP(Main_Presentation[[#This Row],[LC Number]],Main_Issuance[],10,0)</f>
        <v>1020091</v>
      </c>
      <c r="M1313" s="244" t="str">
        <f>VLOOKUP(Main_Presentation[[#This Row],[LC Number]],Main_Issuance[],11,0)</f>
        <v>SAR</v>
      </c>
      <c r="N1313" s="245">
        <f>VLOOKUP(Main_Presentation[[#This Row],[LC Number]],Main_Issuance[],12,0)</f>
        <v>500000</v>
      </c>
      <c r="O1313" s="217" t="s">
        <v>20</v>
      </c>
      <c r="P1313" s="217" t="s">
        <v>857</v>
      </c>
      <c r="Q1313" s="218">
        <v>226041.29</v>
      </c>
      <c r="R1313" s="218">
        <v>1</v>
      </c>
      <c r="S1313" s="218">
        <f>Main_Presentation[[#This Row],[Invoice Amt (FCY)]]*Main_Presentation[[#This Row],[Rate]]</f>
        <v>226041.29</v>
      </c>
      <c r="T1313" s="227">
        <v>46076</v>
      </c>
      <c r="U1313" s="243" t="str">
        <f>VLOOKUP(Main_Presentation[[#This Row],[LC Number]],Main_Issuance[],18,0)</f>
        <v>90 Days from Appl. Representative Sign</v>
      </c>
      <c r="V1313" s="233" t="s">
        <v>367</v>
      </c>
      <c r="W1313" s="229" t="s">
        <v>857</v>
      </c>
      <c r="X1313" s="16"/>
      <c r="Y1313" s="399" t="str">
        <f>TRIM(LEFT(Main_Presentation[[#This Row],[Payment Terms]],3))</f>
        <v>90</v>
      </c>
      <c r="Z1313" s="217"/>
      <c r="AA1313" s="316" cm="1">
        <f t="array" ref="AA1313">Settlement(Main_Presentation[[#This Row],[Bank]],Main_Presentation[[#This Row],[ Invoice Amt (SAR)]],Main_Presentation[[#This Row],[Date Recd]],Main_Presentation[[#This Row],[Due Date]],Main_Presentation[[#This Row],[Days]])</f>
        <v>975.2</v>
      </c>
      <c r="AB1313" s="217"/>
    </row>
    <row r="1314" spans="1:28" ht="15.75" hidden="1" x14ac:dyDescent="0.25">
      <c r="A1314" s="226" t="s">
        <v>1934</v>
      </c>
      <c r="B1314" s="227">
        <v>45956</v>
      </c>
      <c r="C1314" s="138" t="s">
        <v>1299</v>
      </c>
      <c r="D1314" s="228" t="str">
        <f>VLOOKUP(Main_Presentation[[#This Row],[LC Number]],Main_Issuance[],3,0)</f>
        <v>Luis Puente</v>
      </c>
      <c r="E1314" s="217" t="s">
        <v>856</v>
      </c>
      <c r="F1314" s="244" t="str">
        <f>VLOOKUP(Main_Presentation[[#This Row],[LC Number]],Main_Issuance[],5,0)</f>
        <v>Riyad</v>
      </c>
      <c r="G1314" s="244" t="str">
        <f>VLOOKUP(Main_Presentation[[#This Row],[LC Number]],Main_Issuance[],6,0)</f>
        <v>Oceanarium</v>
      </c>
      <c r="H1314" s="244" t="str">
        <f>VLOOKUP(Main_Presentation[[#This Row],[LC Number]],Main_Issuance[],17,0)</f>
        <v>Credit</v>
      </c>
      <c r="I1314" s="244" t="str">
        <f>VLOOKUP(Main_Presentation[[#This Row],[LC Number]],Main_Issuance[],7,0)</f>
        <v>Mat Filtrasyon Teknolojeleri A.S</v>
      </c>
      <c r="J1314" s="244" t="str">
        <f>VLOOKUP(Main_Presentation[[#This Row],[LC Number]],Main_Issuance[],8,0)</f>
        <v>MBL</v>
      </c>
      <c r="K1314" s="244" t="str">
        <f>VLOOKUP(Main_Presentation[[#This Row],[LC Number]],Main_Issuance[],9,0)</f>
        <v>Oceanarium</v>
      </c>
      <c r="L1314" s="244">
        <f>VLOOKUP(Main_Presentation[[#This Row],[LC Number]],Main_Issuance[],10,0)</f>
        <v>1020096</v>
      </c>
      <c r="M1314" s="244" t="str">
        <f>VLOOKUP(Main_Presentation[[#This Row],[LC Number]],Main_Issuance[],11,0)</f>
        <v>SAR</v>
      </c>
      <c r="N1314" s="245">
        <f>VLOOKUP(Main_Presentation[[#This Row],[LC Number]],Main_Issuance[],12,0)</f>
        <v>25907203.759999998</v>
      </c>
      <c r="O1314" s="217" t="s">
        <v>20</v>
      </c>
      <c r="P1314" s="217" t="s">
        <v>857</v>
      </c>
      <c r="Q1314" s="218">
        <v>184328.1</v>
      </c>
      <c r="R1314" s="218">
        <v>1</v>
      </c>
      <c r="S1314" s="218">
        <f>Main_Presentation[[#This Row],[Invoice Amt (FCY)]]*Main_Presentation[[#This Row],[Rate]]</f>
        <v>184328.1</v>
      </c>
      <c r="T1314" s="227">
        <v>45984</v>
      </c>
      <c r="U1314" s="243" t="str">
        <f>VLOOKUP(Main_Presentation[[#This Row],[LC Number]],Main_Issuance[],18,0)</f>
        <v>45 Days from Invoice Date</v>
      </c>
      <c r="V1314" s="233" t="s">
        <v>613</v>
      </c>
      <c r="W1314" s="229" t="s">
        <v>857</v>
      </c>
      <c r="X1314" s="217"/>
      <c r="Y1314" s="399" t="str">
        <f>TRIM(LEFT(Main_Presentation[[#This Row],[Payment Terms]],3))</f>
        <v>45</v>
      </c>
      <c r="Z1314" s="217"/>
      <c r="AA1314" s="316" cm="1">
        <f t="array" ref="AA1314">Settlement(Main_Presentation[[#This Row],[Bank]],Main_Presentation[[#This Row],[ Invoice Amt (SAR)]],Main_Presentation[[#This Row],[Date Recd]],Main_Presentation[[#This Row],[Due Date]],Main_Presentation[[#This Row],[Days]])</f>
        <v>264.5</v>
      </c>
      <c r="AB1314" s="217"/>
    </row>
    <row r="1315" spans="1:28" ht="15.75" hidden="1" x14ac:dyDescent="0.25">
      <c r="A1315" s="226" t="s">
        <v>1550</v>
      </c>
      <c r="B1315" s="227">
        <v>45986</v>
      </c>
      <c r="C1315" s="243">
        <v>2</v>
      </c>
      <c r="D1315" s="228" t="str">
        <f>VLOOKUP(Main_Presentation[[#This Row],[LC Number]],Main_Issuance[],3,0)</f>
        <v>Luis Puente</v>
      </c>
      <c r="E1315" s="217" t="s">
        <v>856</v>
      </c>
      <c r="F1315" s="244" t="str">
        <f>VLOOKUP(Main_Presentation[[#This Row],[LC Number]],Main_Issuance[],5,0)</f>
        <v>SNB</v>
      </c>
      <c r="G1315" s="244" t="str">
        <f>VLOOKUP(Main_Presentation[[#This Row],[LC Number]],Main_Issuance[],6,0)</f>
        <v>Opera House</v>
      </c>
      <c r="H1315" s="244" t="str">
        <f>VLOOKUP(Main_Presentation[[#This Row],[LC Number]],Main_Issuance[],17,0)</f>
        <v>Credit</v>
      </c>
      <c r="I1315" s="244" t="str">
        <f>VLOOKUP(Main_Presentation[[#This Row],[LC Number]],Main_Issuance[],7,0)</f>
        <v>Al Yamamah Company for Reinforcing Steel Bars</v>
      </c>
      <c r="J1315" s="244" t="str">
        <f>VLOOKUP(Main_Presentation[[#This Row],[LC Number]],Main_Issuance[],8,0)</f>
        <v>MBL</v>
      </c>
      <c r="K1315" s="244" t="str">
        <f>VLOOKUP(Main_Presentation[[#This Row],[LC Number]],Main_Issuance[],9,0)</f>
        <v>Oceanarium</v>
      </c>
      <c r="L1315" s="244">
        <f>VLOOKUP(Main_Presentation[[#This Row],[LC Number]],Main_Issuance[],10,0)</f>
        <v>1020096</v>
      </c>
      <c r="M1315" s="244" t="str">
        <f>VLOOKUP(Main_Presentation[[#This Row],[LC Number]],Main_Issuance[],11,0)</f>
        <v>SAR</v>
      </c>
      <c r="N1315" s="245">
        <f>VLOOKUP(Main_Presentation[[#This Row],[LC Number]],Main_Issuance[],12,0)</f>
        <v>17434337.5</v>
      </c>
      <c r="O1315" s="217" t="s">
        <v>20</v>
      </c>
      <c r="P1315" s="217" t="s">
        <v>378</v>
      </c>
      <c r="Q1315" s="218">
        <v>6331957.5</v>
      </c>
      <c r="R1315" s="218">
        <v>1</v>
      </c>
      <c r="S1315" s="218">
        <f>Main_Presentation[[#This Row],[Invoice Amt (FCY)]]*Main_Presentation[[#This Row],[Rate]]</f>
        <v>6331957.5</v>
      </c>
      <c r="T1315" s="227">
        <v>46061</v>
      </c>
      <c r="U1315" s="243" t="str">
        <f>VLOOKUP(Main_Presentation[[#This Row],[LC Number]],Main_Issuance[],18,0)</f>
        <v>90 Days from Invoice Date</v>
      </c>
      <c r="V1315" s="233" t="s">
        <v>96</v>
      </c>
      <c r="W1315" s="229" t="s">
        <v>378</v>
      </c>
      <c r="X1315" s="16"/>
      <c r="Y1315" s="399" t="str">
        <f>TRIM(LEFT(Main_Presentation[[#This Row],[Payment Terms]],3))</f>
        <v>90</v>
      </c>
      <c r="Z1315" s="217"/>
      <c r="AA1315" s="316" cm="1">
        <f t="array" ref="AA1315">Settlement(Main_Presentation[[#This Row],[Bank]],Main_Presentation[[#This Row],[ Invoice Amt (SAR)]],Main_Presentation[[#This Row],[Date Recd]],Main_Presentation[[#This Row],[Due Date]],Main_Presentation[[#This Row],[Days]])</f>
        <v>30380.7</v>
      </c>
      <c r="AB1315" s="217"/>
    </row>
    <row r="1316" spans="1:28" ht="15.75" hidden="1" x14ac:dyDescent="0.25">
      <c r="A1316" s="226" t="s">
        <v>2569</v>
      </c>
      <c r="B1316" s="227">
        <v>45977</v>
      </c>
      <c r="C1316" s="243">
        <v>1</v>
      </c>
      <c r="D1316" s="228" t="str">
        <f>VLOOKUP(Main_Presentation[[#This Row],[LC Number]],Main_Issuance[],3,0)</f>
        <v>Mohammed Atef</v>
      </c>
      <c r="E1316" s="217" t="s">
        <v>856</v>
      </c>
      <c r="F1316" s="244" t="str">
        <f>VLOOKUP(Main_Presentation[[#This Row],[LC Number]],Main_Issuance[],5,0)</f>
        <v>Alinma</v>
      </c>
      <c r="G1316" s="244" t="str">
        <f>VLOOKUP(Main_Presentation[[#This Row],[LC Number]],Main_Issuance[],6,0)</f>
        <v>KSP</v>
      </c>
      <c r="H1316" s="244" t="str">
        <f>VLOOKUP(Main_Presentation[[#This Row],[LC Number]],Main_Issuance[],17,0)</f>
        <v>Credit</v>
      </c>
      <c r="I1316" s="244" t="str">
        <f>VLOOKUP(Main_Presentation[[#This Row],[LC Number]],Main_Issuance[],7,0)</f>
        <v>Hamada Decoration Company</v>
      </c>
      <c r="J1316" s="244" t="str">
        <f>VLOOKUP(Main_Presentation[[#This Row],[LC Number]],Main_Issuance[],8,0)</f>
        <v>MBL</v>
      </c>
      <c r="K1316" s="244" t="str">
        <f>VLOOKUP(Main_Presentation[[#This Row],[LC Number]],Main_Issuance[],9,0)</f>
        <v>ADF</v>
      </c>
      <c r="L1316" s="244">
        <f>VLOOKUP(Main_Presentation[[#This Row],[LC Number]],Main_Issuance[],10,0)</f>
        <v>1020001</v>
      </c>
      <c r="M1316" s="244" t="str">
        <f>VLOOKUP(Main_Presentation[[#This Row],[LC Number]],Main_Issuance[],11,0)</f>
        <v>SAR</v>
      </c>
      <c r="N1316" s="245">
        <f>VLOOKUP(Main_Presentation[[#This Row],[LC Number]],Main_Issuance[],12,0)</f>
        <v>94000000</v>
      </c>
      <c r="O1316" s="217" t="s">
        <v>20</v>
      </c>
      <c r="P1316" s="217" t="s">
        <v>857</v>
      </c>
      <c r="Q1316" s="218">
        <v>34000000</v>
      </c>
      <c r="R1316" s="218">
        <v>1</v>
      </c>
      <c r="S1316" s="218">
        <f>Main_Presentation[[#This Row],[Invoice Amt (FCY)]]*Main_Presentation[[#This Row],[Rate]]</f>
        <v>34000000</v>
      </c>
      <c r="T1316" s="227">
        <v>46093</v>
      </c>
      <c r="U1316" s="243" t="str">
        <f>VLOOKUP(Main_Presentation[[#This Row],[LC Number]],Main_Issuance[],18,0)</f>
        <v>120 Days from the Invoice Date</v>
      </c>
      <c r="V1316" s="233" t="s">
        <v>4294</v>
      </c>
      <c r="W1316" s="229" t="s">
        <v>378</v>
      </c>
      <c r="X1316" s="217"/>
      <c r="Y1316" s="399" t="str">
        <f>TRIM(LEFT(Main_Presentation[[#This Row],[Payment Terms]],3))</f>
        <v>120</v>
      </c>
      <c r="Z1316" s="217"/>
      <c r="AA1316" s="316" cm="1">
        <f t="array" ref="AA1316">Settlement(Main_Presentation[[#This Row],[Bank]],Main_Presentation[[#This Row],[ Invoice Amt (SAR)]],Main_Presentation[[#This Row],[Date Recd]],Main_Presentation[[#This Row],[Due Date]],Main_Presentation[[#This Row],[Days]])</f>
        <v>65167.05</v>
      </c>
      <c r="AB1316" s="217"/>
    </row>
    <row r="1317" spans="1:28" ht="15.75" hidden="1" x14ac:dyDescent="0.25">
      <c r="A1317" s="226" t="s">
        <v>2562</v>
      </c>
      <c r="B1317" s="227">
        <v>45982</v>
      </c>
      <c r="C1317" s="243">
        <v>1</v>
      </c>
      <c r="D1317" s="228" t="str">
        <f>VLOOKUP(Main_Presentation[[#This Row],[LC Number]],Main_Issuance[],3,0)</f>
        <v>Matthew Mckernan - AICS</v>
      </c>
      <c r="E1317" s="217" t="s">
        <v>858</v>
      </c>
      <c r="F1317" s="244" t="str">
        <f>VLOOKUP(Main_Presentation[[#This Row],[LC Number]],Main_Issuance[],5,0)</f>
        <v>SNB</v>
      </c>
      <c r="G1317" s="244" t="str">
        <f>VLOOKUP(Main_Presentation[[#This Row],[LC Number]],Main_Issuance[],6,0)</f>
        <v>Opera House</v>
      </c>
      <c r="H1317" s="244" t="str">
        <f>VLOOKUP(Main_Presentation[[#This Row],[LC Number]],Main_Issuance[],17,0)</f>
        <v>Credit</v>
      </c>
      <c r="I1317" s="244" t="str">
        <f>VLOOKUP(Main_Presentation[[#This Row],[LC Number]],Main_Issuance[],7,0)</f>
        <v>ALNAFIE METAL INDUSTRIES CO LTD</v>
      </c>
      <c r="J1317" s="244" t="str">
        <f>VLOOKUP(Main_Presentation[[#This Row],[LC Number]],Main_Issuance[],8,0)</f>
        <v>MBL/AICS</v>
      </c>
      <c r="K1317" s="244" t="str">
        <f>VLOOKUP(Main_Presentation[[#This Row],[LC Number]],Main_Issuance[],9,0)</f>
        <v>OPERA House</v>
      </c>
      <c r="L1317" s="244">
        <f>VLOOKUP(Main_Presentation[[#This Row],[LC Number]],Main_Issuance[],10,0)</f>
        <v>1020097</v>
      </c>
      <c r="M1317" s="244" t="str">
        <f>VLOOKUP(Main_Presentation[[#This Row],[LC Number]],Main_Issuance[],11,0)</f>
        <v>SAR</v>
      </c>
      <c r="N1317" s="245">
        <f>VLOOKUP(Main_Presentation[[#This Row],[LC Number]],Main_Issuance[],12,0)</f>
        <v>18703391.850000001</v>
      </c>
      <c r="O1317" s="217" t="s">
        <v>20</v>
      </c>
      <c r="P1317" s="217" t="s">
        <v>378</v>
      </c>
      <c r="Q1317" s="218">
        <v>11269136.109999999</v>
      </c>
      <c r="R1317" s="218">
        <v>1</v>
      </c>
      <c r="S1317" s="218">
        <f>Main_Presentation[[#This Row],[Invoice Amt (FCY)]]*Main_Presentation[[#This Row],[Rate]]</f>
        <v>11269136.109999999</v>
      </c>
      <c r="T1317" s="227">
        <v>46063</v>
      </c>
      <c r="U1317" s="243" t="str">
        <f>VLOOKUP(Main_Presentation[[#This Row],[LC Number]],Main_Issuance[],18,0)</f>
        <v>90 Days from Invoice Date</v>
      </c>
      <c r="V1317" s="233" t="s">
        <v>96</v>
      </c>
      <c r="W1317" s="229" t="s">
        <v>857</v>
      </c>
      <c r="X1317" s="217"/>
      <c r="Y1317" s="399" t="str">
        <f>TRIM(LEFT(Main_Presentation[[#This Row],[Payment Terms]],3))</f>
        <v>90</v>
      </c>
      <c r="Z1317" s="217"/>
      <c r="AA1317" s="316" cm="1">
        <f t="array" ref="AA1317">Settlement(Main_Presentation[[#This Row],[Bank]],Main_Presentation[[#This Row],[ Invoice Amt (SAR)]],Main_Presentation[[#This Row],[Date Recd]],Main_Presentation[[#This Row],[Due Date]],Main_Presentation[[#This Row],[Days]])</f>
        <v>81037.05</v>
      </c>
      <c r="AB1317" s="217"/>
    </row>
    <row r="1318" spans="1:28" ht="15.75" hidden="1" x14ac:dyDescent="0.25">
      <c r="A1318" s="226" t="s">
        <v>1896</v>
      </c>
      <c r="B1318" s="227">
        <v>45982</v>
      </c>
      <c r="C1318" s="243">
        <v>1</v>
      </c>
      <c r="D1318" s="228" t="str">
        <f>VLOOKUP(Main_Presentation[[#This Row],[LC Number]],Main_Issuance[],3,0)</f>
        <v>Rabih Makhoul</v>
      </c>
      <c r="E1318" s="217" t="s">
        <v>858</v>
      </c>
      <c r="F1318" s="244" t="str">
        <f>VLOOKUP(Main_Presentation[[#This Row],[LC Number]],Main_Issuance[],5,0)</f>
        <v>Alinma</v>
      </c>
      <c r="G1318" s="244" t="str">
        <f>VLOOKUP(Main_Presentation[[#This Row],[LC Number]],Main_Issuance[],6,0)</f>
        <v>KSP</v>
      </c>
      <c r="H1318" s="244" t="str">
        <f>VLOOKUP(Main_Presentation[[#This Row],[LC Number]],Main_Issuance[],17,0)</f>
        <v>Credit</v>
      </c>
      <c r="I1318" s="244" t="str">
        <f>VLOOKUP(Main_Presentation[[#This Row],[LC Number]],Main_Issuance[],7,0)</f>
        <v>Saudi Perfect Pumps Trading &amp; Manufacturing Company</v>
      </c>
      <c r="J1318" s="244" t="str">
        <f>VLOOKUP(Main_Presentation[[#This Row],[LC Number]],Main_Issuance[],8,0)</f>
        <v>MBL</v>
      </c>
      <c r="K1318" s="244" t="str">
        <f>VLOOKUP(Main_Presentation[[#This Row],[LC Number]],Main_Issuance[],9,0)</f>
        <v>Rabigh Power Plant</v>
      </c>
      <c r="L1318" s="244">
        <f>VLOOKUP(Main_Presentation[[#This Row],[LC Number]],Main_Issuance[],10,0)</f>
        <v>1020107</v>
      </c>
      <c r="M1318" s="244" t="str">
        <f>VLOOKUP(Main_Presentation[[#This Row],[LC Number]],Main_Issuance[],11,0)</f>
        <v>SAR</v>
      </c>
      <c r="N1318" s="245">
        <f>VLOOKUP(Main_Presentation[[#This Row],[LC Number]],Main_Issuance[],12,0)</f>
        <v>7670500</v>
      </c>
      <c r="O1318" s="217" t="s">
        <v>20</v>
      </c>
      <c r="P1318" s="217" t="s">
        <v>857</v>
      </c>
      <c r="Q1318" s="218">
        <v>1479500</v>
      </c>
      <c r="R1318" s="218">
        <v>1</v>
      </c>
      <c r="S1318" s="218">
        <f>Main_Presentation[[#This Row],[Invoice Amt (FCY)]]*Main_Presentation[[#This Row],[Rate]]</f>
        <v>1479500</v>
      </c>
      <c r="T1318" s="15">
        <v>45992</v>
      </c>
      <c r="U1318" s="243" t="str">
        <f>VLOOKUP(Main_Presentation[[#This Row],[LC Number]],Main_Issuance[],18,0)</f>
        <v>45 Days from Delivery Date</v>
      </c>
      <c r="V1318" s="233" t="s">
        <v>304</v>
      </c>
      <c r="W1318" s="229" t="s">
        <v>378</v>
      </c>
      <c r="X1318" s="217"/>
      <c r="Y1318" s="399" t="str">
        <f>TRIM(LEFT(Main_Presentation[[#This Row],[Payment Terms]],3))</f>
        <v>45</v>
      </c>
      <c r="Z1318" s="217"/>
      <c r="AA1318" s="316" cm="1">
        <f t="array" ref="AA1318">Settlement(Main_Presentation[[#This Row],[Bank]],Main_Presentation[[#This Row],[ Invoice Amt (SAR)]],Main_Presentation[[#This Row],[Date Recd]],Main_Presentation[[#This Row],[Due Date]],Main_Presentation[[#This Row],[Days]])</f>
        <v>1437.5</v>
      </c>
      <c r="AB1318" s="217"/>
    </row>
    <row r="1319" spans="1:28" ht="15.75" hidden="1" x14ac:dyDescent="0.25">
      <c r="A1319" s="226" t="s">
        <v>1446</v>
      </c>
      <c r="B1319" s="227">
        <v>45982</v>
      </c>
      <c r="C1319" s="243">
        <v>4</v>
      </c>
      <c r="D1319" s="228" t="str">
        <f>VLOOKUP(Main_Presentation[[#This Row],[LC Number]],Main_Issuance[],3,0)</f>
        <v>Rabih Makhoul</v>
      </c>
      <c r="E1319" s="217" t="s">
        <v>858</v>
      </c>
      <c r="F1319" s="244" t="str">
        <f>VLOOKUP(Main_Presentation[[#This Row],[LC Number]],Main_Issuance[],5,0)</f>
        <v>SNB</v>
      </c>
      <c r="G1319" s="244" t="str">
        <f>VLOOKUP(Main_Presentation[[#This Row],[LC Number]],Main_Issuance[],6,0)</f>
        <v>Opera House</v>
      </c>
      <c r="H1319" s="244" t="str">
        <f>VLOOKUP(Main_Presentation[[#This Row],[LC Number]],Main_Issuance[],17,0)</f>
        <v>Credit</v>
      </c>
      <c r="I1319" s="244" t="str">
        <f>VLOOKUP(Main_Presentation[[#This Row],[LC Number]],Main_Issuance[],7,0)</f>
        <v>Al Arabia Construction &amp; Building Co.</v>
      </c>
      <c r="J1319" s="244" t="str">
        <f>VLOOKUP(Main_Presentation[[#This Row],[LC Number]],Main_Issuance[],8,0)</f>
        <v>MBL</v>
      </c>
      <c r="K1319" s="244" t="str">
        <f>VLOOKUP(Main_Presentation[[#This Row],[LC Number]],Main_Issuance[],9,0)</f>
        <v>Rabigh Power Plant</v>
      </c>
      <c r="L1319" s="244">
        <f>VLOOKUP(Main_Presentation[[#This Row],[LC Number]],Main_Issuance[],10,0)</f>
        <v>1020107</v>
      </c>
      <c r="M1319" s="244" t="str">
        <f>VLOOKUP(Main_Presentation[[#This Row],[LC Number]],Main_Issuance[],11,0)</f>
        <v>SAR</v>
      </c>
      <c r="N1319" s="245">
        <f>VLOOKUP(Main_Presentation[[#This Row],[LC Number]],Main_Issuance[],12,0)</f>
        <v>4738920</v>
      </c>
      <c r="O1319" s="217" t="s">
        <v>20</v>
      </c>
      <c r="P1319" s="217" t="s">
        <v>378</v>
      </c>
      <c r="Q1319" s="218">
        <v>637519.75</v>
      </c>
      <c r="R1319" s="218">
        <v>1</v>
      </c>
      <c r="S1319" s="218">
        <f>Main_Presentation[[#This Row],[Invoice Amt (FCY)]]*Main_Presentation[[#This Row],[Rate]]</f>
        <v>637519.75</v>
      </c>
      <c r="T1319" s="227">
        <v>45988</v>
      </c>
      <c r="U1319" s="243" t="str">
        <f>VLOOKUP(Main_Presentation[[#This Row],[LC Number]],Main_Issuance[],18,0)</f>
        <v>45 Days from the Invoice Date</v>
      </c>
      <c r="V1319" s="233" t="s">
        <v>304</v>
      </c>
      <c r="W1319" s="229" t="s">
        <v>378</v>
      </c>
      <c r="X1319" s="217"/>
      <c r="Y1319" s="399" t="str">
        <f>TRIM(LEFT(Main_Presentation[[#This Row],[Payment Terms]],3))</f>
        <v>45</v>
      </c>
      <c r="Z1319" s="217"/>
      <c r="AA1319" s="316" cm="1">
        <f t="array" ref="AA1319">Settlement(Main_Presentation[[#This Row],[Bank]],Main_Presentation[[#This Row],[ Invoice Amt (SAR)]],Main_Presentation[[#This Row],[Date Recd]],Main_Presentation[[#This Row],[Due Date]],Main_Presentation[[#This Row],[Days]])</f>
        <v>655.5</v>
      </c>
      <c r="AB1319" s="217"/>
    </row>
    <row r="1320" spans="1:28" ht="15.75" hidden="1" x14ac:dyDescent="0.25">
      <c r="A1320" s="226" t="s">
        <v>1934</v>
      </c>
      <c r="B1320" s="227">
        <v>45978</v>
      </c>
      <c r="C1320" s="243">
        <v>2</v>
      </c>
      <c r="D1320" s="228" t="str">
        <f>VLOOKUP(Main_Presentation[[#This Row],[LC Number]],Main_Issuance[],3,0)</f>
        <v>Luis Puente</v>
      </c>
      <c r="E1320" s="217" t="s">
        <v>856</v>
      </c>
      <c r="F1320" s="244" t="str">
        <f>VLOOKUP(Main_Presentation[[#This Row],[LC Number]],Main_Issuance[],5,0)</f>
        <v>Riyad</v>
      </c>
      <c r="G1320" s="244" t="str">
        <f>VLOOKUP(Main_Presentation[[#This Row],[LC Number]],Main_Issuance[],6,0)</f>
        <v>Oceanarium</v>
      </c>
      <c r="H1320" s="244" t="str">
        <f>VLOOKUP(Main_Presentation[[#This Row],[LC Number]],Main_Issuance[],17,0)</f>
        <v>Credit</v>
      </c>
      <c r="I1320" s="244" t="str">
        <f>VLOOKUP(Main_Presentation[[#This Row],[LC Number]],Main_Issuance[],7,0)</f>
        <v>Mat Filtrasyon Teknolojeleri A.S</v>
      </c>
      <c r="J1320" s="244" t="str">
        <f>VLOOKUP(Main_Presentation[[#This Row],[LC Number]],Main_Issuance[],8,0)</f>
        <v>MBL</v>
      </c>
      <c r="K1320" s="244" t="str">
        <f>VLOOKUP(Main_Presentation[[#This Row],[LC Number]],Main_Issuance[],9,0)</f>
        <v>Oceanarium</v>
      </c>
      <c r="L1320" s="244">
        <f>VLOOKUP(Main_Presentation[[#This Row],[LC Number]],Main_Issuance[],10,0)</f>
        <v>1020096</v>
      </c>
      <c r="M1320" s="244" t="str">
        <f>VLOOKUP(Main_Presentation[[#This Row],[LC Number]],Main_Issuance[],11,0)</f>
        <v>SAR</v>
      </c>
      <c r="N1320" s="245">
        <f>VLOOKUP(Main_Presentation[[#This Row],[LC Number]],Main_Issuance[],12,0)</f>
        <v>25907203.759999998</v>
      </c>
      <c r="O1320" s="217" t="s">
        <v>20</v>
      </c>
      <c r="P1320" s="217" t="s">
        <v>857</v>
      </c>
      <c r="Q1320" s="218">
        <f>2088277.51-608364.61</f>
        <v>1479912.9</v>
      </c>
      <c r="R1320" s="218">
        <v>1</v>
      </c>
      <c r="S1320" s="218">
        <f>Main_Presentation[[#This Row],[Invoice Amt (FCY)]]*Main_Presentation[[#This Row],[Rate]]</f>
        <v>1479912.9</v>
      </c>
      <c r="T1320" s="227">
        <v>46012</v>
      </c>
      <c r="U1320" s="243" t="str">
        <f>VLOOKUP(Main_Presentation[[#This Row],[LC Number]],Main_Issuance[],18,0)</f>
        <v>45 Days from Invoice Date</v>
      </c>
      <c r="V1320" s="233" t="s">
        <v>377</v>
      </c>
      <c r="W1320" s="229" t="s">
        <v>378</v>
      </c>
      <c r="X1320" s="217"/>
      <c r="Y1320" s="399" t="str">
        <f>TRIM(LEFT(Main_Presentation[[#This Row],[Payment Terms]],3))</f>
        <v>45</v>
      </c>
      <c r="Z1320" s="217"/>
      <c r="AA1320" s="316" cm="1">
        <f t="array" ref="AA1320">Settlement(Main_Presentation[[#This Row],[Bank]],Main_Presentation[[#This Row],[ Invoice Amt (SAR)]],Main_Presentation[[#This Row],[Date Recd]],Main_Presentation[[#This Row],[Due Date]],Main_Presentation[[#This Row],[Days]])</f>
        <v>2127.5</v>
      </c>
      <c r="AB1320" s="217"/>
    </row>
    <row r="1321" spans="1:28" ht="15.75" hidden="1" x14ac:dyDescent="0.25">
      <c r="A1321" s="226" t="s">
        <v>1662</v>
      </c>
      <c r="B1321" s="227">
        <v>46000</v>
      </c>
      <c r="C1321" s="243">
        <v>4</v>
      </c>
      <c r="D1321" s="228" t="str">
        <f>VLOOKUP(Main_Presentation[[#This Row],[LC Number]],Main_Issuance[],3,0)</f>
        <v>Tareeq Telmasani</v>
      </c>
      <c r="E1321" s="217" t="s">
        <v>858</v>
      </c>
      <c r="F1321" s="244" t="str">
        <f>VLOOKUP(Main_Presentation[[#This Row],[LC Number]],Main_Issuance[],5,0)</f>
        <v>SAB</v>
      </c>
      <c r="G1321" s="244" t="str">
        <f>VLOOKUP(Main_Presentation[[#This Row],[LC Number]],Main_Issuance[],6,0)</f>
        <v>CEER</v>
      </c>
      <c r="H1321" s="244" t="str">
        <f>VLOOKUP(Main_Presentation[[#This Row],[LC Number]],Main_Issuance[],17,0)</f>
        <v>Credit</v>
      </c>
      <c r="I1321" s="244" t="str">
        <f>VLOOKUP(Main_Presentation[[#This Row],[LC Number]],Main_Issuance[],7,0)</f>
        <v>JAD AL RIYADH Trading Co. Ltd</v>
      </c>
      <c r="J1321" s="244" t="str">
        <f>VLOOKUP(Main_Presentation[[#This Row],[LC Number]],Main_Issuance[],8,0)</f>
        <v>FIRST FIX</v>
      </c>
      <c r="K1321" s="244" t="str">
        <f>VLOOKUP(Main_Presentation[[#This Row],[LC Number]],Main_Issuance[],9,0)</f>
        <v>CEER</v>
      </c>
      <c r="L1321" s="244">
        <f>VLOOKUP(Main_Presentation[[#This Row],[LC Number]],Main_Issuance[],10,0)</f>
        <v>1020091</v>
      </c>
      <c r="M1321" s="244" t="str">
        <f>VLOOKUP(Main_Presentation[[#This Row],[LC Number]],Main_Issuance[],11,0)</f>
        <v>SAR</v>
      </c>
      <c r="N1321" s="245">
        <f>VLOOKUP(Main_Presentation[[#This Row],[LC Number]],Main_Issuance[],12,0)</f>
        <v>1400000</v>
      </c>
      <c r="O1321" s="217" t="s">
        <v>20</v>
      </c>
      <c r="P1321" s="217" t="s">
        <v>378</v>
      </c>
      <c r="Q1321" s="218">
        <v>328383.40000000002</v>
      </c>
      <c r="R1321" s="218">
        <v>1</v>
      </c>
      <c r="S1321" s="218">
        <f>Main_Presentation[[#This Row],[Invoice Amt (FCY)]]*Main_Presentation[[#This Row],[Rate]]</f>
        <v>328383.40000000002</v>
      </c>
      <c r="T1321" s="227">
        <v>46076</v>
      </c>
      <c r="U1321" s="243" t="str">
        <f>VLOOKUP(Main_Presentation[[#This Row],[LC Number]],Main_Issuance[],18,0)</f>
        <v>90 Days from Appl. Representative Sign</v>
      </c>
      <c r="V1321" s="233" t="s">
        <v>367</v>
      </c>
      <c r="W1321" s="229" t="s">
        <v>857</v>
      </c>
      <c r="X1321" s="217"/>
      <c r="Y1321" s="399" t="str">
        <f>TRIM(LEFT(Main_Presentation[[#This Row],[Payment Terms]],3))</f>
        <v>90</v>
      </c>
      <c r="Z1321" s="217"/>
      <c r="AA1321" s="316" cm="1">
        <f t="array" ref="AA1321">Settlement(Main_Presentation[[#This Row],[Bank]],Main_Presentation[[#This Row],[ Invoice Amt (SAR)]],Main_Presentation[[#This Row],[Date Recd]],Main_Presentation[[#This Row],[Due Date]],Main_Presentation[[#This Row],[Days]])</f>
        <v>1415.65</v>
      </c>
      <c r="AB1321" s="217"/>
    </row>
    <row r="1322" spans="1:28" ht="15.75" hidden="1" x14ac:dyDescent="0.25">
      <c r="A1322" s="226" t="s">
        <v>1673</v>
      </c>
      <c r="B1322" s="227">
        <v>45995</v>
      </c>
      <c r="C1322" s="243">
        <v>2</v>
      </c>
      <c r="D1322" s="228" t="str">
        <f>VLOOKUP(Main_Presentation[[#This Row],[LC Number]],Main_Issuance[],3,0)</f>
        <v>Tareeq Telmasani</v>
      </c>
      <c r="E1322" s="217" t="s">
        <v>858</v>
      </c>
      <c r="F1322" s="244" t="str">
        <f>VLOOKUP(Main_Presentation[[#This Row],[LC Number]],Main_Issuance[],5,0)</f>
        <v>SAB</v>
      </c>
      <c r="G1322" s="244" t="str">
        <f>VLOOKUP(Main_Presentation[[#This Row],[LC Number]],Main_Issuance[],6,0)</f>
        <v>CEER</v>
      </c>
      <c r="H1322" s="244" t="str">
        <f>VLOOKUP(Main_Presentation[[#This Row],[LC Number]],Main_Issuance[],17,0)</f>
        <v>Credit</v>
      </c>
      <c r="I1322" s="244" t="str">
        <f>VLOOKUP(Main_Presentation[[#This Row],[LC Number]],Main_Issuance[],7,0)</f>
        <v>Mab United For Trading &amp; Contracting Co</v>
      </c>
      <c r="J1322" s="244" t="str">
        <f>VLOOKUP(Main_Presentation[[#This Row],[LC Number]],Main_Issuance[],8,0)</f>
        <v>FIRST FIX</v>
      </c>
      <c r="K1322" s="244" t="str">
        <f>VLOOKUP(Main_Presentation[[#This Row],[LC Number]],Main_Issuance[],9,0)</f>
        <v>CEER</v>
      </c>
      <c r="L1322" s="244">
        <f>VLOOKUP(Main_Presentation[[#This Row],[LC Number]],Main_Issuance[],10,0)</f>
        <v>1020091</v>
      </c>
      <c r="M1322" s="244" t="str">
        <f>VLOOKUP(Main_Presentation[[#This Row],[LC Number]],Main_Issuance[],11,0)</f>
        <v>SAR</v>
      </c>
      <c r="N1322" s="245">
        <f>VLOOKUP(Main_Presentation[[#This Row],[LC Number]],Main_Issuance[],12,0)</f>
        <v>850000</v>
      </c>
      <c r="O1322" s="217" t="s">
        <v>20</v>
      </c>
      <c r="P1322" s="217" t="s">
        <v>378</v>
      </c>
      <c r="Q1322" s="218">
        <v>610345.93000000005</v>
      </c>
      <c r="R1322" s="218">
        <v>1</v>
      </c>
      <c r="S1322" s="218">
        <f>Main_Presentation[[#This Row],[Invoice Amt (FCY)]]*Main_Presentation[[#This Row],[Rate]]</f>
        <v>610345.93000000005</v>
      </c>
      <c r="T1322" s="227">
        <v>46105</v>
      </c>
      <c r="U1322" s="243" t="str">
        <f>VLOOKUP(Main_Presentation[[#This Row],[LC Number]],Main_Issuance[],18,0)</f>
        <v>120 Days from Appl. Representative Sign</v>
      </c>
      <c r="V1322" s="249" t="s">
        <v>367</v>
      </c>
      <c r="W1322" s="229" t="s">
        <v>857</v>
      </c>
      <c r="X1322" s="217"/>
      <c r="Y1322" s="399" t="str">
        <f>TRIM(LEFT(Main_Presentation[[#This Row],[Payment Terms]],3))</f>
        <v>120</v>
      </c>
      <c r="Z1322" s="217"/>
      <c r="AA1322" s="316" cm="1">
        <f t="array" ref="AA1322">Settlement(Main_Presentation[[#This Row],[Bank]],Main_Presentation[[#This Row],[ Invoice Amt (SAR)]],Main_Presentation[[#This Row],[Date Recd]],Main_Presentation[[#This Row],[Due Date]],Main_Presentation[[#This Row],[Days]])</f>
        <v>2632.35</v>
      </c>
      <c r="AB1322" s="217"/>
    </row>
    <row r="1323" spans="1:28" ht="15.75" hidden="1" x14ac:dyDescent="0.25">
      <c r="A1323" s="226" t="s">
        <v>1811</v>
      </c>
      <c r="B1323" s="227">
        <v>45999</v>
      </c>
      <c r="C1323" s="243">
        <v>1</v>
      </c>
      <c r="D1323" s="228" t="str">
        <f>VLOOKUP(Main_Presentation[[#This Row],[LC Number]],Main_Issuance[],3,0)</f>
        <v>Mohammed Kotb</v>
      </c>
      <c r="E1323" s="217" t="s">
        <v>858</v>
      </c>
      <c r="F1323" s="244" t="str">
        <f>VLOOKUP(Main_Presentation[[#This Row],[LC Number]],Main_Issuance[],5,0)</f>
        <v>SAB</v>
      </c>
      <c r="G1323" s="244" t="str">
        <f>VLOOKUP(Main_Presentation[[#This Row],[LC Number]],Main_Issuance[],6,0)</f>
        <v>MP1</v>
      </c>
      <c r="H1323" s="244" t="str">
        <f>VLOOKUP(Main_Presentation[[#This Row],[LC Number]],Main_Issuance[],17,0)</f>
        <v>Credit</v>
      </c>
      <c r="I1323" s="244" t="str">
        <f>VLOOKUP(Main_Presentation[[#This Row],[LC Number]],Main_Issuance[],7,0)</f>
        <v>AL-TAYYAR AL-HAQIQI COMMERCIAL CO.</v>
      </c>
      <c r="J1323" s="244" t="str">
        <f>VLOOKUP(Main_Presentation[[#This Row],[LC Number]],Main_Issuance[],8,0)</f>
        <v>MBL/ICAD</v>
      </c>
      <c r="K1323" s="244" t="str">
        <f>VLOOKUP(Main_Presentation[[#This Row],[LC Number]],Main_Issuance[],9,0)</f>
        <v>ABHA</v>
      </c>
      <c r="L1323" s="244">
        <f>VLOOKUP(Main_Presentation[[#This Row],[LC Number]],Main_Issuance[],10,0)</f>
        <v>1020070</v>
      </c>
      <c r="M1323" s="244" t="str">
        <f>VLOOKUP(Main_Presentation[[#This Row],[LC Number]],Main_Issuance[],11,0)</f>
        <v>SAR</v>
      </c>
      <c r="N1323" s="245">
        <f>VLOOKUP(Main_Presentation[[#This Row],[LC Number]],Main_Issuance[],12,0)</f>
        <v>5193136.82</v>
      </c>
      <c r="O1323" s="217" t="s">
        <v>20</v>
      </c>
      <c r="P1323" s="217" t="s">
        <v>378</v>
      </c>
      <c r="Q1323" s="218">
        <v>2352034.91</v>
      </c>
      <c r="R1323" s="218">
        <v>1</v>
      </c>
      <c r="S1323" s="218">
        <f>Main_Presentation[[#This Row],[Invoice Amt (FCY)]]*Main_Presentation[[#This Row],[Rate]]</f>
        <v>2352034.91</v>
      </c>
      <c r="T1323" s="227">
        <v>46026</v>
      </c>
      <c r="U1323" s="243" t="str">
        <f>VLOOKUP(Main_Presentation[[#This Row],[LC Number]],Main_Issuance[],18,0)</f>
        <v>60 Days from Date of Delivery</v>
      </c>
      <c r="V1323" s="233" t="s">
        <v>377</v>
      </c>
      <c r="W1323" s="229" t="s">
        <v>857</v>
      </c>
      <c r="X1323" s="16"/>
      <c r="Y1323" s="399" t="str">
        <f>TRIM(LEFT(Main_Presentation[[#This Row],[Payment Terms]],3))</f>
        <v>60</v>
      </c>
      <c r="Z1323" s="217"/>
      <c r="AA1323" s="316" cm="1">
        <f t="array" ref="AA1323">Settlement(Main_Presentation[[#This Row],[Bank]],Main_Presentation[[#This Row],[ Invoice Amt (SAR)]],Main_Presentation[[#This Row],[Date Recd]],Main_Presentation[[#This Row],[Due Date]],Main_Presentation[[#This Row],[Days]])</f>
        <v>10143</v>
      </c>
      <c r="AB1323" s="217"/>
    </row>
    <row r="1324" spans="1:28" ht="15.75" hidden="1" x14ac:dyDescent="0.25">
      <c r="A1324" s="226" t="s">
        <v>2236</v>
      </c>
      <c r="B1324" s="15">
        <v>46000</v>
      </c>
      <c r="C1324" s="26">
        <v>1</v>
      </c>
      <c r="D1324" s="55" t="str">
        <f>VLOOKUP(Main_Presentation[[#This Row],[LC Number]],Main_Issuance[],3,0)</f>
        <v>Hassan Taleb</v>
      </c>
      <c r="E1324" s="16" t="s">
        <v>858</v>
      </c>
      <c r="F1324" s="17" t="str">
        <f>VLOOKUP(Main_Presentation[[#This Row],[LC Number]],Main_Issuance[],5,0)</f>
        <v>SAB</v>
      </c>
      <c r="G1324" s="17" t="str">
        <f>VLOOKUP(Main_Presentation[[#This Row],[LC Number]],Main_Issuance[],6,0)</f>
        <v>MP1</v>
      </c>
      <c r="H1324" s="17" t="str">
        <f>VLOOKUP(Main_Presentation[[#This Row],[LC Number]],Main_Issuance[],17,0)</f>
        <v>Credit</v>
      </c>
      <c r="I1324" s="17" t="str">
        <f>VLOOKUP(Main_Presentation[[#This Row],[LC Number]],Main_Issuance[],7,0)</f>
        <v>Building System Intelligent Est.</v>
      </c>
      <c r="J1324" s="17" t="str">
        <f>VLOOKUP(Main_Presentation[[#This Row],[LC Number]],Main_Issuance[],8,0)</f>
        <v>FIRST FIX</v>
      </c>
      <c r="K1324" s="17" t="str">
        <f>VLOOKUP(Main_Presentation[[#This Row],[LC Number]],Main_Issuance[],9,0)</f>
        <v>MP1</v>
      </c>
      <c r="L1324" s="17">
        <f>VLOOKUP(Main_Presentation[[#This Row],[LC Number]],Main_Issuance[],10,0)</f>
        <v>1020088</v>
      </c>
      <c r="M1324" s="17" t="str">
        <f>VLOOKUP(Main_Presentation[[#This Row],[LC Number]],Main_Issuance[],11,0)</f>
        <v>SAR</v>
      </c>
      <c r="N1324" s="84">
        <f>VLOOKUP(Main_Presentation[[#This Row],[LC Number]],Main_Issuance[],12,0)</f>
        <v>558949</v>
      </c>
      <c r="O1324" s="16" t="s">
        <v>20</v>
      </c>
      <c r="P1324" s="16" t="s">
        <v>378</v>
      </c>
      <c r="Q1324" s="218">
        <v>47630.53</v>
      </c>
      <c r="R1324" s="18">
        <v>1</v>
      </c>
      <c r="S1324" s="18">
        <f>Main_Presentation[[#This Row],[Invoice Amt (FCY)]]*Main_Presentation[[#This Row],[Rate]]</f>
        <v>47630.53</v>
      </c>
      <c r="T1324" s="15">
        <v>46068</v>
      </c>
      <c r="U1324" s="26" t="str">
        <f>VLOOKUP(Main_Presentation[[#This Row],[LC Number]],Main_Issuance[],18,0)</f>
        <v>120 Days from Invoice Date</v>
      </c>
      <c r="V1324" s="249" t="s">
        <v>613</v>
      </c>
      <c r="W1324" s="22" t="s">
        <v>378</v>
      </c>
      <c r="X1324" s="16"/>
      <c r="Y1324" s="234" t="str">
        <f>TRIM(LEFT(Main_Presentation[[#This Row],[Payment Terms]],3))</f>
        <v>120</v>
      </c>
      <c r="Z1324" s="16"/>
      <c r="AA1324" s="316" cm="1">
        <f t="array" ref="AA1324">Settlement(Main_Presentation[[#This Row],[Bank]],Main_Presentation[[#This Row],[ Invoice Amt (SAR)]],Main_Presentation[[#This Row],[Date Recd]],Main_Presentation[[#This Row],[Due Date]],Main_Presentation[[#This Row],[Days]])</f>
        <v>575</v>
      </c>
      <c r="AB1324" s="16"/>
    </row>
    <row r="1325" spans="1:28" ht="15.75" hidden="1" x14ac:dyDescent="0.25">
      <c r="A1325" s="20" t="s">
        <v>1655</v>
      </c>
      <c r="B1325" s="15">
        <v>45999</v>
      </c>
      <c r="C1325" s="26">
        <v>1</v>
      </c>
      <c r="D1325" s="55" t="str">
        <f>VLOOKUP(Main_Presentation[[#This Row],[LC Number]],Main_Issuance[],3,0)</f>
        <v>Hassan Taleb</v>
      </c>
      <c r="E1325" s="16" t="s">
        <v>856</v>
      </c>
      <c r="F1325" s="17" t="str">
        <f>VLOOKUP(Main_Presentation[[#This Row],[LC Number]],Main_Issuance[],5,0)</f>
        <v>Alinma</v>
      </c>
      <c r="G1325" s="17" t="str">
        <f>VLOOKUP(Main_Presentation[[#This Row],[LC Number]],Main_Issuance[],6,0)</f>
        <v>KSP</v>
      </c>
      <c r="H1325" s="17" t="str">
        <f>VLOOKUP(Main_Presentation[[#This Row],[LC Number]],Main_Issuance[],17,0)</f>
        <v>Credit</v>
      </c>
      <c r="I1325" s="17" t="str">
        <f>VLOOKUP(Main_Presentation[[#This Row],[LC Number]],Main_Issuance[],7,0)</f>
        <v>ALFANAR ELECTRICAL SYSTEMS</v>
      </c>
      <c r="J1325" s="17" t="str">
        <f>VLOOKUP(Main_Presentation[[#This Row],[LC Number]],Main_Issuance[],8,0)</f>
        <v>FIRST FIX</v>
      </c>
      <c r="K1325" s="17" t="str">
        <f>VLOOKUP(Main_Presentation[[#This Row],[LC Number]],Main_Issuance[],9,0)</f>
        <v>KSP</v>
      </c>
      <c r="L1325" s="17">
        <f>VLOOKUP(Main_Presentation[[#This Row],[LC Number]],Main_Issuance[],10,0)</f>
        <v>1020055</v>
      </c>
      <c r="M1325" s="17" t="str">
        <f>VLOOKUP(Main_Presentation[[#This Row],[LC Number]],Main_Issuance[],11,0)</f>
        <v>SAR</v>
      </c>
      <c r="N1325" s="84">
        <f>VLOOKUP(Main_Presentation[[#This Row],[LC Number]],Main_Issuance[],12,0)</f>
        <v>500000</v>
      </c>
      <c r="O1325" s="16" t="s">
        <v>20</v>
      </c>
      <c r="P1325" s="16" t="s">
        <v>857</v>
      </c>
      <c r="Q1325" s="218">
        <v>500000</v>
      </c>
      <c r="R1325" s="18">
        <v>1</v>
      </c>
      <c r="S1325" s="18">
        <f>Main_Presentation[[#This Row],[Invoice Amt (FCY)]]*Main_Presentation[[#This Row],[Rate]]</f>
        <v>500000</v>
      </c>
      <c r="T1325" s="15">
        <v>46055</v>
      </c>
      <c r="U1325" s="26" t="str">
        <f>VLOOKUP(Main_Presentation[[#This Row],[LC Number]],Main_Issuance[],18,0)</f>
        <v>120 Days from Invoice Date</v>
      </c>
      <c r="V1325" s="249" t="s">
        <v>613</v>
      </c>
      <c r="W1325" s="22" t="s">
        <v>378</v>
      </c>
      <c r="X1325" s="16"/>
      <c r="Y1325" s="234" t="str">
        <f>TRIM(LEFT(Main_Presentation[[#This Row],[Payment Terms]],3))</f>
        <v>120</v>
      </c>
      <c r="Z1325" s="16"/>
      <c r="AA1325" s="316" cm="1">
        <f t="array" ref="AA1325">Settlement(Main_Presentation[[#This Row],[Bank]],Main_Presentation[[#This Row],[ Invoice Amt (SAR)]],Main_Presentation[[#This Row],[Date Recd]],Main_Presentation[[#This Row],[Due Date]],Main_Presentation[[#This Row],[Days]])</f>
        <v>1437.5</v>
      </c>
      <c r="AB1325" s="16"/>
    </row>
    <row r="1326" spans="1:28" ht="15.75" hidden="1" x14ac:dyDescent="0.25">
      <c r="A1326" s="226" t="s">
        <v>1606</v>
      </c>
      <c r="B1326" s="15">
        <v>45993</v>
      </c>
      <c r="C1326" s="26">
        <v>1</v>
      </c>
      <c r="D1326" s="55" t="str">
        <f>VLOOKUP(Main_Presentation[[#This Row],[LC Number]],Main_Issuance[],3,0)</f>
        <v>Hassan Taleb</v>
      </c>
      <c r="E1326" s="16" t="s">
        <v>858</v>
      </c>
      <c r="F1326" s="17" t="str">
        <f>VLOOKUP(Main_Presentation[[#This Row],[LC Number]],Main_Issuance[],5,0)</f>
        <v>SAB</v>
      </c>
      <c r="G1326" s="17" t="str">
        <f>VLOOKUP(Main_Presentation[[#This Row],[LC Number]],Main_Issuance[],6,0)</f>
        <v>MP1</v>
      </c>
      <c r="H1326" s="17" t="str">
        <f>VLOOKUP(Main_Presentation[[#This Row],[LC Number]],Main_Issuance[],17,0)</f>
        <v>Credit</v>
      </c>
      <c r="I1326" s="17" t="str">
        <f>VLOOKUP(Main_Presentation[[#This Row],[LC Number]],Main_Issuance[],7,0)</f>
        <v>INTERPLAST CO.LTD</v>
      </c>
      <c r="J1326" s="17" t="str">
        <f>VLOOKUP(Main_Presentation[[#This Row],[LC Number]],Main_Issuance[],8,0)</f>
        <v>FIRST FIX</v>
      </c>
      <c r="K1326" s="17" t="str">
        <f>VLOOKUP(Main_Presentation[[#This Row],[LC Number]],Main_Issuance[],9,0)</f>
        <v>MP1</v>
      </c>
      <c r="L1326" s="17">
        <f>VLOOKUP(Main_Presentation[[#This Row],[LC Number]],Main_Issuance[],10,0)</f>
        <v>1020088</v>
      </c>
      <c r="M1326" s="17" t="str">
        <f>VLOOKUP(Main_Presentation[[#This Row],[LC Number]],Main_Issuance[],11,0)</f>
        <v>SAR</v>
      </c>
      <c r="N1326" s="84">
        <f>VLOOKUP(Main_Presentation[[#This Row],[LC Number]],Main_Issuance[],12,0)</f>
        <v>250000</v>
      </c>
      <c r="O1326" s="16" t="s">
        <v>20</v>
      </c>
      <c r="P1326" s="16" t="s">
        <v>378</v>
      </c>
      <c r="Q1326" s="218">
        <v>250000</v>
      </c>
      <c r="R1326" s="18">
        <v>1</v>
      </c>
      <c r="S1326" s="18">
        <f>Main_Presentation[[#This Row],[Invoice Amt (FCY)]]*Main_Presentation[[#This Row],[Rate]]</f>
        <v>250000</v>
      </c>
      <c r="T1326" s="15">
        <v>46072</v>
      </c>
      <c r="U1326" s="26" t="str">
        <f>VLOOKUP(Main_Presentation[[#This Row],[LC Number]],Main_Issuance[],18,0)</f>
        <v>120 Days from Invoice Date</v>
      </c>
      <c r="V1326" s="249" t="s">
        <v>613</v>
      </c>
      <c r="W1326" s="22" t="s">
        <v>378</v>
      </c>
      <c r="X1326" s="16"/>
      <c r="Y1326" s="234" t="str">
        <f>TRIM(LEFT(Main_Presentation[[#This Row],[Payment Terms]],3))</f>
        <v>120</v>
      </c>
      <c r="Z1326" s="16"/>
      <c r="AA1326" s="316" cm="1">
        <f t="array" ref="AA1326">Settlement(Main_Presentation[[#This Row],[Bank]],Main_Presentation[[#This Row],[ Invoice Amt (SAR)]],Main_Presentation[[#This Row],[Date Recd]],Main_Presentation[[#This Row],[Due Date]],Main_Presentation[[#This Row],[Days]])</f>
        <v>1078.7</v>
      </c>
      <c r="AB1326" s="16"/>
    </row>
    <row r="1327" spans="1:28" ht="15.75" hidden="1" x14ac:dyDescent="0.25">
      <c r="A1327" s="20" t="s">
        <v>1151</v>
      </c>
      <c r="B1327" s="15">
        <v>46016</v>
      </c>
      <c r="C1327" s="26">
        <v>2</v>
      </c>
      <c r="D1327" s="55" t="str">
        <f>VLOOKUP(Main_Presentation[[#This Row],[LC Number]],Main_Issuance[],3,0)</f>
        <v>Hassan Taleb</v>
      </c>
      <c r="E1327" s="16" t="s">
        <v>856</v>
      </c>
      <c r="F1327" s="17" t="str">
        <f>VLOOKUP(Main_Presentation[[#This Row],[LC Number]],Main_Issuance[],5,0)</f>
        <v>Jazira</v>
      </c>
      <c r="G1327" s="17" t="str">
        <f>VLOOKUP(Main_Presentation[[#This Row],[LC Number]],Main_Issuance[],6,0)</f>
        <v>RCRC</v>
      </c>
      <c r="H1327" s="17" t="str">
        <f>VLOOKUP(Main_Presentation[[#This Row],[LC Number]],Main_Issuance[],17,0)</f>
        <v>Credit</v>
      </c>
      <c r="I1327" s="17" t="str">
        <f>VLOOKUP(Main_Presentation[[#This Row],[LC Number]],Main_Issuance[],7,0)</f>
        <v>SAUDI VITRIFIED CLAY PIPE CO</v>
      </c>
      <c r="J1327" s="17" t="str">
        <f>VLOOKUP(Main_Presentation[[#This Row],[LC Number]],Main_Issuance[],8,0)</f>
        <v>FIRST FIX</v>
      </c>
      <c r="K1327" s="17" t="str">
        <f>VLOOKUP(Main_Presentation[[#This Row],[LC Number]],Main_Issuance[],9,0)</f>
        <v>RCRC</v>
      </c>
      <c r="L1327" s="17">
        <f>VLOOKUP(Main_Presentation[[#This Row],[LC Number]],Main_Issuance[],10,0)</f>
        <v>1020106</v>
      </c>
      <c r="M1327" s="17" t="str">
        <f>VLOOKUP(Main_Presentation[[#This Row],[LC Number]],Main_Issuance[],11,0)</f>
        <v>SAR</v>
      </c>
      <c r="N1327" s="84">
        <f>VLOOKUP(Main_Presentation[[#This Row],[LC Number]],Main_Issuance[],12,0)</f>
        <v>1033453.25</v>
      </c>
      <c r="O1327" s="16" t="s">
        <v>20</v>
      </c>
      <c r="P1327" s="16" t="s">
        <v>378</v>
      </c>
      <c r="Q1327" s="218">
        <v>65268.54</v>
      </c>
      <c r="R1327" s="18">
        <v>1</v>
      </c>
      <c r="S1327" s="18">
        <f>Main_Presentation[[#This Row],[Invoice Amt (FCY)]]*Main_Presentation[[#This Row],[Rate]]</f>
        <v>65268.54</v>
      </c>
      <c r="T1327" s="15">
        <v>46034</v>
      </c>
      <c r="U1327" s="26" t="str">
        <f>VLOOKUP(Main_Presentation[[#This Row],[LC Number]],Main_Issuance[],18,0)</f>
        <v>90 Days from Invoice Date</v>
      </c>
      <c r="V1327" s="249" t="s">
        <v>613</v>
      </c>
      <c r="W1327" s="22" t="s">
        <v>857</v>
      </c>
      <c r="X1327" s="16"/>
      <c r="Y1327" s="234" t="str">
        <f>TRIM(LEFT(Main_Presentation[[#This Row],[Payment Terms]],3))</f>
        <v>90</v>
      </c>
      <c r="Z1327" s="16"/>
      <c r="AA1327" s="316" cm="1">
        <f t="array" ref="AA1327">Settlement(Main_Presentation[[#This Row],[Bank]],Main_Presentation[[#This Row],[ Invoice Amt (SAR)]],Main_Presentation[[#This Row],[Date Recd]],Main_Presentation[[#This Row],[Due Date]],Main_Presentation[[#This Row],[Days]])</f>
        <v>977.5</v>
      </c>
      <c r="AB1327" s="16"/>
    </row>
    <row r="1328" spans="1:28" ht="15.75" hidden="1" x14ac:dyDescent="0.25">
      <c r="A1328" s="226" t="s">
        <v>1859</v>
      </c>
      <c r="B1328" s="15">
        <v>45999</v>
      </c>
      <c r="C1328" s="26">
        <v>1</v>
      </c>
      <c r="D1328" s="55" t="str">
        <f>VLOOKUP(Main_Presentation[[#This Row],[LC Number]],Main_Issuance[],3,0)</f>
        <v>Luis Puente</v>
      </c>
      <c r="E1328" s="16" t="s">
        <v>858</v>
      </c>
      <c r="F1328" s="17" t="str">
        <f>VLOOKUP(Main_Presentation[[#This Row],[LC Number]],Main_Issuance[],5,0)</f>
        <v>Riyad</v>
      </c>
      <c r="G1328" s="17" t="str">
        <f>VLOOKUP(Main_Presentation[[#This Row],[LC Number]],Main_Issuance[],6,0)</f>
        <v>Oceanarium</v>
      </c>
      <c r="H1328" s="17" t="str">
        <f>VLOOKUP(Main_Presentation[[#This Row],[LC Number]],Main_Issuance[],17,0)</f>
        <v>Credit</v>
      </c>
      <c r="I1328" s="17" t="str">
        <f>VLOOKUP(Main_Presentation[[#This Row],[LC Number]],Main_Issuance[],7,0)</f>
        <v>Safid Co. Ltd.</v>
      </c>
      <c r="J1328" s="17" t="str">
        <f>VLOOKUP(Main_Presentation[[#This Row],[LC Number]],Main_Issuance[],8,0)</f>
        <v>FIRST FIX</v>
      </c>
      <c r="K1328" s="17" t="str">
        <f>VLOOKUP(Main_Presentation[[#This Row],[LC Number]],Main_Issuance[],9,0)</f>
        <v>Oceanarium</v>
      </c>
      <c r="L1328" s="17">
        <f>VLOOKUP(Main_Presentation[[#This Row],[LC Number]],Main_Issuance[],10,0)</f>
        <v>1020096</v>
      </c>
      <c r="M1328" s="17" t="str">
        <f>VLOOKUP(Main_Presentation[[#This Row],[LC Number]],Main_Issuance[],11,0)</f>
        <v>SAR</v>
      </c>
      <c r="N1328" s="84">
        <f>VLOOKUP(Main_Presentation[[#This Row],[LC Number]],Main_Issuance[],12,0)</f>
        <v>1000000</v>
      </c>
      <c r="O1328" s="16" t="s">
        <v>20</v>
      </c>
      <c r="P1328" s="16" t="s">
        <v>857</v>
      </c>
      <c r="Q1328" s="218">
        <v>1000000</v>
      </c>
      <c r="R1328" s="18">
        <v>1</v>
      </c>
      <c r="S1328" s="18">
        <f>Main_Presentation[[#This Row],[Invoice Amt (FCY)]]*Main_Presentation[[#This Row],[Rate]]</f>
        <v>1000000</v>
      </c>
      <c r="T1328" s="15">
        <v>46111</v>
      </c>
      <c r="U1328" s="26" t="str">
        <f>VLOOKUP(Main_Presentation[[#This Row],[LC Number]],Main_Issuance[],18,0)</f>
        <v>120 Days from Invoice Date</v>
      </c>
      <c r="V1328" s="233" t="s">
        <v>483</v>
      </c>
      <c r="W1328" s="22" t="s">
        <v>378</v>
      </c>
      <c r="X1328" s="16"/>
      <c r="Y1328" s="234" t="str">
        <f>TRIM(LEFT(Main_Presentation[[#This Row],[Payment Terms]],3))</f>
        <v>120</v>
      </c>
      <c r="Z1328" s="16"/>
      <c r="AA1328" s="316" cm="1">
        <f t="array" ref="AA1328">Settlement(Main_Presentation[[#This Row],[Bank]],Main_Presentation[[#This Row],[ Invoice Amt (SAR)]],Main_Presentation[[#This Row],[Date Recd]],Main_Presentation[[#This Row],[Due Date]],Main_Presentation[[#This Row],[Days]])</f>
        <v>5750</v>
      </c>
      <c r="AB1328" s="16"/>
    </row>
    <row r="1329" spans="1:28" ht="15.75" hidden="1" x14ac:dyDescent="0.25">
      <c r="A1329" s="226" t="s">
        <v>1901</v>
      </c>
      <c r="B1329" s="15">
        <v>46000</v>
      </c>
      <c r="C1329" s="26">
        <v>1</v>
      </c>
      <c r="D1329" s="55" t="str">
        <f>VLOOKUP(Main_Presentation[[#This Row],[LC Number]],Main_Issuance[],3,0)</f>
        <v>Hassan Taleb</v>
      </c>
      <c r="E1329" s="16" t="s">
        <v>856</v>
      </c>
      <c r="F1329" s="17" t="str">
        <f>VLOOKUP(Main_Presentation[[#This Row],[LC Number]],Main_Issuance[],5,0)</f>
        <v>SAB</v>
      </c>
      <c r="G1329" s="17" t="str">
        <f>VLOOKUP(Main_Presentation[[#This Row],[LC Number]],Main_Issuance[],6,0)</f>
        <v>MP1</v>
      </c>
      <c r="H1329" s="17" t="str">
        <f>VLOOKUP(Main_Presentation[[#This Row],[LC Number]],Main_Issuance[],17,0)</f>
        <v>Credit</v>
      </c>
      <c r="I1329" s="17" t="str">
        <f>VLOOKUP(Main_Presentation[[#This Row],[LC Number]],Main_Issuance[],7,0)</f>
        <v>Al-Sayed Center A/C &amp; Refrigeration Materials Company</v>
      </c>
      <c r="J1329" s="17" t="str">
        <f>VLOOKUP(Main_Presentation[[#This Row],[LC Number]],Main_Issuance[],8,0)</f>
        <v>FIRST FIX</v>
      </c>
      <c r="K1329" s="17" t="str">
        <f>VLOOKUP(Main_Presentation[[#This Row],[LC Number]],Main_Issuance[],9,0)</f>
        <v>MP1</v>
      </c>
      <c r="L1329" s="17">
        <f>VLOOKUP(Main_Presentation[[#This Row],[LC Number]],Main_Issuance[],10,0)</f>
        <v>1020088</v>
      </c>
      <c r="M1329" s="17" t="str">
        <f>VLOOKUP(Main_Presentation[[#This Row],[LC Number]],Main_Issuance[],11,0)</f>
        <v>SAR</v>
      </c>
      <c r="N1329" s="84">
        <f>VLOOKUP(Main_Presentation[[#This Row],[LC Number]],Main_Issuance[],12,0)</f>
        <v>250000</v>
      </c>
      <c r="O1329" s="16" t="s">
        <v>20</v>
      </c>
      <c r="P1329" s="16" t="s">
        <v>378</v>
      </c>
      <c r="Q1329" s="218">
        <v>250000</v>
      </c>
      <c r="R1329" s="18">
        <v>1</v>
      </c>
      <c r="S1329" s="18">
        <f>Main_Presentation[[#This Row],[Invoice Amt (FCY)]]*Main_Presentation[[#This Row],[Rate]]</f>
        <v>250000</v>
      </c>
      <c r="T1329" s="15">
        <v>46054</v>
      </c>
      <c r="U1329" s="26" t="str">
        <f>VLOOKUP(Main_Presentation[[#This Row],[LC Number]],Main_Issuance[],18,0)</f>
        <v>120 Days from Invoice Date</v>
      </c>
      <c r="V1329" s="249" t="s">
        <v>710</v>
      </c>
      <c r="W1329" s="22" t="s">
        <v>857</v>
      </c>
      <c r="X1329" s="16"/>
      <c r="Y1329" s="234" t="str">
        <f>TRIM(LEFT(Main_Presentation[[#This Row],[Payment Terms]],3))</f>
        <v>120</v>
      </c>
      <c r="Z1329" s="16"/>
      <c r="AA1329" s="316" cm="1">
        <f t="array" ref="AA1329">Settlement(Main_Presentation[[#This Row],[Bank]],Main_Presentation[[#This Row],[ Invoice Amt (SAR)]],Main_Presentation[[#This Row],[Date Recd]],Main_Presentation[[#This Row],[Due Date]],Main_Presentation[[#This Row],[Days]])</f>
        <v>1078.7</v>
      </c>
      <c r="AB1329" s="16"/>
    </row>
    <row r="1330" spans="1:28" ht="15.75" hidden="1" x14ac:dyDescent="0.25">
      <c r="A1330" s="20" t="s">
        <v>2396</v>
      </c>
      <c r="B1330" s="15">
        <v>46014</v>
      </c>
      <c r="C1330" s="26">
        <v>1</v>
      </c>
      <c r="D1330" s="55" t="str">
        <f>VLOOKUP(Main_Presentation[[#This Row],[LC Number]],Main_Issuance[],3,0)</f>
        <v>AbdulAziz Eraiba Fawzi</v>
      </c>
      <c r="E1330" s="16" t="s">
        <v>856</v>
      </c>
      <c r="F1330" s="17" t="str">
        <f>VLOOKUP(Main_Presentation[[#This Row],[LC Number]],Main_Issuance[],5,0)</f>
        <v>Jazira</v>
      </c>
      <c r="G1330" s="17" t="str">
        <f>VLOOKUP(Main_Presentation[[#This Row],[LC Number]],Main_Issuance[],6,0)</f>
        <v>RCRC</v>
      </c>
      <c r="H1330" s="17" t="str">
        <f>VLOOKUP(Main_Presentation[[#This Row],[LC Number]],Main_Issuance[],17,0)</f>
        <v>Credit</v>
      </c>
      <c r="I1330" s="17" t="str">
        <f>VLOOKUP(Main_Presentation[[#This Row],[LC Number]],Main_Issuance[],7,0)</f>
        <v>Saudi Benaa Company For Building Materials</v>
      </c>
      <c r="J1330" s="17" t="str">
        <f>VLOOKUP(Main_Presentation[[#This Row],[LC Number]],Main_Issuance[],8,0)</f>
        <v>FIRST FIX</v>
      </c>
      <c r="K1330" s="17" t="str">
        <f>VLOOKUP(Main_Presentation[[#This Row],[LC Number]],Main_Issuance[],9,0)</f>
        <v>RCRC</v>
      </c>
      <c r="L1330" s="17">
        <f>VLOOKUP(Main_Presentation[[#This Row],[LC Number]],Main_Issuance[],10,0)</f>
        <v>1020106</v>
      </c>
      <c r="M1330" s="17" t="str">
        <f>VLOOKUP(Main_Presentation[[#This Row],[LC Number]],Main_Issuance[],11,0)</f>
        <v>SAR</v>
      </c>
      <c r="N1330" s="84">
        <f>VLOOKUP(Main_Presentation[[#This Row],[LC Number]],Main_Issuance[],12,0)</f>
        <v>526125</v>
      </c>
      <c r="O1330" s="16" t="s">
        <v>20</v>
      </c>
      <c r="P1330" s="16" t="s">
        <v>378</v>
      </c>
      <c r="Q1330" s="18">
        <v>526125</v>
      </c>
      <c r="R1330" s="18">
        <v>1</v>
      </c>
      <c r="S1330" s="18">
        <f>Main_Presentation[[#This Row],[Invoice Amt (FCY)]]*Main_Presentation[[#This Row],[Rate]]</f>
        <v>526125</v>
      </c>
      <c r="T1330" s="15">
        <v>46061</v>
      </c>
      <c r="U1330" s="26" t="str">
        <f>VLOOKUP(Main_Presentation[[#This Row],[LC Number]],Main_Issuance[],18,0)</f>
        <v>60 Days from Applicant representative sign on Invoice</v>
      </c>
      <c r="V1330" s="249" t="s">
        <v>613</v>
      </c>
      <c r="W1330" s="22" t="s">
        <v>857</v>
      </c>
      <c r="X1330" s="16"/>
      <c r="Y1330" s="234" t="str">
        <f>TRIM(LEFT(Main_Presentation[[#This Row],[Payment Terms]],3))</f>
        <v>60</v>
      </c>
      <c r="Z1330" s="16"/>
      <c r="AA1330" s="316" cm="1">
        <f t="array" ref="AA1330">Settlement(Main_Presentation[[#This Row],[Bank]],Main_Presentation[[#This Row],[ Invoice Amt (SAR)]],Main_Presentation[[#This Row],[Date Recd]],Main_Presentation[[#This Row],[Due Date]],Main_Presentation[[#This Row],[Days]])</f>
        <v>1101.7</v>
      </c>
      <c r="AB1330" s="16"/>
    </row>
    <row r="1331" spans="1:28" ht="15.75" hidden="1" x14ac:dyDescent="0.25">
      <c r="A1331" s="226" t="s">
        <v>1858</v>
      </c>
      <c r="B1331" s="15">
        <v>45993</v>
      </c>
      <c r="C1331" s="26">
        <v>1</v>
      </c>
      <c r="D1331" s="55" t="str">
        <f>VLOOKUP(Main_Presentation[[#This Row],[LC Number]],Main_Issuance[],3,0)</f>
        <v>Luis Puente</v>
      </c>
      <c r="E1331" s="16" t="s">
        <v>856</v>
      </c>
      <c r="F1331" s="17" t="str">
        <f>VLOOKUP(Main_Presentation[[#This Row],[LC Number]],Main_Issuance[],5,0)</f>
        <v>Riyad</v>
      </c>
      <c r="G1331" s="17" t="str">
        <f>VLOOKUP(Main_Presentation[[#This Row],[LC Number]],Main_Issuance[],6,0)</f>
        <v>Oceanarium</v>
      </c>
      <c r="H1331" s="17" t="str">
        <f>VLOOKUP(Main_Presentation[[#This Row],[LC Number]],Main_Issuance[],17,0)</f>
        <v>Credit</v>
      </c>
      <c r="I1331" s="17" t="str">
        <f>VLOOKUP(Main_Presentation[[#This Row],[LC Number]],Main_Issuance[],7,0)</f>
        <v>Johnson Controls Arabia</v>
      </c>
      <c r="J1331" s="17" t="str">
        <f>VLOOKUP(Main_Presentation[[#This Row],[LC Number]],Main_Issuance[],8,0)</f>
        <v>FIRST FIX</v>
      </c>
      <c r="K1331" s="17" t="str">
        <f>VLOOKUP(Main_Presentation[[#This Row],[LC Number]],Main_Issuance[],9,0)</f>
        <v>Oceanarium</v>
      </c>
      <c r="L1331" s="17">
        <f>VLOOKUP(Main_Presentation[[#This Row],[LC Number]],Main_Issuance[],10,0)</f>
        <v>1020096</v>
      </c>
      <c r="M1331" s="17" t="str">
        <f>VLOOKUP(Main_Presentation[[#This Row],[LC Number]],Main_Issuance[],11,0)</f>
        <v>SAR</v>
      </c>
      <c r="N1331" s="84">
        <f>VLOOKUP(Main_Presentation[[#This Row],[LC Number]],Main_Issuance[],12,0)</f>
        <v>2000000</v>
      </c>
      <c r="O1331" s="16" t="s">
        <v>20</v>
      </c>
      <c r="P1331" s="16" t="s">
        <v>378</v>
      </c>
      <c r="Q1331" s="218">
        <v>2000000</v>
      </c>
      <c r="R1331" s="18">
        <v>1</v>
      </c>
      <c r="S1331" s="18">
        <f>Main_Presentation[[#This Row],[Invoice Amt (FCY)]]*Main_Presentation[[#This Row],[Rate]]</f>
        <v>2000000</v>
      </c>
      <c r="T1331" s="15">
        <v>46090</v>
      </c>
      <c r="U1331" s="26" t="str">
        <f>VLOOKUP(Main_Presentation[[#This Row],[LC Number]],Main_Issuance[],18,0)</f>
        <v>120 Days from Invoice Date</v>
      </c>
      <c r="V1331" s="249" t="s">
        <v>4028</v>
      </c>
      <c r="W1331" s="22" t="s">
        <v>857</v>
      </c>
      <c r="X1331" s="16"/>
      <c r="Y1331" s="234" t="str">
        <f>TRIM(LEFT(Main_Presentation[[#This Row],[Payment Terms]],3))</f>
        <v>120</v>
      </c>
      <c r="Z1331" s="16"/>
      <c r="AA1331" s="316" cm="1">
        <f t="array" ref="AA1331">Settlement(Main_Presentation[[#This Row],[Bank]],Main_Presentation[[#This Row],[ Invoice Amt (SAR)]],Main_Presentation[[#This Row],[Date Recd]],Main_Presentation[[#This Row],[Due Date]],Main_Presentation[[#This Row],[Days]])</f>
        <v>8625</v>
      </c>
      <c r="AB1331" s="16"/>
    </row>
    <row r="1332" spans="1:28" ht="15.75" hidden="1" x14ac:dyDescent="0.25">
      <c r="A1332" s="226" t="s">
        <v>734</v>
      </c>
      <c r="B1332" s="227">
        <v>45999</v>
      </c>
      <c r="C1332" s="243">
        <v>1</v>
      </c>
      <c r="D1332" s="228" t="str">
        <f>VLOOKUP(Main_Presentation[[#This Row],[LC Number]],Main_Issuance[],3,0)</f>
        <v>Hassan Taleb</v>
      </c>
      <c r="E1332" s="217" t="s">
        <v>856</v>
      </c>
      <c r="F1332" s="244" t="str">
        <f>VLOOKUP(Main_Presentation[[#This Row],[LC Number]],Main_Issuance[],5,0)</f>
        <v>Jazira</v>
      </c>
      <c r="G1332" s="244" t="str">
        <f>VLOOKUP(Main_Presentation[[#This Row],[LC Number]],Main_Issuance[],6,0)</f>
        <v>RCRC</v>
      </c>
      <c r="H1332" s="244" t="str">
        <f>VLOOKUP(Main_Presentation[[#This Row],[LC Number]],Main_Issuance[],17,0)</f>
        <v>Credit</v>
      </c>
      <c r="I1332" s="244" t="str">
        <f>VLOOKUP(Main_Presentation[[#This Row],[LC Number]],Main_Issuance[],7,0)</f>
        <v>SITE TECHNOLOGY SAUDI ARABIA LTD</v>
      </c>
      <c r="J1332" s="244" t="str">
        <f>VLOOKUP(Main_Presentation[[#This Row],[LC Number]],Main_Issuance[],8,0)</f>
        <v>FIRST FIX</v>
      </c>
      <c r="K1332" s="244" t="str">
        <f>VLOOKUP(Main_Presentation[[#This Row],[LC Number]],Main_Issuance[],9,0)</f>
        <v>RCRC</v>
      </c>
      <c r="L1332" s="244">
        <f>VLOOKUP(Main_Presentation[[#This Row],[LC Number]],Main_Issuance[],10,0)</f>
        <v>1020106</v>
      </c>
      <c r="M1332" s="244" t="str">
        <f>VLOOKUP(Main_Presentation[[#This Row],[LC Number]],Main_Issuance[],11,0)</f>
        <v>SAR</v>
      </c>
      <c r="N1332" s="245">
        <f>VLOOKUP(Main_Presentation[[#This Row],[LC Number]],Main_Issuance[],12,0)</f>
        <v>527850.01</v>
      </c>
      <c r="O1332" s="217" t="s">
        <v>20</v>
      </c>
      <c r="P1332" s="217" t="s">
        <v>378</v>
      </c>
      <c r="Q1332" s="218">
        <v>263925</v>
      </c>
      <c r="R1332" s="218">
        <v>1</v>
      </c>
      <c r="S1332" s="218">
        <f>Main_Presentation[[#This Row],[Invoice Amt (FCY)]]*Main_Presentation[[#This Row],[Rate]]</f>
        <v>263925</v>
      </c>
      <c r="T1332" s="227">
        <v>46033</v>
      </c>
      <c r="U1332" s="243" t="str">
        <f>VLOOKUP(Main_Presentation[[#This Row],[LC Number]],Main_Issuance[],18,0)</f>
        <v>60 Days from Invoice Date</v>
      </c>
      <c r="V1332" s="233" t="s">
        <v>613</v>
      </c>
      <c r="W1332" s="229" t="s">
        <v>857</v>
      </c>
      <c r="X1332" s="217"/>
      <c r="Y1332" s="399" t="str">
        <f>TRIM(LEFT(Main_Presentation[[#This Row],[Payment Terms]],3))</f>
        <v>60</v>
      </c>
      <c r="Z1332" s="217"/>
      <c r="AA1332" s="316" cm="1">
        <f t="array" ref="AA1332">Settlement(Main_Presentation[[#This Row],[Bank]],Main_Presentation[[#This Row],[ Invoice Amt (SAR)]],Main_Presentation[[#This Row],[Date Recd]],Main_Presentation[[#This Row],[Due Date]],Main_Presentation[[#This Row],[Days]])</f>
        <v>977.5</v>
      </c>
      <c r="AB1332" s="217"/>
    </row>
    <row r="1333" spans="1:28" ht="15.75" hidden="1" x14ac:dyDescent="0.25">
      <c r="A1333" s="226" t="s">
        <v>1872</v>
      </c>
      <c r="B1333" s="227">
        <v>46023</v>
      </c>
      <c r="C1333" s="243">
        <v>2</v>
      </c>
      <c r="D1333" s="228" t="str">
        <f>VLOOKUP(Main_Presentation[[#This Row],[LC Number]],Main_Issuance[],3,0)</f>
        <v>Hassan Taleb</v>
      </c>
      <c r="E1333" s="217" t="s">
        <v>858</v>
      </c>
      <c r="F1333" s="244" t="str">
        <f>VLOOKUP(Main_Presentation[[#This Row],[LC Number]],Main_Issuance[],5,0)</f>
        <v>SAB</v>
      </c>
      <c r="G1333" s="244" t="str">
        <f>VLOOKUP(Main_Presentation[[#This Row],[LC Number]],Main_Issuance[],6,0)</f>
        <v>MP1</v>
      </c>
      <c r="H1333" s="244" t="str">
        <f>VLOOKUP(Main_Presentation[[#This Row],[LC Number]],Main_Issuance[],17,0)</f>
        <v>Credit</v>
      </c>
      <c r="I1333" s="244" t="str">
        <f>VLOOKUP(Main_Presentation[[#This Row],[LC Number]],Main_Issuance[],7,0)</f>
        <v>Mimar For Construction Tools &amp; Trading Ltd.</v>
      </c>
      <c r="J1333" s="244" t="str">
        <f>VLOOKUP(Main_Presentation[[#This Row],[LC Number]],Main_Issuance[],8,0)</f>
        <v>FIRST FIX</v>
      </c>
      <c r="K1333" s="244" t="str">
        <f>VLOOKUP(Main_Presentation[[#This Row],[LC Number]],Main_Issuance[],9,0)</f>
        <v>MP1</v>
      </c>
      <c r="L1333" s="244">
        <f>VLOOKUP(Main_Presentation[[#This Row],[LC Number]],Main_Issuance[],10,0)</f>
        <v>1020088</v>
      </c>
      <c r="M1333" s="244" t="str">
        <f>VLOOKUP(Main_Presentation[[#This Row],[LC Number]],Main_Issuance[],11,0)</f>
        <v>SAR</v>
      </c>
      <c r="N1333" s="245">
        <f>VLOOKUP(Main_Presentation[[#This Row],[LC Number]],Main_Issuance[],12,0)</f>
        <v>1200000</v>
      </c>
      <c r="O1333" s="217" t="s">
        <v>20</v>
      </c>
      <c r="P1333" s="217" t="s">
        <v>857</v>
      </c>
      <c r="Q1333" s="218">
        <v>293625.94</v>
      </c>
      <c r="R1333" s="218">
        <v>1</v>
      </c>
      <c r="S1333" s="218">
        <f>Main_Presentation[[#This Row],[Invoice Amt (FCY)]]*Main_Presentation[[#This Row],[Rate]]</f>
        <v>293625.94</v>
      </c>
      <c r="T1333" s="227">
        <v>46076</v>
      </c>
      <c r="U1333" s="243" t="str">
        <f>VLOOKUP(Main_Presentation[[#This Row],[LC Number]],Main_Issuance[],18,0)</f>
        <v>120 Days from Invoice Date</v>
      </c>
      <c r="V1333" s="233" t="s">
        <v>710</v>
      </c>
      <c r="W1333" s="229" t="s">
        <v>857</v>
      </c>
      <c r="X1333" s="217"/>
      <c r="Y1333" s="399" t="str">
        <f>TRIM(LEFT(Main_Presentation[[#This Row],[Payment Terms]],3))</f>
        <v>120</v>
      </c>
      <c r="Z1333" s="217"/>
      <c r="AA1333" s="316" cm="1">
        <f t="array" ref="AA1333">Settlement(Main_Presentation[[#This Row],[Bank]],Main_Presentation[[#This Row],[ Invoice Amt (SAR)]],Main_Presentation[[#This Row],[Date Recd]],Main_Presentation[[#This Row],[Due Date]],Main_Presentation[[#This Row],[Days]])</f>
        <v>1266.1500000000001</v>
      </c>
      <c r="AB1333" s="217"/>
    </row>
    <row r="1334" spans="1:28" ht="15.75" hidden="1" x14ac:dyDescent="0.25">
      <c r="A1334" s="226" t="s">
        <v>2395</v>
      </c>
      <c r="B1334" s="227">
        <v>46028</v>
      </c>
      <c r="C1334" s="243">
        <v>1</v>
      </c>
      <c r="D1334" s="228" t="str">
        <f>VLOOKUP(Main_Presentation[[#This Row],[LC Number]],Main_Issuance[],3,0)</f>
        <v>AbdulAziz Eraiba Fawzi</v>
      </c>
      <c r="E1334" s="217" t="s">
        <v>858</v>
      </c>
      <c r="F1334" s="244" t="str">
        <f>VLOOKUP(Main_Presentation[[#This Row],[LC Number]],Main_Issuance[],5,0)</f>
        <v>Jazira</v>
      </c>
      <c r="G1334" s="244" t="str">
        <f>VLOOKUP(Main_Presentation[[#This Row],[LC Number]],Main_Issuance[],6,0)</f>
        <v>RCRC</v>
      </c>
      <c r="H1334" s="244" t="str">
        <f>VLOOKUP(Main_Presentation[[#This Row],[LC Number]],Main_Issuance[],17,0)</f>
        <v>Credit</v>
      </c>
      <c r="I1334" s="244" t="str">
        <f>VLOOKUP(Main_Presentation[[#This Row],[LC Number]],Main_Issuance[],7,0)</f>
        <v>Rawabi Al Mahfar Trading Co.</v>
      </c>
      <c r="J1334" s="244" t="str">
        <f>VLOOKUP(Main_Presentation[[#This Row],[LC Number]],Main_Issuance[],8,0)</f>
        <v>FIRST FIX</v>
      </c>
      <c r="K1334" s="244" t="str">
        <f>VLOOKUP(Main_Presentation[[#This Row],[LC Number]],Main_Issuance[],9,0)</f>
        <v>RCRC</v>
      </c>
      <c r="L1334" s="244">
        <f>VLOOKUP(Main_Presentation[[#This Row],[LC Number]],Main_Issuance[],10,0)</f>
        <v>1020106</v>
      </c>
      <c r="M1334" s="244" t="str">
        <f>VLOOKUP(Main_Presentation[[#This Row],[LC Number]],Main_Issuance[],11,0)</f>
        <v>SAR</v>
      </c>
      <c r="N1334" s="245">
        <f>VLOOKUP(Main_Presentation[[#This Row],[LC Number]],Main_Issuance[],12,0)</f>
        <v>282279.51</v>
      </c>
      <c r="O1334" s="217" t="s">
        <v>20</v>
      </c>
      <c r="P1334" s="217" t="s">
        <v>378</v>
      </c>
      <c r="Q1334" s="218">
        <v>282279.51</v>
      </c>
      <c r="R1334" s="218">
        <v>1</v>
      </c>
      <c r="S1334" s="218">
        <f>Main_Presentation[[#This Row],[Invoice Amt (FCY)]]*Main_Presentation[[#This Row],[Rate]]</f>
        <v>282279.51</v>
      </c>
      <c r="T1334" s="227">
        <v>46078</v>
      </c>
      <c r="U1334" s="243" t="str">
        <f>VLOOKUP(Main_Presentation[[#This Row],[LC Number]],Main_Issuance[],18,0)</f>
        <v>90 Days from Applicant representative sign on Invoice</v>
      </c>
      <c r="V1334" s="233" t="s">
        <v>613</v>
      </c>
      <c r="W1334" s="229" t="s">
        <v>857</v>
      </c>
      <c r="X1334" s="217"/>
      <c r="Y1334" s="399" t="str">
        <f>TRIM(LEFT(Main_Presentation[[#This Row],[Payment Terms]],3))</f>
        <v>90</v>
      </c>
      <c r="Z1334" s="217"/>
      <c r="AA1334" s="316" cm="1">
        <f t="array" ref="AA1334">Settlement(Main_Presentation[[#This Row],[Bank]],Main_Presentation[[#This Row],[ Invoice Amt (SAR)]],Main_Presentation[[#This Row],[Date Recd]],Main_Presentation[[#This Row],[Due Date]],Main_Presentation[[#This Row],[Days]])</f>
        <v>750.95</v>
      </c>
      <c r="AB1334" s="217"/>
    </row>
    <row r="1335" spans="1:28" ht="15.75" hidden="1" x14ac:dyDescent="0.25">
      <c r="A1335" s="226" t="s">
        <v>1934</v>
      </c>
      <c r="B1335" s="227">
        <v>45956</v>
      </c>
      <c r="C1335" s="138" t="s">
        <v>1300</v>
      </c>
      <c r="D1335" s="228" t="str">
        <f>VLOOKUP(Main_Presentation[[#This Row],[LC Number]],Main_Issuance[],3,0)</f>
        <v>Luis Puente</v>
      </c>
      <c r="E1335" s="217" t="s">
        <v>856</v>
      </c>
      <c r="F1335" s="244" t="str">
        <f>VLOOKUP(Main_Presentation[[#This Row],[LC Number]],Main_Issuance[],5,0)</f>
        <v>Riyad</v>
      </c>
      <c r="G1335" s="244" t="str">
        <f>VLOOKUP(Main_Presentation[[#This Row],[LC Number]],Main_Issuance[],6,0)</f>
        <v>Oceanarium</v>
      </c>
      <c r="H1335" s="244" t="str">
        <f>VLOOKUP(Main_Presentation[[#This Row],[LC Number]],Main_Issuance[],17,0)</f>
        <v>Credit</v>
      </c>
      <c r="I1335" s="244" t="str">
        <f>VLOOKUP(Main_Presentation[[#This Row],[LC Number]],Main_Issuance[],7,0)</f>
        <v>Mat Filtrasyon Teknolojeleri A.S</v>
      </c>
      <c r="J1335" s="244" t="str">
        <f>VLOOKUP(Main_Presentation[[#This Row],[LC Number]],Main_Issuance[],8,0)</f>
        <v>MBL</v>
      </c>
      <c r="K1335" s="244" t="str">
        <f>VLOOKUP(Main_Presentation[[#This Row],[LC Number]],Main_Issuance[],9,0)</f>
        <v>Oceanarium</v>
      </c>
      <c r="L1335" s="244">
        <f>VLOOKUP(Main_Presentation[[#This Row],[LC Number]],Main_Issuance[],10,0)</f>
        <v>1020096</v>
      </c>
      <c r="M1335" s="244" t="str">
        <f>VLOOKUP(Main_Presentation[[#This Row],[LC Number]],Main_Issuance[],11,0)</f>
        <v>SAR</v>
      </c>
      <c r="N1335" s="245">
        <f>VLOOKUP(Main_Presentation[[#This Row],[LC Number]],Main_Issuance[],12,0)</f>
        <v>25907203.759999998</v>
      </c>
      <c r="O1335" s="217" t="s">
        <v>20</v>
      </c>
      <c r="P1335" s="217" t="s">
        <v>857</v>
      </c>
      <c r="Q1335" s="218">
        <f>1689450-215118.36-184328.1</f>
        <v>1290003.54</v>
      </c>
      <c r="R1335" s="218">
        <v>1</v>
      </c>
      <c r="S1335" s="218">
        <f>Main_Presentation[[#This Row],[Invoice Amt (FCY)]]*Main_Presentation[[#This Row],[Rate]]</f>
        <v>1290003.54</v>
      </c>
      <c r="T1335" s="227">
        <v>45985</v>
      </c>
      <c r="U1335" s="243" t="str">
        <f>VLOOKUP(Main_Presentation[[#This Row],[LC Number]],Main_Issuance[],18,0)</f>
        <v>45 Days from Invoice Date</v>
      </c>
      <c r="V1335" s="233" t="s">
        <v>613</v>
      </c>
      <c r="W1335" s="229" t="s">
        <v>857</v>
      </c>
      <c r="X1335" s="217" t="s">
        <v>2789</v>
      </c>
      <c r="Y1335" s="399" t="str">
        <f>TRIM(LEFT(Main_Presentation[[#This Row],[Payment Terms]],3))</f>
        <v>45</v>
      </c>
      <c r="Z1335" s="217"/>
      <c r="AA1335" s="316" cm="1">
        <f t="array" ref="AA1335">Settlement(Main_Presentation[[#This Row],[Bank]],Main_Presentation[[#This Row],[ Invoice Amt (SAR)]],Main_Presentation[[#This Row],[Date Recd]],Main_Presentation[[#This Row],[Due Date]],Main_Presentation[[#This Row],[Days]])</f>
        <v>1854.95</v>
      </c>
      <c r="AB1335" s="217"/>
    </row>
    <row r="1336" spans="1:28" ht="15.75" hidden="1" x14ac:dyDescent="0.25">
      <c r="A1336" s="226" t="s">
        <v>1896</v>
      </c>
      <c r="B1336" s="227">
        <v>46000</v>
      </c>
      <c r="C1336" s="243">
        <v>2</v>
      </c>
      <c r="D1336" s="228" t="str">
        <f>VLOOKUP(Main_Presentation[[#This Row],[LC Number]],Main_Issuance[],3,0)</f>
        <v>Rabih Makhoul</v>
      </c>
      <c r="E1336" s="217" t="s">
        <v>856</v>
      </c>
      <c r="F1336" s="244" t="str">
        <f>VLOOKUP(Main_Presentation[[#This Row],[LC Number]],Main_Issuance[],5,0)</f>
        <v>Alinma</v>
      </c>
      <c r="G1336" s="244" t="str">
        <f>VLOOKUP(Main_Presentation[[#This Row],[LC Number]],Main_Issuance[],6,0)</f>
        <v>KSP</v>
      </c>
      <c r="H1336" s="244" t="str">
        <f>VLOOKUP(Main_Presentation[[#This Row],[LC Number]],Main_Issuance[],17,0)</f>
        <v>Credit</v>
      </c>
      <c r="I1336" s="244" t="str">
        <f>VLOOKUP(Main_Presentation[[#This Row],[LC Number]],Main_Issuance[],7,0)</f>
        <v>Saudi Perfect Pumps Trading &amp; Manufacturing Company</v>
      </c>
      <c r="J1336" s="244" t="str">
        <f>VLOOKUP(Main_Presentation[[#This Row],[LC Number]],Main_Issuance[],8,0)</f>
        <v>MBL</v>
      </c>
      <c r="K1336" s="244" t="str">
        <f>VLOOKUP(Main_Presentation[[#This Row],[LC Number]],Main_Issuance[],9,0)</f>
        <v>Rabigh Power Plant</v>
      </c>
      <c r="L1336" s="244">
        <f>VLOOKUP(Main_Presentation[[#This Row],[LC Number]],Main_Issuance[],10,0)</f>
        <v>1020107</v>
      </c>
      <c r="M1336" s="244" t="str">
        <f>VLOOKUP(Main_Presentation[[#This Row],[LC Number]],Main_Issuance[],11,0)</f>
        <v>SAR</v>
      </c>
      <c r="N1336" s="245">
        <f>VLOOKUP(Main_Presentation[[#This Row],[LC Number]],Main_Issuance[],12,0)</f>
        <v>7670500</v>
      </c>
      <c r="O1336" s="217" t="s">
        <v>20</v>
      </c>
      <c r="P1336" s="217" t="s">
        <v>857</v>
      </c>
      <c r="Q1336" s="218">
        <v>530502</v>
      </c>
      <c r="R1336" s="218">
        <v>1</v>
      </c>
      <c r="S1336" s="218">
        <f>Main_Presentation[[#This Row],[Invoice Amt (FCY)]]*Main_Presentation[[#This Row],[Rate]]</f>
        <v>530502</v>
      </c>
      <c r="T1336" s="227">
        <v>46002</v>
      </c>
      <c r="U1336" s="243" t="str">
        <f>VLOOKUP(Main_Presentation[[#This Row],[LC Number]],Main_Issuance[],18,0)</f>
        <v>45 Days from Delivery Date</v>
      </c>
      <c r="V1336" s="233" t="s">
        <v>2930</v>
      </c>
      <c r="W1336" s="229" t="s">
        <v>378</v>
      </c>
      <c r="X1336" s="217"/>
      <c r="Y1336" s="399" t="str">
        <f>TRIM(LEFT(Main_Presentation[[#This Row],[Payment Terms]],3))</f>
        <v>45</v>
      </c>
      <c r="Z1336" s="217"/>
      <c r="AA1336" s="316" cm="1">
        <f t="array" ref="AA1336">Settlement(Main_Presentation[[#This Row],[Bank]],Main_Presentation[[#This Row],[ Invoice Amt (SAR)]],Main_Presentation[[#This Row],[Date Recd]],Main_Presentation[[#This Row],[Due Date]],Main_Presentation[[#This Row],[Days]])</f>
        <v>1437.5</v>
      </c>
      <c r="AB1336" s="217"/>
    </row>
    <row r="1337" spans="1:28" ht="15.75" hidden="1" x14ac:dyDescent="0.25">
      <c r="A1337" s="226" t="s">
        <v>2569</v>
      </c>
      <c r="B1337" s="227">
        <v>45994</v>
      </c>
      <c r="C1337" s="243">
        <v>2</v>
      </c>
      <c r="D1337" s="228" t="str">
        <f>VLOOKUP(Main_Presentation[[#This Row],[LC Number]],Main_Issuance[],3,0)</f>
        <v>Mohammed Atef</v>
      </c>
      <c r="E1337" s="217" t="s">
        <v>856</v>
      </c>
      <c r="F1337" s="244" t="str">
        <f>VLOOKUP(Main_Presentation[[#This Row],[LC Number]],Main_Issuance[],5,0)</f>
        <v>Alinma</v>
      </c>
      <c r="G1337" s="244" t="str">
        <f>VLOOKUP(Main_Presentation[[#This Row],[LC Number]],Main_Issuance[],6,0)</f>
        <v>KSP</v>
      </c>
      <c r="H1337" s="244" t="str">
        <f>VLOOKUP(Main_Presentation[[#This Row],[LC Number]],Main_Issuance[],17,0)</f>
        <v>Credit</v>
      </c>
      <c r="I1337" s="244" t="str">
        <f>VLOOKUP(Main_Presentation[[#This Row],[LC Number]],Main_Issuance[],7,0)</f>
        <v>Hamada Decoration Company</v>
      </c>
      <c r="J1337" s="244" t="str">
        <f>VLOOKUP(Main_Presentation[[#This Row],[LC Number]],Main_Issuance[],8,0)</f>
        <v>MBL</v>
      </c>
      <c r="K1337" s="244" t="str">
        <f>VLOOKUP(Main_Presentation[[#This Row],[LC Number]],Main_Issuance[],9,0)</f>
        <v>ADF</v>
      </c>
      <c r="L1337" s="244">
        <f>VLOOKUP(Main_Presentation[[#This Row],[LC Number]],Main_Issuance[],10,0)</f>
        <v>1020001</v>
      </c>
      <c r="M1337" s="244" t="str">
        <f>VLOOKUP(Main_Presentation[[#This Row],[LC Number]],Main_Issuance[],11,0)</f>
        <v>SAR</v>
      </c>
      <c r="N1337" s="245">
        <f>VLOOKUP(Main_Presentation[[#This Row],[LC Number]],Main_Issuance[],12,0)</f>
        <v>94000000</v>
      </c>
      <c r="O1337" s="217" t="s">
        <v>20</v>
      </c>
      <c r="P1337" s="217" t="s">
        <v>857</v>
      </c>
      <c r="Q1337" s="218">
        <v>32000000</v>
      </c>
      <c r="R1337" s="218">
        <v>1</v>
      </c>
      <c r="S1337" s="218">
        <f>Main_Presentation[[#This Row],[Invoice Amt (FCY)]]*Main_Presentation[[#This Row],[Rate]]</f>
        <v>32000000</v>
      </c>
      <c r="T1337" s="227">
        <v>46096</v>
      </c>
      <c r="U1337" s="243" t="str">
        <f>VLOOKUP(Main_Presentation[[#This Row],[LC Number]],Main_Issuance[],18,0)</f>
        <v>120 Days from the Invoice Date</v>
      </c>
      <c r="V1337" s="233" t="s">
        <v>4294</v>
      </c>
      <c r="W1337" s="229" t="s">
        <v>378</v>
      </c>
      <c r="X1337" s="217" t="s">
        <v>4354</v>
      </c>
      <c r="Y1337" s="399" t="str">
        <f>TRIM(LEFT(Main_Presentation[[#This Row],[Payment Terms]],3))</f>
        <v>120</v>
      </c>
      <c r="Z1337" s="217"/>
      <c r="AA1337" s="316" cm="1">
        <f t="array" ref="AA1337">Settlement(Main_Presentation[[#This Row],[Bank]],Main_Presentation[[#This Row],[ Invoice Amt (SAR)]],Main_Presentation[[#This Row],[Date Recd]],Main_Presentation[[#This Row],[Due Date]],Main_Presentation[[#This Row],[Days]])</f>
        <v>46000</v>
      </c>
      <c r="AB1337" s="217"/>
    </row>
    <row r="1338" spans="1:28" ht="15.75" hidden="1" x14ac:dyDescent="0.25">
      <c r="A1338" s="226" t="s">
        <v>1860</v>
      </c>
      <c r="B1338" s="15">
        <v>45999</v>
      </c>
      <c r="C1338" s="26">
        <v>1</v>
      </c>
      <c r="D1338" s="55" t="str">
        <f>VLOOKUP(Main_Presentation[[#This Row],[LC Number]],Main_Issuance[],3,0)</f>
        <v>Luis Puente</v>
      </c>
      <c r="E1338" s="16" t="s">
        <v>858</v>
      </c>
      <c r="F1338" s="17" t="str">
        <f>VLOOKUP(Main_Presentation[[#This Row],[LC Number]],Main_Issuance[],5,0)</f>
        <v>Riyad</v>
      </c>
      <c r="G1338" s="17" t="str">
        <f>VLOOKUP(Main_Presentation[[#This Row],[LC Number]],Main_Issuance[],6,0)</f>
        <v>Cash</v>
      </c>
      <c r="H1338" s="17" t="str">
        <f>VLOOKUP(Main_Presentation[[#This Row],[LC Number]],Main_Issuance[],17,0)</f>
        <v>Cash</v>
      </c>
      <c r="I1338" s="17" t="str">
        <f>VLOOKUP(Main_Presentation[[#This Row],[LC Number]],Main_Issuance[],7,0)</f>
        <v>lmdadat Al Jazera Al Arabia Trading Co.</v>
      </c>
      <c r="J1338" s="17" t="str">
        <f>VLOOKUP(Main_Presentation[[#This Row],[LC Number]],Main_Issuance[],8,0)</f>
        <v>FIRST FIX</v>
      </c>
      <c r="K1338" s="17" t="str">
        <f>VLOOKUP(Main_Presentation[[#This Row],[LC Number]],Main_Issuance[],9,0)</f>
        <v>Oceanarium</v>
      </c>
      <c r="L1338" s="17">
        <f>VLOOKUP(Main_Presentation[[#This Row],[LC Number]],Main_Issuance[],10,0)</f>
        <v>1020096</v>
      </c>
      <c r="M1338" s="17" t="str">
        <f>VLOOKUP(Main_Presentation[[#This Row],[LC Number]],Main_Issuance[],11,0)</f>
        <v>SAR</v>
      </c>
      <c r="N1338" s="84">
        <f>VLOOKUP(Main_Presentation[[#This Row],[LC Number]],Main_Issuance[],12,0)</f>
        <v>450000</v>
      </c>
      <c r="O1338" s="16" t="s">
        <v>20</v>
      </c>
      <c r="P1338" s="16" t="s">
        <v>857</v>
      </c>
      <c r="Q1338" s="218">
        <v>450000</v>
      </c>
      <c r="R1338" s="18">
        <v>1</v>
      </c>
      <c r="S1338" s="18">
        <f>Main_Presentation[[#This Row],[Invoice Amt (FCY)]]*Main_Presentation[[#This Row],[Rate]]</f>
        <v>450000</v>
      </c>
      <c r="T1338" s="15">
        <v>46033</v>
      </c>
      <c r="U1338" s="26" t="str">
        <f>VLOOKUP(Main_Presentation[[#This Row],[LC Number]],Main_Issuance[],18,0)</f>
        <v>120 Days from Invoice Date</v>
      </c>
      <c r="V1338" s="249" t="s">
        <v>70</v>
      </c>
      <c r="W1338" s="22" t="s">
        <v>857</v>
      </c>
      <c r="X1338" s="16"/>
      <c r="Y1338" s="234" t="str">
        <f>TRIM(LEFT(Main_Presentation[[#This Row],[Payment Terms]],3))</f>
        <v>120</v>
      </c>
      <c r="Z1338" s="16"/>
      <c r="AA1338" s="316" cm="1">
        <f t="array" ref="AA1338">Settlement(Main_Presentation[[#This Row],[Bank]],Main_Presentation[[#This Row],[ Invoice Amt (SAR)]],Main_Presentation[[#This Row],[Date Recd]],Main_Presentation[[#This Row],[Due Date]],Main_Presentation[[#This Row],[Days]])</f>
        <v>646.29999999999995</v>
      </c>
      <c r="AB1338" s="16"/>
    </row>
    <row r="1339" spans="1:28" ht="15.75" hidden="1" x14ac:dyDescent="0.25">
      <c r="A1339" s="20" t="s">
        <v>723</v>
      </c>
      <c r="B1339" s="15">
        <v>46028</v>
      </c>
      <c r="C1339" s="26">
        <v>2</v>
      </c>
      <c r="D1339" s="55" t="str">
        <f>VLOOKUP(Main_Presentation[[#This Row],[LC Number]],Main_Issuance[],3,0)</f>
        <v>Hassan Taleb</v>
      </c>
      <c r="E1339" s="16" t="s">
        <v>858</v>
      </c>
      <c r="F1339" s="17" t="str">
        <f>VLOOKUP(Main_Presentation[[#This Row],[LC Number]],Main_Issuance[],5,0)</f>
        <v>Jazira</v>
      </c>
      <c r="G1339" s="17" t="str">
        <f>VLOOKUP(Main_Presentation[[#This Row],[LC Number]],Main_Issuance[],6,0)</f>
        <v>RCRC</v>
      </c>
      <c r="H1339" s="17" t="str">
        <f>VLOOKUP(Main_Presentation[[#This Row],[LC Number]],Main_Issuance[],17,0)</f>
        <v>Credit</v>
      </c>
      <c r="I1339" s="17" t="str">
        <f>VLOOKUP(Main_Presentation[[#This Row],[LC Number]],Main_Issuance[],7,0)</f>
        <v>UNITED PARK CO</v>
      </c>
      <c r="J1339" s="17" t="str">
        <f>VLOOKUP(Main_Presentation[[#This Row],[LC Number]],Main_Issuance[],8,0)</f>
        <v>FIRST FIX</v>
      </c>
      <c r="K1339" s="17" t="str">
        <f>VLOOKUP(Main_Presentation[[#This Row],[LC Number]],Main_Issuance[],9,0)</f>
        <v>RCRC</v>
      </c>
      <c r="L1339" s="17">
        <f>VLOOKUP(Main_Presentation[[#This Row],[LC Number]],Main_Issuance[],10,0)</f>
        <v>1020106</v>
      </c>
      <c r="M1339" s="17" t="str">
        <f>VLOOKUP(Main_Presentation[[#This Row],[LC Number]],Main_Issuance[],11,0)</f>
        <v>SAR</v>
      </c>
      <c r="N1339" s="84">
        <f>VLOOKUP(Main_Presentation[[#This Row],[LC Number]],Main_Issuance[],12,0)</f>
        <v>753402</v>
      </c>
      <c r="O1339" s="16" t="s">
        <v>20</v>
      </c>
      <c r="P1339" s="16" t="s">
        <v>378</v>
      </c>
      <c r="Q1339" s="218">
        <v>251134</v>
      </c>
      <c r="R1339" s="18">
        <v>1</v>
      </c>
      <c r="S1339" s="18">
        <f>Main_Presentation[[#This Row],[Invoice Amt (FCY)]]*Main_Presentation[[#This Row],[Rate]]</f>
        <v>251134</v>
      </c>
      <c r="T1339" s="227">
        <v>46069</v>
      </c>
      <c r="U1339" s="26" t="str">
        <f>VLOOKUP(Main_Presentation[[#This Row],[LC Number]],Main_Issuance[],18,0)</f>
        <v>90 Days from Invoice Date</v>
      </c>
      <c r="V1339" s="249" t="s">
        <v>613</v>
      </c>
      <c r="W1339" s="22" t="s">
        <v>857</v>
      </c>
      <c r="X1339" s="217"/>
      <c r="Y1339" s="234" t="str">
        <f>TRIM(LEFT(Main_Presentation[[#This Row],[Payment Terms]],3))</f>
        <v>90</v>
      </c>
      <c r="Z1339" s="16"/>
      <c r="AA1339" s="316" cm="1">
        <f t="array" ref="AA1339">Settlement(Main_Presentation[[#This Row],[Bank]],Main_Presentation[[#This Row],[ Invoice Amt (SAR)]],Main_Presentation[[#This Row],[Date Recd]],Main_Presentation[[#This Row],[Due Date]],Main_Presentation[[#This Row],[Days]])</f>
        <v>977.5</v>
      </c>
      <c r="AB1339" s="16"/>
    </row>
    <row r="1340" spans="1:28" ht="15.75" hidden="1" x14ac:dyDescent="0.25">
      <c r="A1340" s="20" t="s">
        <v>1819</v>
      </c>
      <c r="B1340" s="15">
        <v>46008</v>
      </c>
      <c r="C1340" s="26">
        <v>1</v>
      </c>
      <c r="D1340" s="55" t="str">
        <f>VLOOKUP(Main_Presentation[[#This Row],[LC Number]],Main_Issuance[],3,0)</f>
        <v>Hassan Taleb</v>
      </c>
      <c r="E1340" s="16" t="s">
        <v>856</v>
      </c>
      <c r="F1340" s="17" t="str">
        <f>VLOOKUP(Main_Presentation[[#This Row],[LC Number]],Main_Issuance[],5,0)</f>
        <v>Jazira</v>
      </c>
      <c r="G1340" s="17" t="str">
        <f>VLOOKUP(Main_Presentation[[#This Row],[LC Number]],Main_Issuance[],6,0)</f>
        <v>RCRC</v>
      </c>
      <c r="H1340" s="17" t="str">
        <f>VLOOKUP(Main_Presentation[[#This Row],[LC Number]],Main_Issuance[],17,0)</f>
        <v>Credit</v>
      </c>
      <c r="I1340" s="17" t="str">
        <f>VLOOKUP(Main_Presentation[[#This Row],[LC Number]],Main_Issuance[],7,0)</f>
        <v>United Park Co.</v>
      </c>
      <c r="J1340" s="17" t="str">
        <f>VLOOKUP(Main_Presentation[[#This Row],[LC Number]],Main_Issuance[],8,0)</f>
        <v>FIRST FIX</v>
      </c>
      <c r="K1340" s="17" t="str">
        <f>VLOOKUP(Main_Presentation[[#This Row],[LC Number]],Main_Issuance[],9,0)</f>
        <v>RCRC</v>
      </c>
      <c r="L1340" s="17">
        <f>VLOOKUP(Main_Presentation[[#This Row],[LC Number]],Main_Issuance[],10,0)</f>
        <v>1020106</v>
      </c>
      <c r="M1340" s="17" t="str">
        <f>VLOOKUP(Main_Presentation[[#This Row],[LC Number]],Main_Issuance[],11,0)</f>
        <v>SAR</v>
      </c>
      <c r="N1340" s="84">
        <f>VLOOKUP(Main_Presentation[[#This Row],[LC Number]],Main_Issuance[],12,0)</f>
        <v>251134</v>
      </c>
      <c r="O1340" s="16" t="s">
        <v>20</v>
      </c>
      <c r="P1340" s="16" t="s">
        <v>378</v>
      </c>
      <c r="Q1340" s="218">
        <v>251134</v>
      </c>
      <c r="R1340" s="18">
        <v>1</v>
      </c>
      <c r="S1340" s="18">
        <f>Main_Presentation[[#This Row],[Invoice Amt (FCY)]]*Main_Presentation[[#This Row],[Rate]]</f>
        <v>251134</v>
      </c>
      <c r="T1340" s="15">
        <v>46057</v>
      </c>
      <c r="U1340" s="26" t="str">
        <f>VLOOKUP(Main_Presentation[[#This Row],[LC Number]],Main_Issuance[],18,0)</f>
        <v>90 Days from Invoice Date</v>
      </c>
      <c r="V1340" s="249" t="s">
        <v>613</v>
      </c>
      <c r="W1340" s="22" t="s">
        <v>857</v>
      </c>
      <c r="X1340" s="16"/>
      <c r="Y1340" s="234" t="str">
        <f>TRIM(LEFT(Main_Presentation[[#This Row],[Payment Terms]],3))</f>
        <v>90</v>
      </c>
      <c r="Z1340" s="16"/>
      <c r="AA1340" s="316" cm="1">
        <f t="array" ref="AA1340">Settlement(Main_Presentation[[#This Row],[Bank]],Main_Presentation[[#This Row],[ Invoice Amt (SAR)]],Main_Presentation[[#This Row],[Date Recd]],Main_Presentation[[#This Row],[Due Date]],Main_Presentation[[#This Row],[Days]])</f>
        <v>706.1</v>
      </c>
      <c r="AB1340" s="16"/>
    </row>
    <row r="1341" spans="1:28" ht="15.75" hidden="1" x14ac:dyDescent="0.25">
      <c r="A1341" s="226" t="s">
        <v>1566</v>
      </c>
      <c r="B1341" s="15">
        <v>46027</v>
      </c>
      <c r="C1341" s="26">
        <v>4</v>
      </c>
      <c r="D1341" s="55" t="str">
        <f>VLOOKUP(Main_Presentation[[#This Row],[LC Number]],Main_Issuance[],3,0)</f>
        <v>Hassan Taleb</v>
      </c>
      <c r="E1341" s="16" t="s">
        <v>856</v>
      </c>
      <c r="F1341" s="17" t="str">
        <f>VLOOKUP(Main_Presentation[[#This Row],[LC Number]],Main_Issuance[],5,0)</f>
        <v>Jazira</v>
      </c>
      <c r="G1341" s="17" t="str">
        <f>VLOOKUP(Main_Presentation[[#This Row],[LC Number]],Main_Issuance[],6,0)</f>
        <v>RCRC</v>
      </c>
      <c r="H1341" s="17" t="str">
        <f>VLOOKUP(Main_Presentation[[#This Row],[LC Number]],Main_Issuance[],17,0)</f>
        <v>Credit</v>
      </c>
      <c r="I1341" s="17" t="str">
        <f>VLOOKUP(Main_Presentation[[#This Row],[LC Number]],Main_Issuance[],7,0)</f>
        <v>Alpha Limit Trading and Contracting Company</v>
      </c>
      <c r="J1341" s="17" t="str">
        <f>VLOOKUP(Main_Presentation[[#This Row],[LC Number]],Main_Issuance[],8,0)</f>
        <v>FIRST FIX</v>
      </c>
      <c r="K1341" s="17" t="str">
        <f>VLOOKUP(Main_Presentation[[#This Row],[LC Number]],Main_Issuance[],9,0)</f>
        <v>RCRC</v>
      </c>
      <c r="L1341" s="17">
        <f>VLOOKUP(Main_Presentation[[#This Row],[LC Number]],Main_Issuance[],10,0)</f>
        <v>1020106</v>
      </c>
      <c r="M1341" s="17" t="str">
        <f>VLOOKUP(Main_Presentation[[#This Row],[LC Number]],Main_Issuance[],11,0)</f>
        <v>SAR</v>
      </c>
      <c r="N1341" s="84">
        <f>VLOOKUP(Main_Presentation[[#This Row],[LC Number]],Main_Issuance[],12,0)</f>
        <v>399623.8</v>
      </c>
      <c r="O1341" s="16" t="s">
        <v>20</v>
      </c>
      <c r="P1341" s="16" t="s">
        <v>378</v>
      </c>
      <c r="Q1341" s="218">
        <v>96824.6</v>
      </c>
      <c r="R1341" s="18">
        <v>1</v>
      </c>
      <c r="S1341" s="18">
        <f>Main_Presentation[[#This Row],[Invoice Amt (FCY)]]*Main_Presentation[[#This Row],[Rate]]</f>
        <v>96824.6</v>
      </c>
      <c r="T1341" s="227">
        <v>46047</v>
      </c>
      <c r="U1341" s="26" t="str">
        <f>VLOOKUP(Main_Presentation[[#This Row],[LC Number]],Main_Issuance[],18,0)</f>
        <v>90 Days from Invoice Date</v>
      </c>
      <c r="V1341" s="249" t="s">
        <v>613</v>
      </c>
      <c r="W1341" s="22" t="s">
        <v>857</v>
      </c>
      <c r="X1341" s="16"/>
      <c r="Y1341" s="234" t="str">
        <f>TRIM(LEFT(Main_Presentation[[#This Row],[Payment Terms]],3))</f>
        <v>90</v>
      </c>
      <c r="Z1341" s="16"/>
      <c r="AA1341" s="316" cm="1">
        <f t="array" ref="AA1341">Settlement(Main_Presentation[[#This Row],[Bank]],Main_Presentation[[#This Row],[ Invoice Amt (SAR)]],Main_Presentation[[#This Row],[Date Recd]],Main_Presentation[[#This Row],[Due Date]],Main_Presentation[[#This Row],[Days]])</f>
        <v>977.5</v>
      </c>
      <c r="AB1341" s="16"/>
    </row>
    <row r="1342" spans="1:28" ht="15.75" hidden="1" x14ac:dyDescent="0.25">
      <c r="A1342" s="226" t="s">
        <v>2236</v>
      </c>
      <c r="B1342" s="15">
        <v>46016</v>
      </c>
      <c r="C1342" s="26">
        <v>2</v>
      </c>
      <c r="D1342" s="55" t="str">
        <f>VLOOKUP(Main_Presentation[[#This Row],[LC Number]],Main_Issuance[],3,0)</f>
        <v>Hassan Taleb</v>
      </c>
      <c r="E1342" s="16" t="s">
        <v>858</v>
      </c>
      <c r="F1342" s="17" t="str">
        <f>VLOOKUP(Main_Presentation[[#This Row],[LC Number]],Main_Issuance[],5,0)</f>
        <v>SAB</v>
      </c>
      <c r="G1342" s="17" t="str">
        <f>VLOOKUP(Main_Presentation[[#This Row],[LC Number]],Main_Issuance[],6,0)</f>
        <v>MP1</v>
      </c>
      <c r="H1342" s="17" t="str">
        <f>VLOOKUP(Main_Presentation[[#This Row],[LC Number]],Main_Issuance[],17,0)</f>
        <v>Credit</v>
      </c>
      <c r="I1342" s="17" t="str">
        <f>VLOOKUP(Main_Presentation[[#This Row],[LC Number]],Main_Issuance[],7,0)</f>
        <v>Building System Intelligent Est.</v>
      </c>
      <c r="J1342" s="17" t="str">
        <f>VLOOKUP(Main_Presentation[[#This Row],[LC Number]],Main_Issuance[],8,0)</f>
        <v>FIRST FIX</v>
      </c>
      <c r="K1342" s="17" t="str">
        <f>VLOOKUP(Main_Presentation[[#This Row],[LC Number]],Main_Issuance[],9,0)</f>
        <v>MP1</v>
      </c>
      <c r="L1342" s="17">
        <f>VLOOKUP(Main_Presentation[[#This Row],[LC Number]],Main_Issuance[],10,0)</f>
        <v>1020088</v>
      </c>
      <c r="M1342" s="17" t="str">
        <f>VLOOKUP(Main_Presentation[[#This Row],[LC Number]],Main_Issuance[],11,0)</f>
        <v>SAR</v>
      </c>
      <c r="N1342" s="84">
        <f>VLOOKUP(Main_Presentation[[#This Row],[LC Number]],Main_Issuance[],12,0)</f>
        <v>558949</v>
      </c>
      <c r="O1342" s="16" t="s">
        <v>20</v>
      </c>
      <c r="P1342" s="16" t="s">
        <v>857</v>
      </c>
      <c r="Q1342" s="218">
        <v>253336.46</v>
      </c>
      <c r="R1342" s="18">
        <v>1</v>
      </c>
      <c r="S1342" s="18">
        <f>Main_Presentation[[#This Row],[Invoice Amt (FCY)]]*Main_Presentation[[#This Row],[Rate]]</f>
        <v>253336.46</v>
      </c>
      <c r="T1342" s="15">
        <v>46068</v>
      </c>
      <c r="U1342" s="26" t="str">
        <f>VLOOKUP(Main_Presentation[[#This Row],[LC Number]],Main_Issuance[],18,0)</f>
        <v>120 Days from Invoice Date</v>
      </c>
      <c r="V1342" s="249" t="s">
        <v>613</v>
      </c>
      <c r="W1342" s="22" t="s">
        <v>378</v>
      </c>
      <c r="X1342" s="16"/>
      <c r="Y1342" s="234" t="str">
        <f>TRIM(LEFT(Main_Presentation[[#This Row],[Payment Terms]],3))</f>
        <v>120</v>
      </c>
      <c r="Z1342" s="16"/>
      <c r="AA1342" s="316" cm="1">
        <f t="array" ref="AA1342">Settlement(Main_Presentation[[#This Row],[Bank]],Main_Presentation[[#This Row],[ Invoice Amt (SAR)]],Main_Presentation[[#This Row],[Date Recd]],Main_Presentation[[#This Row],[Due Date]],Main_Presentation[[#This Row],[Days]])</f>
        <v>1092.5</v>
      </c>
      <c r="AB1342" s="16"/>
    </row>
    <row r="1343" spans="1:28" ht="15.75" hidden="1" x14ac:dyDescent="0.25">
      <c r="A1343" s="226" t="s">
        <v>2237</v>
      </c>
      <c r="B1343" s="15">
        <v>46014</v>
      </c>
      <c r="C1343" s="26">
        <v>1</v>
      </c>
      <c r="D1343" s="55" t="str">
        <f>VLOOKUP(Main_Presentation[[#This Row],[LC Number]],Main_Issuance[],3,0)</f>
        <v>Hassan Taleb</v>
      </c>
      <c r="E1343" s="16" t="s">
        <v>856</v>
      </c>
      <c r="F1343" s="17" t="str">
        <f>VLOOKUP(Main_Presentation[[#This Row],[LC Number]],Main_Issuance[],5,0)</f>
        <v>SAB</v>
      </c>
      <c r="G1343" s="17" t="str">
        <f>VLOOKUP(Main_Presentation[[#This Row],[LC Number]],Main_Issuance[],6,0)</f>
        <v>MP1</v>
      </c>
      <c r="H1343" s="17" t="str">
        <f>VLOOKUP(Main_Presentation[[#This Row],[LC Number]],Main_Issuance[],17,0)</f>
        <v>Credit</v>
      </c>
      <c r="I1343" s="17" t="str">
        <f>VLOOKUP(Main_Presentation[[#This Row],[LC Number]],Main_Issuance[],7,0)</f>
        <v>TAWREED INTEGRATED INDUSTRIES</v>
      </c>
      <c r="J1343" s="17" t="str">
        <f>VLOOKUP(Main_Presentation[[#This Row],[LC Number]],Main_Issuance[],8,0)</f>
        <v>FIRST FIX</v>
      </c>
      <c r="K1343" s="17" t="str">
        <f>VLOOKUP(Main_Presentation[[#This Row],[LC Number]],Main_Issuance[],9,0)</f>
        <v>MP1</v>
      </c>
      <c r="L1343" s="17">
        <f>VLOOKUP(Main_Presentation[[#This Row],[LC Number]],Main_Issuance[],10,0)</f>
        <v>1020088</v>
      </c>
      <c r="M1343" s="17" t="str">
        <f>VLOOKUP(Main_Presentation[[#This Row],[LC Number]],Main_Issuance[],11,0)</f>
        <v>SAR</v>
      </c>
      <c r="N1343" s="84">
        <f>VLOOKUP(Main_Presentation[[#This Row],[LC Number]],Main_Issuance[],12,0)</f>
        <v>500000</v>
      </c>
      <c r="O1343" s="16" t="s">
        <v>20</v>
      </c>
      <c r="P1343" s="16" t="s">
        <v>857</v>
      </c>
      <c r="Q1343" s="218">
        <v>336122.53</v>
      </c>
      <c r="R1343" s="18">
        <v>1</v>
      </c>
      <c r="S1343" s="18">
        <f>Main_Presentation[[#This Row],[Invoice Amt (FCY)]]*Main_Presentation[[#This Row],[Rate]]</f>
        <v>336122.53</v>
      </c>
      <c r="T1343" s="15">
        <v>46082</v>
      </c>
      <c r="U1343" s="26" t="str">
        <f>VLOOKUP(Main_Presentation[[#This Row],[LC Number]],Main_Issuance[],18,0)</f>
        <v>120 Days from Invoice Date</v>
      </c>
      <c r="V1343" s="249" t="s">
        <v>710</v>
      </c>
      <c r="W1343" s="22" t="s">
        <v>857</v>
      </c>
      <c r="X1343" s="16"/>
      <c r="Y1343" s="234" t="str">
        <f>TRIM(LEFT(Main_Presentation[[#This Row],[Payment Terms]],3))</f>
        <v>120</v>
      </c>
      <c r="Z1343" s="16"/>
      <c r="AA1343" s="316" cm="1">
        <f t="array" ref="AA1343">Settlement(Main_Presentation[[#This Row],[Bank]],Main_Presentation[[#This Row],[ Invoice Amt (SAR)]],Main_Presentation[[#This Row],[Date Recd]],Main_Presentation[[#This Row],[Due Date]],Main_Presentation[[#This Row],[Days]])</f>
        <v>1449</v>
      </c>
      <c r="AB1343" s="16"/>
    </row>
    <row r="1344" spans="1:28" ht="15.75" hidden="1" x14ac:dyDescent="0.25">
      <c r="A1344" s="226" t="s">
        <v>1869</v>
      </c>
      <c r="B1344" s="15">
        <v>46015</v>
      </c>
      <c r="C1344" s="26">
        <v>2</v>
      </c>
      <c r="D1344" s="55" t="str">
        <f>VLOOKUP(Main_Presentation[[#This Row],[LC Number]],Main_Issuance[],3,0)</f>
        <v>Hassan Taleb</v>
      </c>
      <c r="E1344" s="16" t="s">
        <v>858</v>
      </c>
      <c r="F1344" s="17" t="str">
        <f>VLOOKUP(Main_Presentation[[#This Row],[LC Number]],Main_Issuance[],5,0)</f>
        <v>SAB</v>
      </c>
      <c r="G1344" s="17" t="str">
        <f>VLOOKUP(Main_Presentation[[#This Row],[LC Number]],Main_Issuance[],6,0)</f>
        <v>MP1</v>
      </c>
      <c r="H1344" s="17" t="str">
        <f>VLOOKUP(Main_Presentation[[#This Row],[LC Number]],Main_Issuance[],17,0)</f>
        <v>Credit</v>
      </c>
      <c r="I1344" s="17" t="str">
        <f>VLOOKUP(Main_Presentation[[#This Row],[LC Number]],Main_Issuance[],7,0)</f>
        <v xml:space="preserve">DAIKIN AIR CONDITIONING SAUDI ARABIA LLC </v>
      </c>
      <c r="J1344" s="17" t="str">
        <f>VLOOKUP(Main_Presentation[[#This Row],[LC Number]],Main_Issuance[],8,0)</f>
        <v>FIRST FIX</v>
      </c>
      <c r="K1344" s="17" t="str">
        <f>VLOOKUP(Main_Presentation[[#This Row],[LC Number]],Main_Issuance[],9,0)</f>
        <v>MP1</v>
      </c>
      <c r="L1344" s="17">
        <f>VLOOKUP(Main_Presentation[[#This Row],[LC Number]],Main_Issuance[],10,0)</f>
        <v>1020088</v>
      </c>
      <c r="M1344" s="17" t="str">
        <f>VLOOKUP(Main_Presentation[[#This Row],[LC Number]],Main_Issuance[],11,0)</f>
        <v>SAR</v>
      </c>
      <c r="N1344" s="84">
        <f>VLOOKUP(Main_Presentation[[#This Row],[LC Number]],Main_Issuance[],12,0)</f>
        <v>2500000</v>
      </c>
      <c r="O1344" s="16" t="s">
        <v>20</v>
      </c>
      <c r="P1344" s="16" t="s">
        <v>857</v>
      </c>
      <c r="Q1344" s="218">
        <v>1960451.21</v>
      </c>
      <c r="R1344" s="18">
        <v>1</v>
      </c>
      <c r="S1344" s="18">
        <f>Main_Presentation[[#This Row],[Invoice Amt (FCY)]]*Main_Presentation[[#This Row],[Rate]]</f>
        <v>1960451.21</v>
      </c>
      <c r="T1344" s="15">
        <v>46105</v>
      </c>
      <c r="U1344" s="26" t="str">
        <f>VLOOKUP(Main_Presentation[[#This Row],[LC Number]],Main_Issuance[],18,0)</f>
        <v>120 Days from Invoice Date</v>
      </c>
      <c r="V1344" s="249" t="s">
        <v>710</v>
      </c>
      <c r="W1344" s="22" t="s">
        <v>857</v>
      </c>
      <c r="X1344" s="217"/>
      <c r="Y1344" s="234" t="str">
        <f>TRIM(LEFT(Main_Presentation[[#This Row],[Payment Terms]],3))</f>
        <v>120</v>
      </c>
      <c r="Z1344" s="16"/>
      <c r="AA1344" s="316" cm="1">
        <f t="array" ref="AA1344">Settlement(Main_Presentation[[#This Row],[Bank]],Main_Presentation[[#This Row],[ Invoice Amt (SAR)]],Main_Presentation[[#This Row],[Date Recd]],Main_Presentation[[#This Row],[Due Date]],Main_Presentation[[#This Row],[Days]])</f>
        <v>8454.7999999999993</v>
      </c>
      <c r="AB1344" s="234"/>
    </row>
    <row r="1345" spans="1:28" ht="15.75" hidden="1" x14ac:dyDescent="0.25">
      <c r="A1345" s="226" t="s">
        <v>2394</v>
      </c>
      <c r="B1345" s="15">
        <v>46002</v>
      </c>
      <c r="C1345" s="26">
        <v>1</v>
      </c>
      <c r="D1345" s="55" t="str">
        <f>VLOOKUP(Main_Presentation[[#This Row],[LC Number]],Main_Issuance[],3,0)</f>
        <v>AbdulAziz Eraiba Fawzi</v>
      </c>
      <c r="E1345" s="16" t="s">
        <v>856</v>
      </c>
      <c r="F1345" s="17" t="str">
        <f>VLOOKUP(Main_Presentation[[#This Row],[LC Number]],Main_Issuance[],5,0)</f>
        <v>Jazira</v>
      </c>
      <c r="G1345" s="17" t="str">
        <f>VLOOKUP(Main_Presentation[[#This Row],[LC Number]],Main_Issuance[],6,0)</f>
        <v>RCRC</v>
      </c>
      <c r="H1345" s="17" t="str">
        <f>VLOOKUP(Main_Presentation[[#This Row],[LC Number]],Main_Issuance[],17,0)</f>
        <v>Credit</v>
      </c>
      <c r="I1345" s="17" t="str">
        <f>VLOOKUP(Main_Presentation[[#This Row],[LC Number]],Main_Issuance[],7,0)</f>
        <v>ALFANAR ELECTRICAL SYSTEMS</v>
      </c>
      <c r="J1345" s="17" t="str">
        <f>VLOOKUP(Main_Presentation[[#This Row],[LC Number]],Main_Issuance[],8,0)</f>
        <v>FIRST FIX</v>
      </c>
      <c r="K1345" s="17" t="str">
        <f>VLOOKUP(Main_Presentation[[#This Row],[LC Number]],Main_Issuance[],9,0)</f>
        <v>RCRC</v>
      </c>
      <c r="L1345" s="17">
        <f>VLOOKUP(Main_Presentation[[#This Row],[LC Number]],Main_Issuance[],10,0)</f>
        <v>1020106</v>
      </c>
      <c r="M1345" s="17" t="str">
        <f>VLOOKUP(Main_Presentation[[#This Row],[LC Number]],Main_Issuance[],11,0)</f>
        <v>SAR</v>
      </c>
      <c r="N1345" s="84">
        <f>VLOOKUP(Main_Presentation[[#This Row],[LC Number]],Main_Issuance[],12,0)</f>
        <v>2000000.93</v>
      </c>
      <c r="O1345" s="16" t="s">
        <v>20</v>
      </c>
      <c r="P1345" s="16" t="s">
        <v>378</v>
      </c>
      <c r="Q1345" s="218">
        <v>2000000.93</v>
      </c>
      <c r="R1345" s="18">
        <v>1</v>
      </c>
      <c r="S1345" s="18">
        <f>Main_Presentation[[#This Row],[Invoice Amt (FCY)]]*Main_Presentation[[#This Row],[Rate]]</f>
        <v>2000000.93</v>
      </c>
      <c r="T1345" s="15">
        <v>46079</v>
      </c>
      <c r="U1345" s="26" t="str">
        <f>VLOOKUP(Main_Presentation[[#This Row],[LC Number]],Main_Issuance[],18,0)</f>
        <v>90 Days from Applicant representative sign on Invoice</v>
      </c>
      <c r="V1345" s="249" t="s">
        <v>613</v>
      </c>
      <c r="W1345" s="22" t="s">
        <v>857</v>
      </c>
      <c r="X1345" s="16"/>
      <c r="Y1345" s="234" t="str">
        <f>TRIM(LEFT(Main_Presentation[[#This Row],[Payment Terms]],3))</f>
        <v>90</v>
      </c>
      <c r="Z1345" s="16"/>
      <c r="AA1345" s="316" cm="1">
        <f t="array" ref="AA1345">Settlement(Main_Presentation[[#This Row],[Bank]],Main_Presentation[[#This Row],[ Invoice Amt (SAR)]],Main_Presentation[[#This Row],[Date Recd]],Main_Presentation[[#This Row],[Due Date]],Main_Presentation[[#This Row],[Days]])</f>
        <v>3220</v>
      </c>
      <c r="AB1345" s="16"/>
    </row>
    <row r="1346" spans="1:28" ht="15.75" hidden="1" x14ac:dyDescent="0.25">
      <c r="A1346" s="226" t="s">
        <v>1420</v>
      </c>
      <c r="B1346" s="15">
        <v>46007</v>
      </c>
      <c r="C1346" s="26">
        <v>3</v>
      </c>
      <c r="D1346" s="55" t="str">
        <f>VLOOKUP(Main_Presentation[[#This Row],[LC Number]],Main_Issuance[],3,0)</f>
        <v>Hassan Taleb</v>
      </c>
      <c r="E1346" s="16" t="s">
        <v>856</v>
      </c>
      <c r="F1346" s="17" t="str">
        <f>VLOOKUP(Main_Presentation[[#This Row],[LC Number]],Main_Issuance[],5,0)</f>
        <v>SNB</v>
      </c>
      <c r="G1346" s="17" t="str">
        <f>VLOOKUP(Main_Presentation[[#This Row],[LC Number]],Main_Issuance[],6,0)</f>
        <v>Opera House</v>
      </c>
      <c r="H1346" s="17" t="str">
        <f>VLOOKUP(Main_Presentation[[#This Row],[LC Number]],Main_Issuance[],17,0)</f>
        <v>Credit</v>
      </c>
      <c r="I1346" s="17" t="str">
        <f>VLOOKUP(Main_Presentation[[#This Row],[LC Number]],Main_Issuance[],7,0)</f>
        <v>ALFANAR ELECTRICAL SYSTEMS</v>
      </c>
      <c r="J1346" s="17" t="str">
        <f>VLOOKUP(Main_Presentation[[#This Row],[LC Number]],Main_Issuance[],8,0)</f>
        <v>FIRST FIX</v>
      </c>
      <c r="K1346" s="17" t="str">
        <f>VLOOKUP(Main_Presentation[[#This Row],[LC Number]],Main_Issuance[],9,0)</f>
        <v>KSP</v>
      </c>
      <c r="L1346" s="17">
        <f>VLOOKUP(Main_Presentation[[#This Row],[LC Number]],Main_Issuance[],10,0)</f>
        <v>1020055</v>
      </c>
      <c r="M1346" s="17" t="str">
        <f>VLOOKUP(Main_Presentation[[#This Row],[LC Number]],Main_Issuance[],11,0)</f>
        <v>SAR</v>
      </c>
      <c r="N1346" s="84">
        <f>VLOOKUP(Main_Presentation[[#This Row],[LC Number]],Main_Issuance[],12,0)</f>
        <v>1539808.94</v>
      </c>
      <c r="O1346" s="16" t="s">
        <v>20</v>
      </c>
      <c r="P1346" s="16" t="s">
        <v>378</v>
      </c>
      <c r="Q1346" s="218">
        <v>51889.25</v>
      </c>
      <c r="R1346" s="18">
        <v>1</v>
      </c>
      <c r="S1346" s="18">
        <f>Main_Presentation[[#This Row],[Invoice Amt (FCY)]]*Main_Presentation[[#This Row],[Rate]]</f>
        <v>51889.25</v>
      </c>
      <c r="T1346" s="15">
        <v>46106</v>
      </c>
      <c r="U1346" s="26" t="str">
        <f>VLOOKUP(Main_Presentation[[#This Row],[LC Number]],Main_Issuance[],18,0)</f>
        <v>120 Days from Invoice Date</v>
      </c>
      <c r="V1346" s="249" t="s">
        <v>613</v>
      </c>
      <c r="W1346" s="22" t="s">
        <v>378</v>
      </c>
      <c r="X1346" s="217"/>
      <c r="Y1346" s="234" t="str">
        <f>TRIM(LEFT(Main_Presentation[[#This Row],[Payment Terms]],3))</f>
        <v>120</v>
      </c>
      <c r="Z1346" s="16"/>
      <c r="AA1346" s="316" cm="1">
        <f t="array" ref="AA1346">Settlement(Main_Presentation[[#This Row],[Bank]],Main_Presentation[[#This Row],[ Invoice Amt (SAR)]],Main_Presentation[[#This Row],[Date Recd]],Main_Presentation[[#This Row],[Due Date]],Main_Presentation[[#This Row],[Days]])</f>
        <v>655.5</v>
      </c>
      <c r="AB1346" s="16"/>
    </row>
    <row r="1347" spans="1:28" ht="15.75" hidden="1" x14ac:dyDescent="0.25">
      <c r="A1347" s="226" t="s">
        <v>1875</v>
      </c>
      <c r="B1347" s="227">
        <v>46005</v>
      </c>
      <c r="C1347" s="243">
        <v>1</v>
      </c>
      <c r="D1347" s="228" t="str">
        <f>VLOOKUP(Main_Presentation[[#This Row],[LC Number]],Main_Issuance[],3,0)</f>
        <v>Hassan Taleb</v>
      </c>
      <c r="E1347" s="217" t="s">
        <v>856</v>
      </c>
      <c r="F1347" s="244" t="str">
        <f>VLOOKUP(Main_Presentation[[#This Row],[LC Number]],Main_Issuance[],5,0)</f>
        <v>SAB</v>
      </c>
      <c r="G1347" s="244" t="str">
        <f>VLOOKUP(Main_Presentation[[#This Row],[LC Number]],Main_Issuance[],6,0)</f>
        <v>MP1</v>
      </c>
      <c r="H1347" s="244" t="str">
        <f>VLOOKUP(Main_Presentation[[#This Row],[LC Number]],Main_Issuance[],17,0)</f>
        <v>Credit</v>
      </c>
      <c r="I1347" s="244" t="str">
        <f>VLOOKUP(Main_Presentation[[#This Row],[LC Number]],Main_Issuance[],7,0)</f>
        <v>Power Center Company for Industries LLC</v>
      </c>
      <c r="J1347" s="244" t="str">
        <f>VLOOKUP(Main_Presentation[[#This Row],[LC Number]],Main_Issuance[],8,0)</f>
        <v>FIRST FIX</v>
      </c>
      <c r="K1347" s="244" t="str">
        <f>VLOOKUP(Main_Presentation[[#This Row],[LC Number]],Main_Issuance[],9,0)</f>
        <v>MP1</v>
      </c>
      <c r="L1347" s="244">
        <f>VLOOKUP(Main_Presentation[[#This Row],[LC Number]],Main_Issuance[],10,0)</f>
        <v>1020088</v>
      </c>
      <c r="M1347" s="244" t="str">
        <f>VLOOKUP(Main_Presentation[[#This Row],[LC Number]],Main_Issuance[],11,0)</f>
        <v>SAR</v>
      </c>
      <c r="N1347" s="245">
        <f>VLOOKUP(Main_Presentation[[#This Row],[LC Number]],Main_Issuance[],12,0)</f>
        <v>2000000</v>
      </c>
      <c r="O1347" s="217" t="s">
        <v>20</v>
      </c>
      <c r="P1347" s="217" t="s">
        <v>378</v>
      </c>
      <c r="Q1347" s="218">
        <v>2000000</v>
      </c>
      <c r="R1347" s="218">
        <v>1</v>
      </c>
      <c r="S1347" s="218">
        <f>Main_Presentation[[#This Row],[Invoice Amt (FCY)]]*Main_Presentation[[#This Row],[Rate]]</f>
        <v>2000000</v>
      </c>
      <c r="T1347" s="227">
        <v>46110</v>
      </c>
      <c r="U1347" s="243" t="str">
        <f>VLOOKUP(Main_Presentation[[#This Row],[LC Number]],Main_Issuance[],18,0)</f>
        <v>120 Days from Invoice Date</v>
      </c>
      <c r="V1347" s="249" t="s">
        <v>710</v>
      </c>
      <c r="W1347" s="229" t="s">
        <v>857</v>
      </c>
      <c r="X1347" s="16"/>
      <c r="Y1347" s="399" t="str">
        <f>TRIM(LEFT(Main_Presentation[[#This Row],[Payment Terms]],3))</f>
        <v>120</v>
      </c>
      <c r="Z1347" s="217"/>
      <c r="AA1347" s="316" cm="1">
        <f t="array" ref="AA1347">Settlement(Main_Presentation[[#This Row],[Bank]],Main_Presentation[[#This Row],[ Invoice Amt (SAR)]],Main_Presentation[[#This Row],[Date Recd]],Main_Presentation[[#This Row],[Due Date]],Main_Presentation[[#This Row],[Days]])</f>
        <v>8625</v>
      </c>
      <c r="AB1347" s="217"/>
    </row>
    <row r="1348" spans="1:28" ht="15.75" hidden="1" x14ac:dyDescent="0.25">
      <c r="A1348" s="226" t="s">
        <v>1767</v>
      </c>
      <c r="B1348" s="227">
        <v>45991</v>
      </c>
      <c r="C1348" s="243">
        <v>2</v>
      </c>
      <c r="D1348" s="228" t="str">
        <f>VLOOKUP(Main_Presentation[[#This Row],[LC Number]],Main_Issuance[],3,0)</f>
        <v>Rabih Makhoul</v>
      </c>
      <c r="E1348" s="217" t="s">
        <v>856</v>
      </c>
      <c r="F1348" s="244" t="str">
        <f>VLOOKUP(Main_Presentation[[#This Row],[LC Number]],Main_Issuance[],5,0)</f>
        <v>Alinma</v>
      </c>
      <c r="G1348" s="244" t="str">
        <f>VLOOKUP(Main_Presentation[[#This Row],[LC Number]],Main_Issuance[],6,0)</f>
        <v>KSP</v>
      </c>
      <c r="H1348" s="244" t="str">
        <f>VLOOKUP(Main_Presentation[[#This Row],[LC Number]],Main_Issuance[],17,0)</f>
        <v>Credit</v>
      </c>
      <c r="I1348" s="244" t="str">
        <f>VLOOKUP(Main_Presentation[[#This Row],[LC Number]],Main_Issuance[],7,0)</f>
        <v>Al Arabia Construction &amp; Building Co.</v>
      </c>
      <c r="J1348" s="244" t="str">
        <f>VLOOKUP(Main_Presentation[[#This Row],[LC Number]],Main_Issuance[],8,0)</f>
        <v>MBL</v>
      </c>
      <c r="K1348" s="244" t="str">
        <f>VLOOKUP(Main_Presentation[[#This Row],[LC Number]],Main_Issuance[],9,0)</f>
        <v>Rabigh Power Plant</v>
      </c>
      <c r="L1348" s="244">
        <f>VLOOKUP(Main_Presentation[[#This Row],[LC Number]],Main_Issuance[],10,0)</f>
        <v>1020107</v>
      </c>
      <c r="M1348" s="244" t="str">
        <f>VLOOKUP(Main_Presentation[[#This Row],[LC Number]],Main_Issuance[],11,0)</f>
        <v>SAR</v>
      </c>
      <c r="N1348" s="245">
        <f>VLOOKUP(Main_Presentation[[#This Row],[LC Number]],Main_Issuance[],12,0)</f>
        <v>3009600</v>
      </c>
      <c r="O1348" s="217" t="s">
        <v>20</v>
      </c>
      <c r="P1348" s="217" t="s">
        <v>857</v>
      </c>
      <c r="Q1348" s="218">
        <v>272312.64</v>
      </c>
      <c r="R1348" s="218">
        <v>1</v>
      </c>
      <c r="S1348" s="218">
        <f>Main_Presentation[[#This Row],[Invoice Amt (FCY)]]*Main_Presentation[[#This Row],[Rate]]</f>
        <v>272312.64</v>
      </c>
      <c r="T1348" s="227">
        <v>45993</v>
      </c>
      <c r="U1348" s="243" t="str">
        <f>VLOOKUP(Main_Presentation[[#This Row],[LC Number]],Main_Issuance[],18,0)</f>
        <v>45 Days from the Invoice Date</v>
      </c>
      <c r="V1348" s="233" t="s">
        <v>304</v>
      </c>
      <c r="W1348" s="229" t="s">
        <v>378</v>
      </c>
      <c r="X1348" s="217"/>
      <c r="Y1348" s="399" t="str">
        <f>TRIM(LEFT(Main_Presentation[[#This Row],[Payment Terms]],3))</f>
        <v>45</v>
      </c>
      <c r="Z1348" s="217"/>
      <c r="AA1348" s="316" cm="1">
        <f t="array" ref="AA1348">Settlement(Main_Presentation[[#This Row],[Bank]],Main_Presentation[[#This Row],[ Invoice Amt (SAR)]],Main_Presentation[[#This Row],[Date Recd]],Main_Presentation[[#This Row],[Due Date]],Main_Presentation[[#This Row],[Days]])</f>
        <v>1437.5</v>
      </c>
      <c r="AB1348" s="217"/>
    </row>
    <row r="1349" spans="1:28" ht="15.75" hidden="1" x14ac:dyDescent="0.25">
      <c r="A1349" s="226" t="s">
        <v>1428</v>
      </c>
      <c r="B1349" s="227">
        <v>46008</v>
      </c>
      <c r="C1349" s="243">
        <v>1</v>
      </c>
      <c r="D1349" s="228" t="str">
        <f>VLOOKUP(Main_Presentation[[#This Row],[LC Number]],Main_Issuance[],3,0)</f>
        <v>Hassan Taleb</v>
      </c>
      <c r="E1349" s="217" t="s">
        <v>858</v>
      </c>
      <c r="F1349" s="244" t="str">
        <f>VLOOKUP(Main_Presentation[[#This Row],[LC Number]],Main_Issuance[],5,0)</f>
        <v>Alinma</v>
      </c>
      <c r="G1349" s="244" t="str">
        <f>VLOOKUP(Main_Presentation[[#This Row],[LC Number]],Main_Issuance[],6,0)</f>
        <v>KSP</v>
      </c>
      <c r="H1349" s="244" t="str">
        <f>VLOOKUP(Main_Presentation[[#This Row],[LC Number]],Main_Issuance[],17,0)</f>
        <v>Credit</v>
      </c>
      <c r="I1349" s="244" t="str">
        <f>VLOOKUP(Main_Presentation[[#This Row],[LC Number]],Main_Issuance[],7,0)</f>
        <v>DAR-AL MAWARED TRADING CO.</v>
      </c>
      <c r="J1349" s="244" t="str">
        <f>VLOOKUP(Main_Presentation[[#This Row],[LC Number]],Main_Issuance[],8,0)</f>
        <v>FIRST FIX</v>
      </c>
      <c r="K1349" s="244" t="str">
        <f>VLOOKUP(Main_Presentation[[#This Row],[LC Number]],Main_Issuance[],9,0)</f>
        <v>KSP</v>
      </c>
      <c r="L1349" s="244">
        <f>VLOOKUP(Main_Presentation[[#This Row],[LC Number]],Main_Issuance[],10,0)</f>
        <v>1020055</v>
      </c>
      <c r="M1349" s="244" t="str">
        <f>VLOOKUP(Main_Presentation[[#This Row],[LC Number]],Main_Issuance[],11,0)</f>
        <v>SAR</v>
      </c>
      <c r="N1349" s="245">
        <f>VLOOKUP(Main_Presentation[[#This Row],[LC Number]],Main_Issuance[],12,0)</f>
        <v>120438.35</v>
      </c>
      <c r="O1349" s="217" t="s">
        <v>20</v>
      </c>
      <c r="P1349" s="217" t="s">
        <v>857</v>
      </c>
      <c r="Q1349" s="218">
        <v>120438.35</v>
      </c>
      <c r="R1349" s="218">
        <v>1</v>
      </c>
      <c r="S1349" s="218">
        <f>Main_Presentation[[#This Row],[Invoice Amt (FCY)]]*Main_Presentation[[#This Row],[Rate]]</f>
        <v>120438.35</v>
      </c>
      <c r="T1349" s="227">
        <v>46114</v>
      </c>
      <c r="U1349" s="243" t="str">
        <f>VLOOKUP(Main_Presentation[[#This Row],[LC Number]],Main_Issuance[],18,0)</f>
        <v>120 Days from Invoice Date</v>
      </c>
      <c r="V1349" s="233" t="s">
        <v>22</v>
      </c>
      <c r="W1349" s="229" t="s">
        <v>857</v>
      </c>
      <c r="X1349" s="217"/>
      <c r="Y1349" s="399" t="str">
        <f>TRIM(LEFT(Main_Presentation[[#This Row],[Payment Terms]],3))</f>
        <v>120</v>
      </c>
      <c r="Z1349" s="217"/>
      <c r="AA1349" s="316" cm="1">
        <f t="array" ref="AA1349">Settlement(Main_Presentation[[#This Row],[Bank]],Main_Presentation[[#This Row],[ Invoice Amt (SAR)]],Main_Presentation[[#This Row],[Date Recd]],Main_Presentation[[#This Row],[Due Date]],Main_Presentation[[#This Row],[Days]])</f>
        <v>1437.5</v>
      </c>
      <c r="AB1349" s="217"/>
    </row>
    <row r="1350" spans="1:28" ht="15.75" hidden="1" x14ac:dyDescent="0.25">
      <c r="A1350" s="226" t="s">
        <v>1451</v>
      </c>
      <c r="B1350" s="227">
        <v>46013</v>
      </c>
      <c r="C1350" s="243">
        <v>1</v>
      </c>
      <c r="D1350" s="228" t="str">
        <f>VLOOKUP(Main_Presentation[[#This Row],[LC Number]],Main_Issuance[],3,0)</f>
        <v>Justin Xavier</v>
      </c>
      <c r="E1350" s="217" t="s">
        <v>856</v>
      </c>
      <c r="F1350" s="244" t="str">
        <f>VLOOKUP(Main_Presentation[[#This Row],[LC Number]],Main_Issuance[],5,0)</f>
        <v>SNB</v>
      </c>
      <c r="G1350" s="244" t="str">
        <f>VLOOKUP(Main_Presentation[[#This Row],[LC Number]],Main_Issuance[],6,0)</f>
        <v>Opera House</v>
      </c>
      <c r="H1350" s="244" t="str">
        <f>VLOOKUP(Main_Presentation[[#This Row],[LC Number]],Main_Issuance[],17,0)</f>
        <v>Credit</v>
      </c>
      <c r="I1350" s="244" t="str">
        <f>VLOOKUP(Main_Presentation[[#This Row],[LC Number]],Main_Issuance[],7,0)</f>
        <v>APTEC SAUDI ARABIA</v>
      </c>
      <c r="J1350" s="244" t="str">
        <f>VLOOKUP(Main_Presentation[[#This Row],[LC Number]],Main_Issuance[],8,0)</f>
        <v>ICAD</v>
      </c>
      <c r="K1350" s="244" t="str">
        <f>VLOOKUP(Main_Presentation[[#This Row],[LC Number]],Main_Issuance[],9,0)</f>
        <v>ADF</v>
      </c>
      <c r="L1350" s="244">
        <f>VLOOKUP(Main_Presentation[[#This Row],[LC Number]],Main_Issuance[],10,0)</f>
        <v>1020001</v>
      </c>
      <c r="M1350" s="244" t="str">
        <f>VLOOKUP(Main_Presentation[[#This Row],[LC Number]],Main_Issuance[],11,0)</f>
        <v>SAR</v>
      </c>
      <c r="N1350" s="245">
        <f>VLOOKUP(Main_Presentation[[#This Row],[LC Number]],Main_Issuance[],12,0)</f>
        <v>8632232.3800000008</v>
      </c>
      <c r="O1350" s="217" t="s">
        <v>20</v>
      </c>
      <c r="P1350" s="217" t="s">
        <v>378</v>
      </c>
      <c r="Q1350" s="218">
        <v>6019158.46</v>
      </c>
      <c r="R1350" s="218">
        <v>1</v>
      </c>
      <c r="S1350" s="218">
        <f>Main_Presentation[[#This Row],[Invoice Amt (FCY)]]*Main_Presentation[[#This Row],[Rate]]</f>
        <v>6019158.46</v>
      </c>
      <c r="T1350" s="227">
        <v>46019</v>
      </c>
      <c r="U1350" s="243" t="str">
        <f>VLOOKUP(Main_Presentation[[#This Row],[LC Number]],Main_Issuance[],18,0)</f>
        <v>60 Days from Invoice Date</v>
      </c>
      <c r="V1350" s="233" t="s">
        <v>90</v>
      </c>
      <c r="W1350" s="229" t="s">
        <v>857</v>
      </c>
      <c r="X1350" s="217"/>
      <c r="Y1350" s="399" t="str">
        <f>TRIM(LEFT(Main_Presentation[[#This Row],[Payment Terms]],3))</f>
        <v>60</v>
      </c>
      <c r="Z1350" s="217"/>
      <c r="AA1350" s="316" cm="1">
        <f t="array" ref="AA1350">Settlement(Main_Presentation[[#This Row],[Bank]],Main_Presentation[[#This Row],[ Invoice Amt (SAR)]],Main_Presentation[[#This Row],[Date Recd]],Main_Presentation[[#This Row],[Due Date]],Main_Presentation[[#This Row],[Days]])</f>
        <v>655.5</v>
      </c>
      <c r="AB1350" s="217"/>
    </row>
    <row r="1351" spans="1:28" ht="15.75" hidden="1" x14ac:dyDescent="0.25">
      <c r="A1351" s="226" t="s">
        <v>1811</v>
      </c>
      <c r="B1351" s="227">
        <v>46023</v>
      </c>
      <c r="C1351" s="243">
        <v>2</v>
      </c>
      <c r="D1351" s="228" t="str">
        <f>VLOOKUP(Main_Presentation[[#This Row],[LC Number]],Main_Issuance[],3,0)</f>
        <v>Mohammed Kotb</v>
      </c>
      <c r="E1351" s="217" t="s">
        <v>856</v>
      </c>
      <c r="F1351" s="244" t="str">
        <f>VLOOKUP(Main_Presentation[[#This Row],[LC Number]],Main_Issuance[],5,0)</f>
        <v>SAB</v>
      </c>
      <c r="G1351" s="244" t="str">
        <f>VLOOKUP(Main_Presentation[[#This Row],[LC Number]],Main_Issuance[],6,0)</f>
        <v>MP1</v>
      </c>
      <c r="H1351" s="244" t="str">
        <f>VLOOKUP(Main_Presentation[[#This Row],[LC Number]],Main_Issuance[],17,0)</f>
        <v>Credit</v>
      </c>
      <c r="I1351" s="244" t="str">
        <f>VLOOKUP(Main_Presentation[[#This Row],[LC Number]],Main_Issuance[],7,0)</f>
        <v>AL-TAYYAR AL-HAQIQI COMMERCIAL CO.</v>
      </c>
      <c r="J1351" s="244" t="str">
        <f>VLOOKUP(Main_Presentation[[#This Row],[LC Number]],Main_Issuance[],8,0)</f>
        <v>MBL/ICAD</v>
      </c>
      <c r="K1351" s="244" t="str">
        <f>VLOOKUP(Main_Presentation[[#This Row],[LC Number]],Main_Issuance[],9,0)</f>
        <v>ABHA</v>
      </c>
      <c r="L1351" s="244">
        <f>VLOOKUP(Main_Presentation[[#This Row],[LC Number]],Main_Issuance[],10,0)</f>
        <v>1020070</v>
      </c>
      <c r="M1351" s="244" t="str">
        <f>VLOOKUP(Main_Presentation[[#This Row],[LC Number]],Main_Issuance[],11,0)</f>
        <v>SAR</v>
      </c>
      <c r="N1351" s="245">
        <f>VLOOKUP(Main_Presentation[[#This Row],[LC Number]],Main_Issuance[],12,0)</f>
        <v>5193136.82</v>
      </c>
      <c r="O1351" s="217" t="s">
        <v>20</v>
      </c>
      <c r="P1351" s="217" t="s">
        <v>857</v>
      </c>
      <c r="Q1351" s="218">
        <v>2772611.82</v>
      </c>
      <c r="R1351" s="218">
        <v>1</v>
      </c>
      <c r="S1351" s="218">
        <f>Main_Presentation[[#This Row],[Invoice Amt (FCY)]]*Main_Presentation[[#This Row],[Rate]]</f>
        <v>2772611.82</v>
      </c>
      <c r="T1351" s="227">
        <v>46054</v>
      </c>
      <c r="U1351" s="243" t="str">
        <f>VLOOKUP(Main_Presentation[[#This Row],[LC Number]],Main_Issuance[],18,0)</f>
        <v>60 Days from Date of Delivery</v>
      </c>
      <c r="V1351" s="233" t="s">
        <v>613</v>
      </c>
      <c r="W1351" s="229" t="s">
        <v>378</v>
      </c>
      <c r="X1351" s="217"/>
      <c r="Y1351" s="399" t="str">
        <f>TRIM(LEFT(Main_Presentation[[#This Row],[Payment Terms]],3))</f>
        <v>60</v>
      </c>
      <c r="Z1351" s="217"/>
      <c r="AA1351" s="316" cm="1">
        <f t="array" ref="AA1351">Settlement(Main_Presentation[[#This Row],[Bank]],Main_Presentation[[#This Row],[ Invoice Amt (SAR)]],Main_Presentation[[#This Row],[Date Recd]],Main_Presentation[[#This Row],[Due Date]],Main_Presentation[[#This Row],[Days]])</f>
        <v>11956.55</v>
      </c>
      <c r="AB1351" s="217"/>
    </row>
    <row r="1352" spans="1:28" ht="15.75" hidden="1" x14ac:dyDescent="0.25">
      <c r="A1352" s="226" t="s">
        <v>1834</v>
      </c>
      <c r="B1352" s="227">
        <v>45999</v>
      </c>
      <c r="C1352" s="243">
        <v>2</v>
      </c>
      <c r="D1352" s="228" t="str">
        <f>VLOOKUP(Main_Presentation[[#This Row],[LC Number]],Main_Issuance[],3,0)</f>
        <v>Luis Puente</v>
      </c>
      <c r="E1352" s="217" t="s">
        <v>858</v>
      </c>
      <c r="F1352" s="244" t="str">
        <f>VLOOKUP(Main_Presentation[[#This Row],[LC Number]],Main_Issuance[],5,0)</f>
        <v>Riyad</v>
      </c>
      <c r="G1352" s="244" t="str">
        <f>VLOOKUP(Main_Presentation[[#This Row],[LC Number]],Main_Issuance[],6,0)</f>
        <v>Oceanarium</v>
      </c>
      <c r="H1352" s="244" t="str">
        <f>VLOOKUP(Main_Presentation[[#This Row],[LC Number]],Main_Issuance[],17,0)</f>
        <v>Credit</v>
      </c>
      <c r="I1352" s="244" t="str">
        <f>VLOOKUP(Main_Presentation[[#This Row],[LC Number]],Main_Issuance[],7,0)</f>
        <v>Jiangsu Donchamp New Materials Technology Co.Ltd.</v>
      </c>
      <c r="J1352" s="244" t="str">
        <f>VLOOKUP(Main_Presentation[[#This Row],[LC Number]],Main_Issuance[],8,0)</f>
        <v>MBL</v>
      </c>
      <c r="K1352" s="244" t="str">
        <f>VLOOKUP(Main_Presentation[[#This Row],[LC Number]],Main_Issuance[],9,0)</f>
        <v>Oceanarium</v>
      </c>
      <c r="L1352" s="244">
        <f>VLOOKUP(Main_Presentation[[#This Row],[LC Number]],Main_Issuance[],10,0)</f>
        <v>1020096</v>
      </c>
      <c r="M1352" s="244" t="str">
        <f>VLOOKUP(Main_Presentation[[#This Row],[LC Number]],Main_Issuance[],11,0)</f>
        <v>USD</v>
      </c>
      <c r="N1352" s="245">
        <f>VLOOKUP(Main_Presentation[[#This Row],[LC Number]],Main_Issuance[],12,0)</f>
        <v>7339154</v>
      </c>
      <c r="O1352" s="217" t="s">
        <v>20</v>
      </c>
      <c r="P1352" s="217" t="s">
        <v>857</v>
      </c>
      <c r="Q1352" s="218">
        <v>4469041.34</v>
      </c>
      <c r="R1352" s="218">
        <v>3.762</v>
      </c>
      <c r="S1352" s="218">
        <f>Main_Presentation[[#This Row],[Invoice Amt (FCY)]]*Main_Presentation[[#This Row],[Rate]]</f>
        <v>16812533.521079998</v>
      </c>
      <c r="T1352" s="227">
        <v>46009</v>
      </c>
      <c r="U1352" s="243" t="str">
        <f>VLOOKUP(Main_Presentation[[#This Row],[LC Number]],Main_Issuance[],18,0)</f>
        <v>45 Days from Invoice Date / Sight</v>
      </c>
      <c r="V1352" s="21" t="s">
        <v>483</v>
      </c>
      <c r="W1352" s="229" t="s">
        <v>378</v>
      </c>
      <c r="X1352" s="217" t="s">
        <v>3143</v>
      </c>
      <c r="Y1352" s="399" t="str">
        <f>TRIM(LEFT(Main_Presentation[[#This Row],[Payment Terms]],3))</f>
        <v>45</v>
      </c>
      <c r="Z1352" s="217"/>
      <c r="AA1352" s="316" cm="1">
        <f t="array" ref="AA1352">Settlement(Main_Presentation[[#This Row],[Bank]],Main_Presentation[[#This Row],[ Invoice Amt (SAR)]],Main_Presentation[[#This Row],[Date Recd]],Main_Presentation[[#This Row],[Due Date]],Main_Presentation[[#This Row],[Days]])</f>
        <v>230</v>
      </c>
      <c r="AB1352" s="217"/>
    </row>
    <row r="1353" spans="1:28" ht="15.75" hidden="1" x14ac:dyDescent="0.25">
      <c r="A1353" s="226" t="s">
        <v>1810</v>
      </c>
      <c r="B1353" s="227">
        <v>46002</v>
      </c>
      <c r="C1353" s="243">
        <v>3</v>
      </c>
      <c r="D1353" s="228" t="str">
        <f>VLOOKUP(Main_Presentation[[#This Row],[LC Number]],Main_Issuance[],3,0)</f>
        <v>AbdulAziz Eraiba Fawzi</v>
      </c>
      <c r="E1353" s="217" t="s">
        <v>856</v>
      </c>
      <c r="F1353" s="244" t="str">
        <f>VLOOKUP(Main_Presentation[[#This Row],[LC Number]],Main_Issuance[],5,0)</f>
        <v>Jazira</v>
      </c>
      <c r="G1353" s="244" t="str">
        <f>VLOOKUP(Main_Presentation[[#This Row],[LC Number]],Main_Issuance[],6,0)</f>
        <v>RCRC</v>
      </c>
      <c r="H1353" s="244" t="str">
        <f>VLOOKUP(Main_Presentation[[#This Row],[LC Number]],Main_Issuance[],17,0)</f>
        <v>Credit</v>
      </c>
      <c r="I1353" s="244" t="str">
        <f>VLOOKUP(Main_Presentation[[#This Row],[LC Number]],Main_Issuance[],7,0)</f>
        <v>AL FALWA CO. LTD. FOR READYMIX CONCRETE</v>
      </c>
      <c r="J1353" s="244" t="str">
        <f>VLOOKUP(Main_Presentation[[#This Row],[LC Number]],Main_Issuance[],8,0)</f>
        <v>MBL</v>
      </c>
      <c r="K1353" s="244" t="str">
        <f>VLOOKUP(Main_Presentation[[#This Row],[LC Number]],Main_Issuance[],9,0)</f>
        <v>RCRC</v>
      </c>
      <c r="L1353" s="244">
        <f>VLOOKUP(Main_Presentation[[#This Row],[LC Number]],Main_Issuance[],10,0)</f>
        <v>1020106</v>
      </c>
      <c r="M1353" s="244" t="str">
        <f>VLOOKUP(Main_Presentation[[#This Row],[LC Number]],Main_Issuance[],11,0)</f>
        <v>SAR</v>
      </c>
      <c r="N1353" s="245">
        <f>VLOOKUP(Main_Presentation[[#This Row],[LC Number]],Main_Issuance[],12,0)</f>
        <v>10000000</v>
      </c>
      <c r="O1353" s="217" t="s">
        <v>20</v>
      </c>
      <c r="P1353" s="217" t="s">
        <v>378</v>
      </c>
      <c r="Q1353" s="218">
        <v>253366.85</v>
      </c>
      <c r="R1353" s="218">
        <v>1</v>
      </c>
      <c r="S1353" s="218">
        <f>Main_Presentation[[#This Row],[Invoice Amt (FCY)]]*Main_Presentation[[#This Row],[Rate]]</f>
        <v>253366.85</v>
      </c>
      <c r="T1353" s="227">
        <v>46029</v>
      </c>
      <c r="U1353" s="243" t="str">
        <f>VLOOKUP(Main_Presentation[[#This Row],[LC Number]],Main_Issuance[],18,0)</f>
        <v>60 Days from Invoice Date</v>
      </c>
      <c r="V1353" s="21" t="s">
        <v>483</v>
      </c>
      <c r="W1353" s="229" t="s">
        <v>378</v>
      </c>
      <c r="X1353" s="217"/>
      <c r="Y1353" s="399" t="str">
        <f>TRIM(LEFT(Main_Presentation[[#This Row],[Payment Terms]],3))</f>
        <v>60</v>
      </c>
      <c r="Z1353" s="217"/>
      <c r="AA1353" s="316" cm="1">
        <f t="array" ref="AA1353">Settlement(Main_Presentation[[#This Row],[Bank]],Main_Presentation[[#This Row],[ Invoice Amt (SAR)]],Main_Presentation[[#This Row],[Date Recd]],Main_Presentation[[#This Row],[Due Date]],Main_Presentation[[#This Row],[Days]])</f>
        <v>977.5</v>
      </c>
      <c r="AB1353" s="217"/>
    </row>
    <row r="1354" spans="1:28" ht="15.75" hidden="1" x14ac:dyDescent="0.25">
      <c r="A1354" s="226" t="s">
        <v>2569</v>
      </c>
      <c r="B1354" s="227">
        <v>46008</v>
      </c>
      <c r="C1354" s="243">
        <v>3</v>
      </c>
      <c r="D1354" s="228" t="str">
        <f>VLOOKUP(Main_Presentation[[#This Row],[LC Number]],Main_Issuance[],3,0)</f>
        <v>Mohammed Atef</v>
      </c>
      <c r="E1354" s="217" t="s">
        <v>858</v>
      </c>
      <c r="F1354" s="244" t="str">
        <f>VLOOKUP(Main_Presentation[[#This Row],[LC Number]],Main_Issuance[],5,0)</f>
        <v>Alinma</v>
      </c>
      <c r="G1354" s="244" t="str">
        <f>VLOOKUP(Main_Presentation[[#This Row],[LC Number]],Main_Issuance[],6,0)</f>
        <v>KSP</v>
      </c>
      <c r="H1354" s="244" t="str">
        <f>VLOOKUP(Main_Presentation[[#This Row],[LC Number]],Main_Issuance[],17,0)</f>
        <v>Credit</v>
      </c>
      <c r="I1354" s="244" t="str">
        <f>VLOOKUP(Main_Presentation[[#This Row],[LC Number]],Main_Issuance[],7,0)</f>
        <v>Hamada Decoration Company</v>
      </c>
      <c r="J1354" s="244" t="str">
        <f>VLOOKUP(Main_Presentation[[#This Row],[LC Number]],Main_Issuance[],8,0)</f>
        <v>MBL</v>
      </c>
      <c r="K1354" s="244" t="str">
        <f>VLOOKUP(Main_Presentation[[#This Row],[LC Number]],Main_Issuance[],9,0)</f>
        <v>ADF</v>
      </c>
      <c r="L1354" s="244">
        <f>VLOOKUP(Main_Presentation[[#This Row],[LC Number]],Main_Issuance[],10,0)</f>
        <v>1020001</v>
      </c>
      <c r="M1354" s="244" t="str">
        <f>VLOOKUP(Main_Presentation[[#This Row],[LC Number]],Main_Issuance[],11,0)</f>
        <v>SAR</v>
      </c>
      <c r="N1354" s="245">
        <f>VLOOKUP(Main_Presentation[[#This Row],[LC Number]],Main_Issuance[],12,0)</f>
        <v>94000000</v>
      </c>
      <c r="O1354" s="217" t="s">
        <v>20</v>
      </c>
      <c r="P1354" s="217" t="s">
        <v>857</v>
      </c>
      <c r="Q1354" s="218">
        <v>28000000</v>
      </c>
      <c r="R1354" s="218">
        <v>1</v>
      </c>
      <c r="S1354" s="218">
        <f>Main_Presentation[[#This Row],[Invoice Amt (FCY)]]*Main_Presentation[[#This Row],[Rate]]</f>
        <v>28000000</v>
      </c>
      <c r="T1354" s="227">
        <v>46121</v>
      </c>
      <c r="U1354" s="243" t="str">
        <f>VLOOKUP(Main_Presentation[[#This Row],[LC Number]],Main_Issuance[],18,0)</f>
        <v>120 Days from the Invoice Date</v>
      </c>
      <c r="V1354" s="233" t="s">
        <v>22</v>
      </c>
      <c r="W1354" s="229" t="s">
        <v>378</v>
      </c>
      <c r="X1354" s="217"/>
      <c r="Y1354" s="399" t="str">
        <f>TRIM(LEFT(Main_Presentation[[#This Row],[Payment Terms]],3))</f>
        <v>120</v>
      </c>
      <c r="Z1354" s="217"/>
      <c r="AA1354" s="316" cm="1">
        <f t="array" ref="AA1354">Settlement(Main_Presentation[[#This Row],[Bank]],Main_Presentation[[#This Row],[ Invoice Amt (SAR)]],Main_Presentation[[#This Row],[Date Recd]],Main_Presentation[[#This Row],[Due Date]],Main_Presentation[[#This Row],[Days]])</f>
        <v>53667.05</v>
      </c>
      <c r="AB1354" s="217"/>
    </row>
    <row r="1355" spans="1:28" ht="15.75" hidden="1" x14ac:dyDescent="0.25">
      <c r="A1355" s="226" t="s">
        <v>1887</v>
      </c>
      <c r="B1355" s="227">
        <v>46013</v>
      </c>
      <c r="C1355" s="243">
        <v>1</v>
      </c>
      <c r="D1355" s="228" t="str">
        <f>VLOOKUP(Main_Presentation[[#This Row],[LC Number]],Main_Issuance[],3,0)</f>
        <v>Rabih Makhoul</v>
      </c>
      <c r="E1355" s="217" t="s">
        <v>856</v>
      </c>
      <c r="F1355" s="244" t="str">
        <f>VLOOKUP(Main_Presentation[[#This Row],[LC Number]],Main_Issuance[],5,0)</f>
        <v>Alinma</v>
      </c>
      <c r="G1355" s="244" t="str">
        <f>VLOOKUP(Main_Presentation[[#This Row],[LC Number]],Main_Issuance[],6,0)</f>
        <v>KSP</v>
      </c>
      <c r="H1355" s="244" t="str">
        <f>VLOOKUP(Main_Presentation[[#This Row],[LC Number]],Main_Issuance[],17,0)</f>
        <v>Credit</v>
      </c>
      <c r="I1355" s="244" t="str">
        <f>VLOOKUP(Main_Presentation[[#This Row],[LC Number]],Main_Issuance[],7,0)</f>
        <v>Future Pipe Industries LLC</v>
      </c>
      <c r="J1355" s="244" t="str">
        <f>VLOOKUP(Main_Presentation[[#This Row],[LC Number]],Main_Issuance[],8,0)</f>
        <v>MBL</v>
      </c>
      <c r="K1355" s="244" t="str">
        <f>VLOOKUP(Main_Presentation[[#This Row],[LC Number]],Main_Issuance[],9,0)</f>
        <v>Rabigh Power Plant</v>
      </c>
      <c r="L1355" s="244">
        <f>VLOOKUP(Main_Presentation[[#This Row],[LC Number]],Main_Issuance[],10,0)</f>
        <v>1020107</v>
      </c>
      <c r="M1355" s="244" t="str">
        <f>VLOOKUP(Main_Presentation[[#This Row],[LC Number]],Main_Issuance[],11,0)</f>
        <v>SAR</v>
      </c>
      <c r="N1355" s="245">
        <f>VLOOKUP(Main_Presentation[[#This Row],[LC Number]],Main_Issuance[],12,0)</f>
        <v>5308039.3600000003</v>
      </c>
      <c r="O1355" s="217" t="s">
        <v>20</v>
      </c>
      <c r="P1355" s="217" t="s">
        <v>857</v>
      </c>
      <c r="Q1355" s="218">
        <v>1749763.62</v>
      </c>
      <c r="R1355" s="218">
        <v>1</v>
      </c>
      <c r="S1355" s="218">
        <f>Main_Presentation[[#This Row],[Invoice Amt (FCY)]]*Main_Presentation[[#This Row],[Rate]]</f>
        <v>1749763.62</v>
      </c>
      <c r="T1355" s="227">
        <v>46016</v>
      </c>
      <c r="U1355" s="243" t="str">
        <f>VLOOKUP(Main_Presentation[[#This Row],[LC Number]],Main_Issuance[],18,0)</f>
        <v>60 Days From the Delivery Date</v>
      </c>
      <c r="V1355" s="244" t="str">
        <f>VLOOKUP(Main_Presentation[[#This Row],[LC Number]],Main_Issuance[],9,0)</f>
        <v>Rabigh Power Plant</v>
      </c>
      <c r="W1355" s="229" t="s">
        <v>857</v>
      </c>
      <c r="X1355" s="217"/>
      <c r="Y1355" s="399" t="str">
        <f>TRIM(LEFT(Main_Presentation[[#This Row],[Payment Terms]],3))</f>
        <v>60</v>
      </c>
      <c r="Z1355" s="217"/>
      <c r="AA1355" s="316" cm="1">
        <f t="array" ref="AA1355">Settlement(Main_Presentation[[#This Row],[Bank]],Main_Presentation[[#This Row],[ Invoice Amt (SAR)]],Main_Presentation[[#This Row],[Date Recd]],Main_Presentation[[#This Row],[Due Date]],Main_Presentation[[#This Row],[Days]])</f>
        <v>1437.5</v>
      </c>
      <c r="AB1355" s="217"/>
    </row>
    <row r="1356" spans="1:28" ht="15.75" hidden="1" x14ac:dyDescent="0.25">
      <c r="A1356" s="226" t="s">
        <v>1639</v>
      </c>
      <c r="B1356" s="227">
        <v>46012</v>
      </c>
      <c r="C1356" s="243">
        <v>2</v>
      </c>
      <c r="D1356" s="228" t="str">
        <f>VLOOKUP(Main_Presentation[[#This Row],[LC Number]],Main_Issuance[],3,0)</f>
        <v>Rabih Makhoul</v>
      </c>
      <c r="E1356" s="217" t="s">
        <v>856</v>
      </c>
      <c r="F1356" s="244" t="str">
        <f>VLOOKUP(Main_Presentation[[#This Row],[LC Number]],Main_Issuance[],5,0)</f>
        <v>SNB</v>
      </c>
      <c r="G1356" s="244" t="str">
        <f>VLOOKUP(Main_Presentation[[#This Row],[LC Number]],Main_Issuance[],6,0)</f>
        <v>Opera House</v>
      </c>
      <c r="H1356" s="244" t="str">
        <f>VLOOKUP(Main_Presentation[[#This Row],[LC Number]],Main_Issuance[],17,0)</f>
        <v>Credit</v>
      </c>
      <c r="I1356" s="244" t="str">
        <f>VLOOKUP(Main_Presentation[[#This Row],[LC Number]],Main_Issuance[],7,0)</f>
        <v>Mohammed A. Al-Awani Trading</v>
      </c>
      <c r="J1356" s="244" t="str">
        <f>VLOOKUP(Main_Presentation[[#This Row],[LC Number]],Main_Issuance[],8,0)</f>
        <v>MBL</v>
      </c>
      <c r="K1356" s="244" t="str">
        <f>VLOOKUP(Main_Presentation[[#This Row],[LC Number]],Main_Issuance[],9,0)</f>
        <v>Rabigh Power Plant</v>
      </c>
      <c r="L1356" s="244">
        <f>VLOOKUP(Main_Presentation[[#This Row],[LC Number]],Main_Issuance[],10,0)</f>
        <v>1020107</v>
      </c>
      <c r="M1356" s="244" t="str">
        <f>VLOOKUP(Main_Presentation[[#This Row],[LC Number]],Main_Issuance[],11,0)</f>
        <v>SAR</v>
      </c>
      <c r="N1356" s="245">
        <f>VLOOKUP(Main_Presentation[[#This Row],[LC Number]],Main_Issuance[],12,0)</f>
        <v>2826301.05</v>
      </c>
      <c r="O1356" s="217" t="s">
        <v>20</v>
      </c>
      <c r="P1356" s="217" t="s">
        <v>378</v>
      </c>
      <c r="Q1356" s="218">
        <v>488824.87</v>
      </c>
      <c r="R1356" s="218">
        <v>1</v>
      </c>
      <c r="S1356" s="218">
        <f>Main_Presentation[[#This Row],[Invoice Amt (FCY)]]*Main_Presentation[[#This Row],[Rate]]</f>
        <v>488824.87</v>
      </c>
      <c r="T1356" s="227">
        <v>46019</v>
      </c>
      <c r="U1356" s="243" t="str">
        <f>VLOOKUP(Main_Presentation[[#This Row],[LC Number]],Main_Issuance[],18,0)</f>
        <v>45 Days from the Invoice Date</v>
      </c>
      <c r="V1356" s="233" t="s">
        <v>304</v>
      </c>
      <c r="W1356" s="229" t="s">
        <v>378</v>
      </c>
      <c r="X1356" s="217"/>
      <c r="Y1356" s="399" t="str">
        <f>TRIM(LEFT(Main_Presentation[[#This Row],[Payment Terms]],3))</f>
        <v>45</v>
      </c>
      <c r="Z1356" s="217"/>
      <c r="AA1356" s="316" cm="1">
        <f t="array" ref="AA1356">Settlement(Main_Presentation[[#This Row],[Bank]],Main_Presentation[[#This Row],[ Invoice Amt (SAR)]],Main_Presentation[[#This Row],[Date Recd]],Main_Presentation[[#This Row],[Due Date]],Main_Presentation[[#This Row],[Days]])</f>
        <v>655.5</v>
      </c>
      <c r="AB1356" s="217"/>
    </row>
    <row r="1357" spans="1:28" ht="15.75" hidden="1" x14ac:dyDescent="0.25">
      <c r="A1357" s="278" t="s">
        <v>2921</v>
      </c>
      <c r="B1357" s="227">
        <v>46040</v>
      </c>
      <c r="C1357" s="243">
        <v>1</v>
      </c>
      <c r="D1357" s="228" t="str">
        <f>VLOOKUP(Main_Presentation[[#This Row],[LC Number]],Main_Issuance[],3,0)</f>
        <v>Matthew Mckernan</v>
      </c>
      <c r="E1357" s="217" t="s">
        <v>856</v>
      </c>
      <c r="F1357" s="244" t="str">
        <f>VLOOKUP(Main_Presentation[[#This Row],[LC Number]],Main_Issuance[],5,0)</f>
        <v>SNB</v>
      </c>
      <c r="G1357" s="244" t="str">
        <f>VLOOKUP(Main_Presentation[[#This Row],[LC Number]],Main_Issuance[],6,0)</f>
        <v>Opera House</v>
      </c>
      <c r="H1357" s="244" t="str">
        <f>VLOOKUP(Main_Presentation[[#This Row],[LC Number]],Main_Issuance[],17,0)</f>
        <v>Credit</v>
      </c>
      <c r="I1357" s="244" t="str">
        <f>VLOOKUP(Main_Presentation[[#This Row],[LC Number]],Main_Issuance[],7,0)</f>
        <v>Saudi Benaa Company For Building Materials</v>
      </c>
      <c r="J1357" s="244" t="str">
        <f>VLOOKUP(Main_Presentation[[#This Row],[LC Number]],Main_Issuance[],8,0)</f>
        <v>MBL</v>
      </c>
      <c r="K1357" s="244" t="str">
        <f>VLOOKUP(Main_Presentation[[#This Row],[LC Number]],Main_Issuance[],9,0)</f>
        <v>OPERA House</v>
      </c>
      <c r="L1357" s="244">
        <f>VLOOKUP(Main_Presentation[[#This Row],[LC Number]],Main_Issuance[],10,0)</f>
        <v>1020097</v>
      </c>
      <c r="M1357" s="244" t="str">
        <f>VLOOKUP(Main_Presentation[[#This Row],[LC Number]],Main_Issuance[],11,0)</f>
        <v>SAR</v>
      </c>
      <c r="N1357" s="245">
        <f>VLOOKUP(Main_Presentation[[#This Row],[LC Number]],Main_Issuance[],12,0)</f>
        <v>1200600</v>
      </c>
      <c r="O1357" s="217" t="s">
        <v>20</v>
      </c>
      <c r="P1357" s="217" t="s">
        <v>378</v>
      </c>
      <c r="Q1357" s="218">
        <v>1200600</v>
      </c>
      <c r="R1357" s="218">
        <v>1</v>
      </c>
      <c r="S1357" s="218">
        <f>Main_Presentation[[#This Row],[Invoice Amt (FCY)]]*Main_Presentation[[#This Row],[Rate]]</f>
        <v>1200600</v>
      </c>
      <c r="T1357" s="227">
        <v>46097</v>
      </c>
      <c r="U1357" s="243" t="str">
        <f>VLOOKUP(Main_Presentation[[#This Row],[LC Number]],Main_Issuance[],18,0)</f>
        <v>90 Days from Invoice Date</v>
      </c>
      <c r="V1357" s="249" t="s">
        <v>96</v>
      </c>
      <c r="W1357" s="229" t="s">
        <v>857</v>
      </c>
      <c r="X1357" s="217"/>
      <c r="Y1357" s="399" t="str">
        <f>TRIM(LEFT(Main_Presentation[[#This Row],[Payment Terms]],3))</f>
        <v>90</v>
      </c>
      <c r="Z1357" s="217"/>
      <c r="AA1357" s="316" cm="1">
        <f t="array" ref="AA1357">Settlement(Main_Presentation[[#This Row],[Bank]],Main_Presentation[[#This Row],[ Invoice Amt (SAR)]],Main_Presentation[[#This Row],[Date Recd]],Main_Presentation[[#This Row],[Due Date]],Main_Presentation[[#This Row],[Days]])</f>
        <v>5792.55</v>
      </c>
      <c r="AB1357" s="217"/>
    </row>
    <row r="1358" spans="1:28" ht="15.75" hidden="1" x14ac:dyDescent="0.25">
      <c r="A1358" s="20" t="s">
        <v>1400</v>
      </c>
      <c r="B1358" s="15">
        <v>46033</v>
      </c>
      <c r="C1358" s="26">
        <v>1</v>
      </c>
      <c r="D1358" s="55" t="str">
        <f>VLOOKUP(Main_Presentation[[#This Row],[LC Number]],Main_Issuance[],3,0)</f>
        <v>Hassan Taleb</v>
      </c>
      <c r="E1358" s="16" t="s">
        <v>856</v>
      </c>
      <c r="F1358" s="17" t="str">
        <f>VLOOKUP(Main_Presentation[[#This Row],[LC Number]],Main_Issuance[],5,0)</f>
        <v>Alinma</v>
      </c>
      <c r="G1358" s="17" t="str">
        <f>VLOOKUP(Main_Presentation[[#This Row],[LC Number]],Main_Issuance[],6,0)</f>
        <v>KSP</v>
      </c>
      <c r="H1358" s="17" t="str">
        <f>VLOOKUP(Main_Presentation[[#This Row],[LC Number]],Main_Issuance[],17,0)</f>
        <v>Credit</v>
      </c>
      <c r="I1358" s="17" t="str">
        <f>VLOOKUP(Main_Presentation[[#This Row],[LC Number]],Main_Issuance[],7,0)</f>
        <v>ALBYT ALTHAKI TRADING CO</v>
      </c>
      <c r="J1358" s="17" t="str">
        <f>VLOOKUP(Main_Presentation[[#This Row],[LC Number]],Main_Issuance[],8,0)</f>
        <v>FIRST FIX</v>
      </c>
      <c r="K1358" s="17" t="str">
        <f>VLOOKUP(Main_Presentation[[#This Row],[LC Number]],Main_Issuance[],9,0)</f>
        <v>KSP</v>
      </c>
      <c r="L1358" s="17">
        <f>VLOOKUP(Main_Presentation[[#This Row],[LC Number]],Main_Issuance[],10,0)</f>
        <v>1020055</v>
      </c>
      <c r="M1358" s="17" t="str">
        <f>VLOOKUP(Main_Presentation[[#This Row],[LC Number]],Main_Issuance[],11,0)</f>
        <v>SAR</v>
      </c>
      <c r="N1358" s="84">
        <f>VLOOKUP(Main_Presentation[[#This Row],[LC Number]],Main_Issuance[],12,0)</f>
        <v>350000</v>
      </c>
      <c r="O1358" s="16" t="s">
        <v>20</v>
      </c>
      <c r="P1358" s="16" t="s">
        <v>857</v>
      </c>
      <c r="Q1358" s="18">
        <v>350000</v>
      </c>
      <c r="R1358" s="18">
        <v>1</v>
      </c>
      <c r="S1358" s="18">
        <f>Main_Presentation[[#This Row],[Invoice Amt (FCY)]]*Main_Presentation[[#This Row],[Rate]]</f>
        <v>350000</v>
      </c>
      <c r="T1358" s="227">
        <v>46128</v>
      </c>
      <c r="U1358" s="26" t="str">
        <f>VLOOKUP(Main_Presentation[[#This Row],[LC Number]],Main_Issuance[],18,0)</f>
        <v>120 Days from Appl. Representative Sign</v>
      </c>
      <c r="V1358" s="249" t="s">
        <v>22</v>
      </c>
      <c r="W1358" s="22" t="s">
        <v>378</v>
      </c>
      <c r="X1358" s="16"/>
      <c r="Y1358" s="234" t="str">
        <f>TRIM(LEFT(Main_Presentation[[#This Row],[Payment Terms]],3))</f>
        <v>120</v>
      </c>
      <c r="Z1358" s="16"/>
      <c r="AA1358" s="316" cm="1">
        <f t="array" ref="AA1358">Settlement(Main_Presentation[[#This Row],[Bank]],Main_Presentation[[#This Row],[ Invoice Amt (SAR)]],Main_Presentation[[#This Row],[Date Recd]],Main_Presentation[[#This Row],[Due Date]],Main_Presentation[[#This Row],[Days]])</f>
        <v>1437.5</v>
      </c>
      <c r="AB1358" s="16"/>
    </row>
    <row r="1359" spans="1:28" ht="15.75" hidden="1" x14ac:dyDescent="0.25">
      <c r="A1359" s="20" t="s">
        <v>1312</v>
      </c>
      <c r="B1359" s="15">
        <v>46033</v>
      </c>
      <c r="C1359" s="26">
        <v>2</v>
      </c>
      <c r="D1359" s="55" t="str">
        <f>VLOOKUP(Main_Presentation[[#This Row],[LC Number]],Main_Issuance[],3,0)</f>
        <v>Hassan Taleb</v>
      </c>
      <c r="E1359" s="16" t="s">
        <v>856</v>
      </c>
      <c r="F1359" s="17" t="str">
        <f>VLOOKUP(Main_Presentation[[#This Row],[LC Number]],Main_Issuance[],5,0)</f>
        <v>Alinma</v>
      </c>
      <c r="G1359" s="17" t="str">
        <f>VLOOKUP(Main_Presentation[[#This Row],[LC Number]],Main_Issuance[],6,0)</f>
        <v>KSP</v>
      </c>
      <c r="H1359" s="17" t="str">
        <f>VLOOKUP(Main_Presentation[[#This Row],[LC Number]],Main_Issuance[],17,0)</f>
        <v>Credit</v>
      </c>
      <c r="I1359" s="17" t="str">
        <f>VLOOKUP(Main_Presentation[[#This Row],[LC Number]],Main_Issuance[],7,0)</f>
        <v>ALBYT ALTHAKI TRADING CO</v>
      </c>
      <c r="J1359" s="17" t="str">
        <f>VLOOKUP(Main_Presentation[[#This Row],[LC Number]],Main_Issuance[],8,0)</f>
        <v>FIRST FIX</v>
      </c>
      <c r="K1359" s="17" t="str">
        <f>VLOOKUP(Main_Presentation[[#This Row],[LC Number]],Main_Issuance[],9,0)</f>
        <v>KSP</v>
      </c>
      <c r="L1359" s="17">
        <f>VLOOKUP(Main_Presentation[[#This Row],[LC Number]],Main_Issuance[],10,0)</f>
        <v>1020055</v>
      </c>
      <c r="M1359" s="17" t="str">
        <f>VLOOKUP(Main_Presentation[[#This Row],[LC Number]],Main_Issuance[],11,0)</f>
        <v>SAR</v>
      </c>
      <c r="N1359" s="84">
        <f>VLOOKUP(Main_Presentation[[#This Row],[LC Number]],Main_Issuance[],12,0)</f>
        <v>624264.62</v>
      </c>
      <c r="O1359" s="16" t="s">
        <v>20</v>
      </c>
      <c r="P1359" s="16" t="s">
        <v>857</v>
      </c>
      <c r="Q1359" s="18">
        <v>312132.31</v>
      </c>
      <c r="R1359" s="18">
        <v>1</v>
      </c>
      <c r="S1359" s="18">
        <f>Main_Presentation[[#This Row],[Invoice Amt (FCY)]]*Main_Presentation[[#This Row],[Rate]]</f>
        <v>312132.31</v>
      </c>
      <c r="T1359" s="227">
        <v>46128</v>
      </c>
      <c r="U1359" s="26" t="str">
        <f>VLOOKUP(Main_Presentation[[#This Row],[LC Number]],Main_Issuance[],18,0)</f>
        <v>120 Days from Appl. Representative Sign</v>
      </c>
      <c r="V1359" s="249" t="s">
        <v>22</v>
      </c>
      <c r="W1359" s="22" t="s">
        <v>378</v>
      </c>
      <c r="X1359" s="16"/>
      <c r="Y1359" s="234" t="str">
        <f>TRIM(LEFT(Main_Presentation[[#This Row],[Payment Terms]],3))</f>
        <v>120</v>
      </c>
      <c r="Z1359" s="16"/>
      <c r="AA1359" s="316" cm="1">
        <f t="array" ref="AA1359">Settlement(Main_Presentation[[#This Row],[Bank]],Main_Presentation[[#This Row],[ Invoice Amt (SAR)]],Main_Presentation[[#This Row],[Date Recd]],Main_Presentation[[#This Row],[Due Date]],Main_Presentation[[#This Row],[Days]])</f>
        <v>1437.5</v>
      </c>
      <c r="AB1359" s="16"/>
    </row>
    <row r="1360" spans="1:28" ht="15.75" hidden="1" x14ac:dyDescent="0.25">
      <c r="A1360" s="20" t="s">
        <v>1402</v>
      </c>
      <c r="B1360" s="15">
        <v>46062</v>
      </c>
      <c r="C1360" s="26">
        <v>2</v>
      </c>
      <c r="D1360" s="55" t="str">
        <f>VLOOKUP(Main_Presentation[[#This Row],[LC Number]],Main_Issuance[],3,0)</f>
        <v>Hassan Taleb</v>
      </c>
      <c r="E1360" s="16" t="s">
        <v>856</v>
      </c>
      <c r="F1360" s="17" t="str">
        <f>VLOOKUP(Main_Presentation[[#This Row],[LC Number]],Main_Issuance[],5,0)</f>
        <v>Alinma</v>
      </c>
      <c r="G1360" s="17" t="str">
        <f>VLOOKUP(Main_Presentation[[#This Row],[LC Number]],Main_Issuance[],6,0)</f>
        <v>KSP</v>
      </c>
      <c r="H1360" s="17" t="str">
        <f>VLOOKUP(Main_Presentation[[#This Row],[LC Number]],Main_Issuance[],17,0)</f>
        <v>Credit</v>
      </c>
      <c r="I1360" s="17" t="str">
        <f>VLOOKUP(Main_Presentation[[#This Row],[LC Number]],Main_Issuance[],7,0)</f>
        <v>NAJM AL FALAK TRADING CO.</v>
      </c>
      <c r="J1360" s="17" t="str">
        <f>VLOOKUP(Main_Presentation[[#This Row],[LC Number]],Main_Issuance[],8,0)</f>
        <v>FIRST FIX</v>
      </c>
      <c r="K1360" s="17" t="str">
        <f>VLOOKUP(Main_Presentation[[#This Row],[LC Number]],Main_Issuance[],9,0)</f>
        <v>KSP</v>
      </c>
      <c r="L1360" s="17">
        <f>VLOOKUP(Main_Presentation[[#This Row],[LC Number]],Main_Issuance[],10,0)</f>
        <v>1020055</v>
      </c>
      <c r="M1360" s="17" t="str">
        <f>VLOOKUP(Main_Presentation[[#This Row],[LC Number]],Main_Issuance[],11,0)</f>
        <v>SAR</v>
      </c>
      <c r="N1360" s="84">
        <f>VLOOKUP(Main_Presentation[[#This Row],[LC Number]],Main_Issuance[],12,0)</f>
        <v>250000</v>
      </c>
      <c r="O1360" s="16" t="s">
        <v>20</v>
      </c>
      <c r="P1360" s="16" t="s">
        <v>857</v>
      </c>
      <c r="Q1360" s="18">
        <v>87392.960000000006</v>
      </c>
      <c r="R1360" s="18">
        <v>1</v>
      </c>
      <c r="S1360" s="18">
        <f>Main_Presentation[[#This Row],[Invoice Amt (FCY)]]*Main_Presentation[[#This Row],[Rate]]</f>
        <v>87392.960000000006</v>
      </c>
      <c r="T1360" s="227">
        <v>46134</v>
      </c>
      <c r="U1360" s="26" t="str">
        <f>VLOOKUP(Main_Presentation[[#This Row],[LC Number]],Main_Issuance[],18,0)</f>
        <v>120 Days from Appl. Representative Sign</v>
      </c>
      <c r="V1360" s="249" t="s">
        <v>22</v>
      </c>
      <c r="W1360" s="22" t="s">
        <v>857</v>
      </c>
      <c r="X1360" s="16"/>
      <c r="Y1360" s="234" t="str">
        <f>TRIM(LEFT(Main_Presentation[[#This Row],[Payment Terms]],3))</f>
        <v>120</v>
      </c>
      <c r="Z1360" s="16"/>
      <c r="AA1360" s="316" cm="1">
        <f t="array" ref="AA1360">Settlement(Main_Presentation[[#This Row],[Bank]],Main_Presentation[[#This Row],[ Invoice Amt (SAR)]],Main_Presentation[[#This Row],[Date Recd]],Main_Presentation[[#This Row],[Due Date]],Main_Presentation[[#This Row],[Days]])</f>
        <v>1437.5</v>
      </c>
      <c r="AB1360" s="16"/>
    </row>
    <row r="1361" spans="1:28" ht="15.75" hidden="1" x14ac:dyDescent="0.25">
      <c r="A1361" s="226" t="s">
        <v>2903</v>
      </c>
      <c r="B1361" s="227">
        <v>46023</v>
      </c>
      <c r="C1361" s="243">
        <v>1</v>
      </c>
      <c r="D1361" s="228" t="str">
        <f>VLOOKUP(Main_Presentation[[#This Row],[LC Number]],Main_Issuance[],3,0)</f>
        <v>Hassan Taleb</v>
      </c>
      <c r="E1361" s="217" t="s">
        <v>858</v>
      </c>
      <c r="F1361" s="244" t="str">
        <f>VLOOKUP(Main_Presentation[[#This Row],[LC Number]],Main_Issuance[],5,0)</f>
        <v>SAB</v>
      </c>
      <c r="G1361" s="244" t="str">
        <f>VLOOKUP(Main_Presentation[[#This Row],[LC Number]],Main_Issuance[],6,0)</f>
        <v>MP1</v>
      </c>
      <c r="H1361" s="244" t="str">
        <f>VLOOKUP(Main_Presentation[[#This Row],[LC Number]],Main_Issuance[],17,0)</f>
        <v>Credit</v>
      </c>
      <c r="I1361" s="244" t="str">
        <f>VLOOKUP(Main_Presentation[[#This Row],[LC Number]],Main_Issuance[],7,0)</f>
        <v>Ajzal United for Safety CO.LTD.</v>
      </c>
      <c r="J1361" s="244" t="str">
        <f>VLOOKUP(Main_Presentation[[#This Row],[LC Number]],Main_Issuance[],8,0)</f>
        <v>FIRST FIX</v>
      </c>
      <c r="K1361" s="244" t="str">
        <f>VLOOKUP(Main_Presentation[[#This Row],[LC Number]],Main_Issuance[],9,0)</f>
        <v>MP1</v>
      </c>
      <c r="L1361" s="244">
        <f>VLOOKUP(Main_Presentation[[#This Row],[LC Number]],Main_Issuance[],10,0)</f>
        <v>1020088</v>
      </c>
      <c r="M1361" s="244" t="str">
        <f>VLOOKUP(Main_Presentation[[#This Row],[LC Number]],Main_Issuance[],11,0)</f>
        <v>SAR</v>
      </c>
      <c r="N1361" s="245">
        <f>VLOOKUP(Main_Presentation[[#This Row],[LC Number]],Main_Issuance[],12,0)</f>
        <v>800000</v>
      </c>
      <c r="O1361" s="217" t="s">
        <v>20</v>
      </c>
      <c r="P1361" s="217" t="s">
        <v>857</v>
      </c>
      <c r="Q1361" s="218">
        <v>453779.49</v>
      </c>
      <c r="R1361" s="218">
        <v>1</v>
      </c>
      <c r="S1361" s="218">
        <f>Main_Presentation[[#This Row],[Invoice Amt (FCY)]]*Main_Presentation[[#This Row],[Rate]]</f>
        <v>453779.49</v>
      </c>
      <c r="T1361" s="227">
        <v>46118</v>
      </c>
      <c r="U1361" s="243" t="str">
        <f>VLOOKUP(Main_Presentation[[#This Row],[LC Number]],Main_Issuance[],18,0)</f>
        <v>120 Days from Invoice Date</v>
      </c>
      <c r="V1361" s="233" t="s">
        <v>710</v>
      </c>
      <c r="W1361" s="229" t="s">
        <v>857</v>
      </c>
      <c r="X1361" s="217"/>
      <c r="Y1361" s="399" t="str">
        <f>TRIM(LEFT(Main_Presentation[[#This Row],[Payment Terms]],3))</f>
        <v>120</v>
      </c>
      <c r="Z1361" s="217"/>
      <c r="AA1361" s="316" cm="1">
        <f t="array" ref="AA1361">Settlement(Main_Presentation[[#This Row],[Bank]],Main_Presentation[[#This Row],[ Invoice Amt (SAR)]],Main_Presentation[[#This Row],[Date Recd]],Main_Presentation[[#This Row],[Due Date]],Main_Presentation[[#This Row],[Days]])</f>
        <v>1957.3</v>
      </c>
      <c r="AB1361" s="217"/>
    </row>
    <row r="1362" spans="1:28" ht="15.75" hidden="1" x14ac:dyDescent="0.25">
      <c r="A1362" s="226" t="s">
        <v>1934</v>
      </c>
      <c r="B1362" s="227">
        <v>46006</v>
      </c>
      <c r="C1362" s="243">
        <v>3</v>
      </c>
      <c r="D1362" s="228" t="str">
        <f>VLOOKUP(Main_Presentation[[#This Row],[LC Number]],Main_Issuance[],3,0)</f>
        <v>Luis Puente</v>
      </c>
      <c r="E1362" s="217" t="s">
        <v>856</v>
      </c>
      <c r="F1362" s="244" t="str">
        <f>VLOOKUP(Main_Presentation[[#This Row],[LC Number]],Main_Issuance[],5,0)</f>
        <v>Riyad</v>
      </c>
      <c r="G1362" s="244" t="str">
        <f>VLOOKUP(Main_Presentation[[#This Row],[LC Number]],Main_Issuance[],6,0)</f>
        <v>Oceanarium</v>
      </c>
      <c r="H1362" s="244" t="str">
        <f>VLOOKUP(Main_Presentation[[#This Row],[LC Number]],Main_Issuance[],17,0)</f>
        <v>Credit</v>
      </c>
      <c r="I1362" s="244" t="str">
        <f>VLOOKUP(Main_Presentation[[#This Row],[LC Number]],Main_Issuance[],7,0)</f>
        <v>Mat Filtrasyon Teknolojeleri A.S</v>
      </c>
      <c r="J1362" s="244" t="str">
        <f>VLOOKUP(Main_Presentation[[#This Row],[LC Number]],Main_Issuance[],8,0)</f>
        <v>MBL</v>
      </c>
      <c r="K1362" s="244" t="str">
        <f>VLOOKUP(Main_Presentation[[#This Row],[LC Number]],Main_Issuance[],9,0)</f>
        <v>Oceanarium</v>
      </c>
      <c r="L1362" s="244">
        <f>VLOOKUP(Main_Presentation[[#This Row],[LC Number]],Main_Issuance[],10,0)</f>
        <v>1020096</v>
      </c>
      <c r="M1362" s="244" t="str">
        <f>VLOOKUP(Main_Presentation[[#This Row],[LC Number]],Main_Issuance[],11,0)</f>
        <v>SAR</v>
      </c>
      <c r="N1362" s="245">
        <f>VLOOKUP(Main_Presentation[[#This Row],[LC Number]],Main_Issuance[],12,0)</f>
        <v>25907203.759999998</v>
      </c>
      <c r="O1362" s="217" t="s">
        <v>20</v>
      </c>
      <c r="P1362" s="217" t="s">
        <v>857</v>
      </c>
      <c r="Q1362" s="218">
        <f>1353315-394252.65</f>
        <v>959062.35</v>
      </c>
      <c r="R1362" s="218">
        <v>1</v>
      </c>
      <c r="S1362" s="218">
        <f>Main_Presentation[[#This Row],[Invoice Amt (FCY)]]*Main_Presentation[[#This Row],[Rate]]</f>
        <v>959062.35</v>
      </c>
      <c r="T1362" s="227">
        <v>46034</v>
      </c>
      <c r="U1362" s="243" t="str">
        <f>VLOOKUP(Main_Presentation[[#This Row],[LC Number]],Main_Issuance[],18,0)</f>
        <v>45 Days from Invoice Date</v>
      </c>
      <c r="V1362" s="21" t="s">
        <v>483</v>
      </c>
      <c r="W1362" s="229" t="s">
        <v>857</v>
      </c>
      <c r="X1362" s="217"/>
      <c r="Y1362" s="399" t="str">
        <f>TRIM(LEFT(Main_Presentation[[#This Row],[Payment Terms]],3))</f>
        <v>45</v>
      </c>
      <c r="Z1362" s="217"/>
      <c r="AA1362" s="316" cm="1">
        <f t="array" ref="AA1362">Settlement(Main_Presentation[[#This Row],[Bank]],Main_Presentation[[#This Row],[ Invoice Amt (SAR)]],Main_Presentation[[#This Row],[Date Recd]],Main_Presentation[[#This Row],[Due Date]],Main_Presentation[[#This Row],[Days]])</f>
        <v>1378.85</v>
      </c>
      <c r="AB1362" s="217"/>
    </row>
    <row r="1363" spans="1:28" ht="15.75" hidden="1" x14ac:dyDescent="0.25">
      <c r="A1363" s="226" t="s">
        <v>1934</v>
      </c>
      <c r="B1363" s="227">
        <v>46006</v>
      </c>
      <c r="C1363" s="243">
        <v>4</v>
      </c>
      <c r="D1363" s="228" t="str">
        <f>VLOOKUP(Main_Presentation[[#This Row],[LC Number]],Main_Issuance[],3,0)</f>
        <v>Luis Puente</v>
      </c>
      <c r="E1363" s="217" t="s">
        <v>856</v>
      </c>
      <c r="F1363" s="244" t="str">
        <f>VLOOKUP(Main_Presentation[[#This Row],[LC Number]],Main_Issuance[],5,0)</f>
        <v>Riyad</v>
      </c>
      <c r="G1363" s="244" t="str">
        <f>VLOOKUP(Main_Presentation[[#This Row],[LC Number]],Main_Issuance[],6,0)</f>
        <v>Oceanarium</v>
      </c>
      <c r="H1363" s="244" t="str">
        <f>VLOOKUP(Main_Presentation[[#This Row],[LC Number]],Main_Issuance[],17,0)</f>
        <v>Credit</v>
      </c>
      <c r="I1363" s="244" t="str">
        <f>VLOOKUP(Main_Presentation[[#This Row],[LC Number]],Main_Issuance[],7,0)</f>
        <v>Mat Filtrasyon Teknolojeleri A.S</v>
      </c>
      <c r="J1363" s="244" t="str">
        <f>VLOOKUP(Main_Presentation[[#This Row],[LC Number]],Main_Issuance[],8,0)</f>
        <v>MBL</v>
      </c>
      <c r="K1363" s="244" t="str">
        <f>VLOOKUP(Main_Presentation[[#This Row],[LC Number]],Main_Issuance[],9,0)</f>
        <v>Oceanarium</v>
      </c>
      <c r="L1363" s="244">
        <f>VLOOKUP(Main_Presentation[[#This Row],[LC Number]],Main_Issuance[],10,0)</f>
        <v>1020096</v>
      </c>
      <c r="M1363" s="244" t="str">
        <f>VLOOKUP(Main_Presentation[[#This Row],[LC Number]],Main_Issuance[],11,0)</f>
        <v>SAR</v>
      </c>
      <c r="N1363" s="245">
        <f>VLOOKUP(Main_Presentation[[#This Row],[LC Number]],Main_Issuance[],12,0)</f>
        <v>25907203.759999998</v>
      </c>
      <c r="O1363" s="217" t="s">
        <v>20</v>
      </c>
      <c r="P1363" s="217" t="s">
        <v>857</v>
      </c>
      <c r="Q1363" s="218">
        <f>3443574-1003194.51</f>
        <v>2440379.4900000002</v>
      </c>
      <c r="R1363" s="218">
        <v>1</v>
      </c>
      <c r="S1363" s="218">
        <f>Main_Presentation[[#This Row],[Invoice Amt (FCY)]]*Main_Presentation[[#This Row],[Rate]]</f>
        <v>2440379.4900000002</v>
      </c>
      <c r="T1363" s="227">
        <v>46035</v>
      </c>
      <c r="U1363" s="243" t="str">
        <f>VLOOKUP(Main_Presentation[[#This Row],[LC Number]],Main_Issuance[],18,0)</f>
        <v>45 Days from Invoice Date</v>
      </c>
      <c r="V1363" s="21" t="s">
        <v>483</v>
      </c>
      <c r="W1363" s="229" t="s">
        <v>857</v>
      </c>
      <c r="X1363" s="217"/>
      <c r="Y1363" s="399" t="str">
        <f>TRIM(LEFT(Main_Presentation[[#This Row],[Payment Terms]],3))</f>
        <v>45</v>
      </c>
      <c r="Z1363" s="217"/>
      <c r="AA1363" s="316" cm="1">
        <f t="array" ref="AA1363">Settlement(Main_Presentation[[#This Row],[Bank]],Main_Presentation[[#This Row],[ Invoice Amt (SAR)]],Main_Presentation[[#This Row],[Date Recd]],Main_Presentation[[#This Row],[Due Date]],Main_Presentation[[#This Row],[Days]])</f>
        <v>3507.5</v>
      </c>
      <c r="AB1363" s="217"/>
    </row>
    <row r="1364" spans="1:28" ht="15.75" hidden="1" x14ac:dyDescent="0.25">
      <c r="A1364" s="226" t="s">
        <v>1451</v>
      </c>
      <c r="B1364" s="227">
        <v>46021</v>
      </c>
      <c r="C1364" s="243">
        <v>2</v>
      </c>
      <c r="D1364" s="228" t="str">
        <f>VLOOKUP(Main_Presentation[[#This Row],[LC Number]],Main_Issuance[],3,0)</f>
        <v>Justin Xavier</v>
      </c>
      <c r="E1364" s="217" t="s">
        <v>856</v>
      </c>
      <c r="F1364" s="244" t="str">
        <f>VLOOKUP(Main_Presentation[[#This Row],[LC Number]],Main_Issuance[],5,0)</f>
        <v>SNB</v>
      </c>
      <c r="G1364" s="244" t="str">
        <f>VLOOKUP(Main_Presentation[[#This Row],[LC Number]],Main_Issuance[],6,0)</f>
        <v>Opera House</v>
      </c>
      <c r="H1364" s="244" t="str">
        <f>VLOOKUP(Main_Presentation[[#This Row],[LC Number]],Main_Issuance[],17,0)</f>
        <v>Credit</v>
      </c>
      <c r="I1364" s="244" t="str">
        <f>VLOOKUP(Main_Presentation[[#This Row],[LC Number]],Main_Issuance[],7,0)</f>
        <v>APTEC SAUDI ARABIA</v>
      </c>
      <c r="J1364" s="244" t="str">
        <f>VLOOKUP(Main_Presentation[[#This Row],[LC Number]],Main_Issuance[],8,0)</f>
        <v>ICAD</v>
      </c>
      <c r="K1364" s="244" t="str">
        <f>VLOOKUP(Main_Presentation[[#This Row],[LC Number]],Main_Issuance[],9,0)</f>
        <v>ADF</v>
      </c>
      <c r="L1364" s="244">
        <f>VLOOKUP(Main_Presentation[[#This Row],[LC Number]],Main_Issuance[],10,0)</f>
        <v>1020001</v>
      </c>
      <c r="M1364" s="244" t="str">
        <f>VLOOKUP(Main_Presentation[[#This Row],[LC Number]],Main_Issuance[],11,0)</f>
        <v>SAR</v>
      </c>
      <c r="N1364" s="245">
        <f>VLOOKUP(Main_Presentation[[#This Row],[LC Number]],Main_Issuance[],12,0)</f>
        <v>8632232.3800000008</v>
      </c>
      <c r="O1364" s="217" t="s">
        <v>20</v>
      </c>
      <c r="P1364" s="217" t="s">
        <v>378</v>
      </c>
      <c r="Q1364" s="218">
        <v>1325597</v>
      </c>
      <c r="R1364" s="218">
        <v>1</v>
      </c>
      <c r="S1364" s="218">
        <f>Main_Presentation[[#This Row],[Invoice Amt (FCY)]]*Main_Presentation[[#This Row],[Rate]]</f>
        <v>1325597</v>
      </c>
      <c r="T1364" s="227">
        <v>46021</v>
      </c>
      <c r="U1364" s="243" t="str">
        <f>VLOOKUP(Main_Presentation[[#This Row],[LC Number]],Main_Issuance[],18,0)</f>
        <v>60 Days from Invoice Date</v>
      </c>
      <c r="V1364" s="233" t="s">
        <v>90</v>
      </c>
      <c r="W1364" s="229" t="s">
        <v>857</v>
      </c>
      <c r="X1364" s="217"/>
      <c r="Y1364" s="399" t="str">
        <f>TRIM(LEFT(Main_Presentation[[#This Row],[Payment Terms]],3))</f>
        <v>60</v>
      </c>
      <c r="Z1364" s="217"/>
      <c r="AA1364" s="316" cm="1">
        <f t="array" ref="AA1364">Settlement(Main_Presentation[[#This Row],[Bank]],Main_Presentation[[#This Row],[ Invoice Amt (SAR)]],Main_Presentation[[#This Row],[Date Recd]],Main_Presentation[[#This Row],[Due Date]],Main_Presentation[[#This Row],[Days]])</f>
        <v>655.5</v>
      </c>
      <c r="AB1364" s="217"/>
    </row>
    <row r="1365" spans="1:28" ht="15.75" hidden="1" x14ac:dyDescent="0.25">
      <c r="A1365" s="226" t="s">
        <v>1834</v>
      </c>
      <c r="B1365" s="227">
        <v>46007</v>
      </c>
      <c r="C1365" s="243">
        <v>3</v>
      </c>
      <c r="D1365" s="228" t="str">
        <f>VLOOKUP(Main_Presentation[[#This Row],[LC Number]],Main_Issuance[],3,0)</f>
        <v>Luis Puente</v>
      </c>
      <c r="E1365" s="217" t="s">
        <v>856</v>
      </c>
      <c r="F1365" s="244" t="str">
        <f>VLOOKUP(Main_Presentation[[#This Row],[LC Number]],Main_Issuance[],5,0)</f>
        <v>Riyad</v>
      </c>
      <c r="G1365" s="244" t="str">
        <f>VLOOKUP(Main_Presentation[[#This Row],[LC Number]],Main_Issuance[],6,0)</f>
        <v>Oceanarium</v>
      </c>
      <c r="H1365" s="244" t="str">
        <f>VLOOKUP(Main_Presentation[[#This Row],[LC Number]],Main_Issuance[],17,0)</f>
        <v>Credit</v>
      </c>
      <c r="I1365" s="244" t="str">
        <f>VLOOKUP(Main_Presentation[[#This Row],[LC Number]],Main_Issuance[],7,0)</f>
        <v>Jiangsu Donchamp New Materials Technology Co.Ltd.</v>
      </c>
      <c r="J1365" s="244" t="str">
        <f>VLOOKUP(Main_Presentation[[#This Row],[LC Number]],Main_Issuance[],8,0)</f>
        <v>MBL</v>
      </c>
      <c r="K1365" s="244" t="str">
        <f>VLOOKUP(Main_Presentation[[#This Row],[LC Number]],Main_Issuance[],9,0)</f>
        <v>Oceanarium</v>
      </c>
      <c r="L1365" s="244">
        <f>VLOOKUP(Main_Presentation[[#This Row],[LC Number]],Main_Issuance[],10,0)</f>
        <v>1020096</v>
      </c>
      <c r="M1365" s="244" t="str">
        <f>VLOOKUP(Main_Presentation[[#This Row],[LC Number]],Main_Issuance[],11,0)</f>
        <v>USD</v>
      </c>
      <c r="N1365" s="245">
        <f>VLOOKUP(Main_Presentation[[#This Row],[LC Number]],Main_Issuance[],12,0)</f>
        <v>7339154</v>
      </c>
      <c r="O1365" s="217" t="s">
        <v>20</v>
      </c>
      <c r="P1365" s="217" t="s">
        <v>857</v>
      </c>
      <c r="Q1365" s="218">
        <v>152903.39000000001</v>
      </c>
      <c r="R1365" s="218">
        <v>3.758</v>
      </c>
      <c r="S1365" s="218">
        <f>Main_Presentation[[#This Row],[Invoice Amt (FCY)]]*Main_Presentation[[#This Row],[Rate]]</f>
        <v>574610.93962000008</v>
      </c>
      <c r="T1365" s="227">
        <v>46027</v>
      </c>
      <c r="U1365" s="243" t="str">
        <f>VLOOKUP(Main_Presentation[[#This Row],[LC Number]],Main_Issuance[],18,0)</f>
        <v>45 Days from Invoice Date / Sight</v>
      </c>
      <c r="V1365" s="21" t="s">
        <v>483</v>
      </c>
      <c r="W1365" s="229" t="s">
        <v>857</v>
      </c>
      <c r="X1365" s="217"/>
      <c r="Y1365" s="399" t="str">
        <f>TRIM(LEFT(Main_Presentation[[#This Row],[Payment Terms]],3))</f>
        <v>45</v>
      </c>
      <c r="Z1365" s="217"/>
      <c r="AA1365" s="316" cm="1">
        <f t="array" ref="AA1365">Settlement(Main_Presentation[[#This Row],[Bank]],Main_Presentation[[#This Row],[ Invoice Amt (SAR)]],Main_Presentation[[#This Row],[Date Recd]],Main_Presentation[[#This Row],[Due Date]],Main_Presentation[[#This Row],[Days]])</f>
        <v>825.7</v>
      </c>
      <c r="AB1365" s="217"/>
    </row>
    <row r="1366" spans="1:28" ht="15.75" hidden="1" x14ac:dyDescent="0.25">
      <c r="A1366" s="226" t="s">
        <v>2917</v>
      </c>
      <c r="B1366" s="227">
        <v>46015</v>
      </c>
      <c r="C1366" s="243">
        <v>1</v>
      </c>
      <c r="D1366" s="228" t="str">
        <f>VLOOKUP(Main_Presentation[[#This Row],[LC Number]],Main_Issuance[],3,0)</f>
        <v>Hassan Taleb</v>
      </c>
      <c r="E1366" s="217" t="s">
        <v>858</v>
      </c>
      <c r="F1366" s="244" t="str">
        <f>VLOOKUP(Main_Presentation[[#This Row],[LC Number]],Main_Issuance[],5,0)</f>
        <v>Alinma</v>
      </c>
      <c r="G1366" s="244" t="str">
        <f>VLOOKUP(Main_Presentation[[#This Row],[LC Number]],Main_Issuance[],6,0)</f>
        <v>KSP</v>
      </c>
      <c r="H1366" s="244" t="str">
        <f>VLOOKUP(Main_Presentation[[#This Row],[LC Number]],Main_Issuance[],17,0)</f>
        <v>Credit</v>
      </c>
      <c r="I1366" s="244" t="str">
        <f>VLOOKUP(Main_Presentation[[#This Row],[LC Number]],Main_Issuance[],7,0)</f>
        <v>Depth Modern Technologies Co.</v>
      </c>
      <c r="J1366" s="244" t="str">
        <f>VLOOKUP(Main_Presentation[[#This Row],[LC Number]],Main_Issuance[],8,0)</f>
        <v>FIRST FIX</v>
      </c>
      <c r="K1366" s="244" t="str">
        <f>VLOOKUP(Main_Presentation[[#This Row],[LC Number]],Main_Issuance[],9,0)</f>
        <v>KSP</v>
      </c>
      <c r="L1366" s="244">
        <f>VLOOKUP(Main_Presentation[[#This Row],[LC Number]],Main_Issuance[],10,0)</f>
        <v>1020055</v>
      </c>
      <c r="M1366" s="244" t="str">
        <f>VLOOKUP(Main_Presentation[[#This Row],[LC Number]],Main_Issuance[],11,0)</f>
        <v>SAR</v>
      </c>
      <c r="N1366" s="245">
        <f>VLOOKUP(Main_Presentation[[#This Row],[LC Number]],Main_Issuance[],12,0)</f>
        <v>4000000</v>
      </c>
      <c r="O1366" s="217" t="s">
        <v>20</v>
      </c>
      <c r="P1366" s="217" t="s">
        <v>857</v>
      </c>
      <c r="Q1366" s="218">
        <v>4000000</v>
      </c>
      <c r="R1366" s="218">
        <v>1</v>
      </c>
      <c r="S1366" s="218">
        <f>Main_Presentation[[#This Row],[Invoice Amt (FCY)]]*Main_Presentation[[#This Row],[Rate]]</f>
        <v>4000000</v>
      </c>
      <c r="T1366" s="227">
        <v>46085</v>
      </c>
      <c r="U1366" s="243" t="str">
        <f>VLOOKUP(Main_Presentation[[#This Row],[LC Number]],Main_Issuance[],18,0)</f>
        <v>90 Days from Invoice Date</v>
      </c>
      <c r="V1366" s="233" t="s">
        <v>22</v>
      </c>
      <c r="W1366" s="229" t="s">
        <v>857</v>
      </c>
      <c r="X1366" s="217"/>
      <c r="Y1366" s="399" t="str">
        <f>TRIM(LEFT(Main_Presentation[[#This Row],[Payment Terms]],3))</f>
        <v>90</v>
      </c>
      <c r="Z1366" s="217"/>
      <c r="AA1366" s="316" cm="1">
        <f t="array" ref="AA1366">Settlement(Main_Presentation[[#This Row],[Bank]],Main_Presentation[[#This Row],[ Invoice Amt (SAR)]],Main_Presentation[[#This Row],[Date Recd]],Main_Presentation[[#This Row],[Due Date]],Main_Presentation[[#This Row],[Days]])</f>
        <v>3832.95</v>
      </c>
      <c r="AB1366" s="217"/>
    </row>
    <row r="1367" spans="1:28" ht="15.75" hidden="1" x14ac:dyDescent="0.25">
      <c r="A1367" s="226" t="s">
        <v>2568</v>
      </c>
      <c r="B1367" s="227">
        <v>45978</v>
      </c>
      <c r="C1367" s="26" t="s">
        <v>1591</v>
      </c>
      <c r="D1367" s="228" t="str">
        <f>VLOOKUP(Main_Presentation[[#This Row],[LC Number]],Main_Issuance[],3,0)</f>
        <v>Luis Puente</v>
      </c>
      <c r="E1367" s="217" t="s">
        <v>856</v>
      </c>
      <c r="F1367" s="244" t="str">
        <f>VLOOKUP(Main_Presentation[[#This Row],[LC Number]],Main_Issuance[],5,0)</f>
        <v>Riyad</v>
      </c>
      <c r="G1367" s="244" t="str">
        <f>VLOOKUP(Main_Presentation[[#This Row],[LC Number]],Main_Issuance[],6,0)</f>
        <v>Cash</v>
      </c>
      <c r="H1367" s="244" t="str">
        <f>VLOOKUP(Main_Presentation[[#This Row],[LC Number]],Main_Issuance[],17,0)</f>
        <v>Cash</v>
      </c>
      <c r="I1367" s="244" t="str">
        <f>VLOOKUP(Main_Presentation[[#This Row],[LC Number]],Main_Issuance[],7,0)</f>
        <v>Mat Filtrasyon Teknolojeleri A.S</v>
      </c>
      <c r="J1367" s="244" t="str">
        <f>VLOOKUP(Main_Presentation[[#This Row],[LC Number]],Main_Issuance[],8,0)</f>
        <v>MBL</v>
      </c>
      <c r="K1367" s="244" t="str">
        <f>VLOOKUP(Main_Presentation[[#This Row],[LC Number]],Main_Issuance[],9,0)</f>
        <v>Oceanarium</v>
      </c>
      <c r="L1367" s="244">
        <f>VLOOKUP(Main_Presentation[[#This Row],[LC Number]],Main_Issuance[],10,0)</f>
        <v>1020096</v>
      </c>
      <c r="M1367" s="244" t="str">
        <f>VLOOKUP(Main_Presentation[[#This Row],[LC Number]],Main_Issuance[],11,0)</f>
        <v>SAR</v>
      </c>
      <c r="N1367" s="245">
        <f>VLOOKUP(Main_Presentation[[#This Row],[LC Number]],Main_Issuance[],12,0)</f>
        <v>4092796.2399999998</v>
      </c>
      <c r="O1367" s="217" t="s">
        <v>20</v>
      </c>
      <c r="P1367" s="217" t="s">
        <v>857</v>
      </c>
      <c r="Q1367" s="218">
        <f>2088277.51-1479912.9</f>
        <v>608364.6100000001</v>
      </c>
      <c r="R1367" s="218">
        <v>1</v>
      </c>
      <c r="S1367" s="281">
        <f>Main_Presentation[[#This Row],[Invoice Amt (FCY)]]*Main_Presentation[[#This Row],[Rate]]</f>
        <v>608364.6100000001</v>
      </c>
      <c r="T1367" s="227">
        <v>46008</v>
      </c>
      <c r="U1367" s="243" t="str">
        <f>VLOOKUP(Main_Presentation[[#This Row],[LC Number]],Main_Issuance[],18,0)</f>
        <v>45 Days from Invoice Date</v>
      </c>
      <c r="V1367" s="233" t="s">
        <v>70</v>
      </c>
      <c r="W1367" s="229" t="s">
        <v>857</v>
      </c>
      <c r="X1367" s="217"/>
      <c r="Y1367" s="399" t="str">
        <f>TRIM(LEFT(Main_Presentation[[#This Row],[Payment Terms]],3))</f>
        <v>45</v>
      </c>
      <c r="Z1367" s="217"/>
      <c r="AA1367" s="316" cm="1">
        <f t="array" ref="AA1367">Settlement(Main_Presentation[[#This Row],[Bank]],Main_Presentation[[#This Row],[ Invoice Amt (SAR)]],Main_Presentation[[#This Row],[Date Recd]],Main_Presentation[[#This Row],[Due Date]],Main_Presentation[[#This Row],[Days]])</f>
        <v>874</v>
      </c>
      <c r="AB1367" s="217"/>
    </row>
    <row r="1368" spans="1:28" ht="15.75" hidden="1" x14ac:dyDescent="0.25">
      <c r="A1368" s="20" t="s">
        <v>1767</v>
      </c>
      <c r="B1368" s="15">
        <v>46043</v>
      </c>
      <c r="C1368" s="26">
        <v>3</v>
      </c>
      <c r="D1368" s="55" t="str">
        <f>VLOOKUP(Main_Presentation[[#This Row],[LC Number]],Main_Issuance[],3,0)</f>
        <v>Rabih Makhoul</v>
      </c>
      <c r="E1368" s="16" t="s">
        <v>856</v>
      </c>
      <c r="F1368" s="17" t="str">
        <f>VLOOKUP(Main_Presentation[[#This Row],[LC Number]],Main_Issuance[],5,0)</f>
        <v>Alinma</v>
      </c>
      <c r="G1368" s="17" t="str">
        <f>VLOOKUP(Main_Presentation[[#This Row],[LC Number]],Main_Issuance[],6,0)</f>
        <v>KSP</v>
      </c>
      <c r="H1368" s="17" t="str">
        <f>VLOOKUP(Main_Presentation[[#This Row],[LC Number]],Main_Issuance[],17,0)</f>
        <v>Credit</v>
      </c>
      <c r="I1368" s="17" t="str">
        <f>VLOOKUP(Main_Presentation[[#This Row],[LC Number]],Main_Issuance[],7,0)</f>
        <v>Al Arabia Construction &amp; Building Co.</v>
      </c>
      <c r="J1368" s="17" t="str">
        <f>VLOOKUP(Main_Presentation[[#This Row],[LC Number]],Main_Issuance[],8,0)</f>
        <v>MBL</v>
      </c>
      <c r="K1368" s="17" t="str">
        <f>VLOOKUP(Main_Presentation[[#This Row],[LC Number]],Main_Issuance[],9,0)</f>
        <v>Rabigh Power Plant</v>
      </c>
      <c r="L1368" s="17">
        <f>VLOOKUP(Main_Presentation[[#This Row],[LC Number]],Main_Issuance[],10,0)</f>
        <v>1020107</v>
      </c>
      <c r="M1368" s="17" t="str">
        <f>VLOOKUP(Main_Presentation[[#This Row],[LC Number]],Main_Issuance[],11,0)</f>
        <v>SAR</v>
      </c>
      <c r="N1368" s="84">
        <f>VLOOKUP(Main_Presentation[[#This Row],[LC Number]],Main_Issuance[],12,0)</f>
        <v>3009600</v>
      </c>
      <c r="O1368" s="16" t="s">
        <v>20</v>
      </c>
      <c r="P1368" s="16" t="s">
        <v>857</v>
      </c>
      <c r="Q1368" s="18">
        <v>231118.72</v>
      </c>
      <c r="R1368" s="18">
        <v>1</v>
      </c>
      <c r="S1368" s="18">
        <f>Main_Presentation[[#This Row],[Invoice Amt (FCY)]]*Main_Presentation[[#This Row],[Rate]]</f>
        <v>231118.72</v>
      </c>
      <c r="T1368" s="227">
        <v>46047</v>
      </c>
      <c r="U1368" s="26" t="str">
        <f>VLOOKUP(Main_Presentation[[#This Row],[LC Number]],Main_Issuance[],18,0)</f>
        <v>45 Days from the Invoice Date</v>
      </c>
      <c r="V1368" s="249" t="s">
        <v>511</v>
      </c>
      <c r="W1368" s="22" t="s">
        <v>857</v>
      </c>
      <c r="X1368" s="16"/>
      <c r="Y1368" s="234" t="str">
        <f>TRIM(LEFT(Main_Presentation[[#This Row],[Payment Terms]],3))</f>
        <v>45</v>
      </c>
      <c r="Z1368" s="16"/>
      <c r="AA1368" s="316" cm="1">
        <f t="array" ref="AA1368">Settlement(Main_Presentation[[#This Row],[Bank]],Main_Presentation[[#This Row],[ Invoice Amt (SAR)]],Main_Presentation[[#This Row],[Date Recd]],Main_Presentation[[#This Row],[Due Date]],Main_Presentation[[#This Row],[Days]])</f>
        <v>1437.5</v>
      </c>
      <c r="AB1368" s="16"/>
    </row>
    <row r="1369" spans="1:28" ht="15.75" hidden="1" x14ac:dyDescent="0.25">
      <c r="A1369" s="20" t="s">
        <v>1396</v>
      </c>
      <c r="B1369" s="15">
        <v>46043</v>
      </c>
      <c r="C1369" s="26">
        <v>2</v>
      </c>
      <c r="D1369" s="55" t="str">
        <f>VLOOKUP(Main_Presentation[[#This Row],[LC Number]],Main_Issuance[],3,0)</f>
        <v>Hassan Taleb</v>
      </c>
      <c r="E1369" s="16" t="s">
        <v>858</v>
      </c>
      <c r="F1369" s="17" t="str">
        <f>VLOOKUP(Main_Presentation[[#This Row],[LC Number]],Main_Issuance[],5,0)</f>
        <v>Jazira</v>
      </c>
      <c r="G1369" s="17" t="str">
        <f>VLOOKUP(Main_Presentation[[#This Row],[LC Number]],Main_Issuance[],6,0)</f>
        <v>RCRC</v>
      </c>
      <c r="H1369" s="17" t="str">
        <f>VLOOKUP(Main_Presentation[[#This Row],[LC Number]],Main_Issuance[],17,0)</f>
        <v>Credit</v>
      </c>
      <c r="I1369" s="17" t="str">
        <f>VLOOKUP(Main_Presentation[[#This Row],[LC Number]],Main_Issuance[],7,0)</f>
        <v>Baamer Group for Trading Company</v>
      </c>
      <c r="J1369" s="17" t="str">
        <f>VLOOKUP(Main_Presentation[[#This Row],[LC Number]],Main_Issuance[],8,0)</f>
        <v>FIRST FIX</v>
      </c>
      <c r="K1369" s="17" t="str">
        <f>VLOOKUP(Main_Presentation[[#This Row],[LC Number]],Main_Issuance[],9,0)</f>
        <v>RCRC</v>
      </c>
      <c r="L1369" s="17">
        <f>VLOOKUP(Main_Presentation[[#This Row],[LC Number]],Main_Issuance[],10,0)</f>
        <v>1020106</v>
      </c>
      <c r="M1369" s="17" t="str">
        <f>VLOOKUP(Main_Presentation[[#This Row],[LC Number]],Main_Issuance[],11,0)</f>
        <v>SAR</v>
      </c>
      <c r="N1369" s="84">
        <f>VLOOKUP(Main_Presentation[[#This Row],[LC Number]],Main_Issuance[],12,0)</f>
        <v>312828.75</v>
      </c>
      <c r="O1369" s="16" t="s">
        <v>20</v>
      </c>
      <c r="P1369" s="16" t="s">
        <v>378</v>
      </c>
      <c r="Q1369" s="18">
        <v>137644.65</v>
      </c>
      <c r="R1369" s="18">
        <v>1</v>
      </c>
      <c r="S1369" s="18">
        <f>Main_Presentation[[#This Row],[Invoice Amt (FCY)]]*Main_Presentation[[#This Row],[Rate]]</f>
        <v>137644.65</v>
      </c>
      <c r="T1369" s="15">
        <v>46089</v>
      </c>
      <c r="U1369" s="26" t="str">
        <f>VLOOKUP(Main_Presentation[[#This Row],[LC Number]],Main_Issuance[],18,0)</f>
        <v>90 Days from Invoice Date</v>
      </c>
      <c r="V1369" s="249" t="s">
        <v>613</v>
      </c>
      <c r="W1369" s="22" t="s">
        <v>857</v>
      </c>
      <c r="X1369" s="16"/>
      <c r="Y1369" s="234" t="str">
        <f>TRIM(LEFT(Main_Presentation[[#This Row],[Payment Terms]],3))</f>
        <v>90</v>
      </c>
      <c r="Z1369" s="16"/>
      <c r="AA1369" s="316" cm="1">
        <f t="array" ref="AA1369">Settlement(Main_Presentation[[#This Row],[Bank]],Main_Presentation[[#This Row],[ Invoice Amt (SAR)]],Main_Presentation[[#This Row],[Date Recd]],Main_Presentation[[#This Row],[Due Date]],Main_Presentation[[#This Row],[Days]])</f>
        <v>977.5</v>
      </c>
      <c r="AB1369" s="16"/>
    </row>
    <row r="1370" spans="1:28" ht="15.75" hidden="1" x14ac:dyDescent="0.25">
      <c r="A1370" s="250" t="s">
        <v>2618</v>
      </c>
      <c r="B1370" s="317">
        <v>46041</v>
      </c>
      <c r="C1370" s="318">
        <v>1</v>
      </c>
      <c r="D1370" s="319" t="str">
        <f>VLOOKUP(Main_Presentation[[#This Row],[LC Number]],Main_Issuance[],3,0)</f>
        <v>Hassan Taleb</v>
      </c>
      <c r="E1370" s="320" t="s">
        <v>858</v>
      </c>
      <c r="F1370" s="321" t="str">
        <f>VLOOKUP(Main_Presentation[[#This Row],[LC Number]],Main_Issuance[],5,0)</f>
        <v>Alinma</v>
      </c>
      <c r="G1370" s="321" t="str">
        <f>VLOOKUP(Main_Presentation[[#This Row],[LC Number]],Main_Issuance[],6,0)</f>
        <v>KSP</v>
      </c>
      <c r="H1370" s="321" t="str">
        <f>VLOOKUP(Main_Presentation[[#This Row],[LC Number]],Main_Issuance[],17,0)</f>
        <v>Credit</v>
      </c>
      <c r="I1370" s="321" t="str">
        <f>VLOOKUP(Main_Presentation[[#This Row],[LC Number]],Main_Issuance[],7,0)</f>
        <v>AI-Hadbania Trading Co.</v>
      </c>
      <c r="J1370" s="321" t="str">
        <f>VLOOKUP(Main_Presentation[[#This Row],[LC Number]],Main_Issuance[],8,0)</f>
        <v>FIRST FIX</v>
      </c>
      <c r="K1370" s="321" t="str">
        <f>VLOOKUP(Main_Presentation[[#This Row],[LC Number]],Main_Issuance[],9,0)</f>
        <v>KSP</v>
      </c>
      <c r="L1370" s="321">
        <f>VLOOKUP(Main_Presentation[[#This Row],[LC Number]],Main_Issuance[],10,0)</f>
        <v>1020055</v>
      </c>
      <c r="M1370" s="321" t="str">
        <f>VLOOKUP(Main_Presentation[[#This Row],[LC Number]],Main_Issuance[],11,0)</f>
        <v>SAR</v>
      </c>
      <c r="N1370" s="322">
        <f>VLOOKUP(Main_Presentation[[#This Row],[LC Number]],Main_Issuance[],12,0)</f>
        <v>3487033.23</v>
      </c>
      <c r="O1370" s="320" t="s">
        <v>20</v>
      </c>
      <c r="P1370" s="320" t="s">
        <v>857</v>
      </c>
      <c r="Q1370" s="323">
        <v>1989866.83</v>
      </c>
      <c r="R1370" s="323">
        <v>1</v>
      </c>
      <c r="S1370" s="323">
        <f>Main_Presentation[[#This Row],[Invoice Amt (FCY)]]*Main_Presentation[[#This Row],[Rate]]</f>
        <v>1989866.83</v>
      </c>
      <c r="T1370" s="227">
        <v>46105</v>
      </c>
      <c r="U1370" s="318" t="str">
        <f>VLOOKUP(Main_Presentation[[#This Row],[LC Number]],Main_Issuance[],18,0)</f>
        <v>90 Days from Applicant representative sign on Invoice</v>
      </c>
      <c r="V1370" s="249" t="s">
        <v>613</v>
      </c>
      <c r="W1370" s="325" t="s">
        <v>378</v>
      </c>
      <c r="X1370" s="217"/>
      <c r="Y1370" s="404" t="str">
        <f>TRIM(LEFT(Main_Presentation[[#This Row],[Payment Terms]],3))</f>
        <v>90</v>
      </c>
      <c r="Z1370" s="320"/>
      <c r="AA1370" s="316" cm="1">
        <f t="array" ref="AA1370">Settlement(Main_Presentation[[#This Row],[Bank]],Main_Presentation[[#This Row],[ Invoice Amt (SAR)]],Main_Presentation[[#This Row],[Date Recd]],Main_Presentation[[#This Row],[Due Date]],Main_Presentation[[#This Row],[Days]])</f>
        <v>1906.7</v>
      </c>
      <c r="AB1370" s="320"/>
    </row>
    <row r="1371" spans="1:28" ht="15.75" hidden="1" x14ac:dyDescent="0.25">
      <c r="A1371" s="226" t="s">
        <v>2907</v>
      </c>
      <c r="B1371" s="227">
        <v>46012</v>
      </c>
      <c r="C1371" s="243">
        <v>1</v>
      </c>
      <c r="D1371" s="228" t="str">
        <f>VLOOKUP(Main_Presentation[[#This Row],[LC Number]],Main_Issuance[],3,0)</f>
        <v>Matthew Mckernan - AICS</v>
      </c>
      <c r="E1371" s="217" t="s">
        <v>856</v>
      </c>
      <c r="F1371" s="244" t="str">
        <f>VLOOKUP(Main_Presentation[[#This Row],[LC Number]],Main_Issuance[],5,0)</f>
        <v>SNB</v>
      </c>
      <c r="G1371" s="244" t="str">
        <f>VLOOKUP(Main_Presentation[[#This Row],[LC Number]],Main_Issuance[],6,0)</f>
        <v>Opera House</v>
      </c>
      <c r="H1371" s="244" t="str">
        <f>VLOOKUP(Main_Presentation[[#This Row],[LC Number]],Main_Issuance[],17,0)</f>
        <v>Credit</v>
      </c>
      <c r="I1371" s="244" t="str">
        <f>VLOOKUP(Main_Presentation[[#This Row],[LC Number]],Main_Issuance[],7,0)</f>
        <v>ALNAFIE METAL INDUSTRIES CO LTD</v>
      </c>
      <c r="J1371" s="244" t="str">
        <f>VLOOKUP(Main_Presentation[[#This Row],[LC Number]],Main_Issuance[],8,0)</f>
        <v>MBL/AICS</v>
      </c>
      <c r="K1371" s="244" t="str">
        <f>VLOOKUP(Main_Presentation[[#This Row],[LC Number]],Main_Issuance[],9,0)</f>
        <v>OPERA House</v>
      </c>
      <c r="L1371" s="244">
        <f>VLOOKUP(Main_Presentation[[#This Row],[LC Number]],Main_Issuance[],10,0)</f>
        <v>1020097</v>
      </c>
      <c r="M1371" s="244" t="str">
        <f>VLOOKUP(Main_Presentation[[#This Row],[LC Number]],Main_Issuance[],11,0)</f>
        <v>SAR</v>
      </c>
      <c r="N1371" s="245">
        <f>VLOOKUP(Main_Presentation[[#This Row],[LC Number]],Main_Issuance[],12,0)</f>
        <v>999166</v>
      </c>
      <c r="O1371" s="217" t="s">
        <v>20</v>
      </c>
      <c r="P1371" s="217" t="s">
        <v>378</v>
      </c>
      <c r="Q1371" s="218">
        <v>999166</v>
      </c>
      <c r="R1371" s="218">
        <v>1</v>
      </c>
      <c r="S1371" s="218">
        <f>Main_Presentation[[#This Row],[Invoice Amt (FCY)]]*Main_Presentation[[#This Row],[Rate]]</f>
        <v>999166</v>
      </c>
      <c r="T1371" s="227">
        <v>46026</v>
      </c>
      <c r="U1371" s="243" t="str">
        <f>VLOOKUP(Main_Presentation[[#This Row],[LC Number]],Main_Issuance[],18,0)</f>
        <v>30 Days From Invoice Date</v>
      </c>
      <c r="V1371" s="233" t="s">
        <v>96</v>
      </c>
      <c r="W1371" s="229" t="s">
        <v>857</v>
      </c>
      <c r="X1371" s="217"/>
      <c r="Y1371" s="399" t="str">
        <f>TRIM(LEFT(Main_Presentation[[#This Row],[Payment Terms]],3))</f>
        <v>30</v>
      </c>
      <c r="Z1371" s="217"/>
      <c r="AA1371" s="316" cm="1">
        <f t="array" ref="AA1371">Settlement(Main_Presentation[[#This Row],[Bank]],Main_Presentation[[#This Row],[ Invoice Amt (SAR)]],Main_Presentation[[#This Row],[Date Recd]],Main_Presentation[[#This Row],[Due Date]],Main_Presentation[[#This Row],[Days]])</f>
        <v>655.5</v>
      </c>
      <c r="AB1371" s="217"/>
    </row>
    <row r="1372" spans="1:28" ht="15.75" hidden="1" x14ac:dyDescent="0.25">
      <c r="A1372" s="226" t="s">
        <v>1690</v>
      </c>
      <c r="B1372" s="227">
        <v>46044</v>
      </c>
      <c r="C1372" s="243">
        <v>1</v>
      </c>
      <c r="D1372" s="228" t="str">
        <f>VLOOKUP(Main_Presentation[[#This Row],[LC Number]],Main_Issuance[],3,0)</f>
        <v>Tareeq Telmasani</v>
      </c>
      <c r="E1372" s="217" t="s">
        <v>858</v>
      </c>
      <c r="F1372" s="244" t="str">
        <f>VLOOKUP(Main_Presentation[[#This Row],[LC Number]],Main_Issuance[],5,0)</f>
        <v>SAB</v>
      </c>
      <c r="G1372" s="244" t="str">
        <f>VLOOKUP(Main_Presentation[[#This Row],[LC Number]],Main_Issuance[],6,0)</f>
        <v>CEER</v>
      </c>
      <c r="H1372" s="244" t="str">
        <f>VLOOKUP(Main_Presentation[[#This Row],[LC Number]],Main_Issuance[],17,0)</f>
        <v>Credit</v>
      </c>
      <c r="I1372" s="244" t="str">
        <f>VLOOKUP(Main_Presentation[[#This Row],[LC Number]],Main_Issuance[],7,0)</f>
        <v>Awraq Alqyqb Lltjart Company</v>
      </c>
      <c r="J1372" s="244" t="str">
        <f>VLOOKUP(Main_Presentation[[#This Row],[LC Number]],Main_Issuance[],8,0)</f>
        <v>FIRST FIX</v>
      </c>
      <c r="K1372" s="244" t="str">
        <f>VLOOKUP(Main_Presentation[[#This Row],[LC Number]],Main_Issuance[],9,0)</f>
        <v>CEER</v>
      </c>
      <c r="L1372" s="244">
        <f>VLOOKUP(Main_Presentation[[#This Row],[LC Number]],Main_Issuance[],10,0)</f>
        <v>1020091</v>
      </c>
      <c r="M1372" s="244" t="str">
        <f>VLOOKUP(Main_Presentation[[#This Row],[LC Number]],Main_Issuance[],11,0)</f>
        <v>SAR</v>
      </c>
      <c r="N1372" s="245">
        <f>VLOOKUP(Main_Presentation[[#This Row],[LC Number]],Main_Issuance[],12,0)</f>
        <v>850000</v>
      </c>
      <c r="O1372" s="217" t="s">
        <v>20</v>
      </c>
      <c r="P1372" s="217" t="s">
        <v>857</v>
      </c>
      <c r="Q1372" s="218">
        <v>850000</v>
      </c>
      <c r="R1372" s="218">
        <v>1</v>
      </c>
      <c r="S1372" s="218">
        <f>Main_Presentation[[#This Row],[Invoice Amt (FCY)]]*Main_Presentation[[#This Row],[Rate]]</f>
        <v>850000</v>
      </c>
      <c r="T1372" s="227">
        <v>46135</v>
      </c>
      <c r="U1372" s="243" t="str">
        <f>VLOOKUP(Main_Presentation[[#This Row],[LC Number]],Main_Issuance[],18,0)</f>
        <v>120 Days from Appl. Representative Sign</v>
      </c>
      <c r="V1372" s="233" t="s">
        <v>367</v>
      </c>
      <c r="W1372" s="229" t="s">
        <v>857</v>
      </c>
      <c r="X1372" s="217"/>
      <c r="Y1372" s="399" t="str">
        <f>TRIM(LEFT(Main_Presentation[[#This Row],[Payment Terms]],3))</f>
        <v>120</v>
      </c>
      <c r="Z1372" s="217"/>
      <c r="AA1372" s="316" cm="1">
        <f t="array" ref="AA1372">Settlement(Main_Presentation[[#This Row],[Bank]],Main_Presentation[[#This Row],[ Invoice Amt (SAR)]],Main_Presentation[[#This Row],[Date Recd]],Main_Presentation[[#This Row],[Due Date]],Main_Presentation[[#This Row],[Days]])</f>
        <v>3666.2</v>
      </c>
      <c r="AB1372" s="217"/>
    </row>
    <row r="1373" spans="1:28" ht="15.75" hidden="1" x14ac:dyDescent="0.25">
      <c r="A1373" s="278" t="s">
        <v>707</v>
      </c>
      <c r="B1373" s="227">
        <v>46015</v>
      </c>
      <c r="C1373" s="243">
        <v>2</v>
      </c>
      <c r="D1373" s="228" t="str">
        <f>VLOOKUP(Main_Presentation[[#This Row],[LC Number]],Main_Issuance[],3,0)</f>
        <v>Chaminda Indrajit</v>
      </c>
      <c r="E1373" s="217" t="s">
        <v>858</v>
      </c>
      <c r="F1373" s="244" t="str">
        <f>VLOOKUP(Main_Presentation[[#This Row],[LC Number]],Main_Issuance[],5,0)</f>
        <v>SNB</v>
      </c>
      <c r="G1373" s="244" t="str">
        <f>VLOOKUP(Main_Presentation[[#This Row],[LC Number]],Main_Issuance[],6,0)</f>
        <v>Opera House</v>
      </c>
      <c r="H1373" s="244" t="str">
        <f>VLOOKUP(Main_Presentation[[#This Row],[LC Number]],Main_Issuance[],17,0)</f>
        <v>Credit</v>
      </c>
      <c r="I1373" s="244" t="str">
        <f>VLOOKUP(Main_Presentation[[#This Row],[LC Number]],Main_Issuance[],7,0)</f>
        <v>BBH-CHEMTROL INTERNATIONAL ORGANIZATION S.L</v>
      </c>
      <c r="J1373" s="244" t="str">
        <f>VLOOKUP(Main_Presentation[[#This Row],[LC Number]],Main_Issuance[],8,0)</f>
        <v>MBL/ICAD</v>
      </c>
      <c r="K1373" s="244" t="str">
        <f>VLOOKUP(Main_Presentation[[#This Row],[LC Number]],Main_Issuance[],9,0)</f>
        <v>OPERA House</v>
      </c>
      <c r="L1373" s="244">
        <f>VLOOKUP(Main_Presentation[[#This Row],[LC Number]],Main_Issuance[],10,0)</f>
        <v>1020097</v>
      </c>
      <c r="M1373" s="244" t="str">
        <f>VLOOKUP(Main_Presentation[[#This Row],[LC Number]],Main_Issuance[],11,0)</f>
        <v>EUR</v>
      </c>
      <c r="N1373" s="245">
        <f>VLOOKUP(Main_Presentation[[#This Row],[LC Number]],Main_Issuance[],12,0)</f>
        <v>10500000</v>
      </c>
      <c r="O1373" s="217" t="s">
        <v>20</v>
      </c>
      <c r="P1373" s="217" t="s">
        <v>857</v>
      </c>
      <c r="Q1373" s="218">
        <v>128454.38</v>
      </c>
      <c r="R1373" s="218">
        <v>4.4555999999999996</v>
      </c>
      <c r="S1373" s="218">
        <f>Main_Presentation[[#This Row],[Invoice Amt (FCY)]]*Main_Presentation[[#This Row],[Rate]]</f>
        <v>572341.33552799991</v>
      </c>
      <c r="T1373" s="227">
        <v>46027</v>
      </c>
      <c r="U1373" s="243" t="str">
        <f>VLOOKUP(Main_Presentation[[#This Row],[LC Number]],Main_Issuance[],18,0)</f>
        <v>30 Days from Shipment Date</v>
      </c>
      <c r="V1373" s="233" t="s">
        <v>96</v>
      </c>
      <c r="W1373" s="229" t="s">
        <v>857</v>
      </c>
      <c r="X1373" s="217"/>
      <c r="Y1373" s="399" t="str">
        <f>TRIM(LEFT(Main_Presentation[[#This Row],[Payment Terms]],3))</f>
        <v>30</v>
      </c>
      <c r="Z1373" s="217"/>
      <c r="AA1373" s="316" cm="1">
        <f t="array" ref="AA1373">Settlement(Main_Presentation[[#This Row],[Bank]],Main_Presentation[[#This Row],[ Invoice Amt (SAR)]],Main_Presentation[[#This Row],[Date Recd]],Main_Presentation[[#This Row],[Due Date]],Main_Presentation[[#This Row],[Days]])</f>
        <v>655.5</v>
      </c>
      <c r="AB1373" s="217"/>
    </row>
    <row r="1374" spans="1:28" ht="15.75" hidden="1" x14ac:dyDescent="0.25">
      <c r="A1374" s="226" t="s">
        <v>3144</v>
      </c>
      <c r="B1374" s="227">
        <v>46035</v>
      </c>
      <c r="C1374" s="243">
        <v>1</v>
      </c>
      <c r="D1374" s="228" t="str">
        <f>VLOOKUP(Main_Presentation[[#This Row],[LC Number]],Main_Issuance[],3,0)</f>
        <v>Essam Zahran</v>
      </c>
      <c r="E1374" s="217" t="s">
        <v>858</v>
      </c>
      <c r="F1374" s="244" t="str">
        <f>VLOOKUP(Main_Presentation[[#This Row],[LC Number]],Main_Issuance[],5,0)</f>
        <v>Alinma</v>
      </c>
      <c r="G1374" s="244" t="str">
        <f>VLOOKUP(Main_Presentation[[#This Row],[LC Number]],Main_Issuance[],6,0)</f>
        <v>KSP</v>
      </c>
      <c r="H1374" s="244" t="str">
        <f>VLOOKUP(Main_Presentation[[#This Row],[LC Number]],Main_Issuance[],17,0)</f>
        <v>Credit</v>
      </c>
      <c r="I1374" s="244" t="str">
        <f>VLOOKUP(Main_Presentation[[#This Row],[LC Number]],Main_Issuance[],7,0)</f>
        <v>Depa Saudi Arabia for Contracting and Interior Decorating Co. Ltd.</v>
      </c>
      <c r="J1374" s="244" t="str">
        <f>VLOOKUP(Main_Presentation[[#This Row],[LC Number]],Main_Issuance[],8,0)</f>
        <v>MBL</v>
      </c>
      <c r="K1374" s="244" t="str">
        <f>VLOOKUP(Main_Presentation[[#This Row],[LC Number]],Main_Issuance[],9,0)</f>
        <v>KSP</v>
      </c>
      <c r="L1374" s="244">
        <f>VLOOKUP(Main_Presentation[[#This Row],[LC Number]],Main_Issuance[],10,0)</f>
        <v>1020055</v>
      </c>
      <c r="M1374" s="244" t="str">
        <f>VLOOKUP(Main_Presentation[[#This Row],[LC Number]],Main_Issuance[],11,0)</f>
        <v>SAR</v>
      </c>
      <c r="N1374" s="245">
        <f>VLOOKUP(Main_Presentation[[#This Row],[LC Number]],Main_Issuance[],12,0)</f>
        <v>30000000</v>
      </c>
      <c r="O1374" s="217" t="s">
        <v>20</v>
      </c>
      <c r="P1374" s="217" t="s">
        <v>857</v>
      </c>
      <c r="Q1374" s="218">
        <v>11768747.039999999</v>
      </c>
      <c r="R1374" s="218">
        <v>1</v>
      </c>
      <c r="S1374" s="218">
        <f>Main_Presentation[[#This Row],[Invoice Amt (FCY)]]*Main_Presentation[[#This Row],[Rate]]</f>
        <v>11768747.039999999</v>
      </c>
      <c r="T1374" s="227">
        <v>46097</v>
      </c>
      <c r="U1374" s="243" t="str">
        <f>VLOOKUP(Main_Presentation[[#This Row],[LC Number]],Main_Issuance[],18,0)</f>
        <v>90 Days from Invoice Date</v>
      </c>
      <c r="V1374" s="233" t="s">
        <v>4389</v>
      </c>
      <c r="W1374" s="229" t="s">
        <v>378</v>
      </c>
      <c r="X1374" s="217" t="s">
        <v>4390</v>
      </c>
      <c r="Y1374" s="399" t="str">
        <f>TRIM(LEFT(Main_Presentation[[#This Row],[Payment Terms]],3))</f>
        <v>90</v>
      </c>
      <c r="Z1374" s="217"/>
      <c r="AA1374" s="316" cm="1">
        <f t="array" ref="AA1374">Settlement(Main_Presentation[[#This Row],[Bank]],Main_Presentation[[#This Row],[ Invoice Amt (SAR)]],Main_Presentation[[#This Row],[Date Recd]],Main_Presentation[[#This Row],[Due Date]],Main_Presentation[[#This Row],[Days]])</f>
        <v>11278.05</v>
      </c>
      <c r="AB1374" s="217"/>
    </row>
    <row r="1375" spans="1:28" ht="15.75" hidden="1" x14ac:dyDescent="0.25">
      <c r="A1375" s="226" t="s">
        <v>1810</v>
      </c>
      <c r="B1375" s="227">
        <v>46048</v>
      </c>
      <c r="C1375" s="243">
        <v>4</v>
      </c>
      <c r="D1375" s="228" t="str">
        <f>VLOOKUP(Main_Presentation[[#This Row],[LC Number]],Main_Issuance[],3,0)</f>
        <v>AbdulAziz Eraiba Fawzi</v>
      </c>
      <c r="E1375" s="217" t="s">
        <v>856</v>
      </c>
      <c r="F1375" s="244" t="str">
        <f>VLOOKUP(Main_Presentation[[#This Row],[LC Number]],Main_Issuance[],5,0)</f>
        <v>Jazira</v>
      </c>
      <c r="G1375" s="244" t="str">
        <f>VLOOKUP(Main_Presentation[[#This Row],[LC Number]],Main_Issuance[],6,0)</f>
        <v>RCRC</v>
      </c>
      <c r="H1375" s="244" t="str">
        <f>VLOOKUP(Main_Presentation[[#This Row],[LC Number]],Main_Issuance[],17,0)</f>
        <v>Credit</v>
      </c>
      <c r="I1375" s="244" t="str">
        <f>VLOOKUP(Main_Presentation[[#This Row],[LC Number]],Main_Issuance[],7,0)</f>
        <v>AL FALWA CO. LTD. FOR READYMIX CONCRETE</v>
      </c>
      <c r="J1375" s="244" t="str">
        <f>VLOOKUP(Main_Presentation[[#This Row],[LC Number]],Main_Issuance[],8,0)</f>
        <v>MBL</v>
      </c>
      <c r="K1375" s="244" t="str">
        <f>VLOOKUP(Main_Presentation[[#This Row],[LC Number]],Main_Issuance[],9,0)</f>
        <v>RCRC</v>
      </c>
      <c r="L1375" s="244">
        <f>VLOOKUP(Main_Presentation[[#This Row],[LC Number]],Main_Issuance[],10,0)</f>
        <v>1020106</v>
      </c>
      <c r="M1375" s="244" t="str">
        <f>VLOOKUP(Main_Presentation[[#This Row],[LC Number]],Main_Issuance[],11,0)</f>
        <v>SAR</v>
      </c>
      <c r="N1375" s="245">
        <f>VLOOKUP(Main_Presentation[[#This Row],[LC Number]],Main_Issuance[],12,0)</f>
        <v>10000000</v>
      </c>
      <c r="O1375" s="217" t="s">
        <v>20</v>
      </c>
      <c r="P1375" s="217" t="s">
        <v>378</v>
      </c>
      <c r="Q1375" s="218">
        <v>519801.15</v>
      </c>
      <c r="R1375" s="218">
        <v>1</v>
      </c>
      <c r="S1375" s="218">
        <f>Main_Presentation[[#This Row],[Invoice Amt (FCY)]]*Main_Presentation[[#This Row],[Rate]]</f>
        <v>519801.15</v>
      </c>
      <c r="T1375" s="227">
        <v>46076</v>
      </c>
      <c r="U1375" s="243" t="str">
        <f>VLOOKUP(Main_Presentation[[#This Row],[LC Number]],Main_Issuance[],18,0)</f>
        <v>60 Days from Invoice Date</v>
      </c>
      <c r="V1375" s="233" t="s">
        <v>613</v>
      </c>
      <c r="W1375" s="229" t="s">
        <v>857</v>
      </c>
      <c r="X1375" s="217"/>
      <c r="Y1375" s="399" t="str">
        <f>TRIM(LEFT(Main_Presentation[[#This Row],[Payment Terms]],3))</f>
        <v>60</v>
      </c>
      <c r="Z1375" s="217"/>
      <c r="AA1375" s="316" cm="1">
        <f t="array" ref="AA1375">Settlement(Main_Presentation[[#This Row],[Bank]],Main_Presentation[[#This Row],[ Invoice Amt (SAR)]],Main_Presentation[[#This Row],[Date Recd]],Main_Presentation[[#This Row],[Due Date]],Main_Presentation[[#This Row],[Days]])</f>
        <v>842.95</v>
      </c>
      <c r="AB1375" s="217"/>
    </row>
    <row r="1376" spans="1:28" ht="15.75" hidden="1" x14ac:dyDescent="0.25">
      <c r="A1376" s="226" t="s">
        <v>1934</v>
      </c>
      <c r="B1376" s="227">
        <v>46020</v>
      </c>
      <c r="C1376" s="243">
        <v>5</v>
      </c>
      <c r="D1376" s="228" t="str">
        <f>VLOOKUP(Main_Presentation[[#This Row],[LC Number]],Main_Issuance[],3,0)</f>
        <v>Luis Puente</v>
      </c>
      <c r="E1376" s="217" t="s">
        <v>856</v>
      </c>
      <c r="F1376" s="244" t="str">
        <f>VLOOKUP(Main_Presentation[[#This Row],[LC Number]],Main_Issuance[],5,0)</f>
        <v>Riyad</v>
      </c>
      <c r="G1376" s="244" t="str">
        <f>VLOOKUP(Main_Presentation[[#This Row],[LC Number]],Main_Issuance[],6,0)</f>
        <v>Oceanarium</v>
      </c>
      <c r="H1376" s="244" t="str">
        <f>VLOOKUP(Main_Presentation[[#This Row],[LC Number]],Main_Issuance[],17,0)</f>
        <v>Credit</v>
      </c>
      <c r="I1376" s="244" t="str">
        <f>VLOOKUP(Main_Presentation[[#This Row],[LC Number]],Main_Issuance[],7,0)</f>
        <v>Mat Filtrasyon Teknolojeleri A.S</v>
      </c>
      <c r="J1376" s="244" t="str">
        <f>VLOOKUP(Main_Presentation[[#This Row],[LC Number]],Main_Issuance[],8,0)</f>
        <v>MBL</v>
      </c>
      <c r="K1376" s="244" t="str">
        <f>VLOOKUP(Main_Presentation[[#This Row],[LC Number]],Main_Issuance[],9,0)</f>
        <v>Oceanarium</v>
      </c>
      <c r="L1376" s="244">
        <f>VLOOKUP(Main_Presentation[[#This Row],[LC Number]],Main_Issuance[],10,0)</f>
        <v>1020096</v>
      </c>
      <c r="M1376" s="244" t="str">
        <f>VLOOKUP(Main_Presentation[[#This Row],[LC Number]],Main_Issuance[],11,0)</f>
        <v>SAR</v>
      </c>
      <c r="N1376" s="245">
        <f>VLOOKUP(Main_Presentation[[#This Row],[LC Number]],Main_Issuance[],12,0)</f>
        <v>25907203.759999998</v>
      </c>
      <c r="O1376" s="217" t="s">
        <v>20</v>
      </c>
      <c r="P1376" s="217" t="s">
        <v>857</v>
      </c>
      <c r="Q1376" s="218">
        <f>3037711.87-884757.29</f>
        <v>2152954.58</v>
      </c>
      <c r="R1376" s="218">
        <v>1</v>
      </c>
      <c r="S1376" s="218">
        <f>Main_Presentation[[#This Row],[Invoice Amt (FCY)]]*Main_Presentation[[#This Row],[Rate]]</f>
        <v>2152954.58</v>
      </c>
      <c r="T1376" s="227">
        <v>46048</v>
      </c>
      <c r="U1376" s="243" t="str">
        <f>VLOOKUP(Main_Presentation[[#This Row],[LC Number]],Main_Issuance[],18,0)</f>
        <v>45 Days from Invoice Date</v>
      </c>
      <c r="V1376" s="233" t="s">
        <v>483</v>
      </c>
      <c r="W1376" s="229" t="s">
        <v>857</v>
      </c>
      <c r="X1376" s="217"/>
      <c r="Y1376" s="399" t="str">
        <f>TRIM(LEFT(Main_Presentation[[#This Row],[Payment Terms]],3))</f>
        <v>45</v>
      </c>
      <c r="Z1376" s="217"/>
      <c r="AA1376" s="316" cm="1">
        <f t="array" ref="AA1376">Settlement(Main_Presentation[[#This Row],[Bank]],Main_Presentation[[#This Row],[ Invoice Amt (SAR)]],Main_Presentation[[#This Row],[Date Recd]],Main_Presentation[[#This Row],[Due Date]],Main_Presentation[[#This Row],[Days]])</f>
        <v>3094.65</v>
      </c>
      <c r="AB1376" s="217"/>
    </row>
    <row r="1377" spans="1:28" ht="15.75" hidden="1" x14ac:dyDescent="0.25">
      <c r="A1377" s="20" t="s">
        <v>2903</v>
      </c>
      <c r="B1377" s="15">
        <v>46036</v>
      </c>
      <c r="C1377" s="26">
        <v>2</v>
      </c>
      <c r="D1377" s="55" t="str">
        <f>VLOOKUP(Main_Presentation[[#This Row],[LC Number]],Main_Issuance[],3,0)</f>
        <v>Hassan Taleb</v>
      </c>
      <c r="E1377" s="16" t="s">
        <v>858</v>
      </c>
      <c r="F1377" s="17" t="str">
        <f>VLOOKUP(Main_Presentation[[#This Row],[LC Number]],Main_Issuance[],5,0)</f>
        <v>SAB</v>
      </c>
      <c r="G1377" s="17" t="str">
        <f>VLOOKUP(Main_Presentation[[#This Row],[LC Number]],Main_Issuance[],6,0)</f>
        <v>MP1</v>
      </c>
      <c r="H1377" s="17" t="str">
        <f>VLOOKUP(Main_Presentation[[#This Row],[LC Number]],Main_Issuance[],17,0)</f>
        <v>Credit</v>
      </c>
      <c r="I1377" s="17" t="str">
        <f>VLOOKUP(Main_Presentation[[#This Row],[LC Number]],Main_Issuance[],7,0)</f>
        <v>Ajzal United for Safety CO.LTD.</v>
      </c>
      <c r="J1377" s="17" t="str">
        <f>VLOOKUP(Main_Presentation[[#This Row],[LC Number]],Main_Issuance[],8,0)</f>
        <v>FIRST FIX</v>
      </c>
      <c r="K1377" s="17" t="str">
        <f>VLOOKUP(Main_Presentation[[#This Row],[LC Number]],Main_Issuance[],9,0)</f>
        <v>MP1</v>
      </c>
      <c r="L1377" s="17">
        <f>VLOOKUP(Main_Presentation[[#This Row],[LC Number]],Main_Issuance[],10,0)</f>
        <v>1020088</v>
      </c>
      <c r="M1377" s="17" t="str">
        <f>VLOOKUP(Main_Presentation[[#This Row],[LC Number]],Main_Issuance[],11,0)</f>
        <v>SAR</v>
      </c>
      <c r="N1377" s="84">
        <f>VLOOKUP(Main_Presentation[[#This Row],[LC Number]],Main_Issuance[],12,0)</f>
        <v>800000</v>
      </c>
      <c r="O1377" s="16" t="s">
        <v>20</v>
      </c>
      <c r="P1377" s="16" t="s">
        <v>857</v>
      </c>
      <c r="Q1377" s="18">
        <v>218125.67</v>
      </c>
      <c r="R1377" s="18">
        <v>1</v>
      </c>
      <c r="S1377" s="18">
        <f>Main_Presentation[[#This Row],[Invoice Amt (FCY)]]*Main_Presentation[[#This Row],[Rate]]</f>
        <v>218125.67</v>
      </c>
      <c r="T1377" s="227">
        <v>46133</v>
      </c>
      <c r="U1377" s="26" t="str">
        <f>VLOOKUP(Main_Presentation[[#This Row],[LC Number]],Main_Issuance[],18,0)</f>
        <v>120 Days from Invoice Date</v>
      </c>
      <c r="V1377" s="249" t="s">
        <v>710</v>
      </c>
      <c r="W1377" s="22" t="s">
        <v>857</v>
      </c>
      <c r="X1377" s="16"/>
      <c r="Y1377" s="234" t="str">
        <f>TRIM(LEFT(Main_Presentation[[#This Row],[Payment Terms]],3))</f>
        <v>120</v>
      </c>
      <c r="Z1377" s="16"/>
      <c r="AA1377" s="316" cm="1">
        <f t="array" ref="AA1377">Settlement(Main_Presentation[[#This Row],[Bank]],Main_Presentation[[#This Row],[ Invoice Amt (SAR)]],Main_Presentation[[#This Row],[Date Recd]],Main_Presentation[[#This Row],[Due Date]],Main_Presentation[[#This Row],[Days]])</f>
        <v>940.7</v>
      </c>
      <c r="AB1377" s="16"/>
    </row>
    <row r="1378" spans="1:28" ht="15.75" hidden="1" x14ac:dyDescent="0.25">
      <c r="A1378" s="20" t="s">
        <v>1899</v>
      </c>
      <c r="B1378" s="15">
        <v>46047</v>
      </c>
      <c r="C1378" s="26">
        <v>1</v>
      </c>
      <c r="D1378" s="55" t="str">
        <f>VLOOKUP(Main_Presentation[[#This Row],[LC Number]],Main_Issuance[],3,0)</f>
        <v>Hassan Taleb</v>
      </c>
      <c r="E1378" s="16" t="s">
        <v>858</v>
      </c>
      <c r="F1378" s="17" t="str">
        <f>VLOOKUP(Main_Presentation[[#This Row],[LC Number]],Main_Issuance[],5,0)</f>
        <v>SAB</v>
      </c>
      <c r="G1378" s="17" t="str">
        <f>VLOOKUP(Main_Presentation[[#This Row],[LC Number]],Main_Issuance[],6,0)</f>
        <v>MP1</v>
      </c>
      <c r="H1378" s="17" t="str">
        <f>VLOOKUP(Main_Presentation[[#This Row],[LC Number]],Main_Issuance[],17,0)</f>
        <v>Credit</v>
      </c>
      <c r="I1378" s="17" t="str">
        <f>VLOOKUP(Main_Presentation[[#This Row],[LC Number]],Main_Issuance[],7,0)</f>
        <v>BROOQ ALAMAAN TRAD COMPANY</v>
      </c>
      <c r="J1378" s="17" t="str">
        <f>VLOOKUP(Main_Presentation[[#This Row],[LC Number]],Main_Issuance[],8,0)</f>
        <v>FIRST FIX</v>
      </c>
      <c r="K1378" s="17" t="str">
        <f>VLOOKUP(Main_Presentation[[#This Row],[LC Number]],Main_Issuance[],9,0)</f>
        <v>MP1</v>
      </c>
      <c r="L1378" s="17">
        <f>VLOOKUP(Main_Presentation[[#This Row],[LC Number]],Main_Issuance[],10,0)</f>
        <v>1020088</v>
      </c>
      <c r="M1378" s="17" t="str">
        <f>VLOOKUP(Main_Presentation[[#This Row],[LC Number]],Main_Issuance[],11,0)</f>
        <v>SAR</v>
      </c>
      <c r="N1378" s="84">
        <f>VLOOKUP(Main_Presentation[[#This Row],[LC Number]],Main_Issuance[],12,0)</f>
        <v>400000</v>
      </c>
      <c r="O1378" s="16" t="s">
        <v>20</v>
      </c>
      <c r="P1378" s="16" t="s">
        <v>857</v>
      </c>
      <c r="Q1378" s="18">
        <v>347240.48</v>
      </c>
      <c r="R1378" s="18">
        <v>1</v>
      </c>
      <c r="S1378" s="18">
        <f>Main_Presentation[[#This Row],[Invoice Amt (FCY)]]*Main_Presentation[[#This Row],[Rate]]</f>
        <v>347240.48</v>
      </c>
      <c r="T1378" s="227">
        <v>46134</v>
      </c>
      <c r="U1378" s="26" t="str">
        <f>VLOOKUP(Main_Presentation[[#This Row],[LC Number]],Main_Issuance[],18,0)</f>
        <v>120 Days from Invoice Date</v>
      </c>
      <c r="V1378" s="249" t="s">
        <v>710</v>
      </c>
      <c r="W1378" s="22" t="s">
        <v>857</v>
      </c>
      <c r="X1378" s="217"/>
      <c r="Y1378" s="234" t="str">
        <f>TRIM(LEFT(Main_Presentation[[#This Row],[Payment Terms]],3))</f>
        <v>120</v>
      </c>
      <c r="Z1378" s="16"/>
      <c r="AA1378" s="316" cm="1">
        <f t="array" ref="AA1378">Settlement(Main_Presentation[[#This Row],[Bank]],Main_Presentation[[#This Row],[ Invoice Amt (SAR)]],Main_Presentation[[#This Row],[Date Recd]],Main_Presentation[[#This Row],[Due Date]],Main_Presentation[[#This Row],[Days]])</f>
        <v>1497.3</v>
      </c>
      <c r="AB1378" s="16"/>
    </row>
    <row r="1379" spans="1:28" ht="15.75" hidden="1" x14ac:dyDescent="0.25">
      <c r="A1379" s="20" t="s">
        <v>1905</v>
      </c>
      <c r="B1379" s="15">
        <v>46036</v>
      </c>
      <c r="C1379" s="26">
        <v>1</v>
      </c>
      <c r="D1379" s="55" t="str">
        <f>VLOOKUP(Main_Presentation[[#This Row],[LC Number]],Main_Issuance[],3,0)</f>
        <v>Hassan Taleb</v>
      </c>
      <c r="E1379" s="16" t="s">
        <v>856</v>
      </c>
      <c r="F1379" s="17" t="str">
        <f>VLOOKUP(Main_Presentation[[#This Row],[LC Number]],Main_Issuance[],5,0)</f>
        <v>SAB</v>
      </c>
      <c r="G1379" s="17" t="str">
        <f>VLOOKUP(Main_Presentation[[#This Row],[LC Number]],Main_Issuance[],6,0)</f>
        <v>MP1</v>
      </c>
      <c r="H1379" s="17" t="str">
        <f>VLOOKUP(Main_Presentation[[#This Row],[LC Number]],Main_Issuance[],17,0)</f>
        <v>Credit</v>
      </c>
      <c r="I1379" s="17" t="str">
        <f>VLOOKUP(Main_Presentation[[#This Row],[LC Number]],Main_Issuance[],7,0)</f>
        <v>Arabian International Company For Contracting</v>
      </c>
      <c r="J1379" s="17" t="str">
        <f>VLOOKUP(Main_Presentation[[#This Row],[LC Number]],Main_Issuance[],8,0)</f>
        <v>FIRST FIX</v>
      </c>
      <c r="K1379" s="17" t="str">
        <f>VLOOKUP(Main_Presentation[[#This Row],[LC Number]],Main_Issuance[],9,0)</f>
        <v>MP1</v>
      </c>
      <c r="L1379" s="17">
        <f>VLOOKUP(Main_Presentation[[#This Row],[LC Number]],Main_Issuance[],10,0)</f>
        <v>1020088</v>
      </c>
      <c r="M1379" s="17" t="str">
        <f>VLOOKUP(Main_Presentation[[#This Row],[LC Number]],Main_Issuance[],11,0)</f>
        <v>SAR</v>
      </c>
      <c r="N1379" s="84">
        <f>VLOOKUP(Main_Presentation[[#This Row],[LC Number]],Main_Issuance[],12,0)</f>
        <v>500000</v>
      </c>
      <c r="O1379" s="16" t="s">
        <v>20</v>
      </c>
      <c r="P1379" s="16" t="s">
        <v>857</v>
      </c>
      <c r="Q1379" s="18">
        <v>500000</v>
      </c>
      <c r="R1379" s="18">
        <v>1</v>
      </c>
      <c r="S1379" s="18">
        <f>Main_Presentation[[#This Row],[Invoice Amt (FCY)]]*Main_Presentation[[#This Row],[Rate]]</f>
        <v>500000</v>
      </c>
      <c r="T1379" s="227">
        <v>46138</v>
      </c>
      <c r="U1379" s="26" t="str">
        <f>VLOOKUP(Main_Presentation[[#This Row],[LC Number]],Main_Issuance[],18,0)</f>
        <v>120 Days from Invoice Date</v>
      </c>
      <c r="V1379" s="249" t="s">
        <v>710</v>
      </c>
      <c r="W1379" s="22" t="s">
        <v>857</v>
      </c>
      <c r="X1379" s="16"/>
      <c r="Y1379" s="234" t="str">
        <f>TRIM(LEFT(Main_Presentation[[#This Row],[Payment Terms]],3))</f>
        <v>120</v>
      </c>
      <c r="Z1379" s="16"/>
      <c r="AA1379" s="316" cm="1">
        <f t="array" ref="AA1379">Settlement(Main_Presentation[[#This Row],[Bank]],Main_Presentation[[#This Row],[ Invoice Amt (SAR)]],Main_Presentation[[#This Row],[Date Recd]],Main_Presentation[[#This Row],[Due Date]],Main_Presentation[[#This Row],[Days]])</f>
        <v>2156.25</v>
      </c>
      <c r="AB1379" s="16"/>
    </row>
    <row r="1380" spans="1:28" ht="15.75" hidden="1" x14ac:dyDescent="0.25">
      <c r="A1380" s="20" t="s">
        <v>2904</v>
      </c>
      <c r="B1380" s="15">
        <v>46048</v>
      </c>
      <c r="C1380" s="26">
        <v>1</v>
      </c>
      <c r="D1380" s="55" t="str">
        <f>VLOOKUP(Main_Presentation[[#This Row],[LC Number]],Main_Issuance[],3,0)</f>
        <v>Hassan Taleb</v>
      </c>
      <c r="E1380" s="16" t="s">
        <v>858</v>
      </c>
      <c r="F1380" s="17" t="str">
        <f>VLOOKUP(Main_Presentation[[#This Row],[LC Number]],Main_Issuance[],5,0)</f>
        <v>SAB</v>
      </c>
      <c r="G1380" s="17" t="str">
        <f>VLOOKUP(Main_Presentation[[#This Row],[LC Number]],Main_Issuance[],6,0)</f>
        <v>MP1</v>
      </c>
      <c r="H1380" s="17" t="str">
        <f>VLOOKUP(Main_Presentation[[#This Row],[LC Number]],Main_Issuance[],17,0)</f>
        <v>Credit</v>
      </c>
      <c r="I1380" s="17" t="str">
        <f>VLOOKUP(Main_Presentation[[#This Row],[LC Number]],Main_Issuance[],7,0)</f>
        <v>ELSEWEDY CABLES CO. LIMITED</v>
      </c>
      <c r="J1380" s="17" t="str">
        <f>VLOOKUP(Main_Presentation[[#This Row],[LC Number]],Main_Issuance[],8,0)</f>
        <v>FIRST FIX</v>
      </c>
      <c r="K1380" s="17" t="str">
        <f>VLOOKUP(Main_Presentation[[#This Row],[LC Number]],Main_Issuance[],9,0)</f>
        <v>MP1</v>
      </c>
      <c r="L1380" s="17">
        <f>VLOOKUP(Main_Presentation[[#This Row],[LC Number]],Main_Issuance[],10,0)</f>
        <v>1020088</v>
      </c>
      <c r="M1380" s="17" t="str">
        <f>VLOOKUP(Main_Presentation[[#This Row],[LC Number]],Main_Issuance[],11,0)</f>
        <v>SAR</v>
      </c>
      <c r="N1380" s="84">
        <f>VLOOKUP(Main_Presentation[[#This Row],[LC Number]],Main_Issuance[],12,0)</f>
        <v>6908467.5099999998</v>
      </c>
      <c r="O1380" s="16" t="s">
        <v>20</v>
      </c>
      <c r="P1380" s="16" t="s">
        <v>857</v>
      </c>
      <c r="Q1380" s="18">
        <v>5903039.0800000001</v>
      </c>
      <c r="R1380" s="18">
        <v>1</v>
      </c>
      <c r="S1380" s="18">
        <f>Main_Presentation[[#This Row],[Invoice Amt (FCY)]]*Main_Presentation[[#This Row],[Rate]]</f>
        <v>5903039.0800000001</v>
      </c>
      <c r="T1380" s="227">
        <v>46126</v>
      </c>
      <c r="U1380" s="26" t="str">
        <f>VLOOKUP(Main_Presentation[[#This Row],[LC Number]],Main_Issuance[],18,0)</f>
        <v>120 Days from Invoice Date</v>
      </c>
      <c r="V1380" s="249" t="s">
        <v>710</v>
      </c>
      <c r="W1380" s="22" t="s">
        <v>857</v>
      </c>
      <c r="X1380" s="217"/>
      <c r="Y1380" s="234" t="str">
        <f>TRIM(LEFT(Main_Presentation[[#This Row],[Payment Terms]],3))</f>
        <v>120</v>
      </c>
      <c r="Z1380" s="16"/>
      <c r="AA1380" s="316" cm="1">
        <f t="array" ref="AA1380">Settlement(Main_Presentation[[#This Row],[Bank]],Main_Presentation[[#This Row],[ Invoice Amt (SAR)]],Main_Presentation[[#This Row],[Date Recd]],Main_Presentation[[#This Row],[Due Date]],Main_Presentation[[#This Row],[Days]])</f>
        <v>25456.400000000001</v>
      </c>
      <c r="AB1380" s="16"/>
    </row>
    <row r="1381" spans="1:28" ht="15.75" hidden="1" x14ac:dyDescent="0.25">
      <c r="A1381" s="20" t="s">
        <v>1489</v>
      </c>
      <c r="B1381" s="15">
        <v>46041</v>
      </c>
      <c r="C1381" s="26">
        <v>1</v>
      </c>
      <c r="D1381" s="55" t="str">
        <f>VLOOKUP(Main_Presentation[[#This Row],[LC Number]],Main_Issuance[],3,0)</f>
        <v>Hassan Taleb</v>
      </c>
      <c r="E1381" s="16" t="s">
        <v>858</v>
      </c>
      <c r="F1381" s="17" t="str">
        <f>VLOOKUP(Main_Presentation[[#This Row],[LC Number]],Main_Issuance[],5,0)</f>
        <v>Alinma</v>
      </c>
      <c r="G1381" s="17" t="str">
        <f>VLOOKUP(Main_Presentation[[#This Row],[LC Number]],Main_Issuance[],6,0)</f>
        <v>KSP</v>
      </c>
      <c r="H1381" s="17" t="str">
        <f>VLOOKUP(Main_Presentation[[#This Row],[LC Number]],Main_Issuance[],17,0)</f>
        <v>Credit</v>
      </c>
      <c r="I1381" s="17" t="str">
        <f>VLOOKUP(Main_Presentation[[#This Row],[LC Number]],Main_Issuance[],7,0)</f>
        <v>AFAQ AL MALAZ TRADING CO. LTD</v>
      </c>
      <c r="J1381" s="17" t="str">
        <f>VLOOKUP(Main_Presentation[[#This Row],[LC Number]],Main_Issuance[],8,0)</f>
        <v>FIRST FIX</v>
      </c>
      <c r="K1381" s="17" t="str">
        <f>VLOOKUP(Main_Presentation[[#This Row],[LC Number]],Main_Issuance[],9,0)</f>
        <v>JCD SPMI</v>
      </c>
      <c r="L1381" s="17">
        <f>VLOOKUP(Main_Presentation[[#This Row],[LC Number]],Main_Issuance[],10,0)</f>
        <v>1020100</v>
      </c>
      <c r="M1381" s="17" t="str">
        <f>VLOOKUP(Main_Presentation[[#This Row],[LC Number]],Main_Issuance[],11,0)</f>
        <v>SAR</v>
      </c>
      <c r="N1381" s="84">
        <f>VLOOKUP(Main_Presentation[[#This Row],[LC Number]],Main_Issuance[],12,0)</f>
        <v>300000</v>
      </c>
      <c r="O1381" s="16" t="s">
        <v>20</v>
      </c>
      <c r="P1381" s="16" t="s">
        <v>857</v>
      </c>
      <c r="Q1381" s="18">
        <v>300000</v>
      </c>
      <c r="R1381" s="18">
        <v>1</v>
      </c>
      <c r="S1381" s="18">
        <f>Main_Presentation[[#This Row],[Invoice Amt (FCY)]]*Main_Presentation[[#This Row],[Rate]]</f>
        <v>300000</v>
      </c>
      <c r="T1381" s="227">
        <v>46117</v>
      </c>
      <c r="U1381" s="26" t="str">
        <f>VLOOKUP(Main_Presentation[[#This Row],[LC Number]],Main_Issuance[],18,0)</f>
        <v>90 Days from Appl. Representative Sign</v>
      </c>
      <c r="V1381" s="249" t="s">
        <v>407</v>
      </c>
      <c r="W1381" s="22" t="s">
        <v>857</v>
      </c>
      <c r="X1381" s="16"/>
      <c r="Y1381" s="234" t="str">
        <f>TRIM(LEFT(Main_Presentation[[#This Row],[Payment Terms]],3))</f>
        <v>90</v>
      </c>
      <c r="Z1381" s="16"/>
      <c r="AA1381" s="316" cm="1">
        <f t="array" ref="AA1381">Settlement(Main_Presentation[[#This Row],[Bank]],Main_Presentation[[#This Row],[ Invoice Amt (SAR)]],Main_Presentation[[#This Row],[Date Recd]],Main_Presentation[[#This Row],[Due Date]],Main_Presentation[[#This Row],[Days]])</f>
        <v>1437.5</v>
      </c>
      <c r="AB1381" s="16"/>
    </row>
    <row r="1382" spans="1:28" ht="15.75" hidden="1" x14ac:dyDescent="0.25">
      <c r="A1382" s="20" t="s">
        <v>2619</v>
      </c>
      <c r="B1382" s="15">
        <v>46041</v>
      </c>
      <c r="C1382" s="26">
        <v>1</v>
      </c>
      <c r="D1382" s="55" t="str">
        <f>VLOOKUP(Main_Presentation[[#This Row],[LC Number]],Main_Issuance[],3,0)</f>
        <v>Hassan Taleb</v>
      </c>
      <c r="E1382" s="16" t="s">
        <v>856</v>
      </c>
      <c r="F1382" s="17" t="str">
        <f>VLOOKUP(Main_Presentation[[#This Row],[LC Number]],Main_Issuance[],5,0)</f>
        <v>Alinma</v>
      </c>
      <c r="G1382" s="17" t="str">
        <f>VLOOKUP(Main_Presentation[[#This Row],[LC Number]],Main_Issuance[],6,0)</f>
        <v>KSP</v>
      </c>
      <c r="H1382" s="17" t="str">
        <f>VLOOKUP(Main_Presentation[[#This Row],[LC Number]],Main_Issuance[],17,0)</f>
        <v>Credit</v>
      </c>
      <c r="I1382" s="17" t="str">
        <f>VLOOKUP(Main_Presentation[[#This Row],[LC Number]],Main_Issuance[],7,0)</f>
        <v>AL MOUSA TRADING CO.</v>
      </c>
      <c r="J1382" s="17" t="str">
        <f>VLOOKUP(Main_Presentation[[#This Row],[LC Number]],Main_Issuance[],8,0)</f>
        <v>FIRST FIX</v>
      </c>
      <c r="K1382" s="17" t="str">
        <f>VLOOKUP(Main_Presentation[[#This Row],[LC Number]],Main_Issuance[],9,0)</f>
        <v>KSP</v>
      </c>
      <c r="L1382" s="17">
        <f>VLOOKUP(Main_Presentation[[#This Row],[LC Number]],Main_Issuance[],10,0)</f>
        <v>1020055</v>
      </c>
      <c r="M1382" s="17" t="str">
        <f>VLOOKUP(Main_Presentation[[#This Row],[LC Number]],Main_Issuance[],11,0)</f>
        <v>SAR</v>
      </c>
      <c r="N1382" s="84">
        <f>VLOOKUP(Main_Presentation[[#This Row],[LC Number]],Main_Issuance[],12,0)</f>
        <v>1252435.67</v>
      </c>
      <c r="O1382" s="16" t="s">
        <v>20</v>
      </c>
      <c r="P1382" s="16" t="s">
        <v>857</v>
      </c>
      <c r="Q1382" s="18">
        <v>1252435.67</v>
      </c>
      <c r="R1382" s="18">
        <v>1</v>
      </c>
      <c r="S1382" s="18">
        <f>Main_Presentation[[#This Row],[Invoice Amt (FCY)]]*Main_Presentation[[#This Row],[Rate]]</f>
        <v>1252435.67</v>
      </c>
      <c r="T1382" s="227">
        <v>46117</v>
      </c>
      <c r="U1382" s="26" t="str">
        <f>VLOOKUP(Main_Presentation[[#This Row],[LC Number]],Main_Issuance[],18,0)</f>
        <v>90 Days from Applicant representative sign on Invoice</v>
      </c>
      <c r="V1382" s="249" t="s">
        <v>22</v>
      </c>
      <c r="W1382" s="22" t="s">
        <v>857</v>
      </c>
      <c r="X1382" s="16"/>
      <c r="Y1382" s="234" t="str">
        <f>TRIM(LEFT(Main_Presentation[[#This Row],[Payment Terms]],3))</f>
        <v>90</v>
      </c>
      <c r="Z1382" s="16"/>
      <c r="AA1382" s="316" cm="1">
        <f t="array" ref="AA1382">Settlement(Main_Presentation[[#This Row],[Bank]],Main_Presentation[[#This Row],[ Invoice Amt (SAR)]],Main_Presentation[[#This Row],[Date Recd]],Main_Presentation[[#This Row],[Due Date]],Main_Presentation[[#This Row],[Days]])</f>
        <v>1437.5</v>
      </c>
      <c r="AB1382" s="16"/>
    </row>
    <row r="1383" spans="1:28" ht="15.75" hidden="1" x14ac:dyDescent="0.25">
      <c r="A1383" s="20" t="s">
        <v>1873</v>
      </c>
      <c r="B1383" s="15">
        <v>46036</v>
      </c>
      <c r="C1383" s="26">
        <v>1</v>
      </c>
      <c r="D1383" s="55" t="str">
        <f>VLOOKUP(Main_Presentation[[#This Row],[LC Number]],Main_Issuance[],3,0)</f>
        <v>Hassan Taleb</v>
      </c>
      <c r="E1383" s="16" t="s">
        <v>856</v>
      </c>
      <c r="F1383" s="17" t="str">
        <f>VLOOKUP(Main_Presentation[[#This Row],[LC Number]],Main_Issuance[],5,0)</f>
        <v>SAB</v>
      </c>
      <c r="G1383" s="17" t="str">
        <f>VLOOKUP(Main_Presentation[[#This Row],[LC Number]],Main_Issuance[],6,0)</f>
        <v>MP1</v>
      </c>
      <c r="H1383" s="17" t="str">
        <f>VLOOKUP(Main_Presentation[[#This Row],[LC Number]],Main_Issuance[],17,0)</f>
        <v>Credit</v>
      </c>
      <c r="I1383" s="17" t="str">
        <f>VLOOKUP(Main_Presentation[[#This Row],[LC Number]],Main_Issuance[],7,0)</f>
        <v>BAHRA ADVANCED CABLE MANUFACTURE CO. LTD.</v>
      </c>
      <c r="J1383" s="17" t="str">
        <f>VLOOKUP(Main_Presentation[[#This Row],[LC Number]],Main_Issuance[],8,0)</f>
        <v>FIRST FIX</v>
      </c>
      <c r="K1383" s="17" t="str">
        <f>VLOOKUP(Main_Presentation[[#This Row],[LC Number]],Main_Issuance[],9,0)</f>
        <v>MP1</v>
      </c>
      <c r="L1383" s="17">
        <f>VLOOKUP(Main_Presentation[[#This Row],[LC Number]],Main_Issuance[],10,0)</f>
        <v>1020088</v>
      </c>
      <c r="M1383" s="17" t="str">
        <f>VLOOKUP(Main_Presentation[[#This Row],[LC Number]],Main_Issuance[],11,0)</f>
        <v>SAR</v>
      </c>
      <c r="N1383" s="84">
        <f>VLOOKUP(Main_Presentation[[#This Row],[LC Number]],Main_Issuance[],12,0)</f>
        <v>1500000</v>
      </c>
      <c r="O1383" s="16" t="s">
        <v>20</v>
      </c>
      <c r="P1383" s="16" t="s">
        <v>857</v>
      </c>
      <c r="Q1383" s="18">
        <v>1071489.43</v>
      </c>
      <c r="R1383" s="18">
        <v>1</v>
      </c>
      <c r="S1383" s="18">
        <f>Main_Presentation[[#This Row],[Invoice Amt (FCY)]]*Main_Presentation[[#This Row],[Rate]]</f>
        <v>1071489.43</v>
      </c>
      <c r="T1383" s="227">
        <v>46147</v>
      </c>
      <c r="U1383" s="26" t="str">
        <f>VLOOKUP(Main_Presentation[[#This Row],[LC Number]],Main_Issuance[],18,0)</f>
        <v>120 Days from Invoice Date</v>
      </c>
      <c r="V1383" s="249" t="s">
        <v>710</v>
      </c>
      <c r="W1383" s="22" t="s">
        <v>857</v>
      </c>
      <c r="X1383" s="16"/>
      <c r="Y1383" s="234" t="str">
        <f>TRIM(LEFT(Main_Presentation[[#This Row],[Payment Terms]],3))</f>
        <v>120</v>
      </c>
      <c r="Z1383" s="16"/>
      <c r="AA1383" s="316" cm="1">
        <f t="array" ref="AA1383">Settlement(Main_Presentation[[#This Row],[Bank]],Main_Presentation[[#This Row],[ Invoice Amt (SAR)]],Main_Presentation[[#This Row],[Date Recd]],Main_Presentation[[#This Row],[Due Date]],Main_Presentation[[#This Row],[Days]])</f>
        <v>4620.7</v>
      </c>
      <c r="AB1383" s="16"/>
    </row>
    <row r="1384" spans="1:28" ht="15.75" hidden="1" x14ac:dyDescent="0.25">
      <c r="A1384" s="226" t="s">
        <v>1343</v>
      </c>
      <c r="B1384" s="227">
        <v>46056</v>
      </c>
      <c r="C1384" s="243">
        <v>1</v>
      </c>
      <c r="D1384" s="228" t="str">
        <f>VLOOKUP(Main_Presentation[[#This Row],[LC Number]],Main_Issuance[],3,0)</f>
        <v>Hassan Taleb</v>
      </c>
      <c r="E1384" s="217" t="s">
        <v>856</v>
      </c>
      <c r="F1384" s="244" t="str">
        <f>VLOOKUP(Main_Presentation[[#This Row],[LC Number]],Main_Issuance[],5,0)</f>
        <v>Alinma</v>
      </c>
      <c r="G1384" s="244" t="str">
        <f>VLOOKUP(Main_Presentation[[#This Row],[LC Number]],Main_Issuance[],6,0)</f>
        <v>KSP</v>
      </c>
      <c r="H1384" s="244" t="str">
        <f>VLOOKUP(Main_Presentation[[#This Row],[LC Number]],Main_Issuance[],17,0)</f>
        <v>Credit</v>
      </c>
      <c r="I1384" s="244" t="str">
        <f>VLOOKUP(Main_Presentation[[#This Row],[LC Number]],Main_Issuance[],7,0)</f>
        <v>MASDAR TECHNICAL Supplies CO.</v>
      </c>
      <c r="J1384" s="244" t="str">
        <f>VLOOKUP(Main_Presentation[[#This Row],[LC Number]],Main_Issuance[],8,0)</f>
        <v>FIRST FIX</v>
      </c>
      <c r="K1384" s="244" t="str">
        <f>VLOOKUP(Main_Presentation[[#This Row],[LC Number]],Main_Issuance[],9,0)</f>
        <v>KSP</v>
      </c>
      <c r="L1384" s="244">
        <f>VLOOKUP(Main_Presentation[[#This Row],[LC Number]],Main_Issuance[],10,0)</f>
        <v>1020055</v>
      </c>
      <c r="M1384" s="244" t="str">
        <f>VLOOKUP(Main_Presentation[[#This Row],[LC Number]],Main_Issuance[],11,0)</f>
        <v>SAR</v>
      </c>
      <c r="N1384" s="245">
        <f>VLOOKUP(Main_Presentation[[#This Row],[LC Number]],Main_Issuance[],12,0)</f>
        <v>353089.35</v>
      </c>
      <c r="O1384" s="217" t="s">
        <v>20</v>
      </c>
      <c r="P1384" s="217" t="s">
        <v>857</v>
      </c>
      <c r="Q1384" s="218">
        <v>249589.36</v>
      </c>
      <c r="R1384" s="218">
        <v>1</v>
      </c>
      <c r="S1384" s="218">
        <f>Main_Presentation[[#This Row],[Invoice Amt (FCY)]]*Main_Presentation[[#This Row],[Rate]]</f>
        <v>249589.36</v>
      </c>
      <c r="T1384" s="227">
        <v>46147</v>
      </c>
      <c r="U1384" s="243" t="str">
        <f>VLOOKUP(Main_Presentation[[#This Row],[LC Number]],Main_Issuance[],18,0)</f>
        <v>120 Days from Appl. Representative Sign</v>
      </c>
      <c r="V1384" s="233" t="s">
        <v>22</v>
      </c>
      <c r="W1384" s="229" t="s">
        <v>857</v>
      </c>
      <c r="X1384" s="217"/>
      <c r="Y1384" s="399" t="str">
        <f>TRIM(LEFT(Main_Presentation[[#This Row],[Payment Terms]],3))</f>
        <v>120</v>
      </c>
      <c r="Z1384" s="217"/>
      <c r="AA1384" s="316" cm="1">
        <f t="array" ref="AA1384">Settlement(Main_Presentation[[#This Row],[Bank]],Main_Presentation[[#This Row],[ Invoice Amt (SAR)]],Main_Presentation[[#This Row],[Date Recd]],Main_Presentation[[#This Row],[Due Date]],Main_Presentation[[#This Row],[Days]])</f>
        <v>1437.5</v>
      </c>
      <c r="AB1384" s="217"/>
    </row>
    <row r="1385" spans="1:28" ht="15.75" hidden="1" x14ac:dyDescent="0.25">
      <c r="A1385" s="20" t="s">
        <v>2287</v>
      </c>
      <c r="B1385" s="227">
        <v>46041</v>
      </c>
      <c r="C1385" s="243">
        <v>1</v>
      </c>
      <c r="D1385" s="228" t="str">
        <f>VLOOKUP(Main_Presentation[[#This Row],[LC Number]],Main_Issuance[],3,0)</f>
        <v>AbdulAziz Eraiba Fawzi</v>
      </c>
      <c r="E1385" s="217" t="s">
        <v>856</v>
      </c>
      <c r="F1385" s="244" t="str">
        <f>VLOOKUP(Main_Presentation[[#This Row],[LC Number]],Main_Issuance[],5,0)</f>
        <v>Jazira</v>
      </c>
      <c r="G1385" s="244" t="str">
        <f>VLOOKUP(Main_Presentation[[#This Row],[LC Number]],Main_Issuance[],6,0)</f>
        <v>RCRC</v>
      </c>
      <c r="H1385" s="244" t="str">
        <f>VLOOKUP(Main_Presentation[[#This Row],[LC Number]],Main_Issuance[],17,0)</f>
        <v>Credit</v>
      </c>
      <c r="I1385" s="244" t="str">
        <f>VLOOKUP(Main_Presentation[[#This Row],[LC Number]],Main_Issuance[],7,0)</f>
        <v>Alrashid Trading and Contracting Company</v>
      </c>
      <c r="J1385" s="244" t="str">
        <f>VLOOKUP(Main_Presentation[[#This Row],[LC Number]],Main_Issuance[],8,0)</f>
        <v>MBL</v>
      </c>
      <c r="K1385" s="244" t="str">
        <f>VLOOKUP(Main_Presentation[[#This Row],[LC Number]],Main_Issuance[],9,0)</f>
        <v>RCRC</v>
      </c>
      <c r="L1385" s="244">
        <f>VLOOKUP(Main_Presentation[[#This Row],[LC Number]],Main_Issuance[],10,0)</f>
        <v>1020106</v>
      </c>
      <c r="M1385" s="244" t="str">
        <f>VLOOKUP(Main_Presentation[[#This Row],[LC Number]],Main_Issuance[],11,0)</f>
        <v>SAR</v>
      </c>
      <c r="N1385" s="245">
        <f>VLOOKUP(Main_Presentation[[#This Row],[LC Number]],Main_Issuance[],12,0)</f>
        <v>16731764</v>
      </c>
      <c r="O1385" s="217" t="s">
        <v>20</v>
      </c>
      <c r="P1385" s="217" t="s">
        <v>378</v>
      </c>
      <c r="Q1385" s="218">
        <v>1117011.5</v>
      </c>
      <c r="R1385" s="218">
        <v>1</v>
      </c>
      <c r="S1385" s="218">
        <f>Main_Presentation[[#This Row],[Invoice Amt (FCY)]]*Main_Presentation[[#This Row],[Rate]]</f>
        <v>1117011.5</v>
      </c>
      <c r="T1385" s="227">
        <v>46050</v>
      </c>
      <c r="U1385" s="243" t="str">
        <f>VLOOKUP(Main_Presentation[[#This Row],[LC Number]],Main_Issuance[],18,0)</f>
        <v>30 Days From Invoice Date</v>
      </c>
      <c r="V1385" s="233" t="s">
        <v>613</v>
      </c>
      <c r="W1385" s="229" t="s">
        <v>857</v>
      </c>
      <c r="X1385" s="217"/>
      <c r="Y1385" s="399" t="str">
        <f>TRIM(LEFT(Main_Presentation[[#This Row],[Payment Terms]],3))</f>
        <v>30</v>
      </c>
      <c r="Z1385" s="217"/>
      <c r="AA1385" s="316" cm="1">
        <f t="array" ref="AA1385">Settlement(Main_Presentation[[#This Row],[Bank]],Main_Presentation[[#This Row],[ Invoice Amt (SAR)]],Main_Presentation[[#This Row],[Date Recd]],Main_Presentation[[#This Row],[Due Date]],Main_Presentation[[#This Row],[Days]])</f>
        <v>879.75</v>
      </c>
      <c r="AB1385" s="217"/>
    </row>
    <row r="1386" spans="1:28" ht="15.75" hidden="1" x14ac:dyDescent="0.25">
      <c r="A1386" s="226" t="s">
        <v>596</v>
      </c>
      <c r="B1386" s="227">
        <v>46030</v>
      </c>
      <c r="C1386" s="243">
        <v>4</v>
      </c>
      <c r="D1386" s="228" t="str">
        <f>VLOOKUP(Main_Presentation[[#This Row],[LC Number]],Main_Issuance[],3,0)</f>
        <v>Hassan Taleb</v>
      </c>
      <c r="E1386" s="217" t="s">
        <v>858</v>
      </c>
      <c r="F1386" s="244" t="str">
        <f>VLOOKUP(Main_Presentation[[#This Row],[LC Number]],Main_Issuance[],5,0)</f>
        <v>BAB</v>
      </c>
      <c r="G1386" s="244" t="str">
        <f>VLOOKUP(Main_Presentation[[#This Row],[LC Number]],Main_Issuance[],6,0)</f>
        <v>Cash</v>
      </c>
      <c r="H1386" s="244" t="str">
        <f>VLOOKUP(Main_Presentation[[#This Row],[LC Number]],Main_Issuance[],17,0)</f>
        <v>Cash</v>
      </c>
      <c r="I1386" s="244" t="str">
        <f>VLOOKUP(Main_Presentation[[#This Row],[LC Number]],Main_Issuance[],7,0)</f>
        <v>Branch of National Fire Fighting (NAFFCO)</v>
      </c>
      <c r="J1386" s="244" t="str">
        <f>VLOOKUP(Main_Presentation[[#This Row],[LC Number]],Main_Issuance[],8,0)</f>
        <v>FIRST FIX</v>
      </c>
      <c r="K1386" s="244" t="str">
        <f>VLOOKUP(Main_Presentation[[#This Row],[LC Number]],Main_Issuance[],9,0)</f>
        <v>KSP</v>
      </c>
      <c r="L1386" s="244">
        <f>VLOOKUP(Main_Presentation[[#This Row],[LC Number]],Main_Issuance[],10,0)</f>
        <v>1020055</v>
      </c>
      <c r="M1386" s="244" t="str">
        <f>VLOOKUP(Main_Presentation[[#This Row],[LC Number]],Main_Issuance[],11,0)</f>
        <v>SAR</v>
      </c>
      <c r="N1386" s="245">
        <f>VLOOKUP(Main_Presentation[[#This Row],[LC Number]],Main_Issuance[],12,0)</f>
        <v>886481.72000000009</v>
      </c>
      <c r="O1386" s="217" t="s">
        <v>20</v>
      </c>
      <c r="P1386" s="217" t="s">
        <v>378</v>
      </c>
      <c r="Q1386" s="218">
        <f>822387.22-205932.55</f>
        <v>616454.66999999993</v>
      </c>
      <c r="R1386" s="218">
        <v>1</v>
      </c>
      <c r="S1386" s="218">
        <f>Main_Presentation[[#This Row],[Invoice Amt (FCY)]]*Main_Presentation[[#This Row],[Rate]]</f>
        <v>616454.66999999993</v>
      </c>
      <c r="T1386" s="227">
        <v>46035</v>
      </c>
      <c r="U1386" s="243" t="str">
        <f>VLOOKUP(Main_Presentation[[#This Row],[LC Number]],Main_Issuance[],18,0)</f>
        <v>90 Days from Invoice Date</v>
      </c>
      <c r="V1386" s="17" t="s">
        <v>613</v>
      </c>
      <c r="W1386" s="229" t="s">
        <v>378</v>
      </c>
      <c r="X1386" s="217" t="s">
        <v>3626</v>
      </c>
      <c r="Y1386" s="399" t="str">
        <f>TRIM(LEFT(Main_Presentation[[#This Row],[Payment Terms]],3))</f>
        <v>90</v>
      </c>
      <c r="Z1386" s="217"/>
      <c r="AA1386" s="316" cm="1">
        <f t="array" ref="AA1386">Settlement(Main_Presentation[[#This Row],[Bank]],Main_Presentation[[#This Row],[ Invoice Amt (SAR)]],Main_Presentation[[#This Row],[Date Recd]],Main_Presentation[[#This Row],[Due Date]],Main_Presentation[[#This Row],[Days]])</f>
        <v>0</v>
      </c>
      <c r="AB1386" s="217"/>
    </row>
    <row r="1387" spans="1:28" ht="15.75" hidden="1" x14ac:dyDescent="0.25">
      <c r="A1387" s="250" t="s">
        <v>1446</v>
      </c>
      <c r="B1387" s="317">
        <v>46042</v>
      </c>
      <c r="C1387" s="318">
        <v>5</v>
      </c>
      <c r="D1387" s="319" t="str">
        <f>VLOOKUP(Main_Presentation[[#This Row],[LC Number]],Main_Issuance[],3,0)</f>
        <v>Rabih Makhoul</v>
      </c>
      <c r="E1387" s="320" t="s">
        <v>858</v>
      </c>
      <c r="F1387" s="321" t="str">
        <f>VLOOKUP(Main_Presentation[[#This Row],[LC Number]],Main_Issuance[],5,0)</f>
        <v>SNB</v>
      </c>
      <c r="G1387" s="321" t="str">
        <f>VLOOKUP(Main_Presentation[[#This Row],[LC Number]],Main_Issuance[],6,0)</f>
        <v>Opera House</v>
      </c>
      <c r="H1387" s="321" t="str">
        <f>VLOOKUP(Main_Presentation[[#This Row],[LC Number]],Main_Issuance[],17,0)</f>
        <v>Credit</v>
      </c>
      <c r="I1387" s="321" t="str">
        <f>VLOOKUP(Main_Presentation[[#This Row],[LC Number]],Main_Issuance[],7,0)</f>
        <v>Al Arabia Construction &amp; Building Co.</v>
      </c>
      <c r="J1387" s="321" t="str">
        <f>VLOOKUP(Main_Presentation[[#This Row],[LC Number]],Main_Issuance[],8,0)</f>
        <v>MBL</v>
      </c>
      <c r="K1387" s="321" t="str">
        <f>VLOOKUP(Main_Presentation[[#This Row],[LC Number]],Main_Issuance[],9,0)</f>
        <v>Rabigh Power Plant</v>
      </c>
      <c r="L1387" s="321">
        <f>VLOOKUP(Main_Presentation[[#This Row],[LC Number]],Main_Issuance[],10,0)</f>
        <v>1020107</v>
      </c>
      <c r="M1387" s="321" t="str">
        <f>VLOOKUP(Main_Presentation[[#This Row],[LC Number]],Main_Issuance[],11,0)</f>
        <v>SAR</v>
      </c>
      <c r="N1387" s="322">
        <f>VLOOKUP(Main_Presentation[[#This Row],[LC Number]],Main_Issuance[],12,0)</f>
        <v>4738920</v>
      </c>
      <c r="O1387" s="320" t="s">
        <v>20</v>
      </c>
      <c r="P1387" s="320" t="s">
        <v>378</v>
      </c>
      <c r="Q1387" s="323">
        <v>123142</v>
      </c>
      <c r="R1387" s="323">
        <v>1</v>
      </c>
      <c r="S1387" s="323">
        <f>Main_Presentation[[#This Row],[Invoice Amt (FCY)]]*Main_Presentation[[#This Row],[Rate]]</f>
        <v>123142</v>
      </c>
      <c r="T1387" s="227">
        <v>46048</v>
      </c>
      <c r="U1387" s="318" t="str">
        <f>VLOOKUP(Main_Presentation[[#This Row],[LC Number]],Main_Issuance[],18,0)</f>
        <v>45 Days from the Invoice Date</v>
      </c>
      <c r="V1387" s="324" t="s">
        <v>511</v>
      </c>
      <c r="W1387" s="325" t="s">
        <v>857</v>
      </c>
      <c r="X1387" s="320"/>
      <c r="Y1387" s="404" t="str">
        <f>TRIM(LEFT(Main_Presentation[[#This Row],[Payment Terms]],3))</f>
        <v>45</v>
      </c>
      <c r="Z1387" s="320"/>
      <c r="AA1387" s="316" cm="1">
        <f t="array" ref="AA1387">Settlement(Main_Presentation[[#This Row],[Bank]],Main_Presentation[[#This Row],[ Invoice Amt (SAR)]],Main_Presentation[[#This Row],[Date Recd]],Main_Presentation[[#This Row],[Due Date]],Main_Presentation[[#This Row],[Days]])</f>
        <v>655.5</v>
      </c>
      <c r="AB1387" s="320"/>
    </row>
    <row r="1388" spans="1:28" ht="15.75" hidden="1" x14ac:dyDescent="0.25">
      <c r="A1388" s="250" t="s">
        <v>1446</v>
      </c>
      <c r="B1388" s="317">
        <v>46042</v>
      </c>
      <c r="C1388" s="318">
        <v>6</v>
      </c>
      <c r="D1388" s="319" t="str">
        <f>VLOOKUP(Main_Presentation[[#This Row],[LC Number]],Main_Issuance[],3,0)</f>
        <v>Rabih Makhoul</v>
      </c>
      <c r="E1388" s="320" t="s">
        <v>858</v>
      </c>
      <c r="F1388" s="321" t="str">
        <f>VLOOKUP(Main_Presentation[[#This Row],[LC Number]],Main_Issuance[],5,0)</f>
        <v>SNB</v>
      </c>
      <c r="G1388" s="321" t="str">
        <f>VLOOKUP(Main_Presentation[[#This Row],[LC Number]],Main_Issuance[],6,0)</f>
        <v>Opera House</v>
      </c>
      <c r="H1388" s="321" t="str">
        <f>VLOOKUP(Main_Presentation[[#This Row],[LC Number]],Main_Issuance[],17,0)</f>
        <v>Credit</v>
      </c>
      <c r="I1388" s="321" t="str">
        <f>VLOOKUP(Main_Presentation[[#This Row],[LC Number]],Main_Issuance[],7,0)</f>
        <v>Al Arabia Construction &amp; Building Co.</v>
      </c>
      <c r="J1388" s="321" t="str">
        <f>VLOOKUP(Main_Presentation[[#This Row],[LC Number]],Main_Issuance[],8,0)</f>
        <v>MBL</v>
      </c>
      <c r="K1388" s="321" t="str">
        <f>VLOOKUP(Main_Presentation[[#This Row],[LC Number]],Main_Issuance[],9,0)</f>
        <v>Rabigh Power Plant</v>
      </c>
      <c r="L1388" s="321">
        <f>VLOOKUP(Main_Presentation[[#This Row],[LC Number]],Main_Issuance[],10,0)</f>
        <v>1020107</v>
      </c>
      <c r="M1388" s="321" t="str">
        <f>VLOOKUP(Main_Presentation[[#This Row],[LC Number]],Main_Issuance[],11,0)</f>
        <v>SAR</v>
      </c>
      <c r="N1388" s="322">
        <f>VLOOKUP(Main_Presentation[[#This Row],[LC Number]],Main_Issuance[],12,0)</f>
        <v>4738920</v>
      </c>
      <c r="O1388" s="320" t="s">
        <v>20</v>
      </c>
      <c r="P1388" s="320" t="s">
        <v>378</v>
      </c>
      <c r="Q1388" s="323">
        <v>125798.5</v>
      </c>
      <c r="R1388" s="323">
        <v>1</v>
      </c>
      <c r="S1388" s="323">
        <f>Main_Presentation[[#This Row],[Invoice Amt (FCY)]]*Main_Presentation[[#This Row],[Rate]]</f>
        <v>125798.5</v>
      </c>
      <c r="T1388" s="227">
        <v>46048</v>
      </c>
      <c r="U1388" s="318" t="str">
        <f>VLOOKUP(Main_Presentation[[#This Row],[LC Number]],Main_Issuance[],18,0)</f>
        <v>45 Days from the Invoice Date</v>
      </c>
      <c r="V1388" s="324" t="s">
        <v>511</v>
      </c>
      <c r="W1388" s="325" t="s">
        <v>857</v>
      </c>
      <c r="X1388" s="320"/>
      <c r="Y1388" s="404" t="str">
        <f>TRIM(LEFT(Main_Presentation[[#This Row],[Payment Terms]],3))</f>
        <v>45</v>
      </c>
      <c r="Z1388" s="320"/>
      <c r="AA1388" s="316" cm="1">
        <f t="array" ref="AA1388">Settlement(Main_Presentation[[#This Row],[Bank]],Main_Presentation[[#This Row],[ Invoice Amt (SAR)]],Main_Presentation[[#This Row],[Date Recd]],Main_Presentation[[#This Row],[Due Date]],Main_Presentation[[#This Row],[Days]])</f>
        <v>655.5</v>
      </c>
      <c r="AB1388" s="320"/>
    </row>
    <row r="1389" spans="1:28" ht="15.75" hidden="1" x14ac:dyDescent="0.25">
      <c r="A1389" s="226" t="s">
        <v>2562</v>
      </c>
      <c r="B1389" s="227">
        <v>46042</v>
      </c>
      <c r="C1389" s="243">
        <v>2</v>
      </c>
      <c r="D1389" s="228" t="str">
        <f>VLOOKUP(Main_Presentation[[#This Row],[LC Number]],Main_Issuance[],3,0)</f>
        <v>Matthew Mckernan - AICS</v>
      </c>
      <c r="E1389" s="217" t="s">
        <v>856</v>
      </c>
      <c r="F1389" s="244" t="str">
        <f>VLOOKUP(Main_Presentation[[#This Row],[LC Number]],Main_Issuance[],5,0)</f>
        <v>SNB</v>
      </c>
      <c r="G1389" s="244" t="str">
        <f>VLOOKUP(Main_Presentation[[#This Row],[LC Number]],Main_Issuance[],6,0)</f>
        <v>Opera House</v>
      </c>
      <c r="H1389" s="244" t="str">
        <f>VLOOKUP(Main_Presentation[[#This Row],[LC Number]],Main_Issuance[],17,0)</f>
        <v>Credit</v>
      </c>
      <c r="I1389" s="244" t="str">
        <f>VLOOKUP(Main_Presentation[[#This Row],[LC Number]],Main_Issuance[],7,0)</f>
        <v>ALNAFIE METAL INDUSTRIES CO LTD</v>
      </c>
      <c r="J1389" s="244" t="str">
        <f>VLOOKUP(Main_Presentation[[#This Row],[LC Number]],Main_Issuance[],8,0)</f>
        <v>MBL/AICS</v>
      </c>
      <c r="K1389" s="244" t="str">
        <f>VLOOKUP(Main_Presentation[[#This Row],[LC Number]],Main_Issuance[],9,0)</f>
        <v>OPERA House</v>
      </c>
      <c r="L1389" s="244">
        <f>VLOOKUP(Main_Presentation[[#This Row],[LC Number]],Main_Issuance[],10,0)</f>
        <v>1020097</v>
      </c>
      <c r="M1389" s="244" t="str">
        <f>VLOOKUP(Main_Presentation[[#This Row],[LC Number]],Main_Issuance[],11,0)</f>
        <v>SAR</v>
      </c>
      <c r="N1389" s="245">
        <f>VLOOKUP(Main_Presentation[[#This Row],[LC Number]],Main_Issuance[],12,0)</f>
        <v>18703391.850000001</v>
      </c>
      <c r="O1389" s="217" t="s">
        <v>20</v>
      </c>
      <c r="P1389" s="217" t="s">
        <v>378</v>
      </c>
      <c r="Q1389" s="218">
        <v>794349.56</v>
      </c>
      <c r="R1389" s="218">
        <v>1</v>
      </c>
      <c r="S1389" s="218">
        <f>Main_Presentation[[#This Row],[Invoice Amt (FCY)]]*Main_Presentation[[#This Row],[Rate]]</f>
        <v>794349.56</v>
      </c>
      <c r="T1389" s="227">
        <v>46104</v>
      </c>
      <c r="U1389" s="243" t="str">
        <f>VLOOKUP(Main_Presentation[[#This Row],[LC Number]],Main_Issuance[],18,0)</f>
        <v>90 Days from Invoice Date</v>
      </c>
      <c r="V1389" s="249" t="s">
        <v>96</v>
      </c>
      <c r="W1389" s="229" t="s">
        <v>857</v>
      </c>
      <c r="X1389" s="217"/>
      <c r="Y1389" s="399" t="str">
        <f>TRIM(LEFT(Main_Presentation[[#This Row],[Payment Terms]],3))</f>
        <v>90</v>
      </c>
      <c r="Z1389" s="217"/>
      <c r="AA1389" s="316" cm="1">
        <f t="array" ref="AA1389">Settlement(Main_Presentation[[#This Row],[Bank]],Main_Presentation[[#This Row],[ Invoice Amt (SAR)]],Main_Presentation[[#This Row],[Date Recd]],Main_Presentation[[#This Row],[Due Date]],Main_Presentation[[#This Row],[Days]])</f>
        <v>3846.75</v>
      </c>
      <c r="AB1389" s="217"/>
    </row>
    <row r="1390" spans="1:28" ht="15.75" hidden="1" x14ac:dyDescent="0.25">
      <c r="A1390" s="226" t="s">
        <v>2568</v>
      </c>
      <c r="B1390" s="227">
        <v>46006</v>
      </c>
      <c r="C1390" s="26" t="s">
        <v>1304</v>
      </c>
      <c r="D1390" s="228" t="str">
        <f>VLOOKUP(Main_Presentation[[#This Row],[LC Number]],Main_Issuance[],3,0)</f>
        <v>Luis Puente</v>
      </c>
      <c r="E1390" s="217" t="s">
        <v>856</v>
      </c>
      <c r="F1390" s="244" t="str">
        <f>VLOOKUP(Main_Presentation[[#This Row],[LC Number]],Main_Issuance[],5,0)</f>
        <v>Riyad</v>
      </c>
      <c r="G1390" s="244" t="str">
        <f>VLOOKUP(Main_Presentation[[#This Row],[LC Number]],Main_Issuance[],6,0)</f>
        <v>Cash</v>
      </c>
      <c r="H1390" s="244" t="str">
        <f>VLOOKUP(Main_Presentation[[#This Row],[LC Number]],Main_Issuance[],17,0)</f>
        <v>Cash</v>
      </c>
      <c r="I1390" s="244" t="str">
        <f>VLOOKUP(Main_Presentation[[#This Row],[LC Number]],Main_Issuance[],7,0)</f>
        <v>Mat Filtrasyon Teknolojeleri A.S</v>
      </c>
      <c r="J1390" s="244" t="str">
        <f>VLOOKUP(Main_Presentation[[#This Row],[LC Number]],Main_Issuance[],8,0)</f>
        <v>MBL</v>
      </c>
      <c r="K1390" s="244" t="str">
        <f>VLOOKUP(Main_Presentation[[#This Row],[LC Number]],Main_Issuance[],9,0)</f>
        <v>Oceanarium</v>
      </c>
      <c r="L1390" s="244">
        <f>VLOOKUP(Main_Presentation[[#This Row],[LC Number]],Main_Issuance[],10,0)</f>
        <v>1020096</v>
      </c>
      <c r="M1390" s="244" t="str">
        <f>VLOOKUP(Main_Presentation[[#This Row],[LC Number]],Main_Issuance[],11,0)</f>
        <v>SAR</v>
      </c>
      <c r="N1390" s="245">
        <f>VLOOKUP(Main_Presentation[[#This Row],[LC Number]],Main_Issuance[],12,0)</f>
        <v>4092796.2399999998</v>
      </c>
      <c r="O1390" s="217" t="s">
        <v>20</v>
      </c>
      <c r="P1390" s="217" t="s">
        <v>857</v>
      </c>
      <c r="Q1390" s="218">
        <f>1353315-959062.35</f>
        <v>394252.65</v>
      </c>
      <c r="R1390" s="218">
        <v>1</v>
      </c>
      <c r="S1390" s="218">
        <f>Main_Presentation[[#This Row],[Invoice Amt (FCY)]]*Main_Presentation[[#This Row],[Rate]]</f>
        <v>394252.65</v>
      </c>
      <c r="T1390" s="227">
        <v>46034</v>
      </c>
      <c r="U1390" s="243" t="str">
        <f>VLOOKUP(Main_Presentation[[#This Row],[LC Number]],Main_Issuance[],18,0)</f>
        <v>45 Days from Invoice Date</v>
      </c>
      <c r="V1390" s="233" t="s">
        <v>70</v>
      </c>
      <c r="W1390" s="229" t="s">
        <v>857</v>
      </c>
      <c r="X1390" s="217"/>
      <c r="Y1390" s="399" t="str">
        <f>TRIM(LEFT(Main_Presentation[[#This Row],[Payment Terms]],3))</f>
        <v>45</v>
      </c>
      <c r="Z1390" s="217"/>
      <c r="AA1390" s="316" cm="1">
        <f t="array" ref="AA1390">Settlement(Main_Presentation[[#This Row],[Bank]],Main_Presentation[[#This Row],[ Invoice Amt (SAR)]],Main_Presentation[[#This Row],[Date Recd]],Main_Presentation[[#This Row],[Due Date]],Main_Presentation[[#This Row],[Days]])</f>
        <v>566.95000000000005</v>
      </c>
      <c r="AB1390" s="217"/>
    </row>
    <row r="1391" spans="1:28" ht="15.75" hidden="1" x14ac:dyDescent="0.25">
      <c r="A1391" s="226" t="s">
        <v>2568</v>
      </c>
      <c r="B1391" s="227">
        <v>46006</v>
      </c>
      <c r="C1391" s="26" t="s">
        <v>3624</v>
      </c>
      <c r="D1391" s="228" t="str">
        <f>VLOOKUP(Main_Presentation[[#This Row],[LC Number]],Main_Issuance[],3,0)</f>
        <v>Luis Puente</v>
      </c>
      <c r="E1391" s="217" t="s">
        <v>856</v>
      </c>
      <c r="F1391" s="244" t="str">
        <f>VLOOKUP(Main_Presentation[[#This Row],[LC Number]],Main_Issuance[],5,0)</f>
        <v>Riyad</v>
      </c>
      <c r="G1391" s="244" t="str">
        <f>VLOOKUP(Main_Presentation[[#This Row],[LC Number]],Main_Issuance[],6,0)</f>
        <v>Cash</v>
      </c>
      <c r="H1391" s="244" t="str">
        <f>VLOOKUP(Main_Presentation[[#This Row],[LC Number]],Main_Issuance[],17,0)</f>
        <v>Cash</v>
      </c>
      <c r="I1391" s="244" t="str">
        <f>VLOOKUP(Main_Presentation[[#This Row],[LC Number]],Main_Issuance[],7,0)</f>
        <v>Mat Filtrasyon Teknolojeleri A.S</v>
      </c>
      <c r="J1391" s="244" t="str">
        <f>VLOOKUP(Main_Presentation[[#This Row],[LC Number]],Main_Issuance[],8,0)</f>
        <v>MBL</v>
      </c>
      <c r="K1391" s="244" t="str">
        <f>VLOOKUP(Main_Presentation[[#This Row],[LC Number]],Main_Issuance[],9,0)</f>
        <v>Oceanarium</v>
      </c>
      <c r="L1391" s="244">
        <f>VLOOKUP(Main_Presentation[[#This Row],[LC Number]],Main_Issuance[],10,0)</f>
        <v>1020096</v>
      </c>
      <c r="M1391" s="244" t="str">
        <f>VLOOKUP(Main_Presentation[[#This Row],[LC Number]],Main_Issuance[],11,0)</f>
        <v>SAR</v>
      </c>
      <c r="N1391" s="245">
        <f>VLOOKUP(Main_Presentation[[#This Row],[LC Number]],Main_Issuance[],12,0)</f>
        <v>4092796.2399999998</v>
      </c>
      <c r="O1391" s="217" t="s">
        <v>20</v>
      </c>
      <c r="P1391" s="217" t="s">
        <v>857</v>
      </c>
      <c r="Q1391" s="218">
        <f>3443574-2440379.49</f>
        <v>1003194.5099999998</v>
      </c>
      <c r="R1391" s="218">
        <v>1</v>
      </c>
      <c r="S1391" s="218">
        <f>Main_Presentation[[#This Row],[Invoice Amt (FCY)]]*Main_Presentation[[#This Row],[Rate]]</f>
        <v>1003194.5099999998</v>
      </c>
      <c r="T1391" s="227">
        <v>46034</v>
      </c>
      <c r="U1391" s="243" t="str">
        <f>VLOOKUP(Main_Presentation[[#This Row],[LC Number]],Main_Issuance[],18,0)</f>
        <v>45 Days from Invoice Date</v>
      </c>
      <c r="V1391" s="233" t="s">
        <v>70</v>
      </c>
      <c r="W1391" s="229" t="s">
        <v>857</v>
      </c>
      <c r="X1391" s="217"/>
      <c r="Y1391" s="399" t="str">
        <f>TRIM(LEFT(Main_Presentation[[#This Row],[Payment Terms]],3))</f>
        <v>45</v>
      </c>
      <c r="Z1391" s="217"/>
      <c r="AA1391" s="316" cm="1">
        <f t="array" ref="AA1391">Settlement(Main_Presentation[[#This Row],[Bank]],Main_Presentation[[#This Row],[ Invoice Amt (SAR)]],Main_Presentation[[#This Row],[Date Recd]],Main_Presentation[[#This Row],[Due Date]],Main_Presentation[[#This Row],[Days]])</f>
        <v>1442.1</v>
      </c>
      <c r="AB1391" s="217"/>
    </row>
    <row r="1392" spans="1:28" ht="15.75" hidden="1" x14ac:dyDescent="0.25">
      <c r="A1392" s="226" t="s">
        <v>1934</v>
      </c>
      <c r="B1392" s="227">
        <v>46034</v>
      </c>
      <c r="C1392" s="243">
        <v>6</v>
      </c>
      <c r="D1392" s="228" t="str">
        <f>VLOOKUP(Main_Presentation[[#This Row],[LC Number]],Main_Issuance[],3,0)</f>
        <v>Luis Puente</v>
      </c>
      <c r="E1392" s="217" t="s">
        <v>856</v>
      </c>
      <c r="F1392" s="244" t="str">
        <f>VLOOKUP(Main_Presentation[[#This Row],[LC Number]],Main_Issuance[],5,0)</f>
        <v>Riyad</v>
      </c>
      <c r="G1392" s="244" t="str">
        <f>VLOOKUP(Main_Presentation[[#This Row],[LC Number]],Main_Issuance[],6,0)</f>
        <v>Oceanarium</v>
      </c>
      <c r="H1392" s="244" t="str">
        <f>VLOOKUP(Main_Presentation[[#This Row],[LC Number]],Main_Issuance[],17,0)</f>
        <v>Credit</v>
      </c>
      <c r="I1392" s="244" t="str">
        <f>VLOOKUP(Main_Presentation[[#This Row],[LC Number]],Main_Issuance[],7,0)</f>
        <v>Mat Filtrasyon Teknolojeleri A.S</v>
      </c>
      <c r="J1392" s="244" t="str">
        <f>VLOOKUP(Main_Presentation[[#This Row],[LC Number]],Main_Issuance[],8,0)</f>
        <v>MBL</v>
      </c>
      <c r="K1392" s="244" t="str">
        <f>VLOOKUP(Main_Presentation[[#This Row],[LC Number]],Main_Issuance[],9,0)</f>
        <v>Oceanarium</v>
      </c>
      <c r="L1392" s="244">
        <f>VLOOKUP(Main_Presentation[[#This Row],[LC Number]],Main_Issuance[],10,0)</f>
        <v>1020096</v>
      </c>
      <c r="M1392" s="244" t="str">
        <f>VLOOKUP(Main_Presentation[[#This Row],[LC Number]],Main_Issuance[],11,0)</f>
        <v>SAR</v>
      </c>
      <c r="N1392" s="245">
        <f>VLOOKUP(Main_Presentation[[#This Row],[LC Number]],Main_Issuance[],12,0)</f>
        <v>25907203.759999998</v>
      </c>
      <c r="O1392" s="217" t="s">
        <v>20</v>
      </c>
      <c r="P1392" s="217" t="s">
        <v>857</v>
      </c>
      <c r="Q1392" s="218">
        <v>2355259.1800000002</v>
      </c>
      <c r="R1392" s="218">
        <v>1</v>
      </c>
      <c r="S1392" s="218">
        <f>Main_Presentation[[#This Row],[Invoice Amt (FCY)]]*Main_Presentation[[#This Row],[Rate]]</f>
        <v>2355259.1800000002</v>
      </c>
      <c r="T1392" s="227">
        <v>46062</v>
      </c>
      <c r="U1392" s="243" t="str">
        <f>VLOOKUP(Main_Presentation[[#This Row],[LC Number]],Main_Issuance[],18,0)</f>
        <v>45 Days from Invoice Date</v>
      </c>
      <c r="V1392" s="233" t="s">
        <v>4028</v>
      </c>
      <c r="W1392" s="229" t="s">
        <v>378</v>
      </c>
      <c r="X1392" s="217"/>
      <c r="Y1392" s="399" t="str">
        <f>TRIM(LEFT(Main_Presentation[[#This Row],[Payment Terms]],3))</f>
        <v>45</v>
      </c>
      <c r="Z1392" s="217"/>
      <c r="AA1392" s="316" cm="1">
        <f t="array" ref="AA1392">Settlement(Main_Presentation[[#This Row],[Bank]],Main_Presentation[[#This Row],[ Invoice Amt (SAR)]],Main_Presentation[[#This Row],[Date Recd]],Main_Presentation[[#This Row],[Due Date]],Main_Presentation[[#This Row],[Days]])</f>
        <v>3385.6</v>
      </c>
      <c r="AB1392" s="217"/>
    </row>
    <row r="1393" spans="1:28" ht="15.75" hidden="1" x14ac:dyDescent="0.25">
      <c r="A1393" s="226" t="s">
        <v>2568</v>
      </c>
      <c r="B1393" s="227">
        <v>46020</v>
      </c>
      <c r="C1393" s="26">
        <v>5</v>
      </c>
      <c r="D1393" s="228" t="str">
        <f>VLOOKUP(Main_Presentation[[#This Row],[LC Number]],Main_Issuance[],3,0)</f>
        <v>Luis Puente</v>
      </c>
      <c r="E1393" s="217" t="s">
        <v>856</v>
      </c>
      <c r="F1393" s="244" t="str">
        <f>VLOOKUP(Main_Presentation[[#This Row],[LC Number]],Main_Issuance[],5,0)</f>
        <v>Riyad</v>
      </c>
      <c r="G1393" s="244" t="str">
        <f>VLOOKUP(Main_Presentation[[#This Row],[LC Number]],Main_Issuance[],6,0)</f>
        <v>Cash</v>
      </c>
      <c r="H1393" s="244" t="str">
        <f>VLOOKUP(Main_Presentation[[#This Row],[LC Number]],Main_Issuance[],17,0)</f>
        <v>Cash</v>
      </c>
      <c r="I1393" s="244" t="str">
        <f>VLOOKUP(Main_Presentation[[#This Row],[LC Number]],Main_Issuance[],7,0)</f>
        <v>Mat Filtrasyon Teknolojeleri A.S</v>
      </c>
      <c r="J1393" s="244" t="str">
        <f>VLOOKUP(Main_Presentation[[#This Row],[LC Number]],Main_Issuance[],8,0)</f>
        <v>MBL</v>
      </c>
      <c r="K1393" s="244" t="str">
        <f>VLOOKUP(Main_Presentation[[#This Row],[LC Number]],Main_Issuance[],9,0)</f>
        <v>Oceanarium</v>
      </c>
      <c r="L1393" s="244">
        <f>VLOOKUP(Main_Presentation[[#This Row],[LC Number]],Main_Issuance[],10,0)</f>
        <v>1020096</v>
      </c>
      <c r="M1393" s="244" t="str">
        <f>VLOOKUP(Main_Presentation[[#This Row],[LC Number]],Main_Issuance[],11,0)</f>
        <v>SAR</v>
      </c>
      <c r="N1393" s="245">
        <f>VLOOKUP(Main_Presentation[[#This Row],[LC Number]],Main_Issuance[],12,0)</f>
        <v>4092796.2399999998</v>
      </c>
      <c r="O1393" s="217" t="s">
        <v>20</v>
      </c>
      <c r="P1393" s="217" t="s">
        <v>857</v>
      </c>
      <c r="Q1393" s="218">
        <f>3037711.87-2152754.59</f>
        <v>884957.28000000026</v>
      </c>
      <c r="R1393" s="218">
        <v>1</v>
      </c>
      <c r="S1393" s="218">
        <f>Main_Presentation[[#This Row],[Invoice Amt (FCY)]]*Main_Presentation[[#This Row],[Rate]]</f>
        <v>884957.28000000026</v>
      </c>
      <c r="T1393" s="227">
        <v>46048</v>
      </c>
      <c r="U1393" s="243" t="str">
        <f>VLOOKUP(Main_Presentation[[#This Row],[LC Number]],Main_Issuance[],18,0)</f>
        <v>45 Days from Invoice Date</v>
      </c>
      <c r="V1393" s="233" t="s">
        <v>70</v>
      </c>
      <c r="W1393" s="229" t="s">
        <v>857</v>
      </c>
      <c r="X1393" s="217"/>
      <c r="Y1393" s="399" t="str">
        <f>TRIM(LEFT(Main_Presentation[[#This Row],[Payment Terms]],3))</f>
        <v>45</v>
      </c>
      <c r="Z1393" s="217"/>
      <c r="AA1393" s="316" cm="1">
        <f t="array" ref="AA1393">Settlement(Main_Presentation[[#This Row],[Bank]],Main_Presentation[[#This Row],[ Invoice Amt (SAR)]],Main_Presentation[[#This Row],[Date Recd]],Main_Presentation[[#This Row],[Due Date]],Main_Presentation[[#This Row],[Days]])</f>
        <v>1271.9000000000001</v>
      </c>
      <c r="AB1393" s="217"/>
    </row>
    <row r="1394" spans="1:28" ht="15.75" hidden="1" x14ac:dyDescent="0.25">
      <c r="A1394" s="226" t="s">
        <v>2568</v>
      </c>
      <c r="B1394" s="227">
        <v>46034</v>
      </c>
      <c r="C1394" s="26">
        <v>6</v>
      </c>
      <c r="D1394" s="228" t="str">
        <f>VLOOKUP(Main_Presentation[[#This Row],[LC Number]],Main_Issuance[],3,0)</f>
        <v>Luis Puente</v>
      </c>
      <c r="E1394" s="217" t="s">
        <v>856</v>
      </c>
      <c r="F1394" s="244" t="str">
        <f>VLOOKUP(Main_Presentation[[#This Row],[LC Number]],Main_Issuance[],5,0)</f>
        <v>Riyad</v>
      </c>
      <c r="G1394" s="244" t="str">
        <f>VLOOKUP(Main_Presentation[[#This Row],[LC Number]],Main_Issuance[],6,0)</f>
        <v>Cash</v>
      </c>
      <c r="H1394" s="244" t="str">
        <f>VLOOKUP(Main_Presentation[[#This Row],[LC Number]],Main_Issuance[],17,0)</f>
        <v>Cash</v>
      </c>
      <c r="I1394" s="244" t="str">
        <f>VLOOKUP(Main_Presentation[[#This Row],[LC Number]],Main_Issuance[],7,0)</f>
        <v>Mat Filtrasyon Teknolojeleri A.S</v>
      </c>
      <c r="J1394" s="244" t="str">
        <f>VLOOKUP(Main_Presentation[[#This Row],[LC Number]],Main_Issuance[],8,0)</f>
        <v>MBL</v>
      </c>
      <c r="K1394" s="244" t="str">
        <f>VLOOKUP(Main_Presentation[[#This Row],[LC Number]],Main_Issuance[],9,0)</f>
        <v>Oceanarium</v>
      </c>
      <c r="L1394" s="244">
        <f>VLOOKUP(Main_Presentation[[#This Row],[LC Number]],Main_Issuance[],10,0)</f>
        <v>1020096</v>
      </c>
      <c r="M1394" s="244" t="str">
        <f>VLOOKUP(Main_Presentation[[#This Row],[LC Number]],Main_Issuance[],11,0)</f>
        <v>SAR</v>
      </c>
      <c r="N1394" s="245">
        <f>VLOOKUP(Main_Presentation[[#This Row],[LC Number]],Main_Issuance[],12,0)</f>
        <v>4092796.2399999998</v>
      </c>
      <c r="O1394" s="217" t="s">
        <v>20</v>
      </c>
      <c r="P1394" s="217" t="s">
        <v>857</v>
      </c>
      <c r="Q1394" s="218">
        <v>968203.15</v>
      </c>
      <c r="R1394" s="218">
        <v>1</v>
      </c>
      <c r="S1394" s="218">
        <f>Main_Presentation[[#This Row],[Invoice Amt (FCY)]]*Main_Presentation[[#This Row],[Rate]]</f>
        <v>968203.15</v>
      </c>
      <c r="T1394" s="227">
        <v>46062</v>
      </c>
      <c r="U1394" s="243" t="str">
        <f>VLOOKUP(Main_Presentation[[#This Row],[LC Number]],Main_Issuance[],18,0)</f>
        <v>45 Days from Invoice Date</v>
      </c>
      <c r="V1394" s="233" t="s">
        <v>70</v>
      </c>
      <c r="W1394" s="229" t="s">
        <v>857</v>
      </c>
      <c r="X1394" s="217"/>
      <c r="Y1394" s="399" t="str">
        <f>TRIM(LEFT(Main_Presentation[[#This Row],[Payment Terms]],3))</f>
        <v>45</v>
      </c>
      <c r="Z1394" s="217"/>
      <c r="AA1394" s="316" cm="1">
        <f t="array" ref="AA1394">Settlement(Main_Presentation[[#This Row],[Bank]],Main_Presentation[[#This Row],[ Invoice Amt (SAR)]],Main_Presentation[[#This Row],[Date Recd]],Main_Presentation[[#This Row],[Due Date]],Main_Presentation[[#This Row],[Days]])</f>
        <v>1391.5</v>
      </c>
      <c r="AB1394" s="217"/>
    </row>
    <row r="1395" spans="1:28" ht="15.75" hidden="1" x14ac:dyDescent="0.25">
      <c r="A1395" s="226" t="s">
        <v>596</v>
      </c>
      <c r="B1395" s="227">
        <v>46030</v>
      </c>
      <c r="C1395" s="243" t="s">
        <v>3625</v>
      </c>
      <c r="D1395" s="228" t="str">
        <f>VLOOKUP(Main_Presentation[[#This Row],[LC Number]],Main_Issuance[],3,0)</f>
        <v>Hassan Taleb</v>
      </c>
      <c r="E1395" s="217" t="s">
        <v>858</v>
      </c>
      <c r="F1395" s="244" t="str">
        <f>VLOOKUP(Main_Presentation[[#This Row],[LC Number]],Main_Issuance[],5,0)</f>
        <v>BAB</v>
      </c>
      <c r="G1395" s="244" t="str">
        <f>VLOOKUP(Main_Presentation[[#This Row],[LC Number]],Main_Issuance[],6,0)</f>
        <v>Cash</v>
      </c>
      <c r="H1395" s="244" t="str">
        <f>VLOOKUP(Main_Presentation[[#This Row],[LC Number]],Main_Issuance[],17,0)</f>
        <v>Cash</v>
      </c>
      <c r="I1395" s="244" t="str">
        <f>VLOOKUP(Main_Presentation[[#This Row],[LC Number]],Main_Issuance[],7,0)</f>
        <v>Branch of National Fire Fighting (NAFFCO)</v>
      </c>
      <c r="J1395" s="244" t="str">
        <f>VLOOKUP(Main_Presentation[[#This Row],[LC Number]],Main_Issuance[],8,0)</f>
        <v>FIRST FIX</v>
      </c>
      <c r="K1395" s="244" t="str">
        <f>VLOOKUP(Main_Presentation[[#This Row],[LC Number]],Main_Issuance[],9,0)</f>
        <v>KSP</v>
      </c>
      <c r="L1395" s="244">
        <f>VLOOKUP(Main_Presentation[[#This Row],[LC Number]],Main_Issuance[],10,0)</f>
        <v>1020055</v>
      </c>
      <c r="M1395" s="244" t="str">
        <f>VLOOKUP(Main_Presentation[[#This Row],[LC Number]],Main_Issuance[],11,0)</f>
        <v>SAR</v>
      </c>
      <c r="N1395" s="245">
        <f>VLOOKUP(Main_Presentation[[#This Row],[LC Number]],Main_Issuance[],12,0)</f>
        <v>886481.72000000009</v>
      </c>
      <c r="O1395" s="217" t="s">
        <v>20</v>
      </c>
      <c r="P1395" s="217" t="s">
        <v>378</v>
      </c>
      <c r="Q1395" s="218">
        <f>822387.22-616454.67</f>
        <v>205932.54999999993</v>
      </c>
      <c r="R1395" s="218">
        <v>1</v>
      </c>
      <c r="S1395" s="218">
        <f>Main_Presentation[[#This Row],[Invoice Amt (FCY)]]*Main_Presentation[[#This Row],[Rate]]</f>
        <v>205932.54999999993</v>
      </c>
      <c r="T1395" s="227">
        <v>46035</v>
      </c>
      <c r="U1395" s="243" t="str">
        <f>VLOOKUP(Main_Presentation[[#This Row],[LC Number]],Main_Issuance[],18,0)</f>
        <v>90 Days from Invoice Date</v>
      </c>
      <c r="V1395" s="233" t="s">
        <v>1849</v>
      </c>
      <c r="W1395" s="229" t="s">
        <v>378</v>
      </c>
      <c r="X1395" s="217" t="s">
        <v>3626</v>
      </c>
      <c r="Y1395" s="399" t="str">
        <f>TRIM(LEFT(Main_Presentation[[#This Row],[Payment Terms]],3))</f>
        <v>90</v>
      </c>
      <c r="Z1395" s="217"/>
      <c r="AA1395" s="316" cm="1">
        <f t="array" ref="AA1395">Settlement(Main_Presentation[[#This Row],[Bank]],Main_Presentation[[#This Row],[ Invoice Amt (SAR)]],Main_Presentation[[#This Row],[Date Recd]],Main_Presentation[[#This Row],[Due Date]],Main_Presentation[[#This Row],[Days]])</f>
        <v>0</v>
      </c>
      <c r="AB1395" s="217"/>
    </row>
    <row r="1396" spans="1:28" ht="15.75" hidden="1" x14ac:dyDescent="0.25">
      <c r="A1396" s="226" t="s">
        <v>2287</v>
      </c>
      <c r="B1396" s="227">
        <v>46047</v>
      </c>
      <c r="C1396" s="243">
        <v>2</v>
      </c>
      <c r="D1396" s="228" t="str">
        <f>VLOOKUP(Main_Presentation[[#This Row],[LC Number]],Main_Issuance[],3,0)</f>
        <v>AbdulAziz Eraiba Fawzi</v>
      </c>
      <c r="E1396" s="217" t="s">
        <v>856</v>
      </c>
      <c r="F1396" s="244" t="str">
        <f>VLOOKUP(Main_Presentation[[#This Row],[LC Number]],Main_Issuance[],5,0)</f>
        <v>Jazira</v>
      </c>
      <c r="G1396" s="244" t="str">
        <f>VLOOKUP(Main_Presentation[[#This Row],[LC Number]],Main_Issuance[],6,0)</f>
        <v>RCRC</v>
      </c>
      <c r="H1396" s="244" t="str">
        <f>VLOOKUP(Main_Presentation[[#This Row],[LC Number]],Main_Issuance[],17,0)</f>
        <v>Credit</v>
      </c>
      <c r="I1396" s="244" t="str">
        <f>VLOOKUP(Main_Presentation[[#This Row],[LC Number]],Main_Issuance[],7,0)</f>
        <v>Alrashid Trading and Contracting Company</v>
      </c>
      <c r="J1396" s="244" t="str">
        <f>VLOOKUP(Main_Presentation[[#This Row],[LC Number]],Main_Issuance[],8,0)</f>
        <v>MBL</v>
      </c>
      <c r="K1396" s="244" t="str">
        <f>VLOOKUP(Main_Presentation[[#This Row],[LC Number]],Main_Issuance[],9,0)</f>
        <v>RCRC</v>
      </c>
      <c r="L1396" s="244">
        <f>VLOOKUP(Main_Presentation[[#This Row],[LC Number]],Main_Issuance[],10,0)</f>
        <v>1020106</v>
      </c>
      <c r="M1396" s="244" t="str">
        <f>VLOOKUP(Main_Presentation[[#This Row],[LC Number]],Main_Issuance[],11,0)</f>
        <v>SAR</v>
      </c>
      <c r="N1396" s="245">
        <f>VLOOKUP(Main_Presentation[[#This Row],[LC Number]],Main_Issuance[],12,0)</f>
        <v>16731764</v>
      </c>
      <c r="O1396" s="217" t="s">
        <v>20</v>
      </c>
      <c r="P1396" s="217" t="s">
        <v>378</v>
      </c>
      <c r="Q1396" s="218">
        <v>1575293.5</v>
      </c>
      <c r="R1396" s="218">
        <v>1</v>
      </c>
      <c r="S1396" s="218">
        <f>Main_Presentation[[#This Row],[Invoice Amt (FCY)]]*Main_Presentation[[#This Row],[Rate]]</f>
        <v>1575293.5</v>
      </c>
      <c r="T1396" s="227">
        <v>46065</v>
      </c>
      <c r="U1396" s="243" t="str">
        <f>VLOOKUP(Main_Presentation[[#This Row],[LC Number]],Main_Issuance[],18,0)</f>
        <v>30 Days From Invoice Date</v>
      </c>
      <c r="V1396" s="233" t="s">
        <v>613</v>
      </c>
      <c r="W1396" s="229" t="s">
        <v>857</v>
      </c>
      <c r="X1396" s="217"/>
      <c r="Y1396" s="399" t="str">
        <f>TRIM(LEFT(Main_Presentation[[#This Row],[Payment Terms]],3))</f>
        <v>30</v>
      </c>
      <c r="Z1396" s="217"/>
      <c r="AA1396" s="316" cm="1">
        <f t="array" ref="AA1396">Settlement(Main_Presentation[[#This Row],[Bank]],Main_Presentation[[#This Row],[ Invoice Amt (SAR)]],Main_Presentation[[#This Row],[Date Recd]],Main_Presentation[[#This Row],[Due Date]],Main_Presentation[[#This Row],[Days]])</f>
        <v>1854.95</v>
      </c>
      <c r="AB1396" s="217"/>
    </row>
    <row r="1397" spans="1:28" ht="15.75" hidden="1" x14ac:dyDescent="0.25">
      <c r="A1397" s="226" t="s">
        <v>1823</v>
      </c>
      <c r="B1397" s="227">
        <v>46044</v>
      </c>
      <c r="C1397" s="243">
        <v>1</v>
      </c>
      <c r="D1397" s="228" t="str">
        <f>VLOOKUP(Main_Presentation[[#This Row],[LC Number]],Main_Issuance[],3,0)</f>
        <v>Hassan Taleb</v>
      </c>
      <c r="E1397" s="217" t="s">
        <v>856</v>
      </c>
      <c r="F1397" s="244" t="str">
        <f>VLOOKUP(Main_Presentation[[#This Row],[LC Number]],Main_Issuance[],5,0)</f>
        <v>Jazira</v>
      </c>
      <c r="G1397" s="244" t="str">
        <f>VLOOKUP(Main_Presentation[[#This Row],[LC Number]],Main_Issuance[],6,0)</f>
        <v>RCRC</v>
      </c>
      <c r="H1397" s="244" t="str">
        <f>VLOOKUP(Main_Presentation[[#This Row],[LC Number]],Main_Issuance[],17,0)</f>
        <v>Credit</v>
      </c>
      <c r="I1397" s="244" t="str">
        <f>VLOOKUP(Main_Presentation[[#This Row],[LC Number]],Main_Issuance[],7,0)</f>
        <v>SAUDI HEPCO CO LTD</v>
      </c>
      <c r="J1397" s="244" t="str">
        <f>VLOOKUP(Main_Presentation[[#This Row],[LC Number]],Main_Issuance[],8,0)</f>
        <v>FIRST FIX</v>
      </c>
      <c r="K1397" s="244" t="str">
        <f>VLOOKUP(Main_Presentation[[#This Row],[LC Number]],Main_Issuance[],9,0)</f>
        <v>RCRC</v>
      </c>
      <c r="L1397" s="244">
        <f>VLOOKUP(Main_Presentation[[#This Row],[LC Number]],Main_Issuance[],10,0)</f>
        <v>1020106</v>
      </c>
      <c r="M1397" s="244" t="str">
        <f>VLOOKUP(Main_Presentation[[#This Row],[LC Number]],Main_Issuance[],11,0)</f>
        <v>SAR</v>
      </c>
      <c r="N1397" s="245">
        <f>VLOOKUP(Main_Presentation[[#This Row],[LC Number]],Main_Issuance[],12,0)</f>
        <v>750000</v>
      </c>
      <c r="O1397" s="217" t="s">
        <v>20</v>
      </c>
      <c r="P1397" s="217" t="s">
        <v>378</v>
      </c>
      <c r="Q1397" s="218">
        <v>737540</v>
      </c>
      <c r="R1397" s="218">
        <v>1</v>
      </c>
      <c r="S1397" s="218">
        <f>Main_Presentation[[#This Row],[Invoice Amt (FCY)]]*Main_Presentation[[#This Row],[Rate]]</f>
        <v>737540</v>
      </c>
      <c r="T1397" s="227">
        <v>46086</v>
      </c>
      <c r="U1397" s="243" t="str">
        <f>VLOOKUP(Main_Presentation[[#This Row],[LC Number]],Main_Issuance[],18,0)</f>
        <v>90 Days from Invoice Date</v>
      </c>
      <c r="V1397" s="233" t="s">
        <v>613</v>
      </c>
      <c r="W1397" s="229" t="s">
        <v>857</v>
      </c>
      <c r="X1397" s="217"/>
      <c r="Y1397" s="399" t="str">
        <f>TRIM(LEFT(Main_Presentation[[#This Row],[Payment Terms]],3))</f>
        <v>90</v>
      </c>
      <c r="Z1397" s="217"/>
      <c r="AA1397" s="316" cm="1">
        <f t="array" ref="AA1397">Settlement(Main_Presentation[[#This Row],[Bank]],Main_Presentation[[#This Row],[ Invoice Amt (SAR)]],Main_Presentation[[#This Row],[Date Recd]],Main_Presentation[[#This Row],[Due Date]],Main_Presentation[[#This Row],[Days]])</f>
        <v>1052.25</v>
      </c>
      <c r="AB1397" s="217"/>
    </row>
    <row r="1398" spans="1:28" ht="15.75" hidden="1" x14ac:dyDescent="0.25">
      <c r="A1398" s="226" t="s">
        <v>2918</v>
      </c>
      <c r="B1398" s="227">
        <v>46047</v>
      </c>
      <c r="C1398" s="243">
        <v>1</v>
      </c>
      <c r="D1398" s="228" t="str">
        <f>VLOOKUP(Main_Presentation[[#This Row],[LC Number]],Main_Issuance[],3,0)</f>
        <v>Hassan Taleb</v>
      </c>
      <c r="E1398" s="217" t="s">
        <v>856</v>
      </c>
      <c r="F1398" s="244" t="str">
        <f>VLOOKUP(Main_Presentation[[#This Row],[LC Number]],Main_Issuance[],5,0)</f>
        <v>Alinma</v>
      </c>
      <c r="G1398" s="244" t="str">
        <f>VLOOKUP(Main_Presentation[[#This Row],[LC Number]],Main_Issuance[],6,0)</f>
        <v>KSP</v>
      </c>
      <c r="H1398" s="244" t="str">
        <f>VLOOKUP(Main_Presentation[[#This Row],[LC Number]],Main_Issuance[],17,0)</f>
        <v>Credit</v>
      </c>
      <c r="I1398" s="244" t="str">
        <f>VLOOKUP(Main_Presentation[[#This Row],[LC Number]],Main_Issuance[],7,0)</f>
        <v>Gulf Grilles Company</v>
      </c>
      <c r="J1398" s="244" t="str">
        <f>VLOOKUP(Main_Presentation[[#This Row],[LC Number]],Main_Issuance[],8,0)</f>
        <v>FIRST FIX</v>
      </c>
      <c r="K1398" s="244" t="str">
        <f>VLOOKUP(Main_Presentation[[#This Row],[LC Number]],Main_Issuance[],9,0)</f>
        <v>KSP</v>
      </c>
      <c r="L1398" s="244">
        <f>VLOOKUP(Main_Presentation[[#This Row],[LC Number]],Main_Issuance[],10,0)</f>
        <v>1020055</v>
      </c>
      <c r="M1398" s="244" t="str">
        <f>VLOOKUP(Main_Presentation[[#This Row],[LC Number]],Main_Issuance[],11,0)</f>
        <v>SAR</v>
      </c>
      <c r="N1398" s="245">
        <f>VLOOKUP(Main_Presentation[[#This Row],[LC Number]],Main_Issuance[],12,0)</f>
        <v>2044458.32</v>
      </c>
      <c r="O1398" s="217" t="s">
        <v>20</v>
      </c>
      <c r="P1398" s="217" t="s">
        <v>857</v>
      </c>
      <c r="Q1398" s="218">
        <v>2044458.32</v>
      </c>
      <c r="R1398" s="218">
        <v>1</v>
      </c>
      <c r="S1398" s="218">
        <f>Main_Presentation[[#This Row],[Invoice Amt (FCY)]]*Main_Presentation[[#This Row],[Rate]]</f>
        <v>2044458.32</v>
      </c>
      <c r="T1398" s="227">
        <v>46112</v>
      </c>
      <c r="U1398" s="243" t="str">
        <f>VLOOKUP(Main_Presentation[[#This Row],[LC Number]],Main_Issuance[],18,0)</f>
        <v>90 Days from Invoice Date</v>
      </c>
      <c r="V1398" s="249" t="s">
        <v>22</v>
      </c>
      <c r="W1398" s="229" t="s">
        <v>378</v>
      </c>
      <c r="X1398" s="217"/>
      <c r="Y1398" s="399" t="str">
        <f>TRIM(LEFT(Main_Presentation[[#This Row],[Payment Terms]],3))</f>
        <v>90</v>
      </c>
      <c r="Z1398" s="217"/>
      <c r="AA1398" s="316" cm="1">
        <f t="array" ref="AA1398">Settlement(Main_Presentation[[#This Row],[Bank]],Main_Presentation[[#This Row],[ Invoice Amt (SAR)]],Main_Presentation[[#This Row],[Date Recd]],Main_Presentation[[#This Row],[Due Date]],Main_Presentation[[#This Row],[Days]])</f>
        <v>1959.6</v>
      </c>
      <c r="AB1398" s="217"/>
    </row>
    <row r="1399" spans="1:28" ht="15.75" hidden="1" x14ac:dyDescent="0.25">
      <c r="A1399" s="226" t="s">
        <v>3329</v>
      </c>
      <c r="B1399" s="227">
        <v>46043</v>
      </c>
      <c r="C1399" s="243">
        <v>1</v>
      </c>
      <c r="D1399" s="228" t="str">
        <f>VLOOKUP(Main_Presentation[[#This Row],[LC Number]],Main_Issuance[],3,0)</f>
        <v>Luis Puente</v>
      </c>
      <c r="E1399" s="217" t="s">
        <v>856</v>
      </c>
      <c r="F1399" s="244" t="str">
        <f>VLOOKUP(Main_Presentation[[#This Row],[LC Number]],Main_Issuance[],5,0)</f>
        <v>Riyad</v>
      </c>
      <c r="G1399" s="244" t="str">
        <f>VLOOKUP(Main_Presentation[[#This Row],[LC Number]],Main_Issuance[],6,0)</f>
        <v>Oceanarium</v>
      </c>
      <c r="H1399" s="244" t="str">
        <f>VLOOKUP(Main_Presentation[[#This Row],[LC Number]],Main_Issuance[],17,0)</f>
        <v>Credit</v>
      </c>
      <c r="I1399" s="244" t="str">
        <f>VLOOKUP(Main_Presentation[[#This Row],[LC Number]],Main_Issuance[],7,0)</f>
        <v>Electric House Trading Company L.L.C.</v>
      </c>
      <c r="J1399" s="244" t="str">
        <f>VLOOKUP(Main_Presentation[[#This Row],[LC Number]],Main_Issuance[],8,0)</f>
        <v>FIRST FIX</v>
      </c>
      <c r="K1399" s="244" t="str">
        <f>VLOOKUP(Main_Presentation[[#This Row],[LC Number]],Main_Issuance[],9,0)</f>
        <v>Oceanarium</v>
      </c>
      <c r="L1399" s="244">
        <f>VLOOKUP(Main_Presentation[[#This Row],[LC Number]],Main_Issuance[],10,0)</f>
        <v>1020096</v>
      </c>
      <c r="M1399" s="244" t="str">
        <f>VLOOKUP(Main_Presentation[[#This Row],[LC Number]],Main_Issuance[],11,0)</f>
        <v>SAR</v>
      </c>
      <c r="N1399" s="245">
        <f>VLOOKUP(Main_Presentation[[#This Row],[LC Number]],Main_Issuance[],12,0)</f>
        <v>1000000</v>
      </c>
      <c r="O1399" s="217" t="s">
        <v>20</v>
      </c>
      <c r="P1399" s="217" t="s">
        <v>857</v>
      </c>
      <c r="Q1399" s="218">
        <v>1000000</v>
      </c>
      <c r="R1399" s="218">
        <v>1</v>
      </c>
      <c r="S1399" s="218">
        <f>Main_Presentation[[#This Row],[Invoice Amt (FCY)]]*Main_Presentation[[#This Row],[Rate]]</f>
        <v>1000000</v>
      </c>
      <c r="T1399" s="227">
        <v>46126</v>
      </c>
      <c r="U1399" s="243" t="str">
        <f>VLOOKUP(Main_Presentation[[#This Row],[LC Number]],Main_Issuance[],18,0)</f>
        <v>90 Days from Appln Rep Sign on Invoice</v>
      </c>
      <c r="V1399" s="233" t="s">
        <v>483</v>
      </c>
      <c r="W1399" s="229" t="s">
        <v>857</v>
      </c>
      <c r="X1399" s="217"/>
      <c r="Y1399" s="399" t="str">
        <f>TRIM(LEFT(Main_Presentation[[#This Row],[Payment Terms]],3))</f>
        <v>90</v>
      </c>
      <c r="Z1399" s="217"/>
      <c r="AA1399" s="316" cm="1">
        <f t="array" ref="AA1399">Settlement(Main_Presentation[[#This Row],[Bank]],Main_Presentation[[#This Row],[ Invoice Amt (SAR)]],Main_Presentation[[#This Row],[Date Recd]],Main_Presentation[[#This Row],[Due Date]],Main_Presentation[[#This Row],[Days]])</f>
        <v>4312.5</v>
      </c>
      <c r="AB1399" s="217"/>
    </row>
    <row r="1400" spans="1:28" ht="15.75" hidden="1" x14ac:dyDescent="0.25">
      <c r="A1400" s="226" t="s">
        <v>1425</v>
      </c>
      <c r="B1400" s="227">
        <v>46050</v>
      </c>
      <c r="C1400" s="243">
        <v>1</v>
      </c>
      <c r="D1400" s="228" t="str">
        <f>VLOOKUP(Main_Presentation[[#This Row],[LC Number]],Main_Issuance[],3,0)</f>
        <v>Hassan Taleb</v>
      </c>
      <c r="E1400" s="217" t="s">
        <v>858</v>
      </c>
      <c r="F1400" s="244" t="str">
        <f>VLOOKUP(Main_Presentation[[#This Row],[LC Number]],Main_Issuance[],5,0)</f>
        <v>SNB</v>
      </c>
      <c r="G1400" s="244" t="str">
        <f>VLOOKUP(Main_Presentation[[#This Row],[LC Number]],Main_Issuance[],6,0)</f>
        <v>Opera House</v>
      </c>
      <c r="H1400" s="244" t="str">
        <f>VLOOKUP(Main_Presentation[[#This Row],[LC Number]],Main_Issuance[],17,0)</f>
        <v>Credit</v>
      </c>
      <c r="I1400" s="244" t="str">
        <f>VLOOKUP(Main_Presentation[[#This Row],[LC Number]],Main_Issuance[],7,0)</f>
        <v>Electric House Trading Company L.L.C.</v>
      </c>
      <c r="J1400" s="244" t="str">
        <f>VLOOKUP(Main_Presentation[[#This Row],[LC Number]],Main_Issuance[],8,0)</f>
        <v>FIRST FIX</v>
      </c>
      <c r="K1400" s="244" t="str">
        <f>VLOOKUP(Main_Presentation[[#This Row],[LC Number]],Main_Issuance[],9,0)</f>
        <v>KSP</v>
      </c>
      <c r="L1400" s="244">
        <f>VLOOKUP(Main_Presentation[[#This Row],[LC Number]],Main_Issuance[],10,0)</f>
        <v>1020055</v>
      </c>
      <c r="M1400" s="244" t="str">
        <f>VLOOKUP(Main_Presentation[[#This Row],[LC Number]],Main_Issuance[],11,0)</f>
        <v>SAR</v>
      </c>
      <c r="N1400" s="245">
        <f>VLOOKUP(Main_Presentation[[#This Row],[LC Number]],Main_Issuance[],12,0)</f>
        <v>400000</v>
      </c>
      <c r="O1400" s="217" t="s">
        <v>20</v>
      </c>
      <c r="P1400" s="217" t="s">
        <v>378</v>
      </c>
      <c r="Q1400" s="218">
        <v>400000</v>
      </c>
      <c r="R1400" s="218">
        <v>1</v>
      </c>
      <c r="S1400" s="218">
        <f>Main_Presentation[[#This Row],[Invoice Amt (FCY)]]*Main_Presentation[[#This Row],[Rate]]</f>
        <v>400000</v>
      </c>
      <c r="T1400" s="227">
        <v>46113</v>
      </c>
      <c r="U1400" s="243" t="str">
        <f>VLOOKUP(Main_Presentation[[#This Row],[LC Number]],Main_Issuance[],18,0)</f>
        <v>120 Days from Invoice Date</v>
      </c>
      <c r="V1400" s="233" t="s">
        <v>22</v>
      </c>
      <c r="W1400" s="229" t="s">
        <v>857</v>
      </c>
      <c r="X1400" s="217"/>
      <c r="Y1400" s="399" t="str">
        <f>TRIM(LEFT(Main_Presentation[[#This Row],[Payment Terms]],3))</f>
        <v>120</v>
      </c>
      <c r="Z1400" s="217"/>
      <c r="AA1400" s="316" cm="1">
        <f t="array" ref="AA1400">Settlement(Main_Presentation[[#This Row],[Bank]],Main_Presentation[[#This Row],[ Invoice Amt (SAR)]],Main_Presentation[[#This Row],[Date Recd]],Main_Presentation[[#This Row],[Due Date]],Main_Presentation[[#This Row],[Days]])</f>
        <v>1957.3</v>
      </c>
      <c r="AB1400" s="217"/>
    </row>
    <row r="1401" spans="1:28" ht="15.75" hidden="1" x14ac:dyDescent="0.25">
      <c r="A1401" s="226" t="s">
        <v>3322</v>
      </c>
      <c r="B1401" s="227">
        <v>46044</v>
      </c>
      <c r="C1401" s="243">
        <v>1</v>
      </c>
      <c r="D1401" s="228" t="str">
        <f>VLOOKUP(Main_Presentation[[#This Row],[LC Number]],Main_Issuance[],3,0)</f>
        <v>Luis Puente</v>
      </c>
      <c r="E1401" s="217" t="s">
        <v>856</v>
      </c>
      <c r="F1401" s="244" t="str">
        <f>VLOOKUP(Main_Presentation[[#This Row],[LC Number]],Main_Issuance[],5,0)</f>
        <v>Riyad</v>
      </c>
      <c r="G1401" s="244" t="str">
        <f>VLOOKUP(Main_Presentation[[#This Row],[LC Number]],Main_Issuance[],6,0)</f>
        <v>Oceanarium</v>
      </c>
      <c r="H1401" s="244" t="str">
        <f>VLOOKUP(Main_Presentation[[#This Row],[LC Number]],Main_Issuance[],17,0)</f>
        <v>Credit</v>
      </c>
      <c r="I1401" s="244" t="str">
        <f>VLOOKUP(Main_Presentation[[#This Row],[LC Number]],Main_Issuance[],7,0)</f>
        <v>Mahmoud Altaheni &amp; Partners Trading Co.</v>
      </c>
      <c r="J1401" s="244" t="str">
        <f>VLOOKUP(Main_Presentation[[#This Row],[LC Number]],Main_Issuance[],8,0)</f>
        <v>FIRST FIX</v>
      </c>
      <c r="K1401" s="244" t="str">
        <f>VLOOKUP(Main_Presentation[[#This Row],[LC Number]],Main_Issuance[],9,0)</f>
        <v>Oceanarium</v>
      </c>
      <c r="L1401" s="244">
        <f>VLOOKUP(Main_Presentation[[#This Row],[LC Number]],Main_Issuance[],10,0)</f>
        <v>1020096</v>
      </c>
      <c r="M1401" s="244" t="str">
        <f>VLOOKUP(Main_Presentation[[#This Row],[LC Number]],Main_Issuance[],11,0)</f>
        <v>SAR</v>
      </c>
      <c r="N1401" s="245">
        <f>VLOOKUP(Main_Presentation[[#This Row],[LC Number]],Main_Issuance[],12,0)</f>
        <v>550000</v>
      </c>
      <c r="O1401" s="217" t="s">
        <v>20</v>
      </c>
      <c r="P1401" s="217" t="s">
        <v>857</v>
      </c>
      <c r="Q1401" s="218">
        <v>550000</v>
      </c>
      <c r="R1401" s="218">
        <v>1</v>
      </c>
      <c r="S1401" s="218">
        <f>Main_Presentation[[#This Row],[Invoice Amt (FCY)]]*Main_Presentation[[#This Row],[Rate]]</f>
        <v>550000</v>
      </c>
      <c r="T1401" s="227">
        <v>46126</v>
      </c>
      <c r="U1401" s="243" t="str">
        <f>VLOOKUP(Main_Presentation[[#This Row],[LC Number]],Main_Issuance[],18,0)</f>
        <v>90 Days from Appln Rep Sign on Invoice</v>
      </c>
      <c r="V1401" s="233" t="s">
        <v>483</v>
      </c>
      <c r="W1401" s="229" t="s">
        <v>857</v>
      </c>
      <c r="X1401" s="217"/>
      <c r="Y1401" s="399" t="str">
        <f>TRIM(LEFT(Main_Presentation[[#This Row],[Payment Terms]],3))</f>
        <v>90</v>
      </c>
      <c r="Z1401" s="217"/>
      <c r="AA1401" s="316" cm="1">
        <f t="array" ref="AA1401">Settlement(Main_Presentation[[#This Row],[Bank]],Main_Presentation[[#This Row],[ Invoice Amt (SAR)]],Main_Presentation[[#This Row],[Date Recd]],Main_Presentation[[#This Row],[Due Date]],Main_Presentation[[#This Row],[Days]])</f>
        <v>2371.3000000000002</v>
      </c>
      <c r="AB1401" s="217"/>
    </row>
    <row r="1402" spans="1:28" ht="15.75" hidden="1" x14ac:dyDescent="0.25">
      <c r="A1402" s="226" t="s">
        <v>2916</v>
      </c>
      <c r="B1402" s="227">
        <v>46041</v>
      </c>
      <c r="C1402" s="243">
        <v>1</v>
      </c>
      <c r="D1402" s="228" t="str">
        <f>VLOOKUP(Main_Presentation[[#This Row],[LC Number]],Main_Issuance[],3,0)</f>
        <v>Hassan Taleb</v>
      </c>
      <c r="E1402" s="217" t="s">
        <v>858</v>
      </c>
      <c r="F1402" s="244" t="str">
        <f>VLOOKUP(Main_Presentation[[#This Row],[LC Number]],Main_Issuance[],5,0)</f>
        <v>SAB</v>
      </c>
      <c r="G1402" s="244" t="str">
        <f>VLOOKUP(Main_Presentation[[#This Row],[LC Number]],Main_Issuance[],6,0)</f>
        <v>MP1</v>
      </c>
      <c r="H1402" s="244" t="str">
        <f>VLOOKUP(Main_Presentation[[#This Row],[LC Number]],Main_Issuance[],17,0)</f>
        <v>Credit</v>
      </c>
      <c r="I1402" s="244" t="str">
        <f>VLOOKUP(Main_Presentation[[#This Row],[LC Number]],Main_Issuance[],7,0)</f>
        <v>Mohamad Saeed Afifi Trading Est.</v>
      </c>
      <c r="J1402" s="244" t="str">
        <f>VLOOKUP(Main_Presentation[[#This Row],[LC Number]],Main_Issuance[],8,0)</f>
        <v>FIRST FIX</v>
      </c>
      <c r="K1402" s="244" t="str">
        <f>VLOOKUP(Main_Presentation[[#This Row],[LC Number]],Main_Issuance[],9,0)</f>
        <v>MP1</v>
      </c>
      <c r="L1402" s="244">
        <f>VLOOKUP(Main_Presentation[[#This Row],[LC Number]],Main_Issuance[],10,0)</f>
        <v>1020088</v>
      </c>
      <c r="M1402" s="244" t="str">
        <f>VLOOKUP(Main_Presentation[[#This Row],[LC Number]],Main_Issuance[],11,0)</f>
        <v>SAR</v>
      </c>
      <c r="N1402" s="245">
        <f>VLOOKUP(Main_Presentation[[#This Row],[LC Number]],Main_Issuance[],12,0)</f>
        <v>1900037.67</v>
      </c>
      <c r="O1402" s="217" t="s">
        <v>20</v>
      </c>
      <c r="P1402" s="217" t="s">
        <v>857</v>
      </c>
      <c r="Q1402" s="218">
        <v>664214</v>
      </c>
      <c r="R1402" s="218">
        <v>1</v>
      </c>
      <c r="S1402" s="218">
        <f>Main_Presentation[[#This Row],[Invoice Amt (FCY)]]*Main_Presentation[[#This Row],[Rate]]</f>
        <v>664214</v>
      </c>
      <c r="T1402" s="227">
        <v>46121</v>
      </c>
      <c r="U1402" s="243" t="str">
        <f>VLOOKUP(Main_Presentation[[#This Row],[LC Number]],Main_Issuance[],18,0)</f>
        <v>120 Days from Invoice Date</v>
      </c>
      <c r="V1402" s="233" t="s">
        <v>710</v>
      </c>
      <c r="W1402" s="229" t="s">
        <v>857</v>
      </c>
      <c r="X1402" s="217"/>
      <c r="Y1402" s="399" t="str">
        <f>TRIM(LEFT(Main_Presentation[[#This Row],[Payment Terms]],3))</f>
        <v>120</v>
      </c>
      <c r="Z1402" s="217"/>
      <c r="AA1402" s="316" cm="1">
        <f t="array" ref="AA1402">Settlement(Main_Presentation[[#This Row],[Bank]],Main_Presentation[[#This Row],[ Invoice Amt (SAR)]],Main_Presentation[[#This Row],[Date Recd]],Main_Presentation[[#This Row],[Due Date]],Main_Presentation[[#This Row],[Days]])</f>
        <v>2864.65</v>
      </c>
      <c r="AB1402" s="217"/>
    </row>
    <row r="1403" spans="1:28" ht="15.75" hidden="1" x14ac:dyDescent="0.25">
      <c r="A1403" s="226" t="s">
        <v>1834</v>
      </c>
      <c r="B1403" s="227">
        <v>46042</v>
      </c>
      <c r="C1403" s="243">
        <v>4</v>
      </c>
      <c r="D1403" s="228" t="str">
        <f>VLOOKUP(Main_Presentation[[#This Row],[LC Number]],Main_Issuance[],3,0)</f>
        <v>Luis Puente</v>
      </c>
      <c r="E1403" s="217" t="s">
        <v>858</v>
      </c>
      <c r="F1403" s="244" t="str">
        <f>VLOOKUP(Main_Presentation[[#This Row],[LC Number]],Main_Issuance[],5,0)</f>
        <v>Riyad</v>
      </c>
      <c r="G1403" s="244" t="str">
        <f>VLOOKUP(Main_Presentation[[#This Row],[LC Number]],Main_Issuance[],6,0)</f>
        <v>Oceanarium</v>
      </c>
      <c r="H1403" s="244" t="str">
        <f>VLOOKUP(Main_Presentation[[#This Row],[LC Number]],Main_Issuance[],17,0)</f>
        <v>Credit</v>
      </c>
      <c r="I1403" s="244" t="str">
        <f>VLOOKUP(Main_Presentation[[#This Row],[LC Number]],Main_Issuance[],7,0)</f>
        <v>Jiangsu Donchamp New Materials Technology Co.Ltd.</v>
      </c>
      <c r="J1403" s="244" t="str">
        <f>VLOOKUP(Main_Presentation[[#This Row],[LC Number]],Main_Issuance[],8,0)</f>
        <v>MBL</v>
      </c>
      <c r="K1403" s="244" t="str">
        <f>VLOOKUP(Main_Presentation[[#This Row],[LC Number]],Main_Issuance[],9,0)</f>
        <v>Oceanarium</v>
      </c>
      <c r="L1403" s="244">
        <f>VLOOKUP(Main_Presentation[[#This Row],[LC Number]],Main_Issuance[],10,0)</f>
        <v>1020096</v>
      </c>
      <c r="M1403" s="244" t="str">
        <f>VLOOKUP(Main_Presentation[[#This Row],[LC Number]],Main_Issuance[],11,0)</f>
        <v>USD</v>
      </c>
      <c r="N1403" s="245">
        <f>VLOOKUP(Main_Presentation[[#This Row],[LC Number]],Main_Issuance[],12,0)</f>
        <v>7339154</v>
      </c>
      <c r="O1403" s="217" t="s">
        <v>20</v>
      </c>
      <c r="P1403" s="217" t="s">
        <v>857</v>
      </c>
      <c r="Q1403" s="218">
        <v>144571.51</v>
      </c>
      <c r="R1403" s="218">
        <v>3.76</v>
      </c>
      <c r="S1403" s="218">
        <f>Main_Presentation[[#This Row],[Invoice Amt (FCY)]]*Main_Presentation[[#This Row],[Rate]]</f>
        <v>543588.87760000001</v>
      </c>
      <c r="T1403" s="227">
        <v>46044</v>
      </c>
      <c r="U1403" s="243" t="str">
        <f>VLOOKUP(Main_Presentation[[#This Row],[LC Number]],Main_Issuance[],18,0)</f>
        <v>45 Days from Invoice Date / Sight</v>
      </c>
      <c r="V1403" s="21" t="s">
        <v>483</v>
      </c>
      <c r="W1403" s="229" t="s">
        <v>857</v>
      </c>
      <c r="X1403" s="217"/>
      <c r="Y1403" s="399" t="str">
        <f>TRIM(LEFT(Main_Presentation[[#This Row],[Payment Terms]],3))</f>
        <v>45</v>
      </c>
      <c r="Z1403" s="217"/>
      <c r="AA1403" s="316" cm="1">
        <f t="array" ref="AA1403">Settlement(Main_Presentation[[#This Row],[Bank]],Main_Presentation[[#This Row],[ Invoice Amt (SAR)]],Main_Presentation[[#This Row],[Date Recd]],Main_Presentation[[#This Row],[Due Date]],Main_Presentation[[#This Row],[Days]])</f>
        <v>230</v>
      </c>
      <c r="AB1403" s="217"/>
    </row>
    <row r="1404" spans="1:28" ht="15.75" hidden="1" x14ac:dyDescent="0.25">
      <c r="A1404" s="226" t="s">
        <v>3146</v>
      </c>
      <c r="B1404" s="227">
        <v>46056</v>
      </c>
      <c r="C1404" s="243">
        <v>1</v>
      </c>
      <c r="D1404" s="228" t="str">
        <f>VLOOKUP(Main_Presentation[[#This Row],[LC Number]],Main_Issuance[],3,0)</f>
        <v>Essam Zahran - Signal Control</v>
      </c>
      <c r="E1404" s="217" t="s">
        <v>856</v>
      </c>
      <c r="F1404" s="244" t="str">
        <f>VLOOKUP(Main_Presentation[[#This Row],[LC Number]],Main_Issuance[],5,0)</f>
        <v>Alinma</v>
      </c>
      <c r="G1404" s="244" t="str">
        <f>VLOOKUP(Main_Presentation[[#This Row],[LC Number]],Main_Issuance[],6,0)</f>
        <v>KSP</v>
      </c>
      <c r="H1404" s="244" t="str">
        <f>VLOOKUP(Main_Presentation[[#This Row],[LC Number]],Main_Issuance[],17,0)</f>
        <v>Credit</v>
      </c>
      <c r="I1404" s="244" t="str">
        <f>VLOOKUP(Main_Presentation[[#This Row],[LC Number]],Main_Issuance[],7,0)</f>
        <v>SIEMENS Limited Company</v>
      </c>
      <c r="J1404" s="244" t="str">
        <f>VLOOKUP(Main_Presentation[[#This Row],[LC Number]],Main_Issuance[],8,0)</f>
        <v>Signal Control</v>
      </c>
      <c r="K1404" s="244" t="str">
        <f>VLOOKUP(Main_Presentation[[#This Row],[LC Number]],Main_Issuance[],9,0)</f>
        <v>KSP</v>
      </c>
      <c r="L1404" s="244">
        <f>VLOOKUP(Main_Presentation[[#This Row],[LC Number]],Main_Issuance[],10,0)</f>
        <v>1020055</v>
      </c>
      <c r="M1404" s="244" t="str">
        <f>VLOOKUP(Main_Presentation[[#This Row],[LC Number]],Main_Issuance[],11,0)</f>
        <v>SAR</v>
      </c>
      <c r="N1404" s="245">
        <f>VLOOKUP(Main_Presentation[[#This Row],[LC Number]],Main_Issuance[],12,0)</f>
        <v>7259198.5</v>
      </c>
      <c r="O1404" s="217" t="s">
        <v>20</v>
      </c>
      <c r="P1404" s="217" t="s">
        <v>857</v>
      </c>
      <c r="Q1404" s="218">
        <v>1825754.98</v>
      </c>
      <c r="R1404" s="218">
        <v>1</v>
      </c>
      <c r="S1404" s="218">
        <f>Main_Presentation[[#This Row],[Invoice Amt (FCY)]]*Main_Presentation[[#This Row],[Rate]]</f>
        <v>1825754.98</v>
      </c>
      <c r="T1404" s="227">
        <v>46125</v>
      </c>
      <c r="U1404" s="243" t="str">
        <f>VLOOKUP(Main_Presentation[[#This Row],[LC Number]],Main_Issuance[],18,0)</f>
        <v>90 Days from Invoice Date</v>
      </c>
      <c r="V1404" s="233" t="s">
        <v>22</v>
      </c>
      <c r="W1404" s="229" t="s">
        <v>857</v>
      </c>
      <c r="X1404" s="217"/>
      <c r="Y1404" s="399" t="str">
        <f>TRIM(LEFT(Main_Presentation[[#This Row],[Payment Terms]],3))</f>
        <v>90</v>
      </c>
      <c r="Z1404" s="217"/>
      <c r="AA1404" s="316" cm="1">
        <f t="array" ref="AA1404">Settlement(Main_Presentation[[#This Row],[Bank]],Main_Presentation[[#This Row],[ Invoice Amt (SAR)]],Main_Presentation[[#This Row],[Date Recd]],Main_Presentation[[#This Row],[Due Date]],Main_Presentation[[#This Row],[Days]])</f>
        <v>1749.15</v>
      </c>
      <c r="AB1404" s="217"/>
    </row>
    <row r="1405" spans="1:28" ht="15.75" hidden="1" x14ac:dyDescent="0.25">
      <c r="A1405" s="226" t="s">
        <v>3146</v>
      </c>
      <c r="B1405" s="227">
        <v>46056</v>
      </c>
      <c r="C1405" s="243">
        <v>2</v>
      </c>
      <c r="D1405" s="228" t="str">
        <f>VLOOKUP(Main_Presentation[[#This Row],[LC Number]],Main_Issuance[],3,0)</f>
        <v>Essam Zahran - Signal Control</v>
      </c>
      <c r="E1405" s="217" t="s">
        <v>856</v>
      </c>
      <c r="F1405" s="244" t="str">
        <f>VLOOKUP(Main_Presentation[[#This Row],[LC Number]],Main_Issuance[],5,0)</f>
        <v>Alinma</v>
      </c>
      <c r="G1405" s="244" t="str">
        <f>VLOOKUP(Main_Presentation[[#This Row],[LC Number]],Main_Issuance[],6,0)</f>
        <v>KSP</v>
      </c>
      <c r="H1405" s="244" t="str">
        <f>VLOOKUP(Main_Presentation[[#This Row],[LC Number]],Main_Issuance[],17,0)</f>
        <v>Credit</v>
      </c>
      <c r="I1405" s="244" t="str">
        <f>VLOOKUP(Main_Presentation[[#This Row],[LC Number]],Main_Issuance[],7,0)</f>
        <v>SIEMENS Limited Company</v>
      </c>
      <c r="J1405" s="244" t="str">
        <f>VLOOKUP(Main_Presentation[[#This Row],[LC Number]],Main_Issuance[],8,0)</f>
        <v>Signal Control</v>
      </c>
      <c r="K1405" s="244" t="str">
        <f>VLOOKUP(Main_Presentation[[#This Row],[LC Number]],Main_Issuance[],9,0)</f>
        <v>KSP</v>
      </c>
      <c r="L1405" s="244">
        <f>VLOOKUP(Main_Presentation[[#This Row],[LC Number]],Main_Issuance[],10,0)</f>
        <v>1020055</v>
      </c>
      <c r="M1405" s="244" t="str">
        <f>VLOOKUP(Main_Presentation[[#This Row],[LC Number]],Main_Issuance[],11,0)</f>
        <v>SAR</v>
      </c>
      <c r="N1405" s="245">
        <f>VLOOKUP(Main_Presentation[[#This Row],[LC Number]],Main_Issuance[],12,0)</f>
        <v>7259198.5</v>
      </c>
      <c r="O1405" s="217" t="s">
        <v>20</v>
      </c>
      <c r="P1405" s="217" t="s">
        <v>857</v>
      </c>
      <c r="Q1405" s="218">
        <v>738299.32</v>
      </c>
      <c r="R1405" s="218">
        <v>1</v>
      </c>
      <c r="S1405" s="218">
        <f>Main_Presentation[[#This Row],[Invoice Amt (FCY)]]*Main_Presentation[[#This Row],[Rate]]</f>
        <v>738299.32</v>
      </c>
      <c r="T1405" s="227">
        <v>46125</v>
      </c>
      <c r="U1405" s="243" t="str">
        <f>VLOOKUP(Main_Presentation[[#This Row],[LC Number]],Main_Issuance[],18,0)</f>
        <v>90 Days from Invoice Date</v>
      </c>
      <c r="V1405" s="233" t="s">
        <v>22</v>
      </c>
      <c r="W1405" s="229" t="s">
        <v>857</v>
      </c>
      <c r="X1405" s="217"/>
      <c r="Y1405" s="399" t="str">
        <f>TRIM(LEFT(Main_Presentation[[#This Row],[Payment Terms]],3))</f>
        <v>90</v>
      </c>
      <c r="Z1405" s="217"/>
      <c r="AA1405" s="316" cm="1">
        <f t="array" ref="AA1405">Settlement(Main_Presentation[[#This Row],[Bank]],Main_Presentation[[#This Row],[ Invoice Amt (SAR)]],Main_Presentation[[#This Row],[Date Recd]],Main_Presentation[[#This Row],[Due Date]],Main_Presentation[[#This Row],[Days]])</f>
        <v>1437.5</v>
      </c>
      <c r="AB1405" s="217"/>
    </row>
    <row r="1406" spans="1:28" ht="15.75" hidden="1" x14ac:dyDescent="0.25">
      <c r="A1406" s="226" t="s">
        <v>1662</v>
      </c>
      <c r="B1406" s="227">
        <v>46043</v>
      </c>
      <c r="C1406" s="243">
        <v>5</v>
      </c>
      <c r="D1406" s="228" t="str">
        <f>VLOOKUP(Main_Presentation[[#This Row],[LC Number]],Main_Issuance[],3,0)</f>
        <v>Tareeq Telmasani</v>
      </c>
      <c r="E1406" s="217" t="s">
        <v>858</v>
      </c>
      <c r="F1406" s="244" t="str">
        <f>VLOOKUP(Main_Presentation[[#This Row],[LC Number]],Main_Issuance[],5,0)</f>
        <v>SAB</v>
      </c>
      <c r="G1406" s="244" t="str">
        <f>VLOOKUP(Main_Presentation[[#This Row],[LC Number]],Main_Issuance[],6,0)</f>
        <v>CEER</v>
      </c>
      <c r="H1406" s="244" t="str">
        <f>VLOOKUP(Main_Presentation[[#This Row],[LC Number]],Main_Issuance[],17,0)</f>
        <v>Credit</v>
      </c>
      <c r="I1406" s="244" t="str">
        <f>VLOOKUP(Main_Presentation[[#This Row],[LC Number]],Main_Issuance[],7,0)</f>
        <v>JAD AL RIYADH Trading Co. Ltd</v>
      </c>
      <c r="J1406" s="244" t="str">
        <f>VLOOKUP(Main_Presentation[[#This Row],[LC Number]],Main_Issuance[],8,0)</f>
        <v>FIRST FIX</v>
      </c>
      <c r="K1406" s="244" t="str">
        <f>VLOOKUP(Main_Presentation[[#This Row],[LC Number]],Main_Issuance[],9,0)</f>
        <v>CEER</v>
      </c>
      <c r="L1406" s="244">
        <f>VLOOKUP(Main_Presentation[[#This Row],[LC Number]],Main_Issuance[],10,0)</f>
        <v>1020091</v>
      </c>
      <c r="M1406" s="244" t="str">
        <f>VLOOKUP(Main_Presentation[[#This Row],[LC Number]],Main_Issuance[],11,0)</f>
        <v>SAR</v>
      </c>
      <c r="N1406" s="245">
        <f>VLOOKUP(Main_Presentation[[#This Row],[LC Number]],Main_Issuance[],12,0)</f>
        <v>1400000</v>
      </c>
      <c r="O1406" s="217" t="s">
        <v>20</v>
      </c>
      <c r="P1406" s="217" t="s">
        <v>857</v>
      </c>
      <c r="Q1406" s="218">
        <v>148828.26</v>
      </c>
      <c r="R1406" s="218">
        <v>1</v>
      </c>
      <c r="S1406" s="218">
        <f>Main_Presentation[[#This Row],[Invoice Amt (FCY)]]*Main_Presentation[[#This Row],[Rate]]</f>
        <v>148828.26</v>
      </c>
      <c r="T1406" s="227">
        <v>46124</v>
      </c>
      <c r="U1406" s="243" t="str">
        <f>VLOOKUP(Main_Presentation[[#This Row],[LC Number]],Main_Issuance[],18,0)</f>
        <v>90 Days from Appl. Representative Sign</v>
      </c>
      <c r="V1406" s="233" t="s">
        <v>4353</v>
      </c>
      <c r="W1406" s="229" t="s">
        <v>857</v>
      </c>
      <c r="X1406" s="217"/>
      <c r="Y1406" s="399" t="str">
        <f>TRIM(LEFT(Main_Presentation[[#This Row],[Payment Terms]],3))</f>
        <v>90</v>
      </c>
      <c r="Z1406" s="217"/>
      <c r="AA1406" s="316" cm="1">
        <f t="array" ref="AA1406">Settlement(Main_Presentation[[#This Row],[Bank]],Main_Presentation[[#This Row],[ Invoice Amt (SAR)]],Main_Presentation[[#This Row],[Date Recd]],Main_Presentation[[#This Row],[Due Date]],Main_Presentation[[#This Row],[Days]])</f>
        <v>641.70000000000005</v>
      </c>
      <c r="AB1406" s="217"/>
    </row>
    <row r="1407" spans="1:28" ht="15.75" hidden="1" x14ac:dyDescent="0.25">
      <c r="A1407" s="226" t="s">
        <v>3169</v>
      </c>
      <c r="B1407" s="227">
        <v>46043</v>
      </c>
      <c r="C1407" s="243">
        <v>1</v>
      </c>
      <c r="D1407" s="228" t="str">
        <f>VLOOKUP(Main_Presentation[[#This Row],[LC Number]],Main_Issuance[],3,0)</f>
        <v>Mohammed Atef</v>
      </c>
      <c r="E1407" s="217" t="s">
        <v>856</v>
      </c>
      <c r="F1407" s="244" t="str">
        <f>VLOOKUP(Main_Presentation[[#This Row],[LC Number]],Main_Issuance[],5,0)</f>
        <v>Alinma</v>
      </c>
      <c r="G1407" s="244" t="str">
        <f>VLOOKUP(Main_Presentation[[#This Row],[LC Number]],Main_Issuance[],6,0)</f>
        <v>KSP</v>
      </c>
      <c r="H1407" s="244" t="str">
        <f>VLOOKUP(Main_Presentation[[#This Row],[LC Number]],Main_Issuance[],17,0)</f>
        <v>Credit</v>
      </c>
      <c r="I1407" s="244" t="str">
        <f>VLOOKUP(Main_Presentation[[#This Row],[LC Number]],Main_Issuance[],7,0)</f>
        <v>Osalas GMBH</v>
      </c>
      <c r="J1407" s="244" t="str">
        <f>VLOOKUP(Main_Presentation[[#This Row],[LC Number]],Main_Issuance[],8,0)</f>
        <v>MBL</v>
      </c>
      <c r="K1407" s="244" t="str">
        <f>VLOOKUP(Main_Presentation[[#This Row],[LC Number]],Main_Issuance[],9,0)</f>
        <v>ADF</v>
      </c>
      <c r="L1407" s="244">
        <f>VLOOKUP(Main_Presentation[[#This Row],[LC Number]],Main_Issuance[],10,0)</f>
        <v>1020001</v>
      </c>
      <c r="M1407" s="244" t="str">
        <f>VLOOKUP(Main_Presentation[[#This Row],[LC Number]],Main_Issuance[],11,0)</f>
        <v>EUR</v>
      </c>
      <c r="N1407" s="245">
        <f>VLOOKUP(Main_Presentation[[#This Row],[LC Number]],Main_Issuance[],12,0)</f>
        <v>5000000</v>
      </c>
      <c r="O1407" s="217" t="s">
        <v>20</v>
      </c>
      <c r="P1407" s="217" t="s">
        <v>857</v>
      </c>
      <c r="Q1407" s="218">
        <v>2850000</v>
      </c>
      <c r="R1407" s="218">
        <v>4.4850000000000003</v>
      </c>
      <c r="S1407" s="218">
        <f>Main_Presentation[[#This Row],[Invoice Amt (FCY)]]*Main_Presentation[[#This Row],[Rate]]</f>
        <v>12782250</v>
      </c>
      <c r="T1407" s="227">
        <v>46049</v>
      </c>
      <c r="U1407" s="243" t="str">
        <f>VLOOKUP(Main_Presentation[[#This Row],[LC Number]],Main_Issuance[],18,0)</f>
        <v>Sight / 60 Days from Appl. Rep Sign on Invoice</v>
      </c>
      <c r="V1407" s="233" t="s">
        <v>90</v>
      </c>
      <c r="W1407" s="229" t="s">
        <v>857</v>
      </c>
      <c r="X1407" s="217"/>
      <c r="Y1407" s="399" t="str">
        <f>TRIM(LEFT(Main_Presentation[[#This Row],[Payment Terms]],3))</f>
        <v>Sig</v>
      </c>
      <c r="Z1407" s="217"/>
      <c r="AA1407" s="316" t="e" cm="1">
        <f t="array" ref="AA1407">Settlement(Main_Presentation[[#This Row],[Bank]],Main_Presentation[[#This Row],[ Invoice Amt (SAR)]],Main_Presentation[[#This Row],[Date Recd]],Main_Presentation[[#This Row],[Due Date]],Main_Presentation[[#This Row],[Days]])</f>
        <v>#VALUE!</v>
      </c>
      <c r="AB1407" s="217"/>
    </row>
    <row r="1408" spans="1:28" ht="15.75" hidden="1" x14ac:dyDescent="0.25">
      <c r="A1408" s="20" t="s">
        <v>2916</v>
      </c>
      <c r="B1408" s="15">
        <v>46055</v>
      </c>
      <c r="C1408" s="26">
        <v>2</v>
      </c>
      <c r="D1408" s="55" t="str">
        <f>VLOOKUP(Main_Presentation[[#This Row],[LC Number]],Main_Issuance[],3,0)</f>
        <v>Hassan Taleb</v>
      </c>
      <c r="E1408" s="16" t="s">
        <v>856</v>
      </c>
      <c r="F1408" s="17" t="str">
        <f>VLOOKUP(Main_Presentation[[#This Row],[LC Number]],Main_Issuance[],5,0)</f>
        <v>SAB</v>
      </c>
      <c r="G1408" s="17" t="str">
        <f>VLOOKUP(Main_Presentation[[#This Row],[LC Number]],Main_Issuance[],6,0)</f>
        <v>MP1</v>
      </c>
      <c r="H1408" s="17" t="str">
        <f>VLOOKUP(Main_Presentation[[#This Row],[LC Number]],Main_Issuance[],17,0)</f>
        <v>Credit</v>
      </c>
      <c r="I1408" s="17" t="str">
        <f>VLOOKUP(Main_Presentation[[#This Row],[LC Number]],Main_Issuance[],7,0)</f>
        <v>Mohamad Saeed Afifi Trading Est.</v>
      </c>
      <c r="J1408" s="17" t="str">
        <f>VLOOKUP(Main_Presentation[[#This Row],[LC Number]],Main_Issuance[],8,0)</f>
        <v>FIRST FIX</v>
      </c>
      <c r="K1408" s="17" t="str">
        <f>VLOOKUP(Main_Presentation[[#This Row],[LC Number]],Main_Issuance[],9,0)</f>
        <v>MP1</v>
      </c>
      <c r="L1408" s="17">
        <f>VLOOKUP(Main_Presentation[[#This Row],[LC Number]],Main_Issuance[],10,0)</f>
        <v>1020088</v>
      </c>
      <c r="M1408" s="17" t="str">
        <f>VLOOKUP(Main_Presentation[[#This Row],[LC Number]],Main_Issuance[],11,0)</f>
        <v>SAR</v>
      </c>
      <c r="N1408" s="84">
        <f>VLOOKUP(Main_Presentation[[#This Row],[LC Number]],Main_Issuance[],12,0)</f>
        <v>1900037.67</v>
      </c>
      <c r="O1408" s="16" t="s">
        <v>20</v>
      </c>
      <c r="P1408" s="16" t="s">
        <v>857</v>
      </c>
      <c r="Q1408" s="18">
        <v>1235823.67</v>
      </c>
      <c r="R1408" s="18">
        <v>1</v>
      </c>
      <c r="S1408" s="18">
        <f>Main_Presentation[[#This Row],[Invoice Amt (FCY)]]*Main_Presentation[[#This Row],[Rate]]</f>
        <v>1235823.67</v>
      </c>
      <c r="T1408" s="15">
        <v>46163</v>
      </c>
      <c r="U1408" s="26" t="str">
        <f>VLOOKUP(Main_Presentation[[#This Row],[LC Number]],Main_Issuance[],18,0)</f>
        <v>120 Days from Invoice Date</v>
      </c>
      <c r="V1408" s="249" t="s">
        <v>367</v>
      </c>
      <c r="W1408" s="22" t="s">
        <v>378</v>
      </c>
      <c r="X1408" s="16"/>
      <c r="Y1408" s="234" t="str">
        <f>TRIM(LEFT(Main_Presentation[[#This Row],[Payment Terms]],3))</f>
        <v>120</v>
      </c>
      <c r="Z1408" s="16"/>
      <c r="AA1408" s="316" cm="1">
        <f t="array" ref="AA1408">Settlement(Main_Presentation[[#This Row],[Bank]],Main_Presentation[[#This Row],[ Invoice Amt (SAR)]],Main_Presentation[[#This Row],[Date Recd]],Main_Presentation[[#This Row],[Due Date]],Main_Presentation[[#This Row],[Days]])</f>
        <v>5329.1</v>
      </c>
      <c r="AB1408" s="16"/>
    </row>
    <row r="1409" spans="1:28" ht="15.75" hidden="1" x14ac:dyDescent="0.25">
      <c r="A1409" s="20" t="s">
        <v>3265</v>
      </c>
      <c r="B1409" s="15">
        <v>46061</v>
      </c>
      <c r="C1409" s="26">
        <v>1</v>
      </c>
      <c r="D1409" s="55" t="str">
        <f>VLOOKUP(Main_Presentation[[#This Row],[LC Number]],Main_Issuance[],3,0)</f>
        <v>Hassan Taleb</v>
      </c>
      <c r="E1409" s="16" t="s">
        <v>856</v>
      </c>
      <c r="F1409" s="17" t="str">
        <f>VLOOKUP(Main_Presentation[[#This Row],[LC Number]],Main_Issuance[],5,0)</f>
        <v>SAB</v>
      </c>
      <c r="G1409" s="17" t="str">
        <f>VLOOKUP(Main_Presentation[[#This Row],[LC Number]],Main_Issuance[],6,0)</f>
        <v>MP1</v>
      </c>
      <c r="H1409" s="17" t="str">
        <f>VLOOKUP(Main_Presentation[[#This Row],[LC Number]],Main_Issuance[],17,0)</f>
        <v>Credit</v>
      </c>
      <c r="I1409" s="17" t="str">
        <f>VLOOKUP(Main_Presentation[[#This Row],[LC Number]],Main_Issuance[],7,0)</f>
        <v>MASQ FOR ELECTRICAL TOOLS CO</v>
      </c>
      <c r="J1409" s="17" t="str">
        <f>VLOOKUP(Main_Presentation[[#This Row],[LC Number]],Main_Issuance[],8,0)</f>
        <v>FIRST FIX</v>
      </c>
      <c r="K1409" s="17" t="str">
        <f>VLOOKUP(Main_Presentation[[#This Row],[LC Number]],Main_Issuance[],9,0)</f>
        <v>MP1</v>
      </c>
      <c r="L1409" s="17">
        <f>VLOOKUP(Main_Presentation[[#This Row],[LC Number]],Main_Issuance[],10,0)</f>
        <v>1020088</v>
      </c>
      <c r="M1409" s="17" t="str">
        <f>VLOOKUP(Main_Presentation[[#This Row],[LC Number]],Main_Issuance[],11,0)</f>
        <v>SAR</v>
      </c>
      <c r="N1409" s="84">
        <f>VLOOKUP(Main_Presentation[[#This Row],[LC Number]],Main_Issuance[],12,0)</f>
        <v>8790001.0999999996</v>
      </c>
      <c r="O1409" s="16" t="s">
        <v>20</v>
      </c>
      <c r="P1409" s="16" t="s">
        <v>857</v>
      </c>
      <c r="Q1409" s="18">
        <v>650518.46</v>
      </c>
      <c r="R1409" s="18">
        <v>1</v>
      </c>
      <c r="S1409" s="18">
        <f>Main_Presentation[[#This Row],[Invoice Amt (FCY)]]*Main_Presentation[[#This Row],[Rate]]</f>
        <v>650518.46</v>
      </c>
      <c r="T1409" s="15">
        <v>46147</v>
      </c>
      <c r="U1409" s="26" t="str">
        <f>VLOOKUP(Main_Presentation[[#This Row],[LC Number]],Main_Issuance[],18,0)</f>
        <v>120 Days from Invoice Date</v>
      </c>
      <c r="V1409" s="249" t="s">
        <v>710</v>
      </c>
      <c r="W1409" s="22" t="s">
        <v>857</v>
      </c>
      <c r="X1409" s="16"/>
      <c r="Y1409" s="234" t="str">
        <f>TRIM(LEFT(Main_Presentation[[#This Row],[Payment Terms]],3))</f>
        <v>120</v>
      </c>
      <c r="Z1409" s="16"/>
      <c r="AA1409" s="316" cm="1">
        <f t="array" ref="AA1409">Settlement(Main_Presentation[[#This Row],[Bank]],Main_Presentation[[#This Row],[ Invoice Amt (SAR)]],Main_Presentation[[#This Row],[Date Recd]],Main_Presentation[[#This Row],[Due Date]],Main_Presentation[[#This Row],[Days]])</f>
        <v>2804.85</v>
      </c>
      <c r="AB1409" s="16"/>
    </row>
    <row r="1410" spans="1:28" ht="15.75" hidden="1" x14ac:dyDescent="0.25">
      <c r="A1410" s="20" t="s">
        <v>713</v>
      </c>
      <c r="B1410" s="15">
        <v>46056</v>
      </c>
      <c r="C1410" s="26">
        <v>3</v>
      </c>
      <c r="D1410" s="55" t="str">
        <f>VLOOKUP(Main_Presentation[[#This Row],[LC Number]],Main_Issuance[],3,0)</f>
        <v>Hassan Taleb</v>
      </c>
      <c r="E1410" s="16" t="s">
        <v>858</v>
      </c>
      <c r="F1410" s="17" t="str">
        <f>VLOOKUP(Main_Presentation[[#This Row],[LC Number]],Main_Issuance[],5,0)</f>
        <v>SAB</v>
      </c>
      <c r="G1410" s="17" t="str">
        <f>VLOOKUP(Main_Presentation[[#This Row],[LC Number]],Main_Issuance[],6,0)</f>
        <v>MP1</v>
      </c>
      <c r="H1410" s="17" t="str">
        <f>VLOOKUP(Main_Presentation[[#This Row],[LC Number]],Main_Issuance[],17,0)</f>
        <v>Credit</v>
      </c>
      <c r="I1410" s="17" t="str">
        <f>VLOOKUP(Main_Presentation[[#This Row],[LC Number]],Main_Issuance[],7,0)</f>
        <v>Interplast Co Ltd</v>
      </c>
      <c r="J1410" s="17" t="str">
        <f>VLOOKUP(Main_Presentation[[#This Row],[LC Number]],Main_Issuance[],8,0)</f>
        <v>FIRST FIX</v>
      </c>
      <c r="K1410" s="17" t="str">
        <f>VLOOKUP(Main_Presentation[[#This Row],[LC Number]],Main_Issuance[],9,0)</f>
        <v>MP1</v>
      </c>
      <c r="L1410" s="17">
        <f>VLOOKUP(Main_Presentation[[#This Row],[LC Number]],Main_Issuance[],10,0)</f>
        <v>1020088</v>
      </c>
      <c r="M1410" s="17" t="str">
        <f>VLOOKUP(Main_Presentation[[#This Row],[LC Number]],Main_Issuance[],11,0)</f>
        <v>SAR</v>
      </c>
      <c r="N1410" s="84">
        <f>VLOOKUP(Main_Presentation[[#This Row],[LC Number]],Main_Issuance[],12,0)</f>
        <v>800000</v>
      </c>
      <c r="O1410" s="16" t="s">
        <v>20</v>
      </c>
      <c r="P1410" s="16" t="s">
        <v>857</v>
      </c>
      <c r="Q1410" s="18">
        <v>126323.81</v>
      </c>
      <c r="R1410" s="18">
        <v>1</v>
      </c>
      <c r="S1410" s="18">
        <f>Main_Presentation[[#This Row],[Invoice Amt (FCY)]]*Main_Presentation[[#This Row],[Rate]]</f>
        <v>126323.81</v>
      </c>
      <c r="T1410" s="15">
        <v>46124</v>
      </c>
      <c r="U1410" s="26" t="str">
        <f>VLOOKUP(Main_Presentation[[#This Row],[LC Number]],Main_Issuance[],18,0)</f>
        <v>90 Days from Invoice Date</v>
      </c>
      <c r="V1410" s="249" t="s">
        <v>710</v>
      </c>
      <c r="W1410" s="22" t="s">
        <v>857</v>
      </c>
      <c r="X1410" s="16"/>
      <c r="Y1410" s="234" t="str">
        <f>TRIM(LEFT(Main_Presentation[[#This Row],[Payment Terms]],3))</f>
        <v>90</v>
      </c>
      <c r="Z1410" s="16"/>
      <c r="AA1410" s="316" cm="1">
        <f t="array" ref="AA1410">Settlement(Main_Presentation[[#This Row],[Bank]],Main_Presentation[[#This Row],[ Invoice Amt (SAR)]],Main_Presentation[[#This Row],[Date Recd]],Main_Presentation[[#This Row],[Due Date]],Main_Presentation[[#This Row],[Days]])</f>
        <v>575</v>
      </c>
      <c r="AB1410" s="16"/>
    </row>
    <row r="1411" spans="1:28" ht="15.75" hidden="1" x14ac:dyDescent="0.25">
      <c r="A1411" s="20" t="s">
        <v>2620</v>
      </c>
      <c r="B1411" s="15">
        <v>46062</v>
      </c>
      <c r="C1411" s="26">
        <v>1</v>
      </c>
      <c r="D1411" s="55" t="str">
        <f>VLOOKUP(Main_Presentation[[#This Row],[LC Number]],Main_Issuance[],3,0)</f>
        <v>Hassan Taleb</v>
      </c>
      <c r="E1411" s="16" t="s">
        <v>856</v>
      </c>
      <c r="F1411" s="17" t="str">
        <f>VLOOKUP(Main_Presentation[[#This Row],[LC Number]],Main_Issuance[],5,0)</f>
        <v>Alinma</v>
      </c>
      <c r="G1411" s="17" t="str">
        <f>VLOOKUP(Main_Presentation[[#This Row],[LC Number]],Main_Issuance[],6,0)</f>
        <v>KSP</v>
      </c>
      <c r="H1411" s="17" t="str">
        <f>VLOOKUP(Main_Presentation[[#This Row],[LC Number]],Main_Issuance[],17,0)</f>
        <v>Credit</v>
      </c>
      <c r="I1411" s="17" t="str">
        <f>VLOOKUP(Main_Presentation[[#This Row],[LC Number]],Main_Issuance[],7,0)</f>
        <v>Mohammad Saleh Bahareth co.</v>
      </c>
      <c r="J1411" s="17" t="str">
        <f>VLOOKUP(Main_Presentation[[#This Row],[LC Number]],Main_Issuance[],8,0)</f>
        <v>FIRST FIX</v>
      </c>
      <c r="K1411" s="17" t="str">
        <f>VLOOKUP(Main_Presentation[[#This Row],[LC Number]],Main_Issuance[],9,0)</f>
        <v>KSP</v>
      </c>
      <c r="L1411" s="17">
        <f>VLOOKUP(Main_Presentation[[#This Row],[LC Number]],Main_Issuance[],10,0)</f>
        <v>1020055</v>
      </c>
      <c r="M1411" s="17" t="str">
        <f>VLOOKUP(Main_Presentation[[#This Row],[LC Number]],Main_Issuance[],11,0)</f>
        <v>SAR</v>
      </c>
      <c r="N1411" s="84">
        <f>VLOOKUP(Main_Presentation[[#This Row],[LC Number]],Main_Issuance[],12,0)</f>
        <v>565057.47</v>
      </c>
      <c r="O1411" s="16" t="s">
        <v>20</v>
      </c>
      <c r="P1411" s="16" t="s">
        <v>857</v>
      </c>
      <c r="Q1411" s="18">
        <v>332244.19</v>
      </c>
      <c r="R1411" s="18">
        <v>1</v>
      </c>
      <c r="S1411" s="18">
        <f>Main_Presentation[[#This Row],[Invoice Amt (FCY)]]*Main_Presentation[[#This Row],[Rate]]</f>
        <v>332244.19</v>
      </c>
      <c r="T1411" s="15">
        <v>46140</v>
      </c>
      <c r="U1411" s="26" t="str">
        <f>VLOOKUP(Main_Presentation[[#This Row],[LC Number]],Main_Issuance[],18,0)</f>
        <v>90 Days from Applicant representative sign on Invoice</v>
      </c>
      <c r="V1411" s="249" t="s">
        <v>22</v>
      </c>
      <c r="W1411" s="22" t="s">
        <v>857</v>
      </c>
      <c r="X1411" s="16"/>
      <c r="Y1411" s="234" t="str">
        <f>TRIM(LEFT(Main_Presentation[[#This Row],[Payment Terms]],3))</f>
        <v>90</v>
      </c>
      <c r="Z1411" s="16"/>
      <c r="AA1411" s="316" cm="1">
        <f t="array" ref="AA1411">Settlement(Main_Presentation[[#This Row],[Bank]],Main_Presentation[[#This Row],[ Invoice Amt (SAR)]],Main_Presentation[[#This Row],[Date Recd]],Main_Presentation[[#This Row],[Due Date]],Main_Presentation[[#This Row],[Days]])</f>
        <v>1437.5</v>
      </c>
      <c r="AB1411" s="16"/>
    </row>
    <row r="1412" spans="1:28" ht="15.75" hidden="1" x14ac:dyDescent="0.25">
      <c r="A1412" s="20" t="s">
        <v>3325</v>
      </c>
      <c r="B1412" s="15">
        <v>46061</v>
      </c>
      <c r="C1412" s="26">
        <v>1</v>
      </c>
      <c r="D1412" s="55" t="str">
        <f>VLOOKUP(Main_Presentation[[#This Row],[LC Number]],Main_Issuance[],3,0)</f>
        <v>Luis Puente</v>
      </c>
      <c r="E1412" s="16" t="s">
        <v>856</v>
      </c>
      <c r="F1412" s="17" t="str">
        <f>VLOOKUP(Main_Presentation[[#This Row],[LC Number]],Main_Issuance[],5,0)</f>
        <v>Riyad</v>
      </c>
      <c r="G1412" s="17" t="str">
        <f>VLOOKUP(Main_Presentation[[#This Row],[LC Number]],Main_Issuance[],6,0)</f>
        <v>Oceanarium</v>
      </c>
      <c r="H1412" s="17" t="str">
        <f>VLOOKUP(Main_Presentation[[#This Row],[LC Number]],Main_Issuance[],17,0)</f>
        <v>Credit</v>
      </c>
      <c r="I1412" s="17" t="str">
        <f>VLOOKUP(Main_Presentation[[#This Row],[LC Number]],Main_Issuance[],7,0)</f>
        <v>National Marketing Est. Co. Ltd</v>
      </c>
      <c r="J1412" s="17" t="str">
        <f>VLOOKUP(Main_Presentation[[#This Row],[LC Number]],Main_Issuance[],8,0)</f>
        <v>FIRST FIX</v>
      </c>
      <c r="K1412" s="17" t="str">
        <f>VLOOKUP(Main_Presentation[[#This Row],[LC Number]],Main_Issuance[],9,0)</f>
        <v>Oceanarium</v>
      </c>
      <c r="L1412" s="17">
        <f>VLOOKUP(Main_Presentation[[#This Row],[LC Number]],Main_Issuance[],10,0)</f>
        <v>1020096</v>
      </c>
      <c r="M1412" s="17" t="str">
        <f>VLOOKUP(Main_Presentation[[#This Row],[LC Number]],Main_Issuance[],11,0)</f>
        <v>SAR</v>
      </c>
      <c r="N1412" s="84">
        <f>VLOOKUP(Main_Presentation[[#This Row],[LC Number]],Main_Issuance[],12,0)</f>
        <v>500000</v>
      </c>
      <c r="O1412" s="16" t="s">
        <v>20</v>
      </c>
      <c r="P1412" s="16" t="s">
        <v>857</v>
      </c>
      <c r="Q1412" s="18">
        <v>500000</v>
      </c>
      <c r="R1412" s="18">
        <v>1</v>
      </c>
      <c r="S1412" s="18">
        <f>Main_Presentation[[#This Row],[Invoice Amt (FCY)]]*Main_Presentation[[#This Row],[Rate]]</f>
        <v>500000</v>
      </c>
      <c r="T1412" s="15">
        <v>46140</v>
      </c>
      <c r="U1412" s="26" t="str">
        <f>VLOOKUP(Main_Presentation[[#This Row],[LC Number]],Main_Issuance[],18,0)</f>
        <v>90 Days from Appln Rep Sign on Invoice</v>
      </c>
      <c r="V1412" s="249" t="s">
        <v>483</v>
      </c>
      <c r="W1412" s="22" t="s">
        <v>857</v>
      </c>
      <c r="X1412" s="16"/>
      <c r="Y1412" s="234" t="str">
        <f>TRIM(LEFT(Main_Presentation[[#This Row],[Payment Terms]],3))</f>
        <v>90</v>
      </c>
      <c r="Z1412" s="16"/>
      <c r="AA1412" s="316" cm="1">
        <f t="array" ref="AA1412">Settlement(Main_Presentation[[#This Row],[Bank]],Main_Presentation[[#This Row],[ Invoice Amt (SAR)]],Main_Presentation[[#This Row],[Date Recd]],Main_Presentation[[#This Row],[Due Date]],Main_Presentation[[#This Row],[Days]])</f>
        <v>2156.25</v>
      </c>
      <c r="AB1412" s="16"/>
    </row>
    <row r="1413" spans="1:28" ht="15.75" hidden="1" x14ac:dyDescent="0.25">
      <c r="A1413" s="20" t="s">
        <v>3326</v>
      </c>
      <c r="B1413" s="15">
        <v>46063</v>
      </c>
      <c r="C1413" s="26">
        <v>1</v>
      </c>
      <c r="D1413" s="55" t="str">
        <f>VLOOKUP(Main_Presentation[[#This Row],[LC Number]],Main_Issuance[],3,0)</f>
        <v>Luis Puente</v>
      </c>
      <c r="E1413" s="16" t="s">
        <v>856</v>
      </c>
      <c r="F1413" s="17" t="str">
        <f>VLOOKUP(Main_Presentation[[#This Row],[LC Number]],Main_Issuance[],5,0)</f>
        <v>Riyad</v>
      </c>
      <c r="G1413" s="17" t="str">
        <f>VLOOKUP(Main_Presentation[[#This Row],[LC Number]],Main_Issuance[],6,0)</f>
        <v>Oceanarium</v>
      </c>
      <c r="H1413" s="17" t="str">
        <f>VLOOKUP(Main_Presentation[[#This Row],[LC Number]],Main_Issuance[],17,0)</f>
        <v>Credit</v>
      </c>
      <c r="I1413" s="17" t="str">
        <f>VLOOKUP(Main_Presentation[[#This Row],[LC Number]],Main_Issuance[],7,0)</f>
        <v>AFKAR ALTATHBET TRADING COMPANY</v>
      </c>
      <c r="J1413" s="17" t="str">
        <f>VLOOKUP(Main_Presentation[[#This Row],[LC Number]],Main_Issuance[],8,0)</f>
        <v>FIRST FIX</v>
      </c>
      <c r="K1413" s="17" t="str">
        <f>VLOOKUP(Main_Presentation[[#This Row],[LC Number]],Main_Issuance[],9,0)</f>
        <v>Oceanarium</v>
      </c>
      <c r="L1413" s="17">
        <f>VLOOKUP(Main_Presentation[[#This Row],[LC Number]],Main_Issuance[],10,0)</f>
        <v>1020096</v>
      </c>
      <c r="M1413" s="17" t="str">
        <f>VLOOKUP(Main_Presentation[[#This Row],[LC Number]],Main_Issuance[],11,0)</f>
        <v>SAR</v>
      </c>
      <c r="N1413" s="84">
        <f>VLOOKUP(Main_Presentation[[#This Row],[LC Number]],Main_Issuance[],12,0)</f>
        <v>500000</v>
      </c>
      <c r="O1413" s="16" t="s">
        <v>20</v>
      </c>
      <c r="P1413" s="16" t="s">
        <v>857</v>
      </c>
      <c r="Q1413" s="18">
        <v>449036.45</v>
      </c>
      <c r="R1413" s="18">
        <v>1</v>
      </c>
      <c r="S1413" s="18">
        <f>Main_Presentation[[#This Row],[Invoice Amt (FCY)]]*Main_Presentation[[#This Row],[Rate]]</f>
        <v>449036.45</v>
      </c>
      <c r="T1413" s="15">
        <v>46140</v>
      </c>
      <c r="U1413" s="26" t="str">
        <f>VLOOKUP(Main_Presentation[[#This Row],[LC Number]],Main_Issuance[],18,0)</f>
        <v>90 Days from Appln Rep Sign on Invoice</v>
      </c>
      <c r="V1413" s="249" t="s">
        <v>483</v>
      </c>
      <c r="W1413" s="22" t="s">
        <v>857</v>
      </c>
      <c r="X1413" s="16"/>
      <c r="Y1413" s="234" t="str">
        <f>TRIM(LEFT(Main_Presentation[[#This Row],[Payment Terms]],3))</f>
        <v>90</v>
      </c>
      <c r="Z1413" s="16"/>
      <c r="AA1413" s="316" cm="1">
        <f t="array" ref="AA1413">Settlement(Main_Presentation[[#This Row],[Bank]],Main_Presentation[[#This Row],[ Invoice Amt (SAR)]],Main_Presentation[[#This Row],[Date Recd]],Main_Presentation[[#This Row],[Due Date]],Main_Presentation[[#This Row],[Days]])</f>
        <v>1291.45</v>
      </c>
      <c r="AB1413" s="16"/>
    </row>
    <row r="1414" spans="1:28" ht="15.75" hidden="1" x14ac:dyDescent="0.25">
      <c r="A1414" s="226" t="s">
        <v>3569</v>
      </c>
      <c r="B1414" s="227">
        <v>46058</v>
      </c>
      <c r="C1414" s="243">
        <v>1</v>
      </c>
      <c r="D1414" s="228" t="str">
        <f>VLOOKUP(Main_Presentation[[#This Row],[LC Number]],Main_Issuance[],3,0)</f>
        <v>Hassan Taleb</v>
      </c>
      <c r="E1414" s="217" t="s">
        <v>856</v>
      </c>
      <c r="F1414" s="244" t="str">
        <f>VLOOKUP(Main_Presentation[[#This Row],[LC Number]],Main_Issuance[],5,0)</f>
        <v>Jazira</v>
      </c>
      <c r="G1414" s="244" t="str">
        <f>VLOOKUP(Main_Presentation[[#This Row],[LC Number]],Main_Issuance[],6,0)</f>
        <v>RCRC</v>
      </c>
      <c r="H1414" s="244" t="str">
        <f>VLOOKUP(Main_Presentation[[#This Row],[LC Number]],Main_Issuance[],17,0)</f>
        <v>Credit</v>
      </c>
      <c r="I1414" s="244" t="str">
        <f>VLOOKUP(Main_Presentation[[#This Row],[LC Number]],Main_Issuance[],7,0)</f>
        <v>United Park Co.</v>
      </c>
      <c r="J1414" s="244" t="str">
        <f>VLOOKUP(Main_Presentation[[#This Row],[LC Number]],Main_Issuance[],8,0)</f>
        <v>FIRST FIX</v>
      </c>
      <c r="K1414" s="244" t="str">
        <f>VLOOKUP(Main_Presentation[[#This Row],[LC Number]],Main_Issuance[],9,0)</f>
        <v>RCRC</v>
      </c>
      <c r="L1414" s="244">
        <f>VLOOKUP(Main_Presentation[[#This Row],[LC Number]],Main_Issuance[],10,0)</f>
        <v>1020106</v>
      </c>
      <c r="M1414" s="244" t="str">
        <f>VLOOKUP(Main_Presentation[[#This Row],[LC Number]],Main_Issuance[],11,0)</f>
        <v>SAR</v>
      </c>
      <c r="N1414" s="245">
        <f>VLOOKUP(Main_Presentation[[#This Row],[LC Number]],Main_Issuance[],12,0)</f>
        <v>252107.36</v>
      </c>
      <c r="O1414" s="217" t="s">
        <v>20</v>
      </c>
      <c r="P1414" s="217" t="s">
        <v>378</v>
      </c>
      <c r="Q1414" s="218">
        <v>252107.36</v>
      </c>
      <c r="R1414" s="218">
        <v>1</v>
      </c>
      <c r="S1414" s="218">
        <f>Main_Presentation[[#This Row],[Invoice Amt (FCY)]]*Main_Presentation[[#This Row],[Rate]]</f>
        <v>252107.36</v>
      </c>
      <c r="T1414" s="227">
        <v>46140</v>
      </c>
      <c r="U1414" s="243" t="str">
        <f>VLOOKUP(Main_Presentation[[#This Row],[LC Number]],Main_Issuance[],18,0)</f>
        <v>90 Days from Applicant representative sign on Invoice</v>
      </c>
      <c r="V1414" s="233" t="s">
        <v>613</v>
      </c>
      <c r="W1414" s="229" t="s">
        <v>857</v>
      </c>
      <c r="X1414" s="217"/>
      <c r="Y1414" s="399" t="str">
        <f>TRIM(LEFT(Main_Presentation[[#This Row],[Payment Terms]],3))</f>
        <v>90</v>
      </c>
      <c r="Z1414" s="217"/>
      <c r="AA1414" s="316" cm="1">
        <f t="array" ref="AA1414">Settlement(Main_Presentation[[#This Row],[Bank]],Main_Presentation[[#This Row],[ Invoice Amt (SAR)]],Main_Presentation[[#This Row],[Date Recd]],Main_Presentation[[#This Row],[Due Date]],Main_Presentation[[#This Row],[Days]])</f>
        <v>828</v>
      </c>
      <c r="AB1414" s="217"/>
    </row>
    <row r="1415" spans="1:28" ht="15.75" hidden="1" x14ac:dyDescent="0.25">
      <c r="A1415" s="226" t="s">
        <v>2562</v>
      </c>
      <c r="B1415" s="227">
        <v>46049</v>
      </c>
      <c r="C1415" s="243">
        <v>3</v>
      </c>
      <c r="D1415" s="228" t="str">
        <f>VLOOKUP(Main_Presentation[[#This Row],[LC Number]],Main_Issuance[],3,0)</f>
        <v>Matthew Mckernan - AICS</v>
      </c>
      <c r="E1415" s="217" t="s">
        <v>856</v>
      </c>
      <c r="F1415" s="244" t="str">
        <f>VLOOKUP(Main_Presentation[[#This Row],[LC Number]],Main_Issuance[],5,0)</f>
        <v>SNB</v>
      </c>
      <c r="G1415" s="244" t="str">
        <f>VLOOKUP(Main_Presentation[[#This Row],[LC Number]],Main_Issuance[],6,0)</f>
        <v>Opera House</v>
      </c>
      <c r="H1415" s="244" t="str">
        <f>VLOOKUP(Main_Presentation[[#This Row],[LC Number]],Main_Issuance[],17,0)</f>
        <v>Credit</v>
      </c>
      <c r="I1415" s="244" t="str">
        <f>VLOOKUP(Main_Presentation[[#This Row],[LC Number]],Main_Issuance[],7,0)</f>
        <v>ALNAFIE METAL INDUSTRIES CO LTD</v>
      </c>
      <c r="J1415" s="244" t="str">
        <f>VLOOKUP(Main_Presentation[[#This Row],[LC Number]],Main_Issuance[],8,0)</f>
        <v>MBL/AICS</v>
      </c>
      <c r="K1415" s="244" t="str">
        <f>VLOOKUP(Main_Presentation[[#This Row],[LC Number]],Main_Issuance[],9,0)</f>
        <v>OPERA House</v>
      </c>
      <c r="L1415" s="244">
        <f>VLOOKUP(Main_Presentation[[#This Row],[LC Number]],Main_Issuance[],10,0)</f>
        <v>1020097</v>
      </c>
      <c r="M1415" s="244" t="str">
        <f>VLOOKUP(Main_Presentation[[#This Row],[LC Number]],Main_Issuance[],11,0)</f>
        <v>SAR</v>
      </c>
      <c r="N1415" s="245">
        <f>VLOOKUP(Main_Presentation[[#This Row],[LC Number]],Main_Issuance[],12,0)</f>
        <v>18703391.850000001</v>
      </c>
      <c r="O1415" s="217" t="s">
        <v>20</v>
      </c>
      <c r="P1415" s="217" t="s">
        <v>378</v>
      </c>
      <c r="Q1415" s="218">
        <v>949026</v>
      </c>
      <c r="R1415" s="218">
        <v>1</v>
      </c>
      <c r="S1415" s="218">
        <f>Main_Presentation[[#This Row],[Invoice Amt (FCY)]]*Main_Presentation[[#This Row],[Rate]]</f>
        <v>949026</v>
      </c>
      <c r="T1415" s="227">
        <v>46104</v>
      </c>
      <c r="U1415" s="243" t="str">
        <f>VLOOKUP(Main_Presentation[[#This Row],[LC Number]],Main_Issuance[],18,0)</f>
        <v>90 Days from Invoice Date</v>
      </c>
      <c r="V1415" s="249" t="s">
        <v>96</v>
      </c>
      <c r="W1415" s="229" t="s">
        <v>857</v>
      </c>
      <c r="X1415" s="217"/>
      <c r="Y1415" s="399" t="str">
        <f>TRIM(LEFT(Main_Presentation[[#This Row],[Payment Terms]],3))</f>
        <v>90</v>
      </c>
      <c r="Z1415" s="217"/>
      <c r="AA1415" s="316" cm="1">
        <f t="array" ref="AA1415">Settlement(Main_Presentation[[#This Row],[Bank]],Main_Presentation[[#This Row],[ Invoice Amt (SAR)]],Main_Presentation[[#This Row],[Date Recd]],Main_Presentation[[#This Row],[Due Date]],Main_Presentation[[#This Row],[Days]])</f>
        <v>4587.3500000000004</v>
      </c>
      <c r="AB1415" s="217"/>
    </row>
    <row r="1416" spans="1:28" ht="15.75" hidden="1" x14ac:dyDescent="0.25">
      <c r="A1416" s="226" t="s">
        <v>1689</v>
      </c>
      <c r="B1416" s="227">
        <v>46049</v>
      </c>
      <c r="C1416" s="243">
        <v>3</v>
      </c>
      <c r="D1416" s="228" t="str">
        <f>VLOOKUP(Main_Presentation[[#This Row],[LC Number]],Main_Issuance[],3,0)</f>
        <v>Tareeq Telmasani</v>
      </c>
      <c r="E1416" s="217" t="s">
        <v>858</v>
      </c>
      <c r="F1416" s="244" t="str">
        <f>VLOOKUP(Main_Presentation[[#This Row],[LC Number]],Main_Issuance[],5,0)</f>
        <v>SAB</v>
      </c>
      <c r="G1416" s="244" t="str">
        <f>VLOOKUP(Main_Presentation[[#This Row],[LC Number]],Main_Issuance[],6,0)</f>
        <v>CEER</v>
      </c>
      <c r="H1416" s="244" t="str">
        <f>VLOOKUP(Main_Presentation[[#This Row],[LC Number]],Main_Issuance[],17,0)</f>
        <v>Credit</v>
      </c>
      <c r="I1416" s="244" t="str">
        <f>VLOOKUP(Main_Presentation[[#This Row],[LC Number]],Main_Issuance[],7,0)</f>
        <v>EVOLVING CONSTELLATION CO. FOR ENERGY</v>
      </c>
      <c r="J1416" s="244" t="str">
        <f>VLOOKUP(Main_Presentation[[#This Row],[LC Number]],Main_Issuance[],8,0)</f>
        <v>FIRST FIX</v>
      </c>
      <c r="K1416" s="244" t="str">
        <f>VLOOKUP(Main_Presentation[[#This Row],[LC Number]],Main_Issuance[],9,0)</f>
        <v>CEER</v>
      </c>
      <c r="L1416" s="244">
        <f>VLOOKUP(Main_Presentation[[#This Row],[LC Number]],Main_Issuance[],10,0)</f>
        <v>1020091</v>
      </c>
      <c r="M1416" s="244" t="str">
        <f>VLOOKUP(Main_Presentation[[#This Row],[LC Number]],Main_Issuance[],11,0)</f>
        <v>SAR</v>
      </c>
      <c r="N1416" s="245">
        <f>VLOOKUP(Main_Presentation[[#This Row],[LC Number]],Main_Issuance[],12,0)</f>
        <v>550000.15</v>
      </c>
      <c r="O1416" s="217" t="s">
        <v>20</v>
      </c>
      <c r="P1416" s="217" t="s">
        <v>857</v>
      </c>
      <c r="Q1416" s="218">
        <v>15003.16</v>
      </c>
      <c r="R1416" s="218">
        <v>1</v>
      </c>
      <c r="S1416" s="218">
        <f>Main_Presentation[[#This Row],[Invoice Amt (FCY)]]*Main_Presentation[[#This Row],[Rate]]</f>
        <v>15003.16</v>
      </c>
      <c r="T1416" s="227">
        <v>46093</v>
      </c>
      <c r="U1416" s="243" t="str">
        <f>VLOOKUP(Main_Presentation[[#This Row],[LC Number]],Main_Issuance[],18,0)</f>
        <v>60 Days from Appl. Representative Sign</v>
      </c>
      <c r="V1416" s="233" t="s">
        <v>4353</v>
      </c>
      <c r="W1416" s="229" t="s">
        <v>857</v>
      </c>
      <c r="X1416" s="217"/>
      <c r="Y1416" s="399" t="str">
        <f>TRIM(LEFT(Main_Presentation[[#This Row],[Payment Terms]],3))</f>
        <v>60</v>
      </c>
      <c r="Z1416" s="217"/>
      <c r="AA1416" s="316" cm="1">
        <f t="array" ref="AA1416">Settlement(Main_Presentation[[#This Row],[Bank]],Main_Presentation[[#This Row],[ Invoice Amt (SAR)]],Main_Presentation[[#This Row],[Date Recd]],Main_Presentation[[#This Row],[Due Date]],Main_Presentation[[#This Row],[Days]])</f>
        <v>575</v>
      </c>
      <c r="AB1416" s="217"/>
    </row>
    <row r="1417" spans="1:28" ht="15.75" hidden="1" x14ac:dyDescent="0.25">
      <c r="A1417" s="226" t="s">
        <v>3227</v>
      </c>
      <c r="B1417" s="227">
        <v>46065</v>
      </c>
      <c r="C1417" s="243">
        <v>1</v>
      </c>
      <c r="D1417" s="228" t="str">
        <f>VLOOKUP(Main_Presentation[[#This Row],[LC Number]],Main_Issuance[],3,0)</f>
        <v>Hashmat Khan</v>
      </c>
      <c r="E1417" s="217" t="s">
        <v>856</v>
      </c>
      <c r="F1417" s="244" t="str">
        <f>VLOOKUP(Main_Presentation[[#This Row],[LC Number]],Main_Issuance[],5,0)</f>
        <v>Alinma</v>
      </c>
      <c r="G1417" s="244" t="str">
        <f>VLOOKUP(Main_Presentation[[#This Row],[LC Number]],Main_Issuance[],6,0)</f>
        <v>KSP</v>
      </c>
      <c r="H1417" s="244" t="str">
        <f>VLOOKUP(Main_Presentation[[#This Row],[LC Number]],Main_Issuance[],17,0)</f>
        <v>Credit</v>
      </c>
      <c r="I1417" s="244" t="str">
        <f>VLOOKUP(Main_Presentation[[#This Row],[LC Number]],Main_Issuance[],7,0)</f>
        <v>BBH-CHEMTROL INTERNATIONAL ORGANIZATION S.L</v>
      </c>
      <c r="J1417" s="244" t="str">
        <f>VLOOKUP(Main_Presentation[[#This Row],[LC Number]],Main_Issuance[],8,0)</f>
        <v>ICAD</v>
      </c>
      <c r="K1417" s="244" t="str">
        <f>VLOOKUP(Main_Presentation[[#This Row],[LC Number]],Main_Issuance[],9,0)</f>
        <v>KSP</v>
      </c>
      <c r="L1417" s="244">
        <f>VLOOKUP(Main_Presentation[[#This Row],[LC Number]],Main_Issuance[],10,0)</f>
        <v>1020055</v>
      </c>
      <c r="M1417" s="244" t="str">
        <f>VLOOKUP(Main_Presentation[[#This Row],[LC Number]],Main_Issuance[],11,0)</f>
        <v>EUR</v>
      </c>
      <c r="N1417" s="245">
        <f>VLOOKUP(Main_Presentation[[#This Row],[LC Number]],Main_Issuance[],12,0)</f>
        <v>1687320.39</v>
      </c>
      <c r="O1417" s="217" t="s">
        <v>20</v>
      </c>
      <c r="P1417" s="217" t="s">
        <v>857</v>
      </c>
      <c r="Q1417" s="218">
        <v>79734.39</v>
      </c>
      <c r="R1417" s="218">
        <v>4.4320000000000004</v>
      </c>
      <c r="S1417" s="218">
        <f>Main_Presentation[[#This Row],[Invoice Amt (FCY)]]*Main_Presentation[[#This Row],[Rate]]</f>
        <v>353382.81648000004</v>
      </c>
      <c r="T1417" s="227">
        <v>46091</v>
      </c>
      <c r="U1417" s="243" t="str">
        <f>VLOOKUP(Main_Presentation[[#This Row],[LC Number]],Main_Issuance[],18,0)</f>
        <v>60 Days from Invoice Date</v>
      </c>
      <c r="V1417" s="233" t="s">
        <v>22</v>
      </c>
      <c r="W1417" s="229" t="s">
        <v>857</v>
      </c>
      <c r="X1417" s="217"/>
      <c r="Y1417" s="399" t="str">
        <f>TRIM(LEFT(Main_Presentation[[#This Row],[Payment Terms]],3))</f>
        <v>60</v>
      </c>
      <c r="Z1417" s="217"/>
      <c r="AA1417" s="316" cm="1">
        <f t="array" ref="AA1417">Settlement(Main_Presentation[[#This Row],[Bank]],Main_Presentation[[#This Row],[ Invoice Amt (SAR)]],Main_Presentation[[#This Row],[Date Recd]],Main_Presentation[[#This Row],[Due Date]],Main_Presentation[[#This Row],[Days]])</f>
        <v>1437.5</v>
      </c>
      <c r="AB1417" s="217"/>
    </row>
    <row r="1418" spans="1:28" ht="15.75" hidden="1" x14ac:dyDescent="0.25">
      <c r="A1418" s="226" t="s">
        <v>3567</v>
      </c>
      <c r="B1418" s="227">
        <v>46072</v>
      </c>
      <c r="C1418" s="243">
        <v>1</v>
      </c>
      <c r="D1418" s="228" t="str">
        <f>VLOOKUP(Main_Presentation[[#This Row],[LC Number]],Main_Issuance[],3,0)</f>
        <v>Hassan Taleb</v>
      </c>
      <c r="E1418" s="217" t="s">
        <v>856</v>
      </c>
      <c r="F1418" s="244" t="str">
        <f>VLOOKUP(Main_Presentation[[#This Row],[LC Number]],Main_Issuance[],5,0)</f>
        <v>Jazira</v>
      </c>
      <c r="G1418" s="244" t="str">
        <f>VLOOKUP(Main_Presentation[[#This Row],[LC Number]],Main_Issuance[],6,0)</f>
        <v>RCRC</v>
      </c>
      <c r="H1418" s="244" t="str">
        <f>VLOOKUP(Main_Presentation[[#This Row],[LC Number]],Main_Issuance[],17,0)</f>
        <v>Credit</v>
      </c>
      <c r="I1418" s="244" t="str">
        <f>VLOOKUP(Main_Presentation[[#This Row],[LC Number]],Main_Issuance[],7,0)</f>
        <v>Mohammed Masoud Al Khaldi Est</v>
      </c>
      <c r="J1418" s="244" t="str">
        <f>VLOOKUP(Main_Presentation[[#This Row],[LC Number]],Main_Issuance[],8,0)</f>
        <v>FIRST FIX</v>
      </c>
      <c r="K1418" s="244" t="str">
        <f>VLOOKUP(Main_Presentation[[#This Row],[LC Number]],Main_Issuance[],9,0)</f>
        <v>RCRC</v>
      </c>
      <c r="L1418" s="244">
        <f>VLOOKUP(Main_Presentation[[#This Row],[LC Number]],Main_Issuance[],10,0)</f>
        <v>1020106</v>
      </c>
      <c r="M1418" s="244" t="str">
        <f>VLOOKUP(Main_Presentation[[#This Row],[LC Number]],Main_Issuance[],11,0)</f>
        <v>SAR</v>
      </c>
      <c r="N1418" s="245">
        <f>VLOOKUP(Main_Presentation[[#This Row],[LC Number]],Main_Issuance[],12,0)</f>
        <v>424699.6</v>
      </c>
      <c r="O1418" s="217" t="s">
        <v>20</v>
      </c>
      <c r="P1418" s="217" t="s">
        <v>378</v>
      </c>
      <c r="Q1418" s="218">
        <v>212349.8</v>
      </c>
      <c r="R1418" s="218">
        <v>1</v>
      </c>
      <c r="S1418" s="218">
        <f>Main_Presentation[[#This Row],[Invoice Amt (FCY)]]*Main_Presentation[[#This Row],[Rate]]</f>
        <v>212349.8</v>
      </c>
      <c r="T1418" s="227">
        <v>46145</v>
      </c>
      <c r="U1418" s="243" t="str">
        <f>VLOOKUP(Main_Presentation[[#This Row],[LC Number]],Main_Issuance[],18,0)</f>
        <v>90 Days from Applicant representative sign on Invoice</v>
      </c>
      <c r="V1418" s="233" t="s">
        <v>613</v>
      </c>
      <c r="W1418" s="229" t="s">
        <v>857</v>
      </c>
      <c r="X1418" s="217"/>
      <c r="Y1418" s="399" t="str">
        <f>TRIM(LEFT(Main_Presentation[[#This Row],[Payment Terms]],3))</f>
        <v>90</v>
      </c>
      <c r="Z1418" s="217"/>
      <c r="AA1418" s="316" cm="1">
        <f t="array" ref="AA1418">Settlement(Main_Presentation[[#This Row],[Bank]],Main_Presentation[[#This Row],[ Invoice Amt (SAR)]],Main_Presentation[[#This Row],[Date Recd]],Main_Presentation[[#This Row],[Due Date]],Main_Presentation[[#This Row],[Days]])</f>
        <v>649.75</v>
      </c>
      <c r="AB1418" s="217"/>
    </row>
    <row r="1419" spans="1:28" ht="15.75" hidden="1" x14ac:dyDescent="0.25">
      <c r="A1419" s="226" t="s">
        <v>1447</v>
      </c>
      <c r="B1419" s="227">
        <v>46070</v>
      </c>
      <c r="C1419" s="243">
        <v>4</v>
      </c>
      <c r="D1419" s="228" t="str">
        <f>VLOOKUP(Main_Presentation[[#This Row],[LC Number]],Main_Issuance[],3,0)</f>
        <v>Hassan Taleb</v>
      </c>
      <c r="E1419" s="217" t="s">
        <v>856</v>
      </c>
      <c r="F1419" s="244" t="str">
        <f>VLOOKUP(Main_Presentation[[#This Row],[LC Number]],Main_Issuance[],5,0)</f>
        <v>Jazira</v>
      </c>
      <c r="G1419" s="244" t="str">
        <f>VLOOKUP(Main_Presentation[[#This Row],[LC Number]],Main_Issuance[],6,0)</f>
        <v>RCRC</v>
      </c>
      <c r="H1419" s="244" t="str">
        <f>VLOOKUP(Main_Presentation[[#This Row],[LC Number]],Main_Issuance[],17,0)</f>
        <v>Credit</v>
      </c>
      <c r="I1419" s="244" t="str">
        <f>VLOOKUP(Main_Presentation[[#This Row],[LC Number]],Main_Issuance[],7,0)</f>
        <v>Metal and Glass Trading Co</v>
      </c>
      <c r="J1419" s="244" t="str">
        <f>VLOOKUP(Main_Presentation[[#This Row],[LC Number]],Main_Issuance[],8,0)</f>
        <v>FIRST FIX</v>
      </c>
      <c r="K1419" s="244" t="str">
        <f>VLOOKUP(Main_Presentation[[#This Row],[LC Number]],Main_Issuance[],9,0)</f>
        <v>RCRC</v>
      </c>
      <c r="L1419" s="244">
        <f>VLOOKUP(Main_Presentation[[#This Row],[LC Number]],Main_Issuance[],10,0)</f>
        <v>1020106</v>
      </c>
      <c r="M1419" s="244" t="str">
        <f>VLOOKUP(Main_Presentation[[#This Row],[LC Number]],Main_Issuance[],11,0)</f>
        <v>SAR</v>
      </c>
      <c r="N1419" s="245">
        <f>VLOOKUP(Main_Presentation[[#This Row],[LC Number]],Main_Issuance[],12,0)</f>
        <v>2000097.25</v>
      </c>
      <c r="O1419" s="217" t="s">
        <v>20</v>
      </c>
      <c r="P1419" s="217" t="s">
        <v>378</v>
      </c>
      <c r="Q1419" s="218">
        <v>521698.4</v>
      </c>
      <c r="R1419" s="218">
        <v>1</v>
      </c>
      <c r="S1419" s="218">
        <f>Main_Presentation[[#This Row],[Invoice Amt (FCY)]]*Main_Presentation[[#This Row],[Rate]]</f>
        <v>521698.4</v>
      </c>
      <c r="T1419" s="227">
        <v>46113</v>
      </c>
      <c r="U1419" s="243" t="str">
        <f>VLOOKUP(Main_Presentation[[#This Row],[LC Number]],Main_Issuance[],18,0)</f>
        <v>90 Days from Invoice Date</v>
      </c>
      <c r="V1419" s="233" t="s">
        <v>613</v>
      </c>
      <c r="W1419" s="229" t="s">
        <v>857</v>
      </c>
      <c r="X1419" s="217"/>
      <c r="Y1419" s="399" t="str">
        <f>TRIM(LEFT(Main_Presentation[[#This Row],[Payment Terms]],3))</f>
        <v>90</v>
      </c>
      <c r="Z1419" s="217"/>
      <c r="AA1419" s="316" cm="1">
        <f t="array" ref="AA1419">Settlement(Main_Presentation[[#This Row],[Bank]],Main_Presentation[[#This Row],[ Invoice Amt (SAR)]],Main_Presentation[[#This Row],[Date Recd]],Main_Presentation[[#This Row],[Due Date]],Main_Presentation[[#This Row],[Days]])</f>
        <v>845.25</v>
      </c>
      <c r="AB1419" s="217"/>
    </row>
    <row r="1420" spans="1:28" ht="15.75" hidden="1" x14ac:dyDescent="0.25">
      <c r="A1420" s="226" t="s">
        <v>3568</v>
      </c>
      <c r="B1420" s="227">
        <v>46069</v>
      </c>
      <c r="C1420" s="243">
        <v>1</v>
      </c>
      <c r="D1420" s="228" t="str">
        <f>VLOOKUP(Main_Presentation[[#This Row],[LC Number]],Main_Issuance[],3,0)</f>
        <v>Hassan Taleb</v>
      </c>
      <c r="E1420" s="217" t="s">
        <v>856</v>
      </c>
      <c r="F1420" s="244" t="str">
        <f>VLOOKUP(Main_Presentation[[#This Row],[LC Number]],Main_Issuance[],5,0)</f>
        <v>Jazira</v>
      </c>
      <c r="G1420" s="244" t="str">
        <f>VLOOKUP(Main_Presentation[[#This Row],[LC Number]],Main_Issuance[],6,0)</f>
        <v>RCRC</v>
      </c>
      <c r="H1420" s="244" t="str">
        <f>VLOOKUP(Main_Presentation[[#This Row],[LC Number]],Main_Issuance[],17,0)</f>
        <v>Credit</v>
      </c>
      <c r="I1420" s="244" t="str">
        <f>VLOOKUP(Main_Presentation[[#This Row],[LC Number]],Main_Issuance[],7,0)</f>
        <v xml:space="preserve">Al Wasail Industrial Co </v>
      </c>
      <c r="J1420" s="244" t="str">
        <f>VLOOKUP(Main_Presentation[[#This Row],[LC Number]],Main_Issuance[],8,0)</f>
        <v>FIRST FIX</v>
      </c>
      <c r="K1420" s="244" t="str">
        <f>VLOOKUP(Main_Presentation[[#This Row],[LC Number]],Main_Issuance[],9,0)</f>
        <v>RCRC</v>
      </c>
      <c r="L1420" s="244">
        <f>VLOOKUP(Main_Presentation[[#This Row],[LC Number]],Main_Issuance[],10,0)</f>
        <v>1020106</v>
      </c>
      <c r="M1420" s="244" t="str">
        <f>VLOOKUP(Main_Presentation[[#This Row],[LC Number]],Main_Issuance[],11,0)</f>
        <v>SAR</v>
      </c>
      <c r="N1420" s="245">
        <f>VLOOKUP(Main_Presentation[[#This Row],[LC Number]],Main_Issuance[],12,0)</f>
        <v>209875</v>
      </c>
      <c r="O1420" s="217" t="s">
        <v>20</v>
      </c>
      <c r="P1420" s="217" t="s">
        <v>378</v>
      </c>
      <c r="Q1420" s="218">
        <v>209875</v>
      </c>
      <c r="R1420" s="218">
        <v>1</v>
      </c>
      <c r="S1420" s="218">
        <f>Main_Presentation[[#This Row],[Invoice Amt (FCY)]]*Main_Presentation[[#This Row],[Rate]]</f>
        <v>209875</v>
      </c>
      <c r="T1420" s="227">
        <v>46145</v>
      </c>
      <c r="U1420" s="243" t="str">
        <f>VLOOKUP(Main_Presentation[[#This Row],[LC Number]],Main_Issuance[],18,0)</f>
        <v>90 Days from Applicant representative sign on Invoice</v>
      </c>
      <c r="V1420" s="233" t="s">
        <v>613</v>
      </c>
      <c r="W1420" s="229" t="s">
        <v>857</v>
      </c>
      <c r="X1420" s="217"/>
      <c r="Y1420" s="399" t="str">
        <f>TRIM(LEFT(Main_Presentation[[#This Row],[Payment Terms]],3))</f>
        <v>90</v>
      </c>
      <c r="Z1420" s="217"/>
      <c r="AA1420" s="316" cm="1">
        <f t="array" ref="AA1420">Settlement(Main_Presentation[[#This Row],[Bank]],Main_Presentation[[#This Row],[ Invoice Amt (SAR)]],Main_Presentation[[#This Row],[Date Recd]],Main_Presentation[[#This Row],[Due Date]],Main_Presentation[[#This Row],[Days]])</f>
        <v>646.29999999999995</v>
      </c>
      <c r="AB1420" s="217"/>
    </row>
    <row r="1421" spans="1:28" ht="15.75" hidden="1" x14ac:dyDescent="0.25">
      <c r="A1421" s="226" t="s">
        <v>3227</v>
      </c>
      <c r="B1421" s="227">
        <v>46065</v>
      </c>
      <c r="C1421" s="243">
        <v>2</v>
      </c>
      <c r="D1421" s="228" t="str">
        <f>VLOOKUP(Main_Presentation[[#This Row],[LC Number]],Main_Issuance[],3,0)</f>
        <v>Hashmat Khan</v>
      </c>
      <c r="E1421" s="217" t="s">
        <v>856</v>
      </c>
      <c r="F1421" s="244" t="str">
        <f>VLOOKUP(Main_Presentation[[#This Row],[LC Number]],Main_Issuance[],5,0)</f>
        <v>Alinma</v>
      </c>
      <c r="G1421" s="244" t="str">
        <f>VLOOKUP(Main_Presentation[[#This Row],[LC Number]],Main_Issuance[],6,0)</f>
        <v>KSP</v>
      </c>
      <c r="H1421" s="244" t="str">
        <f>VLOOKUP(Main_Presentation[[#This Row],[LC Number]],Main_Issuance[],17,0)</f>
        <v>Credit</v>
      </c>
      <c r="I1421" s="244" t="str">
        <f>VLOOKUP(Main_Presentation[[#This Row],[LC Number]],Main_Issuance[],7,0)</f>
        <v>BBH-CHEMTROL INTERNATIONAL ORGANIZATION S.L</v>
      </c>
      <c r="J1421" s="244" t="str">
        <f>VLOOKUP(Main_Presentation[[#This Row],[LC Number]],Main_Issuance[],8,0)</f>
        <v>ICAD</v>
      </c>
      <c r="K1421" s="244" t="str">
        <f>VLOOKUP(Main_Presentation[[#This Row],[LC Number]],Main_Issuance[],9,0)</f>
        <v>KSP</v>
      </c>
      <c r="L1421" s="244">
        <f>VLOOKUP(Main_Presentation[[#This Row],[LC Number]],Main_Issuance[],10,0)</f>
        <v>1020055</v>
      </c>
      <c r="M1421" s="244" t="str">
        <f>VLOOKUP(Main_Presentation[[#This Row],[LC Number]],Main_Issuance[],11,0)</f>
        <v>EUR</v>
      </c>
      <c r="N1421" s="245">
        <f>VLOOKUP(Main_Presentation[[#This Row],[LC Number]],Main_Issuance[],12,0)</f>
        <v>1687320.39</v>
      </c>
      <c r="O1421" s="217" t="s">
        <v>20</v>
      </c>
      <c r="P1421" s="217" t="s">
        <v>857</v>
      </c>
      <c r="Q1421" s="218">
        <v>39870.519999999997</v>
      </c>
      <c r="R1421" s="218">
        <v>4.3899999999999997</v>
      </c>
      <c r="S1421" s="218">
        <f>Main_Presentation[[#This Row],[Invoice Amt (FCY)]]*Main_Presentation[[#This Row],[Rate]]</f>
        <v>175031.58279999997</v>
      </c>
      <c r="T1421" s="227">
        <v>46105</v>
      </c>
      <c r="U1421" s="243" t="str">
        <f>VLOOKUP(Main_Presentation[[#This Row],[LC Number]],Main_Issuance[],18,0)</f>
        <v>60 Days from Invoice Date</v>
      </c>
      <c r="V1421" s="249" t="s">
        <v>613</v>
      </c>
      <c r="W1421" s="229" t="s">
        <v>378</v>
      </c>
      <c r="X1421" s="217"/>
      <c r="Y1421" s="399" t="str">
        <f>TRIM(LEFT(Main_Presentation[[#This Row],[Payment Terms]],3))</f>
        <v>60</v>
      </c>
      <c r="Z1421" s="217"/>
      <c r="AA1421" s="316" cm="1">
        <f t="array" ref="AA1421">Settlement(Main_Presentation[[#This Row],[Bank]],Main_Presentation[[#This Row],[ Invoice Amt (SAR)]],Main_Presentation[[#This Row],[Date Recd]],Main_Presentation[[#This Row],[Due Date]],Main_Presentation[[#This Row],[Days]])</f>
        <v>1437.5</v>
      </c>
      <c r="AB1421" s="217"/>
    </row>
    <row r="1422" spans="1:28" ht="15.75" hidden="1" x14ac:dyDescent="0.25">
      <c r="A1422" s="226" t="s">
        <v>1446</v>
      </c>
      <c r="B1422" s="227">
        <v>46061</v>
      </c>
      <c r="C1422" s="243">
        <v>7</v>
      </c>
      <c r="D1422" s="228" t="str">
        <f>VLOOKUP(Main_Presentation[[#This Row],[LC Number]],Main_Issuance[],3,0)</f>
        <v>Rabih Makhoul</v>
      </c>
      <c r="E1422" s="217" t="s">
        <v>858</v>
      </c>
      <c r="F1422" s="244" t="str">
        <f>VLOOKUP(Main_Presentation[[#This Row],[LC Number]],Main_Issuance[],5,0)</f>
        <v>SNB</v>
      </c>
      <c r="G1422" s="244" t="str">
        <f>VLOOKUP(Main_Presentation[[#This Row],[LC Number]],Main_Issuance[],6,0)</f>
        <v>Opera House</v>
      </c>
      <c r="H1422" s="244" t="str">
        <f>VLOOKUP(Main_Presentation[[#This Row],[LC Number]],Main_Issuance[],17,0)</f>
        <v>Credit</v>
      </c>
      <c r="I1422" s="244" t="str">
        <f>VLOOKUP(Main_Presentation[[#This Row],[LC Number]],Main_Issuance[],7,0)</f>
        <v>Al Arabia Construction &amp; Building Co.</v>
      </c>
      <c r="J1422" s="244" t="str">
        <f>VLOOKUP(Main_Presentation[[#This Row],[LC Number]],Main_Issuance[],8,0)</f>
        <v>MBL</v>
      </c>
      <c r="K1422" s="244" t="str">
        <f>VLOOKUP(Main_Presentation[[#This Row],[LC Number]],Main_Issuance[],9,0)</f>
        <v>Rabigh Power Plant</v>
      </c>
      <c r="L1422" s="244">
        <f>VLOOKUP(Main_Presentation[[#This Row],[LC Number]],Main_Issuance[],10,0)</f>
        <v>1020107</v>
      </c>
      <c r="M1422" s="244" t="str">
        <f>VLOOKUP(Main_Presentation[[#This Row],[LC Number]],Main_Issuance[],11,0)</f>
        <v>SAR</v>
      </c>
      <c r="N1422" s="245">
        <f>VLOOKUP(Main_Presentation[[#This Row],[LC Number]],Main_Issuance[],12,0)</f>
        <v>4738920</v>
      </c>
      <c r="O1422" s="217" t="s">
        <v>20</v>
      </c>
      <c r="P1422" s="217" t="s">
        <v>378</v>
      </c>
      <c r="Q1422" s="218">
        <v>971037</v>
      </c>
      <c r="R1422" s="218">
        <v>1</v>
      </c>
      <c r="S1422" s="218">
        <f>Main_Presentation[[#This Row],[Invoice Amt (FCY)]]*Main_Presentation[[#This Row],[Rate]]</f>
        <v>971037</v>
      </c>
      <c r="T1422" s="227">
        <v>46071</v>
      </c>
      <c r="U1422" s="243" t="str">
        <f>VLOOKUP(Main_Presentation[[#This Row],[LC Number]],Main_Issuance[],18,0)</f>
        <v>45 Days from the Invoice Date</v>
      </c>
      <c r="V1422" s="233" t="s">
        <v>511</v>
      </c>
      <c r="W1422" s="229" t="s">
        <v>857</v>
      </c>
      <c r="X1422" s="217"/>
      <c r="Y1422" s="399" t="str">
        <f>TRIM(LEFT(Main_Presentation[[#This Row],[Payment Terms]],3))</f>
        <v>45</v>
      </c>
      <c r="Z1422" s="217"/>
      <c r="AA1422" s="316" cm="1">
        <f t="array" ref="AA1422">Settlement(Main_Presentation[[#This Row],[Bank]],Main_Presentation[[#This Row],[ Invoice Amt (SAR)]],Main_Presentation[[#This Row],[Date Recd]],Main_Presentation[[#This Row],[Due Date]],Main_Presentation[[#This Row],[Days]])</f>
        <v>655.5</v>
      </c>
      <c r="AB1422" s="217"/>
    </row>
    <row r="1423" spans="1:28" ht="15.75" hidden="1" x14ac:dyDescent="0.25">
      <c r="A1423" s="226" t="s">
        <v>1652</v>
      </c>
      <c r="B1423" s="227">
        <v>46078</v>
      </c>
      <c r="C1423" s="243">
        <v>3</v>
      </c>
      <c r="D1423" s="228" t="str">
        <f>VLOOKUP(Main_Presentation[[#This Row],[LC Number]],Main_Issuance[],3,0)</f>
        <v>Tareeq Telmasani</v>
      </c>
      <c r="E1423" s="217" t="s">
        <v>858</v>
      </c>
      <c r="F1423" s="244" t="str">
        <f>VLOOKUP(Main_Presentation[[#This Row],[LC Number]],Main_Issuance[],5,0)</f>
        <v>SAB</v>
      </c>
      <c r="G1423" s="244" t="str">
        <f>VLOOKUP(Main_Presentation[[#This Row],[LC Number]],Main_Issuance[],6,0)</f>
        <v>CEER</v>
      </c>
      <c r="H1423" s="244" t="str">
        <f>VLOOKUP(Main_Presentation[[#This Row],[LC Number]],Main_Issuance[],17,0)</f>
        <v>Credit</v>
      </c>
      <c r="I1423" s="244" t="str">
        <f>VLOOKUP(Main_Presentation[[#This Row],[LC Number]],Main_Issuance[],7,0)</f>
        <v>Riyadh Unity for Trading</v>
      </c>
      <c r="J1423" s="244" t="str">
        <f>VLOOKUP(Main_Presentation[[#This Row],[LC Number]],Main_Issuance[],8,0)</f>
        <v>FIRST FIX</v>
      </c>
      <c r="K1423" s="244" t="str">
        <f>VLOOKUP(Main_Presentation[[#This Row],[LC Number]],Main_Issuance[],9,0)</f>
        <v>CEER</v>
      </c>
      <c r="L1423" s="244">
        <f>VLOOKUP(Main_Presentation[[#This Row],[LC Number]],Main_Issuance[],10,0)</f>
        <v>1020091</v>
      </c>
      <c r="M1423" s="244" t="str">
        <f>VLOOKUP(Main_Presentation[[#This Row],[LC Number]],Main_Issuance[],11,0)</f>
        <v>SAR</v>
      </c>
      <c r="N1423" s="245">
        <f>VLOOKUP(Main_Presentation[[#This Row],[LC Number]],Main_Issuance[],12,0)</f>
        <v>1600000</v>
      </c>
      <c r="O1423" s="217" t="s">
        <v>20</v>
      </c>
      <c r="P1423" s="217" t="s">
        <v>857</v>
      </c>
      <c r="Q1423" s="218">
        <v>100810.74</v>
      </c>
      <c r="R1423" s="218">
        <v>1</v>
      </c>
      <c r="S1423" s="218">
        <f>Main_Presentation[[#This Row],[Invoice Amt (FCY)]]*Main_Presentation[[#This Row],[Rate]]</f>
        <v>100810.74</v>
      </c>
      <c r="T1423" s="227">
        <v>46146</v>
      </c>
      <c r="U1423" s="243" t="str">
        <f>VLOOKUP(Main_Presentation[[#This Row],[LC Number]],Main_Issuance[],18,0)</f>
        <v>90 Days from Appl. Representative Sign</v>
      </c>
      <c r="V1423" s="233" t="s">
        <v>4353</v>
      </c>
      <c r="W1423" s="229" t="s">
        <v>857</v>
      </c>
      <c r="X1423" s="217"/>
      <c r="Y1423" s="399" t="str">
        <f>TRIM(LEFT(Main_Presentation[[#This Row],[Payment Terms]],3))</f>
        <v>90</v>
      </c>
      <c r="Z1423" s="217"/>
      <c r="AA1423" s="316" cm="1">
        <f t="array" ref="AA1423">Settlement(Main_Presentation[[#This Row],[Bank]],Main_Presentation[[#This Row],[ Invoice Amt (SAR)]],Main_Presentation[[#This Row],[Date Recd]],Main_Presentation[[#This Row],[Due Date]],Main_Presentation[[#This Row],[Days]])</f>
        <v>575</v>
      </c>
      <c r="AB1423" s="217"/>
    </row>
    <row r="1424" spans="1:28" ht="15.75" hidden="1" x14ac:dyDescent="0.25">
      <c r="A1424" s="20" t="s">
        <v>3571</v>
      </c>
      <c r="B1424" s="15">
        <v>46078</v>
      </c>
      <c r="C1424" s="26">
        <v>1</v>
      </c>
      <c r="D1424" s="55" t="str">
        <f>VLOOKUP(Main_Presentation[[#This Row],[LC Number]],Main_Issuance[],3,0)</f>
        <v>Hassan Taleb</v>
      </c>
      <c r="E1424" s="16" t="s">
        <v>856</v>
      </c>
      <c r="F1424" s="17" t="str">
        <f>VLOOKUP(Main_Presentation[[#This Row],[LC Number]],Main_Issuance[],5,0)</f>
        <v>Jazira</v>
      </c>
      <c r="G1424" s="17" t="str">
        <f>VLOOKUP(Main_Presentation[[#This Row],[LC Number]],Main_Issuance[],6,0)</f>
        <v>RCRC</v>
      </c>
      <c r="H1424" s="17" t="str">
        <f>VLOOKUP(Main_Presentation[[#This Row],[LC Number]],Main_Issuance[],17,0)</f>
        <v>Credit</v>
      </c>
      <c r="I1424" s="17" t="str">
        <f>VLOOKUP(Main_Presentation[[#This Row],[LC Number]],Main_Issuance[],7,0)</f>
        <v>Alfanar Electrical Systems</v>
      </c>
      <c r="J1424" s="17" t="str">
        <f>VLOOKUP(Main_Presentation[[#This Row],[LC Number]],Main_Issuance[],8,0)</f>
        <v>FIRST FIX</v>
      </c>
      <c r="K1424" s="17" t="str">
        <f>VLOOKUP(Main_Presentation[[#This Row],[LC Number]],Main_Issuance[],9,0)</f>
        <v>RCRC</v>
      </c>
      <c r="L1424" s="17">
        <f>VLOOKUP(Main_Presentation[[#This Row],[LC Number]],Main_Issuance[],10,0)</f>
        <v>1020106</v>
      </c>
      <c r="M1424" s="17" t="str">
        <f>VLOOKUP(Main_Presentation[[#This Row],[LC Number]],Main_Issuance[],11,0)</f>
        <v>SAR</v>
      </c>
      <c r="N1424" s="84">
        <f>VLOOKUP(Main_Presentation[[#This Row],[LC Number]],Main_Issuance[],12,0)</f>
        <v>1500000</v>
      </c>
      <c r="O1424" s="16" t="s">
        <v>20</v>
      </c>
      <c r="P1424" s="16" t="s">
        <v>378</v>
      </c>
      <c r="Q1424" s="18">
        <v>1478254.88</v>
      </c>
      <c r="R1424" s="18">
        <v>1</v>
      </c>
      <c r="S1424" s="18">
        <f>Main_Presentation[[#This Row],[Invoice Amt (FCY)]]*Main_Presentation[[#This Row],[Rate]]</f>
        <v>1478254.88</v>
      </c>
      <c r="T1424" s="15">
        <v>46152</v>
      </c>
      <c r="U1424" s="26" t="str">
        <f>VLOOKUP(Main_Presentation[[#This Row],[LC Number]],Main_Issuance[],18,0)</f>
        <v>90 Days from Applicant representative sign on Invoice</v>
      </c>
      <c r="V1424" s="249" t="s">
        <v>613</v>
      </c>
      <c r="W1424" s="22" t="s">
        <v>857</v>
      </c>
      <c r="X1424" s="16"/>
      <c r="Y1424" s="234" t="str">
        <f>TRIM(LEFT(Main_Presentation[[#This Row],[Payment Terms]],3))</f>
        <v>90</v>
      </c>
      <c r="Z1424" s="16"/>
      <c r="AA1424" s="316" cm="1">
        <f t="array" ref="AA1424">Settlement(Main_Presentation[[#This Row],[Bank]],Main_Presentation[[#This Row],[ Invoice Amt (SAR)]],Main_Presentation[[#This Row],[Date Recd]],Main_Presentation[[#This Row],[Due Date]],Main_Presentation[[#This Row],[Days]])</f>
        <v>2470.1999999999998</v>
      </c>
      <c r="AB1424" s="16"/>
    </row>
    <row r="1425" spans="1:28" ht="15.75" hidden="1" x14ac:dyDescent="0.25">
      <c r="A1425" s="20" t="s">
        <v>1565</v>
      </c>
      <c r="B1425" s="15">
        <v>46078</v>
      </c>
      <c r="C1425" s="26">
        <v>1</v>
      </c>
      <c r="D1425" s="55" t="str">
        <f>VLOOKUP(Main_Presentation[[#This Row],[LC Number]],Main_Issuance[],3,0)</f>
        <v>Hassan Taleb</v>
      </c>
      <c r="E1425" s="16" t="s">
        <v>856</v>
      </c>
      <c r="F1425" s="17" t="str">
        <f>VLOOKUP(Main_Presentation[[#This Row],[LC Number]],Main_Issuance[],5,0)</f>
        <v>Jazira</v>
      </c>
      <c r="G1425" s="17" t="str">
        <f>VLOOKUP(Main_Presentation[[#This Row],[LC Number]],Main_Issuance[],6,0)</f>
        <v>RCRC</v>
      </c>
      <c r="H1425" s="17" t="str">
        <f>VLOOKUP(Main_Presentation[[#This Row],[LC Number]],Main_Issuance[],17,0)</f>
        <v>Credit</v>
      </c>
      <c r="I1425" s="17" t="str">
        <f>VLOOKUP(Main_Presentation[[#This Row],[LC Number]],Main_Issuance[],7,0)</f>
        <v>Mohammed Ramadan Shat</v>
      </c>
      <c r="J1425" s="17" t="str">
        <f>VLOOKUP(Main_Presentation[[#This Row],[LC Number]],Main_Issuance[],8,0)</f>
        <v>FIRST FIX</v>
      </c>
      <c r="K1425" s="17" t="str">
        <f>VLOOKUP(Main_Presentation[[#This Row],[LC Number]],Main_Issuance[],9,0)</f>
        <v>RCRC</v>
      </c>
      <c r="L1425" s="17">
        <f>VLOOKUP(Main_Presentation[[#This Row],[LC Number]],Main_Issuance[],10,0)</f>
        <v>1020106</v>
      </c>
      <c r="M1425" s="17" t="str">
        <f>VLOOKUP(Main_Presentation[[#This Row],[LC Number]],Main_Issuance[],11,0)</f>
        <v>SAR</v>
      </c>
      <c r="N1425" s="84">
        <f>VLOOKUP(Main_Presentation[[#This Row],[LC Number]],Main_Issuance[],12,0)</f>
        <v>100383.5</v>
      </c>
      <c r="O1425" s="16" t="s">
        <v>20</v>
      </c>
      <c r="P1425" s="16" t="s">
        <v>378</v>
      </c>
      <c r="Q1425" s="18">
        <v>89826.5</v>
      </c>
      <c r="R1425" s="18">
        <v>1</v>
      </c>
      <c r="S1425" s="18">
        <f>Main_Presentation[[#This Row],[Invoice Amt (FCY)]]*Main_Presentation[[#This Row],[Rate]]</f>
        <v>89826.5</v>
      </c>
      <c r="T1425" s="15">
        <v>46138</v>
      </c>
      <c r="U1425" s="26" t="str">
        <f>VLOOKUP(Main_Presentation[[#This Row],[LC Number]],Main_Issuance[],18,0)</f>
        <v>90 Days from Invoice Date</v>
      </c>
      <c r="V1425" s="249" t="s">
        <v>613</v>
      </c>
      <c r="W1425" s="22" t="s">
        <v>857</v>
      </c>
      <c r="X1425" s="16"/>
      <c r="Y1425" s="234" t="str">
        <f>TRIM(LEFT(Main_Presentation[[#This Row],[Payment Terms]],3))</f>
        <v>90</v>
      </c>
      <c r="Z1425" s="16"/>
      <c r="AA1425" s="316" cm="1">
        <f t="array" ref="AA1425">Settlement(Main_Presentation[[#This Row],[Bank]],Main_Presentation[[#This Row],[ Invoice Amt (SAR)]],Main_Presentation[[#This Row],[Date Recd]],Main_Presentation[[#This Row],[Due Date]],Main_Presentation[[#This Row],[Days]])</f>
        <v>977.5</v>
      </c>
      <c r="AB1425" s="16"/>
    </row>
    <row r="1426" spans="1:28" ht="15.75" hidden="1" x14ac:dyDescent="0.25">
      <c r="A1426" s="20" t="s">
        <v>1821</v>
      </c>
      <c r="B1426" s="15">
        <v>46078</v>
      </c>
      <c r="C1426" s="26">
        <v>1</v>
      </c>
      <c r="D1426" s="55" t="str">
        <f>VLOOKUP(Main_Presentation[[#This Row],[LC Number]],Main_Issuance[],3,0)</f>
        <v>Hassan Taleb</v>
      </c>
      <c r="E1426" s="16" t="s">
        <v>856</v>
      </c>
      <c r="F1426" s="17" t="str">
        <f>VLOOKUP(Main_Presentation[[#This Row],[LC Number]],Main_Issuance[],5,0)</f>
        <v>Jazira</v>
      </c>
      <c r="G1426" s="17" t="str">
        <f>VLOOKUP(Main_Presentation[[#This Row],[LC Number]],Main_Issuance[],6,0)</f>
        <v>RCRC</v>
      </c>
      <c r="H1426" s="17" t="str">
        <f>VLOOKUP(Main_Presentation[[#This Row],[LC Number]],Main_Issuance[],17,0)</f>
        <v>Credit</v>
      </c>
      <c r="I1426" s="17" t="str">
        <f>VLOOKUP(Main_Presentation[[#This Row],[LC Number]],Main_Issuance[],7,0)</f>
        <v>Mohammed Ramadan Shat Factory</v>
      </c>
      <c r="J1426" s="17" t="str">
        <f>VLOOKUP(Main_Presentation[[#This Row],[LC Number]],Main_Issuance[],8,0)</f>
        <v>FIRST FIX</v>
      </c>
      <c r="K1426" s="17" t="str">
        <f>VLOOKUP(Main_Presentation[[#This Row],[LC Number]],Main_Issuance[],9,0)</f>
        <v>RCRC</v>
      </c>
      <c r="L1426" s="17">
        <f>VLOOKUP(Main_Presentation[[#This Row],[LC Number]],Main_Issuance[],10,0)</f>
        <v>1020106</v>
      </c>
      <c r="M1426" s="17" t="str">
        <f>VLOOKUP(Main_Presentation[[#This Row],[LC Number]],Main_Issuance[],11,0)</f>
        <v>SAR</v>
      </c>
      <c r="N1426" s="84">
        <f>VLOOKUP(Main_Presentation[[#This Row],[LC Number]],Main_Issuance[],12,0)</f>
        <v>501144.18</v>
      </c>
      <c r="O1426" s="16" t="s">
        <v>20</v>
      </c>
      <c r="P1426" s="16" t="s">
        <v>378</v>
      </c>
      <c r="Q1426" s="18">
        <v>42591.07</v>
      </c>
      <c r="R1426" s="18">
        <v>1</v>
      </c>
      <c r="S1426" s="18">
        <f>Main_Presentation[[#This Row],[Invoice Amt (FCY)]]*Main_Presentation[[#This Row],[Rate]]</f>
        <v>42591.07</v>
      </c>
      <c r="T1426" s="15">
        <v>46138</v>
      </c>
      <c r="U1426" s="26" t="str">
        <f>VLOOKUP(Main_Presentation[[#This Row],[LC Number]],Main_Issuance[],18,0)</f>
        <v>90 Days from Invoice Date</v>
      </c>
      <c r="V1426" s="249" t="s">
        <v>613</v>
      </c>
      <c r="W1426" s="22" t="s">
        <v>857</v>
      </c>
      <c r="X1426" s="16"/>
      <c r="Y1426" s="234" t="str">
        <f>TRIM(LEFT(Main_Presentation[[#This Row],[Payment Terms]],3))</f>
        <v>90</v>
      </c>
      <c r="Z1426" s="16"/>
      <c r="AA1426" s="316" cm="1">
        <f t="array" ref="AA1426">Settlement(Main_Presentation[[#This Row],[Bank]],Main_Presentation[[#This Row],[ Invoice Amt (SAR)]],Main_Presentation[[#This Row],[Date Recd]],Main_Presentation[[#This Row],[Due Date]],Main_Presentation[[#This Row],[Days]])</f>
        <v>977.5</v>
      </c>
      <c r="AB1426" s="16"/>
    </row>
    <row r="1427" spans="1:28" ht="15.75" hidden="1" x14ac:dyDescent="0.25">
      <c r="A1427" s="226" t="s">
        <v>2903</v>
      </c>
      <c r="B1427" s="227">
        <v>46071</v>
      </c>
      <c r="C1427" s="243">
        <v>3</v>
      </c>
      <c r="D1427" s="228" t="str">
        <f>VLOOKUP(Main_Presentation[[#This Row],[LC Number]],Main_Issuance[],3,0)</f>
        <v>Hassan Taleb</v>
      </c>
      <c r="E1427" s="217" t="s">
        <v>858</v>
      </c>
      <c r="F1427" s="244" t="str">
        <f>VLOOKUP(Main_Presentation[[#This Row],[LC Number]],Main_Issuance[],5,0)</f>
        <v>SAB</v>
      </c>
      <c r="G1427" s="244" t="str">
        <f>VLOOKUP(Main_Presentation[[#This Row],[LC Number]],Main_Issuance[],6,0)</f>
        <v>MP1</v>
      </c>
      <c r="H1427" s="244" t="str">
        <f>VLOOKUP(Main_Presentation[[#This Row],[LC Number]],Main_Issuance[],17,0)</f>
        <v>Credit</v>
      </c>
      <c r="I1427" s="244" t="str">
        <f>VLOOKUP(Main_Presentation[[#This Row],[LC Number]],Main_Issuance[],7,0)</f>
        <v>Ajzal United for Safety CO.LTD.</v>
      </c>
      <c r="J1427" s="244" t="str">
        <f>VLOOKUP(Main_Presentation[[#This Row],[LC Number]],Main_Issuance[],8,0)</f>
        <v>FIRST FIX</v>
      </c>
      <c r="K1427" s="244" t="str">
        <f>VLOOKUP(Main_Presentation[[#This Row],[LC Number]],Main_Issuance[],9,0)</f>
        <v>MP1</v>
      </c>
      <c r="L1427" s="244">
        <f>VLOOKUP(Main_Presentation[[#This Row],[LC Number]],Main_Issuance[],10,0)</f>
        <v>1020088</v>
      </c>
      <c r="M1427" s="244" t="str">
        <f>VLOOKUP(Main_Presentation[[#This Row],[LC Number]],Main_Issuance[],11,0)</f>
        <v>SAR</v>
      </c>
      <c r="N1427" s="245">
        <f>VLOOKUP(Main_Presentation[[#This Row],[LC Number]],Main_Issuance[],12,0)</f>
        <v>800000</v>
      </c>
      <c r="O1427" s="217" t="s">
        <v>20</v>
      </c>
      <c r="P1427" s="217" t="s">
        <v>857</v>
      </c>
      <c r="Q1427" s="218">
        <v>127445.13</v>
      </c>
      <c r="R1427" s="218">
        <v>1</v>
      </c>
      <c r="S1427" s="218">
        <f>Main_Presentation[[#This Row],[Invoice Amt (FCY)]]*Main_Presentation[[#This Row],[Rate]]</f>
        <v>127445.13</v>
      </c>
      <c r="T1427" s="227">
        <v>46173</v>
      </c>
      <c r="U1427" s="243" t="str">
        <f>VLOOKUP(Main_Presentation[[#This Row],[LC Number]],Main_Issuance[],18,0)</f>
        <v>120 Days from Invoice Date</v>
      </c>
      <c r="V1427" s="233" t="s">
        <v>710</v>
      </c>
      <c r="W1427" s="229" t="s">
        <v>857</v>
      </c>
      <c r="X1427" s="217"/>
      <c r="Y1427" s="399" t="str">
        <f>TRIM(LEFT(Main_Presentation[[#This Row],[Payment Terms]],3))</f>
        <v>120</v>
      </c>
      <c r="Z1427" s="217"/>
      <c r="AA1427" s="316" cm="1">
        <f t="array" ref="AA1427">Settlement(Main_Presentation[[#This Row],[Bank]],Main_Presentation[[#This Row],[ Invoice Amt (SAR)]],Main_Presentation[[#This Row],[Date Recd]],Main_Presentation[[#This Row],[Due Date]],Main_Presentation[[#This Row],[Days]])</f>
        <v>575</v>
      </c>
      <c r="AB1427" s="217"/>
    </row>
    <row r="1428" spans="1:28" ht="15.75" hidden="1" x14ac:dyDescent="0.25">
      <c r="A1428" s="226" t="s">
        <v>1524</v>
      </c>
      <c r="B1428" s="227">
        <v>46058</v>
      </c>
      <c r="C1428" s="243">
        <v>1</v>
      </c>
      <c r="D1428" s="228" t="str">
        <f>VLOOKUP(Main_Presentation[[#This Row],[LC Number]],Main_Issuance[],3,0)</f>
        <v>Hassan Taleb</v>
      </c>
      <c r="E1428" s="217" t="s">
        <v>858</v>
      </c>
      <c r="F1428" s="244" t="str">
        <f>VLOOKUP(Main_Presentation[[#This Row],[LC Number]],Main_Issuance[],5,0)</f>
        <v>Alinma</v>
      </c>
      <c r="G1428" s="244" t="str">
        <f>VLOOKUP(Main_Presentation[[#This Row],[LC Number]],Main_Issuance[],6,0)</f>
        <v>KSP</v>
      </c>
      <c r="H1428" s="244" t="str">
        <f>VLOOKUP(Main_Presentation[[#This Row],[LC Number]],Main_Issuance[],17,0)</f>
        <v>Credit</v>
      </c>
      <c r="I1428" s="244" t="str">
        <f>VLOOKUP(Main_Presentation[[#This Row],[LC Number]],Main_Issuance[],7,0)</f>
        <v>Awad Batel Bin Awad Al Rashidi Contracting Est.</v>
      </c>
      <c r="J1428" s="244" t="str">
        <f>VLOOKUP(Main_Presentation[[#This Row],[LC Number]],Main_Issuance[],8,0)</f>
        <v>FIRST FIX</v>
      </c>
      <c r="K1428" s="244" t="str">
        <f>VLOOKUP(Main_Presentation[[#This Row],[LC Number]],Main_Issuance[],9,0)</f>
        <v>JCD SPMI</v>
      </c>
      <c r="L1428" s="244">
        <f>VLOOKUP(Main_Presentation[[#This Row],[LC Number]],Main_Issuance[],10,0)</f>
        <v>1020100</v>
      </c>
      <c r="M1428" s="244" t="str">
        <f>VLOOKUP(Main_Presentation[[#This Row],[LC Number]],Main_Issuance[],11,0)</f>
        <v>SAR</v>
      </c>
      <c r="N1428" s="245">
        <f>VLOOKUP(Main_Presentation[[#This Row],[LC Number]],Main_Issuance[],12,0)</f>
        <v>204357</v>
      </c>
      <c r="O1428" s="217" t="s">
        <v>20</v>
      </c>
      <c r="P1428" s="217" t="s">
        <v>857</v>
      </c>
      <c r="Q1428" s="218">
        <v>204357</v>
      </c>
      <c r="R1428" s="218">
        <v>1</v>
      </c>
      <c r="S1428" s="218">
        <f>Main_Presentation[[#This Row],[Invoice Amt (FCY)]]*Main_Presentation[[#This Row],[Rate]]</f>
        <v>204357</v>
      </c>
      <c r="T1428" s="227">
        <v>46082</v>
      </c>
      <c r="U1428" s="243" t="str">
        <f>VLOOKUP(Main_Presentation[[#This Row],[LC Number]],Main_Issuance[],18,0)</f>
        <v>120 Days from Invoice Date</v>
      </c>
      <c r="V1428" s="233" t="s">
        <v>407</v>
      </c>
      <c r="W1428" s="229" t="s">
        <v>857</v>
      </c>
      <c r="X1428" s="217" t="s">
        <v>4114</v>
      </c>
      <c r="Y1428" s="399" t="str">
        <f>TRIM(LEFT(Main_Presentation[[#This Row],[Payment Terms]],3))</f>
        <v>120</v>
      </c>
      <c r="Z1428" s="217"/>
      <c r="AA1428" s="316" cm="1">
        <f t="array" ref="AA1428">Settlement(Main_Presentation[[#This Row],[Bank]],Main_Presentation[[#This Row],[ Invoice Amt (SAR)]],Main_Presentation[[#This Row],[Date Recd]],Main_Presentation[[#This Row],[Due Date]],Main_Presentation[[#This Row],[Days]])</f>
        <v>1437.5</v>
      </c>
      <c r="AB1428" s="217"/>
    </row>
    <row r="1429" spans="1:28" ht="15.75" hidden="1" x14ac:dyDescent="0.25">
      <c r="A1429" s="20" t="s">
        <v>3146</v>
      </c>
      <c r="B1429" s="15">
        <v>46093</v>
      </c>
      <c r="C1429" s="26">
        <v>9</v>
      </c>
      <c r="D1429" s="55" t="str">
        <f>VLOOKUP(Main_Presentation[[#This Row],[LC Number]],Main_Issuance[],3,0)</f>
        <v>Essam Zahran - Signal Control</v>
      </c>
      <c r="E1429" s="16" t="s">
        <v>858</v>
      </c>
      <c r="F1429" s="17" t="str">
        <f>VLOOKUP(Main_Presentation[[#This Row],[LC Number]],Main_Issuance[],5,0)</f>
        <v>Alinma</v>
      </c>
      <c r="G1429" s="17" t="str">
        <f>VLOOKUP(Main_Presentation[[#This Row],[LC Number]],Main_Issuance[],6,0)</f>
        <v>KSP</v>
      </c>
      <c r="H1429" s="17" t="str">
        <f>VLOOKUP(Main_Presentation[[#This Row],[LC Number]],Main_Issuance[],17,0)</f>
        <v>Credit</v>
      </c>
      <c r="I1429" s="17" t="str">
        <f>VLOOKUP(Main_Presentation[[#This Row],[LC Number]],Main_Issuance[],7,0)</f>
        <v>SIEMENS Limited Company</v>
      </c>
      <c r="J1429" s="17" t="str">
        <f>VLOOKUP(Main_Presentation[[#This Row],[LC Number]],Main_Issuance[],8,0)</f>
        <v>Signal Control</v>
      </c>
      <c r="K1429" s="17" t="str">
        <f>VLOOKUP(Main_Presentation[[#This Row],[LC Number]],Main_Issuance[],9,0)</f>
        <v>KSP</v>
      </c>
      <c r="L1429" s="17">
        <f>VLOOKUP(Main_Presentation[[#This Row],[LC Number]],Main_Issuance[],10,0)</f>
        <v>1020055</v>
      </c>
      <c r="M1429" s="17" t="str">
        <f>VLOOKUP(Main_Presentation[[#This Row],[LC Number]],Main_Issuance[],11,0)</f>
        <v>SAR</v>
      </c>
      <c r="N1429" s="84">
        <f>VLOOKUP(Main_Presentation[[#This Row],[LC Number]],Main_Issuance[],12,0)</f>
        <v>7259198.5</v>
      </c>
      <c r="O1429" s="217" t="s">
        <v>20</v>
      </c>
      <c r="P1429" s="16" t="s">
        <v>857</v>
      </c>
      <c r="Q1429" s="18">
        <v>529272.69999999995</v>
      </c>
      <c r="R1429" s="18">
        <v>1</v>
      </c>
      <c r="S1429" s="18">
        <f>Main_Presentation[[#This Row],[Invoice Amt (FCY)]]*Main_Presentation[[#This Row],[Rate]]</f>
        <v>529272.69999999995</v>
      </c>
      <c r="T1429" s="227">
        <v>46125</v>
      </c>
      <c r="U1429" s="26" t="str">
        <f>VLOOKUP(Main_Presentation[[#This Row],[LC Number]],Main_Issuance[],18,0)</f>
        <v>90 Days from Invoice Date</v>
      </c>
      <c r="V1429" s="233" t="s">
        <v>22</v>
      </c>
      <c r="W1429" s="229" t="s">
        <v>857</v>
      </c>
      <c r="X1429" s="16"/>
      <c r="Y1429" s="234" t="str">
        <f>TRIM(LEFT(Main_Presentation[[#This Row],[Payment Terms]],3))</f>
        <v>90</v>
      </c>
      <c r="Z1429" s="16"/>
      <c r="AA1429" s="316" cm="1">
        <f t="array" ref="AA1429">Settlement(Main_Presentation[[#This Row],[Bank]],Main_Presentation[[#This Row],[ Invoice Amt (SAR)]],Main_Presentation[[#This Row],[Date Recd]],Main_Presentation[[#This Row],[Due Date]],Main_Presentation[[#This Row],[Days]])</f>
        <v>1437.5</v>
      </c>
      <c r="AB1429" s="16"/>
    </row>
    <row r="1430" spans="1:28" ht="15.75" hidden="1" customHeight="1" x14ac:dyDescent="0.25">
      <c r="A1430" s="20" t="s">
        <v>3145</v>
      </c>
      <c r="B1430" s="15">
        <v>46071</v>
      </c>
      <c r="C1430" s="26">
        <v>1</v>
      </c>
      <c r="D1430" s="55" t="str">
        <f>VLOOKUP(Main_Presentation[[#This Row],[LC Number]],Main_Issuance[],3,0)</f>
        <v>Essam Zahran - Signal Control</v>
      </c>
      <c r="E1430" s="16" t="s">
        <v>856</v>
      </c>
      <c r="F1430" s="17" t="str">
        <f>VLOOKUP(Main_Presentation[[#This Row],[LC Number]],Main_Issuance[],5,0)</f>
        <v>Alinma</v>
      </c>
      <c r="G1430" s="17" t="str">
        <f>VLOOKUP(Main_Presentation[[#This Row],[LC Number]],Main_Issuance[],6,0)</f>
        <v>KSP</v>
      </c>
      <c r="H1430" s="17" t="str">
        <f>VLOOKUP(Main_Presentation[[#This Row],[LC Number]],Main_Issuance[],17,0)</f>
        <v>Credit</v>
      </c>
      <c r="I1430" s="17" t="str">
        <f>VLOOKUP(Main_Presentation[[#This Row],[LC Number]],Main_Issuance[],7,0)</f>
        <v>Mahmoud Al Tahini and Partners Company</v>
      </c>
      <c r="J1430" s="17" t="str">
        <f>VLOOKUP(Main_Presentation[[#This Row],[LC Number]],Main_Issuance[],8,0)</f>
        <v>Signal Control</v>
      </c>
      <c r="K1430" s="17" t="str">
        <f>VLOOKUP(Main_Presentation[[#This Row],[LC Number]],Main_Issuance[],9,0)</f>
        <v>KSP</v>
      </c>
      <c r="L1430" s="17">
        <f>VLOOKUP(Main_Presentation[[#This Row],[LC Number]],Main_Issuance[],10,0)</f>
        <v>1020055</v>
      </c>
      <c r="M1430" s="17" t="str">
        <f>VLOOKUP(Main_Presentation[[#This Row],[LC Number]],Main_Issuance[],11,0)</f>
        <v>SAR</v>
      </c>
      <c r="N1430" s="84">
        <f>VLOOKUP(Main_Presentation[[#This Row],[LC Number]],Main_Issuance[],12,0)</f>
        <v>1249991.3500000001</v>
      </c>
      <c r="O1430" s="16" t="s">
        <v>20</v>
      </c>
      <c r="P1430" s="16" t="s">
        <v>857</v>
      </c>
      <c r="Q1430" s="18">
        <v>1249991.3500000001</v>
      </c>
      <c r="R1430" s="18">
        <v>1</v>
      </c>
      <c r="S1430" s="18">
        <f>Main_Presentation[[#This Row],[Invoice Amt (FCY)]]*Main_Presentation[[#This Row],[Rate]]</f>
        <v>1249991.3500000001</v>
      </c>
      <c r="T1430" s="15">
        <v>46138</v>
      </c>
      <c r="U1430" s="26" t="str">
        <f>VLOOKUP(Main_Presentation[[#This Row],[LC Number]],Main_Issuance[],18,0)</f>
        <v>90 Days from Invoice Date</v>
      </c>
      <c r="V1430" s="249" t="s">
        <v>22</v>
      </c>
      <c r="W1430" s="22" t="s">
        <v>857</v>
      </c>
      <c r="X1430" s="16"/>
      <c r="Y1430" s="234" t="str">
        <f>TRIM(LEFT(Main_Presentation[[#This Row],[Payment Terms]],3))</f>
        <v>90</v>
      </c>
      <c r="Z1430" s="16"/>
      <c r="AA1430" s="316" cm="1">
        <f t="array" ref="AA1430">Settlement(Main_Presentation[[#This Row],[Bank]],Main_Presentation[[#This Row],[ Invoice Amt (SAR)]],Main_Presentation[[#This Row],[Date Recd]],Main_Presentation[[#This Row],[Due Date]],Main_Presentation[[#This Row],[Days]])</f>
        <v>1437.5</v>
      </c>
      <c r="AB1430" s="16"/>
    </row>
    <row r="1431" spans="1:28" ht="15.75" hidden="1" customHeight="1" x14ac:dyDescent="0.25">
      <c r="A1431" s="20" t="s">
        <v>3146</v>
      </c>
      <c r="B1431" s="15">
        <v>46072</v>
      </c>
      <c r="C1431" s="26">
        <v>3</v>
      </c>
      <c r="D1431" s="55" t="str">
        <f>VLOOKUP(Main_Presentation[[#This Row],[LC Number]],Main_Issuance[],3,0)</f>
        <v>Essam Zahran - Signal Control</v>
      </c>
      <c r="E1431" s="16" t="s">
        <v>856</v>
      </c>
      <c r="F1431" s="17" t="str">
        <f>VLOOKUP(Main_Presentation[[#This Row],[LC Number]],Main_Issuance[],5,0)</f>
        <v>Alinma</v>
      </c>
      <c r="G1431" s="17" t="str">
        <f>VLOOKUP(Main_Presentation[[#This Row],[LC Number]],Main_Issuance[],6,0)</f>
        <v>KSP</v>
      </c>
      <c r="H1431" s="17" t="str">
        <f>VLOOKUP(Main_Presentation[[#This Row],[LC Number]],Main_Issuance[],17,0)</f>
        <v>Credit</v>
      </c>
      <c r="I1431" s="17" t="str">
        <f>VLOOKUP(Main_Presentation[[#This Row],[LC Number]],Main_Issuance[],7,0)</f>
        <v>SIEMENS Limited Company</v>
      </c>
      <c r="J1431" s="17" t="str">
        <f>VLOOKUP(Main_Presentation[[#This Row],[LC Number]],Main_Issuance[],8,0)</f>
        <v>Signal Control</v>
      </c>
      <c r="K1431" s="17" t="str">
        <f>VLOOKUP(Main_Presentation[[#This Row],[LC Number]],Main_Issuance[],9,0)</f>
        <v>KSP</v>
      </c>
      <c r="L1431" s="17">
        <f>VLOOKUP(Main_Presentation[[#This Row],[LC Number]],Main_Issuance[],10,0)</f>
        <v>1020055</v>
      </c>
      <c r="M1431" s="17" t="str">
        <f>VLOOKUP(Main_Presentation[[#This Row],[LC Number]],Main_Issuance[],11,0)</f>
        <v>SAR</v>
      </c>
      <c r="N1431" s="84">
        <f>VLOOKUP(Main_Presentation[[#This Row],[LC Number]],Main_Issuance[],12,0)</f>
        <v>7259198.5</v>
      </c>
      <c r="O1431" s="16" t="s">
        <v>20</v>
      </c>
      <c r="P1431" s="16" t="s">
        <v>857</v>
      </c>
      <c r="Q1431" s="18">
        <v>485451.98</v>
      </c>
      <c r="R1431" s="18">
        <v>1</v>
      </c>
      <c r="S1431" s="18">
        <f>Main_Presentation[[#This Row],[Invoice Amt (FCY)]]*Main_Presentation[[#This Row],[Rate]]</f>
        <v>485451.98</v>
      </c>
      <c r="T1431" s="227">
        <v>46105</v>
      </c>
      <c r="U1431" s="26" t="str">
        <f>VLOOKUP(Main_Presentation[[#This Row],[LC Number]],Main_Issuance[],18,0)</f>
        <v>90 Days from Invoice Date</v>
      </c>
      <c r="V1431" s="249" t="s">
        <v>613</v>
      </c>
      <c r="W1431" s="22" t="s">
        <v>378</v>
      </c>
      <c r="X1431" s="217"/>
      <c r="Y1431" s="234" t="str">
        <f>TRIM(LEFT(Main_Presentation[[#This Row],[Payment Terms]],3))</f>
        <v>90</v>
      </c>
      <c r="Z1431" s="16"/>
      <c r="AA1431" s="316" cm="1">
        <f t="array" ref="AA1431">Settlement(Main_Presentation[[#This Row],[Bank]],Main_Presentation[[#This Row],[ Invoice Amt (SAR)]],Main_Presentation[[#This Row],[Date Recd]],Main_Presentation[[#This Row],[Due Date]],Main_Presentation[[#This Row],[Days]])</f>
        <v>1437.5</v>
      </c>
      <c r="AB1431" s="16"/>
    </row>
    <row r="1432" spans="1:28" ht="15.75" hidden="1" customHeight="1" x14ac:dyDescent="0.25">
      <c r="A1432" s="226" t="s">
        <v>3146</v>
      </c>
      <c r="B1432" s="227">
        <v>46072</v>
      </c>
      <c r="C1432" s="243">
        <v>4</v>
      </c>
      <c r="D1432" s="228" t="str">
        <f>VLOOKUP(Main_Presentation[[#This Row],[LC Number]],Main_Issuance[],3,0)</f>
        <v>Essam Zahran - Signal Control</v>
      </c>
      <c r="E1432" s="217" t="s">
        <v>856</v>
      </c>
      <c r="F1432" s="244" t="str">
        <f>VLOOKUP(Main_Presentation[[#This Row],[LC Number]],Main_Issuance[],5,0)</f>
        <v>Alinma</v>
      </c>
      <c r="G1432" s="244" t="str">
        <f>VLOOKUP(Main_Presentation[[#This Row],[LC Number]],Main_Issuance[],6,0)</f>
        <v>KSP</v>
      </c>
      <c r="H1432" s="244" t="str">
        <f>VLOOKUP(Main_Presentation[[#This Row],[LC Number]],Main_Issuance[],17,0)</f>
        <v>Credit</v>
      </c>
      <c r="I1432" s="244" t="str">
        <f>VLOOKUP(Main_Presentation[[#This Row],[LC Number]],Main_Issuance[],7,0)</f>
        <v>SIEMENS Limited Company</v>
      </c>
      <c r="J1432" s="244" t="str">
        <f>VLOOKUP(Main_Presentation[[#This Row],[LC Number]],Main_Issuance[],8,0)</f>
        <v>Signal Control</v>
      </c>
      <c r="K1432" s="244" t="str">
        <f>VLOOKUP(Main_Presentation[[#This Row],[LC Number]],Main_Issuance[],9,0)</f>
        <v>KSP</v>
      </c>
      <c r="L1432" s="244">
        <f>VLOOKUP(Main_Presentation[[#This Row],[LC Number]],Main_Issuance[],10,0)</f>
        <v>1020055</v>
      </c>
      <c r="M1432" s="244" t="str">
        <f>VLOOKUP(Main_Presentation[[#This Row],[LC Number]],Main_Issuance[],11,0)</f>
        <v>SAR</v>
      </c>
      <c r="N1432" s="245">
        <f>VLOOKUP(Main_Presentation[[#This Row],[LC Number]],Main_Issuance[],12,0)</f>
        <v>7259198.5</v>
      </c>
      <c r="O1432" s="217" t="s">
        <v>20</v>
      </c>
      <c r="P1432" s="217" t="s">
        <v>857</v>
      </c>
      <c r="Q1432" s="218">
        <v>251618.06</v>
      </c>
      <c r="R1432" s="218">
        <v>1</v>
      </c>
      <c r="S1432" s="218">
        <f>Main_Presentation[[#This Row],[Invoice Amt (FCY)]]*Main_Presentation[[#This Row],[Rate]]</f>
        <v>251618.06</v>
      </c>
      <c r="T1432" s="227">
        <v>46105</v>
      </c>
      <c r="U1432" s="243" t="str">
        <f>VLOOKUP(Main_Presentation[[#This Row],[LC Number]],Main_Issuance[],18,0)</f>
        <v>90 Days from Invoice Date</v>
      </c>
      <c r="V1432" s="249" t="s">
        <v>613</v>
      </c>
      <c r="W1432" s="229" t="s">
        <v>378</v>
      </c>
      <c r="X1432" s="217"/>
      <c r="Y1432" s="399" t="str">
        <f>TRIM(LEFT(Main_Presentation[[#This Row],[Payment Terms]],3))</f>
        <v>90</v>
      </c>
      <c r="Z1432" s="217"/>
      <c r="AA1432" s="316" cm="1">
        <f t="array" ref="AA1432">Settlement(Main_Presentation[[#This Row],[Bank]],Main_Presentation[[#This Row],[ Invoice Amt (SAR)]],Main_Presentation[[#This Row],[Date Recd]],Main_Presentation[[#This Row],[Due Date]],Main_Presentation[[#This Row],[Days]])</f>
        <v>1437.5</v>
      </c>
      <c r="AB1432" s="217"/>
    </row>
    <row r="1433" spans="1:28" ht="15.75" hidden="1" customHeight="1" x14ac:dyDescent="0.25">
      <c r="A1433" s="226" t="s">
        <v>306</v>
      </c>
      <c r="B1433" s="227">
        <v>46062</v>
      </c>
      <c r="C1433" s="243">
        <v>126</v>
      </c>
      <c r="D1433" s="228" t="str">
        <f>VLOOKUP(Main_Presentation[[#This Row],[LC Number]],Main_Issuance[],3,0)</f>
        <v>Dipu Sir</v>
      </c>
      <c r="E1433" s="217" t="s">
        <v>858</v>
      </c>
      <c r="F1433" s="244" t="str">
        <f>VLOOKUP(Main_Presentation[[#This Row],[LC Number]],Main_Issuance[],5,0)</f>
        <v>Riyad</v>
      </c>
      <c r="G1433" s="244" t="str">
        <f>VLOOKUP(Main_Presentation[[#This Row],[LC Number]],Main_Issuance[],6,0)</f>
        <v>Cash</v>
      </c>
      <c r="H1433" s="244" t="str">
        <f>VLOOKUP(Main_Presentation[[#This Row],[LC Number]],Main_Issuance[],17,0)</f>
        <v>Cash</v>
      </c>
      <c r="I1433" s="244" t="str">
        <f>VLOOKUP(Main_Presentation[[#This Row],[LC Number]],Main_Issuance[],7,0)</f>
        <v>ATELIER HOSPITALITY SRL</v>
      </c>
      <c r="J1433" s="244" t="str">
        <f>VLOOKUP(Main_Presentation[[#This Row],[LC Number]],Main_Issuance[],8,0)</f>
        <v>MBL</v>
      </c>
      <c r="K1433" s="244" t="str">
        <f>VLOOKUP(Main_Presentation[[#This Row],[LC Number]],Main_Issuance[],9,0)</f>
        <v>L01-YAMMAMA</v>
      </c>
      <c r="L1433" s="244">
        <f>VLOOKUP(Main_Presentation[[#This Row],[LC Number]],Main_Issuance[],10,0)</f>
        <v>1020015</v>
      </c>
      <c r="M1433" s="244" t="str">
        <f>VLOOKUP(Main_Presentation[[#This Row],[LC Number]],Main_Issuance[],11,0)</f>
        <v>EUR</v>
      </c>
      <c r="N1433" s="245">
        <f>VLOOKUP(Main_Presentation[[#This Row],[LC Number]],Main_Issuance[],12,0)</f>
        <v>50762045.400000006</v>
      </c>
      <c r="O1433" s="217" t="s">
        <v>20</v>
      </c>
      <c r="P1433" s="217" t="s">
        <v>857</v>
      </c>
      <c r="Q1433" s="218">
        <v>18210.38</v>
      </c>
      <c r="R1433" s="18">
        <v>4.5700921750359704</v>
      </c>
      <c r="S1433" s="218">
        <f>Main_Presentation[[#This Row],[Invoice Amt (FCY)]]*Main_Presentation[[#This Row],[Rate]]</f>
        <v>83223.115142431547</v>
      </c>
      <c r="T1433" s="227">
        <v>46070</v>
      </c>
      <c r="U1433" s="243" t="str">
        <f>VLOOKUP(Main_Presentation[[#This Row],[LC Number]],Main_Issuance[],18,0)</f>
        <v>30 days from the date of comm. inv.</v>
      </c>
      <c r="V1433" s="17" t="s">
        <v>213</v>
      </c>
      <c r="W1433" s="229" t="s">
        <v>857</v>
      </c>
      <c r="X1433" s="217"/>
      <c r="Y1433" s="399" t="str">
        <f>TRIM(LEFT(Main_Presentation[[#This Row],[Payment Terms]],3))</f>
        <v>30</v>
      </c>
      <c r="Z1433" s="217"/>
      <c r="AA1433" s="316" cm="1">
        <f t="array" ref="AA1433">Settlement(Main_Presentation[[#This Row],[Bank]],Main_Presentation[[#This Row],[ Invoice Amt (SAR)]],Main_Presentation[[#This Row],[Date Recd]],Main_Presentation[[#This Row],[Due Date]],Main_Presentation[[#This Row],[Days]])</f>
        <v>230</v>
      </c>
      <c r="AB1433" s="217"/>
    </row>
    <row r="1434" spans="1:28" ht="15.75" hidden="1" x14ac:dyDescent="0.25">
      <c r="A1434" s="253" t="s">
        <v>4545</v>
      </c>
      <c r="B1434" s="227">
        <v>46078</v>
      </c>
      <c r="C1434" s="243">
        <v>1</v>
      </c>
      <c r="D1434" s="228" t="str">
        <f>VLOOKUP(Main_Presentation[[#This Row],[LC Number]],Main_Issuance[],3,0)</f>
        <v>Nader Ageeb</v>
      </c>
      <c r="E1434" s="217" t="s">
        <v>856</v>
      </c>
      <c r="F1434" s="244" t="str">
        <f>VLOOKUP(Main_Presentation[[#This Row],[LC Number]],Main_Issuance[],5,0)</f>
        <v>NBK</v>
      </c>
      <c r="G1434" s="244" t="str">
        <f>VLOOKUP(Main_Presentation[[#This Row],[LC Number]],Main_Issuance[],6,0)</f>
        <v>Lagoon</v>
      </c>
      <c r="H1434" s="244" t="str">
        <f>VLOOKUP(Main_Presentation[[#This Row],[LC Number]],Main_Issuance[],17,0)</f>
        <v>Credit</v>
      </c>
      <c r="I1434" s="244" t="str">
        <f>VLOOKUP(Main_Presentation[[#This Row],[LC Number]],Main_Issuance[],7,0)</f>
        <v>Al Arabia for Construction &amp; Building Co.</v>
      </c>
      <c r="J1434" s="244" t="str">
        <f>VLOOKUP(Main_Presentation[[#This Row],[LC Number]],Main_Issuance[],8,0)</f>
        <v>MBL</v>
      </c>
      <c r="K1434" s="244" t="str">
        <f>VLOOKUP(Main_Presentation[[#This Row],[LC Number]],Main_Issuance[],9,0)</f>
        <v>Lagoon</v>
      </c>
      <c r="L1434" s="244">
        <f>VLOOKUP(Main_Presentation[[#This Row],[LC Number]],Main_Issuance[],10,0)</f>
        <v>1020108</v>
      </c>
      <c r="M1434" s="244" t="str">
        <f>VLOOKUP(Main_Presentation[[#This Row],[LC Number]],Main_Issuance[],11,0)</f>
        <v>SAR</v>
      </c>
      <c r="N1434" s="245">
        <f>VLOOKUP(Main_Presentation[[#This Row],[LC Number]],Main_Issuance[],12,0)</f>
        <v>11573945</v>
      </c>
      <c r="O1434" s="217" t="s">
        <v>20</v>
      </c>
      <c r="P1434" s="217" t="s">
        <v>378</v>
      </c>
      <c r="Q1434" s="218">
        <v>1164996</v>
      </c>
      <c r="R1434" s="218">
        <v>1</v>
      </c>
      <c r="S1434" s="218">
        <f>Main_Presentation[[#This Row],[Invoice Amt (FCY)]]*Main_Presentation[[#This Row],[Rate]]</f>
        <v>1164996</v>
      </c>
      <c r="T1434" s="227">
        <v>46090</v>
      </c>
      <c r="U1434" s="243" t="str">
        <f>VLOOKUP(Main_Presentation[[#This Row],[LC Number]],Main_Issuance[],18,0)</f>
        <v>60 Days from Invoice Date</v>
      </c>
      <c r="V1434" s="233" t="s">
        <v>407</v>
      </c>
      <c r="W1434" s="229" t="s">
        <v>378</v>
      </c>
      <c r="X1434" s="217"/>
      <c r="Y1434" s="399" t="str">
        <f>TRIM(LEFT(Main_Presentation[[#This Row],[Payment Terms]],3))</f>
        <v>60</v>
      </c>
      <c r="Z1434" s="217"/>
      <c r="AA1434" s="316" cm="1">
        <f t="array" ref="AA1434">Settlement(Main_Presentation[[#This Row],[Bank]],Main_Presentation[[#This Row],[ Invoice Amt (SAR)]],Main_Presentation[[#This Row],[Date Recd]],Main_Presentation[[#This Row],[Due Date]],Main_Presentation[[#This Row],[Days]])</f>
        <v>3636.3</v>
      </c>
      <c r="AB1434" s="217"/>
    </row>
    <row r="1435" spans="1:28" ht="15.75" hidden="1" x14ac:dyDescent="0.25">
      <c r="A1435" s="20" t="s">
        <v>3894</v>
      </c>
      <c r="B1435" s="15">
        <v>46078</v>
      </c>
      <c r="C1435" s="26">
        <v>1</v>
      </c>
      <c r="D1435" s="55" t="str">
        <f>VLOOKUP(Main_Presentation[[#This Row],[LC Number]],Main_Issuance[],3,0)</f>
        <v>Hassan Taleb</v>
      </c>
      <c r="E1435" s="16" t="s">
        <v>856</v>
      </c>
      <c r="F1435" s="17" t="str">
        <f>VLOOKUP(Main_Presentation[[#This Row],[LC Number]],Main_Issuance[],5,0)</f>
        <v>SAB</v>
      </c>
      <c r="G1435" s="17" t="str">
        <f>VLOOKUP(Main_Presentation[[#This Row],[LC Number]],Main_Issuance[],6,0)</f>
        <v>MP1</v>
      </c>
      <c r="H1435" s="17" t="str">
        <f>VLOOKUP(Main_Presentation[[#This Row],[LC Number]],Main_Issuance[],17,0)</f>
        <v>Credit</v>
      </c>
      <c r="I1435" s="17" t="str">
        <f>VLOOKUP(Main_Presentation[[#This Row],[LC Number]],Main_Issuance[],7,0)</f>
        <v>Al Maymanah for Contracting Co. Ltd.</v>
      </c>
      <c r="J1435" s="17" t="str">
        <f>VLOOKUP(Main_Presentation[[#This Row],[LC Number]],Main_Issuance[],8,0)</f>
        <v>FIRST FIX</v>
      </c>
      <c r="K1435" s="17" t="str">
        <f>VLOOKUP(Main_Presentation[[#This Row],[LC Number]],Main_Issuance[],9,0)</f>
        <v>MP1</v>
      </c>
      <c r="L1435" s="17">
        <f>VLOOKUP(Main_Presentation[[#This Row],[LC Number]],Main_Issuance[],10,0)</f>
        <v>1020088</v>
      </c>
      <c r="M1435" s="17" t="str">
        <f>VLOOKUP(Main_Presentation[[#This Row],[LC Number]],Main_Issuance[],11,0)</f>
        <v>SAR</v>
      </c>
      <c r="N1435" s="84">
        <f>VLOOKUP(Main_Presentation[[#This Row],[LC Number]],Main_Issuance[],12,0)</f>
        <v>2000000</v>
      </c>
      <c r="O1435" s="16" t="s">
        <v>20</v>
      </c>
      <c r="P1435" s="16" t="s">
        <v>857</v>
      </c>
      <c r="Q1435" s="18">
        <v>1597500</v>
      </c>
      <c r="R1435" s="18">
        <v>1</v>
      </c>
      <c r="S1435" s="18">
        <f>Main_Presentation[[#This Row],[Invoice Amt (FCY)]]*Main_Presentation[[#This Row],[Rate]]</f>
        <v>1597500</v>
      </c>
      <c r="T1435" s="15">
        <v>46153</v>
      </c>
      <c r="U1435" s="26" t="str">
        <f>VLOOKUP(Main_Presentation[[#This Row],[LC Number]],Main_Issuance[],18,0)</f>
        <v>90 Days from Applicant representative sign on Invoice</v>
      </c>
      <c r="V1435" s="249" t="s">
        <v>710</v>
      </c>
      <c r="W1435" s="22" t="s">
        <v>857</v>
      </c>
      <c r="X1435" s="16"/>
      <c r="Y1435" s="234" t="str">
        <f>TRIM(LEFT(Main_Presentation[[#This Row],[Payment Terms]],3))</f>
        <v>90</v>
      </c>
      <c r="Z1435" s="16"/>
      <c r="AA1435" s="316" cm="1">
        <f t="array" ref="AA1435">Settlement(Main_Presentation[[#This Row],[Bank]],Main_Presentation[[#This Row],[ Invoice Amt (SAR)]],Main_Presentation[[#This Row],[Date Recd]],Main_Presentation[[#This Row],[Due Date]],Main_Presentation[[#This Row],[Days]])</f>
        <v>6889.65</v>
      </c>
      <c r="AB1435" s="16"/>
    </row>
    <row r="1436" spans="1:28" ht="15.75" hidden="1" x14ac:dyDescent="0.25">
      <c r="A1436" s="20" t="s">
        <v>3899</v>
      </c>
      <c r="B1436" s="15">
        <v>46086</v>
      </c>
      <c r="C1436" s="26">
        <v>1</v>
      </c>
      <c r="D1436" s="55" t="str">
        <f>VLOOKUP(Main_Presentation[[#This Row],[LC Number]],Main_Issuance[],3,0)</f>
        <v>Hassan Taleb</v>
      </c>
      <c r="E1436" s="16" t="s">
        <v>856</v>
      </c>
      <c r="F1436" s="17" t="str">
        <f>VLOOKUP(Main_Presentation[[#This Row],[LC Number]],Main_Issuance[],5,0)</f>
        <v>SAB</v>
      </c>
      <c r="G1436" s="17" t="str">
        <f>VLOOKUP(Main_Presentation[[#This Row],[LC Number]],Main_Issuance[],6,0)</f>
        <v>MP1</v>
      </c>
      <c r="H1436" s="17" t="str">
        <f>VLOOKUP(Main_Presentation[[#This Row],[LC Number]],Main_Issuance[],17,0)</f>
        <v>Credit</v>
      </c>
      <c r="I1436" s="17" t="str">
        <f>VLOOKUP(Main_Presentation[[#This Row],[LC Number]],Main_Issuance[],7,0)</f>
        <v>IDEAL CALIBER COMPANY</v>
      </c>
      <c r="J1436" s="17" t="str">
        <f>VLOOKUP(Main_Presentation[[#This Row],[LC Number]],Main_Issuance[],8,0)</f>
        <v>FIRST FIX</v>
      </c>
      <c r="K1436" s="17" t="str">
        <f>VLOOKUP(Main_Presentation[[#This Row],[LC Number]],Main_Issuance[],9,0)</f>
        <v>MP1</v>
      </c>
      <c r="L1436" s="17">
        <f>VLOOKUP(Main_Presentation[[#This Row],[LC Number]],Main_Issuance[],10,0)</f>
        <v>1020088</v>
      </c>
      <c r="M1436" s="17" t="str">
        <f>VLOOKUP(Main_Presentation[[#This Row],[LC Number]],Main_Issuance[],11,0)</f>
        <v>SAR</v>
      </c>
      <c r="N1436" s="84">
        <f>VLOOKUP(Main_Presentation[[#This Row],[LC Number]],Main_Issuance[],12,0)</f>
        <v>500000</v>
      </c>
      <c r="O1436" s="16" t="s">
        <v>20</v>
      </c>
      <c r="P1436" s="16" t="s">
        <v>857</v>
      </c>
      <c r="Q1436" s="18">
        <v>500000</v>
      </c>
      <c r="R1436" s="18">
        <v>1</v>
      </c>
      <c r="S1436" s="18">
        <f>Main_Presentation[[#This Row],[Invoice Amt (FCY)]]*Main_Presentation[[#This Row],[Rate]]</f>
        <v>500000</v>
      </c>
      <c r="T1436" s="15">
        <v>46153</v>
      </c>
      <c r="U1436" s="26" t="str">
        <f>VLOOKUP(Main_Presentation[[#This Row],[LC Number]],Main_Issuance[],18,0)</f>
        <v>90 Days from Applicant representative sign on Invoice</v>
      </c>
      <c r="V1436" s="249" t="s">
        <v>5259</v>
      </c>
      <c r="W1436" s="22" t="s">
        <v>378</v>
      </c>
      <c r="X1436" s="16"/>
      <c r="Y1436" s="234" t="str">
        <f>TRIM(LEFT(Main_Presentation[[#This Row],[Payment Terms]],3))</f>
        <v>90</v>
      </c>
      <c r="Z1436" s="16"/>
      <c r="AA1436" s="316" cm="1">
        <f t="array" ref="AA1436">Settlement(Main_Presentation[[#This Row],[Bank]],Main_Presentation[[#This Row],[ Invoice Amt (SAR)]],Main_Presentation[[#This Row],[Date Recd]],Main_Presentation[[#This Row],[Due Date]],Main_Presentation[[#This Row],[Days]])</f>
        <v>2156.25</v>
      </c>
      <c r="AB1436" s="16"/>
    </row>
    <row r="1437" spans="1:28" ht="15.75" hidden="1" x14ac:dyDescent="0.25">
      <c r="A1437" s="20" t="s">
        <v>3901</v>
      </c>
      <c r="B1437" s="15">
        <v>46089</v>
      </c>
      <c r="C1437" s="26">
        <v>1</v>
      </c>
      <c r="D1437" s="55" t="str">
        <f>VLOOKUP(Main_Presentation[[#This Row],[LC Number]],Main_Issuance[],3,0)</f>
        <v>Hassan Taleb</v>
      </c>
      <c r="E1437" s="16" t="s">
        <v>856</v>
      </c>
      <c r="F1437" s="17" t="str">
        <f>VLOOKUP(Main_Presentation[[#This Row],[LC Number]],Main_Issuance[],5,0)</f>
        <v>SAB</v>
      </c>
      <c r="G1437" s="17" t="str">
        <f>VLOOKUP(Main_Presentation[[#This Row],[LC Number]],Main_Issuance[],6,0)</f>
        <v>MP1</v>
      </c>
      <c r="H1437" s="17" t="str">
        <f>VLOOKUP(Main_Presentation[[#This Row],[LC Number]],Main_Issuance[],17,0)</f>
        <v>Credit</v>
      </c>
      <c r="I1437" s="17" t="str">
        <f>VLOOKUP(Main_Presentation[[#This Row],[LC Number]],Main_Issuance[],7,0)</f>
        <v>Afaq Al Malaz Trading Co. LTD.</v>
      </c>
      <c r="J1437" s="17" t="str">
        <f>VLOOKUP(Main_Presentation[[#This Row],[LC Number]],Main_Issuance[],8,0)</f>
        <v>FIRST FIX</v>
      </c>
      <c r="K1437" s="17" t="str">
        <f>VLOOKUP(Main_Presentation[[#This Row],[LC Number]],Main_Issuance[],9,0)</f>
        <v>MP1</v>
      </c>
      <c r="L1437" s="17">
        <f>VLOOKUP(Main_Presentation[[#This Row],[LC Number]],Main_Issuance[],10,0)</f>
        <v>1020088</v>
      </c>
      <c r="M1437" s="17" t="str">
        <f>VLOOKUP(Main_Presentation[[#This Row],[LC Number]],Main_Issuance[],11,0)</f>
        <v>SAR</v>
      </c>
      <c r="N1437" s="84">
        <f>VLOOKUP(Main_Presentation[[#This Row],[LC Number]],Main_Issuance[],12,0)</f>
        <v>500000</v>
      </c>
      <c r="O1437" s="16" t="s">
        <v>20</v>
      </c>
      <c r="P1437" s="16" t="s">
        <v>857</v>
      </c>
      <c r="Q1437" s="18">
        <v>500000</v>
      </c>
      <c r="R1437" s="18">
        <v>1</v>
      </c>
      <c r="S1437" s="18">
        <f>Main_Presentation[[#This Row],[Invoice Amt (FCY)]]*Main_Presentation[[#This Row],[Rate]]</f>
        <v>500000</v>
      </c>
      <c r="T1437" s="15">
        <v>46153</v>
      </c>
      <c r="U1437" s="26" t="str">
        <f>VLOOKUP(Main_Presentation[[#This Row],[LC Number]],Main_Issuance[],18,0)</f>
        <v>90 Days from Applicant representative sign on Invoice</v>
      </c>
      <c r="V1437" s="249" t="s">
        <v>710</v>
      </c>
      <c r="W1437" s="22" t="s">
        <v>857</v>
      </c>
      <c r="X1437" s="16"/>
      <c r="Y1437" s="234" t="str">
        <f>TRIM(LEFT(Main_Presentation[[#This Row],[Payment Terms]],3))</f>
        <v>90</v>
      </c>
      <c r="Z1437" s="16"/>
      <c r="AA1437" s="316" cm="1">
        <f t="array" ref="AA1437">Settlement(Main_Presentation[[#This Row],[Bank]],Main_Presentation[[#This Row],[ Invoice Amt (SAR)]],Main_Presentation[[#This Row],[Date Recd]],Main_Presentation[[#This Row],[Due Date]],Main_Presentation[[#This Row],[Days]])</f>
        <v>2156.25</v>
      </c>
      <c r="AB1437" s="16"/>
    </row>
    <row r="1438" spans="1:28" ht="15.75" hidden="1" x14ac:dyDescent="0.25">
      <c r="A1438" s="20" t="s">
        <v>3897</v>
      </c>
      <c r="B1438" s="15">
        <v>46071</v>
      </c>
      <c r="C1438" s="26">
        <v>1</v>
      </c>
      <c r="D1438" s="55" t="str">
        <f>VLOOKUP(Main_Presentation[[#This Row],[LC Number]],Main_Issuance[],3,0)</f>
        <v>Hassan Taleb</v>
      </c>
      <c r="E1438" s="16" t="s">
        <v>856</v>
      </c>
      <c r="F1438" s="17" t="str">
        <f>VLOOKUP(Main_Presentation[[#This Row],[LC Number]],Main_Issuance[],5,0)</f>
        <v>SAB</v>
      </c>
      <c r="G1438" s="17" t="str">
        <f>VLOOKUP(Main_Presentation[[#This Row],[LC Number]],Main_Issuance[],6,0)</f>
        <v>MP1</v>
      </c>
      <c r="H1438" s="17" t="str">
        <f>VLOOKUP(Main_Presentation[[#This Row],[LC Number]],Main_Issuance[],17,0)</f>
        <v>Credit</v>
      </c>
      <c r="I1438" s="17" t="str">
        <f>VLOOKUP(Main_Presentation[[#This Row],[LC Number]],Main_Issuance[],7,0)</f>
        <v>Electric House Trading Company L.L.C.</v>
      </c>
      <c r="J1438" s="17" t="str">
        <f>VLOOKUP(Main_Presentation[[#This Row],[LC Number]],Main_Issuance[],8,0)</f>
        <v>FIRST FIX</v>
      </c>
      <c r="K1438" s="17" t="str">
        <f>VLOOKUP(Main_Presentation[[#This Row],[LC Number]],Main_Issuance[],9,0)</f>
        <v>MP1</v>
      </c>
      <c r="L1438" s="17">
        <f>VLOOKUP(Main_Presentation[[#This Row],[LC Number]],Main_Issuance[],10,0)</f>
        <v>1020088</v>
      </c>
      <c r="M1438" s="17" t="str">
        <f>VLOOKUP(Main_Presentation[[#This Row],[LC Number]],Main_Issuance[],11,0)</f>
        <v>SAR</v>
      </c>
      <c r="N1438" s="84">
        <f>VLOOKUP(Main_Presentation[[#This Row],[LC Number]],Main_Issuance[],12,0)</f>
        <v>1000000</v>
      </c>
      <c r="O1438" s="16" t="s">
        <v>20</v>
      </c>
      <c r="P1438" s="16" t="s">
        <v>857</v>
      </c>
      <c r="Q1438" s="18">
        <v>1000000</v>
      </c>
      <c r="R1438" s="18">
        <v>1</v>
      </c>
      <c r="S1438" s="18">
        <f>Main_Presentation[[#This Row],[Invoice Amt (FCY)]]*Main_Presentation[[#This Row],[Rate]]</f>
        <v>1000000</v>
      </c>
      <c r="T1438" s="15">
        <v>46153</v>
      </c>
      <c r="U1438" s="26" t="str">
        <f>VLOOKUP(Main_Presentation[[#This Row],[LC Number]],Main_Issuance[],18,0)</f>
        <v>90 Days from Applicant representative sign on Invoice</v>
      </c>
      <c r="V1438" s="249" t="s">
        <v>5257</v>
      </c>
      <c r="W1438" s="22" t="s">
        <v>378</v>
      </c>
      <c r="X1438" s="16"/>
      <c r="Y1438" s="234" t="str">
        <f>TRIM(LEFT(Main_Presentation[[#This Row],[Payment Terms]],3))</f>
        <v>90</v>
      </c>
      <c r="Z1438" s="16"/>
      <c r="AA1438" s="316" cm="1">
        <f t="array" ref="AA1438">Settlement(Main_Presentation[[#This Row],[Bank]],Main_Presentation[[#This Row],[ Invoice Amt (SAR)]],Main_Presentation[[#This Row],[Date Recd]],Main_Presentation[[#This Row],[Due Date]],Main_Presentation[[#This Row],[Days]])</f>
        <v>4312.5</v>
      </c>
      <c r="AB1438" s="16"/>
    </row>
    <row r="1439" spans="1:28" ht="15.75" hidden="1" x14ac:dyDescent="0.25">
      <c r="A1439" s="20" t="s">
        <v>3896</v>
      </c>
      <c r="B1439" s="15">
        <v>46084</v>
      </c>
      <c r="C1439" s="26">
        <v>1</v>
      </c>
      <c r="D1439" s="55" t="str">
        <f>VLOOKUP(Main_Presentation[[#This Row],[LC Number]],Main_Issuance[],3,0)</f>
        <v>Hassan Taleb</v>
      </c>
      <c r="E1439" s="16" t="s">
        <v>858</v>
      </c>
      <c r="F1439" s="17" t="str">
        <f>VLOOKUP(Main_Presentation[[#This Row],[LC Number]],Main_Issuance[],5,0)</f>
        <v>SAB</v>
      </c>
      <c r="G1439" s="17" t="str">
        <f>VLOOKUP(Main_Presentation[[#This Row],[LC Number]],Main_Issuance[],6,0)</f>
        <v>MP1</v>
      </c>
      <c r="H1439" s="17" t="str">
        <f>VLOOKUP(Main_Presentation[[#This Row],[LC Number]],Main_Issuance[],17,0)</f>
        <v>Credit</v>
      </c>
      <c r="I1439" s="17" t="str">
        <f>VLOOKUP(Main_Presentation[[#This Row],[LC Number]],Main_Issuance[],7,0)</f>
        <v>SAUDI ELECTRIC SUPPLY COMPANY</v>
      </c>
      <c r="J1439" s="17" t="str">
        <f>VLOOKUP(Main_Presentation[[#This Row],[LC Number]],Main_Issuance[],8,0)</f>
        <v>FIRST FIX</v>
      </c>
      <c r="K1439" s="17" t="str">
        <f>VLOOKUP(Main_Presentation[[#This Row],[LC Number]],Main_Issuance[],9,0)</f>
        <v>MP1</v>
      </c>
      <c r="L1439" s="17">
        <f>VLOOKUP(Main_Presentation[[#This Row],[LC Number]],Main_Issuance[],10,0)</f>
        <v>1020088</v>
      </c>
      <c r="M1439" s="17" t="str">
        <f>VLOOKUP(Main_Presentation[[#This Row],[LC Number]],Main_Issuance[],11,0)</f>
        <v>SAR</v>
      </c>
      <c r="N1439" s="84">
        <f>VLOOKUP(Main_Presentation[[#This Row],[LC Number]],Main_Issuance[],12,0)</f>
        <v>1000000</v>
      </c>
      <c r="O1439" s="16" t="s">
        <v>20</v>
      </c>
      <c r="P1439" s="16" t="s">
        <v>857</v>
      </c>
      <c r="Q1439" s="18">
        <v>1000000</v>
      </c>
      <c r="R1439" s="18">
        <v>1</v>
      </c>
      <c r="S1439" s="18">
        <f>Main_Presentation[[#This Row],[Invoice Amt (FCY)]]*Main_Presentation[[#This Row],[Rate]]</f>
        <v>1000000</v>
      </c>
      <c r="T1439" s="15">
        <v>46159</v>
      </c>
      <c r="U1439" s="26" t="str">
        <f>VLOOKUP(Main_Presentation[[#This Row],[LC Number]],Main_Issuance[],18,0)</f>
        <v>90 Days from Applicant representative sign on Invoice</v>
      </c>
      <c r="V1439" s="249" t="s">
        <v>367</v>
      </c>
      <c r="W1439" s="22" t="s">
        <v>378</v>
      </c>
      <c r="X1439" s="16"/>
      <c r="Y1439" s="234" t="str">
        <f>TRIM(LEFT(Main_Presentation[[#This Row],[Payment Terms]],3))</f>
        <v>90</v>
      </c>
      <c r="Z1439" s="16"/>
      <c r="AA1439" s="316" cm="1">
        <f t="array" ref="AA1439">Settlement(Main_Presentation[[#This Row],[Bank]],Main_Presentation[[#This Row],[ Invoice Amt (SAR)]],Main_Presentation[[#This Row],[Date Recd]],Main_Presentation[[#This Row],[Due Date]],Main_Presentation[[#This Row],[Days]])</f>
        <v>4312.5</v>
      </c>
      <c r="AB1439" s="16"/>
    </row>
    <row r="1440" spans="1:28" ht="15.75" hidden="1" x14ac:dyDescent="0.25">
      <c r="A1440" s="20" t="s">
        <v>3326</v>
      </c>
      <c r="B1440" s="15">
        <v>46086</v>
      </c>
      <c r="C1440" s="26">
        <v>2</v>
      </c>
      <c r="D1440" s="55" t="str">
        <f>VLOOKUP(Main_Presentation[[#This Row],[LC Number]],Main_Issuance[],3,0)</f>
        <v>Luis Puente</v>
      </c>
      <c r="E1440" s="16" t="s">
        <v>858</v>
      </c>
      <c r="F1440" s="17" t="str">
        <f>VLOOKUP(Main_Presentation[[#This Row],[LC Number]],Main_Issuance[],5,0)</f>
        <v>Riyad</v>
      </c>
      <c r="G1440" s="17" t="str">
        <f>VLOOKUP(Main_Presentation[[#This Row],[LC Number]],Main_Issuance[],6,0)</f>
        <v>Oceanarium</v>
      </c>
      <c r="H1440" s="17" t="str">
        <f>VLOOKUP(Main_Presentation[[#This Row],[LC Number]],Main_Issuance[],17,0)</f>
        <v>Credit</v>
      </c>
      <c r="I1440" s="17" t="str">
        <f>VLOOKUP(Main_Presentation[[#This Row],[LC Number]],Main_Issuance[],7,0)</f>
        <v>AFKAR ALTATHBET TRADING COMPANY</v>
      </c>
      <c r="J1440" s="17" t="str">
        <f>VLOOKUP(Main_Presentation[[#This Row],[LC Number]],Main_Issuance[],8,0)</f>
        <v>FIRST FIX</v>
      </c>
      <c r="K1440" s="17" t="str">
        <f>VLOOKUP(Main_Presentation[[#This Row],[LC Number]],Main_Issuance[],9,0)</f>
        <v>Oceanarium</v>
      </c>
      <c r="L1440" s="17">
        <f>VLOOKUP(Main_Presentation[[#This Row],[LC Number]],Main_Issuance[],10,0)</f>
        <v>1020096</v>
      </c>
      <c r="M1440" s="17" t="str">
        <f>VLOOKUP(Main_Presentation[[#This Row],[LC Number]],Main_Issuance[],11,0)</f>
        <v>SAR</v>
      </c>
      <c r="N1440" s="84">
        <f>VLOOKUP(Main_Presentation[[#This Row],[LC Number]],Main_Issuance[],12,0)</f>
        <v>500000</v>
      </c>
      <c r="O1440" s="16" t="s">
        <v>20</v>
      </c>
      <c r="P1440" s="16" t="s">
        <v>857</v>
      </c>
      <c r="Q1440" s="18">
        <v>50916.25</v>
      </c>
      <c r="R1440" s="18">
        <v>1</v>
      </c>
      <c r="S1440" s="18">
        <f>Main_Presentation[[#This Row],[Invoice Amt (FCY)]]*Main_Presentation[[#This Row],[Rate]]</f>
        <v>50916.25</v>
      </c>
      <c r="T1440" s="15">
        <v>46146</v>
      </c>
      <c r="U1440" s="26" t="str">
        <f>VLOOKUP(Main_Presentation[[#This Row],[LC Number]],Main_Issuance[],18,0)</f>
        <v>90 Days from Appln Rep Sign on Invoice</v>
      </c>
      <c r="V1440" s="249" t="s">
        <v>483</v>
      </c>
      <c r="W1440" s="22" t="s">
        <v>857</v>
      </c>
      <c r="X1440" s="217"/>
      <c r="Y1440" s="234" t="str">
        <f>TRIM(LEFT(Main_Presentation[[#This Row],[Payment Terms]],3))</f>
        <v>90</v>
      </c>
      <c r="Z1440" s="16"/>
      <c r="AA1440" s="316" cm="1">
        <f t="array" ref="AA1440">Settlement(Main_Presentation[[#This Row],[Bank]],Main_Presentation[[#This Row],[ Invoice Amt (SAR)]],Main_Presentation[[#This Row],[Date Recd]],Main_Presentation[[#This Row],[Due Date]],Main_Presentation[[#This Row],[Days]])</f>
        <v>230</v>
      </c>
      <c r="AB1440" s="16"/>
    </row>
    <row r="1441" spans="1:28" ht="15.75" hidden="1" x14ac:dyDescent="0.25">
      <c r="A1441" s="226" t="s">
        <v>3894</v>
      </c>
      <c r="B1441" s="227">
        <v>46078</v>
      </c>
      <c r="C1441" s="243">
        <v>2</v>
      </c>
      <c r="D1441" s="228" t="str">
        <f>VLOOKUP(Main_Presentation[[#This Row],[LC Number]],Main_Issuance[],3,0)</f>
        <v>Hassan Taleb</v>
      </c>
      <c r="E1441" s="217" t="s">
        <v>856</v>
      </c>
      <c r="F1441" s="244" t="str">
        <f>VLOOKUP(Main_Presentation[[#This Row],[LC Number]],Main_Issuance[],5,0)</f>
        <v>SAB</v>
      </c>
      <c r="G1441" s="244" t="str">
        <f>VLOOKUP(Main_Presentation[[#This Row],[LC Number]],Main_Issuance[],6,0)</f>
        <v>MP1</v>
      </c>
      <c r="H1441" s="244" t="str">
        <f>VLOOKUP(Main_Presentation[[#This Row],[LC Number]],Main_Issuance[],17,0)</f>
        <v>Credit</v>
      </c>
      <c r="I1441" s="244" t="str">
        <f>VLOOKUP(Main_Presentation[[#This Row],[LC Number]],Main_Issuance[],7,0)</f>
        <v>Al Maymanah for Contracting Co. Ltd.</v>
      </c>
      <c r="J1441" s="244" t="str">
        <f>VLOOKUP(Main_Presentation[[#This Row],[LC Number]],Main_Issuance[],8,0)</f>
        <v>FIRST FIX</v>
      </c>
      <c r="K1441" s="244" t="str">
        <f>VLOOKUP(Main_Presentation[[#This Row],[LC Number]],Main_Issuance[],9,0)</f>
        <v>MP1</v>
      </c>
      <c r="L1441" s="244">
        <f>VLOOKUP(Main_Presentation[[#This Row],[LC Number]],Main_Issuance[],10,0)</f>
        <v>1020088</v>
      </c>
      <c r="M1441" s="244" t="str">
        <f>VLOOKUP(Main_Presentation[[#This Row],[LC Number]],Main_Issuance[],11,0)</f>
        <v>SAR</v>
      </c>
      <c r="N1441" s="245">
        <f>VLOOKUP(Main_Presentation[[#This Row],[LC Number]],Main_Issuance[],12,0)</f>
        <v>2000000</v>
      </c>
      <c r="O1441" s="217" t="s">
        <v>20</v>
      </c>
      <c r="P1441" s="217" t="s">
        <v>857</v>
      </c>
      <c r="Q1441" s="218">
        <v>402500</v>
      </c>
      <c r="R1441" s="218">
        <v>1</v>
      </c>
      <c r="S1441" s="218">
        <f>Main_Presentation[[#This Row],[Invoice Amt (FCY)]]*Main_Presentation[[#This Row],[Rate]]</f>
        <v>402500</v>
      </c>
      <c r="T1441" s="227">
        <v>46153</v>
      </c>
      <c r="U1441" s="243" t="str">
        <f>VLOOKUP(Main_Presentation[[#This Row],[LC Number]],Main_Issuance[],18,0)</f>
        <v>90 Days from Applicant representative sign on Invoice</v>
      </c>
      <c r="V1441" s="249" t="s">
        <v>710</v>
      </c>
      <c r="W1441" s="229" t="s">
        <v>857</v>
      </c>
      <c r="X1441" s="217"/>
      <c r="Y1441" s="399" t="str">
        <f>TRIM(LEFT(Main_Presentation[[#This Row],[Payment Terms]],3))</f>
        <v>90</v>
      </c>
      <c r="Z1441" s="217"/>
      <c r="AA1441" s="316" cm="1">
        <f t="array" ref="AA1441">Settlement(Main_Presentation[[#This Row],[Bank]],Main_Presentation[[#This Row],[ Invoice Amt (SAR)]],Main_Presentation[[#This Row],[Date Recd]],Main_Presentation[[#This Row],[Due Date]],Main_Presentation[[#This Row],[Days]])</f>
        <v>1735.35</v>
      </c>
      <c r="AB1441" s="217"/>
    </row>
    <row r="1442" spans="1:28" ht="15.75" hidden="1" x14ac:dyDescent="0.25">
      <c r="A1442" s="226" t="s">
        <v>2906</v>
      </c>
      <c r="B1442" s="227">
        <v>46063</v>
      </c>
      <c r="C1442" s="243">
        <v>1</v>
      </c>
      <c r="D1442" s="228" t="str">
        <f>VLOOKUP(Main_Presentation[[#This Row],[LC Number]],Main_Issuance[],3,0)</f>
        <v>Luis Puente - United Arab Aluminum Company</v>
      </c>
      <c r="E1442" s="217" t="s">
        <v>858</v>
      </c>
      <c r="F1442" s="244" t="str">
        <f>VLOOKUP(Main_Presentation[[#This Row],[LC Number]],Main_Issuance[],5,0)</f>
        <v>Riyad</v>
      </c>
      <c r="G1442" s="244" t="str">
        <f>VLOOKUP(Main_Presentation[[#This Row],[LC Number]],Main_Issuance[],6,0)</f>
        <v>Oceanarium</v>
      </c>
      <c r="H1442" s="244" t="str">
        <f>VLOOKUP(Main_Presentation[[#This Row],[LC Number]],Main_Issuance[],17,0)</f>
        <v>Credit</v>
      </c>
      <c r="I1442" s="244" t="str">
        <f>VLOOKUP(Main_Presentation[[#This Row],[LC Number]],Main_Issuance[],7,0)</f>
        <v>IBA MIDDLE EAST FZE</v>
      </c>
      <c r="J1442" s="244" t="str">
        <f>VLOOKUP(Main_Presentation[[#This Row],[LC Number]],Main_Issuance[],8,0)</f>
        <v>MBL/United Arab Aluminum Co</v>
      </c>
      <c r="K1442" s="244" t="str">
        <f>VLOOKUP(Main_Presentation[[#This Row],[LC Number]],Main_Issuance[],9,0)</f>
        <v>Oceanarium</v>
      </c>
      <c r="L1442" s="244">
        <f>VLOOKUP(Main_Presentation[[#This Row],[LC Number]],Main_Issuance[],10,0)</f>
        <v>1020096</v>
      </c>
      <c r="M1442" s="244" t="str">
        <f>VLOOKUP(Main_Presentation[[#This Row],[LC Number]],Main_Issuance[],11,0)</f>
        <v>USD</v>
      </c>
      <c r="N1442" s="245">
        <f>VLOOKUP(Main_Presentation[[#This Row],[LC Number]],Main_Issuance[],12,0)</f>
        <v>430873.13500000001</v>
      </c>
      <c r="O1442" s="217" t="s">
        <v>20</v>
      </c>
      <c r="P1442" s="217" t="s">
        <v>857</v>
      </c>
      <c r="Q1442" s="218">
        <v>81510.42</v>
      </c>
      <c r="R1442" s="218">
        <v>3.754</v>
      </c>
      <c r="S1442" s="218">
        <f>Main_Presentation[[#This Row],[Invoice Amt (FCY)]]*Main_Presentation[[#This Row],[Rate]]</f>
        <v>305990.11667999998</v>
      </c>
      <c r="T1442" s="227">
        <v>46138</v>
      </c>
      <c r="U1442" s="243" t="str">
        <f>VLOOKUP(Main_Presentation[[#This Row],[LC Number]],Main_Issuance[],18,0)</f>
        <v>90 Days from Shipment Date</v>
      </c>
      <c r="V1442" s="233" t="s">
        <v>483</v>
      </c>
      <c r="W1442" s="229" t="s">
        <v>857</v>
      </c>
      <c r="X1442" s="217"/>
      <c r="Y1442" s="399" t="str">
        <f>TRIM(LEFT(Main_Presentation[[#This Row],[Payment Terms]],3))</f>
        <v>90</v>
      </c>
      <c r="Z1442" s="217"/>
      <c r="AA1442" s="316" cm="1">
        <f t="array" ref="AA1442">Settlement(Main_Presentation[[#This Row],[Bank]],Main_Presentation[[#This Row],[ Invoice Amt (SAR)]],Main_Presentation[[#This Row],[Date Recd]],Main_Presentation[[#This Row],[Due Date]],Main_Presentation[[#This Row],[Days]])</f>
        <v>879.75</v>
      </c>
      <c r="AB1442" s="217"/>
    </row>
    <row r="1443" spans="1:28" ht="15.75" hidden="1" x14ac:dyDescent="0.25">
      <c r="A1443" s="226" t="s">
        <v>1934</v>
      </c>
      <c r="B1443" s="227">
        <v>46063</v>
      </c>
      <c r="C1443" s="243">
        <v>7</v>
      </c>
      <c r="D1443" s="228" t="str">
        <f>VLOOKUP(Main_Presentation[[#This Row],[LC Number]],Main_Issuance[],3,0)</f>
        <v>Luis Puente</v>
      </c>
      <c r="E1443" s="217" t="s">
        <v>856</v>
      </c>
      <c r="F1443" s="244" t="str">
        <f>VLOOKUP(Main_Presentation[[#This Row],[LC Number]],Main_Issuance[],5,0)</f>
        <v>Riyad</v>
      </c>
      <c r="G1443" s="244" t="str">
        <f>VLOOKUP(Main_Presentation[[#This Row],[LC Number]],Main_Issuance[],6,0)</f>
        <v>Oceanarium</v>
      </c>
      <c r="H1443" s="244" t="str">
        <f>VLOOKUP(Main_Presentation[[#This Row],[LC Number]],Main_Issuance[],17,0)</f>
        <v>Credit</v>
      </c>
      <c r="I1443" s="244" t="str">
        <f>VLOOKUP(Main_Presentation[[#This Row],[LC Number]],Main_Issuance[],7,0)</f>
        <v>Mat Filtrasyon Teknolojeleri A.S</v>
      </c>
      <c r="J1443" s="244" t="str">
        <f>VLOOKUP(Main_Presentation[[#This Row],[LC Number]],Main_Issuance[],8,0)</f>
        <v>MBL</v>
      </c>
      <c r="K1443" s="244" t="str">
        <f>VLOOKUP(Main_Presentation[[#This Row],[LC Number]],Main_Issuance[],9,0)</f>
        <v>Oceanarium</v>
      </c>
      <c r="L1443" s="244">
        <f>VLOOKUP(Main_Presentation[[#This Row],[LC Number]],Main_Issuance[],10,0)</f>
        <v>1020096</v>
      </c>
      <c r="M1443" s="244" t="str">
        <f>VLOOKUP(Main_Presentation[[#This Row],[LC Number]],Main_Issuance[],11,0)</f>
        <v>SAR</v>
      </c>
      <c r="N1443" s="245">
        <f>VLOOKUP(Main_Presentation[[#This Row],[LC Number]],Main_Issuance[],12,0)</f>
        <v>25907203.759999998</v>
      </c>
      <c r="O1443" s="217" t="s">
        <v>20</v>
      </c>
      <c r="P1443" s="217" t="s">
        <v>857</v>
      </c>
      <c r="Q1443" s="218">
        <f>3471444.16-4310.6</f>
        <v>3467133.56</v>
      </c>
      <c r="R1443" s="218">
        <v>1</v>
      </c>
      <c r="S1443" s="218">
        <f>Main_Presentation[[#This Row],[Invoice Amt (FCY)]]*Main_Presentation[[#This Row],[Rate]]</f>
        <v>3467133.56</v>
      </c>
      <c r="T1443" s="227">
        <v>46105</v>
      </c>
      <c r="U1443" s="243" t="str">
        <f>VLOOKUP(Main_Presentation[[#This Row],[LC Number]],Main_Issuance[],18,0)</f>
        <v>45 Days from Invoice Date</v>
      </c>
      <c r="V1443" s="233" t="s">
        <v>483</v>
      </c>
      <c r="W1443" s="229" t="s">
        <v>857</v>
      </c>
      <c r="X1443" s="217"/>
      <c r="Y1443" s="399" t="str">
        <f>TRIM(LEFT(Main_Presentation[[#This Row],[Payment Terms]],3))</f>
        <v>45</v>
      </c>
      <c r="Z1443" s="217"/>
      <c r="AA1443" s="316" cm="1">
        <f t="array" ref="AA1443">Settlement(Main_Presentation[[#This Row],[Bank]],Main_Presentation[[#This Row],[ Invoice Amt (SAR)]],Main_Presentation[[#This Row],[Date Recd]],Main_Presentation[[#This Row],[Due Date]],Main_Presentation[[#This Row],[Days]])</f>
        <v>4984.1000000000004</v>
      </c>
      <c r="AB1443" s="217"/>
    </row>
    <row r="1444" spans="1:28" ht="15.75" hidden="1" x14ac:dyDescent="0.25">
      <c r="A1444" s="226" t="s">
        <v>306</v>
      </c>
      <c r="B1444" s="227">
        <v>46063</v>
      </c>
      <c r="C1444" s="243">
        <v>127</v>
      </c>
      <c r="D1444" s="228" t="str">
        <f>VLOOKUP(Main_Presentation[[#This Row],[LC Number]],Main_Issuance[],3,0)</f>
        <v>Dipu Sir</v>
      </c>
      <c r="E1444" s="217" t="s">
        <v>858</v>
      </c>
      <c r="F1444" s="244" t="str">
        <f>VLOOKUP(Main_Presentation[[#This Row],[LC Number]],Main_Issuance[],5,0)</f>
        <v>Riyad</v>
      </c>
      <c r="G1444" s="244" t="str">
        <f>VLOOKUP(Main_Presentation[[#This Row],[LC Number]],Main_Issuance[],6,0)</f>
        <v>Cash</v>
      </c>
      <c r="H1444" s="244" t="str">
        <f>VLOOKUP(Main_Presentation[[#This Row],[LC Number]],Main_Issuance[],17,0)</f>
        <v>Cash</v>
      </c>
      <c r="I1444" s="244" t="str">
        <f>VLOOKUP(Main_Presentation[[#This Row],[LC Number]],Main_Issuance[],7,0)</f>
        <v>ATELIER HOSPITALITY SRL</v>
      </c>
      <c r="J1444" s="244" t="str">
        <f>VLOOKUP(Main_Presentation[[#This Row],[LC Number]],Main_Issuance[],8,0)</f>
        <v>MBL</v>
      </c>
      <c r="K1444" s="244" t="str">
        <f>VLOOKUP(Main_Presentation[[#This Row],[LC Number]],Main_Issuance[],9,0)</f>
        <v>L01-YAMMAMA</v>
      </c>
      <c r="L1444" s="244">
        <f>VLOOKUP(Main_Presentation[[#This Row],[LC Number]],Main_Issuance[],10,0)</f>
        <v>1020015</v>
      </c>
      <c r="M1444" s="244" t="str">
        <f>VLOOKUP(Main_Presentation[[#This Row],[LC Number]],Main_Issuance[],11,0)</f>
        <v>EUR</v>
      </c>
      <c r="N1444" s="245">
        <f>VLOOKUP(Main_Presentation[[#This Row],[LC Number]],Main_Issuance[],12,0)</f>
        <v>50762045.400000006</v>
      </c>
      <c r="O1444" s="217" t="s">
        <v>20</v>
      </c>
      <c r="P1444" s="217" t="s">
        <v>857</v>
      </c>
      <c r="Q1444" s="218">
        <v>339253.47</v>
      </c>
      <c r="R1444" s="18">
        <v>4.5700921750359704</v>
      </c>
      <c r="S1444" s="218">
        <f>Main_Presentation[[#This Row],[Invoice Amt (FCY)]]*Main_Presentation[[#This Row],[Rate]]</f>
        <v>1550419.6286008002</v>
      </c>
      <c r="T1444" s="227">
        <v>46097</v>
      </c>
      <c r="U1444" s="243" t="str">
        <f>VLOOKUP(Main_Presentation[[#This Row],[LC Number]],Main_Issuance[],18,0)</f>
        <v>30 days from the date of comm. inv.</v>
      </c>
      <c r="V1444" s="244" t="str">
        <f>VLOOKUP(Main_Presentation[[#This Row],[LC Number]],Main_Issuance[],9,0)</f>
        <v>L01-YAMMAMA</v>
      </c>
      <c r="W1444" s="229" t="s">
        <v>857</v>
      </c>
      <c r="X1444" s="217"/>
      <c r="Y1444" s="399" t="str">
        <f>TRIM(LEFT(Main_Presentation[[#This Row],[Payment Terms]],3))</f>
        <v>30</v>
      </c>
      <c r="Z1444" s="217"/>
      <c r="AA1444" s="316" cm="1">
        <f t="array" ref="AA1444">Settlement(Main_Presentation[[#This Row],[Bank]],Main_Presentation[[#This Row],[ Invoice Amt (SAR)]],Main_Presentation[[#This Row],[Date Recd]],Main_Presentation[[#This Row],[Due Date]],Main_Presentation[[#This Row],[Days]])</f>
        <v>2228.6999999999998</v>
      </c>
      <c r="AB1444" s="217"/>
    </row>
    <row r="1445" spans="1:28" ht="15.75" hidden="1" x14ac:dyDescent="0.25">
      <c r="A1445" s="226" t="s">
        <v>4054</v>
      </c>
      <c r="B1445" s="227">
        <v>46072</v>
      </c>
      <c r="C1445" s="243">
        <v>1</v>
      </c>
      <c r="D1445" s="228" t="str">
        <f>VLOOKUP(Main_Presentation[[#This Row],[LC Number]],Main_Issuance[],3,0)</f>
        <v>Hassan Taleb</v>
      </c>
      <c r="E1445" s="217" t="s">
        <v>856</v>
      </c>
      <c r="F1445" s="244" t="str">
        <f>VLOOKUP(Main_Presentation[[#This Row],[LC Number]],Main_Issuance[],5,0)</f>
        <v>Alinma</v>
      </c>
      <c r="G1445" s="244" t="str">
        <f>VLOOKUP(Main_Presentation[[#This Row],[LC Number]],Main_Issuance[],6,0)</f>
        <v>KSP</v>
      </c>
      <c r="H1445" s="244" t="str">
        <f>VLOOKUP(Main_Presentation[[#This Row],[LC Number]],Main_Issuance[],17,0)</f>
        <v>Credit</v>
      </c>
      <c r="I1445" s="244" t="str">
        <f>VLOOKUP(Main_Presentation[[#This Row],[LC Number]],Main_Issuance[],7,0)</f>
        <v>The Fundamental Installation For Electric Work Co</v>
      </c>
      <c r="J1445" s="244" t="str">
        <f>VLOOKUP(Main_Presentation[[#This Row],[LC Number]],Main_Issuance[],8,0)</f>
        <v>FIRST FIX</v>
      </c>
      <c r="K1445" s="244" t="str">
        <f>VLOOKUP(Main_Presentation[[#This Row],[LC Number]],Main_Issuance[],9,0)</f>
        <v>L01-YAMMAMA</v>
      </c>
      <c r="L1445" s="244">
        <f>VLOOKUP(Main_Presentation[[#This Row],[LC Number]],Main_Issuance[],10,0)</f>
        <v>1020015</v>
      </c>
      <c r="M1445" s="244" t="str">
        <f>VLOOKUP(Main_Presentation[[#This Row],[LC Number]],Main_Issuance[],11,0)</f>
        <v>SAR</v>
      </c>
      <c r="N1445" s="245">
        <f>VLOOKUP(Main_Presentation[[#This Row],[LC Number]],Main_Issuance[],12,0)</f>
        <v>12000000</v>
      </c>
      <c r="O1445" s="217" t="s">
        <v>20</v>
      </c>
      <c r="P1445" s="217" t="s">
        <v>857</v>
      </c>
      <c r="Q1445" s="218">
        <v>12000000</v>
      </c>
      <c r="R1445" s="218">
        <v>1</v>
      </c>
      <c r="S1445" s="218">
        <f>Main_Presentation[[#This Row],[Invoice Amt (FCY)]]*Main_Presentation[[#This Row],[Rate]]</f>
        <v>12000000</v>
      </c>
      <c r="T1445" s="227">
        <v>46155</v>
      </c>
      <c r="U1445" s="243" t="str">
        <f>VLOOKUP(Main_Presentation[[#This Row],[LC Number]],Main_Issuance[],18,0)</f>
        <v>90 Days from Invoice Date</v>
      </c>
      <c r="V1445" s="233" t="s">
        <v>5309</v>
      </c>
      <c r="W1445" s="229" t="s">
        <v>378</v>
      </c>
      <c r="X1445" s="217" t="s">
        <v>5298</v>
      </c>
      <c r="Y1445" s="399" t="str">
        <f>TRIM(LEFT(Main_Presentation[[#This Row],[Payment Terms]],3))</f>
        <v>90</v>
      </c>
      <c r="Z1445" s="217"/>
      <c r="AA1445" s="316" cm="1">
        <f t="array" ref="AA1445">Settlement(Main_Presentation[[#This Row],[Bank]],Main_Presentation[[#This Row],[ Invoice Amt (SAR)]],Main_Presentation[[#This Row],[Date Recd]],Main_Presentation[[#This Row],[Due Date]],Main_Presentation[[#This Row],[Days]])</f>
        <v>17250</v>
      </c>
      <c r="AB1445" s="217"/>
    </row>
    <row r="1446" spans="1:28" ht="15.75" hidden="1" x14ac:dyDescent="0.25">
      <c r="A1446" s="226" t="s">
        <v>4055</v>
      </c>
      <c r="B1446" s="227">
        <v>46072</v>
      </c>
      <c r="C1446" s="243">
        <v>2</v>
      </c>
      <c r="D1446" s="228" t="str">
        <f>VLOOKUP(Main_Presentation[[#This Row],[LC Number]],Main_Issuance[],3,0)</f>
        <v>Hassan Taleb</v>
      </c>
      <c r="E1446" s="217" t="s">
        <v>856</v>
      </c>
      <c r="F1446" s="244" t="str">
        <f>VLOOKUP(Main_Presentation[[#This Row],[LC Number]],Main_Issuance[],5,0)</f>
        <v>Alinma</v>
      </c>
      <c r="G1446" s="244" t="str">
        <f>VLOOKUP(Main_Presentation[[#This Row],[LC Number]],Main_Issuance[],6,0)</f>
        <v>KSP</v>
      </c>
      <c r="H1446" s="244" t="str">
        <f>VLOOKUP(Main_Presentation[[#This Row],[LC Number]],Main_Issuance[],17,0)</f>
        <v>Credit</v>
      </c>
      <c r="I1446" s="244" t="str">
        <f>VLOOKUP(Main_Presentation[[#This Row],[LC Number]],Main_Issuance[],7,0)</f>
        <v>The Fundamental Installation For Electric Work Co</v>
      </c>
      <c r="J1446" s="244" t="str">
        <f>VLOOKUP(Main_Presentation[[#This Row],[LC Number]],Main_Issuance[],8,0)</f>
        <v>FIRST FIX</v>
      </c>
      <c r="K1446" s="244" t="str">
        <f>VLOOKUP(Main_Presentation[[#This Row],[LC Number]],Main_Issuance[],9,0)</f>
        <v>ADF</v>
      </c>
      <c r="L1446" s="244">
        <f>VLOOKUP(Main_Presentation[[#This Row],[LC Number]],Main_Issuance[],10,0)</f>
        <v>1020001</v>
      </c>
      <c r="M1446" s="244" t="str">
        <f>VLOOKUP(Main_Presentation[[#This Row],[LC Number]],Main_Issuance[],11,0)</f>
        <v>SAR</v>
      </c>
      <c r="N1446" s="245">
        <f>VLOOKUP(Main_Presentation[[#This Row],[LC Number]],Main_Issuance[],12,0)</f>
        <v>19000000</v>
      </c>
      <c r="O1446" s="217" t="s">
        <v>20</v>
      </c>
      <c r="P1446" s="217" t="s">
        <v>857</v>
      </c>
      <c r="Q1446" s="218">
        <v>13000000</v>
      </c>
      <c r="R1446" s="218">
        <v>1</v>
      </c>
      <c r="S1446" s="218">
        <f>Main_Presentation[[#This Row],[Invoice Amt (FCY)]]*Main_Presentation[[#This Row],[Rate]]</f>
        <v>13000000</v>
      </c>
      <c r="T1446" s="227">
        <v>46155</v>
      </c>
      <c r="U1446" s="243" t="str">
        <f>VLOOKUP(Main_Presentation[[#This Row],[LC Number]],Main_Issuance[],18,0)</f>
        <v>90 Days from Invoice Date</v>
      </c>
      <c r="V1446" s="233" t="s">
        <v>5309</v>
      </c>
      <c r="W1446" s="229" t="s">
        <v>378</v>
      </c>
      <c r="X1446" s="217" t="s">
        <v>5298</v>
      </c>
      <c r="Y1446" s="399" t="str">
        <f>TRIM(LEFT(Main_Presentation[[#This Row],[Payment Terms]],3))</f>
        <v>90</v>
      </c>
      <c r="Z1446" s="217"/>
      <c r="AA1446" s="316" cm="1">
        <f t="array" ref="AA1446">Settlement(Main_Presentation[[#This Row],[Bank]],Main_Presentation[[#This Row],[ Invoice Amt (SAR)]],Main_Presentation[[#This Row],[Date Recd]],Main_Presentation[[#This Row],[Due Date]],Main_Presentation[[#This Row],[Days]])</f>
        <v>18687.5</v>
      </c>
      <c r="AB1446" s="217"/>
    </row>
    <row r="1447" spans="1:28" ht="15.75" hidden="1" x14ac:dyDescent="0.25">
      <c r="A1447" s="226" t="s">
        <v>3227</v>
      </c>
      <c r="B1447" s="227">
        <v>46097</v>
      </c>
      <c r="C1447" s="243">
        <v>4</v>
      </c>
      <c r="D1447" s="228" t="str">
        <f>VLOOKUP(Main_Presentation[[#This Row],[LC Number]],Main_Issuance[],3,0)</f>
        <v>Hashmat Khan</v>
      </c>
      <c r="E1447" s="217" t="s">
        <v>856</v>
      </c>
      <c r="F1447" s="244" t="str">
        <f>VLOOKUP(Main_Presentation[[#This Row],[LC Number]],Main_Issuance[],5,0)</f>
        <v>Alinma</v>
      </c>
      <c r="G1447" s="244" t="str">
        <f>VLOOKUP(Main_Presentation[[#This Row],[LC Number]],Main_Issuance[],6,0)</f>
        <v>KSP</v>
      </c>
      <c r="H1447" s="244" t="str">
        <f>VLOOKUP(Main_Presentation[[#This Row],[LC Number]],Main_Issuance[],17,0)</f>
        <v>Credit</v>
      </c>
      <c r="I1447" s="244" t="str">
        <f>VLOOKUP(Main_Presentation[[#This Row],[LC Number]],Main_Issuance[],7,0)</f>
        <v>BBH-CHEMTROL INTERNATIONAL ORGANIZATION S.L</v>
      </c>
      <c r="J1447" s="244" t="str">
        <f>VLOOKUP(Main_Presentation[[#This Row],[LC Number]],Main_Issuance[],8,0)</f>
        <v>ICAD</v>
      </c>
      <c r="K1447" s="244" t="str">
        <f>VLOOKUP(Main_Presentation[[#This Row],[LC Number]],Main_Issuance[],9,0)</f>
        <v>KSP</v>
      </c>
      <c r="L1447" s="244">
        <f>VLOOKUP(Main_Presentation[[#This Row],[LC Number]],Main_Issuance[],10,0)</f>
        <v>1020055</v>
      </c>
      <c r="M1447" s="244" t="str">
        <f>VLOOKUP(Main_Presentation[[#This Row],[LC Number]],Main_Issuance[],11,0)</f>
        <v>EUR</v>
      </c>
      <c r="N1447" s="245">
        <f>VLOOKUP(Main_Presentation[[#This Row],[LC Number]],Main_Issuance[],12,0)</f>
        <v>1687320.39</v>
      </c>
      <c r="O1447" s="217" t="s">
        <v>20</v>
      </c>
      <c r="P1447" s="217" t="s">
        <v>857</v>
      </c>
      <c r="Q1447" s="218">
        <v>22000</v>
      </c>
      <c r="R1447" s="218">
        <v>4.5</v>
      </c>
      <c r="S1447" s="218">
        <f>Main_Presentation[[#This Row],[Invoice Amt (FCY)]]*Main_Presentation[[#This Row],[Rate]]</f>
        <v>99000</v>
      </c>
      <c r="T1447" s="227">
        <v>46119</v>
      </c>
      <c r="U1447" s="243" t="str">
        <f>VLOOKUP(Main_Presentation[[#This Row],[LC Number]],Main_Issuance[],18,0)</f>
        <v>60 Days from Invoice Date</v>
      </c>
      <c r="V1447" s="233" t="s">
        <v>22</v>
      </c>
      <c r="W1447" s="229" t="s">
        <v>857</v>
      </c>
      <c r="X1447" s="217" t="s">
        <v>4391</v>
      </c>
      <c r="Y1447" s="399" t="str">
        <f>TRIM(LEFT(Main_Presentation[[#This Row],[Payment Terms]],3))</f>
        <v>60</v>
      </c>
      <c r="Z1447" s="217"/>
      <c r="AA1447" s="316" cm="1">
        <f t="array" ref="AA1447">Settlement(Main_Presentation[[#This Row],[Bank]],Main_Presentation[[#This Row],[ Invoice Amt (SAR)]],Main_Presentation[[#This Row],[Date Recd]],Main_Presentation[[#This Row],[Due Date]],Main_Presentation[[#This Row],[Days]])</f>
        <v>1437.5</v>
      </c>
      <c r="AB1447" s="217"/>
    </row>
    <row r="1448" spans="1:28" ht="15.75" hidden="1" x14ac:dyDescent="0.25">
      <c r="A1448" s="226" t="s">
        <v>3721</v>
      </c>
      <c r="B1448" s="227">
        <v>46079</v>
      </c>
      <c r="C1448" s="243">
        <v>1</v>
      </c>
      <c r="D1448" s="228" t="str">
        <f>VLOOKUP(Main_Presentation[[#This Row],[LC Number]],Main_Issuance[],3,0)</f>
        <v>Matthew Mckernan</v>
      </c>
      <c r="E1448" s="217" t="s">
        <v>858</v>
      </c>
      <c r="F1448" s="244" t="str">
        <f>VLOOKUP(Main_Presentation[[#This Row],[LC Number]],Main_Issuance[],5,0)</f>
        <v>SNB</v>
      </c>
      <c r="G1448" s="244" t="str">
        <f>VLOOKUP(Main_Presentation[[#This Row],[LC Number]],Main_Issuance[],6,0)</f>
        <v>Opera House</v>
      </c>
      <c r="H1448" s="244" t="str">
        <f>VLOOKUP(Main_Presentation[[#This Row],[LC Number]],Main_Issuance[],17,0)</f>
        <v>Credit</v>
      </c>
      <c r="I1448" s="244" t="str">
        <f>VLOOKUP(Main_Presentation[[#This Row],[LC Number]],Main_Issuance[],7,0)</f>
        <v>Electro Mechanical Supplies Company</v>
      </c>
      <c r="J1448" s="244" t="str">
        <f>VLOOKUP(Main_Presentation[[#This Row],[LC Number]],Main_Issuance[],8,0)</f>
        <v>MBL/ICAD</v>
      </c>
      <c r="K1448" s="244" t="str">
        <f>VLOOKUP(Main_Presentation[[#This Row],[LC Number]],Main_Issuance[],9,0)</f>
        <v>OPERA House</v>
      </c>
      <c r="L1448" s="244">
        <f>VLOOKUP(Main_Presentation[[#This Row],[LC Number]],Main_Issuance[],10,0)</f>
        <v>1020097</v>
      </c>
      <c r="M1448" s="244" t="str">
        <f>VLOOKUP(Main_Presentation[[#This Row],[LC Number]],Main_Issuance[],11,0)</f>
        <v>SAR</v>
      </c>
      <c r="N1448" s="245">
        <f>VLOOKUP(Main_Presentation[[#This Row],[LC Number]],Main_Issuance[],12,0)</f>
        <v>400000</v>
      </c>
      <c r="O1448" s="217" t="s">
        <v>20</v>
      </c>
      <c r="P1448" s="217" t="s">
        <v>378</v>
      </c>
      <c r="Q1448" s="218">
        <v>400000</v>
      </c>
      <c r="R1448" s="218">
        <v>1</v>
      </c>
      <c r="S1448" s="218">
        <f>Main_Presentation[[#This Row],[Invoice Amt (FCY)]]*Main_Presentation[[#This Row],[Rate]]</f>
        <v>400000</v>
      </c>
      <c r="T1448" s="227">
        <v>46146</v>
      </c>
      <c r="U1448" s="243" t="str">
        <f>VLOOKUP(Main_Presentation[[#This Row],[LC Number]],Main_Issuance[],18,0)</f>
        <v>90 Days from Delivery Date</v>
      </c>
      <c r="V1448" s="233" t="s">
        <v>96</v>
      </c>
      <c r="W1448" s="229" t="s">
        <v>857</v>
      </c>
      <c r="X1448" s="217"/>
      <c r="Y1448" s="399" t="str">
        <f>TRIM(LEFT(Main_Presentation[[#This Row],[Payment Terms]],3))</f>
        <v>90</v>
      </c>
      <c r="Z1448" s="217"/>
      <c r="AA1448" s="316" cm="1">
        <f t="array" ref="AA1448">Settlement(Main_Presentation[[#This Row],[Bank]],Main_Presentation[[#This Row],[ Invoice Amt (SAR)]],Main_Presentation[[#This Row],[Date Recd]],Main_Presentation[[#This Row],[Due Date]],Main_Presentation[[#This Row],[Days]])</f>
        <v>1957.3</v>
      </c>
      <c r="AB1448" s="217"/>
    </row>
    <row r="1449" spans="1:28" ht="15.75" hidden="1" x14ac:dyDescent="0.25">
      <c r="A1449" s="226" t="s">
        <v>3227</v>
      </c>
      <c r="B1449" s="227">
        <v>46091</v>
      </c>
      <c r="C1449" s="243">
        <v>3</v>
      </c>
      <c r="D1449" s="228" t="str">
        <f>VLOOKUP(Main_Presentation[[#This Row],[LC Number]],Main_Issuance[],3,0)</f>
        <v>Hashmat Khan</v>
      </c>
      <c r="E1449" s="217" t="s">
        <v>856</v>
      </c>
      <c r="F1449" s="244" t="str">
        <f>VLOOKUP(Main_Presentation[[#This Row],[LC Number]],Main_Issuance[],5,0)</f>
        <v>Alinma</v>
      </c>
      <c r="G1449" s="244" t="str">
        <f>VLOOKUP(Main_Presentation[[#This Row],[LC Number]],Main_Issuance[],6,0)</f>
        <v>KSP</v>
      </c>
      <c r="H1449" s="244" t="str">
        <f>VLOOKUP(Main_Presentation[[#This Row],[LC Number]],Main_Issuance[],17,0)</f>
        <v>Credit</v>
      </c>
      <c r="I1449" s="244" t="str">
        <f>VLOOKUP(Main_Presentation[[#This Row],[LC Number]],Main_Issuance[],7,0)</f>
        <v>BBH-CHEMTROL INTERNATIONAL ORGANIZATION S.L</v>
      </c>
      <c r="J1449" s="244" t="str">
        <f>VLOOKUP(Main_Presentation[[#This Row],[LC Number]],Main_Issuance[],8,0)</f>
        <v>ICAD</v>
      </c>
      <c r="K1449" s="244" t="str">
        <f>VLOOKUP(Main_Presentation[[#This Row],[LC Number]],Main_Issuance[],9,0)</f>
        <v>KSP</v>
      </c>
      <c r="L1449" s="244">
        <f>VLOOKUP(Main_Presentation[[#This Row],[LC Number]],Main_Issuance[],10,0)</f>
        <v>1020055</v>
      </c>
      <c r="M1449" s="244" t="str">
        <f>VLOOKUP(Main_Presentation[[#This Row],[LC Number]],Main_Issuance[],11,0)</f>
        <v>EUR</v>
      </c>
      <c r="N1449" s="245">
        <f>VLOOKUP(Main_Presentation[[#This Row],[LC Number]],Main_Issuance[],12,0)</f>
        <v>1687320.39</v>
      </c>
      <c r="O1449" s="217" t="s">
        <v>20</v>
      </c>
      <c r="P1449" s="217" t="s">
        <v>857</v>
      </c>
      <c r="Q1449" s="218">
        <v>17155.97</v>
      </c>
      <c r="R1449" s="218">
        <v>4.4400000000000004</v>
      </c>
      <c r="S1449" s="218">
        <f>Main_Presentation[[#This Row],[Invoice Amt (FCY)]]*Main_Presentation[[#This Row],[Rate]]</f>
        <v>76172.506800000017</v>
      </c>
      <c r="T1449" s="227">
        <v>46125</v>
      </c>
      <c r="U1449" s="243" t="str">
        <f>VLOOKUP(Main_Presentation[[#This Row],[LC Number]],Main_Issuance[],18,0)</f>
        <v>60 Days from Invoice Date</v>
      </c>
      <c r="V1449" s="233" t="s">
        <v>22</v>
      </c>
      <c r="W1449" s="229" t="s">
        <v>857</v>
      </c>
      <c r="X1449" s="217" t="s">
        <v>4302</v>
      </c>
      <c r="Y1449" s="399" t="str">
        <f>TRIM(LEFT(Main_Presentation[[#This Row],[Payment Terms]],3))</f>
        <v>60</v>
      </c>
      <c r="Z1449" s="217"/>
      <c r="AA1449" s="316" cm="1">
        <f t="array" ref="AA1449">Settlement(Main_Presentation[[#This Row],[Bank]],Main_Presentation[[#This Row],[ Invoice Amt (SAR)]],Main_Presentation[[#This Row],[Date Recd]],Main_Presentation[[#This Row],[Due Date]],Main_Presentation[[#This Row],[Days]])</f>
        <v>1437.5</v>
      </c>
      <c r="AB1449" s="217"/>
    </row>
    <row r="1450" spans="1:28" ht="15.75" hidden="1" x14ac:dyDescent="0.25">
      <c r="A1450" s="226" t="s">
        <v>3719</v>
      </c>
      <c r="B1450" s="227">
        <v>46090</v>
      </c>
      <c r="C1450" s="243">
        <v>1</v>
      </c>
      <c r="D1450" s="228" t="str">
        <f>VLOOKUP(Main_Presentation[[#This Row],[LC Number]],Main_Issuance[],3,0)</f>
        <v>Matthew Mckernan</v>
      </c>
      <c r="E1450" s="217" t="s">
        <v>858</v>
      </c>
      <c r="F1450" s="244" t="str">
        <f>VLOOKUP(Main_Presentation[[#This Row],[LC Number]],Main_Issuance[],5,0)</f>
        <v>SNB</v>
      </c>
      <c r="G1450" s="244" t="str">
        <f>VLOOKUP(Main_Presentation[[#This Row],[LC Number]],Main_Issuance[],6,0)</f>
        <v>Opera House</v>
      </c>
      <c r="H1450" s="244" t="str">
        <f>VLOOKUP(Main_Presentation[[#This Row],[LC Number]],Main_Issuance[],17,0)</f>
        <v>Credit</v>
      </c>
      <c r="I1450" s="244" t="str">
        <f>VLOOKUP(Main_Presentation[[#This Row],[LC Number]],Main_Issuance[],7,0)</f>
        <v>Johnson Controls Arabia Limited</v>
      </c>
      <c r="J1450" s="244" t="str">
        <f>VLOOKUP(Main_Presentation[[#This Row],[LC Number]],Main_Issuance[],8,0)</f>
        <v>MBL/ICAD</v>
      </c>
      <c r="K1450" s="244" t="str">
        <f>VLOOKUP(Main_Presentation[[#This Row],[LC Number]],Main_Issuance[],9,0)</f>
        <v>OPERA House</v>
      </c>
      <c r="L1450" s="244">
        <f>VLOOKUP(Main_Presentation[[#This Row],[LC Number]],Main_Issuance[],10,0)</f>
        <v>1020097</v>
      </c>
      <c r="M1450" s="244" t="str">
        <f>VLOOKUP(Main_Presentation[[#This Row],[LC Number]],Main_Issuance[],11,0)</f>
        <v>SAR</v>
      </c>
      <c r="N1450" s="245">
        <f>VLOOKUP(Main_Presentation[[#This Row],[LC Number]],Main_Issuance[],12,0)</f>
        <v>800000</v>
      </c>
      <c r="O1450" s="217" t="s">
        <v>20</v>
      </c>
      <c r="P1450" s="217" t="s">
        <v>378</v>
      </c>
      <c r="Q1450" s="218">
        <v>800000</v>
      </c>
      <c r="R1450" s="218">
        <v>1</v>
      </c>
      <c r="S1450" s="218">
        <f>Main_Presentation[[#This Row],[Invoice Amt (FCY)]]*Main_Presentation[[#This Row],[Rate]]</f>
        <v>800000</v>
      </c>
      <c r="T1450" s="227">
        <v>46105</v>
      </c>
      <c r="U1450" s="243" t="str">
        <f>VLOOKUP(Main_Presentation[[#This Row],[LC Number]],Main_Issuance[],18,0)</f>
        <v>60 Days from Delivery Date</v>
      </c>
      <c r="V1450" s="249" t="s">
        <v>96</v>
      </c>
      <c r="W1450" s="229" t="s">
        <v>857</v>
      </c>
      <c r="X1450" s="217"/>
      <c r="Y1450" s="399" t="str">
        <f>TRIM(LEFT(Main_Presentation[[#This Row],[Payment Terms]],3))</f>
        <v>60</v>
      </c>
      <c r="Z1450" s="217"/>
      <c r="AA1450" s="316" cm="1">
        <f t="array" ref="AA1450">Settlement(Main_Presentation[[#This Row],[Bank]],Main_Presentation[[#This Row],[ Invoice Amt (SAR)]],Main_Presentation[[#This Row],[Date Recd]],Main_Presentation[[#This Row],[Due Date]],Main_Presentation[[#This Row],[Days]])</f>
        <v>655.5</v>
      </c>
      <c r="AB1450" s="217"/>
    </row>
    <row r="1451" spans="1:28" ht="15.75" hidden="1" x14ac:dyDescent="0.25">
      <c r="A1451" s="226" t="s">
        <v>3723</v>
      </c>
      <c r="B1451" s="227">
        <v>46082</v>
      </c>
      <c r="C1451" s="243">
        <v>1</v>
      </c>
      <c r="D1451" s="228" t="str">
        <f>VLOOKUP(Main_Presentation[[#This Row],[LC Number]],Main_Issuance[],3,0)</f>
        <v>Matthew Mckernan</v>
      </c>
      <c r="E1451" s="217" t="s">
        <v>858</v>
      </c>
      <c r="F1451" s="244" t="str">
        <f>VLOOKUP(Main_Presentation[[#This Row],[LC Number]],Main_Issuance[],5,0)</f>
        <v>SNB</v>
      </c>
      <c r="G1451" s="244" t="str">
        <f>VLOOKUP(Main_Presentation[[#This Row],[LC Number]],Main_Issuance[],6,0)</f>
        <v>Opera House</v>
      </c>
      <c r="H1451" s="244" t="str">
        <f>VLOOKUP(Main_Presentation[[#This Row],[LC Number]],Main_Issuance[],17,0)</f>
        <v>Credit</v>
      </c>
      <c r="I1451" s="244" t="str">
        <f>VLOOKUP(Main_Presentation[[#This Row],[LC Number]],Main_Issuance[],7,0)</f>
        <v>Brooq Al Amaan Trading</v>
      </c>
      <c r="J1451" s="244" t="str">
        <f>VLOOKUP(Main_Presentation[[#This Row],[LC Number]],Main_Issuance[],8,0)</f>
        <v>MBL/ICAD</v>
      </c>
      <c r="K1451" s="244" t="str">
        <f>VLOOKUP(Main_Presentation[[#This Row],[LC Number]],Main_Issuance[],9,0)</f>
        <v>OPERA House</v>
      </c>
      <c r="L1451" s="244">
        <f>VLOOKUP(Main_Presentation[[#This Row],[LC Number]],Main_Issuance[],10,0)</f>
        <v>1020097</v>
      </c>
      <c r="M1451" s="244" t="str">
        <f>VLOOKUP(Main_Presentation[[#This Row],[LC Number]],Main_Issuance[],11,0)</f>
        <v>SAR</v>
      </c>
      <c r="N1451" s="245">
        <f>VLOOKUP(Main_Presentation[[#This Row],[LC Number]],Main_Issuance[],12,0)</f>
        <v>700000</v>
      </c>
      <c r="O1451" s="217" t="s">
        <v>20</v>
      </c>
      <c r="P1451" s="217" t="s">
        <v>378</v>
      </c>
      <c r="Q1451" s="218">
        <v>700000</v>
      </c>
      <c r="R1451" s="218">
        <v>1</v>
      </c>
      <c r="S1451" s="218">
        <f>Main_Presentation[[#This Row],[Invoice Amt (FCY)]]*Main_Presentation[[#This Row],[Rate]]</f>
        <v>700000</v>
      </c>
      <c r="T1451" s="227">
        <v>46163</v>
      </c>
      <c r="U1451" s="243" t="str">
        <f>VLOOKUP(Main_Presentation[[#This Row],[LC Number]],Main_Issuance[],18,0)</f>
        <v>120 Days from Delivery Date</v>
      </c>
      <c r="V1451" s="233" t="s">
        <v>96</v>
      </c>
      <c r="W1451" s="229" t="s">
        <v>857</v>
      </c>
      <c r="X1451" s="217"/>
      <c r="Y1451" s="399" t="str">
        <f>TRIM(LEFT(Main_Presentation[[#This Row],[Payment Terms]],3))</f>
        <v>120</v>
      </c>
      <c r="Z1451" s="217"/>
      <c r="AA1451" s="316" cm="1">
        <f t="array" ref="AA1451">Settlement(Main_Presentation[[#This Row],[Bank]],Main_Presentation[[#This Row],[ Invoice Amt (SAR)]],Main_Presentation[[#This Row],[Date Recd]],Main_Presentation[[#This Row],[Due Date]],Main_Presentation[[#This Row],[Days]],-1)</f>
        <v>3394.8</v>
      </c>
      <c r="AB1451" s="217"/>
    </row>
    <row r="1452" spans="1:28" ht="15.75" hidden="1" x14ac:dyDescent="0.25">
      <c r="A1452" s="226" t="s">
        <v>2906</v>
      </c>
      <c r="B1452" s="227">
        <v>46068</v>
      </c>
      <c r="C1452" s="243">
        <v>2</v>
      </c>
      <c r="D1452" s="228" t="str">
        <f>VLOOKUP(Main_Presentation[[#This Row],[LC Number]],Main_Issuance[],3,0)</f>
        <v>Luis Puente - United Arab Aluminum Company</v>
      </c>
      <c r="E1452" s="217" t="s">
        <v>858</v>
      </c>
      <c r="F1452" s="244" t="str">
        <f>VLOOKUP(Main_Presentation[[#This Row],[LC Number]],Main_Issuance[],5,0)</f>
        <v>Riyad</v>
      </c>
      <c r="G1452" s="244" t="str">
        <f>VLOOKUP(Main_Presentation[[#This Row],[LC Number]],Main_Issuance[],6,0)</f>
        <v>Oceanarium</v>
      </c>
      <c r="H1452" s="244" t="str">
        <f>VLOOKUP(Main_Presentation[[#This Row],[LC Number]],Main_Issuance[],17,0)</f>
        <v>Credit</v>
      </c>
      <c r="I1452" s="244" t="str">
        <f>VLOOKUP(Main_Presentation[[#This Row],[LC Number]],Main_Issuance[],7,0)</f>
        <v>IBA MIDDLE EAST FZE</v>
      </c>
      <c r="J1452" s="244" t="str">
        <f>VLOOKUP(Main_Presentation[[#This Row],[LC Number]],Main_Issuance[],8,0)</f>
        <v>MBL/United Arab Aluminum Co</v>
      </c>
      <c r="K1452" s="244" t="str">
        <f>VLOOKUP(Main_Presentation[[#This Row],[LC Number]],Main_Issuance[],9,0)</f>
        <v>Oceanarium</v>
      </c>
      <c r="L1452" s="244">
        <f>VLOOKUP(Main_Presentation[[#This Row],[LC Number]],Main_Issuance[],10,0)</f>
        <v>1020096</v>
      </c>
      <c r="M1452" s="244" t="str">
        <f>VLOOKUP(Main_Presentation[[#This Row],[LC Number]],Main_Issuance[],11,0)</f>
        <v>USD</v>
      </c>
      <c r="N1452" s="245">
        <f>VLOOKUP(Main_Presentation[[#This Row],[LC Number]],Main_Issuance[],12,0)</f>
        <v>430873.13500000001</v>
      </c>
      <c r="O1452" s="217" t="s">
        <v>20</v>
      </c>
      <c r="P1452" s="217" t="s">
        <v>857</v>
      </c>
      <c r="Q1452" s="218">
        <v>21571.200000000001</v>
      </c>
      <c r="R1452" s="218">
        <v>3.75</v>
      </c>
      <c r="S1452" s="218">
        <f>Main_Presentation[[#This Row],[Invoice Amt (FCY)]]*Main_Presentation[[#This Row],[Rate]]</f>
        <v>80892</v>
      </c>
      <c r="T1452" s="227">
        <v>46145</v>
      </c>
      <c r="U1452" s="243" t="str">
        <f>VLOOKUP(Main_Presentation[[#This Row],[LC Number]],Main_Issuance[],18,0)</f>
        <v>90 Days from Shipment Date</v>
      </c>
      <c r="V1452" s="233" t="s">
        <v>483</v>
      </c>
      <c r="W1452" s="229" t="s">
        <v>857</v>
      </c>
      <c r="X1452" s="217"/>
      <c r="Y1452" s="399" t="str">
        <f>TRIM(LEFT(Main_Presentation[[#This Row],[Payment Terms]],3))</f>
        <v>90</v>
      </c>
      <c r="Z1452" s="217"/>
      <c r="AA1452" s="316" cm="1">
        <f t="array" ref="AA1452">Settlement(Main_Presentation[[#This Row],[Bank]],Main_Presentation[[#This Row],[ Invoice Amt (SAR)]],Main_Presentation[[#This Row],[Date Recd]],Main_Presentation[[#This Row],[Due Date]],Main_Presentation[[#This Row],[Days]])</f>
        <v>232.3</v>
      </c>
      <c r="AB1452" s="217"/>
    </row>
    <row r="1453" spans="1:28" ht="15.75" hidden="1" x14ac:dyDescent="0.25">
      <c r="A1453" s="226" t="s">
        <v>3783</v>
      </c>
      <c r="B1453" s="227">
        <v>46097</v>
      </c>
      <c r="C1453" s="243">
        <v>1</v>
      </c>
      <c r="D1453" s="228" t="str">
        <f>VLOOKUP(Main_Presentation[[#This Row],[LC Number]],Main_Issuance[],3,0)</f>
        <v>Matthew Mckernan</v>
      </c>
      <c r="E1453" s="217" t="s">
        <v>858</v>
      </c>
      <c r="F1453" s="244" t="str">
        <f>VLOOKUP(Main_Presentation[[#This Row],[LC Number]],Main_Issuance[],5,0)</f>
        <v>SNB</v>
      </c>
      <c r="G1453" s="244" t="str">
        <f>VLOOKUP(Main_Presentation[[#This Row],[LC Number]],Main_Issuance[],6,0)</f>
        <v>Opera House</v>
      </c>
      <c r="H1453" s="244" t="str">
        <f>VLOOKUP(Main_Presentation[[#This Row],[LC Number]],Main_Issuance[],17,0)</f>
        <v>Credit</v>
      </c>
      <c r="I1453" s="244" t="str">
        <f>VLOOKUP(Main_Presentation[[#This Row],[LC Number]],Main_Issuance[],7,0)</f>
        <v>Electric House Trading Company L.L.C.</v>
      </c>
      <c r="J1453" s="244" t="str">
        <f>VLOOKUP(Main_Presentation[[#This Row],[LC Number]],Main_Issuance[],8,0)</f>
        <v>MBL/ICAD</v>
      </c>
      <c r="K1453" s="244" t="str">
        <f>VLOOKUP(Main_Presentation[[#This Row],[LC Number]],Main_Issuance[],9,0)</f>
        <v>OPERA House</v>
      </c>
      <c r="L1453" s="244">
        <f>VLOOKUP(Main_Presentation[[#This Row],[LC Number]],Main_Issuance[],10,0)</f>
        <v>1020097</v>
      </c>
      <c r="M1453" s="244" t="str">
        <f>VLOOKUP(Main_Presentation[[#This Row],[LC Number]],Main_Issuance[],11,0)</f>
        <v>SAR</v>
      </c>
      <c r="N1453" s="245">
        <f>VLOOKUP(Main_Presentation[[#This Row],[LC Number]],Main_Issuance[],12,0)</f>
        <v>3000000</v>
      </c>
      <c r="O1453" s="217" t="s">
        <v>20</v>
      </c>
      <c r="P1453" s="217" t="s">
        <v>378</v>
      </c>
      <c r="Q1453" s="218">
        <v>806924.71</v>
      </c>
      <c r="R1453" s="218">
        <v>1</v>
      </c>
      <c r="S1453" s="218">
        <f>Main_Presentation[[#This Row],[Invoice Amt (FCY)]]*Main_Presentation[[#This Row],[Rate]]</f>
        <v>806924.71</v>
      </c>
      <c r="T1453" s="227">
        <v>46155</v>
      </c>
      <c r="U1453" s="243" t="str">
        <f>VLOOKUP(Main_Presentation[[#This Row],[LC Number]],Main_Issuance[],18,0)</f>
        <v>90 Days from Delivery Date</v>
      </c>
      <c r="V1453" s="233" t="s">
        <v>96</v>
      </c>
      <c r="W1453" s="229" t="s">
        <v>857</v>
      </c>
      <c r="X1453" s="16"/>
      <c r="Y1453" s="399" t="str">
        <f>TRIM(LEFT(Main_Presentation[[#This Row],[Payment Terms]],3))</f>
        <v>90</v>
      </c>
      <c r="Z1453" s="217"/>
      <c r="AA1453" s="316" cm="1">
        <f t="array" ref="AA1453">Settlement(Main_Presentation[[#This Row],[Bank]],Main_Presentation[[#This Row],[ Invoice Amt (SAR)]],Main_Presentation[[#This Row],[Date Recd]],Main_Presentation[[#This Row],[Due Date]],Main_Presentation[[#This Row],[Days]])</f>
        <v>3906.55</v>
      </c>
      <c r="AB1453" s="217"/>
    </row>
    <row r="1454" spans="1:28" ht="15.75" hidden="1" x14ac:dyDescent="0.25">
      <c r="A1454" s="226" t="s">
        <v>3720</v>
      </c>
      <c r="B1454" s="227">
        <v>46109</v>
      </c>
      <c r="C1454" s="243">
        <v>1</v>
      </c>
      <c r="D1454" s="228" t="str">
        <f>VLOOKUP(Main_Presentation[[#This Row],[LC Number]],Main_Issuance[],3,0)</f>
        <v>Matthew Mckernan</v>
      </c>
      <c r="E1454" s="217" t="s">
        <v>858</v>
      </c>
      <c r="F1454" s="244" t="str">
        <f>VLOOKUP(Main_Presentation[[#This Row],[LC Number]],Main_Issuance[],5,0)</f>
        <v>SNB</v>
      </c>
      <c r="G1454" s="244" t="str">
        <f>VLOOKUP(Main_Presentation[[#This Row],[LC Number]],Main_Issuance[],6,0)</f>
        <v>Opera House</v>
      </c>
      <c r="H1454" s="244" t="str">
        <f>VLOOKUP(Main_Presentation[[#This Row],[LC Number]],Main_Issuance[],17,0)</f>
        <v>Credit</v>
      </c>
      <c r="I1454" s="244" t="str">
        <f>VLOOKUP(Main_Presentation[[#This Row],[LC Number]],Main_Issuance[],7,0)</f>
        <v>Alkhorayef Commercial Company</v>
      </c>
      <c r="J1454" s="244" t="str">
        <f>VLOOKUP(Main_Presentation[[#This Row],[LC Number]],Main_Issuance[],8,0)</f>
        <v>MBL/ICAD</v>
      </c>
      <c r="K1454" s="244" t="str">
        <f>VLOOKUP(Main_Presentation[[#This Row],[LC Number]],Main_Issuance[],9,0)</f>
        <v>OPERA House</v>
      </c>
      <c r="L1454" s="244">
        <f>VLOOKUP(Main_Presentation[[#This Row],[LC Number]],Main_Issuance[],10,0)</f>
        <v>1020097</v>
      </c>
      <c r="M1454" s="244" t="str">
        <f>VLOOKUP(Main_Presentation[[#This Row],[LC Number]],Main_Issuance[],11,0)</f>
        <v>SAR</v>
      </c>
      <c r="N1454" s="245">
        <f>VLOOKUP(Main_Presentation[[#This Row],[LC Number]],Main_Issuance[],12,0)</f>
        <v>800000</v>
      </c>
      <c r="O1454" s="217" t="s">
        <v>20</v>
      </c>
      <c r="P1454" s="217" t="s">
        <v>857</v>
      </c>
      <c r="Q1454" s="218">
        <v>800000</v>
      </c>
      <c r="R1454" s="218">
        <v>1</v>
      </c>
      <c r="S1454" s="218">
        <f>Main_Presentation[[#This Row],[Invoice Amt (FCY)]]*Main_Presentation[[#This Row],[Rate]]</f>
        <v>800000</v>
      </c>
      <c r="T1454" s="227">
        <v>46135</v>
      </c>
      <c r="U1454" s="243" t="str">
        <f>VLOOKUP(Main_Presentation[[#This Row],[LC Number]],Main_Issuance[],18,0)</f>
        <v>90 Days from Delivery Date</v>
      </c>
      <c r="V1454" s="233" t="s">
        <v>96</v>
      </c>
      <c r="W1454" s="229" t="s">
        <v>857</v>
      </c>
      <c r="X1454" s="217"/>
      <c r="Y1454" s="399" t="str">
        <f>TRIM(LEFT(Main_Presentation[[#This Row],[Payment Terms]],3))</f>
        <v>90</v>
      </c>
      <c r="Z1454" s="217"/>
      <c r="AA1454" s="316" cm="1">
        <f t="array" ref="AA1454">Settlement(Main_Presentation[[#This Row],[Bank]],Main_Presentation[[#This Row],[ Invoice Amt (SAR)]],Main_Presentation[[#This Row],[Date Recd]],Main_Presentation[[#This Row],[Due Date]],Main_Presentation[[#This Row],[Days]])</f>
        <v>1957.3</v>
      </c>
      <c r="AB1454" s="217"/>
    </row>
    <row r="1455" spans="1:28" ht="15.75" hidden="1" x14ac:dyDescent="0.25">
      <c r="A1455" s="226" t="s">
        <v>3718</v>
      </c>
      <c r="B1455" s="227">
        <v>46097</v>
      </c>
      <c r="C1455" s="243">
        <v>1</v>
      </c>
      <c r="D1455" s="228" t="str">
        <f>VLOOKUP(Main_Presentation[[#This Row],[LC Number]],Main_Issuance[],3,0)</f>
        <v>Matthew Mckernan</v>
      </c>
      <c r="E1455" s="217" t="s">
        <v>858</v>
      </c>
      <c r="F1455" s="244" t="str">
        <f>VLOOKUP(Main_Presentation[[#This Row],[LC Number]],Main_Issuance[],5,0)</f>
        <v>SNB</v>
      </c>
      <c r="G1455" s="244" t="str">
        <f>VLOOKUP(Main_Presentation[[#This Row],[LC Number]],Main_Issuance[],6,0)</f>
        <v>Opera House</v>
      </c>
      <c r="H1455" s="244" t="str">
        <f>VLOOKUP(Main_Presentation[[#This Row],[LC Number]],Main_Issuance[],17,0)</f>
        <v>Credit</v>
      </c>
      <c r="I1455" s="244" t="str">
        <f>VLOOKUP(Main_Presentation[[#This Row],[LC Number]],Main_Issuance[],7,0)</f>
        <v>Electric House Trading Company L.L.C.</v>
      </c>
      <c r="J1455" s="244" t="str">
        <f>VLOOKUP(Main_Presentation[[#This Row],[LC Number]],Main_Issuance[],8,0)</f>
        <v>MBL/ICAD</v>
      </c>
      <c r="K1455" s="244" t="str">
        <f>VLOOKUP(Main_Presentation[[#This Row],[LC Number]],Main_Issuance[],9,0)</f>
        <v>OPERA House</v>
      </c>
      <c r="L1455" s="244">
        <f>VLOOKUP(Main_Presentation[[#This Row],[LC Number]],Main_Issuance[],10,0)</f>
        <v>1020097</v>
      </c>
      <c r="M1455" s="244" t="str">
        <f>VLOOKUP(Main_Presentation[[#This Row],[LC Number]],Main_Issuance[],11,0)</f>
        <v>SAR</v>
      </c>
      <c r="N1455" s="245">
        <f>VLOOKUP(Main_Presentation[[#This Row],[LC Number]],Main_Issuance[],12,0)</f>
        <v>250000</v>
      </c>
      <c r="O1455" s="217" t="s">
        <v>20</v>
      </c>
      <c r="P1455" s="217" t="s">
        <v>378</v>
      </c>
      <c r="Q1455" s="218">
        <v>250000</v>
      </c>
      <c r="R1455" s="218">
        <v>1</v>
      </c>
      <c r="S1455" s="218">
        <f>Main_Presentation[[#This Row],[Invoice Amt (FCY)]]*Main_Presentation[[#This Row],[Rate]]</f>
        <v>250000</v>
      </c>
      <c r="T1455" s="227">
        <v>46155</v>
      </c>
      <c r="U1455" s="243" t="str">
        <f>VLOOKUP(Main_Presentation[[#This Row],[LC Number]],Main_Issuance[],18,0)</f>
        <v>90 Days from Delivery Date</v>
      </c>
      <c r="V1455" s="233" t="s">
        <v>96</v>
      </c>
      <c r="W1455" s="229" t="s">
        <v>857</v>
      </c>
      <c r="X1455" s="217"/>
      <c r="Y1455" s="399" t="str">
        <f>TRIM(LEFT(Main_Presentation[[#This Row],[Payment Terms]],3))</f>
        <v>90</v>
      </c>
      <c r="Z1455" s="217"/>
      <c r="AA1455" s="316" cm="1">
        <f t="array" ref="AA1455">Settlement(Main_Presentation[[#This Row],[Bank]],Main_Presentation[[#This Row],[ Invoice Amt (SAR)]],Main_Presentation[[#This Row],[Date Recd]],Main_Presentation[[#This Row],[Due Date]],Main_Presentation[[#This Row],[Days]])</f>
        <v>1238.55</v>
      </c>
      <c r="AB1455" s="217"/>
    </row>
    <row r="1456" spans="1:28" ht="15.75" hidden="1" x14ac:dyDescent="0.25">
      <c r="A1456" s="226" t="s">
        <v>1818</v>
      </c>
      <c r="B1456" s="227">
        <v>46093</v>
      </c>
      <c r="C1456" s="243">
        <v>2</v>
      </c>
      <c r="D1456" s="228" t="str">
        <f>VLOOKUP(Main_Presentation[[#This Row],[LC Number]],Main_Issuance[],3,0)</f>
        <v>Mohammed Kotb</v>
      </c>
      <c r="E1456" s="217" t="s">
        <v>858</v>
      </c>
      <c r="F1456" s="244" t="str">
        <f>VLOOKUP(Main_Presentation[[#This Row],[LC Number]],Main_Issuance[],5,0)</f>
        <v>SAB</v>
      </c>
      <c r="G1456" s="244" t="str">
        <f>VLOOKUP(Main_Presentation[[#This Row],[LC Number]],Main_Issuance[],6,0)</f>
        <v>MP1</v>
      </c>
      <c r="H1456" s="244" t="str">
        <f>VLOOKUP(Main_Presentation[[#This Row],[LC Number]],Main_Issuance[],17,0)</f>
        <v>Credit</v>
      </c>
      <c r="I1456" s="244" t="str">
        <f>VLOOKUP(Main_Presentation[[#This Row],[LC Number]],Main_Issuance[],7,0)</f>
        <v>Sika Saudi Arabia Co. Ltd.</v>
      </c>
      <c r="J1456" s="244" t="str">
        <f>VLOOKUP(Main_Presentation[[#This Row],[LC Number]],Main_Issuance[],8,0)</f>
        <v>MBL</v>
      </c>
      <c r="K1456" s="244" t="str">
        <f>VLOOKUP(Main_Presentation[[#This Row],[LC Number]],Main_Issuance[],9,0)</f>
        <v>ABHA</v>
      </c>
      <c r="L1456" s="244">
        <f>VLOOKUP(Main_Presentation[[#This Row],[LC Number]],Main_Issuance[],10,0)</f>
        <v>1020070</v>
      </c>
      <c r="M1456" s="244" t="str">
        <f>VLOOKUP(Main_Presentation[[#This Row],[LC Number]],Main_Issuance[],11,0)</f>
        <v>SAR</v>
      </c>
      <c r="N1456" s="245">
        <f>VLOOKUP(Main_Presentation[[#This Row],[LC Number]],Main_Issuance[],12,0)</f>
        <v>2741025</v>
      </c>
      <c r="O1456" s="217" t="s">
        <v>909</v>
      </c>
      <c r="P1456" s="217" t="s">
        <v>378</v>
      </c>
      <c r="Q1456" s="218">
        <v>902623.5</v>
      </c>
      <c r="R1456" s="218">
        <v>1</v>
      </c>
      <c r="S1456" s="218">
        <f>Main_Presentation[[#This Row],[Invoice Amt (FCY)]]*Main_Presentation[[#This Row],[Rate]]</f>
        <v>902623.5</v>
      </c>
      <c r="T1456" s="227">
        <v>46198</v>
      </c>
      <c r="U1456" s="243" t="str">
        <f>VLOOKUP(Main_Presentation[[#This Row],[LC Number]],Main_Issuance[],18,0)</f>
        <v>120 Days from the Invoice Date</v>
      </c>
      <c r="V1456" s="233"/>
      <c r="W1456" s="229" t="s">
        <v>378</v>
      </c>
      <c r="X1456" s="16" t="s">
        <v>5561</v>
      </c>
      <c r="Y1456" s="399" t="str">
        <f>TRIM(LEFT(Main_Presentation[[#This Row],[Payment Terms]],3))</f>
        <v>120</v>
      </c>
      <c r="Z1456" s="217"/>
      <c r="AA1456" s="316" cm="1">
        <f t="array" ref="AA1456">Settlement(Main_Presentation[[#This Row],[Bank]],Main_Presentation[[#This Row],[ Invoice Amt (SAR)]],Main_Presentation[[#This Row],[Date Recd]],Main_Presentation[[#This Row],[Due Date]],Main_Presentation[[#This Row],[Days]])</f>
        <v>3892.75</v>
      </c>
      <c r="AB1456" s="217"/>
    </row>
    <row r="1457" spans="1:28" ht="15.75" hidden="1" x14ac:dyDescent="0.25">
      <c r="A1457" s="20" t="s">
        <v>3146</v>
      </c>
      <c r="B1457" s="15">
        <v>46092</v>
      </c>
      <c r="C1457" s="26">
        <v>7</v>
      </c>
      <c r="D1457" s="55" t="str">
        <f>VLOOKUP(Main_Presentation[[#This Row],[LC Number]],Main_Issuance[],3,0)</f>
        <v>Essam Zahran - Signal Control</v>
      </c>
      <c r="E1457" s="16" t="s">
        <v>858</v>
      </c>
      <c r="F1457" s="17" t="str">
        <f>VLOOKUP(Main_Presentation[[#This Row],[LC Number]],Main_Issuance[],5,0)</f>
        <v>Alinma</v>
      </c>
      <c r="G1457" s="17" t="str">
        <f>VLOOKUP(Main_Presentation[[#This Row],[LC Number]],Main_Issuance[],6,0)</f>
        <v>KSP</v>
      </c>
      <c r="H1457" s="17" t="str">
        <f>VLOOKUP(Main_Presentation[[#This Row],[LC Number]],Main_Issuance[],17,0)</f>
        <v>Credit</v>
      </c>
      <c r="I1457" s="17" t="str">
        <f>VLOOKUP(Main_Presentation[[#This Row],[LC Number]],Main_Issuance[],7,0)</f>
        <v>SIEMENS Limited Company</v>
      </c>
      <c r="J1457" s="17" t="str">
        <f>VLOOKUP(Main_Presentation[[#This Row],[LC Number]],Main_Issuance[],8,0)</f>
        <v>Signal Control</v>
      </c>
      <c r="K1457" s="17" t="str">
        <f>VLOOKUP(Main_Presentation[[#This Row],[LC Number]],Main_Issuance[],9,0)</f>
        <v>KSP</v>
      </c>
      <c r="L1457" s="17">
        <f>VLOOKUP(Main_Presentation[[#This Row],[LC Number]],Main_Issuance[],10,0)</f>
        <v>1020055</v>
      </c>
      <c r="M1457" s="17" t="str">
        <f>VLOOKUP(Main_Presentation[[#This Row],[LC Number]],Main_Issuance[],11,0)</f>
        <v>SAR</v>
      </c>
      <c r="N1457" s="84">
        <f>VLOOKUP(Main_Presentation[[#This Row],[LC Number]],Main_Issuance[],12,0)</f>
        <v>7259198.5</v>
      </c>
      <c r="O1457" s="16" t="s">
        <v>20</v>
      </c>
      <c r="P1457" s="16" t="s">
        <v>857</v>
      </c>
      <c r="Q1457" s="18">
        <v>66237.67</v>
      </c>
      <c r="R1457" s="18">
        <v>1</v>
      </c>
      <c r="S1457" s="18">
        <f>Main_Presentation[[#This Row],[Invoice Amt (FCY)]]*Main_Presentation[[#This Row],[Rate]]</f>
        <v>66237.67</v>
      </c>
      <c r="T1457" s="15">
        <v>46159</v>
      </c>
      <c r="U1457" s="26" t="str">
        <f>VLOOKUP(Main_Presentation[[#This Row],[LC Number]],Main_Issuance[],18,0)</f>
        <v>90 Days from Invoice Date</v>
      </c>
      <c r="V1457" s="249" t="s">
        <v>22</v>
      </c>
      <c r="W1457" s="22" t="s">
        <v>857</v>
      </c>
      <c r="X1457" s="16"/>
      <c r="Y1457" s="234" t="str">
        <f>TRIM(LEFT(Main_Presentation[[#This Row],[Payment Terms]],3))</f>
        <v>90</v>
      </c>
      <c r="Z1457" s="16"/>
      <c r="AA1457" s="316" cm="1">
        <f t="array" ref="AA1457">Settlement(Main_Presentation[[#This Row],[Bank]],Main_Presentation[[#This Row],[ Invoice Amt (SAR)]],Main_Presentation[[#This Row],[Date Recd]],Main_Presentation[[#This Row],[Due Date]],Main_Presentation[[#This Row],[Days]])</f>
        <v>1437.5</v>
      </c>
      <c r="AB1457" s="16"/>
    </row>
    <row r="1458" spans="1:28" ht="15.75" hidden="1" x14ac:dyDescent="0.25">
      <c r="A1458" s="20" t="s">
        <v>3146</v>
      </c>
      <c r="B1458" s="15">
        <v>46092</v>
      </c>
      <c r="C1458" s="26">
        <v>6</v>
      </c>
      <c r="D1458" s="55" t="str">
        <f>VLOOKUP(Main_Presentation[[#This Row],[LC Number]],Main_Issuance[],3,0)</f>
        <v>Essam Zahran - Signal Control</v>
      </c>
      <c r="E1458" s="16" t="s">
        <v>858</v>
      </c>
      <c r="F1458" s="17" t="str">
        <f>VLOOKUP(Main_Presentation[[#This Row],[LC Number]],Main_Issuance[],5,0)</f>
        <v>Alinma</v>
      </c>
      <c r="G1458" s="17" t="str">
        <f>VLOOKUP(Main_Presentation[[#This Row],[LC Number]],Main_Issuance[],6,0)</f>
        <v>KSP</v>
      </c>
      <c r="H1458" s="17" t="str">
        <f>VLOOKUP(Main_Presentation[[#This Row],[LC Number]],Main_Issuance[],17,0)</f>
        <v>Credit</v>
      </c>
      <c r="I1458" s="17" t="str">
        <f>VLOOKUP(Main_Presentation[[#This Row],[LC Number]],Main_Issuance[],7,0)</f>
        <v>SIEMENS Limited Company</v>
      </c>
      <c r="J1458" s="17" t="str">
        <f>VLOOKUP(Main_Presentation[[#This Row],[LC Number]],Main_Issuance[],8,0)</f>
        <v>Signal Control</v>
      </c>
      <c r="K1458" s="17" t="str">
        <f>VLOOKUP(Main_Presentation[[#This Row],[LC Number]],Main_Issuance[],9,0)</f>
        <v>KSP</v>
      </c>
      <c r="L1458" s="17">
        <f>VLOOKUP(Main_Presentation[[#This Row],[LC Number]],Main_Issuance[],10,0)</f>
        <v>1020055</v>
      </c>
      <c r="M1458" s="17" t="str">
        <f>VLOOKUP(Main_Presentation[[#This Row],[LC Number]],Main_Issuance[],11,0)</f>
        <v>SAR</v>
      </c>
      <c r="N1458" s="84">
        <f>VLOOKUP(Main_Presentation[[#This Row],[LC Number]],Main_Issuance[],12,0)</f>
        <v>7259198.5</v>
      </c>
      <c r="O1458" s="217" t="s">
        <v>20</v>
      </c>
      <c r="P1458" s="16" t="s">
        <v>857</v>
      </c>
      <c r="Q1458" s="18">
        <v>1364256.27</v>
      </c>
      <c r="R1458" s="18">
        <v>1</v>
      </c>
      <c r="S1458" s="18">
        <f>Main_Presentation[[#This Row],[Invoice Amt (FCY)]]*Main_Presentation[[#This Row],[Rate]]</f>
        <v>1364256.27</v>
      </c>
      <c r="T1458" s="227">
        <v>46125</v>
      </c>
      <c r="U1458" s="26" t="str">
        <f>VLOOKUP(Main_Presentation[[#This Row],[LC Number]],Main_Issuance[],18,0)</f>
        <v>90 Days from Invoice Date</v>
      </c>
      <c r="V1458" s="233" t="s">
        <v>22</v>
      </c>
      <c r="W1458" s="229" t="s">
        <v>857</v>
      </c>
      <c r="X1458" s="16"/>
      <c r="Y1458" s="234" t="str">
        <f>TRIM(LEFT(Main_Presentation[[#This Row],[Payment Terms]],3))</f>
        <v>90</v>
      </c>
      <c r="Z1458" s="16"/>
      <c r="AA1458" s="316" cm="1">
        <f t="array" ref="AA1458">Settlement(Main_Presentation[[#This Row],[Bank]],Main_Presentation[[#This Row],[ Invoice Amt (SAR)]],Main_Presentation[[#This Row],[Date Recd]],Main_Presentation[[#This Row],[Due Date]],Main_Presentation[[#This Row],[Days]])</f>
        <v>1437.5</v>
      </c>
      <c r="AB1458" s="16"/>
    </row>
    <row r="1459" spans="1:28" ht="15.75" hidden="1" x14ac:dyDescent="0.25">
      <c r="A1459" s="20" t="s">
        <v>3146</v>
      </c>
      <c r="B1459" s="15">
        <v>46092</v>
      </c>
      <c r="C1459" s="26">
        <v>5</v>
      </c>
      <c r="D1459" s="55" t="str">
        <f>VLOOKUP(Main_Presentation[[#This Row],[LC Number]],Main_Issuance[],3,0)</f>
        <v>Essam Zahran - Signal Control</v>
      </c>
      <c r="E1459" s="16" t="s">
        <v>858</v>
      </c>
      <c r="F1459" s="17" t="str">
        <f>VLOOKUP(Main_Presentation[[#This Row],[LC Number]],Main_Issuance[],5,0)</f>
        <v>Alinma</v>
      </c>
      <c r="G1459" s="17" t="str">
        <f>VLOOKUP(Main_Presentation[[#This Row],[LC Number]],Main_Issuance[],6,0)</f>
        <v>KSP</v>
      </c>
      <c r="H1459" s="17" t="str">
        <f>VLOOKUP(Main_Presentation[[#This Row],[LC Number]],Main_Issuance[],17,0)</f>
        <v>Credit</v>
      </c>
      <c r="I1459" s="17" t="str">
        <f>VLOOKUP(Main_Presentation[[#This Row],[LC Number]],Main_Issuance[],7,0)</f>
        <v>SIEMENS Limited Company</v>
      </c>
      <c r="J1459" s="17" t="str">
        <f>VLOOKUP(Main_Presentation[[#This Row],[LC Number]],Main_Issuance[],8,0)</f>
        <v>Signal Control</v>
      </c>
      <c r="K1459" s="17" t="str">
        <f>VLOOKUP(Main_Presentation[[#This Row],[LC Number]],Main_Issuance[],9,0)</f>
        <v>KSP</v>
      </c>
      <c r="L1459" s="17">
        <f>VLOOKUP(Main_Presentation[[#This Row],[LC Number]],Main_Issuance[],10,0)</f>
        <v>1020055</v>
      </c>
      <c r="M1459" s="17" t="str">
        <f>VLOOKUP(Main_Presentation[[#This Row],[LC Number]],Main_Issuance[],11,0)</f>
        <v>SAR</v>
      </c>
      <c r="N1459" s="84">
        <f>VLOOKUP(Main_Presentation[[#This Row],[LC Number]],Main_Issuance[],12,0)</f>
        <v>7259198.5</v>
      </c>
      <c r="O1459" s="217" t="s">
        <v>20</v>
      </c>
      <c r="P1459" s="16" t="s">
        <v>857</v>
      </c>
      <c r="Q1459" s="18">
        <v>1702804.09</v>
      </c>
      <c r="R1459" s="18">
        <v>1</v>
      </c>
      <c r="S1459" s="18">
        <f>Main_Presentation[[#This Row],[Invoice Amt (FCY)]]*Main_Presentation[[#This Row],[Rate]]</f>
        <v>1702804.09</v>
      </c>
      <c r="T1459" s="227">
        <v>46125</v>
      </c>
      <c r="U1459" s="26" t="str">
        <f>VLOOKUP(Main_Presentation[[#This Row],[LC Number]],Main_Issuance[],18,0)</f>
        <v>90 Days from Invoice Date</v>
      </c>
      <c r="V1459" s="233" t="s">
        <v>22</v>
      </c>
      <c r="W1459" s="229" t="s">
        <v>857</v>
      </c>
      <c r="X1459" s="16"/>
      <c r="Y1459" s="234" t="str">
        <f>TRIM(LEFT(Main_Presentation[[#This Row],[Payment Terms]],3))</f>
        <v>90</v>
      </c>
      <c r="Z1459" s="16"/>
      <c r="AA1459" s="316" cm="1">
        <f t="array" ref="AA1459">Settlement(Main_Presentation[[#This Row],[Bank]],Main_Presentation[[#This Row],[ Invoice Amt (SAR)]],Main_Presentation[[#This Row],[Date Recd]],Main_Presentation[[#This Row],[Due Date]],Main_Presentation[[#This Row],[Days]])</f>
        <v>1437.5</v>
      </c>
      <c r="AB1459" s="16"/>
    </row>
    <row r="1460" spans="1:28" ht="15.75" hidden="1" x14ac:dyDescent="0.25">
      <c r="A1460" s="226" t="s">
        <v>3146</v>
      </c>
      <c r="B1460" s="227">
        <v>46092</v>
      </c>
      <c r="C1460" s="243">
        <v>8</v>
      </c>
      <c r="D1460" s="228" t="str">
        <f>VLOOKUP(Main_Presentation[[#This Row],[LC Number]],Main_Issuance[],3,0)</f>
        <v>Essam Zahran - Signal Control</v>
      </c>
      <c r="E1460" s="16" t="s">
        <v>858</v>
      </c>
      <c r="F1460" s="244" t="str">
        <f>VLOOKUP(Main_Presentation[[#This Row],[LC Number]],Main_Issuance[],5,0)</f>
        <v>Alinma</v>
      </c>
      <c r="G1460" s="244" t="str">
        <f>VLOOKUP(Main_Presentation[[#This Row],[LC Number]],Main_Issuance[],6,0)</f>
        <v>KSP</v>
      </c>
      <c r="H1460" s="244" t="str">
        <f>VLOOKUP(Main_Presentation[[#This Row],[LC Number]],Main_Issuance[],17,0)</f>
        <v>Credit</v>
      </c>
      <c r="I1460" s="244" t="str">
        <f>VLOOKUP(Main_Presentation[[#This Row],[LC Number]],Main_Issuance[],7,0)</f>
        <v>SIEMENS Limited Company</v>
      </c>
      <c r="J1460" s="244" t="str">
        <f>VLOOKUP(Main_Presentation[[#This Row],[LC Number]],Main_Issuance[],8,0)</f>
        <v>Signal Control</v>
      </c>
      <c r="K1460" s="244" t="str">
        <f>VLOOKUP(Main_Presentation[[#This Row],[LC Number]],Main_Issuance[],9,0)</f>
        <v>KSP</v>
      </c>
      <c r="L1460" s="244">
        <f>VLOOKUP(Main_Presentation[[#This Row],[LC Number]],Main_Issuance[],10,0)</f>
        <v>1020055</v>
      </c>
      <c r="M1460" s="244" t="str">
        <f>VLOOKUP(Main_Presentation[[#This Row],[LC Number]],Main_Issuance[],11,0)</f>
        <v>SAR</v>
      </c>
      <c r="N1460" s="245">
        <f>VLOOKUP(Main_Presentation[[#This Row],[LC Number]],Main_Issuance[],12,0)</f>
        <v>7259198.5</v>
      </c>
      <c r="O1460" s="217" t="s">
        <v>20</v>
      </c>
      <c r="P1460" s="217" t="s">
        <v>857</v>
      </c>
      <c r="Q1460" s="218">
        <v>295503.43</v>
      </c>
      <c r="R1460" s="218">
        <v>1</v>
      </c>
      <c r="S1460" s="218">
        <f>Main_Presentation[[#This Row],[Invoice Amt (FCY)]]*Main_Presentation[[#This Row],[Rate]]</f>
        <v>295503.43</v>
      </c>
      <c r="T1460" s="227">
        <v>46125</v>
      </c>
      <c r="U1460" s="243" t="str">
        <f>VLOOKUP(Main_Presentation[[#This Row],[LC Number]],Main_Issuance[],18,0)</f>
        <v>90 Days from Invoice Date</v>
      </c>
      <c r="V1460" s="233" t="s">
        <v>22</v>
      </c>
      <c r="W1460" s="229" t="s">
        <v>857</v>
      </c>
      <c r="X1460" s="16"/>
      <c r="Y1460" s="399" t="str">
        <f>TRIM(LEFT(Main_Presentation[[#This Row],[Payment Terms]],3))</f>
        <v>90</v>
      </c>
      <c r="Z1460" s="217"/>
      <c r="AA1460" s="316" cm="1">
        <f t="array" ref="AA1460">Settlement(Main_Presentation[[#This Row],[Bank]],Main_Presentation[[#This Row],[ Invoice Amt (SAR)]],Main_Presentation[[#This Row],[Date Recd]],Main_Presentation[[#This Row],[Due Date]],Main_Presentation[[#This Row],[Days]])</f>
        <v>1437.5</v>
      </c>
      <c r="AB1460" s="217"/>
    </row>
    <row r="1461" spans="1:28" ht="15.75" hidden="1" x14ac:dyDescent="0.25">
      <c r="A1461" s="226" t="s">
        <v>4073</v>
      </c>
      <c r="B1461" s="227">
        <v>46091</v>
      </c>
      <c r="C1461" s="243">
        <v>1</v>
      </c>
      <c r="D1461" s="228" t="str">
        <f>VLOOKUP(Main_Presentation[[#This Row],[LC Number]],Main_Issuance[],3,0)</f>
        <v>Mohammed Kotb</v>
      </c>
      <c r="E1461" s="217" t="s">
        <v>858</v>
      </c>
      <c r="F1461" s="244" t="str">
        <f>VLOOKUP(Main_Presentation[[#This Row],[LC Number]],Main_Issuance[],5,0)</f>
        <v>SAB</v>
      </c>
      <c r="G1461" s="244" t="str">
        <f>VLOOKUP(Main_Presentation[[#This Row],[LC Number]],Main_Issuance[],6,0)</f>
        <v>MP1</v>
      </c>
      <c r="H1461" s="244" t="str">
        <f>VLOOKUP(Main_Presentation[[#This Row],[LC Number]],Main_Issuance[],17,0)</f>
        <v>Credit</v>
      </c>
      <c r="I1461" s="244" t="str">
        <f>VLOOKUP(Main_Presentation[[#This Row],[LC Number]],Main_Issuance[],7,0)</f>
        <v>SERGAS SAUDI CONTRACTING CO. L.L.C</v>
      </c>
      <c r="J1461" s="244" t="str">
        <f>VLOOKUP(Main_Presentation[[#This Row],[LC Number]],Main_Issuance[],8,0)</f>
        <v>MBL/ICAD</v>
      </c>
      <c r="K1461" s="244" t="str">
        <f>VLOOKUP(Main_Presentation[[#This Row],[LC Number]],Main_Issuance[],9,0)</f>
        <v>ABHA</v>
      </c>
      <c r="L1461" s="244">
        <f>VLOOKUP(Main_Presentation[[#This Row],[LC Number]],Main_Issuance[],10,0)</f>
        <v>1020070</v>
      </c>
      <c r="M1461" s="244" t="str">
        <f>VLOOKUP(Main_Presentation[[#This Row],[LC Number]],Main_Issuance[],11,0)</f>
        <v>SAR</v>
      </c>
      <c r="N1461" s="245">
        <f>VLOOKUP(Main_Presentation[[#This Row],[LC Number]],Main_Issuance[],12,0)</f>
        <v>817725</v>
      </c>
      <c r="O1461" s="217" t="s">
        <v>20</v>
      </c>
      <c r="P1461" s="217" t="s">
        <v>857</v>
      </c>
      <c r="Q1461" s="218">
        <v>667115</v>
      </c>
      <c r="R1461" s="218">
        <v>1</v>
      </c>
      <c r="S1461" s="218">
        <f>Main_Presentation[[#This Row],[Invoice Amt (FCY)]]*Main_Presentation[[#This Row],[Rate]]</f>
        <v>667115</v>
      </c>
      <c r="T1461" s="227">
        <v>46160</v>
      </c>
      <c r="U1461" s="243" t="str">
        <f>VLOOKUP(Main_Presentation[[#This Row],[LC Number]],Main_Issuance[],18,0)</f>
        <v>90 Days from Date of Delivery</v>
      </c>
      <c r="V1461" s="233" t="s">
        <v>377</v>
      </c>
      <c r="W1461" s="229" t="s">
        <v>857</v>
      </c>
      <c r="X1461" s="217"/>
      <c r="Y1461" s="399" t="str">
        <f>TRIM(LEFT(Main_Presentation[[#This Row],[Payment Terms]],3))</f>
        <v>90</v>
      </c>
      <c r="Z1461" s="217"/>
      <c r="AA1461" s="316" cm="1">
        <f t="array" ref="AA1461">Settlement(Main_Presentation[[#This Row],[Bank]],Main_Presentation[[#This Row],[ Invoice Amt (SAR)]],Main_Presentation[[#This Row],[Date Recd]],Main_Presentation[[#This Row],[Due Date]],Main_Presentation[[#This Row],[Days]])</f>
        <v>2877.3</v>
      </c>
      <c r="AB1461" s="217"/>
    </row>
    <row r="1462" spans="1:28" ht="15.75" hidden="1" x14ac:dyDescent="0.25">
      <c r="A1462" s="20" t="s">
        <v>3319</v>
      </c>
      <c r="B1462" s="15">
        <v>46097</v>
      </c>
      <c r="C1462" s="26">
        <v>1</v>
      </c>
      <c r="D1462" s="55" t="str">
        <f>VLOOKUP(Main_Presentation[[#This Row],[LC Number]],Main_Issuance[],3,0)</f>
        <v>AbdulAziz Eraiba Fawzi</v>
      </c>
      <c r="E1462" s="16" t="s">
        <v>856</v>
      </c>
      <c r="F1462" s="17" t="str">
        <f>VLOOKUP(Main_Presentation[[#This Row],[LC Number]],Main_Issuance[],5,0)</f>
        <v>Jazira</v>
      </c>
      <c r="G1462" s="17" t="str">
        <f>VLOOKUP(Main_Presentation[[#This Row],[LC Number]],Main_Issuance[],6,0)</f>
        <v>RCRC</v>
      </c>
      <c r="H1462" s="17" t="str">
        <f>VLOOKUP(Main_Presentation[[#This Row],[LC Number]],Main_Issuance[],17,0)</f>
        <v>Credit</v>
      </c>
      <c r="I1462" s="17" t="str">
        <f>VLOOKUP(Main_Presentation[[#This Row],[LC Number]],Main_Issuance[],7,0)</f>
        <v>Green Concrete CJSC</v>
      </c>
      <c r="J1462" s="17" t="str">
        <f>VLOOKUP(Main_Presentation[[#This Row],[LC Number]],Main_Issuance[],8,0)</f>
        <v>MBL</v>
      </c>
      <c r="K1462" s="17" t="str">
        <f>VLOOKUP(Main_Presentation[[#This Row],[LC Number]],Main_Issuance[],9,0)</f>
        <v>RCRC</v>
      </c>
      <c r="L1462" s="17">
        <f>VLOOKUP(Main_Presentation[[#This Row],[LC Number]],Main_Issuance[],10,0)</f>
        <v>1020106</v>
      </c>
      <c r="M1462" s="17" t="str">
        <f>VLOOKUP(Main_Presentation[[#This Row],[LC Number]],Main_Issuance[],11,0)</f>
        <v>SAR</v>
      </c>
      <c r="N1462" s="84">
        <f>VLOOKUP(Main_Presentation[[#This Row],[LC Number]],Main_Issuance[],12,0)</f>
        <v>5802900</v>
      </c>
      <c r="O1462" s="16" t="s">
        <v>20</v>
      </c>
      <c r="P1462" s="16" t="s">
        <v>378</v>
      </c>
      <c r="Q1462" s="18">
        <v>109064.85</v>
      </c>
      <c r="R1462" s="18">
        <v>1</v>
      </c>
      <c r="S1462" s="18">
        <f>Main_Presentation[[#This Row],[Invoice Amt (FCY)]]*Main_Presentation[[#This Row],[Rate]]</f>
        <v>109064.85</v>
      </c>
      <c r="T1462" s="15">
        <v>46124</v>
      </c>
      <c r="U1462" s="26" t="str">
        <f>VLOOKUP(Main_Presentation[[#This Row],[LC Number]],Main_Issuance[],18,0)</f>
        <v>60 Days From Invoice Date</v>
      </c>
      <c r="V1462" s="249" t="s">
        <v>613</v>
      </c>
      <c r="W1462" s="22" t="s">
        <v>857</v>
      </c>
      <c r="X1462" s="16"/>
      <c r="Y1462" s="234" t="str">
        <f>TRIM(LEFT(Main_Presentation[[#This Row],[Payment Terms]],3))</f>
        <v>60</v>
      </c>
      <c r="Z1462" s="16"/>
      <c r="AA1462" s="316" cm="1">
        <f t="array" ref="AA1462">Settlement(Main_Presentation[[#This Row],[Bank]],Main_Presentation[[#This Row],[ Invoice Amt (SAR)]],Main_Presentation[[#This Row],[Date Recd]],Main_Presentation[[#This Row],[Due Date]],Main_Presentation[[#This Row],[Days]])</f>
        <v>977.5</v>
      </c>
      <c r="AB1462" s="16"/>
    </row>
    <row r="1463" spans="1:28" ht="15.75" hidden="1" x14ac:dyDescent="0.25">
      <c r="A1463" s="20" t="s">
        <v>2287</v>
      </c>
      <c r="B1463" s="15">
        <v>46097</v>
      </c>
      <c r="C1463" s="26">
        <v>3</v>
      </c>
      <c r="D1463" s="55" t="str">
        <f>VLOOKUP(Main_Presentation[[#This Row],[LC Number]],Main_Issuance[],3,0)</f>
        <v>AbdulAziz Eraiba Fawzi</v>
      </c>
      <c r="E1463" s="16" t="s">
        <v>856</v>
      </c>
      <c r="F1463" s="17" t="str">
        <f>VLOOKUP(Main_Presentation[[#This Row],[LC Number]],Main_Issuance[],5,0)</f>
        <v>Jazira</v>
      </c>
      <c r="G1463" s="17" t="str">
        <f>VLOOKUP(Main_Presentation[[#This Row],[LC Number]],Main_Issuance[],6,0)</f>
        <v>RCRC</v>
      </c>
      <c r="H1463" s="17" t="str">
        <f>VLOOKUP(Main_Presentation[[#This Row],[LC Number]],Main_Issuance[],17,0)</f>
        <v>Credit</v>
      </c>
      <c r="I1463" s="17" t="str">
        <f>VLOOKUP(Main_Presentation[[#This Row],[LC Number]],Main_Issuance[],7,0)</f>
        <v>Alrashid Trading and Contracting Company</v>
      </c>
      <c r="J1463" s="17" t="str">
        <f>VLOOKUP(Main_Presentation[[#This Row],[LC Number]],Main_Issuance[],8,0)</f>
        <v>MBL</v>
      </c>
      <c r="K1463" s="17" t="str">
        <f>VLOOKUP(Main_Presentation[[#This Row],[LC Number]],Main_Issuance[],9,0)</f>
        <v>RCRC</v>
      </c>
      <c r="L1463" s="17">
        <f>VLOOKUP(Main_Presentation[[#This Row],[LC Number]],Main_Issuance[],10,0)</f>
        <v>1020106</v>
      </c>
      <c r="M1463" s="17" t="str">
        <f>VLOOKUP(Main_Presentation[[#This Row],[LC Number]],Main_Issuance[],11,0)</f>
        <v>SAR</v>
      </c>
      <c r="N1463" s="84">
        <f>VLOOKUP(Main_Presentation[[#This Row],[LC Number]],Main_Issuance[],12,0)</f>
        <v>16731764</v>
      </c>
      <c r="O1463" s="16" t="s">
        <v>20</v>
      </c>
      <c r="P1463" s="16" t="s">
        <v>378</v>
      </c>
      <c r="Q1463" s="18">
        <v>1835164.63</v>
      </c>
      <c r="R1463" s="18">
        <v>1</v>
      </c>
      <c r="S1463" s="18">
        <f>Main_Presentation[[#This Row],[Invoice Amt (FCY)]]*Main_Presentation[[#This Row],[Rate]]</f>
        <v>1835164.63</v>
      </c>
      <c r="T1463" s="227">
        <v>46097</v>
      </c>
      <c r="U1463" s="26" t="str">
        <f>VLOOKUP(Main_Presentation[[#This Row],[LC Number]],Main_Issuance[],18,0)</f>
        <v>30 Days From Invoice Date</v>
      </c>
      <c r="V1463" s="249" t="s">
        <v>613</v>
      </c>
      <c r="W1463" s="22" t="s">
        <v>857</v>
      </c>
      <c r="X1463" s="16"/>
      <c r="Y1463" s="234" t="str">
        <f>TRIM(LEFT(Main_Presentation[[#This Row],[Payment Terms]],3))</f>
        <v>30</v>
      </c>
      <c r="Z1463" s="16"/>
      <c r="AA1463" s="316" cm="1">
        <f t="array" ref="AA1463">Settlement(Main_Presentation[[#This Row],[Bank]],Main_Presentation[[#This Row],[ Invoice Amt (SAR)]],Main_Presentation[[#This Row],[Date Recd]],Main_Presentation[[#This Row],[Due Date]],Main_Presentation[[#This Row],[Days]])</f>
        <v>1224.75</v>
      </c>
      <c r="AB1463" s="16"/>
    </row>
    <row r="1464" spans="1:28" ht="15.75" hidden="1" x14ac:dyDescent="0.25">
      <c r="A1464" s="226" t="s">
        <v>1610</v>
      </c>
      <c r="B1464" s="227">
        <v>46097</v>
      </c>
      <c r="C1464" s="243">
        <v>3</v>
      </c>
      <c r="D1464" s="228" t="str">
        <f>VLOOKUP(Main_Presentation[[#This Row],[LC Number]],Main_Issuance[],3,0)</f>
        <v>AbdulAziz Eraiba Fawzi</v>
      </c>
      <c r="E1464" s="217" t="s">
        <v>856</v>
      </c>
      <c r="F1464" s="244" t="str">
        <f>VLOOKUP(Main_Presentation[[#This Row],[LC Number]],Main_Issuance[],5,0)</f>
        <v>Jazira</v>
      </c>
      <c r="G1464" s="244" t="str">
        <f>VLOOKUP(Main_Presentation[[#This Row],[LC Number]],Main_Issuance[],6,0)</f>
        <v>RCRC</v>
      </c>
      <c r="H1464" s="244" t="str">
        <f>VLOOKUP(Main_Presentation[[#This Row],[LC Number]],Main_Issuance[],17,0)</f>
        <v>Credit</v>
      </c>
      <c r="I1464" s="244" t="str">
        <f>VLOOKUP(Main_Presentation[[#This Row],[LC Number]],Main_Issuance[],7,0)</f>
        <v>Metten Al-Arabia Ltd Co (METARA)</v>
      </c>
      <c r="J1464" s="244" t="str">
        <f>VLOOKUP(Main_Presentation[[#This Row],[LC Number]],Main_Issuance[],8,0)</f>
        <v>MBL</v>
      </c>
      <c r="K1464" s="244" t="str">
        <f>VLOOKUP(Main_Presentation[[#This Row],[LC Number]],Main_Issuance[],9,0)</f>
        <v>RCRC</v>
      </c>
      <c r="L1464" s="244">
        <f>VLOOKUP(Main_Presentation[[#This Row],[LC Number]],Main_Issuance[],10,0)</f>
        <v>1020106</v>
      </c>
      <c r="M1464" s="244" t="str">
        <f>VLOOKUP(Main_Presentation[[#This Row],[LC Number]],Main_Issuance[],11,0)</f>
        <v>SAR</v>
      </c>
      <c r="N1464" s="245">
        <f>VLOOKUP(Main_Presentation[[#This Row],[LC Number]],Main_Issuance[],12,0)</f>
        <v>12956001.199999999</v>
      </c>
      <c r="O1464" s="217" t="s">
        <v>20</v>
      </c>
      <c r="P1464" s="217" t="s">
        <v>378</v>
      </c>
      <c r="Q1464" s="218">
        <v>54799.8</v>
      </c>
      <c r="R1464" s="218">
        <v>1</v>
      </c>
      <c r="S1464" s="218">
        <f>Main_Presentation[[#This Row],[Invoice Amt (FCY)]]*Main_Presentation[[#This Row],[Rate]]</f>
        <v>54799.8</v>
      </c>
      <c r="T1464" s="227">
        <v>46097</v>
      </c>
      <c r="U1464" s="243" t="str">
        <f>VLOOKUP(Main_Presentation[[#This Row],[LC Number]],Main_Issuance[],18,0)</f>
        <v>60 Days from Invoice Date</v>
      </c>
      <c r="V1464" s="233" t="s">
        <v>613</v>
      </c>
      <c r="W1464" s="229" t="s">
        <v>857</v>
      </c>
      <c r="X1464" s="217"/>
      <c r="Y1464" s="399" t="str">
        <f>TRIM(LEFT(Main_Presentation[[#This Row],[Payment Terms]],3))</f>
        <v>60</v>
      </c>
      <c r="Z1464" s="217"/>
      <c r="AA1464" s="316" cm="1">
        <f t="array" ref="AA1464">Settlement(Main_Presentation[[#This Row],[Bank]],Main_Presentation[[#This Row],[ Invoice Amt (SAR)]],Main_Presentation[[#This Row],[Date Recd]],Main_Presentation[[#This Row],[Due Date]],Main_Presentation[[#This Row],[Days]])</f>
        <v>977.5</v>
      </c>
      <c r="AB1464" s="217"/>
    </row>
    <row r="1465" spans="1:28" ht="15.75" hidden="1" x14ac:dyDescent="0.25">
      <c r="A1465" s="226" t="s">
        <v>3169</v>
      </c>
      <c r="B1465" s="227">
        <v>46078</v>
      </c>
      <c r="C1465" s="243">
        <v>2</v>
      </c>
      <c r="D1465" s="228" t="str">
        <f>VLOOKUP(Main_Presentation[[#This Row],[LC Number]],Main_Issuance[],3,0)</f>
        <v>Mohammed Atef</v>
      </c>
      <c r="E1465" s="217" t="s">
        <v>856</v>
      </c>
      <c r="F1465" s="244" t="str">
        <f>VLOOKUP(Main_Presentation[[#This Row],[LC Number]],Main_Issuance[],5,0)</f>
        <v>Alinma</v>
      </c>
      <c r="G1465" s="244" t="str">
        <f>VLOOKUP(Main_Presentation[[#This Row],[LC Number]],Main_Issuance[],6,0)</f>
        <v>KSP</v>
      </c>
      <c r="H1465" s="244" t="str">
        <f>VLOOKUP(Main_Presentation[[#This Row],[LC Number]],Main_Issuance[],17,0)</f>
        <v>Credit</v>
      </c>
      <c r="I1465" s="244" t="str">
        <f>VLOOKUP(Main_Presentation[[#This Row],[LC Number]],Main_Issuance[],7,0)</f>
        <v>Osalas GMBH</v>
      </c>
      <c r="J1465" s="244" t="str">
        <f>VLOOKUP(Main_Presentation[[#This Row],[LC Number]],Main_Issuance[],8,0)</f>
        <v>MBL</v>
      </c>
      <c r="K1465" s="244" t="str">
        <f>VLOOKUP(Main_Presentation[[#This Row],[LC Number]],Main_Issuance[],9,0)</f>
        <v>ADF</v>
      </c>
      <c r="L1465" s="244">
        <f>VLOOKUP(Main_Presentation[[#This Row],[LC Number]],Main_Issuance[],10,0)</f>
        <v>1020001</v>
      </c>
      <c r="M1465" s="244" t="str">
        <f>VLOOKUP(Main_Presentation[[#This Row],[LC Number]],Main_Issuance[],11,0)</f>
        <v>EUR</v>
      </c>
      <c r="N1465" s="245">
        <f>VLOOKUP(Main_Presentation[[#This Row],[LC Number]],Main_Issuance[],12,0)</f>
        <v>5000000</v>
      </c>
      <c r="O1465" s="217" t="s">
        <v>20</v>
      </c>
      <c r="P1465" s="217" t="s">
        <v>857</v>
      </c>
      <c r="Q1465" s="218">
        <v>975000</v>
      </c>
      <c r="R1465" s="218">
        <v>4.4595000000000002</v>
      </c>
      <c r="S1465" s="218">
        <f>Main_Presentation[[#This Row],[Invoice Amt (FCY)]]*Main_Presentation[[#This Row],[Rate]]</f>
        <v>4348012.5</v>
      </c>
      <c r="T1465" s="227">
        <v>46079</v>
      </c>
      <c r="U1465" s="243" t="str">
        <f>VLOOKUP(Main_Presentation[[#This Row],[LC Number]],Main_Issuance[],18,0)</f>
        <v>Sight / 60 Days from Appl. Rep Sign on Invoice</v>
      </c>
      <c r="V1465" s="233" t="s">
        <v>90</v>
      </c>
      <c r="W1465" s="229" t="s">
        <v>857</v>
      </c>
      <c r="X1465" s="217"/>
      <c r="Y1465" s="399" t="str">
        <f>TRIM(LEFT(Main_Presentation[[#This Row],[Payment Terms]],3))</f>
        <v>Sig</v>
      </c>
      <c r="Z1465" s="217"/>
      <c r="AA1465" s="316" t="e" cm="1">
        <f t="array" ref="AA1465">Settlement(Main_Presentation[[#This Row],[Bank]],Main_Presentation[[#This Row],[ Invoice Amt (SAR)]],Main_Presentation[[#This Row],[Date Recd]],Main_Presentation[[#This Row],[Due Date]],Main_Presentation[[#This Row],[Days]])</f>
        <v>#VALUE!</v>
      </c>
      <c r="AB1465" s="217"/>
    </row>
    <row r="1466" spans="1:28" ht="15.75" hidden="1" x14ac:dyDescent="0.25">
      <c r="A1466" s="226" t="s">
        <v>3169</v>
      </c>
      <c r="B1466" s="227">
        <v>46079</v>
      </c>
      <c r="C1466" s="243">
        <v>3</v>
      </c>
      <c r="D1466" s="228" t="str">
        <f>VLOOKUP(Main_Presentation[[#This Row],[LC Number]],Main_Issuance[],3,0)</f>
        <v>Mohammed Atef</v>
      </c>
      <c r="E1466" s="217" t="s">
        <v>856</v>
      </c>
      <c r="F1466" s="244" t="str">
        <f>VLOOKUP(Main_Presentation[[#This Row],[LC Number]],Main_Issuance[],5,0)</f>
        <v>Alinma</v>
      </c>
      <c r="G1466" s="244" t="str">
        <f>VLOOKUP(Main_Presentation[[#This Row],[LC Number]],Main_Issuance[],6,0)</f>
        <v>KSP</v>
      </c>
      <c r="H1466" s="244" t="str">
        <f>VLOOKUP(Main_Presentation[[#This Row],[LC Number]],Main_Issuance[],17,0)</f>
        <v>Credit</v>
      </c>
      <c r="I1466" s="244" t="str">
        <f>VLOOKUP(Main_Presentation[[#This Row],[LC Number]],Main_Issuance[],7,0)</f>
        <v>Osalas GMBH</v>
      </c>
      <c r="J1466" s="244" t="str">
        <f>VLOOKUP(Main_Presentation[[#This Row],[LC Number]],Main_Issuance[],8,0)</f>
        <v>MBL</v>
      </c>
      <c r="K1466" s="244" t="str">
        <f>VLOOKUP(Main_Presentation[[#This Row],[LC Number]],Main_Issuance[],9,0)</f>
        <v>ADF</v>
      </c>
      <c r="L1466" s="244">
        <f>VLOOKUP(Main_Presentation[[#This Row],[LC Number]],Main_Issuance[],10,0)</f>
        <v>1020001</v>
      </c>
      <c r="M1466" s="244" t="str">
        <f>VLOOKUP(Main_Presentation[[#This Row],[LC Number]],Main_Issuance[],11,0)</f>
        <v>EUR</v>
      </c>
      <c r="N1466" s="245">
        <f>VLOOKUP(Main_Presentation[[#This Row],[LC Number]],Main_Issuance[],12,0)</f>
        <v>5000000</v>
      </c>
      <c r="O1466" s="217" t="s">
        <v>20</v>
      </c>
      <c r="P1466" s="217" t="s">
        <v>857</v>
      </c>
      <c r="Q1466" s="218">
        <v>851000</v>
      </c>
      <c r="R1466" s="218">
        <v>4.4394999999999998</v>
      </c>
      <c r="S1466" s="218">
        <f>Main_Presentation[[#This Row],[Invoice Amt (FCY)]]*Main_Presentation[[#This Row],[Rate]]</f>
        <v>3778014.5</v>
      </c>
      <c r="T1466" s="227">
        <v>46083</v>
      </c>
      <c r="U1466" s="243" t="str">
        <f>VLOOKUP(Main_Presentation[[#This Row],[LC Number]],Main_Issuance[],18,0)</f>
        <v>Sight / 60 Days from Appl. Rep Sign on Invoice</v>
      </c>
      <c r="V1466" s="233" t="s">
        <v>90</v>
      </c>
      <c r="W1466" s="229" t="s">
        <v>857</v>
      </c>
      <c r="X1466" s="217"/>
      <c r="Y1466" s="399" t="str">
        <f>TRIM(LEFT(Main_Presentation[[#This Row],[Payment Terms]],3))</f>
        <v>Sig</v>
      </c>
      <c r="Z1466" s="217"/>
      <c r="AA1466" s="316" t="e" cm="1">
        <f t="array" ref="AA1466">Settlement(Main_Presentation[[#This Row],[Bank]],Main_Presentation[[#This Row],[ Invoice Amt (SAR)]],Main_Presentation[[#This Row],[Date Recd]],Main_Presentation[[#This Row],[Due Date]],Main_Presentation[[#This Row],[Days]])</f>
        <v>#VALUE!</v>
      </c>
      <c r="AB1466" s="217"/>
    </row>
    <row r="1467" spans="1:28" ht="15.75" hidden="1" x14ac:dyDescent="0.25">
      <c r="A1467" s="226" t="s">
        <v>1896</v>
      </c>
      <c r="B1467" s="227">
        <v>46093</v>
      </c>
      <c r="C1467" s="243">
        <v>3</v>
      </c>
      <c r="D1467" s="228" t="str">
        <f>VLOOKUP(Main_Presentation[[#This Row],[LC Number]],Main_Issuance[],3,0)</f>
        <v>Rabih Makhoul</v>
      </c>
      <c r="E1467" s="217" t="s">
        <v>858</v>
      </c>
      <c r="F1467" s="244" t="str">
        <f>VLOOKUP(Main_Presentation[[#This Row],[LC Number]],Main_Issuance[],5,0)</f>
        <v>Alinma</v>
      </c>
      <c r="G1467" s="244" t="str">
        <f>VLOOKUP(Main_Presentation[[#This Row],[LC Number]],Main_Issuance[],6,0)</f>
        <v>KSP</v>
      </c>
      <c r="H1467" s="244" t="str">
        <f>VLOOKUP(Main_Presentation[[#This Row],[LC Number]],Main_Issuance[],17,0)</f>
        <v>Credit</v>
      </c>
      <c r="I1467" s="244" t="str">
        <f>VLOOKUP(Main_Presentation[[#This Row],[LC Number]],Main_Issuance[],7,0)</f>
        <v>Saudi Perfect Pumps Trading &amp; Manufacturing Company</v>
      </c>
      <c r="J1467" s="244" t="str">
        <f>VLOOKUP(Main_Presentation[[#This Row],[LC Number]],Main_Issuance[],8,0)</f>
        <v>MBL</v>
      </c>
      <c r="K1467" s="244" t="str">
        <f>VLOOKUP(Main_Presentation[[#This Row],[LC Number]],Main_Issuance[],9,0)</f>
        <v>Rabigh Power Plant</v>
      </c>
      <c r="L1467" s="244">
        <f>VLOOKUP(Main_Presentation[[#This Row],[LC Number]],Main_Issuance[],10,0)</f>
        <v>1020107</v>
      </c>
      <c r="M1467" s="244" t="str">
        <f>VLOOKUP(Main_Presentation[[#This Row],[LC Number]],Main_Issuance[],11,0)</f>
        <v>SAR</v>
      </c>
      <c r="N1467" s="245">
        <f>VLOOKUP(Main_Presentation[[#This Row],[LC Number]],Main_Issuance[],12,0)</f>
        <v>7670500</v>
      </c>
      <c r="O1467" s="217" t="s">
        <v>20</v>
      </c>
      <c r="P1467" s="217" t="s">
        <v>857</v>
      </c>
      <c r="Q1467" s="218">
        <v>277163.32</v>
      </c>
      <c r="R1467" s="218">
        <v>1</v>
      </c>
      <c r="S1467" s="218">
        <f>Main_Presentation[[#This Row],[Invoice Amt (FCY)]]*Main_Presentation[[#This Row],[Rate]]</f>
        <v>277163.32</v>
      </c>
      <c r="T1467" s="227">
        <v>46125</v>
      </c>
      <c r="U1467" s="243" t="str">
        <f>VLOOKUP(Main_Presentation[[#This Row],[LC Number]],Main_Issuance[],18,0)</f>
        <v>45 Days from Delivery Date</v>
      </c>
      <c r="V1467" s="233" t="s">
        <v>511</v>
      </c>
      <c r="W1467" s="229" t="s">
        <v>857</v>
      </c>
      <c r="X1467" s="16"/>
      <c r="Y1467" s="399" t="str">
        <f>TRIM(LEFT(Main_Presentation[[#This Row],[Payment Terms]],3))</f>
        <v>45</v>
      </c>
      <c r="Z1467" s="217"/>
      <c r="AA1467" s="316" cm="1">
        <f t="array" ref="AA1467">Settlement(Main_Presentation[[#This Row],[Bank]],Main_Presentation[[#This Row],[ Invoice Amt (SAR)]],Main_Presentation[[#This Row],[Date Recd]],Main_Presentation[[#This Row],[Due Date]],Main_Presentation[[#This Row],[Days]])</f>
        <v>1437.5</v>
      </c>
      <c r="AB1467" s="217"/>
    </row>
    <row r="1468" spans="1:28" ht="15.75" hidden="1" x14ac:dyDescent="0.25">
      <c r="A1468" s="226" t="s">
        <v>1672</v>
      </c>
      <c r="B1468" s="227">
        <v>46083</v>
      </c>
      <c r="C1468" s="243">
        <v>2</v>
      </c>
      <c r="D1468" s="228" t="str">
        <f>VLOOKUP(Main_Presentation[[#This Row],[LC Number]],Main_Issuance[],3,0)</f>
        <v>Tareeq Telmasani</v>
      </c>
      <c r="E1468" s="217" t="s">
        <v>856</v>
      </c>
      <c r="F1468" s="244" t="str">
        <f>VLOOKUP(Main_Presentation[[#This Row],[LC Number]],Main_Issuance[],5,0)</f>
        <v>SAB</v>
      </c>
      <c r="G1468" s="244" t="str">
        <f>VLOOKUP(Main_Presentation[[#This Row],[LC Number]],Main_Issuance[],6,0)</f>
        <v>CEER</v>
      </c>
      <c r="H1468" s="244" t="str">
        <f>VLOOKUP(Main_Presentation[[#This Row],[LC Number]],Main_Issuance[],17,0)</f>
        <v>Credit</v>
      </c>
      <c r="I1468" s="244" t="str">
        <f>VLOOKUP(Main_Presentation[[#This Row],[LC Number]],Main_Issuance[],7,0)</f>
        <v>Systemair for Electrical Equipment Co.</v>
      </c>
      <c r="J1468" s="244" t="str">
        <f>VLOOKUP(Main_Presentation[[#This Row],[LC Number]],Main_Issuance[],8,0)</f>
        <v>FIRST FIX</v>
      </c>
      <c r="K1468" s="244" t="str">
        <f>VLOOKUP(Main_Presentation[[#This Row],[LC Number]],Main_Issuance[],9,0)</f>
        <v>CEER</v>
      </c>
      <c r="L1468" s="244">
        <f>VLOOKUP(Main_Presentation[[#This Row],[LC Number]],Main_Issuance[],10,0)</f>
        <v>1020091</v>
      </c>
      <c r="M1468" s="244" t="str">
        <f>VLOOKUP(Main_Presentation[[#This Row],[LC Number]],Main_Issuance[],11,0)</f>
        <v>SAR</v>
      </c>
      <c r="N1468" s="245">
        <f>VLOOKUP(Main_Presentation[[#This Row],[LC Number]],Main_Issuance[],12,0)</f>
        <v>120000</v>
      </c>
      <c r="O1468" s="217" t="s">
        <v>20</v>
      </c>
      <c r="P1468" s="217" t="s">
        <v>857</v>
      </c>
      <c r="Q1468" s="218">
        <v>45901.760000000002</v>
      </c>
      <c r="R1468" s="218">
        <v>1</v>
      </c>
      <c r="S1468" s="218">
        <f>Main_Presentation[[#This Row],[Invoice Amt (FCY)]]*Main_Presentation[[#This Row],[Rate]]</f>
        <v>45901.760000000002</v>
      </c>
      <c r="T1468" s="227">
        <v>46131</v>
      </c>
      <c r="U1468" s="243" t="str">
        <f>VLOOKUP(Main_Presentation[[#This Row],[LC Number]],Main_Issuance[],18,0)</f>
        <v>90 Days from Appl. Representative Sign</v>
      </c>
      <c r="V1468" s="233" t="s">
        <v>4353</v>
      </c>
      <c r="W1468" s="229" t="s">
        <v>857</v>
      </c>
      <c r="X1468" s="217"/>
      <c r="Y1468" s="399" t="str">
        <f>TRIM(LEFT(Main_Presentation[[#This Row],[Payment Terms]],3))</f>
        <v>90</v>
      </c>
      <c r="Z1468" s="217"/>
      <c r="AA1468" s="316" cm="1">
        <f t="array" ref="AA1468">Settlement(Main_Presentation[[#This Row],[Bank]],Main_Presentation[[#This Row],[ Invoice Amt (SAR)]],Main_Presentation[[#This Row],[Date Recd]],Main_Presentation[[#This Row],[Due Date]],Main_Presentation[[#This Row],[Days]])</f>
        <v>575</v>
      </c>
      <c r="AB1468" s="217"/>
    </row>
    <row r="1469" spans="1:28" ht="15.75" hidden="1" x14ac:dyDescent="0.25">
      <c r="A1469" s="226" t="s">
        <v>1895</v>
      </c>
      <c r="B1469" s="227">
        <v>46093</v>
      </c>
      <c r="C1469" s="243" t="s">
        <v>1299</v>
      </c>
      <c r="D1469" s="228" t="str">
        <f>VLOOKUP(Main_Presentation[[#This Row],[LC Number]],Main_Issuance[],3,0)</f>
        <v>Rabih Makhoul</v>
      </c>
      <c r="E1469" s="217" t="s">
        <v>856</v>
      </c>
      <c r="F1469" s="244" t="str">
        <f>VLOOKUP(Main_Presentation[[#This Row],[LC Number]],Main_Issuance[],5,0)</f>
        <v>Alinma</v>
      </c>
      <c r="G1469" s="244" t="str">
        <f>VLOOKUP(Main_Presentation[[#This Row],[LC Number]],Main_Issuance[],6,0)</f>
        <v>KSP</v>
      </c>
      <c r="H1469" s="244" t="str">
        <f>VLOOKUP(Main_Presentation[[#This Row],[LC Number]],Main_Issuance[],17,0)</f>
        <v>Credit</v>
      </c>
      <c r="I1469" s="244" t="str">
        <f>VLOOKUP(Main_Presentation[[#This Row],[LC Number]],Main_Issuance[],7,0)</f>
        <v>BRC Industrial (Saudia) Company</v>
      </c>
      <c r="J1469" s="244" t="str">
        <f>VLOOKUP(Main_Presentation[[#This Row],[LC Number]],Main_Issuance[],8,0)</f>
        <v>MBL</v>
      </c>
      <c r="K1469" s="244" t="str">
        <f>VLOOKUP(Main_Presentation[[#This Row],[LC Number]],Main_Issuance[],9,0)</f>
        <v>Rabigh Power Plant</v>
      </c>
      <c r="L1469" s="244">
        <f>VLOOKUP(Main_Presentation[[#This Row],[LC Number]],Main_Issuance[],10,0)</f>
        <v>1020107</v>
      </c>
      <c r="M1469" s="244" t="str">
        <f>VLOOKUP(Main_Presentation[[#This Row],[LC Number]],Main_Issuance[],11,0)</f>
        <v>SAR</v>
      </c>
      <c r="N1469" s="245">
        <f>VLOOKUP(Main_Presentation[[#This Row],[LC Number]],Main_Issuance[],12,0)</f>
        <v>2074312.5</v>
      </c>
      <c r="O1469" s="217" t="s">
        <v>20</v>
      </c>
      <c r="P1469" s="217" t="s">
        <v>857</v>
      </c>
      <c r="Q1469" s="218">
        <f>1365320.51-249184.52-239706.06</f>
        <v>876429.92999999993</v>
      </c>
      <c r="R1469" s="218">
        <v>1</v>
      </c>
      <c r="S1469" s="218">
        <f>Main_Presentation[[#This Row],[Invoice Amt (FCY)]]*Main_Presentation[[#This Row],[Rate]]</f>
        <v>876429.92999999993</v>
      </c>
      <c r="T1469" s="227">
        <v>46154</v>
      </c>
      <c r="U1469" s="243" t="str">
        <f>VLOOKUP(Main_Presentation[[#This Row],[LC Number]],Main_Issuance[],18,0)</f>
        <v>120 Days from Invoice Date</v>
      </c>
      <c r="V1469" s="233" t="s">
        <v>5335</v>
      </c>
      <c r="W1469" s="229" t="s">
        <v>378</v>
      </c>
      <c r="X1469" s="217"/>
      <c r="Y1469" s="399" t="str">
        <f>TRIM(LEFT(Main_Presentation[[#This Row],[Payment Terms]],3))</f>
        <v>120</v>
      </c>
      <c r="Z1469" s="217"/>
      <c r="AA1469" s="316" cm="1">
        <f t="array" ref="AA1469">Settlement(Main_Presentation[[#This Row],[Bank]],Main_Presentation[[#This Row],[ Invoice Amt (SAR)]],Main_Presentation[[#This Row],[Date Recd]],Main_Presentation[[#This Row],[Due Date]],Main_Presentation[[#This Row],[Days]])</f>
        <v>1437.5</v>
      </c>
      <c r="AB1469" s="217"/>
    </row>
    <row r="1470" spans="1:28" ht="15.75" hidden="1" x14ac:dyDescent="0.25">
      <c r="A1470" s="226" t="s">
        <v>1810</v>
      </c>
      <c r="B1470" s="227">
        <v>46113</v>
      </c>
      <c r="C1470" s="243">
        <v>5</v>
      </c>
      <c r="D1470" s="228" t="str">
        <f>VLOOKUP(Main_Presentation[[#This Row],[LC Number]],Main_Issuance[],3,0)</f>
        <v>AbdulAziz Eraiba Fawzi</v>
      </c>
      <c r="E1470" s="217" t="s">
        <v>856</v>
      </c>
      <c r="F1470" s="244" t="str">
        <f>VLOOKUP(Main_Presentation[[#This Row],[LC Number]],Main_Issuance[],5,0)</f>
        <v>Jazira</v>
      </c>
      <c r="G1470" s="244" t="str">
        <f>VLOOKUP(Main_Presentation[[#This Row],[LC Number]],Main_Issuance[],6,0)</f>
        <v>RCRC</v>
      </c>
      <c r="H1470" s="244" t="str">
        <f>VLOOKUP(Main_Presentation[[#This Row],[LC Number]],Main_Issuance[],17,0)</f>
        <v>Credit</v>
      </c>
      <c r="I1470" s="244" t="str">
        <f>VLOOKUP(Main_Presentation[[#This Row],[LC Number]],Main_Issuance[],7,0)</f>
        <v>AL FALWA CO. LTD. FOR READYMIX CONCRETE</v>
      </c>
      <c r="J1470" s="244" t="str">
        <f>VLOOKUP(Main_Presentation[[#This Row],[LC Number]],Main_Issuance[],8,0)</f>
        <v>MBL</v>
      </c>
      <c r="K1470" s="244" t="str">
        <f>VLOOKUP(Main_Presentation[[#This Row],[LC Number]],Main_Issuance[],9,0)</f>
        <v>RCRC</v>
      </c>
      <c r="L1470" s="244">
        <f>VLOOKUP(Main_Presentation[[#This Row],[LC Number]],Main_Issuance[],10,0)</f>
        <v>1020106</v>
      </c>
      <c r="M1470" s="244" t="str">
        <f>VLOOKUP(Main_Presentation[[#This Row],[LC Number]],Main_Issuance[],11,0)</f>
        <v>SAR</v>
      </c>
      <c r="N1470" s="245">
        <f>VLOOKUP(Main_Presentation[[#This Row],[LC Number]],Main_Issuance[],12,0)</f>
        <v>10000000</v>
      </c>
      <c r="O1470" s="217" t="s">
        <v>20</v>
      </c>
      <c r="P1470" s="217" t="s">
        <v>378</v>
      </c>
      <c r="Q1470" s="218">
        <v>537079</v>
      </c>
      <c r="R1470" s="218">
        <v>1</v>
      </c>
      <c r="S1470" s="218">
        <f>Main_Presentation[[#This Row],[Invoice Amt (FCY)]]*Main_Presentation[[#This Row],[Rate]]</f>
        <v>537079</v>
      </c>
      <c r="T1470" s="227">
        <v>46138</v>
      </c>
      <c r="U1470" s="243" t="str">
        <f>VLOOKUP(Main_Presentation[[#This Row],[LC Number]],Main_Issuance[],18,0)</f>
        <v>60 Days from Invoice Date</v>
      </c>
      <c r="V1470" s="233" t="s">
        <v>613</v>
      </c>
      <c r="W1470" s="229" t="s">
        <v>857</v>
      </c>
      <c r="X1470" s="217"/>
      <c r="Y1470" s="399" t="str">
        <f>TRIM(LEFT(Main_Presentation[[#This Row],[Payment Terms]],3))</f>
        <v>60</v>
      </c>
      <c r="Z1470" s="217"/>
      <c r="AA1470" s="316" cm="1">
        <f t="array" ref="AA1470">Settlement(Main_Presentation[[#This Row],[Bank]],Main_Presentation[[#This Row],[ Invoice Amt (SAR)]],Main_Presentation[[#This Row],[Date Recd]],Main_Presentation[[#This Row],[Due Date]],Main_Presentation[[#This Row],[Days]])</f>
        <v>860.2</v>
      </c>
      <c r="AB1470" s="217"/>
    </row>
    <row r="1471" spans="1:28" ht="15.75" hidden="1" x14ac:dyDescent="0.25">
      <c r="A1471" s="20" t="s">
        <v>3954</v>
      </c>
      <c r="B1471" s="15">
        <v>46091</v>
      </c>
      <c r="C1471" s="26">
        <v>1</v>
      </c>
      <c r="D1471" s="55" t="str">
        <f>VLOOKUP(Main_Presentation[[#This Row],[LC Number]],Main_Issuance[],3,0)</f>
        <v>Luis Puente</v>
      </c>
      <c r="E1471" s="16" t="s">
        <v>856</v>
      </c>
      <c r="F1471" s="17" t="str">
        <f>VLOOKUP(Main_Presentation[[#This Row],[LC Number]],Main_Issuance[],5,0)</f>
        <v>Riyad</v>
      </c>
      <c r="G1471" s="17" t="str">
        <f>VLOOKUP(Main_Presentation[[#This Row],[LC Number]],Main_Issuance[],6,0)</f>
        <v>Oceanarium</v>
      </c>
      <c r="H1471" s="17" t="str">
        <f>VLOOKUP(Main_Presentation[[#This Row],[LC Number]],Main_Issuance[],17,0)</f>
        <v>Credit</v>
      </c>
      <c r="I1471" s="17" t="str">
        <f>VLOOKUP(Main_Presentation[[#This Row],[LC Number]],Main_Issuance[],7,0)</f>
        <v>Mahmoud Altaheni And His Partners Trading Company</v>
      </c>
      <c r="J1471" s="17" t="str">
        <f>VLOOKUP(Main_Presentation[[#This Row],[LC Number]],Main_Issuance[],8,0)</f>
        <v>FIRST FIX</v>
      </c>
      <c r="K1471" s="17" t="str">
        <f>VLOOKUP(Main_Presentation[[#This Row],[LC Number]],Main_Issuance[],9,0)</f>
        <v>Oceanarium</v>
      </c>
      <c r="L1471" s="17">
        <f>VLOOKUP(Main_Presentation[[#This Row],[LC Number]],Main_Issuance[],10,0)</f>
        <v>1020096</v>
      </c>
      <c r="M1471" s="17" t="str">
        <f>VLOOKUP(Main_Presentation[[#This Row],[LC Number]],Main_Issuance[],11,0)</f>
        <v>SAR</v>
      </c>
      <c r="N1471" s="84">
        <f>VLOOKUP(Main_Presentation[[#This Row],[LC Number]],Main_Issuance[],12,0)</f>
        <v>500000</v>
      </c>
      <c r="O1471" s="16" t="s">
        <v>20</v>
      </c>
      <c r="P1471" s="16" t="s">
        <v>857</v>
      </c>
      <c r="Q1471" s="18">
        <v>500000</v>
      </c>
      <c r="R1471" s="18">
        <v>1</v>
      </c>
      <c r="S1471" s="18">
        <f>Main_Presentation[[#This Row],[Invoice Amt (FCY)]]*Main_Presentation[[#This Row],[Rate]]</f>
        <v>500000</v>
      </c>
      <c r="T1471" s="15">
        <v>46176</v>
      </c>
      <c r="U1471" s="26" t="str">
        <f>VLOOKUP(Main_Presentation[[#This Row],[LC Number]],Main_Issuance[],18,0)</f>
        <v>90 Days from Appln Rep Sign on Invoice</v>
      </c>
      <c r="V1471" s="249" t="s">
        <v>5429</v>
      </c>
      <c r="W1471" s="22" t="s">
        <v>378</v>
      </c>
      <c r="X1471" s="16"/>
      <c r="Y1471" s="234" t="str">
        <f>TRIM(LEFT(Main_Presentation[[#This Row],[Payment Terms]],3))</f>
        <v>90</v>
      </c>
      <c r="Z1471" s="16"/>
      <c r="AA1471" s="316" cm="1">
        <f t="array" ref="AA1471">Settlement(Main_Presentation[[#This Row],[Bank]],Main_Presentation[[#This Row],[ Invoice Amt (SAR)]],Main_Presentation[[#This Row],[Date Recd]],Main_Presentation[[#This Row],[Due Date]],Main_Presentation[[#This Row],[Days]])</f>
        <v>2156.25</v>
      </c>
      <c r="AB1471" s="16"/>
    </row>
    <row r="1472" spans="1:28" ht="15.75" hidden="1" x14ac:dyDescent="0.25">
      <c r="A1472" s="20" t="s">
        <v>3948</v>
      </c>
      <c r="B1472" s="15">
        <v>46096</v>
      </c>
      <c r="C1472" s="26">
        <v>1</v>
      </c>
      <c r="D1472" s="55" t="str">
        <f>VLOOKUP(Main_Presentation[[#This Row],[LC Number]],Main_Issuance[],3,0)</f>
        <v>Luis Puente</v>
      </c>
      <c r="E1472" s="16" t="s">
        <v>856</v>
      </c>
      <c r="F1472" s="17" t="str">
        <f>VLOOKUP(Main_Presentation[[#This Row],[LC Number]],Main_Issuance[],5,0)</f>
        <v>Riyad</v>
      </c>
      <c r="G1472" s="17" t="str">
        <f>VLOOKUP(Main_Presentation[[#This Row],[LC Number]],Main_Issuance[],6,0)</f>
        <v>Oceanarium</v>
      </c>
      <c r="H1472" s="17" t="str">
        <f>VLOOKUP(Main_Presentation[[#This Row],[LC Number]],Main_Issuance[],17,0)</f>
        <v>Credit</v>
      </c>
      <c r="I1472" s="17" t="str">
        <f>VLOOKUP(Main_Presentation[[#This Row],[LC Number]],Main_Issuance[],7,0)</f>
        <v>Electric House Trading Company L.L.C.</v>
      </c>
      <c r="J1472" s="17" t="str">
        <f>VLOOKUP(Main_Presentation[[#This Row],[LC Number]],Main_Issuance[],8,0)</f>
        <v>FIRST FIX</v>
      </c>
      <c r="K1472" s="17" t="str">
        <f>VLOOKUP(Main_Presentation[[#This Row],[LC Number]],Main_Issuance[],9,0)</f>
        <v>Oceanarium</v>
      </c>
      <c r="L1472" s="17">
        <f>VLOOKUP(Main_Presentation[[#This Row],[LC Number]],Main_Issuance[],10,0)</f>
        <v>1020096</v>
      </c>
      <c r="M1472" s="17" t="str">
        <f>VLOOKUP(Main_Presentation[[#This Row],[LC Number]],Main_Issuance[],11,0)</f>
        <v>SAR</v>
      </c>
      <c r="N1472" s="84">
        <f>VLOOKUP(Main_Presentation[[#This Row],[LC Number]],Main_Issuance[],12,0)</f>
        <v>500000</v>
      </c>
      <c r="O1472" s="16" t="s">
        <v>20</v>
      </c>
      <c r="P1472" s="16" t="s">
        <v>857</v>
      </c>
      <c r="Q1472" s="18">
        <v>500000</v>
      </c>
      <c r="R1472" s="18">
        <v>1</v>
      </c>
      <c r="S1472" s="18">
        <f>Main_Presentation[[#This Row],[Invoice Amt (FCY)]]*Main_Presentation[[#This Row],[Rate]]</f>
        <v>500000</v>
      </c>
      <c r="T1472" s="15">
        <v>46176</v>
      </c>
      <c r="U1472" s="26" t="str">
        <f>VLOOKUP(Main_Presentation[[#This Row],[LC Number]],Main_Issuance[],18,0)</f>
        <v>90 Days from Appln Rep Sign on Invoice</v>
      </c>
      <c r="V1472" s="249" t="s">
        <v>5429</v>
      </c>
      <c r="W1472" s="22" t="s">
        <v>378</v>
      </c>
      <c r="X1472" s="16"/>
      <c r="Y1472" s="234" t="str">
        <f>TRIM(LEFT(Main_Presentation[[#This Row],[Payment Terms]],3))</f>
        <v>90</v>
      </c>
      <c r="Z1472" s="16"/>
      <c r="AA1472" s="316" cm="1">
        <f t="array" ref="AA1472">Settlement(Main_Presentation[[#This Row],[Bank]],Main_Presentation[[#This Row],[ Invoice Amt (SAR)]],Main_Presentation[[#This Row],[Date Recd]],Main_Presentation[[#This Row],[Due Date]],Main_Presentation[[#This Row],[Days]])</f>
        <v>2156.25</v>
      </c>
      <c r="AB1472" s="16"/>
    </row>
    <row r="1473" spans="1:28" ht="15.75" hidden="1" x14ac:dyDescent="0.25">
      <c r="A1473" s="20" t="s">
        <v>3953</v>
      </c>
      <c r="B1473" s="15">
        <v>46091</v>
      </c>
      <c r="C1473" s="26">
        <v>1</v>
      </c>
      <c r="D1473" s="55" t="str">
        <f>VLOOKUP(Main_Presentation[[#This Row],[LC Number]],Main_Issuance[],3,0)</f>
        <v>Luis Puente</v>
      </c>
      <c r="E1473" s="16" t="s">
        <v>856</v>
      </c>
      <c r="F1473" s="17" t="str">
        <f>VLOOKUP(Main_Presentation[[#This Row],[LC Number]],Main_Issuance[],5,0)</f>
        <v>Riyad</v>
      </c>
      <c r="G1473" s="17" t="str">
        <f>VLOOKUP(Main_Presentation[[#This Row],[LC Number]],Main_Issuance[],6,0)</f>
        <v>Oceanarium</v>
      </c>
      <c r="H1473" s="17" t="str">
        <f>VLOOKUP(Main_Presentation[[#This Row],[LC Number]],Main_Issuance[],17,0)</f>
        <v>Credit</v>
      </c>
      <c r="I1473" s="17" t="str">
        <f>VLOOKUP(Main_Presentation[[#This Row],[LC Number]],Main_Issuance[],7,0)</f>
        <v>Electro Mechanical Supplies</v>
      </c>
      <c r="J1473" s="17" t="str">
        <f>VLOOKUP(Main_Presentation[[#This Row],[LC Number]],Main_Issuance[],8,0)</f>
        <v>FIRST FIX</v>
      </c>
      <c r="K1473" s="17" t="str">
        <f>VLOOKUP(Main_Presentation[[#This Row],[LC Number]],Main_Issuance[],9,0)</f>
        <v>Oceanarium</v>
      </c>
      <c r="L1473" s="17">
        <f>VLOOKUP(Main_Presentation[[#This Row],[LC Number]],Main_Issuance[],10,0)</f>
        <v>1020096</v>
      </c>
      <c r="M1473" s="17" t="str">
        <f>VLOOKUP(Main_Presentation[[#This Row],[LC Number]],Main_Issuance[],11,0)</f>
        <v>SAR</v>
      </c>
      <c r="N1473" s="84">
        <f>VLOOKUP(Main_Presentation[[#This Row],[LC Number]],Main_Issuance[],12,0)</f>
        <v>500000</v>
      </c>
      <c r="O1473" s="16" t="s">
        <v>20</v>
      </c>
      <c r="P1473" s="16" t="s">
        <v>857</v>
      </c>
      <c r="Q1473" s="18">
        <v>500000</v>
      </c>
      <c r="R1473" s="18">
        <v>1</v>
      </c>
      <c r="S1473" s="18">
        <f>Main_Presentation[[#This Row],[Invoice Amt (FCY)]]*Main_Presentation[[#This Row],[Rate]]</f>
        <v>500000</v>
      </c>
      <c r="T1473" s="15">
        <v>46176</v>
      </c>
      <c r="U1473" s="26" t="str">
        <f>VLOOKUP(Main_Presentation[[#This Row],[LC Number]],Main_Issuance[],18,0)</f>
        <v>90 Days from Appln Rep Sign on Invoice</v>
      </c>
      <c r="V1473" s="249" t="s">
        <v>5429</v>
      </c>
      <c r="W1473" s="22" t="s">
        <v>378</v>
      </c>
      <c r="X1473" s="16"/>
      <c r="Y1473" s="234" t="str">
        <f>TRIM(LEFT(Main_Presentation[[#This Row],[Payment Terms]],3))</f>
        <v>90</v>
      </c>
      <c r="Z1473" s="16"/>
      <c r="AA1473" s="316" cm="1">
        <f t="array" ref="AA1473">Settlement(Main_Presentation[[#This Row],[Bank]],Main_Presentation[[#This Row],[ Invoice Amt (SAR)]],Main_Presentation[[#This Row],[Date Recd]],Main_Presentation[[#This Row],[Due Date]],Main_Presentation[[#This Row],[Days]])</f>
        <v>2156.25</v>
      </c>
      <c r="AB1473" s="16"/>
    </row>
    <row r="1474" spans="1:28" ht="15.75" hidden="1" x14ac:dyDescent="0.25">
      <c r="A1474" s="20" t="s">
        <v>3952</v>
      </c>
      <c r="B1474" s="15">
        <v>46097</v>
      </c>
      <c r="C1474" s="26">
        <v>1</v>
      </c>
      <c r="D1474" s="55" t="str">
        <f>VLOOKUP(Main_Presentation[[#This Row],[LC Number]],Main_Issuance[],3,0)</f>
        <v>Luis Puente</v>
      </c>
      <c r="E1474" s="16" t="s">
        <v>856</v>
      </c>
      <c r="F1474" s="17" t="str">
        <f>VLOOKUP(Main_Presentation[[#This Row],[LC Number]],Main_Issuance[],5,0)</f>
        <v>Riyad</v>
      </c>
      <c r="G1474" s="17" t="str">
        <f>VLOOKUP(Main_Presentation[[#This Row],[LC Number]],Main_Issuance[],6,0)</f>
        <v>Oceanarium</v>
      </c>
      <c r="H1474" s="17" t="str">
        <f>VLOOKUP(Main_Presentation[[#This Row],[LC Number]],Main_Issuance[],17,0)</f>
        <v>Credit</v>
      </c>
      <c r="I1474" s="17" t="str">
        <f>VLOOKUP(Main_Presentation[[#This Row],[LC Number]],Main_Issuance[],7,0)</f>
        <v>Ideal Caliber Company</v>
      </c>
      <c r="J1474" s="17" t="str">
        <f>VLOOKUP(Main_Presentation[[#This Row],[LC Number]],Main_Issuance[],8,0)</f>
        <v>FIRST FIX</v>
      </c>
      <c r="K1474" s="17" t="str">
        <f>VLOOKUP(Main_Presentation[[#This Row],[LC Number]],Main_Issuance[],9,0)</f>
        <v>Oceanarium</v>
      </c>
      <c r="L1474" s="17">
        <f>VLOOKUP(Main_Presentation[[#This Row],[LC Number]],Main_Issuance[],10,0)</f>
        <v>1020096</v>
      </c>
      <c r="M1474" s="17" t="str">
        <f>VLOOKUP(Main_Presentation[[#This Row],[LC Number]],Main_Issuance[],11,0)</f>
        <v>SAR</v>
      </c>
      <c r="N1474" s="84">
        <f>VLOOKUP(Main_Presentation[[#This Row],[LC Number]],Main_Issuance[],12,0)</f>
        <v>617898.36</v>
      </c>
      <c r="O1474" s="16" t="s">
        <v>20</v>
      </c>
      <c r="P1474" s="16" t="s">
        <v>857</v>
      </c>
      <c r="Q1474" s="18">
        <v>500000</v>
      </c>
      <c r="R1474" s="18">
        <v>1</v>
      </c>
      <c r="S1474" s="18">
        <f>Main_Presentation[[#This Row],[Invoice Amt (FCY)]]*Main_Presentation[[#This Row],[Rate]]</f>
        <v>500000</v>
      </c>
      <c r="T1474" s="15">
        <v>46176</v>
      </c>
      <c r="U1474" s="26" t="str">
        <f>VLOOKUP(Main_Presentation[[#This Row],[LC Number]],Main_Issuance[],18,0)</f>
        <v>90 Days from Appln Rep Sign on Invoice</v>
      </c>
      <c r="V1474" s="249" t="s">
        <v>5429</v>
      </c>
      <c r="W1474" s="22" t="s">
        <v>378</v>
      </c>
      <c r="X1474" s="16"/>
      <c r="Y1474" s="234" t="str">
        <f>TRIM(LEFT(Main_Presentation[[#This Row],[Payment Terms]],3))</f>
        <v>90</v>
      </c>
      <c r="Z1474" s="16"/>
      <c r="AA1474" s="316" cm="1">
        <f t="array" ref="AA1474">Settlement(Main_Presentation[[#This Row],[Bank]],Main_Presentation[[#This Row],[ Invoice Amt (SAR)]],Main_Presentation[[#This Row],[Date Recd]],Main_Presentation[[#This Row],[Due Date]],Main_Presentation[[#This Row],[Days]])</f>
        <v>2156.25</v>
      </c>
      <c r="AB1474" s="16"/>
    </row>
    <row r="1475" spans="1:28" ht="15.75" hidden="1" x14ac:dyDescent="0.25">
      <c r="A1475" s="20" t="s">
        <v>3570</v>
      </c>
      <c r="B1475" s="15"/>
      <c r="C1475" s="26"/>
      <c r="D1475" s="55" t="str">
        <f>VLOOKUP(Main_Presentation[[#This Row],[LC Number]],Main_Issuance[],3,0)</f>
        <v>Hassan Taleb</v>
      </c>
      <c r="E1475" s="16"/>
      <c r="F1475" s="17" t="str">
        <f>VLOOKUP(Main_Presentation[[#This Row],[LC Number]],Main_Issuance[],5,0)</f>
        <v>Jazira</v>
      </c>
      <c r="G1475" s="17" t="str">
        <f>VLOOKUP(Main_Presentation[[#This Row],[LC Number]],Main_Issuance[],6,0)</f>
        <v>RCRC</v>
      </c>
      <c r="H1475" s="17" t="str">
        <f>VLOOKUP(Main_Presentation[[#This Row],[LC Number]],Main_Issuance[],17,0)</f>
        <v>Credit</v>
      </c>
      <c r="I1475" s="17" t="str">
        <f>VLOOKUP(Main_Presentation[[#This Row],[LC Number]],Main_Issuance[],7,0)</f>
        <v>Isam Kabanni And Partners For Construction And Maintenance Co Ltd</v>
      </c>
      <c r="J1475" s="17" t="str">
        <f>VLOOKUP(Main_Presentation[[#This Row],[LC Number]],Main_Issuance[],8,0)</f>
        <v>FIRST FIX</v>
      </c>
      <c r="K1475" s="17" t="str">
        <f>VLOOKUP(Main_Presentation[[#This Row],[LC Number]],Main_Issuance[],9,0)</f>
        <v>RCRC</v>
      </c>
      <c r="L1475" s="17">
        <f>VLOOKUP(Main_Presentation[[#This Row],[LC Number]],Main_Issuance[],10,0)</f>
        <v>1020106</v>
      </c>
      <c r="M1475" s="17" t="str">
        <f>VLOOKUP(Main_Presentation[[#This Row],[LC Number]],Main_Issuance[],11,0)</f>
        <v>SAR</v>
      </c>
      <c r="N1475" s="84">
        <f>VLOOKUP(Main_Presentation[[#This Row],[LC Number]],Main_Issuance[],12,0)</f>
        <v>739450</v>
      </c>
      <c r="O1475" s="16" t="s">
        <v>908</v>
      </c>
      <c r="P1475" s="16" t="s">
        <v>378</v>
      </c>
      <c r="Q1475" s="18">
        <v>184860.5</v>
      </c>
      <c r="R1475" s="18">
        <v>1</v>
      </c>
      <c r="S1475" s="18">
        <f>Main_Presentation[[#This Row],[Invoice Amt (FCY)]]*Main_Presentation[[#This Row],[Rate]]</f>
        <v>184860.5</v>
      </c>
      <c r="T1475" s="15">
        <v>46198</v>
      </c>
      <c r="U1475" s="26" t="str">
        <f>VLOOKUP(Main_Presentation[[#This Row],[LC Number]],Main_Issuance[],18,0)</f>
        <v>90 Days from Applicant representative sign on Invoice</v>
      </c>
      <c r="V1475" s="249"/>
      <c r="W1475" s="22" t="s">
        <v>378</v>
      </c>
      <c r="X1475" s="16"/>
      <c r="Y1475" s="234" t="str">
        <f>TRIM(LEFT(Main_Presentation[[#This Row],[Payment Terms]],3))</f>
        <v>90</v>
      </c>
      <c r="Z1475" s="16"/>
      <c r="AA1475" s="316" cm="1">
        <f t="array" ref="AA1475">Settlement(Main_Presentation[[#This Row],[Bank]],Main_Presentation[[#This Row],[ Invoice Amt (SAR)]],Main_Presentation[[#This Row],[Date Recd]],Main_Presentation[[#This Row],[Due Date]],Main_Presentation[[#This Row],[Days]])</f>
        <v>132416.75</v>
      </c>
      <c r="AB1475" s="16"/>
    </row>
    <row r="1476" spans="1:28" ht="15.75" hidden="1" x14ac:dyDescent="0.25">
      <c r="A1476" s="20" t="s">
        <v>3955</v>
      </c>
      <c r="B1476" s="15">
        <v>46093</v>
      </c>
      <c r="C1476" s="26">
        <v>1</v>
      </c>
      <c r="D1476" s="55" t="str">
        <f>VLOOKUP(Main_Presentation[[#This Row],[LC Number]],Main_Issuance[],3,0)</f>
        <v>Luis Puente</v>
      </c>
      <c r="E1476" s="16" t="s">
        <v>856</v>
      </c>
      <c r="F1476" s="17" t="str">
        <f>VLOOKUP(Main_Presentation[[#This Row],[LC Number]],Main_Issuance[],5,0)</f>
        <v>Riyad</v>
      </c>
      <c r="G1476" s="17" t="str">
        <f>VLOOKUP(Main_Presentation[[#This Row],[LC Number]],Main_Issuance[],6,0)</f>
        <v>Oceanarium</v>
      </c>
      <c r="H1476" s="17" t="str">
        <f>VLOOKUP(Main_Presentation[[#This Row],[LC Number]],Main_Issuance[],17,0)</f>
        <v>Credit</v>
      </c>
      <c r="I1476" s="17" t="str">
        <f>VLOOKUP(Main_Presentation[[#This Row],[LC Number]],Main_Issuance[],7,0)</f>
        <v>Riyadh Unity for Trading</v>
      </c>
      <c r="J1476" s="17" t="str">
        <f>VLOOKUP(Main_Presentation[[#This Row],[LC Number]],Main_Issuance[],8,0)</f>
        <v>FIRST FIX</v>
      </c>
      <c r="K1476" s="17" t="str">
        <f>VLOOKUP(Main_Presentation[[#This Row],[LC Number]],Main_Issuance[],9,0)</f>
        <v>Oceanarium</v>
      </c>
      <c r="L1476" s="17">
        <f>VLOOKUP(Main_Presentation[[#This Row],[LC Number]],Main_Issuance[],10,0)</f>
        <v>1020096</v>
      </c>
      <c r="M1476" s="17" t="str">
        <f>VLOOKUP(Main_Presentation[[#This Row],[LC Number]],Main_Issuance[],11,0)</f>
        <v>SAR</v>
      </c>
      <c r="N1476" s="84">
        <f>VLOOKUP(Main_Presentation[[#This Row],[LC Number]],Main_Issuance[],12,0)</f>
        <v>500000</v>
      </c>
      <c r="O1476" s="16" t="s">
        <v>20</v>
      </c>
      <c r="P1476" s="16" t="s">
        <v>857</v>
      </c>
      <c r="Q1476" s="18">
        <v>500000</v>
      </c>
      <c r="R1476" s="18">
        <v>1</v>
      </c>
      <c r="S1476" s="18">
        <f>Main_Presentation[[#This Row],[Invoice Amt (FCY)]]*Main_Presentation[[#This Row],[Rate]]</f>
        <v>500000</v>
      </c>
      <c r="T1476" s="15">
        <v>46176</v>
      </c>
      <c r="U1476" s="26" t="str">
        <f>VLOOKUP(Main_Presentation[[#This Row],[LC Number]],Main_Issuance[],18,0)</f>
        <v>90 Days from Appln Rep Sign on Invoice</v>
      </c>
      <c r="V1476" s="249" t="s">
        <v>5429</v>
      </c>
      <c r="W1476" s="22" t="s">
        <v>378</v>
      </c>
      <c r="X1476" s="16"/>
      <c r="Y1476" s="234" t="str">
        <f>TRIM(LEFT(Main_Presentation[[#This Row],[Payment Terms]],3))</f>
        <v>90</v>
      </c>
      <c r="Z1476" s="16"/>
      <c r="AA1476" s="316" cm="1">
        <f t="array" ref="AA1476">Settlement(Main_Presentation[[#This Row],[Bank]],Main_Presentation[[#This Row],[ Invoice Amt (SAR)]],Main_Presentation[[#This Row],[Date Recd]],Main_Presentation[[#This Row],[Due Date]],Main_Presentation[[#This Row],[Days]])</f>
        <v>2156.25</v>
      </c>
      <c r="AB1476" s="16"/>
    </row>
    <row r="1477" spans="1:28" ht="15.75" hidden="1" x14ac:dyDescent="0.25">
      <c r="A1477" s="226" t="s">
        <v>3320</v>
      </c>
      <c r="B1477" s="227">
        <v>46092</v>
      </c>
      <c r="C1477" s="243">
        <v>1</v>
      </c>
      <c r="D1477" s="228" t="str">
        <f>VLOOKUP(Main_Presentation[[#This Row],[LC Number]],Main_Issuance[],3,0)</f>
        <v>Luis Puente</v>
      </c>
      <c r="E1477" s="217" t="s">
        <v>856</v>
      </c>
      <c r="F1477" s="244" t="str">
        <f>VLOOKUP(Main_Presentation[[#This Row],[LC Number]],Main_Issuance[],5,0)</f>
        <v>Riyad</v>
      </c>
      <c r="G1477" s="244" t="str">
        <f>VLOOKUP(Main_Presentation[[#This Row],[LC Number]],Main_Issuance[],6,0)</f>
        <v>Oceanarium</v>
      </c>
      <c r="H1477" s="244" t="str">
        <f>VLOOKUP(Main_Presentation[[#This Row],[LC Number]],Main_Issuance[],17,0)</f>
        <v>Credit</v>
      </c>
      <c r="I1477" s="244" t="str">
        <f>VLOOKUP(Main_Presentation[[#This Row],[LC Number]],Main_Issuance[],7,0)</f>
        <v>Riyadh Unity for Trading</v>
      </c>
      <c r="J1477" s="244" t="str">
        <f>VLOOKUP(Main_Presentation[[#This Row],[LC Number]],Main_Issuance[],8,0)</f>
        <v>FIRST FIX</v>
      </c>
      <c r="K1477" s="244" t="str">
        <f>VLOOKUP(Main_Presentation[[#This Row],[LC Number]],Main_Issuance[],9,0)</f>
        <v>Oceanarium</v>
      </c>
      <c r="L1477" s="244">
        <f>VLOOKUP(Main_Presentation[[#This Row],[LC Number]],Main_Issuance[],10,0)</f>
        <v>1020096</v>
      </c>
      <c r="M1477" s="244" t="str">
        <f>VLOOKUP(Main_Presentation[[#This Row],[LC Number]],Main_Issuance[],11,0)</f>
        <v>SAR</v>
      </c>
      <c r="N1477" s="245">
        <f>VLOOKUP(Main_Presentation[[#This Row],[LC Number]],Main_Issuance[],12,0)</f>
        <v>500000</v>
      </c>
      <c r="O1477" s="217" t="s">
        <v>20</v>
      </c>
      <c r="P1477" s="217" t="s">
        <v>857</v>
      </c>
      <c r="Q1477" s="218">
        <v>326709.94</v>
      </c>
      <c r="R1477" s="218">
        <v>1</v>
      </c>
      <c r="S1477" s="218">
        <f>Main_Presentation[[#This Row],[Invoice Amt (FCY)]]*Main_Presentation[[#This Row],[Rate]]</f>
        <v>326709.94</v>
      </c>
      <c r="T1477" s="15">
        <v>46176</v>
      </c>
      <c r="U1477" s="243" t="str">
        <f>VLOOKUP(Main_Presentation[[#This Row],[LC Number]],Main_Issuance[],18,0)</f>
        <v>90 Days from Appln Rep Sign on Invoice</v>
      </c>
      <c r="V1477" s="249" t="s">
        <v>5429</v>
      </c>
      <c r="W1477" s="229" t="s">
        <v>378</v>
      </c>
      <c r="X1477" s="217"/>
      <c r="Y1477" s="399" t="str">
        <f>TRIM(LEFT(Main_Presentation[[#This Row],[Payment Terms]],3))</f>
        <v>90</v>
      </c>
      <c r="Z1477" s="217"/>
      <c r="AA1477" s="316" cm="1">
        <f t="array" ref="AA1477">Settlement(Main_Presentation[[#This Row],[Bank]],Main_Presentation[[#This Row],[ Invoice Amt (SAR)]],Main_Presentation[[#This Row],[Date Recd]],Main_Presentation[[#This Row],[Due Date]],Main_Presentation[[#This Row],[Days]])</f>
        <v>1408.75</v>
      </c>
      <c r="AB1477" s="217"/>
    </row>
    <row r="1478" spans="1:28" ht="15.75" hidden="1" x14ac:dyDescent="0.25">
      <c r="A1478" s="226" t="s">
        <v>4205</v>
      </c>
      <c r="B1478" s="227">
        <v>46096</v>
      </c>
      <c r="C1478" s="243">
        <v>1</v>
      </c>
      <c r="D1478" s="228" t="str">
        <f>VLOOKUP(Main_Presentation[[#This Row],[LC Number]],Main_Issuance[],3,0)</f>
        <v>Rabih Makhoul</v>
      </c>
      <c r="E1478" s="217" t="s">
        <v>856</v>
      </c>
      <c r="F1478" s="244" t="str">
        <f>VLOOKUP(Main_Presentation[[#This Row],[LC Number]],Main_Issuance[],5,0)</f>
        <v>SNB</v>
      </c>
      <c r="G1478" s="244" t="str">
        <f>VLOOKUP(Main_Presentation[[#This Row],[LC Number]],Main_Issuance[],6,0)</f>
        <v>Opera House</v>
      </c>
      <c r="H1478" s="244" t="str">
        <f>VLOOKUP(Main_Presentation[[#This Row],[LC Number]],Main_Issuance[],17,0)</f>
        <v>Credit</v>
      </c>
      <c r="I1478" s="244" t="str">
        <f>VLOOKUP(Main_Presentation[[#This Row],[LC Number]],Main_Issuance[],7,0)</f>
        <v>High Al Shuhra Contracting Company</v>
      </c>
      <c r="J1478" s="244" t="str">
        <f>VLOOKUP(Main_Presentation[[#This Row],[LC Number]],Main_Issuance[],8,0)</f>
        <v>MBL</v>
      </c>
      <c r="K1478" s="244" t="str">
        <f>VLOOKUP(Main_Presentation[[#This Row],[LC Number]],Main_Issuance[],9,0)</f>
        <v>Rabigh Power Plant</v>
      </c>
      <c r="L1478" s="244">
        <f>VLOOKUP(Main_Presentation[[#This Row],[LC Number]],Main_Issuance[],10,0)</f>
        <v>1020107</v>
      </c>
      <c r="M1478" s="244" t="str">
        <f>VLOOKUP(Main_Presentation[[#This Row],[LC Number]],Main_Issuance[],11,0)</f>
        <v>SAR</v>
      </c>
      <c r="N1478" s="245">
        <f>VLOOKUP(Main_Presentation[[#This Row],[LC Number]],Main_Issuance[],12,0)</f>
        <v>2140124.1600000001</v>
      </c>
      <c r="O1478" s="217" t="s">
        <v>20</v>
      </c>
      <c r="P1478" s="217" t="s">
        <v>378</v>
      </c>
      <c r="Q1478" s="218">
        <v>1696396.49</v>
      </c>
      <c r="R1478" s="218">
        <v>1</v>
      </c>
      <c r="S1478" s="218">
        <f>Main_Presentation[[#This Row],[Invoice Amt (FCY)]]*Main_Presentation[[#This Row],[Rate]]</f>
        <v>1696396.49</v>
      </c>
      <c r="T1478" s="227">
        <v>46128</v>
      </c>
      <c r="U1478" s="243" t="str">
        <f>VLOOKUP(Main_Presentation[[#This Row],[LC Number]],Main_Issuance[],18,0)</f>
        <v>45 Days from Invoice Date</v>
      </c>
      <c r="V1478" s="233" t="s">
        <v>511</v>
      </c>
      <c r="W1478" s="229" t="s">
        <v>378</v>
      </c>
      <c r="X1478" s="217"/>
      <c r="Y1478" s="399" t="str">
        <f>TRIM(LEFT(Main_Presentation[[#This Row],[Payment Terms]],3))</f>
        <v>45</v>
      </c>
      <c r="Z1478" s="217"/>
      <c r="AA1478" s="316" cm="1">
        <f t="array" ref="AA1478">Settlement(Main_Presentation[[#This Row],[Bank]],Main_Presentation[[#This Row],[ Invoice Amt (SAR)]],Main_Presentation[[#This Row],[Date Recd]],Main_Presentation[[#This Row],[Due Date]],Main_Presentation[[#This Row],[Days]])</f>
        <v>4104.3500000000004</v>
      </c>
      <c r="AB1478" s="217"/>
    </row>
    <row r="1479" spans="1:28" ht="15.75" hidden="1" x14ac:dyDescent="0.25">
      <c r="A1479" s="226" t="s">
        <v>1887</v>
      </c>
      <c r="B1479" s="227">
        <v>46113</v>
      </c>
      <c r="C1479" s="243">
        <v>2</v>
      </c>
      <c r="D1479" s="228" t="str">
        <f>VLOOKUP(Main_Presentation[[#This Row],[LC Number]],Main_Issuance[],3,0)</f>
        <v>Rabih Makhoul</v>
      </c>
      <c r="E1479" s="217" t="s">
        <v>856</v>
      </c>
      <c r="F1479" s="244" t="str">
        <f>VLOOKUP(Main_Presentation[[#This Row],[LC Number]],Main_Issuance[],5,0)</f>
        <v>Alinma</v>
      </c>
      <c r="G1479" s="244" t="str">
        <f>VLOOKUP(Main_Presentation[[#This Row],[LC Number]],Main_Issuance[],6,0)</f>
        <v>KSP</v>
      </c>
      <c r="H1479" s="244" t="str">
        <f>VLOOKUP(Main_Presentation[[#This Row],[LC Number]],Main_Issuance[],17,0)</f>
        <v>Credit</v>
      </c>
      <c r="I1479" s="244" t="str">
        <f>VLOOKUP(Main_Presentation[[#This Row],[LC Number]],Main_Issuance[],7,0)</f>
        <v>Future Pipe Industries LLC</v>
      </c>
      <c r="J1479" s="244" t="str">
        <f>VLOOKUP(Main_Presentation[[#This Row],[LC Number]],Main_Issuance[],8,0)</f>
        <v>MBL</v>
      </c>
      <c r="K1479" s="244" t="str">
        <f>VLOOKUP(Main_Presentation[[#This Row],[LC Number]],Main_Issuance[],9,0)</f>
        <v>Rabigh Power Plant</v>
      </c>
      <c r="L1479" s="244">
        <f>VLOOKUP(Main_Presentation[[#This Row],[LC Number]],Main_Issuance[],10,0)</f>
        <v>1020107</v>
      </c>
      <c r="M1479" s="244" t="str">
        <f>VLOOKUP(Main_Presentation[[#This Row],[LC Number]],Main_Issuance[],11,0)</f>
        <v>SAR</v>
      </c>
      <c r="N1479" s="245">
        <f>VLOOKUP(Main_Presentation[[#This Row],[LC Number]],Main_Issuance[],12,0)</f>
        <v>5308039.3600000003</v>
      </c>
      <c r="O1479" s="217" t="s">
        <v>20</v>
      </c>
      <c r="P1479" s="217" t="s">
        <v>857</v>
      </c>
      <c r="Q1479" s="218">
        <v>2303974.85</v>
      </c>
      <c r="R1479" s="218">
        <v>1</v>
      </c>
      <c r="S1479" s="218">
        <f>Main_Presentation[[#This Row],[Invoice Amt (FCY)]]*Main_Presentation[[#This Row],[Rate]]</f>
        <v>2303974.85</v>
      </c>
      <c r="T1479" s="227">
        <v>46142</v>
      </c>
      <c r="U1479" s="243" t="str">
        <f>VLOOKUP(Main_Presentation[[#This Row],[LC Number]],Main_Issuance[],18,0)</f>
        <v>60 Days From the Delivery Date</v>
      </c>
      <c r="V1479" s="233" t="s">
        <v>882</v>
      </c>
      <c r="W1479" s="229" t="s">
        <v>378</v>
      </c>
      <c r="X1479" s="217"/>
      <c r="Y1479" s="399" t="str">
        <f>TRIM(LEFT(Main_Presentation[[#This Row],[Payment Terms]],3))</f>
        <v>60</v>
      </c>
      <c r="Z1479" s="217"/>
      <c r="AA1479" s="316" cm="1">
        <f t="array" ref="AA1479">Settlement(Main_Presentation[[#This Row],[Bank]],Main_Presentation[[#This Row],[ Invoice Amt (SAR)]],Main_Presentation[[#This Row],[Date Recd]],Main_Presentation[[#This Row],[Due Date]],Main_Presentation[[#This Row],[Days]])</f>
        <v>1437.5</v>
      </c>
      <c r="AB1479" s="217"/>
    </row>
    <row r="1480" spans="1:28" ht="15.75" hidden="1" x14ac:dyDescent="0.25">
      <c r="A1480" s="226" t="s">
        <v>4239</v>
      </c>
      <c r="B1480" s="227">
        <v>46109</v>
      </c>
      <c r="C1480" s="243">
        <v>1</v>
      </c>
      <c r="D1480" s="228" t="str">
        <f>VLOOKUP(Main_Presentation[[#This Row],[LC Number]],Main_Issuance[],3,0)</f>
        <v>Rabih Makhoul</v>
      </c>
      <c r="E1480" s="217" t="s">
        <v>858</v>
      </c>
      <c r="F1480" s="244" t="str">
        <f>VLOOKUP(Main_Presentation[[#This Row],[LC Number]],Main_Issuance[],5,0)</f>
        <v>Alinma</v>
      </c>
      <c r="G1480" s="244" t="str">
        <f>VLOOKUP(Main_Presentation[[#This Row],[LC Number]],Main_Issuance[],6,0)</f>
        <v>KSP</v>
      </c>
      <c r="H1480" s="244" t="str">
        <f>VLOOKUP(Main_Presentation[[#This Row],[LC Number]],Main_Issuance[],17,0)</f>
        <v>Credit</v>
      </c>
      <c r="I1480" s="244" t="str">
        <f>VLOOKUP(Main_Presentation[[#This Row],[LC Number]],Main_Issuance[],7,0)</f>
        <v>Awtad Jeddah for General Contracting Company</v>
      </c>
      <c r="J1480" s="244" t="str">
        <f>VLOOKUP(Main_Presentation[[#This Row],[LC Number]],Main_Issuance[],8,0)</f>
        <v>MBL</v>
      </c>
      <c r="K1480" s="244" t="str">
        <f>VLOOKUP(Main_Presentation[[#This Row],[LC Number]],Main_Issuance[],9,0)</f>
        <v>Rabigh Power Plant</v>
      </c>
      <c r="L1480" s="244">
        <f>VLOOKUP(Main_Presentation[[#This Row],[LC Number]],Main_Issuance[],10,0)</f>
        <v>1020107</v>
      </c>
      <c r="M1480" s="244" t="str">
        <f>VLOOKUP(Main_Presentation[[#This Row],[LC Number]],Main_Issuance[],11,0)</f>
        <v>SAR</v>
      </c>
      <c r="N1480" s="245">
        <f>VLOOKUP(Main_Presentation[[#This Row],[LC Number]],Main_Issuance[],12,0)</f>
        <v>2495972.17</v>
      </c>
      <c r="O1480" s="217" t="s">
        <v>20</v>
      </c>
      <c r="P1480" s="217" t="s">
        <v>857</v>
      </c>
      <c r="Q1480" s="218">
        <v>415046.21</v>
      </c>
      <c r="R1480" s="218">
        <v>1</v>
      </c>
      <c r="S1480" s="218">
        <f>Main_Presentation[[#This Row],[Invoice Amt (FCY)]]*Main_Presentation[[#This Row],[Rate]]</f>
        <v>415046.21</v>
      </c>
      <c r="T1480" s="227">
        <v>46180</v>
      </c>
      <c r="U1480" s="243" t="str">
        <f>VLOOKUP(Main_Presentation[[#This Row],[LC Number]],Main_Issuance[],18,0)</f>
        <v>45 Days from Invoice Date</v>
      </c>
      <c r="V1480" s="233" t="s">
        <v>511</v>
      </c>
      <c r="W1480" s="229" t="s">
        <v>857</v>
      </c>
      <c r="X1480" s="217"/>
      <c r="Y1480" s="399" t="str">
        <f>TRIM(LEFT(Main_Presentation[[#This Row],[Payment Terms]],3))</f>
        <v>45</v>
      </c>
      <c r="Z1480" s="217"/>
      <c r="AA1480" s="316" cm="1">
        <f t="array" ref="AA1480">Settlement(Main_Presentation[[#This Row],[Bank]],Main_Presentation[[#This Row],[ Invoice Amt (SAR)]],Main_Presentation[[#This Row],[Date Recd]],Main_Presentation[[#This Row],[Due Date]],Main_Presentation[[#This Row],[Days]])</f>
        <v>1437.5</v>
      </c>
      <c r="AB1480" s="217"/>
    </row>
    <row r="1481" spans="1:28" ht="15.75" hidden="1" x14ac:dyDescent="0.25">
      <c r="A1481" s="226" t="s">
        <v>1896</v>
      </c>
      <c r="B1481" s="227">
        <v>46097</v>
      </c>
      <c r="C1481" s="243">
        <v>4</v>
      </c>
      <c r="D1481" s="228" t="str">
        <f>VLOOKUP(Main_Presentation[[#This Row],[LC Number]],Main_Issuance[],3,0)</f>
        <v>Rabih Makhoul</v>
      </c>
      <c r="E1481" s="217" t="s">
        <v>858</v>
      </c>
      <c r="F1481" s="244" t="str">
        <f>VLOOKUP(Main_Presentation[[#This Row],[LC Number]],Main_Issuance[],5,0)</f>
        <v>Alinma</v>
      </c>
      <c r="G1481" s="244" t="str">
        <f>VLOOKUP(Main_Presentation[[#This Row],[LC Number]],Main_Issuance[],6,0)</f>
        <v>KSP</v>
      </c>
      <c r="H1481" s="244" t="str">
        <f>VLOOKUP(Main_Presentation[[#This Row],[LC Number]],Main_Issuance[],17,0)</f>
        <v>Credit</v>
      </c>
      <c r="I1481" s="244" t="str">
        <f>VLOOKUP(Main_Presentation[[#This Row],[LC Number]],Main_Issuance[],7,0)</f>
        <v>Saudi Perfect Pumps Trading &amp; Manufacturing Company</v>
      </c>
      <c r="J1481" s="244" t="str">
        <f>VLOOKUP(Main_Presentation[[#This Row],[LC Number]],Main_Issuance[],8,0)</f>
        <v>MBL</v>
      </c>
      <c r="K1481" s="244" t="str">
        <f>VLOOKUP(Main_Presentation[[#This Row],[LC Number]],Main_Issuance[],9,0)</f>
        <v>Rabigh Power Plant</v>
      </c>
      <c r="L1481" s="244">
        <f>VLOOKUP(Main_Presentation[[#This Row],[LC Number]],Main_Issuance[],10,0)</f>
        <v>1020107</v>
      </c>
      <c r="M1481" s="244" t="str">
        <f>VLOOKUP(Main_Presentation[[#This Row],[LC Number]],Main_Issuance[],11,0)</f>
        <v>SAR</v>
      </c>
      <c r="N1481" s="245">
        <f>VLOOKUP(Main_Presentation[[#This Row],[LC Number]],Main_Issuance[],12,0)</f>
        <v>7670500</v>
      </c>
      <c r="O1481" s="217" t="s">
        <v>20</v>
      </c>
      <c r="P1481" s="217" t="s">
        <v>857</v>
      </c>
      <c r="Q1481" s="218">
        <v>279950</v>
      </c>
      <c r="R1481" s="218">
        <v>1</v>
      </c>
      <c r="S1481" s="218">
        <f>Main_Presentation[[#This Row],[Invoice Amt (FCY)]]*Main_Presentation[[#This Row],[Rate]]</f>
        <v>279950</v>
      </c>
      <c r="T1481" s="227">
        <v>46135</v>
      </c>
      <c r="U1481" s="243" t="str">
        <f>VLOOKUP(Main_Presentation[[#This Row],[LC Number]],Main_Issuance[],18,0)</f>
        <v>45 Days from Delivery Date</v>
      </c>
      <c r="V1481" s="233" t="s">
        <v>511</v>
      </c>
      <c r="W1481" s="229" t="s">
        <v>857</v>
      </c>
      <c r="X1481" s="217"/>
      <c r="Y1481" s="399" t="str">
        <f>TRIM(LEFT(Main_Presentation[[#This Row],[Payment Terms]],3))</f>
        <v>45</v>
      </c>
      <c r="Z1481" s="217"/>
      <c r="AA1481" s="316" cm="1">
        <f t="array" ref="AA1481">Settlement(Main_Presentation[[#This Row],[Bank]],Main_Presentation[[#This Row],[ Invoice Amt (SAR)]],Main_Presentation[[#This Row],[Date Recd]],Main_Presentation[[#This Row],[Due Date]],Main_Presentation[[#This Row],[Days]])</f>
        <v>1437.5</v>
      </c>
      <c r="AB1481" s="217"/>
    </row>
    <row r="1482" spans="1:28" ht="15.75" hidden="1" x14ac:dyDescent="0.25">
      <c r="A1482" s="226" t="s">
        <v>1896</v>
      </c>
      <c r="B1482" s="227">
        <v>46109</v>
      </c>
      <c r="C1482" s="243">
        <v>5</v>
      </c>
      <c r="D1482" s="228" t="str">
        <f>VLOOKUP(Main_Presentation[[#This Row],[LC Number]],Main_Issuance[],3,0)</f>
        <v>Rabih Makhoul</v>
      </c>
      <c r="E1482" s="217" t="s">
        <v>856</v>
      </c>
      <c r="F1482" s="244" t="str">
        <f>VLOOKUP(Main_Presentation[[#This Row],[LC Number]],Main_Issuance[],5,0)</f>
        <v>Alinma</v>
      </c>
      <c r="G1482" s="244" t="str">
        <f>VLOOKUP(Main_Presentation[[#This Row],[LC Number]],Main_Issuance[],6,0)</f>
        <v>KSP</v>
      </c>
      <c r="H1482" s="244" t="str">
        <f>VLOOKUP(Main_Presentation[[#This Row],[LC Number]],Main_Issuance[],17,0)</f>
        <v>Credit</v>
      </c>
      <c r="I1482" s="244" t="str">
        <f>VLOOKUP(Main_Presentation[[#This Row],[LC Number]],Main_Issuance[],7,0)</f>
        <v>Saudi Perfect Pumps Trading &amp; Manufacturing Company</v>
      </c>
      <c r="J1482" s="244" t="str">
        <f>VLOOKUP(Main_Presentation[[#This Row],[LC Number]],Main_Issuance[],8,0)</f>
        <v>MBL</v>
      </c>
      <c r="K1482" s="244" t="str">
        <f>VLOOKUP(Main_Presentation[[#This Row],[LC Number]],Main_Issuance[],9,0)</f>
        <v>Rabigh Power Plant</v>
      </c>
      <c r="L1482" s="244">
        <f>VLOOKUP(Main_Presentation[[#This Row],[LC Number]],Main_Issuance[],10,0)</f>
        <v>1020107</v>
      </c>
      <c r="M1482" s="244" t="str">
        <f>VLOOKUP(Main_Presentation[[#This Row],[LC Number]],Main_Issuance[],11,0)</f>
        <v>SAR</v>
      </c>
      <c r="N1482" s="245">
        <f>VLOOKUP(Main_Presentation[[#This Row],[LC Number]],Main_Issuance[],12,0)</f>
        <v>7670500</v>
      </c>
      <c r="O1482" s="217" t="s">
        <v>20</v>
      </c>
      <c r="P1482" s="217" t="s">
        <v>857</v>
      </c>
      <c r="Q1482" s="218">
        <v>412500</v>
      </c>
      <c r="R1482" s="218">
        <v>1</v>
      </c>
      <c r="S1482" s="218">
        <f>Main_Presentation[[#This Row],[Invoice Amt (FCY)]]*Main_Presentation[[#This Row],[Rate]]</f>
        <v>412500</v>
      </c>
      <c r="T1482" s="227">
        <v>46135</v>
      </c>
      <c r="U1482" s="243" t="str">
        <f>VLOOKUP(Main_Presentation[[#This Row],[LC Number]],Main_Issuance[],18,0)</f>
        <v>45 Days from Delivery Date</v>
      </c>
      <c r="V1482" s="233" t="s">
        <v>511</v>
      </c>
      <c r="W1482" s="229" t="s">
        <v>857</v>
      </c>
      <c r="X1482" s="217"/>
      <c r="Y1482" s="399" t="str">
        <f>TRIM(LEFT(Main_Presentation[[#This Row],[Payment Terms]],3))</f>
        <v>45</v>
      </c>
      <c r="Z1482" s="217"/>
      <c r="AA1482" s="316" cm="1">
        <f t="array" ref="AA1482">Settlement(Main_Presentation[[#This Row],[Bank]],Main_Presentation[[#This Row],[ Invoice Amt (SAR)]],Main_Presentation[[#This Row],[Date Recd]],Main_Presentation[[#This Row],[Due Date]],Main_Presentation[[#This Row],[Days]])</f>
        <v>1437.5</v>
      </c>
      <c r="AB1482" s="217"/>
    </row>
    <row r="1483" spans="1:28" ht="15.75" hidden="1" x14ac:dyDescent="0.25">
      <c r="A1483" s="226" t="s">
        <v>3900</v>
      </c>
      <c r="B1483" s="227">
        <v>46121</v>
      </c>
      <c r="C1483" s="243">
        <v>1</v>
      </c>
      <c r="D1483" s="228" t="str">
        <f>VLOOKUP(Main_Presentation[[#This Row],[LC Number]],Main_Issuance[],3,0)</f>
        <v>Hassan Taleb</v>
      </c>
      <c r="E1483" s="217" t="s">
        <v>856</v>
      </c>
      <c r="F1483" s="244" t="str">
        <f>VLOOKUP(Main_Presentation[[#This Row],[LC Number]],Main_Issuance[],5,0)</f>
        <v>SAB</v>
      </c>
      <c r="G1483" s="244" t="str">
        <f>VLOOKUP(Main_Presentation[[#This Row],[LC Number]],Main_Issuance[],6,0)</f>
        <v>MP1</v>
      </c>
      <c r="H1483" s="244" t="str">
        <f>VLOOKUP(Main_Presentation[[#This Row],[LC Number]],Main_Issuance[],17,0)</f>
        <v>Credit</v>
      </c>
      <c r="I1483" s="244" t="str">
        <f>VLOOKUP(Main_Presentation[[#This Row],[LC Number]],Main_Issuance[],7,0)</f>
        <v>Mariam Trading CO. &amp; Partner</v>
      </c>
      <c r="J1483" s="244" t="str">
        <f>VLOOKUP(Main_Presentation[[#This Row],[LC Number]],Main_Issuance[],8,0)</f>
        <v>FIRST FIX</v>
      </c>
      <c r="K1483" s="244" t="str">
        <f>VLOOKUP(Main_Presentation[[#This Row],[LC Number]],Main_Issuance[],9,0)</f>
        <v>MP1</v>
      </c>
      <c r="L1483" s="244">
        <f>VLOOKUP(Main_Presentation[[#This Row],[LC Number]],Main_Issuance[],10,0)</f>
        <v>1020088</v>
      </c>
      <c r="M1483" s="244" t="str">
        <f>VLOOKUP(Main_Presentation[[#This Row],[LC Number]],Main_Issuance[],11,0)</f>
        <v>SAR</v>
      </c>
      <c r="N1483" s="245">
        <f>VLOOKUP(Main_Presentation[[#This Row],[LC Number]],Main_Issuance[],12,0)</f>
        <v>500000</v>
      </c>
      <c r="O1483" s="217" t="s">
        <v>20</v>
      </c>
      <c r="P1483" s="217" t="s">
        <v>857</v>
      </c>
      <c r="Q1483" s="218">
        <v>500000</v>
      </c>
      <c r="R1483" s="218">
        <v>1</v>
      </c>
      <c r="S1483" s="218">
        <f>Main_Presentation[[#This Row],[Invoice Amt (FCY)]]*Main_Presentation[[#This Row],[Rate]]</f>
        <v>500000</v>
      </c>
      <c r="T1483" s="227">
        <v>46147</v>
      </c>
      <c r="U1483" s="243" t="str">
        <f>VLOOKUP(Main_Presentation[[#This Row],[LC Number]],Main_Issuance[],18,0)</f>
        <v>90 Days from Applicant representative sign on Invoice</v>
      </c>
      <c r="V1483" s="233" t="s">
        <v>710</v>
      </c>
      <c r="W1483" s="229" t="s">
        <v>857</v>
      </c>
      <c r="X1483" s="217"/>
      <c r="Y1483" s="399" t="str">
        <f>TRIM(LEFT(Main_Presentation[[#This Row],[Payment Terms]],3))</f>
        <v>90</v>
      </c>
      <c r="Z1483" s="217"/>
      <c r="AA1483" s="316" cm="1">
        <f t="array" ref="AA1483">Settlement(Main_Presentation[[#This Row],[Bank]],Main_Presentation[[#This Row],[ Invoice Amt (SAR)]],Main_Presentation[[#This Row],[Date Recd]],Main_Presentation[[#This Row],[Due Date]],Main_Presentation[[#This Row],[Days]])</f>
        <v>2156.25</v>
      </c>
      <c r="AB1483" s="217"/>
    </row>
    <row r="1484" spans="1:28" ht="15.75" hidden="1" x14ac:dyDescent="0.25">
      <c r="A1484" s="226" t="s">
        <v>2562</v>
      </c>
      <c r="B1484" s="227">
        <v>46109</v>
      </c>
      <c r="C1484" s="243">
        <v>4</v>
      </c>
      <c r="D1484" s="228" t="str">
        <f>VLOOKUP(Main_Presentation[[#This Row],[LC Number]],Main_Issuance[],3,0)</f>
        <v>Matthew Mckernan - AICS</v>
      </c>
      <c r="E1484" s="217" t="s">
        <v>856</v>
      </c>
      <c r="F1484" s="244" t="str">
        <f>VLOOKUP(Main_Presentation[[#This Row],[LC Number]],Main_Issuance[],5,0)</f>
        <v>SNB</v>
      </c>
      <c r="G1484" s="244" t="str">
        <f>VLOOKUP(Main_Presentation[[#This Row],[LC Number]],Main_Issuance[],6,0)</f>
        <v>Opera House</v>
      </c>
      <c r="H1484" s="244" t="str">
        <f>VLOOKUP(Main_Presentation[[#This Row],[LC Number]],Main_Issuance[],17,0)</f>
        <v>Credit</v>
      </c>
      <c r="I1484" s="244" t="str">
        <f>VLOOKUP(Main_Presentation[[#This Row],[LC Number]],Main_Issuance[],7,0)</f>
        <v>ALNAFIE METAL INDUSTRIES CO LTD</v>
      </c>
      <c r="J1484" s="244" t="str">
        <f>VLOOKUP(Main_Presentation[[#This Row],[LC Number]],Main_Issuance[],8,0)</f>
        <v>MBL/AICS</v>
      </c>
      <c r="K1484" s="244" t="str">
        <f>VLOOKUP(Main_Presentation[[#This Row],[LC Number]],Main_Issuance[],9,0)</f>
        <v>OPERA House</v>
      </c>
      <c r="L1484" s="244">
        <f>VLOOKUP(Main_Presentation[[#This Row],[LC Number]],Main_Issuance[],10,0)</f>
        <v>1020097</v>
      </c>
      <c r="M1484" s="244" t="str">
        <f>VLOOKUP(Main_Presentation[[#This Row],[LC Number]],Main_Issuance[],11,0)</f>
        <v>SAR</v>
      </c>
      <c r="N1484" s="245">
        <f>VLOOKUP(Main_Presentation[[#This Row],[LC Number]],Main_Issuance[],12,0)</f>
        <v>18703391.850000001</v>
      </c>
      <c r="O1484" s="217" t="s">
        <v>20</v>
      </c>
      <c r="P1484" s="217" t="s">
        <v>857</v>
      </c>
      <c r="Q1484" s="218">
        <v>1597041.23</v>
      </c>
      <c r="R1484" s="218">
        <v>1</v>
      </c>
      <c r="S1484" s="218">
        <f>Main_Presentation[[#This Row],[Invoice Amt (FCY)]]*Main_Presentation[[#This Row],[Rate]]</f>
        <v>1597041.23</v>
      </c>
      <c r="T1484" s="227">
        <v>46142</v>
      </c>
      <c r="U1484" s="243" t="str">
        <f>VLOOKUP(Main_Presentation[[#This Row],[LC Number]],Main_Issuance[],18,0)</f>
        <v>90 Days from Invoice Date</v>
      </c>
      <c r="V1484" s="233" t="s">
        <v>96</v>
      </c>
      <c r="W1484" s="229" t="s">
        <v>857</v>
      </c>
      <c r="X1484" s="217"/>
      <c r="Y1484" s="399" t="str">
        <f>TRIM(LEFT(Main_Presentation[[#This Row],[Payment Terms]],3))</f>
        <v>90</v>
      </c>
      <c r="Z1484" s="217"/>
      <c r="AA1484" s="316" cm="1">
        <f t="array" ref="AA1484">Settlement(Main_Presentation[[#This Row],[Bank]],Main_Presentation[[#This Row],[ Invoice Amt (SAR)]],Main_Presentation[[#This Row],[Date Recd]],Main_Presentation[[#This Row],[Due Date]],Main_Presentation[[#This Row],[Days]])</f>
        <v>3866.3</v>
      </c>
      <c r="AB1484" s="217"/>
    </row>
    <row r="1485" spans="1:28" ht="15.75" hidden="1" x14ac:dyDescent="0.25">
      <c r="A1485" s="226" t="s">
        <v>3142</v>
      </c>
      <c r="B1485" s="227">
        <v>46109</v>
      </c>
      <c r="C1485" s="243">
        <v>1</v>
      </c>
      <c r="D1485" s="228" t="str">
        <f>VLOOKUP(Main_Presentation[[#This Row],[LC Number]],Main_Issuance[],3,0)</f>
        <v>Matthew Mckernan - AICS</v>
      </c>
      <c r="E1485" s="217" t="s">
        <v>856</v>
      </c>
      <c r="F1485" s="244" t="str">
        <f>VLOOKUP(Main_Presentation[[#This Row],[LC Number]],Main_Issuance[],5,0)</f>
        <v>SNB</v>
      </c>
      <c r="G1485" s="244" t="str">
        <f>VLOOKUP(Main_Presentation[[#This Row],[LC Number]],Main_Issuance[],6,0)</f>
        <v>Opera House</v>
      </c>
      <c r="H1485" s="244" t="str">
        <f>VLOOKUP(Main_Presentation[[#This Row],[LC Number]],Main_Issuance[],17,0)</f>
        <v>Credit</v>
      </c>
      <c r="I1485" s="244" t="str">
        <f>VLOOKUP(Main_Presentation[[#This Row],[LC Number]],Main_Issuance[],7,0)</f>
        <v>APS ARABIAN CONTRACTING COMPANY</v>
      </c>
      <c r="J1485" s="244" t="str">
        <f>VLOOKUP(Main_Presentation[[#This Row],[LC Number]],Main_Issuance[],8,0)</f>
        <v>MBL/AICS</v>
      </c>
      <c r="K1485" s="244" t="str">
        <f>VLOOKUP(Main_Presentation[[#This Row],[LC Number]],Main_Issuance[],9,0)</f>
        <v>OPERA House</v>
      </c>
      <c r="L1485" s="244">
        <f>VLOOKUP(Main_Presentation[[#This Row],[LC Number]],Main_Issuance[],10,0)</f>
        <v>1020097</v>
      </c>
      <c r="M1485" s="244" t="str">
        <f>VLOOKUP(Main_Presentation[[#This Row],[LC Number]],Main_Issuance[],11,0)</f>
        <v>SAR</v>
      </c>
      <c r="N1485" s="245">
        <f>VLOOKUP(Main_Presentation[[#This Row],[LC Number]],Main_Issuance[],12,0)</f>
        <v>2072033.2</v>
      </c>
      <c r="O1485" s="217" t="s">
        <v>20</v>
      </c>
      <c r="P1485" s="217" t="s">
        <v>378</v>
      </c>
      <c r="Q1485" s="218">
        <v>223403.6</v>
      </c>
      <c r="R1485" s="218">
        <v>1</v>
      </c>
      <c r="S1485" s="218">
        <f>Main_Presentation[[#This Row],[Invoice Amt (FCY)]]*Main_Presentation[[#This Row],[Rate]]</f>
        <v>223403.6</v>
      </c>
      <c r="T1485" s="227">
        <v>46142</v>
      </c>
      <c r="U1485" s="243" t="str">
        <f>VLOOKUP(Main_Presentation[[#This Row],[LC Number]],Main_Issuance[],18,0)</f>
        <v>60 Days from Invoice Date</v>
      </c>
      <c r="V1485" s="233" t="s">
        <v>96</v>
      </c>
      <c r="W1485" s="229" t="s">
        <v>857</v>
      </c>
      <c r="X1485" s="217"/>
      <c r="Y1485" s="399" t="str">
        <f>TRIM(LEFT(Main_Presentation[[#This Row],[Payment Terms]],3))</f>
        <v>60</v>
      </c>
      <c r="Z1485" s="217"/>
      <c r="AA1485" s="316" cm="1">
        <f t="array" ref="AA1485">Settlement(Main_Presentation[[#This Row],[Bank]],Main_Presentation[[#This Row],[ Invoice Amt (SAR)]],Main_Presentation[[#This Row],[Date Recd]],Main_Presentation[[#This Row],[Due Date]],Main_Presentation[[#This Row],[Days]])</f>
        <v>655.5</v>
      </c>
      <c r="AB1485" s="217"/>
    </row>
    <row r="1486" spans="1:28" ht="15.75" hidden="1" x14ac:dyDescent="0.25">
      <c r="A1486" s="226" t="s">
        <v>2568</v>
      </c>
      <c r="B1486" s="227">
        <v>46063</v>
      </c>
      <c r="C1486" s="243">
        <v>7</v>
      </c>
      <c r="D1486" s="228" t="str">
        <f>VLOOKUP(Main_Presentation[[#This Row],[LC Number]],Main_Issuance[],3,0)</f>
        <v>Luis Puente</v>
      </c>
      <c r="E1486" s="217" t="s">
        <v>856</v>
      </c>
      <c r="F1486" s="244" t="str">
        <f>VLOOKUP(Main_Presentation[[#This Row],[LC Number]],Main_Issuance[],5,0)</f>
        <v>Riyad</v>
      </c>
      <c r="G1486" s="244" t="str">
        <f>VLOOKUP(Main_Presentation[[#This Row],[LC Number]],Main_Issuance[],6,0)</f>
        <v>Cash</v>
      </c>
      <c r="H1486" s="244" t="str">
        <f>VLOOKUP(Main_Presentation[[#This Row],[LC Number]],Main_Issuance[],17,0)</f>
        <v>Cash</v>
      </c>
      <c r="I1486" s="244" t="str">
        <f>VLOOKUP(Main_Presentation[[#This Row],[LC Number]],Main_Issuance[],7,0)</f>
        <v>Mat Filtrasyon Teknolojeleri A.S</v>
      </c>
      <c r="J1486" s="244" t="str">
        <f>VLOOKUP(Main_Presentation[[#This Row],[LC Number]],Main_Issuance[],8,0)</f>
        <v>MBL</v>
      </c>
      <c r="K1486" s="244" t="str">
        <f>VLOOKUP(Main_Presentation[[#This Row],[LC Number]],Main_Issuance[],9,0)</f>
        <v>Oceanarium</v>
      </c>
      <c r="L1486" s="244">
        <f>VLOOKUP(Main_Presentation[[#This Row],[LC Number]],Main_Issuance[],10,0)</f>
        <v>1020096</v>
      </c>
      <c r="M1486" s="244" t="str">
        <f>VLOOKUP(Main_Presentation[[#This Row],[LC Number]],Main_Issuance[],11,0)</f>
        <v>SAR</v>
      </c>
      <c r="N1486" s="245">
        <f>VLOOKUP(Main_Presentation[[#This Row],[LC Number]],Main_Issuance[],12,0)</f>
        <v>4092796.2399999998</v>
      </c>
      <c r="O1486" s="217" t="s">
        <v>20</v>
      </c>
      <c r="P1486" s="217" t="s">
        <v>857</v>
      </c>
      <c r="Q1486" s="218">
        <f>3471444.16-3467133.56</f>
        <v>4310.6000000000931</v>
      </c>
      <c r="R1486" s="218">
        <v>1</v>
      </c>
      <c r="S1486" s="218">
        <f>Main_Presentation[[#This Row],[Invoice Amt (FCY)]]*Main_Presentation[[#This Row],[Rate]]</f>
        <v>4310.6000000000931</v>
      </c>
      <c r="T1486" s="227">
        <v>46105</v>
      </c>
      <c r="U1486" s="243" t="str">
        <f>VLOOKUP(Main_Presentation[[#This Row],[LC Number]],Main_Issuance[],18,0)</f>
        <v>45 Days from Invoice Date</v>
      </c>
      <c r="V1486" s="233" t="s">
        <v>70</v>
      </c>
      <c r="W1486" s="229" t="s">
        <v>857</v>
      </c>
      <c r="X1486" s="217"/>
      <c r="Y1486" s="399" t="str">
        <f>TRIM(LEFT(Main_Presentation[[#This Row],[Payment Terms]],3))</f>
        <v>45</v>
      </c>
      <c r="Z1486" s="217"/>
      <c r="AA1486" s="405" cm="1">
        <f t="array" ref="AA1486">Settlement(Main_Presentation[[#This Row],[Bank]],Main_Presentation[[#This Row],[ Invoice Amt (SAR)]],Main_Presentation[[#This Row],[Date Recd]],Main_Presentation[[#This Row],[Due Date]],Main_Presentation[[#This Row],[Days]])</f>
        <v>230</v>
      </c>
      <c r="AB1486" s="217"/>
    </row>
    <row r="1487" spans="1:28" ht="15.75" hidden="1" x14ac:dyDescent="0.25">
      <c r="A1487" s="226" t="s">
        <v>4295</v>
      </c>
      <c r="B1487" s="227">
        <v>46109</v>
      </c>
      <c r="C1487" s="243">
        <v>3</v>
      </c>
      <c r="D1487" s="228" t="str">
        <f>VLOOKUP(Main_Presentation[[#This Row],[LC Number]],Main_Issuance[],3,0)</f>
        <v>Hassan Taleb</v>
      </c>
      <c r="E1487" s="217" t="s">
        <v>856</v>
      </c>
      <c r="F1487" s="244" t="str">
        <f>VLOOKUP(Main_Presentation[[#This Row],[LC Number]],Main_Issuance[],5,0)</f>
        <v>Alinma</v>
      </c>
      <c r="G1487" s="244" t="str">
        <f>VLOOKUP(Main_Presentation[[#This Row],[LC Number]],Main_Issuance[],6,0)</f>
        <v>KSP</v>
      </c>
      <c r="H1487" s="244" t="str">
        <f>VLOOKUP(Main_Presentation[[#This Row],[LC Number]],Main_Issuance[],17,0)</f>
        <v>Credit</v>
      </c>
      <c r="I1487" s="244" t="str">
        <f>VLOOKUP(Main_Presentation[[#This Row],[LC Number]],Main_Issuance[],7,0)</f>
        <v>The Fundamental Installation For Electric Work Co</v>
      </c>
      <c r="J1487" s="244" t="str">
        <f>VLOOKUP(Main_Presentation[[#This Row],[LC Number]],Main_Issuance[],8,0)</f>
        <v>FIRST FIX</v>
      </c>
      <c r="K1487" s="244" t="str">
        <f>VLOOKUP(Main_Presentation[[#This Row],[LC Number]],Main_Issuance[],9,0)</f>
        <v>CEER</v>
      </c>
      <c r="L1487" s="244">
        <f>VLOOKUP(Main_Presentation[[#This Row],[LC Number]],Main_Issuance[],10,0)</f>
        <v>1020091</v>
      </c>
      <c r="M1487" s="244" t="str">
        <f>VLOOKUP(Main_Presentation[[#This Row],[LC Number]],Main_Issuance[],11,0)</f>
        <v>SAR</v>
      </c>
      <c r="N1487" s="245">
        <f>VLOOKUP(Main_Presentation[[#This Row],[LC Number]],Main_Issuance[],12,0)</f>
        <v>50000000</v>
      </c>
      <c r="O1487" s="217" t="s">
        <v>20</v>
      </c>
      <c r="P1487" s="217" t="s">
        <v>857</v>
      </c>
      <c r="Q1487" s="218">
        <v>50000000</v>
      </c>
      <c r="R1487" s="218">
        <v>1</v>
      </c>
      <c r="S1487" s="218">
        <f>Main_Presentation[[#This Row],[Invoice Amt (FCY)]]*Main_Presentation[[#This Row],[Rate]]</f>
        <v>50000000</v>
      </c>
      <c r="T1487" s="227">
        <v>46176</v>
      </c>
      <c r="U1487" s="243" t="str">
        <f>VLOOKUP(Main_Presentation[[#This Row],[LC Number]],Main_Issuance[],18,0)</f>
        <v>90 Days from Invoice Date</v>
      </c>
      <c r="V1487" s="233" t="s">
        <v>5428</v>
      </c>
      <c r="W1487" s="229" t="s">
        <v>378</v>
      </c>
      <c r="X1487" s="217" t="s">
        <v>5412</v>
      </c>
      <c r="Y1487" s="399" t="str">
        <f>TRIM(LEFT(Main_Presentation[[#This Row],[Payment Terms]],3))</f>
        <v>90</v>
      </c>
      <c r="Z1487" s="217"/>
      <c r="AA1487" s="316" cm="1">
        <f t="array" ref="AA1487">Settlement(Main_Presentation[[#This Row],[Bank]],Main_Presentation[[#This Row],[ Invoice Amt (SAR)]],Main_Presentation[[#This Row],[Date Recd]],Main_Presentation[[#This Row],[Due Date]],Main_Presentation[[#This Row],[Days]])</f>
        <v>47917.05</v>
      </c>
      <c r="AB1487" s="217"/>
    </row>
    <row r="1488" spans="1:28" ht="15.75" hidden="1" x14ac:dyDescent="0.25">
      <c r="A1488" s="226" t="s">
        <v>2904</v>
      </c>
      <c r="B1488" s="227">
        <v>46124</v>
      </c>
      <c r="C1488" s="243">
        <v>2</v>
      </c>
      <c r="D1488" s="228" t="str">
        <f>VLOOKUP(Main_Presentation[[#This Row],[LC Number]],Main_Issuance[],3,0)</f>
        <v>Hassan Taleb</v>
      </c>
      <c r="E1488" s="217" t="s">
        <v>858</v>
      </c>
      <c r="F1488" s="244" t="str">
        <f>VLOOKUP(Main_Presentation[[#This Row],[LC Number]],Main_Issuance[],5,0)</f>
        <v>SAB</v>
      </c>
      <c r="G1488" s="244" t="str">
        <f>VLOOKUP(Main_Presentation[[#This Row],[LC Number]],Main_Issuance[],6,0)</f>
        <v>MP1</v>
      </c>
      <c r="H1488" s="244" t="str">
        <f>VLOOKUP(Main_Presentation[[#This Row],[LC Number]],Main_Issuance[],17,0)</f>
        <v>Credit</v>
      </c>
      <c r="I1488" s="244" t="str">
        <f>VLOOKUP(Main_Presentation[[#This Row],[LC Number]],Main_Issuance[],7,0)</f>
        <v>ELSEWEDY CABLES CO. LIMITED</v>
      </c>
      <c r="J1488" s="244" t="str">
        <f>VLOOKUP(Main_Presentation[[#This Row],[LC Number]],Main_Issuance[],8,0)</f>
        <v>FIRST FIX</v>
      </c>
      <c r="K1488" s="244" t="str">
        <f>VLOOKUP(Main_Presentation[[#This Row],[LC Number]],Main_Issuance[],9,0)</f>
        <v>MP1</v>
      </c>
      <c r="L1488" s="244">
        <f>VLOOKUP(Main_Presentation[[#This Row],[LC Number]],Main_Issuance[],10,0)</f>
        <v>1020088</v>
      </c>
      <c r="M1488" s="244" t="str">
        <f>VLOOKUP(Main_Presentation[[#This Row],[LC Number]],Main_Issuance[],11,0)</f>
        <v>SAR</v>
      </c>
      <c r="N1488" s="245">
        <f>VLOOKUP(Main_Presentation[[#This Row],[LC Number]],Main_Issuance[],12,0)</f>
        <v>6908467.5099999998</v>
      </c>
      <c r="O1488" s="217" t="s">
        <v>20</v>
      </c>
      <c r="P1488" s="217" t="s">
        <v>857</v>
      </c>
      <c r="Q1488" s="218">
        <v>1000332.98</v>
      </c>
      <c r="R1488" s="218">
        <v>1</v>
      </c>
      <c r="S1488" s="218">
        <f>Main_Presentation[[#This Row],[Invoice Amt (FCY)]]*Main_Presentation[[#This Row],[Rate]]</f>
        <v>1000332.98</v>
      </c>
      <c r="T1488" s="227">
        <v>46188</v>
      </c>
      <c r="U1488" s="243" t="str">
        <f>VLOOKUP(Main_Presentation[[#This Row],[LC Number]],Main_Issuance[],18,0)</f>
        <v>120 Days from Invoice Date</v>
      </c>
      <c r="V1488" s="233"/>
      <c r="W1488" s="229" t="s">
        <v>378</v>
      </c>
      <c r="X1488" s="217"/>
      <c r="Y1488" s="399" t="str">
        <f>TRIM(LEFT(Main_Presentation[[#This Row],[Payment Terms]],3))</f>
        <v>120</v>
      </c>
      <c r="Z1488" s="217"/>
      <c r="AA1488" s="405" cm="1">
        <f t="array" ref="AA1488">Settlement(Main_Presentation[[#This Row],[Bank]],Main_Presentation[[#This Row],[ Invoice Amt (SAR)]],Main_Presentation[[#This Row],[Date Recd]],Main_Presentation[[#This Row],[Due Date]],Main_Presentation[[#This Row],[Days]])</f>
        <v>4313.6499999999996</v>
      </c>
      <c r="AB1488" s="217"/>
    </row>
    <row r="1489" spans="1:28" ht="15.75" hidden="1" x14ac:dyDescent="0.25">
      <c r="A1489" s="226" t="s">
        <v>4304</v>
      </c>
      <c r="B1489" s="227">
        <v>46110</v>
      </c>
      <c r="C1489" s="243">
        <v>1</v>
      </c>
      <c r="D1489" s="228" t="str">
        <f>VLOOKUP(Main_Presentation[[#This Row],[LC Number]],Main_Issuance[],3,0)</f>
        <v>Hassan Taleb</v>
      </c>
      <c r="E1489" s="217" t="s">
        <v>856</v>
      </c>
      <c r="F1489" s="244" t="str">
        <f>VLOOKUP(Main_Presentation[[#This Row],[LC Number]],Main_Issuance[],5,0)</f>
        <v>Jazira</v>
      </c>
      <c r="G1489" s="244" t="str">
        <f>VLOOKUP(Main_Presentation[[#This Row],[LC Number]],Main_Issuance[],6,0)</f>
        <v>RCRC</v>
      </c>
      <c r="H1489" s="244" t="str">
        <f>VLOOKUP(Main_Presentation[[#This Row],[LC Number]],Main_Issuance[],17,0)</f>
        <v>Credit</v>
      </c>
      <c r="I1489" s="244" t="str">
        <f>VLOOKUP(Main_Presentation[[#This Row],[LC Number]],Main_Issuance[],7,0)</f>
        <v>The Fundamental Installation For Electric Work Co</v>
      </c>
      <c r="J1489" s="244" t="str">
        <f>VLOOKUP(Main_Presentation[[#This Row],[LC Number]],Main_Issuance[],8,0)</f>
        <v>FIRST FIX</v>
      </c>
      <c r="K1489" s="244" t="str">
        <f>VLOOKUP(Main_Presentation[[#This Row],[LC Number]],Main_Issuance[],9,0)</f>
        <v>CEER</v>
      </c>
      <c r="L1489" s="244">
        <f>VLOOKUP(Main_Presentation[[#This Row],[LC Number]],Main_Issuance[],10,0)</f>
        <v>1020091</v>
      </c>
      <c r="M1489" s="244" t="str">
        <f>VLOOKUP(Main_Presentation[[#This Row],[LC Number]],Main_Issuance[],11,0)</f>
        <v>SAR</v>
      </c>
      <c r="N1489" s="245">
        <f>VLOOKUP(Main_Presentation[[#This Row],[LC Number]],Main_Issuance[],12,0)</f>
        <v>67000000</v>
      </c>
      <c r="O1489" s="217" t="s">
        <v>20</v>
      </c>
      <c r="P1489" s="217" t="s">
        <v>378</v>
      </c>
      <c r="Q1489" s="218">
        <v>25000000</v>
      </c>
      <c r="R1489" s="218">
        <v>1</v>
      </c>
      <c r="S1489" s="218">
        <f>Main_Presentation[[#This Row],[Invoice Amt (FCY)]]*Main_Presentation[[#This Row],[Rate]]</f>
        <v>25000000</v>
      </c>
      <c r="T1489" s="227">
        <v>46181</v>
      </c>
      <c r="U1489" s="243" t="str">
        <f>VLOOKUP(Main_Presentation[[#This Row],[LC Number]],Main_Issuance[],18,0)</f>
        <v>90 Days from Invoice Date</v>
      </c>
      <c r="V1489" s="233" t="s">
        <v>5455</v>
      </c>
      <c r="W1489" s="229" t="s">
        <v>378</v>
      </c>
      <c r="X1489" s="217"/>
      <c r="Y1489" s="399" t="str">
        <f>TRIM(LEFT(Main_Presentation[[#This Row],[Payment Terms]],3))</f>
        <v>90</v>
      </c>
      <c r="Z1489" s="217"/>
      <c r="AA1489" s="405" cm="1">
        <f t="array" ref="AA1489">Settlement(Main_Presentation[[#This Row],[Bank]],Main_Presentation[[#This Row],[ Invoice Amt (SAR)]],Main_Presentation[[#This Row],[Date Recd]],Main_Presentation[[#This Row],[Due Date]],Main_Presentation[[#This Row],[Days]])</f>
        <v>36282.5</v>
      </c>
      <c r="AB1489" s="217"/>
    </row>
    <row r="1490" spans="1:28" ht="15.75" hidden="1" x14ac:dyDescent="0.25">
      <c r="A1490" s="226" t="s">
        <v>2902</v>
      </c>
      <c r="B1490" s="227">
        <v>46155</v>
      </c>
      <c r="C1490" s="243">
        <v>1</v>
      </c>
      <c r="D1490" s="228" t="str">
        <f>VLOOKUP(Main_Presentation[[#This Row],[LC Number]],Main_Issuance[],3,0)</f>
        <v>Hassan Taleb</v>
      </c>
      <c r="E1490" s="217" t="s">
        <v>856</v>
      </c>
      <c r="F1490" s="244" t="str">
        <f>VLOOKUP(Main_Presentation[[#This Row],[LC Number]],Main_Issuance[],5,0)</f>
        <v>SAB</v>
      </c>
      <c r="G1490" s="244" t="str">
        <f>VLOOKUP(Main_Presentation[[#This Row],[LC Number]],Main_Issuance[],6,0)</f>
        <v>MP1</v>
      </c>
      <c r="H1490" s="244" t="str">
        <f>VLOOKUP(Main_Presentation[[#This Row],[LC Number]],Main_Issuance[],17,0)</f>
        <v>Credit</v>
      </c>
      <c r="I1490" s="244" t="str">
        <f>VLOOKUP(Main_Presentation[[#This Row],[LC Number]],Main_Issuance[],7,0)</f>
        <v xml:space="preserve">Daikin Air Conditioning Saudi Arabia </v>
      </c>
      <c r="J1490" s="244" t="str">
        <f>VLOOKUP(Main_Presentation[[#This Row],[LC Number]],Main_Issuance[],8,0)</f>
        <v>FIRST FIX</v>
      </c>
      <c r="K1490" s="244" t="str">
        <f>VLOOKUP(Main_Presentation[[#This Row],[LC Number]],Main_Issuance[],9,0)</f>
        <v>MP1</v>
      </c>
      <c r="L1490" s="244">
        <f>VLOOKUP(Main_Presentation[[#This Row],[LC Number]],Main_Issuance[],10,0)</f>
        <v>1020088</v>
      </c>
      <c r="M1490" s="244" t="str">
        <f>VLOOKUP(Main_Presentation[[#This Row],[LC Number]],Main_Issuance[],11,0)</f>
        <v>SAR</v>
      </c>
      <c r="N1490" s="245">
        <f>VLOOKUP(Main_Presentation[[#This Row],[LC Number]],Main_Issuance[],12,0)</f>
        <v>628258.81000000006</v>
      </c>
      <c r="O1490" s="217" t="s">
        <v>912</v>
      </c>
      <c r="P1490" s="217" t="s">
        <v>857</v>
      </c>
      <c r="Q1490" s="218">
        <v>208813.02</v>
      </c>
      <c r="R1490" s="218">
        <v>1</v>
      </c>
      <c r="S1490" s="218">
        <f>Main_Presentation[[#This Row],[Invoice Amt (FCY)]]*Main_Presentation[[#This Row],[Rate]]</f>
        <v>208813.02</v>
      </c>
      <c r="T1490" s="227">
        <v>46208</v>
      </c>
      <c r="U1490" s="243" t="str">
        <f>VLOOKUP(Main_Presentation[[#This Row],[LC Number]],Main_Issuance[],18,0)</f>
        <v>120 Days from Invoice Date</v>
      </c>
      <c r="V1490" s="233"/>
      <c r="W1490" s="229" t="s">
        <v>378</v>
      </c>
      <c r="X1490" s="217"/>
      <c r="Y1490" s="399" t="str">
        <f>TRIM(LEFT(Main_Presentation[[#This Row],[Payment Terms]],3))</f>
        <v>120</v>
      </c>
      <c r="Z1490" s="217"/>
      <c r="AA1490" s="405" cm="1">
        <f t="array" ref="AA1490">Settlement(Main_Presentation[[#This Row],[Bank]],Main_Presentation[[#This Row],[ Invoice Amt (SAR)]],Main_Presentation[[#This Row],[Date Recd]],Main_Presentation[[#This Row],[Due Date]],Main_Presentation[[#This Row],[Days]],,500)</f>
        <v>1475.45</v>
      </c>
      <c r="AB1490" s="217"/>
    </row>
    <row r="1491" spans="1:28" ht="15.75" hidden="1" x14ac:dyDescent="0.25">
      <c r="A1491" s="226" t="s">
        <v>1873</v>
      </c>
      <c r="B1491" s="227">
        <v>46113</v>
      </c>
      <c r="C1491" s="243">
        <v>2</v>
      </c>
      <c r="D1491" s="228" t="str">
        <f>VLOOKUP(Main_Presentation[[#This Row],[LC Number]],Main_Issuance[],3,0)</f>
        <v>Hassan Taleb</v>
      </c>
      <c r="E1491" s="217" t="s">
        <v>856</v>
      </c>
      <c r="F1491" s="244" t="str">
        <f>VLOOKUP(Main_Presentation[[#This Row],[LC Number]],Main_Issuance[],5,0)</f>
        <v>SAB</v>
      </c>
      <c r="G1491" s="244" t="str">
        <f>VLOOKUP(Main_Presentation[[#This Row],[LC Number]],Main_Issuance[],6,0)</f>
        <v>MP1</v>
      </c>
      <c r="H1491" s="244" t="str">
        <f>VLOOKUP(Main_Presentation[[#This Row],[LC Number]],Main_Issuance[],17,0)</f>
        <v>Credit</v>
      </c>
      <c r="I1491" s="244" t="str">
        <f>VLOOKUP(Main_Presentation[[#This Row],[LC Number]],Main_Issuance[],7,0)</f>
        <v>BAHRA ADVANCED CABLE MANUFACTURE CO. LTD.</v>
      </c>
      <c r="J1491" s="244" t="str">
        <f>VLOOKUP(Main_Presentation[[#This Row],[LC Number]],Main_Issuance[],8,0)</f>
        <v>FIRST FIX</v>
      </c>
      <c r="K1491" s="244" t="str">
        <f>VLOOKUP(Main_Presentation[[#This Row],[LC Number]],Main_Issuance[],9,0)</f>
        <v>MP1</v>
      </c>
      <c r="L1491" s="244">
        <f>VLOOKUP(Main_Presentation[[#This Row],[LC Number]],Main_Issuance[],10,0)</f>
        <v>1020088</v>
      </c>
      <c r="M1491" s="244" t="str">
        <f>VLOOKUP(Main_Presentation[[#This Row],[LC Number]],Main_Issuance[],11,0)</f>
        <v>SAR</v>
      </c>
      <c r="N1491" s="245">
        <f>VLOOKUP(Main_Presentation[[#This Row],[LC Number]],Main_Issuance[],12,0)</f>
        <v>1500000</v>
      </c>
      <c r="O1491" s="217" t="s">
        <v>912</v>
      </c>
      <c r="P1491" s="217" t="s">
        <v>857</v>
      </c>
      <c r="Q1491" s="218">
        <v>427806.8</v>
      </c>
      <c r="R1491" s="218">
        <v>1</v>
      </c>
      <c r="S1491" s="218">
        <f>Main_Presentation[[#This Row],[Invoice Amt (FCY)]]*Main_Presentation[[#This Row],[Rate]]</f>
        <v>427806.8</v>
      </c>
      <c r="T1491" s="227">
        <v>46219</v>
      </c>
      <c r="U1491" s="243" t="str">
        <f>VLOOKUP(Main_Presentation[[#This Row],[LC Number]],Main_Issuance[],18,0)</f>
        <v>120 Days from Invoice Date</v>
      </c>
      <c r="V1491" s="233"/>
      <c r="W1491" s="229" t="s">
        <v>378</v>
      </c>
      <c r="X1491" s="217"/>
      <c r="Y1491" s="399" t="str">
        <f>TRIM(LEFT(Main_Presentation[[#This Row],[Payment Terms]],3))</f>
        <v>120</v>
      </c>
      <c r="Z1491" s="217"/>
      <c r="AA1491" s="405" cm="1">
        <f t="array" ref="AA1491">Settlement(Main_Presentation[[#This Row],[Bank]],Main_Presentation[[#This Row],[ Invoice Amt (SAR)]],Main_Presentation[[#This Row],[Date Recd]],Main_Presentation[[#This Row],[Due Date]],Main_Presentation[[#This Row],[Days]],)</f>
        <v>1844.6</v>
      </c>
      <c r="AB1491" s="217"/>
    </row>
    <row r="1492" spans="1:28" ht="15.75" hidden="1" x14ac:dyDescent="0.25">
      <c r="A1492" s="226" t="s">
        <v>1896</v>
      </c>
      <c r="B1492" s="227">
        <v>46111</v>
      </c>
      <c r="C1492" s="243">
        <v>6</v>
      </c>
      <c r="D1492" s="228" t="str">
        <f>VLOOKUP(Main_Presentation[[#This Row],[LC Number]],Main_Issuance[],3,0)</f>
        <v>Rabih Makhoul</v>
      </c>
      <c r="E1492" s="217" t="s">
        <v>856</v>
      </c>
      <c r="F1492" s="244" t="str">
        <f>VLOOKUP(Main_Presentation[[#This Row],[LC Number]],Main_Issuance[],5,0)</f>
        <v>Alinma</v>
      </c>
      <c r="G1492" s="244" t="str">
        <f>VLOOKUP(Main_Presentation[[#This Row],[LC Number]],Main_Issuance[],6,0)</f>
        <v>KSP</v>
      </c>
      <c r="H1492" s="244" t="str">
        <f>VLOOKUP(Main_Presentation[[#This Row],[LC Number]],Main_Issuance[],17,0)</f>
        <v>Credit</v>
      </c>
      <c r="I1492" s="244" t="str">
        <f>VLOOKUP(Main_Presentation[[#This Row],[LC Number]],Main_Issuance[],7,0)</f>
        <v>Saudi Perfect Pumps Trading &amp; Manufacturing Company</v>
      </c>
      <c r="J1492" s="244" t="str">
        <f>VLOOKUP(Main_Presentation[[#This Row],[LC Number]],Main_Issuance[],8,0)</f>
        <v>MBL</v>
      </c>
      <c r="K1492" s="244" t="str">
        <f>VLOOKUP(Main_Presentation[[#This Row],[LC Number]],Main_Issuance[],9,0)</f>
        <v>Rabigh Power Plant</v>
      </c>
      <c r="L1492" s="244">
        <f>VLOOKUP(Main_Presentation[[#This Row],[LC Number]],Main_Issuance[],10,0)</f>
        <v>1020107</v>
      </c>
      <c r="M1492" s="244" t="str">
        <f>VLOOKUP(Main_Presentation[[#This Row],[LC Number]],Main_Issuance[],11,0)</f>
        <v>SAR</v>
      </c>
      <c r="N1492" s="245">
        <f>VLOOKUP(Main_Presentation[[#This Row],[LC Number]],Main_Issuance[],12,0)</f>
        <v>7670500</v>
      </c>
      <c r="O1492" s="217" t="s">
        <v>20</v>
      </c>
      <c r="P1492" s="217" t="s">
        <v>857</v>
      </c>
      <c r="Q1492" s="218">
        <v>412500</v>
      </c>
      <c r="R1492" s="218">
        <v>1</v>
      </c>
      <c r="S1492" s="218">
        <f>Main_Presentation[[#This Row],[Invoice Amt (FCY)]]*Main_Presentation[[#This Row],[Rate]]</f>
        <v>412500</v>
      </c>
      <c r="T1492" s="227">
        <v>46141</v>
      </c>
      <c r="U1492" s="243" t="str">
        <f>VLOOKUP(Main_Presentation[[#This Row],[LC Number]],Main_Issuance[],18,0)</f>
        <v>45 Days from Delivery Date</v>
      </c>
      <c r="V1492" s="233" t="s">
        <v>511</v>
      </c>
      <c r="W1492" s="229" t="s">
        <v>857</v>
      </c>
      <c r="X1492" s="217"/>
      <c r="Y1492" s="399" t="str">
        <f>TRIM(LEFT(Main_Presentation[[#This Row],[Payment Terms]],3))</f>
        <v>45</v>
      </c>
      <c r="Z1492" s="217"/>
      <c r="AA1492" s="405" cm="1">
        <f t="array" ref="AA1492">Settlement(Main_Presentation[[#This Row],[Bank]],Main_Presentation[[#This Row],[ Invoice Amt (SAR)]],Main_Presentation[[#This Row],[Date Recd]],Main_Presentation[[#This Row],[Due Date]],Main_Presentation[[#This Row],[Days]])</f>
        <v>1437.5</v>
      </c>
      <c r="AB1492" s="217"/>
    </row>
    <row r="1493" spans="1:28" ht="15.75" hidden="1" x14ac:dyDescent="0.25">
      <c r="A1493" s="226" t="s">
        <v>1767</v>
      </c>
      <c r="B1493" s="227">
        <v>46113</v>
      </c>
      <c r="C1493" s="243">
        <v>4</v>
      </c>
      <c r="D1493" s="228" t="str">
        <f>VLOOKUP(Main_Presentation[[#This Row],[LC Number]],Main_Issuance[],3,0)</f>
        <v>Rabih Makhoul</v>
      </c>
      <c r="E1493" s="217" t="s">
        <v>856</v>
      </c>
      <c r="F1493" s="244" t="str">
        <f>VLOOKUP(Main_Presentation[[#This Row],[LC Number]],Main_Issuance[],5,0)</f>
        <v>Alinma</v>
      </c>
      <c r="G1493" s="244" t="str">
        <f>VLOOKUP(Main_Presentation[[#This Row],[LC Number]],Main_Issuance[],6,0)</f>
        <v>KSP</v>
      </c>
      <c r="H1493" s="244" t="str">
        <f>VLOOKUP(Main_Presentation[[#This Row],[LC Number]],Main_Issuance[],17,0)</f>
        <v>Credit</v>
      </c>
      <c r="I1493" s="244" t="str">
        <f>VLOOKUP(Main_Presentation[[#This Row],[LC Number]],Main_Issuance[],7,0)</f>
        <v>Al Arabia Construction &amp; Building Co.</v>
      </c>
      <c r="J1493" s="244" t="str">
        <f>VLOOKUP(Main_Presentation[[#This Row],[LC Number]],Main_Issuance[],8,0)</f>
        <v>MBL</v>
      </c>
      <c r="K1493" s="244" t="str">
        <f>VLOOKUP(Main_Presentation[[#This Row],[LC Number]],Main_Issuance[],9,0)</f>
        <v>Rabigh Power Plant</v>
      </c>
      <c r="L1493" s="244">
        <f>VLOOKUP(Main_Presentation[[#This Row],[LC Number]],Main_Issuance[],10,0)</f>
        <v>1020107</v>
      </c>
      <c r="M1493" s="244" t="str">
        <f>VLOOKUP(Main_Presentation[[#This Row],[LC Number]],Main_Issuance[],11,0)</f>
        <v>SAR</v>
      </c>
      <c r="N1493" s="245">
        <f>VLOOKUP(Main_Presentation[[#This Row],[LC Number]],Main_Issuance[],12,0)</f>
        <v>3009600</v>
      </c>
      <c r="O1493" s="16" t="s">
        <v>20</v>
      </c>
      <c r="P1493" s="217" t="s">
        <v>857</v>
      </c>
      <c r="Q1493" s="218">
        <v>53670.59</v>
      </c>
      <c r="R1493" s="218">
        <v>1</v>
      </c>
      <c r="S1493" s="218">
        <f>Main_Presentation[[#This Row],[Invoice Amt (FCY)]]*Main_Presentation[[#This Row],[Rate]]</f>
        <v>53670.59</v>
      </c>
      <c r="T1493" s="227">
        <v>46128</v>
      </c>
      <c r="U1493" s="243" t="str">
        <f>VLOOKUP(Main_Presentation[[#This Row],[LC Number]],Main_Issuance[],18,0)</f>
        <v>45 Days from the Invoice Date</v>
      </c>
      <c r="V1493" s="233" t="s">
        <v>511</v>
      </c>
      <c r="W1493" s="229" t="s">
        <v>378</v>
      </c>
      <c r="X1493" s="217"/>
      <c r="Y1493" s="399" t="str">
        <f>TRIM(LEFT(Main_Presentation[[#This Row],[Payment Terms]],3))</f>
        <v>45</v>
      </c>
      <c r="Z1493" s="217"/>
      <c r="AA1493" s="405" cm="1">
        <f t="array" ref="AA1493">Settlement(Main_Presentation[[#This Row],[Bank]],Main_Presentation[[#This Row],[ Invoice Amt (SAR)]],Main_Presentation[[#This Row],[Date Recd]],Main_Presentation[[#This Row],[Due Date]],Main_Presentation[[#This Row],[Days]])</f>
        <v>1437.5</v>
      </c>
      <c r="AB1493" s="217"/>
    </row>
    <row r="1494" spans="1:28" ht="15.75" hidden="1" x14ac:dyDescent="0.25">
      <c r="A1494" s="226" t="s">
        <v>1767</v>
      </c>
      <c r="B1494" s="227">
        <v>46113</v>
      </c>
      <c r="C1494" s="243">
        <v>5</v>
      </c>
      <c r="D1494" s="228" t="str">
        <f>VLOOKUP(Main_Presentation[[#This Row],[LC Number]],Main_Issuance[],3,0)</f>
        <v>Rabih Makhoul</v>
      </c>
      <c r="E1494" s="217" t="s">
        <v>856</v>
      </c>
      <c r="F1494" s="244" t="str">
        <f>VLOOKUP(Main_Presentation[[#This Row],[LC Number]],Main_Issuance[],5,0)</f>
        <v>Alinma</v>
      </c>
      <c r="G1494" s="244" t="str">
        <f>VLOOKUP(Main_Presentation[[#This Row],[LC Number]],Main_Issuance[],6,0)</f>
        <v>KSP</v>
      </c>
      <c r="H1494" s="244" t="str">
        <f>VLOOKUP(Main_Presentation[[#This Row],[LC Number]],Main_Issuance[],17,0)</f>
        <v>Credit</v>
      </c>
      <c r="I1494" s="244" t="str">
        <f>VLOOKUP(Main_Presentation[[#This Row],[LC Number]],Main_Issuance[],7,0)</f>
        <v>Al Arabia Construction &amp; Building Co.</v>
      </c>
      <c r="J1494" s="244" t="str">
        <f>VLOOKUP(Main_Presentation[[#This Row],[LC Number]],Main_Issuance[],8,0)</f>
        <v>MBL</v>
      </c>
      <c r="K1494" s="244" t="str">
        <f>VLOOKUP(Main_Presentation[[#This Row],[LC Number]],Main_Issuance[],9,0)</f>
        <v>Rabigh Power Plant</v>
      </c>
      <c r="L1494" s="244">
        <f>VLOOKUP(Main_Presentation[[#This Row],[LC Number]],Main_Issuance[],10,0)</f>
        <v>1020107</v>
      </c>
      <c r="M1494" s="244" t="str">
        <f>VLOOKUP(Main_Presentation[[#This Row],[LC Number]],Main_Issuance[],11,0)</f>
        <v>SAR</v>
      </c>
      <c r="N1494" s="245">
        <f>VLOOKUP(Main_Presentation[[#This Row],[LC Number]],Main_Issuance[],12,0)</f>
        <v>3009600</v>
      </c>
      <c r="O1494" s="16" t="s">
        <v>20</v>
      </c>
      <c r="P1494" s="217" t="s">
        <v>378</v>
      </c>
      <c r="Q1494" s="218">
        <v>291391.23</v>
      </c>
      <c r="R1494" s="218">
        <v>1</v>
      </c>
      <c r="S1494" s="218">
        <f>Main_Presentation[[#This Row],[Invoice Amt (FCY)]]*Main_Presentation[[#This Row],[Rate]]</f>
        <v>291391.23</v>
      </c>
      <c r="T1494" s="227">
        <v>46128</v>
      </c>
      <c r="U1494" s="243" t="str">
        <f>VLOOKUP(Main_Presentation[[#This Row],[LC Number]],Main_Issuance[],18,0)</f>
        <v>45 Days from the Invoice Date</v>
      </c>
      <c r="V1494" s="233" t="s">
        <v>511</v>
      </c>
      <c r="W1494" s="229" t="s">
        <v>378</v>
      </c>
      <c r="X1494" s="217"/>
      <c r="Y1494" s="399" t="str">
        <f>TRIM(LEFT(Main_Presentation[[#This Row],[Payment Terms]],3))</f>
        <v>45</v>
      </c>
      <c r="Z1494" s="217"/>
      <c r="AA1494" s="405" cm="1">
        <f t="array" ref="AA1494">Settlement(Main_Presentation[[#This Row],[Bank]],Main_Presentation[[#This Row],[ Invoice Amt (SAR)]],Main_Presentation[[#This Row],[Date Recd]],Main_Presentation[[#This Row],[Due Date]],Main_Presentation[[#This Row],[Days]])</f>
        <v>1437.5</v>
      </c>
      <c r="AB1494" s="217"/>
    </row>
    <row r="1495" spans="1:28" ht="15.75" hidden="1" x14ac:dyDescent="0.25">
      <c r="A1495" s="226" t="s">
        <v>1896</v>
      </c>
      <c r="B1495" s="227">
        <v>46125</v>
      </c>
      <c r="C1495" s="243">
        <v>7</v>
      </c>
      <c r="D1495" s="228" t="str">
        <f>VLOOKUP(Main_Presentation[[#This Row],[LC Number]],Main_Issuance[],3,0)</f>
        <v>Rabih Makhoul</v>
      </c>
      <c r="E1495" s="217" t="s">
        <v>856</v>
      </c>
      <c r="F1495" s="244" t="str">
        <f>VLOOKUP(Main_Presentation[[#This Row],[LC Number]],Main_Issuance[],5,0)</f>
        <v>Alinma</v>
      </c>
      <c r="G1495" s="244" t="str">
        <f>VLOOKUP(Main_Presentation[[#This Row],[LC Number]],Main_Issuance[],6,0)</f>
        <v>KSP</v>
      </c>
      <c r="H1495" s="244" t="str">
        <f>VLOOKUP(Main_Presentation[[#This Row],[LC Number]],Main_Issuance[],17,0)</f>
        <v>Credit</v>
      </c>
      <c r="I1495" s="244" t="str">
        <f>VLOOKUP(Main_Presentation[[#This Row],[LC Number]],Main_Issuance[],7,0)</f>
        <v>Saudi Perfect Pumps Trading &amp; Manufacturing Company</v>
      </c>
      <c r="J1495" s="244" t="str">
        <f>VLOOKUP(Main_Presentation[[#This Row],[LC Number]],Main_Issuance[],8,0)</f>
        <v>MBL</v>
      </c>
      <c r="K1495" s="244" t="str">
        <f>VLOOKUP(Main_Presentation[[#This Row],[LC Number]],Main_Issuance[],9,0)</f>
        <v>Rabigh Power Plant</v>
      </c>
      <c r="L1495" s="244">
        <f>VLOOKUP(Main_Presentation[[#This Row],[LC Number]],Main_Issuance[],10,0)</f>
        <v>1020107</v>
      </c>
      <c r="M1495" s="244" t="str">
        <f>VLOOKUP(Main_Presentation[[#This Row],[LC Number]],Main_Issuance[],11,0)</f>
        <v>SAR</v>
      </c>
      <c r="N1495" s="245">
        <f>VLOOKUP(Main_Presentation[[#This Row],[LC Number]],Main_Issuance[],12,0)</f>
        <v>7670500</v>
      </c>
      <c r="O1495" s="217" t="s">
        <v>20</v>
      </c>
      <c r="P1495" s="217" t="s">
        <v>857</v>
      </c>
      <c r="Q1495" s="218">
        <v>279950</v>
      </c>
      <c r="R1495" s="218">
        <v>1</v>
      </c>
      <c r="S1495" s="218">
        <f>Main_Presentation[[#This Row],[Invoice Amt (FCY)]]*Main_Presentation[[#This Row],[Rate]]</f>
        <v>279950</v>
      </c>
      <c r="T1495" s="227">
        <v>46138</v>
      </c>
      <c r="U1495" s="243" t="str">
        <f>VLOOKUP(Main_Presentation[[#This Row],[LC Number]],Main_Issuance[],18,0)</f>
        <v>45 Days from Delivery Date</v>
      </c>
      <c r="V1495" s="233" t="s">
        <v>511</v>
      </c>
      <c r="W1495" s="229" t="s">
        <v>857</v>
      </c>
      <c r="X1495" s="217"/>
      <c r="Y1495" s="399" t="str">
        <f>TRIM(LEFT(Main_Presentation[[#This Row],[Payment Terms]],3))</f>
        <v>45</v>
      </c>
      <c r="Z1495" s="217"/>
      <c r="AA1495" s="405" cm="1">
        <f t="array" ref="AA1495">Settlement(Main_Presentation[[#This Row],[Bank]],Main_Presentation[[#This Row],[ Invoice Amt (SAR)]],Main_Presentation[[#This Row],[Date Recd]],Main_Presentation[[#This Row],[Due Date]],Main_Presentation[[#This Row],[Days]])</f>
        <v>1437.5</v>
      </c>
      <c r="AB1495" s="217"/>
    </row>
    <row r="1496" spans="1:28" ht="15.75" hidden="1" x14ac:dyDescent="0.25">
      <c r="A1496" s="226" t="s">
        <v>1896</v>
      </c>
      <c r="B1496" s="227">
        <v>46125</v>
      </c>
      <c r="C1496" s="243">
        <v>8</v>
      </c>
      <c r="D1496" s="228" t="str">
        <f>VLOOKUP(Main_Presentation[[#This Row],[LC Number]],Main_Issuance[],3,0)</f>
        <v>Rabih Makhoul</v>
      </c>
      <c r="E1496" s="217" t="s">
        <v>856</v>
      </c>
      <c r="F1496" s="244" t="str">
        <f>VLOOKUP(Main_Presentation[[#This Row],[LC Number]],Main_Issuance[],5,0)</f>
        <v>Alinma</v>
      </c>
      <c r="G1496" s="244" t="str">
        <f>VLOOKUP(Main_Presentation[[#This Row],[LC Number]],Main_Issuance[],6,0)</f>
        <v>KSP</v>
      </c>
      <c r="H1496" s="244" t="str">
        <f>VLOOKUP(Main_Presentation[[#This Row],[LC Number]],Main_Issuance[],17,0)</f>
        <v>Credit</v>
      </c>
      <c r="I1496" s="244" t="str">
        <f>VLOOKUP(Main_Presentation[[#This Row],[LC Number]],Main_Issuance[],7,0)</f>
        <v>Saudi Perfect Pumps Trading &amp; Manufacturing Company</v>
      </c>
      <c r="J1496" s="244" t="str">
        <f>VLOOKUP(Main_Presentation[[#This Row],[LC Number]],Main_Issuance[],8,0)</f>
        <v>MBL</v>
      </c>
      <c r="K1496" s="244" t="str">
        <f>VLOOKUP(Main_Presentation[[#This Row],[LC Number]],Main_Issuance[],9,0)</f>
        <v>Rabigh Power Plant</v>
      </c>
      <c r="L1496" s="244">
        <f>VLOOKUP(Main_Presentation[[#This Row],[LC Number]],Main_Issuance[],10,0)</f>
        <v>1020107</v>
      </c>
      <c r="M1496" s="244" t="str">
        <f>VLOOKUP(Main_Presentation[[#This Row],[LC Number]],Main_Issuance[],11,0)</f>
        <v>SAR</v>
      </c>
      <c r="N1496" s="245">
        <f>VLOOKUP(Main_Presentation[[#This Row],[LC Number]],Main_Issuance[],12,0)</f>
        <v>7670500</v>
      </c>
      <c r="O1496" s="217" t="s">
        <v>20</v>
      </c>
      <c r="P1496" s="217" t="s">
        <v>378</v>
      </c>
      <c r="Q1496" s="218">
        <v>412500</v>
      </c>
      <c r="R1496" s="218">
        <v>1</v>
      </c>
      <c r="S1496" s="218">
        <f>Main_Presentation[[#This Row],[Invoice Amt (FCY)]]*Main_Presentation[[#This Row],[Rate]]</f>
        <v>412500</v>
      </c>
      <c r="T1496" s="227">
        <v>46138</v>
      </c>
      <c r="U1496" s="243" t="str">
        <f>VLOOKUP(Main_Presentation[[#This Row],[LC Number]],Main_Issuance[],18,0)</f>
        <v>45 Days from Delivery Date</v>
      </c>
      <c r="V1496" s="233" t="s">
        <v>511</v>
      </c>
      <c r="W1496" s="229" t="s">
        <v>857</v>
      </c>
      <c r="X1496" s="217"/>
      <c r="Y1496" s="399" t="str">
        <f>TRIM(LEFT(Main_Presentation[[#This Row],[Payment Terms]],3))</f>
        <v>45</v>
      </c>
      <c r="Z1496" s="217"/>
      <c r="AA1496" s="405" cm="1">
        <f t="array" ref="AA1496">Settlement(Main_Presentation[[#This Row],[Bank]],Main_Presentation[[#This Row],[ Invoice Amt (SAR)]],Main_Presentation[[#This Row],[Date Recd]],Main_Presentation[[#This Row],[Due Date]],Main_Presentation[[#This Row],[Days]])</f>
        <v>1437.5</v>
      </c>
      <c r="AB1496" s="217"/>
    </row>
    <row r="1497" spans="1:28" ht="15.75" hidden="1" x14ac:dyDescent="0.25">
      <c r="A1497" s="226" t="s">
        <v>707</v>
      </c>
      <c r="B1497" s="227">
        <v>46097</v>
      </c>
      <c r="C1497" s="243">
        <v>3</v>
      </c>
      <c r="D1497" s="228" t="str">
        <f>VLOOKUP(Main_Presentation[[#This Row],[LC Number]],Main_Issuance[],3,0)</f>
        <v>Chaminda Indrajit</v>
      </c>
      <c r="E1497" s="217" t="s">
        <v>858</v>
      </c>
      <c r="F1497" s="244" t="str">
        <f>VLOOKUP(Main_Presentation[[#This Row],[LC Number]],Main_Issuance[],5,0)</f>
        <v>SNB</v>
      </c>
      <c r="G1497" s="244" t="str">
        <f>VLOOKUP(Main_Presentation[[#This Row],[LC Number]],Main_Issuance[],6,0)</f>
        <v>Opera House</v>
      </c>
      <c r="H1497" s="244" t="str">
        <f>VLOOKUP(Main_Presentation[[#This Row],[LC Number]],Main_Issuance[],17,0)</f>
        <v>Credit</v>
      </c>
      <c r="I1497" s="244" t="str">
        <f>VLOOKUP(Main_Presentation[[#This Row],[LC Number]],Main_Issuance[],7,0)</f>
        <v>BBH-CHEMTROL INTERNATIONAL ORGANIZATION S.L</v>
      </c>
      <c r="J1497" s="244" t="str">
        <f>VLOOKUP(Main_Presentation[[#This Row],[LC Number]],Main_Issuance[],8,0)</f>
        <v>MBL/ICAD</v>
      </c>
      <c r="K1497" s="244" t="str">
        <f>VLOOKUP(Main_Presentation[[#This Row],[LC Number]],Main_Issuance[],9,0)</f>
        <v>OPERA House</v>
      </c>
      <c r="L1497" s="244">
        <f>VLOOKUP(Main_Presentation[[#This Row],[LC Number]],Main_Issuance[],10,0)</f>
        <v>1020097</v>
      </c>
      <c r="M1497" s="244" t="str">
        <f>VLOOKUP(Main_Presentation[[#This Row],[LC Number]],Main_Issuance[],11,0)</f>
        <v>EUR</v>
      </c>
      <c r="N1497" s="245">
        <f>VLOOKUP(Main_Presentation[[#This Row],[LC Number]],Main_Issuance[],12,0)</f>
        <v>10500000</v>
      </c>
      <c r="O1497" s="217" t="s">
        <v>20</v>
      </c>
      <c r="P1497" s="217" t="s">
        <v>857</v>
      </c>
      <c r="Q1497" s="218">
        <v>256748.12</v>
      </c>
      <c r="R1497" s="218">
        <v>4.4555999999999996</v>
      </c>
      <c r="S1497" s="218">
        <f>Main_Presentation[[#This Row],[Invoice Amt (FCY)]]*Main_Presentation[[#This Row],[Rate]]</f>
        <v>1143966.9234719998</v>
      </c>
      <c r="T1497" s="227">
        <v>46120</v>
      </c>
      <c r="U1497" s="243" t="str">
        <f>VLOOKUP(Main_Presentation[[#This Row],[LC Number]],Main_Issuance[],18,0)</f>
        <v>30 Days from Shipment Date</v>
      </c>
      <c r="V1497" s="233" t="s">
        <v>96</v>
      </c>
      <c r="W1497" s="229" t="s">
        <v>857</v>
      </c>
      <c r="X1497" s="217"/>
      <c r="Y1497" s="399" t="str">
        <f>TRIM(LEFT(Main_Presentation[[#This Row],[Payment Terms]],3))</f>
        <v>30</v>
      </c>
      <c r="Z1497" s="217"/>
      <c r="AA1497" s="405" cm="1">
        <f t="array" ref="AA1497">Settlement(Main_Presentation[[#This Row],[Bank]],Main_Presentation[[#This Row],[ Invoice Amt (SAR)]],Main_Presentation[[#This Row],[Date Recd]],Main_Presentation[[#This Row],[Due Date]],Main_Presentation[[#This Row],[Days]])</f>
        <v>2780.7</v>
      </c>
      <c r="AB1497" s="217"/>
    </row>
    <row r="1498" spans="1:28" ht="15.75" hidden="1" x14ac:dyDescent="0.25">
      <c r="A1498" s="226" t="s">
        <v>4137</v>
      </c>
      <c r="B1498" s="227">
        <v>46138</v>
      </c>
      <c r="C1498" s="243">
        <v>1</v>
      </c>
      <c r="D1498" s="228" t="str">
        <f>VLOOKUP(Main_Presentation[[#This Row],[LC Number]],Main_Issuance[],3,0)</f>
        <v>Hashmat Khan</v>
      </c>
      <c r="E1498" s="217" t="s">
        <v>856</v>
      </c>
      <c r="F1498" s="244" t="str">
        <f>VLOOKUP(Main_Presentation[[#This Row],[LC Number]],Main_Issuance[],5,0)</f>
        <v>Alinma</v>
      </c>
      <c r="G1498" s="244" t="str">
        <f>VLOOKUP(Main_Presentation[[#This Row],[LC Number]],Main_Issuance[],6,0)</f>
        <v>KSP</v>
      </c>
      <c r="H1498" s="244" t="str">
        <f>VLOOKUP(Main_Presentation[[#This Row],[LC Number]],Main_Issuance[],17,0)</f>
        <v>Credit</v>
      </c>
      <c r="I1498" s="244" t="str">
        <f>VLOOKUP(Main_Presentation[[#This Row],[LC Number]],Main_Issuance[],7,0)</f>
        <v>LSI PROJECTS LIMITED</v>
      </c>
      <c r="J1498" s="244" t="str">
        <f>VLOOKUP(Main_Presentation[[#This Row],[LC Number]],Main_Issuance[],8,0)</f>
        <v>ICAD</v>
      </c>
      <c r="K1498" s="244" t="str">
        <f>VLOOKUP(Main_Presentation[[#This Row],[LC Number]],Main_Issuance[],9,0)</f>
        <v>KSP</v>
      </c>
      <c r="L1498" s="244">
        <f>VLOOKUP(Main_Presentation[[#This Row],[LC Number]],Main_Issuance[],10,0)</f>
        <v>1020055</v>
      </c>
      <c r="M1498" s="244" t="str">
        <f>VLOOKUP(Main_Presentation[[#This Row],[LC Number]],Main_Issuance[],11,0)</f>
        <v>GBP</v>
      </c>
      <c r="N1498" s="245">
        <f>VLOOKUP(Main_Presentation[[#This Row],[LC Number]],Main_Issuance[],12,0)</f>
        <v>1198730.71</v>
      </c>
      <c r="O1498" s="217" t="s">
        <v>20</v>
      </c>
      <c r="P1498" s="217" t="s">
        <v>378</v>
      </c>
      <c r="Q1498" s="218">
        <v>1198730.71</v>
      </c>
      <c r="R1498" s="218">
        <v>5.0896999999999997</v>
      </c>
      <c r="S1498" s="218">
        <f>Main_Presentation[[#This Row],[Invoice Amt (FCY)]]*Main_Presentation[[#This Row],[Rate]]</f>
        <v>6101179.6946869995</v>
      </c>
      <c r="T1498" s="227">
        <v>46174</v>
      </c>
      <c r="U1498" s="243" t="str">
        <f>VLOOKUP(Main_Presentation[[#This Row],[LC Number]],Main_Issuance[],18,0)</f>
        <v>90 Days from Invoice Date</v>
      </c>
      <c r="V1498" s="233" t="s">
        <v>22</v>
      </c>
      <c r="W1498" s="229" t="s">
        <v>857</v>
      </c>
      <c r="X1498" s="217"/>
      <c r="Y1498" s="399" t="str">
        <f>TRIM(LEFT(Main_Presentation[[#This Row],[Payment Terms]],3))</f>
        <v>90</v>
      </c>
      <c r="Z1498" s="217"/>
      <c r="AA1498" s="405" cm="1">
        <f t="array" ref="AA1498">Settlement(Main_Presentation[[#This Row],[Bank]],Main_Presentation[[#This Row],[ Invoice Amt (SAR)]],Main_Presentation[[#This Row],[Date Recd]],Main_Presentation[[#This Row],[Due Date]],Main_Presentation[[#This Row],[Days]])</f>
        <v>2923.3</v>
      </c>
      <c r="AB1498" s="217"/>
    </row>
    <row r="1499" spans="1:28" ht="15.75" hidden="1" x14ac:dyDescent="0.25">
      <c r="A1499" s="226" t="s">
        <v>3228</v>
      </c>
      <c r="B1499" s="227">
        <v>46138</v>
      </c>
      <c r="C1499" s="243">
        <v>1</v>
      </c>
      <c r="D1499" s="228" t="str">
        <f>VLOOKUP(Main_Presentation[[#This Row],[LC Number]],Main_Issuance[],3,0)</f>
        <v>Hashmat Khan</v>
      </c>
      <c r="E1499" s="217" t="s">
        <v>856</v>
      </c>
      <c r="F1499" s="244" t="str">
        <f>VLOOKUP(Main_Presentation[[#This Row],[LC Number]],Main_Issuance[],5,0)</f>
        <v>Alinma</v>
      </c>
      <c r="G1499" s="244" t="str">
        <f>VLOOKUP(Main_Presentation[[#This Row],[LC Number]],Main_Issuance[],6,0)</f>
        <v>KSP</v>
      </c>
      <c r="H1499" s="244" t="str">
        <f>VLOOKUP(Main_Presentation[[#This Row],[LC Number]],Main_Issuance[],17,0)</f>
        <v>Credit</v>
      </c>
      <c r="I1499" s="244" t="str">
        <f>VLOOKUP(Main_Presentation[[#This Row],[LC Number]],Main_Issuance[],7,0)</f>
        <v>LSI PROJECTS LIMITED</v>
      </c>
      <c r="J1499" s="244" t="str">
        <f>VLOOKUP(Main_Presentation[[#This Row],[LC Number]],Main_Issuance[],8,0)</f>
        <v>ICAD</v>
      </c>
      <c r="K1499" s="244" t="str">
        <f>VLOOKUP(Main_Presentation[[#This Row],[LC Number]],Main_Issuance[],9,0)</f>
        <v>KSP</v>
      </c>
      <c r="L1499" s="244">
        <f>VLOOKUP(Main_Presentation[[#This Row],[LC Number]],Main_Issuance[],10,0)</f>
        <v>1020055</v>
      </c>
      <c r="M1499" s="244" t="str">
        <f>VLOOKUP(Main_Presentation[[#This Row],[LC Number]],Main_Issuance[],11,0)</f>
        <v>GBP</v>
      </c>
      <c r="N1499" s="245">
        <f>VLOOKUP(Main_Presentation[[#This Row],[LC Number]],Main_Issuance[],12,0)</f>
        <v>1534181.67</v>
      </c>
      <c r="O1499" s="217" t="s">
        <v>20</v>
      </c>
      <c r="P1499" s="217" t="s">
        <v>378</v>
      </c>
      <c r="Q1499" s="218">
        <v>71061.149999999994</v>
      </c>
      <c r="R1499" s="218">
        <v>5.1128999000000004</v>
      </c>
      <c r="S1499" s="218">
        <f>Main_Presentation[[#This Row],[Invoice Amt (FCY)]]*Main_Presentation[[#This Row],[Rate]]</f>
        <v>363328.54672888498</v>
      </c>
      <c r="T1499" s="227">
        <v>46154</v>
      </c>
      <c r="U1499" s="243" t="str">
        <f>VLOOKUP(Main_Presentation[[#This Row],[LC Number]],Main_Issuance[],18,0)</f>
        <v>90 Days from Invoice Date</v>
      </c>
      <c r="V1499" s="233" t="s">
        <v>22</v>
      </c>
      <c r="W1499" s="229" t="s">
        <v>857</v>
      </c>
      <c r="X1499" s="217"/>
      <c r="Y1499" s="399" t="str">
        <f>TRIM(LEFT(Main_Presentation[[#This Row],[Payment Terms]],3))</f>
        <v>90</v>
      </c>
      <c r="Z1499" s="217"/>
      <c r="AA1499" s="405" cm="1">
        <f t="array" ref="AA1499">Settlement(Main_Presentation[[#This Row],[Bank]],Main_Presentation[[#This Row],[ Invoice Amt (SAR)]],Main_Presentation[[#This Row],[Date Recd]],Main_Presentation[[#This Row],[Due Date]],Main_Presentation[[#This Row],[Days]])</f>
        <v>1437.5</v>
      </c>
      <c r="AB1499" s="217"/>
    </row>
    <row r="1500" spans="1:28" ht="15.75" hidden="1" x14ac:dyDescent="0.25">
      <c r="A1500" s="226" t="s">
        <v>4546</v>
      </c>
      <c r="B1500" s="227">
        <v>46117</v>
      </c>
      <c r="C1500" s="243">
        <v>1</v>
      </c>
      <c r="D1500" s="228" t="str">
        <f>VLOOKUP(Main_Presentation[[#This Row],[LC Number]],Main_Issuance[],3,0)</f>
        <v>Nader Ageeb</v>
      </c>
      <c r="E1500" s="217" t="s">
        <v>858</v>
      </c>
      <c r="F1500" s="244" t="str">
        <f>VLOOKUP(Main_Presentation[[#This Row],[LC Number]],Main_Issuance[],5,0)</f>
        <v>NBK</v>
      </c>
      <c r="G1500" s="244" t="str">
        <f>VLOOKUP(Main_Presentation[[#This Row],[LC Number]],Main_Issuance[],6,0)</f>
        <v>Lagoon</v>
      </c>
      <c r="H1500" s="244" t="str">
        <f>VLOOKUP(Main_Presentation[[#This Row],[LC Number]],Main_Issuance[],17,0)</f>
        <v>Credit</v>
      </c>
      <c r="I1500" s="244" t="str">
        <f>VLOOKUP(Main_Presentation[[#This Row],[LC Number]],Main_Issuance[],7,0)</f>
        <v>Ready Mix Company Limited.</v>
      </c>
      <c r="J1500" s="244" t="str">
        <f>VLOOKUP(Main_Presentation[[#This Row],[LC Number]],Main_Issuance[],8,0)</f>
        <v>MBL</v>
      </c>
      <c r="K1500" s="244" t="str">
        <f>VLOOKUP(Main_Presentation[[#This Row],[LC Number]],Main_Issuance[],9,0)</f>
        <v>Lagoon</v>
      </c>
      <c r="L1500" s="244">
        <f>VLOOKUP(Main_Presentation[[#This Row],[LC Number]],Main_Issuance[],10,0)</f>
        <v>1020108</v>
      </c>
      <c r="M1500" s="244" t="str">
        <f>VLOOKUP(Main_Presentation[[#This Row],[LC Number]],Main_Issuance[],11,0)</f>
        <v>SAR</v>
      </c>
      <c r="N1500" s="245">
        <f>VLOOKUP(Main_Presentation[[#This Row],[LC Number]],Main_Issuance[],12,0)</f>
        <v>5000000</v>
      </c>
      <c r="O1500" s="217" t="s">
        <v>20</v>
      </c>
      <c r="P1500" s="217" t="s">
        <v>857</v>
      </c>
      <c r="Q1500" s="218">
        <v>1675271</v>
      </c>
      <c r="R1500" s="218">
        <v>1</v>
      </c>
      <c r="S1500" s="323">
        <f>Main_Presentation[[#This Row],[Invoice Amt (FCY)]]*Main_Presentation[[#This Row],[Rate]]</f>
        <v>1675271</v>
      </c>
      <c r="T1500" s="227">
        <v>46159</v>
      </c>
      <c r="U1500" s="243" t="str">
        <f>VLOOKUP(Main_Presentation[[#This Row],[LC Number]],Main_Issuance[],18,0)</f>
        <v>60 Days from Invoice Date</v>
      </c>
      <c r="V1500" s="233" t="s">
        <v>882</v>
      </c>
      <c r="W1500" s="229" t="s">
        <v>857</v>
      </c>
      <c r="X1500" s="217"/>
      <c r="Y1500" s="399" t="str">
        <f>TRIM(LEFT(Main_Presentation[[#This Row],[Payment Terms]],3))</f>
        <v>60</v>
      </c>
      <c r="Z1500" s="217"/>
      <c r="AA1500" s="405" cm="1">
        <f t="array" ref="AA1500">Settlement(Main_Presentation[[#This Row],[Bank]],Main_Presentation[[#This Row],[ Invoice Amt (SAR)]],Main_Presentation[[#This Row],[Date Recd]],Main_Presentation[[#This Row],[Due Date]],Main_Presentation[[#This Row],[Days]])</f>
        <v>5103.7</v>
      </c>
      <c r="AB1500" s="217"/>
    </row>
    <row r="1501" spans="1:28" ht="15.75" hidden="1" x14ac:dyDescent="0.25">
      <c r="A1501" s="226" t="s">
        <v>1934</v>
      </c>
      <c r="B1501" s="227">
        <v>46109</v>
      </c>
      <c r="C1501" s="243">
        <v>8</v>
      </c>
      <c r="D1501" s="228" t="str">
        <f>VLOOKUP(Main_Presentation[[#This Row],[LC Number]],Main_Issuance[],3,0)</f>
        <v>Luis Puente</v>
      </c>
      <c r="E1501" s="217" t="s">
        <v>856</v>
      </c>
      <c r="F1501" s="244" t="str">
        <f>VLOOKUP(Main_Presentation[[#This Row],[LC Number]],Main_Issuance[],5,0)</f>
        <v>Riyad</v>
      </c>
      <c r="G1501" s="244" t="str">
        <f>VLOOKUP(Main_Presentation[[#This Row],[LC Number]],Main_Issuance[],6,0)</f>
        <v>Oceanarium</v>
      </c>
      <c r="H1501" s="244" t="str">
        <f>VLOOKUP(Main_Presentation[[#This Row],[LC Number]],Main_Issuance[],17,0)</f>
        <v>Credit</v>
      </c>
      <c r="I1501" s="244" t="str">
        <f>VLOOKUP(Main_Presentation[[#This Row],[LC Number]],Main_Issuance[],7,0)</f>
        <v>Mat Filtrasyon Teknolojeleri A.S</v>
      </c>
      <c r="J1501" s="244" t="str">
        <f>VLOOKUP(Main_Presentation[[#This Row],[LC Number]],Main_Issuance[],8,0)</f>
        <v>MBL</v>
      </c>
      <c r="K1501" s="244" t="str">
        <f>VLOOKUP(Main_Presentation[[#This Row],[LC Number]],Main_Issuance[],9,0)</f>
        <v>Oceanarium</v>
      </c>
      <c r="L1501" s="244">
        <f>VLOOKUP(Main_Presentation[[#This Row],[LC Number]],Main_Issuance[],10,0)</f>
        <v>1020096</v>
      </c>
      <c r="M1501" s="244" t="str">
        <f>VLOOKUP(Main_Presentation[[#This Row],[LC Number]],Main_Issuance[],11,0)</f>
        <v>SAR</v>
      </c>
      <c r="N1501" s="245">
        <f>VLOOKUP(Main_Presentation[[#This Row],[LC Number]],Main_Issuance[],12,0)</f>
        <v>25907203.759999998</v>
      </c>
      <c r="O1501" s="217" t="s">
        <v>20</v>
      </c>
      <c r="P1501" s="217" t="s">
        <v>857</v>
      </c>
      <c r="Q1501" s="218">
        <v>1543299.32</v>
      </c>
      <c r="R1501" s="218">
        <v>1</v>
      </c>
      <c r="S1501" s="218">
        <f>Main_Presentation[[#This Row],[Invoice Amt (FCY)]]*Main_Presentation[[#This Row],[Rate]]</f>
        <v>1543299.32</v>
      </c>
      <c r="T1501" s="227">
        <v>46135</v>
      </c>
      <c r="U1501" s="243" t="str">
        <f>VLOOKUP(Main_Presentation[[#This Row],[LC Number]],Main_Issuance[],18,0)</f>
        <v>45 Days from Invoice Date</v>
      </c>
      <c r="V1501" s="233" t="s">
        <v>483</v>
      </c>
      <c r="W1501" s="229" t="s">
        <v>857</v>
      </c>
      <c r="X1501" s="217"/>
      <c r="Y1501" s="399" t="str">
        <f>TRIM(LEFT(Main_Presentation[[#This Row],[Payment Terms]],3))</f>
        <v>45</v>
      </c>
      <c r="Z1501" s="217"/>
      <c r="AA1501" s="405" cm="1">
        <f t="array" ref="AA1501">Settlement(Main_Presentation[[#This Row],[Bank]],Main_Presentation[[#This Row],[ Invoice Amt (SAR)]],Main_Presentation[[#This Row],[Date Recd]],Main_Presentation[[#This Row],[Due Date]],Main_Presentation[[#This Row],[Days]],1)</f>
        <v>4436.7</v>
      </c>
      <c r="AB1501" s="217"/>
    </row>
    <row r="1502" spans="1:28" ht="15.75" hidden="1" x14ac:dyDescent="0.25">
      <c r="A1502" s="226" t="s">
        <v>2915</v>
      </c>
      <c r="B1502" s="227">
        <v>46109</v>
      </c>
      <c r="C1502" s="243">
        <v>1</v>
      </c>
      <c r="D1502" s="228" t="str">
        <f>VLOOKUP(Main_Presentation[[#This Row],[LC Number]],Main_Issuance[],3,0)</f>
        <v>Luis Puente - United Arab Aluminum Company</v>
      </c>
      <c r="E1502" s="217" t="s">
        <v>858</v>
      </c>
      <c r="F1502" s="244" t="str">
        <f>VLOOKUP(Main_Presentation[[#This Row],[LC Number]],Main_Issuance[],5,0)</f>
        <v>Riyad</v>
      </c>
      <c r="G1502" s="244" t="str">
        <f>VLOOKUP(Main_Presentation[[#This Row],[LC Number]],Main_Issuance[],6,0)</f>
        <v>Oceanarium</v>
      </c>
      <c r="H1502" s="244" t="str">
        <f>VLOOKUP(Main_Presentation[[#This Row],[LC Number]],Main_Issuance[],17,0)</f>
        <v>Credit</v>
      </c>
      <c r="I1502" s="244" t="str">
        <f>VLOOKUP(Main_Presentation[[#This Row],[LC Number]],Main_Issuance[],7,0)</f>
        <v>IBA MIDDLE EAST FZE</v>
      </c>
      <c r="J1502" s="244" t="str">
        <f>VLOOKUP(Main_Presentation[[#This Row],[LC Number]],Main_Issuance[],8,0)</f>
        <v>MBL/United Arab Aluminum Co</v>
      </c>
      <c r="K1502" s="244" t="str">
        <f>VLOOKUP(Main_Presentation[[#This Row],[LC Number]],Main_Issuance[],9,0)</f>
        <v>Oceanarium</v>
      </c>
      <c r="L1502" s="244">
        <f>VLOOKUP(Main_Presentation[[#This Row],[LC Number]],Main_Issuance[],10,0)</f>
        <v>1020096</v>
      </c>
      <c r="M1502" s="244" t="str">
        <f>VLOOKUP(Main_Presentation[[#This Row],[LC Number]],Main_Issuance[],11,0)</f>
        <v>EUR</v>
      </c>
      <c r="N1502" s="245">
        <f>VLOOKUP(Main_Presentation[[#This Row],[LC Number]],Main_Issuance[],12,0)</f>
        <v>695184.62200000009</v>
      </c>
      <c r="O1502" s="217" t="s">
        <v>20</v>
      </c>
      <c r="P1502" s="217" t="s">
        <v>857</v>
      </c>
      <c r="Q1502" s="218">
        <v>169226.99</v>
      </c>
      <c r="R1502" s="218">
        <v>4.32</v>
      </c>
      <c r="S1502" s="218">
        <f>Main_Presentation[[#This Row],[Invoice Amt (FCY)]]*Main_Presentation[[#This Row],[Rate]]</f>
        <v>731060.59680000006</v>
      </c>
      <c r="T1502" s="227">
        <v>46159</v>
      </c>
      <c r="U1502" s="243" t="str">
        <f>VLOOKUP(Main_Presentation[[#This Row],[LC Number]],Main_Issuance[],18,0)</f>
        <v>90 Days from Shipment Date</v>
      </c>
      <c r="V1502" s="233" t="s">
        <v>483</v>
      </c>
      <c r="W1502" s="229" t="s">
        <v>857</v>
      </c>
      <c r="X1502" s="217"/>
      <c r="Y1502" s="399" t="str">
        <f>TRIM(LEFT(Main_Presentation[[#This Row],[Payment Terms]],3))</f>
        <v>90</v>
      </c>
      <c r="Z1502" s="217"/>
      <c r="AA1502" s="405" cm="1">
        <f t="array" ref="AA1502">Settlement(Main_Presentation[[#This Row],[Bank]],Main_Presentation[[#This Row],[ Invoice Amt (SAR)]],Main_Presentation[[#This Row],[Date Recd]],Main_Presentation[[#This Row],[Due Date]],Main_Presentation[[#This Row],[Days]],1,150)</f>
        <v>3324.65</v>
      </c>
      <c r="AB1502" s="217"/>
    </row>
    <row r="1503" spans="1:28" ht="15.75" hidden="1" x14ac:dyDescent="0.25">
      <c r="A1503" s="226" t="s">
        <v>1834</v>
      </c>
      <c r="B1503" s="227">
        <v>46109</v>
      </c>
      <c r="C1503" s="243">
        <v>5</v>
      </c>
      <c r="D1503" s="228" t="str">
        <f>VLOOKUP(Main_Presentation[[#This Row],[LC Number]],Main_Issuance[],3,0)</f>
        <v>Luis Puente</v>
      </c>
      <c r="E1503" s="217" t="s">
        <v>858</v>
      </c>
      <c r="F1503" s="244" t="str">
        <f>VLOOKUP(Main_Presentation[[#This Row],[LC Number]],Main_Issuance[],5,0)</f>
        <v>Riyad</v>
      </c>
      <c r="G1503" s="244" t="str">
        <f>VLOOKUP(Main_Presentation[[#This Row],[LC Number]],Main_Issuance[],6,0)</f>
        <v>Oceanarium</v>
      </c>
      <c r="H1503" s="244" t="str">
        <f>VLOOKUP(Main_Presentation[[#This Row],[LC Number]],Main_Issuance[],17,0)</f>
        <v>Credit</v>
      </c>
      <c r="I1503" s="244" t="str">
        <f>VLOOKUP(Main_Presentation[[#This Row],[LC Number]],Main_Issuance[],7,0)</f>
        <v>Jiangsu Donchamp New Materials Technology Co.Ltd.</v>
      </c>
      <c r="J1503" s="244" t="str">
        <f>VLOOKUP(Main_Presentation[[#This Row],[LC Number]],Main_Issuance[],8,0)</f>
        <v>MBL</v>
      </c>
      <c r="K1503" s="244" t="str">
        <f>VLOOKUP(Main_Presentation[[#This Row],[LC Number]],Main_Issuance[],9,0)</f>
        <v>Oceanarium</v>
      </c>
      <c r="L1503" s="244">
        <f>VLOOKUP(Main_Presentation[[#This Row],[LC Number]],Main_Issuance[],10,0)</f>
        <v>1020096</v>
      </c>
      <c r="M1503" s="244" t="str">
        <f>VLOOKUP(Main_Presentation[[#This Row],[LC Number]],Main_Issuance[],11,0)</f>
        <v>USD</v>
      </c>
      <c r="N1503" s="245">
        <f>VLOOKUP(Main_Presentation[[#This Row],[LC Number]],Main_Issuance[],12,0)</f>
        <v>7339154</v>
      </c>
      <c r="O1503" s="217" t="s">
        <v>20</v>
      </c>
      <c r="P1503" s="217" t="s">
        <v>857</v>
      </c>
      <c r="Q1503" s="218">
        <v>317074.96000000002</v>
      </c>
      <c r="R1503" s="218">
        <v>3.76</v>
      </c>
      <c r="S1503" s="218">
        <f>Main_Presentation[[#This Row],[Invoice Amt (FCY)]]*Main_Presentation[[#This Row],[Rate]]</f>
        <v>1192201.8496000001</v>
      </c>
      <c r="T1503" s="227">
        <v>46114</v>
      </c>
      <c r="U1503" s="243" t="str">
        <f>VLOOKUP(Main_Presentation[[#This Row],[LC Number]],Main_Issuance[],18,0)</f>
        <v>45 Days from Invoice Date / Sight</v>
      </c>
      <c r="V1503" s="418" t="s">
        <v>483</v>
      </c>
      <c r="W1503" s="229" t="s">
        <v>857</v>
      </c>
      <c r="X1503" s="217"/>
      <c r="Y1503" s="399" t="str">
        <f>TRIM(LEFT(Main_Presentation[[#This Row],[Payment Terms]],3))</f>
        <v>45</v>
      </c>
      <c r="Z1503" s="217"/>
      <c r="AA1503" s="405" cm="1">
        <f t="array" ref="AA1503">Settlement(Main_Presentation[[#This Row],[Bank]],Main_Presentation[[#This Row],[ Invoice Amt (SAR)]],Main_Presentation[[#This Row],[Date Recd]],Main_Presentation[[#This Row],[Due Date]],Main_Presentation[[#This Row],[Days]])</f>
        <v>230</v>
      </c>
      <c r="AB1503" s="217"/>
    </row>
    <row r="1504" spans="1:28" ht="15.75" hidden="1" x14ac:dyDescent="0.25">
      <c r="A1504" s="226" t="s">
        <v>4393</v>
      </c>
      <c r="B1504" s="227">
        <v>46113</v>
      </c>
      <c r="C1504" s="243">
        <v>1</v>
      </c>
      <c r="D1504" s="228" t="str">
        <f>VLOOKUP(Main_Presentation[[#This Row],[LC Number]],Main_Issuance[],3,0)</f>
        <v>Hassan Taleb</v>
      </c>
      <c r="E1504" s="217" t="s">
        <v>858</v>
      </c>
      <c r="F1504" s="244" t="str">
        <f>VLOOKUP(Main_Presentation[[#This Row],[LC Number]],Main_Issuance[],5,0)</f>
        <v>SAB</v>
      </c>
      <c r="G1504" s="244" t="str">
        <f>VLOOKUP(Main_Presentation[[#This Row],[LC Number]],Main_Issuance[],6,0)</f>
        <v>MP1</v>
      </c>
      <c r="H1504" s="244" t="str">
        <f>VLOOKUP(Main_Presentation[[#This Row],[LC Number]],Main_Issuance[],17,0)</f>
        <v>Credit</v>
      </c>
      <c r="I1504" s="244" t="str">
        <f>VLOOKUP(Main_Presentation[[#This Row],[LC Number]],Main_Issuance[],7,0)</f>
        <v>The Fundamental Installation For Electric Work Co</v>
      </c>
      <c r="J1504" s="244" t="str">
        <f>VLOOKUP(Main_Presentation[[#This Row],[LC Number]],Main_Issuance[],8,0)</f>
        <v>FIRST FIX</v>
      </c>
      <c r="K1504" s="244" t="str">
        <f>VLOOKUP(Main_Presentation[[#This Row],[LC Number]],Main_Issuance[],9,0)</f>
        <v>MP1</v>
      </c>
      <c r="L1504" s="244">
        <f>VLOOKUP(Main_Presentation[[#This Row],[LC Number]],Main_Issuance[],10,0)</f>
        <v>1020088</v>
      </c>
      <c r="M1504" s="244" t="str">
        <f>VLOOKUP(Main_Presentation[[#This Row],[LC Number]],Main_Issuance[],11,0)</f>
        <v>SAR</v>
      </c>
      <c r="N1504" s="245">
        <f>VLOOKUP(Main_Presentation[[#This Row],[LC Number]],Main_Issuance[],12,0)</f>
        <v>14000000</v>
      </c>
      <c r="O1504" s="217" t="s">
        <v>20</v>
      </c>
      <c r="P1504" s="217" t="s">
        <v>857</v>
      </c>
      <c r="Q1504" s="218">
        <v>5000000</v>
      </c>
      <c r="R1504" s="218">
        <v>1</v>
      </c>
      <c r="S1504" s="218">
        <f>Main_Presentation[[#This Row],[Invoice Amt (FCY)]]*Main_Presentation[[#This Row],[Rate]]</f>
        <v>5000000</v>
      </c>
      <c r="T1504" s="227">
        <v>46159</v>
      </c>
      <c r="U1504" s="243" t="str">
        <f>VLOOKUP(Main_Presentation[[#This Row],[LC Number]],Main_Issuance[],18,0)</f>
        <v>90 Days from Invoice Date</v>
      </c>
      <c r="V1504" s="249" t="s">
        <v>367</v>
      </c>
      <c r="W1504" s="229" t="s">
        <v>378</v>
      </c>
      <c r="X1504" s="217"/>
      <c r="Y1504" s="399" t="str">
        <f>TRIM(LEFT(Main_Presentation[[#This Row],[Payment Terms]],3))</f>
        <v>90</v>
      </c>
      <c r="Z1504" s="217"/>
      <c r="AA1504" s="405" cm="1">
        <f t="array" ref="AA1504">Settlement(Main_Presentation[[#This Row],[Bank]],Main_Presentation[[#This Row],[ Invoice Amt (SAR)]],Main_Presentation[[#This Row],[Date Recd]],Main_Presentation[[#This Row],[Due Date]],Main_Presentation[[#This Row],[Days]])</f>
        <v>21562.5</v>
      </c>
      <c r="AB1504" s="217"/>
    </row>
    <row r="1505" spans="1:28" ht="15.75" hidden="1" x14ac:dyDescent="0.25">
      <c r="A1505" s="20" t="s">
        <v>2236</v>
      </c>
      <c r="B1505" s="15">
        <v>46125</v>
      </c>
      <c r="C1505" s="26">
        <v>3</v>
      </c>
      <c r="D1505" s="55" t="str">
        <f>VLOOKUP(Main_Presentation[[#This Row],[LC Number]],Main_Issuance[],3,0)</f>
        <v>Hassan Taleb</v>
      </c>
      <c r="E1505" s="16" t="s">
        <v>858</v>
      </c>
      <c r="F1505" s="17" t="str">
        <f>VLOOKUP(Main_Presentation[[#This Row],[LC Number]],Main_Issuance[],5,0)</f>
        <v>SAB</v>
      </c>
      <c r="G1505" s="17" t="str">
        <f>VLOOKUP(Main_Presentation[[#This Row],[LC Number]],Main_Issuance[],6,0)</f>
        <v>MP1</v>
      </c>
      <c r="H1505" s="17" t="str">
        <f>VLOOKUP(Main_Presentation[[#This Row],[LC Number]],Main_Issuance[],17,0)</f>
        <v>Credit</v>
      </c>
      <c r="I1505" s="17" t="str">
        <f>VLOOKUP(Main_Presentation[[#This Row],[LC Number]],Main_Issuance[],7,0)</f>
        <v>Building System Intelligent Est.</v>
      </c>
      <c r="J1505" s="17" t="str">
        <f>VLOOKUP(Main_Presentation[[#This Row],[LC Number]],Main_Issuance[],8,0)</f>
        <v>FIRST FIX</v>
      </c>
      <c r="K1505" s="17" t="str">
        <f>VLOOKUP(Main_Presentation[[#This Row],[LC Number]],Main_Issuance[],9,0)</f>
        <v>MP1</v>
      </c>
      <c r="L1505" s="17">
        <f>VLOOKUP(Main_Presentation[[#This Row],[LC Number]],Main_Issuance[],10,0)</f>
        <v>1020088</v>
      </c>
      <c r="M1505" s="17" t="str">
        <f>VLOOKUP(Main_Presentation[[#This Row],[LC Number]],Main_Issuance[],11,0)</f>
        <v>SAR</v>
      </c>
      <c r="N1505" s="84">
        <f>VLOOKUP(Main_Presentation[[#This Row],[LC Number]],Main_Issuance[],12,0)</f>
        <v>558949</v>
      </c>
      <c r="O1505" s="16" t="s">
        <v>912</v>
      </c>
      <c r="P1505" s="16" t="s">
        <v>857</v>
      </c>
      <c r="Q1505" s="18">
        <v>106205.87</v>
      </c>
      <c r="R1505" s="18">
        <v>1</v>
      </c>
      <c r="S1505" s="18">
        <f>Main_Presentation[[#This Row],[Invoice Amt (FCY)]]*Main_Presentation[[#This Row],[Rate]]</f>
        <v>106205.87</v>
      </c>
      <c r="T1505" s="15">
        <v>46201</v>
      </c>
      <c r="U1505" s="26" t="str">
        <f>VLOOKUP(Main_Presentation[[#This Row],[LC Number]],Main_Issuance[],18,0)</f>
        <v>120 Days from Invoice Date</v>
      </c>
      <c r="V1505" s="249"/>
      <c r="W1505" s="22" t="s">
        <v>378</v>
      </c>
      <c r="X1505" s="217"/>
      <c r="Y1505" s="234" t="str">
        <f>TRIM(LEFT(Main_Presentation[[#This Row],[Payment Terms]],3))</f>
        <v>120</v>
      </c>
      <c r="Z1505" s="16"/>
      <c r="AA1505" s="316" cm="1">
        <f t="array" ref="AA1505">Settlement(Main_Presentation[[#This Row],[Bank]],Main_Presentation[[#This Row],[ Invoice Amt (SAR)]],Main_Presentation[[#This Row],[Date Recd]],Main_Presentation[[#This Row],[Due Date]],Main_Presentation[[#This Row],[Days]])</f>
        <v>575</v>
      </c>
      <c r="AB1505" s="16"/>
    </row>
    <row r="1506" spans="1:28" ht="15.75" hidden="1" x14ac:dyDescent="0.25">
      <c r="A1506" s="226" t="s">
        <v>3898</v>
      </c>
      <c r="B1506" s="227">
        <v>46133</v>
      </c>
      <c r="C1506" s="243">
        <v>1</v>
      </c>
      <c r="D1506" s="228" t="str">
        <f>VLOOKUP(Main_Presentation[[#This Row],[LC Number]],Main_Issuance[],3,0)</f>
        <v>Hassan Taleb</v>
      </c>
      <c r="E1506" s="217" t="s">
        <v>858</v>
      </c>
      <c r="F1506" s="244" t="str">
        <f>VLOOKUP(Main_Presentation[[#This Row],[LC Number]],Main_Issuance[],5,0)</f>
        <v>SAB</v>
      </c>
      <c r="G1506" s="244" t="str">
        <f>VLOOKUP(Main_Presentation[[#This Row],[LC Number]],Main_Issuance[],6,0)</f>
        <v>MP1</v>
      </c>
      <c r="H1506" s="244" t="str">
        <f>VLOOKUP(Main_Presentation[[#This Row],[LC Number]],Main_Issuance[],17,0)</f>
        <v>Credit</v>
      </c>
      <c r="I1506" s="244" t="str">
        <f>VLOOKUP(Main_Presentation[[#This Row],[LC Number]],Main_Issuance[],7,0)</f>
        <v>INTERPLAST CO. LTD</v>
      </c>
      <c r="J1506" s="244" t="str">
        <f>VLOOKUP(Main_Presentation[[#This Row],[LC Number]],Main_Issuance[],8,0)</f>
        <v>FIRST FIX</v>
      </c>
      <c r="K1506" s="244" t="str">
        <f>VLOOKUP(Main_Presentation[[#This Row],[LC Number]],Main_Issuance[],9,0)</f>
        <v>MP1</v>
      </c>
      <c r="L1506" s="244">
        <f>VLOOKUP(Main_Presentation[[#This Row],[LC Number]],Main_Issuance[],10,0)</f>
        <v>1020088</v>
      </c>
      <c r="M1506" s="244" t="str">
        <f>VLOOKUP(Main_Presentation[[#This Row],[LC Number]],Main_Issuance[],11,0)</f>
        <v>SAR</v>
      </c>
      <c r="N1506" s="245">
        <f>VLOOKUP(Main_Presentation[[#This Row],[LC Number]],Main_Issuance[],12,0)</f>
        <v>397090</v>
      </c>
      <c r="O1506" s="217" t="s">
        <v>912</v>
      </c>
      <c r="P1506" s="217" t="s">
        <v>857</v>
      </c>
      <c r="Q1506" s="218">
        <v>397090</v>
      </c>
      <c r="R1506" s="218">
        <v>1</v>
      </c>
      <c r="S1506" s="218">
        <f>Main_Presentation[[#This Row],[Invoice Amt (FCY)]]*Main_Presentation[[#This Row],[Rate]]</f>
        <v>397090</v>
      </c>
      <c r="T1506" s="227">
        <v>46208</v>
      </c>
      <c r="U1506" s="243" t="str">
        <f>VLOOKUP(Main_Presentation[[#This Row],[LC Number]],Main_Issuance[],18,0)</f>
        <v>90 Days from Applicant representative sign on Invoice</v>
      </c>
      <c r="V1506" s="233"/>
      <c r="W1506" s="229" t="s">
        <v>378</v>
      </c>
      <c r="X1506" s="217"/>
      <c r="Y1506" s="399" t="str">
        <f>TRIM(LEFT(Main_Presentation[[#This Row],[Payment Terms]],3))</f>
        <v>90</v>
      </c>
      <c r="Z1506" s="217"/>
      <c r="AA1506" s="405" cm="1">
        <f t="array" ref="AA1506">Settlement(Main_Presentation[[#This Row],[Bank]],Main_Presentation[[#This Row],[ Invoice Amt (SAR)]],Main_Presentation[[#This Row],[Date Recd]],Main_Presentation[[#This Row],[Due Date]],Main_Presentation[[#This Row],[Days]])</f>
        <v>1712.35</v>
      </c>
      <c r="AB1506" s="217"/>
    </row>
    <row r="1507" spans="1:28" ht="15.75" hidden="1" x14ac:dyDescent="0.25">
      <c r="A1507" s="226" t="s">
        <v>321</v>
      </c>
      <c r="B1507" s="227">
        <v>46134</v>
      </c>
      <c r="C1507" s="243">
        <v>9</v>
      </c>
      <c r="D1507" s="228" t="str">
        <f>VLOOKUP(Main_Presentation[[#This Row],[LC Number]],Main_Issuance[],3,0)</f>
        <v>Dipu Sir</v>
      </c>
      <c r="E1507" s="217" t="s">
        <v>858</v>
      </c>
      <c r="F1507" s="244" t="str">
        <f>VLOOKUP(Main_Presentation[[#This Row],[LC Number]],Main_Issuance[],5,0)</f>
        <v>Riyad</v>
      </c>
      <c r="G1507" s="244" t="str">
        <f>VLOOKUP(Main_Presentation[[#This Row],[LC Number]],Main_Issuance[],6,0)</f>
        <v>Cash</v>
      </c>
      <c r="H1507" s="244" t="str">
        <f>VLOOKUP(Main_Presentation[[#This Row],[LC Number]],Main_Issuance[],17,0)</f>
        <v>Cash</v>
      </c>
      <c r="I1507" s="244" t="str">
        <f>VLOOKUP(Main_Presentation[[#This Row],[LC Number]],Main_Issuance[],7,0)</f>
        <v>Visio INC</v>
      </c>
      <c r="J1507" s="244" t="str">
        <f>VLOOKUP(Main_Presentation[[#This Row],[LC Number]],Main_Issuance[],8,0)</f>
        <v>MBL</v>
      </c>
      <c r="K1507" s="244" t="str">
        <f>VLOOKUP(Main_Presentation[[#This Row],[LC Number]],Main_Issuance[],9,0)</f>
        <v>L01-YAMMAMA</v>
      </c>
      <c r="L1507" s="244">
        <f>VLOOKUP(Main_Presentation[[#This Row],[LC Number]],Main_Issuance[],10,0)</f>
        <v>1020015</v>
      </c>
      <c r="M1507" s="244" t="str">
        <f>VLOOKUP(Main_Presentation[[#This Row],[LC Number]],Main_Issuance[],11,0)</f>
        <v>SAR</v>
      </c>
      <c r="N1507" s="245">
        <f>VLOOKUP(Main_Presentation[[#This Row],[LC Number]],Main_Issuance[],12,0)</f>
        <v>16327500.880000001</v>
      </c>
      <c r="O1507" s="217" t="s">
        <v>20</v>
      </c>
      <c r="P1507" s="217" t="s">
        <v>857</v>
      </c>
      <c r="Q1507" s="218">
        <v>68953.33</v>
      </c>
      <c r="R1507" s="218">
        <v>1</v>
      </c>
      <c r="S1507" s="218">
        <f>Main_Presentation[[#This Row],[Invoice Amt (FCY)]]*Main_Presentation[[#This Row],[Rate]]</f>
        <v>68953.33</v>
      </c>
      <c r="T1507" s="227">
        <v>46139</v>
      </c>
      <c r="U1507" s="243" t="str">
        <f>VLOOKUP(Main_Presentation[[#This Row],[LC Number]],Main_Issuance[],18,0)</f>
        <v>30 Days from Delivery Date</v>
      </c>
      <c r="V1507" s="230" t="str">
        <f>VLOOKUP(Main_Presentation[[#This Row],[LC Number]],Main_Issuance[],9,0)</f>
        <v>L01-YAMMAMA</v>
      </c>
      <c r="W1507" s="145" t="s">
        <v>857</v>
      </c>
      <c r="X1507" s="217"/>
      <c r="Y1507" s="399" t="str">
        <f>TRIM(LEFT(Main_Presentation[[#This Row],[Payment Terms]],3))</f>
        <v>30</v>
      </c>
      <c r="Z1507" s="217"/>
      <c r="AA1507" s="405" cm="1">
        <f t="array" ref="AA1507">Settlement(Main_Presentation[[#This Row],[Bank]],Main_Presentation[[#This Row],[ Invoice Amt (SAR)]],Main_Presentation[[#This Row],[Date Recd]],Main_Presentation[[#This Row],[Due Date]],Main_Presentation[[#This Row],[Days]])</f>
        <v>230</v>
      </c>
      <c r="AB1507" s="217"/>
    </row>
    <row r="1508" spans="1:28" ht="15.75" hidden="1" x14ac:dyDescent="0.25">
      <c r="A1508" s="226" t="s">
        <v>2915</v>
      </c>
      <c r="B1508" s="227">
        <v>46112</v>
      </c>
      <c r="C1508" s="243">
        <v>2</v>
      </c>
      <c r="D1508" s="228" t="str">
        <f>VLOOKUP(Main_Presentation[[#This Row],[LC Number]],Main_Issuance[],3,0)</f>
        <v>Luis Puente - United Arab Aluminum Company</v>
      </c>
      <c r="E1508" s="217" t="s">
        <v>858</v>
      </c>
      <c r="F1508" s="244" t="str">
        <f>VLOOKUP(Main_Presentation[[#This Row],[LC Number]],Main_Issuance[],5,0)</f>
        <v>Riyad</v>
      </c>
      <c r="G1508" s="244" t="str">
        <f>VLOOKUP(Main_Presentation[[#This Row],[LC Number]],Main_Issuance[],6,0)</f>
        <v>Oceanarium</v>
      </c>
      <c r="H1508" s="244" t="str">
        <f>VLOOKUP(Main_Presentation[[#This Row],[LC Number]],Main_Issuance[],17,0)</f>
        <v>Credit</v>
      </c>
      <c r="I1508" s="244" t="str">
        <f>VLOOKUP(Main_Presentation[[#This Row],[LC Number]],Main_Issuance[],7,0)</f>
        <v>IBA MIDDLE EAST FZE</v>
      </c>
      <c r="J1508" s="244" t="str">
        <f>VLOOKUP(Main_Presentation[[#This Row],[LC Number]],Main_Issuance[],8,0)</f>
        <v>MBL/United Arab Aluminum Co</v>
      </c>
      <c r="K1508" s="244" t="str">
        <f>VLOOKUP(Main_Presentation[[#This Row],[LC Number]],Main_Issuance[],9,0)</f>
        <v>Oceanarium</v>
      </c>
      <c r="L1508" s="244">
        <f>VLOOKUP(Main_Presentation[[#This Row],[LC Number]],Main_Issuance[],10,0)</f>
        <v>1020096</v>
      </c>
      <c r="M1508" s="244" t="str">
        <f>VLOOKUP(Main_Presentation[[#This Row],[LC Number]],Main_Issuance[],11,0)</f>
        <v>EUR</v>
      </c>
      <c r="N1508" s="245">
        <f>VLOOKUP(Main_Presentation[[#This Row],[LC Number]],Main_Issuance[],12,0)</f>
        <v>695184.62200000009</v>
      </c>
      <c r="O1508" s="217" t="s">
        <v>20</v>
      </c>
      <c r="P1508" s="217" t="s">
        <v>857</v>
      </c>
      <c r="Q1508" s="218">
        <v>59836</v>
      </c>
      <c r="R1508" s="218">
        <v>4.375</v>
      </c>
      <c r="S1508" s="218">
        <f>Main_Presentation[[#This Row],[Invoice Amt (FCY)]]*Main_Presentation[[#This Row],[Rate]]</f>
        <v>261782.5</v>
      </c>
      <c r="T1508" s="227">
        <v>46188</v>
      </c>
      <c r="U1508" s="243" t="str">
        <f>VLOOKUP(Main_Presentation[[#This Row],[LC Number]],Main_Issuance[],18,0)</f>
        <v>90 Days from Shipment Date</v>
      </c>
      <c r="V1508" s="233" t="s">
        <v>4028</v>
      </c>
      <c r="W1508" s="229" t="s">
        <v>378</v>
      </c>
      <c r="X1508" s="217"/>
      <c r="Y1508" s="399" t="str">
        <f>TRIM(LEFT(Main_Presentation[[#This Row],[Payment Terms]],3))</f>
        <v>90</v>
      </c>
      <c r="Z1508" s="217"/>
      <c r="AA1508" s="405" cm="1">
        <f t="array" ref="AA1508">Settlement(Main_Presentation[[#This Row],[Bank]],Main_Presentation[[#This Row],[ Invoice Amt (SAR)]],Main_Presentation[[#This Row],[Date Recd]],Main_Presentation[[#This Row],[Due Date]],Main_Presentation[[#This Row],[Days]])</f>
        <v>752.1</v>
      </c>
      <c r="AB1508" s="217"/>
    </row>
    <row r="1509" spans="1:28" ht="15.75" hidden="1" x14ac:dyDescent="0.25">
      <c r="A1509" s="226" t="s">
        <v>4392</v>
      </c>
      <c r="B1509" s="227">
        <v>46119</v>
      </c>
      <c r="C1509" s="243">
        <v>1</v>
      </c>
      <c r="D1509" s="228" t="str">
        <f>VLOOKUP(Main_Presentation[[#This Row],[LC Number]],Main_Issuance[],3,0)</f>
        <v>Tareeq Telmasani</v>
      </c>
      <c r="E1509" s="217" t="s">
        <v>858</v>
      </c>
      <c r="F1509" s="244" t="str">
        <f>VLOOKUP(Main_Presentation[[#This Row],[LC Number]],Main_Issuance[],5,0)</f>
        <v>SAB</v>
      </c>
      <c r="G1509" s="244" t="str">
        <f>VLOOKUP(Main_Presentation[[#This Row],[LC Number]],Main_Issuance[],6,0)</f>
        <v>T5</v>
      </c>
      <c r="H1509" s="244" t="str">
        <f>VLOOKUP(Main_Presentation[[#This Row],[LC Number]],Main_Issuance[],17,0)</f>
        <v>Credit</v>
      </c>
      <c r="I1509" s="244" t="str">
        <f>VLOOKUP(Main_Presentation[[#This Row],[LC Number]],Main_Issuance[],7,0)</f>
        <v>Innovative Contractors for Advanced Dimension (ICAD)</v>
      </c>
      <c r="J1509" s="244" t="str">
        <f>VLOOKUP(Main_Presentation[[#This Row],[LC Number]],Main_Issuance[],8,0)</f>
        <v>MBL</v>
      </c>
      <c r="K1509" s="244" t="str">
        <f>VLOOKUP(Main_Presentation[[#This Row],[LC Number]],Main_Issuance[],9,0)</f>
        <v>CEER</v>
      </c>
      <c r="L1509" s="244">
        <f>VLOOKUP(Main_Presentation[[#This Row],[LC Number]],Main_Issuance[],10,0)</f>
        <v>1020091</v>
      </c>
      <c r="M1509" s="244" t="str">
        <f>VLOOKUP(Main_Presentation[[#This Row],[LC Number]],Main_Issuance[],11,0)</f>
        <v>SAR</v>
      </c>
      <c r="N1509" s="245">
        <f>VLOOKUP(Main_Presentation[[#This Row],[LC Number]],Main_Issuance[],12,0)</f>
        <v>10000000</v>
      </c>
      <c r="O1509" s="217" t="s">
        <v>912</v>
      </c>
      <c r="P1509" s="217" t="s">
        <v>857</v>
      </c>
      <c r="Q1509" s="218">
        <v>10000000</v>
      </c>
      <c r="R1509" s="218">
        <v>1</v>
      </c>
      <c r="S1509" s="218">
        <f>Main_Presentation[[#This Row],[Invoice Amt (FCY)]]*Main_Presentation[[#This Row],[Rate]]</f>
        <v>10000000</v>
      </c>
      <c r="T1509" s="317">
        <v>46236</v>
      </c>
      <c r="U1509" s="243" t="str">
        <f>VLOOKUP(Main_Presentation[[#This Row],[LC Number]],Main_Issuance[],18,0)</f>
        <v>120 Days from Appl Rep Sign on Invoice</v>
      </c>
      <c r="V1509" s="233"/>
      <c r="W1509" s="229" t="s">
        <v>378</v>
      </c>
      <c r="X1509" s="217"/>
      <c r="Y1509" s="399" t="str">
        <f>TRIM(LEFT(Main_Presentation[[#This Row],[Payment Terms]],3))</f>
        <v>120</v>
      </c>
      <c r="Z1509" s="217"/>
      <c r="AA1509" s="405" cm="1">
        <f t="array" ref="AA1509">Settlement(Main_Presentation[[#This Row],[Bank]],Main_Presentation[[#This Row],[ Invoice Amt (SAR)]],Main_Presentation[[#This Row],[Date Recd]],Main_Presentation[[#This Row],[Due Date]],Main_Presentation[[#This Row],[Days]])*2</f>
        <v>86250</v>
      </c>
      <c r="AB1509" s="217"/>
    </row>
    <row r="1510" spans="1:28" ht="15.75" hidden="1" x14ac:dyDescent="0.25">
      <c r="A1510" s="226" t="s">
        <v>3722</v>
      </c>
      <c r="B1510" s="227">
        <v>46132</v>
      </c>
      <c r="C1510" s="243">
        <v>1</v>
      </c>
      <c r="D1510" s="228" t="str">
        <f>VLOOKUP(Main_Presentation[[#This Row],[LC Number]],Main_Issuance[],3,0)</f>
        <v>Matthew Mckernan</v>
      </c>
      <c r="E1510" s="217" t="s">
        <v>858</v>
      </c>
      <c r="F1510" s="244" t="str">
        <f>VLOOKUP(Main_Presentation[[#This Row],[LC Number]],Main_Issuance[],5,0)</f>
        <v>SNB</v>
      </c>
      <c r="G1510" s="244" t="str">
        <f>VLOOKUP(Main_Presentation[[#This Row],[LC Number]],Main_Issuance[],6,0)</f>
        <v>Opera House</v>
      </c>
      <c r="H1510" s="244" t="str">
        <f>VLOOKUP(Main_Presentation[[#This Row],[LC Number]],Main_Issuance[],17,0)</f>
        <v>Credit</v>
      </c>
      <c r="I1510" s="244" t="str">
        <f>VLOOKUP(Main_Presentation[[#This Row],[LC Number]],Main_Issuance[],7,0)</f>
        <v>Electric House Trading Company L.L.C.</v>
      </c>
      <c r="J1510" s="244" t="str">
        <f>VLOOKUP(Main_Presentation[[#This Row],[LC Number]],Main_Issuance[],8,0)</f>
        <v>MBL/ICAD</v>
      </c>
      <c r="K1510" s="244" t="str">
        <f>VLOOKUP(Main_Presentation[[#This Row],[LC Number]],Main_Issuance[],9,0)</f>
        <v>OPERA House</v>
      </c>
      <c r="L1510" s="244">
        <f>VLOOKUP(Main_Presentation[[#This Row],[LC Number]],Main_Issuance[],10,0)</f>
        <v>1020097</v>
      </c>
      <c r="M1510" s="244" t="str">
        <f>VLOOKUP(Main_Presentation[[#This Row],[LC Number]],Main_Issuance[],11,0)</f>
        <v>SAR</v>
      </c>
      <c r="N1510" s="245">
        <f>VLOOKUP(Main_Presentation[[#This Row],[LC Number]],Main_Issuance[],12,0)</f>
        <v>350000</v>
      </c>
      <c r="O1510" s="217" t="s">
        <v>20</v>
      </c>
      <c r="P1510" s="217" t="s">
        <v>378</v>
      </c>
      <c r="Q1510" s="218">
        <v>350000</v>
      </c>
      <c r="R1510" s="218">
        <v>1</v>
      </c>
      <c r="S1510" s="218">
        <f>Main_Presentation[[#This Row],[Invoice Amt (FCY)]]*Main_Presentation[[#This Row],[Rate]]</f>
        <v>350000</v>
      </c>
      <c r="T1510" s="227">
        <v>46173</v>
      </c>
      <c r="U1510" s="243" t="str">
        <f>VLOOKUP(Main_Presentation[[#This Row],[LC Number]],Main_Issuance[],18,0)</f>
        <v>90 Days from Delivery Date</v>
      </c>
      <c r="V1510" s="233" t="s">
        <v>96</v>
      </c>
      <c r="W1510" s="229" t="s">
        <v>857</v>
      </c>
      <c r="X1510" s="217"/>
      <c r="Y1510" s="399" t="str">
        <f>TRIM(LEFT(Main_Presentation[[#This Row],[Payment Terms]],3))</f>
        <v>90</v>
      </c>
      <c r="Z1510" s="217"/>
      <c r="AA1510" s="405" cm="1">
        <f t="array" ref="AA1510">Settlement(Main_Presentation[[#This Row],[Bank]],Main_Presentation[[#This Row],[ Invoice Amt (SAR)]],Main_Presentation[[#This Row],[Date Recd]],Main_Presentation[[#This Row],[Due Date]],Main_Presentation[[#This Row],[Days]],,125)</f>
        <v>1022.35</v>
      </c>
      <c r="AB1510" s="217"/>
    </row>
    <row r="1511" spans="1:28" ht="15.75" hidden="1" x14ac:dyDescent="0.25">
      <c r="A1511" s="226" t="s">
        <v>4250</v>
      </c>
      <c r="B1511" s="227">
        <v>46125</v>
      </c>
      <c r="C1511" s="243">
        <v>1</v>
      </c>
      <c r="D1511" s="228" t="str">
        <f>VLOOKUP(Main_Presentation[[#This Row],[LC Number]],Main_Issuance[],3,0)</f>
        <v>Hassan Taleb</v>
      </c>
      <c r="E1511" s="217" t="s">
        <v>858</v>
      </c>
      <c r="F1511" s="244" t="str">
        <f>VLOOKUP(Main_Presentation[[#This Row],[LC Number]],Main_Issuance[],5,0)</f>
        <v>SAB</v>
      </c>
      <c r="G1511" s="244" t="str">
        <f>VLOOKUP(Main_Presentation[[#This Row],[LC Number]],Main_Issuance[],6,0)</f>
        <v>MP1</v>
      </c>
      <c r="H1511" s="244" t="str">
        <f>VLOOKUP(Main_Presentation[[#This Row],[LC Number]],Main_Issuance[],17,0)</f>
        <v>Credit</v>
      </c>
      <c r="I1511" s="244" t="str">
        <f>VLOOKUP(Main_Presentation[[#This Row],[LC Number]],Main_Issuance[],7,0)</f>
        <v>Ajzal United for Safety CO.LTD.</v>
      </c>
      <c r="J1511" s="244" t="str">
        <f>VLOOKUP(Main_Presentation[[#This Row],[LC Number]],Main_Issuance[],8,0)</f>
        <v>FIRST FIX</v>
      </c>
      <c r="K1511" s="244" t="str">
        <f>VLOOKUP(Main_Presentation[[#This Row],[LC Number]],Main_Issuance[],9,0)</f>
        <v>MP1</v>
      </c>
      <c r="L1511" s="244">
        <f>VLOOKUP(Main_Presentation[[#This Row],[LC Number]],Main_Issuance[],10,0)</f>
        <v>1020088</v>
      </c>
      <c r="M1511" s="244" t="str">
        <f>VLOOKUP(Main_Presentation[[#This Row],[LC Number]],Main_Issuance[],11,0)</f>
        <v>SAR</v>
      </c>
      <c r="N1511" s="245">
        <f>VLOOKUP(Main_Presentation[[#This Row],[LC Number]],Main_Issuance[],12,0)</f>
        <v>600000</v>
      </c>
      <c r="O1511" s="217" t="s">
        <v>912</v>
      </c>
      <c r="P1511" s="217" t="s">
        <v>857</v>
      </c>
      <c r="Q1511" s="218">
        <v>194647.12</v>
      </c>
      <c r="R1511" s="218">
        <v>1</v>
      </c>
      <c r="S1511" s="218">
        <f>Main_Presentation[[#This Row],[Invoice Amt (FCY)]]*Main_Presentation[[#This Row],[Rate]]</f>
        <v>194647.12</v>
      </c>
      <c r="T1511" s="227">
        <v>46208</v>
      </c>
      <c r="U1511" s="243" t="str">
        <f>VLOOKUP(Main_Presentation[[#This Row],[LC Number]],Main_Issuance[],18,0)</f>
        <v>90 Days from Applicant representative sign on Invoice</v>
      </c>
      <c r="V1511" s="233"/>
      <c r="W1511" s="229" t="s">
        <v>378</v>
      </c>
      <c r="X1511" s="217"/>
      <c r="Y1511" s="399" t="str">
        <f>TRIM(LEFT(Main_Presentation[[#This Row],[Payment Terms]],3))</f>
        <v>90</v>
      </c>
      <c r="Z1511" s="217"/>
      <c r="AA1511" s="405" cm="1">
        <f t="array" ref="AA1511">Settlement(Main_Presentation[[#This Row],[Bank]],Main_Presentation[[#This Row],[ Invoice Amt (SAR)]],Main_Presentation[[#This Row],[Date Recd]],Main_Presentation[[#This Row],[Due Date]],Main_Presentation[[#This Row],[Days]])</f>
        <v>839.5</v>
      </c>
      <c r="AB1511" s="217"/>
    </row>
    <row r="1512" spans="1:28" ht="15.75" hidden="1" x14ac:dyDescent="0.25">
      <c r="A1512" s="226" t="s">
        <v>3956</v>
      </c>
      <c r="B1512" s="227">
        <v>46149</v>
      </c>
      <c r="C1512" s="243">
        <v>1</v>
      </c>
      <c r="D1512" s="228" t="str">
        <f>VLOOKUP(Main_Presentation[[#This Row],[LC Number]],Main_Issuance[],3,0)</f>
        <v>Luis Puente</v>
      </c>
      <c r="E1512" s="217" t="s">
        <v>856</v>
      </c>
      <c r="F1512" s="244" t="str">
        <f>VLOOKUP(Main_Presentation[[#This Row],[LC Number]],Main_Issuance[],5,0)</f>
        <v>Riyad</v>
      </c>
      <c r="G1512" s="244" t="str">
        <f>VLOOKUP(Main_Presentation[[#This Row],[LC Number]],Main_Issuance[],6,0)</f>
        <v>Oceanarium</v>
      </c>
      <c r="H1512" s="244" t="str">
        <f>VLOOKUP(Main_Presentation[[#This Row],[LC Number]],Main_Issuance[],17,0)</f>
        <v>Credit</v>
      </c>
      <c r="I1512" s="244" t="str">
        <f>VLOOKUP(Main_Presentation[[#This Row],[LC Number]],Main_Issuance[],7,0)</f>
        <v>SKM Air Conditioning Company</v>
      </c>
      <c r="J1512" s="244" t="str">
        <f>VLOOKUP(Main_Presentation[[#This Row],[LC Number]],Main_Issuance[],8,0)</f>
        <v>FIRST FIX</v>
      </c>
      <c r="K1512" s="244" t="str">
        <f>VLOOKUP(Main_Presentation[[#This Row],[LC Number]],Main_Issuance[],9,0)</f>
        <v>Oceanarium</v>
      </c>
      <c r="L1512" s="244">
        <f>VLOOKUP(Main_Presentation[[#This Row],[LC Number]],Main_Issuance[],10,0)</f>
        <v>1020096</v>
      </c>
      <c r="M1512" s="244" t="str">
        <f>VLOOKUP(Main_Presentation[[#This Row],[LC Number]],Main_Issuance[],11,0)</f>
        <v>SAR</v>
      </c>
      <c r="N1512" s="245">
        <f>VLOOKUP(Main_Presentation[[#This Row],[LC Number]],Main_Issuance[],12,0)</f>
        <v>500000</v>
      </c>
      <c r="O1512" s="217" t="s">
        <v>912</v>
      </c>
      <c r="P1512" s="217" t="s">
        <v>857</v>
      </c>
      <c r="Q1512" s="218">
        <v>500000</v>
      </c>
      <c r="R1512" s="218">
        <v>1</v>
      </c>
      <c r="S1512" s="218">
        <f>Main_Presentation[[#This Row],[Invoice Amt (FCY)]]*Main_Presentation[[#This Row],[Rate]]</f>
        <v>500000</v>
      </c>
      <c r="T1512" s="227">
        <v>46208</v>
      </c>
      <c r="U1512" s="243" t="str">
        <f>VLOOKUP(Main_Presentation[[#This Row],[LC Number]],Main_Issuance[],18,0)</f>
        <v>90 Days from Appln Rep Sign on Invoice</v>
      </c>
      <c r="V1512" s="233"/>
      <c r="W1512" s="229" t="s">
        <v>378</v>
      </c>
      <c r="X1512" s="217"/>
      <c r="Y1512" s="399" t="str">
        <f>TRIM(LEFT(Main_Presentation[[#This Row],[Payment Terms]],3))</f>
        <v>90</v>
      </c>
      <c r="Z1512" s="217"/>
      <c r="AA1512" s="405" cm="1">
        <f t="array" ref="AA1512">Settlement(Main_Presentation[[#This Row],[Bank]],Main_Presentation[[#This Row],[ Invoice Amt (SAR)]],Main_Presentation[[#This Row],[Date Recd]],Main_Presentation[[#This Row],[Due Date]],Main_Presentation[[#This Row],[Days]])</f>
        <v>1437.5</v>
      </c>
      <c r="AB1512" s="217"/>
    </row>
    <row r="1513" spans="1:28" ht="15.75" hidden="1" x14ac:dyDescent="0.25">
      <c r="A1513" s="226" t="s">
        <v>2562</v>
      </c>
      <c r="B1513" s="227">
        <v>46125</v>
      </c>
      <c r="C1513" s="243">
        <v>5</v>
      </c>
      <c r="D1513" s="228" t="str">
        <f>VLOOKUP(Main_Presentation[[#This Row],[LC Number]],Main_Issuance[],3,0)</f>
        <v>Matthew Mckernan - AICS</v>
      </c>
      <c r="E1513" s="217" t="s">
        <v>856</v>
      </c>
      <c r="F1513" s="244" t="str">
        <f>VLOOKUP(Main_Presentation[[#This Row],[LC Number]],Main_Issuance[],5,0)</f>
        <v>SNB</v>
      </c>
      <c r="G1513" s="244" t="str">
        <f>VLOOKUP(Main_Presentation[[#This Row],[LC Number]],Main_Issuance[],6,0)</f>
        <v>Opera House</v>
      </c>
      <c r="H1513" s="244" t="str">
        <f>VLOOKUP(Main_Presentation[[#This Row],[LC Number]],Main_Issuance[],17,0)</f>
        <v>Credit</v>
      </c>
      <c r="I1513" s="244" t="str">
        <f>VLOOKUP(Main_Presentation[[#This Row],[LC Number]],Main_Issuance[],7,0)</f>
        <v>ALNAFIE METAL INDUSTRIES CO LTD</v>
      </c>
      <c r="J1513" s="244" t="str">
        <f>VLOOKUP(Main_Presentation[[#This Row],[LC Number]],Main_Issuance[],8,0)</f>
        <v>MBL/AICS</v>
      </c>
      <c r="K1513" s="244" t="str">
        <f>VLOOKUP(Main_Presentation[[#This Row],[LC Number]],Main_Issuance[],9,0)</f>
        <v>OPERA House</v>
      </c>
      <c r="L1513" s="244">
        <f>VLOOKUP(Main_Presentation[[#This Row],[LC Number]],Main_Issuance[],10,0)</f>
        <v>1020097</v>
      </c>
      <c r="M1513" s="244" t="str">
        <f>VLOOKUP(Main_Presentation[[#This Row],[LC Number]],Main_Issuance[],11,0)</f>
        <v>SAR</v>
      </c>
      <c r="N1513" s="245">
        <f>VLOOKUP(Main_Presentation[[#This Row],[LC Number]],Main_Issuance[],12,0)</f>
        <v>18703391.850000001</v>
      </c>
      <c r="O1513" s="217" t="s">
        <v>20</v>
      </c>
      <c r="P1513" s="217" t="s">
        <v>378</v>
      </c>
      <c r="Q1513" s="218">
        <v>1386492.9</v>
      </c>
      <c r="R1513" s="218">
        <v>1</v>
      </c>
      <c r="S1513" s="218">
        <f>Main_Presentation[[#This Row],[Invoice Amt (FCY)]]*Main_Presentation[[#This Row],[Rate]]</f>
        <v>1386492.9</v>
      </c>
      <c r="T1513" s="227">
        <v>46142</v>
      </c>
      <c r="U1513" s="243" t="str">
        <f>VLOOKUP(Main_Presentation[[#This Row],[LC Number]],Main_Issuance[],18,0)</f>
        <v>90 Days from Invoice Date</v>
      </c>
      <c r="V1513" s="233" t="s">
        <v>96</v>
      </c>
      <c r="W1513" s="229" t="s">
        <v>857</v>
      </c>
      <c r="X1513" s="217"/>
      <c r="Y1513" s="399" t="str">
        <f>TRIM(LEFT(Main_Presentation[[#This Row],[Payment Terms]],3))</f>
        <v>90</v>
      </c>
      <c r="Z1513" s="217"/>
      <c r="AA1513" s="405" cm="1">
        <f t="array" ref="AA1513">Settlement(Main_Presentation[[#This Row],[Bank]],Main_Presentation[[#This Row],[ Invoice Amt (SAR)]],Main_Presentation[[#This Row],[Date Recd]],Main_Presentation[[#This Row],[Due Date]],Main_Presentation[[#This Row],[Days]],1)</f>
        <v>6683.8</v>
      </c>
      <c r="AB1513" s="217"/>
    </row>
    <row r="1514" spans="1:28" ht="15.75" hidden="1" x14ac:dyDescent="0.25">
      <c r="A1514" s="226" t="s">
        <v>4055</v>
      </c>
      <c r="B1514" s="227">
        <v>46119</v>
      </c>
      <c r="C1514" s="243">
        <v>4</v>
      </c>
      <c r="D1514" s="228" t="str">
        <f>VLOOKUP(Main_Presentation[[#This Row],[LC Number]],Main_Issuance[],3,0)</f>
        <v>Hassan Taleb</v>
      </c>
      <c r="E1514" s="217" t="s">
        <v>856</v>
      </c>
      <c r="F1514" s="244" t="str">
        <f>VLOOKUP(Main_Presentation[[#This Row],[LC Number]],Main_Issuance[],5,0)</f>
        <v>Alinma</v>
      </c>
      <c r="G1514" s="244" t="str">
        <f>VLOOKUP(Main_Presentation[[#This Row],[LC Number]],Main_Issuance[],6,0)</f>
        <v>KSP</v>
      </c>
      <c r="H1514" s="244" t="str">
        <f>VLOOKUP(Main_Presentation[[#This Row],[LC Number]],Main_Issuance[],17,0)</f>
        <v>Credit</v>
      </c>
      <c r="I1514" s="244" t="str">
        <f>VLOOKUP(Main_Presentation[[#This Row],[LC Number]],Main_Issuance[],7,0)</f>
        <v>The Fundamental Installation For Electric Work Co</v>
      </c>
      <c r="J1514" s="244" t="str">
        <f>VLOOKUP(Main_Presentation[[#This Row],[LC Number]],Main_Issuance[],8,0)</f>
        <v>FIRST FIX</v>
      </c>
      <c r="K1514" s="244" t="str">
        <f>VLOOKUP(Main_Presentation[[#This Row],[LC Number]],Main_Issuance[],9,0)</f>
        <v>ADF</v>
      </c>
      <c r="L1514" s="244">
        <f>VLOOKUP(Main_Presentation[[#This Row],[LC Number]],Main_Issuance[],10,0)</f>
        <v>1020001</v>
      </c>
      <c r="M1514" s="244" t="str">
        <f>VLOOKUP(Main_Presentation[[#This Row],[LC Number]],Main_Issuance[],11,0)</f>
        <v>SAR</v>
      </c>
      <c r="N1514" s="245">
        <f>VLOOKUP(Main_Presentation[[#This Row],[LC Number]],Main_Issuance[],12,0)</f>
        <v>19000000</v>
      </c>
      <c r="O1514" s="217" t="s">
        <v>912</v>
      </c>
      <c r="P1514" s="217" t="s">
        <v>378</v>
      </c>
      <c r="Q1514" s="218">
        <v>6000000</v>
      </c>
      <c r="R1514" s="218">
        <v>1</v>
      </c>
      <c r="S1514" s="218">
        <f>Main_Presentation[[#This Row],[Invoice Amt (FCY)]]*Main_Presentation[[#This Row],[Rate]]</f>
        <v>6000000</v>
      </c>
      <c r="T1514" s="227">
        <v>46202</v>
      </c>
      <c r="U1514" s="243" t="str">
        <f>VLOOKUP(Main_Presentation[[#This Row],[LC Number]],Main_Issuance[],18,0)</f>
        <v>90 Days from Invoice Date</v>
      </c>
      <c r="V1514" s="233"/>
      <c r="W1514" s="229" t="s">
        <v>378</v>
      </c>
      <c r="X1514" s="217"/>
      <c r="Y1514" s="399" t="str">
        <f>TRIM(LEFT(Main_Presentation[[#This Row],[Payment Terms]],3))</f>
        <v>90</v>
      </c>
      <c r="Z1514" s="217"/>
      <c r="AA1514" s="405" cm="1">
        <f t="array" ref="AA1514">Settlement(Main_Presentation[[#This Row],[Bank]],Main_Presentation[[#This Row],[ Invoice Amt (SAR)]],Main_Presentation[[#This Row],[Date Recd]],Main_Presentation[[#This Row],[Due Date]],Main_Presentation[[#This Row],[Days]])</f>
        <v>8625</v>
      </c>
      <c r="AB1514" s="217"/>
    </row>
    <row r="1515" spans="1:28" ht="15.75" hidden="1" x14ac:dyDescent="0.25">
      <c r="A1515" s="226" t="s">
        <v>4394</v>
      </c>
      <c r="B1515" s="227">
        <v>46131</v>
      </c>
      <c r="C1515" s="243">
        <v>1</v>
      </c>
      <c r="D1515" s="228" t="str">
        <f>VLOOKUP(Main_Presentation[[#This Row],[LC Number]],Main_Issuance[],3,0)</f>
        <v>Luis Puente</v>
      </c>
      <c r="E1515" s="217" t="s">
        <v>856</v>
      </c>
      <c r="F1515" s="244" t="str">
        <f>VLOOKUP(Main_Presentation[[#This Row],[LC Number]],Main_Issuance[],5,0)</f>
        <v>Riyad</v>
      </c>
      <c r="G1515" s="244" t="str">
        <f>VLOOKUP(Main_Presentation[[#This Row],[LC Number]],Main_Issuance[],6,0)</f>
        <v>Oceanarium</v>
      </c>
      <c r="H1515" s="244" t="str">
        <f>VLOOKUP(Main_Presentation[[#This Row],[LC Number]],Main_Issuance[],17,0)</f>
        <v>Credit</v>
      </c>
      <c r="I1515" s="244" t="str">
        <f>VLOOKUP(Main_Presentation[[#This Row],[LC Number]],Main_Issuance[],7,0)</f>
        <v>Mat Filtrasyon Teknolojeleri A.S</v>
      </c>
      <c r="J1515" s="244" t="str">
        <f>VLOOKUP(Main_Presentation[[#This Row],[LC Number]],Main_Issuance[],8,0)</f>
        <v>MBL</v>
      </c>
      <c r="K1515" s="244" t="str">
        <f>VLOOKUP(Main_Presentation[[#This Row],[LC Number]],Main_Issuance[],9,0)</f>
        <v>Oceanarium</v>
      </c>
      <c r="L1515" s="244">
        <f>VLOOKUP(Main_Presentation[[#This Row],[LC Number]],Main_Issuance[],10,0)</f>
        <v>1020096</v>
      </c>
      <c r="M1515" s="244" t="str">
        <f>VLOOKUP(Main_Presentation[[#This Row],[LC Number]],Main_Issuance[],11,0)</f>
        <v>SAR</v>
      </c>
      <c r="N1515" s="245">
        <f>VLOOKUP(Main_Presentation[[#This Row],[LC Number]],Main_Issuance[],12,0)</f>
        <v>17932603.559999999</v>
      </c>
      <c r="O1515" s="217" t="s">
        <v>20</v>
      </c>
      <c r="P1515" s="217" t="s">
        <v>857</v>
      </c>
      <c r="Q1515" s="218">
        <v>4576500</v>
      </c>
      <c r="R1515" s="218">
        <v>1</v>
      </c>
      <c r="S1515" s="218">
        <f>Main_Presentation[[#This Row],[Invoice Amt (FCY)]]*Main_Presentation[[#This Row],[Rate]]</f>
        <v>4576500</v>
      </c>
      <c r="T1515" s="227">
        <v>46133</v>
      </c>
      <c r="U1515" s="243" t="str">
        <f>VLOOKUP(Main_Presentation[[#This Row],[LC Number]],Main_Issuance[],18,0)</f>
        <v>Mixed Tenor - 60 / 45 / 21 Days from Invoice Date</v>
      </c>
      <c r="V1515" s="233" t="s">
        <v>483</v>
      </c>
      <c r="W1515" s="229" t="s">
        <v>857</v>
      </c>
      <c r="X1515" s="217"/>
      <c r="Y1515" s="399">
        <v>21</v>
      </c>
      <c r="Z1515" s="217"/>
      <c r="AA1515" s="405" cm="1">
        <f t="array" ref="AA1515">Settlement(Main_Presentation[[#This Row],[Bank]],Main_Presentation[[#This Row],[ Invoice Amt (SAR)]],Main_Presentation[[#This Row],[Date Recd]],Main_Presentation[[#This Row],[Due Date]],Main_Presentation[[#This Row],[Days]])</f>
        <v>230</v>
      </c>
      <c r="AB1515" s="217"/>
    </row>
    <row r="1516" spans="1:28" ht="15.75" hidden="1" x14ac:dyDescent="0.25">
      <c r="A1516" s="226" t="s">
        <v>3730</v>
      </c>
      <c r="B1516" s="227">
        <v>46114</v>
      </c>
      <c r="C1516" s="243">
        <v>1</v>
      </c>
      <c r="D1516" s="228" t="str">
        <f>VLOOKUP(Main_Presentation[[#This Row],[LC Number]],Main_Issuance[],3,0)</f>
        <v>Haytham Salem</v>
      </c>
      <c r="E1516" s="217" t="s">
        <v>858</v>
      </c>
      <c r="F1516" s="244" t="str">
        <f>VLOOKUP(Main_Presentation[[#This Row],[LC Number]],Main_Issuance[],5,0)</f>
        <v>SAB</v>
      </c>
      <c r="G1516" s="244" t="str">
        <f>VLOOKUP(Main_Presentation[[#This Row],[LC Number]],Main_Issuance[],6,0)</f>
        <v>T5</v>
      </c>
      <c r="H1516" s="244" t="str">
        <f>VLOOKUP(Main_Presentation[[#This Row],[LC Number]],Main_Issuance[],17,0)</f>
        <v>Credit</v>
      </c>
      <c r="I1516" s="244" t="str">
        <f>VLOOKUP(Main_Presentation[[#This Row],[LC Number]],Main_Issuance[],7,0)</f>
        <v>Off Premises Solutions</v>
      </c>
      <c r="J1516" s="244" t="str">
        <f>VLOOKUP(Main_Presentation[[#This Row],[LC Number]],Main_Issuance[],8,0)</f>
        <v>MBL / Green Roots</v>
      </c>
      <c r="K1516" s="244" t="str">
        <f>VLOOKUP(Main_Presentation[[#This Row],[LC Number]],Main_Issuance[],9,0)</f>
        <v>CEER</v>
      </c>
      <c r="L1516" s="244">
        <f>VLOOKUP(Main_Presentation[[#This Row],[LC Number]],Main_Issuance[],10,0)</f>
        <v>1020091</v>
      </c>
      <c r="M1516" s="244" t="str">
        <f>VLOOKUP(Main_Presentation[[#This Row],[LC Number]],Main_Issuance[],11,0)</f>
        <v>SAR</v>
      </c>
      <c r="N1516" s="245">
        <f>VLOOKUP(Main_Presentation[[#This Row],[LC Number]],Main_Issuance[],12,0)</f>
        <v>9979435.5</v>
      </c>
      <c r="O1516" s="217" t="s">
        <v>20</v>
      </c>
      <c r="P1516" s="217" t="s">
        <v>857</v>
      </c>
      <c r="Q1516" s="218">
        <v>2272515</v>
      </c>
      <c r="R1516" s="218">
        <v>1</v>
      </c>
      <c r="S1516" s="218">
        <f>Main_Presentation[[#This Row],[Invoice Amt (FCY)]]*Main_Presentation[[#This Row],[Rate]]</f>
        <v>2272515</v>
      </c>
      <c r="T1516" s="227">
        <v>46159</v>
      </c>
      <c r="U1516" s="243" t="str">
        <f>VLOOKUP(Main_Presentation[[#This Row],[LC Number]],Main_Issuance[],18,0)</f>
        <v>60 Days after applicant repr sign on Invoice</v>
      </c>
      <c r="V1516" s="233" t="s">
        <v>4353</v>
      </c>
      <c r="W1516" s="229" t="s">
        <v>857</v>
      </c>
      <c r="X1516" s="217"/>
      <c r="Y1516" s="399" t="str">
        <f>TRIM(LEFT(Main_Presentation[[#This Row],[Payment Terms]],3))</f>
        <v>60</v>
      </c>
      <c r="Z1516" s="217"/>
      <c r="AA1516" s="405" cm="1">
        <f t="array" ref="AA1516">Settlement(Main_Presentation[[#This Row],[Bank]],Main_Presentation[[#This Row],[ Invoice Amt (SAR)]],Main_Presentation[[#This Row],[Date Recd]],Main_Presentation[[#This Row],[Due Date]],Main_Presentation[[#This Row],[Days]])</f>
        <v>9800.2999999999993</v>
      </c>
      <c r="AB1516" s="217"/>
    </row>
    <row r="1517" spans="1:28" ht="15.75" hidden="1" x14ac:dyDescent="0.25">
      <c r="A1517" s="226" t="s">
        <v>4304</v>
      </c>
      <c r="B1517" s="227">
        <v>46121</v>
      </c>
      <c r="C1517" s="243">
        <v>2</v>
      </c>
      <c r="D1517" s="228" t="str">
        <f>VLOOKUP(Main_Presentation[[#This Row],[LC Number]],Main_Issuance[],3,0)</f>
        <v>Hassan Taleb</v>
      </c>
      <c r="E1517" s="217" t="s">
        <v>856</v>
      </c>
      <c r="F1517" s="244" t="str">
        <f>VLOOKUP(Main_Presentation[[#This Row],[LC Number]],Main_Issuance[],5,0)</f>
        <v>Jazira</v>
      </c>
      <c r="G1517" s="244" t="str">
        <f>VLOOKUP(Main_Presentation[[#This Row],[LC Number]],Main_Issuance[],6,0)</f>
        <v>RCRC</v>
      </c>
      <c r="H1517" s="244" t="str">
        <f>VLOOKUP(Main_Presentation[[#This Row],[LC Number]],Main_Issuance[],17,0)</f>
        <v>Credit</v>
      </c>
      <c r="I1517" s="244" t="str">
        <f>VLOOKUP(Main_Presentation[[#This Row],[LC Number]],Main_Issuance[],7,0)</f>
        <v>The Fundamental Installation For Electric Work Co</v>
      </c>
      <c r="J1517" s="244" t="str">
        <f>VLOOKUP(Main_Presentation[[#This Row],[LC Number]],Main_Issuance[],8,0)</f>
        <v>FIRST FIX</v>
      </c>
      <c r="K1517" s="244" t="str">
        <f>VLOOKUP(Main_Presentation[[#This Row],[LC Number]],Main_Issuance[],9,0)</f>
        <v>CEER</v>
      </c>
      <c r="L1517" s="244">
        <f>VLOOKUP(Main_Presentation[[#This Row],[LC Number]],Main_Issuance[],10,0)</f>
        <v>1020091</v>
      </c>
      <c r="M1517" s="244" t="str">
        <f>VLOOKUP(Main_Presentation[[#This Row],[LC Number]],Main_Issuance[],11,0)</f>
        <v>SAR</v>
      </c>
      <c r="N1517" s="245">
        <f>VLOOKUP(Main_Presentation[[#This Row],[LC Number]],Main_Issuance[],12,0)</f>
        <v>67000000</v>
      </c>
      <c r="O1517" s="217" t="s">
        <v>912</v>
      </c>
      <c r="P1517" s="217" t="s">
        <v>378</v>
      </c>
      <c r="Q1517" s="218">
        <v>42000000</v>
      </c>
      <c r="R1517" s="218">
        <v>1</v>
      </c>
      <c r="S1517" s="218">
        <f>Main_Presentation[[#This Row],[Invoice Amt (FCY)]]*Main_Presentation[[#This Row],[Rate]]</f>
        <v>42000000</v>
      </c>
      <c r="T1517" s="227">
        <v>46202</v>
      </c>
      <c r="U1517" s="243" t="str">
        <f>VLOOKUP(Main_Presentation[[#This Row],[LC Number]],Main_Issuance[],18,0)</f>
        <v>90 Days from Invoice Date</v>
      </c>
      <c r="V1517" s="233"/>
      <c r="W1517" s="229" t="s">
        <v>378</v>
      </c>
      <c r="X1517" s="217"/>
      <c r="Y1517" s="399" t="str">
        <f>TRIM(LEFT(Main_Presentation[[#This Row],[Payment Terms]],3))</f>
        <v>90</v>
      </c>
      <c r="Z1517" s="217"/>
      <c r="AA1517" s="405" cm="1">
        <f t="array" ref="AA1517">Settlement(Main_Presentation[[#This Row],[Bank]],Main_Presentation[[#This Row],[ Invoice Amt (SAR)]],Main_Presentation[[#This Row],[Date Recd]],Main_Presentation[[#This Row],[Due Date]],Main_Presentation[[#This Row],[Days]],-1)</f>
        <v>60720</v>
      </c>
      <c r="AB1517" s="217"/>
    </row>
    <row r="1518" spans="1:28" ht="15.75" hidden="1" x14ac:dyDescent="0.25">
      <c r="A1518" s="226" t="s">
        <v>4546</v>
      </c>
      <c r="B1518" s="227">
        <v>46133</v>
      </c>
      <c r="C1518" s="243">
        <v>2</v>
      </c>
      <c r="D1518" s="228" t="str">
        <f>VLOOKUP(Main_Presentation[[#This Row],[LC Number]],Main_Issuance[],3,0)</f>
        <v>Nader Ageeb</v>
      </c>
      <c r="E1518" s="217" t="s">
        <v>858</v>
      </c>
      <c r="F1518" s="244" t="str">
        <f>VLOOKUP(Main_Presentation[[#This Row],[LC Number]],Main_Issuance[],5,0)</f>
        <v>NBK</v>
      </c>
      <c r="G1518" s="244" t="str">
        <f>VLOOKUP(Main_Presentation[[#This Row],[LC Number]],Main_Issuance[],6,0)</f>
        <v>Lagoon</v>
      </c>
      <c r="H1518" s="244" t="str">
        <f>VLOOKUP(Main_Presentation[[#This Row],[LC Number]],Main_Issuance[],17,0)</f>
        <v>Credit</v>
      </c>
      <c r="I1518" s="244" t="str">
        <f>VLOOKUP(Main_Presentation[[#This Row],[LC Number]],Main_Issuance[],7,0)</f>
        <v>Ready Mix Company Limited.</v>
      </c>
      <c r="J1518" s="244" t="str">
        <f>VLOOKUP(Main_Presentation[[#This Row],[LC Number]],Main_Issuance[],8,0)</f>
        <v>MBL</v>
      </c>
      <c r="K1518" s="244" t="str">
        <f>VLOOKUP(Main_Presentation[[#This Row],[LC Number]],Main_Issuance[],9,0)</f>
        <v>Lagoon</v>
      </c>
      <c r="L1518" s="244">
        <f>VLOOKUP(Main_Presentation[[#This Row],[LC Number]],Main_Issuance[],10,0)</f>
        <v>1020108</v>
      </c>
      <c r="M1518" s="244" t="str">
        <f>VLOOKUP(Main_Presentation[[#This Row],[LC Number]],Main_Issuance[],11,0)</f>
        <v>SAR</v>
      </c>
      <c r="N1518" s="245">
        <f>VLOOKUP(Main_Presentation[[#This Row],[LC Number]],Main_Issuance[],12,0)</f>
        <v>5000000</v>
      </c>
      <c r="O1518" s="217" t="s">
        <v>20</v>
      </c>
      <c r="P1518" s="217" t="s">
        <v>857</v>
      </c>
      <c r="Q1518" s="218">
        <v>1031998.5</v>
      </c>
      <c r="R1518" s="218">
        <v>1</v>
      </c>
      <c r="S1518" s="218">
        <f>Main_Presentation[[#This Row],[Invoice Amt (FCY)]]*Main_Presentation[[#This Row],[Rate]]</f>
        <v>1031998.5</v>
      </c>
      <c r="T1518" s="227">
        <v>46180</v>
      </c>
      <c r="U1518" s="243" t="str">
        <f>VLOOKUP(Main_Presentation[[#This Row],[LC Number]],Main_Issuance[],18,0)</f>
        <v>60 Days from Invoice Date</v>
      </c>
      <c r="V1518" s="233" t="s">
        <v>882</v>
      </c>
      <c r="W1518" s="229" t="s">
        <v>857</v>
      </c>
      <c r="X1518" s="217"/>
      <c r="Y1518" s="399" t="str">
        <f>TRIM(LEFT(Main_Presentation[[#This Row],[Payment Terms]],3))</f>
        <v>60</v>
      </c>
      <c r="Z1518" s="217"/>
      <c r="AA1518" s="405" cm="1">
        <f t="array" ref="AA1518">Settlement(Main_Presentation[[#This Row],[Bank]],Main_Presentation[[#This Row],[ Invoice Amt (SAR)]],Main_Presentation[[#This Row],[Date Recd]],Main_Presentation[[#This Row],[Due Date]],Main_Presentation[[#This Row],[Days]])</f>
        <v>3254.5</v>
      </c>
      <c r="AB1518" s="217"/>
    </row>
    <row r="1519" spans="1:28" ht="15.75" hidden="1" x14ac:dyDescent="0.25">
      <c r="A1519" s="226" t="s">
        <v>4251</v>
      </c>
      <c r="B1519" s="227">
        <v>46131</v>
      </c>
      <c r="C1519" s="243">
        <v>1</v>
      </c>
      <c r="D1519" s="228" t="str">
        <f>VLOOKUP(Main_Presentation[[#This Row],[LC Number]],Main_Issuance[],3,0)</f>
        <v>Hassan Taleb</v>
      </c>
      <c r="E1519" s="217" t="s">
        <v>856</v>
      </c>
      <c r="F1519" s="244" t="str">
        <f>VLOOKUP(Main_Presentation[[#This Row],[LC Number]],Main_Issuance[],5,0)</f>
        <v>SAB</v>
      </c>
      <c r="G1519" s="244" t="str">
        <f>VLOOKUP(Main_Presentation[[#This Row],[LC Number]],Main_Issuance[],6,0)</f>
        <v>MP1</v>
      </c>
      <c r="H1519" s="244" t="str">
        <f>VLOOKUP(Main_Presentation[[#This Row],[LC Number]],Main_Issuance[],17,0)</f>
        <v>Credit</v>
      </c>
      <c r="I1519" s="244" t="str">
        <f>VLOOKUP(Main_Presentation[[#This Row],[LC Number]],Main_Issuance[],7,0)</f>
        <v>Al NAKHEEL FOR TRADING COMPANY</v>
      </c>
      <c r="J1519" s="244" t="str">
        <f>VLOOKUP(Main_Presentation[[#This Row],[LC Number]],Main_Issuance[],8,0)</f>
        <v>FIRST FIX</v>
      </c>
      <c r="K1519" s="244" t="str">
        <f>VLOOKUP(Main_Presentation[[#This Row],[LC Number]],Main_Issuance[],9,0)</f>
        <v>MP1</v>
      </c>
      <c r="L1519" s="244">
        <f>VLOOKUP(Main_Presentation[[#This Row],[LC Number]],Main_Issuance[],10,0)</f>
        <v>1020088</v>
      </c>
      <c r="M1519" s="244" t="str">
        <f>VLOOKUP(Main_Presentation[[#This Row],[LC Number]],Main_Issuance[],11,0)</f>
        <v>SAR</v>
      </c>
      <c r="N1519" s="245">
        <f>VLOOKUP(Main_Presentation[[#This Row],[LC Number]],Main_Issuance[],12,0)</f>
        <v>1870380.07</v>
      </c>
      <c r="O1519" s="217" t="s">
        <v>912</v>
      </c>
      <c r="P1519" s="217" t="s">
        <v>857</v>
      </c>
      <c r="Q1519" s="218">
        <v>1309266</v>
      </c>
      <c r="R1519" s="218">
        <v>1</v>
      </c>
      <c r="S1519" s="218">
        <f>Main_Presentation[[#This Row],[Invoice Amt (FCY)]]*Main_Presentation[[#This Row],[Rate]]</f>
        <v>1309266</v>
      </c>
      <c r="T1519" s="227">
        <v>46211</v>
      </c>
      <c r="U1519" s="243" t="str">
        <f>VLOOKUP(Main_Presentation[[#This Row],[LC Number]],Main_Issuance[],18,0)</f>
        <v>90 Days from Applicant representative sign on Invoice</v>
      </c>
      <c r="V1519" s="233"/>
      <c r="W1519" s="229" t="s">
        <v>378</v>
      </c>
      <c r="X1519" s="217"/>
      <c r="Y1519" s="399" t="str">
        <f>TRIM(LEFT(Main_Presentation[[#This Row],[Payment Terms]],3))</f>
        <v>90</v>
      </c>
      <c r="Z1519" s="217"/>
      <c r="AA1519" s="405" cm="1">
        <f t="array" ref="AA1519">Settlement(Main_Presentation[[#This Row],[Bank]],Main_Presentation[[#This Row],[ Invoice Amt (SAR)]],Main_Presentation[[#This Row],[Date Recd]],Main_Presentation[[#This Row],[Due Date]],Main_Presentation[[#This Row],[Days]])</f>
        <v>5646.5</v>
      </c>
      <c r="AB1519" s="217"/>
    </row>
    <row r="1520" spans="1:28" ht="15.75" hidden="1" x14ac:dyDescent="0.25">
      <c r="A1520" s="226" t="s">
        <v>4628</v>
      </c>
      <c r="B1520" s="227">
        <v>46148</v>
      </c>
      <c r="C1520" s="243">
        <v>1</v>
      </c>
      <c r="D1520" s="228" t="str">
        <f>VLOOKUP(Main_Presentation[[#This Row],[LC Number]],Main_Issuance[],3,0)</f>
        <v>Tareeq Telmasani</v>
      </c>
      <c r="E1520" s="217" t="s">
        <v>856</v>
      </c>
      <c r="F1520" s="244" t="str">
        <f>VLOOKUP(Main_Presentation[[#This Row],[LC Number]],Main_Issuance[],5,0)</f>
        <v>Alinma</v>
      </c>
      <c r="G1520" s="244" t="str">
        <f>VLOOKUP(Main_Presentation[[#This Row],[LC Number]],Main_Issuance[],6,0)</f>
        <v>KSP</v>
      </c>
      <c r="H1520" s="244" t="str">
        <f>VLOOKUP(Main_Presentation[[#This Row],[LC Number]],Main_Issuance[],17,0)</f>
        <v>Credit</v>
      </c>
      <c r="I1520" s="244" t="str">
        <f>VLOOKUP(Main_Presentation[[#This Row],[LC Number]],Main_Issuance[],7,0)</f>
        <v>Innovative Contractors for Advanced Dimension (ICAD)</v>
      </c>
      <c r="J1520" s="244" t="str">
        <f>VLOOKUP(Main_Presentation[[#This Row],[LC Number]],Main_Issuance[],8,0)</f>
        <v>MBL</v>
      </c>
      <c r="K1520" s="244" t="str">
        <f>VLOOKUP(Main_Presentation[[#This Row],[LC Number]],Main_Issuance[],9,0)</f>
        <v>CEER</v>
      </c>
      <c r="L1520" s="244">
        <f>VLOOKUP(Main_Presentation[[#This Row],[LC Number]],Main_Issuance[],10,0)</f>
        <v>1020091</v>
      </c>
      <c r="M1520" s="244" t="str">
        <f>VLOOKUP(Main_Presentation[[#This Row],[LC Number]],Main_Issuance[],11,0)</f>
        <v>SAR</v>
      </c>
      <c r="N1520" s="245">
        <f>VLOOKUP(Main_Presentation[[#This Row],[LC Number]],Main_Issuance[],12,0)</f>
        <v>21481033</v>
      </c>
      <c r="O1520" s="217" t="s">
        <v>912</v>
      </c>
      <c r="P1520" s="217" t="s">
        <v>378</v>
      </c>
      <c r="Q1520" s="218">
        <v>21481033</v>
      </c>
      <c r="R1520" s="218">
        <v>1</v>
      </c>
      <c r="S1520" s="218">
        <f>Main_Presentation[[#This Row],[Invoice Amt (FCY)]]*Main_Presentation[[#This Row],[Rate]]</f>
        <v>21481033</v>
      </c>
      <c r="T1520" s="227">
        <v>46241</v>
      </c>
      <c r="U1520" s="243" t="str">
        <f>VLOOKUP(Main_Presentation[[#This Row],[LC Number]],Main_Issuance[],18,0)</f>
        <v>120 Days from Invoice Date</v>
      </c>
      <c r="V1520" s="233"/>
      <c r="W1520" s="229" t="s">
        <v>378</v>
      </c>
      <c r="X1520" s="217"/>
      <c r="Y1520" s="399" t="str">
        <f>TRIM(LEFT(Main_Presentation[[#This Row],[Payment Terms]],3))</f>
        <v>120</v>
      </c>
      <c r="Z1520" s="217"/>
      <c r="AA1520" s="405" cm="1">
        <f t="array" ref="AA1520">Settlement(Main_Presentation[[#This Row],[Bank]],Main_Presentation[[#This Row],[ Invoice Amt (SAR)]],Main_Presentation[[#This Row],[Date Recd]],Main_Presentation[[#This Row],[Due Date]],Main_Presentation[[#This Row],[Days]])</f>
        <v>30878.65</v>
      </c>
      <c r="AB1520" s="217"/>
    </row>
    <row r="1521" spans="1:28" ht="15.75" hidden="1" x14ac:dyDescent="0.25">
      <c r="A1521" s="226" t="s">
        <v>1503</v>
      </c>
      <c r="B1521" s="227">
        <v>46148</v>
      </c>
      <c r="C1521" s="243">
        <v>2</v>
      </c>
      <c r="D1521" s="228" t="str">
        <f>VLOOKUP(Main_Presentation[[#This Row],[LC Number]],Main_Issuance[],3,0)</f>
        <v>Hassan Taleb</v>
      </c>
      <c r="E1521" s="217" t="s">
        <v>858</v>
      </c>
      <c r="F1521" s="244" t="str">
        <f>VLOOKUP(Main_Presentation[[#This Row],[LC Number]],Main_Issuance[],5,0)</f>
        <v>Alinma</v>
      </c>
      <c r="G1521" s="244" t="str">
        <f>VLOOKUP(Main_Presentation[[#This Row],[LC Number]],Main_Issuance[],6,0)</f>
        <v>KSP</v>
      </c>
      <c r="H1521" s="244" t="str">
        <f>VLOOKUP(Main_Presentation[[#This Row],[LC Number]],Main_Issuance[],17,0)</f>
        <v>Credit</v>
      </c>
      <c r="I1521" s="244" t="str">
        <f>VLOOKUP(Main_Presentation[[#This Row],[LC Number]],Main_Issuance[],7,0)</f>
        <v>SKM AIR CONDITIONING CO</v>
      </c>
      <c r="J1521" s="244" t="str">
        <f>VLOOKUP(Main_Presentation[[#This Row],[LC Number]],Main_Issuance[],8,0)</f>
        <v>FIRST FIX</v>
      </c>
      <c r="K1521" s="244" t="str">
        <f>VLOOKUP(Main_Presentation[[#This Row],[LC Number]],Main_Issuance[],9,0)</f>
        <v>JCD SPMI</v>
      </c>
      <c r="L1521" s="244">
        <f>VLOOKUP(Main_Presentation[[#This Row],[LC Number]],Main_Issuance[],10,0)</f>
        <v>1020100</v>
      </c>
      <c r="M1521" s="244" t="str">
        <f>VLOOKUP(Main_Presentation[[#This Row],[LC Number]],Main_Issuance[],11,0)</f>
        <v>SAR</v>
      </c>
      <c r="N1521" s="245">
        <f>VLOOKUP(Main_Presentation[[#This Row],[LC Number]],Main_Issuance[],12,0)</f>
        <v>922106.57</v>
      </c>
      <c r="O1521" s="217" t="s">
        <v>912</v>
      </c>
      <c r="P1521" s="217" t="s">
        <v>857</v>
      </c>
      <c r="Q1521" s="218">
        <v>702587.67</v>
      </c>
      <c r="R1521" s="218">
        <v>1</v>
      </c>
      <c r="S1521" s="218">
        <f>Main_Presentation[[#This Row],[Invoice Amt (FCY)]]*Main_Presentation[[#This Row],[Rate]]</f>
        <v>702587.67</v>
      </c>
      <c r="T1521" s="227">
        <v>46233</v>
      </c>
      <c r="U1521" s="243" t="str">
        <f>VLOOKUP(Main_Presentation[[#This Row],[LC Number]],Main_Issuance[],18,0)</f>
        <v>120 Days from Invoice Date</v>
      </c>
      <c r="V1521" s="233"/>
      <c r="W1521" s="229" t="s">
        <v>378</v>
      </c>
      <c r="X1521" s="217" t="s">
        <v>5262</v>
      </c>
      <c r="Y1521" s="399" t="str">
        <f>TRIM(LEFT(Main_Presentation[[#This Row],[Payment Terms]],3))</f>
        <v>120</v>
      </c>
      <c r="Z1521" s="217"/>
      <c r="AA1521" s="405" cm="1">
        <f t="array" ref="AA1521">Settlement(Main_Presentation[[#This Row],[Bank]],Main_Presentation[[#This Row],[ Invoice Amt (SAR)]],Main_Presentation[[#This Row],[Date Recd]],Main_Presentation[[#This Row],[Due Date]],Main_Presentation[[#This Row],[Days]])</f>
        <v>1437.5</v>
      </c>
      <c r="AB1521" s="217"/>
    </row>
    <row r="1522" spans="1:28" ht="15.75" hidden="1" x14ac:dyDescent="0.25">
      <c r="A1522" s="226" t="s">
        <v>3321</v>
      </c>
      <c r="B1522" s="227">
        <v>46149</v>
      </c>
      <c r="C1522" s="243">
        <v>1</v>
      </c>
      <c r="D1522" s="228" t="str">
        <f>VLOOKUP(Main_Presentation[[#This Row],[LC Number]],Main_Issuance[],3,0)</f>
        <v>Luis Puente</v>
      </c>
      <c r="E1522" s="217" t="s">
        <v>856</v>
      </c>
      <c r="F1522" s="244" t="str">
        <f>VLOOKUP(Main_Presentation[[#This Row],[LC Number]],Main_Issuance[],5,0)</f>
        <v>Riyad</v>
      </c>
      <c r="G1522" s="244" t="str">
        <f>VLOOKUP(Main_Presentation[[#This Row],[LC Number]],Main_Issuance[],6,0)</f>
        <v>Oceanarium</v>
      </c>
      <c r="H1522" s="244" t="str">
        <f>VLOOKUP(Main_Presentation[[#This Row],[LC Number]],Main_Issuance[],17,0)</f>
        <v>Credit</v>
      </c>
      <c r="I1522" s="244" t="str">
        <f>VLOOKUP(Main_Presentation[[#This Row],[LC Number]],Main_Issuance[],7,0)</f>
        <v>SKM Air Conditioning Company</v>
      </c>
      <c r="J1522" s="244" t="str">
        <f>VLOOKUP(Main_Presentation[[#This Row],[LC Number]],Main_Issuance[],8,0)</f>
        <v>FIRST FIX</v>
      </c>
      <c r="K1522" s="244" t="str">
        <f>VLOOKUP(Main_Presentation[[#This Row],[LC Number]],Main_Issuance[],9,0)</f>
        <v>Oceanarium</v>
      </c>
      <c r="L1522" s="244">
        <f>VLOOKUP(Main_Presentation[[#This Row],[LC Number]],Main_Issuance[],10,0)</f>
        <v>1020096</v>
      </c>
      <c r="M1522" s="244" t="str">
        <f>VLOOKUP(Main_Presentation[[#This Row],[LC Number]],Main_Issuance[],11,0)</f>
        <v>SAR</v>
      </c>
      <c r="N1522" s="245">
        <f>VLOOKUP(Main_Presentation[[#This Row],[LC Number]],Main_Issuance[],12,0)</f>
        <v>500000</v>
      </c>
      <c r="O1522" s="217" t="s">
        <v>912</v>
      </c>
      <c r="P1522" s="217" t="s">
        <v>857</v>
      </c>
      <c r="Q1522" s="218">
        <v>500000</v>
      </c>
      <c r="R1522" s="218">
        <v>1</v>
      </c>
      <c r="S1522" s="218">
        <f>Main_Presentation[[#This Row],[Invoice Amt (FCY)]]*Main_Presentation[[#This Row],[Rate]]</f>
        <v>500000</v>
      </c>
      <c r="T1522" s="227">
        <v>46222</v>
      </c>
      <c r="U1522" s="243" t="str">
        <f>VLOOKUP(Main_Presentation[[#This Row],[LC Number]],Main_Issuance[],18,0)</f>
        <v>90 Days from Appln Rep Sign on Invoice</v>
      </c>
      <c r="V1522" s="233"/>
      <c r="W1522" s="229" t="s">
        <v>378</v>
      </c>
      <c r="X1522" s="217"/>
      <c r="Y1522" s="399" t="str">
        <f>TRIM(LEFT(Main_Presentation[[#This Row],[Payment Terms]],3))</f>
        <v>90</v>
      </c>
      <c r="Z1522" s="217"/>
      <c r="AA1522" s="405" cm="1">
        <f t="array" ref="AA1522">Settlement(Main_Presentation[[#This Row],[Bank]],Main_Presentation[[#This Row],[ Invoice Amt (SAR)]],Main_Presentation[[#This Row],[Date Recd]],Main_Presentation[[#This Row],[Due Date]],Main_Presentation[[#This Row],[Days]])</f>
        <v>1437.5</v>
      </c>
      <c r="AB1522" s="217"/>
    </row>
    <row r="1523" spans="1:28" ht="15.75" hidden="1" x14ac:dyDescent="0.25">
      <c r="A1523" s="226" t="s">
        <v>4548</v>
      </c>
      <c r="B1523" s="227">
        <v>46142</v>
      </c>
      <c r="C1523" s="243">
        <v>1</v>
      </c>
      <c r="D1523" s="228" t="str">
        <f>VLOOKUP(Main_Presentation[[#This Row],[LC Number]],Main_Issuance[],3,0)</f>
        <v>Hassan Taleb</v>
      </c>
      <c r="E1523" s="217" t="s">
        <v>858</v>
      </c>
      <c r="F1523" s="244" t="str">
        <f>VLOOKUP(Main_Presentation[[#This Row],[LC Number]],Main_Issuance[],5,0)</f>
        <v>SAB</v>
      </c>
      <c r="G1523" s="244" t="str">
        <f>VLOOKUP(Main_Presentation[[#This Row],[LC Number]],Main_Issuance[],6,0)</f>
        <v>MP1</v>
      </c>
      <c r="H1523" s="244" t="str">
        <f>VLOOKUP(Main_Presentation[[#This Row],[LC Number]],Main_Issuance[],17,0)</f>
        <v>Credit</v>
      </c>
      <c r="I1523" s="244" t="str">
        <f>VLOOKUP(Main_Presentation[[#This Row],[LC Number]],Main_Issuance[],7,0)</f>
        <v>Ideal Caliber Company</v>
      </c>
      <c r="J1523" s="244" t="str">
        <f>VLOOKUP(Main_Presentation[[#This Row],[LC Number]],Main_Issuance[],8,0)</f>
        <v>FIRST FIX</v>
      </c>
      <c r="K1523" s="244" t="str">
        <f>VLOOKUP(Main_Presentation[[#This Row],[LC Number]],Main_Issuance[],9,0)</f>
        <v>MP1</v>
      </c>
      <c r="L1523" s="244">
        <f>VLOOKUP(Main_Presentation[[#This Row],[LC Number]],Main_Issuance[],10,0)</f>
        <v>1020088</v>
      </c>
      <c r="M1523" s="244" t="str">
        <f>VLOOKUP(Main_Presentation[[#This Row],[LC Number]],Main_Issuance[],11,0)</f>
        <v>SAR</v>
      </c>
      <c r="N1523" s="245">
        <f>VLOOKUP(Main_Presentation[[#This Row],[LC Number]],Main_Issuance[],12,0)</f>
        <v>150000</v>
      </c>
      <c r="O1523" s="217" t="s">
        <v>912</v>
      </c>
      <c r="P1523" s="217" t="s">
        <v>857</v>
      </c>
      <c r="Q1523" s="218">
        <v>150000</v>
      </c>
      <c r="R1523" s="218">
        <v>1</v>
      </c>
      <c r="S1523" s="218">
        <f>Main_Presentation[[#This Row],[Invoice Amt (FCY)]]*Main_Presentation[[#This Row],[Rate]]</f>
        <v>150000</v>
      </c>
      <c r="T1523" s="227">
        <v>46215</v>
      </c>
      <c r="U1523" s="243" t="str">
        <f>VLOOKUP(Main_Presentation[[#This Row],[LC Number]],Main_Issuance[],18,0)</f>
        <v>90 Days from App Rep Sign on Invoice</v>
      </c>
      <c r="V1523" s="233"/>
      <c r="W1523" s="229" t="s">
        <v>378</v>
      </c>
      <c r="X1523" s="217"/>
      <c r="Y1523" s="399" t="str">
        <f>TRIM(LEFT(Main_Presentation[[#This Row],[Payment Terms]],3))</f>
        <v>90</v>
      </c>
      <c r="Z1523" s="217"/>
      <c r="AA1523" s="405" cm="1">
        <f t="array" ref="AA1523">Settlement(Main_Presentation[[#This Row],[Bank]],Main_Presentation[[#This Row],[ Invoice Amt (SAR)]],Main_Presentation[[#This Row],[Date Recd]],Main_Presentation[[#This Row],[Due Date]],Main_Presentation[[#This Row],[Days]])</f>
        <v>646.29999999999995</v>
      </c>
      <c r="AB1523" s="217"/>
    </row>
    <row r="1524" spans="1:28" ht="15.75" hidden="1" x14ac:dyDescent="0.25">
      <c r="A1524" s="226" t="s">
        <v>1899</v>
      </c>
      <c r="B1524" s="227">
        <v>46135</v>
      </c>
      <c r="C1524" s="243">
        <v>2</v>
      </c>
      <c r="D1524" s="228" t="str">
        <f>VLOOKUP(Main_Presentation[[#This Row],[LC Number]],Main_Issuance[],3,0)</f>
        <v>Hassan Taleb</v>
      </c>
      <c r="E1524" s="217" t="s">
        <v>858</v>
      </c>
      <c r="F1524" s="244" t="str">
        <f>VLOOKUP(Main_Presentation[[#This Row],[LC Number]],Main_Issuance[],5,0)</f>
        <v>SAB</v>
      </c>
      <c r="G1524" s="244" t="str">
        <f>VLOOKUP(Main_Presentation[[#This Row],[LC Number]],Main_Issuance[],6,0)</f>
        <v>MP1</v>
      </c>
      <c r="H1524" s="244" t="str">
        <f>VLOOKUP(Main_Presentation[[#This Row],[LC Number]],Main_Issuance[],17,0)</f>
        <v>Credit</v>
      </c>
      <c r="I1524" s="244" t="str">
        <f>VLOOKUP(Main_Presentation[[#This Row],[LC Number]],Main_Issuance[],7,0)</f>
        <v>BROOQ ALAMAAN TRAD COMPANY</v>
      </c>
      <c r="J1524" s="244" t="str">
        <f>VLOOKUP(Main_Presentation[[#This Row],[LC Number]],Main_Issuance[],8,0)</f>
        <v>FIRST FIX</v>
      </c>
      <c r="K1524" s="244" t="str">
        <f>VLOOKUP(Main_Presentation[[#This Row],[LC Number]],Main_Issuance[],9,0)</f>
        <v>MP1</v>
      </c>
      <c r="L1524" s="244">
        <f>VLOOKUP(Main_Presentation[[#This Row],[LC Number]],Main_Issuance[],10,0)</f>
        <v>1020088</v>
      </c>
      <c r="M1524" s="244" t="str">
        <f>VLOOKUP(Main_Presentation[[#This Row],[LC Number]],Main_Issuance[],11,0)</f>
        <v>SAR</v>
      </c>
      <c r="N1524" s="245">
        <f>VLOOKUP(Main_Presentation[[#This Row],[LC Number]],Main_Issuance[],12,0)</f>
        <v>400000</v>
      </c>
      <c r="O1524" s="217" t="s">
        <v>912</v>
      </c>
      <c r="P1524" s="217" t="s">
        <v>857</v>
      </c>
      <c r="Q1524" s="218">
        <v>52759.519999999997</v>
      </c>
      <c r="R1524" s="218">
        <v>1</v>
      </c>
      <c r="S1524" s="218">
        <f>Main_Presentation[[#This Row],[Invoice Amt (FCY)]]*Main_Presentation[[#This Row],[Rate]]</f>
        <v>52759.519999999997</v>
      </c>
      <c r="T1524" s="227">
        <v>46237</v>
      </c>
      <c r="U1524" s="243" t="str">
        <f>VLOOKUP(Main_Presentation[[#This Row],[LC Number]],Main_Issuance[],18,0)</f>
        <v>120 Days from Invoice Date</v>
      </c>
      <c r="V1524" s="233"/>
      <c r="W1524" s="229" t="s">
        <v>378</v>
      </c>
      <c r="X1524" s="217" t="s">
        <v>5068</v>
      </c>
      <c r="Y1524" s="399" t="str">
        <f>TRIM(LEFT(Main_Presentation[[#This Row],[Payment Terms]],3))</f>
        <v>120</v>
      </c>
      <c r="Z1524" s="217"/>
      <c r="AA1524" s="405" cm="1">
        <f t="array" ref="AA1524">Settlement(Main_Presentation[[#This Row],[Bank]],Main_Presentation[[#This Row],[ Invoice Amt (SAR)]],Main_Presentation[[#This Row],[Date Recd]],Main_Presentation[[#This Row],[Due Date]],Main_Presentation[[#This Row],[Days]])</f>
        <v>575</v>
      </c>
      <c r="AB1524" s="217"/>
    </row>
    <row r="1525" spans="1:28" ht="15.75" hidden="1" x14ac:dyDescent="0.25">
      <c r="A1525" s="226" t="s">
        <v>3703</v>
      </c>
      <c r="B1525" s="227">
        <v>46134</v>
      </c>
      <c r="C1525" s="243">
        <v>1</v>
      </c>
      <c r="D1525" s="228" t="str">
        <f>VLOOKUP(Main_Presentation[[#This Row],[LC Number]],Main_Issuance[],3,0)</f>
        <v>Hassan Taleb</v>
      </c>
      <c r="E1525" s="217" t="s">
        <v>858</v>
      </c>
      <c r="F1525" s="244" t="str">
        <f>VLOOKUP(Main_Presentation[[#This Row],[LC Number]],Main_Issuance[],5,0)</f>
        <v>SAB</v>
      </c>
      <c r="G1525" s="244" t="str">
        <f>VLOOKUP(Main_Presentation[[#This Row],[LC Number]],Main_Issuance[],6,0)</f>
        <v>MP1</v>
      </c>
      <c r="H1525" s="244" t="str">
        <f>VLOOKUP(Main_Presentation[[#This Row],[LC Number]],Main_Issuance[],17,0)</f>
        <v>Credit</v>
      </c>
      <c r="I1525" s="244" t="str">
        <f>VLOOKUP(Main_Presentation[[#This Row],[LC Number]],Main_Issuance[],7,0)</f>
        <v>BROOQ ALAMAAN TRAD COMPANY</v>
      </c>
      <c r="J1525" s="244" t="str">
        <f>VLOOKUP(Main_Presentation[[#This Row],[LC Number]],Main_Issuance[],8,0)</f>
        <v>FIRST FIX</v>
      </c>
      <c r="K1525" s="244" t="str">
        <f>VLOOKUP(Main_Presentation[[#This Row],[LC Number]],Main_Issuance[],9,0)</f>
        <v>MP1</v>
      </c>
      <c r="L1525" s="244">
        <f>VLOOKUP(Main_Presentation[[#This Row],[LC Number]],Main_Issuance[],10,0)</f>
        <v>1020088</v>
      </c>
      <c r="M1525" s="244" t="str">
        <f>VLOOKUP(Main_Presentation[[#This Row],[LC Number]],Main_Issuance[],11,0)</f>
        <v>SAR</v>
      </c>
      <c r="N1525" s="245">
        <f>VLOOKUP(Main_Presentation[[#This Row],[LC Number]],Main_Issuance[],12,0)</f>
        <v>500000</v>
      </c>
      <c r="O1525" s="217" t="s">
        <v>912</v>
      </c>
      <c r="P1525" s="217" t="s">
        <v>857</v>
      </c>
      <c r="Q1525" s="218">
        <v>365011.38</v>
      </c>
      <c r="R1525" s="218">
        <v>1</v>
      </c>
      <c r="S1525" s="218">
        <f>Main_Presentation[[#This Row],[Invoice Amt (FCY)]]*Main_Presentation[[#This Row],[Rate]]</f>
        <v>365011.38</v>
      </c>
      <c r="T1525" s="227">
        <v>46208</v>
      </c>
      <c r="U1525" s="243" t="str">
        <f>VLOOKUP(Main_Presentation[[#This Row],[LC Number]],Main_Issuance[],18,0)</f>
        <v>90 Days from Applicant representative sign on Invoice</v>
      </c>
      <c r="V1525" s="233"/>
      <c r="W1525" s="229" t="s">
        <v>378</v>
      </c>
      <c r="X1525" s="217"/>
      <c r="Y1525" s="399" t="str">
        <f>TRIM(LEFT(Main_Presentation[[#This Row],[Payment Terms]],3))</f>
        <v>90</v>
      </c>
      <c r="Z1525" s="217"/>
      <c r="AA1525" s="405" cm="1">
        <f t="array" ref="AA1525">Settlement(Main_Presentation[[#This Row],[Bank]],Main_Presentation[[#This Row],[ Invoice Amt (SAR)]],Main_Presentation[[#This Row],[Date Recd]],Main_Presentation[[#This Row],[Due Date]],Main_Presentation[[#This Row],[Days]])</f>
        <v>1574.35</v>
      </c>
      <c r="AB1525" s="217"/>
    </row>
    <row r="1526" spans="1:28" ht="15.75" hidden="1" x14ac:dyDescent="0.25">
      <c r="A1526" s="226" t="s">
        <v>3319</v>
      </c>
      <c r="B1526" s="227">
        <v>46138</v>
      </c>
      <c r="C1526" s="243">
        <v>2</v>
      </c>
      <c r="D1526" s="228" t="str">
        <f>VLOOKUP(Main_Presentation[[#This Row],[LC Number]],Main_Issuance[],3,0)</f>
        <v>AbdulAziz Eraiba Fawzi</v>
      </c>
      <c r="E1526" s="217" t="s">
        <v>856</v>
      </c>
      <c r="F1526" s="244" t="str">
        <f>VLOOKUP(Main_Presentation[[#This Row],[LC Number]],Main_Issuance[],5,0)</f>
        <v>Jazira</v>
      </c>
      <c r="G1526" s="244" t="str">
        <f>VLOOKUP(Main_Presentation[[#This Row],[LC Number]],Main_Issuance[],6,0)</f>
        <v>RCRC</v>
      </c>
      <c r="H1526" s="244" t="str">
        <f>VLOOKUP(Main_Presentation[[#This Row],[LC Number]],Main_Issuance[],17,0)</f>
        <v>Credit</v>
      </c>
      <c r="I1526" s="244" t="str">
        <f>VLOOKUP(Main_Presentation[[#This Row],[LC Number]],Main_Issuance[],7,0)</f>
        <v>Green Concrete CJSC</v>
      </c>
      <c r="J1526" s="244" t="str">
        <f>VLOOKUP(Main_Presentation[[#This Row],[LC Number]],Main_Issuance[],8,0)</f>
        <v>MBL</v>
      </c>
      <c r="K1526" s="244" t="str">
        <f>VLOOKUP(Main_Presentation[[#This Row],[LC Number]],Main_Issuance[],9,0)</f>
        <v>RCRC</v>
      </c>
      <c r="L1526" s="244">
        <f>VLOOKUP(Main_Presentation[[#This Row],[LC Number]],Main_Issuance[],10,0)</f>
        <v>1020106</v>
      </c>
      <c r="M1526" s="244" t="str">
        <f>VLOOKUP(Main_Presentation[[#This Row],[LC Number]],Main_Issuance[],11,0)</f>
        <v>SAR</v>
      </c>
      <c r="N1526" s="245">
        <f>VLOOKUP(Main_Presentation[[#This Row],[LC Number]],Main_Issuance[],12,0)</f>
        <v>5802900</v>
      </c>
      <c r="O1526" s="217" t="s">
        <v>20</v>
      </c>
      <c r="P1526" s="217" t="s">
        <v>378</v>
      </c>
      <c r="Q1526" s="218">
        <v>182356.65</v>
      </c>
      <c r="R1526" s="218">
        <v>1</v>
      </c>
      <c r="S1526" s="218">
        <f>Main_Presentation[[#This Row],[Invoice Amt (FCY)]]*Main_Presentation[[#This Row],[Rate]]</f>
        <v>182356.65</v>
      </c>
      <c r="T1526" s="227">
        <v>46154</v>
      </c>
      <c r="U1526" s="243" t="str">
        <f>VLOOKUP(Main_Presentation[[#This Row],[LC Number]],Main_Issuance[],18,0)</f>
        <v>60 Days From Invoice Date</v>
      </c>
      <c r="V1526" s="233" t="s">
        <v>613</v>
      </c>
      <c r="W1526" s="229" t="s">
        <v>857</v>
      </c>
      <c r="X1526" s="217"/>
      <c r="Y1526" s="399" t="str">
        <f>TRIM(LEFT(Main_Presentation[[#This Row],[Payment Terms]],3))</f>
        <v>60</v>
      </c>
      <c r="Z1526" s="217"/>
      <c r="AA1526" s="405" cm="1">
        <f t="array" ref="AA1526">Settlement(Main_Presentation[[#This Row],[Bank]],Main_Presentation[[#This Row],[ Invoice Amt (SAR)]],Main_Presentation[[#This Row],[Date Recd]],Main_Presentation[[#This Row],[Due Date]],Main_Presentation[[#This Row],[Days]])</f>
        <v>977.5</v>
      </c>
      <c r="AB1526" s="217"/>
    </row>
    <row r="1527" spans="1:28" ht="15.75" hidden="1" x14ac:dyDescent="0.25">
      <c r="A1527" s="226" t="s">
        <v>1610</v>
      </c>
      <c r="B1527" s="227">
        <v>46139</v>
      </c>
      <c r="C1527" s="243">
        <v>4</v>
      </c>
      <c r="D1527" s="228" t="str">
        <f>VLOOKUP(Main_Presentation[[#This Row],[LC Number]],Main_Issuance[],3,0)</f>
        <v>AbdulAziz Eraiba Fawzi</v>
      </c>
      <c r="E1527" s="217" t="s">
        <v>856</v>
      </c>
      <c r="F1527" s="244" t="str">
        <f>VLOOKUP(Main_Presentation[[#This Row],[LC Number]],Main_Issuance[],5,0)</f>
        <v>Jazira</v>
      </c>
      <c r="G1527" s="244" t="str">
        <f>VLOOKUP(Main_Presentation[[#This Row],[LC Number]],Main_Issuance[],6,0)</f>
        <v>RCRC</v>
      </c>
      <c r="H1527" s="244" t="str">
        <f>VLOOKUP(Main_Presentation[[#This Row],[LC Number]],Main_Issuance[],17,0)</f>
        <v>Credit</v>
      </c>
      <c r="I1527" s="244" t="str">
        <f>VLOOKUP(Main_Presentation[[#This Row],[LC Number]],Main_Issuance[],7,0)</f>
        <v>Metten Al-Arabia Ltd Co (METARA)</v>
      </c>
      <c r="J1527" s="244" t="str">
        <f>VLOOKUP(Main_Presentation[[#This Row],[LC Number]],Main_Issuance[],8,0)</f>
        <v>MBL</v>
      </c>
      <c r="K1527" s="244" t="str">
        <f>VLOOKUP(Main_Presentation[[#This Row],[LC Number]],Main_Issuance[],9,0)</f>
        <v>RCRC</v>
      </c>
      <c r="L1527" s="244">
        <f>VLOOKUP(Main_Presentation[[#This Row],[LC Number]],Main_Issuance[],10,0)</f>
        <v>1020106</v>
      </c>
      <c r="M1527" s="244" t="str">
        <f>VLOOKUP(Main_Presentation[[#This Row],[LC Number]],Main_Issuance[],11,0)</f>
        <v>SAR</v>
      </c>
      <c r="N1527" s="245">
        <f>VLOOKUP(Main_Presentation[[#This Row],[LC Number]],Main_Issuance[],12,0)</f>
        <v>12956001.199999999</v>
      </c>
      <c r="O1527" s="217" t="s">
        <v>20</v>
      </c>
      <c r="P1527" s="217" t="s">
        <v>378</v>
      </c>
      <c r="Q1527" s="218">
        <v>644946.44999999995</v>
      </c>
      <c r="R1527" s="218">
        <v>1</v>
      </c>
      <c r="S1527" s="218">
        <f>Main_Presentation[[#This Row],[Invoice Amt (FCY)]]*Main_Presentation[[#This Row],[Rate]]</f>
        <v>644946.44999999995</v>
      </c>
      <c r="T1527" s="227">
        <v>46140</v>
      </c>
      <c r="U1527" s="243" t="str">
        <f>VLOOKUP(Main_Presentation[[#This Row],[LC Number]],Main_Issuance[],18,0)</f>
        <v>60 Days from Invoice Date</v>
      </c>
      <c r="V1527" s="233" t="s">
        <v>613</v>
      </c>
      <c r="W1527" s="229" t="s">
        <v>857</v>
      </c>
      <c r="X1527" s="217"/>
      <c r="Y1527" s="399" t="str">
        <f>TRIM(LEFT(Main_Presentation[[#This Row],[Payment Terms]],3))</f>
        <v>60</v>
      </c>
      <c r="Z1527" s="217"/>
      <c r="AA1527" s="405" cm="1">
        <f t="array" ref="AA1527">Settlement(Main_Presentation[[#This Row],[Bank]],Main_Presentation[[#This Row],[ Invoice Amt (SAR)]],Main_Presentation[[#This Row],[Date Recd]],Main_Presentation[[#This Row],[Due Date]],Main_Presentation[[#This Row],[Days]],1)</f>
        <v>962.55</v>
      </c>
      <c r="AB1527" s="217"/>
    </row>
    <row r="1528" spans="1:28" ht="15.75" hidden="1" x14ac:dyDescent="0.25">
      <c r="A1528" s="226" t="s">
        <v>2562</v>
      </c>
      <c r="B1528" s="227">
        <v>46135</v>
      </c>
      <c r="C1528" s="243">
        <v>6</v>
      </c>
      <c r="D1528" s="228" t="str">
        <f>VLOOKUP(Main_Presentation[[#This Row],[LC Number]],Main_Issuance[],3,0)</f>
        <v>Matthew Mckernan - AICS</v>
      </c>
      <c r="E1528" s="217" t="s">
        <v>856</v>
      </c>
      <c r="F1528" s="244" t="str">
        <f>VLOOKUP(Main_Presentation[[#This Row],[LC Number]],Main_Issuance[],5,0)</f>
        <v>SNB</v>
      </c>
      <c r="G1528" s="244" t="str">
        <f>VLOOKUP(Main_Presentation[[#This Row],[LC Number]],Main_Issuance[],6,0)</f>
        <v>Opera House</v>
      </c>
      <c r="H1528" s="244" t="str">
        <f>VLOOKUP(Main_Presentation[[#This Row],[LC Number]],Main_Issuance[],17,0)</f>
        <v>Credit</v>
      </c>
      <c r="I1528" s="244" t="str">
        <f>VLOOKUP(Main_Presentation[[#This Row],[LC Number]],Main_Issuance[],7,0)</f>
        <v>ALNAFIE METAL INDUSTRIES CO LTD</v>
      </c>
      <c r="J1528" s="244" t="str">
        <f>VLOOKUP(Main_Presentation[[#This Row],[LC Number]],Main_Issuance[],8,0)</f>
        <v>MBL/AICS</v>
      </c>
      <c r="K1528" s="244" t="str">
        <f>VLOOKUP(Main_Presentation[[#This Row],[LC Number]],Main_Issuance[],9,0)</f>
        <v>OPERA House</v>
      </c>
      <c r="L1528" s="244">
        <f>VLOOKUP(Main_Presentation[[#This Row],[LC Number]],Main_Issuance[],10,0)</f>
        <v>1020097</v>
      </c>
      <c r="M1528" s="244" t="str">
        <f>VLOOKUP(Main_Presentation[[#This Row],[LC Number]],Main_Issuance[],11,0)</f>
        <v>SAR</v>
      </c>
      <c r="N1528" s="245">
        <f>VLOOKUP(Main_Presentation[[#This Row],[LC Number]],Main_Issuance[],12,0)</f>
        <v>18703391.850000001</v>
      </c>
      <c r="O1528" s="217" t="s">
        <v>20</v>
      </c>
      <c r="P1528" s="217" t="s">
        <v>378</v>
      </c>
      <c r="Q1528" s="218">
        <v>1418090.3</v>
      </c>
      <c r="R1528" s="218">
        <v>1</v>
      </c>
      <c r="S1528" s="218">
        <f>Main_Presentation[[#This Row],[Invoice Amt (FCY)]]*Main_Presentation[[#This Row],[Rate]]</f>
        <v>1418090.3</v>
      </c>
      <c r="T1528" s="227">
        <v>46181</v>
      </c>
      <c r="U1528" s="243" t="str">
        <f>VLOOKUP(Main_Presentation[[#This Row],[LC Number]],Main_Issuance[],18,0)</f>
        <v>90 Days from Invoice Date</v>
      </c>
      <c r="V1528" s="233" t="s">
        <v>96</v>
      </c>
      <c r="W1528" s="229" t="s">
        <v>857</v>
      </c>
      <c r="X1528" s="217"/>
      <c r="Y1528" s="399" t="str">
        <f>TRIM(LEFT(Main_Presentation[[#This Row],[Payment Terms]],3))</f>
        <v>90</v>
      </c>
      <c r="Z1528" s="217"/>
      <c r="AA1528" s="405" cm="1">
        <f t="array" ref="AA1528">Settlement(Main_Presentation[[#This Row],[Bank]],Main_Presentation[[#This Row],[ Invoice Amt (SAR)]],Main_Presentation[[#This Row],[Date Recd]],Main_Presentation[[#This Row],[Due Date]],Main_Presentation[[#This Row],[Days]])</f>
        <v>3437.35</v>
      </c>
      <c r="AB1528" s="217"/>
    </row>
    <row r="1529" spans="1:28" ht="15.75" hidden="1" x14ac:dyDescent="0.25">
      <c r="A1529" s="226" t="s">
        <v>4276</v>
      </c>
      <c r="B1529" s="227">
        <v>46138</v>
      </c>
      <c r="C1529" s="243">
        <v>1</v>
      </c>
      <c r="D1529" s="228" t="str">
        <f>VLOOKUP(Main_Presentation[[#This Row],[LC Number]],Main_Issuance[],3,0)</f>
        <v>Matthew Mckernan</v>
      </c>
      <c r="E1529" s="217" t="s">
        <v>856</v>
      </c>
      <c r="F1529" s="244" t="str">
        <f>VLOOKUP(Main_Presentation[[#This Row],[LC Number]],Main_Issuance[],5,0)</f>
        <v>SNB</v>
      </c>
      <c r="G1529" s="244" t="str">
        <f>VLOOKUP(Main_Presentation[[#This Row],[LC Number]],Main_Issuance[],6,0)</f>
        <v>Opera House</v>
      </c>
      <c r="H1529" s="244" t="str">
        <f>VLOOKUP(Main_Presentation[[#This Row],[LC Number]],Main_Issuance[],17,0)</f>
        <v>Credit</v>
      </c>
      <c r="I1529" s="244" t="str">
        <f>VLOOKUP(Main_Presentation[[#This Row],[LC Number]],Main_Issuance[],7,0)</f>
        <v>Safid Co Ltd</v>
      </c>
      <c r="J1529" s="244" t="str">
        <f>VLOOKUP(Main_Presentation[[#This Row],[LC Number]],Main_Issuance[],8,0)</f>
        <v>MBL/ICAD</v>
      </c>
      <c r="K1529" s="244" t="str">
        <f>VLOOKUP(Main_Presentation[[#This Row],[LC Number]],Main_Issuance[],9,0)</f>
        <v>OPERA House</v>
      </c>
      <c r="L1529" s="244">
        <f>VLOOKUP(Main_Presentation[[#This Row],[LC Number]],Main_Issuance[],10,0)</f>
        <v>1020097</v>
      </c>
      <c r="M1529" s="244" t="str">
        <f>VLOOKUP(Main_Presentation[[#This Row],[LC Number]],Main_Issuance[],11,0)</f>
        <v>SAR</v>
      </c>
      <c r="N1529" s="245">
        <f>VLOOKUP(Main_Presentation[[#This Row],[LC Number]],Main_Issuance[],12,0)</f>
        <v>500000</v>
      </c>
      <c r="O1529" s="217" t="s">
        <v>912</v>
      </c>
      <c r="P1529" s="217" t="s">
        <v>378</v>
      </c>
      <c r="Q1529" s="218">
        <v>500000</v>
      </c>
      <c r="R1529" s="218">
        <v>1</v>
      </c>
      <c r="S1529" s="218">
        <f>Main_Presentation[[#This Row],[Invoice Amt (FCY)]]*Main_Presentation[[#This Row],[Rate]]</f>
        <v>500000</v>
      </c>
      <c r="T1529" s="227">
        <v>46215</v>
      </c>
      <c r="U1529" s="243" t="str">
        <f>VLOOKUP(Main_Presentation[[#This Row],[LC Number]],Main_Issuance[],18,0)</f>
        <v>90 Days From the Delivery Date</v>
      </c>
      <c r="V1529" s="233"/>
      <c r="W1529" s="229" t="s">
        <v>378</v>
      </c>
      <c r="X1529" s="217"/>
      <c r="Y1529" s="399" t="str">
        <f>TRIM(LEFT(Main_Presentation[[#This Row],[Payment Terms]],3))</f>
        <v>90</v>
      </c>
      <c r="Z1529" s="217"/>
      <c r="AA1529" s="405" cm="1">
        <f t="array" ref="AA1529">Settlement(Main_Presentation[[#This Row],[Bank]],Main_Presentation[[#This Row],[ Invoice Amt (SAR)]],Main_Presentation[[#This Row],[Date Recd]],Main_Presentation[[#This Row],[Due Date]],Main_Presentation[[#This Row],[Days]])</f>
        <v>2435.6999999999998</v>
      </c>
      <c r="AB1529" s="217"/>
    </row>
    <row r="1530" spans="1:28" ht="15.75" hidden="1" x14ac:dyDescent="0.25">
      <c r="A1530" s="226" t="s">
        <v>1664</v>
      </c>
      <c r="B1530" s="227">
        <v>46126</v>
      </c>
      <c r="C1530" s="243">
        <v>3</v>
      </c>
      <c r="D1530" s="228" t="str">
        <f>VLOOKUP(Main_Presentation[[#This Row],[LC Number]],Main_Issuance[],3,0)</f>
        <v>Tareeq Telmasani</v>
      </c>
      <c r="E1530" s="217" t="s">
        <v>858</v>
      </c>
      <c r="F1530" s="244" t="str">
        <f>VLOOKUP(Main_Presentation[[#This Row],[LC Number]],Main_Issuance[],5,0)</f>
        <v>SAB</v>
      </c>
      <c r="G1530" s="244" t="str">
        <f>VLOOKUP(Main_Presentation[[#This Row],[LC Number]],Main_Issuance[],6,0)</f>
        <v>CEER</v>
      </c>
      <c r="H1530" s="244" t="str">
        <f>VLOOKUP(Main_Presentation[[#This Row],[LC Number]],Main_Issuance[],17,0)</f>
        <v>Credit</v>
      </c>
      <c r="I1530" s="244" t="str">
        <f>VLOOKUP(Main_Presentation[[#This Row],[LC Number]],Main_Issuance[],7,0)</f>
        <v>AC SOLUTIONS TRADING CO</v>
      </c>
      <c r="J1530" s="244" t="str">
        <f>VLOOKUP(Main_Presentation[[#This Row],[LC Number]],Main_Issuance[],8,0)</f>
        <v>FIRST FIX</v>
      </c>
      <c r="K1530" s="244" t="str">
        <f>VLOOKUP(Main_Presentation[[#This Row],[LC Number]],Main_Issuance[],9,0)</f>
        <v>CEER</v>
      </c>
      <c r="L1530" s="244">
        <f>VLOOKUP(Main_Presentation[[#This Row],[LC Number]],Main_Issuance[],10,0)</f>
        <v>1020091</v>
      </c>
      <c r="M1530" s="244" t="str">
        <f>VLOOKUP(Main_Presentation[[#This Row],[LC Number]],Main_Issuance[],11,0)</f>
        <v>SAR</v>
      </c>
      <c r="N1530" s="245">
        <f>VLOOKUP(Main_Presentation[[#This Row],[LC Number]],Main_Issuance[],12,0)</f>
        <v>1000000</v>
      </c>
      <c r="O1530" s="217" t="s">
        <v>20</v>
      </c>
      <c r="P1530" s="217" t="s">
        <v>857</v>
      </c>
      <c r="Q1530" s="218">
        <v>176542</v>
      </c>
      <c r="R1530" s="218">
        <v>1</v>
      </c>
      <c r="S1530" s="218">
        <f>Main_Presentation[[#This Row],[Invoice Amt (FCY)]]*Main_Presentation[[#This Row],[Rate]]</f>
        <v>176542</v>
      </c>
      <c r="T1530" s="227">
        <v>46176</v>
      </c>
      <c r="U1530" s="243" t="str">
        <f>VLOOKUP(Main_Presentation[[#This Row],[LC Number]],Main_Issuance[],18,0)</f>
        <v>90 Days from Appl. Representative Sign</v>
      </c>
      <c r="V1530" s="233" t="s">
        <v>367</v>
      </c>
      <c r="W1530" s="22" t="s">
        <v>857</v>
      </c>
      <c r="X1530" s="217"/>
      <c r="Y1530" s="399" t="str">
        <f>TRIM(LEFT(Main_Presentation[[#This Row],[Payment Terms]],3))</f>
        <v>90</v>
      </c>
      <c r="Z1530" s="217"/>
      <c r="AA1530" s="405" cm="1">
        <f t="array" ref="AA1530">Settlement(Main_Presentation[[#This Row],[Bank]],Main_Presentation[[#This Row],[ Invoice Amt (SAR)]],Main_Presentation[[#This Row],[Date Recd]],Main_Presentation[[#This Row],[Due Date]],Main_Presentation[[#This Row],[Days]])</f>
        <v>761.3</v>
      </c>
      <c r="AB1530" s="217"/>
    </row>
    <row r="1531" spans="1:28" ht="15.75" hidden="1" x14ac:dyDescent="0.25">
      <c r="A1531" s="226" t="s">
        <v>1446</v>
      </c>
      <c r="B1531" s="227">
        <v>46131</v>
      </c>
      <c r="C1531" s="243">
        <v>8</v>
      </c>
      <c r="D1531" s="228" t="str">
        <f>VLOOKUP(Main_Presentation[[#This Row],[LC Number]],Main_Issuance[],3,0)</f>
        <v>Rabih Makhoul</v>
      </c>
      <c r="E1531" s="217" t="s">
        <v>856</v>
      </c>
      <c r="F1531" s="244" t="str">
        <f>VLOOKUP(Main_Presentation[[#This Row],[LC Number]],Main_Issuance[],5,0)</f>
        <v>SNB</v>
      </c>
      <c r="G1531" s="244" t="str">
        <f>VLOOKUP(Main_Presentation[[#This Row],[LC Number]],Main_Issuance[],6,0)</f>
        <v>Opera House</v>
      </c>
      <c r="H1531" s="244" t="str">
        <f>VLOOKUP(Main_Presentation[[#This Row],[LC Number]],Main_Issuance[],17,0)</f>
        <v>Credit</v>
      </c>
      <c r="I1531" s="244" t="str">
        <f>VLOOKUP(Main_Presentation[[#This Row],[LC Number]],Main_Issuance[],7,0)</f>
        <v>Al Arabia Construction &amp; Building Co.</v>
      </c>
      <c r="J1531" s="244" t="str">
        <f>VLOOKUP(Main_Presentation[[#This Row],[LC Number]],Main_Issuance[],8,0)</f>
        <v>MBL</v>
      </c>
      <c r="K1531" s="244" t="str">
        <f>VLOOKUP(Main_Presentation[[#This Row],[LC Number]],Main_Issuance[],9,0)</f>
        <v>Rabigh Power Plant</v>
      </c>
      <c r="L1531" s="244">
        <f>VLOOKUP(Main_Presentation[[#This Row],[LC Number]],Main_Issuance[],10,0)</f>
        <v>1020107</v>
      </c>
      <c r="M1531" s="244" t="str">
        <f>VLOOKUP(Main_Presentation[[#This Row],[LC Number]],Main_Issuance[],11,0)</f>
        <v>SAR</v>
      </c>
      <c r="N1531" s="245">
        <f>VLOOKUP(Main_Presentation[[#This Row],[LC Number]],Main_Issuance[],12,0)</f>
        <v>4738920</v>
      </c>
      <c r="O1531" s="217" t="s">
        <v>20</v>
      </c>
      <c r="P1531" s="217" t="s">
        <v>378</v>
      </c>
      <c r="Q1531" s="218">
        <v>809237.75</v>
      </c>
      <c r="R1531" s="218">
        <v>1</v>
      </c>
      <c r="S1531" s="218">
        <f>Main_Presentation[[#This Row],[Invoice Amt (FCY)]]*Main_Presentation[[#This Row],[Rate]]</f>
        <v>809237.75</v>
      </c>
      <c r="T1531" s="227">
        <v>46131</v>
      </c>
      <c r="U1531" s="243" t="str">
        <f>VLOOKUP(Main_Presentation[[#This Row],[LC Number]],Main_Issuance[],18,0)</f>
        <v>45 Days from the Invoice Date</v>
      </c>
      <c r="V1531" s="233" t="s">
        <v>511</v>
      </c>
      <c r="W1531" s="229" t="s">
        <v>857</v>
      </c>
      <c r="X1531" s="217"/>
      <c r="Y1531" s="399" t="str">
        <f>TRIM(LEFT(Main_Presentation[[#This Row],[Payment Terms]],3))</f>
        <v>45</v>
      </c>
      <c r="Z1531" s="217"/>
      <c r="AA1531" s="405" cm="1">
        <f t="array" ref="AA1531">Settlement(Main_Presentation[[#This Row],[Bank]],Main_Presentation[[#This Row],[ Invoice Amt (SAR)]],Main_Presentation[[#This Row],[Date Recd]],Main_Presentation[[#This Row],[Due Date]],Main_Presentation[[#This Row],[Days]])</f>
        <v>655.5</v>
      </c>
      <c r="AB1531" s="217"/>
    </row>
    <row r="1532" spans="1:28" ht="15.75" hidden="1" x14ac:dyDescent="0.25">
      <c r="A1532" s="226" t="s">
        <v>4239</v>
      </c>
      <c r="B1532" s="227">
        <v>46141</v>
      </c>
      <c r="C1532" s="243">
        <v>2</v>
      </c>
      <c r="D1532" s="228" t="str">
        <f>VLOOKUP(Main_Presentation[[#This Row],[LC Number]],Main_Issuance[],3,0)</f>
        <v>Rabih Makhoul</v>
      </c>
      <c r="E1532" s="217" t="s">
        <v>858</v>
      </c>
      <c r="F1532" s="244" t="str">
        <f>VLOOKUP(Main_Presentation[[#This Row],[LC Number]],Main_Issuance[],5,0)</f>
        <v>Alinma</v>
      </c>
      <c r="G1532" s="244" t="str">
        <f>VLOOKUP(Main_Presentation[[#This Row],[LC Number]],Main_Issuance[],6,0)</f>
        <v>KSP</v>
      </c>
      <c r="H1532" s="244" t="str">
        <f>VLOOKUP(Main_Presentation[[#This Row],[LC Number]],Main_Issuance[],17,0)</f>
        <v>Credit</v>
      </c>
      <c r="I1532" s="244" t="str">
        <f>VLOOKUP(Main_Presentation[[#This Row],[LC Number]],Main_Issuance[],7,0)</f>
        <v>Awtad Jeddah for General Contracting Company</v>
      </c>
      <c r="J1532" s="244" t="str">
        <f>VLOOKUP(Main_Presentation[[#This Row],[LC Number]],Main_Issuance[],8,0)</f>
        <v>MBL</v>
      </c>
      <c r="K1532" s="244" t="str">
        <f>VLOOKUP(Main_Presentation[[#This Row],[LC Number]],Main_Issuance[],9,0)</f>
        <v>Rabigh Power Plant</v>
      </c>
      <c r="L1532" s="244">
        <f>VLOOKUP(Main_Presentation[[#This Row],[LC Number]],Main_Issuance[],10,0)</f>
        <v>1020107</v>
      </c>
      <c r="M1532" s="244" t="str">
        <f>VLOOKUP(Main_Presentation[[#This Row],[LC Number]],Main_Issuance[],11,0)</f>
        <v>SAR</v>
      </c>
      <c r="N1532" s="245">
        <f>VLOOKUP(Main_Presentation[[#This Row],[LC Number]],Main_Issuance[],12,0)</f>
        <v>2495972.17</v>
      </c>
      <c r="O1532" s="217" t="s">
        <v>20</v>
      </c>
      <c r="P1532" s="217" t="s">
        <v>378</v>
      </c>
      <c r="Q1532" s="218">
        <v>430163.81</v>
      </c>
      <c r="R1532" s="218">
        <v>1</v>
      </c>
      <c r="S1532" s="218">
        <f>Main_Presentation[[#This Row],[Invoice Amt (FCY)]]*Main_Presentation[[#This Row],[Rate]]</f>
        <v>430163.81</v>
      </c>
      <c r="T1532" s="227">
        <v>46147</v>
      </c>
      <c r="U1532" s="243" t="str">
        <f>VLOOKUP(Main_Presentation[[#This Row],[LC Number]],Main_Issuance[],18,0)</f>
        <v>45 Days from Invoice Date</v>
      </c>
      <c r="V1532" s="233" t="s">
        <v>1460</v>
      </c>
      <c r="W1532" s="229" t="s">
        <v>857</v>
      </c>
      <c r="X1532" s="217"/>
      <c r="Y1532" s="399" t="str">
        <f>TRIM(LEFT(Main_Presentation[[#This Row],[Payment Terms]],3))</f>
        <v>45</v>
      </c>
      <c r="Z1532" s="217"/>
      <c r="AA1532" s="405" cm="1">
        <f t="array" ref="AA1532">Settlement(Main_Presentation[[#This Row],[Bank]],Main_Presentation[[#This Row],[ Invoice Amt (SAR)]],Main_Presentation[[#This Row],[Date Recd]],Main_Presentation[[#This Row],[Due Date]],Main_Presentation[[#This Row],[Days]])</f>
        <v>1437.5</v>
      </c>
      <c r="AB1532" s="217"/>
    </row>
    <row r="1533" spans="1:28" ht="15.75" hidden="1" x14ac:dyDescent="0.25">
      <c r="A1533" s="20" t="s">
        <v>4250</v>
      </c>
      <c r="B1533" s="15">
        <v>46140</v>
      </c>
      <c r="C1533" s="26">
        <v>2</v>
      </c>
      <c r="D1533" s="55" t="str">
        <f>VLOOKUP(Main_Presentation[[#This Row],[LC Number]],Main_Issuance[],3,0)</f>
        <v>Hassan Taleb</v>
      </c>
      <c r="E1533" s="16" t="s">
        <v>858</v>
      </c>
      <c r="F1533" s="17" t="str">
        <f>VLOOKUP(Main_Presentation[[#This Row],[LC Number]],Main_Issuance[],5,0)</f>
        <v>SAB</v>
      </c>
      <c r="G1533" s="17" t="str">
        <f>VLOOKUP(Main_Presentation[[#This Row],[LC Number]],Main_Issuance[],6,0)</f>
        <v>MP1</v>
      </c>
      <c r="H1533" s="17" t="str">
        <f>VLOOKUP(Main_Presentation[[#This Row],[LC Number]],Main_Issuance[],17,0)</f>
        <v>Credit</v>
      </c>
      <c r="I1533" s="17" t="str">
        <f>VLOOKUP(Main_Presentation[[#This Row],[LC Number]],Main_Issuance[],7,0)</f>
        <v>Ajzal United for Safety CO.LTD.</v>
      </c>
      <c r="J1533" s="17" t="str">
        <f>VLOOKUP(Main_Presentation[[#This Row],[LC Number]],Main_Issuance[],8,0)</f>
        <v>FIRST FIX</v>
      </c>
      <c r="K1533" s="17" t="str">
        <f>VLOOKUP(Main_Presentation[[#This Row],[LC Number]],Main_Issuance[],9,0)</f>
        <v>MP1</v>
      </c>
      <c r="L1533" s="17">
        <f>VLOOKUP(Main_Presentation[[#This Row],[LC Number]],Main_Issuance[],10,0)</f>
        <v>1020088</v>
      </c>
      <c r="M1533" s="17" t="str">
        <f>VLOOKUP(Main_Presentation[[#This Row],[LC Number]],Main_Issuance[],11,0)</f>
        <v>SAR</v>
      </c>
      <c r="N1533" s="84">
        <f>VLOOKUP(Main_Presentation[[#This Row],[LC Number]],Main_Issuance[],12,0)</f>
        <v>600000</v>
      </c>
      <c r="O1533" s="16" t="s">
        <v>912</v>
      </c>
      <c r="P1533" s="16" t="s">
        <v>857</v>
      </c>
      <c r="Q1533" s="18">
        <v>317042.21000000002</v>
      </c>
      <c r="R1533" s="18">
        <v>1</v>
      </c>
      <c r="S1533" s="18">
        <f>Main_Presentation[[#This Row],[Invoice Amt (FCY)]]*Main_Presentation[[#This Row],[Rate]]</f>
        <v>317042.21000000002</v>
      </c>
      <c r="T1533" s="15">
        <v>46217</v>
      </c>
      <c r="U1533" s="26" t="str">
        <f>VLOOKUP(Main_Presentation[[#This Row],[LC Number]],Main_Issuance[],18,0)</f>
        <v>90 Days from Applicant representative sign on Invoice</v>
      </c>
      <c r="V1533" s="249"/>
      <c r="W1533" s="22" t="s">
        <v>378</v>
      </c>
      <c r="X1533" s="217"/>
      <c r="Y1533" s="234" t="str">
        <f>TRIM(LEFT(Main_Presentation[[#This Row],[Payment Terms]],3))</f>
        <v>90</v>
      </c>
      <c r="Z1533" s="16"/>
      <c r="AA1533" s="316" cm="1">
        <f t="array" ref="AA1533">Settlement(Main_Presentation[[#This Row],[Bank]],Main_Presentation[[#This Row],[ Invoice Amt (SAR)]],Main_Presentation[[#This Row],[Date Recd]],Main_Presentation[[#This Row],[Due Date]],Main_Presentation[[#This Row],[Days]])</f>
        <v>1367.35</v>
      </c>
      <c r="AB1533" s="16"/>
    </row>
    <row r="1534" spans="1:28" ht="15.75" hidden="1" x14ac:dyDescent="0.25">
      <c r="A1534" s="20" t="s">
        <v>3950</v>
      </c>
      <c r="B1534" s="15">
        <v>46145</v>
      </c>
      <c r="C1534" s="26">
        <v>1</v>
      </c>
      <c r="D1534" s="55" t="str">
        <f>VLOOKUP(Main_Presentation[[#This Row],[LC Number]],Main_Issuance[],3,0)</f>
        <v>Luis Puente</v>
      </c>
      <c r="E1534" s="16" t="s">
        <v>856</v>
      </c>
      <c r="F1534" s="17" t="str">
        <f>VLOOKUP(Main_Presentation[[#This Row],[LC Number]],Main_Issuance[],5,0)</f>
        <v>Riyad</v>
      </c>
      <c r="G1534" s="17" t="str">
        <f>VLOOKUP(Main_Presentation[[#This Row],[LC Number]],Main_Issuance[],6,0)</f>
        <v>Oceanarium</v>
      </c>
      <c r="H1534" s="17" t="str">
        <f>VLOOKUP(Main_Presentation[[#This Row],[LC Number]],Main_Issuance[],17,0)</f>
        <v>Credit</v>
      </c>
      <c r="I1534" s="17" t="str">
        <f>VLOOKUP(Main_Presentation[[#This Row],[LC Number]],Main_Issuance[],7,0)</f>
        <v>Schneider Electric Saudi Arabia Co</v>
      </c>
      <c r="J1534" s="17" t="str">
        <f>VLOOKUP(Main_Presentation[[#This Row],[LC Number]],Main_Issuance[],8,0)</f>
        <v>FIRST FIX</v>
      </c>
      <c r="K1534" s="17" t="str">
        <f>VLOOKUP(Main_Presentation[[#This Row],[LC Number]],Main_Issuance[],9,0)</f>
        <v>Oceanarium</v>
      </c>
      <c r="L1534" s="17">
        <f>VLOOKUP(Main_Presentation[[#This Row],[LC Number]],Main_Issuance[],10,0)</f>
        <v>1020096</v>
      </c>
      <c r="M1534" s="17" t="str">
        <f>VLOOKUP(Main_Presentation[[#This Row],[LC Number]],Main_Issuance[],11,0)</f>
        <v>SAR</v>
      </c>
      <c r="N1534" s="84">
        <f>VLOOKUP(Main_Presentation[[#This Row],[LC Number]],Main_Issuance[],12,0)</f>
        <v>750000</v>
      </c>
      <c r="O1534" s="16" t="s">
        <v>912</v>
      </c>
      <c r="P1534" s="16" t="s">
        <v>857</v>
      </c>
      <c r="Q1534" s="18">
        <v>710700</v>
      </c>
      <c r="R1534" s="18">
        <v>1</v>
      </c>
      <c r="S1534" s="18">
        <f>Main_Presentation[[#This Row],[Invoice Amt (FCY)]]*Main_Presentation[[#This Row],[Rate]]</f>
        <v>710700</v>
      </c>
      <c r="T1534" s="15">
        <v>46217</v>
      </c>
      <c r="U1534" s="26" t="str">
        <f>VLOOKUP(Main_Presentation[[#This Row],[LC Number]],Main_Issuance[],18,0)</f>
        <v>90 Days from Appln Rep Sign on Invoice</v>
      </c>
      <c r="V1534" s="249"/>
      <c r="W1534" s="22" t="s">
        <v>378</v>
      </c>
      <c r="X1534" s="16"/>
      <c r="Y1534" s="234" t="str">
        <f>TRIM(LEFT(Main_Presentation[[#This Row],[Payment Terms]],3))</f>
        <v>90</v>
      </c>
      <c r="Z1534" s="16"/>
      <c r="AA1534" s="316" cm="1">
        <f t="array" ref="AA1534">Settlement(Main_Presentation[[#This Row],[Bank]],Main_Presentation[[#This Row],[ Invoice Amt (SAR)]],Main_Presentation[[#This Row],[Date Recd]],Main_Presentation[[#This Row],[Due Date]],Main_Presentation[[#This Row],[Days]],1)</f>
        <v>3064.75</v>
      </c>
      <c r="AB1534" s="16"/>
    </row>
    <row r="1535" spans="1:28" ht="15.75" hidden="1" x14ac:dyDescent="0.25">
      <c r="A1535" s="20" t="s">
        <v>1821</v>
      </c>
      <c r="B1535" s="15">
        <v>46139</v>
      </c>
      <c r="C1535" s="26">
        <v>2</v>
      </c>
      <c r="D1535" s="55" t="str">
        <f>VLOOKUP(Main_Presentation[[#This Row],[LC Number]],Main_Issuance[],3,0)</f>
        <v>Hassan Taleb</v>
      </c>
      <c r="E1535" s="16" t="s">
        <v>856</v>
      </c>
      <c r="F1535" s="17" t="str">
        <f>VLOOKUP(Main_Presentation[[#This Row],[LC Number]],Main_Issuance[],5,0)</f>
        <v>Jazira</v>
      </c>
      <c r="G1535" s="17" t="str">
        <f>VLOOKUP(Main_Presentation[[#This Row],[LC Number]],Main_Issuance[],6,0)</f>
        <v>RCRC</v>
      </c>
      <c r="H1535" s="17" t="str">
        <f>VLOOKUP(Main_Presentation[[#This Row],[LC Number]],Main_Issuance[],17,0)</f>
        <v>Credit</v>
      </c>
      <c r="I1535" s="17" t="str">
        <f>VLOOKUP(Main_Presentation[[#This Row],[LC Number]],Main_Issuance[],7,0)</f>
        <v>Mohammed Ramadan Shat Factory</v>
      </c>
      <c r="J1535" s="17" t="str">
        <f>VLOOKUP(Main_Presentation[[#This Row],[LC Number]],Main_Issuance[],8,0)</f>
        <v>FIRST FIX</v>
      </c>
      <c r="K1535" s="17" t="str">
        <f>VLOOKUP(Main_Presentation[[#This Row],[LC Number]],Main_Issuance[],9,0)</f>
        <v>RCRC</v>
      </c>
      <c r="L1535" s="17">
        <f>VLOOKUP(Main_Presentation[[#This Row],[LC Number]],Main_Issuance[],10,0)</f>
        <v>1020106</v>
      </c>
      <c r="M1535" s="17" t="str">
        <f>VLOOKUP(Main_Presentation[[#This Row],[LC Number]],Main_Issuance[],11,0)</f>
        <v>SAR</v>
      </c>
      <c r="N1535" s="84">
        <f>VLOOKUP(Main_Presentation[[#This Row],[LC Number]],Main_Issuance[],12,0)</f>
        <v>501144.18</v>
      </c>
      <c r="O1535" s="16" t="s">
        <v>912</v>
      </c>
      <c r="P1535" s="16" t="s">
        <v>378</v>
      </c>
      <c r="Q1535" s="18">
        <v>199393.9</v>
      </c>
      <c r="R1535" s="18">
        <v>1</v>
      </c>
      <c r="S1535" s="18">
        <f>Main_Presentation[[#This Row],[Invoice Amt (FCY)]]*Main_Presentation[[#This Row],[Rate]]</f>
        <v>199393.9</v>
      </c>
      <c r="T1535" s="15">
        <v>46210</v>
      </c>
      <c r="U1535" s="26" t="str">
        <f>VLOOKUP(Main_Presentation[[#This Row],[LC Number]],Main_Issuance[],18,0)</f>
        <v>90 Days from Invoice Date</v>
      </c>
      <c r="V1535" s="249"/>
      <c r="W1535" s="22" t="s">
        <v>378</v>
      </c>
      <c r="X1535" s="16"/>
      <c r="Y1535" s="234" t="str">
        <f>TRIM(LEFT(Main_Presentation[[#This Row],[Payment Terms]],3))</f>
        <v>90</v>
      </c>
      <c r="Z1535" s="16"/>
      <c r="AA1535" s="316" cm="1">
        <f t="array" ref="AA1535">Settlement(Main_Presentation[[#This Row],[Bank]],Main_Presentation[[#This Row],[ Invoice Amt (SAR)]],Main_Presentation[[#This Row],[Date Recd]],Main_Presentation[[#This Row],[Due Date]],Main_Presentation[[#This Row],[Days]])</f>
        <v>977.5</v>
      </c>
      <c r="AB1535" s="16"/>
    </row>
    <row r="1536" spans="1:28" ht="15.75" hidden="1" x14ac:dyDescent="0.25">
      <c r="A1536" s="20" t="s">
        <v>3951</v>
      </c>
      <c r="B1536" s="15">
        <v>46148</v>
      </c>
      <c r="C1536" s="26">
        <v>1</v>
      </c>
      <c r="D1536" s="55" t="str">
        <f>VLOOKUP(Main_Presentation[[#This Row],[LC Number]],Main_Issuance[],3,0)</f>
        <v>Luis Puente</v>
      </c>
      <c r="E1536" s="16" t="s">
        <v>858</v>
      </c>
      <c r="F1536" s="17" t="str">
        <f>VLOOKUP(Main_Presentation[[#This Row],[LC Number]],Main_Issuance[],5,0)</f>
        <v>Riyad</v>
      </c>
      <c r="G1536" s="17" t="str">
        <f>VLOOKUP(Main_Presentation[[#This Row],[LC Number]],Main_Issuance[],6,0)</f>
        <v>Oceanarium</v>
      </c>
      <c r="H1536" s="17" t="str">
        <f>VLOOKUP(Main_Presentation[[#This Row],[LC Number]],Main_Issuance[],17,0)</f>
        <v>Credit</v>
      </c>
      <c r="I1536" s="17" t="str">
        <f>VLOOKUP(Main_Presentation[[#This Row],[LC Number]],Main_Issuance[],7,0)</f>
        <v>Khorayef Industries</v>
      </c>
      <c r="J1536" s="17" t="str">
        <f>VLOOKUP(Main_Presentation[[#This Row],[LC Number]],Main_Issuance[],8,0)</f>
        <v>FIRST FIX</v>
      </c>
      <c r="K1536" s="17" t="str">
        <f>VLOOKUP(Main_Presentation[[#This Row],[LC Number]],Main_Issuance[],9,0)</f>
        <v>Oceanarium</v>
      </c>
      <c r="L1536" s="17">
        <f>VLOOKUP(Main_Presentation[[#This Row],[LC Number]],Main_Issuance[],10,0)</f>
        <v>1020096</v>
      </c>
      <c r="M1536" s="17" t="str">
        <f>VLOOKUP(Main_Presentation[[#This Row],[LC Number]],Main_Issuance[],11,0)</f>
        <v>SAR</v>
      </c>
      <c r="N1536" s="84">
        <f>VLOOKUP(Main_Presentation[[#This Row],[LC Number]],Main_Issuance[],12,0)</f>
        <v>1000000</v>
      </c>
      <c r="O1536" s="16" t="s">
        <v>912</v>
      </c>
      <c r="P1536" s="16" t="s">
        <v>857</v>
      </c>
      <c r="Q1536" s="18">
        <v>1000000</v>
      </c>
      <c r="R1536" s="18">
        <v>1</v>
      </c>
      <c r="S1536" s="18">
        <f>Main_Presentation[[#This Row],[Invoice Amt (FCY)]]*Main_Presentation[[#This Row],[Rate]]</f>
        <v>1000000</v>
      </c>
      <c r="T1536" s="15">
        <v>46217</v>
      </c>
      <c r="U1536" s="26" t="str">
        <f>VLOOKUP(Main_Presentation[[#This Row],[LC Number]],Main_Issuance[],18,0)</f>
        <v>90 Days from Appln Rep Sign on Invoice</v>
      </c>
      <c r="V1536" s="249"/>
      <c r="W1536" s="22" t="s">
        <v>378</v>
      </c>
      <c r="X1536" s="16"/>
      <c r="Y1536" s="234" t="str">
        <f>TRIM(LEFT(Main_Presentation[[#This Row],[Payment Terms]],3))</f>
        <v>90</v>
      </c>
      <c r="Z1536" s="16"/>
      <c r="AA1536" s="316" cm="1">
        <f t="array" ref="AA1536">Settlement(Main_Presentation[[#This Row],[Bank]],Main_Presentation[[#This Row],[ Invoice Amt (SAR)]],Main_Presentation[[#This Row],[Date Recd]],Main_Presentation[[#This Row],[Due Date]],Main_Presentation[[#This Row],[Days]])</f>
        <v>2875</v>
      </c>
      <c r="AB1536" s="16"/>
    </row>
    <row r="1537" spans="1:28" ht="15.75" hidden="1" x14ac:dyDescent="0.25">
      <c r="A1537" s="20" t="s">
        <v>4563</v>
      </c>
      <c r="B1537" s="15">
        <v>46142</v>
      </c>
      <c r="C1537" s="26">
        <v>1</v>
      </c>
      <c r="D1537" s="55" t="str">
        <f>VLOOKUP(Main_Presentation[[#This Row],[LC Number]],Main_Issuance[],3,0)</f>
        <v>Hassan Taleb</v>
      </c>
      <c r="E1537" s="16" t="s">
        <v>856</v>
      </c>
      <c r="F1537" s="17" t="str">
        <f>VLOOKUP(Main_Presentation[[#This Row],[LC Number]],Main_Issuance[],5,0)</f>
        <v>SAB</v>
      </c>
      <c r="G1537" s="17" t="str">
        <f>VLOOKUP(Main_Presentation[[#This Row],[LC Number]],Main_Issuance[],6,0)</f>
        <v>MP1</v>
      </c>
      <c r="H1537" s="17" t="str">
        <f>VLOOKUP(Main_Presentation[[#This Row],[LC Number]],Main_Issuance[],17,0)</f>
        <v>Credit</v>
      </c>
      <c r="I1537" s="17" t="str">
        <f>VLOOKUP(Main_Presentation[[#This Row],[LC Number]],Main_Issuance[],7,0)</f>
        <v>Al Maymanah For Contracting Co. Ltd.</v>
      </c>
      <c r="J1537" s="17" t="str">
        <f>VLOOKUP(Main_Presentation[[#This Row],[LC Number]],Main_Issuance[],8,0)</f>
        <v>FIRST FIX</v>
      </c>
      <c r="K1537" s="17" t="str">
        <f>VLOOKUP(Main_Presentation[[#This Row],[LC Number]],Main_Issuance[],9,0)</f>
        <v>MP1</v>
      </c>
      <c r="L1537" s="17">
        <f>VLOOKUP(Main_Presentation[[#This Row],[LC Number]],Main_Issuance[],10,0)</f>
        <v>1020088</v>
      </c>
      <c r="M1537" s="17" t="str">
        <f>VLOOKUP(Main_Presentation[[#This Row],[LC Number]],Main_Issuance[],11,0)</f>
        <v>SAR</v>
      </c>
      <c r="N1537" s="84">
        <f>VLOOKUP(Main_Presentation[[#This Row],[LC Number]],Main_Issuance[],12,0)</f>
        <v>500000</v>
      </c>
      <c r="O1537" s="16" t="s">
        <v>912</v>
      </c>
      <c r="P1537" s="16" t="s">
        <v>857</v>
      </c>
      <c r="Q1537" s="18">
        <v>500000</v>
      </c>
      <c r="R1537" s="18">
        <v>1</v>
      </c>
      <c r="S1537" s="18">
        <f>Main_Presentation[[#This Row],[Invoice Amt (FCY)]]*Main_Presentation[[#This Row],[Rate]]</f>
        <v>500000</v>
      </c>
      <c r="T1537" s="15">
        <v>46217</v>
      </c>
      <c r="U1537" s="26" t="str">
        <f>VLOOKUP(Main_Presentation[[#This Row],[LC Number]],Main_Issuance[],18,0)</f>
        <v>90 Days from App Rep Sign on Invoice</v>
      </c>
      <c r="V1537" s="249"/>
      <c r="W1537" s="22" t="s">
        <v>378</v>
      </c>
      <c r="X1537" s="16"/>
      <c r="Y1537" s="234" t="str">
        <f>TRIM(LEFT(Main_Presentation[[#This Row],[Payment Terms]],3))</f>
        <v>90</v>
      </c>
      <c r="Z1537" s="16"/>
      <c r="AA1537" s="316" cm="1">
        <f t="array" ref="AA1537">Settlement(Main_Presentation[[#This Row],[Bank]],Main_Presentation[[#This Row],[ Invoice Amt (SAR)]],Main_Presentation[[#This Row],[Date Recd]],Main_Presentation[[#This Row],[Due Date]],Main_Presentation[[#This Row],[Days]])</f>
        <v>2156.25</v>
      </c>
      <c r="AB1537" s="16"/>
    </row>
    <row r="1538" spans="1:28" ht="15.75" hidden="1" x14ac:dyDescent="0.25">
      <c r="A1538" s="20" t="s">
        <v>2237</v>
      </c>
      <c r="B1538" s="15">
        <v>46145</v>
      </c>
      <c r="C1538" s="26">
        <v>2</v>
      </c>
      <c r="D1538" s="55" t="str">
        <f>VLOOKUP(Main_Presentation[[#This Row],[LC Number]],Main_Issuance[],3,0)</f>
        <v>Hassan Taleb</v>
      </c>
      <c r="E1538" s="16" t="s">
        <v>858</v>
      </c>
      <c r="F1538" s="17" t="str">
        <f>VLOOKUP(Main_Presentation[[#This Row],[LC Number]],Main_Issuance[],5,0)</f>
        <v>SAB</v>
      </c>
      <c r="G1538" s="17" t="str">
        <f>VLOOKUP(Main_Presentation[[#This Row],[LC Number]],Main_Issuance[],6,0)</f>
        <v>MP1</v>
      </c>
      <c r="H1538" s="17" t="str">
        <f>VLOOKUP(Main_Presentation[[#This Row],[LC Number]],Main_Issuance[],17,0)</f>
        <v>Credit</v>
      </c>
      <c r="I1538" s="17" t="str">
        <f>VLOOKUP(Main_Presentation[[#This Row],[LC Number]],Main_Issuance[],7,0)</f>
        <v>TAWREED INTEGRATED INDUSTRIES</v>
      </c>
      <c r="J1538" s="17" t="str">
        <f>VLOOKUP(Main_Presentation[[#This Row],[LC Number]],Main_Issuance[],8,0)</f>
        <v>FIRST FIX</v>
      </c>
      <c r="K1538" s="17" t="str">
        <f>VLOOKUP(Main_Presentation[[#This Row],[LC Number]],Main_Issuance[],9,0)</f>
        <v>MP1</v>
      </c>
      <c r="L1538" s="17">
        <f>VLOOKUP(Main_Presentation[[#This Row],[LC Number]],Main_Issuance[],10,0)</f>
        <v>1020088</v>
      </c>
      <c r="M1538" s="17" t="str">
        <f>VLOOKUP(Main_Presentation[[#This Row],[LC Number]],Main_Issuance[],11,0)</f>
        <v>SAR</v>
      </c>
      <c r="N1538" s="84">
        <f>VLOOKUP(Main_Presentation[[#This Row],[LC Number]],Main_Issuance[],12,0)</f>
        <v>500000</v>
      </c>
      <c r="O1538" s="16" t="s">
        <v>912</v>
      </c>
      <c r="P1538" s="16" t="s">
        <v>857</v>
      </c>
      <c r="Q1538" s="18">
        <v>99498</v>
      </c>
      <c r="R1538" s="18">
        <v>1</v>
      </c>
      <c r="S1538" s="18">
        <f>Main_Presentation[[#This Row],[Invoice Amt (FCY)]]*Main_Presentation[[#This Row],[Rate]]</f>
        <v>99498</v>
      </c>
      <c r="T1538" s="15">
        <v>46230</v>
      </c>
      <c r="U1538" s="26" t="str">
        <f>VLOOKUP(Main_Presentation[[#This Row],[LC Number]],Main_Issuance[],18,0)</f>
        <v>120 Days from Invoice Date</v>
      </c>
      <c r="V1538" s="249"/>
      <c r="W1538" s="22" t="s">
        <v>378</v>
      </c>
      <c r="X1538" s="16" t="s">
        <v>5186</v>
      </c>
      <c r="Y1538" s="234" t="str">
        <f>TRIM(LEFT(Main_Presentation[[#This Row],[Payment Terms]],3))</f>
        <v>120</v>
      </c>
      <c r="Z1538" s="16"/>
      <c r="AA1538" s="316" cm="1">
        <f t="array" ref="AA1538">Settlement(Main_Presentation[[#This Row],[Bank]],Main_Presentation[[#This Row],[ Invoice Amt (SAR)]],Main_Presentation[[#This Row],[Date Recd]],Main_Presentation[[#This Row],[Due Date]],Main_Presentation[[#This Row],[Days]])</f>
        <v>575</v>
      </c>
      <c r="AB1538" s="16"/>
    </row>
    <row r="1539" spans="1:28" ht="15.75" hidden="1" x14ac:dyDescent="0.25">
      <c r="A1539" s="20" t="s">
        <v>4554</v>
      </c>
      <c r="B1539" s="15">
        <v>46137</v>
      </c>
      <c r="C1539" s="26">
        <v>1</v>
      </c>
      <c r="D1539" s="55" t="str">
        <f>VLOOKUP(Main_Presentation[[#This Row],[LC Number]],Main_Issuance[],3,0)</f>
        <v>Hassan Taleb</v>
      </c>
      <c r="E1539" s="16" t="s">
        <v>856</v>
      </c>
      <c r="F1539" s="17" t="str">
        <f>VLOOKUP(Main_Presentation[[#This Row],[LC Number]],Main_Issuance[],5,0)</f>
        <v>SAB</v>
      </c>
      <c r="G1539" s="17" t="str">
        <f>VLOOKUP(Main_Presentation[[#This Row],[LC Number]],Main_Issuance[],6,0)</f>
        <v>MP1</v>
      </c>
      <c r="H1539" s="17" t="str">
        <f>VLOOKUP(Main_Presentation[[#This Row],[LC Number]],Main_Issuance[],17,0)</f>
        <v>Credit</v>
      </c>
      <c r="I1539" s="17" t="str">
        <f>VLOOKUP(Main_Presentation[[#This Row],[LC Number]],Main_Issuance[],7,0)</f>
        <v>National Fire Fighting Manufacturing Fzco Br.</v>
      </c>
      <c r="J1539" s="17" t="str">
        <f>VLOOKUP(Main_Presentation[[#This Row],[LC Number]],Main_Issuance[],8,0)</f>
        <v>FIRST FIX</v>
      </c>
      <c r="K1539" s="17" t="str">
        <f>VLOOKUP(Main_Presentation[[#This Row],[LC Number]],Main_Issuance[],9,0)</f>
        <v>MP1</v>
      </c>
      <c r="L1539" s="17">
        <f>VLOOKUP(Main_Presentation[[#This Row],[LC Number]],Main_Issuance[],10,0)</f>
        <v>1020088</v>
      </c>
      <c r="M1539" s="17" t="str">
        <f>VLOOKUP(Main_Presentation[[#This Row],[LC Number]],Main_Issuance[],11,0)</f>
        <v>SAR</v>
      </c>
      <c r="N1539" s="84">
        <f>VLOOKUP(Main_Presentation[[#This Row],[LC Number]],Main_Issuance[],12,0)</f>
        <v>500000</v>
      </c>
      <c r="O1539" s="16" t="s">
        <v>912</v>
      </c>
      <c r="P1539" s="16" t="s">
        <v>857</v>
      </c>
      <c r="Q1539" s="18">
        <v>500000</v>
      </c>
      <c r="R1539" s="18">
        <v>1</v>
      </c>
      <c r="S1539" s="18">
        <f>Main_Presentation[[#This Row],[Invoice Amt (FCY)]]*Main_Presentation[[#This Row],[Rate]]</f>
        <v>500000</v>
      </c>
      <c r="T1539" s="15">
        <v>46217</v>
      </c>
      <c r="U1539" s="26" t="str">
        <f>VLOOKUP(Main_Presentation[[#This Row],[LC Number]],Main_Issuance[],18,0)</f>
        <v>90 Days from App Rep Sign on Invoice</v>
      </c>
      <c r="V1539" s="249"/>
      <c r="W1539" s="22" t="s">
        <v>378</v>
      </c>
      <c r="X1539" s="16"/>
      <c r="Y1539" s="234" t="str">
        <f>TRIM(LEFT(Main_Presentation[[#This Row],[Payment Terms]],3))</f>
        <v>90</v>
      </c>
      <c r="Z1539" s="16"/>
      <c r="AA1539" s="316" cm="1">
        <f t="array" ref="AA1539">Settlement(Main_Presentation[[#This Row],[Bank]],Main_Presentation[[#This Row],[ Invoice Amt (SAR)]],Main_Presentation[[#This Row],[Date Recd]],Main_Presentation[[#This Row],[Due Date]],Main_Presentation[[#This Row],[Days]])</f>
        <v>2156.25</v>
      </c>
      <c r="AB1539" s="16"/>
    </row>
    <row r="1540" spans="1:28" ht="15.75" hidden="1" x14ac:dyDescent="0.25">
      <c r="A1540" s="226" t="s">
        <v>3328</v>
      </c>
      <c r="B1540" s="227">
        <v>46138</v>
      </c>
      <c r="C1540" s="243">
        <v>1</v>
      </c>
      <c r="D1540" s="228" t="str">
        <f>VLOOKUP(Main_Presentation[[#This Row],[LC Number]],Main_Issuance[],3,0)</f>
        <v>Luis Puente</v>
      </c>
      <c r="E1540" s="217" t="s">
        <v>856</v>
      </c>
      <c r="F1540" s="244" t="str">
        <f>VLOOKUP(Main_Presentation[[#This Row],[LC Number]],Main_Issuance[],5,0)</f>
        <v>Riyad</v>
      </c>
      <c r="G1540" s="244" t="str">
        <f>VLOOKUP(Main_Presentation[[#This Row],[LC Number]],Main_Issuance[],6,0)</f>
        <v>Oceanarium</v>
      </c>
      <c r="H1540" s="244" t="str">
        <f>VLOOKUP(Main_Presentation[[#This Row],[LC Number]],Main_Issuance[],17,0)</f>
        <v>Credit</v>
      </c>
      <c r="I1540" s="244" t="str">
        <f>VLOOKUP(Main_Presentation[[#This Row],[LC Number]],Main_Issuance[],7,0)</f>
        <v>ISAM KABBANI &amp; PARTNERS LTD-UNITECH</v>
      </c>
      <c r="J1540" s="244" t="str">
        <f>VLOOKUP(Main_Presentation[[#This Row],[LC Number]],Main_Issuance[],8,0)</f>
        <v>FIRST FIX</v>
      </c>
      <c r="K1540" s="244" t="str">
        <f>VLOOKUP(Main_Presentation[[#This Row],[LC Number]],Main_Issuance[],9,0)</f>
        <v>Oceanarium</v>
      </c>
      <c r="L1540" s="244">
        <f>VLOOKUP(Main_Presentation[[#This Row],[LC Number]],Main_Issuance[],10,0)</f>
        <v>1020096</v>
      </c>
      <c r="M1540" s="244" t="str">
        <f>VLOOKUP(Main_Presentation[[#This Row],[LC Number]],Main_Issuance[],11,0)</f>
        <v>SAR</v>
      </c>
      <c r="N1540" s="245">
        <f>VLOOKUP(Main_Presentation[[#This Row],[LC Number]],Main_Issuance[],12,0)</f>
        <v>500000</v>
      </c>
      <c r="O1540" s="217" t="s">
        <v>912</v>
      </c>
      <c r="P1540" s="217" t="s">
        <v>857</v>
      </c>
      <c r="Q1540" s="218">
        <v>500000</v>
      </c>
      <c r="R1540" s="218">
        <v>1</v>
      </c>
      <c r="S1540" s="218">
        <f>Main_Presentation[[#This Row],[Invoice Amt (FCY)]]*Main_Presentation[[#This Row],[Rate]]</f>
        <v>500000</v>
      </c>
      <c r="T1540" s="227">
        <v>46217</v>
      </c>
      <c r="U1540" s="243" t="str">
        <f>VLOOKUP(Main_Presentation[[#This Row],[LC Number]],Main_Issuance[],18,0)</f>
        <v>90 Days from Appln Rep Sign on Invoice</v>
      </c>
      <c r="V1540" s="233"/>
      <c r="W1540" s="229" t="s">
        <v>378</v>
      </c>
      <c r="X1540" s="217"/>
      <c r="Y1540" s="399" t="str">
        <f>TRIM(LEFT(Main_Presentation[[#This Row],[Payment Terms]],3))</f>
        <v>90</v>
      </c>
      <c r="Z1540" s="217"/>
      <c r="AA1540" s="405" cm="1">
        <f t="array" ref="AA1540">Settlement(Main_Presentation[[#This Row],[Bank]],Main_Presentation[[#This Row],[ Invoice Amt (SAR)]],Main_Presentation[[#This Row],[Date Recd]],Main_Presentation[[#This Row],[Due Date]],Main_Presentation[[#This Row],[Days]])</f>
        <v>2156.25</v>
      </c>
      <c r="AB1540" s="217"/>
    </row>
    <row r="1541" spans="1:28" ht="15.75" hidden="1" x14ac:dyDescent="0.25">
      <c r="A1541" s="226" t="s">
        <v>4393</v>
      </c>
      <c r="B1541" s="227">
        <v>46134</v>
      </c>
      <c r="C1541" s="243">
        <v>2</v>
      </c>
      <c r="D1541" s="228" t="str">
        <f>VLOOKUP(Main_Presentation[[#This Row],[LC Number]],Main_Issuance[],3,0)</f>
        <v>Hassan Taleb</v>
      </c>
      <c r="E1541" s="217" t="s">
        <v>858</v>
      </c>
      <c r="F1541" s="244" t="str">
        <f>VLOOKUP(Main_Presentation[[#This Row],[LC Number]],Main_Issuance[],5,0)</f>
        <v>SAB</v>
      </c>
      <c r="G1541" s="244" t="str">
        <f>VLOOKUP(Main_Presentation[[#This Row],[LC Number]],Main_Issuance[],6,0)</f>
        <v>MP1</v>
      </c>
      <c r="H1541" s="244" t="str">
        <f>VLOOKUP(Main_Presentation[[#This Row],[LC Number]],Main_Issuance[],17,0)</f>
        <v>Credit</v>
      </c>
      <c r="I1541" s="244" t="str">
        <f>VLOOKUP(Main_Presentation[[#This Row],[LC Number]],Main_Issuance[],7,0)</f>
        <v>The Fundamental Installation For Electric Work Co</v>
      </c>
      <c r="J1541" s="244" t="str">
        <f>VLOOKUP(Main_Presentation[[#This Row],[LC Number]],Main_Issuance[],8,0)</f>
        <v>FIRST FIX</v>
      </c>
      <c r="K1541" s="244" t="str">
        <f>VLOOKUP(Main_Presentation[[#This Row],[LC Number]],Main_Issuance[],9,0)</f>
        <v>MP1</v>
      </c>
      <c r="L1541" s="244">
        <f>VLOOKUP(Main_Presentation[[#This Row],[LC Number]],Main_Issuance[],10,0)</f>
        <v>1020088</v>
      </c>
      <c r="M1541" s="244" t="str">
        <f>VLOOKUP(Main_Presentation[[#This Row],[LC Number]],Main_Issuance[],11,0)</f>
        <v>SAR</v>
      </c>
      <c r="N1541" s="245">
        <f>VLOOKUP(Main_Presentation[[#This Row],[LC Number]],Main_Issuance[],12,0)</f>
        <v>14000000</v>
      </c>
      <c r="O1541" s="217" t="s">
        <v>20</v>
      </c>
      <c r="P1541" s="217" t="s">
        <v>857</v>
      </c>
      <c r="Q1541" s="218">
        <v>5000000</v>
      </c>
      <c r="R1541" s="218">
        <v>1</v>
      </c>
      <c r="S1541" s="218">
        <f>Main_Presentation[[#This Row],[Invoice Amt (FCY)]]*Main_Presentation[[#This Row],[Rate]]</f>
        <v>5000000</v>
      </c>
      <c r="T1541" s="227">
        <v>46187</v>
      </c>
      <c r="U1541" s="243" t="str">
        <f>VLOOKUP(Main_Presentation[[#This Row],[LC Number]],Main_Issuance[],18,0)</f>
        <v>90 Days from Invoice Date</v>
      </c>
      <c r="V1541" s="233" t="s">
        <v>5574</v>
      </c>
      <c r="W1541" s="229" t="s">
        <v>378</v>
      </c>
      <c r="X1541" s="217"/>
      <c r="Y1541" s="399" t="str">
        <f>TRIM(LEFT(Main_Presentation[[#This Row],[Payment Terms]],3))</f>
        <v>90</v>
      </c>
      <c r="Z1541" s="217"/>
      <c r="AA1541" s="405" cm="1">
        <f t="array" ref="AA1541">Settlement(Main_Presentation[[#This Row],[Bank]],Main_Presentation[[#This Row],[ Invoice Amt (SAR)]],Main_Presentation[[#This Row],[Date Recd]],Main_Presentation[[#This Row],[Due Date]],Main_Presentation[[#This Row],[Days]])</f>
        <v>21562.5</v>
      </c>
      <c r="AB1541" s="217"/>
    </row>
    <row r="1542" spans="1:28" ht="15.75" hidden="1" x14ac:dyDescent="0.25">
      <c r="A1542" s="20" t="s">
        <v>3319</v>
      </c>
      <c r="B1542" s="15">
        <v>46146</v>
      </c>
      <c r="C1542" s="26">
        <v>3</v>
      </c>
      <c r="D1542" s="55" t="str">
        <f>VLOOKUP(Main_Presentation[[#This Row],[LC Number]],Main_Issuance[],3,0)</f>
        <v>AbdulAziz Eraiba Fawzi</v>
      </c>
      <c r="E1542" s="16" t="s">
        <v>856</v>
      </c>
      <c r="F1542" s="17" t="str">
        <f>VLOOKUP(Main_Presentation[[#This Row],[LC Number]],Main_Issuance[],5,0)</f>
        <v>Jazira</v>
      </c>
      <c r="G1542" s="17" t="str">
        <f>VLOOKUP(Main_Presentation[[#This Row],[LC Number]],Main_Issuance[],6,0)</f>
        <v>RCRC</v>
      </c>
      <c r="H1542" s="17" t="str">
        <f>VLOOKUP(Main_Presentation[[#This Row],[LC Number]],Main_Issuance[],17,0)</f>
        <v>Credit</v>
      </c>
      <c r="I1542" s="17" t="str">
        <f>VLOOKUP(Main_Presentation[[#This Row],[LC Number]],Main_Issuance[],7,0)</f>
        <v>Green Concrete CJSC</v>
      </c>
      <c r="J1542" s="17" t="str">
        <f>VLOOKUP(Main_Presentation[[#This Row],[LC Number]],Main_Issuance[],8,0)</f>
        <v>MBL</v>
      </c>
      <c r="K1542" s="17" t="str">
        <f>VLOOKUP(Main_Presentation[[#This Row],[LC Number]],Main_Issuance[],9,0)</f>
        <v>RCRC</v>
      </c>
      <c r="L1542" s="17">
        <f>VLOOKUP(Main_Presentation[[#This Row],[LC Number]],Main_Issuance[],10,0)</f>
        <v>1020106</v>
      </c>
      <c r="M1542" s="17" t="str">
        <f>VLOOKUP(Main_Presentation[[#This Row],[LC Number]],Main_Issuance[],11,0)</f>
        <v>SAR</v>
      </c>
      <c r="N1542" s="84">
        <f>VLOOKUP(Main_Presentation[[#This Row],[LC Number]],Main_Issuance[],12,0)</f>
        <v>5802900</v>
      </c>
      <c r="O1542" s="16" t="s">
        <v>20</v>
      </c>
      <c r="P1542" s="16" t="s">
        <v>378</v>
      </c>
      <c r="Q1542" s="18">
        <v>204411.35</v>
      </c>
      <c r="R1542" s="18">
        <v>1</v>
      </c>
      <c r="S1542" s="18">
        <f>Main_Presentation[[#This Row],[Invoice Amt (FCY)]]*Main_Presentation[[#This Row],[Rate]]</f>
        <v>204411.35</v>
      </c>
      <c r="T1542" s="15">
        <v>46187</v>
      </c>
      <c r="U1542" s="26" t="str">
        <f>VLOOKUP(Main_Presentation[[#This Row],[LC Number]],Main_Issuance[],18,0)</f>
        <v>60 Days From Invoice Date</v>
      </c>
      <c r="V1542" s="249" t="s">
        <v>613</v>
      </c>
      <c r="W1542" s="22" t="s">
        <v>857</v>
      </c>
      <c r="X1542" s="16"/>
      <c r="Y1542" s="234" t="str">
        <f>TRIM(LEFT(Main_Presentation[[#This Row],[Payment Terms]],3))</f>
        <v>60</v>
      </c>
      <c r="Z1542" s="16"/>
      <c r="AA1542" s="316" cm="1">
        <f t="array" ref="AA1542">Settlement(Main_Presentation[[#This Row],[Bank]],Main_Presentation[[#This Row],[ Invoice Amt (SAR)]],Main_Presentation[[#This Row],[Date Recd]],Main_Presentation[[#This Row],[Due Date]],Main_Presentation[[#This Row],[Days]])</f>
        <v>977.5</v>
      </c>
      <c r="AB1542" s="16"/>
    </row>
    <row r="1543" spans="1:28" ht="15.75" hidden="1" x14ac:dyDescent="0.25">
      <c r="A1543" s="20" t="s">
        <v>4549</v>
      </c>
      <c r="B1543" s="15">
        <v>46139</v>
      </c>
      <c r="C1543" s="26">
        <v>1</v>
      </c>
      <c r="D1543" s="55" t="str">
        <f>VLOOKUP(Main_Presentation[[#This Row],[LC Number]],Main_Issuance[],3,0)</f>
        <v>Hassan Taleb</v>
      </c>
      <c r="E1543" s="16" t="s">
        <v>856</v>
      </c>
      <c r="F1543" s="17" t="str">
        <f>VLOOKUP(Main_Presentation[[#This Row],[LC Number]],Main_Issuance[],5,0)</f>
        <v>SAB</v>
      </c>
      <c r="G1543" s="17" t="str">
        <f>VLOOKUP(Main_Presentation[[#This Row],[LC Number]],Main_Issuance[],6,0)</f>
        <v>MP1</v>
      </c>
      <c r="H1543" s="17" t="str">
        <f>VLOOKUP(Main_Presentation[[#This Row],[LC Number]],Main_Issuance[],17,0)</f>
        <v>Credit</v>
      </c>
      <c r="I1543" s="17" t="str">
        <f>VLOOKUP(Main_Presentation[[#This Row],[LC Number]],Main_Issuance[],7,0)</f>
        <v>Mohamad Saeed Afifi Trading Est.</v>
      </c>
      <c r="J1543" s="17" t="str">
        <f>VLOOKUP(Main_Presentation[[#This Row],[LC Number]],Main_Issuance[],8,0)</f>
        <v>FIRST FIX</v>
      </c>
      <c r="K1543" s="17" t="str">
        <f>VLOOKUP(Main_Presentation[[#This Row],[LC Number]],Main_Issuance[],9,0)</f>
        <v>MP1</v>
      </c>
      <c r="L1543" s="17">
        <f>VLOOKUP(Main_Presentation[[#This Row],[LC Number]],Main_Issuance[],10,0)</f>
        <v>1020088</v>
      </c>
      <c r="M1543" s="17" t="str">
        <f>VLOOKUP(Main_Presentation[[#This Row],[LC Number]],Main_Issuance[],11,0)</f>
        <v>SAR</v>
      </c>
      <c r="N1543" s="84">
        <f>VLOOKUP(Main_Presentation[[#This Row],[LC Number]],Main_Issuance[],12,0)</f>
        <v>450000</v>
      </c>
      <c r="O1543" s="16" t="s">
        <v>912</v>
      </c>
      <c r="P1543" s="16" t="s">
        <v>857</v>
      </c>
      <c r="Q1543" s="18">
        <v>312768.11</v>
      </c>
      <c r="R1543" s="18">
        <v>1</v>
      </c>
      <c r="S1543" s="18">
        <f>Main_Presentation[[#This Row],[Invoice Amt (FCY)]]*Main_Presentation[[#This Row],[Rate]]</f>
        <v>312768.11</v>
      </c>
      <c r="T1543" s="15">
        <v>46222</v>
      </c>
      <c r="U1543" s="26" t="str">
        <f>VLOOKUP(Main_Presentation[[#This Row],[LC Number]],Main_Issuance[],18,0)</f>
        <v>90 Days from App Rep Sign on Invoice</v>
      </c>
      <c r="V1543" s="249"/>
      <c r="W1543" s="22" t="s">
        <v>378</v>
      </c>
      <c r="X1543" s="16"/>
      <c r="Y1543" s="234" t="str">
        <f>TRIM(LEFT(Main_Presentation[[#This Row],[Payment Terms]],3))</f>
        <v>90</v>
      </c>
      <c r="Z1543" s="16"/>
      <c r="AA1543" s="316" cm="1">
        <f t="array" ref="AA1543">Settlement(Main_Presentation[[#This Row],[Bank]],Main_Presentation[[#This Row],[ Invoice Amt (SAR)]],Main_Presentation[[#This Row],[Date Recd]],Main_Presentation[[#This Row],[Due Date]],Main_Presentation[[#This Row],[Days]])</f>
        <v>1348.95</v>
      </c>
      <c r="AB1543" s="16"/>
    </row>
    <row r="1544" spans="1:28" ht="15.75" hidden="1" x14ac:dyDescent="0.25">
      <c r="A1544" s="20" t="s">
        <v>4561</v>
      </c>
      <c r="B1544" s="15">
        <v>46148</v>
      </c>
      <c r="C1544" s="26">
        <v>1</v>
      </c>
      <c r="D1544" s="55" t="str">
        <f>VLOOKUP(Main_Presentation[[#This Row],[LC Number]],Main_Issuance[],3,0)</f>
        <v>Hassan Taleb</v>
      </c>
      <c r="E1544" s="16" t="s">
        <v>858</v>
      </c>
      <c r="F1544" s="17" t="str">
        <f>VLOOKUP(Main_Presentation[[#This Row],[LC Number]],Main_Issuance[],5,0)</f>
        <v>SAB</v>
      </c>
      <c r="G1544" s="17" t="str">
        <f>VLOOKUP(Main_Presentation[[#This Row],[LC Number]],Main_Issuance[],6,0)</f>
        <v>MP1</v>
      </c>
      <c r="H1544" s="17" t="str">
        <f>VLOOKUP(Main_Presentation[[#This Row],[LC Number]],Main_Issuance[],17,0)</f>
        <v>Credit</v>
      </c>
      <c r="I1544" s="17" t="str">
        <f>VLOOKUP(Main_Presentation[[#This Row],[LC Number]],Main_Issuance[],7,0)</f>
        <v>Aknan Alkhair Tranding Est</v>
      </c>
      <c r="J1544" s="17" t="str">
        <f>VLOOKUP(Main_Presentation[[#This Row],[LC Number]],Main_Issuance[],8,0)</f>
        <v>FIRST FIX</v>
      </c>
      <c r="K1544" s="17" t="str">
        <f>VLOOKUP(Main_Presentation[[#This Row],[LC Number]],Main_Issuance[],9,0)</f>
        <v>MP1</v>
      </c>
      <c r="L1544" s="17">
        <f>VLOOKUP(Main_Presentation[[#This Row],[LC Number]],Main_Issuance[],10,0)</f>
        <v>1020088</v>
      </c>
      <c r="M1544" s="17" t="str">
        <f>VLOOKUP(Main_Presentation[[#This Row],[LC Number]],Main_Issuance[],11,0)</f>
        <v>SAR</v>
      </c>
      <c r="N1544" s="84">
        <f>VLOOKUP(Main_Presentation[[#This Row],[LC Number]],Main_Issuance[],12,0)</f>
        <v>125000</v>
      </c>
      <c r="O1544" s="16" t="s">
        <v>912</v>
      </c>
      <c r="P1544" s="16" t="s">
        <v>857</v>
      </c>
      <c r="Q1544" s="18">
        <v>125000</v>
      </c>
      <c r="R1544" s="18">
        <v>1</v>
      </c>
      <c r="S1544" s="18">
        <f>Main_Presentation[[#This Row],[Invoice Amt (FCY)]]*Main_Presentation[[#This Row],[Rate]]</f>
        <v>125000</v>
      </c>
      <c r="T1544" s="15">
        <v>46222</v>
      </c>
      <c r="U1544" s="26" t="str">
        <f>VLOOKUP(Main_Presentation[[#This Row],[LC Number]],Main_Issuance[],18,0)</f>
        <v>90 Days from App Rep Sign on Invoice</v>
      </c>
      <c r="V1544" s="249"/>
      <c r="W1544" s="22" t="s">
        <v>378</v>
      </c>
      <c r="X1544" s="16"/>
      <c r="Y1544" s="234" t="str">
        <f>TRIM(LEFT(Main_Presentation[[#This Row],[Payment Terms]],3))</f>
        <v>90</v>
      </c>
      <c r="Z1544" s="16"/>
      <c r="AA1544" s="316" cm="1">
        <f t="array" ref="AA1544">Settlement(Main_Presentation[[#This Row],[Bank]],Main_Presentation[[#This Row],[ Invoice Amt (SAR)]],Main_Presentation[[#This Row],[Date Recd]],Main_Presentation[[#This Row],[Due Date]],Main_Presentation[[#This Row],[Days]])</f>
        <v>575</v>
      </c>
      <c r="AB1544" s="16"/>
    </row>
    <row r="1545" spans="1:28" ht="15.75" hidden="1" x14ac:dyDescent="0.25">
      <c r="A1545" s="226" t="s">
        <v>4562</v>
      </c>
      <c r="B1545" s="227">
        <v>46140</v>
      </c>
      <c r="C1545" s="243">
        <v>1</v>
      </c>
      <c r="D1545" s="228" t="str">
        <f>VLOOKUP(Main_Presentation[[#This Row],[LC Number]],Main_Issuance[],3,0)</f>
        <v>Hassan Taleb</v>
      </c>
      <c r="E1545" s="217" t="s">
        <v>858</v>
      </c>
      <c r="F1545" s="244" t="str">
        <f>VLOOKUP(Main_Presentation[[#This Row],[LC Number]],Main_Issuance[],5,0)</f>
        <v>SAB</v>
      </c>
      <c r="G1545" s="244" t="str">
        <f>VLOOKUP(Main_Presentation[[#This Row],[LC Number]],Main_Issuance[],6,0)</f>
        <v>MP1</v>
      </c>
      <c r="H1545" s="244" t="str">
        <f>VLOOKUP(Main_Presentation[[#This Row],[LC Number]],Main_Issuance[],17,0)</f>
        <v>Credit</v>
      </c>
      <c r="I1545" s="244" t="str">
        <f>VLOOKUP(Main_Presentation[[#This Row],[LC Number]],Main_Issuance[],7,0)</f>
        <v>Saudi Electric Supply Company</v>
      </c>
      <c r="J1545" s="244" t="str">
        <f>VLOOKUP(Main_Presentation[[#This Row],[LC Number]],Main_Issuance[],8,0)</f>
        <v>FIRST FIX</v>
      </c>
      <c r="K1545" s="244" t="str">
        <f>VLOOKUP(Main_Presentation[[#This Row],[LC Number]],Main_Issuance[],9,0)</f>
        <v>MP1</v>
      </c>
      <c r="L1545" s="244">
        <f>VLOOKUP(Main_Presentation[[#This Row],[LC Number]],Main_Issuance[],10,0)</f>
        <v>1020088</v>
      </c>
      <c r="M1545" s="244" t="str">
        <f>VLOOKUP(Main_Presentation[[#This Row],[LC Number]],Main_Issuance[],11,0)</f>
        <v>SAR</v>
      </c>
      <c r="N1545" s="245">
        <f>VLOOKUP(Main_Presentation[[#This Row],[LC Number]],Main_Issuance[],12,0)</f>
        <v>1000000</v>
      </c>
      <c r="O1545" s="217" t="s">
        <v>912</v>
      </c>
      <c r="P1545" s="217" t="s">
        <v>857</v>
      </c>
      <c r="Q1545" s="218">
        <v>1000000</v>
      </c>
      <c r="R1545" s="218">
        <v>1</v>
      </c>
      <c r="S1545" s="218">
        <f>Main_Presentation[[#This Row],[Invoice Amt (FCY)]]*Main_Presentation[[#This Row],[Rate]]</f>
        <v>1000000</v>
      </c>
      <c r="T1545" s="227">
        <v>46222</v>
      </c>
      <c r="U1545" s="243" t="str">
        <f>VLOOKUP(Main_Presentation[[#This Row],[LC Number]],Main_Issuance[],18,0)</f>
        <v>90 Days from App Rep Sign on Invoice</v>
      </c>
      <c r="V1545" s="233"/>
      <c r="W1545" s="229" t="s">
        <v>378</v>
      </c>
      <c r="X1545" s="217"/>
      <c r="Y1545" s="399" t="str">
        <f>TRIM(LEFT(Main_Presentation[[#This Row],[Payment Terms]],3))</f>
        <v>90</v>
      </c>
      <c r="Z1545" s="217"/>
      <c r="AA1545" s="405" cm="1">
        <f t="array" ref="AA1545">Settlement(Main_Presentation[[#This Row],[Bank]],Main_Presentation[[#This Row],[ Invoice Amt (SAR)]],Main_Presentation[[#This Row],[Date Recd]],Main_Presentation[[#This Row],[Due Date]],Main_Presentation[[#This Row],[Days]])</f>
        <v>4312.5</v>
      </c>
      <c r="AB1545" s="217"/>
    </row>
    <row r="1546" spans="1:28" ht="15.75" hidden="1" x14ac:dyDescent="0.25">
      <c r="A1546" s="226" t="s">
        <v>4239</v>
      </c>
      <c r="B1546" s="227">
        <v>46141</v>
      </c>
      <c r="C1546" s="243">
        <v>3</v>
      </c>
      <c r="D1546" s="228" t="str">
        <f>VLOOKUP(Main_Presentation[[#This Row],[LC Number]],Main_Issuance[],3,0)</f>
        <v>Rabih Makhoul</v>
      </c>
      <c r="E1546" s="217" t="s">
        <v>858</v>
      </c>
      <c r="F1546" s="244" t="str">
        <f>VLOOKUP(Main_Presentation[[#This Row],[LC Number]],Main_Issuance[],5,0)</f>
        <v>Alinma</v>
      </c>
      <c r="G1546" s="244" t="str">
        <f>VLOOKUP(Main_Presentation[[#This Row],[LC Number]],Main_Issuance[],6,0)</f>
        <v>KSP</v>
      </c>
      <c r="H1546" s="244" t="str">
        <f>VLOOKUP(Main_Presentation[[#This Row],[LC Number]],Main_Issuance[],17,0)</f>
        <v>Credit</v>
      </c>
      <c r="I1546" s="244" t="str">
        <f>VLOOKUP(Main_Presentation[[#This Row],[LC Number]],Main_Issuance[],7,0)</f>
        <v>Awtad Jeddah for General Contracting Company</v>
      </c>
      <c r="J1546" s="244" t="str">
        <f>VLOOKUP(Main_Presentation[[#This Row],[LC Number]],Main_Issuance[],8,0)</f>
        <v>MBL</v>
      </c>
      <c r="K1546" s="244" t="str">
        <f>VLOOKUP(Main_Presentation[[#This Row],[LC Number]],Main_Issuance[],9,0)</f>
        <v>Rabigh Power Plant</v>
      </c>
      <c r="L1546" s="244">
        <f>VLOOKUP(Main_Presentation[[#This Row],[LC Number]],Main_Issuance[],10,0)</f>
        <v>1020107</v>
      </c>
      <c r="M1546" s="244" t="str">
        <f>VLOOKUP(Main_Presentation[[#This Row],[LC Number]],Main_Issuance[],11,0)</f>
        <v>SAR</v>
      </c>
      <c r="N1546" s="245">
        <f>VLOOKUP(Main_Presentation[[#This Row],[LC Number]],Main_Issuance[],12,0)</f>
        <v>2495972.17</v>
      </c>
      <c r="O1546" s="217" t="s">
        <v>20</v>
      </c>
      <c r="P1546" s="217" t="s">
        <v>378</v>
      </c>
      <c r="Q1546" s="218">
        <v>411465.73</v>
      </c>
      <c r="R1546" s="218">
        <v>1</v>
      </c>
      <c r="S1546" s="218">
        <f>Main_Presentation[[#This Row],[Invoice Amt (FCY)]]*Main_Presentation[[#This Row],[Rate]]</f>
        <v>411465.73</v>
      </c>
      <c r="T1546" s="227">
        <v>46147</v>
      </c>
      <c r="U1546" s="243" t="str">
        <f>VLOOKUP(Main_Presentation[[#This Row],[LC Number]],Main_Issuance[],18,0)</f>
        <v>45 Days from Invoice Date</v>
      </c>
      <c r="V1546" s="233" t="s">
        <v>1460</v>
      </c>
      <c r="W1546" s="229" t="s">
        <v>857</v>
      </c>
      <c r="X1546" s="217"/>
      <c r="Y1546" s="399" t="str">
        <f>TRIM(LEFT(Main_Presentation[[#This Row],[Payment Terms]],3))</f>
        <v>45</v>
      </c>
      <c r="Z1546" s="217"/>
      <c r="AA1546" s="405" cm="1">
        <f t="array" ref="AA1546">Settlement(Main_Presentation[[#This Row],[Bank]],Main_Presentation[[#This Row],[ Invoice Amt (SAR)]],Main_Presentation[[#This Row],[Date Recd]],Main_Presentation[[#This Row],[Due Date]],Main_Presentation[[#This Row],[Days]])</f>
        <v>1437.5</v>
      </c>
      <c r="AB1546" s="217"/>
    </row>
    <row r="1547" spans="1:28" ht="15.75" hidden="1" x14ac:dyDescent="0.25">
      <c r="A1547" s="226" t="s">
        <v>4239</v>
      </c>
      <c r="B1547" s="227">
        <v>46141</v>
      </c>
      <c r="C1547" s="243">
        <v>4</v>
      </c>
      <c r="D1547" s="228" t="str">
        <f>VLOOKUP(Main_Presentation[[#This Row],[LC Number]],Main_Issuance[],3,0)</f>
        <v>Rabih Makhoul</v>
      </c>
      <c r="E1547" s="217" t="s">
        <v>858</v>
      </c>
      <c r="F1547" s="244" t="str">
        <f>VLOOKUP(Main_Presentation[[#This Row],[LC Number]],Main_Issuance[],5,0)</f>
        <v>Alinma</v>
      </c>
      <c r="G1547" s="244" t="str">
        <f>VLOOKUP(Main_Presentation[[#This Row],[LC Number]],Main_Issuance[],6,0)</f>
        <v>KSP</v>
      </c>
      <c r="H1547" s="244" t="str">
        <f>VLOOKUP(Main_Presentation[[#This Row],[LC Number]],Main_Issuance[],17,0)</f>
        <v>Credit</v>
      </c>
      <c r="I1547" s="244" t="str">
        <f>VLOOKUP(Main_Presentation[[#This Row],[LC Number]],Main_Issuance[],7,0)</f>
        <v>Awtad Jeddah for General Contracting Company</v>
      </c>
      <c r="J1547" s="244" t="str">
        <f>VLOOKUP(Main_Presentation[[#This Row],[LC Number]],Main_Issuance[],8,0)</f>
        <v>MBL</v>
      </c>
      <c r="K1547" s="244" t="str">
        <f>VLOOKUP(Main_Presentation[[#This Row],[LC Number]],Main_Issuance[],9,0)</f>
        <v>Rabigh Power Plant</v>
      </c>
      <c r="L1547" s="244">
        <f>VLOOKUP(Main_Presentation[[#This Row],[LC Number]],Main_Issuance[],10,0)</f>
        <v>1020107</v>
      </c>
      <c r="M1547" s="244" t="str">
        <f>VLOOKUP(Main_Presentation[[#This Row],[LC Number]],Main_Issuance[],11,0)</f>
        <v>SAR</v>
      </c>
      <c r="N1547" s="245">
        <f>VLOOKUP(Main_Presentation[[#This Row],[LC Number]],Main_Issuance[],12,0)</f>
        <v>2495972.17</v>
      </c>
      <c r="O1547" s="217" t="s">
        <v>20</v>
      </c>
      <c r="P1547" s="217" t="s">
        <v>378</v>
      </c>
      <c r="Q1547" s="218">
        <v>292116.28000000003</v>
      </c>
      <c r="R1547" s="218">
        <v>1</v>
      </c>
      <c r="S1547" s="218">
        <f>Main_Presentation[[#This Row],[Invoice Amt (FCY)]]*Main_Presentation[[#This Row],[Rate]]</f>
        <v>292116.28000000003</v>
      </c>
      <c r="T1547" s="227">
        <v>46147</v>
      </c>
      <c r="U1547" s="243" t="str">
        <f>VLOOKUP(Main_Presentation[[#This Row],[LC Number]],Main_Issuance[],18,0)</f>
        <v>45 Days from Invoice Date</v>
      </c>
      <c r="V1547" s="233" t="s">
        <v>511</v>
      </c>
      <c r="W1547" s="229" t="s">
        <v>857</v>
      </c>
      <c r="X1547" s="217"/>
      <c r="Y1547" s="399" t="str">
        <f>TRIM(LEFT(Main_Presentation[[#This Row],[Payment Terms]],3))</f>
        <v>45</v>
      </c>
      <c r="Z1547" s="217"/>
      <c r="AA1547" s="405" cm="1">
        <f t="array" ref="AA1547">Settlement(Main_Presentation[[#This Row],[Bank]],Main_Presentation[[#This Row],[ Invoice Amt (SAR)]],Main_Presentation[[#This Row],[Date Recd]],Main_Presentation[[#This Row],[Due Date]],Main_Presentation[[#This Row],[Days]])</f>
        <v>1437.5</v>
      </c>
      <c r="AB1547" s="217"/>
    </row>
    <row r="1548" spans="1:28" ht="15.75" hidden="1" x14ac:dyDescent="0.25">
      <c r="A1548" s="226" t="s">
        <v>4680</v>
      </c>
      <c r="B1548" s="227">
        <v>46152</v>
      </c>
      <c r="C1548" s="243">
        <v>1</v>
      </c>
      <c r="D1548" s="228" t="str">
        <f>VLOOKUP(Main_Presentation[[#This Row],[LC Number]],Main_Issuance[],3,0)</f>
        <v>Matthew Mckernan</v>
      </c>
      <c r="E1548" s="217" t="s">
        <v>856</v>
      </c>
      <c r="F1548" s="244" t="str">
        <f>VLOOKUP(Main_Presentation[[#This Row],[LC Number]],Main_Issuance[],5,0)</f>
        <v>SNB</v>
      </c>
      <c r="G1548" s="244" t="str">
        <f>VLOOKUP(Main_Presentation[[#This Row],[LC Number]],Main_Issuance[],6,0)</f>
        <v>Opera House</v>
      </c>
      <c r="H1548" s="244" t="str">
        <f>VLOOKUP(Main_Presentation[[#This Row],[LC Number]],Main_Issuance[],17,0)</f>
        <v>Credit</v>
      </c>
      <c r="I1548" s="244" t="str">
        <f>VLOOKUP(Main_Presentation[[#This Row],[LC Number]],Main_Issuance[],7,0)</f>
        <v>Electric House Trading Company L.L.C.</v>
      </c>
      <c r="J1548" s="244" t="str">
        <f>VLOOKUP(Main_Presentation[[#This Row],[LC Number]],Main_Issuance[],8,0)</f>
        <v>MBL/ICAD</v>
      </c>
      <c r="K1548" s="244" t="str">
        <f>VLOOKUP(Main_Presentation[[#This Row],[LC Number]],Main_Issuance[],9,0)</f>
        <v>OPERA House</v>
      </c>
      <c r="L1548" s="244">
        <f>VLOOKUP(Main_Presentation[[#This Row],[LC Number]],Main_Issuance[],10,0)</f>
        <v>1020097</v>
      </c>
      <c r="M1548" s="244" t="str">
        <f>VLOOKUP(Main_Presentation[[#This Row],[LC Number]],Main_Issuance[],11,0)</f>
        <v>SAR</v>
      </c>
      <c r="N1548" s="245">
        <f>VLOOKUP(Main_Presentation[[#This Row],[LC Number]],Main_Issuance[],12,0)</f>
        <v>2193076</v>
      </c>
      <c r="O1548" s="217" t="s">
        <v>912</v>
      </c>
      <c r="P1548" s="217" t="s">
        <v>378</v>
      </c>
      <c r="Q1548" s="218">
        <v>2193076</v>
      </c>
      <c r="R1548" s="218">
        <v>1</v>
      </c>
      <c r="S1548" s="218">
        <f>Main_Presentation[[#This Row],[Invoice Amt (FCY)]]*Main_Presentation[[#This Row],[Rate]]</f>
        <v>2193076</v>
      </c>
      <c r="T1548" s="227">
        <v>46222</v>
      </c>
      <c r="U1548" s="243" t="str">
        <f>VLOOKUP(Main_Presentation[[#This Row],[LC Number]],Main_Issuance[],18,0)</f>
        <v>90 Days from Delivery Date</v>
      </c>
      <c r="V1548" s="233"/>
      <c r="W1548" s="229" t="s">
        <v>378</v>
      </c>
      <c r="X1548" s="217"/>
      <c r="Y1548" s="399" t="str">
        <f>TRIM(LEFT(Main_Presentation[[#This Row],[Payment Terms]],3))</f>
        <v>90</v>
      </c>
      <c r="Z1548" s="217"/>
      <c r="AA1548" s="405" cm="1">
        <f t="array" ref="AA1548">Settlement(Main_Presentation[[#This Row],[Bank]],Main_Presentation[[#This Row],[ Invoice Amt (SAR)]],Main_Presentation[[#This Row],[Date Recd]],Main_Presentation[[#This Row],[Due Date]],Main_Presentation[[#This Row],[Days]])</f>
        <v>10548.95</v>
      </c>
      <c r="AB1548" s="217"/>
    </row>
    <row r="1549" spans="1:28" ht="15.75" hidden="1" x14ac:dyDescent="0.25">
      <c r="A1549" s="226" t="s">
        <v>4630</v>
      </c>
      <c r="B1549" s="227">
        <v>46183</v>
      </c>
      <c r="C1549" s="243">
        <v>1</v>
      </c>
      <c r="D1549" s="228" t="str">
        <f>VLOOKUP(Main_Presentation[[#This Row],[LC Number]],Main_Issuance[],3,0)</f>
        <v>Essam Zahran</v>
      </c>
      <c r="E1549" s="217" t="s">
        <v>856</v>
      </c>
      <c r="F1549" s="244" t="str">
        <f>VLOOKUP(Main_Presentation[[#This Row],[LC Number]],Main_Issuance[],5,0)</f>
        <v>Alinma</v>
      </c>
      <c r="G1549" s="244" t="str">
        <f>VLOOKUP(Main_Presentation[[#This Row],[LC Number]],Main_Issuance[],6,0)</f>
        <v>KSP</v>
      </c>
      <c r="H1549" s="244" t="str">
        <f>VLOOKUP(Main_Presentation[[#This Row],[LC Number]],Main_Issuance[],17,0)</f>
        <v>Credit</v>
      </c>
      <c r="I1549" s="244" t="str">
        <f>VLOOKUP(Main_Presentation[[#This Row],[LC Number]],Main_Issuance[],7,0)</f>
        <v>Depa Saudi Arabia for Contracting and Interior Decorating Co. Ltd.</v>
      </c>
      <c r="J1549" s="244" t="str">
        <f>VLOOKUP(Main_Presentation[[#This Row],[LC Number]],Main_Issuance[],8,0)</f>
        <v>MBL</v>
      </c>
      <c r="K1549" s="244" t="str">
        <f>VLOOKUP(Main_Presentation[[#This Row],[LC Number]],Main_Issuance[],9,0)</f>
        <v>KSP</v>
      </c>
      <c r="L1549" s="244">
        <f>VLOOKUP(Main_Presentation[[#This Row],[LC Number]],Main_Issuance[],10,0)</f>
        <v>1020055</v>
      </c>
      <c r="M1549" s="244" t="str">
        <f>VLOOKUP(Main_Presentation[[#This Row],[LC Number]],Main_Issuance[],11,0)</f>
        <v>SAR</v>
      </c>
      <c r="N1549" s="245">
        <f>VLOOKUP(Main_Presentation[[#This Row],[LC Number]],Main_Issuance[],12,0)</f>
        <v>20000000</v>
      </c>
      <c r="O1549" s="217" t="s">
        <v>912</v>
      </c>
      <c r="P1549" s="217" t="s">
        <v>378</v>
      </c>
      <c r="Q1549" s="218">
        <v>5643717.4500000002</v>
      </c>
      <c r="R1549" s="218">
        <v>1</v>
      </c>
      <c r="S1549" s="218">
        <f>Main_Presentation[[#This Row],[Invoice Amt (FCY)]]*Main_Presentation[[#This Row],[Rate]]</f>
        <v>5643717.4500000002</v>
      </c>
      <c r="T1549" s="227">
        <v>46223</v>
      </c>
      <c r="U1549" s="243" t="str">
        <f>VLOOKUP(Main_Presentation[[#This Row],[LC Number]],Main_Issuance[],18,0)</f>
        <v>90 Days from Invoice Date</v>
      </c>
      <c r="V1549" s="233"/>
      <c r="W1549" s="229" t="s">
        <v>378</v>
      </c>
      <c r="X1549" s="217"/>
      <c r="Y1549" s="399" t="str">
        <f>TRIM(LEFT(Main_Presentation[[#This Row],[Payment Terms]],3))</f>
        <v>90</v>
      </c>
      <c r="Z1549" s="217"/>
      <c r="AA1549" s="405" cm="1">
        <f t="array" ref="AA1549">Settlement(Main_Presentation[[#This Row],[Bank]],Main_Presentation[[#This Row],[ Invoice Amt (SAR)]],Main_Presentation[[#This Row],[Date Recd]],Main_Presentation[[#This Row],[Due Date]],Main_Presentation[[#This Row],[Days]])</f>
        <v>2704.8</v>
      </c>
      <c r="AB1549" s="217"/>
    </row>
    <row r="1550" spans="1:28" ht="15.75" hidden="1" x14ac:dyDescent="0.25">
      <c r="A1550" s="226" t="s">
        <v>3142</v>
      </c>
      <c r="B1550" s="227">
        <v>46148</v>
      </c>
      <c r="C1550" s="243">
        <v>2</v>
      </c>
      <c r="D1550" s="228" t="str">
        <f>VLOOKUP(Main_Presentation[[#This Row],[LC Number]],Main_Issuance[],3,0)</f>
        <v>Matthew Mckernan - AICS</v>
      </c>
      <c r="E1550" s="217" t="s">
        <v>856</v>
      </c>
      <c r="F1550" s="244" t="str">
        <f>VLOOKUP(Main_Presentation[[#This Row],[LC Number]],Main_Issuance[],5,0)</f>
        <v>SNB</v>
      </c>
      <c r="G1550" s="244" t="str">
        <f>VLOOKUP(Main_Presentation[[#This Row],[LC Number]],Main_Issuance[],6,0)</f>
        <v>Opera House</v>
      </c>
      <c r="H1550" s="244" t="str">
        <f>VLOOKUP(Main_Presentation[[#This Row],[LC Number]],Main_Issuance[],17,0)</f>
        <v>Credit</v>
      </c>
      <c r="I1550" s="244" t="str">
        <f>VLOOKUP(Main_Presentation[[#This Row],[LC Number]],Main_Issuance[],7,0)</f>
        <v>APS ARABIAN CONTRACTING COMPANY</v>
      </c>
      <c r="J1550" s="244" t="str">
        <f>VLOOKUP(Main_Presentation[[#This Row],[LC Number]],Main_Issuance[],8,0)</f>
        <v>MBL/AICS</v>
      </c>
      <c r="K1550" s="244" t="str">
        <f>VLOOKUP(Main_Presentation[[#This Row],[LC Number]],Main_Issuance[],9,0)</f>
        <v>OPERA House</v>
      </c>
      <c r="L1550" s="244">
        <f>VLOOKUP(Main_Presentation[[#This Row],[LC Number]],Main_Issuance[],10,0)</f>
        <v>1020097</v>
      </c>
      <c r="M1550" s="244" t="str">
        <f>VLOOKUP(Main_Presentation[[#This Row],[LC Number]],Main_Issuance[],11,0)</f>
        <v>SAR</v>
      </c>
      <c r="N1550" s="245">
        <f>VLOOKUP(Main_Presentation[[#This Row],[LC Number]],Main_Issuance[],12,0)</f>
        <v>2072033.2</v>
      </c>
      <c r="O1550" s="217" t="s">
        <v>20</v>
      </c>
      <c r="P1550" s="217" t="s">
        <v>378</v>
      </c>
      <c r="Q1550" s="218">
        <v>240327</v>
      </c>
      <c r="R1550" s="218">
        <v>1</v>
      </c>
      <c r="S1550" s="218">
        <f>Main_Presentation[[#This Row],[Invoice Amt (FCY)]]*Main_Presentation[[#This Row],[Rate]]</f>
        <v>240327</v>
      </c>
      <c r="T1550" s="227">
        <v>46177</v>
      </c>
      <c r="U1550" s="243" t="str">
        <f>VLOOKUP(Main_Presentation[[#This Row],[LC Number]],Main_Issuance[],18,0)</f>
        <v>60 Days from Invoice Date</v>
      </c>
      <c r="V1550" s="233" t="s">
        <v>96</v>
      </c>
      <c r="W1550" s="229" t="s">
        <v>857</v>
      </c>
      <c r="X1550" s="217"/>
      <c r="Y1550" s="399" t="str">
        <f>TRIM(LEFT(Main_Presentation[[#This Row],[Payment Terms]],3))</f>
        <v>60</v>
      </c>
      <c r="Z1550" s="217"/>
      <c r="AA1550" s="405" cm="1">
        <f t="array" ref="AA1550">Settlement(Main_Presentation[[#This Row],[Bank]],Main_Presentation[[#This Row],[ Invoice Amt (SAR)]],Main_Presentation[[#This Row],[Date Recd]],Main_Presentation[[#This Row],[Due Date]],Main_Presentation[[#This Row],[Days]])</f>
        <v>616.4</v>
      </c>
      <c r="AB1550" s="217"/>
    </row>
    <row r="1551" spans="1:28" ht="15.75" hidden="1" x14ac:dyDescent="0.25">
      <c r="A1551" s="226" t="s">
        <v>1896</v>
      </c>
      <c r="B1551" s="227">
        <v>46154</v>
      </c>
      <c r="C1551" s="243">
        <v>9</v>
      </c>
      <c r="D1551" s="228" t="str">
        <f>VLOOKUP(Main_Presentation[[#This Row],[LC Number]],Main_Issuance[],3,0)</f>
        <v>Rabih Makhoul</v>
      </c>
      <c r="E1551" s="217" t="s">
        <v>856</v>
      </c>
      <c r="F1551" s="244" t="str">
        <f>VLOOKUP(Main_Presentation[[#This Row],[LC Number]],Main_Issuance[],5,0)</f>
        <v>Alinma</v>
      </c>
      <c r="G1551" s="244" t="str">
        <f>VLOOKUP(Main_Presentation[[#This Row],[LC Number]],Main_Issuance[],6,0)</f>
        <v>KSP</v>
      </c>
      <c r="H1551" s="244" t="str">
        <f>VLOOKUP(Main_Presentation[[#This Row],[LC Number]],Main_Issuance[],17,0)</f>
        <v>Credit</v>
      </c>
      <c r="I1551" s="244" t="str">
        <f>VLOOKUP(Main_Presentation[[#This Row],[LC Number]],Main_Issuance[],7,0)</f>
        <v>Saudi Perfect Pumps Trading &amp; Manufacturing Company</v>
      </c>
      <c r="J1551" s="244" t="str">
        <f>VLOOKUP(Main_Presentation[[#This Row],[LC Number]],Main_Issuance[],8,0)</f>
        <v>MBL</v>
      </c>
      <c r="K1551" s="244" t="str">
        <f>VLOOKUP(Main_Presentation[[#This Row],[LC Number]],Main_Issuance[],9,0)</f>
        <v>Rabigh Power Plant</v>
      </c>
      <c r="L1551" s="244">
        <f>VLOOKUP(Main_Presentation[[#This Row],[LC Number]],Main_Issuance[],10,0)</f>
        <v>1020107</v>
      </c>
      <c r="M1551" s="244" t="str">
        <f>VLOOKUP(Main_Presentation[[#This Row],[LC Number]],Main_Issuance[],11,0)</f>
        <v>SAR</v>
      </c>
      <c r="N1551" s="245">
        <f>VLOOKUP(Main_Presentation[[#This Row],[LC Number]],Main_Issuance[],12,0)</f>
        <v>7670500</v>
      </c>
      <c r="O1551" s="217" t="s">
        <v>20</v>
      </c>
      <c r="P1551" s="217" t="s">
        <v>378</v>
      </c>
      <c r="Q1551" s="218">
        <v>263230</v>
      </c>
      <c r="R1551" s="218">
        <v>1</v>
      </c>
      <c r="S1551" s="218">
        <f>Main_Presentation[[#This Row],[Invoice Amt (FCY)]]*Main_Presentation[[#This Row],[Rate]]</f>
        <v>263230</v>
      </c>
      <c r="T1551" s="227">
        <v>46187</v>
      </c>
      <c r="U1551" s="243" t="str">
        <f>VLOOKUP(Main_Presentation[[#This Row],[LC Number]],Main_Issuance[],18,0)</f>
        <v>45 Days from Delivery Date</v>
      </c>
      <c r="V1551" s="233" t="s">
        <v>1460</v>
      </c>
      <c r="W1551" s="229" t="s">
        <v>378</v>
      </c>
      <c r="X1551" s="217"/>
      <c r="Y1551" s="399" t="str">
        <f>TRIM(LEFT(Main_Presentation[[#This Row],[Payment Terms]],3))</f>
        <v>45</v>
      </c>
      <c r="Z1551" s="217"/>
      <c r="AA1551" s="405" cm="1">
        <f t="array" ref="AA1551">Settlement(Main_Presentation[[#This Row],[Bank]],Main_Presentation[[#This Row],[ Invoice Amt (SAR)]],Main_Presentation[[#This Row],[Date Recd]],Main_Presentation[[#This Row],[Due Date]],Main_Presentation[[#This Row],[Days]])</f>
        <v>1437.5</v>
      </c>
      <c r="AB1551" s="217"/>
    </row>
    <row r="1552" spans="1:28" ht="15.75" hidden="1" x14ac:dyDescent="0.25">
      <c r="A1552" s="226" t="s">
        <v>4737</v>
      </c>
      <c r="B1552" s="227">
        <v>46141</v>
      </c>
      <c r="C1552" s="243">
        <v>1</v>
      </c>
      <c r="D1552" s="228" t="str">
        <f>VLOOKUP(Main_Presentation[[#This Row],[LC Number]],Main_Issuance[],3,0)</f>
        <v>Justin Xavier</v>
      </c>
      <c r="E1552" s="217" t="s">
        <v>858</v>
      </c>
      <c r="F1552" s="244" t="str">
        <f>VLOOKUP(Main_Presentation[[#This Row],[LC Number]],Main_Issuance[],5,0)</f>
        <v>Alinma</v>
      </c>
      <c r="G1552" s="244" t="str">
        <f>VLOOKUP(Main_Presentation[[#This Row],[LC Number]],Main_Issuance[],6,0)</f>
        <v>KSP</v>
      </c>
      <c r="H1552" s="244" t="str">
        <f>VLOOKUP(Main_Presentation[[#This Row],[LC Number]],Main_Issuance[],17,0)</f>
        <v>Credit</v>
      </c>
      <c r="I1552" s="244" t="str">
        <f>VLOOKUP(Main_Presentation[[#This Row],[LC Number]],Main_Issuance[],7,0)</f>
        <v>Innovative Specialized Security Solution</v>
      </c>
      <c r="J1552" s="244" t="str">
        <f>VLOOKUP(Main_Presentation[[#This Row],[LC Number]],Main_Issuance[],8,0)</f>
        <v>ICAD</v>
      </c>
      <c r="K1552" s="244" t="str">
        <f>VLOOKUP(Main_Presentation[[#This Row],[LC Number]],Main_Issuance[],9,0)</f>
        <v>ADF</v>
      </c>
      <c r="L1552" s="244">
        <f>VLOOKUP(Main_Presentation[[#This Row],[LC Number]],Main_Issuance[],10,0)</f>
        <v>1020001</v>
      </c>
      <c r="M1552" s="244" t="str">
        <f>VLOOKUP(Main_Presentation[[#This Row],[LC Number]],Main_Issuance[],11,0)</f>
        <v>SAR</v>
      </c>
      <c r="N1552" s="245">
        <f>VLOOKUP(Main_Presentation[[#This Row],[LC Number]],Main_Issuance[],12,0)</f>
        <v>15724333.939999999</v>
      </c>
      <c r="O1552" s="217" t="s">
        <v>910</v>
      </c>
      <c r="P1552" s="217" t="s">
        <v>378</v>
      </c>
      <c r="Q1552" s="218">
        <v>15724333.939999999</v>
      </c>
      <c r="R1552" s="218">
        <v>1</v>
      </c>
      <c r="S1552" s="218">
        <f>Main_Presentation[[#This Row],[Invoice Amt (FCY)]]*Main_Presentation[[#This Row],[Rate]]</f>
        <v>15724333.939999999</v>
      </c>
      <c r="T1552" s="227">
        <v>46232</v>
      </c>
      <c r="U1552" s="243" t="str">
        <f>VLOOKUP(Main_Presentation[[#This Row],[LC Number]],Main_Issuance[],18,0)</f>
        <v>90 Days from Applicant representative sign on Invoice</v>
      </c>
      <c r="V1552" s="233"/>
      <c r="W1552" s="229" t="s">
        <v>378</v>
      </c>
      <c r="X1552" s="217" t="s">
        <v>5156</v>
      </c>
      <c r="Y1552" s="399" t="str">
        <f>TRIM(LEFT(Main_Presentation[[#This Row],[Payment Terms]],3))</f>
        <v>90</v>
      </c>
      <c r="Z1552" s="217"/>
      <c r="AA1552" s="405" cm="1">
        <f t="array" ref="AA1552">Settlement(Main_Presentation[[#This Row],[Bank]],Main_Presentation[[#This Row],[ Invoice Amt (SAR)]],Main_Presentation[[#This Row],[Date Recd]],Main_Presentation[[#This Row],[Due Date]],Main_Presentation[[#This Row],[Days]])</f>
        <v>22603.25</v>
      </c>
      <c r="AB1552" s="217"/>
    </row>
    <row r="1553" spans="1:28" ht="15.75" hidden="1" x14ac:dyDescent="0.25">
      <c r="A1553" s="226" t="s">
        <v>1446</v>
      </c>
      <c r="B1553" s="227">
        <v>46147</v>
      </c>
      <c r="C1553" s="243">
        <v>9</v>
      </c>
      <c r="D1553" s="228" t="str">
        <f>VLOOKUP(Main_Presentation[[#This Row],[LC Number]],Main_Issuance[],3,0)</f>
        <v>Rabih Makhoul</v>
      </c>
      <c r="E1553" s="217" t="s">
        <v>858</v>
      </c>
      <c r="F1553" s="244" t="str">
        <f>VLOOKUP(Main_Presentation[[#This Row],[LC Number]],Main_Issuance[],5,0)</f>
        <v>SNB</v>
      </c>
      <c r="G1553" s="244" t="str">
        <f>VLOOKUP(Main_Presentation[[#This Row],[LC Number]],Main_Issuance[],6,0)</f>
        <v>Opera House</v>
      </c>
      <c r="H1553" s="244" t="str">
        <f>VLOOKUP(Main_Presentation[[#This Row],[LC Number]],Main_Issuance[],17,0)</f>
        <v>Credit</v>
      </c>
      <c r="I1553" s="244" t="str">
        <f>VLOOKUP(Main_Presentation[[#This Row],[LC Number]],Main_Issuance[],7,0)</f>
        <v>Al Arabia Construction &amp; Building Co.</v>
      </c>
      <c r="J1553" s="244" t="str">
        <f>VLOOKUP(Main_Presentation[[#This Row],[LC Number]],Main_Issuance[],8,0)</f>
        <v>MBL</v>
      </c>
      <c r="K1553" s="244" t="str">
        <f>VLOOKUP(Main_Presentation[[#This Row],[LC Number]],Main_Issuance[],9,0)</f>
        <v>Rabigh Power Plant</v>
      </c>
      <c r="L1553" s="244">
        <f>VLOOKUP(Main_Presentation[[#This Row],[LC Number]],Main_Issuance[],10,0)</f>
        <v>1020107</v>
      </c>
      <c r="M1553" s="244" t="str">
        <f>VLOOKUP(Main_Presentation[[#This Row],[LC Number]],Main_Issuance[],11,0)</f>
        <v>SAR</v>
      </c>
      <c r="N1553" s="245">
        <f>VLOOKUP(Main_Presentation[[#This Row],[LC Number]],Main_Issuance[],12,0)</f>
        <v>4738920</v>
      </c>
      <c r="O1553" s="217" t="s">
        <v>20</v>
      </c>
      <c r="P1553" s="217" t="s">
        <v>378</v>
      </c>
      <c r="Q1553" s="218">
        <v>270623.75</v>
      </c>
      <c r="R1553" s="218">
        <v>1</v>
      </c>
      <c r="S1553" s="218">
        <f>Main_Presentation[[#This Row],[Invoice Amt (FCY)]]*Main_Presentation[[#This Row],[Rate]]</f>
        <v>270623.75</v>
      </c>
      <c r="T1553" s="227">
        <v>46149</v>
      </c>
      <c r="U1553" s="243" t="str">
        <f>VLOOKUP(Main_Presentation[[#This Row],[LC Number]],Main_Issuance[],18,0)</f>
        <v>45 Days from the Invoice Date</v>
      </c>
      <c r="V1553" s="233" t="s">
        <v>1460</v>
      </c>
      <c r="W1553" s="229" t="s">
        <v>378</v>
      </c>
      <c r="X1553" s="217"/>
      <c r="Y1553" s="399" t="str">
        <f>TRIM(LEFT(Main_Presentation[[#This Row],[Payment Terms]],3))</f>
        <v>45</v>
      </c>
      <c r="Z1553" s="217"/>
      <c r="AA1553" s="405" cm="1">
        <f t="array" ref="AA1553">Settlement(Main_Presentation[[#This Row],[Bank]],Main_Presentation[[#This Row],[ Invoice Amt (SAR)]],Main_Presentation[[#This Row],[Date Recd]],Main_Presentation[[#This Row],[Due Date]],Main_Presentation[[#This Row],[Days]])</f>
        <v>655.5</v>
      </c>
      <c r="AB1553" s="217"/>
    </row>
    <row r="1554" spans="1:28" ht="15.75" hidden="1" x14ac:dyDescent="0.25">
      <c r="A1554" s="20" t="s">
        <v>2902</v>
      </c>
      <c r="B1554" s="15">
        <v>46160</v>
      </c>
      <c r="C1554" s="26">
        <v>2</v>
      </c>
      <c r="D1554" s="55" t="str">
        <f>VLOOKUP(Main_Presentation[[#This Row],[LC Number]],Main_Issuance[],3,0)</f>
        <v>Hassan Taleb</v>
      </c>
      <c r="E1554" s="16" t="s">
        <v>856</v>
      </c>
      <c r="F1554" s="17" t="str">
        <f>VLOOKUP(Main_Presentation[[#This Row],[LC Number]],Main_Issuance[],5,0)</f>
        <v>SAB</v>
      </c>
      <c r="G1554" s="17" t="str">
        <f>VLOOKUP(Main_Presentation[[#This Row],[LC Number]],Main_Issuance[],6,0)</f>
        <v>MP1</v>
      </c>
      <c r="H1554" s="17" t="str">
        <f>VLOOKUP(Main_Presentation[[#This Row],[LC Number]],Main_Issuance[],17,0)</f>
        <v>Credit</v>
      </c>
      <c r="I1554" s="17" t="str">
        <f>VLOOKUP(Main_Presentation[[#This Row],[LC Number]],Main_Issuance[],7,0)</f>
        <v xml:space="preserve">Daikin Air Conditioning Saudi Arabia </v>
      </c>
      <c r="J1554" s="17" t="str">
        <f>VLOOKUP(Main_Presentation[[#This Row],[LC Number]],Main_Issuance[],8,0)</f>
        <v>FIRST FIX</v>
      </c>
      <c r="K1554" s="17" t="str">
        <f>VLOOKUP(Main_Presentation[[#This Row],[LC Number]],Main_Issuance[],9,0)</f>
        <v>MP1</v>
      </c>
      <c r="L1554" s="17">
        <f>VLOOKUP(Main_Presentation[[#This Row],[LC Number]],Main_Issuance[],10,0)</f>
        <v>1020088</v>
      </c>
      <c r="M1554" s="17" t="str">
        <f>VLOOKUP(Main_Presentation[[#This Row],[LC Number]],Main_Issuance[],11,0)</f>
        <v>SAR</v>
      </c>
      <c r="N1554" s="84">
        <f>VLOOKUP(Main_Presentation[[#This Row],[LC Number]],Main_Issuance[],12,0)</f>
        <v>628258.81000000006</v>
      </c>
      <c r="O1554" s="16" t="s">
        <v>912</v>
      </c>
      <c r="P1554" s="16" t="s">
        <v>857</v>
      </c>
      <c r="Q1554" s="18">
        <v>278905.67</v>
      </c>
      <c r="R1554" s="18">
        <v>1</v>
      </c>
      <c r="S1554" s="18">
        <f>Main_Presentation[[#This Row],[Invoice Amt (FCY)]]*Main_Presentation[[#This Row],[Rate]]</f>
        <v>278905.67</v>
      </c>
      <c r="T1554" s="15">
        <v>46258</v>
      </c>
      <c r="U1554" s="26" t="str">
        <f>VLOOKUP(Main_Presentation[[#This Row],[LC Number]],Main_Issuance[],18,0)</f>
        <v>120 Days from Invoice Date</v>
      </c>
      <c r="V1554" s="249"/>
      <c r="W1554" s="22" t="s">
        <v>378</v>
      </c>
      <c r="X1554" s="16"/>
      <c r="Y1554" s="234" t="str">
        <f>TRIM(LEFT(Main_Presentation[[#This Row],[Payment Terms]],3))</f>
        <v>120</v>
      </c>
      <c r="Z1554" s="16"/>
      <c r="AA1554" s="316" cm="1">
        <f t="array" ref="AA1554">Settlement(Main_Presentation[[#This Row],[Bank]],Main_Presentation[[#This Row],[ Invoice Amt (SAR)]],Main_Presentation[[#This Row],[Date Recd]],Main_Presentation[[#This Row],[Due Date]],Main_Presentation[[#This Row],[Days]])</f>
        <v>1202.9000000000001</v>
      </c>
      <c r="AB1554" s="16"/>
    </row>
    <row r="1555" spans="1:28" ht="15.75" hidden="1" x14ac:dyDescent="0.25">
      <c r="A1555" s="20" t="s">
        <v>3327</v>
      </c>
      <c r="B1555" s="15">
        <v>46155</v>
      </c>
      <c r="C1555" s="26">
        <v>1</v>
      </c>
      <c r="D1555" s="55" t="str">
        <f>VLOOKUP(Main_Presentation[[#This Row],[LC Number]],Main_Issuance[],3,0)</f>
        <v>Luis Puente</v>
      </c>
      <c r="E1555" s="16" t="s">
        <v>856</v>
      </c>
      <c r="F1555" s="17" t="str">
        <f>VLOOKUP(Main_Presentation[[#This Row],[LC Number]],Main_Issuance[],5,0)</f>
        <v>Riyad</v>
      </c>
      <c r="G1555" s="17" t="str">
        <f>VLOOKUP(Main_Presentation[[#This Row],[LC Number]],Main_Issuance[],6,0)</f>
        <v>Oceanarium</v>
      </c>
      <c r="H1555" s="17" t="str">
        <f>VLOOKUP(Main_Presentation[[#This Row],[LC Number]],Main_Issuance[],17,0)</f>
        <v>Credit</v>
      </c>
      <c r="I1555" s="17" t="str">
        <f>VLOOKUP(Main_Presentation[[#This Row],[LC Number]],Main_Issuance[],7,0)</f>
        <v>Teqniye Al-Majra For Contracting</v>
      </c>
      <c r="J1555" s="17" t="str">
        <f>VLOOKUP(Main_Presentation[[#This Row],[LC Number]],Main_Issuance[],8,0)</f>
        <v>FIRST FIX</v>
      </c>
      <c r="K1555" s="17" t="str">
        <f>VLOOKUP(Main_Presentation[[#This Row],[LC Number]],Main_Issuance[],9,0)</f>
        <v>Oceanarium</v>
      </c>
      <c r="L1555" s="17">
        <f>VLOOKUP(Main_Presentation[[#This Row],[LC Number]],Main_Issuance[],10,0)</f>
        <v>1020096</v>
      </c>
      <c r="M1555" s="17" t="str">
        <f>VLOOKUP(Main_Presentation[[#This Row],[LC Number]],Main_Issuance[],11,0)</f>
        <v>SAR</v>
      </c>
      <c r="N1555" s="84">
        <f>VLOOKUP(Main_Presentation[[#This Row],[LC Number]],Main_Issuance[],12,0)</f>
        <v>500000</v>
      </c>
      <c r="O1555" s="16" t="s">
        <v>912</v>
      </c>
      <c r="P1555" s="16" t="s">
        <v>857</v>
      </c>
      <c r="Q1555" s="18">
        <v>489669.97</v>
      </c>
      <c r="R1555" s="18">
        <v>1</v>
      </c>
      <c r="S1555" s="18">
        <f>Main_Presentation[[#This Row],[Invoice Amt (FCY)]]*Main_Presentation[[#This Row],[Rate]]</f>
        <v>489669.97</v>
      </c>
      <c r="T1555" s="15">
        <v>46236</v>
      </c>
      <c r="U1555" s="26" t="str">
        <f>VLOOKUP(Main_Presentation[[#This Row],[LC Number]],Main_Issuance[],18,0)</f>
        <v>90 Days from Appln Rep Sign on Invoice</v>
      </c>
      <c r="V1555" s="249"/>
      <c r="W1555" s="22" t="s">
        <v>378</v>
      </c>
      <c r="X1555" s="16"/>
      <c r="Y1555" s="234" t="str">
        <f>TRIM(LEFT(Main_Presentation[[#This Row],[Payment Terms]],3))</f>
        <v>90</v>
      </c>
      <c r="Z1555" s="16"/>
      <c r="AA1555" s="316" cm="1">
        <f t="array" ref="AA1555">Settlement(Main_Presentation[[#This Row],[Bank]],Main_Presentation[[#This Row],[ Invoice Amt (SAR)]],Main_Presentation[[#This Row],[Date Recd]],Main_Presentation[[#This Row],[Due Date]],Main_Presentation[[#This Row],[Days]])</f>
        <v>2111.4</v>
      </c>
      <c r="AB1555" s="16"/>
    </row>
    <row r="1556" spans="1:28" ht="15.75" hidden="1" x14ac:dyDescent="0.25">
      <c r="A1556" s="20" t="s">
        <v>3715</v>
      </c>
      <c r="B1556" s="15">
        <v>46155</v>
      </c>
      <c r="C1556" s="26">
        <v>1</v>
      </c>
      <c r="D1556" s="55" t="str">
        <f>VLOOKUP(Main_Presentation[[#This Row],[LC Number]],Main_Issuance[],3,0)</f>
        <v>Hassan Taleb</v>
      </c>
      <c r="E1556" s="16" t="s">
        <v>856</v>
      </c>
      <c r="F1556" s="17" t="str">
        <f>VLOOKUP(Main_Presentation[[#This Row],[LC Number]],Main_Issuance[],5,0)</f>
        <v>SAB</v>
      </c>
      <c r="G1556" s="17" t="str">
        <f>VLOOKUP(Main_Presentation[[#This Row],[LC Number]],Main_Issuance[],6,0)</f>
        <v>MP1</v>
      </c>
      <c r="H1556" s="17" t="str">
        <f>VLOOKUP(Main_Presentation[[#This Row],[LC Number]],Main_Issuance[],17,0)</f>
        <v>Credit</v>
      </c>
      <c r="I1556" s="17" t="str">
        <f>VLOOKUP(Main_Presentation[[#This Row],[LC Number]],Main_Issuance[],7,0)</f>
        <v>Mimar for Construction Tools &amp; Trading Ltd.</v>
      </c>
      <c r="J1556" s="17" t="str">
        <f>VLOOKUP(Main_Presentation[[#This Row],[LC Number]],Main_Issuance[],8,0)</f>
        <v>FIRST FIX</v>
      </c>
      <c r="K1556" s="17" t="str">
        <f>VLOOKUP(Main_Presentation[[#This Row],[LC Number]],Main_Issuance[],9,0)</f>
        <v>MP1</v>
      </c>
      <c r="L1556" s="17">
        <f>VLOOKUP(Main_Presentation[[#This Row],[LC Number]],Main_Issuance[],10,0)</f>
        <v>1020088</v>
      </c>
      <c r="M1556" s="17" t="str">
        <f>VLOOKUP(Main_Presentation[[#This Row],[LC Number]],Main_Issuance[],11,0)</f>
        <v>SAR</v>
      </c>
      <c r="N1556" s="84">
        <f>VLOOKUP(Main_Presentation[[#This Row],[LC Number]],Main_Issuance[],12,0)</f>
        <v>900000</v>
      </c>
      <c r="O1556" s="16" t="s">
        <v>912</v>
      </c>
      <c r="P1556" s="16" t="s">
        <v>857</v>
      </c>
      <c r="Q1556" s="18">
        <v>900000</v>
      </c>
      <c r="R1556" s="18">
        <v>1</v>
      </c>
      <c r="S1556" s="18">
        <f>Main_Presentation[[#This Row],[Invoice Amt (FCY)]]*Main_Presentation[[#This Row],[Rate]]</f>
        <v>900000</v>
      </c>
      <c r="T1556" s="15">
        <v>46236</v>
      </c>
      <c r="U1556" s="26" t="str">
        <f>VLOOKUP(Main_Presentation[[#This Row],[LC Number]],Main_Issuance[],18,0)</f>
        <v>90 Days from Applicant representative sign on Invoice</v>
      </c>
      <c r="V1556" s="249"/>
      <c r="W1556" s="22" t="s">
        <v>378</v>
      </c>
      <c r="X1556" s="16"/>
      <c r="Y1556" s="234" t="str">
        <f>TRIM(LEFT(Main_Presentation[[#This Row],[Payment Terms]],3))</f>
        <v>90</v>
      </c>
      <c r="Z1556" s="16"/>
      <c r="AA1556" s="316" cm="1">
        <f t="array" ref="AA1556">Settlement(Main_Presentation[[#This Row],[Bank]],Main_Presentation[[#This Row],[ Invoice Amt (SAR)]],Main_Presentation[[#This Row],[Date Recd]],Main_Presentation[[#This Row],[Due Date]],Main_Presentation[[#This Row],[Days]])</f>
        <v>3881.25</v>
      </c>
      <c r="AB1556" s="16"/>
    </row>
    <row r="1557" spans="1:28" ht="15.75" hidden="1" x14ac:dyDescent="0.25">
      <c r="A1557" s="20" t="s">
        <v>4551</v>
      </c>
      <c r="B1557" s="15">
        <v>46156</v>
      </c>
      <c r="C1557" s="26">
        <v>1</v>
      </c>
      <c r="D1557" s="55" t="str">
        <f>VLOOKUP(Main_Presentation[[#This Row],[LC Number]],Main_Issuance[],3,0)</f>
        <v>Hassan Taleb</v>
      </c>
      <c r="E1557" s="16" t="s">
        <v>856</v>
      </c>
      <c r="F1557" s="17" t="str">
        <f>VLOOKUP(Main_Presentation[[#This Row],[LC Number]],Main_Issuance[],5,0)</f>
        <v>SAB</v>
      </c>
      <c r="G1557" s="17" t="str">
        <f>VLOOKUP(Main_Presentation[[#This Row],[LC Number]],Main_Issuance[],6,0)</f>
        <v>MP1</v>
      </c>
      <c r="H1557" s="17" t="str">
        <f>VLOOKUP(Main_Presentation[[#This Row],[LC Number]],Main_Issuance[],17,0)</f>
        <v>Credit</v>
      </c>
      <c r="I1557" s="17" t="str">
        <f>VLOOKUP(Main_Presentation[[#This Row],[LC Number]],Main_Issuance[],7,0)</f>
        <v>Atiaf International Trading Company</v>
      </c>
      <c r="J1557" s="17" t="str">
        <f>VLOOKUP(Main_Presentation[[#This Row],[LC Number]],Main_Issuance[],8,0)</f>
        <v>FIRST FIX</v>
      </c>
      <c r="K1557" s="17" t="str">
        <f>VLOOKUP(Main_Presentation[[#This Row],[LC Number]],Main_Issuance[],9,0)</f>
        <v>MP1</v>
      </c>
      <c r="L1557" s="17">
        <f>VLOOKUP(Main_Presentation[[#This Row],[LC Number]],Main_Issuance[],10,0)</f>
        <v>1020088</v>
      </c>
      <c r="M1557" s="17" t="str">
        <f>VLOOKUP(Main_Presentation[[#This Row],[LC Number]],Main_Issuance[],11,0)</f>
        <v>SAR</v>
      </c>
      <c r="N1557" s="84">
        <f>VLOOKUP(Main_Presentation[[#This Row],[LC Number]],Main_Issuance[],12,0)</f>
        <v>150000</v>
      </c>
      <c r="O1557" s="16" t="s">
        <v>912</v>
      </c>
      <c r="P1557" s="16" t="s">
        <v>857</v>
      </c>
      <c r="Q1557" s="18">
        <v>93855.09</v>
      </c>
      <c r="R1557" s="18">
        <v>1</v>
      </c>
      <c r="S1557" s="18">
        <f>Main_Presentation[[#This Row],[Invoice Amt (FCY)]]*Main_Presentation[[#This Row],[Rate]]</f>
        <v>93855.09</v>
      </c>
      <c r="T1557" s="15">
        <v>46235</v>
      </c>
      <c r="U1557" s="26" t="str">
        <f>VLOOKUP(Main_Presentation[[#This Row],[LC Number]],Main_Issuance[],18,0)</f>
        <v>90 Days from App Rep Sign on Invoice</v>
      </c>
      <c r="V1557" s="249"/>
      <c r="W1557" s="22" t="s">
        <v>378</v>
      </c>
      <c r="X1557" s="16"/>
      <c r="Y1557" s="234" t="str">
        <f>TRIM(LEFT(Main_Presentation[[#This Row],[Payment Terms]],3))</f>
        <v>90</v>
      </c>
      <c r="Z1557" s="16"/>
      <c r="AA1557" s="316" cm="1">
        <f t="array" ref="AA1557">Settlement(Main_Presentation[[#This Row],[Bank]],Main_Presentation[[#This Row],[ Invoice Amt (SAR)]],Main_Presentation[[#This Row],[Date Recd]],Main_Presentation[[#This Row],[Due Date]],Main_Presentation[[#This Row],[Days]])</f>
        <v>575</v>
      </c>
      <c r="AB1557" s="16"/>
    </row>
    <row r="1558" spans="1:28" ht="15.75" hidden="1" x14ac:dyDescent="0.25">
      <c r="A1558" s="20" t="s">
        <v>3323</v>
      </c>
      <c r="B1558" s="15">
        <v>46155</v>
      </c>
      <c r="C1558" s="26">
        <v>1</v>
      </c>
      <c r="D1558" s="55" t="str">
        <f>VLOOKUP(Main_Presentation[[#This Row],[LC Number]],Main_Issuance[],3,0)</f>
        <v>Luis Puente</v>
      </c>
      <c r="E1558" s="16" t="s">
        <v>856</v>
      </c>
      <c r="F1558" s="17" t="str">
        <f>VLOOKUP(Main_Presentation[[#This Row],[LC Number]],Main_Issuance[],5,0)</f>
        <v>Riyad</v>
      </c>
      <c r="G1558" s="17" t="str">
        <f>VLOOKUP(Main_Presentation[[#This Row],[LC Number]],Main_Issuance[],6,0)</f>
        <v>Oceanarium</v>
      </c>
      <c r="H1558" s="17" t="str">
        <f>VLOOKUP(Main_Presentation[[#This Row],[LC Number]],Main_Issuance[],17,0)</f>
        <v>Credit</v>
      </c>
      <c r="I1558" s="17" t="str">
        <f>VLOOKUP(Main_Presentation[[#This Row],[LC Number]],Main_Issuance[],7,0)</f>
        <v>ALFANAR ELECTRICAL SYSTEMS</v>
      </c>
      <c r="J1558" s="17" t="str">
        <f>VLOOKUP(Main_Presentation[[#This Row],[LC Number]],Main_Issuance[],8,0)</f>
        <v>FIRST FIX</v>
      </c>
      <c r="K1558" s="17" t="str">
        <f>VLOOKUP(Main_Presentation[[#This Row],[LC Number]],Main_Issuance[],9,0)</f>
        <v>Oceanarium</v>
      </c>
      <c r="L1558" s="17">
        <f>VLOOKUP(Main_Presentation[[#This Row],[LC Number]],Main_Issuance[],10,0)</f>
        <v>1020096</v>
      </c>
      <c r="M1558" s="17" t="str">
        <f>VLOOKUP(Main_Presentation[[#This Row],[LC Number]],Main_Issuance[],11,0)</f>
        <v>SAR</v>
      </c>
      <c r="N1558" s="84">
        <f>VLOOKUP(Main_Presentation[[#This Row],[LC Number]],Main_Issuance[],12,0)</f>
        <v>1044853.45</v>
      </c>
      <c r="O1558" s="16" t="s">
        <v>912</v>
      </c>
      <c r="P1558" s="16" t="s">
        <v>857</v>
      </c>
      <c r="Q1558" s="18">
        <v>567743.27</v>
      </c>
      <c r="R1558" s="18">
        <v>1</v>
      </c>
      <c r="S1558" s="18">
        <f>Main_Presentation[[#This Row],[Invoice Amt (FCY)]]*Main_Presentation[[#This Row],[Rate]]</f>
        <v>567743.27</v>
      </c>
      <c r="T1558" s="15">
        <v>46236</v>
      </c>
      <c r="U1558" s="26" t="str">
        <f>VLOOKUP(Main_Presentation[[#This Row],[LC Number]],Main_Issuance[],18,0)</f>
        <v>90 Days from Appln Rep Sign on Invoice</v>
      </c>
      <c r="V1558" s="249"/>
      <c r="W1558" s="22" t="s">
        <v>378</v>
      </c>
      <c r="X1558" s="16"/>
      <c r="Y1558" s="234" t="str">
        <f>TRIM(LEFT(Main_Presentation[[#This Row],[Payment Terms]],3))</f>
        <v>90</v>
      </c>
      <c r="Z1558" s="16"/>
      <c r="AA1558" s="316" cm="1">
        <f t="array" ref="AA1558">Settlement(Main_Presentation[[#This Row],[Bank]],Main_Presentation[[#This Row],[ Invoice Amt (SAR)]],Main_Presentation[[#This Row],[Date Recd]],Main_Presentation[[#This Row],[Due Date]],Main_Presentation[[#This Row],[Days]])</f>
        <v>2448.35</v>
      </c>
      <c r="AB1558" s="16"/>
    </row>
    <row r="1559" spans="1:28" ht="15.75" hidden="1" x14ac:dyDescent="0.25">
      <c r="A1559" s="226" t="s">
        <v>3714</v>
      </c>
      <c r="B1559" s="227">
        <v>46156</v>
      </c>
      <c r="C1559" s="243">
        <v>1</v>
      </c>
      <c r="D1559" s="228" t="str">
        <f>VLOOKUP(Main_Presentation[[#This Row],[LC Number]],Main_Issuance[],3,0)</f>
        <v>Hassan Taleb</v>
      </c>
      <c r="E1559" s="217" t="s">
        <v>856</v>
      </c>
      <c r="F1559" s="244" t="str">
        <f>VLOOKUP(Main_Presentation[[#This Row],[LC Number]],Main_Issuance[],5,0)</f>
        <v>SAB</v>
      </c>
      <c r="G1559" s="244" t="str">
        <f>VLOOKUP(Main_Presentation[[#This Row],[LC Number]],Main_Issuance[],6,0)</f>
        <v>MP1</v>
      </c>
      <c r="H1559" s="244" t="str">
        <f>VLOOKUP(Main_Presentation[[#This Row],[LC Number]],Main_Issuance[],17,0)</f>
        <v>Credit</v>
      </c>
      <c r="I1559" s="244" t="str">
        <f>VLOOKUP(Main_Presentation[[#This Row],[LC Number]],Main_Issuance[],7,0)</f>
        <v>BAHRA ADVANCED CABLE MANUFACTURE CO. LTD</v>
      </c>
      <c r="J1559" s="244" t="str">
        <f>VLOOKUP(Main_Presentation[[#This Row],[LC Number]],Main_Issuance[],8,0)</f>
        <v>FIRST FIX</v>
      </c>
      <c r="K1559" s="244" t="str">
        <f>VLOOKUP(Main_Presentation[[#This Row],[LC Number]],Main_Issuance[],9,0)</f>
        <v>MP1</v>
      </c>
      <c r="L1559" s="244">
        <f>VLOOKUP(Main_Presentation[[#This Row],[LC Number]],Main_Issuance[],10,0)</f>
        <v>1020088</v>
      </c>
      <c r="M1559" s="244" t="str">
        <f>VLOOKUP(Main_Presentation[[#This Row],[LC Number]],Main_Issuance[],11,0)</f>
        <v>SAR</v>
      </c>
      <c r="N1559" s="245">
        <f>VLOOKUP(Main_Presentation[[#This Row],[LC Number]],Main_Issuance[],12,0)</f>
        <v>1500000</v>
      </c>
      <c r="O1559" s="217" t="s">
        <v>912</v>
      </c>
      <c r="P1559" s="217" t="s">
        <v>857</v>
      </c>
      <c r="Q1559" s="218">
        <v>1377731.72</v>
      </c>
      <c r="R1559" s="218">
        <v>1</v>
      </c>
      <c r="S1559" s="218">
        <f>Main_Presentation[[#This Row],[Invoice Amt (FCY)]]*Main_Presentation[[#This Row],[Rate]]</f>
        <v>1377731.72</v>
      </c>
      <c r="T1559" s="227">
        <v>46236</v>
      </c>
      <c r="U1559" s="243" t="str">
        <f>VLOOKUP(Main_Presentation[[#This Row],[LC Number]],Main_Issuance[],18,0)</f>
        <v>90 Days from Applicant representative sign on Invoice</v>
      </c>
      <c r="V1559" s="233"/>
      <c r="W1559" s="229" t="s">
        <v>378</v>
      </c>
      <c r="X1559" s="217"/>
      <c r="Y1559" s="399" t="str">
        <f>TRIM(LEFT(Main_Presentation[[#This Row],[Payment Terms]],3))</f>
        <v>90</v>
      </c>
      <c r="Z1559" s="217"/>
      <c r="AA1559" s="405" cm="1">
        <f t="array" ref="AA1559">Settlement(Main_Presentation[[#This Row],[Bank]],Main_Presentation[[#This Row],[ Invoice Amt (SAR)]],Main_Presentation[[#This Row],[Date Recd]],Main_Presentation[[#This Row],[Due Date]],Main_Presentation[[#This Row],[Days]])</f>
        <v>5940.9</v>
      </c>
      <c r="AB1559" s="217"/>
    </row>
    <row r="1560" spans="1:28" ht="15.75" hidden="1" x14ac:dyDescent="0.25">
      <c r="A1560" s="226" t="s">
        <v>2287</v>
      </c>
      <c r="B1560" s="227">
        <v>46176</v>
      </c>
      <c r="C1560" s="243">
        <v>4</v>
      </c>
      <c r="D1560" s="228" t="str">
        <f>VLOOKUP(Main_Presentation[[#This Row],[LC Number]],Main_Issuance[],3,0)</f>
        <v>AbdulAziz Eraiba Fawzi</v>
      </c>
      <c r="E1560" s="217" t="s">
        <v>856</v>
      </c>
      <c r="F1560" s="244" t="str">
        <f>VLOOKUP(Main_Presentation[[#This Row],[LC Number]],Main_Issuance[],5,0)</f>
        <v>Jazira</v>
      </c>
      <c r="G1560" s="244" t="str">
        <f>VLOOKUP(Main_Presentation[[#This Row],[LC Number]],Main_Issuance[],6,0)</f>
        <v>RCRC</v>
      </c>
      <c r="H1560" s="244" t="str">
        <f>VLOOKUP(Main_Presentation[[#This Row],[LC Number]],Main_Issuance[],17,0)</f>
        <v>Credit</v>
      </c>
      <c r="I1560" s="244" t="str">
        <f>VLOOKUP(Main_Presentation[[#This Row],[LC Number]],Main_Issuance[],7,0)</f>
        <v>Alrashid Trading and Contracting Company</v>
      </c>
      <c r="J1560" s="244" t="str">
        <f>VLOOKUP(Main_Presentation[[#This Row],[LC Number]],Main_Issuance[],8,0)</f>
        <v>MBL</v>
      </c>
      <c r="K1560" s="244" t="str">
        <f>VLOOKUP(Main_Presentation[[#This Row],[LC Number]],Main_Issuance[],9,0)</f>
        <v>RCRC</v>
      </c>
      <c r="L1560" s="244">
        <f>VLOOKUP(Main_Presentation[[#This Row],[LC Number]],Main_Issuance[],10,0)</f>
        <v>1020106</v>
      </c>
      <c r="M1560" s="244" t="str">
        <f>VLOOKUP(Main_Presentation[[#This Row],[LC Number]],Main_Issuance[],11,0)</f>
        <v>SAR</v>
      </c>
      <c r="N1560" s="245">
        <f>VLOOKUP(Main_Presentation[[#This Row],[LC Number]],Main_Issuance[],12,0)</f>
        <v>16731764</v>
      </c>
      <c r="O1560" s="217" t="s">
        <v>20</v>
      </c>
      <c r="P1560" s="217" t="s">
        <v>378</v>
      </c>
      <c r="Q1560" s="218">
        <v>1205043.97</v>
      </c>
      <c r="R1560" s="218">
        <v>1</v>
      </c>
      <c r="S1560" s="218">
        <f>Main_Presentation[[#This Row],[Invoice Amt (FCY)]]*Main_Presentation[[#This Row],[Rate]]</f>
        <v>1205043.97</v>
      </c>
      <c r="T1560" s="15">
        <v>46181</v>
      </c>
      <c r="U1560" s="243" t="str">
        <f>VLOOKUP(Main_Presentation[[#This Row],[LC Number]],Main_Issuance[],18,0)</f>
        <v>30 Days From Invoice Date</v>
      </c>
      <c r="V1560" s="233" t="s">
        <v>613</v>
      </c>
      <c r="W1560" s="229" t="s">
        <v>857</v>
      </c>
      <c r="X1560" s="217"/>
      <c r="Y1560" s="399" t="str">
        <f>TRIM(LEFT(Main_Presentation[[#This Row],[Payment Terms]],3))</f>
        <v>30</v>
      </c>
      <c r="Z1560" s="217"/>
      <c r="AA1560" s="405" cm="1">
        <f t="array" ref="AA1560">Settlement(Main_Presentation[[#This Row],[Bank]],Main_Presentation[[#This Row],[ Invoice Amt (SAR)]],Main_Presentation[[#This Row],[Date Recd]],Main_Presentation[[#This Row],[Due Date]],Main_Presentation[[#This Row],[Days]])</f>
        <v>922.3</v>
      </c>
      <c r="AB1560" s="217"/>
    </row>
    <row r="1561" spans="1:28" ht="15.75" hidden="1" x14ac:dyDescent="0.25">
      <c r="A1561" s="226" t="s">
        <v>1834</v>
      </c>
      <c r="B1561" s="227">
        <v>46160</v>
      </c>
      <c r="C1561" s="243">
        <v>6</v>
      </c>
      <c r="D1561" s="228" t="str">
        <f>VLOOKUP(Main_Presentation[[#This Row],[LC Number]],Main_Issuance[],3,0)</f>
        <v>Luis Puente</v>
      </c>
      <c r="E1561" s="217" t="s">
        <v>858</v>
      </c>
      <c r="F1561" s="244" t="str">
        <f>VLOOKUP(Main_Presentation[[#This Row],[LC Number]],Main_Issuance[],5,0)</f>
        <v>Riyad</v>
      </c>
      <c r="G1561" s="244" t="str">
        <f>VLOOKUP(Main_Presentation[[#This Row],[LC Number]],Main_Issuance[],6,0)</f>
        <v>Oceanarium</v>
      </c>
      <c r="H1561" s="244" t="str">
        <f>VLOOKUP(Main_Presentation[[#This Row],[LC Number]],Main_Issuance[],17,0)</f>
        <v>Credit</v>
      </c>
      <c r="I1561" s="244" t="str">
        <f>VLOOKUP(Main_Presentation[[#This Row],[LC Number]],Main_Issuance[],7,0)</f>
        <v>Jiangsu Donchamp New Materials Technology Co.Ltd.</v>
      </c>
      <c r="J1561" s="244" t="str">
        <f>VLOOKUP(Main_Presentation[[#This Row],[LC Number]],Main_Issuance[],8,0)</f>
        <v>MBL</v>
      </c>
      <c r="K1561" s="244" t="str">
        <f>VLOOKUP(Main_Presentation[[#This Row],[LC Number]],Main_Issuance[],9,0)</f>
        <v>Oceanarium</v>
      </c>
      <c r="L1561" s="244">
        <f>VLOOKUP(Main_Presentation[[#This Row],[LC Number]],Main_Issuance[],10,0)</f>
        <v>1020096</v>
      </c>
      <c r="M1561" s="244" t="str">
        <f>VLOOKUP(Main_Presentation[[#This Row],[LC Number]],Main_Issuance[],11,0)</f>
        <v>USD</v>
      </c>
      <c r="N1561" s="245">
        <f>VLOOKUP(Main_Presentation[[#This Row],[LC Number]],Main_Issuance[],12,0)</f>
        <v>7339154</v>
      </c>
      <c r="O1561" s="217" t="s">
        <v>20</v>
      </c>
      <c r="P1561" s="217" t="s">
        <v>857</v>
      </c>
      <c r="Q1561" s="218">
        <v>227656</v>
      </c>
      <c r="R1561" s="218">
        <v>3.75</v>
      </c>
      <c r="S1561" s="218">
        <f>Main_Presentation[[#This Row],[Invoice Amt (FCY)]]*Main_Presentation[[#This Row],[Rate]]</f>
        <v>853710</v>
      </c>
      <c r="T1561" s="15">
        <v>46176</v>
      </c>
      <c r="U1561" s="243" t="str">
        <f>VLOOKUP(Main_Presentation[[#This Row],[LC Number]],Main_Issuance[],18,0)</f>
        <v>45 Days from Invoice Date / Sight</v>
      </c>
      <c r="V1561" s="249" t="s">
        <v>5429</v>
      </c>
      <c r="W1561" s="229" t="s">
        <v>378</v>
      </c>
      <c r="X1561" s="217"/>
      <c r="Y1561" s="399" t="str">
        <f>TRIM(LEFT(Main_Presentation[[#This Row],[Payment Terms]],3))</f>
        <v>45</v>
      </c>
      <c r="Z1561" s="217"/>
      <c r="AA1561" s="405" cm="1">
        <f t="array" ref="AA1561">Settlement(Main_Presentation[[#This Row],[Bank]],Main_Presentation[[#This Row],[ Invoice Amt (SAR)]],Main_Presentation[[#This Row],[Date Recd]],Main_Presentation[[#This Row],[Due Date]],Main_Presentation[[#This Row],[Days]])</f>
        <v>1227.05</v>
      </c>
      <c r="AB1561" s="217"/>
    </row>
    <row r="1562" spans="1:28" ht="15.75" hidden="1" x14ac:dyDescent="0.25">
      <c r="A1562" s="226" t="s">
        <v>707</v>
      </c>
      <c r="B1562" s="227">
        <v>46147</v>
      </c>
      <c r="C1562" s="243">
        <v>4</v>
      </c>
      <c r="D1562" s="228" t="str">
        <f>VLOOKUP(Main_Presentation[[#This Row],[LC Number]],Main_Issuance[],3,0)</f>
        <v>Chaminda Indrajit</v>
      </c>
      <c r="E1562" s="217" t="s">
        <v>856</v>
      </c>
      <c r="F1562" s="244" t="str">
        <f>VLOOKUP(Main_Presentation[[#This Row],[LC Number]],Main_Issuance[],5,0)</f>
        <v>SNB</v>
      </c>
      <c r="G1562" s="244" t="str">
        <f>VLOOKUP(Main_Presentation[[#This Row],[LC Number]],Main_Issuance[],6,0)</f>
        <v>Opera House</v>
      </c>
      <c r="H1562" s="244" t="str">
        <f>VLOOKUP(Main_Presentation[[#This Row],[LC Number]],Main_Issuance[],17,0)</f>
        <v>Credit</v>
      </c>
      <c r="I1562" s="244" t="str">
        <f>VLOOKUP(Main_Presentation[[#This Row],[LC Number]],Main_Issuance[],7,0)</f>
        <v>BBH-CHEMTROL INTERNATIONAL ORGANIZATION S.L</v>
      </c>
      <c r="J1562" s="244" t="str">
        <f>VLOOKUP(Main_Presentation[[#This Row],[LC Number]],Main_Issuance[],8,0)</f>
        <v>MBL/ICAD</v>
      </c>
      <c r="K1562" s="244" t="str">
        <f>VLOOKUP(Main_Presentation[[#This Row],[LC Number]],Main_Issuance[],9,0)</f>
        <v>OPERA House</v>
      </c>
      <c r="L1562" s="244">
        <f>VLOOKUP(Main_Presentation[[#This Row],[LC Number]],Main_Issuance[],10,0)</f>
        <v>1020097</v>
      </c>
      <c r="M1562" s="244" t="str">
        <f>VLOOKUP(Main_Presentation[[#This Row],[LC Number]],Main_Issuance[],11,0)</f>
        <v>EUR</v>
      </c>
      <c r="N1562" s="245">
        <f>VLOOKUP(Main_Presentation[[#This Row],[LC Number]],Main_Issuance[],12,0)</f>
        <v>10500000</v>
      </c>
      <c r="O1562" s="217" t="s">
        <v>20</v>
      </c>
      <c r="P1562" s="217" t="s">
        <v>857</v>
      </c>
      <c r="Q1562" s="218">
        <v>612506.13</v>
      </c>
      <c r="R1562" s="218">
        <v>4.4429999999999996</v>
      </c>
      <c r="S1562" s="218">
        <f>Main_Presentation[[#This Row],[Invoice Amt (FCY)]]*Main_Presentation[[#This Row],[Rate]]</f>
        <v>2721364.7355899997</v>
      </c>
      <c r="T1562" s="227">
        <v>46162</v>
      </c>
      <c r="U1562" s="243" t="str">
        <f>VLOOKUP(Main_Presentation[[#This Row],[LC Number]],Main_Issuance[],18,0)</f>
        <v>30 Days from Shipment Date</v>
      </c>
      <c r="V1562" s="233" t="s">
        <v>96</v>
      </c>
      <c r="W1562" s="229" t="s">
        <v>857</v>
      </c>
      <c r="X1562" s="217"/>
      <c r="Y1562" s="399" t="str">
        <f>TRIM(LEFT(Main_Presentation[[#This Row],[Payment Terms]],3))</f>
        <v>30</v>
      </c>
      <c r="Z1562" s="217"/>
      <c r="AA1562" s="405" cm="1">
        <f t="array" ref="AA1562">Settlement(Main_Presentation[[#This Row],[Bank]],Main_Presentation[[#This Row],[ Invoice Amt (SAR)]],Main_Presentation[[#This Row],[Date Recd]],Main_Presentation[[#This Row],[Due Date]],Main_Presentation[[#This Row],[Days]])</f>
        <v>655.5</v>
      </c>
      <c r="AB1562" s="217"/>
    </row>
    <row r="1563" spans="1:28" ht="15.75" hidden="1" x14ac:dyDescent="0.25">
      <c r="A1563" s="226" t="s">
        <v>1887</v>
      </c>
      <c r="B1563" s="227">
        <v>46159</v>
      </c>
      <c r="C1563" s="243">
        <v>3</v>
      </c>
      <c r="D1563" s="228" t="str">
        <f>VLOOKUP(Main_Presentation[[#This Row],[LC Number]],Main_Issuance[],3,0)</f>
        <v>Rabih Makhoul</v>
      </c>
      <c r="E1563" s="217" t="s">
        <v>856</v>
      </c>
      <c r="F1563" s="244" t="str">
        <f>VLOOKUP(Main_Presentation[[#This Row],[LC Number]],Main_Issuance[],5,0)</f>
        <v>Alinma</v>
      </c>
      <c r="G1563" s="244" t="str">
        <f>VLOOKUP(Main_Presentation[[#This Row],[LC Number]],Main_Issuance[],6,0)</f>
        <v>KSP</v>
      </c>
      <c r="H1563" s="244" t="str">
        <f>VLOOKUP(Main_Presentation[[#This Row],[LC Number]],Main_Issuance[],17,0)</f>
        <v>Credit</v>
      </c>
      <c r="I1563" s="244" t="str">
        <f>VLOOKUP(Main_Presentation[[#This Row],[LC Number]],Main_Issuance[],7,0)</f>
        <v>Future Pipe Industries LLC</v>
      </c>
      <c r="J1563" s="244" t="str">
        <f>VLOOKUP(Main_Presentation[[#This Row],[LC Number]],Main_Issuance[],8,0)</f>
        <v>MBL</v>
      </c>
      <c r="K1563" s="244" t="str">
        <f>VLOOKUP(Main_Presentation[[#This Row],[LC Number]],Main_Issuance[],9,0)</f>
        <v>Rabigh Power Plant</v>
      </c>
      <c r="L1563" s="244">
        <f>VLOOKUP(Main_Presentation[[#This Row],[LC Number]],Main_Issuance[],10,0)</f>
        <v>1020107</v>
      </c>
      <c r="M1563" s="244" t="str">
        <f>VLOOKUP(Main_Presentation[[#This Row],[LC Number]],Main_Issuance[],11,0)</f>
        <v>SAR</v>
      </c>
      <c r="N1563" s="245">
        <f>VLOOKUP(Main_Presentation[[#This Row],[LC Number]],Main_Issuance[],12,0)</f>
        <v>5308039.3600000003</v>
      </c>
      <c r="O1563" s="217" t="s">
        <v>20</v>
      </c>
      <c r="P1563" s="217" t="s">
        <v>378</v>
      </c>
      <c r="Q1563" s="218">
        <v>1018975.83</v>
      </c>
      <c r="R1563" s="218">
        <v>1</v>
      </c>
      <c r="S1563" s="218">
        <f>Main_Presentation[[#This Row],[Invoice Amt (FCY)]]*Main_Presentation[[#This Row],[Rate]]</f>
        <v>1018975.83</v>
      </c>
      <c r="T1563" s="227">
        <v>46180</v>
      </c>
      <c r="U1563" s="243" t="str">
        <f>VLOOKUP(Main_Presentation[[#This Row],[LC Number]],Main_Issuance[],18,0)</f>
        <v>60 Days From the Delivery Date</v>
      </c>
      <c r="V1563" s="233" t="s">
        <v>511</v>
      </c>
      <c r="W1563" s="229" t="s">
        <v>857</v>
      </c>
      <c r="X1563" s="217"/>
      <c r="Y1563" s="399" t="str">
        <f>TRIM(LEFT(Main_Presentation[[#This Row],[Payment Terms]],3))</f>
        <v>60</v>
      </c>
      <c r="Z1563" s="217"/>
      <c r="AA1563" s="405" cm="1">
        <f t="array" ref="AA1563">Settlement(Main_Presentation[[#This Row],[Bank]],Main_Presentation[[#This Row],[ Invoice Amt (SAR)]],Main_Presentation[[#This Row],[Date Recd]],Main_Presentation[[#This Row],[Due Date]],Main_Presentation[[#This Row],[Days]])</f>
        <v>1437.5</v>
      </c>
      <c r="AB1563" s="217"/>
    </row>
    <row r="1564" spans="1:28" ht="15.75" hidden="1" x14ac:dyDescent="0.25">
      <c r="A1564" s="226" t="s">
        <v>2562</v>
      </c>
      <c r="B1564" s="227">
        <v>46160</v>
      </c>
      <c r="C1564" s="243">
        <v>7</v>
      </c>
      <c r="D1564" s="228" t="str">
        <f>VLOOKUP(Main_Presentation[[#This Row],[LC Number]],Main_Issuance[],3,0)</f>
        <v>Matthew Mckernan - AICS</v>
      </c>
      <c r="E1564" s="217" t="s">
        <v>856</v>
      </c>
      <c r="F1564" s="244" t="str">
        <f>VLOOKUP(Main_Presentation[[#This Row],[LC Number]],Main_Issuance[],5,0)</f>
        <v>SNB</v>
      </c>
      <c r="G1564" s="244" t="str">
        <f>VLOOKUP(Main_Presentation[[#This Row],[LC Number]],Main_Issuance[],6,0)</f>
        <v>Opera House</v>
      </c>
      <c r="H1564" s="244" t="str">
        <f>VLOOKUP(Main_Presentation[[#This Row],[LC Number]],Main_Issuance[],17,0)</f>
        <v>Credit</v>
      </c>
      <c r="I1564" s="244" t="str">
        <f>VLOOKUP(Main_Presentation[[#This Row],[LC Number]],Main_Issuance[],7,0)</f>
        <v>ALNAFIE METAL INDUSTRIES CO LTD</v>
      </c>
      <c r="J1564" s="244" t="str">
        <f>VLOOKUP(Main_Presentation[[#This Row],[LC Number]],Main_Issuance[],8,0)</f>
        <v>MBL/AICS</v>
      </c>
      <c r="K1564" s="244" t="str">
        <f>VLOOKUP(Main_Presentation[[#This Row],[LC Number]],Main_Issuance[],9,0)</f>
        <v>OPERA House</v>
      </c>
      <c r="L1564" s="244">
        <f>VLOOKUP(Main_Presentation[[#This Row],[LC Number]],Main_Issuance[],10,0)</f>
        <v>1020097</v>
      </c>
      <c r="M1564" s="244" t="str">
        <f>VLOOKUP(Main_Presentation[[#This Row],[LC Number]],Main_Issuance[],11,0)</f>
        <v>SAR</v>
      </c>
      <c r="N1564" s="245">
        <f>VLOOKUP(Main_Presentation[[#This Row],[LC Number]],Main_Issuance[],12,0)</f>
        <v>18703391.850000001</v>
      </c>
      <c r="O1564" s="217" t="s">
        <v>20</v>
      </c>
      <c r="P1564" s="217" t="s">
        <v>378</v>
      </c>
      <c r="Q1564" s="218">
        <v>373524</v>
      </c>
      <c r="R1564" s="218">
        <v>1</v>
      </c>
      <c r="S1564" s="218">
        <f>Main_Presentation[[#This Row],[Invoice Amt (FCY)]]*Main_Presentation[[#This Row],[Rate]]</f>
        <v>373524</v>
      </c>
      <c r="T1564" s="227">
        <v>46181</v>
      </c>
      <c r="U1564" s="243" t="str">
        <f>VLOOKUP(Main_Presentation[[#This Row],[LC Number]],Main_Issuance[],18,0)</f>
        <v>90 Days from Invoice Date</v>
      </c>
      <c r="V1564" s="233" t="s">
        <v>96</v>
      </c>
      <c r="W1564" s="229" t="s">
        <v>857</v>
      </c>
      <c r="X1564" s="217"/>
      <c r="Y1564" s="399" t="str">
        <f>TRIM(LEFT(Main_Presentation[[#This Row],[Payment Terms]],3))</f>
        <v>90</v>
      </c>
      <c r="Z1564" s="217"/>
      <c r="AA1564" s="405" cm="1">
        <f t="array" ref="AA1564">Settlement(Main_Presentation[[#This Row],[Bank]],Main_Presentation[[#This Row],[ Invoice Amt (SAR)]],Main_Presentation[[#This Row],[Date Recd]],Main_Presentation[[#This Row],[Due Date]],Main_Presentation[[#This Row],[Days]])</f>
        <v>934.95</v>
      </c>
      <c r="AB1564" s="217"/>
    </row>
    <row r="1565" spans="1:28" ht="15.75" hidden="1" x14ac:dyDescent="0.25">
      <c r="A1565" s="226" t="s">
        <v>2905</v>
      </c>
      <c r="B1565" s="227">
        <v>46159</v>
      </c>
      <c r="C1565" s="243">
        <v>1</v>
      </c>
      <c r="D1565" s="228" t="str">
        <f>VLOOKUP(Main_Presentation[[#This Row],[LC Number]],Main_Issuance[],3,0)</f>
        <v>Hassan Taleb</v>
      </c>
      <c r="E1565" s="217" t="s">
        <v>856</v>
      </c>
      <c r="F1565" s="244" t="str">
        <f>VLOOKUP(Main_Presentation[[#This Row],[LC Number]],Main_Issuance[],5,0)</f>
        <v>SAB</v>
      </c>
      <c r="G1565" s="244" t="str">
        <f>VLOOKUP(Main_Presentation[[#This Row],[LC Number]],Main_Issuance[],6,0)</f>
        <v>MP1</v>
      </c>
      <c r="H1565" s="244" t="str">
        <f>VLOOKUP(Main_Presentation[[#This Row],[LC Number]],Main_Issuance[],17,0)</f>
        <v>Credit</v>
      </c>
      <c r="I1565" s="244" t="str">
        <f>VLOOKUP(Main_Presentation[[#This Row],[LC Number]],Main_Issuance[],7,0)</f>
        <v>Power Center Company for Industries LLC</v>
      </c>
      <c r="J1565" s="244" t="str">
        <f>VLOOKUP(Main_Presentation[[#This Row],[LC Number]],Main_Issuance[],8,0)</f>
        <v>FIRST FIX</v>
      </c>
      <c r="K1565" s="244" t="str">
        <f>VLOOKUP(Main_Presentation[[#This Row],[LC Number]],Main_Issuance[],9,0)</f>
        <v>MP1</v>
      </c>
      <c r="L1565" s="244">
        <f>VLOOKUP(Main_Presentation[[#This Row],[LC Number]],Main_Issuance[],10,0)</f>
        <v>1020088</v>
      </c>
      <c r="M1565" s="244" t="str">
        <f>VLOOKUP(Main_Presentation[[#This Row],[LC Number]],Main_Issuance[],11,0)</f>
        <v>SAR</v>
      </c>
      <c r="N1565" s="245">
        <f>VLOOKUP(Main_Presentation[[#This Row],[LC Number]],Main_Issuance[],12,0)</f>
        <v>4000000</v>
      </c>
      <c r="O1565" s="217" t="s">
        <v>912</v>
      </c>
      <c r="P1565" s="217" t="s">
        <v>857</v>
      </c>
      <c r="Q1565" s="218">
        <v>4000000</v>
      </c>
      <c r="R1565" s="218">
        <v>1</v>
      </c>
      <c r="S1565" s="218">
        <f>Main_Presentation[[#This Row],[Invoice Amt (FCY)]]*Main_Presentation[[#This Row],[Rate]]</f>
        <v>4000000</v>
      </c>
      <c r="T1565" s="227">
        <v>46267</v>
      </c>
      <c r="U1565" s="243" t="str">
        <f>VLOOKUP(Main_Presentation[[#This Row],[LC Number]],Main_Issuance[],18,0)</f>
        <v>120 Days from Invoice Date</v>
      </c>
      <c r="V1565" s="233"/>
      <c r="W1565" s="229" t="s">
        <v>378</v>
      </c>
      <c r="X1565" s="217"/>
      <c r="Y1565" s="399" t="str">
        <f>TRIM(LEFT(Main_Presentation[[#This Row],[Payment Terms]],3))</f>
        <v>120</v>
      </c>
      <c r="Z1565" s="217"/>
      <c r="AA1565" s="405" cm="1">
        <f t="array" ref="AA1565">Settlement(Main_Presentation[[#This Row],[Bank]],Main_Presentation[[#This Row],[ Invoice Amt (SAR)]],Main_Presentation[[#This Row],[Date Recd]],Main_Presentation[[#This Row],[Due Date]],Main_Presentation[[#This Row],[Days]])*2</f>
        <v>34500</v>
      </c>
      <c r="AB1565" s="217"/>
    </row>
    <row r="1566" spans="1:28" ht="15.75" hidden="1" x14ac:dyDescent="0.25">
      <c r="A1566" s="226" t="s">
        <v>4737</v>
      </c>
      <c r="B1566" s="227">
        <v>46153</v>
      </c>
      <c r="C1566" s="243">
        <v>2</v>
      </c>
      <c r="D1566" s="228" t="str">
        <f>VLOOKUP(Main_Presentation[[#This Row],[LC Number]],Main_Issuance[],3,0)</f>
        <v>Justin Xavier</v>
      </c>
      <c r="E1566" s="217" t="s">
        <v>858</v>
      </c>
      <c r="F1566" s="244" t="str">
        <f>VLOOKUP(Main_Presentation[[#This Row],[LC Number]],Main_Issuance[],5,0)</f>
        <v>Alinma</v>
      </c>
      <c r="G1566" s="244" t="str">
        <f>VLOOKUP(Main_Presentation[[#This Row],[LC Number]],Main_Issuance[],6,0)</f>
        <v>KSP</v>
      </c>
      <c r="H1566" s="244" t="str">
        <f>VLOOKUP(Main_Presentation[[#This Row],[LC Number]],Main_Issuance[],17,0)</f>
        <v>Credit</v>
      </c>
      <c r="I1566" s="244" t="str">
        <f>VLOOKUP(Main_Presentation[[#This Row],[LC Number]],Main_Issuance[],7,0)</f>
        <v>Innovative Specialized Security Solution</v>
      </c>
      <c r="J1566" s="244" t="str">
        <f>VLOOKUP(Main_Presentation[[#This Row],[LC Number]],Main_Issuance[],8,0)</f>
        <v>ICAD</v>
      </c>
      <c r="K1566" s="244" t="str">
        <f>VLOOKUP(Main_Presentation[[#This Row],[LC Number]],Main_Issuance[],9,0)</f>
        <v>ADF</v>
      </c>
      <c r="L1566" s="244">
        <f>VLOOKUP(Main_Presentation[[#This Row],[LC Number]],Main_Issuance[],10,0)</f>
        <v>1020001</v>
      </c>
      <c r="M1566" s="244" t="str">
        <f>VLOOKUP(Main_Presentation[[#This Row],[LC Number]],Main_Issuance[],11,0)</f>
        <v>SAR</v>
      </c>
      <c r="N1566" s="245">
        <f>VLOOKUP(Main_Presentation[[#This Row],[LC Number]],Main_Issuance[],12,0)</f>
        <v>15724333.939999999</v>
      </c>
      <c r="O1566" s="217" t="s">
        <v>912</v>
      </c>
      <c r="P1566" s="217" t="s">
        <v>378</v>
      </c>
      <c r="Q1566" s="218">
        <v>7000000</v>
      </c>
      <c r="R1566" s="218">
        <v>1</v>
      </c>
      <c r="S1566" s="218">
        <f>Main_Presentation[[#This Row],[Invoice Amt (FCY)]]*Main_Presentation[[#This Row],[Rate]]</f>
        <v>7000000</v>
      </c>
      <c r="T1566" s="227">
        <v>46221</v>
      </c>
      <c r="U1566" s="243" t="str">
        <f>VLOOKUP(Main_Presentation[[#This Row],[LC Number]],Main_Issuance[],18,0)</f>
        <v>90 Days from Applicant representative sign on Invoice</v>
      </c>
      <c r="V1566" s="233"/>
      <c r="W1566" s="229" t="s">
        <v>378</v>
      </c>
      <c r="X1566" s="217" t="s">
        <v>5262</v>
      </c>
      <c r="Y1566" s="399" t="str">
        <f>TRIM(LEFT(Main_Presentation[[#This Row],[Payment Terms]],3))</f>
        <v>90</v>
      </c>
      <c r="Z1566" s="217"/>
      <c r="AA1566" s="405" cm="1">
        <f t="array" ref="AA1566">Settlement(Main_Presentation[[#This Row],[Bank]],Main_Presentation[[#This Row],[ Invoice Amt (SAR)]],Main_Presentation[[#This Row],[Date Recd]],Main_Presentation[[#This Row],[Due Date]],Main_Presentation[[#This Row],[Days]])</f>
        <v>6707.95</v>
      </c>
      <c r="AB1566" s="217"/>
    </row>
    <row r="1567" spans="1:28" ht="15.75" hidden="1" x14ac:dyDescent="0.25">
      <c r="A1567" s="226" t="s">
        <v>707</v>
      </c>
      <c r="B1567" s="227">
        <v>46154</v>
      </c>
      <c r="C1567" s="243">
        <v>5</v>
      </c>
      <c r="D1567" s="228" t="str">
        <f>VLOOKUP(Main_Presentation[[#This Row],[LC Number]],Main_Issuance[],3,0)</f>
        <v>Chaminda Indrajit</v>
      </c>
      <c r="E1567" s="217" t="s">
        <v>858</v>
      </c>
      <c r="F1567" s="244" t="str">
        <f>VLOOKUP(Main_Presentation[[#This Row],[LC Number]],Main_Issuance[],5,0)</f>
        <v>SNB</v>
      </c>
      <c r="G1567" s="244" t="str">
        <f>VLOOKUP(Main_Presentation[[#This Row],[LC Number]],Main_Issuance[],6,0)</f>
        <v>Opera House</v>
      </c>
      <c r="H1567" s="244" t="str">
        <f>VLOOKUP(Main_Presentation[[#This Row],[LC Number]],Main_Issuance[],17,0)</f>
        <v>Credit</v>
      </c>
      <c r="I1567" s="244" t="str">
        <f>VLOOKUP(Main_Presentation[[#This Row],[LC Number]],Main_Issuance[],7,0)</f>
        <v>BBH-CHEMTROL INTERNATIONAL ORGANIZATION S.L</v>
      </c>
      <c r="J1567" s="244" t="str">
        <f>VLOOKUP(Main_Presentation[[#This Row],[LC Number]],Main_Issuance[],8,0)</f>
        <v>MBL/ICAD</v>
      </c>
      <c r="K1567" s="244" t="str">
        <f>VLOOKUP(Main_Presentation[[#This Row],[LC Number]],Main_Issuance[],9,0)</f>
        <v>OPERA House</v>
      </c>
      <c r="L1567" s="244">
        <f>VLOOKUP(Main_Presentation[[#This Row],[LC Number]],Main_Issuance[],10,0)</f>
        <v>1020097</v>
      </c>
      <c r="M1567" s="244" t="str">
        <f>VLOOKUP(Main_Presentation[[#This Row],[LC Number]],Main_Issuance[],11,0)</f>
        <v>EUR</v>
      </c>
      <c r="N1567" s="245">
        <f>VLOOKUP(Main_Presentation[[#This Row],[LC Number]],Main_Issuance[],12,0)</f>
        <v>10500000</v>
      </c>
      <c r="O1567" s="217" t="s">
        <v>20</v>
      </c>
      <c r="P1567" s="217" t="s">
        <v>857</v>
      </c>
      <c r="Q1567" s="218">
        <v>150630.35999999999</v>
      </c>
      <c r="R1567" s="218">
        <v>4.4429999999999996</v>
      </c>
      <c r="S1567" s="218">
        <f>Main_Presentation[[#This Row],[Invoice Amt (FCY)]]*Main_Presentation[[#This Row],[Rate]]</f>
        <v>669250.68947999983</v>
      </c>
      <c r="T1567" s="227">
        <v>46173</v>
      </c>
      <c r="U1567" s="243" t="str">
        <f>VLOOKUP(Main_Presentation[[#This Row],[LC Number]],Main_Issuance[],18,0)</f>
        <v>30 Days from Shipment Date</v>
      </c>
      <c r="V1567" s="233" t="s">
        <v>96</v>
      </c>
      <c r="W1567" s="229" t="s">
        <v>857</v>
      </c>
      <c r="X1567" s="217"/>
      <c r="Y1567" s="399" t="str">
        <f>TRIM(LEFT(Main_Presentation[[#This Row],[Payment Terms]],3))</f>
        <v>30</v>
      </c>
      <c r="Z1567" s="217"/>
      <c r="AA1567" s="405" cm="1">
        <f t="array" ref="AA1567">Settlement(Main_Presentation[[#This Row],[Bank]],Main_Presentation[[#This Row],[ Invoice Amt (SAR)]],Main_Presentation[[#This Row],[Date Recd]],Main_Presentation[[#This Row],[Due Date]],Main_Presentation[[#This Row],[Days]])</f>
        <v>1643.35</v>
      </c>
      <c r="AB1567" s="217"/>
    </row>
    <row r="1568" spans="1:28" ht="15.75" hidden="1" x14ac:dyDescent="0.25">
      <c r="A1568" s="226" t="s">
        <v>1934</v>
      </c>
      <c r="B1568" s="227">
        <v>46155</v>
      </c>
      <c r="C1568" s="243">
        <v>9</v>
      </c>
      <c r="D1568" s="228" t="str">
        <f>VLOOKUP(Main_Presentation[[#This Row],[LC Number]],Main_Issuance[],3,0)</f>
        <v>Luis Puente</v>
      </c>
      <c r="E1568" s="217" t="s">
        <v>856</v>
      </c>
      <c r="F1568" s="244" t="str">
        <f>VLOOKUP(Main_Presentation[[#This Row],[LC Number]],Main_Issuance[],5,0)</f>
        <v>Riyad</v>
      </c>
      <c r="G1568" s="244" t="str">
        <f>VLOOKUP(Main_Presentation[[#This Row],[LC Number]],Main_Issuance[],6,0)</f>
        <v>Oceanarium</v>
      </c>
      <c r="H1568" s="244" t="str">
        <f>VLOOKUP(Main_Presentation[[#This Row],[LC Number]],Main_Issuance[],17,0)</f>
        <v>Credit</v>
      </c>
      <c r="I1568" s="244" t="str">
        <f>VLOOKUP(Main_Presentation[[#This Row],[LC Number]],Main_Issuance[],7,0)</f>
        <v>Mat Filtrasyon Teknolojeleri A.S</v>
      </c>
      <c r="J1568" s="244" t="str">
        <f>VLOOKUP(Main_Presentation[[#This Row],[LC Number]],Main_Issuance[],8,0)</f>
        <v>MBL</v>
      </c>
      <c r="K1568" s="244" t="str">
        <f>VLOOKUP(Main_Presentation[[#This Row],[LC Number]],Main_Issuance[],9,0)</f>
        <v>Oceanarium</v>
      </c>
      <c r="L1568" s="244">
        <f>VLOOKUP(Main_Presentation[[#This Row],[LC Number]],Main_Issuance[],10,0)</f>
        <v>1020096</v>
      </c>
      <c r="M1568" s="244" t="str">
        <f>VLOOKUP(Main_Presentation[[#This Row],[LC Number]],Main_Issuance[],11,0)</f>
        <v>SAR</v>
      </c>
      <c r="N1568" s="245">
        <f>VLOOKUP(Main_Presentation[[#This Row],[LC Number]],Main_Issuance[],12,0)</f>
        <v>25907203.759999998</v>
      </c>
      <c r="O1568" s="217" t="s">
        <v>20</v>
      </c>
      <c r="P1568" s="217" t="s">
        <v>857</v>
      </c>
      <c r="Q1568" s="218">
        <f>733759.33-911.13</f>
        <v>732848.2</v>
      </c>
      <c r="R1568" s="218">
        <v>1</v>
      </c>
      <c r="S1568" s="218">
        <f>Main_Presentation[[#This Row],[Invoice Amt (FCY)]]*Main_Presentation[[#This Row],[Rate]]</f>
        <v>732848.2</v>
      </c>
      <c r="T1568" s="227">
        <v>46181</v>
      </c>
      <c r="U1568" s="243" t="str">
        <f>VLOOKUP(Main_Presentation[[#This Row],[LC Number]],Main_Issuance[],18,0)</f>
        <v>45 Days from Invoice Date</v>
      </c>
      <c r="V1568" s="233" t="s">
        <v>4028</v>
      </c>
      <c r="W1568" s="229" t="s">
        <v>857</v>
      </c>
      <c r="X1568" s="217"/>
      <c r="Y1568" s="399" t="str">
        <f>TRIM(LEFT(Main_Presentation[[#This Row],[Payment Terms]],3))</f>
        <v>45</v>
      </c>
      <c r="Z1568" s="217"/>
      <c r="AA1568" s="405" cm="1">
        <f t="array" ref="AA1568">Settlement(Main_Presentation[[#This Row],[Bank]],Main_Presentation[[#This Row],[ Invoice Amt (SAR)]],Main_Presentation[[#This Row],[Date Recd]],Main_Presentation[[#This Row],[Due Date]],Main_Presentation[[#This Row],[Days]],1)</f>
        <v>2106.8000000000002</v>
      </c>
      <c r="AB1568" s="217"/>
    </row>
    <row r="1569" spans="1:28" ht="15.75" hidden="1" x14ac:dyDescent="0.25">
      <c r="A1569" s="226" t="s">
        <v>4547</v>
      </c>
      <c r="B1569" s="227">
        <v>46194</v>
      </c>
      <c r="C1569" s="243">
        <v>1</v>
      </c>
      <c r="D1569" s="228" t="str">
        <f>VLOOKUP(Main_Presentation[[#This Row],[LC Number]],Main_Issuance[],3,0)</f>
        <v>Hassan Taleb</v>
      </c>
      <c r="E1569" s="217" t="s">
        <v>858</v>
      </c>
      <c r="F1569" s="244" t="str">
        <f>VLOOKUP(Main_Presentation[[#This Row],[LC Number]],Main_Issuance[],5,0)</f>
        <v>SAB</v>
      </c>
      <c r="G1569" s="244" t="str">
        <f>VLOOKUP(Main_Presentation[[#This Row],[LC Number]],Main_Issuance[],6,0)</f>
        <v>MP1</v>
      </c>
      <c r="H1569" s="244" t="str">
        <f>VLOOKUP(Main_Presentation[[#This Row],[LC Number]],Main_Issuance[],17,0)</f>
        <v>Credit</v>
      </c>
      <c r="I1569" s="244" t="str">
        <f>VLOOKUP(Main_Presentation[[#This Row],[LC Number]],Main_Issuance[],7,0)</f>
        <v>Masdar Technical Supplies Co.</v>
      </c>
      <c r="J1569" s="244" t="str">
        <f>VLOOKUP(Main_Presentation[[#This Row],[LC Number]],Main_Issuance[],8,0)</f>
        <v>FIRST FIX</v>
      </c>
      <c r="K1569" s="244" t="str">
        <f>VLOOKUP(Main_Presentation[[#This Row],[LC Number]],Main_Issuance[],9,0)</f>
        <v>MP1</v>
      </c>
      <c r="L1569" s="244">
        <f>VLOOKUP(Main_Presentation[[#This Row],[LC Number]],Main_Issuance[],10,0)</f>
        <v>1020088</v>
      </c>
      <c r="M1569" s="244" t="str">
        <f>VLOOKUP(Main_Presentation[[#This Row],[LC Number]],Main_Issuance[],11,0)</f>
        <v>SAR</v>
      </c>
      <c r="N1569" s="245">
        <f>VLOOKUP(Main_Presentation[[#This Row],[LC Number]],Main_Issuance[],12,0)</f>
        <v>200000</v>
      </c>
      <c r="O1569" s="217" t="s">
        <v>912</v>
      </c>
      <c r="P1569" s="217" t="s">
        <v>378</v>
      </c>
      <c r="Q1569" s="218">
        <v>200000</v>
      </c>
      <c r="R1569" s="218">
        <v>1</v>
      </c>
      <c r="S1569" s="218">
        <f>Main_Presentation[[#This Row],[Invoice Amt (FCY)]]*Main_Presentation[[#This Row],[Rate]]</f>
        <v>200000</v>
      </c>
      <c r="T1569" s="227">
        <v>46245</v>
      </c>
      <c r="U1569" s="243" t="str">
        <f>VLOOKUP(Main_Presentation[[#This Row],[LC Number]],Main_Issuance[],18,0)</f>
        <v>90 Days from App Rep Sign on Invoice</v>
      </c>
      <c r="V1569" s="233"/>
      <c r="W1569" s="229" t="s">
        <v>378</v>
      </c>
      <c r="X1569" s="217"/>
      <c r="Y1569" s="399" t="str">
        <f>TRIM(LEFT(Main_Presentation[[#This Row],[Payment Terms]],3))</f>
        <v>90</v>
      </c>
      <c r="Z1569" s="217"/>
      <c r="AA1569" s="405" cm="1">
        <f t="array" ref="AA1569">Settlement(Main_Presentation[[#This Row],[Bank]],Main_Presentation[[#This Row],[ Invoice Amt (SAR)]],Main_Presentation[[#This Row],[Date Recd]],Main_Presentation[[#This Row],[Due Date]],Main_Presentation[[#This Row],[Days]])</f>
        <v>862.5</v>
      </c>
      <c r="AB1569" s="217"/>
    </row>
    <row r="1570" spans="1:28" ht="15.75" hidden="1" x14ac:dyDescent="0.25">
      <c r="A1570" s="226" t="s">
        <v>1767</v>
      </c>
      <c r="B1570" s="227">
        <v>46176</v>
      </c>
      <c r="C1570" s="243">
        <v>6</v>
      </c>
      <c r="D1570" s="228" t="str">
        <f>VLOOKUP(Main_Presentation[[#This Row],[LC Number]],Main_Issuance[],3,0)</f>
        <v>Rabih Makhoul</v>
      </c>
      <c r="E1570" s="217" t="s">
        <v>856</v>
      </c>
      <c r="F1570" s="244" t="str">
        <f>VLOOKUP(Main_Presentation[[#This Row],[LC Number]],Main_Issuance[],5,0)</f>
        <v>Alinma</v>
      </c>
      <c r="G1570" s="244" t="str">
        <f>VLOOKUP(Main_Presentation[[#This Row],[LC Number]],Main_Issuance[],6,0)</f>
        <v>KSP</v>
      </c>
      <c r="H1570" s="244" t="str">
        <f>VLOOKUP(Main_Presentation[[#This Row],[LC Number]],Main_Issuance[],17,0)</f>
        <v>Credit</v>
      </c>
      <c r="I1570" s="244" t="str">
        <f>VLOOKUP(Main_Presentation[[#This Row],[LC Number]],Main_Issuance[],7,0)</f>
        <v>Al Arabia Construction &amp; Building Co.</v>
      </c>
      <c r="J1570" s="244" t="str">
        <f>VLOOKUP(Main_Presentation[[#This Row],[LC Number]],Main_Issuance[],8,0)</f>
        <v>MBL</v>
      </c>
      <c r="K1570" s="244" t="str">
        <f>VLOOKUP(Main_Presentation[[#This Row],[LC Number]],Main_Issuance[],9,0)</f>
        <v>Rabigh Power Plant</v>
      </c>
      <c r="L1570" s="244">
        <f>VLOOKUP(Main_Presentation[[#This Row],[LC Number]],Main_Issuance[],10,0)</f>
        <v>1020107</v>
      </c>
      <c r="M1570" s="244" t="str">
        <f>VLOOKUP(Main_Presentation[[#This Row],[LC Number]],Main_Issuance[],11,0)</f>
        <v>SAR</v>
      </c>
      <c r="N1570" s="245">
        <f>VLOOKUP(Main_Presentation[[#This Row],[LC Number]],Main_Issuance[],12,0)</f>
        <v>3009600</v>
      </c>
      <c r="O1570" s="217" t="s">
        <v>20</v>
      </c>
      <c r="P1570" s="217" t="s">
        <v>378</v>
      </c>
      <c r="Q1570" s="218">
        <v>440649.09</v>
      </c>
      <c r="R1570" s="218">
        <v>1</v>
      </c>
      <c r="S1570" s="218">
        <f>Main_Presentation[[#This Row],[Invoice Amt (FCY)]]*Main_Presentation[[#This Row],[Rate]]</f>
        <v>440649.09</v>
      </c>
      <c r="T1570" s="15">
        <v>46181</v>
      </c>
      <c r="U1570" s="243" t="str">
        <f>VLOOKUP(Main_Presentation[[#This Row],[LC Number]],Main_Issuance[],18,0)</f>
        <v>45 Days from the Invoice Date</v>
      </c>
      <c r="V1570" s="233" t="s">
        <v>511</v>
      </c>
      <c r="W1570" s="229" t="s">
        <v>857</v>
      </c>
      <c r="X1570" s="217"/>
      <c r="Y1570" s="399" t="str">
        <f>TRIM(LEFT(Main_Presentation[[#This Row],[Payment Terms]],3))</f>
        <v>45</v>
      </c>
      <c r="Z1570" s="217"/>
      <c r="AA1570" s="405" cm="1">
        <f t="array" ref="AA1570">Settlement(Main_Presentation[[#This Row],[Bank]],Main_Presentation[[#This Row],[ Invoice Amt (SAR)]],Main_Presentation[[#This Row],[Date Recd]],Main_Presentation[[#This Row],[Due Date]],Main_Presentation[[#This Row],[Days]])</f>
        <v>1437.5</v>
      </c>
      <c r="AB1570" s="217"/>
    </row>
    <row r="1571" spans="1:28" ht="15.75" hidden="1" x14ac:dyDescent="0.25">
      <c r="A1571" s="226" t="s">
        <v>3319</v>
      </c>
      <c r="B1571" s="227">
        <v>46190</v>
      </c>
      <c r="C1571" s="243">
        <v>4</v>
      </c>
      <c r="D1571" s="228" t="str">
        <f>VLOOKUP(Main_Presentation[[#This Row],[LC Number]],Main_Issuance[],3,0)</f>
        <v>AbdulAziz Eraiba Fawzi</v>
      </c>
      <c r="E1571" s="217" t="s">
        <v>856</v>
      </c>
      <c r="F1571" s="244" t="str">
        <f>VLOOKUP(Main_Presentation[[#This Row],[LC Number]],Main_Issuance[],5,0)</f>
        <v>Jazira</v>
      </c>
      <c r="G1571" s="244" t="str">
        <f>VLOOKUP(Main_Presentation[[#This Row],[LC Number]],Main_Issuance[],6,0)</f>
        <v>RCRC</v>
      </c>
      <c r="H1571" s="244" t="str">
        <f>VLOOKUP(Main_Presentation[[#This Row],[LC Number]],Main_Issuance[],17,0)</f>
        <v>Credit</v>
      </c>
      <c r="I1571" s="244" t="str">
        <f>VLOOKUP(Main_Presentation[[#This Row],[LC Number]],Main_Issuance[],7,0)</f>
        <v>Green Concrete CJSC</v>
      </c>
      <c r="J1571" s="244" t="str">
        <f>VLOOKUP(Main_Presentation[[#This Row],[LC Number]],Main_Issuance[],8,0)</f>
        <v>MBL</v>
      </c>
      <c r="K1571" s="244" t="str">
        <f>VLOOKUP(Main_Presentation[[#This Row],[LC Number]],Main_Issuance[],9,0)</f>
        <v>RCRC</v>
      </c>
      <c r="L1571" s="244">
        <f>VLOOKUP(Main_Presentation[[#This Row],[LC Number]],Main_Issuance[],10,0)</f>
        <v>1020106</v>
      </c>
      <c r="M1571" s="244" t="str">
        <f>VLOOKUP(Main_Presentation[[#This Row],[LC Number]],Main_Issuance[],11,0)</f>
        <v>SAR</v>
      </c>
      <c r="N1571" s="245">
        <f>VLOOKUP(Main_Presentation[[#This Row],[LC Number]],Main_Issuance[],12,0)</f>
        <v>5802900</v>
      </c>
      <c r="O1571" s="217" t="s">
        <v>912</v>
      </c>
      <c r="P1571" s="217" t="s">
        <v>378</v>
      </c>
      <c r="Q1571" s="218">
        <v>112200.9</v>
      </c>
      <c r="R1571" s="218">
        <v>1</v>
      </c>
      <c r="S1571" s="218">
        <f>Main_Presentation[[#This Row],[Invoice Amt (FCY)]]*Main_Presentation[[#This Row],[Rate]]</f>
        <v>112200.9</v>
      </c>
      <c r="T1571" s="227">
        <v>46215</v>
      </c>
      <c r="U1571" s="243" t="str">
        <f>VLOOKUP(Main_Presentation[[#This Row],[LC Number]],Main_Issuance[],18,0)</f>
        <v>60 Days From Invoice Date</v>
      </c>
      <c r="V1571" s="233"/>
      <c r="W1571" s="229" t="s">
        <v>378</v>
      </c>
      <c r="X1571" s="217"/>
      <c r="Y1571" s="399" t="str">
        <f>TRIM(LEFT(Main_Presentation[[#This Row],[Payment Terms]],3))</f>
        <v>60</v>
      </c>
      <c r="Z1571" s="217"/>
      <c r="AA1571" s="405" cm="1">
        <f t="array" ref="AA1571">Settlement(Main_Presentation[[#This Row],[Bank]],Main_Presentation[[#This Row],[ Invoice Amt (SAR)]],Main_Presentation[[#This Row],[Date Recd]],Main_Presentation[[#This Row],[Due Date]],Main_Presentation[[#This Row],[Days]])</f>
        <v>977.5</v>
      </c>
      <c r="AB1571" s="217"/>
    </row>
    <row r="1572" spans="1:28" ht="15.75" hidden="1" x14ac:dyDescent="0.25">
      <c r="A1572" s="226" t="s">
        <v>4393</v>
      </c>
      <c r="B1572" s="227">
        <v>46162</v>
      </c>
      <c r="C1572" s="243">
        <v>3</v>
      </c>
      <c r="D1572" s="228" t="str">
        <f>VLOOKUP(Main_Presentation[[#This Row],[LC Number]],Main_Issuance[],3,0)</f>
        <v>Hassan Taleb</v>
      </c>
      <c r="E1572" s="217" t="s">
        <v>858</v>
      </c>
      <c r="F1572" s="244" t="str">
        <f>VLOOKUP(Main_Presentation[[#This Row],[LC Number]],Main_Issuance[],5,0)</f>
        <v>SAB</v>
      </c>
      <c r="G1572" s="244" t="str">
        <f>VLOOKUP(Main_Presentation[[#This Row],[LC Number]],Main_Issuance[],6,0)</f>
        <v>MP1</v>
      </c>
      <c r="H1572" s="244" t="str">
        <f>VLOOKUP(Main_Presentation[[#This Row],[LC Number]],Main_Issuance[],17,0)</f>
        <v>Credit</v>
      </c>
      <c r="I1572" s="244" t="str">
        <f>VLOOKUP(Main_Presentation[[#This Row],[LC Number]],Main_Issuance[],7,0)</f>
        <v>The Fundamental Installation For Electric Work Co</v>
      </c>
      <c r="J1572" s="244" t="str">
        <f>VLOOKUP(Main_Presentation[[#This Row],[LC Number]],Main_Issuance[],8,0)</f>
        <v>FIRST FIX</v>
      </c>
      <c r="K1572" s="244" t="str">
        <f>VLOOKUP(Main_Presentation[[#This Row],[LC Number]],Main_Issuance[],9,0)</f>
        <v>MP1</v>
      </c>
      <c r="L1572" s="244">
        <f>VLOOKUP(Main_Presentation[[#This Row],[LC Number]],Main_Issuance[],10,0)</f>
        <v>1020088</v>
      </c>
      <c r="M1572" s="244" t="str">
        <f>VLOOKUP(Main_Presentation[[#This Row],[LC Number]],Main_Issuance[],11,0)</f>
        <v>SAR</v>
      </c>
      <c r="N1572" s="245">
        <f>VLOOKUP(Main_Presentation[[#This Row],[LC Number]],Main_Issuance[],12,0)</f>
        <v>14000000</v>
      </c>
      <c r="O1572" s="217" t="s">
        <v>912</v>
      </c>
      <c r="P1572" s="217" t="s">
        <v>857</v>
      </c>
      <c r="Q1572" s="218">
        <v>4000000</v>
      </c>
      <c r="R1572" s="218">
        <v>1</v>
      </c>
      <c r="S1572" s="218">
        <f>Main_Presentation[[#This Row],[Invoice Amt (FCY)]]*Main_Presentation[[#This Row],[Rate]]</f>
        <v>4000000</v>
      </c>
      <c r="T1572" s="227">
        <v>46216</v>
      </c>
      <c r="U1572" s="243" t="str">
        <f>VLOOKUP(Main_Presentation[[#This Row],[LC Number]],Main_Issuance[],18,0)</f>
        <v>90 Days from Invoice Date</v>
      </c>
      <c r="V1572" s="233"/>
      <c r="W1572" s="229" t="s">
        <v>378</v>
      </c>
      <c r="X1572" s="217" t="s">
        <v>5338</v>
      </c>
      <c r="Y1572" s="399" t="str">
        <f>TRIM(LEFT(Main_Presentation[[#This Row],[Payment Terms]],3))</f>
        <v>90</v>
      </c>
      <c r="Z1572" s="217"/>
      <c r="AA1572" s="405" cm="1">
        <f t="array" ref="AA1572">Settlement(Main_Presentation[[#This Row],[Bank]],Main_Presentation[[#This Row],[ Invoice Amt (SAR)]],Main_Presentation[[#This Row],[Date Recd]],Main_Presentation[[#This Row],[Due Date]],Main_Presentation[[#This Row],[Days]])</f>
        <v>17250</v>
      </c>
      <c r="AB1572" s="217"/>
    </row>
    <row r="1573" spans="1:28" ht="15.75" hidden="1" x14ac:dyDescent="0.25">
      <c r="A1573" s="226" t="s">
        <v>4679</v>
      </c>
      <c r="B1573" s="227">
        <v>46163</v>
      </c>
      <c r="C1573" s="243">
        <v>1</v>
      </c>
      <c r="D1573" s="228" t="str">
        <f>VLOOKUP(Main_Presentation[[#This Row],[LC Number]],Main_Issuance[],3,0)</f>
        <v>Matthew Mckernan - AICS</v>
      </c>
      <c r="E1573" s="217" t="s">
        <v>856</v>
      </c>
      <c r="F1573" s="244" t="str">
        <f>VLOOKUP(Main_Presentation[[#This Row],[LC Number]],Main_Issuance[],5,0)</f>
        <v>SNB</v>
      </c>
      <c r="G1573" s="244" t="str">
        <f>VLOOKUP(Main_Presentation[[#This Row],[LC Number]],Main_Issuance[],6,0)</f>
        <v>Opera House</v>
      </c>
      <c r="H1573" s="244" t="str">
        <f>VLOOKUP(Main_Presentation[[#This Row],[LC Number]],Main_Issuance[],17,0)</f>
        <v>Credit</v>
      </c>
      <c r="I1573" s="244" t="str">
        <f>VLOOKUP(Main_Presentation[[#This Row],[LC Number]],Main_Issuance[],7,0)</f>
        <v>ALNAFIE METAL INDUSTRIES CO LTD</v>
      </c>
      <c r="J1573" s="244" t="str">
        <f>VLOOKUP(Main_Presentation[[#This Row],[LC Number]],Main_Issuance[],8,0)</f>
        <v>MBL/AICS (L01)</v>
      </c>
      <c r="K1573" s="244" t="str">
        <f>VLOOKUP(Main_Presentation[[#This Row],[LC Number]],Main_Issuance[],9,0)</f>
        <v>OPERA House</v>
      </c>
      <c r="L1573" s="244">
        <f>VLOOKUP(Main_Presentation[[#This Row],[LC Number]],Main_Issuance[],10,0)</f>
        <v>1020097</v>
      </c>
      <c r="M1573" s="244" t="str">
        <f>VLOOKUP(Main_Presentation[[#This Row],[LC Number]],Main_Issuance[],11,0)</f>
        <v>SAR</v>
      </c>
      <c r="N1573" s="245">
        <f>VLOOKUP(Main_Presentation[[#This Row],[LC Number]],Main_Issuance[],12,0)</f>
        <v>7446132.75</v>
      </c>
      <c r="O1573" s="217" t="s">
        <v>20</v>
      </c>
      <c r="P1573" s="217" t="s">
        <v>378</v>
      </c>
      <c r="Q1573" s="218">
        <v>2500000</v>
      </c>
      <c r="R1573" s="218">
        <v>1</v>
      </c>
      <c r="S1573" s="218">
        <f>Main_Presentation[[#This Row],[Invoice Amt (FCY)]]*Main_Presentation[[#This Row],[Rate]]</f>
        <v>2500000</v>
      </c>
      <c r="T1573" s="227">
        <v>46184</v>
      </c>
      <c r="U1573" s="243" t="str">
        <f>VLOOKUP(Main_Presentation[[#This Row],[LC Number]],Main_Issuance[],18,0)</f>
        <v>60 Days From Invoice Date</v>
      </c>
      <c r="V1573" s="233" t="s">
        <v>96</v>
      </c>
      <c r="W1573" s="229" t="s">
        <v>857</v>
      </c>
      <c r="X1573" s="217"/>
      <c r="Y1573" s="399" t="str">
        <f>TRIM(LEFT(Main_Presentation[[#This Row],[Payment Terms]],3))</f>
        <v>60</v>
      </c>
      <c r="Z1573" s="217"/>
      <c r="AA1573" s="405" cm="1">
        <f t="array" ref="AA1573">Settlement(Main_Presentation[[#This Row],[Bank]],Main_Presentation[[#This Row],[ Invoice Amt (SAR)]],Main_Presentation[[#This Row],[Date Recd]],Main_Presentation[[#This Row],[Due Date]],Main_Presentation[[#This Row],[Days]])</f>
        <v>6029.45</v>
      </c>
      <c r="AB1573" s="217"/>
    </row>
    <row r="1574" spans="1:28" ht="15.75" hidden="1" x14ac:dyDescent="0.25">
      <c r="A1574" s="226" t="s">
        <v>4394</v>
      </c>
      <c r="B1574" s="227">
        <v>46181</v>
      </c>
      <c r="C1574" s="243">
        <v>2</v>
      </c>
      <c r="D1574" s="228" t="str">
        <f>VLOOKUP(Main_Presentation[[#This Row],[LC Number]],Main_Issuance[],3,0)</f>
        <v>Luis Puente</v>
      </c>
      <c r="E1574" s="217" t="s">
        <v>856</v>
      </c>
      <c r="F1574" s="244" t="str">
        <f>VLOOKUP(Main_Presentation[[#This Row],[LC Number]],Main_Issuance[],5,0)</f>
        <v>Riyad</v>
      </c>
      <c r="G1574" s="244" t="str">
        <f>VLOOKUP(Main_Presentation[[#This Row],[LC Number]],Main_Issuance[],6,0)</f>
        <v>Oceanarium</v>
      </c>
      <c r="H1574" s="244" t="str">
        <f>VLOOKUP(Main_Presentation[[#This Row],[LC Number]],Main_Issuance[],17,0)</f>
        <v>Credit</v>
      </c>
      <c r="I1574" s="244" t="str">
        <f>VLOOKUP(Main_Presentation[[#This Row],[LC Number]],Main_Issuance[],7,0)</f>
        <v>Mat Filtrasyon Teknolojeleri A.S</v>
      </c>
      <c r="J1574" s="244" t="str">
        <f>VLOOKUP(Main_Presentation[[#This Row],[LC Number]],Main_Issuance[],8,0)</f>
        <v>MBL</v>
      </c>
      <c r="K1574" s="244" t="str">
        <f>VLOOKUP(Main_Presentation[[#This Row],[LC Number]],Main_Issuance[],9,0)</f>
        <v>Oceanarium</v>
      </c>
      <c r="L1574" s="244">
        <f>VLOOKUP(Main_Presentation[[#This Row],[LC Number]],Main_Issuance[],10,0)</f>
        <v>1020096</v>
      </c>
      <c r="M1574" s="244" t="str">
        <f>VLOOKUP(Main_Presentation[[#This Row],[LC Number]],Main_Issuance[],11,0)</f>
        <v>SAR</v>
      </c>
      <c r="N1574" s="245">
        <f>VLOOKUP(Main_Presentation[[#This Row],[LC Number]],Main_Issuance[],12,0)</f>
        <v>17932603.559999999</v>
      </c>
      <c r="O1574" s="217" t="s">
        <v>912</v>
      </c>
      <c r="P1574" s="217" t="s">
        <v>857</v>
      </c>
      <c r="Q1574" s="218">
        <v>735540</v>
      </c>
      <c r="R1574" s="218">
        <v>1</v>
      </c>
      <c r="S1574" s="218">
        <f>Main_Presentation[[#This Row],[Invoice Amt (FCY)]]*Main_Presentation[[#This Row],[Rate]]</f>
        <v>735540</v>
      </c>
      <c r="T1574" s="15">
        <v>46208</v>
      </c>
      <c r="U1574" s="243" t="str">
        <f>VLOOKUP(Main_Presentation[[#This Row],[LC Number]],Main_Issuance[],18,0)</f>
        <v>Mixed Tenor - 60 / 45 / 21 Days from Invoice Date</v>
      </c>
      <c r="V1574" s="233"/>
      <c r="W1574" s="229" t="s">
        <v>378</v>
      </c>
      <c r="X1574" s="217"/>
      <c r="Y1574" s="399">
        <v>45</v>
      </c>
      <c r="Z1574" s="217"/>
      <c r="AA1574" s="405" cm="1">
        <f t="array" ref="AA1574">Settlement(Main_Presentation[[#This Row],[Bank]],Main_Presentation[[#This Row],[ Invoice Amt (SAR)]],Main_Presentation[[#This Row],[Date Recd]],Main_Presentation[[#This Row],[Due Date]],Main_Presentation[[#This Row],[Days]],1)</f>
        <v>2114.85</v>
      </c>
      <c r="AB1574" s="217"/>
    </row>
    <row r="1575" spans="1:28" ht="15.75" hidden="1" x14ac:dyDescent="0.25">
      <c r="A1575" s="226" t="s">
        <v>1895</v>
      </c>
      <c r="B1575" s="227">
        <v>46093</v>
      </c>
      <c r="C1575" s="243" t="s">
        <v>1300</v>
      </c>
      <c r="D1575" s="228" t="str">
        <f>VLOOKUP(Main_Presentation[[#This Row],[LC Number]],Main_Issuance[],3,0)</f>
        <v>Rabih Makhoul</v>
      </c>
      <c r="E1575" s="217" t="s">
        <v>856</v>
      </c>
      <c r="F1575" s="244" t="str">
        <f>VLOOKUP(Main_Presentation[[#This Row],[LC Number]],Main_Issuance[],5,0)</f>
        <v>Alinma</v>
      </c>
      <c r="G1575" s="244" t="str">
        <f>VLOOKUP(Main_Presentation[[#This Row],[LC Number]],Main_Issuance[],6,0)</f>
        <v>KSP</v>
      </c>
      <c r="H1575" s="244" t="str">
        <f>VLOOKUP(Main_Presentation[[#This Row],[LC Number]],Main_Issuance[],17,0)</f>
        <v>Credit</v>
      </c>
      <c r="I1575" s="244" t="str">
        <f>VLOOKUP(Main_Presentation[[#This Row],[LC Number]],Main_Issuance[],7,0)</f>
        <v>BRC Industrial (Saudia) Company</v>
      </c>
      <c r="J1575" s="244" t="str">
        <f>VLOOKUP(Main_Presentation[[#This Row],[LC Number]],Main_Issuance[],8,0)</f>
        <v>MBL</v>
      </c>
      <c r="K1575" s="244" t="str">
        <f>VLOOKUP(Main_Presentation[[#This Row],[LC Number]],Main_Issuance[],9,0)</f>
        <v>Rabigh Power Plant</v>
      </c>
      <c r="L1575" s="244">
        <f>VLOOKUP(Main_Presentation[[#This Row],[LC Number]],Main_Issuance[],10,0)</f>
        <v>1020107</v>
      </c>
      <c r="M1575" s="244" t="str">
        <f>VLOOKUP(Main_Presentation[[#This Row],[LC Number]],Main_Issuance[],11,0)</f>
        <v>SAR</v>
      </c>
      <c r="N1575" s="245">
        <f>VLOOKUP(Main_Presentation[[#This Row],[LC Number]],Main_Issuance[],12,0)</f>
        <v>2074312.5</v>
      </c>
      <c r="O1575" s="217" t="s">
        <v>20</v>
      </c>
      <c r="P1575" s="217" t="s">
        <v>857</v>
      </c>
      <c r="Q1575" s="218">
        <f>1365320.51-876429.93-239706.06</f>
        <v>249184.51999999996</v>
      </c>
      <c r="R1575" s="218">
        <v>1</v>
      </c>
      <c r="S1575" s="218">
        <f>Main_Presentation[[#This Row],[Invoice Amt (FCY)]]*Main_Presentation[[#This Row],[Rate]]</f>
        <v>249184.51999999996</v>
      </c>
      <c r="T1575" s="227">
        <v>46154</v>
      </c>
      <c r="U1575" s="243" t="str">
        <f>VLOOKUP(Main_Presentation[[#This Row],[LC Number]],Main_Issuance[],18,0)</f>
        <v>120 Days from Invoice Date</v>
      </c>
      <c r="V1575" s="233" t="s">
        <v>5337</v>
      </c>
      <c r="W1575" s="229" t="s">
        <v>378</v>
      </c>
      <c r="X1575" s="217"/>
      <c r="Y1575" s="399" t="str">
        <f>TRIM(LEFT(Main_Presentation[[#This Row],[Payment Terms]],3))</f>
        <v>120</v>
      </c>
      <c r="Z1575" s="217"/>
      <c r="AA1575" s="405" cm="1">
        <f t="array" ref="AA1575">Settlement(Main_Presentation[[#This Row],[Bank]],Main_Presentation[[#This Row],[ Invoice Amt (SAR)]],Main_Presentation[[#This Row],[Date Recd]],Main_Presentation[[#This Row],[Due Date]],Main_Presentation[[#This Row],[Days]])</f>
        <v>1437.5</v>
      </c>
      <c r="AB1575" s="217"/>
    </row>
    <row r="1576" spans="1:28" ht="15.75" hidden="1" x14ac:dyDescent="0.25">
      <c r="A1576" s="226" t="s">
        <v>1895</v>
      </c>
      <c r="B1576" s="227">
        <v>46093</v>
      </c>
      <c r="C1576" s="243" t="s">
        <v>1301</v>
      </c>
      <c r="D1576" s="228" t="str">
        <f>VLOOKUP(Main_Presentation[[#This Row],[LC Number]],Main_Issuance[],3,0)</f>
        <v>Rabih Makhoul</v>
      </c>
      <c r="E1576" s="217" t="s">
        <v>856</v>
      </c>
      <c r="F1576" s="244" t="str">
        <f>VLOOKUP(Main_Presentation[[#This Row],[LC Number]],Main_Issuance[],5,0)</f>
        <v>Alinma</v>
      </c>
      <c r="G1576" s="244" t="str">
        <f>VLOOKUP(Main_Presentation[[#This Row],[LC Number]],Main_Issuance[],6,0)</f>
        <v>KSP</v>
      </c>
      <c r="H1576" s="244" t="str">
        <f>VLOOKUP(Main_Presentation[[#This Row],[LC Number]],Main_Issuance[],17,0)</f>
        <v>Credit</v>
      </c>
      <c r="I1576" s="244" t="str">
        <f>VLOOKUP(Main_Presentation[[#This Row],[LC Number]],Main_Issuance[],7,0)</f>
        <v>BRC Industrial (Saudia) Company</v>
      </c>
      <c r="J1576" s="244" t="str">
        <f>VLOOKUP(Main_Presentation[[#This Row],[LC Number]],Main_Issuance[],8,0)</f>
        <v>MBL</v>
      </c>
      <c r="K1576" s="244" t="str">
        <f>VLOOKUP(Main_Presentation[[#This Row],[LC Number]],Main_Issuance[],9,0)</f>
        <v>Rabigh Power Plant</v>
      </c>
      <c r="L1576" s="244">
        <f>VLOOKUP(Main_Presentation[[#This Row],[LC Number]],Main_Issuance[],10,0)</f>
        <v>1020107</v>
      </c>
      <c r="M1576" s="244" t="str">
        <f>VLOOKUP(Main_Presentation[[#This Row],[LC Number]],Main_Issuance[],11,0)</f>
        <v>SAR</v>
      </c>
      <c r="N1576" s="245">
        <f>VLOOKUP(Main_Presentation[[#This Row],[LC Number]],Main_Issuance[],12,0)</f>
        <v>2074312.5</v>
      </c>
      <c r="O1576" s="217" t="s">
        <v>20</v>
      </c>
      <c r="P1576" s="217" t="s">
        <v>857</v>
      </c>
      <c r="Q1576" s="218">
        <f>1365320.51-249184.52-876429.93</f>
        <v>239706.05999999994</v>
      </c>
      <c r="R1576" s="218">
        <v>1</v>
      </c>
      <c r="S1576" s="218">
        <f>Main_Presentation[[#This Row],[Invoice Amt (FCY)]]*Main_Presentation[[#This Row],[Rate]]</f>
        <v>239706.05999999994</v>
      </c>
      <c r="T1576" s="227">
        <v>46154</v>
      </c>
      <c r="U1576" s="243" t="str">
        <f>VLOOKUP(Main_Presentation[[#This Row],[LC Number]],Main_Issuance[],18,0)</f>
        <v>120 Days from Invoice Date</v>
      </c>
      <c r="V1576" s="233" t="s">
        <v>5336</v>
      </c>
      <c r="W1576" s="229" t="s">
        <v>378</v>
      </c>
      <c r="X1576" s="217"/>
      <c r="Y1576" s="399" t="str">
        <f>TRIM(LEFT(Main_Presentation[[#This Row],[Payment Terms]],3))</f>
        <v>120</v>
      </c>
      <c r="Z1576" s="217"/>
      <c r="AA1576" s="405" cm="1">
        <f t="array" ref="AA1576">Settlement(Main_Presentation[[#This Row],[Bank]],Main_Presentation[[#This Row],[ Invoice Amt (SAR)]],Main_Presentation[[#This Row],[Date Recd]],Main_Presentation[[#This Row],[Due Date]],Main_Presentation[[#This Row],[Days]])</f>
        <v>1437.5</v>
      </c>
      <c r="AB1576" s="217"/>
    </row>
    <row r="1577" spans="1:28" ht="15.75" hidden="1" x14ac:dyDescent="0.25">
      <c r="A1577" s="20" t="s">
        <v>4556</v>
      </c>
      <c r="B1577" s="15"/>
      <c r="C1577" s="26"/>
      <c r="D1577" s="55" t="str">
        <f>VLOOKUP(Main_Presentation[[#This Row],[LC Number]],Main_Issuance[],3,0)</f>
        <v>Hassan Taleb</v>
      </c>
      <c r="E1577" s="16"/>
      <c r="F1577" s="17" t="str">
        <f>VLOOKUP(Main_Presentation[[#This Row],[LC Number]],Main_Issuance[],5,0)</f>
        <v>SAB</v>
      </c>
      <c r="G1577" s="17" t="str">
        <f>VLOOKUP(Main_Presentation[[#This Row],[LC Number]],Main_Issuance[],6,0)</f>
        <v>MP1</v>
      </c>
      <c r="H1577" s="17" t="str">
        <f>VLOOKUP(Main_Presentation[[#This Row],[LC Number]],Main_Issuance[],17,0)</f>
        <v>Credit</v>
      </c>
      <c r="I1577" s="17" t="str">
        <f>VLOOKUP(Main_Presentation[[#This Row],[LC Number]],Main_Issuance[],7,0)</f>
        <v>Ali Manea Alyami Trading Est.</v>
      </c>
      <c r="J1577" s="17" t="str">
        <f>VLOOKUP(Main_Presentation[[#This Row],[LC Number]],Main_Issuance[],8,0)</f>
        <v>FIRST FIX</v>
      </c>
      <c r="K1577" s="17" t="str">
        <f>VLOOKUP(Main_Presentation[[#This Row],[LC Number]],Main_Issuance[],9,0)</f>
        <v>MP1</v>
      </c>
      <c r="L1577" s="17">
        <f>VLOOKUP(Main_Presentation[[#This Row],[LC Number]],Main_Issuance[],10,0)</f>
        <v>1020088</v>
      </c>
      <c r="M1577" s="17" t="str">
        <f>VLOOKUP(Main_Presentation[[#This Row],[LC Number]],Main_Issuance[],11,0)</f>
        <v>SAR</v>
      </c>
      <c r="N1577" s="84">
        <f>VLOOKUP(Main_Presentation[[#This Row],[LC Number]],Main_Issuance[],12,0)</f>
        <v>450000</v>
      </c>
      <c r="O1577" s="16" t="s">
        <v>908</v>
      </c>
      <c r="P1577" s="16" t="s">
        <v>378</v>
      </c>
      <c r="Q1577" s="18">
        <v>450000</v>
      </c>
      <c r="R1577" s="18">
        <v>1</v>
      </c>
      <c r="S1577" s="18">
        <f>Main_Presentation[[#This Row],[Invoice Amt (FCY)]]*Main_Presentation[[#This Row],[Rate]]</f>
        <v>450000</v>
      </c>
      <c r="T1577" s="15">
        <v>46198</v>
      </c>
      <c r="U1577" s="26" t="str">
        <f>VLOOKUP(Main_Presentation[[#This Row],[LC Number]],Main_Issuance[],18,0)</f>
        <v>90 Days from App Rep Sign on Invoice</v>
      </c>
      <c r="V1577" s="249"/>
      <c r="W1577" s="22" t="s">
        <v>378</v>
      </c>
      <c r="X1577" s="16"/>
      <c r="Y1577" s="234" t="str">
        <f>TRIM(LEFT(Main_Presentation[[#This Row],[Payment Terms]],3))</f>
        <v>90</v>
      </c>
      <c r="Z1577" s="16"/>
      <c r="AA1577" s="316" cm="1">
        <f t="array" ref="AA1577">Settlement(Main_Presentation[[#This Row],[Bank]],Main_Presentation[[#This Row],[ Invoice Amt (SAR)]],Main_Presentation[[#This Row],[Date Recd]],Main_Presentation[[#This Row],[Due Date]],Main_Presentation[[#This Row],[Days]])</f>
        <v>1941.2</v>
      </c>
      <c r="AB1577" s="16"/>
    </row>
    <row r="1578" spans="1:28" ht="15.75" hidden="1" x14ac:dyDescent="0.25">
      <c r="A1578" s="20" t="s">
        <v>4681</v>
      </c>
      <c r="B1578" s="15"/>
      <c r="C1578" s="26"/>
      <c r="D1578" s="55" t="str">
        <f>VLOOKUP(Main_Presentation[[#This Row],[LC Number]],Main_Issuance[],3,0)</f>
        <v>Hassan Taleb</v>
      </c>
      <c r="E1578" s="16"/>
      <c r="F1578" s="17" t="str">
        <f>VLOOKUP(Main_Presentation[[#This Row],[LC Number]],Main_Issuance[],5,0)</f>
        <v>SAB</v>
      </c>
      <c r="G1578" s="17" t="str">
        <f>VLOOKUP(Main_Presentation[[#This Row],[LC Number]],Main_Issuance[],6,0)</f>
        <v>MP1</v>
      </c>
      <c r="H1578" s="17" t="str">
        <f>VLOOKUP(Main_Presentation[[#This Row],[LC Number]],Main_Issuance[],17,0)</f>
        <v>Credit</v>
      </c>
      <c r="I1578" s="17" t="str">
        <f>VLOOKUP(Main_Presentation[[#This Row],[LC Number]],Main_Issuance[],7,0)</f>
        <v>Mushal Khalf Hijri For Contracting</v>
      </c>
      <c r="J1578" s="17" t="str">
        <f>VLOOKUP(Main_Presentation[[#This Row],[LC Number]],Main_Issuance[],8,0)</f>
        <v>FIRST FIX</v>
      </c>
      <c r="K1578" s="17" t="str">
        <f>VLOOKUP(Main_Presentation[[#This Row],[LC Number]],Main_Issuance[],9,0)</f>
        <v>MP1</v>
      </c>
      <c r="L1578" s="17">
        <f>VLOOKUP(Main_Presentation[[#This Row],[LC Number]],Main_Issuance[],10,0)</f>
        <v>1020088</v>
      </c>
      <c r="M1578" s="17" t="str">
        <f>VLOOKUP(Main_Presentation[[#This Row],[LC Number]],Main_Issuance[],11,0)</f>
        <v>SAR</v>
      </c>
      <c r="N1578" s="84">
        <f>VLOOKUP(Main_Presentation[[#This Row],[LC Number]],Main_Issuance[],12,0)</f>
        <v>175000</v>
      </c>
      <c r="O1578" s="16" t="s">
        <v>908</v>
      </c>
      <c r="P1578" s="16" t="s">
        <v>378</v>
      </c>
      <c r="Q1578" s="18">
        <v>175000</v>
      </c>
      <c r="R1578" s="18">
        <v>1</v>
      </c>
      <c r="S1578" s="18">
        <f>Main_Presentation[[#This Row],[Invoice Amt (FCY)]]*Main_Presentation[[#This Row],[Rate]]</f>
        <v>175000</v>
      </c>
      <c r="T1578" s="15">
        <v>46198</v>
      </c>
      <c r="U1578" s="26" t="str">
        <f>VLOOKUP(Main_Presentation[[#This Row],[LC Number]],Main_Issuance[],18,0)</f>
        <v>90 Days from App Rep Sign on Invoice</v>
      </c>
      <c r="V1578" s="249"/>
      <c r="W1578" s="22" t="s">
        <v>378</v>
      </c>
      <c r="X1578" s="16"/>
      <c r="Y1578" s="234" t="str">
        <f>TRIM(LEFT(Main_Presentation[[#This Row],[Payment Terms]],3))</f>
        <v>90</v>
      </c>
      <c r="Z1578" s="16"/>
      <c r="AA1578" s="316" cm="1">
        <f t="array" ref="AA1578">Settlement(Main_Presentation[[#This Row],[Bank]],Main_Presentation[[#This Row],[ Invoice Amt (SAR)]],Main_Presentation[[#This Row],[Date Recd]],Main_Presentation[[#This Row],[Due Date]],Main_Presentation[[#This Row],[Days]])</f>
        <v>754.4</v>
      </c>
      <c r="AB1578" s="16"/>
    </row>
    <row r="1579" spans="1:28" ht="15.75" hidden="1" x14ac:dyDescent="0.25">
      <c r="A1579" s="20" t="s">
        <v>3704</v>
      </c>
      <c r="B1579" s="15">
        <v>46188</v>
      </c>
      <c r="C1579" s="26">
        <v>1</v>
      </c>
      <c r="D1579" s="55" t="str">
        <f>VLOOKUP(Main_Presentation[[#This Row],[LC Number]],Main_Issuance[],3,0)</f>
        <v>Hassan Taleb</v>
      </c>
      <c r="E1579" s="16" t="s">
        <v>856</v>
      </c>
      <c r="F1579" s="17" t="str">
        <f>VLOOKUP(Main_Presentation[[#This Row],[LC Number]],Main_Issuance[],5,0)</f>
        <v>SAB</v>
      </c>
      <c r="G1579" s="17" t="str">
        <f>VLOOKUP(Main_Presentation[[#This Row],[LC Number]],Main_Issuance[],6,0)</f>
        <v>MP1</v>
      </c>
      <c r="H1579" s="17" t="str">
        <f>VLOOKUP(Main_Presentation[[#This Row],[LC Number]],Main_Issuance[],17,0)</f>
        <v>Credit</v>
      </c>
      <c r="I1579" s="17" t="str">
        <f>VLOOKUP(Main_Presentation[[#This Row],[LC Number]],Main_Issuance[],7,0)</f>
        <v>Arabian International Company For Contracting</v>
      </c>
      <c r="J1579" s="17" t="str">
        <f>VLOOKUP(Main_Presentation[[#This Row],[LC Number]],Main_Issuance[],8,0)</f>
        <v>FIRST FIX</v>
      </c>
      <c r="K1579" s="17" t="str">
        <f>VLOOKUP(Main_Presentation[[#This Row],[LC Number]],Main_Issuance[],9,0)</f>
        <v>MP1</v>
      </c>
      <c r="L1579" s="17">
        <f>VLOOKUP(Main_Presentation[[#This Row],[LC Number]],Main_Issuance[],10,0)</f>
        <v>1020088</v>
      </c>
      <c r="M1579" s="17" t="str">
        <f>VLOOKUP(Main_Presentation[[#This Row],[LC Number]],Main_Issuance[],11,0)</f>
        <v>SAR</v>
      </c>
      <c r="N1579" s="84">
        <f>VLOOKUP(Main_Presentation[[#This Row],[LC Number]],Main_Issuance[],12,0)</f>
        <v>900000</v>
      </c>
      <c r="O1579" s="16" t="s">
        <v>912</v>
      </c>
      <c r="P1579" s="16" t="s">
        <v>857</v>
      </c>
      <c r="Q1579" s="18">
        <v>900000</v>
      </c>
      <c r="R1579" s="18">
        <v>1</v>
      </c>
      <c r="S1579" s="18">
        <f>Main_Presentation[[#This Row],[Invoice Amt (FCY)]]*Main_Presentation[[#This Row],[Rate]]</f>
        <v>900000</v>
      </c>
      <c r="T1579" s="15">
        <v>46264</v>
      </c>
      <c r="U1579" s="26" t="str">
        <f>VLOOKUP(Main_Presentation[[#This Row],[LC Number]],Main_Issuance[],18,0)</f>
        <v>90 Days from Applicant representative sign on Invoice</v>
      </c>
      <c r="V1579" s="249"/>
      <c r="W1579" s="22" t="s">
        <v>378</v>
      </c>
      <c r="X1579" s="16"/>
      <c r="Y1579" s="234" t="str">
        <f>TRIM(LEFT(Main_Presentation[[#This Row],[Payment Terms]],3))</f>
        <v>90</v>
      </c>
      <c r="Z1579" s="16"/>
      <c r="AA1579" s="316" cm="1">
        <f t="array" ref="AA1579">Settlement(Main_Presentation[[#This Row],[Bank]],Main_Presentation[[#This Row],[ Invoice Amt (SAR)]],Main_Presentation[[#This Row],[Date Recd]],Main_Presentation[[#This Row],[Due Date]],Main_Presentation[[#This Row],[Days]])</f>
        <v>3881.25</v>
      </c>
      <c r="AB1579" s="16"/>
    </row>
    <row r="1580" spans="1:28" ht="15.75" hidden="1" x14ac:dyDescent="0.25">
      <c r="A1580" s="20" t="s">
        <v>3701</v>
      </c>
      <c r="B1580" s="15">
        <v>46194</v>
      </c>
      <c r="C1580" s="26">
        <v>1</v>
      </c>
      <c r="D1580" s="55" t="str">
        <f>VLOOKUP(Main_Presentation[[#This Row],[LC Number]],Main_Issuance[],3,0)</f>
        <v>Hassan Taleb</v>
      </c>
      <c r="E1580" s="16" t="s">
        <v>858</v>
      </c>
      <c r="F1580" s="17" t="str">
        <f>VLOOKUP(Main_Presentation[[#This Row],[LC Number]],Main_Issuance[],5,0)</f>
        <v>SAB</v>
      </c>
      <c r="G1580" s="17" t="str">
        <f>VLOOKUP(Main_Presentation[[#This Row],[LC Number]],Main_Issuance[],6,0)</f>
        <v>MP1</v>
      </c>
      <c r="H1580" s="17" t="str">
        <f>VLOOKUP(Main_Presentation[[#This Row],[LC Number]],Main_Issuance[],17,0)</f>
        <v>Credit</v>
      </c>
      <c r="I1580" s="17" t="str">
        <f>VLOOKUP(Main_Presentation[[#This Row],[LC Number]],Main_Issuance[],7,0)</f>
        <v>Masdar Technical Supplies Co.</v>
      </c>
      <c r="J1580" s="17" t="str">
        <f>VLOOKUP(Main_Presentation[[#This Row],[LC Number]],Main_Issuance[],8,0)</f>
        <v>FIRST FIX</v>
      </c>
      <c r="K1580" s="17" t="str">
        <f>VLOOKUP(Main_Presentation[[#This Row],[LC Number]],Main_Issuance[],9,0)</f>
        <v>MP1</v>
      </c>
      <c r="L1580" s="17">
        <f>VLOOKUP(Main_Presentation[[#This Row],[LC Number]],Main_Issuance[],10,0)</f>
        <v>1020088</v>
      </c>
      <c r="M1580" s="17" t="str">
        <f>VLOOKUP(Main_Presentation[[#This Row],[LC Number]],Main_Issuance[],11,0)</f>
        <v>SAR</v>
      </c>
      <c r="N1580" s="84">
        <f>VLOOKUP(Main_Presentation[[#This Row],[LC Number]],Main_Issuance[],12,0)</f>
        <v>500000</v>
      </c>
      <c r="O1580" s="16" t="s">
        <v>1123</v>
      </c>
      <c r="P1580" s="16" t="s">
        <v>378</v>
      </c>
      <c r="Q1580" s="18">
        <v>500000</v>
      </c>
      <c r="R1580" s="18">
        <v>1</v>
      </c>
      <c r="S1580" s="18">
        <f>Main_Presentation[[#This Row],[Invoice Amt (FCY)]]*Main_Presentation[[#This Row],[Rate]]</f>
        <v>500000</v>
      </c>
      <c r="T1580" s="15">
        <v>46264</v>
      </c>
      <c r="U1580" s="26" t="str">
        <f>VLOOKUP(Main_Presentation[[#This Row],[LC Number]],Main_Issuance[],18,0)</f>
        <v>90 Days from Applicant representative sign on Invoice</v>
      </c>
      <c r="V1580" s="249"/>
      <c r="W1580" s="22" t="s">
        <v>378</v>
      </c>
      <c r="X1580" s="217" t="s">
        <v>5691</v>
      </c>
      <c r="Y1580" s="234" t="str">
        <f>TRIM(LEFT(Main_Presentation[[#This Row],[Payment Terms]],3))</f>
        <v>90</v>
      </c>
      <c r="Z1580" s="16"/>
      <c r="AA1580" s="316" cm="1">
        <f t="array" ref="AA1580">Settlement(Main_Presentation[[#This Row],[Bank]],Main_Presentation[[#This Row],[ Invoice Amt (SAR)]],Main_Presentation[[#This Row],[Date Recd]],Main_Presentation[[#This Row],[Due Date]],Main_Presentation[[#This Row],[Days]])</f>
        <v>2156.25</v>
      </c>
      <c r="AB1580" s="16"/>
    </row>
    <row r="1581" spans="1:28" ht="15.75" hidden="1" x14ac:dyDescent="0.25">
      <c r="A1581" s="20" t="s">
        <v>4567</v>
      </c>
      <c r="B1581" s="15">
        <v>46183</v>
      </c>
      <c r="C1581" s="26">
        <v>1</v>
      </c>
      <c r="D1581" s="55" t="str">
        <f>VLOOKUP(Main_Presentation[[#This Row],[LC Number]],Main_Issuance[],3,0)</f>
        <v>Hassan Taleb</v>
      </c>
      <c r="E1581" s="16" t="s">
        <v>856</v>
      </c>
      <c r="F1581" s="17" t="str">
        <f>VLOOKUP(Main_Presentation[[#This Row],[LC Number]],Main_Issuance[],5,0)</f>
        <v>SAB</v>
      </c>
      <c r="G1581" s="17" t="str">
        <f>VLOOKUP(Main_Presentation[[#This Row],[LC Number]],Main_Issuance[],6,0)</f>
        <v>MP1</v>
      </c>
      <c r="H1581" s="17" t="str">
        <f>VLOOKUP(Main_Presentation[[#This Row],[LC Number]],Main_Issuance[],17,0)</f>
        <v>Credit</v>
      </c>
      <c r="I1581" s="17" t="str">
        <f>VLOOKUP(Main_Presentation[[#This Row],[LC Number]],Main_Issuance[],7,0)</f>
        <v>Elsewedy Cables Co. Limited</v>
      </c>
      <c r="J1581" s="17" t="str">
        <f>VLOOKUP(Main_Presentation[[#This Row],[LC Number]],Main_Issuance[],8,0)</f>
        <v>FIRST FIX</v>
      </c>
      <c r="K1581" s="17" t="str">
        <f>VLOOKUP(Main_Presentation[[#This Row],[LC Number]],Main_Issuance[],9,0)</f>
        <v>MP1</v>
      </c>
      <c r="L1581" s="17">
        <f>VLOOKUP(Main_Presentation[[#This Row],[LC Number]],Main_Issuance[],10,0)</f>
        <v>1020088</v>
      </c>
      <c r="M1581" s="17" t="str">
        <f>VLOOKUP(Main_Presentation[[#This Row],[LC Number]],Main_Issuance[],11,0)</f>
        <v>SAR</v>
      </c>
      <c r="N1581" s="84">
        <f>VLOOKUP(Main_Presentation[[#This Row],[LC Number]],Main_Issuance[],12,0)</f>
        <v>1000000</v>
      </c>
      <c r="O1581" s="16" t="s">
        <v>912</v>
      </c>
      <c r="P1581" s="16" t="s">
        <v>857</v>
      </c>
      <c r="Q1581" s="18">
        <v>995984.82</v>
      </c>
      <c r="R1581" s="18">
        <v>1</v>
      </c>
      <c r="S1581" s="18">
        <f>Main_Presentation[[#This Row],[Invoice Amt (FCY)]]*Main_Presentation[[#This Row],[Rate]]</f>
        <v>995984.82</v>
      </c>
      <c r="T1581" s="15">
        <v>46264</v>
      </c>
      <c r="U1581" s="26" t="str">
        <f>VLOOKUP(Main_Presentation[[#This Row],[LC Number]],Main_Issuance[],18,0)</f>
        <v>90 Days from App Rep Sign on Invoice</v>
      </c>
      <c r="V1581" s="249"/>
      <c r="W1581" s="22" t="s">
        <v>378</v>
      </c>
      <c r="X1581" s="16"/>
      <c r="Y1581" s="234" t="str">
        <f>TRIM(LEFT(Main_Presentation[[#This Row],[Payment Terms]],3))</f>
        <v>90</v>
      </c>
      <c r="Z1581" s="16"/>
      <c r="AA1581" s="316" cm="1">
        <f t="array" ref="AA1581">Settlement(Main_Presentation[[#This Row],[Bank]],Main_Presentation[[#This Row],[ Invoice Amt (SAR)]],Main_Presentation[[#This Row],[Date Recd]],Main_Presentation[[#This Row],[Due Date]],Main_Presentation[[#This Row],[Days]])</f>
        <v>4295.25</v>
      </c>
      <c r="AB1581" s="16"/>
    </row>
    <row r="1582" spans="1:28" ht="15.75" hidden="1" x14ac:dyDescent="0.25">
      <c r="A1582" s="226" t="s">
        <v>4552</v>
      </c>
      <c r="B1582" s="227">
        <v>46189</v>
      </c>
      <c r="C1582" s="243">
        <v>1</v>
      </c>
      <c r="D1582" s="228" t="str">
        <f>VLOOKUP(Main_Presentation[[#This Row],[LC Number]],Main_Issuance[],3,0)</f>
        <v>Hassan Taleb</v>
      </c>
      <c r="E1582" s="217" t="s">
        <v>856</v>
      </c>
      <c r="F1582" s="244" t="str">
        <f>VLOOKUP(Main_Presentation[[#This Row],[LC Number]],Main_Issuance[],5,0)</f>
        <v>SAB</v>
      </c>
      <c r="G1582" s="244" t="str">
        <f>VLOOKUP(Main_Presentation[[#This Row],[LC Number]],Main_Issuance[],6,0)</f>
        <v>MP1</v>
      </c>
      <c r="H1582" s="244" t="str">
        <f>VLOOKUP(Main_Presentation[[#This Row],[LC Number]],Main_Issuance[],17,0)</f>
        <v>Credit</v>
      </c>
      <c r="I1582" s="244" t="str">
        <f>VLOOKUP(Main_Presentation[[#This Row],[LC Number]],Main_Issuance[],7,0)</f>
        <v>Khereiji Showrooms Co.</v>
      </c>
      <c r="J1582" s="244" t="str">
        <f>VLOOKUP(Main_Presentation[[#This Row],[LC Number]],Main_Issuance[],8,0)</f>
        <v>FIRST FIX</v>
      </c>
      <c r="K1582" s="244" t="str">
        <f>VLOOKUP(Main_Presentation[[#This Row],[LC Number]],Main_Issuance[],9,0)</f>
        <v>MP1</v>
      </c>
      <c r="L1582" s="244">
        <f>VLOOKUP(Main_Presentation[[#This Row],[LC Number]],Main_Issuance[],10,0)</f>
        <v>1020088</v>
      </c>
      <c r="M1582" s="244" t="str">
        <f>VLOOKUP(Main_Presentation[[#This Row],[LC Number]],Main_Issuance[],11,0)</f>
        <v>SAR</v>
      </c>
      <c r="N1582" s="245">
        <f>VLOOKUP(Main_Presentation[[#This Row],[LC Number]],Main_Issuance[],12,0)</f>
        <v>300000.73</v>
      </c>
      <c r="O1582" s="217" t="s">
        <v>912</v>
      </c>
      <c r="P1582" s="217" t="s">
        <v>857</v>
      </c>
      <c r="Q1582" s="218">
        <v>299758.8</v>
      </c>
      <c r="R1582" s="218">
        <v>1</v>
      </c>
      <c r="S1582" s="218">
        <f>Main_Presentation[[#This Row],[Invoice Amt (FCY)]]*Main_Presentation[[#This Row],[Rate]]</f>
        <v>299758.8</v>
      </c>
      <c r="T1582" s="15">
        <v>46264</v>
      </c>
      <c r="U1582" s="243" t="str">
        <f>VLOOKUP(Main_Presentation[[#This Row],[LC Number]],Main_Issuance[],18,0)</f>
        <v>90 Days from App Rep Sign on Invoice</v>
      </c>
      <c r="V1582" s="233"/>
      <c r="W1582" s="229" t="s">
        <v>378</v>
      </c>
      <c r="X1582" s="217"/>
      <c r="Y1582" s="399" t="str">
        <f>TRIM(LEFT(Main_Presentation[[#This Row],[Payment Terms]],3))</f>
        <v>90</v>
      </c>
      <c r="Z1582" s="217"/>
      <c r="AA1582" s="405" cm="1">
        <f t="array" ref="AA1582">Settlement(Main_Presentation[[#This Row],[Bank]],Main_Presentation[[#This Row],[ Invoice Amt (SAR)]],Main_Presentation[[#This Row],[Date Recd]],Main_Presentation[[#This Row],[Due Date]],Main_Presentation[[#This Row],[Days]])</f>
        <v>1292.5999999999999</v>
      </c>
      <c r="AB1582" s="217"/>
    </row>
    <row r="1583" spans="1:28" ht="15.75" hidden="1" x14ac:dyDescent="0.25">
      <c r="A1583" s="226" t="s">
        <v>4630</v>
      </c>
      <c r="B1583" s="227">
        <v>46188</v>
      </c>
      <c r="C1583" s="243">
        <v>2</v>
      </c>
      <c r="D1583" s="228" t="str">
        <f>VLOOKUP(Main_Presentation[[#This Row],[LC Number]],Main_Issuance[],3,0)</f>
        <v>Essam Zahran</v>
      </c>
      <c r="E1583" s="217" t="s">
        <v>856</v>
      </c>
      <c r="F1583" s="244" t="str">
        <f>VLOOKUP(Main_Presentation[[#This Row],[LC Number]],Main_Issuance[],5,0)</f>
        <v>Alinma</v>
      </c>
      <c r="G1583" s="244" t="str">
        <f>VLOOKUP(Main_Presentation[[#This Row],[LC Number]],Main_Issuance[],6,0)</f>
        <v>KSP</v>
      </c>
      <c r="H1583" s="244" t="str">
        <f>VLOOKUP(Main_Presentation[[#This Row],[LC Number]],Main_Issuance[],17,0)</f>
        <v>Credit</v>
      </c>
      <c r="I1583" s="244" t="str">
        <f>VLOOKUP(Main_Presentation[[#This Row],[LC Number]],Main_Issuance[],7,0)</f>
        <v>Depa Saudi Arabia for Contracting and Interior Decorating Co. Ltd.</v>
      </c>
      <c r="J1583" s="244" t="str">
        <f>VLOOKUP(Main_Presentation[[#This Row],[LC Number]],Main_Issuance[],8,0)</f>
        <v>MBL</v>
      </c>
      <c r="K1583" s="244" t="str">
        <f>VLOOKUP(Main_Presentation[[#This Row],[LC Number]],Main_Issuance[],9,0)</f>
        <v>KSP</v>
      </c>
      <c r="L1583" s="244">
        <f>VLOOKUP(Main_Presentation[[#This Row],[LC Number]],Main_Issuance[],10,0)</f>
        <v>1020055</v>
      </c>
      <c r="M1583" s="244" t="str">
        <f>VLOOKUP(Main_Presentation[[#This Row],[LC Number]],Main_Issuance[],11,0)</f>
        <v>SAR</v>
      </c>
      <c r="N1583" s="245">
        <f>VLOOKUP(Main_Presentation[[#This Row],[LC Number]],Main_Issuance[],12,0)</f>
        <v>20000000</v>
      </c>
      <c r="O1583" s="217" t="s">
        <v>912</v>
      </c>
      <c r="P1583" s="217" t="s">
        <v>378</v>
      </c>
      <c r="Q1583" s="218">
        <v>2593391.5299999998</v>
      </c>
      <c r="R1583" s="218">
        <v>1</v>
      </c>
      <c r="S1583" s="218">
        <f>Main_Presentation[[#This Row],[Invoice Amt (FCY)]]*Main_Presentation[[#This Row],[Rate]]</f>
        <v>2593391.5299999998</v>
      </c>
      <c r="T1583" s="227">
        <v>46244</v>
      </c>
      <c r="U1583" s="243" t="str">
        <f>VLOOKUP(Main_Presentation[[#This Row],[LC Number]],Main_Issuance[],18,0)</f>
        <v>90 Days from Invoice Date</v>
      </c>
      <c r="V1583" s="233"/>
      <c r="W1583" s="229" t="s">
        <v>378</v>
      </c>
      <c r="X1583" s="217"/>
      <c r="Y1583" s="399" t="str">
        <f>TRIM(LEFT(Main_Presentation[[#This Row],[Payment Terms]],3))</f>
        <v>90</v>
      </c>
      <c r="Z1583" s="217"/>
      <c r="AA1583" s="405" cm="1">
        <f t="array" ref="AA1583">Settlement(Main_Presentation[[#This Row],[Bank]],Main_Presentation[[#This Row],[ Invoice Amt (SAR)]],Main_Presentation[[#This Row],[Date Recd]],Main_Presentation[[#This Row],[Due Date]],Main_Presentation[[#This Row],[Days]])</f>
        <v>2485.15</v>
      </c>
      <c r="AB1583" s="217"/>
    </row>
    <row r="1584" spans="1:28" ht="15.75" hidden="1" x14ac:dyDescent="0.25">
      <c r="A1584" s="226" t="s">
        <v>3142</v>
      </c>
      <c r="B1584" s="227">
        <v>46177</v>
      </c>
      <c r="C1584" s="243">
        <v>3</v>
      </c>
      <c r="D1584" s="228" t="str">
        <f>VLOOKUP(Main_Presentation[[#This Row],[LC Number]],Main_Issuance[],3,0)</f>
        <v>Matthew Mckernan - AICS</v>
      </c>
      <c r="E1584" s="217" t="s">
        <v>856</v>
      </c>
      <c r="F1584" s="244" t="str">
        <f>VLOOKUP(Main_Presentation[[#This Row],[LC Number]],Main_Issuance[],5,0)</f>
        <v>SNB</v>
      </c>
      <c r="G1584" s="244" t="str">
        <f>VLOOKUP(Main_Presentation[[#This Row],[LC Number]],Main_Issuance[],6,0)</f>
        <v>Opera House</v>
      </c>
      <c r="H1584" s="244" t="str">
        <f>VLOOKUP(Main_Presentation[[#This Row],[LC Number]],Main_Issuance[],17,0)</f>
        <v>Credit</v>
      </c>
      <c r="I1584" s="244" t="str">
        <f>VLOOKUP(Main_Presentation[[#This Row],[LC Number]],Main_Issuance[],7,0)</f>
        <v>APS ARABIAN CONTRACTING COMPANY</v>
      </c>
      <c r="J1584" s="244" t="str">
        <f>VLOOKUP(Main_Presentation[[#This Row],[LC Number]],Main_Issuance[],8,0)</f>
        <v>MBL/AICS</v>
      </c>
      <c r="K1584" s="244" t="str">
        <f>VLOOKUP(Main_Presentation[[#This Row],[LC Number]],Main_Issuance[],9,0)</f>
        <v>OPERA House</v>
      </c>
      <c r="L1584" s="244">
        <f>VLOOKUP(Main_Presentation[[#This Row],[LC Number]],Main_Issuance[],10,0)</f>
        <v>1020097</v>
      </c>
      <c r="M1584" s="244" t="str">
        <f>VLOOKUP(Main_Presentation[[#This Row],[LC Number]],Main_Issuance[],11,0)</f>
        <v>SAR</v>
      </c>
      <c r="N1584" s="245">
        <f>VLOOKUP(Main_Presentation[[#This Row],[LC Number]],Main_Issuance[],12,0)</f>
        <v>2072033.2</v>
      </c>
      <c r="O1584" s="217" t="s">
        <v>912</v>
      </c>
      <c r="P1584" s="217" t="s">
        <v>378</v>
      </c>
      <c r="Q1584" s="218">
        <v>652505.4</v>
      </c>
      <c r="R1584" s="218">
        <v>1</v>
      </c>
      <c r="S1584" s="218">
        <f>Main_Presentation[[#This Row],[Invoice Amt (FCY)]]*Main_Presentation[[#This Row],[Rate]]</f>
        <v>652505.4</v>
      </c>
      <c r="T1584" s="227">
        <v>46205</v>
      </c>
      <c r="U1584" s="243" t="str">
        <f>VLOOKUP(Main_Presentation[[#This Row],[LC Number]],Main_Issuance[],18,0)</f>
        <v>60 Days from Invoice Date</v>
      </c>
      <c r="V1584" s="233"/>
      <c r="W1584" s="229" t="s">
        <v>378</v>
      </c>
      <c r="X1584" s="217"/>
      <c r="Y1584" s="399" t="str">
        <f>TRIM(LEFT(Main_Presentation[[#This Row],[Payment Terms]],3))</f>
        <v>60</v>
      </c>
      <c r="Z1584" s="217"/>
      <c r="AA1584" s="405" cm="1">
        <f t="array" ref="AA1584">Settlement(Main_Presentation[[#This Row],[Bank]],Main_Presentation[[#This Row],[ Invoice Amt (SAR)]],Main_Presentation[[#This Row],[Date Recd]],Main_Presentation[[#This Row],[Due Date]],Main_Presentation[[#This Row],[Days]])</f>
        <v>1603.1</v>
      </c>
      <c r="AB1584" s="217"/>
    </row>
    <row r="1585" spans="1:28" ht="15.75" hidden="1" x14ac:dyDescent="0.25">
      <c r="A1585" s="226" t="s">
        <v>4737</v>
      </c>
      <c r="B1585" s="227">
        <v>46176</v>
      </c>
      <c r="C1585" s="243">
        <v>3</v>
      </c>
      <c r="D1585" s="228" t="str">
        <f>VLOOKUP(Main_Presentation[[#This Row],[LC Number]],Main_Issuance[],3,0)</f>
        <v>Justin Xavier</v>
      </c>
      <c r="E1585" s="217" t="s">
        <v>858</v>
      </c>
      <c r="F1585" s="244" t="str">
        <f>VLOOKUP(Main_Presentation[[#This Row],[LC Number]],Main_Issuance[],5,0)</f>
        <v>Alinma</v>
      </c>
      <c r="G1585" s="244" t="str">
        <f>VLOOKUP(Main_Presentation[[#This Row],[LC Number]],Main_Issuance[],6,0)</f>
        <v>KSP</v>
      </c>
      <c r="H1585" s="244" t="str">
        <f>VLOOKUP(Main_Presentation[[#This Row],[LC Number]],Main_Issuance[],17,0)</f>
        <v>Credit</v>
      </c>
      <c r="I1585" s="244" t="str">
        <f>VLOOKUP(Main_Presentation[[#This Row],[LC Number]],Main_Issuance[],7,0)</f>
        <v>Innovative Specialized Security Solution</v>
      </c>
      <c r="J1585" s="244" t="str">
        <f>VLOOKUP(Main_Presentation[[#This Row],[LC Number]],Main_Issuance[],8,0)</f>
        <v>ICAD</v>
      </c>
      <c r="K1585" s="244" t="str">
        <f>VLOOKUP(Main_Presentation[[#This Row],[LC Number]],Main_Issuance[],9,0)</f>
        <v>ADF</v>
      </c>
      <c r="L1585" s="244">
        <f>VLOOKUP(Main_Presentation[[#This Row],[LC Number]],Main_Issuance[],10,0)</f>
        <v>1020001</v>
      </c>
      <c r="M1585" s="244" t="str">
        <f>VLOOKUP(Main_Presentation[[#This Row],[LC Number]],Main_Issuance[],11,0)</f>
        <v>SAR</v>
      </c>
      <c r="N1585" s="245">
        <f>VLOOKUP(Main_Presentation[[#This Row],[LC Number]],Main_Issuance[],12,0)</f>
        <v>15724333.939999999</v>
      </c>
      <c r="O1585" s="217" t="s">
        <v>912</v>
      </c>
      <c r="P1585" s="217" t="s">
        <v>378</v>
      </c>
      <c r="Q1585" s="218">
        <v>4000000</v>
      </c>
      <c r="R1585" s="218">
        <v>1</v>
      </c>
      <c r="S1585" s="218">
        <f>Main_Presentation[[#This Row],[Invoice Amt (FCY)]]*Main_Presentation[[#This Row],[Rate]]</f>
        <v>4000000</v>
      </c>
      <c r="T1585" s="227">
        <v>46222</v>
      </c>
      <c r="U1585" s="243" t="str">
        <f>VLOOKUP(Main_Presentation[[#This Row],[LC Number]],Main_Issuance[],18,0)</f>
        <v>90 Days from Applicant representative sign on Invoice</v>
      </c>
      <c r="V1585" s="233"/>
      <c r="W1585" s="229" t="s">
        <v>378</v>
      </c>
      <c r="X1585" s="217" t="s">
        <v>5450</v>
      </c>
      <c r="Y1585" s="399" t="str">
        <f>TRIM(LEFT(Main_Presentation[[#This Row],[Payment Terms]],3))</f>
        <v>90</v>
      </c>
      <c r="Z1585" s="217"/>
      <c r="AA1585" s="405" cm="1">
        <f t="array" ref="AA1585">Settlement(Main_Presentation[[#This Row],[Bank]],Main_Presentation[[#This Row],[ Invoice Amt (SAR)]],Main_Presentation[[#This Row],[Date Recd]],Main_Presentation[[#This Row],[Due Date]],Main_Presentation[[#This Row],[Days]])</f>
        <v>1917.05</v>
      </c>
      <c r="AB1585" s="217"/>
    </row>
    <row r="1586" spans="1:28" ht="15.75" hidden="1" x14ac:dyDescent="0.25">
      <c r="A1586" s="226" t="s">
        <v>1896</v>
      </c>
      <c r="B1586" s="227">
        <v>46176</v>
      </c>
      <c r="C1586" s="243">
        <v>10</v>
      </c>
      <c r="D1586" s="228" t="str">
        <f>VLOOKUP(Main_Presentation[[#This Row],[LC Number]],Main_Issuance[],3,0)</f>
        <v>Rabih Makhoul</v>
      </c>
      <c r="E1586" s="217" t="s">
        <v>856</v>
      </c>
      <c r="F1586" s="244" t="str">
        <f>VLOOKUP(Main_Presentation[[#This Row],[LC Number]],Main_Issuance[],5,0)</f>
        <v>Alinma</v>
      </c>
      <c r="G1586" s="244" t="str">
        <f>VLOOKUP(Main_Presentation[[#This Row],[LC Number]],Main_Issuance[],6,0)</f>
        <v>KSP</v>
      </c>
      <c r="H1586" s="244" t="str">
        <f>VLOOKUP(Main_Presentation[[#This Row],[LC Number]],Main_Issuance[],17,0)</f>
        <v>Credit</v>
      </c>
      <c r="I1586" s="244" t="str">
        <f>VLOOKUP(Main_Presentation[[#This Row],[LC Number]],Main_Issuance[],7,0)</f>
        <v>Saudi Perfect Pumps Trading &amp; Manufacturing Company</v>
      </c>
      <c r="J1586" s="244" t="str">
        <f>VLOOKUP(Main_Presentation[[#This Row],[LC Number]],Main_Issuance[],8,0)</f>
        <v>MBL</v>
      </c>
      <c r="K1586" s="244" t="str">
        <f>VLOOKUP(Main_Presentation[[#This Row],[LC Number]],Main_Issuance[],9,0)</f>
        <v>Rabigh Power Plant</v>
      </c>
      <c r="L1586" s="244">
        <f>VLOOKUP(Main_Presentation[[#This Row],[LC Number]],Main_Issuance[],10,0)</f>
        <v>1020107</v>
      </c>
      <c r="M1586" s="244" t="str">
        <f>VLOOKUP(Main_Presentation[[#This Row],[LC Number]],Main_Issuance[],11,0)</f>
        <v>SAR</v>
      </c>
      <c r="N1586" s="245">
        <f>VLOOKUP(Main_Presentation[[#This Row],[LC Number]],Main_Issuance[],12,0)</f>
        <v>7670500</v>
      </c>
      <c r="O1586" s="217" t="s">
        <v>912</v>
      </c>
      <c r="P1586" s="217" t="s">
        <v>378</v>
      </c>
      <c r="Q1586" s="218">
        <v>412500</v>
      </c>
      <c r="R1586" s="218">
        <v>1</v>
      </c>
      <c r="S1586" s="218">
        <f>Main_Presentation[[#This Row],[Invoice Amt (FCY)]]*Main_Presentation[[#This Row],[Rate]]</f>
        <v>412500</v>
      </c>
      <c r="T1586" s="227">
        <v>46204</v>
      </c>
      <c r="U1586" s="243" t="str">
        <f>VLOOKUP(Main_Presentation[[#This Row],[LC Number]],Main_Issuance[],18,0)</f>
        <v>45 Days from Delivery Date</v>
      </c>
      <c r="V1586" s="233"/>
      <c r="W1586" s="229" t="s">
        <v>378</v>
      </c>
      <c r="X1586" s="217"/>
      <c r="Y1586" s="399" t="str">
        <f>TRIM(LEFT(Main_Presentation[[#This Row],[Payment Terms]],3))</f>
        <v>45</v>
      </c>
      <c r="Z1586" s="217"/>
      <c r="AA1586" s="405" cm="1">
        <f t="array" ref="AA1586">Settlement(Main_Presentation[[#This Row],[Bank]],Main_Presentation[[#This Row],[ Invoice Amt (SAR)]],Main_Presentation[[#This Row],[Date Recd]],Main_Presentation[[#This Row],[Due Date]],Main_Presentation[[#This Row],[Days]])</f>
        <v>1437.5</v>
      </c>
      <c r="AB1586" s="217"/>
    </row>
    <row r="1587" spans="1:28" ht="15.75" hidden="1" x14ac:dyDescent="0.25">
      <c r="A1587" s="226" t="s">
        <v>4546</v>
      </c>
      <c r="B1587" s="227">
        <v>46180</v>
      </c>
      <c r="C1587" s="243">
        <v>3</v>
      </c>
      <c r="D1587" s="228" t="str">
        <f>VLOOKUP(Main_Presentation[[#This Row],[LC Number]],Main_Issuance[],3,0)</f>
        <v>Nader Ageeb</v>
      </c>
      <c r="E1587" s="217" t="s">
        <v>858</v>
      </c>
      <c r="F1587" s="244" t="str">
        <f>VLOOKUP(Main_Presentation[[#This Row],[LC Number]],Main_Issuance[],5,0)</f>
        <v>NBK</v>
      </c>
      <c r="G1587" s="244" t="str">
        <f>VLOOKUP(Main_Presentation[[#This Row],[LC Number]],Main_Issuance[],6,0)</f>
        <v>Lagoon</v>
      </c>
      <c r="H1587" s="244" t="str">
        <f>VLOOKUP(Main_Presentation[[#This Row],[LC Number]],Main_Issuance[],17,0)</f>
        <v>Credit</v>
      </c>
      <c r="I1587" s="244" t="str">
        <f>VLOOKUP(Main_Presentation[[#This Row],[LC Number]],Main_Issuance[],7,0)</f>
        <v>Ready Mix Company Limited.</v>
      </c>
      <c r="J1587" s="244" t="str">
        <f>VLOOKUP(Main_Presentation[[#This Row],[LC Number]],Main_Issuance[],8,0)</f>
        <v>MBL</v>
      </c>
      <c r="K1587" s="244" t="str">
        <f>VLOOKUP(Main_Presentation[[#This Row],[LC Number]],Main_Issuance[],9,0)</f>
        <v>Lagoon</v>
      </c>
      <c r="L1587" s="244">
        <f>VLOOKUP(Main_Presentation[[#This Row],[LC Number]],Main_Issuance[],10,0)</f>
        <v>1020108</v>
      </c>
      <c r="M1587" s="244" t="str">
        <f>VLOOKUP(Main_Presentation[[#This Row],[LC Number]],Main_Issuance[],11,0)</f>
        <v>SAR</v>
      </c>
      <c r="N1587" s="245">
        <f>VLOOKUP(Main_Presentation[[#This Row],[LC Number]],Main_Issuance[],12,0)</f>
        <v>5000000</v>
      </c>
      <c r="O1587" s="217" t="s">
        <v>912</v>
      </c>
      <c r="P1587" s="217" t="s">
        <v>857</v>
      </c>
      <c r="Q1587" s="218">
        <v>949900</v>
      </c>
      <c r="R1587" s="218">
        <v>1</v>
      </c>
      <c r="S1587" s="218">
        <f>Main_Presentation[[#This Row],[Invoice Amt (FCY)]]*Main_Presentation[[#This Row],[Rate]]</f>
        <v>949900</v>
      </c>
      <c r="T1587" s="227">
        <v>46215</v>
      </c>
      <c r="U1587" s="243" t="str">
        <f>VLOOKUP(Main_Presentation[[#This Row],[LC Number]],Main_Issuance[],18,0)</f>
        <v>60 Days from Invoice Date</v>
      </c>
      <c r="V1587" s="233"/>
      <c r="W1587" s="229" t="s">
        <v>378</v>
      </c>
      <c r="X1587" s="217" t="s">
        <v>5535</v>
      </c>
      <c r="Y1587" s="399" t="str">
        <f>TRIM(LEFT(Main_Presentation[[#This Row],[Payment Terms]],3))</f>
        <v>60</v>
      </c>
      <c r="Z1587" s="217"/>
      <c r="AA1587" s="405" cm="1">
        <f t="array" ref="AA1587">Settlement(Main_Presentation[[#This Row],[Bank]],Main_Presentation[[#This Row],[ Invoice Amt (SAR)]],Main_Presentation[[#This Row],[Date Recd]],Main_Presentation[[#This Row],[Due Date]],Main_Presentation[[#This Row],[Days]])</f>
        <v>3018.75</v>
      </c>
      <c r="AB1587" s="217"/>
    </row>
    <row r="1588" spans="1:28" ht="15.75" hidden="1" x14ac:dyDescent="0.25">
      <c r="A1588" s="226" t="s">
        <v>1767</v>
      </c>
      <c r="B1588" s="227">
        <v>46176</v>
      </c>
      <c r="C1588" s="243">
        <v>7</v>
      </c>
      <c r="D1588" s="228" t="str">
        <f>VLOOKUP(Main_Presentation[[#This Row],[LC Number]],Main_Issuance[],3,0)</f>
        <v>Rabih Makhoul</v>
      </c>
      <c r="E1588" s="217" t="s">
        <v>856</v>
      </c>
      <c r="F1588" s="244" t="str">
        <f>VLOOKUP(Main_Presentation[[#This Row],[LC Number]],Main_Issuance[],5,0)</f>
        <v>Alinma</v>
      </c>
      <c r="G1588" s="244" t="str">
        <f>VLOOKUP(Main_Presentation[[#This Row],[LC Number]],Main_Issuance[],6,0)</f>
        <v>KSP</v>
      </c>
      <c r="H1588" s="244" t="str">
        <f>VLOOKUP(Main_Presentation[[#This Row],[LC Number]],Main_Issuance[],17,0)</f>
        <v>Credit</v>
      </c>
      <c r="I1588" s="244" t="str">
        <f>VLOOKUP(Main_Presentation[[#This Row],[LC Number]],Main_Issuance[],7,0)</f>
        <v>Al Arabia Construction &amp; Building Co.</v>
      </c>
      <c r="J1588" s="244" t="str">
        <f>VLOOKUP(Main_Presentation[[#This Row],[LC Number]],Main_Issuance[],8,0)</f>
        <v>MBL</v>
      </c>
      <c r="K1588" s="244" t="str">
        <f>VLOOKUP(Main_Presentation[[#This Row],[LC Number]],Main_Issuance[],9,0)</f>
        <v>Rabigh Power Plant</v>
      </c>
      <c r="L1588" s="244">
        <f>VLOOKUP(Main_Presentation[[#This Row],[LC Number]],Main_Issuance[],10,0)</f>
        <v>1020107</v>
      </c>
      <c r="M1588" s="244" t="str">
        <f>VLOOKUP(Main_Presentation[[#This Row],[LC Number]],Main_Issuance[],11,0)</f>
        <v>SAR</v>
      </c>
      <c r="N1588" s="245">
        <f>VLOOKUP(Main_Presentation[[#This Row],[LC Number]],Main_Issuance[],12,0)</f>
        <v>3009600</v>
      </c>
      <c r="O1588" s="217" t="s">
        <v>20</v>
      </c>
      <c r="P1588" s="217" t="s">
        <v>378</v>
      </c>
      <c r="Q1588" s="218">
        <v>85138.27</v>
      </c>
      <c r="R1588" s="218">
        <v>1</v>
      </c>
      <c r="S1588" s="218">
        <f>Main_Presentation[[#This Row],[Invoice Amt (FCY)]]*Main_Presentation[[#This Row],[Rate]]</f>
        <v>85138.27</v>
      </c>
      <c r="T1588" s="15">
        <v>46181</v>
      </c>
      <c r="U1588" s="243" t="str">
        <f>VLOOKUP(Main_Presentation[[#This Row],[LC Number]],Main_Issuance[],18,0)</f>
        <v>45 Days from the Invoice Date</v>
      </c>
      <c r="V1588" s="233" t="s">
        <v>511</v>
      </c>
      <c r="W1588" s="229" t="s">
        <v>857</v>
      </c>
      <c r="X1588" s="217"/>
      <c r="Y1588" s="399" t="str">
        <f>TRIM(LEFT(Main_Presentation[[#This Row],[Payment Terms]],3))</f>
        <v>45</v>
      </c>
      <c r="Z1588" s="217"/>
      <c r="AA1588" s="405" cm="1">
        <f t="array" ref="AA1588">Settlement(Main_Presentation[[#This Row],[Bank]],Main_Presentation[[#This Row],[ Invoice Amt (SAR)]],Main_Presentation[[#This Row],[Date Recd]],Main_Presentation[[#This Row],[Due Date]],Main_Presentation[[#This Row],[Days]])</f>
        <v>1437.5</v>
      </c>
      <c r="AB1588" s="217"/>
    </row>
    <row r="1589" spans="1:28" ht="15.75" hidden="1" x14ac:dyDescent="0.25">
      <c r="A1589" s="226" t="s">
        <v>1767</v>
      </c>
      <c r="B1589" s="227">
        <v>46176</v>
      </c>
      <c r="C1589" s="243">
        <v>8</v>
      </c>
      <c r="D1589" s="228" t="str">
        <f>VLOOKUP(Main_Presentation[[#This Row],[LC Number]],Main_Issuance[],3,0)</f>
        <v>Rabih Makhoul</v>
      </c>
      <c r="E1589" s="217" t="s">
        <v>856</v>
      </c>
      <c r="F1589" s="244" t="str">
        <f>VLOOKUP(Main_Presentation[[#This Row],[LC Number]],Main_Issuance[],5,0)</f>
        <v>Alinma</v>
      </c>
      <c r="G1589" s="244" t="str">
        <f>VLOOKUP(Main_Presentation[[#This Row],[LC Number]],Main_Issuance[],6,0)</f>
        <v>KSP</v>
      </c>
      <c r="H1589" s="244" t="str">
        <f>VLOOKUP(Main_Presentation[[#This Row],[LC Number]],Main_Issuance[],17,0)</f>
        <v>Credit</v>
      </c>
      <c r="I1589" s="244" t="str">
        <f>VLOOKUP(Main_Presentation[[#This Row],[LC Number]],Main_Issuance[],7,0)</f>
        <v>Al Arabia Construction &amp; Building Co.</v>
      </c>
      <c r="J1589" s="244" t="str">
        <f>VLOOKUP(Main_Presentation[[#This Row],[LC Number]],Main_Issuance[],8,0)</f>
        <v>MBL</v>
      </c>
      <c r="K1589" s="244" t="str">
        <f>VLOOKUP(Main_Presentation[[#This Row],[LC Number]],Main_Issuance[],9,0)</f>
        <v>Rabigh Power Plant</v>
      </c>
      <c r="L1589" s="244">
        <f>VLOOKUP(Main_Presentation[[#This Row],[LC Number]],Main_Issuance[],10,0)</f>
        <v>1020107</v>
      </c>
      <c r="M1589" s="244" t="str">
        <f>VLOOKUP(Main_Presentation[[#This Row],[LC Number]],Main_Issuance[],11,0)</f>
        <v>SAR</v>
      </c>
      <c r="N1589" s="245">
        <f>VLOOKUP(Main_Presentation[[#This Row],[LC Number]],Main_Issuance[],12,0)</f>
        <v>3009600</v>
      </c>
      <c r="O1589" s="217" t="s">
        <v>20</v>
      </c>
      <c r="P1589" s="217" t="s">
        <v>378</v>
      </c>
      <c r="Q1589" s="218">
        <v>292378.94</v>
      </c>
      <c r="R1589" s="218">
        <v>1</v>
      </c>
      <c r="S1589" s="218">
        <f>Main_Presentation[[#This Row],[Invoice Amt (FCY)]]*Main_Presentation[[#This Row],[Rate]]</f>
        <v>292378.94</v>
      </c>
      <c r="T1589" s="15">
        <v>46181</v>
      </c>
      <c r="U1589" s="243" t="str">
        <f>VLOOKUP(Main_Presentation[[#This Row],[LC Number]],Main_Issuance[],18,0)</f>
        <v>45 Days from the Invoice Date</v>
      </c>
      <c r="V1589" s="233" t="s">
        <v>511</v>
      </c>
      <c r="W1589" s="229" t="s">
        <v>857</v>
      </c>
      <c r="X1589" s="217"/>
      <c r="Y1589" s="399" t="str">
        <f>TRIM(LEFT(Main_Presentation[[#This Row],[Payment Terms]],3))</f>
        <v>45</v>
      </c>
      <c r="Z1589" s="217"/>
      <c r="AA1589" s="405" cm="1">
        <f t="array" ref="AA1589">Settlement(Main_Presentation[[#This Row],[Bank]],Main_Presentation[[#This Row],[ Invoice Amt (SAR)]],Main_Presentation[[#This Row],[Date Recd]],Main_Presentation[[#This Row],[Due Date]],Main_Presentation[[#This Row],[Days]])</f>
        <v>1437.5</v>
      </c>
      <c r="AB1589" s="217"/>
    </row>
    <row r="1590" spans="1:28" ht="15.75" hidden="1" x14ac:dyDescent="0.25">
      <c r="A1590" s="226" t="s">
        <v>707</v>
      </c>
      <c r="B1590" s="227">
        <v>46159</v>
      </c>
      <c r="C1590" s="243">
        <v>6</v>
      </c>
      <c r="D1590" s="228" t="str">
        <f>VLOOKUP(Main_Presentation[[#This Row],[LC Number]],Main_Issuance[],3,0)</f>
        <v>Chaminda Indrajit</v>
      </c>
      <c r="E1590" s="217" t="s">
        <v>856</v>
      </c>
      <c r="F1590" s="244" t="str">
        <f>VLOOKUP(Main_Presentation[[#This Row],[LC Number]],Main_Issuance[],5,0)</f>
        <v>SNB</v>
      </c>
      <c r="G1590" s="244" t="str">
        <f>VLOOKUP(Main_Presentation[[#This Row],[LC Number]],Main_Issuance[],6,0)</f>
        <v>Opera House</v>
      </c>
      <c r="H1590" s="244" t="str">
        <f>VLOOKUP(Main_Presentation[[#This Row],[LC Number]],Main_Issuance[],17,0)</f>
        <v>Credit</v>
      </c>
      <c r="I1590" s="244" t="str">
        <f>VLOOKUP(Main_Presentation[[#This Row],[LC Number]],Main_Issuance[],7,0)</f>
        <v>BBH-CHEMTROL INTERNATIONAL ORGANIZATION S.L</v>
      </c>
      <c r="J1590" s="244" t="str">
        <f>VLOOKUP(Main_Presentation[[#This Row],[LC Number]],Main_Issuance[],8,0)</f>
        <v>MBL/ICAD</v>
      </c>
      <c r="K1590" s="244" t="str">
        <f>VLOOKUP(Main_Presentation[[#This Row],[LC Number]],Main_Issuance[],9,0)</f>
        <v>OPERA House</v>
      </c>
      <c r="L1590" s="244">
        <f>VLOOKUP(Main_Presentation[[#This Row],[LC Number]],Main_Issuance[],10,0)</f>
        <v>1020097</v>
      </c>
      <c r="M1590" s="244" t="str">
        <f>VLOOKUP(Main_Presentation[[#This Row],[LC Number]],Main_Issuance[],11,0)</f>
        <v>EUR</v>
      </c>
      <c r="N1590" s="245">
        <f>VLOOKUP(Main_Presentation[[#This Row],[LC Number]],Main_Issuance[],12,0)</f>
        <v>10500000</v>
      </c>
      <c r="O1590" s="217" t="s">
        <v>20</v>
      </c>
      <c r="P1590" s="217" t="s">
        <v>857</v>
      </c>
      <c r="Q1590" s="218">
        <v>869469.45</v>
      </c>
      <c r="R1590" s="218">
        <v>4.4160000000000004</v>
      </c>
      <c r="S1590" s="218">
        <f>Main_Presentation[[#This Row],[Invoice Amt (FCY)]]*Main_Presentation[[#This Row],[Rate]]</f>
        <v>3839577.0912000001</v>
      </c>
      <c r="T1590" s="227">
        <v>46174</v>
      </c>
      <c r="U1590" s="243" t="str">
        <f>VLOOKUP(Main_Presentation[[#This Row],[LC Number]],Main_Issuance[],18,0)</f>
        <v>30 Days from Shipment Date</v>
      </c>
      <c r="V1590" s="233" t="s">
        <v>96</v>
      </c>
      <c r="W1590" s="229" t="s">
        <v>857</v>
      </c>
      <c r="X1590" s="217"/>
      <c r="Y1590" s="399" t="str">
        <f>TRIM(LEFT(Main_Presentation[[#This Row],[Payment Terms]],3))</f>
        <v>30</v>
      </c>
      <c r="Z1590" s="217"/>
      <c r="AA1590" s="405" cm="1">
        <f t="array" ref="AA1590">Settlement(Main_Presentation[[#This Row],[Bank]],Main_Presentation[[#This Row],[ Invoice Amt (SAR)]],Main_Presentation[[#This Row],[Date Recd]],Main_Presentation[[#This Row],[Due Date]],Main_Presentation[[#This Row],[Days]])</f>
        <v>655.5</v>
      </c>
      <c r="AB1590" s="217"/>
    </row>
    <row r="1591" spans="1:28" ht="15.75" hidden="1" x14ac:dyDescent="0.25">
      <c r="A1591" s="226" t="s">
        <v>5251</v>
      </c>
      <c r="B1591" s="227">
        <v>46195</v>
      </c>
      <c r="C1591" s="243">
        <v>1</v>
      </c>
      <c r="D1591" s="228" t="str">
        <f>VLOOKUP(Main_Presentation[[#This Row],[LC Number]],Main_Issuance[],3,0)</f>
        <v>Matthew Mckernan</v>
      </c>
      <c r="E1591" s="217" t="s">
        <v>856</v>
      </c>
      <c r="F1591" s="244" t="str">
        <f>VLOOKUP(Main_Presentation[[#This Row],[LC Number]],Main_Issuance[],5,0)</f>
        <v>SNB</v>
      </c>
      <c r="G1591" s="244" t="str">
        <f>VLOOKUP(Main_Presentation[[#This Row],[LC Number]],Main_Issuance[],6,0)</f>
        <v>Opera House</v>
      </c>
      <c r="H1591" s="244" t="str">
        <f>VLOOKUP(Main_Presentation[[#This Row],[LC Number]],Main_Issuance[],17,0)</f>
        <v>Credit</v>
      </c>
      <c r="I1591" s="244" t="str">
        <f>VLOOKUP(Main_Presentation[[#This Row],[LC Number]],Main_Issuance[],7,0)</f>
        <v>Manar Alomran Company For Trading And Industrial Ltd</v>
      </c>
      <c r="J1591" s="244" t="str">
        <f>VLOOKUP(Main_Presentation[[#This Row],[LC Number]],Main_Issuance[],8,0)</f>
        <v>MBL</v>
      </c>
      <c r="K1591" s="244" t="str">
        <f>VLOOKUP(Main_Presentation[[#This Row],[LC Number]],Main_Issuance[],9,0)</f>
        <v>OPERA House</v>
      </c>
      <c r="L1591" s="244">
        <f>VLOOKUP(Main_Presentation[[#This Row],[LC Number]],Main_Issuance[],10,0)</f>
        <v>1020097</v>
      </c>
      <c r="M1591" s="244" t="str">
        <f>VLOOKUP(Main_Presentation[[#This Row],[LC Number]],Main_Issuance[],11,0)</f>
        <v>SAR</v>
      </c>
      <c r="N1591" s="245">
        <f>VLOOKUP(Main_Presentation[[#This Row],[LC Number]],Main_Issuance[],12,0)</f>
        <v>2896770</v>
      </c>
      <c r="O1591" s="217" t="s">
        <v>912</v>
      </c>
      <c r="P1591" s="217" t="s">
        <v>378</v>
      </c>
      <c r="Q1591" s="218">
        <v>386858.95</v>
      </c>
      <c r="R1591" s="218">
        <v>1</v>
      </c>
      <c r="S1591" s="218">
        <f>Main_Presentation[[#This Row],[Invoice Amt (FCY)]]*Main_Presentation[[#This Row],[Rate]]</f>
        <v>386858.95</v>
      </c>
      <c r="T1591" s="227">
        <v>46253</v>
      </c>
      <c r="U1591" s="243" t="str">
        <f>VLOOKUP(Main_Presentation[[#This Row],[LC Number]],Main_Issuance[],18,0)</f>
        <v>90 Days from Invoice Date</v>
      </c>
      <c r="V1591" s="233"/>
      <c r="W1591" s="229" t="s">
        <v>378</v>
      </c>
      <c r="X1591" s="217"/>
      <c r="Y1591" s="399" t="str">
        <f>TRIM(LEFT(Main_Presentation[[#This Row],[Payment Terms]],3))</f>
        <v>90</v>
      </c>
      <c r="Z1591" s="217"/>
      <c r="AA1591" s="405" cm="1">
        <f t="array" ref="AA1591">Settlement(Main_Presentation[[#This Row],[Bank]],Main_Presentation[[#This Row],[ Invoice Amt (SAR)]],Main_Presentation[[#This Row],[Date Recd]],Main_Presentation[[#This Row],[Due Date]],Main_Presentation[[#This Row],[Days]])</f>
        <v>1894.05</v>
      </c>
      <c r="AB1591" s="217"/>
    </row>
    <row r="1592" spans="1:28" ht="15.75" hidden="1" x14ac:dyDescent="0.25">
      <c r="A1592" s="226" t="s">
        <v>3169</v>
      </c>
      <c r="B1592" s="227">
        <v>46177</v>
      </c>
      <c r="C1592" s="243">
        <v>4</v>
      </c>
      <c r="D1592" s="228" t="str">
        <f>VLOOKUP(Main_Presentation[[#This Row],[LC Number]],Main_Issuance[],3,0)</f>
        <v>Mohammed Atef</v>
      </c>
      <c r="E1592" s="217" t="s">
        <v>858</v>
      </c>
      <c r="F1592" s="244" t="str">
        <f>VLOOKUP(Main_Presentation[[#This Row],[LC Number]],Main_Issuance[],5,0)</f>
        <v>Alinma</v>
      </c>
      <c r="G1592" s="244" t="str">
        <f>VLOOKUP(Main_Presentation[[#This Row],[LC Number]],Main_Issuance[],6,0)</f>
        <v>KSP</v>
      </c>
      <c r="H1592" s="244" t="str">
        <f>VLOOKUP(Main_Presentation[[#This Row],[LC Number]],Main_Issuance[],17,0)</f>
        <v>Credit</v>
      </c>
      <c r="I1592" s="244" t="str">
        <f>VLOOKUP(Main_Presentation[[#This Row],[LC Number]],Main_Issuance[],7,0)</f>
        <v>Osalas GMBH</v>
      </c>
      <c r="J1592" s="244" t="str">
        <f>VLOOKUP(Main_Presentation[[#This Row],[LC Number]],Main_Issuance[],8,0)</f>
        <v>MBL</v>
      </c>
      <c r="K1592" s="244" t="str">
        <f>VLOOKUP(Main_Presentation[[#This Row],[LC Number]],Main_Issuance[],9,0)</f>
        <v>ADF</v>
      </c>
      <c r="L1592" s="244">
        <f>VLOOKUP(Main_Presentation[[#This Row],[LC Number]],Main_Issuance[],10,0)</f>
        <v>1020001</v>
      </c>
      <c r="M1592" s="244" t="str">
        <f>VLOOKUP(Main_Presentation[[#This Row],[LC Number]],Main_Issuance[],11,0)</f>
        <v>EUR</v>
      </c>
      <c r="N1592" s="245">
        <f>VLOOKUP(Main_Presentation[[#This Row],[LC Number]],Main_Issuance[],12,0)</f>
        <v>5000000</v>
      </c>
      <c r="O1592" s="217" t="s">
        <v>909</v>
      </c>
      <c r="P1592" s="217" t="s">
        <v>378</v>
      </c>
      <c r="Q1592" s="218">
        <v>270000</v>
      </c>
      <c r="R1592" s="218">
        <v>4.4394999999999998</v>
      </c>
      <c r="S1592" s="218">
        <f>Main_Presentation[[#This Row],[Invoice Amt (FCY)]]*Main_Presentation[[#This Row],[Rate]]</f>
        <v>1198665</v>
      </c>
      <c r="T1592" s="227">
        <v>46199</v>
      </c>
      <c r="U1592" s="243" t="str">
        <f>VLOOKUP(Main_Presentation[[#This Row],[LC Number]],Main_Issuance[],18,0)</f>
        <v>Sight / 60 Days from Appl. Rep Sign on Invoice</v>
      </c>
      <c r="V1592" s="233"/>
      <c r="W1592" s="229" t="s">
        <v>378</v>
      </c>
      <c r="X1592" s="217" t="s">
        <v>5440</v>
      </c>
      <c r="Y1592" s="542">
        <v>60</v>
      </c>
      <c r="Z1592" s="217"/>
      <c r="AA1592" s="405" cm="1">
        <f t="array" ref="AA1592">Settlement(Main_Presentation[[#This Row],[Bank]],Main_Presentation[[#This Row],[ Invoice Amt (SAR)]],Main_Presentation[[#This Row],[Date Recd]],Main_Presentation[[#This Row],[Due Date]],Main_Presentation[[#This Row],[Days]])</f>
        <v>1437.5</v>
      </c>
      <c r="AB1592" s="217"/>
    </row>
    <row r="1593" spans="1:28" ht="15.75" hidden="1" x14ac:dyDescent="0.25">
      <c r="A1593" s="226" t="s">
        <v>1639</v>
      </c>
      <c r="B1593" s="227">
        <v>46191</v>
      </c>
      <c r="C1593" s="243">
        <v>3</v>
      </c>
      <c r="D1593" s="228" t="str">
        <f>VLOOKUP(Main_Presentation[[#This Row],[LC Number]],Main_Issuance[],3,0)</f>
        <v>Rabih Makhoul</v>
      </c>
      <c r="E1593" s="217" t="s">
        <v>856</v>
      </c>
      <c r="F1593" s="244" t="str">
        <f>VLOOKUP(Main_Presentation[[#This Row],[LC Number]],Main_Issuance[],5,0)</f>
        <v>SNB</v>
      </c>
      <c r="G1593" s="244" t="str">
        <f>VLOOKUP(Main_Presentation[[#This Row],[LC Number]],Main_Issuance[],6,0)</f>
        <v>Opera House</v>
      </c>
      <c r="H1593" s="244" t="str">
        <f>VLOOKUP(Main_Presentation[[#This Row],[LC Number]],Main_Issuance[],17,0)</f>
        <v>Credit</v>
      </c>
      <c r="I1593" s="244" t="str">
        <f>VLOOKUP(Main_Presentation[[#This Row],[LC Number]],Main_Issuance[],7,0)</f>
        <v>Mohammed A. Al-Awani Trading</v>
      </c>
      <c r="J1593" s="244" t="str">
        <f>VLOOKUP(Main_Presentation[[#This Row],[LC Number]],Main_Issuance[],8,0)</f>
        <v>MBL</v>
      </c>
      <c r="K1593" s="244" t="str">
        <f>VLOOKUP(Main_Presentation[[#This Row],[LC Number]],Main_Issuance[],9,0)</f>
        <v>Rabigh Power Plant</v>
      </c>
      <c r="L1593" s="244">
        <f>VLOOKUP(Main_Presentation[[#This Row],[LC Number]],Main_Issuance[],10,0)</f>
        <v>1020107</v>
      </c>
      <c r="M1593" s="244" t="str">
        <f>VLOOKUP(Main_Presentation[[#This Row],[LC Number]],Main_Issuance[],11,0)</f>
        <v>SAR</v>
      </c>
      <c r="N1593" s="245">
        <f>VLOOKUP(Main_Presentation[[#This Row],[LC Number]],Main_Issuance[],12,0)</f>
        <v>2826301.05</v>
      </c>
      <c r="O1593" s="217" t="s">
        <v>20</v>
      </c>
      <c r="P1593" s="217" t="s">
        <v>378</v>
      </c>
      <c r="Q1593" s="218">
        <v>185753.46</v>
      </c>
      <c r="R1593" s="218">
        <v>1</v>
      </c>
      <c r="S1593" s="218">
        <f>Main_Presentation[[#This Row],[Invoice Amt (FCY)]]*Main_Presentation[[#This Row],[Rate]]</f>
        <v>185753.46</v>
      </c>
      <c r="T1593" s="15">
        <v>46191</v>
      </c>
      <c r="U1593" s="243" t="str">
        <f>VLOOKUP(Main_Presentation[[#This Row],[LC Number]],Main_Issuance[],18,0)</f>
        <v>45 Days from the Invoice Date</v>
      </c>
      <c r="V1593" s="233"/>
      <c r="W1593" s="229" t="s">
        <v>378</v>
      </c>
      <c r="X1593" s="217"/>
      <c r="Y1593" s="399" t="str">
        <f>TRIM(LEFT(Main_Presentation[[#This Row],[Payment Terms]],3))</f>
        <v>45</v>
      </c>
      <c r="Z1593" s="217"/>
      <c r="AA1593" s="405" cm="1">
        <f t="array" ref="AA1593">Settlement(Main_Presentation[[#This Row],[Bank]],Main_Presentation[[#This Row],[ Invoice Amt (SAR)]],Main_Presentation[[#This Row],[Date Recd]],Main_Presentation[[#This Row],[Due Date]],Main_Presentation[[#This Row],[Days]])</f>
        <v>655.5</v>
      </c>
      <c r="AB1593" s="217"/>
    </row>
    <row r="1594" spans="1:28" ht="15.75" hidden="1" x14ac:dyDescent="0.25">
      <c r="A1594" s="226" t="s">
        <v>2568</v>
      </c>
      <c r="B1594" s="227">
        <v>46155</v>
      </c>
      <c r="C1594" s="243">
        <v>9</v>
      </c>
      <c r="D1594" s="228" t="str">
        <f>VLOOKUP(Main_Presentation[[#This Row],[LC Number]],Main_Issuance[],3,0)</f>
        <v>Luis Puente</v>
      </c>
      <c r="E1594" s="217" t="s">
        <v>856</v>
      </c>
      <c r="F1594" s="244" t="str">
        <f>VLOOKUP(Main_Presentation[[#This Row],[LC Number]],Main_Issuance[],5,0)</f>
        <v>Riyad</v>
      </c>
      <c r="G1594" s="244" t="str">
        <f>VLOOKUP(Main_Presentation[[#This Row],[LC Number]],Main_Issuance[],6,0)</f>
        <v>Cash</v>
      </c>
      <c r="H1594" s="244" t="str">
        <f>VLOOKUP(Main_Presentation[[#This Row],[LC Number]],Main_Issuance[],17,0)</f>
        <v>Cash</v>
      </c>
      <c r="I1594" s="244" t="str">
        <f>VLOOKUP(Main_Presentation[[#This Row],[LC Number]],Main_Issuance[],7,0)</f>
        <v>Mat Filtrasyon Teknolojeleri A.S</v>
      </c>
      <c r="J1594" s="244" t="str">
        <f>VLOOKUP(Main_Presentation[[#This Row],[LC Number]],Main_Issuance[],8,0)</f>
        <v>MBL</v>
      </c>
      <c r="K1594" s="244" t="str">
        <f>VLOOKUP(Main_Presentation[[#This Row],[LC Number]],Main_Issuance[],9,0)</f>
        <v>Oceanarium</v>
      </c>
      <c r="L1594" s="244">
        <f>VLOOKUP(Main_Presentation[[#This Row],[LC Number]],Main_Issuance[],10,0)</f>
        <v>1020096</v>
      </c>
      <c r="M1594" s="244" t="str">
        <f>VLOOKUP(Main_Presentation[[#This Row],[LC Number]],Main_Issuance[],11,0)</f>
        <v>SAR</v>
      </c>
      <c r="N1594" s="245">
        <f>VLOOKUP(Main_Presentation[[#This Row],[LC Number]],Main_Issuance[],12,0)</f>
        <v>4092796.2399999998</v>
      </c>
      <c r="O1594" s="217" t="s">
        <v>20</v>
      </c>
      <c r="P1594" s="217" t="s">
        <v>857</v>
      </c>
      <c r="Q1594" s="218">
        <f>733759.33-732848.2</f>
        <v>911.13000000000466</v>
      </c>
      <c r="R1594" s="218">
        <v>1</v>
      </c>
      <c r="S1594" s="218">
        <f>Main_Presentation[[#This Row],[Invoice Amt (FCY)]]*Main_Presentation[[#This Row],[Rate]]</f>
        <v>911.13000000000466</v>
      </c>
      <c r="T1594" s="227">
        <v>46181</v>
      </c>
      <c r="U1594" s="243" t="str">
        <f>VLOOKUP(Main_Presentation[[#This Row],[LC Number]],Main_Issuance[],18,0)</f>
        <v>45 Days from Invoice Date</v>
      </c>
      <c r="V1594" s="233" t="s">
        <v>70</v>
      </c>
      <c r="W1594" s="229" t="s">
        <v>857</v>
      </c>
      <c r="X1594" s="217"/>
      <c r="Y1594" s="399" t="str">
        <f>TRIM(LEFT(Main_Presentation[[#This Row],[Payment Terms]],3))</f>
        <v>45</v>
      </c>
      <c r="Z1594" s="217"/>
      <c r="AA1594" s="405" cm="1">
        <f t="array" ref="AA1594">Settlement(Main_Presentation[[#This Row],[Bank]],Main_Presentation[[#This Row],[ Invoice Amt (SAR)]],Main_Presentation[[#This Row],[Date Recd]],Main_Presentation[[#This Row],[Due Date]],Main_Presentation[[#This Row],[Days]],1)</f>
        <v>230</v>
      </c>
      <c r="AB1594" s="217"/>
    </row>
    <row r="1595" spans="1:28" ht="15.75" hidden="1" x14ac:dyDescent="0.25">
      <c r="A1595" s="226" t="s">
        <v>1834</v>
      </c>
      <c r="B1595" s="227">
        <v>46181</v>
      </c>
      <c r="C1595" s="243">
        <v>7</v>
      </c>
      <c r="D1595" s="228" t="str">
        <f>VLOOKUP(Main_Presentation[[#This Row],[LC Number]],Main_Issuance[],3,0)</f>
        <v>Luis Puente</v>
      </c>
      <c r="E1595" s="217" t="s">
        <v>858</v>
      </c>
      <c r="F1595" s="244" t="str">
        <f>VLOOKUP(Main_Presentation[[#This Row],[LC Number]],Main_Issuance[],5,0)</f>
        <v>Riyad</v>
      </c>
      <c r="G1595" s="244" t="str">
        <f>VLOOKUP(Main_Presentation[[#This Row],[LC Number]],Main_Issuance[],6,0)</f>
        <v>Oceanarium</v>
      </c>
      <c r="H1595" s="244" t="str">
        <f>VLOOKUP(Main_Presentation[[#This Row],[LC Number]],Main_Issuance[],17,0)</f>
        <v>Credit</v>
      </c>
      <c r="I1595" s="244" t="str">
        <f>VLOOKUP(Main_Presentation[[#This Row],[LC Number]],Main_Issuance[],7,0)</f>
        <v>Jiangsu Donchamp New Materials Technology Co.Ltd.</v>
      </c>
      <c r="J1595" s="244" t="str">
        <f>VLOOKUP(Main_Presentation[[#This Row],[LC Number]],Main_Issuance[],8,0)</f>
        <v>MBL</v>
      </c>
      <c r="K1595" s="244" t="str">
        <f>VLOOKUP(Main_Presentation[[#This Row],[LC Number]],Main_Issuance[],9,0)</f>
        <v>Oceanarium</v>
      </c>
      <c r="L1595" s="244">
        <f>VLOOKUP(Main_Presentation[[#This Row],[LC Number]],Main_Issuance[],10,0)</f>
        <v>1020096</v>
      </c>
      <c r="M1595" s="244" t="str">
        <f>VLOOKUP(Main_Presentation[[#This Row],[LC Number]],Main_Issuance[],11,0)</f>
        <v>USD</v>
      </c>
      <c r="N1595" s="245">
        <f>VLOOKUP(Main_Presentation[[#This Row],[LC Number]],Main_Issuance[],12,0)</f>
        <v>7339154</v>
      </c>
      <c r="O1595" s="217" t="s">
        <v>20</v>
      </c>
      <c r="P1595" s="217" t="s">
        <v>857</v>
      </c>
      <c r="Q1595" s="218">
        <v>1181449.78</v>
      </c>
      <c r="R1595" s="218">
        <v>3.75</v>
      </c>
      <c r="S1595" s="218">
        <f>Main_Presentation[[#This Row],[Invoice Amt (FCY)]]*Main_Presentation[[#This Row],[Rate]]</f>
        <v>4430436.6749999998</v>
      </c>
      <c r="T1595" s="227">
        <v>46196</v>
      </c>
      <c r="U1595" s="243" t="str">
        <f>VLOOKUP(Main_Presentation[[#This Row],[LC Number]],Main_Issuance[],18,0)</f>
        <v>45 Days from Invoice Date / Sight</v>
      </c>
      <c r="V1595" s="233" t="s">
        <v>4028</v>
      </c>
      <c r="W1595" s="229" t="s">
        <v>378</v>
      </c>
      <c r="X1595" s="217"/>
      <c r="Y1595" s="399" t="str">
        <f>TRIM(LEFT(Main_Presentation[[#This Row],[Payment Terms]],3))</f>
        <v>45</v>
      </c>
      <c r="Z1595" s="217"/>
      <c r="AA1595" s="405" cm="1">
        <f t="array" ref="AA1595">Settlement(Main_Presentation[[#This Row],[Bank]],Main_Presentation[[#This Row],[ Invoice Amt (SAR)]],Main_Presentation[[#This Row],[Date Recd]],Main_Presentation[[#This Row],[Due Date]],Main_Presentation[[#This Row],[Days]])</f>
        <v>230</v>
      </c>
      <c r="AB1595" s="217"/>
    </row>
    <row r="1596" spans="1:28" ht="15.75" hidden="1" x14ac:dyDescent="0.25">
      <c r="A1596" s="226" t="s">
        <v>1818</v>
      </c>
      <c r="B1596" s="227">
        <v>46189</v>
      </c>
      <c r="C1596" s="243">
        <v>3</v>
      </c>
      <c r="D1596" s="228" t="str">
        <f>VLOOKUP(Main_Presentation[[#This Row],[LC Number]],Main_Issuance[],3,0)</f>
        <v>Mohammed Kotb</v>
      </c>
      <c r="E1596" s="217" t="s">
        <v>858</v>
      </c>
      <c r="F1596" s="244" t="str">
        <f>VLOOKUP(Main_Presentation[[#This Row],[LC Number]],Main_Issuance[],5,0)</f>
        <v>SAB</v>
      </c>
      <c r="G1596" s="244" t="str">
        <f>VLOOKUP(Main_Presentation[[#This Row],[LC Number]],Main_Issuance[],6,0)</f>
        <v>MP1</v>
      </c>
      <c r="H1596" s="244" t="str">
        <f>VLOOKUP(Main_Presentation[[#This Row],[LC Number]],Main_Issuance[],17,0)</f>
        <v>Credit</v>
      </c>
      <c r="I1596" s="244" t="str">
        <f>VLOOKUP(Main_Presentation[[#This Row],[LC Number]],Main_Issuance[],7,0)</f>
        <v>Sika Saudi Arabia Co. Ltd.</v>
      </c>
      <c r="J1596" s="244" t="str">
        <f>VLOOKUP(Main_Presentation[[#This Row],[LC Number]],Main_Issuance[],8,0)</f>
        <v>MBL</v>
      </c>
      <c r="K1596" s="244" t="str">
        <f>VLOOKUP(Main_Presentation[[#This Row],[LC Number]],Main_Issuance[],9,0)</f>
        <v>ABHA</v>
      </c>
      <c r="L1596" s="244">
        <f>VLOOKUP(Main_Presentation[[#This Row],[LC Number]],Main_Issuance[],10,0)</f>
        <v>1020070</v>
      </c>
      <c r="M1596" s="244" t="str">
        <f>VLOOKUP(Main_Presentation[[#This Row],[LC Number]],Main_Issuance[],11,0)</f>
        <v>SAR</v>
      </c>
      <c r="N1596" s="245">
        <f>VLOOKUP(Main_Presentation[[#This Row],[LC Number]],Main_Issuance[],12,0)</f>
        <v>2741025</v>
      </c>
      <c r="O1596" s="217" t="s">
        <v>912</v>
      </c>
      <c r="P1596" s="217" t="s">
        <v>378</v>
      </c>
      <c r="Q1596" s="218">
        <v>197064</v>
      </c>
      <c r="R1596" s="218">
        <v>1</v>
      </c>
      <c r="S1596" s="218">
        <f>Main_Presentation[[#This Row],[Invoice Amt (FCY)]]*Main_Presentation[[#This Row],[Rate]]</f>
        <v>197064</v>
      </c>
      <c r="T1596" s="227">
        <v>46282</v>
      </c>
      <c r="U1596" s="243" t="str">
        <f>VLOOKUP(Main_Presentation[[#This Row],[LC Number]],Main_Issuance[],18,0)</f>
        <v>120 Days from the Invoice Date</v>
      </c>
      <c r="V1596" s="233"/>
      <c r="W1596" s="229" t="s">
        <v>378</v>
      </c>
      <c r="X1596" s="217"/>
      <c r="Y1596" s="399" t="str">
        <f>TRIM(LEFT(Main_Presentation[[#This Row],[Payment Terms]],3))</f>
        <v>120</v>
      </c>
      <c r="Z1596" s="217"/>
      <c r="AA1596" s="405" cm="1">
        <f t="array" ref="AA1596">Settlement(Main_Presentation[[#This Row],[Bank]],Main_Presentation[[#This Row],[ Invoice Amt (SAR)]],Main_Presentation[[#This Row],[Date Recd]],Main_Presentation[[#This Row],[Due Date]],Main_Presentation[[#This Row],[Days]])</f>
        <v>849.85</v>
      </c>
      <c r="AB1596" s="217"/>
    </row>
    <row r="1597" spans="1:28" ht="15.75" hidden="1" x14ac:dyDescent="0.25">
      <c r="A1597" s="226" t="s">
        <v>5258</v>
      </c>
      <c r="B1597" s="227"/>
      <c r="C1597" s="243"/>
      <c r="D1597" s="228" t="str">
        <f>VLOOKUP(Main_Presentation[[#This Row],[LC Number]],Main_Issuance[],3,0)</f>
        <v>Mohammed Kotb</v>
      </c>
      <c r="E1597" s="217"/>
      <c r="F1597" s="244" t="str">
        <f>VLOOKUP(Main_Presentation[[#This Row],[LC Number]],Main_Issuance[],5,0)</f>
        <v>SAB</v>
      </c>
      <c r="G1597" s="244" t="str">
        <f>VLOOKUP(Main_Presentation[[#This Row],[LC Number]],Main_Issuance[],6,0)</f>
        <v>MP1</v>
      </c>
      <c r="H1597" s="244" t="str">
        <f>VLOOKUP(Main_Presentation[[#This Row],[LC Number]],Main_Issuance[],17,0)</f>
        <v>Credit</v>
      </c>
      <c r="I1597" s="244" t="str">
        <f>VLOOKUP(Main_Presentation[[#This Row],[LC Number]],Main_Issuance[],7,0)</f>
        <v>Isam Kabbani &amp; Partners for Building and Construction</v>
      </c>
      <c r="J1597" s="244" t="str">
        <f>VLOOKUP(Main_Presentation[[#This Row],[LC Number]],Main_Issuance[],8,0)</f>
        <v>MBL</v>
      </c>
      <c r="K1597" s="244" t="str">
        <f>VLOOKUP(Main_Presentation[[#This Row],[LC Number]],Main_Issuance[],9,0)</f>
        <v>ABHA</v>
      </c>
      <c r="L1597" s="244">
        <f>VLOOKUP(Main_Presentation[[#This Row],[LC Number]],Main_Issuance[],10,0)</f>
        <v>1020070</v>
      </c>
      <c r="M1597" s="244" t="str">
        <f>VLOOKUP(Main_Presentation[[#This Row],[LC Number]],Main_Issuance[],11,0)</f>
        <v>SAR</v>
      </c>
      <c r="N1597" s="245">
        <f>VLOOKUP(Main_Presentation[[#This Row],[LC Number]],Main_Issuance[],12,0)</f>
        <v>1325316</v>
      </c>
      <c r="O1597" s="217" t="s">
        <v>908</v>
      </c>
      <c r="P1597" s="217" t="s">
        <v>378</v>
      </c>
      <c r="Q1597" s="218">
        <v>1325316</v>
      </c>
      <c r="R1597" s="218">
        <v>1</v>
      </c>
      <c r="S1597" s="218">
        <f>Main_Presentation[[#This Row],[Invoice Amt (FCY)]]*Main_Presentation[[#This Row],[Rate]]</f>
        <v>1325316</v>
      </c>
      <c r="T1597" s="227">
        <v>46273</v>
      </c>
      <c r="U1597" s="243" t="str">
        <f>VLOOKUP(Main_Presentation[[#This Row],[LC Number]],Main_Issuance[],18,0)</f>
        <v>90 Days from Appln Rep Sign on Invoice</v>
      </c>
      <c r="V1597" s="233"/>
      <c r="W1597" s="229" t="s">
        <v>378</v>
      </c>
      <c r="X1597" s="217"/>
      <c r="Y1597" s="399" t="str">
        <f>TRIM(LEFT(Main_Presentation[[#This Row],[Payment Terms]],3))</f>
        <v>90</v>
      </c>
      <c r="Z1597" s="217"/>
      <c r="AA1597" s="405" cm="1">
        <f t="array" ref="AA1597">Settlement(Main_Presentation[[#This Row],[Bank]],Main_Presentation[[#This Row],[ Invoice Amt (SAR)]],Main_Presentation[[#This Row],[Date Recd]],Main_Presentation[[#This Row],[Due Date]],Main_Presentation[[#This Row],[Days]])</f>
        <v>5715.5</v>
      </c>
      <c r="AB1597" s="217"/>
    </row>
    <row r="1598" spans="1:28" ht="15.75" hidden="1" x14ac:dyDescent="0.25">
      <c r="A1598" s="226" t="s">
        <v>4736</v>
      </c>
      <c r="B1598" s="227"/>
      <c r="C1598" s="243"/>
      <c r="D1598" s="228" t="str">
        <f>VLOOKUP(Main_Presentation[[#This Row],[LC Number]],Main_Issuance[],3,0)</f>
        <v>Justin Xavier</v>
      </c>
      <c r="E1598" s="217"/>
      <c r="F1598" s="244" t="str">
        <f>VLOOKUP(Main_Presentation[[#This Row],[LC Number]],Main_Issuance[],5,0)</f>
        <v>Alinma</v>
      </c>
      <c r="G1598" s="244" t="str">
        <f>VLOOKUP(Main_Presentation[[#This Row],[LC Number]],Main_Issuance[],6,0)</f>
        <v>KSP</v>
      </c>
      <c r="H1598" s="244" t="str">
        <f>VLOOKUP(Main_Presentation[[#This Row],[LC Number]],Main_Issuance[],17,0)</f>
        <v>Credit</v>
      </c>
      <c r="I1598" s="244" t="str">
        <f>VLOOKUP(Main_Presentation[[#This Row],[LC Number]],Main_Issuance[],7,0)</f>
        <v>Anixter Saudi Arabia Ltd</v>
      </c>
      <c r="J1598" s="244" t="str">
        <f>VLOOKUP(Main_Presentation[[#This Row],[LC Number]],Main_Issuance[],8,0)</f>
        <v>ICAD</v>
      </c>
      <c r="K1598" s="244" t="str">
        <f>VLOOKUP(Main_Presentation[[#This Row],[LC Number]],Main_Issuance[],9,0)</f>
        <v>ADF</v>
      </c>
      <c r="L1598" s="244">
        <f>VLOOKUP(Main_Presentation[[#This Row],[LC Number]],Main_Issuance[],10,0)</f>
        <v>1020001</v>
      </c>
      <c r="M1598" s="244" t="str">
        <f>VLOOKUP(Main_Presentation[[#This Row],[LC Number]],Main_Issuance[],11,0)</f>
        <v>SAR</v>
      </c>
      <c r="N1598" s="245">
        <f>VLOOKUP(Main_Presentation[[#This Row],[LC Number]],Main_Issuance[],12,0)</f>
        <v>5693645.4199999999</v>
      </c>
      <c r="O1598" s="217" t="s">
        <v>908</v>
      </c>
      <c r="P1598" s="217" t="s">
        <v>378</v>
      </c>
      <c r="Q1598" s="218">
        <v>714129.01</v>
      </c>
      <c r="R1598" s="218">
        <v>1</v>
      </c>
      <c r="S1598" s="218">
        <f>Main_Presentation[[#This Row],[Invoice Amt (FCY)]]*Main_Presentation[[#This Row],[Rate]]</f>
        <v>714129.01</v>
      </c>
      <c r="T1598" s="227">
        <v>46214</v>
      </c>
      <c r="U1598" s="243" t="str">
        <f>VLOOKUP(Main_Presentation[[#This Row],[LC Number]],Main_Issuance[],18,0)</f>
        <v>60 Days from Invoice Date</v>
      </c>
      <c r="V1598" s="233"/>
      <c r="W1598" s="229" t="s">
        <v>378</v>
      </c>
      <c r="X1598" s="217"/>
      <c r="Y1598" s="399" t="str">
        <f>TRIM(LEFT(Main_Presentation[[#This Row],[Payment Terms]],3))</f>
        <v>60</v>
      </c>
      <c r="Z1598" s="217"/>
      <c r="AA1598" s="405" cm="1">
        <f t="array" ref="AA1598">Settlement(Main_Presentation[[#This Row],[Bank]],Main_Presentation[[#This Row],[ Invoice Amt (SAR)]],Main_Presentation[[#This Row],[Date Recd]],Main_Presentation[[#This Row],[Due Date]],Main_Presentation[[#This Row],[Days]])</f>
        <v>510200.95</v>
      </c>
      <c r="AB1598" s="217"/>
    </row>
    <row r="1599" spans="1:28" ht="15.75" hidden="1" x14ac:dyDescent="0.25">
      <c r="A1599" s="226" t="s">
        <v>4546</v>
      </c>
      <c r="B1599" s="227"/>
      <c r="C1599" s="243"/>
      <c r="D1599" s="228" t="str">
        <f>VLOOKUP(Main_Presentation[[#This Row],[LC Number]],Main_Issuance[],3,0)</f>
        <v>Nader Ageeb</v>
      </c>
      <c r="E1599" s="217"/>
      <c r="F1599" s="244" t="str">
        <f>VLOOKUP(Main_Presentation[[#This Row],[LC Number]],Main_Issuance[],5,0)</f>
        <v>NBK</v>
      </c>
      <c r="G1599" s="244" t="str">
        <f>VLOOKUP(Main_Presentation[[#This Row],[LC Number]],Main_Issuance[],6,0)</f>
        <v>Lagoon</v>
      </c>
      <c r="H1599" s="244" t="str">
        <f>VLOOKUP(Main_Presentation[[#This Row],[LC Number]],Main_Issuance[],17,0)</f>
        <v>Credit</v>
      </c>
      <c r="I1599" s="244" t="str">
        <f>VLOOKUP(Main_Presentation[[#This Row],[LC Number]],Main_Issuance[],7,0)</f>
        <v>Ready Mix Company Limited.</v>
      </c>
      <c r="J1599" s="244" t="str">
        <f>VLOOKUP(Main_Presentation[[#This Row],[LC Number]],Main_Issuance[],8,0)</f>
        <v>MBL</v>
      </c>
      <c r="K1599" s="244" t="str">
        <f>VLOOKUP(Main_Presentation[[#This Row],[LC Number]],Main_Issuance[],9,0)</f>
        <v>Lagoon</v>
      </c>
      <c r="L1599" s="244">
        <f>VLOOKUP(Main_Presentation[[#This Row],[LC Number]],Main_Issuance[],10,0)</f>
        <v>1020108</v>
      </c>
      <c r="M1599" s="244" t="str">
        <f>VLOOKUP(Main_Presentation[[#This Row],[LC Number]],Main_Issuance[],11,0)</f>
        <v>SAR</v>
      </c>
      <c r="N1599" s="245">
        <f>VLOOKUP(Main_Presentation[[#This Row],[LC Number]],Main_Issuance[],12,0)</f>
        <v>5000000</v>
      </c>
      <c r="O1599" s="217" t="s">
        <v>908</v>
      </c>
      <c r="P1599" s="217" t="s">
        <v>378</v>
      </c>
      <c r="Q1599" s="218">
        <v>648646</v>
      </c>
      <c r="R1599" s="218">
        <v>1</v>
      </c>
      <c r="S1599" s="218">
        <f>Main_Presentation[[#This Row],[Invoice Amt (FCY)]]*Main_Presentation[[#This Row],[Rate]]</f>
        <v>648646</v>
      </c>
      <c r="T1599" s="227">
        <v>46241</v>
      </c>
      <c r="U1599" s="243" t="str">
        <f>VLOOKUP(Main_Presentation[[#This Row],[LC Number]],Main_Issuance[],18,0)</f>
        <v>60 Days from Invoice Date</v>
      </c>
      <c r="V1599" s="233"/>
      <c r="W1599" s="229" t="s">
        <v>378</v>
      </c>
      <c r="X1599" s="217"/>
      <c r="Y1599" s="399" t="str">
        <f>TRIM(LEFT(Main_Presentation[[#This Row],[Payment Terms]],3))</f>
        <v>60</v>
      </c>
      <c r="Z1599" s="217"/>
      <c r="AA1599" s="405" cm="1">
        <f t="array" ref="AA1599">Settlement(Main_Presentation[[#This Row],[Bank]],Main_Presentation[[#This Row],[ Invoice Amt (SAR)]],Main_Presentation[[#This Row],[Date Recd]],Main_Presentation[[#This Row],[Due Date]],Main_Presentation[[#This Row],[Days]])</f>
        <v>2152.8000000000002</v>
      </c>
      <c r="AB1599" s="217"/>
    </row>
    <row r="1600" spans="1:28" ht="15.75" hidden="1" x14ac:dyDescent="0.25">
      <c r="A1600" s="226" t="s">
        <v>4737</v>
      </c>
      <c r="B1600" s="227">
        <v>46184</v>
      </c>
      <c r="C1600" s="243">
        <v>4</v>
      </c>
      <c r="D1600" s="228" t="str">
        <f>VLOOKUP(Main_Presentation[[#This Row],[LC Number]],Main_Issuance[],3,0)</f>
        <v>Justin Xavier</v>
      </c>
      <c r="E1600" s="217" t="s">
        <v>856</v>
      </c>
      <c r="F1600" s="244" t="str">
        <f>VLOOKUP(Main_Presentation[[#This Row],[LC Number]],Main_Issuance[],5,0)</f>
        <v>Alinma</v>
      </c>
      <c r="G1600" s="244" t="str">
        <f>VLOOKUP(Main_Presentation[[#This Row],[LC Number]],Main_Issuance[],6,0)</f>
        <v>KSP</v>
      </c>
      <c r="H1600" s="244" t="str">
        <f>VLOOKUP(Main_Presentation[[#This Row],[LC Number]],Main_Issuance[],17,0)</f>
        <v>Credit</v>
      </c>
      <c r="I1600" s="244" t="str">
        <f>VLOOKUP(Main_Presentation[[#This Row],[LC Number]],Main_Issuance[],7,0)</f>
        <v>Innovative Specialized Security Solution</v>
      </c>
      <c r="J1600" s="244" t="str">
        <f>VLOOKUP(Main_Presentation[[#This Row],[LC Number]],Main_Issuance[],8,0)</f>
        <v>ICAD</v>
      </c>
      <c r="K1600" s="244" t="str">
        <f>VLOOKUP(Main_Presentation[[#This Row],[LC Number]],Main_Issuance[],9,0)</f>
        <v>ADF</v>
      </c>
      <c r="L1600" s="244">
        <f>VLOOKUP(Main_Presentation[[#This Row],[LC Number]],Main_Issuance[],10,0)</f>
        <v>1020001</v>
      </c>
      <c r="M1600" s="244" t="str">
        <f>VLOOKUP(Main_Presentation[[#This Row],[LC Number]],Main_Issuance[],11,0)</f>
        <v>SAR</v>
      </c>
      <c r="N1600" s="245">
        <f>VLOOKUP(Main_Presentation[[#This Row],[LC Number]],Main_Issuance[],12,0)</f>
        <v>15724333.939999999</v>
      </c>
      <c r="O1600" s="217" t="s">
        <v>912</v>
      </c>
      <c r="P1600" s="217" t="s">
        <v>378</v>
      </c>
      <c r="Q1600" s="218">
        <v>4724333.9400000004</v>
      </c>
      <c r="R1600" s="218">
        <v>1</v>
      </c>
      <c r="S1600" s="218">
        <f>Main_Presentation[[#This Row],[Invoice Amt (FCY)]]*Main_Presentation[[#This Row],[Rate]]</f>
        <v>4724333.9400000004</v>
      </c>
      <c r="T1600" s="227">
        <v>46221</v>
      </c>
      <c r="U1600" s="243" t="str">
        <f>VLOOKUP(Main_Presentation[[#This Row],[LC Number]],Main_Issuance[],18,0)</f>
        <v>90 Days from Applicant representative sign on Invoice</v>
      </c>
      <c r="V1600" s="233"/>
      <c r="W1600" s="229" t="s">
        <v>378</v>
      </c>
      <c r="X1600" s="217"/>
      <c r="Y1600" s="399" t="str">
        <f>TRIM(LEFT(Main_Presentation[[#This Row],[Payment Terms]],3))</f>
        <v>90</v>
      </c>
      <c r="Z1600" s="217"/>
      <c r="AA1600" s="405" cm="1">
        <f t="array" ref="AA1600">Settlement(Main_Presentation[[#This Row],[Bank]],Main_Presentation[[#This Row],[ Invoice Amt (SAR)]],Main_Presentation[[#This Row],[Date Recd]],Main_Presentation[[#This Row],[Due Date]],Main_Presentation[[#This Row],[Days]])</f>
        <v>2263.1999999999998</v>
      </c>
      <c r="AB1600" s="217"/>
    </row>
    <row r="1601" spans="1:28" ht="15.75" hidden="1" x14ac:dyDescent="0.25">
      <c r="A1601" s="226" t="s">
        <v>3227</v>
      </c>
      <c r="B1601" s="227"/>
      <c r="C1601" s="243"/>
      <c r="D1601" s="228" t="str">
        <f>VLOOKUP(Main_Presentation[[#This Row],[LC Number]],Main_Issuance[],3,0)</f>
        <v>Hashmat Khan</v>
      </c>
      <c r="E1601" s="217"/>
      <c r="F1601" s="244" t="str">
        <f>VLOOKUP(Main_Presentation[[#This Row],[LC Number]],Main_Issuance[],5,0)</f>
        <v>Alinma</v>
      </c>
      <c r="G1601" s="244" t="str">
        <f>VLOOKUP(Main_Presentation[[#This Row],[LC Number]],Main_Issuance[],6,0)</f>
        <v>KSP</v>
      </c>
      <c r="H1601" s="244" t="str">
        <f>VLOOKUP(Main_Presentation[[#This Row],[LC Number]],Main_Issuance[],17,0)</f>
        <v>Credit</v>
      </c>
      <c r="I1601" s="244" t="str">
        <f>VLOOKUP(Main_Presentation[[#This Row],[LC Number]],Main_Issuance[],7,0)</f>
        <v>BBH-CHEMTROL INTERNATIONAL ORGANIZATION S.L</v>
      </c>
      <c r="J1601" s="244" t="str">
        <f>VLOOKUP(Main_Presentation[[#This Row],[LC Number]],Main_Issuance[],8,0)</f>
        <v>ICAD</v>
      </c>
      <c r="K1601" s="244" t="str">
        <f>VLOOKUP(Main_Presentation[[#This Row],[LC Number]],Main_Issuance[],9,0)</f>
        <v>KSP</v>
      </c>
      <c r="L1601" s="244">
        <f>VLOOKUP(Main_Presentation[[#This Row],[LC Number]],Main_Issuance[],10,0)</f>
        <v>1020055</v>
      </c>
      <c r="M1601" s="244" t="str">
        <f>VLOOKUP(Main_Presentation[[#This Row],[LC Number]],Main_Issuance[],11,0)</f>
        <v>EUR</v>
      </c>
      <c r="N1601" s="245">
        <f>VLOOKUP(Main_Presentation[[#This Row],[LC Number]],Main_Issuance[],12,0)</f>
        <v>1687320.39</v>
      </c>
      <c r="O1601" s="217" t="s">
        <v>908</v>
      </c>
      <c r="P1601" s="217" t="s">
        <v>378</v>
      </c>
      <c r="Q1601" s="218">
        <v>150043.84</v>
      </c>
      <c r="R1601" s="218">
        <v>4.5</v>
      </c>
      <c r="S1601" s="218">
        <f>Main_Presentation[[#This Row],[Invoice Amt (FCY)]]*Main_Presentation[[#This Row],[Rate]]</f>
        <v>675197.28</v>
      </c>
      <c r="T1601" s="227">
        <v>46241</v>
      </c>
      <c r="U1601" s="243" t="str">
        <f>VLOOKUP(Main_Presentation[[#This Row],[LC Number]],Main_Issuance[],18,0)</f>
        <v>60 Days from Invoice Date</v>
      </c>
      <c r="V1601" s="233"/>
      <c r="W1601" s="229" t="s">
        <v>378</v>
      </c>
      <c r="X1601" s="217"/>
      <c r="Y1601" s="399" t="str">
        <f>TRIM(LEFT(Main_Presentation[[#This Row],[Payment Terms]],3))</f>
        <v>60</v>
      </c>
      <c r="Z1601" s="217"/>
      <c r="AA1601" s="405" cm="1">
        <f t="array" ref="AA1601">Settlement(Main_Presentation[[#This Row],[Bank]],Main_Presentation[[#This Row],[ Invoice Amt (SAR)]],Main_Presentation[[#This Row],[Date Recd]],Main_Presentation[[#This Row],[Due Date]],Main_Presentation[[#This Row],[Days]])</f>
        <v>482710.2</v>
      </c>
      <c r="AB1601" s="217"/>
    </row>
    <row r="1602" spans="1:28" ht="15.75" hidden="1" x14ac:dyDescent="0.25">
      <c r="A1602" s="20" t="s">
        <v>3265</v>
      </c>
      <c r="B1602" s="15"/>
      <c r="C1602" s="26"/>
      <c r="D1602" s="55" t="str">
        <f>VLOOKUP(Main_Presentation[[#This Row],[LC Number]],Main_Issuance[],3,0)</f>
        <v>Hassan Taleb</v>
      </c>
      <c r="E1602" s="16"/>
      <c r="F1602" s="17" t="str">
        <f>VLOOKUP(Main_Presentation[[#This Row],[LC Number]],Main_Issuance[],5,0)</f>
        <v>SAB</v>
      </c>
      <c r="G1602" s="17" t="str">
        <f>VLOOKUP(Main_Presentation[[#This Row],[LC Number]],Main_Issuance[],6,0)</f>
        <v>MP1</v>
      </c>
      <c r="H1602" s="17" t="str">
        <f>VLOOKUP(Main_Presentation[[#This Row],[LC Number]],Main_Issuance[],17,0)</f>
        <v>Credit</v>
      </c>
      <c r="I1602" s="17" t="str">
        <f>VLOOKUP(Main_Presentation[[#This Row],[LC Number]],Main_Issuance[],7,0)</f>
        <v>MASQ FOR ELECTRICAL TOOLS CO</v>
      </c>
      <c r="J1602" s="17" t="str">
        <f>VLOOKUP(Main_Presentation[[#This Row],[LC Number]],Main_Issuance[],8,0)</f>
        <v>FIRST FIX</v>
      </c>
      <c r="K1602" s="17" t="str">
        <f>VLOOKUP(Main_Presentation[[#This Row],[LC Number]],Main_Issuance[],9,0)</f>
        <v>MP1</v>
      </c>
      <c r="L1602" s="17">
        <f>VLOOKUP(Main_Presentation[[#This Row],[LC Number]],Main_Issuance[],10,0)</f>
        <v>1020088</v>
      </c>
      <c r="M1602" s="17" t="str">
        <f>VLOOKUP(Main_Presentation[[#This Row],[LC Number]],Main_Issuance[],11,0)</f>
        <v>SAR</v>
      </c>
      <c r="N1602" s="84">
        <f>VLOOKUP(Main_Presentation[[#This Row],[LC Number]],Main_Issuance[],12,0)</f>
        <v>8790001.0999999996</v>
      </c>
      <c r="O1602" s="16" t="s">
        <v>908</v>
      </c>
      <c r="P1602" s="16" t="s">
        <v>378</v>
      </c>
      <c r="Q1602" s="18">
        <v>3318117.9</v>
      </c>
      <c r="R1602" s="18">
        <v>1</v>
      </c>
      <c r="S1602" s="18">
        <f>Main_Presentation[[#This Row],[Invoice Amt (FCY)]]*Main_Presentation[[#This Row],[Rate]]</f>
        <v>3318117.9</v>
      </c>
      <c r="T1602" s="15">
        <v>46287</v>
      </c>
      <c r="U1602" s="26" t="str">
        <f>VLOOKUP(Main_Presentation[[#This Row],[LC Number]],Main_Issuance[],18,0)</f>
        <v>120 Days from Invoice Date</v>
      </c>
      <c r="V1602" s="249"/>
      <c r="W1602" s="22" t="s">
        <v>378</v>
      </c>
      <c r="X1602" s="16"/>
      <c r="Y1602" s="234" t="str">
        <f>TRIM(LEFT(Main_Presentation[[#This Row],[Payment Terms]],3))</f>
        <v>120</v>
      </c>
      <c r="Z1602" s="16"/>
      <c r="AA1602" s="316" cm="1">
        <f t="array" ref="AA1602">Settlement(Main_Presentation[[#This Row],[Bank]],Main_Presentation[[#This Row],[ Invoice Amt (SAR)]],Main_Presentation[[#This Row],[Date Recd]],Main_Presentation[[#This Row],[Due Date]],Main_Presentation[[#This Row],[Days]])</f>
        <v>14309.45</v>
      </c>
      <c r="AB1602" s="16"/>
    </row>
    <row r="1603" spans="1:28" ht="15.75" hidden="1" x14ac:dyDescent="0.25">
      <c r="A1603" s="20" t="s">
        <v>1189</v>
      </c>
      <c r="B1603" s="15"/>
      <c r="C1603" s="26"/>
      <c r="D1603" s="55" t="str">
        <f>VLOOKUP(Main_Presentation[[#This Row],[LC Number]],Main_Issuance[],3,0)</f>
        <v>Hassan Taleb</v>
      </c>
      <c r="E1603" s="16"/>
      <c r="F1603" s="17" t="str">
        <f>VLOOKUP(Main_Presentation[[#This Row],[LC Number]],Main_Issuance[],5,0)</f>
        <v>SAB</v>
      </c>
      <c r="G1603" s="17" t="str">
        <f>VLOOKUP(Main_Presentation[[#This Row],[LC Number]],Main_Issuance[],6,0)</f>
        <v>MP1</v>
      </c>
      <c r="H1603" s="17" t="str">
        <f>VLOOKUP(Main_Presentation[[#This Row],[LC Number]],Main_Issuance[],17,0)</f>
        <v>Credit</v>
      </c>
      <c r="I1603" s="17" t="str">
        <f>VLOOKUP(Main_Presentation[[#This Row],[LC Number]],Main_Issuance[],7,0)</f>
        <v>Rawadf International Co.</v>
      </c>
      <c r="J1603" s="17" t="str">
        <f>VLOOKUP(Main_Presentation[[#This Row],[LC Number]],Main_Issuance[],8,0)</f>
        <v>FIRST FIX</v>
      </c>
      <c r="K1603" s="17" t="str">
        <f>VLOOKUP(Main_Presentation[[#This Row],[LC Number]],Main_Issuance[],9,0)</f>
        <v>MP1</v>
      </c>
      <c r="L1603" s="17">
        <f>VLOOKUP(Main_Presentation[[#This Row],[LC Number]],Main_Issuance[],10,0)</f>
        <v>1020088</v>
      </c>
      <c r="M1603" s="17" t="str">
        <f>VLOOKUP(Main_Presentation[[#This Row],[LC Number]],Main_Issuance[],11,0)</f>
        <v>SAR</v>
      </c>
      <c r="N1603" s="84">
        <f>VLOOKUP(Main_Presentation[[#This Row],[LC Number]],Main_Issuance[],12,0)</f>
        <v>1000000</v>
      </c>
      <c r="O1603" s="16" t="s">
        <v>908</v>
      </c>
      <c r="P1603" s="16" t="s">
        <v>378</v>
      </c>
      <c r="Q1603" s="18">
        <v>267765.09000000003</v>
      </c>
      <c r="R1603" s="18">
        <v>1</v>
      </c>
      <c r="S1603" s="18">
        <f>Main_Presentation[[#This Row],[Invoice Amt (FCY)]]*Main_Presentation[[#This Row],[Rate]]</f>
        <v>267765.09000000003</v>
      </c>
      <c r="T1603" s="15">
        <v>46223</v>
      </c>
      <c r="U1603" s="26" t="str">
        <f>VLOOKUP(Main_Presentation[[#This Row],[LC Number]],Main_Issuance[],18,0)</f>
        <v>60 Days from Invoice Date</v>
      </c>
      <c r="V1603" s="249"/>
      <c r="W1603" s="22" t="s">
        <v>378</v>
      </c>
      <c r="X1603" s="16"/>
      <c r="Y1603" s="234" t="str">
        <f>TRIM(LEFT(Main_Presentation[[#This Row],[Payment Terms]],3))</f>
        <v>60</v>
      </c>
      <c r="Z1603" s="16"/>
      <c r="AA1603" s="316" cm="1">
        <f t="array" ref="AA1603">Settlement(Main_Presentation[[#This Row],[Bank]],Main_Presentation[[#This Row],[ Invoice Amt (SAR)]],Main_Presentation[[#This Row],[Date Recd]],Main_Presentation[[#This Row],[Due Date]],Main_Presentation[[#This Row],[Days]])</f>
        <v>1154.5999999999999</v>
      </c>
      <c r="AB1603" s="16"/>
    </row>
    <row r="1604" spans="1:28" ht="15.75" hidden="1" x14ac:dyDescent="0.25">
      <c r="A1604" s="20" t="s">
        <v>2236</v>
      </c>
      <c r="B1604" s="15"/>
      <c r="C1604" s="26"/>
      <c r="D1604" s="55" t="str">
        <f>VLOOKUP(Main_Presentation[[#This Row],[LC Number]],Main_Issuance[],3,0)</f>
        <v>Hassan Taleb</v>
      </c>
      <c r="E1604" s="16"/>
      <c r="F1604" s="17" t="str">
        <f>VLOOKUP(Main_Presentation[[#This Row],[LC Number]],Main_Issuance[],5,0)</f>
        <v>SAB</v>
      </c>
      <c r="G1604" s="17" t="str">
        <f>VLOOKUP(Main_Presentation[[#This Row],[LC Number]],Main_Issuance[],6,0)</f>
        <v>MP1</v>
      </c>
      <c r="H1604" s="17" t="str">
        <f>VLOOKUP(Main_Presentation[[#This Row],[LC Number]],Main_Issuance[],17,0)</f>
        <v>Credit</v>
      </c>
      <c r="I1604" s="17" t="str">
        <f>VLOOKUP(Main_Presentation[[#This Row],[LC Number]],Main_Issuance[],7,0)</f>
        <v>Building System Intelligent Est.</v>
      </c>
      <c r="J1604" s="17" t="str">
        <f>VLOOKUP(Main_Presentation[[#This Row],[LC Number]],Main_Issuance[],8,0)</f>
        <v>FIRST FIX</v>
      </c>
      <c r="K1604" s="17" t="str">
        <f>VLOOKUP(Main_Presentation[[#This Row],[LC Number]],Main_Issuance[],9,0)</f>
        <v>MP1</v>
      </c>
      <c r="L1604" s="17">
        <f>VLOOKUP(Main_Presentation[[#This Row],[LC Number]],Main_Issuance[],10,0)</f>
        <v>1020088</v>
      </c>
      <c r="M1604" s="17" t="str">
        <f>VLOOKUP(Main_Presentation[[#This Row],[LC Number]],Main_Issuance[],11,0)</f>
        <v>SAR</v>
      </c>
      <c r="N1604" s="84">
        <f>VLOOKUP(Main_Presentation[[#This Row],[LC Number]],Main_Issuance[],12,0)</f>
        <v>558949</v>
      </c>
      <c r="O1604" s="16" t="s">
        <v>908</v>
      </c>
      <c r="P1604" s="16" t="s">
        <v>378</v>
      </c>
      <c r="Q1604" s="18">
        <v>151776.14000000001</v>
      </c>
      <c r="R1604" s="18">
        <v>1</v>
      </c>
      <c r="S1604" s="18">
        <f>Main_Presentation[[#This Row],[Invoice Amt (FCY)]]*Main_Presentation[[#This Row],[Rate]]</f>
        <v>151776.14000000001</v>
      </c>
      <c r="T1604" s="15">
        <v>46275</v>
      </c>
      <c r="U1604" s="26" t="str">
        <f>VLOOKUP(Main_Presentation[[#This Row],[LC Number]],Main_Issuance[],18,0)</f>
        <v>120 Days from Invoice Date</v>
      </c>
      <c r="V1604" s="249"/>
      <c r="W1604" s="22" t="s">
        <v>378</v>
      </c>
      <c r="X1604" s="16"/>
      <c r="Y1604" s="234" t="str">
        <f>TRIM(LEFT(Main_Presentation[[#This Row],[Payment Terms]],3))</f>
        <v>120</v>
      </c>
      <c r="Z1604" s="16"/>
      <c r="AA1604" s="316" cm="1">
        <f t="array" ref="AA1604">Settlement(Main_Presentation[[#This Row],[Bank]],Main_Presentation[[#This Row],[ Invoice Amt (SAR)]],Main_Presentation[[#This Row],[Date Recd]],Main_Presentation[[#This Row],[Due Date]],Main_Presentation[[#This Row],[Days]])</f>
        <v>654.35</v>
      </c>
      <c r="AB1604" s="16"/>
    </row>
    <row r="1605" spans="1:28" ht="15.75" hidden="1" x14ac:dyDescent="0.25">
      <c r="A1605" s="20" t="s">
        <v>4551</v>
      </c>
      <c r="B1605" s="15"/>
      <c r="C1605" s="26"/>
      <c r="D1605" s="55" t="str">
        <f>VLOOKUP(Main_Presentation[[#This Row],[LC Number]],Main_Issuance[],3,0)</f>
        <v>Hassan Taleb</v>
      </c>
      <c r="E1605" s="16"/>
      <c r="F1605" s="17" t="str">
        <f>VLOOKUP(Main_Presentation[[#This Row],[LC Number]],Main_Issuance[],5,0)</f>
        <v>SAB</v>
      </c>
      <c r="G1605" s="17" t="str">
        <f>VLOOKUP(Main_Presentation[[#This Row],[LC Number]],Main_Issuance[],6,0)</f>
        <v>MP1</v>
      </c>
      <c r="H1605" s="17" t="str">
        <f>VLOOKUP(Main_Presentation[[#This Row],[LC Number]],Main_Issuance[],17,0)</f>
        <v>Credit</v>
      </c>
      <c r="I1605" s="17" t="str">
        <f>VLOOKUP(Main_Presentation[[#This Row],[LC Number]],Main_Issuance[],7,0)</f>
        <v>Atiaf International Trading Company</v>
      </c>
      <c r="J1605" s="17" t="str">
        <f>VLOOKUP(Main_Presentation[[#This Row],[LC Number]],Main_Issuance[],8,0)</f>
        <v>FIRST FIX</v>
      </c>
      <c r="K1605" s="17" t="str">
        <f>VLOOKUP(Main_Presentation[[#This Row],[LC Number]],Main_Issuance[],9,0)</f>
        <v>MP1</v>
      </c>
      <c r="L1605" s="17">
        <f>VLOOKUP(Main_Presentation[[#This Row],[LC Number]],Main_Issuance[],10,0)</f>
        <v>1020088</v>
      </c>
      <c r="M1605" s="17" t="str">
        <f>VLOOKUP(Main_Presentation[[#This Row],[LC Number]],Main_Issuance[],11,0)</f>
        <v>SAR</v>
      </c>
      <c r="N1605" s="84">
        <f>VLOOKUP(Main_Presentation[[#This Row],[LC Number]],Main_Issuance[],12,0)</f>
        <v>150000</v>
      </c>
      <c r="O1605" s="16" t="s">
        <v>908</v>
      </c>
      <c r="P1605" s="16" t="s">
        <v>378</v>
      </c>
      <c r="Q1605" s="18">
        <v>55822.96</v>
      </c>
      <c r="R1605" s="18">
        <v>1</v>
      </c>
      <c r="S1605" s="18">
        <f>Main_Presentation[[#This Row],[Invoice Amt (FCY)]]*Main_Presentation[[#This Row],[Rate]]</f>
        <v>55822.96</v>
      </c>
      <c r="T1605" s="15">
        <v>46277</v>
      </c>
      <c r="U1605" s="26" t="str">
        <f>VLOOKUP(Main_Presentation[[#This Row],[LC Number]],Main_Issuance[],18,0)</f>
        <v>90 Days from App Rep Sign on Invoice</v>
      </c>
      <c r="V1605" s="249"/>
      <c r="W1605" s="22" t="s">
        <v>378</v>
      </c>
      <c r="X1605" s="16"/>
      <c r="Y1605" s="234" t="str">
        <f>TRIM(LEFT(Main_Presentation[[#This Row],[Payment Terms]],3))</f>
        <v>90</v>
      </c>
      <c r="Z1605" s="16"/>
      <c r="AA1605" s="316" cm="1">
        <f t="array" ref="AA1605">Settlement(Main_Presentation[[#This Row],[Bank]],Main_Presentation[[#This Row],[ Invoice Amt (SAR)]],Main_Presentation[[#This Row],[Date Recd]],Main_Presentation[[#This Row],[Due Date]],Main_Presentation[[#This Row],[Days]])</f>
        <v>575</v>
      </c>
      <c r="AB1605" s="16"/>
    </row>
    <row r="1606" spans="1:28" ht="15.75" hidden="1" x14ac:dyDescent="0.25">
      <c r="A1606" s="20" t="s">
        <v>3320</v>
      </c>
      <c r="B1606" s="15"/>
      <c r="C1606" s="26"/>
      <c r="D1606" s="55" t="str">
        <f>VLOOKUP(Main_Presentation[[#This Row],[LC Number]],Main_Issuance[],3,0)</f>
        <v>Luis Puente</v>
      </c>
      <c r="E1606" s="16"/>
      <c r="F1606" s="17" t="str">
        <f>VLOOKUP(Main_Presentation[[#This Row],[LC Number]],Main_Issuance[],5,0)</f>
        <v>Riyad</v>
      </c>
      <c r="G1606" s="17" t="str">
        <f>VLOOKUP(Main_Presentation[[#This Row],[LC Number]],Main_Issuance[],6,0)</f>
        <v>Oceanarium</v>
      </c>
      <c r="H1606" s="17" t="str">
        <f>VLOOKUP(Main_Presentation[[#This Row],[LC Number]],Main_Issuance[],17,0)</f>
        <v>Credit</v>
      </c>
      <c r="I1606" s="17" t="str">
        <f>VLOOKUP(Main_Presentation[[#This Row],[LC Number]],Main_Issuance[],7,0)</f>
        <v>Riyadh Unity for Trading</v>
      </c>
      <c r="J1606" s="17" t="str">
        <f>VLOOKUP(Main_Presentation[[#This Row],[LC Number]],Main_Issuance[],8,0)</f>
        <v>FIRST FIX</v>
      </c>
      <c r="K1606" s="17" t="str">
        <f>VLOOKUP(Main_Presentation[[#This Row],[LC Number]],Main_Issuance[],9,0)</f>
        <v>Oceanarium</v>
      </c>
      <c r="L1606" s="17">
        <f>VLOOKUP(Main_Presentation[[#This Row],[LC Number]],Main_Issuance[],10,0)</f>
        <v>1020096</v>
      </c>
      <c r="M1606" s="17" t="str">
        <f>VLOOKUP(Main_Presentation[[#This Row],[LC Number]],Main_Issuance[],11,0)</f>
        <v>SAR</v>
      </c>
      <c r="N1606" s="84">
        <f>VLOOKUP(Main_Presentation[[#This Row],[LC Number]],Main_Issuance[],12,0)</f>
        <v>500000</v>
      </c>
      <c r="O1606" s="16" t="s">
        <v>908</v>
      </c>
      <c r="P1606" s="16" t="s">
        <v>378</v>
      </c>
      <c r="Q1606" s="18">
        <v>173290.06</v>
      </c>
      <c r="R1606" s="18">
        <v>1</v>
      </c>
      <c r="S1606" s="18">
        <f>Main_Presentation[[#This Row],[Invoice Amt (FCY)]]*Main_Presentation[[#This Row],[Rate]]</f>
        <v>173290.06</v>
      </c>
      <c r="T1606" s="15">
        <v>46277</v>
      </c>
      <c r="U1606" s="26" t="str">
        <f>VLOOKUP(Main_Presentation[[#This Row],[LC Number]],Main_Issuance[],18,0)</f>
        <v>90 Days from Appln Rep Sign on Invoice</v>
      </c>
      <c r="V1606" s="249"/>
      <c r="W1606" s="22" t="s">
        <v>378</v>
      </c>
      <c r="X1606" s="16"/>
      <c r="Y1606" s="234" t="str">
        <f>TRIM(LEFT(Main_Presentation[[#This Row],[Payment Terms]],3))</f>
        <v>90</v>
      </c>
      <c r="Z1606" s="16"/>
      <c r="AA1606" s="316" cm="1">
        <f t="array" ref="AA1606">Settlement(Main_Presentation[[#This Row],[Bank]],Main_Presentation[[#This Row],[ Invoice Amt (SAR)]],Main_Presentation[[#This Row],[Date Recd]],Main_Presentation[[#This Row],[Due Date]],Main_Presentation[[#This Row],[Days]])</f>
        <v>371913.45</v>
      </c>
      <c r="AB1606" s="16"/>
    </row>
    <row r="1607" spans="1:28" ht="15.75" hidden="1" x14ac:dyDescent="0.25">
      <c r="A1607" s="226" t="s">
        <v>4564</v>
      </c>
      <c r="B1607" s="227"/>
      <c r="C1607" s="243"/>
      <c r="D1607" s="228" t="str">
        <f>VLOOKUP(Main_Presentation[[#This Row],[LC Number]],Main_Issuance[],3,0)</f>
        <v>Hassan Taleb</v>
      </c>
      <c r="E1607" s="217"/>
      <c r="F1607" s="244" t="str">
        <f>VLOOKUP(Main_Presentation[[#This Row],[LC Number]],Main_Issuance[],5,0)</f>
        <v>SAB</v>
      </c>
      <c r="G1607" s="244" t="str">
        <f>VLOOKUP(Main_Presentation[[#This Row],[LC Number]],Main_Issuance[],6,0)</f>
        <v>MP1</v>
      </c>
      <c r="H1607" s="244" t="str">
        <f>VLOOKUP(Main_Presentation[[#This Row],[LC Number]],Main_Issuance[],17,0)</f>
        <v>Credit</v>
      </c>
      <c r="I1607" s="244" t="str">
        <f>VLOOKUP(Main_Presentation[[#This Row],[LC Number]],Main_Issuance[],7,0)</f>
        <v>Electric House Trading Company L.L.C.</v>
      </c>
      <c r="J1607" s="244" t="str">
        <f>VLOOKUP(Main_Presentation[[#This Row],[LC Number]],Main_Issuance[],8,0)</f>
        <v>FIRST FIX</v>
      </c>
      <c r="K1607" s="244" t="str">
        <f>VLOOKUP(Main_Presentation[[#This Row],[LC Number]],Main_Issuance[],9,0)</f>
        <v>MP1</v>
      </c>
      <c r="L1607" s="244">
        <f>VLOOKUP(Main_Presentation[[#This Row],[LC Number]],Main_Issuance[],10,0)</f>
        <v>1020088</v>
      </c>
      <c r="M1607" s="244" t="str">
        <f>VLOOKUP(Main_Presentation[[#This Row],[LC Number]],Main_Issuance[],11,0)</f>
        <v>SAR</v>
      </c>
      <c r="N1607" s="245">
        <f>VLOOKUP(Main_Presentation[[#This Row],[LC Number]],Main_Issuance[],12,0)</f>
        <v>1000000</v>
      </c>
      <c r="O1607" s="217" t="s">
        <v>908</v>
      </c>
      <c r="P1607" s="217" t="s">
        <v>378</v>
      </c>
      <c r="Q1607" s="218">
        <v>1000000</v>
      </c>
      <c r="R1607" s="18">
        <v>1</v>
      </c>
      <c r="S1607" s="218">
        <f>Main_Presentation[[#This Row],[Invoice Amt (FCY)]]*Main_Presentation[[#This Row],[Rate]]</f>
        <v>1000000</v>
      </c>
      <c r="T1607" s="227">
        <v>46277</v>
      </c>
      <c r="U1607" s="243" t="str">
        <f>VLOOKUP(Main_Presentation[[#This Row],[LC Number]],Main_Issuance[],18,0)</f>
        <v>90 Days from App Rep Sign on Invoice</v>
      </c>
      <c r="V1607" s="233"/>
      <c r="W1607" s="229" t="s">
        <v>378</v>
      </c>
      <c r="X1607" s="217"/>
      <c r="Y1607" s="399" t="str">
        <f>TRIM(LEFT(Main_Presentation[[#This Row],[Payment Terms]],3))</f>
        <v>90</v>
      </c>
      <c r="Z1607" s="217"/>
      <c r="AA1607" s="405" cm="1">
        <f t="array" ref="AA1607">Settlement(Main_Presentation[[#This Row],[Bank]],Main_Presentation[[#This Row],[ Invoice Amt (SAR)]],Main_Presentation[[#This Row],[Date Recd]],Main_Presentation[[#This Row],[Due Date]],Main_Presentation[[#This Row],[Days]])</f>
        <v>4312.5</v>
      </c>
      <c r="AB1607" s="217"/>
    </row>
    <row r="1608" spans="1:28" ht="15.75" hidden="1" x14ac:dyDescent="0.25">
      <c r="A1608" s="226" t="s">
        <v>707</v>
      </c>
      <c r="B1608" s="227">
        <v>46188</v>
      </c>
      <c r="C1608" s="243">
        <v>7</v>
      </c>
      <c r="D1608" s="228" t="str">
        <f>VLOOKUP(Main_Presentation[[#This Row],[LC Number]],Main_Issuance[],3,0)</f>
        <v>Chaminda Indrajit</v>
      </c>
      <c r="E1608" s="217" t="s">
        <v>856</v>
      </c>
      <c r="F1608" s="244" t="str">
        <f>VLOOKUP(Main_Presentation[[#This Row],[LC Number]],Main_Issuance[],5,0)</f>
        <v>SNB</v>
      </c>
      <c r="G1608" s="244" t="str">
        <f>VLOOKUP(Main_Presentation[[#This Row],[LC Number]],Main_Issuance[],6,0)</f>
        <v>Opera House</v>
      </c>
      <c r="H1608" s="244" t="str">
        <f>VLOOKUP(Main_Presentation[[#This Row],[LC Number]],Main_Issuance[],17,0)</f>
        <v>Credit</v>
      </c>
      <c r="I1608" s="244" t="str">
        <f>VLOOKUP(Main_Presentation[[#This Row],[LC Number]],Main_Issuance[],7,0)</f>
        <v>BBH-CHEMTROL INTERNATIONAL ORGANIZATION S.L</v>
      </c>
      <c r="J1608" s="244" t="str">
        <f>VLOOKUP(Main_Presentation[[#This Row],[LC Number]],Main_Issuance[],8,0)</f>
        <v>MBL/ICAD</v>
      </c>
      <c r="K1608" s="244" t="str">
        <f>VLOOKUP(Main_Presentation[[#This Row],[LC Number]],Main_Issuance[],9,0)</f>
        <v>OPERA House</v>
      </c>
      <c r="L1608" s="244">
        <f>VLOOKUP(Main_Presentation[[#This Row],[LC Number]],Main_Issuance[],10,0)</f>
        <v>1020097</v>
      </c>
      <c r="M1608" s="244" t="str">
        <f>VLOOKUP(Main_Presentation[[#This Row],[LC Number]],Main_Issuance[],11,0)</f>
        <v>EUR</v>
      </c>
      <c r="N1608" s="245">
        <f>VLOOKUP(Main_Presentation[[#This Row],[LC Number]],Main_Issuance[],12,0)</f>
        <v>10500000</v>
      </c>
      <c r="O1608" s="217" t="s">
        <v>912</v>
      </c>
      <c r="P1608" s="217" t="s">
        <v>857</v>
      </c>
      <c r="Q1608" s="218">
        <v>1123289.6200000001</v>
      </c>
      <c r="R1608" s="218">
        <v>4.4160000000000004</v>
      </c>
      <c r="S1608" s="218">
        <f>Main_Presentation[[#This Row],[Invoice Amt (FCY)]]*Main_Presentation[[#This Row],[Rate]]</f>
        <v>4960446.9619200006</v>
      </c>
      <c r="T1608" s="227">
        <v>46198</v>
      </c>
      <c r="U1608" s="243" t="str">
        <f>VLOOKUP(Main_Presentation[[#This Row],[LC Number]],Main_Issuance[],18,0)</f>
        <v>30 Days from Shipment Date</v>
      </c>
      <c r="V1608" s="233"/>
      <c r="W1608" s="229" t="s">
        <v>378</v>
      </c>
      <c r="X1608" s="217"/>
      <c r="Y1608" s="399" t="str">
        <f>TRIM(LEFT(Main_Presentation[[#This Row],[Payment Terms]],3))</f>
        <v>30</v>
      </c>
      <c r="Z1608" s="217"/>
      <c r="AA1608" s="405" cm="1">
        <f t="array" ref="AA1608">Settlement(Main_Presentation[[#This Row],[Bank]],Main_Presentation[[#This Row],[ Invoice Amt (SAR)]],Main_Presentation[[#This Row],[Date Recd]],Main_Presentation[[#This Row],[Due Date]],Main_Presentation[[#This Row],[Days]])</f>
        <v>655.5</v>
      </c>
      <c r="AB1608" s="217"/>
    </row>
    <row r="1609" spans="1:28" ht="15.75" hidden="1" x14ac:dyDescent="0.25">
      <c r="A1609" s="226" t="s">
        <v>707</v>
      </c>
      <c r="B1609" s="227">
        <v>46188</v>
      </c>
      <c r="C1609" s="243">
        <v>8</v>
      </c>
      <c r="D1609" s="228" t="str">
        <f>VLOOKUP(Main_Presentation[[#This Row],[LC Number]],Main_Issuance[],3,0)</f>
        <v>Chaminda Indrajit</v>
      </c>
      <c r="E1609" s="217" t="s">
        <v>856</v>
      </c>
      <c r="F1609" s="244" t="str">
        <f>VLOOKUP(Main_Presentation[[#This Row],[LC Number]],Main_Issuance[],5,0)</f>
        <v>SNB</v>
      </c>
      <c r="G1609" s="244" t="str">
        <f>VLOOKUP(Main_Presentation[[#This Row],[LC Number]],Main_Issuance[],6,0)</f>
        <v>Opera House</v>
      </c>
      <c r="H1609" s="244" t="str">
        <f>VLOOKUP(Main_Presentation[[#This Row],[LC Number]],Main_Issuance[],17,0)</f>
        <v>Credit</v>
      </c>
      <c r="I1609" s="244" t="str">
        <f>VLOOKUP(Main_Presentation[[#This Row],[LC Number]],Main_Issuance[],7,0)</f>
        <v>BBH-CHEMTROL INTERNATIONAL ORGANIZATION S.L</v>
      </c>
      <c r="J1609" s="244" t="str">
        <f>VLOOKUP(Main_Presentation[[#This Row],[LC Number]],Main_Issuance[],8,0)</f>
        <v>MBL/ICAD</v>
      </c>
      <c r="K1609" s="244" t="str">
        <f>VLOOKUP(Main_Presentation[[#This Row],[LC Number]],Main_Issuance[],9,0)</f>
        <v>OPERA House</v>
      </c>
      <c r="L1609" s="244">
        <f>VLOOKUP(Main_Presentation[[#This Row],[LC Number]],Main_Issuance[],10,0)</f>
        <v>1020097</v>
      </c>
      <c r="M1609" s="244" t="str">
        <f>VLOOKUP(Main_Presentation[[#This Row],[LC Number]],Main_Issuance[],11,0)</f>
        <v>EUR</v>
      </c>
      <c r="N1609" s="245">
        <f>VLOOKUP(Main_Presentation[[#This Row],[LC Number]],Main_Issuance[],12,0)</f>
        <v>10500000</v>
      </c>
      <c r="O1609" s="217" t="s">
        <v>912</v>
      </c>
      <c r="P1609" s="217" t="s">
        <v>857</v>
      </c>
      <c r="Q1609" s="218">
        <v>1034169.01</v>
      </c>
      <c r="R1609" s="218">
        <v>4.4160000000000004</v>
      </c>
      <c r="S1609" s="218">
        <f>Main_Presentation[[#This Row],[Invoice Amt (FCY)]]*Main_Presentation[[#This Row],[Rate]]</f>
        <v>4566890.3481600005</v>
      </c>
      <c r="T1609" s="227">
        <v>46202</v>
      </c>
      <c r="U1609" s="243" t="str">
        <f>VLOOKUP(Main_Presentation[[#This Row],[LC Number]],Main_Issuance[],18,0)</f>
        <v>30 Days from Shipment Date</v>
      </c>
      <c r="V1609" s="233"/>
      <c r="W1609" s="229" t="s">
        <v>378</v>
      </c>
      <c r="X1609" s="217"/>
      <c r="Y1609" s="399" t="str">
        <f>TRIM(LEFT(Main_Presentation[[#This Row],[Payment Terms]],3))</f>
        <v>30</v>
      </c>
      <c r="Z1609" s="217"/>
      <c r="AA1609" s="405" cm="1">
        <f t="array" ref="AA1609">Settlement(Main_Presentation[[#This Row],[Bank]],Main_Presentation[[#This Row],[ Invoice Amt (SAR)]],Main_Presentation[[#This Row],[Date Recd]],Main_Presentation[[#This Row],[Due Date]],Main_Presentation[[#This Row],[Days]])</f>
        <v>655.5</v>
      </c>
      <c r="AB1609" s="217"/>
    </row>
    <row r="1610" spans="1:28" ht="15.75" hidden="1" x14ac:dyDescent="0.25">
      <c r="A1610" s="226" t="s">
        <v>2287</v>
      </c>
      <c r="B1610" s="227"/>
      <c r="C1610" s="243"/>
      <c r="D1610" s="228" t="str">
        <f>VLOOKUP(Main_Presentation[[#This Row],[LC Number]],Main_Issuance[],3,0)</f>
        <v>AbdulAziz Eraiba Fawzi</v>
      </c>
      <c r="E1610" s="217"/>
      <c r="F1610" s="244" t="str">
        <f>VLOOKUP(Main_Presentation[[#This Row],[LC Number]],Main_Issuance[],5,0)</f>
        <v>Jazira</v>
      </c>
      <c r="G1610" s="244" t="str">
        <f>VLOOKUP(Main_Presentation[[#This Row],[LC Number]],Main_Issuance[],6,0)</f>
        <v>RCRC</v>
      </c>
      <c r="H1610" s="244" t="str">
        <f>VLOOKUP(Main_Presentation[[#This Row],[LC Number]],Main_Issuance[],17,0)</f>
        <v>Credit</v>
      </c>
      <c r="I1610" s="244" t="str">
        <f>VLOOKUP(Main_Presentation[[#This Row],[LC Number]],Main_Issuance[],7,0)</f>
        <v>Alrashid Trading and Contracting Company</v>
      </c>
      <c r="J1610" s="244" t="str">
        <f>VLOOKUP(Main_Presentation[[#This Row],[LC Number]],Main_Issuance[],8,0)</f>
        <v>MBL</v>
      </c>
      <c r="K1610" s="244" t="str">
        <f>VLOOKUP(Main_Presentation[[#This Row],[LC Number]],Main_Issuance[],9,0)</f>
        <v>RCRC</v>
      </c>
      <c r="L1610" s="244">
        <f>VLOOKUP(Main_Presentation[[#This Row],[LC Number]],Main_Issuance[],10,0)</f>
        <v>1020106</v>
      </c>
      <c r="M1610" s="244" t="str">
        <f>VLOOKUP(Main_Presentation[[#This Row],[LC Number]],Main_Issuance[],11,0)</f>
        <v>SAR</v>
      </c>
      <c r="N1610" s="245">
        <f>VLOOKUP(Main_Presentation[[#This Row],[LC Number]],Main_Issuance[],12,0)</f>
        <v>16731764</v>
      </c>
      <c r="O1610" s="217" t="s">
        <v>908</v>
      </c>
      <c r="P1610" s="217" t="s">
        <v>378</v>
      </c>
      <c r="Q1610" s="218">
        <v>3481208.18</v>
      </c>
      <c r="R1610" s="218">
        <v>1</v>
      </c>
      <c r="S1610" s="218">
        <f>Main_Presentation[[#This Row],[Invoice Amt (FCY)]]*Main_Presentation[[#This Row],[Rate]]</f>
        <v>3481208.18</v>
      </c>
      <c r="T1610" s="227">
        <v>46213</v>
      </c>
      <c r="U1610" s="243" t="str">
        <f>VLOOKUP(Main_Presentation[[#This Row],[LC Number]],Main_Issuance[],18,0)</f>
        <v>30 Days From Invoice Date</v>
      </c>
      <c r="V1610" s="233"/>
      <c r="W1610" s="229" t="s">
        <v>378</v>
      </c>
      <c r="X1610" s="217"/>
      <c r="Y1610" s="399" t="str">
        <f>TRIM(LEFT(Main_Presentation[[#This Row],[Payment Terms]],3))</f>
        <v>30</v>
      </c>
      <c r="Z1610" s="217"/>
      <c r="AA1610" s="405" cm="1">
        <f t="array" ref="AA1610">Settlement(Main_Presentation[[#This Row],[Bank]],Main_Presentation[[#This Row],[ Invoice Amt (SAR)]],Main_Presentation[[#This Row],[Date Recd]],Main_Presentation[[#This Row],[Due Date]],Main_Presentation[[#This Row],[Days]])</f>
        <v>2489118.65</v>
      </c>
      <c r="AB1610" s="217"/>
    </row>
    <row r="1611" spans="1:28" ht="15.75" hidden="1" x14ac:dyDescent="0.25">
      <c r="A1611" s="226" t="s">
        <v>2562</v>
      </c>
      <c r="B1611" s="227"/>
      <c r="C1611" s="243"/>
      <c r="D1611" s="228" t="str">
        <f>VLOOKUP(Main_Presentation[[#This Row],[LC Number]],Main_Issuance[],3,0)</f>
        <v>Matthew Mckernan - AICS</v>
      </c>
      <c r="E1611" s="217"/>
      <c r="F1611" s="244" t="str">
        <f>VLOOKUP(Main_Presentation[[#This Row],[LC Number]],Main_Issuance[],5,0)</f>
        <v>SNB</v>
      </c>
      <c r="G1611" s="244" t="str">
        <f>VLOOKUP(Main_Presentation[[#This Row],[LC Number]],Main_Issuance[],6,0)</f>
        <v>Opera House</v>
      </c>
      <c r="H1611" s="244" t="str">
        <f>VLOOKUP(Main_Presentation[[#This Row],[LC Number]],Main_Issuance[],17,0)</f>
        <v>Credit</v>
      </c>
      <c r="I1611" s="244" t="str">
        <f>VLOOKUP(Main_Presentation[[#This Row],[LC Number]],Main_Issuance[],7,0)</f>
        <v>ALNAFIE METAL INDUSTRIES CO LTD</v>
      </c>
      <c r="J1611" s="244" t="str">
        <f>VLOOKUP(Main_Presentation[[#This Row],[LC Number]],Main_Issuance[],8,0)</f>
        <v>MBL/AICS</v>
      </c>
      <c r="K1611" s="244" t="str">
        <f>VLOOKUP(Main_Presentation[[#This Row],[LC Number]],Main_Issuance[],9,0)</f>
        <v>OPERA House</v>
      </c>
      <c r="L1611" s="244">
        <f>VLOOKUP(Main_Presentation[[#This Row],[LC Number]],Main_Issuance[],10,0)</f>
        <v>1020097</v>
      </c>
      <c r="M1611" s="244" t="str">
        <f>VLOOKUP(Main_Presentation[[#This Row],[LC Number]],Main_Issuance[],11,0)</f>
        <v>SAR</v>
      </c>
      <c r="N1611" s="245">
        <f>VLOOKUP(Main_Presentation[[#This Row],[LC Number]],Main_Issuance[],12,0)</f>
        <v>18703391.850000001</v>
      </c>
      <c r="O1611" s="217" t="s">
        <v>908</v>
      </c>
      <c r="P1611" s="217" t="s">
        <v>378</v>
      </c>
      <c r="Q1611" s="218">
        <v>915007.28</v>
      </c>
      <c r="R1611" s="218">
        <v>1</v>
      </c>
      <c r="S1611" s="218">
        <f>Main_Presentation[[#This Row],[Invoice Amt (FCY)]]*Main_Presentation[[#This Row],[Rate]]</f>
        <v>915007.28</v>
      </c>
      <c r="T1611" s="227">
        <v>46223</v>
      </c>
      <c r="U1611" s="243" t="str">
        <f>VLOOKUP(Main_Presentation[[#This Row],[LC Number]],Main_Issuance[],18,0)</f>
        <v>90 Days from Invoice Date</v>
      </c>
      <c r="V1611" s="233"/>
      <c r="W1611" s="229" t="s">
        <v>378</v>
      </c>
      <c r="X1611" s="217"/>
      <c r="Y1611" s="399" t="str">
        <f>TRIM(LEFT(Main_Presentation[[#This Row],[Payment Terms]],3))</f>
        <v>90</v>
      </c>
      <c r="Z1611" s="217"/>
      <c r="AA1611" s="405" cm="1">
        <f t="array" ref="AA1611">Settlement(Main_Presentation[[#This Row],[Bank]],Main_Presentation[[#This Row],[ Invoice Amt (SAR)]],Main_Presentation[[#This Row],[Date Recd]],Main_Presentation[[#This Row],[Due Date]],Main_Presentation[[#This Row],[Days]])</f>
        <v>3268617.4</v>
      </c>
      <c r="AB1611" s="217"/>
    </row>
    <row r="1612" spans="1:28" ht="15.75" hidden="1" x14ac:dyDescent="0.25">
      <c r="A1612" s="226" t="s">
        <v>1934</v>
      </c>
      <c r="B1612" s="227">
        <v>46155</v>
      </c>
      <c r="C1612" s="243">
        <v>10</v>
      </c>
      <c r="D1612" s="228" t="str">
        <f>VLOOKUP(Main_Presentation[[#This Row],[LC Number]],Main_Issuance[],3,0)</f>
        <v>Luis Puente</v>
      </c>
      <c r="E1612" s="217" t="s">
        <v>856</v>
      </c>
      <c r="F1612" s="244" t="str">
        <f>VLOOKUP(Main_Presentation[[#This Row],[LC Number]],Main_Issuance[],5,0)</f>
        <v>Riyad</v>
      </c>
      <c r="G1612" s="244" t="str">
        <f>VLOOKUP(Main_Presentation[[#This Row],[LC Number]],Main_Issuance[],6,0)</f>
        <v>Oceanarium</v>
      </c>
      <c r="H1612" s="244" t="str">
        <f>VLOOKUP(Main_Presentation[[#This Row],[LC Number]],Main_Issuance[],17,0)</f>
        <v>Credit</v>
      </c>
      <c r="I1612" s="244" t="str">
        <f>VLOOKUP(Main_Presentation[[#This Row],[LC Number]],Main_Issuance[],7,0)</f>
        <v>Mat Filtrasyon Teknolojeleri A.S</v>
      </c>
      <c r="J1612" s="244" t="str">
        <f>VLOOKUP(Main_Presentation[[#This Row],[LC Number]],Main_Issuance[],8,0)</f>
        <v>MBL</v>
      </c>
      <c r="K1612" s="244" t="str">
        <f>VLOOKUP(Main_Presentation[[#This Row],[LC Number]],Main_Issuance[],9,0)</f>
        <v>Oceanarium</v>
      </c>
      <c r="L1612" s="244">
        <f>VLOOKUP(Main_Presentation[[#This Row],[LC Number]],Main_Issuance[],10,0)</f>
        <v>1020096</v>
      </c>
      <c r="M1612" s="244" t="str">
        <f>VLOOKUP(Main_Presentation[[#This Row],[LC Number]],Main_Issuance[],11,0)</f>
        <v>SAR</v>
      </c>
      <c r="N1612" s="245">
        <f>VLOOKUP(Main_Presentation[[#This Row],[LC Number]],Main_Issuance[],12,0)</f>
        <v>25907203.759999998</v>
      </c>
      <c r="O1612" s="217" t="s">
        <v>912</v>
      </c>
      <c r="P1612" s="217" t="s">
        <v>857</v>
      </c>
      <c r="Q1612" s="218">
        <v>467861.1</v>
      </c>
      <c r="R1612" s="218">
        <v>1</v>
      </c>
      <c r="S1612" s="218">
        <f>Main_Presentation[[#This Row],[Invoice Amt (FCY)]]*Main_Presentation[[#This Row],[Rate]]</f>
        <v>467861.1</v>
      </c>
      <c r="T1612" s="227">
        <v>46212</v>
      </c>
      <c r="U1612" s="243" t="str">
        <f>VLOOKUP(Main_Presentation[[#This Row],[LC Number]],Main_Issuance[],18,0)</f>
        <v>45 Days from Invoice Date</v>
      </c>
      <c r="V1612" s="233"/>
      <c r="W1612" s="229" t="s">
        <v>378</v>
      </c>
      <c r="X1612" s="217"/>
      <c r="Y1612" s="399" t="str">
        <f>TRIM(LEFT(Main_Presentation[[#This Row],[Payment Terms]],3))</f>
        <v>45</v>
      </c>
      <c r="Z1612" s="217"/>
      <c r="AA1612" s="405" cm="1">
        <f t="array" ref="AA1612">Settlement(Main_Presentation[[#This Row],[Bank]],Main_Presentation[[#This Row],[ Invoice Amt (SAR)]],Main_Presentation[[#This Row],[Date Recd]],Main_Presentation[[#This Row],[Due Date]],Main_Presentation[[#This Row],[Days]],)</f>
        <v>1345.5</v>
      </c>
      <c r="AB1612" s="217"/>
    </row>
    <row r="1613" spans="1:28" ht="15.75" hidden="1" x14ac:dyDescent="0.25">
      <c r="A1613" s="226" t="s">
        <v>1934</v>
      </c>
      <c r="B1613" s="227">
        <v>46155</v>
      </c>
      <c r="C1613" s="243">
        <v>11</v>
      </c>
      <c r="D1613" s="228" t="str">
        <f>VLOOKUP(Main_Presentation[[#This Row],[LC Number]],Main_Issuance[],3,0)</f>
        <v>Luis Puente</v>
      </c>
      <c r="E1613" s="217" t="s">
        <v>856</v>
      </c>
      <c r="F1613" s="244" t="str">
        <f>VLOOKUP(Main_Presentation[[#This Row],[LC Number]],Main_Issuance[],5,0)</f>
        <v>Riyad</v>
      </c>
      <c r="G1613" s="244" t="str">
        <f>VLOOKUP(Main_Presentation[[#This Row],[LC Number]],Main_Issuance[],6,0)</f>
        <v>Oceanarium</v>
      </c>
      <c r="H1613" s="244" t="str">
        <f>VLOOKUP(Main_Presentation[[#This Row],[LC Number]],Main_Issuance[],17,0)</f>
        <v>Credit</v>
      </c>
      <c r="I1613" s="244" t="str">
        <f>VLOOKUP(Main_Presentation[[#This Row],[LC Number]],Main_Issuance[],7,0)</f>
        <v>Mat Filtrasyon Teknolojeleri A.S</v>
      </c>
      <c r="J1613" s="244" t="str">
        <f>VLOOKUP(Main_Presentation[[#This Row],[LC Number]],Main_Issuance[],8,0)</f>
        <v>MBL</v>
      </c>
      <c r="K1613" s="244" t="str">
        <f>VLOOKUP(Main_Presentation[[#This Row],[LC Number]],Main_Issuance[],9,0)</f>
        <v>Oceanarium</v>
      </c>
      <c r="L1613" s="244">
        <f>VLOOKUP(Main_Presentation[[#This Row],[LC Number]],Main_Issuance[],10,0)</f>
        <v>1020096</v>
      </c>
      <c r="M1613" s="244" t="str">
        <f>VLOOKUP(Main_Presentation[[#This Row],[LC Number]],Main_Issuance[],11,0)</f>
        <v>SAR</v>
      </c>
      <c r="N1613" s="245">
        <f>VLOOKUP(Main_Presentation[[#This Row],[LC Number]],Main_Issuance[],12,0)</f>
        <v>25907203.759999998</v>
      </c>
      <c r="O1613" s="217" t="s">
        <v>912</v>
      </c>
      <c r="P1613" s="217" t="s">
        <v>857</v>
      </c>
      <c r="Q1613" s="218">
        <v>284755.58</v>
      </c>
      <c r="R1613" s="218">
        <v>1</v>
      </c>
      <c r="S1613" s="218">
        <f>Main_Presentation[[#This Row],[Invoice Amt (FCY)]]*Main_Presentation[[#This Row],[Rate]]</f>
        <v>284755.58</v>
      </c>
      <c r="T1613" s="227">
        <v>46205</v>
      </c>
      <c r="U1613" s="243" t="str">
        <f>VLOOKUP(Main_Presentation[[#This Row],[LC Number]],Main_Issuance[],18,0)</f>
        <v>45 Days from Invoice Date</v>
      </c>
      <c r="V1613" s="233"/>
      <c r="W1613" s="229" t="s">
        <v>378</v>
      </c>
      <c r="X1613" s="217"/>
      <c r="Y1613" s="399" t="str">
        <f>TRIM(LEFT(Main_Presentation[[#This Row],[Payment Terms]],3))</f>
        <v>45</v>
      </c>
      <c r="Z1613" s="217"/>
      <c r="AA1613" s="405" cm="1">
        <f t="array" ref="AA1613">Settlement(Main_Presentation[[#This Row],[Bank]],Main_Presentation[[#This Row],[ Invoice Amt (SAR)]],Main_Presentation[[#This Row],[Date Recd]],Main_Presentation[[#This Row],[Due Date]],Main_Presentation[[#This Row],[Days]])</f>
        <v>818.8</v>
      </c>
      <c r="AB1613" s="217"/>
    </row>
    <row r="1614" spans="1:28" ht="15.75" hidden="1" x14ac:dyDescent="0.25">
      <c r="A1614" s="226" t="s">
        <v>1767</v>
      </c>
      <c r="B1614" s="227"/>
      <c r="C1614" s="243"/>
      <c r="D1614" s="228" t="str">
        <f>VLOOKUP(Main_Presentation[[#This Row],[LC Number]],Main_Issuance[],3,0)</f>
        <v>Rabih Makhoul</v>
      </c>
      <c r="E1614" s="217"/>
      <c r="F1614" s="244" t="str">
        <f>VLOOKUP(Main_Presentation[[#This Row],[LC Number]],Main_Issuance[],5,0)</f>
        <v>Alinma</v>
      </c>
      <c r="G1614" s="244" t="str">
        <f>VLOOKUP(Main_Presentation[[#This Row],[LC Number]],Main_Issuance[],6,0)</f>
        <v>KSP</v>
      </c>
      <c r="H1614" s="244" t="str">
        <f>VLOOKUP(Main_Presentation[[#This Row],[LC Number]],Main_Issuance[],17,0)</f>
        <v>Credit</v>
      </c>
      <c r="I1614" s="244" t="str">
        <f>VLOOKUP(Main_Presentation[[#This Row],[LC Number]],Main_Issuance[],7,0)</f>
        <v>Al Arabia Construction &amp; Building Co.</v>
      </c>
      <c r="J1614" s="244" t="str">
        <f>VLOOKUP(Main_Presentation[[#This Row],[LC Number]],Main_Issuance[],8,0)</f>
        <v>MBL</v>
      </c>
      <c r="K1614" s="244" t="str">
        <f>VLOOKUP(Main_Presentation[[#This Row],[LC Number]],Main_Issuance[],9,0)</f>
        <v>Rabigh Power Plant</v>
      </c>
      <c r="L1614" s="244">
        <f>VLOOKUP(Main_Presentation[[#This Row],[LC Number]],Main_Issuance[],10,0)</f>
        <v>1020107</v>
      </c>
      <c r="M1614" s="244" t="str">
        <f>VLOOKUP(Main_Presentation[[#This Row],[LC Number]],Main_Issuance[],11,0)</f>
        <v>SAR</v>
      </c>
      <c r="N1614" s="245">
        <f>VLOOKUP(Main_Presentation[[#This Row],[LC Number]],Main_Issuance[],12,0)</f>
        <v>3009600</v>
      </c>
      <c r="O1614" s="217" t="s">
        <v>908</v>
      </c>
      <c r="P1614" s="217" t="s">
        <v>378</v>
      </c>
      <c r="Q1614" s="218">
        <v>48780.61</v>
      </c>
      <c r="R1614" s="218">
        <v>1</v>
      </c>
      <c r="S1614" s="218">
        <f>Main_Presentation[[#This Row],[Invoice Amt (FCY)]]*Main_Presentation[[#This Row],[Rate]]</f>
        <v>48780.61</v>
      </c>
      <c r="T1614" s="227">
        <v>46198</v>
      </c>
      <c r="U1614" s="243" t="str">
        <f>VLOOKUP(Main_Presentation[[#This Row],[LC Number]],Main_Issuance[],18,0)</f>
        <v>45 Days from the Invoice Date</v>
      </c>
      <c r="V1614" s="233"/>
      <c r="W1614" s="229" t="s">
        <v>378</v>
      </c>
      <c r="X1614" s="217"/>
      <c r="Y1614" s="399" t="str">
        <f>TRIM(LEFT(Main_Presentation[[#This Row],[Payment Terms]],3))</f>
        <v>45</v>
      </c>
      <c r="Z1614" s="217"/>
      <c r="AA1614" s="405" cm="1">
        <f t="array" ref="AA1614">Settlement(Main_Presentation[[#This Row],[Bank]],Main_Presentation[[#This Row],[ Invoice Amt (SAR)]],Main_Presentation[[#This Row],[Date Recd]],Main_Presentation[[#This Row],[Due Date]],Main_Presentation[[#This Row],[Days]])</f>
        <v>34827.75</v>
      </c>
      <c r="AB1614" s="217"/>
    </row>
    <row r="1615" spans="1:28" ht="15.75" hidden="1" x14ac:dyDescent="0.25">
      <c r="A1615" s="226" t="s">
        <v>5441</v>
      </c>
      <c r="B1615" s="227"/>
      <c r="C1615" s="243"/>
      <c r="D1615" s="228" t="str">
        <f>VLOOKUP(Main_Presentation[[#This Row],[LC Number]],Main_Issuance[],3,0)</f>
        <v>Matthew Mckernan</v>
      </c>
      <c r="E1615" s="217"/>
      <c r="F1615" s="244" t="str">
        <f>VLOOKUP(Main_Presentation[[#This Row],[LC Number]],Main_Issuance[],5,0)</f>
        <v>SNB</v>
      </c>
      <c r="G1615" s="244" t="str">
        <f>VLOOKUP(Main_Presentation[[#This Row],[LC Number]],Main_Issuance[],6,0)</f>
        <v>Opera House</v>
      </c>
      <c r="H1615" s="244" t="str">
        <f>VLOOKUP(Main_Presentation[[#This Row],[LC Number]],Main_Issuance[],17,0)</f>
        <v>Credit</v>
      </c>
      <c r="I1615" s="244" t="str">
        <f>VLOOKUP(Main_Presentation[[#This Row],[LC Number]],Main_Issuance[],7,0)</f>
        <v>Saudi Pro-Kitchen</v>
      </c>
      <c r="J1615" s="244" t="str">
        <f>VLOOKUP(Main_Presentation[[#This Row],[LC Number]],Main_Issuance[],8,0)</f>
        <v>MBL/ICAD</v>
      </c>
      <c r="K1615" s="244" t="str">
        <f>VLOOKUP(Main_Presentation[[#This Row],[LC Number]],Main_Issuance[],9,0)</f>
        <v>OPERA House</v>
      </c>
      <c r="L1615" s="244">
        <f>VLOOKUP(Main_Presentation[[#This Row],[LC Number]],Main_Issuance[],10,0)</f>
        <v>1020097</v>
      </c>
      <c r="M1615" s="244" t="str">
        <f>VLOOKUP(Main_Presentation[[#This Row],[LC Number]],Main_Issuance[],11,0)</f>
        <v>SAR</v>
      </c>
      <c r="N1615" s="245">
        <f>VLOOKUP(Main_Presentation[[#This Row],[LC Number]],Main_Issuance[],12,0)</f>
        <v>700000</v>
      </c>
      <c r="O1615" s="217" t="s">
        <v>908</v>
      </c>
      <c r="P1615" s="217" t="s">
        <v>378</v>
      </c>
      <c r="Q1615" s="218">
        <v>700000</v>
      </c>
      <c r="R1615" s="218">
        <v>1</v>
      </c>
      <c r="S1615" s="218">
        <f>Main_Presentation[[#This Row],[Invoice Amt (FCY)]]*Main_Presentation[[#This Row],[Rate]]</f>
        <v>700000</v>
      </c>
      <c r="T1615" s="227">
        <v>46314</v>
      </c>
      <c r="U1615" s="243" t="str">
        <f>VLOOKUP(Main_Presentation[[#This Row],[LC Number]],Main_Issuance[],18,0)</f>
        <v>120 Days from Applicant representative sign on Invoice</v>
      </c>
      <c r="V1615" s="233"/>
      <c r="W1615" s="229" t="s">
        <v>378</v>
      </c>
      <c r="X1615" s="217"/>
      <c r="Y1615" s="399" t="str">
        <f>TRIM(LEFT(Main_Presentation[[#This Row],[Payment Terms]],3))</f>
        <v>120</v>
      </c>
      <c r="Z1615" s="217"/>
      <c r="AA1615" s="405" cm="1">
        <f t="array" ref="AA1615">Settlement(Main_Presentation[[#This Row],[Bank]],Main_Presentation[[#This Row],[ Invoice Amt (SAR)]],Main_Presentation[[#This Row],[Date Recd]],Main_Presentation[[#This Row],[Due Date]],Main_Presentation[[#This Row],[Days]])</f>
        <v>2505602.75</v>
      </c>
      <c r="AB1615" s="217"/>
    </row>
    <row r="1616" spans="1:28" ht="15.75" hidden="1" x14ac:dyDescent="0.25">
      <c r="A1616" s="226" t="s">
        <v>3319</v>
      </c>
      <c r="B1616" s="227"/>
      <c r="C1616" s="243"/>
      <c r="D1616" s="228" t="str">
        <f>VLOOKUP(Main_Presentation[[#This Row],[LC Number]],Main_Issuance[],3,0)</f>
        <v>AbdulAziz Eraiba Fawzi</v>
      </c>
      <c r="E1616" s="217"/>
      <c r="F1616" s="244" t="str">
        <f>VLOOKUP(Main_Presentation[[#This Row],[LC Number]],Main_Issuance[],5,0)</f>
        <v>Jazira</v>
      </c>
      <c r="G1616" s="244" t="str">
        <f>VLOOKUP(Main_Presentation[[#This Row],[LC Number]],Main_Issuance[],6,0)</f>
        <v>RCRC</v>
      </c>
      <c r="H1616" s="244" t="str">
        <f>VLOOKUP(Main_Presentation[[#This Row],[LC Number]],Main_Issuance[],17,0)</f>
        <v>Credit</v>
      </c>
      <c r="I1616" s="244" t="str">
        <f>VLOOKUP(Main_Presentation[[#This Row],[LC Number]],Main_Issuance[],7,0)</f>
        <v>Green Concrete CJSC</v>
      </c>
      <c r="J1616" s="244" t="str">
        <f>VLOOKUP(Main_Presentation[[#This Row],[LC Number]],Main_Issuance[],8,0)</f>
        <v>MBL</v>
      </c>
      <c r="K1616" s="244" t="str">
        <f>VLOOKUP(Main_Presentation[[#This Row],[LC Number]],Main_Issuance[],9,0)</f>
        <v>RCRC</v>
      </c>
      <c r="L1616" s="244">
        <f>VLOOKUP(Main_Presentation[[#This Row],[LC Number]],Main_Issuance[],10,0)</f>
        <v>1020106</v>
      </c>
      <c r="M1616" s="244" t="str">
        <f>VLOOKUP(Main_Presentation[[#This Row],[LC Number]],Main_Issuance[],11,0)</f>
        <v>SAR</v>
      </c>
      <c r="N1616" s="245">
        <f>VLOOKUP(Main_Presentation[[#This Row],[LC Number]],Main_Issuance[],12,0)</f>
        <v>5802900</v>
      </c>
      <c r="O1616" s="217" t="s">
        <v>908</v>
      </c>
      <c r="P1616" s="217" t="s">
        <v>378</v>
      </c>
      <c r="Q1616" s="218">
        <v>148788.15</v>
      </c>
      <c r="R1616" s="218">
        <v>1</v>
      </c>
      <c r="S1616" s="218">
        <f>Main_Presentation[[#This Row],[Invoice Amt (FCY)]]*Main_Presentation[[#This Row],[Rate]]</f>
        <v>148788.15</v>
      </c>
      <c r="T1616" s="227">
        <v>46314</v>
      </c>
      <c r="U1616" s="243" t="str">
        <f>VLOOKUP(Main_Presentation[[#This Row],[LC Number]],Main_Issuance[],18,0)</f>
        <v>60 Days From Invoice Date</v>
      </c>
      <c r="V1616" s="233"/>
      <c r="W1616" s="229" t="s">
        <v>378</v>
      </c>
      <c r="X1616" s="217"/>
      <c r="Y1616" s="399" t="str">
        <f>TRIM(LEFT(Main_Presentation[[#This Row],[Payment Terms]],3))</f>
        <v>60</v>
      </c>
      <c r="Z1616" s="217"/>
      <c r="AA1616" s="405" cm="1">
        <f t="array" ref="AA1616">Settlement(Main_Presentation[[#This Row],[Bank]],Main_Presentation[[#This Row],[ Invoice Amt (SAR)]],Main_Presentation[[#This Row],[Date Recd]],Main_Presentation[[#This Row],[Due Date]],Main_Presentation[[#This Row],[Days]])</f>
        <v>106930.45</v>
      </c>
      <c r="AB1616" s="217"/>
    </row>
    <row r="1617" spans="1:28" ht="15.75" hidden="1" x14ac:dyDescent="0.25">
      <c r="A1617" s="226" t="s">
        <v>5255</v>
      </c>
      <c r="B1617" s="227"/>
      <c r="C1617" s="243"/>
      <c r="D1617" s="228" t="str">
        <f>VLOOKUP(Main_Presentation[[#This Row],[LC Number]],Main_Issuance[],3,0)</f>
        <v>Mohammed Kotb</v>
      </c>
      <c r="E1617" s="217"/>
      <c r="F1617" s="244" t="str">
        <f>VLOOKUP(Main_Presentation[[#This Row],[LC Number]],Main_Issuance[],5,0)</f>
        <v>SAB</v>
      </c>
      <c r="G1617" s="244" t="str">
        <f>VLOOKUP(Main_Presentation[[#This Row],[LC Number]],Main_Issuance[],6,0)</f>
        <v>MP1</v>
      </c>
      <c r="H1617" s="244" t="str">
        <f>VLOOKUP(Main_Presentation[[#This Row],[LC Number]],Main_Issuance[],17,0)</f>
        <v>Credit</v>
      </c>
      <c r="I1617" s="244" t="str">
        <f>VLOOKUP(Main_Presentation[[#This Row],[LC Number]],Main_Issuance[],7,0)</f>
        <v>DAIKIN AIR CONDITIONING SAUDI ARABIA LLC</v>
      </c>
      <c r="J1617" s="244" t="str">
        <f>VLOOKUP(Main_Presentation[[#This Row],[LC Number]],Main_Issuance[],8,0)</f>
        <v>MBL/ICAD</v>
      </c>
      <c r="K1617" s="244" t="str">
        <f>VLOOKUP(Main_Presentation[[#This Row],[LC Number]],Main_Issuance[],9,0)</f>
        <v>ABHA</v>
      </c>
      <c r="L1617" s="244">
        <f>VLOOKUP(Main_Presentation[[#This Row],[LC Number]],Main_Issuance[],10,0)</f>
        <v>1020070</v>
      </c>
      <c r="M1617" s="244" t="str">
        <f>VLOOKUP(Main_Presentation[[#This Row],[LC Number]],Main_Issuance[],11,0)</f>
        <v>SAR</v>
      </c>
      <c r="N1617" s="245">
        <f>VLOOKUP(Main_Presentation[[#This Row],[LC Number]],Main_Issuance[],12,0)</f>
        <v>735855</v>
      </c>
      <c r="O1617" s="217" t="s">
        <v>908</v>
      </c>
      <c r="P1617" s="217" t="s">
        <v>378</v>
      </c>
      <c r="Q1617" s="218">
        <v>735855</v>
      </c>
      <c r="R1617" s="218">
        <v>1</v>
      </c>
      <c r="S1617" s="218">
        <f>Main_Presentation[[#This Row],[Invoice Amt (FCY)]]*Main_Presentation[[#This Row],[Rate]]</f>
        <v>735855</v>
      </c>
      <c r="T1617" s="227">
        <v>46285</v>
      </c>
      <c r="U1617" s="243" t="str">
        <f>VLOOKUP(Main_Presentation[[#This Row],[LC Number]],Main_Issuance[],18,0)</f>
        <v>90 Days from Appln Rep Sign on Invoice</v>
      </c>
      <c r="V1617" s="233"/>
      <c r="W1617" s="229" t="s">
        <v>378</v>
      </c>
      <c r="X1617" s="217"/>
      <c r="Y1617" s="399" t="str">
        <f>TRIM(LEFT(Main_Presentation[[#This Row],[Payment Terms]],3))</f>
        <v>90</v>
      </c>
      <c r="Z1617" s="217"/>
      <c r="AA1617" s="405" cm="1">
        <f t="array" ref="AA1617">Settlement(Main_Presentation[[#This Row],[Bank]],Main_Presentation[[#This Row],[ Invoice Amt (SAR)]],Main_Presentation[[#This Row],[Date Recd]],Main_Presentation[[#This Row],[Due Date]],Main_Presentation[[#This Row],[Days]])</f>
        <v>3172.85</v>
      </c>
      <c r="AB1617" s="217"/>
    </row>
  </sheetData>
  <mergeCells count="1">
    <mergeCell ref="F3:K3"/>
  </mergeCells>
  <phoneticPr fontId="24" type="noConversion"/>
  <conditionalFormatting sqref="A701:B701 R702:S702 W702 D701:P701 W706:W714 R701:V701 A677:P698 W733:W757 R733:R739 R677:X682 A344:V344 X344 O733:P739 A373:S373 U373:X373 W897:W898 P897:P898 R897:S898 Q330:Q794 Q1245:R1245 A1246:X1246 T1251:T1253 Q1259:R1259 T1259 V1259 O1259 R1249:R1258 T1286:T1287 O1286:O1287 V1286:V1287 Q1286:R1287 X899:X1038 R983:R1081 A1194:X1213 O1251:O1253 A1144:X1179 A1312:X1312 X1137:X1179 A384:W384 A1311:S1311 U1311:X1311 X1323:X1334 B1324:P1334 R1324:W1327 R1334:S1334 U1334:W1334 R684:X688 R683:V683 X683 R690:X690 R689:V689 X689 R692:X695 R691:V691 X691 R697:X698 R696:V696 X696 X701 W716:W717 A232:X343 A231:V231 X231 R1131:R1142 X1056:X1135 R1118:R1129 A1377:X1377 T899:T1246 T1375 V1251:V1253 A345:X372 A374:X383 A983:X1038 A1379:X1379 A1378:W1378 A1381:X1384 A1380:W1380 R1172:R1244 A1219:A1334 Q803:Q1334 O899:O1246 V899:V1245 X1215:X1224 T1468 Q1468:R1468 O1468 V1468 R1329:W1333 R1328:U1328 W1328 A1388:A1496 T1487:T1492 Q1487:Q1496 N1487:N1496 T1495:T1496 Q1531:Q1561 N1531:N1561 A1531:A1561 X1531:X1560 T1531:T1559 Q1589:Q1590 N1589:N1590 A1589:A1590 X1589:X1590 T1590 Q1433:R1433 A385:X676 A5:X230 T1504:T1529 Q1504:Q1529 N1504:N1529 A1504:A1529 B1505:M1506 R1505:S1506 O1505:P1506 Q1577:Q1587 N1577:N1587 A1577:A1587 X1577:X1579 T1583:T1587 X1581:X1587">
    <cfRule type="expression" dxfId="5087" priority="6455">
      <formula>$H5="Cash"</formula>
    </cfRule>
  </conditionalFormatting>
  <conditionalFormatting sqref="A696:P696 P697 R696:V696 X696">
    <cfRule type="expression" dxfId="5086" priority="6454">
      <formula>$H696="Cash"</formula>
    </cfRule>
  </conditionalFormatting>
  <conditionalFormatting sqref="A698:P698 R698:X698">
    <cfRule type="expression" dxfId="5085" priority="6453">
      <formula>$H698="Cash"</formula>
    </cfRule>
  </conditionalFormatting>
  <conditionalFormatting sqref="A699:P699 R699:X699">
    <cfRule type="expression" dxfId="5084" priority="6452">
      <formula>$H699="Cash"</formula>
    </cfRule>
  </conditionalFormatting>
  <conditionalFormatting sqref="A699:P699 R699:X699">
    <cfRule type="expression" dxfId="5083" priority="6451">
      <formula>$H699="Cash"</formula>
    </cfRule>
  </conditionalFormatting>
  <conditionalFormatting sqref="A700:N700 R700:W700 P700">
    <cfRule type="expression" dxfId="5082" priority="6450">
      <formula>$H700="Cash"</formula>
    </cfRule>
  </conditionalFormatting>
  <conditionalFormatting sqref="A700:N700 R700:W700 P700">
    <cfRule type="expression" dxfId="5081" priority="6449">
      <formula>$H700="Cash"</formula>
    </cfRule>
  </conditionalFormatting>
  <conditionalFormatting sqref="T701">
    <cfRule type="expression" dxfId="5080" priority="6448">
      <formula>$H701="Cash"</formula>
    </cfRule>
  </conditionalFormatting>
  <conditionalFormatting sqref="E702">
    <cfRule type="expression" dxfId="5079" priority="6447">
      <formula>$H702="Cash"</formula>
    </cfRule>
  </conditionalFormatting>
  <conditionalFormatting sqref="A703:P703 R703:X703">
    <cfRule type="expression" dxfId="5078" priority="6446">
      <formula>$H703="Cash"</formula>
    </cfRule>
  </conditionalFormatting>
  <conditionalFormatting sqref="A704:P704 R704:X704">
    <cfRule type="expression" dxfId="5077" priority="6444">
      <formula>$H704="Cash"</formula>
    </cfRule>
  </conditionalFormatting>
  <conditionalFormatting sqref="A705:P705 R705:X705">
    <cfRule type="expression" dxfId="5076" priority="6443">
      <formula>$H705="Cash"</formula>
    </cfRule>
  </conditionalFormatting>
  <conditionalFormatting sqref="P706:P717">
    <cfRule type="expression" dxfId="5075" priority="6439">
      <formula>$H706="Cash"</formula>
    </cfRule>
  </conditionalFormatting>
  <conditionalFormatting sqref="R706:R717">
    <cfRule type="expression" dxfId="5074" priority="6438">
      <formula>$H706="Cash"</formula>
    </cfRule>
  </conditionalFormatting>
  <conditionalFormatting sqref="S706:S717">
    <cfRule type="expression" dxfId="5073" priority="6437">
      <formula>$H706="Cash"</formula>
    </cfRule>
  </conditionalFormatting>
  <conditionalFormatting sqref="A718:P718 R718:X718">
    <cfRule type="expression" dxfId="5072" priority="6436">
      <formula>$H718="Cash"</formula>
    </cfRule>
  </conditionalFormatting>
  <conditionalFormatting sqref="W719:W730">
    <cfRule type="expression" dxfId="5071" priority="6435">
      <formula>$H719="Cash"</formula>
    </cfRule>
  </conditionalFormatting>
  <conditionalFormatting sqref="P719:P730">
    <cfRule type="expression" dxfId="5070" priority="6434">
      <formula>$H719="Cash"</formula>
    </cfRule>
  </conditionalFormatting>
  <conditionalFormatting sqref="R719">
    <cfRule type="expression" dxfId="5069" priority="6433">
      <formula>$H719="Cash"</formula>
    </cfRule>
  </conditionalFormatting>
  <conditionalFormatting sqref="S719">
    <cfRule type="expression" dxfId="5068" priority="6432">
      <formula>$H719="Cash"</formula>
    </cfRule>
  </conditionalFormatting>
  <conditionalFormatting sqref="R721:R730">
    <cfRule type="expression" dxfId="5067" priority="6429">
      <formula>$H721="Cash"</formula>
    </cfRule>
  </conditionalFormatting>
  <conditionalFormatting sqref="A731:N731 U731:X731 S731 P731">
    <cfRule type="expression" dxfId="5066" priority="6428">
      <formula>$H731="Cash"</formula>
    </cfRule>
  </conditionalFormatting>
  <conditionalFormatting sqref="A732:N732 U732:X732 P732 S732">
    <cfRule type="expression" dxfId="5065" priority="6427">
      <formula>$H732="Cash"</formula>
    </cfRule>
  </conditionalFormatting>
  <conditionalFormatting sqref="T731:T732">
    <cfRule type="expression" dxfId="5064" priority="6426">
      <formula>$H731="Cash"</formula>
    </cfRule>
  </conditionalFormatting>
  <conditionalFormatting sqref="O731">
    <cfRule type="expression" dxfId="5063" priority="6420">
      <formula>$H731="Cash"</formula>
    </cfRule>
  </conditionalFormatting>
  <conditionalFormatting sqref="O732">
    <cfRule type="expression" dxfId="5062" priority="6419">
      <formula>$H732="Cash"</formula>
    </cfRule>
  </conditionalFormatting>
  <conditionalFormatting sqref="R731">
    <cfRule type="expression" dxfId="5061" priority="6417">
      <formula>$H731="Cash"</formula>
    </cfRule>
  </conditionalFormatting>
  <conditionalFormatting sqref="R732">
    <cfRule type="expression" dxfId="5060" priority="6416">
      <formula>$H732="Cash"</formula>
    </cfRule>
  </conditionalFormatting>
  <conditionalFormatting sqref="X700">
    <cfRule type="expression" dxfId="5059" priority="6414">
      <formula>$H700="Cash"</formula>
    </cfRule>
  </conditionalFormatting>
  <conditionalFormatting sqref="O700">
    <cfRule type="expression" dxfId="5058" priority="6413">
      <formula>$H700="Cash"</formula>
    </cfRule>
  </conditionalFormatting>
  <conditionalFormatting sqref="P740">
    <cfRule type="expression" dxfId="5057" priority="6412">
      <formula>$H740="Cash"</formula>
    </cfRule>
  </conditionalFormatting>
  <conditionalFormatting sqref="P741">
    <cfRule type="expression" dxfId="5056" priority="6411">
      <formula>$H741="Cash"</formula>
    </cfRule>
  </conditionalFormatting>
  <conditionalFormatting sqref="R740:S740">
    <cfRule type="expression" dxfId="5055" priority="6410">
      <formula>$H740="Cash"</formula>
    </cfRule>
  </conditionalFormatting>
  <conditionalFormatting sqref="R741:S741">
    <cfRule type="expression" dxfId="5054" priority="6409">
      <formula>$H741="Cash"</formula>
    </cfRule>
  </conditionalFormatting>
  <conditionalFormatting sqref="V741">
    <cfRule type="expression" dxfId="5053" priority="6405">
      <formula>$H741="Cash"</formula>
    </cfRule>
  </conditionalFormatting>
  <conditionalFormatting sqref="P742:P757">
    <cfRule type="expression" dxfId="5052" priority="6404">
      <formula>$H742="Cash"</formula>
    </cfRule>
  </conditionalFormatting>
  <conditionalFormatting sqref="R777 R784 R786 R788:R789 R742:S757">
    <cfRule type="expression" dxfId="5051" priority="6403">
      <formula>$H742="Cash"</formula>
    </cfRule>
  </conditionalFormatting>
  <conditionalFormatting sqref="A758:P758 W758 U758 R758:S758">
    <cfRule type="expression" dxfId="5050" priority="6402">
      <formula>$H758="Cash"</formula>
    </cfRule>
  </conditionalFormatting>
  <conditionalFormatting sqref="X758">
    <cfRule type="expression" dxfId="5049" priority="6401">
      <formula>$H758="Cash"</formula>
    </cfRule>
  </conditionalFormatting>
  <conditionalFormatting sqref="V758">
    <cfRule type="expression" dxfId="5048" priority="6400">
      <formula>$H758="Cash"</formula>
    </cfRule>
  </conditionalFormatting>
  <conditionalFormatting sqref="E739">
    <cfRule type="expression" dxfId="5047" priority="6395">
      <formula>$H739="Cash"</formula>
    </cfRule>
  </conditionalFormatting>
  <conditionalFormatting sqref="V717">
    <cfRule type="expression" dxfId="5046" priority="6392">
      <formula>$H717="Cash"</formula>
    </cfRule>
  </conditionalFormatting>
  <conditionalFormatting sqref="V739">
    <cfRule type="expression" dxfId="5045" priority="6391">
      <formula>$H739="Cash"</formula>
    </cfRule>
  </conditionalFormatting>
  <conditionalFormatting sqref="V753">
    <cfRule type="expression" dxfId="5044" priority="6390">
      <formula>$H753="Cash"</formula>
    </cfRule>
  </conditionalFormatting>
  <conditionalFormatting sqref="R759:S768">
    <cfRule type="expression" dxfId="5043" priority="6389">
      <formula>$H759="Cash"</formula>
    </cfRule>
  </conditionalFormatting>
  <conditionalFormatting sqref="W759:W772 W779:W781 W774">
    <cfRule type="expression" dxfId="5042" priority="6388">
      <formula>$H759="Cash"</formula>
    </cfRule>
  </conditionalFormatting>
  <conditionalFormatting sqref="P759:P776 P779:P781">
    <cfRule type="expression" dxfId="5041" priority="6387">
      <formula>$H759="Cash"</formula>
    </cfRule>
  </conditionalFormatting>
  <conditionalFormatting sqref="R769:S776 R779:S780">
    <cfRule type="expression" dxfId="5040" priority="6386">
      <formula>$H769="Cash"</formula>
    </cfRule>
  </conditionalFormatting>
  <conditionalFormatting sqref="Q777">
    <cfRule type="expression" dxfId="5039" priority="6382">
      <formula>$H777="Cash"</formula>
    </cfRule>
  </conditionalFormatting>
  <conditionalFormatting sqref="W777">
    <cfRule type="expression" dxfId="5038" priority="6381">
      <formula>$H777="Cash"</formula>
    </cfRule>
  </conditionalFormatting>
  <conditionalFormatting sqref="P777">
    <cfRule type="expression" dxfId="5037" priority="6380">
      <formula>$H777="Cash"</formula>
    </cfRule>
  </conditionalFormatting>
  <conditionalFormatting sqref="R777">
    <cfRule type="expression" dxfId="5036" priority="6379">
      <formula>$H777="Cash"</formula>
    </cfRule>
  </conditionalFormatting>
  <conditionalFormatting sqref="Q778">
    <cfRule type="expression" dxfId="5035" priority="6378">
      <formula>$H778="Cash"</formula>
    </cfRule>
  </conditionalFormatting>
  <conditionalFormatting sqref="W778">
    <cfRule type="expression" dxfId="5034" priority="6377">
      <formula>$H778="Cash"</formula>
    </cfRule>
  </conditionalFormatting>
  <conditionalFormatting sqref="P778">
    <cfRule type="expression" dxfId="5033" priority="6376">
      <formula>$H778="Cash"</formula>
    </cfRule>
  </conditionalFormatting>
  <conditionalFormatting sqref="R778">
    <cfRule type="expression" dxfId="5032" priority="6375">
      <formula>$H778="Cash"</formula>
    </cfRule>
  </conditionalFormatting>
  <conditionalFormatting sqref="Q755">
    <cfRule type="expression" dxfId="5031" priority="6373">
      <formula>$H755="Cash"</formula>
    </cfRule>
  </conditionalFormatting>
  <conditionalFormatting sqref="T753">
    <cfRule type="expression" dxfId="5030" priority="6370">
      <formula>$H753="Cash"</formula>
    </cfRule>
  </conditionalFormatting>
  <conditionalFormatting sqref="T777">
    <cfRule type="expression" dxfId="5029" priority="6369">
      <formula>$H777="Cash"</formula>
    </cfRule>
  </conditionalFormatting>
  <conditionalFormatting sqref="A344:V344 X344:Z344 A373:S373 U373:Z373 Q373:Q802 A887:A898 B897:P898 Q887:Q898 R897:S898 A790:U790 W790:Z790 A5:AB5 A920:Q922 S920:Z922 Y1193:Z1193 Y1189:Z1189 A1039:W1039 Y1039:Z1039 Y1055:Z1055 Y1180:Z1180 A1193:W1193 A1215:Z1218 A1214:W1214 Y1214:Z1214 A1219:P1223 R1219:Z1223 A1190:Z1192 A1259:Z1259 R1249:R1258 A1055:W1055 A1189:W1189 A1312:Z1312 A384:W384 Y384:Z384 A1311:S1311 U1311:Z1311 A1181:Z1188 X1323:X1334 B1324:P1334 Y1324:Z1334 R1324:W1327 R1334:S1334 U1334:W1334 A684:Z688 A683:V683 X683:Z683 A690:Z690 A689:V689 X689:Z689 A692:Z695 A691:V691 X691:Z691 A697:Z700 A696:V696 X696:Z696 A702:Z714 A701:V701 X701:Z701 A716:Z772 A715:V715 X715:Z715 A774:Z774 A773:V773 X773:Z773 A775:V776 X775:Z776 A232:Z343 A231:V231 X231:Z231 A1377:Z1377 T1375 A1040:Z1054 A345:Z372 A374:Z383 A1180:W1180 A1194:Z1213 A1379:Z1379 A1378:W1378 Y1378:Z1378 A1381:Z1384 A1380:W1380 Y1380:Z1380 A1219:A1334 Q1219:Q1334 AB1377:AB1384 AB1324:AB1334 AB1311:AB1312 AB1259 AB899:AB1223 AB6:AB886 Q1468 A1388:A1487 AA6:AA1487 AB1487 B1487:Z1487 A1488:AB1488 R1329:W1333 R1328:U1328 W1328 X1531:X1560 T1547:T1559 X1589:X1590 T1590 A777:Z789 A791:Z886 A899:Z919 A923:Z1038 A1056:Z1179 A385:Z682 Q1433:R1433 A6:Z230 X1577:X1579 T1583:T1587 X1581:X1587">
    <cfRule type="expression" dxfId="5028" priority="6368">
      <formula>$O5="Applicant Signatures"</formula>
    </cfRule>
  </conditionalFormatting>
  <conditionalFormatting sqref="O759">
    <cfRule type="expression" dxfId="5027" priority="6367">
      <formula>$H759="Cash"</formula>
    </cfRule>
  </conditionalFormatting>
  <conditionalFormatting sqref="O764">
    <cfRule type="expression" dxfId="5026" priority="6366">
      <formula>$H764="Cash"</formula>
    </cfRule>
  </conditionalFormatting>
  <conditionalFormatting sqref="T777">
    <cfRule type="expression" dxfId="5025" priority="6363">
      <formula>$H777="Cash"</formula>
    </cfRule>
  </conditionalFormatting>
  <conditionalFormatting sqref="R781:S781">
    <cfRule type="expression" dxfId="5024" priority="6362">
      <formula>$H781="Cash"</formula>
    </cfRule>
  </conditionalFormatting>
  <conditionalFormatting sqref="A781:Z781 AB781">
    <cfRule type="expression" dxfId="5023" priority="6361">
      <formula>$O781="Applicant Signatures"</formula>
    </cfRule>
  </conditionalFormatting>
  <conditionalFormatting sqref="O753">
    <cfRule type="expression" dxfId="5022" priority="6360">
      <formula>$H753="Cash"</formula>
    </cfRule>
  </conditionalFormatting>
  <conditionalFormatting sqref="A782:X782">
    <cfRule type="expression" dxfId="5021" priority="6359">
      <formula>$H782="Cash"</formula>
    </cfRule>
  </conditionalFormatting>
  <conditionalFormatting sqref="A782:Z782 AB782">
    <cfRule type="expression" dxfId="5020" priority="6358">
      <formula>$O782="Applicant Signatures"</formula>
    </cfRule>
  </conditionalFormatting>
  <conditionalFormatting sqref="A783:Z783 AB783">
    <cfRule type="expression" dxfId="5019" priority="6357">
      <formula>$O783="Applicant Signatures"</formula>
    </cfRule>
  </conditionalFormatting>
  <conditionalFormatting sqref="A783:X783">
    <cfRule type="expression" dxfId="5018" priority="6356">
      <formula>$H783="Cash"</formula>
    </cfRule>
  </conditionalFormatting>
  <conditionalFormatting sqref="A783:Z783 AB783">
    <cfRule type="expression" dxfId="5017" priority="6355">
      <formula>$O783="Applicant Signatures"</formula>
    </cfRule>
  </conditionalFormatting>
  <conditionalFormatting sqref="V764">
    <cfRule type="expression" dxfId="5016" priority="6354">
      <formula>$H764="Cash"</formula>
    </cfRule>
  </conditionalFormatting>
  <conditionalFormatting sqref="V758 V755">
    <cfRule type="expression" dxfId="5015" priority="6353">
      <formula>$H755="Cash"</formula>
    </cfRule>
  </conditionalFormatting>
  <conditionalFormatting sqref="X759">
    <cfRule type="expression" dxfId="5014" priority="6352">
      <formula>$H759="Cash"</formula>
    </cfRule>
  </conditionalFormatting>
  <conditionalFormatting sqref="A784:X784">
    <cfRule type="expression" dxfId="5013" priority="6351">
      <formula>$H784="Cash"</formula>
    </cfRule>
  </conditionalFormatting>
  <conditionalFormatting sqref="A784:Z784 AB784">
    <cfRule type="expression" dxfId="5012" priority="6350">
      <formula>$O784="Applicant Signatures"</formula>
    </cfRule>
  </conditionalFormatting>
  <conditionalFormatting sqref="C784">
    <cfRule type="expression" dxfId="5011" priority="6349">
      <formula>$H784="Cash"</formula>
    </cfRule>
  </conditionalFormatting>
  <conditionalFormatting sqref="C725">
    <cfRule type="expression" dxfId="5010" priority="6348">
      <formula>$H725="Cash"</formula>
    </cfRule>
  </conditionalFormatting>
  <conditionalFormatting sqref="C778">
    <cfRule type="expression" dxfId="5009" priority="6347">
      <formula>$H778="Cash"</formula>
    </cfRule>
  </conditionalFormatting>
  <conditionalFormatting sqref="C778">
    <cfRule type="expression" dxfId="5008" priority="6346">
      <formula>$O778="Applicant Signatures"</formula>
    </cfRule>
  </conditionalFormatting>
  <conditionalFormatting sqref="C778">
    <cfRule type="expression" dxfId="5007" priority="6345">
      <formula>$H778="Cash"</formula>
    </cfRule>
  </conditionalFormatting>
  <conditionalFormatting sqref="C476">
    <cfRule type="expression" dxfId="5006" priority="6344">
      <formula>$H476="Cash"</formula>
    </cfRule>
  </conditionalFormatting>
  <conditionalFormatting sqref="C476">
    <cfRule type="expression" dxfId="5005" priority="6343">
      <formula>$O476="Applicant Signatures"</formula>
    </cfRule>
  </conditionalFormatting>
  <conditionalFormatting sqref="C476">
    <cfRule type="expression" dxfId="5004" priority="6342">
      <formula>$H476="Cash"</formula>
    </cfRule>
  </conditionalFormatting>
  <conditionalFormatting sqref="C473">
    <cfRule type="expression" dxfId="5003" priority="6341">
      <formula>$H473="Cash"</formula>
    </cfRule>
  </conditionalFormatting>
  <conditionalFormatting sqref="C473">
    <cfRule type="expression" dxfId="5002" priority="6340">
      <formula>$O473="Applicant Signatures"</formula>
    </cfRule>
  </conditionalFormatting>
  <conditionalFormatting sqref="C473">
    <cfRule type="expression" dxfId="5001" priority="6339">
      <formula>$H473="Cash"</formula>
    </cfRule>
  </conditionalFormatting>
  <conditionalFormatting sqref="C398">
    <cfRule type="expression" dxfId="5000" priority="6338">
      <formula>$H398="Cash"</formula>
    </cfRule>
  </conditionalFormatting>
  <conditionalFormatting sqref="C398">
    <cfRule type="expression" dxfId="4999" priority="6337">
      <formula>$O398="Applicant Signatures"</formula>
    </cfRule>
  </conditionalFormatting>
  <conditionalFormatting sqref="C398">
    <cfRule type="expression" dxfId="4998" priority="6336">
      <formula>$H398="Cash"</formula>
    </cfRule>
  </conditionalFormatting>
  <conditionalFormatting sqref="C182">
    <cfRule type="expression" dxfId="4997" priority="6335">
      <formula>$H182="Cash"</formula>
    </cfRule>
  </conditionalFormatting>
  <conditionalFormatting sqref="C182">
    <cfRule type="expression" dxfId="4996" priority="6334">
      <formula>$O182="Applicant Signatures"</formula>
    </cfRule>
  </conditionalFormatting>
  <conditionalFormatting sqref="C182">
    <cfRule type="expression" dxfId="4995" priority="6333">
      <formula>$H182="Cash"</formula>
    </cfRule>
  </conditionalFormatting>
  <conditionalFormatting sqref="A785:Z785 AB785">
    <cfRule type="expression" dxfId="4994" priority="6330">
      <formula>$O785="Applicant Signatures"</formula>
    </cfRule>
  </conditionalFormatting>
  <conditionalFormatting sqref="A785:Z785 AB785">
    <cfRule type="expression" dxfId="4993" priority="6329">
      <formula>$O785="Applicant Signatures"</formula>
    </cfRule>
  </conditionalFormatting>
  <conditionalFormatting sqref="A785:X785">
    <cfRule type="expression" dxfId="4992" priority="6328">
      <formula>$H785="Cash"</formula>
    </cfRule>
  </conditionalFormatting>
  <conditionalFormatting sqref="A785:Z785 AB785">
    <cfRule type="expression" dxfId="4991" priority="6327">
      <formula>$O785="Applicant Signatures"</formula>
    </cfRule>
  </conditionalFormatting>
  <conditionalFormatting sqref="T777">
    <cfRule type="expression" dxfId="4990" priority="6325">
      <formula>$H777="Cash"</formula>
    </cfRule>
  </conditionalFormatting>
  <conditionalFormatting sqref="R782">
    <cfRule type="expression" dxfId="4989" priority="6324">
      <formula>$O782="Applicant Signatures"</formula>
    </cfRule>
  </conditionalFormatting>
  <conditionalFormatting sqref="R782">
    <cfRule type="expression" dxfId="4988" priority="6323">
      <formula>$H782="Cash"</formula>
    </cfRule>
  </conditionalFormatting>
  <conditionalFormatting sqref="R782">
    <cfRule type="expression" dxfId="4987" priority="6322">
      <formula>$O782="Applicant Signatures"</formula>
    </cfRule>
  </conditionalFormatting>
  <conditionalFormatting sqref="Q771">
    <cfRule type="expression" dxfId="4986" priority="6321">
      <formula>$H771="Cash"</formula>
    </cfRule>
  </conditionalFormatting>
  <conditionalFormatting sqref="O782">
    <cfRule type="expression" dxfId="4985" priority="6320">
      <formula>$H782="Cash"</formula>
    </cfRule>
  </conditionalFormatting>
  <conditionalFormatting sqref="V737">
    <cfRule type="expression" dxfId="4984" priority="6319">
      <formula>$H737="Cash"</formula>
    </cfRule>
  </conditionalFormatting>
  <conditionalFormatting sqref="V748">
    <cfRule type="expression" dxfId="4983" priority="6318">
      <formula>$H748="Cash"</formula>
    </cfRule>
  </conditionalFormatting>
  <conditionalFormatting sqref="T737">
    <cfRule type="expression" dxfId="4982" priority="6317">
      <formula>$H737="Cash"</formula>
    </cfRule>
  </conditionalFormatting>
  <conditionalFormatting sqref="T748">
    <cfRule type="expression" dxfId="4981" priority="6316">
      <formula>$H748="Cash"</formula>
    </cfRule>
  </conditionalFormatting>
  <conditionalFormatting sqref="T747">
    <cfRule type="expression" dxfId="4980" priority="6315">
      <formula>$H747="Cash"</formula>
    </cfRule>
  </conditionalFormatting>
  <conditionalFormatting sqref="T784">
    <cfRule type="expression" dxfId="4979" priority="6314">
      <formula>$H784="Cash"</formula>
    </cfRule>
  </conditionalFormatting>
  <conditionalFormatting sqref="A786:X786">
    <cfRule type="expression" dxfId="4978" priority="6312">
      <formula>$H786="Cash"</formula>
    </cfRule>
  </conditionalFormatting>
  <conditionalFormatting sqref="A786:Z786 AB786">
    <cfRule type="expression" dxfId="4977" priority="6311">
      <formula>$O786="Applicant Signatures"</formula>
    </cfRule>
  </conditionalFormatting>
  <conditionalFormatting sqref="X786">
    <cfRule type="expression" dxfId="4976" priority="6310">
      <formula>$H786="Cash"</formula>
    </cfRule>
  </conditionalFormatting>
  <conditionalFormatting sqref="O747">
    <cfRule type="expression" dxfId="4975" priority="6309">
      <formula>$H747="Cash"</formula>
    </cfRule>
  </conditionalFormatting>
  <conditionalFormatting sqref="O784">
    <cfRule type="expression" dxfId="4974" priority="6308">
      <formula>$H784="Cash"</formula>
    </cfRule>
  </conditionalFormatting>
  <conditionalFormatting sqref="X784 X747:X748">
    <cfRule type="expression" dxfId="4973" priority="6307">
      <formula>$H747="Cash"</formula>
    </cfRule>
  </conditionalFormatting>
  <conditionalFormatting sqref="X784 X747:X748">
    <cfRule type="expression" dxfId="4972" priority="6306">
      <formula>$H747="Cash"</formula>
    </cfRule>
  </conditionalFormatting>
  <conditionalFormatting sqref="A787:X787">
    <cfRule type="expression" dxfId="4971" priority="6305">
      <formula>$H787="Cash"</formula>
    </cfRule>
  </conditionalFormatting>
  <conditionalFormatting sqref="A787:Z787 AB787">
    <cfRule type="expression" dxfId="4970" priority="6304">
      <formula>$O787="Applicant Signatures"</formula>
    </cfRule>
  </conditionalFormatting>
  <conditionalFormatting sqref="A788:X788">
    <cfRule type="expression" dxfId="4969" priority="6303">
      <formula>$H788="Cash"</formula>
    </cfRule>
  </conditionalFormatting>
  <conditionalFormatting sqref="A788:Z788 AB788">
    <cfRule type="expression" dxfId="4968" priority="6302">
      <formula>$O788="Applicant Signatures"</formula>
    </cfRule>
  </conditionalFormatting>
  <conditionalFormatting sqref="X747">
    <cfRule type="expression" dxfId="4967" priority="6301">
      <formula>$H747="Cash"</formula>
    </cfRule>
  </conditionalFormatting>
  <conditionalFormatting sqref="X784">
    <cfRule type="expression" dxfId="4966" priority="6300">
      <formula>$H784="Cash"</formula>
    </cfRule>
  </conditionalFormatting>
  <conditionalFormatting sqref="A789:X789">
    <cfRule type="expression" dxfId="4965" priority="6299">
      <formula>$H789="Cash"</formula>
    </cfRule>
  </conditionalFormatting>
  <conditionalFormatting sqref="A789:Z789 AB789">
    <cfRule type="expression" dxfId="4964" priority="6298">
      <formula>$O789="Applicant Signatures"</formula>
    </cfRule>
  </conditionalFormatting>
  <conditionalFormatting sqref="X784">
    <cfRule type="expression" dxfId="4963" priority="6297">
      <formula>$H784="Cash"</formula>
    </cfRule>
  </conditionalFormatting>
  <conditionalFormatting sqref="X784">
    <cfRule type="expression" dxfId="4962" priority="6296">
      <formula>$H784="Cash"</formula>
    </cfRule>
  </conditionalFormatting>
  <conditionalFormatting sqref="T786">
    <cfRule type="expression" dxfId="4961" priority="6294">
      <formula>$H786="Cash"</formula>
    </cfRule>
  </conditionalFormatting>
  <conditionalFormatting sqref="T786">
    <cfRule type="expression" dxfId="4960" priority="6293">
      <formula>$H786="Cash"</formula>
    </cfRule>
  </conditionalFormatting>
  <conditionalFormatting sqref="T786">
    <cfRule type="expression" dxfId="4959" priority="6292">
      <formula>$H786="Cash"</formula>
    </cfRule>
  </conditionalFormatting>
  <conditionalFormatting sqref="T789">
    <cfRule type="expression" dxfId="4958" priority="6291">
      <formula>$H789="Cash"</formula>
    </cfRule>
  </conditionalFormatting>
  <conditionalFormatting sqref="T789">
    <cfRule type="expression" dxfId="4957" priority="6290">
      <formula>$H789="Cash"</formula>
    </cfRule>
  </conditionalFormatting>
  <conditionalFormatting sqref="T789">
    <cfRule type="expression" dxfId="4956" priority="6289">
      <formula>$H789="Cash"</formula>
    </cfRule>
  </conditionalFormatting>
  <conditionalFormatting sqref="W790:W799">
    <cfRule type="expression" dxfId="4955" priority="6287">
      <formula>$H790="Cash"</formula>
    </cfRule>
  </conditionalFormatting>
  <conditionalFormatting sqref="P790:P799">
    <cfRule type="expression" dxfId="4954" priority="6286">
      <formula>$H790="Cash"</formula>
    </cfRule>
  </conditionalFormatting>
  <conditionalFormatting sqref="R790:S790 R791:R799">
    <cfRule type="expression" dxfId="4953" priority="6285">
      <formula>$H790="Cash"</formula>
    </cfRule>
  </conditionalFormatting>
  <conditionalFormatting sqref="R791:S798">
    <cfRule type="expression" dxfId="4952" priority="6283">
      <formula>$H791="Cash"</formula>
    </cfRule>
  </conditionalFormatting>
  <conditionalFormatting sqref="X789">
    <cfRule type="expression" dxfId="4951" priority="6282">
      <formula>$H789="Cash"</formula>
    </cfRule>
  </conditionalFormatting>
  <conditionalFormatting sqref="X789">
    <cfRule type="expression" dxfId="4950" priority="6281">
      <formula>$H789="Cash"</formula>
    </cfRule>
  </conditionalFormatting>
  <conditionalFormatting sqref="T784">
    <cfRule type="expression" dxfId="4949" priority="6280">
      <formula>$H784="Cash"</formula>
    </cfRule>
  </conditionalFormatting>
  <conditionalFormatting sqref="X784">
    <cfRule type="expression" dxfId="4948" priority="6279">
      <formula>$H784="Cash"</formula>
    </cfRule>
  </conditionalFormatting>
  <conditionalFormatting sqref="V737">
    <cfRule type="expression" dxfId="4947" priority="6278">
      <formula>$H737="Cash"</formula>
    </cfRule>
  </conditionalFormatting>
  <conditionalFormatting sqref="V747">
    <cfRule type="expression" dxfId="4946" priority="6277">
      <formula>$H747="Cash"</formula>
    </cfRule>
  </conditionalFormatting>
  <conditionalFormatting sqref="V748">
    <cfRule type="expression" dxfId="4945" priority="6276">
      <formula>$H748="Cash"</formula>
    </cfRule>
  </conditionalFormatting>
  <conditionalFormatting sqref="V784">
    <cfRule type="expression" dxfId="4944" priority="6275">
      <formula>$H784="Cash"</formula>
    </cfRule>
  </conditionalFormatting>
  <conditionalFormatting sqref="X789">
    <cfRule type="expression" dxfId="4943" priority="6274">
      <formula>$H789="Cash"</formula>
    </cfRule>
  </conditionalFormatting>
  <conditionalFormatting sqref="T789">
    <cfRule type="expression" dxfId="4942" priority="6273">
      <formula>$H789="Cash"</formula>
    </cfRule>
  </conditionalFormatting>
  <conditionalFormatting sqref="R789">
    <cfRule type="expression" dxfId="4941" priority="6272">
      <formula>$H789="Cash"</formula>
    </cfRule>
  </conditionalFormatting>
  <conditionalFormatting sqref="A799:Z799 AB799">
    <cfRule type="expression" dxfId="4940" priority="6271">
      <formula>$O799="Applicant Signatures"</formula>
    </cfRule>
  </conditionalFormatting>
  <conditionalFormatting sqref="R799:S799">
    <cfRule type="expression" dxfId="4939" priority="6270">
      <formula>$H799="Cash"</formula>
    </cfRule>
  </conditionalFormatting>
  <conditionalFormatting sqref="R790">
    <cfRule type="expression" dxfId="4938" priority="6269">
      <formula>$H790="Cash"</formula>
    </cfRule>
  </conditionalFormatting>
  <conditionalFormatting sqref="R790">
    <cfRule type="expression" dxfId="4937" priority="6268">
      <formula>$O790="Applicant Signatures"</formula>
    </cfRule>
  </conditionalFormatting>
  <conditionalFormatting sqref="O786">
    <cfRule type="expression" dxfId="4936" priority="6267">
      <formula>$H786="Cash"</formula>
    </cfRule>
  </conditionalFormatting>
  <conditionalFormatting sqref="O789">
    <cfRule type="expression" dxfId="4935" priority="6266">
      <formula>$H789="Cash"</formula>
    </cfRule>
  </conditionalFormatting>
  <conditionalFormatting sqref="O789">
    <cfRule type="expression" dxfId="4934" priority="6265">
      <formula>$H789="Cash"</formula>
    </cfRule>
  </conditionalFormatting>
  <conditionalFormatting sqref="T777">
    <cfRule type="expression" dxfId="4933" priority="6264">
      <formula>$H777="Cash"</formula>
    </cfRule>
  </conditionalFormatting>
  <conditionalFormatting sqref="T784">
    <cfRule type="expression" dxfId="4932" priority="6263">
      <formula>$H784="Cash"</formula>
    </cfRule>
  </conditionalFormatting>
  <conditionalFormatting sqref="T737">
    <cfRule type="expression" dxfId="4931" priority="6262">
      <formula>$H737="Cash"</formula>
    </cfRule>
  </conditionalFormatting>
  <conditionalFormatting sqref="T748">
    <cfRule type="expression" dxfId="4930" priority="6261">
      <formula>$H748="Cash"</formula>
    </cfRule>
  </conditionalFormatting>
  <conditionalFormatting sqref="V789">
    <cfRule type="expression" dxfId="4929" priority="6260">
      <formula>$H789="Cash"</formula>
    </cfRule>
  </conditionalFormatting>
  <conditionalFormatting sqref="T737">
    <cfRule type="expression" dxfId="4928" priority="6257">
      <formula>$H737="Cash"</formula>
    </cfRule>
  </conditionalFormatting>
  <conditionalFormatting sqref="T748">
    <cfRule type="expression" dxfId="4927" priority="6256">
      <formula>$H748="Cash"</formula>
    </cfRule>
  </conditionalFormatting>
  <conditionalFormatting sqref="T737 T747:T748">
    <cfRule type="expression" dxfId="4926" priority="6255">
      <formula>$H737="Cash"</formula>
    </cfRule>
  </conditionalFormatting>
  <conditionalFormatting sqref="T784">
    <cfRule type="expression" dxfId="4925" priority="6254">
      <formula>$H784="Cash"</formula>
    </cfRule>
  </conditionalFormatting>
  <conditionalFormatting sqref="Q800:Q802">
    <cfRule type="expression" dxfId="4924" priority="6253">
      <formula>$H800="Cash"</formula>
    </cfRule>
  </conditionalFormatting>
  <conditionalFormatting sqref="A800:Z800 AB800">
    <cfRule type="expression" dxfId="4923" priority="6252">
      <formula>$O800="Applicant Signatures"</formula>
    </cfRule>
  </conditionalFormatting>
  <conditionalFormatting sqref="A800:X800">
    <cfRule type="expression" dxfId="4922" priority="6251">
      <formula>$H800="Cash"</formula>
    </cfRule>
  </conditionalFormatting>
  <conditionalFormatting sqref="A800:Z800 AB800">
    <cfRule type="expression" dxfId="4921" priority="6250">
      <formula>$O800="Applicant Signatures"</formula>
    </cfRule>
  </conditionalFormatting>
  <conditionalFormatting sqref="Q800:Q802">
    <cfRule type="expression" dxfId="4920" priority="6249">
      <formula>$O800="Applicant Signatures"</formula>
    </cfRule>
  </conditionalFormatting>
  <conditionalFormatting sqref="A801:Z801 AB801">
    <cfRule type="expression" dxfId="4919" priority="6248">
      <formula>$O801="Applicant Signatures"</formula>
    </cfRule>
  </conditionalFormatting>
  <conditionalFormatting sqref="A801:Z801 AB801">
    <cfRule type="expression" dxfId="4918" priority="6247">
      <formula>$O801="Applicant Signatures"</formula>
    </cfRule>
  </conditionalFormatting>
  <conditionalFormatting sqref="A801:X801">
    <cfRule type="expression" dxfId="4917" priority="6246">
      <formula>$H801="Cash"</formula>
    </cfRule>
  </conditionalFormatting>
  <conditionalFormatting sqref="A801:Z801 AB801">
    <cfRule type="expression" dxfId="4916" priority="6245">
      <formula>$O801="Applicant Signatures"</formula>
    </cfRule>
  </conditionalFormatting>
  <conditionalFormatting sqref="A802:Z802 AB802">
    <cfRule type="expression" dxfId="4915" priority="6244">
      <formula>$O802="Applicant Signatures"</formula>
    </cfRule>
  </conditionalFormatting>
  <conditionalFormatting sqref="A802:Z802 AB802">
    <cfRule type="expression" dxfId="4914" priority="6243">
      <formula>$O802="Applicant Signatures"</formula>
    </cfRule>
  </conditionalFormatting>
  <conditionalFormatting sqref="A802:Z802 AB802">
    <cfRule type="expression" dxfId="4913" priority="6242">
      <formula>$O802="Applicant Signatures"</formula>
    </cfRule>
  </conditionalFormatting>
  <conditionalFormatting sqref="A802:X802">
    <cfRule type="expression" dxfId="4912" priority="6241">
      <formula>$H802="Cash"</formula>
    </cfRule>
  </conditionalFormatting>
  <conditionalFormatting sqref="A802:Z802 AB802">
    <cfRule type="expression" dxfId="4911" priority="6240">
      <formula>$O802="Applicant Signatures"</formula>
    </cfRule>
  </conditionalFormatting>
  <conditionalFormatting sqref="W800">
    <cfRule type="expression" dxfId="4910" priority="6239">
      <formula>$H800="Cash"</formula>
    </cfRule>
  </conditionalFormatting>
  <conditionalFormatting sqref="W801">
    <cfRule type="expression" dxfId="4909" priority="6238">
      <formula>$H801="Cash"</formula>
    </cfRule>
  </conditionalFormatting>
  <conditionalFormatting sqref="W802">
    <cfRule type="expression" dxfId="4908" priority="6237">
      <formula>$H802="Cash"</formula>
    </cfRule>
  </conditionalFormatting>
  <conditionalFormatting sqref="V777">
    <cfRule type="expression" dxfId="4907" priority="6236">
      <formula>$H777="Cash"</formula>
    </cfRule>
  </conditionalFormatting>
  <conditionalFormatting sqref="T737 T747:T748">
    <cfRule type="expression" dxfId="4906" priority="6235">
      <formula>$H737="Cash"</formula>
    </cfRule>
  </conditionalFormatting>
  <conditionalFormatting sqref="T784">
    <cfRule type="expression" dxfId="4905" priority="6234">
      <formula>$H784="Cash"</formula>
    </cfRule>
  </conditionalFormatting>
  <conditionalFormatting sqref="V801">
    <cfRule type="expression" dxfId="4904" priority="6233">
      <formula>$O801="Applicant Signatures"</formula>
    </cfRule>
  </conditionalFormatting>
  <conditionalFormatting sqref="V801">
    <cfRule type="expression" dxfId="4903" priority="6232">
      <formula>$H801="Cash"</formula>
    </cfRule>
  </conditionalFormatting>
  <conditionalFormatting sqref="V801">
    <cfRule type="expression" dxfId="4902" priority="6231">
      <formula>$O801="Applicant Signatures"</formula>
    </cfRule>
  </conditionalFormatting>
  <conditionalFormatting sqref="V802">
    <cfRule type="expression" dxfId="4901" priority="6230">
      <formula>$O802="Applicant Signatures"</formula>
    </cfRule>
  </conditionalFormatting>
  <conditionalFormatting sqref="V802">
    <cfRule type="expression" dxfId="4900" priority="6229">
      <formula>$H802="Cash"</formula>
    </cfRule>
  </conditionalFormatting>
  <conditionalFormatting sqref="V802">
    <cfRule type="expression" dxfId="4899" priority="6228">
      <formula>$O802="Applicant Signatures"</formula>
    </cfRule>
  </conditionalFormatting>
  <conditionalFormatting sqref="R801">
    <cfRule type="expression" dxfId="4898" priority="6216">
      <formula>$O801="Applicant Signatures"</formula>
    </cfRule>
  </conditionalFormatting>
  <conditionalFormatting sqref="R801">
    <cfRule type="expression" dxfId="4897" priority="6215">
      <formula>$O801="Applicant Signatures"</formula>
    </cfRule>
  </conditionalFormatting>
  <conditionalFormatting sqref="R801">
    <cfRule type="expression" dxfId="4896" priority="6214">
      <formula>$O801="Applicant Signatures"</formula>
    </cfRule>
  </conditionalFormatting>
  <conditionalFormatting sqref="R801">
    <cfRule type="expression" dxfId="4895" priority="6213">
      <formula>$H801="Cash"</formula>
    </cfRule>
  </conditionalFormatting>
  <conditionalFormatting sqref="R801">
    <cfRule type="expression" dxfId="4894" priority="6212">
      <formula>$O801="Applicant Signatures"</formula>
    </cfRule>
  </conditionalFormatting>
  <conditionalFormatting sqref="R800">
    <cfRule type="expression" dxfId="4893" priority="6211">
      <formula>$O800="Applicant Signatures"</formula>
    </cfRule>
  </conditionalFormatting>
  <conditionalFormatting sqref="R800">
    <cfRule type="expression" dxfId="4892" priority="6210">
      <formula>$O800="Applicant Signatures"</formula>
    </cfRule>
  </conditionalFormatting>
  <conditionalFormatting sqref="R800">
    <cfRule type="expression" dxfId="4891" priority="6209">
      <formula>$O800="Applicant Signatures"</formula>
    </cfRule>
  </conditionalFormatting>
  <conditionalFormatting sqref="R800">
    <cfRule type="expression" dxfId="4890" priority="6208">
      <formula>$H800="Cash"</formula>
    </cfRule>
  </conditionalFormatting>
  <conditionalFormatting sqref="R800">
    <cfRule type="expression" dxfId="4889" priority="6207">
      <formula>$O800="Applicant Signatures"</formula>
    </cfRule>
  </conditionalFormatting>
  <conditionalFormatting sqref="T777">
    <cfRule type="expression" dxfId="4888" priority="6206">
      <formula>$H777="Cash"</formula>
    </cfRule>
  </conditionalFormatting>
  <conditionalFormatting sqref="X791">
    <cfRule type="expression" dxfId="4887" priority="6205">
      <formula>$H791="Cash"</formula>
    </cfRule>
  </conditionalFormatting>
  <conditionalFormatting sqref="X739">
    <cfRule type="expression" dxfId="4886" priority="6204">
      <formula>$H739="Cash"</formula>
    </cfRule>
  </conditionalFormatting>
  <conditionalFormatting sqref="X741">
    <cfRule type="expression" dxfId="4885" priority="6203">
      <formula>$H741="Cash"</formula>
    </cfRule>
  </conditionalFormatting>
  <conditionalFormatting sqref="O784 O777 O747:O748 O741">
    <cfRule type="expression" dxfId="4884" priority="6202">
      <formula>$H741="Cash"</formula>
    </cfRule>
  </conditionalFormatting>
  <conditionalFormatting sqref="V777">
    <cfRule type="expression" dxfId="4883" priority="6201">
      <formula>$H777="Cash"</formula>
    </cfRule>
  </conditionalFormatting>
  <conditionalFormatting sqref="V777">
    <cfRule type="expression" dxfId="4882" priority="6200">
      <formula>$O777="Applicant Signatures"</formula>
    </cfRule>
  </conditionalFormatting>
  <conditionalFormatting sqref="V777">
    <cfRule type="expression" dxfId="4881" priority="6199">
      <formula>$H777="Cash"</formula>
    </cfRule>
  </conditionalFormatting>
  <conditionalFormatting sqref="X741">
    <cfRule type="expression" dxfId="4880" priority="6198">
      <formula>$H741="Cash"</formula>
    </cfRule>
  </conditionalFormatting>
  <conditionalFormatting sqref="X673">
    <cfRule type="expression" dxfId="4879" priority="6197">
      <formula>$H673="Cash"</formula>
    </cfRule>
  </conditionalFormatting>
  <conditionalFormatting sqref="X668">
    <cfRule type="expression" dxfId="4878" priority="6196">
      <formula>$H668="Cash"</formula>
    </cfRule>
  </conditionalFormatting>
  <conditionalFormatting sqref="O791">
    <cfRule type="expression" dxfId="4877" priority="6195">
      <formula>$H791="Cash"</formula>
    </cfRule>
  </conditionalFormatting>
  <conditionalFormatting sqref="X791">
    <cfRule type="expression" dxfId="4876" priority="6194">
      <formula>$H791="Cash"</formula>
    </cfRule>
  </conditionalFormatting>
  <conditionalFormatting sqref="T737">
    <cfRule type="expression" dxfId="4875" priority="6167">
      <formula>$H737="Cash"</formula>
    </cfRule>
  </conditionalFormatting>
  <conditionalFormatting sqref="T747">
    <cfRule type="expression" dxfId="4874" priority="6166">
      <formula>$H747="Cash"</formula>
    </cfRule>
  </conditionalFormatting>
  <conditionalFormatting sqref="T748">
    <cfRule type="expression" dxfId="4873" priority="6165">
      <formula>$H748="Cash"</formula>
    </cfRule>
  </conditionalFormatting>
  <conditionalFormatting sqref="T777">
    <cfRule type="expression" dxfId="4872" priority="6164">
      <formula>$H777="Cash"</formula>
    </cfRule>
  </conditionalFormatting>
  <conditionalFormatting sqref="T784">
    <cfRule type="expression" dxfId="4871" priority="6163">
      <formula>$H784="Cash"</formula>
    </cfRule>
  </conditionalFormatting>
  <conditionalFormatting sqref="X796">
    <cfRule type="expression" dxfId="4870" priority="6113">
      <formula>$H796="Cash"</formula>
    </cfRule>
  </conditionalFormatting>
  <conditionalFormatting sqref="T737">
    <cfRule type="expression" dxfId="4869" priority="6083">
      <formula>$H737="Cash"</formula>
    </cfRule>
  </conditionalFormatting>
  <conditionalFormatting sqref="T748">
    <cfRule type="expression" dxfId="4868" priority="6082">
      <formula>$H748="Cash"</formula>
    </cfRule>
  </conditionalFormatting>
  <conditionalFormatting sqref="T777">
    <cfRule type="expression" dxfId="4867" priority="6081">
      <formula>$H777="Cash"</formula>
    </cfRule>
  </conditionalFormatting>
  <conditionalFormatting sqref="T784">
    <cfRule type="expression" dxfId="4866" priority="6080">
      <formula>$H784="Cash"</formula>
    </cfRule>
  </conditionalFormatting>
  <conditionalFormatting sqref="T748">
    <cfRule type="expression" dxfId="4865" priority="6079">
      <formula>$H748="Cash"</formula>
    </cfRule>
  </conditionalFormatting>
  <conditionalFormatting sqref="T748">
    <cfRule type="expression" dxfId="4864" priority="6078">
      <formula>$H748="Cash"</formula>
    </cfRule>
  </conditionalFormatting>
  <conditionalFormatting sqref="T748">
    <cfRule type="expression" dxfId="4863" priority="6077">
      <formula>$H748="Cash"</formula>
    </cfRule>
  </conditionalFormatting>
  <conditionalFormatting sqref="T748">
    <cfRule type="expression" dxfId="4862" priority="6076">
      <formula>$H748="Cash"</formula>
    </cfRule>
  </conditionalFormatting>
  <conditionalFormatting sqref="T748">
    <cfRule type="expression" dxfId="4861" priority="6075">
      <formula>$H748="Cash"</formula>
    </cfRule>
  </conditionalFormatting>
  <conditionalFormatting sqref="T777">
    <cfRule type="expression" dxfId="4860" priority="6074">
      <formula>$H777="Cash"</formula>
    </cfRule>
  </conditionalFormatting>
  <conditionalFormatting sqref="T777">
    <cfRule type="expression" dxfId="4859" priority="6073">
      <formula>$H777="Cash"</formula>
    </cfRule>
  </conditionalFormatting>
  <conditionalFormatting sqref="T777">
    <cfRule type="expression" dxfId="4858" priority="6072">
      <formula>$H777="Cash"</formula>
    </cfRule>
  </conditionalFormatting>
  <conditionalFormatting sqref="T777">
    <cfRule type="expression" dxfId="4857" priority="6071">
      <formula>$H777="Cash"</formula>
    </cfRule>
  </conditionalFormatting>
  <conditionalFormatting sqref="T777">
    <cfRule type="expression" dxfId="4856" priority="6070">
      <formula>$H777="Cash"</formula>
    </cfRule>
  </conditionalFormatting>
  <conditionalFormatting sqref="T777">
    <cfRule type="expression" dxfId="4855" priority="6069">
      <formula>$H777="Cash"</formula>
    </cfRule>
  </conditionalFormatting>
  <conditionalFormatting sqref="T777">
    <cfRule type="expression" dxfId="4854" priority="6068">
      <formula>$H777="Cash"</formula>
    </cfRule>
  </conditionalFormatting>
  <conditionalFormatting sqref="T784">
    <cfRule type="expression" dxfId="4853" priority="6067">
      <formula>$H784="Cash"</formula>
    </cfRule>
  </conditionalFormatting>
  <conditionalFormatting sqref="T784">
    <cfRule type="expression" dxfId="4852" priority="6066">
      <formula>$H784="Cash"</formula>
    </cfRule>
  </conditionalFormatting>
  <conditionalFormatting sqref="T784">
    <cfRule type="expression" dxfId="4851" priority="6065">
      <formula>$H784="Cash"</formula>
    </cfRule>
  </conditionalFormatting>
  <conditionalFormatting sqref="T784">
    <cfRule type="expression" dxfId="4850" priority="6064">
      <formula>$H784="Cash"</formula>
    </cfRule>
  </conditionalFormatting>
  <conditionalFormatting sqref="T784">
    <cfRule type="expression" dxfId="4849" priority="6063">
      <formula>$H784="Cash"</formula>
    </cfRule>
  </conditionalFormatting>
  <conditionalFormatting sqref="T784">
    <cfRule type="expression" dxfId="4848" priority="6062">
      <formula>$H784="Cash"</formula>
    </cfRule>
  </conditionalFormatting>
  <conditionalFormatting sqref="T784">
    <cfRule type="expression" dxfId="4847" priority="6061">
      <formula>$H784="Cash"</formula>
    </cfRule>
  </conditionalFormatting>
  <conditionalFormatting sqref="V734">
    <cfRule type="expression" dxfId="4846" priority="6039">
      <formula>$H734="Cash"</formula>
    </cfRule>
  </conditionalFormatting>
  <conditionalFormatting sqref="V734">
    <cfRule type="expression" dxfId="4845" priority="6038">
      <formula>$H734="Cash"</formula>
    </cfRule>
  </conditionalFormatting>
  <conditionalFormatting sqref="W344">
    <cfRule type="expression" dxfId="4844" priority="5993">
      <formula>$O344="Applicant Signatures"</formula>
    </cfRule>
  </conditionalFormatting>
  <conditionalFormatting sqref="W344">
    <cfRule type="expression" dxfId="4843" priority="5992">
      <formula>$O344="Applicant Signatures"</formula>
    </cfRule>
  </conditionalFormatting>
  <conditionalFormatting sqref="W344">
    <cfRule type="expression" dxfId="4842" priority="5991">
      <formula>$O344="Applicant Signatures"</formula>
    </cfRule>
  </conditionalFormatting>
  <conditionalFormatting sqref="W344">
    <cfRule type="expression" dxfId="4841" priority="5990">
      <formula>$O344="Applicant Signatures"</formula>
    </cfRule>
  </conditionalFormatting>
  <conditionalFormatting sqref="W344">
    <cfRule type="expression" dxfId="4840" priority="5989">
      <formula>$H344="Cash"</formula>
    </cfRule>
  </conditionalFormatting>
  <conditionalFormatting sqref="W344">
    <cfRule type="expression" dxfId="4839" priority="5988">
      <formula>$O344="Applicant Signatures"</formula>
    </cfRule>
  </conditionalFormatting>
  <conditionalFormatting sqref="W344">
    <cfRule type="expression" dxfId="4838" priority="5987">
      <formula>$H344="Cash"</formula>
    </cfRule>
  </conditionalFormatting>
  <conditionalFormatting sqref="A887">
    <cfRule type="expression" priority="5761" stopIfTrue="1">
      <formula>#REF!&lt;=TODAY()</formula>
    </cfRule>
  </conditionalFormatting>
  <conditionalFormatting sqref="A888">
    <cfRule type="expression" dxfId="4837" priority="5661">
      <formula>$O888="Applicant Signatures"</formula>
    </cfRule>
  </conditionalFormatting>
  <conditionalFormatting sqref="A888:P888 X888 R888:U888">
    <cfRule type="expression" dxfId="4836" priority="5658">
      <formula>$H888="Cash"</formula>
    </cfRule>
  </conditionalFormatting>
  <conditionalFormatting sqref="W888">
    <cfRule type="expression" dxfId="4835" priority="5657">
      <formula>$H888="Cash"</formula>
    </cfRule>
  </conditionalFormatting>
  <conditionalFormatting sqref="V888">
    <cfRule type="expression" dxfId="4834" priority="5656">
      <formula>$O888="Applicant Signatures"</formula>
    </cfRule>
  </conditionalFormatting>
  <conditionalFormatting sqref="V888">
    <cfRule type="expression" dxfId="4833" priority="5655">
      <formula>$H888="Cash"</formula>
    </cfRule>
  </conditionalFormatting>
  <conditionalFormatting sqref="V888">
    <cfRule type="expression" dxfId="4832" priority="5654">
      <formula>$O888="Applicant Signatures"</formula>
    </cfRule>
  </conditionalFormatting>
  <conditionalFormatting sqref="A888:P888 X888:Z888 R888:U888 AB888">
    <cfRule type="expression" dxfId="4831" priority="5653">
      <formula>$O888="Applicant Signatures"</formula>
    </cfRule>
  </conditionalFormatting>
  <conditionalFormatting sqref="A888:P888 X888:Z888 R888:U888 AB888">
    <cfRule type="expression" dxfId="4830" priority="5652">
      <formula>$O888="Applicant Signatures"</formula>
    </cfRule>
  </conditionalFormatting>
  <conditionalFormatting sqref="A888:P888 X888:Z888 R888:U888 AB888">
    <cfRule type="expression" dxfId="4829" priority="5651">
      <formula>$O888="Applicant Signatures"</formula>
    </cfRule>
  </conditionalFormatting>
  <conditionalFormatting sqref="A888:P888 X888:Z888 R888:U888 AB888">
    <cfRule type="expression" dxfId="4828" priority="5650">
      <formula>$O888="Applicant Signatures"</formula>
    </cfRule>
  </conditionalFormatting>
  <conditionalFormatting sqref="A888:P888 X888:Z888 R888:U888 AB888">
    <cfRule type="expression" dxfId="4827" priority="5649">
      <formula>$O888="Applicant Signatures"</formula>
    </cfRule>
  </conditionalFormatting>
  <conditionalFormatting sqref="V888:W888">
    <cfRule type="expression" dxfId="4826" priority="5648">
      <formula>$O888="Applicant Signatures"</formula>
    </cfRule>
  </conditionalFormatting>
  <conditionalFormatting sqref="V888:W888">
    <cfRule type="expression" dxfId="4825" priority="5647">
      <formula>$O888="Applicant Signatures"</formula>
    </cfRule>
  </conditionalFormatting>
  <conditionalFormatting sqref="V888:W888">
    <cfRule type="expression" dxfId="4824" priority="5646">
      <formula>$O888="Applicant Signatures"</formula>
    </cfRule>
  </conditionalFormatting>
  <conditionalFormatting sqref="V888:W888">
    <cfRule type="expression" dxfId="4823" priority="5645">
      <formula>$O888="Applicant Signatures"</formula>
    </cfRule>
  </conditionalFormatting>
  <conditionalFormatting sqref="V888:W888">
    <cfRule type="expression" dxfId="4822" priority="5644">
      <formula>$H888="Cash"</formula>
    </cfRule>
  </conditionalFormatting>
  <conditionalFormatting sqref="V888:W888">
    <cfRule type="expression" dxfId="4821" priority="5643">
      <formula>$O888="Applicant Signatures"</formula>
    </cfRule>
  </conditionalFormatting>
  <conditionalFormatting sqref="A889:P889 R889:X889">
    <cfRule type="expression" dxfId="4820" priority="5642">
      <formula>$H889="Cash"</formula>
    </cfRule>
  </conditionalFormatting>
  <conditionalFormatting sqref="A889:P889 R889:Z889 AB889">
    <cfRule type="expression" dxfId="4819" priority="5641">
      <formula>$O889="Applicant Signatures"</formula>
    </cfRule>
  </conditionalFormatting>
  <conditionalFormatting sqref="T748">
    <cfRule type="expression" dxfId="4818" priority="5637">
      <formula>$H748="Cash"</formula>
    </cfRule>
  </conditionalFormatting>
  <conditionalFormatting sqref="T748">
    <cfRule type="expression" dxfId="4817" priority="5636">
      <formula>$H748="Cash"</formula>
    </cfRule>
  </conditionalFormatting>
  <conditionalFormatting sqref="T748">
    <cfRule type="expression" dxfId="4816" priority="5635">
      <formula>$H748="Cash"</formula>
    </cfRule>
  </conditionalFormatting>
  <conditionalFormatting sqref="T748">
    <cfRule type="expression" dxfId="4815" priority="5634">
      <formula>$H748="Cash"</formula>
    </cfRule>
  </conditionalFormatting>
  <conditionalFormatting sqref="T748">
    <cfRule type="expression" dxfId="4814" priority="5633">
      <formula>$H748="Cash"</formula>
    </cfRule>
  </conditionalFormatting>
  <conditionalFormatting sqref="T777">
    <cfRule type="expression" dxfId="4813" priority="5632">
      <formula>$H777="Cash"</formula>
    </cfRule>
  </conditionalFormatting>
  <conditionalFormatting sqref="T777">
    <cfRule type="expression" dxfId="4812" priority="5631">
      <formula>$H777="Cash"</formula>
    </cfRule>
  </conditionalFormatting>
  <conditionalFormatting sqref="T777">
    <cfRule type="expression" dxfId="4811" priority="5630">
      <formula>$H777="Cash"</formula>
    </cfRule>
  </conditionalFormatting>
  <conditionalFormatting sqref="T777">
    <cfRule type="expression" dxfId="4810" priority="5629">
      <formula>$H777="Cash"</formula>
    </cfRule>
  </conditionalFormatting>
  <conditionalFormatting sqref="T777">
    <cfRule type="expression" dxfId="4809" priority="5628">
      <formula>$H777="Cash"</formula>
    </cfRule>
  </conditionalFormatting>
  <conditionalFormatting sqref="T777">
    <cfRule type="expression" dxfId="4808" priority="5627">
      <formula>$H777="Cash"</formula>
    </cfRule>
  </conditionalFormatting>
  <conditionalFormatting sqref="T777">
    <cfRule type="expression" dxfId="4807" priority="5626">
      <formula>$H777="Cash"</formula>
    </cfRule>
  </conditionalFormatting>
  <conditionalFormatting sqref="T784">
    <cfRule type="expression" dxfId="4806" priority="5625">
      <formula>$H784="Cash"</formula>
    </cfRule>
  </conditionalFormatting>
  <conditionalFormatting sqref="T784">
    <cfRule type="expression" dxfId="4805" priority="5624">
      <formula>$H784="Cash"</formula>
    </cfRule>
  </conditionalFormatting>
  <conditionalFormatting sqref="T784">
    <cfRule type="expression" dxfId="4804" priority="5623">
      <formula>$H784="Cash"</formula>
    </cfRule>
  </conditionalFormatting>
  <conditionalFormatting sqref="T784">
    <cfRule type="expression" dxfId="4803" priority="5622">
      <formula>$H784="Cash"</formula>
    </cfRule>
  </conditionalFormatting>
  <conditionalFormatting sqref="T784">
    <cfRule type="expression" dxfId="4802" priority="5621">
      <formula>$H784="Cash"</formula>
    </cfRule>
  </conditionalFormatting>
  <conditionalFormatting sqref="T784">
    <cfRule type="expression" dxfId="4801" priority="5620">
      <formula>$H784="Cash"</formula>
    </cfRule>
  </conditionalFormatting>
  <conditionalFormatting sqref="T784">
    <cfRule type="expression" dxfId="4800" priority="5619">
      <formula>$H784="Cash"</formula>
    </cfRule>
  </conditionalFormatting>
  <conditionalFormatting sqref="O748">
    <cfRule type="expression" dxfId="4799" priority="5618">
      <formula>$H748="Cash"</formula>
    </cfRule>
  </conditionalFormatting>
  <conditionalFormatting sqref="O777">
    <cfRule type="expression" dxfId="4798" priority="5617">
      <formula>$H777="Cash"</formula>
    </cfRule>
  </conditionalFormatting>
  <conditionalFormatting sqref="O784">
    <cfRule type="expression" dxfId="4797" priority="5616">
      <formula>$H784="Cash"</formula>
    </cfRule>
  </conditionalFormatting>
  <conditionalFormatting sqref="X777">
    <cfRule type="expression" dxfId="4796" priority="5615">
      <formula>$H777="Cash"</formula>
    </cfRule>
  </conditionalFormatting>
  <conditionalFormatting sqref="X777">
    <cfRule type="expression" dxfId="4795" priority="5614">
      <formula>$O777="Applicant Signatures"</formula>
    </cfRule>
  </conditionalFormatting>
  <conditionalFormatting sqref="X777">
    <cfRule type="expression" dxfId="4794" priority="5613">
      <formula>$H777="Cash"</formula>
    </cfRule>
  </conditionalFormatting>
  <conditionalFormatting sqref="X777">
    <cfRule type="expression" dxfId="4793" priority="5612">
      <formula>$H777="Cash"</formula>
    </cfRule>
  </conditionalFormatting>
  <conditionalFormatting sqref="X777">
    <cfRule type="expression" dxfId="4792" priority="5611">
      <formula>$H777="Cash"</formula>
    </cfRule>
  </conditionalFormatting>
  <conditionalFormatting sqref="X777">
    <cfRule type="expression" dxfId="4791" priority="5610">
      <formula>$H777="Cash"</formula>
    </cfRule>
  </conditionalFormatting>
  <conditionalFormatting sqref="X777">
    <cfRule type="expression" dxfId="4790" priority="5609">
      <formula>$H777="Cash"</formula>
    </cfRule>
  </conditionalFormatting>
  <conditionalFormatting sqref="X777">
    <cfRule type="expression" dxfId="4789" priority="5608">
      <formula>$H777="Cash"</formula>
    </cfRule>
  </conditionalFormatting>
  <conditionalFormatting sqref="X748">
    <cfRule type="expression" dxfId="4788" priority="5607">
      <formula>$H748="Cash"</formula>
    </cfRule>
  </conditionalFormatting>
  <conditionalFormatting sqref="X748">
    <cfRule type="expression" dxfId="4787" priority="5606">
      <formula>$O748="Applicant Signatures"</formula>
    </cfRule>
  </conditionalFormatting>
  <conditionalFormatting sqref="X748">
    <cfRule type="expression" dxfId="4786" priority="5605">
      <formula>$H748="Cash"</formula>
    </cfRule>
  </conditionalFormatting>
  <conditionalFormatting sqref="X748">
    <cfRule type="expression" dxfId="4785" priority="5604">
      <formula>$H748="Cash"</formula>
    </cfRule>
  </conditionalFormatting>
  <conditionalFormatting sqref="X748">
    <cfRule type="expression" dxfId="4784" priority="5603">
      <formula>$H748="Cash"</formula>
    </cfRule>
  </conditionalFormatting>
  <conditionalFormatting sqref="X748">
    <cfRule type="expression" dxfId="4783" priority="5602">
      <formula>$H748="Cash"</formula>
    </cfRule>
  </conditionalFormatting>
  <conditionalFormatting sqref="X737">
    <cfRule type="expression" dxfId="4782" priority="5601">
      <formula>$H737="Cash"</formula>
    </cfRule>
  </conditionalFormatting>
  <conditionalFormatting sqref="X737">
    <cfRule type="expression" dxfId="4781" priority="5600">
      <formula>$O737="Applicant Signatures"</formula>
    </cfRule>
  </conditionalFormatting>
  <conditionalFormatting sqref="X737">
    <cfRule type="expression" dxfId="4780" priority="5599">
      <formula>$H737="Cash"</formula>
    </cfRule>
  </conditionalFormatting>
  <conditionalFormatting sqref="X737">
    <cfRule type="expression" dxfId="4779" priority="5598">
      <formula>$H737="Cash"</formula>
    </cfRule>
  </conditionalFormatting>
  <conditionalFormatting sqref="X737">
    <cfRule type="expression" dxfId="4778" priority="5597">
      <formula>$H737="Cash"</formula>
    </cfRule>
  </conditionalFormatting>
  <conditionalFormatting sqref="X737">
    <cfRule type="expression" dxfId="4777" priority="5596">
      <formula>$H737="Cash"</formula>
    </cfRule>
  </conditionalFormatting>
  <conditionalFormatting sqref="X737">
    <cfRule type="expression" dxfId="4776" priority="5595">
      <formula>$H737="Cash"</formula>
    </cfRule>
  </conditionalFormatting>
  <conditionalFormatting sqref="X737">
    <cfRule type="expression" dxfId="4775" priority="5594">
      <formula>$H737="Cash"</formula>
    </cfRule>
  </conditionalFormatting>
  <conditionalFormatting sqref="X734">
    <cfRule type="expression" dxfId="4774" priority="5593">
      <formula>$H734="Cash"</formula>
    </cfRule>
  </conditionalFormatting>
  <conditionalFormatting sqref="X734">
    <cfRule type="expression" dxfId="4773" priority="5592">
      <formula>$O734="Applicant Signatures"</formula>
    </cfRule>
  </conditionalFormatting>
  <conditionalFormatting sqref="X734">
    <cfRule type="expression" dxfId="4772" priority="5591">
      <formula>$H734="Cash"</formula>
    </cfRule>
  </conditionalFormatting>
  <conditionalFormatting sqref="X734">
    <cfRule type="expression" dxfId="4771" priority="5590">
      <formula>$H734="Cash"</formula>
    </cfRule>
  </conditionalFormatting>
  <conditionalFormatting sqref="X734">
    <cfRule type="expression" dxfId="4770" priority="5589">
      <formula>$H734="Cash"</formula>
    </cfRule>
  </conditionalFormatting>
  <conditionalFormatting sqref="X734">
    <cfRule type="expression" dxfId="4769" priority="5588">
      <formula>$H734="Cash"</formula>
    </cfRule>
  </conditionalFormatting>
  <conditionalFormatting sqref="X734">
    <cfRule type="expression" dxfId="4768" priority="5587">
      <formula>$H734="Cash"</formula>
    </cfRule>
  </conditionalFormatting>
  <conditionalFormatting sqref="X734">
    <cfRule type="expression" dxfId="4767" priority="5586">
      <formula>$H734="Cash"</formula>
    </cfRule>
  </conditionalFormatting>
  <conditionalFormatting sqref="A890">
    <cfRule type="expression" dxfId="4766" priority="5585">
      <formula>$O890="Applicant Signatures"</formula>
    </cfRule>
  </conditionalFormatting>
  <conditionalFormatting sqref="A890:N890 Y890:Z890 P890 S890:W890 AB890">
    <cfRule type="expression" dxfId="4765" priority="5582">
      <formula>$O890="Applicant Signatures"</formula>
    </cfRule>
  </conditionalFormatting>
  <conditionalFormatting sqref="A890:N890 P890 S890:W890">
    <cfRule type="expression" dxfId="4764" priority="5581">
      <formula>$H890="Cash"</formula>
    </cfRule>
  </conditionalFormatting>
  <conditionalFormatting sqref="A890:N890 Y890:Z890 P890 S890:W890 AB890">
    <cfRule type="expression" dxfId="4763" priority="5580">
      <formula>$O890="Applicant Signatures"</formula>
    </cfRule>
  </conditionalFormatting>
  <conditionalFormatting sqref="X890">
    <cfRule type="expression" dxfId="4762" priority="5578">
      <formula>$O890="Applicant Signatures"</formula>
    </cfRule>
  </conditionalFormatting>
  <conditionalFormatting sqref="X890">
    <cfRule type="expression" dxfId="4761" priority="5577">
      <formula>$H890="Cash"</formula>
    </cfRule>
  </conditionalFormatting>
  <conditionalFormatting sqref="O890">
    <cfRule type="expression" dxfId="4760" priority="5576">
      <formula>$O890="Applicant Signatures"</formula>
    </cfRule>
  </conditionalFormatting>
  <conditionalFormatting sqref="T748">
    <cfRule type="expression" dxfId="4759" priority="5557">
      <formula>$H748="Cash"</formula>
    </cfRule>
  </conditionalFormatting>
  <conditionalFormatting sqref="T748">
    <cfRule type="expression" dxfId="4758" priority="5556">
      <formula>$H748="Cash"</formula>
    </cfRule>
  </conditionalFormatting>
  <conditionalFormatting sqref="T748">
    <cfRule type="expression" dxfId="4757" priority="5555">
      <formula>$H748="Cash"</formula>
    </cfRule>
  </conditionalFormatting>
  <conditionalFormatting sqref="T748">
    <cfRule type="expression" dxfId="4756" priority="5554">
      <formula>$H748="Cash"</formula>
    </cfRule>
  </conditionalFormatting>
  <conditionalFormatting sqref="T748">
    <cfRule type="expression" dxfId="4755" priority="5553">
      <formula>$H748="Cash"</formula>
    </cfRule>
  </conditionalFormatting>
  <conditionalFormatting sqref="A891 Q891">
    <cfRule type="expression" dxfId="4754" priority="5552">
      <formula>$O891="Applicant Signatures"</formula>
    </cfRule>
  </conditionalFormatting>
  <conditionalFormatting sqref="Q891">
    <cfRule type="expression" dxfId="4753" priority="5551">
      <formula>$H891="Cash"</formula>
    </cfRule>
  </conditionalFormatting>
  <conditionalFormatting sqref="A891:N891 Y891:Z891 P891:Q891 S891:W891 AB891">
    <cfRule type="expression" dxfId="4752" priority="5549">
      <formula>$O891="Applicant Signatures"</formula>
    </cfRule>
  </conditionalFormatting>
  <conditionalFormatting sqref="A891:N891 P891:Q891 S891:W891">
    <cfRule type="expression" dxfId="4751" priority="5548">
      <formula>$H891="Cash"</formula>
    </cfRule>
  </conditionalFormatting>
  <conditionalFormatting sqref="A891:N891 Y891:Z891 P891:Q891 S891:W891 AB891">
    <cfRule type="expression" dxfId="4750" priority="5547">
      <formula>$O891="Applicant Signatures"</formula>
    </cfRule>
  </conditionalFormatting>
  <conditionalFormatting sqref="Q891">
    <cfRule type="expression" dxfId="4749" priority="5546">
      <formula>$O891="Applicant Signatures"</formula>
    </cfRule>
  </conditionalFormatting>
  <conditionalFormatting sqref="A892 Q892">
    <cfRule type="expression" dxfId="4748" priority="5542">
      <formula>$O892="Applicant Signatures"</formula>
    </cfRule>
  </conditionalFormatting>
  <conditionalFormatting sqref="Q892">
    <cfRule type="expression" dxfId="4747" priority="5541">
      <formula>$H892="Cash"</formula>
    </cfRule>
  </conditionalFormatting>
  <conditionalFormatting sqref="A892:N892 Y892:Z892 P892:Q892 S892:W892 AB892">
    <cfRule type="expression" dxfId="4746" priority="5539">
      <formula>$O892="Applicant Signatures"</formula>
    </cfRule>
  </conditionalFormatting>
  <conditionalFormatting sqref="A892:N892 P892:Q892 S892:W892">
    <cfRule type="expression" dxfId="4745" priority="5538">
      <formula>$H892="Cash"</formula>
    </cfRule>
  </conditionalFormatting>
  <conditionalFormatting sqref="A892:N892 Y892:Z892 P892:Q892 S892:W892 AB892">
    <cfRule type="expression" dxfId="4744" priority="5537">
      <formula>$O892="Applicant Signatures"</formula>
    </cfRule>
  </conditionalFormatting>
  <conditionalFormatting sqref="Q892">
    <cfRule type="expression" dxfId="4743" priority="5536">
      <formula>$O892="Applicant Signatures"</formula>
    </cfRule>
  </conditionalFormatting>
  <conditionalFormatting sqref="A893 Q893">
    <cfRule type="expression" dxfId="4742" priority="5532">
      <formula>$O893="Applicant Signatures"</formula>
    </cfRule>
  </conditionalFormatting>
  <conditionalFormatting sqref="Q893">
    <cfRule type="expression" dxfId="4741" priority="5531">
      <formula>$H893="Cash"</formula>
    </cfRule>
  </conditionalFormatting>
  <conditionalFormatting sqref="A893:N893 Y893:Z893 P893:Q893 S893:W893 AB893">
    <cfRule type="expression" dxfId="4740" priority="5529">
      <formula>$O893="Applicant Signatures"</formula>
    </cfRule>
  </conditionalFormatting>
  <conditionalFormatting sqref="A893:N893 P893:Q893 S893:W893">
    <cfRule type="expression" dxfId="4739" priority="5528">
      <formula>$H893="Cash"</formula>
    </cfRule>
  </conditionalFormatting>
  <conditionalFormatting sqref="A893:N893 Y893:Z893 P893:Q893 S893:W893 AB893">
    <cfRule type="expression" dxfId="4738" priority="5527">
      <formula>$O893="Applicant Signatures"</formula>
    </cfRule>
  </conditionalFormatting>
  <conditionalFormatting sqref="Q893">
    <cfRule type="expression" dxfId="4737" priority="5526">
      <formula>$O893="Applicant Signatures"</formula>
    </cfRule>
  </conditionalFormatting>
  <conditionalFormatting sqref="V734">
    <cfRule type="expression" dxfId="4736" priority="5522">
      <formula>$H734="Cash"</formula>
    </cfRule>
  </conditionalFormatting>
  <conditionalFormatting sqref="V735">
    <cfRule type="expression" dxfId="4735" priority="5521">
      <formula>$H735="Cash"</formula>
    </cfRule>
  </conditionalFormatting>
  <conditionalFormatting sqref="V736">
    <cfRule type="expression" dxfId="4734" priority="5520">
      <formula>$H736="Cash"</formula>
    </cfRule>
  </conditionalFormatting>
  <conditionalFormatting sqref="V737">
    <cfRule type="expression" dxfId="4733" priority="5519">
      <formula>$H737="Cash"</formula>
    </cfRule>
  </conditionalFormatting>
  <conditionalFormatting sqref="V748">
    <cfRule type="expression" dxfId="4732" priority="5518">
      <formula>$H748="Cash"</formula>
    </cfRule>
  </conditionalFormatting>
  <conditionalFormatting sqref="V777">
    <cfRule type="expression" dxfId="4731" priority="5517">
      <formula>$H777="Cash"</formula>
    </cfRule>
  </conditionalFormatting>
  <conditionalFormatting sqref="V784">
    <cfRule type="expression" dxfId="4730" priority="5516">
      <formula>$H784="Cash"</formula>
    </cfRule>
  </conditionalFormatting>
  <conditionalFormatting sqref="V663">
    <cfRule type="expression" dxfId="4729" priority="5515">
      <formula>$H663="Cash"</formula>
    </cfRule>
  </conditionalFormatting>
  <conditionalFormatting sqref="V663">
    <cfRule type="expression" dxfId="4728" priority="5514">
      <formula>$H663="Cash"</formula>
    </cfRule>
  </conditionalFormatting>
  <conditionalFormatting sqref="V663">
    <cfRule type="expression" dxfId="4727" priority="5513">
      <formula>$H663="Cash"</formula>
    </cfRule>
  </conditionalFormatting>
  <conditionalFormatting sqref="V784 V777 V748 V734:V737">
    <cfRule type="expression" dxfId="4726" priority="5512">
      <formula>$H734="Cash"</formula>
    </cfRule>
  </conditionalFormatting>
  <conditionalFormatting sqref="V784 V777 V748 V734:V737">
    <cfRule type="expression" dxfId="4725" priority="5511">
      <formula>$H734="Cash"</formula>
    </cfRule>
  </conditionalFormatting>
  <conditionalFormatting sqref="V784 V777 V748 V734:V737">
    <cfRule type="expression" dxfId="4724" priority="5510">
      <formula>$H734="Cash"</formula>
    </cfRule>
  </conditionalFormatting>
  <conditionalFormatting sqref="V784 V777 V748 V734:V737">
    <cfRule type="expression" dxfId="4723" priority="5509">
      <formula>$H734="Cash"</formula>
    </cfRule>
  </conditionalFormatting>
  <conditionalFormatting sqref="A894">
    <cfRule type="expression" dxfId="4722" priority="5508">
      <formula>$O894="Applicant Signatures"</formula>
    </cfRule>
  </conditionalFormatting>
  <conditionalFormatting sqref="W894 P894 R894">
    <cfRule type="expression" dxfId="4721" priority="5507">
      <formula>$H894="Cash"</formula>
    </cfRule>
  </conditionalFormatting>
  <conditionalFormatting sqref="B894:P894 R894 T894:U894 Y894:Z894 W894 AB894">
    <cfRule type="expression" dxfId="4720" priority="5506">
      <formula>$O894="Applicant Signatures"</formula>
    </cfRule>
  </conditionalFormatting>
  <conditionalFormatting sqref="Q894">
    <cfRule type="expression" dxfId="4719" priority="5505">
      <formula>$H894="Cash"</formula>
    </cfRule>
  </conditionalFormatting>
  <conditionalFormatting sqref="Q894">
    <cfRule type="expression" dxfId="4718" priority="5504">
      <formula>$O894="Applicant Signatures"</formula>
    </cfRule>
  </conditionalFormatting>
  <conditionalFormatting sqref="S894">
    <cfRule type="expression" dxfId="4717" priority="5503">
      <formula>$H894="Cash"</formula>
    </cfRule>
  </conditionalFormatting>
  <conditionalFormatting sqref="S894">
    <cfRule type="expression" dxfId="4716" priority="5502">
      <formula>$O894="Applicant Signatures"</formula>
    </cfRule>
  </conditionalFormatting>
  <conditionalFormatting sqref="A895">
    <cfRule type="expression" dxfId="4715" priority="5501">
      <formula>$O895="Applicant Signatures"</formula>
    </cfRule>
  </conditionalFormatting>
  <conditionalFormatting sqref="W895 P895 R895">
    <cfRule type="expression" dxfId="4714" priority="5500">
      <formula>$H895="Cash"</formula>
    </cfRule>
  </conditionalFormatting>
  <conditionalFormatting sqref="B895:P895 R895 T895:Z895 AB895">
    <cfRule type="expression" dxfId="4713" priority="5499">
      <formula>$O895="Applicant Signatures"</formula>
    </cfRule>
  </conditionalFormatting>
  <conditionalFormatting sqref="Q895">
    <cfRule type="expression" dxfId="4712" priority="5498">
      <formula>$H895="Cash"</formula>
    </cfRule>
  </conditionalFormatting>
  <conditionalFormatting sqref="Q895">
    <cfRule type="expression" dxfId="4711" priority="5497">
      <formula>$O895="Applicant Signatures"</formula>
    </cfRule>
  </conditionalFormatting>
  <conditionalFormatting sqref="S895">
    <cfRule type="expression" dxfId="4710" priority="5496">
      <formula>$H895="Cash"</formula>
    </cfRule>
  </conditionalFormatting>
  <conditionalFormatting sqref="S895">
    <cfRule type="expression" dxfId="4709" priority="5495">
      <formula>$O895="Applicant Signatures"</formula>
    </cfRule>
  </conditionalFormatting>
  <conditionalFormatting sqref="O891">
    <cfRule type="expression" dxfId="4708" priority="5492">
      <formula>$O891="Applicant Signatures"</formula>
    </cfRule>
  </conditionalFormatting>
  <conditionalFormatting sqref="O892">
    <cfRule type="expression" dxfId="4707" priority="5491">
      <formula>$O892="Applicant Signatures"</formula>
    </cfRule>
  </conditionalFormatting>
  <conditionalFormatting sqref="O893">
    <cfRule type="expression" dxfId="4706" priority="5490">
      <formula>$O893="Applicant Signatures"</formula>
    </cfRule>
  </conditionalFormatting>
  <conditionalFormatting sqref="X891">
    <cfRule type="expression" dxfId="4705" priority="5489">
      <formula>$O891="Applicant Signatures"</formula>
    </cfRule>
  </conditionalFormatting>
  <conditionalFormatting sqref="X891">
    <cfRule type="expression" dxfId="4704" priority="5488">
      <formula>$H891="Cash"</formula>
    </cfRule>
  </conditionalFormatting>
  <conditionalFormatting sqref="X892">
    <cfRule type="expression" dxfId="4703" priority="5487">
      <formula>$O892="Applicant Signatures"</formula>
    </cfRule>
  </conditionalFormatting>
  <conditionalFormatting sqref="X892">
    <cfRule type="expression" dxfId="4702" priority="5486">
      <formula>$H892="Cash"</formula>
    </cfRule>
  </conditionalFormatting>
  <conditionalFormatting sqref="X893">
    <cfRule type="expression" dxfId="4701" priority="5485">
      <formula>$O893="Applicant Signatures"</formula>
    </cfRule>
  </conditionalFormatting>
  <conditionalFormatting sqref="X893">
    <cfRule type="expression" dxfId="4700" priority="5484">
      <formula>$H893="Cash"</formula>
    </cfRule>
  </conditionalFormatting>
  <conditionalFormatting sqref="A896">
    <cfRule type="expression" dxfId="4699" priority="5483">
      <formula>$O896="Applicant Signatures"</formula>
    </cfRule>
  </conditionalFormatting>
  <conditionalFormatting sqref="A896:P896 X896 R896:U896">
    <cfRule type="expression" dxfId="4698" priority="5482">
      <formula>$H896="Cash"</formula>
    </cfRule>
  </conditionalFormatting>
  <conditionalFormatting sqref="W896">
    <cfRule type="expression" dxfId="4697" priority="5481">
      <formula>$H896="Cash"</formula>
    </cfRule>
  </conditionalFormatting>
  <conditionalFormatting sqref="V896">
    <cfRule type="expression" dxfId="4696" priority="5480">
      <formula>$O896="Applicant Signatures"</formula>
    </cfRule>
  </conditionalFormatting>
  <conditionalFormatting sqref="V896">
    <cfRule type="expression" dxfId="4695" priority="5479">
      <formula>$H896="Cash"</formula>
    </cfRule>
  </conditionalFormatting>
  <conditionalFormatting sqref="V896">
    <cfRule type="expression" dxfId="4694" priority="5478">
      <formula>$O896="Applicant Signatures"</formula>
    </cfRule>
  </conditionalFormatting>
  <conditionalFormatting sqref="A896:P896 X896:Z896 R896:U896 AB896">
    <cfRule type="expression" dxfId="4693" priority="5477">
      <formula>$O896="Applicant Signatures"</formula>
    </cfRule>
  </conditionalFormatting>
  <conditionalFormatting sqref="A896:P896 X896:Z896 R896:U896 AB896">
    <cfRule type="expression" dxfId="4692" priority="5476">
      <formula>$O896="Applicant Signatures"</formula>
    </cfRule>
  </conditionalFormatting>
  <conditionalFormatting sqref="A896:P896 X896:Z896 R896:U896 AB896">
    <cfRule type="expression" dxfId="4691" priority="5475">
      <formula>$O896="Applicant Signatures"</formula>
    </cfRule>
  </conditionalFormatting>
  <conditionalFormatting sqref="A896:P896 X896:Z896 R896:U896 AB896">
    <cfRule type="expression" dxfId="4690" priority="5474">
      <formula>$O896="Applicant Signatures"</formula>
    </cfRule>
  </conditionalFormatting>
  <conditionalFormatting sqref="A896:P896 X896:Z896 R896:U896 AB896">
    <cfRule type="expression" dxfId="4689" priority="5473">
      <formula>$O896="Applicant Signatures"</formula>
    </cfRule>
  </conditionalFormatting>
  <conditionalFormatting sqref="V896:W896">
    <cfRule type="expression" dxfId="4688" priority="5472">
      <formula>$O896="Applicant Signatures"</formula>
    </cfRule>
  </conditionalFormatting>
  <conditionalFormatting sqref="V896:W896">
    <cfRule type="expression" dxfId="4687" priority="5471">
      <formula>$O896="Applicant Signatures"</formula>
    </cfRule>
  </conditionalFormatting>
  <conditionalFormatting sqref="V896:W896">
    <cfRule type="expression" dxfId="4686" priority="5470">
      <formula>$O896="Applicant Signatures"</formula>
    </cfRule>
  </conditionalFormatting>
  <conditionalFormatting sqref="V896:W896">
    <cfRule type="expression" dxfId="4685" priority="5469">
      <formula>$O896="Applicant Signatures"</formula>
    </cfRule>
  </conditionalFormatting>
  <conditionalFormatting sqref="V896:W896">
    <cfRule type="expression" dxfId="4684" priority="5468">
      <formula>$H896="Cash"</formula>
    </cfRule>
  </conditionalFormatting>
  <conditionalFormatting sqref="V896:W896">
    <cfRule type="expression" dxfId="4683" priority="5467">
      <formula>$O896="Applicant Signatures"</formula>
    </cfRule>
  </conditionalFormatting>
  <conditionalFormatting sqref="Q896">
    <cfRule type="expression" dxfId="4682" priority="5466">
      <formula>$H896="Cash"</formula>
    </cfRule>
  </conditionalFormatting>
  <conditionalFormatting sqref="Q896">
    <cfRule type="expression" dxfId="4681" priority="5465">
      <formula>$O896="Applicant Signatures"</formula>
    </cfRule>
  </conditionalFormatting>
  <conditionalFormatting sqref="T898:Z898 U897:W897 Y897:Z897 AB897:AB898">
    <cfRule type="expression" dxfId="4680" priority="5462">
      <formula>$O897="Applicant Signatures"</formula>
    </cfRule>
  </conditionalFormatting>
  <conditionalFormatting sqref="A898">
    <cfRule type="expression" dxfId="4679" priority="5457">
      <formula>$Q898="Cash"</formula>
    </cfRule>
  </conditionalFormatting>
  <conditionalFormatting sqref="X894">
    <cfRule type="expression" dxfId="4678" priority="5415">
      <formula>$H894="Cash"</formula>
    </cfRule>
  </conditionalFormatting>
  <conditionalFormatting sqref="X894">
    <cfRule type="expression" dxfId="4677" priority="5414">
      <formula>$O894="Applicant Signatures"</formula>
    </cfRule>
  </conditionalFormatting>
  <conditionalFormatting sqref="V737">
    <cfRule type="expression" dxfId="4676" priority="5393">
      <formula>$H737="Cash"</formula>
    </cfRule>
  </conditionalFormatting>
  <conditionalFormatting sqref="V737">
    <cfRule type="expression" dxfId="4675" priority="5392">
      <formula>$H737="Cash"</formula>
    </cfRule>
  </conditionalFormatting>
  <conditionalFormatting sqref="V737">
    <cfRule type="expression" dxfId="4674" priority="5391">
      <formula>$H737="Cash"</formula>
    </cfRule>
  </conditionalFormatting>
  <conditionalFormatting sqref="V737">
    <cfRule type="expression" dxfId="4673" priority="5390">
      <formula>$H737="Cash"</formula>
    </cfRule>
  </conditionalFormatting>
  <conditionalFormatting sqref="V748">
    <cfRule type="expression" dxfId="4672" priority="5389">
      <formula>$H748="Cash"</formula>
    </cfRule>
  </conditionalFormatting>
  <conditionalFormatting sqref="V748">
    <cfRule type="expression" dxfId="4671" priority="5388">
      <formula>$H748="Cash"</formula>
    </cfRule>
  </conditionalFormatting>
  <conditionalFormatting sqref="V748">
    <cfRule type="expression" dxfId="4670" priority="5387">
      <formula>$H748="Cash"</formula>
    </cfRule>
  </conditionalFormatting>
  <conditionalFormatting sqref="V748">
    <cfRule type="expression" dxfId="4669" priority="5386">
      <formula>$H748="Cash"</formula>
    </cfRule>
  </conditionalFormatting>
  <conditionalFormatting sqref="T373">
    <cfRule type="expression" dxfId="4668" priority="5346">
      <formula>$O373="Applicant Signatures"</formula>
    </cfRule>
  </conditionalFormatting>
  <conditionalFormatting sqref="V741">
    <cfRule type="expression" dxfId="4667" priority="5211">
      <formula>$H741="Cash"</formula>
    </cfRule>
  </conditionalFormatting>
  <conditionalFormatting sqref="X897">
    <cfRule type="expression" dxfId="4666" priority="5096">
      <formula>$H897="Cash"</formula>
    </cfRule>
  </conditionalFormatting>
  <conditionalFormatting sqref="X897">
    <cfRule type="expression" dxfId="4665" priority="5095">
      <formula>$O897="Applicant Signatures"</formula>
    </cfRule>
  </conditionalFormatting>
  <conditionalFormatting sqref="S790">
    <cfRule type="expression" dxfId="4664" priority="4963">
      <formula>$H790="Cash"</formula>
    </cfRule>
  </conditionalFormatting>
  <conditionalFormatting sqref="T897 T791">
    <cfRule type="expression" dxfId="4663" priority="4958">
      <formula>$H791="Cash"</formula>
    </cfRule>
  </conditionalFormatting>
  <conditionalFormatting sqref="T897">
    <cfRule type="expression" dxfId="4662" priority="4957">
      <formula>$O897="Applicant Signatures"</formula>
    </cfRule>
  </conditionalFormatting>
  <conditionalFormatting sqref="V790">
    <cfRule type="expression" dxfId="4661" priority="4872">
      <formula>$O790="Applicant Signatures"</formula>
    </cfRule>
  </conditionalFormatting>
  <conditionalFormatting sqref="V894">
    <cfRule type="expression" dxfId="4660" priority="4490">
      <formula>$O894="Applicant Signatures"</formula>
    </cfRule>
  </conditionalFormatting>
  <conditionalFormatting sqref="R803:R886">
    <cfRule type="expression" dxfId="4659" priority="4457">
      <formula>$H803="Cash"</formula>
    </cfRule>
  </conditionalFormatting>
  <conditionalFormatting sqref="A803:X886">
    <cfRule type="expression" dxfId="4658" priority="4456">
      <formula>$H803="Cash"</formula>
    </cfRule>
  </conditionalFormatting>
  <conditionalFormatting sqref="A803:Z886 AB803:AB886">
    <cfRule type="expression" dxfId="4657" priority="4455">
      <formula>$O803="Applicant Signatures"</formula>
    </cfRule>
  </conditionalFormatting>
  <conditionalFormatting sqref="T803:T886">
    <cfRule type="expression" dxfId="4656" priority="4454">
      <formula>$H803="Cash"</formula>
    </cfRule>
  </conditionalFormatting>
  <conditionalFormatting sqref="T803:T886">
    <cfRule type="expression" dxfId="4655" priority="4453">
      <formula>$H803="Cash"</formula>
    </cfRule>
  </conditionalFormatting>
  <conditionalFormatting sqref="T803:T886">
    <cfRule type="expression" dxfId="4654" priority="4452">
      <formula>$H803="Cash"</formula>
    </cfRule>
  </conditionalFormatting>
  <conditionalFormatting sqref="X803:X886">
    <cfRule type="expression" dxfId="4653" priority="4451">
      <formula>$H803="Cash"</formula>
    </cfRule>
  </conditionalFormatting>
  <conditionalFormatting sqref="X803:X886">
    <cfRule type="expression" dxfId="4652" priority="4450">
      <formula>$H803="Cash"</formula>
    </cfRule>
  </conditionalFormatting>
  <conditionalFormatting sqref="X803:X886">
    <cfRule type="expression" dxfId="4651" priority="4449">
      <formula>$H803="Cash"</formula>
    </cfRule>
  </conditionalFormatting>
  <conditionalFormatting sqref="T803:T886">
    <cfRule type="expression" dxfId="4650" priority="4448">
      <formula>$H803="Cash"</formula>
    </cfRule>
  </conditionalFormatting>
  <conditionalFormatting sqref="R803:R886">
    <cfRule type="expression" dxfId="4649" priority="4447">
      <formula>$H803="Cash"</formula>
    </cfRule>
  </conditionalFormatting>
  <conditionalFormatting sqref="O803:O886">
    <cfRule type="expression" dxfId="4648" priority="4446">
      <formula>$H803="Cash"</formula>
    </cfRule>
  </conditionalFormatting>
  <conditionalFormatting sqref="O803:O886">
    <cfRule type="expression" dxfId="4647" priority="4445">
      <formula>$H803="Cash"</formula>
    </cfRule>
  </conditionalFormatting>
  <conditionalFormatting sqref="V803:V886">
    <cfRule type="expression" dxfId="4646" priority="4444">
      <formula>$H803="Cash"</formula>
    </cfRule>
  </conditionalFormatting>
  <conditionalFormatting sqref="R899:R919 R923:R924 R967:R981 R926:R965 R1083:R1116">
    <cfRule type="expression" dxfId="4645" priority="4443">
      <formula>$H899="Cash"</formula>
    </cfRule>
  </conditionalFormatting>
  <conditionalFormatting sqref="A899:X919 A923:X924 A920:Q922 S920:X922 A925:Q925 S925:X925 A966:Q966 S966:X966 A982:Q982 S982:X982 A1082:Q1082 S1082:X1082 A1117:Q1117 S1117:X1117 A1130:Q1130 S1130:X1130 A1143:Q1143 S1143:X1143 A1039:W1039 A1193:W1193 A1180:W1180 A1215:X1218 A1214:W1214 A1219:P1223 R1219:X1223 A1190:X1192 A1055:W1055 A1189:W1189 A967:X981 A1181:X1188 A1118:X1129 A1056:X1081 A1040:X1054 A1131:X1142 A926:X965 A1083:X1116">
    <cfRule type="expression" dxfId="4644" priority="4442">
      <formula>$H899="Cash"</formula>
    </cfRule>
  </conditionalFormatting>
  <conditionalFormatting sqref="A899:Z919 A923:Z924 A920:Q922 S920:Z922 A925:Q925 S925:Z925 A966:Q966 S966:Z966 A982:Q982 S982:Z982 A1082:Q1082 S1082:Z1082 A1117:Q1117 S1117:Z1117 A1130:Q1130 S1130:Z1130 A1143:Q1143 S1143:Z1143 Y1193:Z1193 Y1189:Z1189 A1039:W1039 Y1039:Z1039 Y1055:Z1055 Y1180:Z1180 A1193:W1193 A1180:W1180 A1215:Z1218 A1214:W1214 Y1214:Z1214 A1219:P1223 R1219:Z1223 A1190:Z1192 A1055:W1055 A1189:W1189 A967:Z981 A1181:Z1188 A1118:Z1129 A1056:Z1081 A1040:Z1054 A1131:Z1142 A926:Z965 A1083:Z1116 AB1214:AB1223 AB1180:AB1193 AB1039:AB1143 AB899:AB982">
    <cfRule type="expression" dxfId="4643" priority="4441">
      <formula>$O899="Applicant Signatures"</formula>
    </cfRule>
  </conditionalFormatting>
  <conditionalFormatting sqref="X1040:X1054 X1228:X1231 X1190:X1192 X1181:X1188 X1235:X1242 X1233 X1244">
    <cfRule type="expression" dxfId="4642" priority="4437">
      <formula>$H1040="Cash"</formula>
    </cfRule>
  </conditionalFormatting>
  <conditionalFormatting sqref="X1040:X1054 X1228:X1231 X1190:X1192 X1181:X1188 X1235:X1242 X1233 X1244">
    <cfRule type="expression" dxfId="4641" priority="4436">
      <formula>$H1040="Cash"</formula>
    </cfRule>
  </conditionalFormatting>
  <conditionalFormatting sqref="X1040:X1054 X1228:X1231 X1190:X1192 X1181:X1188 X1235:X1242 X1233 X1244">
    <cfRule type="expression" dxfId="4640" priority="4435">
      <formula>$H1040="Cash"</formula>
    </cfRule>
  </conditionalFormatting>
  <conditionalFormatting sqref="R899:R919 R923:R924 R967:R981 R926:R965 R1083:R1116">
    <cfRule type="expression" dxfId="4639" priority="4433">
      <formula>$H899="Cash"</formula>
    </cfRule>
  </conditionalFormatting>
  <conditionalFormatting sqref="R788">
    <cfRule type="expression" dxfId="4638" priority="4338">
      <formula>$H788="Cash"</formula>
    </cfRule>
  </conditionalFormatting>
  <conditionalFormatting sqref="R788">
    <cfRule type="expression" dxfId="4637" priority="4337">
      <formula>$H788="Cash"</formula>
    </cfRule>
  </conditionalFormatting>
  <conditionalFormatting sqref="R788">
    <cfRule type="expression" dxfId="4636" priority="4336">
      <formula>$O788="Applicant Signatures"</formula>
    </cfRule>
  </conditionalFormatting>
  <conditionalFormatting sqref="R788">
    <cfRule type="expression" dxfId="4635" priority="4335">
      <formula>$H788="Cash"</formula>
    </cfRule>
  </conditionalFormatting>
  <conditionalFormatting sqref="R813">
    <cfRule type="expression" dxfId="4634" priority="4334">
      <formula>$H813="Cash"</formula>
    </cfRule>
  </conditionalFormatting>
  <conditionalFormatting sqref="R813">
    <cfRule type="expression" dxfId="4633" priority="4333">
      <formula>$H813="Cash"</formula>
    </cfRule>
  </conditionalFormatting>
  <conditionalFormatting sqref="R813">
    <cfRule type="expression" dxfId="4632" priority="4332">
      <formula>$O813="Applicant Signatures"</formula>
    </cfRule>
  </conditionalFormatting>
  <conditionalFormatting sqref="R813">
    <cfRule type="expression" dxfId="4631" priority="4331">
      <formula>$H813="Cash"</formula>
    </cfRule>
  </conditionalFormatting>
  <conditionalFormatting sqref="R813">
    <cfRule type="expression" dxfId="4630" priority="4330">
      <formula>$H813="Cash"</formula>
    </cfRule>
  </conditionalFormatting>
  <conditionalFormatting sqref="R813">
    <cfRule type="expression" dxfId="4629" priority="4329">
      <formula>$O813="Applicant Signatures"</formula>
    </cfRule>
  </conditionalFormatting>
  <conditionalFormatting sqref="R813">
    <cfRule type="expression" dxfId="4628" priority="4328">
      <formula>$H813="Cash"</formula>
    </cfRule>
  </conditionalFormatting>
  <conditionalFormatting sqref="R890">
    <cfRule type="expression" dxfId="4627" priority="4327">
      <formula>$H890="Cash"</formula>
    </cfRule>
  </conditionalFormatting>
  <conditionalFormatting sqref="R890">
    <cfRule type="expression" dxfId="4626" priority="4326">
      <formula>$O890="Applicant Signatures"</formula>
    </cfRule>
  </conditionalFormatting>
  <conditionalFormatting sqref="R890">
    <cfRule type="expression" dxfId="4625" priority="4325">
      <formula>$H890="Cash"</formula>
    </cfRule>
  </conditionalFormatting>
  <conditionalFormatting sqref="R890">
    <cfRule type="expression" dxfId="4624" priority="4324">
      <formula>$O890="Applicant Signatures"</formula>
    </cfRule>
  </conditionalFormatting>
  <conditionalFormatting sqref="R890">
    <cfRule type="expression" dxfId="4623" priority="4323">
      <formula>$H890="Cash"</formula>
    </cfRule>
  </conditionalFormatting>
  <conditionalFormatting sqref="R890">
    <cfRule type="expression" dxfId="4622" priority="4322">
      <formula>$H890="Cash"</formula>
    </cfRule>
  </conditionalFormatting>
  <conditionalFormatting sqref="R890">
    <cfRule type="expression" dxfId="4621" priority="4321">
      <formula>$O890="Applicant Signatures"</formula>
    </cfRule>
  </conditionalFormatting>
  <conditionalFormatting sqref="R890">
    <cfRule type="expression" dxfId="4620" priority="4320">
      <formula>$H890="Cash"</formula>
    </cfRule>
  </conditionalFormatting>
  <conditionalFormatting sqref="R891">
    <cfRule type="expression" dxfId="4619" priority="4319">
      <formula>$H891="Cash"</formula>
    </cfRule>
  </conditionalFormatting>
  <conditionalFormatting sqref="R891">
    <cfRule type="expression" dxfId="4618" priority="4318">
      <formula>$O891="Applicant Signatures"</formula>
    </cfRule>
  </conditionalFormatting>
  <conditionalFormatting sqref="R891">
    <cfRule type="expression" dxfId="4617" priority="4317">
      <formula>$H891="Cash"</formula>
    </cfRule>
  </conditionalFormatting>
  <conditionalFormatting sqref="R891">
    <cfRule type="expression" dxfId="4616" priority="4316">
      <formula>$O891="Applicant Signatures"</formula>
    </cfRule>
  </conditionalFormatting>
  <conditionalFormatting sqref="R891">
    <cfRule type="expression" dxfId="4615" priority="4315">
      <formula>$H891="Cash"</formula>
    </cfRule>
  </conditionalFormatting>
  <conditionalFormatting sqref="R891">
    <cfRule type="expression" dxfId="4614" priority="4314">
      <formula>$H891="Cash"</formula>
    </cfRule>
  </conditionalFormatting>
  <conditionalFormatting sqref="R891">
    <cfRule type="expression" dxfId="4613" priority="4313">
      <formula>$O891="Applicant Signatures"</formula>
    </cfRule>
  </conditionalFormatting>
  <conditionalFormatting sqref="R891">
    <cfRule type="expression" dxfId="4612" priority="4312">
      <formula>$H891="Cash"</formula>
    </cfRule>
  </conditionalFormatting>
  <conditionalFormatting sqref="R892">
    <cfRule type="expression" dxfId="4611" priority="4311">
      <formula>$H892="Cash"</formula>
    </cfRule>
  </conditionalFormatting>
  <conditionalFormatting sqref="R892">
    <cfRule type="expression" dxfId="4610" priority="4310">
      <formula>$O892="Applicant Signatures"</formula>
    </cfRule>
  </conditionalFormatting>
  <conditionalFormatting sqref="R892">
    <cfRule type="expression" dxfId="4609" priority="4309">
      <formula>$H892="Cash"</formula>
    </cfRule>
  </conditionalFormatting>
  <conditionalFormatting sqref="R892">
    <cfRule type="expression" dxfId="4608" priority="4308">
      <formula>$O892="Applicant Signatures"</formula>
    </cfRule>
  </conditionalFormatting>
  <conditionalFormatting sqref="R892">
    <cfRule type="expression" dxfId="4607" priority="4307">
      <formula>$H892="Cash"</formula>
    </cfRule>
  </conditionalFormatting>
  <conditionalFormatting sqref="R892">
    <cfRule type="expression" dxfId="4606" priority="4306">
      <formula>$H892="Cash"</formula>
    </cfRule>
  </conditionalFormatting>
  <conditionalFormatting sqref="R892">
    <cfRule type="expression" dxfId="4605" priority="4305">
      <formula>$O892="Applicant Signatures"</formula>
    </cfRule>
  </conditionalFormatting>
  <conditionalFormatting sqref="R892">
    <cfRule type="expression" dxfId="4604" priority="4304">
      <formula>$H892="Cash"</formula>
    </cfRule>
  </conditionalFormatting>
  <conditionalFormatting sqref="R893">
    <cfRule type="expression" dxfId="4603" priority="4303">
      <formula>$H893="Cash"</formula>
    </cfRule>
  </conditionalFormatting>
  <conditionalFormatting sqref="R893">
    <cfRule type="expression" dxfId="4602" priority="4302">
      <formula>$O893="Applicant Signatures"</formula>
    </cfRule>
  </conditionalFormatting>
  <conditionalFormatting sqref="R893">
    <cfRule type="expression" dxfId="4601" priority="4301">
      <formula>$H893="Cash"</formula>
    </cfRule>
  </conditionalFormatting>
  <conditionalFormatting sqref="R893">
    <cfRule type="expression" dxfId="4600" priority="4300">
      <formula>$O893="Applicant Signatures"</formula>
    </cfRule>
  </conditionalFormatting>
  <conditionalFormatting sqref="R893">
    <cfRule type="expression" dxfId="4599" priority="4299">
      <formula>$H893="Cash"</formula>
    </cfRule>
  </conditionalFormatting>
  <conditionalFormatting sqref="R893">
    <cfRule type="expression" dxfId="4598" priority="4298">
      <formula>$H893="Cash"</formula>
    </cfRule>
  </conditionalFormatting>
  <conditionalFormatting sqref="R893">
    <cfRule type="expression" dxfId="4597" priority="4297">
      <formula>$O893="Applicant Signatures"</formula>
    </cfRule>
  </conditionalFormatting>
  <conditionalFormatting sqref="R893">
    <cfRule type="expression" dxfId="4596" priority="4296">
      <formula>$H893="Cash"</formula>
    </cfRule>
  </conditionalFormatting>
  <conditionalFormatting sqref="R920">
    <cfRule type="expression" dxfId="4595" priority="4295">
      <formula>$H920="Cash"</formula>
    </cfRule>
  </conditionalFormatting>
  <conditionalFormatting sqref="R920">
    <cfRule type="expression" dxfId="4594" priority="4294">
      <formula>$O920="Applicant Signatures"</formula>
    </cfRule>
  </conditionalFormatting>
  <conditionalFormatting sqref="R920">
    <cfRule type="expression" dxfId="4593" priority="4293">
      <formula>$H920="Cash"</formula>
    </cfRule>
  </conditionalFormatting>
  <conditionalFormatting sqref="R920">
    <cfRule type="expression" dxfId="4592" priority="4292">
      <formula>$O920="Applicant Signatures"</formula>
    </cfRule>
  </conditionalFormatting>
  <conditionalFormatting sqref="R920">
    <cfRule type="expression" dxfId="4591" priority="4291">
      <formula>$H920="Cash"</formula>
    </cfRule>
  </conditionalFormatting>
  <conditionalFormatting sqref="R920">
    <cfRule type="expression" dxfId="4590" priority="4290">
      <formula>$H920="Cash"</formula>
    </cfRule>
  </conditionalFormatting>
  <conditionalFormatting sqref="R920">
    <cfRule type="expression" dxfId="4589" priority="4289">
      <formula>$O920="Applicant Signatures"</formula>
    </cfRule>
  </conditionalFormatting>
  <conditionalFormatting sqref="R920">
    <cfRule type="expression" dxfId="4588" priority="4288">
      <formula>$H920="Cash"</formula>
    </cfRule>
  </conditionalFormatting>
  <conditionalFormatting sqref="R921">
    <cfRule type="expression" dxfId="4587" priority="4287">
      <formula>$H921="Cash"</formula>
    </cfRule>
  </conditionalFormatting>
  <conditionalFormatting sqref="R921">
    <cfRule type="expression" dxfId="4586" priority="4286">
      <formula>$O921="Applicant Signatures"</formula>
    </cfRule>
  </conditionalFormatting>
  <conditionalFormatting sqref="R921">
    <cfRule type="expression" dxfId="4585" priority="4285">
      <formula>$H921="Cash"</formula>
    </cfRule>
  </conditionalFormatting>
  <conditionalFormatting sqref="R921">
    <cfRule type="expression" dxfId="4584" priority="4284">
      <formula>$O921="Applicant Signatures"</formula>
    </cfRule>
  </conditionalFormatting>
  <conditionalFormatting sqref="R921">
    <cfRule type="expression" dxfId="4583" priority="4283">
      <formula>$H921="Cash"</formula>
    </cfRule>
  </conditionalFormatting>
  <conditionalFormatting sqref="R921">
    <cfRule type="expression" dxfId="4582" priority="4282">
      <formula>$H921="Cash"</formula>
    </cfRule>
  </conditionalFormatting>
  <conditionalFormatting sqref="R921">
    <cfRule type="expression" dxfId="4581" priority="4281">
      <formula>$O921="Applicant Signatures"</formula>
    </cfRule>
  </conditionalFormatting>
  <conditionalFormatting sqref="R921">
    <cfRule type="expression" dxfId="4580" priority="4280">
      <formula>$H921="Cash"</formula>
    </cfRule>
  </conditionalFormatting>
  <conditionalFormatting sqref="R922">
    <cfRule type="expression" dxfId="4579" priority="4279">
      <formula>$H922="Cash"</formula>
    </cfRule>
  </conditionalFormatting>
  <conditionalFormatting sqref="R922">
    <cfRule type="expression" dxfId="4578" priority="4278">
      <formula>$O922="Applicant Signatures"</formula>
    </cfRule>
  </conditionalFormatting>
  <conditionalFormatting sqref="R922">
    <cfRule type="expression" dxfId="4577" priority="4277">
      <formula>$H922="Cash"</formula>
    </cfRule>
  </conditionalFormatting>
  <conditionalFormatting sqref="R922">
    <cfRule type="expression" dxfId="4576" priority="4276">
      <formula>$O922="Applicant Signatures"</formula>
    </cfRule>
  </conditionalFormatting>
  <conditionalFormatting sqref="R922">
    <cfRule type="expression" dxfId="4575" priority="4275">
      <formula>$H922="Cash"</formula>
    </cfRule>
  </conditionalFormatting>
  <conditionalFormatting sqref="R922">
    <cfRule type="expression" dxfId="4574" priority="4274">
      <formula>$H922="Cash"</formula>
    </cfRule>
  </conditionalFormatting>
  <conditionalFormatting sqref="R922">
    <cfRule type="expression" dxfId="4573" priority="4273">
      <formula>$O922="Applicant Signatures"</formula>
    </cfRule>
  </conditionalFormatting>
  <conditionalFormatting sqref="R922">
    <cfRule type="expression" dxfId="4572" priority="4272">
      <formula>$H922="Cash"</formula>
    </cfRule>
  </conditionalFormatting>
  <conditionalFormatting sqref="R925">
    <cfRule type="expression" dxfId="4571" priority="4271">
      <formula>$H925="Cash"</formula>
    </cfRule>
  </conditionalFormatting>
  <conditionalFormatting sqref="R925">
    <cfRule type="expression" dxfId="4570" priority="4270">
      <formula>$H925="Cash"</formula>
    </cfRule>
  </conditionalFormatting>
  <conditionalFormatting sqref="R925">
    <cfRule type="expression" dxfId="4569" priority="4269">
      <formula>$O925="Applicant Signatures"</formula>
    </cfRule>
  </conditionalFormatting>
  <conditionalFormatting sqref="R925">
    <cfRule type="expression" dxfId="4568" priority="4268">
      <formula>$H925="Cash"</formula>
    </cfRule>
  </conditionalFormatting>
  <conditionalFormatting sqref="R925">
    <cfRule type="expression" dxfId="4567" priority="4267">
      <formula>$H925="Cash"</formula>
    </cfRule>
  </conditionalFormatting>
  <conditionalFormatting sqref="R925">
    <cfRule type="expression" dxfId="4566" priority="4266">
      <formula>$O925="Applicant Signatures"</formula>
    </cfRule>
  </conditionalFormatting>
  <conditionalFormatting sqref="R925">
    <cfRule type="expression" dxfId="4565" priority="4265">
      <formula>$H925="Cash"</formula>
    </cfRule>
  </conditionalFormatting>
  <conditionalFormatting sqref="R966">
    <cfRule type="expression" dxfId="4564" priority="4264">
      <formula>$H966="Cash"</formula>
    </cfRule>
  </conditionalFormatting>
  <conditionalFormatting sqref="R966">
    <cfRule type="expression" dxfId="4563" priority="4263">
      <formula>$H966="Cash"</formula>
    </cfRule>
  </conditionalFormatting>
  <conditionalFormatting sqref="R966">
    <cfRule type="expression" dxfId="4562" priority="4262">
      <formula>$O966="Applicant Signatures"</formula>
    </cfRule>
  </conditionalFormatting>
  <conditionalFormatting sqref="R966">
    <cfRule type="expression" dxfId="4561" priority="4261">
      <formula>$H966="Cash"</formula>
    </cfRule>
  </conditionalFormatting>
  <conditionalFormatting sqref="R966">
    <cfRule type="expression" dxfId="4560" priority="4260">
      <formula>$H966="Cash"</formula>
    </cfRule>
  </conditionalFormatting>
  <conditionalFormatting sqref="R966">
    <cfRule type="expression" dxfId="4559" priority="4259">
      <formula>$O966="Applicant Signatures"</formula>
    </cfRule>
  </conditionalFormatting>
  <conditionalFormatting sqref="R966">
    <cfRule type="expression" dxfId="4558" priority="4258">
      <formula>$H966="Cash"</formula>
    </cfRule>
  </conditionalFormatting>
  <conditionalFormatting sqref="R1143 R1130 R1117 R1082 R982">
    <cfRule type="expression" dxfId="4557" priority="4257">
      <formula>$H982="Cash"</formula>
    </cfRule>
  </conditionalFormatting>
  <conditionalFormatting sqref="R1143 R1130 R1117 R1082 R982">
    <cfRule type="expression" dxfId="4556" priority="4256">
      <formula>$H982="Cash"</formula>
    </cfRule>
  </conditionalFormatting>
  <conditionalFormatting sqref="R1143 R1130 R1117 R1082 R982">
    <cfRule type="expression" dxfId="4555" priority="4255">
      <formula>$O982="Applicant Signatures"</formula>
    </cfRule>
  </conditionalFormatting>
  <conditionalFormatting sqref="R1143 R1130 R1117 R1082 R982">
    <cfRule type="expression" dxfId="4554" priority="4254">
      <formula>$H982="Cash"</formula>
    </cfRule>
  </conditionalFormatting>
  <conditionalFormatting sqref="R1143 R1130 R1117 R1082 R982">
    <cfRule type="expression" dxfId="4553" priority="4253">
      <formula>$H982="Cash"</formula>
    </cfRule>
  </conditionalFormatting>
  <conditionalFormatting sqref="R1143 R1130 R1117 R1082 R982">
    <cfRule type="expression" dxfId="4552" priority="4252">
      <formula>$O982="Applicant Signatures"</formula>
    </cfRule>
  </conditionalFormatting>
  <conditionalFormatting sqref="R1143 R1130 R1117 R1082 R982">
    <cfRule type="expression" dxfId="4551" priority="4251">
      <formula>$H982="Cash"</formula>
    </cfRule>
  </conditionalFormatting>
  <conditionalFormatting sqref="A1224:P1224 R1224:Z1224 AB1224">
    <cfRule type="expression" dxfId="4550" priority="4046">
      <formula>$O1224="Applicant Signatures"</formula>
    </cfRule>
  </conditionalFormatting>
  <conditionalFormatting sqref="A1224:P1224 R1224:X1224">
    <cfRule type="expression" dxfId="4549" priority="4045">
      <formula>$H1224="Cash"</formula>
    </cfRule>
  </conditionalFormatting>
  <conditionalFormatting sqref="A1224:P1224 R1224:Z1224 AB1224">
    <cfRule type="expression" dxfId="4548" priority="4044">
      <formula>$O1224="Applicant Signatures"</formula>
    </cfRule>
  </conditionalFormatting>
  <conditionalFormatting sqref="X1180 A1377:A1384 Q1377:Q1385 Q1504:Q1529 A1504:A1529 Q1577:Q1587 A1577:A1587">
    <cfRule type="expression" dxfId="4547" priority="4012">
      <formula>#REF!="Cash"</formula>
    </cfRule>
  </conditionalFormatting>
  <conditionalFormatting sqref="X1180 A1377:A1384 Q1377:Q1385 Q1504:Q1529 A1504:A1529 Q1577:Q1587 A1577:A1587">
    <cfRule type="expression" dxfId="4546" priority="4013">
      <formula>#REF!="Applicant Signatures"</formula>
    </cfRule>
  </conditionalFormatting>
  <conditionalFormatting sqref="X1055">
    <cfRule type="expression" dxfId="4545" priority="4010">
      <formula>#REF!="Cash"</formula>
    </cfRule>
  </conditionalFormatting>
  <conditionalFormatting sqref="X1055">
    <cfRule type="expression" dxfId="4544" priority="4011">
      <formula>#REF!="Applicant Signatures"</formula>
    </cfRule>
  </conditionalFormatting>
  <conditionalFormatting sqref="X1039">
    <cfRule type="expression" dxfId="4543" priority="4008">
      <formula>#REF!="Cash"</formula>
    </cfRule>
  </conditionalFormatting>
  <conditionalFormatting sqref="X1039">
    <cfRule type="expression" dxfId="4542" priority="4009">
      <formula>#REF!="Applicant Signatures"</formula>
    </cfRule>
  </conditionalFormatting>
  <conditionalFormatting sqref="A1225:P1225 Y1225:Z1225 R1225:W1225 AB1225">
    <cfRule type="expression" dxfId="4541" priority="4007">
      <formula>$O1225="Applicant Signatures"</formula>
    </cfRule>
  </conditionalFormatting>
  <conditionalFormatting sqref="A1225:P1225 R1225:W1225">
    <cfRule type="expression" dxfId="4540" priority="4006">
      <formula>$H1225="Cash"</formula>
    </cfRule>
  </conditionalFormatting>
  <conditionalFormatting sqref="A1225:P1225 Y1225:Z1225 R1225:W1225 AB1225">
    <cfRule type="expression" dxfId="4539" priority="4005">
      <formula>$O1225="Applicant Signatures"</formula>
    </cfRule>
  </conditionalFormatting>
  <conditionalFormatting sqref="A1226:P1226 Y1226:Z1226 R1226:W1226 AB1226">
    <cfRule type="expression" dxfId="4538" priority="4004">
      <formula>$O1226="Applicant Signatures"</formula>
    </cfRule>
  </conditionalFormatting>
  <conditionalFormatting sqref="A1226:P1226 R1226:W1226">
    <cfRule type="expression" dxfId="4537" priority="4003">
      <formula>$H1226="Cash"</formula>
    </cfRule>
  </conditionalFormatting>
  <conditionalFormatting sqref="A1226:P1226 Y1226:Z1226 R1226:W1226 AB1226">
    <cfRule type="expression" dxfId="4536" priority="4002">
      <formula>$O1226="Applicant Signatures"</formula>
    </cfRule>
  </conditionalFormatting>
  <conditionalFormatting sqref="B1227:P1227 Y1227:Z1227 R1227:W1227 AB1227">
    <cfRule type="expression" dxfId="4535" priority="4001">
      <formula>$O1227="Applicant Signatures"</formula>
    </cfRule>
  </conditionalFormatting>
  <conditionalFormatting sqref="B1227:P1227 R1227:W1227">
    <cfRule type="expression" dxfId="4534" priority="4000">
      <formula>$H1227="Cash"</formula>
    </cfRule>
  </conditionalFormatting>
  <conditionalFormatting sqref="B1227:P1227 Y1227:Z1227 R1227:W1227 AB1227">
    <cfRule type="expression" dxfId="4533" priority="3999">
      <formula>$O1227="Applicant Signatures"</formula>
    </cfRule>
  </conditionalFormatting>
  <conditionalFormatting sqref="A1227">
    <cfRule type="expression" dxfId="4532" priority="3998">
      <formula>$O1227="Applicant Signatures"</formula>
    </cfRule>
  </conditionalFormatting>
  <conditionalFormatting sqref="A1227">
    <cfRule type="expression" dxfId="4531" priority="3997">
      <formula>$H1227="Cash"</formula>
    </cfRule>
  </conditionalFormatting>
  <conditionalFormatting sqref="A1227">
    <cfRule type="expression" dxfId="4530" priority="3996">
      <formula>$O1227="Applicant Signatures"</formula>
    </cfRule>
  </conditionalFormatting>
  <conditionalFormatting sqref="A1228:P1228 R1228:Z1228 AB1228">
    <cfRule type="expression" dxfId="4529" priority="3992">
      <formula>$O1228="Applicant Signatures"</formula>
    </cfRule>
  </conditionalFormatting>
  <conditionalFormatting sqref="A1228:P1228 R1228:X1228">
    <cfRule type="expression" dxfId="4528" priority="3991">
      <formula>$H1228="Cash"</formula>
    </cfRule>
  </conditionalFormatting>
  <conditionalFormatting sqref="A1228:P1228 R1228:Z1228 AB1228">
    <cfRule type="expression" dxfId="4527" priority="3990">
      <formula>$O1228="Applicant Signatures"</formula>
    </cfRule>
  </conditionalFormatting>
  <conditionalFormatting sqref="A1229:P1229 R1229:Z1229 AB1229">
    <cfRule type="expression" dxfId="4526" priority="3989">
      <formula>$O1229="Applicant Signatures"</formula>
    </cfRule>
  </conditionalFormatting>
  <conditionalFormatting sqref="A1229:P1229 R1229:X1229">
    <cfRule type="expression" dxfId="4525" priority="3988">
      <formula>$H1229="Cash"</formula>
    </cfRule>
  </conditionalFormatting>
  <conditionalFormatting sqref="A1229:P1229 R1229:Z1229 AB1229">
    <cfRule type="expression" dxfId="4524" priority="3987">
      <formula>$O1229="Applicant Signatures"</formula>
    </cfRule>
  </conditionalFormatting>
  <conditionalFormatting sqref="X1214">
    <cfRule type="expression" dxfId="4523" priority="3985">
      <formula>#REF!="Cash"</formula>
    </cfRule>
  </conditionalFormatting>
  <conditionalFormatting sqref="X1214">
    <cfRule type="expression" dxfId="4522" priority="3986">
      <formula>#REF!="Applicant Signatures"</formula>
    </cfRule>
  </conditionalFormatting>
  <conditionalFormatting sqref="O1226">
    <cfRule type="expression" dxfId="4521" priority="3979">
      <formula>$O1226="Applicant Signatures"</formula>
    </cfRule>
  </conditionalFormatting>
  <conditionalFormatting sqref="O1226">
    <cfRule type="expression" dxfId="4520" priority="3978">
      <formula>$H1226="Cash"</formula>
    </cfRule>
  </conditionalFormatting>
  <conditionalFormatting sqref="O1226">
    <cfRule type="expression" dxfId="4519" priority="3977">
      <formula>$O1226="Applicant Signatures"</formula>
    </cfRule>
  </conditionalFormatting>
  <conditionalFormatting sqref="O1227">
    <cfRule type="expression" dxfId="4518" priority="3976">
      <formula>$O1227="Applicant Signatures"</formula>
    </cfRule>
  </conditionalFormatting>
  <conditionalFormatting sqref="O1227">
    <cfRule type="expression" dxfId="4517" priority="3975">
      <formula>$H1227="Cash"</formula>
    </cfRule>
  </conditionalFormatting>
  <conditionalFormatting sqref="O1227">
    <cfRule type="expression" dxfId="4516" priority="3974">
      <formula>$O1227="Applicant Signatures"</formula>
    </cfRule>
  </conditionalFormatting>
  <conditionalFormatting sqref="X1225">
    <cfRule type="expression" dxfId="4515" priority="3972">
      <formula>#REF!="Cash"</formula>
    </cfRule>
  </conditionalFormatting>
  <conditionalFormatting sqref="X1225">
    <cfRule type="expression" dxfId="4514" priority="3973">
      <formula>#REF!="Applicant Signatures"</formula>
    </cfRule>
  </conditionalFormatting>
  <conditionalFormatting sqref="X1226">
    <cfRule type="expression" dxfId="4513" priority="3970">
      <formula>#REF!="Cash"</formula>
    </cfRule>
  </conditionalFormatting>
  <conditionalFormatting sqref="X1226">
    <cfRule type="expression" dxfId="4512" priority="3971">
      <formula>#REF!="Applicant Signatures"</formula>
    </cfRule>
  </conditionalFormatting>
  <conditionalFormatting sqref="X1227">
    <cfRule type="expression" dxfId="4511" priority="3968">
      <formula>#REF!="Cash"</formula>
    </cfRule>
  </conditionalFormatting>
  <conditionalFormatting sqref="X1227">
    <cfRule type="expression" dxfId="4510" priority="3969">
      <formula>#REF!="Applicant Signatures"</formula>
    </cfRule>
  </conditionalFormatting>
  <conditionalFormatting sqref="X1189">
    <cfRule type="expression" dxfId="4509" priority="3966">
      <formula>#REF!="Cash"</formula>
    </cfRule>
  </conditionalFormatting>
  <conditionalFormatting sqref="X1189">
    <cfRule type="expression" dxfId="4508" priority="3967">
      <formula>#REF!="Applicant Signatures"</formula>
    </cfRule>
  </conditionalFormatting>
  <conditionalFormatting sqref="X1193">
    <cfRule type="expression" dxfId="4507" priority="3964">
      <formula>#REF!="Cash"</formula>
    </cfRule>
  </conditionalFormatting>
  <conditionalFormatting sqref="X1193">
    <cfRule type="expression" dxfId="4506" priority="3965">
      <formula>#REF!="Applicant Signatures"</formula>
    </cfRule>
  </conditionalFormatting>
  <conditionalFormatting sqref="B1230:P1230 R1230:Z1230 AB1230">
    <cfRule type="expression" dxfId="4505" priority="3963">
      <formula>$O1230="Applicant Signatures"</formula>
    </cfRule>
  </conditionalFormatting>
  <conditionalFormatting sqref="B1230:P1230 R1230:X1230">
    <cfRule type="expression" dxfId="4504" priority="3962">
      <formula>$H1230="Cash"</formula>
    </cfRule>
  </conditionalFormatting>
  <conditionalFormatting sqref="B1230:P1230 R1230:Z1230 AB1230">
    <cfRule type="expression" dxfId="4503" priority="3961">
      <formula>$O1230="Applicant Signatures"</formula>
    </cfRule>
  </conditionalFormatting>
  <conditionalFormatting sqref="B1231:P1235 R1231:Z1231 R1235:Z1235 R1234:W1234 Y1234:Z1234 R1233:Z1233 R1232:W1232 Y1232:Z1232 AB1231:AB1235">
    <cfRule type="expression" dxfId="4502" priority="3960">
      <formula>$O1231="Applicant Signatures"</formula>
    </cfRule>
  </conditionalFormatting>
  <conditionalFormatting sqref="B1231:P1235 R1231:X1231 R1235:X1235 R1234:W1234 R1233:X1233 R1232:W1232">
    <cfRule type="expression" dxfId="4501" priority="3959">
      <formula>$H1231="Cash"</formula>
    </cfRule>
  </conditionalFormatting>
  <conditionalFormatting sqref="B1231:P1235 R1231:Z1231 R1235:Z1235 R1234:W1234 Y1234:Z1234 R1233:Z1233 R1232:W1232 Y1232:Z1232 AB1231:AB1235">
    <cfRule type="expression" dxfId="4500" priority="3958">
      <formula>$O1231="Applicant Signatures"</formula>
    </cfRule>
  </conditionalFormatting>
  <conditionalFormatting sqref="X1231 X1235:X1242 X1233 X1244">
    <cfRule type="expression" dxfId="4499" priority="3957">
      <formula>$O1231="Applicant Signatures"</formula>
    </cfRule>
  </conditionalFormatting>
  <conditionalFormatting sqref="X1231 X1235:X1242 X1233 X1244">
    <cfRule type="expression" dxfId="4498" priority="3956">
      <formula>$H1231="Cash"</formula>
    </cfRule>
  </conditionalFormatting>
  <conditionalFormatting sqref="X1231 X1235:X1242 X1233 X1244">
    <cfRule type="expression" dxfId="4497" priority="3955">
      <formula>$O1231="Applicant Signatures"</formula>
    </cfRule>
  </conditionalFormatting>
  <conditionalFormatting sqref="B1236:P1244 R1236:Z1242 R1244:Z1244 R1243:W1243 Y1243:Z1243 AB1236:AB1244">
    <cfRule type="expression" dxfId="4496" priority="3954">
      <formula>$O1236="Applicant Signatures"</formula>
    </cfRule>
  </conditionalFormatting>
  <conditionalFormatting sqref="B1236:P1244 R1236:X1242 R1244:X1244 R1243:W1243">
    <cfRule type="expression" dxfId="4495" priority="3953">
      <formula>$H1236="Cash"</formula>
    </cfRule>
  </conditionalFormatting>
  <conditionalFormatting sqref="B1236:P1244 R1236:Z1242 R1244:Z1244 R1243:W1243 Y1243:Z1243 AB1236:AB1244">
    <cfRule type="expression" dxfId="4494" priority="3952">
      <formula>$O1236="Applicant Signatures"</formula>
    </cfRule>
  </conditionalFormatting>
  <conditionalFormatting sqref="X1236:X1242 X1244">
    <cfRule type="expression" dxfId="4493" priority="3951">
      <formula>$O1236="Applicant Signatures"</formula>
    </cfRule>
  </conditionalFormatting>
  <conditionalFormatting sqref="X1236:X1242 X1244">
    <cfRule type="expression" dxfId="4492" priority="3950">
      <formula>$H1236="Cash"</formula>
    </cfRule>
  </conditionalFormatting>
  <conditionalFormatting sqref="X1236:X1242 X1244">
    <cfRule type="expression" dxfId="4491" priority="3949">
      <formula>$O1236="Applicant Signatures"</formula>
    </cfRule>
  </conditionalFormatting>
  <conditionalFormatting sqref="O1206:O1207">
    <cfRule type="expression" dxfId="4490" priority="3939">
      <formula>$H1206="Cash"</formula>
    </cfRule>
  </conditionalFormatting>
  <conditionalFormatting sqref="O1206:O1207">
    <cfRule type="expression" dxfId="4489" priority="3938">
      <formula>$O1206="Applicant Signatures"</formula>
    </cfRule>
  </conditionalFormatting>
  <conditionalFormatting sqref="O1207">
    <cfRule type="expression" dxfId="4488" priority="3937">
      <formula>$H1207="Cash"</formula>
    </cfRule>
  </conditionalFormatting>
  <conditionalFormatting sqref="O1207">
    <cfRule type="expression" dxfId="4487" priority="3936">
      <formula>$O1207="Applicant Signatures"</formula>
    </cfRule>
  </conditionalFormatting>
  <conditionalFormatting sqref="X1206">
    <cfRule type="expression" dxfId="4486" priority="3935">
      <formula>$H1206="Cash"</formula>
    </cfRule>
  </conditionalFormatting>
  <conditionalFormatting sqref="X1206">
    <cfRule type="expression" dxfId="4485" priority="3934">
      <formula>$O1206="Applicant Signatures"</formula>
    </cfRule>
  </conditionalFormatting>
  <conditionalFormatting sqref="X1206">
    <cfRule type="expression" dxfId="4484" priority="3933">
      <formula>$H1206="Cash"</formula>
    </cfRule>
  </conditionalFormatting>
  <conditionalFormatting sqref="X1206">
    <cfRule type="expression" dxfId="4483" priority="3932">
      <formula>$H1206="Cash"</formula>
    </cfRule>
  </conditionalFormatting>
  <conditionalFormatting sqref="X1206">
    <cfRule type="expression" dxfId="4482" priority="3931">
      <formula>$H1206="Cash"</formula>
    </cfRule>
  </conditionalFormatting>
  <conditionalFormatting sqref="X1207">
    <cfRule type="expression" dxfId="4481" priority="3930">
      <formula>$H1207="Cash"</formula>
    </cfRule>
  </conditionalFormatting>
  <conditionalFormatting sqref="X1207">
    <cfRule type="expression" dxfId="4480" priority="3929">
      <formula>$O1207="Applicant Signatures"</formula>
    </cfRule>
  </conditionalFormatting>
  <conditionalFormatting sqref="X1207">
    <cfRule type="expression" dxfId="4479" priority="3928">
      <formula>$H1207="Cash"</formula>
    </cfRule>
  </conditionalFormatting>
  <conditionalFormatting sqref="X1207">
    <cfRule type="expression" dxfId="4478" priority="3927">
      <formula>$H1207="Cash"</formula>
    </cfRule>
  </conditionalFormatting>
  <conditionalFormatting sqref="X1207">
    <cfRule type="expression" dxfId="4477" priority="3926">
      <formula>$H1207="Cash"</formula>
    </cfRule>
  </conditionalFormatting>
  <conditionalFormatting sqref="B1245:P1245 R1245:W1245 Y1245:Z1245 AB1245">
    <cfRule type="expression" dxfId="4476" priority="3925">
      <formula>$O1245="Applicant Signatures"</formula>
    </cfRule>
  </conditionalFormatting>
  <conditionalFormatting sqref="B1245:P1245 R1245:W1245">
    <cfRule type="expression" dxfId="4475" priority="3924">
      <formula>$H1245="Cash"</formula>
    </cfRule>
  </conditionalFormatting>
  <conditionalFormatting sqref="B1245:P1245 R1245:W1245 Y1245:Z1245 AB1245">
    <cfRule type="expression" dxfId="4474" priority="3923">
      <formula>$O1245="Applicant Signatures"</formula>
    </cfRule>
  </conditionalFormatting>
  <conditionalFormatting sqref="A1246:Z1246 AB1246">
    <cfRule type="expression" dxfId="4473" priority="3922">
      <formula>$O1246="Applicant Signatures"</formula>
    </cfRule>
  </conditionalFormatting>
  <conditionalFormatting sqref="Q1247 T1247 O1247">
    <cfRule type="expression" dxfId="4472" priority="3921">
      <formula>$H1247="Cash"</formula>
    </cfRule>
  </conditionalFormatting>
  <conditionalFormatting sqref="A1247:Q1247 Y1247:Z1247 AB1247 S1247:U1247">
    <cfRule type="expression" dxfId="4471" priority="3920">
      <formula>$O1247="Applicant Signatures"</formula>
    </cfRule>
  </conditionalFormatting>
  <conditionalFormatting sqref="A1247:Q1247 S1247:U1247">
    <cfRule type="expression" dxfId="4470" priority="3918">
      <formula>$H1247="Cash"</formula>
    </cfRule>
  </conditionalFormatting>
  <conditionalFormatting sqref="A1247:Q1247 Y1247:Z1247 AB1247 S1247:U1247">
    <cfRule type="expression" dxfId="4469" priority="3917">
      <formula>$O1247="Applicant Signatures"</formula>
    </cfRule>
  </conditionalFormatting>
  <conditionalFormatting sqref="X1246">
    <cfRule type="expression" dxfId="4468" priority="3910">
      <formula>$O1246="Applicant Signatures"</formula>
    </cfRule>
  </conditionalFormatting>
  <conditionalFormatting sqref="O1245">
    <cfRule type="expression" dxfId="4467" priority="3909">
      <formula>$O1245="Applicant Signatures"</formula>
    </cfRule>
  </conditionalFormatting>
  <conditionalFormatting sqref="O1246">
    <cfRule type="expression" dxfId="4466" priority="3908">
      <formula>$O1246="Applicant Signatures"</formula>
    </cfRule>
  </conditionalFormatting>
  <conditionalFormatting sqref="X1200">
    <cfRule type="expression" dxfId="4465" priority="3905">
      <formula>$O1200="Applicant Signatures"</formula>
    </cfRule>
  </conditionalFormatting>
  <conditionalFormatting sqref="X1200">
    <cfRule type="expression" dxfId="4464" priority="3904">
      <formula>$O1200="Applicant Signatures"</formula>
    </cfRule>
  </conditionalFormatting>
  <conditionalFormatting sqref="R1248 T1248 O1248 V1248:V1250">
    <cfRule type="expression" dxfId="4463" priority="3901">
      <formula>$H1248="Cash"</formula>
    </cfRule>
  </conditionalFormatting>
  <conditionalFormatting sqref="B1248:P1248 R1248:W1248 Y1248:Z1248 AB1248">
    <cfRule type="expression" dxfId="4462" priority="3890">
      <formula>$O1248="Applicant Signatures"</formula>
    </cfRule>
  </conditionalFormatting>
  <conditionalFormatting sqref="B1248:P1248 R1248:W1248">
    <cfRule type="expression" dxfId="4461" priority="3889">
      <formula>$H1248="Cash"</formula>
    </cfRule>
  </conditionalFormatting>
  <conditionalFormatting sqref="B1248:P1248 R1248:W1248 Y1248:Z1248 AB1248">
    <cfRule type="expression" dxfId="4460" priority="3888">
      <formula>$O1248="Applicant Signatures"</formula>
    </cfRule>
  </conditionalFormatting>
  <conditionalFormatting sqref="T1249 O1249">
    <cfRule type="expression" dxfId="4459" priority="3884">
      <formula>$H1249="Cash"</formula>
    </cfRule>
  </conditionalFormatting>
  <conditionalFormatting sqref="B1249:P1249 S1249:U1249 W1249 Y1249:Z1249 AB1249">
    <cfRule type="expression" dxfId="4458" priority="3873">
      <formula>$O1249="Applicant Signatures"</formula>
    </cfRule>
  </conditionalFormatting>
  <conditionalFormatting sqref="B1249:P1249 S1249:U1249 W1249">
    <cfRule type="expression" dxfId="4457" priority="3872">
      <formula>$H1249="Cash"</formula>
    </cfRule>
  </conditionalFormatting>
  <conditionalFormatting sqref="B1249:P1249 S1249:U1249 W1249 Y1249:Z1249 AB1249">
    <cfRule type="expression" dxfId="4456" priority="3871">
      <formula>$O1249="Applicant Signatures"</formula>
    </cfRule>
  </conditionalFormatting>
  <conditionalFormatting sqref="T1250 O1250">
    <cfRule type="expression" dxfId="4455" priority="3867">
      <formula>$H1250="Cash"</formula>
    </cfRule>
  </conditionalFormatting>
  <conditionalFormatting sqref="B1250:P1250 S1250:U1250 W1250 Y1250:Z1250 AB1250">
    <cfRule type="expression" dxfId="4454" priority="3856">
      <formula>$O1250="Applicant Signatures"</formula>
    </cfRule>
  </conditionalFormatting>
  <conditionalFormatting sqref="B1250:P1250 S1250:U1250 W1250">
    <cfRule type="expression" dxfId="4453" priority="3855">
      <formula>$H1250="Cash"</formula>
    </cfRule>
  </conditionalFormatting>
  <conditionalFormatting sqref="B1250:P1250 S1250:U1250 W1250 Y1250:Z1250 AB1250">
    <cfRule type="expression" dxfId="4452" priority="3854">
      <formula>$O1250="Applicant Signatures"</formula>
    </cfRule>
  </conditionalFormatting>
  <conditionalFormatting sqref="V1249">
    <cfRule type="expression" dxfId="4451" priority="3850">
      <formula>$O1249="Applicant Signatures"</formula>
    </cfRule>
  </conditionalFormatting>
  <conditionalFormatting sqref="V1249">
    <cfRule type="expression" dxfId="4450" priority="3849">
      <formula>$H1249="Cash"</formula>
    </cfRule>
  </conditionalFormatting>
  <conditionalFormatting sqref="V1249">
    <cfRule type="expression" dxfId="4449" priority="3848">
      <formula>$O1249="Applicant Signatures"</formula>
    </cfRule>
  </conditionalFormatting>
  <conditionalFormatting sqref="V1250">
    <cfRule type="expression" dxfId="4448" priority="3847">
      <formula>$O1250="Applicant Signatures"</formula>
    </cfRule>
  </conditionalFormatting>
  <conditionalFormatting sqref="V1250">
    <cfRule type="expression" dxfId="4447" priority="3846">
      <formula>$H1250="Cash"</formula>
    </cfRule>
  </conditionalFormatting>
  <conditionalFormatting sqref="V1250">
    <cfRule type="expression" dxfId="4446" priority="3845">
      <formula>$O1250="Applicant Signatures"</formula>
    </cfRule>
  </conditionalFormatting>
  <conditionalFormatting sqref="X1248">
    <cfRule type="expression" dxfId="4445" priority="3844">
      <formula>$H1248="Cash"</formula>
    </cfRule>
  </conditionalFormatting>
  <conditionalFormatting sqref="X1248">
    <cfRule type="expression" dxfId="4444" priority="3843">
      <formula>$H1248="Cash"</formula>
    </cfRule>
  </conditionalFormatting>
  <conditionalFormatting sqref="X1248">
    <cfRule type="expression" dxfId="4443" priority="3842">
      <formula>$H1248="Cash"</formula>
    </cfRule>
  </conditionalFormatting>
  <conditionalFormatting sqref="X1248">
    <cfRule type="expression" dxfId="4442" priority="3841">
      <formula>$O1248="Applicant Signatures"</formula>
    </cfRule>
  </conditionalFormatting>
  <conditionalFormatting sqref="X1248">
    <cfRule type="expression" dxfId="4441" priority="3840">
      <formula>$H1248="Cash"</formula>
    </cfRule>
  </conditionalFormatting>
  <conditionalFormatting sqref="X1248">
    <cfRule type="expression" dxfId="4440" priority="3839">
      <formula>$O1248="Applicant Signatures"</formula>
    </cfRule>
  </conditionalFormatting>
  <conditionalFormatting sqref="X1249">
    <cfRule type="expression" dxfId="4439" priority="3838">
      <formula>$H1249="Cash"</formula>
    </cfRule>
  </conditionalFormatting>
  <conditionalFormatting sqref="X1249">
    <cfRule type="expression" dxfId="4438" priority="3837">
      <formula>$H1249="Cash"</formula>
    </cfRule>
  </conditionalFormatting>
  <conditionalFormatting sqref="X1249">
    <cfRule type="expression" dxfId="4437" priority="3836">
      <formula>$H1249="Cash"</formula>
    </cfRule>
  </conditionalFormatting>
  <conditionalFormatting sqref="X1249">
    <cfRule type="expression" dxfId="4436" priority="3835">
      <formula>$O1249="Applicant Signatures"</formula>
    </cfRule>
  </conditionalFormatting>
  <conditionalFormatting sqref="X1249">
    <cfRule type="expression" dxfId="4435" priority="3834">
      <formula>$H1249="Cash"</formula>
    </cfRule>
  </conditionalFormatting>
  <conditionalFormatting sqref="X1249">
    <cfRule type="expression" dxfId="4434" priority="3833">
      <formula>$O1249="Applicant Signatures"</formula>
    </cfRule>
  </conditionalFormatting>
  <conditionalFormatting sqref="X1250">
    <cfRule type="expression" dxfId="4433" priority="3832">
      <formula>$H1250="Cash"</formula>
    </cfRule>
  </conditionalFormatting>
  <conditionalFormatting sqref="X1250">
    <cfRule type="expression" dxfId="4432" priority="3831">
      <formula>$H1250="Cash"</formula>
    </cfRule>
  </conditionalFormatting>
  <conditionalFormatting sqref="X1250">
    <cfRule type="expression" dxfId="4431" priority="3830">
      <formula>$H1250="Cash"</formula>
    </cfRule>
  </conditionalFormatting>
  <conditionalFormatting sqref="X1250">
    <cfRule type="expression" dxfId="4430" priority="3829">
      <formula>$O1250="Applicant Signatures"</formula>
    </cfRule>
  </conditionalFormatting>
  <conditionalFormatting sqref="X1250">
    <cfRule type="expression" dxfId="4429" priority="3828">
      <formula>$H1250="Cash"</formula>
    </cfRule>
  </conditionalFormatting>
  <conditionalFormatting sqref="X1250">
    <cfRule type="expression" dxfId="4428" priority="3827">
      <formula>$O1250="Applicant Signatures"</formula>
    </cfRule>
  </conditionalFormatting>
  <conditionalFormatting sqref="X1245">
    <cfRule type="expression" dxfId="4427" priority="3826">
      <formula>$H1245="Cash"</formula>
    </cfRule>
  </conditionalFormatting>
  <conditionalFormatting sqref="X1245">
    <cfRule type="expression" dxfId="4426" priority="3825">
      <formula>$O1245="Applicant Signatures"</formula>
    </cfRule>
  </conditionalFormatting>
  <conditionalFormatting sqref="X1245">
    <cfRule type="expression" dxfId="4425" priority="3824">
      <formula>$O1245="Applicant Signatures"</formula>
    </cfRule>
  </conditionalFormatting>
  <conditionalFormatting sqref="X1245">
    <cfRule type="expression" dxfId="4424" priority="3823">
      <formula>$O1245="Applicant Signatures"</formula>
    </cfRule>
  </conditionalFormatting>
  <conditionalFormatting sqref="X1246">
    <cfRule type="expression" dxfId="4423" priority="3822">
      <formula>$O1246="Applicant Signatures"</formula>
    </cfRule>
  </conditionalFormatting>
  <conditionalFormatting sqref="X1246">
    <cfRule type="expression" dxfId="4422" priority="3821">
      <formula>$O1246="Applicant Signatures"</formula>
    </cfRule>
  </conditionalFormatting>
  <conditionalFormatting sqref="X1246">
    <cfRule type="expression" dxfId="4421" priority="3820">
      <formula>$O1246="Applicant Signatures"</formula>
    </cfRule>
  </conditionalFormatting>
  <conditionalFormatting sqref="X1247">
    <cfRule type="expression" dxfId="4420" priority="3819">
      <formula>$H1247="Cash"</formula>
    </cfRule>
  </conditionalFormatting>
  <conditionalFormatting sqref="X1247">
    <cfRule type="expression" dxfId="4419" priority="3818">
      <formula>$O1247="Applicant Signatures"</formula>
    </cfRule>
  </conditionalFormatting>
  <conditionalFormatting sqref="X1247">
    <cfRule type="expression" dxfId="4418" priority="3817">
      <formula>$O1247="Applicant Signatures"</formula>
    </cfRule>
  </conditionalFormatting>
  <conditionalFormatting sqref="X1247">
    <cfRule type="expression" dxfId="4417" priority="3816">
      <formula>$O1247="Applicant Signatures"</formula>
    </cfRule>
  </conditionalFormatting>
  <conditionalFormatting sqref="X1251">
    <cfRule type="expression" dxfId="4416" priority="3815">
      <formula>$H1251="Cash"</formula>
    </cfRule>
  </conditionalFormatting>
  <conditionalFormatting sqref="X1251">
    <cfRule type="expression" dxfId="4415" priority="3814">
      <formula>$H1251="Cash"</formula>
    </cfRule>
  </conditionalFormatting>
  <conditionalFormatting sqref="X1251">
    <cfRule type="expression" dxfId="4414" priority="3813">
      <formula>$H1251="Cash"</formula>
    </cfRule>
  </conditionalFormatting>
  <conditionalFormatting sqref="B1251:P1251 S1251:Z1251 AB1251">
    <cfRule type="expression" dxfId="4413" priority="3812">
      <formula>$O1251="Applicant Signatures"</formula>
    </cfRule>
  </conditionalFormatting>
  <conditionalFormatting sqref="B1251:P1251 S1251:X1251">
    <cfRule type="expression" dxfId="4412" priority="3811">
      <formula>$H1251="Cash"</formula>
    </cfRule>
  </conditionalFormatting>
  <conditionalFormatting sqref="B1251:P1251 S1251:Z1251 AB1251">
    <cfRule type="expression" dxfId="4411" priority="3810">
      <formula>$O1251="Applicant Signatures"</formula>
    </cfRule>
  </conditionalFormatting>
  <conditionalFormatting sqref="X1251">
    <cfRule type="expression" dxfId="4410" priority="3809">
      <formula>$O1251="Applicant Signatures"</formula>
    </cfRule>
  </conditionalFormatting>
  <conditionalFormatting sqref="X1251">
    <cfRule type="expression" dxfId="4409" priority="3808">
      <formula>$H1251="Cash"</formula>
    </cfRule>
  </conditionalFormatting>
  <conditionalFormatting sqref="X1251">
    <cfRule type="expression" dxfId="4408" priority="3807">
      <formula>$O1251="Applicant Signatures"</formula>
    </cfRule>
  </conditionalFormatting>
  <conditionalFormatting sqref="X1252">
    <cfRule type="expression" dxfId="4407" priority="3806">
      <formula>$H1252="Cash"</formula>
    </cfRule>
  </conditionalFormatting>
  <conditionalFormatting sqref="X1252">
    <cfRule type="expression" dxfId="4406" priority="3805">
      <formula>$H1252="Cash"</formula>
    </cfRule>
  </conditionalFormatting>
  <conditionalFormatting sqref="X1252">
    <cfRule type="expression" dxfId="4405" priority="3804">
      <formula>$H1252="Cash"</formula>
    </cfRule>
  </conditionalFormatting>
  <conditionalFormatting sqref="B1252:P1252 S1252:Z1252 AB1252">
    <cfRule type="expression" dxfId="4404" priority="3803">
      <formula>$O1252="Applicant Signatures"</formula>
    </cfRule>
  </conditionalFormatting>
  <conditionalFormatting sqref="B1252:P1252 S1252:X1252">
    <cfRule type="expression" dxfId="4403" priority="3802">
      <formula>$H1252="Cash"</formula>
    </cfRule>
  </conditionalFormatting>
  <conditionalFormatting sqref="B1252:P1252 S1252:Z1252 AB1252">
    <cfRule type="expression" dxfId="4402" priority="3801">
      <formula>$O1252="Applicant Signatures"</formula>
    </cfRule>
  </conditionalFormatting>
  <conditionalFormatting sqref="X1252">
    <cfRule type="expression" dxfId="4401" priority="3800">
      <formula>$O1252="Applicant Signatures"</formula>
    </cfRule>
  </conditionalFormatting>
  <conditionalFormatting sqref="X1252">
    <cfRule type="expression" dxfId="4400" priority="3799">
      <formula>$H1252="Cash"</formula>
    </cfRule>
  </conditionalFormatting>
  <conditionalFormatting sqref="X1252">
    <cfRule type="expression" dxfId="4399" priority="3798">
      <formula>$O1252="Applicant Signatures"</formula>
    </cfRule>
  </conditionalFormatting>
  <conditionalFormatting sqref="B1253:P1253 S1253:W1253 Y1253:Z1253 AB1253">
    <cfRule type="expression" dxfId="4398" priority="3794">
      <formula>$O1253="Applicant Signatures"</formula>
    </cfRule>
  </conditionalFormatting>
  <conditionalFormatting sqref="B1253:P1253 S1253:W1253">
    <cfRule type="expression" dxfId="4397" priority="3793">
      <formula>$H1253="Cash"</formula>
    </cfRule>
  </conditionalFormatting>
  <conditionalFormatting sqref="B1253:P1253 S1253:W1253 Y1253:Z1253 AB1253">
    <cfRule type="expression" dxfId="4396" priority="3792">
      <formula>$O1253="Applicant Signatures"</formula>
    </cfRule>
  </conditionalFormatting>
  <conditionalFormatting sqref="V1254">
    <cfRule type="expression" dxfId="4395" priority="3788">
      <formula>$H1254="Cash"</formula>
    </cfRule>
  </conditionalFormatting>
  <conditionalFormatting sqref="T1254 O1254">
    <cfRule type="expression" dxfId="4394" priority="3787">
      <formula>$H1254="Cash"</formula>
    </cfRule>
  </conditionalFormatting>
  <conditionalFormatting sqref="B1254:P1254 S1254:U1254 W1254 Y1254:Z1254 AB1254">
    <cfRule type="expression" dxfId="4393" priority="3786">
      <formula>$O1254="Applicant Signatures"</formula>
    </cfRule>
  </conditionalFormatting>
  <conditionalFormatting sqref="B1254:P1254 S1254:U1254 W1254">
    <cfRule type="expression" dxfId="4392" priority="3785">
      <formula>$H1254="Cash"</formula>
    </cfRule>
  </conditionalFormatting>
  <conditionalFormatting sqref="B1254:P1254 S1254:U1254 W1254 Y1254:Z1254 AB1254">
    <cfRule type="expression" dxfId="4391" priority="3784">
      <formula>$O1254="Applicant Signatures"</formula>
    </cfRule>
  </conditionalFormatting>
  <conditionalFormatting sqref="V1254">
    <cfRule type="expression" dxfId="4390" priority="3783">
      <formula>$O1254="Applicant Signatures"</formula>
    </cfRule>
  </conditionalFormatting>
  <conditionalFormatting sqref="V1254">
    <cfRule type="expression" dxfId="4389" priority="3782">
      <formula>$H1254="Cash"</formula>
    </cfRule>
  </conditionalFormatting>
  <conditionalFormatting sqref="V1254">
    <cfRule type="expression" dxfId="4388" priority="3781">
      <formula>$O1254="Applicant Signatures"</formula>
    </cfRule>
  </conditionalFormatting>
  <conditionalFormatting sqref="X1254">
    <cfRule type="expression" dxfId="4387" priority="3780">
      <formula>$H1254="Cash"</formula>
    </cfRule>
  </conditionalFormatting>
  <conditionalFormatting sqref="X1254">
    <cfRule type="expression" dxfId="4386" priority="3779">
      <formula>$H1254="Cash"</formula>
    </cfRule>
  </conditionalFormatting>
  <conditionalFormatting sqref="X1254">
    <cfRule type="expression" dxfId="4385" priority="3778">
      <formula>$H1254="Cash"</formula>
    </cfRule>
  </conditionalFormatting>
  <conditionalFormatting sqref="X1254">
    <cfRule type="expression" dxfId="4384" priority="3777">
      <formula>$O1254="Applicant Signatures"</formula>
    </cfRule>
  </conditionalFormatting>
  <conditionalFormatting sqref="X1254">
    <cfRule type="expression" dxfId="4383" priority="3776">
      <formula>$H1254="Cash"</formula>
    </cfRule>
  </conditionalFormatting>
  <conditionalFormatting sqref="X1254">
    <cfRule type="expression" dxfId="4382" priority="3775">
      <formula>$O1254="Applicant Signatures"</formula>
    </cfRule>
  </conditionalFormatting>
  <conditionalFormatting sqref="V1255">
    <cfRule type="expression" dxfId="4381" priority="3760">
      <formula>$H1255="Cash"</formula>
    </cfRule>
  </conditionalFormatting>
  <conditionalFormatting sqref="T1255 O1255">
    <cfRule type="expression" dxfId="4380" priority="3759">
      <formula>$H1255="Cash"</formula>
    </cfRule>
  </conditionalFormatting>
  <conditionalFormatting sqref="B1255:P1255 S1255:U1255 W1255 Y1255:Z1255 AB1255">
    <cfRule type="expression" dxfId="4379" priority="3758">
      <formula>$O1255="Applicant Signatures"</formula>
    </cfRule>
  </conditionalFormatting>
  <conditionalFormatting sqref="B1255:P1255 S1255:U1255 W1255">
    <cfRule type="expression" dxfId="4378" priority="3757">
      <formula>$H1255="Cash"</formula>
    </cfRule>
  </conditionalFormatting>
  <conditionalFormatting sqref="B1255:P1255 S1255:U1255 W1255 Y1255:Z1255 AB1255">
    <cfRule type="expression" dxfId="4377" priority="3756">
      <formula>$O1255="Applicant Signatures"</formula>
    </cfRule>
  </conditionalFormatting>
  <conditionalFormatting sqref="V1255">
    <cfRule type="expression" dxfId="4376" priority="3755">
      <formula>$O1255="Applicant Signatures"</formula>
    </cfRule>
  </conditionalFormatting>
  <conditionalFormatting sqref="V1255">
    <cfRule type="expression" dxfId="4375" priority="3754">
      <formula>$H1255="Cash"</formula>
    </cfRule>
  </conditionalFormatting>
  <conditionalFormatting sqref="V1255">
    <cfRule type="expression" dxfId="4374" priority="3753">
      <formula>$O1255="Applicant Signatures"</formula>
    </cfRule>
  </conditionalFormatting>
  <conditionalFormatting sqref="X1255">
    <cfRule type="expression" dxfId="4373" priority="3752">
      <formula>$H1255="Cash"</formula>
    </cfRule>
  </conditionalFormatting>
  <conditionalFormatting sqref="X1255">
    <cfRule type="expression" dxfId="4372" priority="3751">
      <formula>$H1255="Cash"</formula>
    </cfRule>
  </conditionalFormatting>
  <conditionalFormatting sqref="X1255">
    <cfRule type="expression" dxfId="4371" priority="3750">
      <formula>$H1255="Cash"</formula>
    </cfRule>
  </conditionalFormatting>
  <conditionalFormatting sqref="X1255">
    <cfRule type="expression" dxfId="4370" priority="3749">
      <formula>$O1255="Applicant Signatures"</formula>
    </cfRule>
  </conditionalFormatting>
  <conditionalFormatting sqref="X1255">
    <cfRule type="expression" dxfId="4369" priority="3748">
      <formula>$H1255="Cash"</formula>
    </cfRule>
  </conditionalFormatting>
  <conditionalFormatting sqref="X1255">
    <cfRule type="expression" dxfId="4368" priority="3747">
      <formula>$O1255="Applicant Signatures"</formula>
    </cfRule>
  </conditionalFormatting>
  <conditionalFormatting sqref="V1256">
    <cfRule type="expression" dxfId="4367" priority="3746">
      <formula>$H1256="Cash"</formula>
    </cfRule>
  </conditionalFormatting>
  <conditionalFormatting sqref="T1256 O1256">
    <cfRule type="expression" dxfId="4366" priority="3745">
      <formula>$H1256="Cash"</formula>
    </cfRule>
  </conditionalFormatting>
  <conditionalFormatting sqref="B1256:P1256 S1256:U1256 W1256 Y1256:Z1256 AB1256">
    <cfRule type="expression" dxfId="4365" priority="3744">
      <formula>$O1256="Applicant Signatures"</formula>
    </cfRule>
  </conditionalFormatting>
  <conditionalFormatting sqref="B1256:P1256 S1256:U1256 W1256">
    <cfRule type="expression" dxfId="4364" priority="3743">
      <formula>$H1256="Cash"</formula>
    </cfRule>
  </conditionalFormatting>
  <conditionalFormatting sqref="B1256:P1256 S1256:U1256 W1256 Y1256:Z1256 AB1256">
    <cfRule type="expression" dxfId="4363" priority="3742">
      <formula>$O1256="Applicant Signatures"</formula>
    </cfRule>
  </conditionalFormatting>
  <conditionalFormatting sqref="V1256">
    <cfRule type="expression" dxfId="4362" priority="3741">
      <formula>$O1256="Applicant Signatures"</formula>
    </cfRule>
  </conditionalFormatting>
  <conditionalFormatting sqref="V1256">
    <cfRule type="expression" dxfId="4361" priority="3740">
      <formula>$H1256="Cash"</formula>
    </cfRule>
  </conditionalFormatting>
  <conditionalFormatting sqref="V1256">
    <cfRule type="expression" dxfId="4360" priority="3739">
      <formula>$O1256="Applicant Signatures"</formula>
    </cfRule>
  </conditionalFormatting>
  <conditionalFormatting sqref="X1256">
    <cfRule type="expression" dxfId="4359" priority="3738">
      <formula>$H1256="Cash"</formula>
    </cfRule>
  </conditionalFormatting>
  <conditionalFormatting sqref="X1256">
    <cfRule type="expression" dxfId="4358" priority="3737">
      <formula>$H1256="Cash"</formula>
    </cfRule>
  </conditionalFormatting>
  <conditionalFormatting sqref="X1256">
    <cfRule type="expression" dxfId="4357" priority="3736">
      <formula>$H1256="Cash"</formula>
    </cfRule>
  </conditionalFormatting>
  <conditionalFormatting sqref="X1256">
    <cfRule type="expression" dxfId="4356" priority="3735">
      <formula>$O1256="Applicant Signatures"</formula>
    </cfRule>
  </conditionalFormatting>
  <conditionalFormatting sqref="X1256">
    <cfRule type="expression" dxfId="4355" priority="3734">
      <formula>$H1256="Cash"</formula>
    </cfRule>
  </conditionalFormatting>
  <conditionalFormatting sqref="X1256">
    <cfRule type="expression" dxfId="4354" priority="3733">
      <formula>$O1256="Applicant Signatures"</formula>
    </cfRule>
  </conditionalFormatting>
  <conditionalFormatting sqref="V1257">
    <cfRule type="expression" dxfId="4353" priority="3732">
      <formula>$H1257="Cash"</formula>
    </cfRule>
  </conditionalFormatting>
  <conditionalFormatting sqref="T1257 O1257">
    <cfRule type="expression" dxfId="4352" priority="3731">
      <formula>$H1257="Cash"</formula>
    </cfRule>
  </conditionalFormatting>
  <conditionalFormatting sqref="B1257:P1257 S1257:U1257 W1257 Y1257:Z1257 AB1257">
    <cfRule type="expression" dxfId="4351" priority="3730">
      <formula>$O1257="Applicant Signatures"</formula>
    </cfRule>
  </conditionalFormatting>
  <conditionalFormatting sqref="B1257:P1257 S1257:U1257 W1257">
    <cfRule type="expression" dxfId="4350" priority="3729">
      <formula>$H1257="Cash"</formula>
    </cfRule>
  </conditionalFormatting>
  <conditionalFormatting sqref="B1257:P1257 S1257:U1257 W1257 Y1257:Z1257 AB1257">
    <cfRule type="expression" dxfId="4349" priority="3728">
      <formula>$O1257="Applicant Signatures"</formula>
    </cfRule>
  </conditionalFormatting>
  <conditionalFormatting sqref="V1257">
    <cfRule type="expression" dxfId="4348" priority="3727">
      <formula>$O1257="Applicant Signatures"</formula>
    </cfRule>
  </conditionalFormatting>
  <conditionalFormatting sqref="V1257">
    <cfRule type="expression" dxfId="4347" priority="3726">
      <formula>$H1257="Cash"</formula>
    </cfRule>
  </conditionalFormatting>
  <conditionalFormatting sqref="V1257">
    <cfRule type="expression" dxfId="4346" priority="3725">
      <formula>$O1257="Applicant Signatures"</formula>
    </cfRule>
  </conditionalFormatting>
  <conditionalFormatting sqref="X1257">
    <cfRule type="expression" dxfId="4345" priority="3724">
      <formula>$H1257="Cash"</formula>
    </cfRule>
  </conditionalFormatting>
  <conditionalFormatting sqref="X1257">
    <cfRule type="expression" dxfId="4344" priority="3723">
      <formula>$H1257="Cash"</formula>
    </cfRule>
  </conditionalFormatting>
  <conditionalFormatting sqref="X1257">
    <cfRule type="expression" dxfId="4343" priority="3722">
      <formula>$H1257="Cash"</formula>
    </cfRule>
  </conditionalFormatting>
  <conditionalFormatting sqref="X1257">
    <cfRule type="expression" dxfId="4342" priority="3721">
      <formula>$O1257="Applicant Signatures"</formula>
    </cfRule>
  </conditionalFormatting>
  <conditionalFormatting sqref="X1257">
    <cfRule type="expression" dxfId="4341" priority="3720">
      <formula>$H1257="Cash"</formula>
    </cfRule>
  </conditionalFormatting>
  <conditionalFormatting sqref="X1257">
    <cfRule type="expression" dxfId="4340" priority="3719">
      <formula>$O1257="Applicant Signatures"</formula>
    </cfRule>
  </conditionalFormatting>
  <conditionalFormatting sqref="V1258">
    <cfRule type="expression" dxfId="4339" priority="3718">
      <formula>$H1258="Cash"</formula>
    </cfRule>
  </conditionalFormatting>
  <conditionalFormatting sqref="T1258 O1258">
    <cfRule type="expression" dxfId="4338" priority="3717">
      <formula>$H1258="Cash"</formula>
    </cfRule>
  </conditionalFormatting>
  <conditionalFormatting sqref="B1258:P1258 S1258:U1258 W1258 Y1258:Z1258 AB1258">
    <cfRule type="expression" dxfId="4337" priority="3716">
      <formula>$O1258="Applicant Signatures"</formula>
    </cfRule>
  </conditionalFormatting>
  <conditionalFormatting sqref="B1258:P1258 S1258:U1258 W1258">
    <cfRule type="expression" dxfId="4336" priority="3715">
      <formula>$H1258="Cash"</formula>
    </cfRule>
  </conditionalFormatting>
  <conditionalFormatting sqref="B1258:P1258 S1258:U1258 W1258 Y1258:Z1258 AB1258">
    <cfRule type="expression" dxfId="4335" priority="3714">
      <formula>$O1258="Applicant Signatures"</formula>
    </cfRule>
  </conditionalFormatting>
  <conditionalFormatting sqref="V1258">
    <cfRule type="expression" dxfId="4334" priority="3713">
      <formula>$O1258="Applicant Signatures"</formula>
    </cfRule>
  </conditionalFormatting>
  <conditionalFormatting sqref="V1258">
    <cfRule type="expression" dxfId="4333" priority="3712">
      <formula>$H1258="Cash"</formula>
    </cfRule>
  </conditionalFormatting>
  <conditionalFormatting sqref="V1258">
    <cfRule type="expression" dxfId="4332" priority="3711">
      <formula>$O1258="Applicant Signatures"</formula>
    </cfRule>
  </conditionalFormatting>
  <conditionalFormatting sqref="T1245">
    <cfRule type="expression" dxfId="4331" priority="3703">
      <formula>$O1245="Applicant Signatures"</formula>
    </cfRule>
  </conditionalFormatting>
  <conditionalFormatting sqref="T1246">
    <cfRule type="expression" dxfId="4330" priority="3702">
      <formula>$O1246="Applicant Signatures"</formula>
    </cfRule>
  </conditionalFormatting>
  <conditionalFormatting sqref="A1259:P1259 R1259:X1259">
    <cfRule type="expression" dxfId="4329" priority="3695">
      <formula>$H1259="Cash"</formula>
    </cfRule>
  </conditionalFormatting>
  <conditionalFormatting sqref="A1259:P1259 R1259:Z1259 AB1259">
    <cfRule type="expression" dxfId="4328" priority="3694">
      <formula>$O1259="Applicant Signatures"</formula>
    </cfRule>
  </conditionalFormatting>
  <conditionalFormatting sqref="X1259">
    <cfRule type="expression" dxfId="4327" priority="3693">
      <formula>$H1259="Cash"</formula>
    </cfRule>
  </conditionalFormatting>
  <conditionalFormatting sqref="X1259">
    <cfRule type="expression" dxfId="4326" priority="3692">
      <formula>$H1259="Cash"</formula>
    </cfRule>
  </conditionalFormatting>
  <conditionalFormatting sqref="X1259">
    <cfRule type="expression" dxfId="4325" priority="3691">
      <formula>$H1259="Cash"</formula>
    </cfRule>
  </conditionalFormatting>
  <conditionalFormatting sqref="Q1260:R1260">
    <cfRule type="expression" dxfId="4324" priority="3690">
      <formula>$H1260="Cash"</formula>
    </cfRule>
  </conditionalFormatting>
  <conditionalFormatting sqref="Q1260">
    <cfRule type="expression" dxfId="4323" priority="3689">
      <formula>$O1260="Applicant Signatures"</formula>
    </cfRule>
  </conditionalFormatting>
  <conditionalFormatting sqref="V1260">
    <cfRule type="expression" dxfId="4322" priority="3688">
      <formula>$H1260="Cash"</formula>
    </cfRule>
  </conditionalFormatting>
  <conditionalFormatting sqref="T1260 O1260">
    <cfRule type="expression" dxfId="4321" priority="3687">
      <formula>$H1260="Cash"</formula>
    </cfRule>
  </conditionalFormatting>
  <conditionalFormatting sqref="B1260:P1260 S1260:U1260 W1260 Y1260:Z1260 AB1260">
    <cfRule type="expression" dxfId="4320" priority="3686">
      <formula>$O1260="Applicant Signatures"</formula>
    </cfRule>
  </conditionalFormatting>
  <conditionalFormatting sqref="B1260:P1260 S1260:U1260 W1260">
    <cfRule type="expression" dxfId="4319" priority="3685">
      <formula>$H1260="Cash"</formula>
    </cfRule>
  </conditionalFormatting>
  <conditionalFormatting sqref="B1260:P1260 S1260:U1260 W1260 Y1260:Z1260 AB1260">
    <cfRule type="expression" dxfId="4318" priority="3684">
      <formula>$O1260="Applicant Signatures"</formula>
    </cfRule>
  </conditionalFormatting>
  <conditionalFormatting sqref="V1260">
    <cfRule type="expression" dxfId="4317" priority="3683">
      <formula>$O1260="Applicant Signatures"</formula>
    </cfRule>
  </conditionalFormatting>
  <conditionalFormatting sqref="V1260">
    <cfRule type="expression" dxfId="4316" priority="3682">
      <formula>$H1260="Cash"</formula>
    </cfRule>
  </conditionalFormatting>
  <conditionalFormatting sqref="V1260">
    <cfRule type="expression" dxfId="4315" priority="3681">
      <formula>$O1260="Applicant Signatures"</formula>
    </cfRule>
  </conditionalFormatting>
  <conditionalFormatting sqref="X1260">
    <cfRule type="expression" dxfId="4314" priority="3680">
      <formula>$H1260="Cash"</formula>
    </cfRule>
  </conditionalFormatting>
  <conditionalFormatting sqref="X1260">
    <cfRule type="expression" dxfId="4313" priority="3679">
      <formula>$H1260="Cash"</formula>
    </cfRule>
  </conditionalFormatting>
  <conditionalFormatting sqref="X1260">
    <cfRule type="expression" dxfId="4312" priority="3678">
      <formula>$H1260="Cash"</formula>
    </cfRule>
  </conditionalFormatting>
  <conditionalFormatting sqref="X1260">
    <cfRule type="expression" dxfId="4311" priority="3677">
      <formula>$O1260="Applicant Signatures"</formula>
    </cfRule>
  </conditionalFormatting>
  <conditionalFormatting sqref="X1260">
    <cfRule type="expression" dxfId="4310" priority="3676">
      <formula>$H1260="Cash"</formula>
    </cfRule>
  </conditionalFormatting>
  <conditionalFormatting sqref="X1260">
    <cfRule type="expression" dxfId="4309" priority="3675">
      <formula>$O1260="Applicant Signatures"</formula>
    </cfRule>
  </conditionalFormatting>
  <conditionalFormatting sqref="R1260">
    <cfRule type="expression" dxfId="4308" priority="3674">
      <formula>$O1260="Applicant Signatures"</formula>
    </cfRule>
  </conditionalFormatting>
  <conditionalFormatting sqref="Q1261:R1261">
    <cfRule type="expression" dxfId="4307" priority="3669">
      <formula>$H1261="Cash"</formula>
    </cfRule>
  </conditionalFormatting>
  <conditionalFormatting sqref="Q1261">
    <cfRule type="expression" dxfId="4306" priority="3668">
      <formula>$O1261="Applicant Signatures"</formula>
    </cfRule>
  </conditionalFormatting>
  <conditionalFormatting sqref="V1261">
    <cfRule type="expression" dxfId="4305" priority="3667">
      <formula>$H1261="Cash"</formula>
    </cfRule>
  </conditionalFormatting>
  <conditionalFormatting sqref="T1261 O1261">
    <cfRule type="expression" dxfId="4304" priority="3666">
      <formula>$H1261="Cash"</formula>
    </cfRule>
  </conditionalFormatting>
  <conditionalFormatting sqref="B1261:P1261 S1261:U1261 W1261 Y1261:Z1261 AB1261">
    <cfRule type="expression" dxfId="4303" priority="3665">
      <formula>$O1261="Applicant Signatures"</formula>
    </cfRule>
  </conditionalFormatting>
  <conditionalFormatting sqref="B1261:P1261 S1261:U1261 W1261">
    <cfRule type="expression" dxfId="4302" priority="3664">
      <formula>$H1261="Cash"</formula>
    </cfRule>
  </conditionalFormatting>
  <conditionalFormatting sqref="B1261:P1261 S1261:U1261 W1261 Y1261:Z1261 AB1261">
    <cfRule type="expression" dxfId="4301" priority="3663">
      <formula>$O1261="Applicant Signatures"</formula>
    </cfRule>
  </conditionalFormatting>
  <conditionalFormatting sqref="V1261">
    <cfRule type="expression" dxfId="4300" priority="3662">
      <formula>$O1261="Applicant Signatures"</formula>
    </cfRule>
  </conditionalFormatting>
  <conditionalFormatting sqref="V1261">
    <cfRule type="expression" dxfId="4299" priority="3661">
      <formula>$H1261="Cash"</formula>
    </cfRule>
  </conditionalFormatting>
  <conditionalFormatting sqref="V1261">
    <cfRule type="expression" dxfId="4298" priority="3660">
      <formula>$O1261="Applicant Signatures"</formula>
    </cfRule>
  </conditionalFormatting>
  <conditionalFormatting sqref="X1261">
    <cfRule type="expression" dxfId="4297" priority="3659">
      <formula>$H1261="Cash"</formula>
    </cfRule>
  </conditionalFormatting>
  <conditionalFormatting sqref="X1261">
    <cfRule type="expression" dxfId="4296" priority="3658">
      <formula>$H1261="Cash"</formula>
    </cfRule>
  </conditionalFormatting>
  <conditionalFormatting sqref="X1261">
    <cfRule type="expression" dxfId="4295" priority="3657">
      <formula>$H1261="Cash"</formula>
    </cfRule>
  </conditionalFormatting>
  <conditionalFormatting sqref="X1261">
    <cfRule type="expression" dxfId="4294" priority="3656">
      <formula>$O1261="Applicant Signatures"</formula>
    </cfRule>
  </conditionalFormatting>
  <conditionalFormatting sqref="X1261">
    <cfRule type="expression" dxfId="4293" priority="3655">
      <formula>$H1261="Cash"</formula>
    </cfRule>
  </conditionalFormatting>
  <conditionalFormatting sqref="X1261">
    <cfRule type="expression" dxfId="4292" priority="3654">
      <formula>$O1261="Applicant Signatures"</formula>
    </cfRule>
  </conditionalFormatting>
  <conditionalFormatting sqref="R1261">
    <cfRule type="expression" dxfId="4291" priority="3653">
      <formula>$O1261="Applicant Signatures"</formula>
    </cfRule>
  </conditionalFormatting>
  <conditionalFormatting sqref="Q1262:R1262">
    <cfRule type="expression" dxfId="4290" priority="3652">
      <formula>$H1262="Cash"</formula>
    </cfRule>
  </conditionalFormatting>
  <conditionalFormatting sqref="Q1262">
    <cfRule type="expression" dxfId="4289" priority="3651">
      <formula>$O1262="Applicant Signatures"</formula>
    </cfRule>
  </conditionalFormatting>
  <conditionalFormatting sqref="V1262">
    <cfRule type="expression" dxfId="4288" priority="3650">
      <formula>$H1262="Cash"</formula>
    </cfRule>
  </conditionalFormatting>
  <conditionalFormatting sqref="T1262 O1262">
    <cfRule type="expression" dxfId="4287" priority="3649">
      <formula>$H1262="Cash"</formula>
    </cfRule>
  </conditionalFormatting>
  <conditionalFormatting sqref="B1262:P1262 S1262:U1262 W1262 Y1262:Z1262 AB1262">
    <cfRule type="expression" dxfId="4286" priority="3648">
      <formula>$O1262="Applicant Signatures"</formula>
    </cfRule>
  </conditionalFormatting>
  <conditionalFormatting sqref="B1262:P1262 S1262:U1262 W1262">
    <cfRule type="expression" dxfId="4285" priority="3647">
      <formula>$H1262="Cash"</formula>
    </cfRule>
  </conditionalFormatting>
  <conditionalFormatting sqref="B1262:P1262 S1262:U1262 W1262 Y1262:Z1262 AB1262">
    <cfRule type="expression" dxfId="4284" priority="3646">
      <formula>$O1262="Applicant Signatures"</formula>
    </cfRule>
  </conditionalFormatting>
  <conditionalFormatting sqref="V1262">
    <cfRule type="expression" dxfId="4283" priority="3645">
      <formula>$O1262="Applicant Signatures"</formula>
    </cfRule>
  </conditionalFormatting>
  <conditionalFormatting sqref="V1262">
    <cfRule type="expression" dxfId="4282" priority="3644">
      <formula>$H1262="Cash"</formula>
    </cfRule>
  </conditionalFormatting>
  <conditionalFormatting sqref="V1262">
    <cfRule type="expression" dxfId="4281" priority="3643">
      <formula>$O1262="Applicant Signatures"</formula>
    </cfRule>
  </conditionalFormatting>
  <conditionalFormatting sqref="X1262">
    <cfRule type="expression" dxfId="4280" priority="3642">
      <formula>$H1262="Cash"</formula>
    </cfRule>
  </conditionalFormatting>
  <conditionalFormatting sqref="X1262">
    <cfRule type="expression" dxfId="4279" priority="3641">
      <formula>$H1262="Cash"</formula>
    </cfRule>
  </conditionalFormatting>
  <conditionalFormatting sqref="X1262">
    <cfRule type="expression" dxfId="4278" priority="3640">
      <formula>$H1262="Cash"</formula>
    </cfRule>
  </conditionalFormatting>
  <conditionalFormatting sqref="X1262">
    <cfRule type="expression" dxfId="4277" priority="3639">
      <formula>$O1262="Applicant Signatures"</formula>
    </cfRule>
  </conditionalFormatting>
  <conditionalFormatting sqref="X1262">
    <cfRule type="expression" dxfId="4276" priority="3638">
      <formula>$H1262="Cash"</formula>
    </cfRule>
  </conditionalFormatting>
  <conditionalFormatting sqref="X1262">
    <cfRule type="expression" dxfId="4275" priority="3637">
      <formula>$O1262="Applicant Signatures"</formula>
    </cfRule>
  </conditionalFormatting>
  <conditionalFormatting sqref="R1262">
    <cfRule type="expression" dxfId="4274" priority="3636">
      <formula>$O1262="Applicant Signatures"</formula>
    </cfRule>
  </conditionalFormatting>
  <conditionalFormatting sqref="Q1263:R1263">
    <cfRule type="expression" dxfId="4273" priority="3635">
      <formula>$H1263="Cash"</formula>
    </cfRule>
  </conditionalFormatting>
  <conditionalFormatting sqref="V1263">
    <cfRule type="expression" dxfId="4272" priority="3633">
      <formula>$H1263="Cash"</formula>
    </cfRule>
  </conditionalFormatting>
  <conditionalFormatting sqref="T1263 O1263">
    <cfRule type="expression" dxfId="4271" priority="3632">
      <formula>$H1263="Cash"</formula>
    </cfRule>
  </conditionalFormatting>
  <conditionalFormatting sqref="B1263:P1263 S1263:U1263 W1263 Y1263:Z1263 AB1263">
    <cfRule type="expression" dxfId="4270" priority="3631">
      <formula>$O1263="Applicant Signatures"</formula>
    </cfRule>
  </conditionalFormatting>
  <conditionalFormatting sqref="B1263:P1263 S1263:U1263 W1263">
    <cfRule type="expression" dxfId="4269" priority="3630">
      <formula>$H1263="Cash"</formula>
    </cfRule>
  </conditionalFormatting>
  <conditionalFormatting sqref="B1263:P1263 S1263:U1263 W1263 Y1263:Z1263 AB1263">
    <cfRule type="expression" dxfId="4268" priority="3629">
      <formula>$O1263="Applicant Signatures"</formula>
    </cfRule>
  </conditionalFormatting>
  <conditionalFormatting sqref="V1263">
    <cfRule type="expression" dxfId="4267" priority="3628">
      <formula>$O1263="Applicant Signatures"</formula>
    </cfRule>
  </conditionalFormatting>
  <conditionalFormatting sqref="V1263">
    <cfRule type="expression" dxfId="4266" priority="3627">
      <formula>$H1263="Cash"</formula>
    </cfRule>
  </conditionalFormatting>
  <conditionalFormatting sqref="V1263">
    <cfRule type="expression" dxfId="4265" priority="3626">
      <formula>$O1263="Applicant Signatures"</formula>
    </cfRule>
  </conditionalFormatting>
  <conditionalFormatting sqref="X1263">
    <cfRule type="expression" dxfId="4264" priority="3625">
      <formula>$H1263="Cash"</formula>
    </cfRule>
  </conditionalFormatting>
  <conditionalFormatting sqref="X1263">
    <cfRule type="expression" dxfId="4263" priority="3624">
      <formula>$H1263="Cash"</formula>
    </cfRule>
  </conditionalFormatting>
  <conditionalFormatting sqref="X1263">
    <cfRule type="expression" dxfId="4262" priority="3623">
      <formula>$H1263="Cash"</formula>
    </cfRule>
  </conditionalFormatting>
  <conditionalFormatting sqref="X1263">
    <cfRule type="expression" dxfId="4261" priority="3622">
      <formula>$O1263="Applicant Signatures"</formula>
    </cfRule>
  </conditionalFormatting>
  <conditionalFormatting sqref="X1263">
    <cfRule type="expression" dxfId="4260" priority="3621">
      <formula>$H1263="Cash"</formula>
    </cfRule>
  </conditionalFormatting>
  <conditionalFormatting sqref="X1263">
    <cfRule type="expression" dxfId="4259" priority="3620">
      <formula>$O1263="Applicant Signatures"</formula>
    </cfRule>
  </conditionalFormatting>
  <conditionalFormatting sqref="R1263">
    <cfRule type="expression" dxfId="4258" priority="3619">
      <formula>$O1263="Applicant Signatures"</formula>
    </cfRule>
  </conditionalFormatting>
  <conditionalFormatting sqref="Q1264:R1265 T1264:T1265 V1264:V1265 O1264:O1265">
    <cfRule type="expression" dxfId="4257" priority="3618">
      <formula>$H1264="Cash"</formula>
    </cfRule>
  </conditionalFormatting>
  <conditionalFormatting sqref="A1264:Z1264 AB1264">
    <cfRule type="expression" dxfId="4256" priority="3617">
      <formula>$O1264="Applicant Signatures"</formula>
    </cfRule>
  </conditionalFormatting>
  <conditionalFormatting sqref="A1264:X1264">
    <cfRule type="expression" dxfId="4255" priority="3616">
      <formula>$H1264="Cash"</formula>
    </cfRule>
  </conditionalFormatting>
  <conditionalFormatting sqref="A1264:Z1264 AB1264">
    <cfRule type="expression" dxfId="4254" priority="3615">
      <formula>$O1264="Applicant Signatures"</formula>
    </cfRule>
  </conditionalFormatting>
  <conditionalFormatting sqref="X1264:X1265">
    <cfRule type="expression" dxfId="4253" priority="3614">
      <formula>$H1264="Cash"</formula>
    </cfRule>
  </conditionalFormatting>
  <conditionalFormatting sqref="X1264:X1265">
    <cfRule type="expression" dxfId="4252" priority="3613">
      <formula>$H1264="Cash"</formula>
    </cfRule>
  </conditionalFormatting>
  <conditionalFormatting sqref="X1264:X1265">
    <cfRule type="expression" dxfId="4251" priority="3612">
      <formula>$H1264="Cash"</formula>
    </cfRule>
  </conditionalFormatting>
  <conditionalFormatting sqref="A1265:Z1265 AB1265">
    <cfRule type="expression" dxfId="4250" priority="3608">
      <formula>$O1265="Applicant Signatures"</formula>
    </cfRule>
  </conditionalFormatting>
  <conditionalFormatting sqref="A1265:X1265">
    <cfRule type="expression" dxfId="4249" priority="3607">
      <formula>$H1265="Cash"</formula>
    </cfRule>
  </conditionalFormatting>
  <conditionalFormatting sqref="A1265:Z1265 AB1265">
    <cfRule type="expression" dxfId="4248" priority="3606">
      <formula>$O1265="Applicant Signatures"</formula>
    </cfRule>
  </conditionalFormatting>
  <conditionalFormatting sqref="X1265">
    <cfRule type="expression" dxfId="4247" priority="3605">
      <formula>$O1265="Applicant Signatures"</formula>
    </cfRule>
  </conditionalFormatting>
  <conditionalFormatting sqref="X1265">
    <cfRule type="expression" dxfId="4246" priority="3604">
      <formula>$H1265="Cash"</formula>
    </cfRule>
  </conditionalFormatting>
  <conditionalFormatting sqref="X1265">
    <cfRule type="expression" dxfId="4245" priority="3603">
      <formula>$O1265="Applicant Signatures"</formula>
    </cfRule>
  </conditionalFormatting>
  <conditionalFormatting sqref="R1266:R1285">
    <cfRule type="expression" dxfId="4244" priority="3599">
      <formula>$H1266="Cash"</formula>
    </cfRule>
  </conditionalFormatting>
  <conditionalFormatting sqref="V1266:V1273 V1283:V1285 V1275:V1281">
    <cfRule type="expression" dxfId="4243" priority="3597">
      <formula>$H1266="Cash"</formula>
    </cfRule>
  </conditionalFormatting>
  <conditionalFormatting sqref="T1266:T1281 T1283:T1285 O1266:O1285">
    <cfRule type="expression" dxfId="4242" priority="3596">
      <formula>$H1266="Cash"</formula>
    </cfRule>
  </conditionalFormatting>
  <conditionalFormatting sqref="S1266:U1281 Y1266:Z1285 W1266:W1285 S1283:U1285 S1282 U1282 B1266:P1285 AB1266:AB1285">
    <cfRule type="expression" dxfId="4241" priority="3595">
      <formula>$O1266="Applicant Signatures"</formula>
    </cfRule>
  </conditionalFormatting>
  <conditionalFormatting sqref="S1266:U1281 W1266:W1285 S1283:U1285 S1282 U1282 B1266:P1285">
    <cfRule type="expression" dxfId="4240" priority="3594">
      <formula>$H1266="Cash"</formula>
    </cfRule>
  </conditionalFormatting>
  <conditionalFormatting sqref="S1266:U1281 Y1266:Z1285 W1266:W1285 S1283:U1285 S1282 U1282 B1266:P1285 AB1266:AB1285">
    <cfRule type="expression" dxfId="4239" priority="3593">
      <formula>$O1266="Applicant Signatures"</formula>
    </cfRule>
  </conditionalFormatting>
  <conditionalFormatting sqref="V1266:V1273 V1283:V1285 V1275:V1281">
    <cfRule type="expression" dxfId="4238" priority="3592">
      <formula>$O1266="Applicant Signatures"</formula>
    </cfRule>
  </conditionalFormatting>
  <conditionalFormatting sqref="V1266:V1273 V1283:V1285 V1275:V1281">
    <cfRule type="expression" dxfId="4237" priority="3591">
      <formula>$H1266="Cash"</formula>
    </cfRule>
  </conditionalFormatting>
  <conditionalFormatting sqref="V1266:V1273 V1283:V1285 V1275:V1281">
    <cfRule type="expression" dxfId="4236" priority="3590">
      <formula>$O1266="Applicant Signatures"</formula>
    </cfRule>
  </conditionalFormatting>
  <conditionalFormatting sqref="X1283 X1278:X1281 X1269:X1270 X1274:X1276 X1285">
    <cfRule type="expression" dxfId="4235" priority="3589">
      <formula>$H1269="Cash"</formula>
    </cfRule>
  </conditionalFormatting>
  <conditionalFormatting sqref="X1283 X1278:X1281 X1269:X1270 X1274:X1276 X1285">
    <cfRule type="expression" dxfId="4234" priority="3588">
      <formula>$H1269="Cash"</formula>
    </cfRule>
  </conditionalFormatting>
  <conditionalFormatting sqref="X1283 X1278:X1281 X1269:X1270 X1274:X1276 X1285">
    <cfRule type="expression" dxfId="4233" priority="3587">
      <formula>$H1269="Cash"</formula>
    </cfRule>
  </conditionalFormatting>
  <conditionalFormatting sqref="X1283 X1278:X1281 X1269:X1270 X1274:X1276 X1285">
    <cfRule type="expression" dxfId="4232" priority="3586">
      <formula>$O1269="Applicant Signatures"</formula>
    </cfRule>
  </conditionalFormatting>
  <conditionalFormatting sqref="X1283 X1278:X1281 X1269:X1270 X1274:X1276 X1285">
    <cfRule type="expression" dxfId="4231" priority="3585">
      <formula>$H1269="Cash"</formula>
    </cfRule>
  </conditionalFormatting>
  <conditionalFormatting sqref="X1283 X1278:X1281 X1269:X1270 X1274:X1276 X1285">
    <cfRule type="expression" dxfId="4230" priority="3584">
      <formula>$O1269="Applicant Signatures"</formula>
    </cfRule>
  </conditionalFormatting>
  <conditionalFormatting sqref="R1266:R1285">
    <cfRule type="expression" dxfId="4229" priority="3583">
      <formula>$O1266="Applicant Signatures"</formula>
    </cfRule>
  </conditionalFormatting>
  <conditionalFormatting sqref="O1265">
    <cfRule type="expression" dxfId="4228" priority="3573">
      <formula>$O1265="Applicant Signatures"</formula>
    </cfRule>
  </conditionalFormatting>
  <conditionalFormatting sqref="O1265">
    <cfRule type="expression" dxfId="4227" priority="3572">
      <formula>$H1265="Cash"</formula>
    </cfRule>
  </conditionalFormatting>
  <conditionalFormatting sqref="O1265">
    <cfRule type="expression" dxfId="4226" priority="3571">
      <formula>$O1265="Applicant Signatures"</formula>
    </cfRule>
  </conditionalFormatting>
  <conditionalFormatting sqref="X1265">
    <cfRule type="expression" dxfId="4225" priority="3570">
      <formula>$O1265="Applicant Signatures"</formula>
    </cfRule>
  </conditionalFormatting>
  <conditionalFormatting sqref="X1265">
    <cfRule type="expression" dxfId="4224" priority="3569">
      <formula>$H1265="Cash"</formula>
    </cfRule>
  </conditionalFormatting>
  <conditionalFormatting sqref="X1265">
    <cfRule type="expression" dxfId="4223" priority="3568">
      <formula>$O1265="Applicant Signatures"</formula>
    </cfRule>
  </conditionalFormatting>
  <conditionalFormatting sqref="X1277">
    <cfRule type="expression" dxfId="4222" priority="3567">
      <formula>$O1277="Applicant Signatures"</formula>
    </cfRule>
  </conditionalFormatting>
  <conditionalFormatting sqref="X1277">
    <cfRule type="expression" dxfId="4221" priority="3566">
      <formula>$H1277="Cash"</formula>
    </cfRule>
  </conditionalFormatting>
  <conditionalFormatting sqref="X1277">
    <cfRule type="expression" dxfId="4220" priority="3565">
      <formula>$O1277="Applicant Signatures"</formula>
    </cfRule>
  </conditionalFormatting>
  <conditionalFormatting sqref="X1277">
    <cfRule type="expression" dxfId="4219" priority="3564">
      <formula>$H1277="Cash"</formula>
    </cfRule>
  </conditionalFormatting>
  <conditionalFormatting sqref="X1277">
    <cfRule type="expression" dxfId="4218" priority="3563">
      <formula>$H1277="Cash"</formula>
    </cfRule>
  </conditionalFormatting>
  <conditionalFormatting sqref="X1277">
    <cfRule type="expression" dxfId="4217" priority="3562">
      <formula>$H1277="Cash"</formula>
    </cfRule>
  </conditionalFormatting>
  <conditionalFormatting sqref="A1286:O1286 Q1286:Z1286 AB1286">
    <cfRule type="expression" dxfId="4216" priority="3558">
      <formula>$O1286="Applicant Signatures"</formula>
    </cfRule>
  </conditionalFormatting>
  <conditionalFormatting sqref="A1286:O1286 R1286:X1286">
    <cfRule type="expression" dxfId="4215" priority="3557">
      <formula>$H1286="Cash"</formula>
    </cfRule>
  </conditionalFormatting>
  <conditionalFormatting sqref="A1286:O1286 R1286:Z1286 AB1286">
    <cfRule type="expression" dxfId="4214" priority="3556">
      <formula>$O1286="Applicant Signatures"</formula>
    </cfRule>
  </conditionalFormatting>
  <conditionalFormatting sqref="X1286">
    <cfRule type="expression" dxfId="4213" priority="3555">
      <formula>$H1286="Cash"</formula>
    </cfRule>
  </conditionalFormatting>
  <conditionalFormatting sqref="X1286">
    <cfRule type="expression" dxfId="4212" priority="3554">
      <formula>$H1286="Cash"</formula>
    </cfRule>
  </conditionalFormatting>
  <conditionalFormatting sqref="X1286">
    <cfRule type="expression" dxfId="4211" priority="3553">
      <formula>$H1286="Cash"</formula>
    </cfRule>
  </conditionalFormatting>
  <conditionalFormatting sqref="Q1287 A1287">
    <cfRule type="expression" dxfId="4210" priority="3552">
      <formula>$O1287="Applicant Signatures"</formula>
    </cfRule>
  </conditionalFormatting>
  <conditionalFormatting sqref="X1287">
    <cfRule type="expression" dxfId="4209" priority="3551">
      <formula>$H1287="Cash"</formula>
    </cfRule>
  </conditionalFormatting>
  <conditionalFormatting sqref="X1287">
    <cfRule type="expression" dxfId="4208" priority="3550">
      <formula>$H1287="Cash"</formula>
    </cfRule>
  </conditionalFormatting>
  <conditionalFormatting sqref="X1287">
    <cfRule type="expression" dxfId="4207" priority="3549">
      <formula>$H1287="Cash"</formula>
    </cfRule>
  </conditionalFormatting>
  <conditionalFormatting sqref="A1287:P1287 R1287:Z1287 AB1287">
    <cfRule type="expression" dxfId="4206" priority="3548">
      <formula>$O1287="Applicant Signatures"</formula>
    </cfRule>
  </conditionalFormatting>
  <conditionalFormatting sqref="A1287:P1287 R1287:X1287">
    <cfRule type="expression" dxfId="4205" priority="3547">
      <formula>$H1287="Cash"</formula>
    </cfRule>
  </conditionalFormatting>
  <conditionalFormatting sqref="A1287:P1287 R1287:Z1287 AB1287">
    <cfRule type="expression" dxfId="4204" priority="3546">
      <formula>$O1287="Applicant Signatures"</formula>
    </cfRule>
  </conditionalFormatting>
  <conditionalFormatting sqref="P1286">
    <cfRule type="expression" dxfId="4203" priority="3545">
      <formula>$O1286="Applicant Signatures"</formula>
    </cfRule>
  </conditionalFormatting>
  <conditionalFormatting sqref="P1286">
    <cfRule type="expression" dxfId="4202" priority="3544">
      <formula>$H1286="Cash"</formula>
    </cfRule>
  </conditionalFormatting>
  <conditionalFormatting sqref="P1286">
    <cfRule type="expression" dxfId="4201" priority="3543">
      <formula>$O1286="Applicant Signatures"</formula>
    </cfRule>
  </conditionalFormatting>
  <conditionalFormatting sqref="Q1288">
    <cfRule type="expression" dxfId="4200" priority="3539">
      <formula>$H1288="Cash"</formula>
    </cfRule>
  </conditionalFormatting>
  <conditionalFormatting sqref="Q1288">
    <cfRule type="expression" dxfId="4199" priority="3538">
      <formula>$O1288="Applicant Signatures"</formula>
    </cfRule>
  </conditionalFormatting>
  <conditionalFormatting sqref="R1288">
    <cfRule type="expression" dxfId="4198" priority="3537">
      <formula>$H1288="Cash"</formula>
    </cfRule>
  </conditionalFormatting>
  <conditionalFormatting sqref="V1288">
    <cfRule type="expression" dxfId="4197" priority="3536">
      <formula>$H1288="Cash"</formula>
    </cfRule>
  </conditionalFormatting>
  <conditionalFormatting sqref="T1288 O1288">
    <cfRule type="expression" dxfId="4196" priority="3535">
      <formula>$H1288="Cash"</formula>
    </cfRule>
  </conditionalFormatting>
  <conditionalFormatting sqref="B1288:P1288 S1288:U1288 Y1288:Z1288 W1288 AB1288">
    <cfRule type="expression" dxfId="4195" priority="3534">
      <formula>$O1288="Applicant Signatures"</formula>
    </cfRule>
  </conditionalFormatting>
  <conditionalFormatting sqref="B1288:P1288 S1288:U1288 W1288">
    <cfRule type="expression" dxfId="4194" priority="3533">
      <formula>$H1288="Cash"</formula>
    </cfRule>
  </conditionalFormatting>
  <conditionalFormatting sqref="B1288:P1288 S1288:U1288 Y1288:Z1288 W1288 AB1288">
    <cfRule type="expression" dxfId="4193" priority="3532">
      <formula>$O1288="Applicant Signatures"</formula>
    </cfRule>
  </conditionalFormatting>
  <conditionalFormatting sqref="V1288">
    <cfRule type="expression" dxfId="4192" priority="3531">
      <formula>$O1288="Applicant Signatures"</formula>
    </cfRule>
  </conditionalFormatting>
  <conditionalFormatting sqref="V1288">
    <cfRule type="expression" dxfId="4191" priority="3530">
      <formula>$H1288="Cash"</formula>
    </cfRule>
  </conditionalFormatting>
  <conditionalFormatting sqref="V1288">
    <cfRule type="expression" dxfId="4190" priority="3529">
      <formula>$O1288="Applicant Signatures"</formula>
    </cfRule>
  </conditionalFormatting>
  <conditionalFormatting sqref="R1288">
    <cfRule type="expression" dxfId="4189" priority="3522">
      <formula>$O1288="Applicant Signatures"</formula>
    </cfRule>
  </conditionalFormatting>
  <conditionalFormatting sqref="X1288">
    <cfRule type="expression" dxfId="4188" priority="3515">
      <formula>$H1288="Cash"</formula>
    </cfRule>
  </conditionalFormatting>
  <conditionalFormatting sqref="X1288">
    <cfRule type="expression" dxfId="4187" priority="3514">
      <formula>$H1288="Cash"</formula>
    </cfRule>
  </conditionalFormatting>
  <conditionalFormatting sqref="X1288">
    <cfRule type="expression" dxfId="4186" priority="3513">
      <formula>$H1288="Cash"</formula>
    </cfRule>
  </conditionalFormatting>
  <conditionalFormatting sqref="X1288">
    <cfRule type="expression" dxfId="4185" priority="3512">
      <formula>$O1288="Applicant Signatures"</formula>
    </cfRule>
  </conditionalFormatting>
  <conditionalFormatting sqref="X1288">
    <cfRule type="expression" dxfId="4184" priority="3511">
      <formula>$H1288="Cash"</formula>
    </cfRule>
  </conditionalFormatting>
  <conditionalFormatting sqref="X1288">
    <cfRule type="expression" dxfId="4183" priority="3510">
      <formula>$O1288="Applicant Signatures"</formula>
    </cfRule>
  </conditionalFormatting>
  <conditionalFormatting sqref="R1289:R1295">
    <cfRule type="expression" dxfId="4182" priority="3509">
      <formula>$H1289="Cash"</formula>
    </cfRule>
  </conditionalFormatting>
  <conditionalFormatting sqref="V1289:V1295">
    <cfRule type="expression" dxfId="4181" priority="3508">
      <formula>$H1289="Cash"</formula>
    </cfRule>
  </conditionalFormatting>
  <conditionalFormatting sqref="T1289:T1295 O1289:O1295">
    <cfRule type="expression" dxfId="4180" priority="3507">
      <formula>$H1289="Cash"</formula>
    </cfRule>
  </conditionalFormatting>
  <conditionalFormatting sqref="S1289:U1295 Y1289:Z1295 W1289:W1295 B1289:P1295 AB1289:AB1295">
    <cfRule type="expression" dxfId="4179" priority="3506">
      <formula>$O1289="Applicant Signatures"</formula>
    </cfRule>
  </conditionalFormatting>
  <conditionalFormatting sqref="S1289:U1295 W1289:W1295 B1289:P1295">
    <cfRule type="expression" dxfId="4178" priority="3505">
      <formula>$H1289="Cash"</formula>
    </cfRule>
  </conditionalFormatting>
  <conditionalFormatting sqref="S1289:U1295 Y1289:Z1295 W1289:W1295 B1289:P1295 AB1289:AB1295">
    <cfRule type="expression" dxfId="4177" priority="3504">
      <formula>$O1289="Applicant Signatures"</formula>
    </cfRule>
  </conditionalFormatting>
  <conditionalFormatting sqref="V1289:V1295">
    <cfRule type="expression" dxfId="4176" priority="3503">
      <formula>$O1289="Applicant Signatures"</formula>
    </cfRule>
  </conditionalFormatting>
  <conditionalFormatting sqref="V1289:V1295">
    <cfRule type="expression" dxfId="4175" priority="3502">
      <formula>$H1289="Cash"</formula>
    </cfRule>
  </conditionalFormatting>
  <conditionalFormatting sqref="V1289:V1295">
    <cfRule type="expression" dxfId="4174" priority="3501">
      <formula>$O1289="Applicant Signatures"</formula>
    </cfRule>
  </conditionalFormatting>
  <conditionalFormatting sqref="X1289:X1290 X1292:X1293">
    <cfRule type="expression" dxfId="4173" priority="3500">
      <formula>$H1289="Cash"</formula>
    </cfRule>
  </conditionalFormatting>
  <conditionalFormatting sqref="X1289:X1290 X1292:X1293">
    <cfRule type="expression" dxfId="4172" priority="3499">
      <formula>$H1289="Cash"</formula>
    </cfRule>
  </conditionalFormatting>
  <conditionalFormatting sqref="X1289:X1290 X1292:X1293">
    <cfRule type="expression" dxfId="4171" priority="3498">
      <formula>$H1289="Cash"</formula>
    </cfRule>
  </conditionalFormatting>
  <conditionalFormatting sqref="X1289:X1290 X1292:X1293">
    <cfRule type="expression" dxfId="4170" priority="3497">
      <formula>$O1289="Applicant Signatures"</formula>
    </cfRule>
  </conditionalFormatting>
  <conditionalFormatting sqref="X1289:X1290 X1292:X1293">
    <cfRule type="expression" dxfId="4169" priority="3496">
      <formula>$H1289="Cash"</formula>
    </cfRule>
  </conditionalFormatting>
  <conditionalFormatting sqref="X1289:X1290 X1292:X1293">
    <cfRule type="expression" dxfId="4168" priority="3495">
      <formula>$O1289="Applicant Signatures"</formula>
    </cfRule>
  </conditionalFormatting>
  <conditionalFormatting sqref="R1289:R1295">
    <cfRule type="expression" dxfId="4167" priority="3494">
      <formula>$O1289="Applicant Signatures"</formula>
    </cfRule>
  </conditionalFormatting>
  <conditionalFormatting sqref="Q1296">
    <cfRule type="expression" dxfId="4166" priority="3493">
      <formula>$H1296="Cash"</formula>
    </cfRule>
  </conditionalFormatting>
  <conditionalFormatting sqref="Q1296">
    <cfRule type="expression" dxfId="4165" priority="3492">
      <formula>$O1296="Applicant Signatures"</formula>
    </cfRule>
  </conditionalFormatting>
  <conditionalFormatting sqref="R1296">
    <cfRule type="expression" dxfId="4164" priority="3491">
      <formula>$H1296="Cash"</formula>
    </cfRule>
  </conditionalFormatting>
  <conditionalFormatting sqref="V1296">
    <cfRule type="expression" dxfId="4163" priority="3490">
      <formula>$H1296="Cash"</formula>
    </cfRule>
  </conditionalFormatting>
  <conditionalFormatting sqref="O1296">
    <cfRule type="expression" dxfId="4162" priority="3489">
      <formula>$H1296="Cash"</formula>
    </cfRule>
  </conditionalFormatting>
  <conditionalFormatting sqref="B1296:P1296 S1296 Y1296:Z1296 W1296 U1296 AB1296">
    <cfRule type="expression" dxfId="4161" priority="3488">
      <formula>$O1296="Applicant Signatures"</formula>
    </cfRule>
  </conditionalFormatting>
  <conditionalFormatting sqref="B1296:P1296 S1296 W1296 U1296">
    <cfRule type="expression" dxfId="4160" priority="3487">
      <formula>$H1296="Cash"</formula>
    </cfRule>
  </conditionalFormatting>
  <conditionalFormatting sqref="B1296:P1296 S1296 Y1296:Z1296 W1296 U1296 AB1296">
    <cfRule type="expression" dxfId="4159" priority="3486">
      <formula>$O1296="Applicant Signatures"</formula>
    </cfRule>
  </conditionalFormatting>
  <conditionalFormatting sqref="V1296">
    <cfRule type="expression" dxfId="4158" priority="3485">
      <formula>$O1296="Applicant Signatures"</formula>
    </cfRule>
  </conditionalFormatting>
  <conditionalFormatting sqref="V1296">
    <cfRule type="expression" dxfId="4157" priority="3484">
      <formula>$H1296="Cash"</formula>
    </cfRule>
  </conditionalFormatting>
  <conditionalFormatting sqref="V1296">
    <cfRule type="expression" dxfId="4156" priority="3483">
      <formula>$O1296="Applicant Signatures"</formula>
    </cfRule>
  </conditionalFormatting>
  <conditionalFormatting sqref="R1296">
    <cfRule type="expression" dxfId="4155" priority="3482">
      <formula>$O1296="Applicant Signatures"</formula>
    </cfRule>
  </conditionalFormatting>
  <conditionalFormatting sqref="X1296">
    <cfRule type="expression" dxfId="4154" priority="3481">
      <formula>$H1296="Cash"</formula>
    </cfRule>
  </conditionalFormatting>
  <conditionalFormatting sqref="X1296">
    <cfRule type="expression" dxfId="4153" priority="3480">
      <formula>$H1296="Cash"</formula>
    </cfRule>
  </conditionalFormatting>
  <conditionalFormatting sqref="X1296">
    <cfRule type="expression" dxfId="4152" priority="3479">
      <formula>$H1296="Cash"</formula>
    </cfRule>
  </conditionalFormatting>
  <conditionalFormatting sqref="X1296">
    <cfRule type="expression" dxfId="4151" priority="3478">
      <formula>$O1296="Applicant Signatures"</formula>
    </cfRule>
  </conditionalFormatting>
  <conditionalFormatting sqref="X1296">
    <cfRule type="expression" dxfId="4150" priority="3477">
      <formula>$H1296="Cash"</formula>
    </cfRule>
  </conditionalFormatting>
  <conditionalFormatting sqref="X1296">
    <cfRule type="expression" dxfId="4149" priority="3476">
      <formula>$O1296="Applicant Signatures"</formula>
    </cfRule>
  </conditionalFormatting>
  <conditionalFormatting sqref="R1297">
    <cfRule type="expression" dxfId="4148" priority="3470">
      <formula>$H1297="Cash"</formula>
    </cfRule>
  </conditionalFormatting>
  <conditionalFormatting sqref="V1297">
    <cfRule type="expression" dxfId="4147" priority="3469">
      <formula>$H1297="Cash"</formula>
    </cfRule>
  </conditionalFormatting>
  <conditionalFormatting sqref="O1297">
    <cfRule type="expression" dxfId="4146" priority="3468">
      <formula>$H1297="Cash"</formula>
    </cfRule>
  </conditionalFormatting>
  <conditionalFormatting sqref="B1297:P1297 S1297 Y1297:Z1297 W1297 U1297 AB1297">
    <cfRule type="expression" dxfId="4145" priority="3467">
      <formula>$O1297="Applicant Signatures"</formula>
    </cfRule>
  </conditionalFormatting>
  <conditionalFormatting sqref="B1297:P1297 S1297 W1297 U1297">
    <cfRule type="expression" dxfId="4144" priority="3466">
      <formula>$H1297="Cash"</formula>
    </cfRule>
  </conditionalFormatting>
  <conditionalFormatting sqref="B1297:P1297 S1297 Y1297:Z1297 W1297 U1297 AB1297">
    <cfRule type="expression" dxfId="4143" priority="3465">
      <formula>$O1297="Applicant Signatures"</formula>
    </cfRule>
  </conditionalFormatting>
  <conditionalFormatting sqref="V1297">
    <cfRule type="expression" dxfId="4142" priority="3464">
      <formula>$O1297="Applicant Signatures"</formula>
    </cfRule>
  </conditionalFormatting>
  <conditionalFormatting sqref="V1297">
    <cfRule type="expression" dxfId="4141" priority="3463">
      <formula>$H1297="Cash"</formula>
    </cfRule>
  </conditionalFormatting>
  <conditionalFormatting sqref="V1297">
    <cfRule type="expression" dxfId="4140" priority="3462">
      <formula>$O1297="Applicant Signatures"</formula>
    </cfRule>
  </conditionalFormatting>
  <conditionalFormatting sqref="X1297">
    <cfRule type="expression" dxfId="4139" priority="3461">
      <formula>$H1297="Cash"</formula>
    </cfRule>
  </conditionalFormatting>
  <conditionalFormatting sqref="X1297">
    <cfRule type="expression" dxfId="4138" priority="3460">
      <formula>$H1297="Cash"</formula>
    </cfRule>
  </conditionalFormatting>
  <conditionalFormatting sqref="X1297">
    <cfRule type="expression" dxfId="4137" priority="3459">
      <formula>$H1297="Cash"</formula>
    </cfRule>
  </conditionalFormatting>
  <conditionalFormatting sqref="X1297">
    <cfRule type="expression" dxfId="4136" priority="3458">
      <formula>$O1297="Applicant Signatures"</formula>
    </cfRule>
  </conditionalFormatting>
  <conditionalFormatting sqref="X1297">
    <cfRule type="expression" dxfId="4135" priority="3457">
      <formula>$H1297="Cash"</formula>
    </cfRule>
  </conditionalFormatting>
  <conditionalFormatting sqref="X1297">
    <cfRule type="expression" dxfId="4134" priority="3456">
      <formula>$O1297="Applicant Signatures"</formula>
    </cfRule>
  </conditionalFormatting>
  <conditionalFormatting sqref="R1297">
    <cfRule type="expression" dxfId="4133" priority="3455">
      <formula>$O1297="Applicant Signatures"</formula>
    </cfRule>
  </conditionalFormatting>
  <conditionalFormatting sqref="A1297">
    <cfRule type="expression" dxfId="4132" priority="3454">
      <formula>$Q1297="Cash"</formula>
    </cfRule>
  </conditionalFormatting>
  <conditionalFormatting sqref="X1234">
    <cfRule type="expression" dxfId="4131" priority="3453">
      <formula>$H1234="Cash"</formula>
    </cfRule>
  </conditionalFormatting>
  <conditionalFormatting sqref="X1234">
    <cfRule type="expression" dxfId="4130" priority="3452">
      <formula>$H1234="Cash"</formula>
    </cfRule>
  </conditionalFormatting>
  <conditionalFormatting sqref="X1234">
    <cfRule type="expression" dxfId="4129" priority="3451">
      <formula>$H1234="Cash"</formula>
    </cfRule>
  </conditionalFormatting>
  <conditionalFormatting sqref="X1234">
    <cfRule type="expression" dxfId="4128" priority="3450">
      <formula>$O1234="Applicant Signatures"</formula>
    </cfRule>
  </conditionalFormatting>
  <conditionalFormatting sqref="X1234">
    <cfRule type="expression" dxfId="4127" priority="3449">
      <formula>$H1234="Cash"</formula>
    </cfRule>
  </conditionalFormatting>
  <conditionalFormatting sqref="X1234">
    <cfRule type="expression" dxfId="4126" priority="3448">
      <formula>$O1234="Applicant Signatures"</formula>
    </cfRule>
  </conditionalFormatting>
  <conditionalFormatting sqref="R1298:R1299">
    <cfRule type="expression" dxfId="4125" priority="3445">
      <formula>$H1298="Cash"</formula>
    </cfRule>
  </conditionalFormatting>
  <conditionalFormatting sqref="V1298">
    <cfRule type="expression" dxfId="4124" priority="3444">
      <formula>$H1298="Cash"</formula>
    </cfRule>
  </conditionalFormatting>
  <conditionalFormatting sqref="T1298 O1298:O1299">
    <cfRule type="expression" dxfId="4123" priority="3443">
      <formula>$H1298="Cash"</formula>
    </cfRule>
  </conditionalFormatting>
  <conditionalFormatting sqref="B1298:P1299 S1298:U1298 Y1298:Z1299 W1298 S1299 U1299 AB1298:AB1299">
    <cfRule type="expression" dxfId="4122" priority="3442">
      <formula>$O1298="Applicant Signatures"</formula>
    </cfRule>
  </conditionalFormatting>
  <conditionalFormatting sqref="B1298:P1299 S1298:U1298 W1298 S1299 U1299">
    <cfRule type="expression" dxfId="4121" priority="3441">
      <formula>$H1298="Cash"</formula>
    </cfRule>
  </conditionalFormatting>
  <conditionalFormatting sqref="B1298:P1299 S1298:U1298 Y1298:Z1299 W1298 S1299 U1299 AB1298:AB1299">
    <cfRule type="expression" dxfId="4120" priority="3440">
      <formula>$O1298="Applicant Signatures"</formula>
    </cfRule>
  </conditionalFormatting>
  <conditionalFormatting sqref="V1298">
    <cfRule type="expression" dxfId="4119" priority="3439">
      <formula>$O1298="Applicant Signatures"</formula>
    </cfRule>
  </conditionalFormatting>
  <conditionalFormatting sqref="V1298">
    <cfRule type="expression" dxfId="4118" priority="3438">
      <formula>$H1298="Cash"</formula>
    </cfRule>
  </conditionalFormatting>
  <conditionalFormatting sqref="V1298">
    <cfRule type="expression" dxfId="4117" priority="3437">
      <formula>$O1298="Applicant Signatures"</formula>
    </cfRule>
  </conditionalFormatting>
  <conditionalFormatting sqref="X1298">
    <cfRule type="expression" dxfId="4116" priority="3436">
      <formula>$H1298="Cash"</formula>
    </cfRule>
  </conditionalFormatting>
  <conditionalFormatting sqref="X1298">
    <cfRule type="expression" dxfId="4115" priority="3435">
      <formula>$H1298="Cash"</formula>
    </cfRule>
  </conditionalFormatting>
  <conditionalFormatting sqref="X1298">
    <cfRule type="expression" dxfId="4114" priority="3434">
      <formula>$H1298="Cash"</formula>
    </cfRule>
  </conditionalFormatting>
  <conditionalFormatting sqref="X1298">
    <cfRule type="expression" dxfId="4113" priority="3433">
      <formula>$O1298="Applicant Signatures"</formula>
    </cfRule>
  </conditionalFormatting>
  <conditionalFormatting sqref="X1298">
    <cfRule type="expression" dxfId="4112" priority="3432">
      <formula>$H1298="Cash"</formula>
    </cfRule>
  </conditionalFormatting>
  <conditionalFormatting sqref="X1298">
    <cfRule type="expression" dxfId="4111" priority="3431">
      <formula>$O1298="Applicant Signatures"</formula>
    </cfRule>
  </conditionalFormatting>
  <conditionalFormatting sqref="R1298:R1299">
    <cfRule type="expression" dxfId="4110" priority="3430">
      <formula>$O1298="Applicant Signatures"</formula>
    </cfRule>
  </conditionalFormatting>
  <conditionalFormatting sqref="W1299">
    <cfRule type="expression" dxfId="4109" priority="3426">
      <formula>$O1299="Applicant Signatures"</formula>
    </cfRule>
  </conditionalFormatting>
  <conditionalFormatting sqref="W1299">
    <cfRule type="expression" dxfId="4108" priority="3425">
      <formula>$H1299="Cash"</formula>
    </cfRule>
  </conditionalFormatting>
  <conditionalFormatting sqref="W1299">
    <cfRule type="expression" dxfId="4107" priority="3424">
      <formula>$O1299="Applicant Signatures"</formula>
    </cfRule>
  </conditionalFormatting>
  <conditionalFormatting sqref="X1232">
    <cfRule type="expression" dxfId="4106" priority="3413">
      <formula>$H1232="Cash"</formula>
    </cfRule>
  </conditionalFormatting>
  <conditionalFormatting sqref="X1232">
    <cfRule type="expression" dxfId="4105" priority="3412">
      <formula>$H1232="Cash"</formula>
    </cfRule>
  </conditionalFormatting>
  <conditionalFormatting sqref="X1232">
    <cfRule type="expression" dxfId="4104" priority="3411">
      <formula>$H1232="Cash"</formula>
    </cfRule>
  </conditionalFormatting>
  <conditionalFormatting sqref="X1232">
    <cfRule type="expression" dxfId="4103" priority="3410">
      <formula>$O1232="Applicant Signatures"</formula>
    </cfRule>
  </conditionalFormatting>
  <conditionalFormatting sqref="X1232">
    <cfRule type="expression" dxfId="4102" priority="3409">
      <formula>$H1232="Cash"</formula>
    </cfRule>
  </conditionalFormatting>
  <conditionalFormatting sqref="X1232">
    <cfRule type="expression" dxfId="4101" priority="3408">
      <formula>$O1232="Applicant Signatures"</formula>
    </cfRule>
  </conditionalFormatting>
  <conditionalFormatting sqref="A1300 T1300 O1300 Q1300:R1300 V1300">
    <cfRule type="expression" dxfId="4100" priority="3407">
      <formula>$H1300="Cash"</formula>
    </cfRule>
  </conditionalFormatting>
  <conditionalFormatting sqref="Q1300 A1300">
    <cfRule type="expression" dxfId="4099" priority="3406">
      <formula>$O1300="Applicant Signatures"</formula>
    </cfRule>
  </conditionalFormatting>
  <conditionalFormatting sqref="B1300:P1300 Y1300:Z1300 R1300:W1300">
    <cfRule type="expression" dxfId="4098" priority="3405">
      <formula>$O1300="Applicant Signatures"</formula>
    </cfRule>
  </conditionalFormatting>
  <conditionalFormatting sqref="B1300:P1300 R1300:W1300">
    <cfRule type="expression" dxfId="4097" priority="3404">
      <formula>$H1300="Cash"</formula>
    </cfRule>
  </conditionalFormatting>
  <conditionalFormatting sqref="B1300:P1300 Y1300:Z1300 R1300:W1300">
    <cfRule type="expression" dxfId="4096" priority="3403">
      <formula>$O1300="Applicant Signatures"</formula>
    </cfRule>
  </conditionalFormatting>
  <conditionalFormatting sqref="A1300">
    <cfRule type="expression" dxfId="4095" priority="3402">
      <formula>$O1300="Applicant Signatures"</formula>
    </cfRule>
  </conditionalFormatting>
  <conditionalFormatting sqref="A1300">
    <cfRule type="expression" dxfId="4094" priority="3401">
      <formula>$H1300="Cash"</formula>
    </cfRule>
  </conditionalFormatting>
  <conditionalFormatting sqref="A1300">
    <cfRule type="expression" dxfId="4093" priority="3400">
      <formula>$O1300="Applicant Signatures"</formula>
    </cfRule>
  </conditionalFormatting>
  <conditionalFormatting sqref="O1300">
    <cfRule type="expression" dxfId="4092" priority="3399">
      <formula>$O1300="Applicant Signatures"</formula>
    </cfRule>
  </conditionalFormatting>
  <conditionalFormatting sqref="O1300">
    <cfRule type="expression" dxfId="4091" priority="3398">
      <formula>$H1300="Cash"</formula>
    </cfRule>
  </conditionalFormatting>
  <conditionalFormatting sqref="O1300">
    <cfRule type="expression" dxfId="4090" priority="3397">
      <formula>$O1300="Applicant Signatures"</formula>
    </cfRule>
  </conditionalFormatting>
  <conditionalFormatting sqref="X1300">
    <cfRule type="expression" dxfId="4089" priority="3395">
      <formula>#REF!="Cash"</formula>
    </cfRule>
  </conditionalFormatting>
  <conditionalFormatting sqref="X1300">
    <cfRule type="expression" dxfId="4088" priority="3396">
      <formula>#REF!="Applicant Signatures"</formula>
    </cfRule>
  </conditionalFormatting>
  <conditionalFormatting sqref="AB1300">
    <cfRule type="expression" dxfId="4087" priority="3394">
      <formula>$O1300="Applicant Signatures"</formula>
    </cfRule>
  </conditionalFormatting>
  <conditionalFormatting sqref="AB1300">
    <cfRule type="expression" dxfId="4086" priority="3393">
      <formula>$O1300="Applicant Signatures"</formula>
    </cfRule>
  </conditionalFormatting>
  <conditionalFormatting sqref="Q1301">
    <cfRule type="expression" dxfId="4085" priority="3381">
      <formula>$H1301="Cash"</formula>
    </cfRule>
  </conditionalFormatting>
  <conditionalFormatting sqref="Q1301">
    <cfRule type="expression" dxfId="4084" priority="3380">
      <formula>$O1301="Applicant Signatures"</formula>
    </cfRule>
  </conditionalFormatting>
  <conditionalFormatting sqref="A1301">
    <cfRule type="expression" dxfId="4083" priority="3379">
      <formula>$H1301="Cash"</formula>
    </cfRule>
  </conditionalFormatting>
  <conditionalFormatting sqref="A1301">
    <cfRule type="expression" dxfId="4082" priority="3378">
      <formula>$O1301="Applicant Signatures"</formula>
    </cfRule>
  </conditionalFormatting>
  <conditionalFormatting sqref="R1301">
    <cfRule type="expression" dxfId="4081" priority="3377">
      <formula>$H1301="Cash"</formula>
    </cfRule>
  </conditionalFormatting>
  <conditionalFormatting sqref="T1301 O1301">
    <cfRule type="expression" dxfId="4080" priority="3376">
      <formula>$H1301="Cash"</formula>
    </cfRule>
  </conditionalFormatting>
  <conditionalFormatting sqref="B1301:P1301 S1301:U1301 Y1301:Z1301 AB1301">
    <cfRule type="expression" dxfId="4079" priority="3375">
      <formula>$O1301="Applicant Signatures"</formula>
    </cfRule>
  </conditionalFormatting>
  <conditionalFormatting sqref="B1301:P1301 S1301:U1301">
    <cfRule type="expression" dxfId="4078" priority="3374">
      <formula>$H1301="Cash"</formula>
    </cfRule>
  </conditionalFormatting>
  <conditionalFormatting sqref="B1301:P1301 S1301:U1301 Y1301:Z1301 AB1301">
    <cfRule type="expression" dxfId="4077" priority="3373">
      <formula>$O1301="Applicant Signatures"</formula>
    </cfRule>
  </conditionalFormatting>
  <conditionalFormatting sqref="R1301">
    <cfRule type="expression" dxfId="4076" priority="3372">
      <formula>$O1301="Applicant Signatures"</formula>
    </cfRule>
  </conditionalFormatting>
  <conditionalFormatting sqref="V1301">
    <cfRule type="expression" dxfId="4075" priority="3371">
      <formula>$H1301="Cash"</formula>
    </cfRule>
  </conditionalFormatting>
  <conditionalFormatting sqref="W1301">
    <cfRule type="expression" dxfId="4074" priority="3370">
      <formula>$O1301="Applicant Signatures"</formula>
    </cfRule>
  </conditionalFormatting>
  <conditionalFormatting sqref="W1301">
    <cfRule type="expression" dxfId="4073" priority="3369">
      <formula>$H1301="Cash"</formula>
    </cfRule>
  </conditionalFormatting>
  <conditionalFormatting sqref="W1301">
    <cfRule type="expression" dxfId="4072" priority="3368">
      <formula>$O1301="Applicant Signatures"</formula>
    </cfRule>
  </conditionalFormatting>
  <conditionalFormatting sqref="V1301">
    <cfRule type="expression" dxfId="4071" priority="3367">
      <formula>$O1301="Applicant Signatures"</formula>
    </cfRule>
  </conditionalFormatting>
  <conditionalFormatting sqref="V1301">
    <cfRule type="expression" dxfId="4070" priority="3366">
      <formula>$H1301="Cash"</formula>
    </cfRule>
  </conditionalFormatting>
  <conditionalFormatting sqref="V1301">
    <cfRule type="expression" dxfId="4069" priority="3365">
      <formula>$O1301="Applicant Signatures"</formula>
    </cfRule>
  </conditionalFormatting>
  <conditionalFormatting sqref="X1301">
    <cfRule type="expression" dxfId="4068" priority="3364">
      <formula>$H1301="Cash"</formula>
    </cfRule>
  </conditionalFormatting>
  <conditionalFormatting sqref="X1301">
    <cfRule type="expression" dxfId="4067" priority="3363">
      <formula>$H1301="Cash"</formula>
    </cfRule>
  </conditionalFormatting>
  <conditionalFormatting sqref="X1301">
    <cfRule type="expression" dxfId="4066" priority="3362">
      <formula>$H1301="Cash"</formula>
    </cfRule>
  </conditionalFormatting>
  <conditionalFormatting sqref="X1301">
    <cfRule type="expression" dxfId="4065" priority="3361">
      <formula>$O1301="Applicant Signatures"</formula>
    </cfRule>
  </conditionalFormatting>
  <conditionalFormatting sqref="X1301">
    <cfRule type="expression" dxfId="4064" priority="3360">
      <formula>$H1301="Cash"</formula>
    </cfRule>
  </conditionalFormatting>
  <conditionalFormatting sqref="X1301">
    <cfRule type="expression" dxfId="4063" priority="3359">
      <formula>$O1301="Applicant Signatures"</formula>
    </cfRule>
  </conditionalFormatting>
  <conditionalFormatting sqref="T1296">
    <cfRule type="expression" dxfId="4062" priority="3354">
      <formula>$H1296="Cash"</formula>
    </cfRule>
  </conditionalFormatting>
  <conditionalFormatting sqref="T1296">
    <cfRule type="expression" dxfId="4061" priority="3353">
      <formula>$O1296="Applicant Signatures"</formula>
    </cfRule>
  </conditionalFormatting>
  <conditionalFormatting sqref="T1296">
    <cfRule type="expression" dxfId="4060" priority="3352">
      <formula>$H1296="Cash"</formula>
    </cfRule>
  </conditionalFormatting>
  <conditionalFormatting sqref="T1296">
    <cfRule type="expression" dxfId="4059" priority="3351">
      <formula>$O1296="Applicant Signatures"</formula>
    </cfRule>
  </conditionalFormatting>
  <conditionalFormatting sqref="X1282">
    <cfRule type="expression" dxfId="4058" priority="3332">
      <formula>$H1282="Cash"</formula>
    </cfRule>
  </conditionalFormatting>
  <conditionalFormatting sqref="X1282">
    <cfRule type="expression" dxfId="4057" priority="3331">
      <formula>$H1282="Cash"</formula>
    </cfRule>
  </conditionalFormatting>
  <conditionalFormatting sqref="X1282">
    <cfRule type="expression" dxfId="4056" priority="3330">
      <formula>$H1282="Cash"</formula>
    </cfRule>
  </conditionalFormatting>
  <conditionalFormatting sqref="X1282">
    <cfRule type="expression" dxfId="4055" priority="3329">
      <formula>$O1282="Applicant Signatures"</formula>
    </cfRule>
  </conditionalFormatting>
  <conditionalFormatting sqref="X1282">
    <cfRule type="expression" dxfId="4054" priority="3328">
      <formula>$H1282="Cash"</formula>
    </cfRule>
  </conditionalFormatting>
  <conditionalFormatting sqref="X1282">
    <cfRule type="expression" dxfId="4053" priority="3327">
      <formula>$O1282="Applicant Signatures"</formula>
    </cfRule>
  </conditionalFormatting>
  <conditionalFormatting sqref="T1297">
    <cfRule type="expression" dxfId="4052" priority="3326">
      <formula>$H1297="Cash"</formula>
    </cfRule>
  </conditionalFormatting>
  <conditionalFormatting sqref="T1297">
    <cfRule type="expression" dxfId="4051" priority="3325">
      <formula>$O1297="Applicant Signatures"</formula>
    </cfRule>
  </conditionalFormatting>
  <conditionalFormatting sqref="T1297">
    <cfRule type="expression" dxfId="4050" priority="3324">
      <formula>$H1297="Cash"</formula>
    </cfRule>
  </conditionalFormatting>
  <conditionalFormatting sqref="T1297">
    <cfRule type="expression" dxfId="4049" priority="3323">
      <formula>$O1297="Applicant Signatures"</formula>
    </cfRule>
  </conditionalFormatting>
  <conditionalFormatting sqref="R1302">
    <cfRule type="expression" dxfId="4048" priority="3318">
      <formula>$H1302="Cash"</formula>
    </cfRule>
  </conditionalFormatting>
  <conditionalFormatting sqref="T1302 O1302">
    <cfRule type="expression" dxfId="4047" priority="3317">
      <formula>$H1302="Cash"</formula>
    </cfRule>
  </conditionalFormatting>
  <conditionalFormatting sqref="B1302:P1302 S1302:U1302 Y1302:Z1302 AB1302">
    <cfRule type="expression" dxfId="4046" priority="3316">
      <formula>$O1302="Applicant Signatures"</formula>
    </cfRule>
  </conditionalFormatting>
  <conditionalFormatting sqref="B1302:P1302 S1302:U1302">
    <cfRule type="expression" dxfId="4045" priority="3315">
      <formula>$H1302="Cash"</formula>
    </cfRule>
  </conditionalFormatting>
  <conditionalFormatting sqref="B1302:P1302 S1302:U1302 Y1302:Z1302 AB1302">
    <cfRule type="expression" dxfId="4044" priority="3314">
      <formula>$O1302="Applicant Signatures"</formula>
    </cfRule>
  </conditionalFormatting>
  <conditionalFormatting sqref="R1302">
    <cfRule type="expression" dxfId="4043" priority="3313">
      <formula>$O1302="Applicant Signatures"</formula>
    </cfRule>
  </conditionalFormatting>
  <conditionalFormatting sqref="V1302:V1303">
    <cfRule type="expression" dxfId="4042" priority="3312">
      <formula>$H1302="Cash"</formula>
    </cfRule>
  </conditionalFormatting>
  <conditionalFormatting sqref="W1302">
    <cfRule type="expression" dxfId="4041" priority="3311">
      <formula>$O1302="Applicant Signatures"</formula>
    </cfRule>
  </conditionalFormatting>
  <conditionalFormatting sqref="W1302">
    <cfRule type="expression" dxfId="4040" priority="3310">
      <formula>$H1302="Cash"</formula>
    </cfRule>
  </conditionalFormatting>
  <conditionalFormatting sqref="W1302">
    <cfRule type="expression" dxfId="4039" priority="3309">
      <formula>$O1302="Applicant Signatures"</formula>
    </cfRule>
  </conditionalFormatting>
  <conditionalFormatting sqref="V1302:V1303">
    <cfRule type="expression" dxfId="4038" priority="3308">
      <formula>$O1302="Applicant Signatures"</formula>
    </cfRule>
  </conditionalFormatting>
  <conditionalFormatting sqref="V1302:V1303">
    <cfRule type="expression" dxfId="4037" priority="3307">
      <formula>$H1302="Cash"</formula>
    </cfRule>
  </conditionalFormatting>
  <conditionalFormatting sqref="V1302:V1303">
    <cfRule type="expression" dxfId="4036" priority="3306">
      <formula>$O1302="Applicant Signatures"</formula>
    </cfRule>
  </conditionalFormatting>
  <conditionalFormatting sqref="R1303">
    <cfRule type="expression" dxfId="4035" priority="3295">
      <formula>$H1303="Cash"</formula>
    </cfRule>
  </conditionalFormatting>
  <conditionalFormatting sqref="T1303 O1303">
    <cfRule type="expression" dxfId="4034" priority="3294">
      <formula>$H1303="Cash"</formula>
    </cfRule>
  </conditionalFormatting>
  <conditionalFormatting sqref="B1303:P1303 S1303:U1303 Y1303:Z1303 AB1303">
    <cfRule type="expression" dxfId="4033" priority="3293">
      <formula>$O1303="Applicant Signatures"</formula>
    </cfRule>
  </conditionalFormatting>
  <conditionalFormatting sqref="B1303:P1303 S1303:U1303">
    <cfRule type="expression" dxfId="4032" priority="3292">
      <formula>$H1303="Cash"</formula>
    </cfRule>
  </conditionalFormatting>
  <conditionalFormatting sqref="B1303:P1303 S1303:U1303 Y1303:Z1303 AB1303">
    <cfRule type="expression" dxfId="4031" priority="3291">
      <formula>$O1303="Applicant Signatures"</formula>
    </cfRule>
  </conditionalFormatting>
  <conditionalFormatting sqref="R1303">
    <cfRule type="expression" dxfId="4030" priority="3290">
      <formula>$O1303="Applicant Signatures"</formula>
    </cfRule>
  </conditionalFormatting>
  <conditionalFormatting sqref="W1303">
    <cfRule type="expression" dxfId="4029" priority="3288">
      <formula>$O1303="Applicant Signatures"</formula>
    </cfRule>
  </conditionalFormatting>
  <conditionalFormatting sqref="W1303">
    <cfRule type="expression" dxfId="4028" priority="3287">
      <formula>$H1303="Cash"</formula>
    </cfRule>
  </conditionalFormatting>
  <conditionalFormatting sqref="W1303">
    <cfRule type="expression" dxfId="4027" priority="3286">
      <formula>$O1303="Applicant Signatures"</formula>
    </cfRule>
  </conditionalFormatting>
  <conditionalFormatting sqref="X1302">
    <cfRule type="expression" dxfId="4026" priority="3258">
      <formula>$H1302="Cash"</formula>
    </cfRule>
  </conditionalFormatting>
  <conditionalFormatting sqref="X1302">
    <cfRule type="expression" dxfId="4025" priority="3257">
      <formula>$H1302="Cash"</formula>
    </cfRule>
  </conditionalFormatting>
  <conditionalFormatting sqref="X1302">
    <cfRule type="expression" dxfId="4024" priority="3256">
      <formula>$H1302="Cash"</formula>
    </cfRule>
  </conditionalFormatting>
  <conditionalFormatting sqref="X1302">
    <cfRule type="expression" dxfId="4023" priority="3255">
      <formula>$O1302="Applicant Signatures"</formula>
    </cfRule>
  </conditionalFormatting>
  <conditionalFormatting sqref="X1302">
    <cfRule type="expression" dxfId="4022" priority="3254">
      <formula>$H1302="Cash"</formula>
    </cfRule>
  </conditionalFormatting>
  <conditionalFormatting sqref="X1302">
    <cfRule type="expression" dxfId="4021" priority="3253">
      <formula>$O1302="Applicant Signatures"</formula>
    </cfRule>
  </conditionalFormatting>
  <conditionalFormatting sqref="X1302">
    <cfRule type="expression" dxfId="4020" priority="3252">
      <formula>$O1302="Applicant Signatures"</formula>
    </cfRule>
  </conditionalFormatting>
  <conditionalFormatting sqref="X1302">
    <cfRule type="expression" dxfId="4019" priority="3251">
      <formula>$H1302="Cash"</formula>
    </cfRule>
  </conditionalFormatting>
  <conditionalFormatting sqref="X1302">
    <cfRule type="expression" dxfId="4018" priority="3250">
      <formula>$O1302="Applicant Signatures"</formula>
    </cfRule>
  </conditionalFormatting>
  <conditionalFormatting sqref="O1038">
    <cfRule type="expression" dxfId="4017" priority="3240">
      <formula>$H1038="Cash"</formula>
    </cfRule>
  </conditionalFormatting>
  <conditionalFormatting sqref="O1038">
    <cfRule type="expression" dxfId="4016" priority="3239">
      <formula>$O1038="Applicant Signatures"</formula>
    </cfRule>
  </conditionalFormatting>
  <conditionalFormatting sqref="R1304">
    <cfRule type="expression" dxfId="4015" priority="3236">
      <formula>$H1304="Cash"</formula>
    </cfRule>
  </conditionalFormatting>
  <conditionalFormatting sqref="V1304">
    <cfRule type="expression" dxfId="4014" priority="3235">
      <formula>$H1304="Cash"</formula>
    </cfRule>
  </conditionalFormatting>
  <conditionalFormatting sqref="T1304 O1304">
    <cfRule type="expression" dxfId="4013" priority="3234">
      <formula>$H1304="Cash"</formula>
    </cfRule>
  </conditionalFormatting>
  <conditionalFormatting sqref="S1304:U1304 Y1304:Z1304 W1304 B1304:P1304 AB1304">
    <cfRule type="expression" dxfId="4012" priority="3233">
      <formula>$O1304="Applicant Signatures"</formula>
    </cfRule>
  </conditionalFormatting>
  <conditionalFormatting sqref="S1304:U1304 W1304 B1304:P1304">
    <cfRule type="expression" dxfId="4011" priority="3232">
      <formula>$H1304="Cash"</formula>
    </cfRule>
  </conditionalFormatting>
  <conditionalFormatting sqref="S1304:U1304 Y1304:Z1304 W1304 B1304:P1304 AB1304">
    <cfRule type="expression" dxfId="4010" priority="3231">
      <formula>$O1304="Applicant Signatures"</formula>
    </cfRule>
  </conditionalFormatting>
  <conditionalFormatting sqref="V1304">
    <cfRule type="expression" dxfId="4009" priority="3230">
      <formula>$O1304="Applicant Signatures"</formula>
    </cfRule>
  </conditionalFormatting>
  <conditionalFormatting sqref="V1304">
    <cfRule type="expression" dxfId="4008" priority="3229">
      <formula>$H1304="Cash"</formula>
    </cfRule>
  </conditionalFormatting>
  <conditionalFormatting sqref="V1304">
    <cfRule type="expression" dxfId="4007" priority="3228">
      <formula>$O1304="Applicant Signatures"</formula>
    </cfRule>
  </conditionalFormatting>
  <conditionalFormatting sqref="X1304">
    <cfRule type="expression" dxfId="4006" priority="3227">
      <formula>$H1304="Cash"</formula>
    </cfRule>
  </conditionalFormatting>
  <conditionalFormatting sqref="X1304">
    <cfRule type="expression" dxfId="4005" priority="3226">
      <formula>$H1304="Cash"</formula>
    </cfRule>
  </conditionalFormatting>
  <conditionalFormatting sqref="X1304">
    <cfRule type="expression" dxfId="4004" priority="3225">
      <formula>$H1304="Cash"</formula>
    </cfRule>
  </conditionalFormatting>
  <conditionalFormatting sqref="X1304">
    <cfRule type="expression" dxfId="4003" priority="3224">
      <formula>$O1304="Applicant Signatures"</formula>
    </cfRule>
  </conditionalFormatting>
  <conditionalFormatting sqref="X1304">
    <cfRule type="expression" dxfId="4002" priority="3223">
      <formula>$H1304="Cash"</formula>
    </cfRule>
  </conditionalFormatting>
  <conditionalFormatting sqref="X1304">
    <cfRule type="expression" dxfId="4001" priority="3222">
      <formula>$O1304="Applicant Signatures"</formula>
    </cfRule>
  </conditionalFormatting>
  <conditionalFormatting sqref="R1304">
    <cfRule type="expression" dxfId="4000" priority="3221">
      <formula>$O1304="Applicant Signatures"</formula>
    </cfRule>
  </conditionalFormatting>
  <conditionalFormatting sqref="R1305">
    <cfRule type="expression" dxfId="3999" priority="3218">
      <formula>$H1305="Cash"</formula>
    </cfRule>
  </conditionalFormatting>
  <conditionalFormatting sqref="V1305">
    <cfRule type="expression" dxfId="3998" priority="3217">
      <formula>$H1305="Cash"</formula>
    </cfRule>
  </conditionalFormatting>
  <conditionalFormatting sqref="T1305 O1305">
    <cfRule type="expression" dxfId="3997" priority="3216">
      <formula>$H1305="Cash"</formula>
    </cfRule>
  </conditionalFormatting>
  <conditionalFormatting sqref="S1305:U1305 Y1305:Z1305 W1305 B1305:P1305 AB1305">
    <cfRule type="expression" dxfId="3996" priority="3215">
      <formula>$O1305="Applicant Signatures"</formula>
    </cfRule>
  </conditionalFormatting>
  <conditionalFormatting sqref="S1305:U1305 W1305 B1305:P1305">
    <cfRule type="expression" dxfId="3995" priority="3214">
      <formula>$H1305="Cash"</formula>
    </cfRule>
  </conditionalFormatting>
  <conditionalFormatting sqref="S1305:U1305 Y1305:Z1305 W1305 B1305:P1305 AB1305">
    <cfRule type="expression" dxfId="3994" priority="3213">
      <formula>$O1305="Applicant Signatures"</formula>
    </cfRule>
  </conditionalFormatting>
  <conditionalFormatting sqref="V1305">
    <cfRule type="expression" dxfId="3993" priority="3212">
      <formula>$O1305="Applicant Signatures"</formula>
    </cfRule>
  </conditionalFormatting>
  <conditionalFormatting sqref="V1305">
    <cfRule type="expression" dxfId="3992" priority="3211">
      <formula>$H1305="Cash"</formula>
    </cfRule>
  </conditionalFormatting>
  <conditionalFormatting sqref="V1305">
    <cfRule type="expression" dxfId="3991" priority="3210">
      <formula>$O1305="Applicant Signatures"</formula>
    </cfRule>
  </conditionalFormatting>
  <conditionalFormatting sqref="X1305">
    <cfRule type="expression" dxfId="3990" priority="3209">
      <formula>$H1305="Cash"</formula>
    </cfRule>
  </conditionalFormatting>
  <conditionalFormatting sqref="X1305">
    <cfRule type="expression" dxfId="3989" priority="3208">
      <formula>$H1305="Cash"</formula>
    </cfRule>
  </conditionalFormatting>
  <conditionalFormatting sqref="X1305">
    <cfRule type="expression" dxfId="3988" priority="3207">
      <formula>$H1305="Cash"</formula>
    </cfRule>
  </conditionalFormatting>
  <conditionalFormatting sqref="X1305">
    <cfRule type="expression" dxfId="3987" priority="3206">
      <formula>$O1305="Applicant Signatures"</formula>
    </cfRule>
  </conditionalFormatting>
  <conditionalFormatting sqref="X1305">
    <cfRule type="expression" dxfId="3986" priority="3205">
      <formula>$H1305="Cash"</formula>
    </cfRule>
  </conditionalFormatting>
  <conditionalFormatting sqref="X1305">
    <cfRule type="expression" dxfId="3985" priority="3204">
      <formula>$O1305="Applicant Signatures"</formula>
    </cfRule>
  </conditionalFormatting>
  <conditionalFormatting sqref="R1305">
    <cfRule type="expression" dxfId="3984" priority="3203">
      <formula>$O1305="Applicant Signatures"</formula>
    </cfRule>
  </conditionalFormatting>
  <conditionalFormatting sqref="R1306">
    <cfRule type="expression" dxfId="3983" priority="3164">
      <formula>$H1306="Cash"</formula>
    </cfRule>
  </conditionalFormatting>
  <conditionalFormatting sqref="V1306">
    <cfRule type="expression" dxfId="3982" priority="3163">
      <formula>$H1306="Cash"</formula>
    </cfRule>
  </conditionalFormatting>
  <conditionalFormatting sqref="O1306">
    <cfRule type="expression" dxfId="3981" priority="3162">
      <formula>$H1306="Cash"</formula>
    </cfRule>
  </conditionalFormatting>
  <conditionalFormatting sqref="S1306 Y1306:Z1306 W1306 B1306:P1306 AB1306 U1306">
    <cfRule type="expression" dxfId="3980" priority="3161">
      <formula>$O1306="Applicant Signatures"</formula>
    </cfRule>
  </conditionalFormatting>
  <conditionalFormatting sqref="S1306 W1306 B1306:P1306 U1306">
    <cfRule type="expression" dxfId="3979" priority="3160">
      <formula>$H1306="Cash"</formula>
    </cfRule>
  </conditionalFormatting>
  <conditionalFormatting sqref="S1306 Y1306:Z1306 W1306 B1306:P1306 AB1306 U1306">
    <cfRule type="expression" dxfId="3978" priority="3159">
      <formula>$O1306="Applicant Signatures"</formula>
    </cfRule>
  </conditionalFormatting>
  <conditionalFormatting sqref="V1306">
    <cfRule type="expression" dxfId="3977" priority="3158">
      <formula>$O1306="Applicant Signatures"</formula>
    </cfRule>
  </conditionalFormatting>
  <conditionalFormatting sqref="V1306">
    <cfRule type="expression" dxfId="3976" priority="3157">
      <formula>$H1306="Cash"</formula>
    </cfRule>
  </conditionalFormatting>
  <conditionalFormatting sqref="V1306">
    <cfRule type="expression" dxfId="3975" priority="3156">
      <formula>$O1306="Applicant Signatures"</formula>
    </cfRule>
  </conditionalFormatting>
  <conditionalFormatting sqref="R1306">
    <cfRule type="expression" dxfId="3974" priority="3149">
      <formula>$O1306="Applicant Signatures"</formula>
    </cfRule>
  </conditionalFormatting>
  <conditionalFormatting sqref="A1307 Q1307:R1307 T1307 V1307">
    <cfRule type="expression" dxfId="3973" priority="3142">
      <formula>$H1307="Cash"</formula>
    </cfRule>
  </conditionalFormatting>
  <conditionalFormatting sqref="A1307:N1307 Y1307:Z1307 P1307:W1307 AB1307">
    <cfRule type="expression" dxfId="3972" priority="3141">
      <formula>$O1307="Applicant Signatures"</formula>
    </cfRule>
  </conditionalFormatting>
  <conditionalFormatting sqref="A1307:N1307 R1307:W1307 P1307">
    <cfRule type="expression" dxfId="3971" priority="3140">
      <formula>$H1307="Cash"</formula>
    </cfRule>
  </conditionalFormatting>
  <conditionalFormatting sqref="A1307:N1307 R1307:W1307 Y1307:Z1307 P1307 AB1307">
    <cfRule type="expression" dxfId="3970" priority="3139">
      <formula>$O1307="Applicant Signatures"</formula>
    </cfRule>
  </conditionalFormatting>
  <conditionalFormatting sqref="A1308:A1309 Q1308:Q1309">
    <cfRule type="expression" dxfId="3969" priority="3135">
      <formula>$H1308="Cash"</formula>
    </cfRule>
  </conditionalFormatting>
  <conditionalFormatting sqref="Q1308:Q1309 A1308:A1309">
    <cfRule type="expression" dxfId="3968" priority="3134">
      <formula>$O1308="Applicant Signatures"</formula>
    </cfRule>
  </conditionalFormatting>
  <conditionalFormatting sqref="Q1308:Q1309 T1308:T1309 O1308:O1309 V1309">
    <cfRule type="expression" dxfId="3967" priority="3133">
      <formula>$H1308="Cash"</formula>
    </cfRule>
  </conditionalFormatting>
  <conditionalFormatting sqref="A1308:Q1308 Y1308:Z1308 AB1308 S1308:U1308">
    <cfRule type="expression" dxfId="3966" priority="3132">
      <formula>$O1308="Applicant Signatures"</formula>
    </cfRule>
  </conditionalFormatting>
  <conditionalFormatting sqref="A1308:Q1308 S1308:U1308">
    <cfRule type="expression" dxfId="3965" priority="3130">
      <formula>$H1308="Cash"</formula>
    </cfRule>
  </conditionalFormatting>
  <conditionalFormatting sqref="A1308:Q1308 Y1308:Z1308 AB1308 S1308:U1308">
    <cfRule type="expression" dxfId="3964" priority="3129">
      <formula>$O1308="Applicant Signatures"</formula>
    </cfRule>
  </conditionalFormatting>
  <conditionalFormatting sqref="X1308:X1309">
    <cfRule type="expression" dxfId="3963" priority="3127">
      <formula>$H1308="Cash"</formula>
    </cfRule>
  </conditionalFormatting>
  <conditionalFormatting sqref="X1308:X1309">
    <cfRule type="expression" dxfId="3962" priority="3126">
      <formula>$O1308="Applicant Signatures"</formula>
    </cfRule>
  </conditionalFormatting>
  <conditionalFormatting sqref="X1308:X1309">
    <cfRule type="expression" dxfId="3961" priority="3125">
      <formula>$O1308="Applicant Signatures"</formula>
    </cfRule>
  </conditionalFormatting>
  <conditionalFormatting sqref="X1308:X1309">
    <cfRule type="expression" dxfId="3960" priority="3124">
      <formula>$O1308="Applicant Signatures"</formula>
    </cfRule>
  </conditionalFormatting>
  <conditionalFormatting sqref="A1309:Q1309 Y1309:Z1309 AB1309 S1309:W1309">
    <cfRule type="expression" dxfId="3959" priority="3123">
      <formula>$O1309="Applicant Signatures"</formula>
    </cfRule>
  </conditionalFormatting>
  <conditionalFormatting sqref="A1309:Q1309 S1309:W1309">
    <cfRule type="expression" dxfId="3958" priority="3122">
      <formula>$H1309="Cash"</formula>
    </cfRule>
  </conditionalFormatting>
  <conditionalFormatting sqref="A1309:Q1309 Y1309:Z1309 AB1309 S1309:W1309">
    <cfRule type="expression" dxfId="3957" priority="3121">
      <formula>$O1309="Applicant Signatures"</formula>
    </cfRule>
  </conditionalFormatting>
  <conditionalFormatting sqref="A1310">
    <cfRule type="expression" dxfId="3956" priority="3120">
      <formula>$H1310="Cash"</formula>
    </cfRule>
  </conditionalFormatting>
  <conditionalFormatting sqref="A1310">
    <cfRule type="expression" dxfId="3955" priority="3119">
      <formula>$O1310="Applicant Signatures"</formula>
    </cfRule>
  </conditionalFormatting>
  <conditionalFormatting sqref="Q1310:R1310">
    <cfRule type="expression" dxfId="3954" priority="3118">
      <formula>$H1310="Cash"</formula>
    </cfRule>
  </conditionalFormatting>
  <conditionalFormatting sqref="Q1310">
    <cfRule type="expression" dxfId="3953" priority="3117">
      <formula>$O1310="Applicant Signatures"</formula>
    </cfRule>
  </conditionalFormatting>
  <conditionalFormatting sqref="T1310 O1310">
    <cfRule type="expression" dxfId="3952" priority="3115">
      <formula>$H1310="Cash"</formula>
    </cfRule>
  </conditionalFormatting>
  <conditionalFormatting sqref="B1310:M1310 S1310:U1310 Y1310:Z1310 O1310:P1310 AB1310">
    <cfRule type="expression" dxfId="3951" priority="3114">
      <formula>$O1310="Applicant Signatures"</formula>
    </cfRule>
  </conditionalFormatting>
  <conditionalFormatting sqref="B1310:M1310 S1310:U1310 O1310:P1310">
    <cfRule type="expression" dxfId="3950" priority="3113">
      <formula>$H1310="Cash"</formula>
    </cfRule>
  </conditionalFormatting>
  <conditionalFormatting sqref="B1310:M1310 S1310:U1310 Y1310:Z1310 O1310:P1310 AB1310">
    <cfRule type="expression" dxfId="3949" priority="3112">
      <formula>$O1310="Applicant Signatures"</formula>
    </cfRule>
  </conditionalFormatting>
  <conditionalFormatting sqref="X1310">
    <cfRule type="expression" dxfId="3948" priority="3108">
      <formula>$H1310="Cash"</formula>
    </cfRule>
  </conditionalFormatting>
  <conditionalFormatting sqref="X1310">
    <cfRule type="expression" dxfId="3947" priority="3107">
      <formula>$H1310="Cash"</formula>
    </cfRule>
  </conditionalFormatting>
  <conditionalFormatting sqref="X1310">
    <cfRule type="expression" dxfId="3946" priority="3106">
      <formula>$H1310="Cash"</formula>
    </cfRule>
  </conditionalFormatting>
  <conditionalFormatting sqref="X1310">
    <cfRule type="expression" dxfId="3945" priority="3105">
      <formula>$O1310="Applicant Signatures"</formula>
    </cfRule>
  </conditionalFormatting>
  <conditionalFormatting sqref="X1310">
    <cfRule type="expression" dxfId="3944" priority="3104">
      <formula>$H1310="Cash"</formula>
    </cfRule>
  </conditionalFormatting>
  <conditionalFormatting sqref="X1310">
    <cfRule type="expression" dxfId="3943" priority="3103">
      <formula>$O1310="Applicant Signatures"</formula>
    </cfRule>
  </conditionalFormatting>
  <conditionalFormatting sqref="R1310">
    <cfRule type="expression" dxfId="3942" priority="3102">
      <formula>$O1310="Applicant Signatures"</formula>
    </cfRule>
  </conditionalFormatting>
  <conditionalFormatting sqref="Q1310">
    <cfRule type="expression" dxfId="3941" priority="3101">
      <formula>$H1310="Cash"</formula>
    </cfRule>
  </conditionalFormatting>
  <conditionalFormatting sqref="Q1310">
    <cfRule type="expression" dxfId="3940" priority="3100">
      <formula>$O1310="Applicant Signatures"</formula>
    </cfRule>
  </conditionalFormatting>
  <conditionalFormatting sqref="T1282">
    <cfRule type="expression" dxfId="3939" priority="3098">
      <formula>$H1282="Cash"</formula>
    </cfRule>
  </conditionalFormatting>
  <conditionalFormatting sqref="T1282">
    <cfRule type="expression" dxfId="3938" priority="3097">
      <formula>$O1282="Applicant Signatures"</formula>
    </cfRule>
  </conditionalFormatting>
  <conditionalFormatting sqref="T1282">
    <cfRule type="expression" dxfId="3937" priority="3096">
      <formula>$H1282="Cash"</formula>
    </cfRule>
  </conditionalFormatting>
  <conditionalFormatting sqref="T1282">
    <cfRule type="expression" dxfId="3936" priority="3095">
      <formula>$O1282="Applicant Signatures"</formula>
    </cfRule>
  </conditionalFormatting>
  <conditionalFormatting sqref="O1253">
    <cfRule type="expression" dxfId="3935" priority="3054">
      <formula>$O1253="Applicant Signatures"</formula>
    </cfRule>
  </conditionalFormatting>
  <conditionalFormatting sqref="O1253">
    <cfRule type="expression" dxfId="3934" priority="3053">
      <formula>$H1253="Cash"</formula>
    </cfRule>
  </conditionalFormatting>
  <conditionalFormatting sqref="O1253">
    <cfRule type="expression" dxfId="3933" priority="3052">
      <formula>$O1253="Applicant Signatures"</formula>
    </cfRule>
  </conditionalFormatting>
  <conditionalFormatting sqref="O1307">
    <cfRule type="expression" dxfId="3932" priority="3051">
      <formula>$H1307="Cash"</formula>
    </cfRule>
  </conditionalFormatting>
  <conditionalFormatting sqref="O1307">
    <cfRule type="expression" dxfId="3931" priority="3050">
      <formula>$O1307="Applicant Signatures"</formula>
    </cfRule>
  </conditionalFormatting>
  <conditionalFormatting sqref="O1307">
    <cfRule type="expression" dxfId="3930" priority="3049">
      <formula>$H1307="Cash"</formula>
    </cfRule>
  </conditionalFormatting>
  <conditionalFormatting sqref="O1307">
    <cfRule type="expression" dxfId="3929" priority="3048">
      <formula>$O1307="Applicant Signatures"</formula>
    </cfRule>
  </conditionalFormatting>
  <conditionalFormatting sqref="X1253">
    <cfRule type="expression" dxfId="3928" priority="3047">
      <formula>$H1253="Cash"</formula>
    </cfRule>
  </conditionalFormatting>
  <conditionalFormatting sqref="X1253">
    <cfRule type="expression" dxfId="3927" priority="3046">
      <formula>$H1253="Cash"</formula>
    </cfRule>
  </conditionalFormatting>
  <conditionalFormatting sqref="X1253">
    <cfRule type="expression" dxfId="3926" priority="3045">
      <formula>$H1253="Cash"</formula>
    </cfRule>
  </conditionalFormatting>
  <conditionalFormatting sqref="X1253">
    <cfRule type="expression" dxfId="3925" priority="3044">
      <formula>$O1253="Applicant Signatures"</formula>
    </cfRule>
  </conditionalFormatting>
  <conditionalFormatting sqref="X1253">
    <cfRule type="expression" dxfId="3924" priority="3043">
      <formula>$H1253="Cash"</formula>
    </cfRule>
  </conditionalFormatting>
  <conditionalFormatting sqref="X1253">
    <cfRule type="expression" dxfId="3923" priority="3042">
      <formula>$O1253="Applicant Signatures"</formula>
    </cfRule>
  </conditionalFormatting>
  <conditionalFormatting sqref="X1307">
    <cfRule type="expression" dxfId="3922" priority="3041">
      <formula>$H1307="Cash"</formula>
    </cfRule>
  </conditionalFormatting>
  <conditionalFormatting sqref="X1307">
    <cfRule type="expression" dxfId="3921" priority="3040">
      <formula>$H1307="Cash"</formula>
    </cfRule>
  </conditionalFormatting>
  <conditionalFormatting sqref="X1307">
    <cfRule type="expression" dxfId="3920" priority="3039">
      <formula>$H1307="Cash"</formula>
    </cfRule>
  </conditionalFormatting>
  <conditionalFormatting sqref="X1307">
    <cfRule type="expression" dxfId="3919" priority="3038">
      <formula>$O1307="Applicant Signatures"</formula>
    </cfRule>
  </conditionalFormatting>
  <conditionalFormatting sqref="X1307">
    <cfRule type="expression" dxfId="3918" priority="3037">
      <formula>$H1307="Cash"</formula>
    </cfRule>
  </conditionalFormatting>
  <conditionalFormatting sqref="X1307">
    <cfRule type="expression" dxfId="3917" priority="3036">
      <formula>$O1307="Applicant Signatures"</formula>
    </cfRule>
  </conditionalFormatting>
  <conditionalFormatting sqref="V1282">
    <cfRule type="expression" dxfId="3916" priority="3035">
      <formula>$H1282="Cash"</formula>
    </cfRule>
  </conditionalFormatting>
  <conditionalFormatting sqref="V1282">
    <cfRule type="expression" dxfId="3915" priority="3034">
      <formula>$O1282="Applicant Signatures"</formula>
    </cfRule>
  </conditionalFormatting>
  <conditionalFormatting sqref="V1282">
    <cfRule type="expression" dxfId="3914" priority="3033">
      <formula>$H1282="Cash"</formula>
    </cfRule>
  </conditionalFormatting>
  <conditionalFormatting sqref="V1282">
    <cfRule type="expression" dxfId="3913" priority="3032">
      <formula>$O1282="Applicant Signatures"</formula>
    </cfRule>
  </conditionalFormatting>
  <conditionalFormatting sqref="N1310">
    <cfRule type="expression" dxfId="3912" priority="3029">
      <formula>$O1310="Applicant Signatures"</formula>
    </cfRule>
  </conditionalFormatting>
  <conditionalFormatting sqref="N1310">
    <cfRule type="expression" dxfId="3911" priority="3028">
      <formula>$H1310="Cash"</formula>
    </cfRule>
  </conditionalFormatting>
  <conditionalFormatting sqref="N1310">
    <cfRule type="expression" dxfId="3910" priority="3027">
      <formula>$O1310="Applicant Signatures"</formula>
    </cfRule>
  </conditionalFormatting>
  <conditionalFormatting sqref="V1310">
    <cfRule type="expression" dxfId="3909" priority="3026">
      <formula>$H1310="Cash"</formula>
    </cfRule>
  </conditionalFormatting>
  <conditionalFormatting sqref="W1310">
    <cfRule type="expression" dxfId="3908" priority="3025">
      <formula>$O1310="Applicant Signatures"</formula>
    </cfRule>
  </conditionalFormatting>
  <conditionalFormatting sqref="W1310">
    <cfRule type="expression" dxfId="3907" priority="3024">
      <formula>$H1310="Cash"</formula>
    </cfRule>
  </conditionalFormatting>
  <conditionalFormatting sqref="W1310">
    <cfRule type="expression" dxfId="3906" priority="3023">
      <formula>$O1310="Applicant Signatures"</formula>
    </cfRule>
  </conditionalFormatting>
  <conditionalFormatting sqref="V1310">
    <cfRule type="expression" dxfId="3905" priority="3022">
      <formula>$O1310="Applicant Signatures"</formula>
    </cfRule>
  </conditionalFormatting>
  <conditionalFormatting sqref="V1310">
    <cfRule type="expression" dxfId="3904" priority="3021">
      <formula>$H1310="Cash"</formula>
    </cfRule>
  </conditionalFormatting>
  <conditionalFormatting sqref="V1310">
    <cfRule type="expression" dxfId="3903" priority="3020">
      <formula>$O1310="Applicant Signatures"</formula>
    </cfRule>
  </conditionalFormatting>
  <conditionalFormatting sqref="B1313:W1313">
    <cfRule type="expression" dxfId="3902" priority="3019">
      <formula>$H1313="Cash"</formula>
    </cfRule>
  </conditionalFormatting>
  <conditionalFormatting sqref="B1313:W1313 Y1313:Z1313 AB1313">
    <cfRule type="expression" dxfId="3901" priority="3018">
      <formula>$O1313="Applicant Signatures"</formula>
    </cfRule>
  </conditionalFormatting>
  <conditionalFormatting sqref="X1313">
    <cfRule type="expression" dxfId="3900" priority="3015">
      <formula>$H1313="Cash"</formula>
    </cfRule>
  </conditionalFormatting>
  <conditionalFormatting sqref="X1313">
    <cfRule type="expression" dxfId="3899" priority="3014">
      <formula>$H1313="Cash"</formula>
    </cfRule>
  </conditionalFormatting>
  <conditionalFormatting sqref="X1313">
    <cfRule type="expression" dxfId="3898" priority="3013">
      <formula>$H1313="Cash"</formula>
    </cfRule>
  </conditionalFormatting>
  <conditionalFormatting sqref="X1313">
    <cfRule type="expression" dxfId="3897" priority="3012">
      <formula>$O1313="Applicant Signatures"</formula>
    </cfRule>
  </conditionalFormatting>
  <conditionalFormatting sqref="X1313">
    <cfRule type="expression" dxfId="3896" priority="3011">
      <formula>$H1313="Cash"</formula>
    </cfRule>
  </conditionalFormatting>
  <conditionalFormatting sqref="X1313">
    <cfRule type="expression" dxfId="3895" priority="3010">
      <formula>$O1313="Applicant Signatures"</formula>
    </cfRule>
  </conditionalFormatting>
  <conditionalFormatting sqref="V1274">
    <cfRule type="expression" dxfId="3894" priority="3005">
      <formula>$H1274="Cash"</formula>
    </cfRule>
  </conditionalFormatting>
  <conditionalFormatting sqref="V1274">
    <cfRule type="expression" dxfId="3893" priority="3004">
      <formula>$O1274="Applicant Signatures"</formula>
    </cfRule>
  </conditionalFormatting>
  <conditionalFormatting sqref="V1274">
    <cfRule type="expression" dxfId="3892" priority="3003">
      <formula>$H1274="Cash"</formula>
    </cfRule>
  </conditionalFormatting>
  <conditionalFormatting sqref="V1274">
    <cfRule type="expression" dxfId="3891" priority="3002">
      <formula>$O1274="Applicant Signatures"</formula>
    </cfRule>
  </conditionalFormatting>
  <conditionalFormatting sqref="A1314">
    <cfRule type="expression" dxfId="3890" priority="2998">
      <formula>$H1314="Cash"</formula>
    </cfRule>
  </conditionalFormatting>
  <conditionalFormatting sqref="A1314">
    <cfRule type="expression" dxfId="3889" priority="2997">
      <formula>$O1314="Applicant Signatures"</formula>
    </cfRule>
  </conditionalFormatting>
  <conditionalFormatting sqref="Q1314">
    <cfRule type="expression" dxfId="3888" priority="2996">
      <formula>$H1314="Cash"</formula>
    </cfRule>
  </conditionalFormatting>
  <conditionalFormatting sqref="Q1314">
    <cfRule type="expression" dxfId="3887" priority="2995">
      <formula>$O1314="Applicant Signatures"</formula>
    </cfRule>
  </conditionalFormatting>
  <conditionalFormatting sqref="R1314">
    <cfRule type="expression" dxfId="3886" priority="2994">
      <formula>$H1314="Cash"</formula>
    </cfRule>
  </conditionalFormatting>
  <conditionalFormatting sqref="V1314">
    <cfRule type="expression" dxfId="3885" priority="2993">
      <formula>$H1314="Cash"</formula>
    </cfRule>
  </conditionalFormatting>
  <conditionalFormatting sqref="T1314 O1314">
    <cfRule type="expression" dxfId="3884" priority="2992">
      <formula>$H1314="Cash"</formula>
    </cfRule>
  </conditionalFormatting>
  <conditionalFormatting sqref="B1314 S1314:U1314 Y1314:Z1314 W1314 D1314:P1314 AB1314">
    <cfRule type="expression" dxfId="3883" priority="2991">
      <formula>$O1314="Applicant Signatures"</formula>
    </cfRule>
  </conditionalFormatting>
  <conditionalFormatting sqref="B1314 S1314:U1314 W1314 D1314:P1314">
    <cfRule type="expression" dxfId="3882" priority="2990">
      <formula>$H1314="Cash"</formula>
    </cfRule>
  </conditionalFormatting>
  <conditionalFormatting sqref="B1314 S1314:U1314 Y1314:Z1314 W1314 D1314:P1314 AB1314">
    <cfRule type="expression" dxfId="3881" priority="2989">
      <formula>$O1314="Applicant Signatures"</formula>
    </cfRule>
  </conditionalFormatting>
  <conditionalFormatting sqref="V1314">
    <cfRule type="expression" dxfId="3880" priority="2988">
      <formula>$O1314="Applicant Signatures"</formula>
    </cfRule>
  </conditionalFormatting>
  <conditionalFormatting sqref="V1314">
    <cfRule type="expression" dxfId="3879" priority="2987">
      <formula>$H1314="Cash"</formula>
    </cfRule>
  </conditionalFormatting>
  <conditionalFormatting sqref="V1314">
    <cfRule type="expression" dxfId="3878" priority="2986">
      <formula>$O1314="Applicant Signatures"</formula>
    </cfRule>
  </conditionalFormatting>
  <conditionalFormatting sqref="X1314">
    <cfRule type="expression" dxfId="3877" priority="2985">
      <formula>$H1314="Cash"</formula>
    </cfRule>
  </conditionalFormatting>
  <conditionalFormatting sqref="X1314">
    <cfRule type="expression" dxfId="3876" priority="2984">
      <formula>$H1314="Cash"</formula>
    </cfRule>
  </conditionalFormatting>
  <conditionalFormatting sqref="X1314">
    <cfRule type="expression" dxfId="3875" priority="2983">
      <formula>$H1314="Cash"</formula>
    </cfRule>
  </conditionalFormatting>
  <conditionalFormatting sqref="X1314">
    <cfRule type="expression" dxfId="3874" priority="2982">
      <formula>$O1314="Applicant Signatures"</formula>
    </cfRule>
  </conditionalFormatting>
  <conditionalFormatting sqref="X1314">
    <cfRule type="expression" dxfId="3873" priority="2981">
      <formula>$H1314="Cash"</formula>
    </cfRule>
  </conditionalFormatting>
  <conditionalFormatting sqref="X1314">
    <cfRule type="expression" dxfId="3872" priority="2980">
      <formula>$O1314="Applicant Signatures"</formula>
    </cfRule>
  </conditionalFormatting>
  <conditionalFormatting sqref="R1314">
    <cfRule type="expression" dxfId="3871" priority="2979">
      <formula>$O1314="Applicant Signatures"</formula>
    </cfRule>
  </conditionalFormatting>
  <conditionalFormatting sqref="V1308">
    <cfRule type="expression" dxfId="3870" priority="2978">
      <formula>$H1308="Cash"</formula>
    </cfRule>
  </conditionalFormatting>
  <conditionalFormatting sqref="V1308:W1308">
    <cfRule type="expression" dxfId="3869" priority="2977">
      <formula>$O1308="Applicant Signatures"</formula>
    </cfRule>
  </conditionalFormatting>
  <conditionalFormatting sqref="V1308:W1308">
    <cfRule type="expression" dxfId="3868" priority="2976">
      <formula>$H1308="Cash"</formula>
    </cfRule>
  </conditionalFormatting>
  <conditionalFormatting sqref="V1308:W1308">
    <cfRule type="expression" dxfId="3867" priority="2975">
      <formula>$O1308="Applicant Signatures"</formula>
    </cfRule>
  </conditionalFormatting>
  <conditionalFormatting sqref="V1247">
    <cfRule type="expression" dxfId="3866" priority="2972">
      <formula>$H1247="Cash"</formula>
    </cfRule>
  </conditionalFormatting>
  <conditionalFormatting sqref="V1247:W1247">
    <cfRule type="expression" dxfId="3865" priority="2971">
      <formula>$O1247="Applicant Signatures"</formula>
    </cfRule>
  </conditionalFormatting>
  <conditionalFormatting sqref="V1247:W1247">
    <cfRule type="expression" dxfId="3864" priority="2970">
      <formula>$H1247="Cash"</formula>
    </cfRule>
  </conditionalFormatting>
  <conditionalFormatting sqref="V1247:W1247">
    <cfRule type="expression" dxfId="3863" priority="2969">
      <formula>$O1247="Applicant Signatures"</formula>
    </cfRule>
  </conditionalFormatting>
  <conditionalFormatting sqref="O1008 O1004:O1005 O994:O996 O988:O989 O986">
    <cfRule type="expression" dxfId="3862" priority="2968">
      <formula>$H986="Cash"</formula>
    </cfRule>
  </conditionalFormatting>
  <conditionalFormatting sqref="O1008 O1004:O1005 O994:O996 O988:O989 O986">
    <cfRule type="expression" dxfId="3861" priority="2967">
      <formula>$O986="Applicant Signatures"</formula>
    </cfRule>
  </conditionalFormatting>
  <conditionalFormatting sqref="V986">
    <cfRule type="expression" dxfId="3860" priority="2966">
      <formula>$H986="Cash"</formula>
    </cfRule>
  </conditionalFormatting>
  <conditionalFormatting sqref="V986">
    <cfRule type="expression" dxfId="3859" priority="2965">
      <formula>$O986="Applicant Signatures"</formula>
    </cfRule>
  </conditionalFormatting>
  <conditionalFormatting sqref="V988">
    <cfRule type="expression" dxfId="3858" priority="2964">
      <formula>$H988="Cash"</formula>
    </cfRule>
  </conditionalFormatting>
  <conditionalFormatting sqref="V988">
    <cfRule type="expression" dxfId="3857" priority="2963">
      <formula>$O988="Applicant Signatures"</formula>
    </cfRule>
  </conditionalFormatting>
  <conditionalFormatting sqref="V989">
    <cfRule type="expression" dxfId="3856" priority="2962">
      <formula>$H989="Cash"</formula>
    </cfRule>
  </conditionalFormatting>
  <conditionalFormatting sqref="V989">
    <cfRule type="expression" dxfId="3855" priority="2961">
      <formula>$O989="Applicant Signatures"</formula>
    </cfRule>
  </conditionalFormatting>
  <conditionalFormatting sqref="V994">
    <cfRule type="expression" dxfId="3854" priority="2960">
      <formula>$H994="Cash"</formula>
    </cfRule>
  </conditionalFormatting>
  <conditionalFormatting sqref="V994">
    <cfRule type="expression" dxfId="3853" priority="2959">
      <formula>$O994="Applicant Signatures"</formula>
    </cfRule>
  </conditionalFormatting>
  <conditionalFormatting sqref="B1315:W1315">
    <cfRule type="expression" dxfId="3852" priority="2958">
      <formula>$H1315="Cash"</formula>
    </cfRule>
  </conditionalFormatting>
  <conditionalFormatting sqref="B1315:W1315 Y1315:Z1315 AB1315">
    <cfRule type="expression" dxfId="3851" priority="2957">
      <formula>$O1315="Applicant Signatures"</formula>
    </cfRule>
  </conditionalFormatting>
  <conditionalFormatting sqref="A1315:A1317">
    <cfRule type="expression" dxfId="3850" priority="2956">
      <formula>$H1315="Cash"</formula>
    </cfRule>
  </conditionalFormatting>
  <conditionalFormatting sqref="A1315:A1317">
    <cfRule type="expression" dxfId="3849" priority="2955">
      <formula>$O1315="Applicant Signatures"</formula>
    </cfRule>
  </conditionalFormatting>
  <conditionalFormatting sqref="X1315:X1316">
    <cfRule type="expression" dxfId="3848" priority="2948">
      <formula>$H1315="Cash"</formula>
    </cfRule>
  </conditionalFormatting>
  <conditionalFormatting sqref="X1315:X1316">
    <cfRule type="expression" dxfId="3847" priority="2947">
      <formula>$H1315="Cash"</formula>
    </cfRule>
  </conditionalFormatting>
  <conditionalFormatting sqref="X1315:X1316">
    <cfRule type="expression" dxfId="3846" priority="2946">
      <formula>$H1315="Cash"</formula>
    </cfRule>
  </conditionalFormatting>
  <conditionalFormatting sqref="X1315:X1316">
    <cfRule type="expression" dxfId="3845" priority="2945">
      <formula>$O1315="Applicant Signatures"</formula>
    </cfRule>
  </conditionalFormatting>
  <conditionalFormatting sqref="X1315:X1316">
    <cfRule type="expression" dxfId="3844" priority="2944">
      <formula>$H1315="Cash"</formula>
    </cfRule>
  </conditionalFormatting>
  <conditionalFormatting sqref="X1315:X1316">
    <cfRule type="expression" dxfId="3843" priority="2943">
      <formula>$O1315="Applicant Signatures"</formula>
    </cfRule>
  </conditionalFormatting>
  <conditionalFormatting sqref="B1316:W1316">
    <cfRule type="expression" dxfId="3842" priority="2939">
      <formula>$H1316="Cash"</formula>
    </cfRule>
  </conditionalFormatting>
  <conditionalFormatting sqref="B1316:W1316 Y1316:Z1316 AB1316">
    <cfRule type="expression" dxfId="3841" priority="2938">
      <formula>$O1316="Applicant Signatures"</formula>
    </cfRule>
  </conditionalFormatting>
  <conditionalFormatting sqref="B1317:N1317 P1317:W1317">
    <cfRule type="expression" dxfId="3840" priority="2935">
      <formula>$H1317="Cash"</formula>
    </cfRule>
  </conditionalFormatting>
  <conditionalFormatting sqref="B1317:N1317 Y1317:Z1317 P1317:W1317 AB1317">
    <cfRule type="expression" dxfId="3839" priority="2934">
      <formula>$O1317="Applicant Signatures"</formula>
    </cfRule>
  </conditionalFormatting>
  <conditionalFormatting sqref="Q1318">
    <cfRule type="expression" dxfId="3838" priority="2928">
      <formula>$H1318="Cash"</formula>
    </cfRule>
  </conditionalFormatting>
  <conditionalFormatting sqref="Q1318">
    <cfRule type="expression" dxfId="3837" priority="2927">
      <formula>$O1318="Applicant Signatures"</formula>
    </cfRule>
  </conditionalFormatting>
  <conditionalFormatting sqref="A1318">
    <cfRule type="expression" dxfId="3836" priority="2926">
      <formula>$H1318="Cash"</formula>
    </cfRule>
  </conditionalFormatting>
  <conditionalFormatting sqref="A1318">
    <cfRule type="expression" dxfId="3835" priority="2925">
      <formula>$O1318="Applicant Signatures"</formula>
    </cfRule>
  </conditionalFormatting>
  <conditionalFormatting sqref="R1318">
    <cfRule type="expression" dxfId="3834" priority="2924">
      <formula>$H1318="Cash"</formula>
    </cfRule>
  </conditionalFormatting>
  <conditionalFormatting sqref="V1318">
    <cfRule type="expression" dxfId="3833" priority="2923">
      <formula>$H1318="Cash"</formula>
    </cfRule>
  </conditionalFormatting>
  <conditionalFormatting sqref="O1318">
    <cfRule type="expression" dxfId="3832" priority="2922">
      <formula>$H1318="Cash"</formula>
    </cfRule>
  </conditionalFormatting>
  <conditionalFormatting sqref="S1318 Y1318:Z1318 W1318 B1318:P1318 U1318 AB1318">
    <cfRule type="expression" dxfId="3831" priority="2921">
      <formula>$O1318="Applicant Signatures"</formula>
    </cfRule>
  </conditionalFormatting>
  <conditionalFormatting sqref="S1318 W1318 B1318:P1318 U1318">
    <cfRule type="expression" dxfId="3830" priority="2920">
      <formula>$H1318="Cash"</formula>
    </cfRule>
  </conditionalFormatting>
  <conditionalFormatting sqref="S1318 Y1318:Z1318 W1318 B1318:P1318 U1318 AB1318">
    <cfRule type="expression" dxfId="3829" priority="2919">
      <formula>$O1318="Applicant Signatures"</formula>
    </cfRule>
  </conditionalFormatting>
  <conditionalFormatting sqref="V1318">
    <cfRule type="expression" dxfId="3828" priority="2918">
      <formula>$O1318="Applicant Signatures"</formula>
    </cfRule>
  </conditionalFormatting>
  <conditionalFormatting sqref="V1318">
    <cfRule type="expression" dxfId="3827" priority="2917">
      <formula>$H1318="Cash"</formula>
    </cfRule>
  </conditionalFormatting>
  <conditionalFormatting sqref="V1318">
    <cfRule type="expression" dxfId="3826" priority="2916">
      <formula>$O1318="Applicant Signatures"</formula>
    </cfRule>
  </conditionalFormatting>
  <conditionalFormatting sqref="R1318">
    <cfRule type="expression" dxfId="3825" priority="2909">
      <formula>$O1318="Applicant Signatures"</formula>
    </cfRule>
  </conditionalFormatting>
  <conditionalFormatting sqref="A1319">
    <cfRule type="expression" dxfId="3824" priority="2908">
      <formula>$H1319="Cash"</formula>
    </cfRule>
  </conditionalFormatting>
  <conditionalFormatting sqref="A1319">
    <cfRule type="expression" dxfId="3823" priority="2907">
      <formula>$O1319="Applicant Signatures"</formula>
    </cfRule>
  </conditionalFormatting>
  <conditionalFormatting sqref="Q1319">
    <cfRule type="expression" dxfId="3822" priority="2906">
      <formula>$H1319="Cash"</formula>
    </cfRule>
  </conditionalFormatting>
  <conditionalFormatting sqref="Q1319">
    <cfRule type="expression" dxfId="3821" priority="2905">
      <formula>$O1319="Applicant Signatures"</formula>
    </cfRule>
  </conditionalFormatting>
  <conditionalFormatting sqref="R1319">
    <cfRule type="expression" dxfId="3820" priority="2904">
      <formula>$H1319="Cash"</formula>
    </cfRule>
  </conditionalFormatting>
  <conditionalFormatting sqref="Y1319:Z1319 W1319 S1319 U1319 B1319:N1319 P1319">
    <cfRule type="expression" dxfId="3819" priority="2902">
      <formula>$O1319="Applicant Signatures"</formula>
    </cfRule>
  </conditionalFormatting>
  <conditionalFormatting sqref="W1319 S1319 U1319 B1319:N1319 P1319">
    <cfRule type="expression" dxfId="3818" priority="2901">
      <formula>$H1319="Cash"</formula>
    </cfRule>
  </conditionalFormatting>
  <conditionalFormatting sqref="Y1319:Z1319 W1319 S1319 U1319 B1319:N1319 P1319">
    <cfRule type="expression" dxfId="3817" priority="2900">
      <formula>$O1319="Applicant Signatures"</formula>
    </cfRule>
  </conditionalFormatting>
  <conditionalFormatting sqref="R1319">
    <cfRule type="expression" dxfId="3816" priority="2899">
      <formula>$O1319="Applicant Signatures"</formula>
    </cfRule>
  </conditionalFormatting>
  <conditionalFormatting sqref="T1319">
    <cfRule type="expression" dxfId="3815" priority="2892">
      <formula>$H1319="Cash"</formula>
    </cfRule>
  </conditionalFormatting>
  <conditionalFormatting sqref="T1319">
    <cfRule type="expression" dxfId="3814" priority="2891">
      <formula>$O1319="Applicant Signatures"</formula>
    </cfRule>
  </conditionalFormatting>
  <conditionalFormatting sqref="T1319">
    <cfRule type="expression" dxfId="3813" priority="2890">
      <formula>$H1319="Cash"</formula>
    </cfRule>
  </conditionalFormatting>
  <conditionalFormatting sqref="T1319">
    <cfRule type="expression" dxfId="3812" priority="2889">
      <formula>$O1319="Applicant Signatures"</formula>
    </cfRule>
  </conditionalFormatting>
  <conditionalFormatting sqref="V1319">
    <cfRule type="expression" dxfId="3811" priority="2888">
      <formula>$H1319="Cash"</formula>
    </cfRule>
  </conditionalFormatting>
  <conditionalFormatting sqref="V1319">
    <cfRule type="expression" dxfId="3810" priority="2887">
      <formula>$O1319="Applicant Signatures"</formula>
    </cfRule>
  </conditionalFormatting>
  <conditionalFormatting sqref="V1319">
    <cfRule type="expression" dxfId="3809" priority="2886">
      <formula>$H1319="Cash"</formula>
    </cfRule>
  </conditionalFormatting>
  <conditionalFormatting sqref="V1319">
    <cfRule type="expression" dxfId="3808" priority="2885">
      <formula>$O1319="Applicant Signatures"</formula>
    </cfRule>
  </conditionalFormatting>
  <conditionalFormatting sqref="A1320">
    <cfRule type="expression" dxfId="3807" priority="2884">
      <formula>$H1320="Cash"</formula>
    </cfRule>
  </conditionalFormatting>
  <conditionalFormatting sqref="A1320">
    <cfRule type="expression" dxfId="3806" priority="2883">
      <formula>$O1320="Applicant Signatures"</formula>
    </cfRule>
  </conditionalFormatting>
  <conditionalFormatting sqref="Q1320">
    <cfRule type="expression" dxfId="3805" priority="2882">
      <formula>$H1320="Cash"</formula>
    </cfRule>
  </conditionalFormatting>
  <conditionalFormatting sqref="Q1320">
    <cfRule type="expression" dxfId="3804" priority="2881">
      <formula>$O1320="Applicant Signatures"</formula>
    </cfRule>
  </conditionalFormatting>
  <conditionalFormatting sqref="R1320">
    <cfRule type="expression" dxfId="3803" priority="2880">
      <formula>$H1320="Cash"</formula>
    </cfRule>
  </conditionalFormatting>
  <conditionalFormatting sqref="V1320">
    <cfRule type="expression" dxfId="3802" priority="2879">
      <formula>$H1320="Cash"</formula>
    </cfRule>
  </conditionalFormatting>
  <conditionalFormatting sqref="T1320 O1320">
    <cfRule type="expression" dxfId="3801" priority="2878">
      <formula>$H1320="Cash"</formula>
    </cfRule>
  </conditionalFormatting>
  <conditionalFormatting sqref="B1320:P1320 S1320:U1320 Y1320:Z1320 W1320 AB1320">
    <cfRule type="expression" dxfId="3800" priority="2877">
      <formula>$O1320="Applicant Signatures"</formula>
    </cfRule>
  </conditionalFormatting>
  <conditionalFormatting sqref="B1320:P1320 S1320:U1320 W1320">
    <cfRule type="expression" dxfId="3799" priority="2876">
      <formula>$H1320="Cash"</formula>
    </cfRule>
  </conditionalFormatting>
  <conditionalFormatting sqref="B1320:P1320 S1320:U1320 Y1320:Z1320 W1320 AB1320">
    <cfRule type="expression" dxfId="3798" priority="2875">
      <formula>$O1320="Applicant Signatures"</formula>
    </cfRule>
  </conditionalFormatting>
  <conditionalFormatting sqref="V1320">
    <cfRule type="expression" dxfId="3797" priority="2874">
      <formula>$O1320="Applicant Signatures"</formula>
    </cfRule>
  </conditionalFormatting>
  <conditionalFormatting sqref="V1320">
    <cfRule type="expression" dxfId="3796" priority="2873">
      <formula>$H1320="Cash"</formula>
    </cfRule>
  </conditionalFormatting>
  <conditionalFormatting sqref="V1320">
    <cfRule type="expression" dxfId="3795" priority="2872">
      <formula>$O1320="Applicant Signatures"</formula>
    </cfRule>
  </conditionalFormatting>
  <conditionalFormatting sqref="X1320">
    <cfRule type="expression" dxfId="3794" priority="2871">
      <formula>$H1320="Cash"</formula>
    </cfRule>
  </conditionalFormatting>
  <conditionalFormatting sqref="X1320">
    <cfRule type="expression" dxfId="3793" priority="2870">
      <formula>$H1320="Cash"</formula>
    </cfRule>
  </conditionalFormatting>
  <conditionalFormatting sqref="X1320">
    <cfRule type="expression" dxfId="3792" priority="2869">
      <formula>$H1320="Cash"</formula>
    </cfRule>
  </conditionalFormatting>
  <conditionalFormatting sqref="X1320">
    <cfRule type="expression" dxfId="3791" priority="2868">
      <formula>$O1320="Applicant Signatures"</formula>
    </cfRule>
  </conditionalFormatting>
  <conditionalFormatting sqref="X1320">
    <cfRule type="expression" dxfId="3790" priority="2867">
      <formula>$H1320="Cash"</formula>
    </cfRule>
  </conditionalFormatting>
  <conditionalFormatting sqref="X1320">
    <cfRule type="expression" dxfId="3789" priority="2866">
      <formula>$O1320="Applicant Signatures"</formula>
    </cfRule>
  </conditionalFormatting>
  <conditionalFormatting sqref="R1320">
    <cfRule type="expression" dxfId="3788" priority="2865">
      <formula>$O1320="Applicant Signatures"</formula>
    </cfRule>
  </conditionalFormatting>
  <conditionalFormatting sqref="B1321:P1321 R1321:W1321">
    <cfRule type="expression" dxfId="3787" priority="2863">
      <formula>$H1321="Cash"</formula>
    </cfRule>
  </conditionalFormatting>
  <conditionalFormatting sqref="B1321:P1321 Y1321:Z1321 R1321:W1321 AB1321">
    <cfRule type="expression" dxfId="3786" priority="2862">
      <formula>$O1321="Applicant Signatures"</formula>
    </cfRule>
  </conditionalFormatting>
  <conditionalFormatting sqref="X1321:X1322">
    <cfRule type="expression" dxfId="3785" priority="2859">
      <formula>$H1321="Cash"</formula>
    </cfRule>
  </conditionalFormatting>
  <conditionalFormatting sqref="X1321:X1322">
    <cfRule type="expression" dxfId="3784" priority="2858">
      <formula>$H1321="Cash"</formula>
    </cfRule>
  </conditionalFormatting>
  <conditionalFormatting sqref="X1321:X1322">
    <cfRule type="expression" dxfId="3783" priority="2857">
      <formula>$H1321="Cash"</formula>
    </cfRule>
  </conditionalFormatting>
  <conditionalFormatting sqref="X1321:X1322">
    <cfRule type="expression" dxfId="3782" priority="2856">
      <formula>$O1321="Applicant Signatures"</formula>
    </cfRule>
  </conditionalFormatting>
  <conditionalFormatting sqref="X1321:X1322">
    <cfRule type="expression" dxfId="3781" priority="2855">
      <formula>$H1321="Cash"</formula>
    </cfRule>
  </conditionalFormatting>
  <conditionalFormatting sqref="X1321:X1322">
    <cfRule type="expression" dxfId="3780" priority="2854">
      <formula>$O1321="Applicant Signatures"</formula>
    </cfRule>
  </conditionalFormatting>
  <conditionalFormatting sqref="B1322:P1322 R1322:U1322 W1322">
    <cfRule type="expression" dxfId="3779" priority="2853">
      <formula>$H1322="Cash"</formula>
    </cfRule>
  </conditionalFormatting>
  <conditionalFormatting sqref="B1322:P1322 Y1322:Z1322 R1322:U1322 AB1322 W1322">
    <cfRule type="expression" dxfId="3778" priority="2852">
      <formula>$O1322="Applicant Signatures"</formula>
    </cfRule>
  </conditionalFormatting>
  <conditionalFormatting sqref="B1323:P1323 R1323:W1323">
    <cfRule type="expression" dxfId="3777" priority="2843">
      <formula>$H1323="Cash"</formula>
    </cfRule>
  </conditionalFormatting>
  <conditionalFormatting sqref="B1323:P1323 Y1323:Z1323 R1323:W1323 AB1323">
    <cfRule type="expression" dxfId="3776" priority="2842">
      <formula>$O1323="Applicant Signatures"</formula>
    </cfRule>
  </conditionalFormatting>
  <conditionalFormatting sqref="A1335">
    <cfRule type="expression" dxfId="3775" priority="2811">
      <formula>$H1335="Cash"</formula>
    </cfRule>
  </conditionalFormatting>
  <conditionalFormatting sqref="A1335">
    <cfRule type="expression" dxfId="3774" priority="2810">
      <formula>$O1335="Applicant Signatures"</formula>
    </cfRule>
  </conditionalFormatting>
  <conditionalFormatting sqref="A1335">
    <cfRule type="expression" dxfId="3773" priority="2809">
      <formula>$H1335="Cash"</formula>
    </cfRule>
  </conditionalFormatting>
  <conditionalFormatting sqref="A1335">
    <cfRule type="expression" dxfId="3772" priority="2808">
      <formula>$O1335="Applicant Signatures"</formula>
    </cfRule>
  </conditionalFormatting>
  <conditionalFormatting sqref="Q1335">
    <cfRule type="expression" dxfId="3771" priority="2807">
      <formula>$H1335="Cash"</formula>
    </cfRule>
  </conditionalFormatting>
  <conditionalFormatting sqref="Q1335">
    <cfRule type="expression" dxfId="3770" priority="2806">
      <formula>$O1335="Applicant Signatures"</formula>
    </cfRule>
  </conditionalFormatting>
  <conditionalFormatting sqref="R1335">
    <cfRule type="expression" dxfId="3769" priority="2805">
      <formula>$H1335="Cash"</formula>
    </cfRule>
  </conditionalFormatting>
  <conditionalFormatting sqref="V1335">
    <cfRule type="expression" dxfId="3768" priority="2804">
      <formula>$H1335="Cash"</formula>
    </cfRule>
  </conditionalFormatting>
  <conditionalFormatting sqref="T1335 O1335">
    <cfRule type="expression" dxfId="3767" priority="2803">
      <formula>$H1335="Cash"</formula>
    </cfRule>
  </conditionalFormatting>
  <conditionalFormatting sqref="B1335 S1335:U1335 Y1335:Z1335 W1335 D1335:P1335 AB1335">
    <cfRule type="expression" dxfId="3766" priority="2802">
      <formula>$O1335="Applicant Signatures"</formula>
    </cfRule>
  </conditionalFormatting>
  <conditionalFormatting sqref="B1335 S1335:U1335 W1335 D1335:P1335">
    <cfRule type="expression" dxfId="3765" priority="2801">
      <formula>$H1335="Cash"</formula>
    </cfRule>
  </conditionalFormatting>
  <conditionalFormatting sqref="B1335 S1335:U1335 Y1335:Z1335 W1335 D1335:P1335 AB1335">
    <cfRule type="expression" dxfId="3764" priority="2800">
      <formula>$O1335="Applicant Signatures"</formula>
    </cfRule>
  </conditionalFormatting>
  <conditionalFormatting sqref="V1335">
    <cfRule type="expression" dxfId="3763" priority="2799">
      <formula>$O1335="Applicant Signatures"</formula>
    </cfRule>
  </conditionalFormatting>
  <conditionalFormatting sqref="V1335">
    <cfRule type="expression" dxfId="3762" priority="2798">
      <formula>$H1335="Cash"</formula>
    </cfRule>
  </conditionalFormatting>
  <conditionalFormatting sqref="V1335">
    <cfRule type="expression" dxfId="3761" priority="2797">
      <formula>$O1335="Applicant Signatures"</formula>
    </cfRule>
  </conditionalFormatting>
  <conditionalFormatting sqref="X1335">
    <cfRule type="expression" dxfId="3760" priority="2796">
      <formula>$H1335="Cash"</formula>
    </cfRule>
  </conditionalFormatting>
  <conditionalFormatting sqref="X1335">
    <cfRule type="expression" dxfId="3759" priority="2795">
      <formula>$H1335="Cash"</formula>
    </cfRule>
  </conditionalFormatting>
  <conditionalFormatting sqref="X1335">
    <cfRule type="expression" dxfId="3758" priority="2794">
      <formula>$H1335="Cash"</formula>
    </cfRule>
  </conditionalFormatting>
  <conditionalFormatting sqref="X1335">
    <cfRule type="expression" dxfId="3757" priority="2793">
      <formula>$O1335="Applicant Signatures"</formula>
    </cfRule>
  </conditionalFormatting>
  <conditionalFormatting sqref="X1335">
    <cfRule type="expression" dxfId="3756" priority="2792">
      <formula>$H1335="Cash"</formula>
    </cfRule>
  </conditionalFormatting>
  <conditionalFormatting sqref="X1335">
    <cfRule type="expression" dxfId="3755" priority="2791">
      <formula>$O1335="Applicant Signatures"</formula>
    </cfRule>
  </conditionalFormatting>
  <conditionalFormatting sqref="R1335">
    <cfRule type="expression" dxfId="3754" priority="2790">
      <formula>$O1335="Applicant Signatures"</formula>
    </cfRule>
  </conditionalFormatting>
  <conditionalFormatting sqref="Q1335">
    <cfRule type="expression" dxfId="3753" priority="2789">
      <formula>$H1335="Cash"</formula>
    </cfRule>
  </conditionalFormatting>
  <conditionalFormatting sqref="Q1335">
    <cfRule type="expression" dxfId="3752" priority="2788">
      <formula>$O1335="Applicant Signatures"</formula>
    </cfRule>
  </conditionalFormatting>
  <conditionalFormatting sqref="X1303">
    <cfRule type="expression" dxfId="3751" priority="2784">
      <formula>$H1303="Cash"</formula>
    </cfRule>
  </conditionalFormatting>
  <conditionalFormatting sqref="X1303">
    <cfRule type="expression" dxfId="3750" priority="2783">
      <formula>$H1303="Cash"</formula>
    </cfRule>
  </conditionalFormatting>
  <conditionalFormatting sqref="X1303">
    <cfRule type="expression" dxfId="3749" priority="2782">
      <formula>$H1303="Cash"</formula>
    </cfRule>
  </conditionalFormatting>
  <conditionalFormatting sqref="X1303">
    <cfRule type="expression" dxfId="3748" priority="2781">
      <formula>$O1303="Applicant Signatures"</formula>
    </cfRule>
  </conditionalFormatting>
  <conditionalFormatting sqref="X1303">
    <cfRule type="expression" dxfId="3747" priority="2780">
      <formula>$H1303="Cash"</formula>
    </cfRule>
  </conditionalFormatting>
  <conditionalFormatting sqref="X1303">
    <cfRule type="expression" dxfId="3746" priority="2779">
      <formula>$O1303="Applicant Signatures"</formula>
    </cfRule>
  </conditionalFormatting>
  <conditionalFormatting sqref="X1303">
    <cfRule type="expression" dxfId="3745" priority="2778">
      <formula>$O1303="Applicant Signatures"</formula>
    </cfRule>
  </conditionalFormatting>
  <conditionalFormatting sqref="X1303">
    <cfRule type="expression" dxfId="3744" priority="2777">
      <formula>$H1303="Cash"</formula>
    </cfRule>
  </conditionalFormatting>
  <conditionalFormatting sqref="X1303">
    <cfRule type="expression" dxfId="3743" priority="2776">
      <formula>$O1303="Applicant Signatures"</formula>
    </cfRule>
  </conditionalFormatting>
  <conditionalFormatting sqref="X1303">
    <cfRule type="expression" dxfId="3742" priority="2775">
      <formula>$O1303="Applicant Signatures"</formula>
    </cfRule>
  </conditionalFormatting>
  <conditionalFormatting sqref="X1303">
    <cfRule type="expression" dxfId="3741" priority="2774">
      <formula>$H1303="Cash"</formula>
    </cfRule>
  </conditionalFormatting>
  <conditionalFormatting sqref="X1303">
    <cfRule type="expression" dxfId="3740" priority="2773">
      <formula>$O1303="Applicant Signatures"</formula>
    </cfRule>
  </conditionalFormatting>
  <conditionalFormatting sqref="X1284 X1266 X1268 X1295">
    <cfRule type="expression" dxfId="3739" priority="2771">
      <formula>$H1266="Cash"</formula>
    </cfRule>
  </conditionalFormatting>
  <conditionalFormatting sqref="X1284 X1266 X1268 X1295">
    <cfRule type="expression" dxfId="3738" priority="2770">
      <formula>$H1266="Cash"</formula>
    </cfRule>
  </conditionalFormatting>
  <conditionalFormatting sqref="X1284 X1266 X1268 X1295">
    <cfRule type="expression" dxfId="3737" priority="2769">
      <formula>$H1266="Cash"</formula>
    </cfRule>
  </conditionalFormatting>
  <conditionalFormatting sqref="X1284 X1266 X1268 X1295">
    <cfRule type="expression" dxfId="3736" priority="2768">
      <formula>$O1266="Applicant Signatures"</formula>
    </cfRule>
  </conditionalFormatting>
  <conditionalFormatting sqref="X1284 X1266 X1268 X1295">
    <cfRule type="expression" dxfId="3735" priority="2767">
      <formula>$H1266="Cash"</formula>
    </cfRule>
  </conditionalFormatting>
  <conditionalFormatting sqref="X1284 X1266 X1268 X1295">
    <cfRule type="expression" dxfId="3734" priority="2766">
      <formula>$O1266="Applicant Signatures"</formula>
    </cfRule>
  </conditionalFormatting>
  <conditionalFormatting sqref="X1284 X1266 X1268 X1295">
    <cfRule type="expression" dxfId="3733" priority="2765">
      <formula>$O1266="Applicant Signatures"</formula>
    </cfRule>
  </conditionalFormatting>
  <conditionalFormatting sqref="X1284 X1266 X1268 X1295">
    <cfRule type="expression" dxfId="3732" priority="2764">
      <formula>$H1266="Cash"</formula>
    </cfRule>
  </conditionalFormatting>
  <conditionalFormatting sqref="X1284 X1266 X1268 X1295">
    <cfRule type="expression" dxfId="3731" priority="2763">
      <formula>$O1266="Applicant Signatures"</formula>
    </cfRule>
  </conditionalFormatting>
  <conditionalFormatting sqref="X1284 X1266 X1268 X1295">
    <cfRule type="expression" dxfId="3730" priority="2762">
      <formula>$O1266="Applicant Signatures"</formula>
    </cfRule>
  </conditionalFormatting>
  <conditionalFormatting sqref="X1284 X1266 X1268 X1295">
    <cfRule type="expression" dxfId="3729" priority="2761">
      <formula>$H1266="Cash"</formula>
    </cfRule>
  </conditionalFormatting>
  <conditionalFormatting sqref="X1284 X1266 X1268 X1295">
    <cfRule type="expression" dxfId="3728" priority="2760">
      <formula>$O1266="Applicant Signatures"</formula>
    </cfRule>
  </conditionalFormatting>
  <conditionalFormatting sqref="X1272">
    <cfRule type="expression" dxfId="3727" priority="2735">
      <formula>$H1272="Cash"</formula>
    </cfRule>
  </conditionalFormatting>
  <conditionalFormatting sqref="X1272">
    <cfRule type="expression" dxfId="3726" priority="2734">
      <formula>$H1272="Cash"</formula>
    </cfRule>
  </conditionalFormatting>
  <conditionalFormatting sqref="X1272">
    <cfRule type="expression" dxfId="3725" priority="2733">
      <formula>$H1272="Cash"</formula>
    </cfRule>
  </conditionalFormatting>
  <conditionalFormatting sqref="X1272">
    <cfRule type="expression" dxfId="3724" priority="2732">
      <formula>$O1272="Applicant Signatures"</formula>
    </cfRule>
  </conditionalFormatting>
  <conditionalFormatting sqref="X1272">
    <cfRule type="expression" dxfId="3723" priority="2731">
      <formula>$H1272="Cash"</formula>
    </cfRule>
  </conditionalFormatting>
  <conditionalFormatting sqref="X1272">
    <cfRule type="expression" dxfId="3722" priority="2730">
      <formula>$O1272="Applicant Signatures"</formula>
    </cfRule>
  </conditionalFormatting>
  <conditionalFormatting sqref="X1272">
    <cfRule type="expression" dxfId="3721" priority="2729">
      <formula>$O1272="Applicant Signatures"</formula>
    </cfRule>
  </conditionalFormatting>
  <conditionalFormatting sqref="X1272">
    <cfRule type="expression" dxfId="3720" priority="2728">
      <formula>$H1272="Cash"</formula>
    </cfRule>
  </conditionalFormatting>
  <conditionalFormatting sqref="X1272">
    <cfRule type="expression" dxfId="3719" priority="2727">
      <formula>$O1272="Applicant Signatures"</formula>
    </cfRule>
  </conditionalFormatting>
  <conditionalFormatting sqref="X1272">
    <cfRule type="expression" dxfId="3718" priority="2726">
      <formula>$O1272="Applicant Signatures"</formula>
    </cfRule>
  </conditionalFormatting>
  <conditionalFormatting sqref="X1272">
    <cfRule type="expression" dxfId="3717" priority="2725">
      <formula>$H1272="Cash"</formula>
    </cfRule>
  </conditionalFormatting>
  <conditionalFormatting sqref="X1272">
    <cfRule type="expression" dxfId="3716" priority="2724">
      <formula>$O1272="Applicant Signatures"</formula>
    </cfRule>
  </conditionalFormatting>
  <conditionalFormatting sqref="X1317">
    <cfRule type="expression" dxfId="3715" priority="2675">
      <formula>$H1317="Cash"</formula>
    </cfRule>
  </conditionalFormatting>
  <conditionalFormatting sqref="X1317">
    <cfRule type="expression" dxfId="3714" priority="2674">
      <formula>$H1317="Cash"</formula>
    </cfRule>
  </conditionalFormatting>
  <conditionalFormatting sqref="X1317">
    <cfRule type="expression" dxfId="3713" priority="2673">
      <formula>$H1317="Cash"</formula>
    </cfRule>
  </conditionalFormatting>
  <conditionalFormatting sqref="X1317">
    <cfRule type="expression" dxfId="3712" priority="2672">
      <formula>$O1317="Applicant Signatures"</formula>
    </cfRule>
  </conditionalFormatting>
  <conditionalFormatting sqref="X1317">
    <cfRule type="expression" dxfId="3711" priority="2671">
      <formula>$H1317="Cash"</formula>
    </cfRule>
  </conditionalFormatting>
  <conditionalFormatting sqref="X1317">
    <cfRule type="expression" dxfId="3710" priority="2670">
      <formula>$O1317="Applicant Signatures"</formula>
    </cfRule>
  </conditionalFormatting>
  <conditionalFormatting sqref="X1317">
    <cfRule type="expression" dxfId="3709" priority="2669">
      <formula>$O1317="Applicant Signatures"</formula>
    </cfRule>
  </conditionalFormatting>
  <conditionalFormatting sqref="X1317">
    <cfRule type="expression" dxfId="3708" priority="2668">
      <formula>$H1317="Cash"</formula>
    </cfRule>
  </conditionalFormatting>
  <conditionalFormatting sqref="X1317">
    <cfRule type="expression" dxfId="3707" priority="2667">
      <formula>$O1317="Applicant Signatures"</formula>
    </cfRule>
  </conditionalFormatting>
  <conditionalFormatting sqref="X1317">
    <cfRule type="expression" dxfId="3706" priority="2666">
      <formula>$O1317="Applicant Signatures"</formula>
    </cfRule>
  </conditionalFormatting>
  <conditionalFormatting sqref="X1317">
    <cfRule type="expression" dxfId="3705" priority="2665">
      <formula>$H1317="Cash"</formula>
    </cfRule>
  </conditionalFormatting>
  <conditionalFormatting sqref="X1317">
    <cfRule type="expression" dxfId="3704" priority="2664">
      <formula>$O1317="Applicant Signatures"</formula>
    </cfRule>
  </conditionalFormatting>
  <conditionalFormatting sqref="X1319">
    <cfRule type="expression" dxfId="3703" priority="2663">
      <formula>$H1319="Cash"</formula>
    </cfRule>
  </conditionalFormatting>
  <conditionalFormatting sqref="X1319">
    <cfRule type="expression" dxfId="3702" priority="2662">
      <formula>$H1319="Cash"</formula>
    </cfRule>
  </conditionalFormatting>
  <conditionalFormatting sqref="X1319">
    <cfRule type="expression" dxfId="3701" priority="2661">
      <formula>$H1319="Cash"</formula>
    </cfRule>
  </conditionalFormatting>
  <conditionalFormatting sqref="X1319">
    <cfRule type="expression" dxfId="3700" priority="2660">
      <formula>$O1319="Applicant Signatures"</formula>
    </cfRule>
  </conditionalFormatting>
  <conditionalFormatting sqref="X1319">
    <cfRule type="expression" dxfId="3699" priority="2659">
      <formula>$H1319="Cash"</formula>
    </cfRule>
  </conditionalFormatting>
  <conditionalFormatting sqref="X1319">
    <cfRule type="expression" dxfId="3698" priority="2658">
      <formula>$O1319="Applicant Signatures"</formula>
    </cfRule>
  </conditionalFormatting>
  <conditionalFormatting sqref="X1319">
    <cfRule type="expression" dxfId="3697" priority="2657">
      <formula>$O1319="Applicant Signatures"</formula>
    </cfRule>
  </conditionalFormatting>
  <conditionalFormatting sqref="X1319">
    <cfRule type="expression" dxfId="3696" priority="2656">
      <formula>$H1319="Cash"</formula>
    </cfRule>
  </conditionalFormatting>
  <conditionalFormatting sqref="X1319">
    <cfRule type="expression" dxfId="3695" priority="2655">
      <formula>$O1319="Applicant Signatures"</formula>
    </cfRule>
  </conditionalFormatting>
  <conditionalFormatting sqref="X1319">
    <cfRule type="expression" dxfId="3694" priority="2654">
      <formula>$O1319="Applicant Signatures"</formula>
    </cfRule>
  </conditionalFormatting>
  <conditionalFormatting sqref="X1319">
    <cfRule type="expression" dxfId="3693" priority="2653">
      <formula>$H1319="Cash"</formula>
    </cfRule>
  </conditionalFormatting>
  <conditionalFormatting sqref="X1319">
    <cfRule type="expression" dxfId="3692" priority="2652">
      <formula>$O1319="Applicant Signatures"</formula>
    </cfRule>
  </conditionalFormatting>
  <conditionalFormatting sqref="O1317">
    <cfRule type="expression" dxfId="3691" priority="2651">
      <formula>$H1317="Cash"</formula>
    </cfRule>
  </conditionalFormatting>
  <conditionalFormatting sqref="O1317">
    <cfRule type="expression" dxfId="3690" priority="2650">
      <formula>$O1317="Applicant Signatures"</formula>
    </cfRule>
  </conditionalFormatting>
  <conditionalFormatting sqref="O1317">
    <cfRule type="expression" dxfId="3689" priority="2649">
      <formula>$H1317="Cash"</formula>
    </cfRule>
  </conditionalFormatting>
  <conditionalFormatting sqref="O1317">
    <cfRule type="expression" dxfId="3688" priority="2648">
      <formula>$O1317="Applicant Signatures"</formula>
    </cfRule>
  </conditionalFormatting>
  <conditionalFormatting sqref="O1319">
    <cfRule type="expression" dxfId="3687" priority="2647">
      <formula>$H1319="Cash"</formula>
    </cfRule>
  </conditionalFormatting>
  <conditionalFormatting sqref="O1319">
    <cfRule type="expression" dxfId="3686" priority="2646">
      <formula>$O1319="Applicant Signatures"</formula>
    </cfRule>
  </conditionalFormatting>
  <conditionalFormatting sqref="O1319">
    <cfRule type="expression" dxfId="3685" priority="2645">
      <formula>$H1319="Cash"</formula>
    </cfRule>
  </conditionalFormatting>
  <conditionalFormatting sqref="O1319">
    <cfRule type="expression" dxfId="3684" priority="2644">
      <formula>$O1319="Applicant Signatures"</formula>
    </cfRule>
  </conditionalFormatting>
  <conditionalFormatting sqref="X1291">
    <cfRule type="expression" dxfId="3683" priority="2643">
      <formula>$H1291="Cash"</formula>
    </cfRule>
  </conditionalFormatting>
  <conditionalFormatting sqref="X1291">
    <cfRule type="expression" dxfId="3682" priority="2642">
      <formula>$H1291="Cash"</formula>
    </cfRule>
  </conditionalFormatting>
  <conditionalFormatting sqref="X1291">
    <cfRule type="expression" dxfId="3681" priority="2641">
      <formula>$H1291="Cash"</formula>
    </cfRule>
  </conditionalFormatting>
  <conditionalFormatting sqref="X1291">
    <cfRule type="expression" dxfId="3680" priority="2640">
      <formula>$O1291="Applicant Signatures"</formula>
    </cfRule>
  </conditionalFormatting>
  <conditionalFormatting sqref="X1291">
    <cfRule type="expression" dxfId="3679" priority="2639">
      <formula>$H1291="Cash"</formula>
    </cfRule>
  </conditionalFormatting>
  <conditionalFormatting sqref="X1291">
    <cfRule type="expression" dxfId="3678" priority="2638">
      <formula>$O1291="Applicant Signatures"</formula>
    </cfRule>
  </conditionalFormatting>
  <conditionalFormatting sqref="X1291">
    <cfRule type="expression" dxfId="3677" priority="2637">
      <formula>$O1291="Applicant Signatures"</formula>
    </cfRule>
  </conditionalFormatting>
  <conditionalFormatting sqref="X1291">
    <cfRule type="expression" dxfId="3676" priority="2636">
      <formula>$H1291="Cash"</formula>
    </cfRule>
  </conditionalFormatting>
  <conditionalFormatting sqref="X1291">
    <cfRule type="expression" dxfId="3675" priority="2635">
      <formula>$O1291="Applicant Signatures"</formula>
    </cfRule>
  </conditionalFormatting>
  <conditionalFormatting sqref="X1291">
    <cfRule type="expression" dxfId="3674" priority="2634">
      <formula>$O1291="Applicant Signatures"</formula>
    </cfRule>
  </conditionalFormatting>
  <conditionalFormatting sqref="X1291">
    <cfRule type="expression" dxfId="3673" priority="2633">
      <formula>$H1291="Cash"</formula>
    </cfRule>
  </conditionalFormatting>
  <conditionalFormatting sqref="X1291">
    <cfRule type="expression" dxfId="3672" priority="2632">
      <formula>$O1291="Applicant Signatures"</formula>
    </cfRule>
  </conditionalFormatting>
  <conditionalFormatting sqref="X1318">
    <cfRule type="expression" dxfId="3671" priority="2631">
      <formula>$H1318="Cash"</formula>
    </cfRule>
  </conditionalFormatting>
  <conditionalFormatting sqref="X1318">
    <cfRule type="expression" dxfId="3670" priority="2630">
      <formula>$H1318="Cash"</formula>
    </cfRule>
  </conditionalFormatting>
  <conditionalFormatting sqref="X1318">
    <cfRule type="expression" dxfId="3669" priority="2629">
      <formula>$H1318="Cash"</formula>
    </cfRule>
  </conditionalFormatting>
  <conditionalFormatting sqref="X1318">
    <cfRule type="expression" dxfId="3668" priority="2628">
      <formula>$O1318="Applicant Signatures"</formula>
    </cfRule>
  </conditionalFormatting>
  <conditionalFormatting sqref="X1318">
    <cfRule type="expression" dxfId="3667" priority="2627">
      <formula>$H1318="Cash"</formula>
    </cfRule>
  </conditionalFormatting>
  <conditionalFormatting sqref="X1318">
    <cfRule type="expression" dxfId="3666" priority="2626">
      <formula>$O1318="Applicant Signatures"</formula>
    </cfRule>
  </conditionalFormatting>
  <conditionalFormatting sqref="X1318">
    <cfRule type="expression" dxfId="3665" priority="2625">
      <formula>$O1318="Applicant Signatures"</formula>
    </cfRule>
  </conditionalFormatting>
  <conditionalFormatting sqref="X1318">
    <cfRule type="expression" dxfId="3664" priority="2624">
      <formula>$H1318="Cash"</formula>
    </cfRule>
  </conditionalFormatting>
  <conditionalFormatting sqref="X1318">
    <cfRule type="expression" dxfId="3663" priority="2623">
      <formula>$O1318="Applicant Signatures"</formula>
    </cfRule>
  </conditionalFormatting>
  <conditionalFormatting sqref="X1318">
    <cfRule type="expression" dxfId="3662" priority="2622">
      <formula>$O1318="Applicant Signatures"</formula>
    </cfRule>
  </conditionalFormatting>
  <conditionalFormatting sqref="X1318">
    <cfRule type="expression" dxfId="3661" priority="2621">
      <formula>$H1318="Cash"</formula>
    </cfRule>
  </conditionalFormatting>
  <conditionalFormatting sqref="X1318">
    <cfRule type="expression" dxfId="3660" priority="2620">
      <formula>$O1318="Applicant Signatures"</formula>
    </cfRule>
  </conditionalFormatting>
  <conditionalFormatting sqref="X1336:X1338 X1340:X1343 X1345 X1347">
    <cfRule type="expression" dxfId="3659" priority="2619">
      <formula>$H1336="Cash"</formula>
    </cfRule>
  </conditionalFormatting>
  <conditionalFormatting sqref="X1336:X1338 X1340:X1343 X1345 X1347">
    <cfRule type="expression" dxfId="3658" priority="2618">
      <formula>$H1336="Cash"</formula>
    </cfRule>
  </conditionalFormatting>
  <conditionalFormatting sqref="X1336:X1338 X1340:X1343 X1345 X1347">
    <cfRule type="expression" dxfId="3657" priority="2617">
      <formula>$H1336="Cash"</formula>
    </cfRule>
  </conditionalFormatting>
  <conditionalFormatting sqref="X1336:X1338 X1340:X1343 X1345 X1347">
    <cfRule type="expression" dxfId="3656" priority="2616">
      <formula>$O1336="Applicant Signatures"</formula>
    </cfRule>
  </conditionalFormatting>
  <conditionalFormatting sqref="X1336:X1338 X1340:X1343 X1345 X1347">
    <cfRule type="expression" dxfId="3655" priority="2615">
      <formula>$H1336="Cash"</formula>
    </cfRule>
  </conditionalFormatting>
  <conditionalFormatting sqref="X1336:X1338 X1340:X1343 X1345 X1347">
    <cfRule type="expression" dxfId="3654" priority="2614">
      <formula>$O1336="Applicant Signatures"</formula>
    </cfRule>
  </conditionalFormatting>
  <conditionalFormatting sqref="A1336:A1347 Q1336:Q1347">
    <cfRule type="expression" dxfId="3653" priority="2613">
      <formula>$H1336="Cash"</formula>
    </cfRule>
  </conditionalFormatting>
  <conditionalFormatting sqref="A1336:A1347 Q1336:Q1347">
    <cfRule type="expression" dxfId="3652" priority="2612">
      <formula>$O1336="Applicant Signatures"</formula>
    </cfRule>
  </conditionalFormatting>
  <conditionalFormatting sqref="R1336:R1347">
    <cfRule type="expression" dxfId="3651" priority="2611">
      <formula>$H1336="Cash"</formula>
    </cfRule>
  </conditionalFormatting>
  <conditionalFormatting sqref="T1336:T1338 O1336:O1347 T1340 T1342:T1347">
    <cfRule type="expression" dxfId="3650" priority="2610">
      <formula>$H1336="Cash"</formula>
    </cfRule>
  </conditionalFormatting>
  <conditionalFormatting sqref="S1336:U1338 Y1336:Z1347 W1336:W1347 B1336:P1347 S1340:U1340 S1339 U1339 S1342:U1347 S1341 U1341 AB1336:AB1347">
    <cfRule type="expression" dxfId="3649" priority="2609">
      <formula>$O1336="Applicant Signatures"</formula>
    </cfRule>
  </conditionalFormatting>
  <conditionalFormatting sqref="S1336:U1338 W1336:W1347 B1336:P1347 S1340:U1340 S1339 U1339 S1342:U1347 S1341 U1341">
    <cfRule type="expression" dxfId="3648" priority="2608">
      <formula>$H1336="Cash"</formula>
    </cfRule>
  </conditionalFormatting>
  <conditionalFormatting sqref="S1336:U1338 Y1336:Z1347 W1336:W1347 B1336:P1347 S1340:U1340 S1339 U1339 S1342:U1347 S1341 U1341 AB1336:AB1347">
    <cfRule type="expression" dxfId="3647" priority="2607">
      <formula>$O1336="Applicant Signatures"</formula>
    </cfRule>
  </conditionalFormatting>
  <conditionalFormatting sqref="R1336:R1347">
    <cfRule type="expression" dxfId="3646" priority="2606">
      <formula>$O1336="Applicant Signatures"</formula>
    </cfRule>
  </conditionalFormatting>
  <conditionalFormatting sqref="V1336:V1343 V1345:V1346">
    <cfRule type="expression" dxfId="3645" priority="2605">
      <formula>$H1336="Cash"</formula>
    </cfRule>
  </conditionalFormatting>
  <conditionalFormatting sqref="V1336:V1343 V1345:V1346">
    <cfRule type="expression" dxfId="3644" priority="2604">
      <formula>$O1336="Applicant Signatures"</formula>
    </cfRule>
  </conditionalFormatting>
  <conditionalFormatting sqref="AB1319">
    <cfRule type="expression" dxfId="3643" priority="2561">
      <formula>$O1319="Applicant Signatures"</formula>
    </cfRule>
  </conditionalFormatting>
  <conditionalFormatting sqref="AB1319">
    <cfRule type="expression" dxfId="3642" priority="2560">
      <formula>$O1319="Applicant Signatures"</formula>
    </cfRule>
  </conditionalFormatting>
  <conditionalFormatting sqref="X384">
    <cfRule type="expression" dxfId="3641" priority="2556">
      <formula>$H384="Cash"</formula>
    </cfRule>
  </conditionalFormatting>
  <conditionalFormatting sqref="X384">
    <cfRule type="expression" dxfId="3640" priority="2555">
      <formula>$H384="Cash"</formula>
    </cfRule>
  </conditionalFormatting>
  <conditionalFormatting sqref="X384">
    <cfRule type="expression" dxfId="3639" priority="2554">
      <formula>$H384="Cash"</formula>
    </cfRule>
  </conditionalFormatting>
  <conditionalFormatting sqref="X384">
    <cfRule type="expression" dxfId="3638" priority="2553">
      <formula>$O384="Applicant Signatures"</formula>
    </cfRule>
  </conditionalFormatting>
  <conditionalFormatting sqref="X384">
    <cfRule type="expression" dxfId="3637" priority="2552">
      <formula>$H384="Cash"</formula>
    </cfRule>
  </conditionalFormatting>
  <conditionalFormatting sqref="X384">
    <cfRule type="expression" dxfId="3636" priority="2551">
      <formula>$O384="Applicant Signatures"</formula>
    </cfRule>
  </conditionalFormatting>
  <conditionalFormatting sqref="X1258">
    <cfRule type="expression" dxfId="3635" priority="2547">
      <formula>$H1258="Cash"</formula>
    </cfRule>
  </conditionalFormatting>
  <conditionalFormatting sqref="X1258">
    <cfRule type="expression" dxfId="3634" priority="2546">
      <formula>$H1258="Cash"</formula>
    </cfRule>
  </conditionalFormatting>
  <conditionalFormatting sqref="X1258">
    <cfRule type="expression" dxfId="3633" priority="2545">
      <formula>$H1258="Cash"</formula>
    </cfRule>
  </conditionalFormatting>
  <conditionalFormatting sqref="X1258">
    <cfRule type="expression" dxfId="3632" priority="2544">
      <formula>$O1258="Applicant Signatures"</formula>
    </cfRule>
  </conditionalFormatting>
  <conditionalFormatting sqref="X1258">
    <cfRule type="expression" dxfId="3631" priority="2543">
      <formula>$H1258="Cash"</formula>
    </cfRule>
  </conditionalFormatting>
  <conditionalFormatting sqref="X1258">
    <cfRule type="expression" dxfId="3630" priority="2542">
      <formula>$O1258="Applicant Signatures"</formula>
    </cfRule>
  </conditionalFormatting>
  <conditionalFormatting sqref="X1271">
    <cfRule type="expression" dxfId="3629" priority="2541">
      <formula>$H1271="Cash"</formula>
    </cfRule>
  </conditionalFormatting>
  <conditionalFormatting sqref="X1271">
    <cfRule type="expression" dxfId="3628" priority="2540">
      <formula>$H1271="Cash"</formula>
    </cfRule>
  </conditionalFormatting>
  <conditionalFormatting sqref="X1271">
    <cfRule type="expression" dxfId="3627" priority="2539">
      <formula>$H1271="Cash"</formula>
    </cfRule>
  </conditionalFormatting>
  <conditionalFormatting sqref="X1271">
    <cfRule type="expression" dxfId="3626" priority="2538">
      <formula>$O1271="Applicant Signatures"</formula>
    </cfRule>
  </conditionalFormatting>
  <conditionalFormatting sqref="X1271">
    <cfRule type="expression" dxfId="3625" priority="2537">
      <formula>$H1271="Cash"</formula>
    </cfRule>
  </conditionalFormatting>
  <conditionalFormatting sqref="X1271">
    <cfRule type="expression" dxfId="3624" priority="2536">
      <formula>$O1271="Applicant Signatures"</formula>
    </cfRule>
  </conditionalFormatting>
  <conditionalFormatting sqref="A1338:A1347">
    <cfRule type="expression" dxfId="3623" priority="2535">
      <formula>#REF!="Cash"</formula>
    </cfRule>
  </conditionalFormatting>
  <conditionalFormatting sqref="A1338:A1347">
    <cfRule type="expression" dxfId="3622" priority="2534">
      <formula>#REF!="Applicant Signatures"</formula>
    </cfRule>
  </conditionalFormatting>
  <conditionalFormatting sqref="Q1338:Q1347">
    <cfRule type="expression" dxfId="3621" priority="2533">
      <formula>#REF!="Cash"</formula>
    </cfRule>
  </conditionalFormatting>
  <conditionalFormatting sqref="Q1338:Q1347">
    <cfRule type="expression" dxfId="3620" priority="2532">
      <formula>#REF!="Applicant Signatures"</formula>
    </cfRule>
  </conditionalFormatting>
  <conditionalFormatting sqref="T1318">
    <cfRule type="expression" dxfId="3619" priority="2513">
      <formula>$H1318="Cash"</formula>
    </cfRule>
  </conditionalFormatting>
  <conditionalFormatting sqref="T1318">
    <cfRule type="expression" dxfId="3618" priority="2512">
      <formula>$O1318="Applicant Signatures"</formula>
    </cfRule>
  </conditionalFormatting>
  <conditionalFormatting sqref="T1318">
    <cfRule type="expression" dxfId="3617" priority="2511">
      <formula>$H1318="Cash"</formula>
    </cfRule>
  </conditionalFormatting>
  <conditionalFormatting sqref="T1318">
    <cfRule type="expression" dxfId="3616" priority="2510">
      <formula>$O1318="Applicant Signatures"</formula>
    </cfRule>
  </conditionalFormatting>
  <conditionalFormatting sqref="Q1348:R1348 A1348">
    <cfRule type="expression" dxfId="3615" priority="2509">
      <formula>$H1348="Cash"</formula>
    </cfRule>
  </conditionalFormatting>
  <conditionalFormatting sqref="Q1348:R1348 A1348">
    <cfRule type="expression" dxfId="3614" priority="2508">
      <formula>$O1348="Applicant Signatures"</formula>
    </cfRule>
  </conditionalFormatting>
  <conditionalFormatting sqref="V1348">
    <cfRule type="expression" dxfId="3613" priority="2507">
      <formula>$H1348="Cash"</formula>
    </cfRule>
  </conditionalFormatting>
  <conditionalFormatting sqref="T1348 O1348">
    <cfRule type="expression" dxfId="3612" priority="2506">
      <formula>$H1348="Cash"</formula>
    </cfRule>
  </conditionalFormatting>
  <conditionalFormatting sqref="B1348:P1348 T1348:U1348 W1348 Y1348:Z1348 AB1348">
    <cfRule type="expression" dxfId="3611" priority="2505">
      <formula>$O1348="Applicant Signatures"</formula>
    </cfRule>
  </conditionalFormatting>
  <conditionalFormatting sqref="B1348:P1348 T1348:U1348 W1348">
    <cfRule type="expression" dxfId="3610" priority="2504">
      <formula>$H1348="Cash"</formula>
    </cfRule>
  </conditionalFormatting>
  <conditionalFormatting sqref="B1348:P1348 T1348:U1348 W1348 Y1348:Z1348 AB1348">
    <cfRule type="expression" dxfId="3609" priority="2503">
      <formula>$O1348="Applicant Signatures"</formula>
    </cfRule>
  </conditionalFormatting>
  <conditionalFormatting sqref="V1348">
    <cfRule type="expression" dxfId="3608" priority="2502">
      <formula>$O1348="Applicant Signatures"</formula>
    </cfRule>
  </conditionalFormatting>
  <conditionalFormatting sqref="V1348">
    <cfRule type="expression" dxfId="3607" priority="2501">
      <formula>$H1348="Cash"</formula>
    </cfRule>
  </conditionalFormatting>
  <conditionalFormatting sqref="V1348">
    <cfRule type="expression" dxfId="3606" priority="2500">
      <formula>$O1348="Applicant Signatures"</formula>
    </cfRule>
  </conditionalFormatting>
  <conditionalFormatting sqref="X1348">
    <cfRule type="expression" dxfId="3605" priority="2499">
      <formula>$H1348="Cash"</formula>
    </cfRule>
  </conditionalFormatting>
  <conditionalFormatting sqref="X1348">
    <cfRule type="expression" dxfId="3604" priority="2498">
      <formula>$H1348="Cash"</formula>
    </cfRule>
  </conditionalFormatting>
  <conditionalFormatting sqref="X1348">
    <cfRule type="expression" dxfId="3603" priority="2497">
      <formula>$H1348="Cash"</formula>
    </cfRule>
  </conditionalFormatting>
  <conditionalFormatting sqref="X1348">
    <cfRule type="expression" dxfId="3602" priority="2496">
      <formula>$O1348="Applicant Signatures"</formula>
    </cfRule>
  </conditionalFormatting>
  <conditionalFormatting sqref="X1348">
    <cfRule type="expression" dxfId="3601" priority="2495">
      <formula>$H1348="Cash"</formula>
    </cfRule>
  </conditionalFormatting>
  <conditionalFormatting sqref="X1348">
    <cfRule type="expression" dxfId="3600" priority="2494">
      <formula>$O1348="Applicant Signatures"</formula>
    </cfRule>
  </conditionalFormatting>
  <conditionalFormatting sqref="S1348">
    <cfRule type="expression" dxfId="3599" priority="2493">
      <formula>$O1348="Applicant Signatures"</formula>
    </cfRule>
  </conditionalFormatting>
  <conditionalFormatting sqref="S1348">
    <cfRule type="expression" dxfId="3598" priority="2492">
      <formula>$H1348="Cash"</formula>
    </cfRule>
  </conditionalFormatting>
  <conditionalFormatting sqref="S1348">
    <cfRule type="expression" dxfId="3597" priority="2491">
      <formula>$O1348="Applicant Signatures"</formula>
    </cfRule>
  </conditionalFormatting>
  <conditionalFormatting sqref="X1243">
    <cfRule type="expression" dxfId="3596" priority="2472">
      <formula>$H1243="Cash"</formula>
    </cfRule>
  </conditionalFormatting>
  <conditionalFormatting sqref="X1243">
    <cfRule type="expression" dxfId="3595" priority="2471">
      <formula>$H1243="Cash"</formula>
    </cfRule>
  </conditionalFormatting>
  <conditionalFormatting sqref="X1243">
    <cfRule type="expression" dxfId="3594" priority="2470">
      <formula>$H1243="Cash"</formula>
    </cfRule>
  </conditionalFormatting>
  <conditionalFormatting sqref="X1243">
    <cfRule type="expression" dxfId="3593" priority="2469">
      <formula>$O1243="Applicant Signatures"</formula>
    </cfRule>
  </conditionalFormatting>
  <conditionalFormatting sqref="X1243">
    <cfRule type="expression" dxfId="3592" priority="2468">
      <formula>$H1243="Cash"</formula>
    </cfRule>
  </conditionalFormatting>
  <conditionalFormatting sqref="X1243">
    <cfRule type="expression" dxfId="3591" priority="2467">
      <formula>$O1243="Applicant Signatures"</formula>
    </cfRule>
  </conditionalFormatting>
  <conditionalFormatting sqref="X1273">
    <cfRule type="expression" dxfId="3590" priority="2466">
      <formula>$H1273="Cash"</formula>
    </cfRule>
  </conditionalFormatting>
  <conditionalFormatting sqref="X1273">
    <cfRule type="expression" dxfId="3589" priority="2465">
      <formula>$H1273="Cash"</formula>
    </cfRule>
  </conditionalFormatting>
  <conditionalFormatting sqref="X1273">
    <cfRule type="expression" dxfId="3588" priority="2464">
      <formula>$H1273="Cash"</formula>
    </cfRule>
  </conditionalFormatting>
  <conditionalFormatting sqref="X1273">
    <cfRule type="expression" dxfId="3587" priority="2463">
      <formula>$O1273="Applicant Signatures"</formula>
    </cfRule>
  </conditionalFormatting>
  <conditionalFormatting sqref="X1273">
    <cfRule type="expression" dxfId="3586" priority="2462">
      <formula>$H1273="Cash"</formula>
    </cfRule>
  </conditionalFormatting>
  <conditionalFormatting sqref="X1273">
    <cfRule type="expression" dxfId="3585" priority="2461">
      <formula>$O1273="Applicant Signatures"</formula>
    </cfRule>
  </conditionalFormatting>
  <conditionalFormatting sqref="X1306">
    <cfRule type="expression" dxfId="3584" priority="2460">
      <formula>$H1306="Cash"</formula>
    </cfRule>
  </conditionalFormatting>
  <conditionalFormatting sqref="X1306">
    <cfRule type="expression" dxfId="3583" priority="2459">
      <formula>$H1306="Cash"</formula>
    </cfRule>
  </conditionalFormatting>
  <conditionalFormatting sqref="X1306">
    <cfRule type="expression" dxfId="3582" priority="2458">
      <formula>$H1306="Cash"</formula>
    </cfRule>
  </conditionalFormatting>
  <conditionalFormatting sqref="X1306">
    <cfRule type="expression" dxfId="3581" priority="2457">
      <formula>$O1306="Applicant Signatures"</formula>
    </cfRule>
  </conditionalFormatting>
  <conditionalFormatting sqref="X1306">
    <cfRule type="expression" dxfId="3580" priority="2456">
      <formula>$H1306="Cash"</formula>
    </cfRule>
  </conditionalFormatting>
  <conditionalFormatting sqref="X1306">
    <cfRule type="expression" dxfId="3579" priority="2455">
      <formula>$O1306="Applicant Signatures"</formula>
    </cfRule>
  </conditionalFormatting>
  <conditionalFormatting sqref="T1311">
    <cfRule type="expression" dxfId="3578" priority="2454">
      <formula>$H1311="Cash"</formula>
    </cfRule>
  </conditionalFormatting>
  <conditionalFormatting sqref="T1311">
    <cfRule type="expression" dxfId="3577" priority="2453">
      <formula>$O1311="Applicant Signatures"</formula>
    </cfRule>
  </conditionalFormatting>
  <conditionalFormatting sqref="T1311">
    <cfRule type="expression" dxfId="3576" priority="2452">
      <formula>$H1311="Cash"</formula>
    </cfRule>
  </conditionalFormatting>
  <conditionalFormatting sqref="T1311">
    <cfRule type="expression" dxfId="3575" priority="2451">
      <formula>$O1311="Applicant Signatures"</formula>
    </cfRule>
  </conditionalFormatting>
  <conditionalFormatting sqref="X1350:X1351">
    <cfRule type="expression" dxfId="3574" priority="2446">
      <formula>$H1350="Cash"</formula>
    </cfRule>
  </conditionalFormatting>
  <conditionalFormatting sqref="X1350:X1351">
    <cfRule type="expression" dxfId="3573" priority="2445">
      <formula>$H1350="Cash"</formula>
    </cfRule>
  </conditionalFormatting>
  <conditionalFormatting sqref="X1350:X1351">
    <cfRule type="expression" dxfId="3572" priority="2444">
      <formula>$H1350="Cash"</formula>
    </cfRule>
  </conditionalFormatting>
  <conditionalFormatting sqref="X1350:X1351">
    <cfRule type="expression" dxfId="3571" priority="2443">
      <formula>$O1350="Applicant Signatures"</formula>
    </cfRule>
  </conditionalFormatting>
  <conditionalFormatting sqref="X1350:X1351">
    <cfRule type="expression" dxfId="3570" priority="2442">
      <formula>$H1350="Cash"</formula>
    </cfRule>
  </conditionalFormatting>
  <conditionalFormatting sqref="X1350:X1351">
    <cfRule type="expression" dxfId="3569" priority="2441">
      <formula>$O1350="Applicant Signatures"</formula>
    </cfRule>
  </conditionalFormatting>
  <conditionalFormatting sqref="Q1347:Q1351">
    <cfRule type="expression" dxfId="3568" priority="2440">
      <formula>$H1347="Cash"</formula>
    </cfRule>
  </conditionalFormatting>
  <conditionalFormatting sqref="Q1347:Q1351">
    <cfRule type="expression" dxfId="3567" priority="2439">
      <formula>$O1347="Applicant Signatures"</formula>
    </cfRule>
  </conditionalFormatting>
  <conditionalFormatting sqref="R1349:R1351">
    <cfRule type="expression" dxfId="3566" priority="2438">
      <formula>$H1349="Cash"</formula>
    </cfRule>
  </conditionalFormatting>
  <conditionalFormatting sqref="T1349:T1351 O1349:O1351">
    <cfRule type="expression" dxfId="3565" priority="2437">
      <formula>$H1349="Cash"</formula>
    </cfRule>
  </conditionalFormatting>
  <conditionalFormatting sqref="S1349:U1351 Y1349:Z1351 W1349:W1351 B1349:P1351 AB1349:AB1351">
    <cfRule type="expression" dxfId="3564" priority="2436">
      <formula>$O1349="Applicant Signatures"</formula>
    </cfRule>
  </conditionalFormatting>
  <conditionalFormatting sqref="S1349:U1351 W1349:W1351 B1349:P1351">
    <cfRule type="expression" dxfId="3563" priority="2435">
      <formula>$H1349="Cash"</formula>
    </cfRule>
  </conditionalFormatting>
  <conditionalFormatting sqref="S1349:U1351 Y1349:Z1351 W1349:W1351 B1349:P1351 AB1349:AB1351">
    <cfRule type="expression" dxfId="3562" priority="2434">
      <formula>$O1349="Applicant Signatures"</formula>
    </cfRule>
  </conditionalFormatting>
  <conditionalFormatting sqref="R1349:R1351">
    <cfRule type="expression" dxfId="3561" priority="2433">
      <formula>$O1349="Applicant Signatures"</formula>
    </cfRule>
  </conditionalFormatting>
  <conditionalFormatting sqref="V1349:V1351">
    <cfRule type="expression" dxfId="3560" priority="2432">
      <formula>$H1349="Cash"</formula>
    </cfRule>
  </conditionalFormatting>
  <conditionalFormatting sqref="V1349:V1351">
    <cfRule type="expression" dxfId="3559" priority="2431">
      <formula>$O1349="Applicant Signatures"</formula>
    </cfRule>
  </conditionalFormatting>
  <conditionalFormatting sqref="Q1347:Q1351">
    <cfRule type="expression" dxfId="3558" priority="2428">
      <formula>#REF!="Cash"</formula>
    </cfRule>
  </conditionalFormatting>
  <conditionalFormatting sqref="Q1347:Q1351">
    <cfRule type="expression" dxfId="3557" priority="2427">
      <formula>#REF!="Applicant Signatures"</formula>
    </cfRule>
  </conditionalFormatting>
  <conditionalFormatting sqref="A1346:A1351">
    <cfRule type="expression" dxfId="3556" priority="2424">
      <formula>$H1346="Cash"</formula>
    </cfRule>
  </conditionalFormatting>
  <conditionalFormatting sqref="A1346:A1351">
    <cfRule type="expression" dxfId="3555" priority="2423">
      <formula>$O1346="Applicant Signatures"</formula>
    </cfRule>
  </conditionalFormatting>
  <conditionalFormatting sqref="A1346:A1351">
    <cfRule type="expression" dxfId="3554" priority="2422">
      <formula>#REF!="Cash"</formula>
    </cfRule>
  </conditionalFormatting>
  <conditionalFormatting sqref="A1346:A1351">
    <cfRule type="expression" dxfId="3553" priority="2421">
      <formula>#REF!="Applicant Signatures"</formula>
    </cfRule>
  </conditionalFormatting>
  <conditionalFormatting sqref="A1350:A1351">
    <cfRule type="expression" dxfId="3552" priority="2419">
      <formula>#REF!="Cash"</formula>
    </cfRule>
  </conditionalFormatting>
  <conditionalFormatting sqref="A1350:A1351">
    <cfRule type="expression" dxfId="3551" priority="2418">
      <formula>#REF!="Applicant Signatures"</formula>
    </cfRule>
  </conditionalFormatting>
  <conditionalFormatting sqref="Q1350:Q1351">
    <cfRule type="expression" dxfId="3550" priority="2417">
      <formula>#REF!="Cash"</formula>
    </cfRule>
  </conditionalFormatting>
  <conditionalFormatting sqref="Q1350:Q1351">
    <cfRule type="expression" dxfId="3549" priority="2416">
      <formula>#REF!="Applicant Signatures"</formula>
    </cfRule>
  </conditionalFormatting>
  <conditionalFormatting sqref="A1352:U1352 W1352:X1352">
    <cfRule type="expression" dxfId="3548" priority="2415">
      <formula>$H1352="Cash"</formula>
    </cfRule>
  </conditionalFormatting>
  <conditionalFormatting sqref="A1352:U1352 W1352:Z1352 AB1352">
    <cfRule type="expression" dxfId="3547" priority="2414">
      <formula>$O1352="Applicant Signatures"</formula>
    </cfRule>
  </conditionalFormatting>
  <conditionalFormatting sqref="X1353">
    <cfRule type="expression" dxfId="3546" priority="2399">
      <formula>$H1353="Cash"</formula>
    </cfRule>
  </conditionalFormatting>
  <conditionalFormatting sqref="X1353">
    <cfRule type="expression" dxfId="3545" priority="2398">
      <formula>$H1353="Cash"</formula>
    </cfRule>
  </conditionalFormatting>
  <conditionalFormatting sqref="X1353">
    <cfRule type="expression" dxfId="3544" priority="2397">
      <formula>$H1353="Cash"</formula>
    </cfRule>
  </conditionalFormatting>
  <conditionalFormatting sqref="X1353">
    <cfRule type="expression" dxfId="3543" priority="2396">
      <formula>$O1353="Applicant Signatures"</formula>
    </cfRule>
  </conditionalFormatting>
  <conditionalFormatting sqref="X1353">
    <cfRule type="expression" dxfId="3542" priority="2395">
      <formula>$H1353="Cash"</formula>
    </cfRule>
  </conditionalFormatting>
  <conditionalFormatting sqref="X1353">
    <cfRule type="expression" dxfId="3541" priority="2394">
      <formula>$O1353="Applicant Signatures"</formula>
    </cfRule>
  </conditionalFormatting>
  <conditionalFormatting sqref="A1353 Q1353">
    <cfRule type="expression" dxfId="3540" priority="2393">
      <formula>$H1353="Cash"</formula>
    </cfRule>
  </conditionalFormatting>
  <conditionalFormatting sqref="A1353 Q1353">
    <cfRule type="expression" dxfId="3539" priority="2392">
      <formula>$O1353="Applicant Signatures"</formula>
    </cfRule>
  </conditionalFormatting>
  <conditionalFormatting sqref="R1353">
    <cfRule type="expression" dxfId="3538" priority="2391">
      <formula>$H1353="Cash"</formula>
    </cfRule>
  </conditionalFormatting>
  <conditionalFormatting sqref="T1353 O1353">
    <cfRule type="expression" dxfId="3537" priority="2390">
      <formula>$H1353="Cash"</formula>
    </cfRule>
  </conditionalFormatting>
  <conditionalFormatting sqref="S1353:U1353 Y1353:Z1353 W1353 B1353:P1353 AB1353">
    <cfRule type="expression" dxfId="3536" priority="2389">
      <formula>$O1353="Applicant Signatures"</formula>
    </cfRule>
  </conditionalFormatting>
  <conditionalFormatting sqref="S1353:U1353 W1353 B1353:P1353">
    <cfRule type="expression" dxfId="3535" priority="2388">
      <formula>$H1353="Cash"</formula>
    </cfRule>
  </conditionalFormatting>
  <conditionalFormatting sqref="S1353:U1353 Y1353:Z1353 W1353 B1353:P1353 AB1353">
    <cfRule type="expression" dxfId="3534" priority="2387">
      <formula>$O1353="Applicant Signatures"</formula>
    </cfRule>
  </conditionalFormatting>
  <conditionalFormatting sqref="R1353">
    <cfRule type="expression" dxfId="3533" priority="2386">
      <formula>$O1353="Applicant Signatures"</formula>
    </cfRule>
  </conditionalFormatting>
  <conditionalFormatting sqref="A1353">
    <cfRule type="expression" dxfId="3532" priority="2383">
      <formula>#REF!="Cash"</formula>
    </cfRule>
  </conditionalFormatting>
  <conditionalFormatting sqref="A1353">
    <cfRule type="expression" dxfId="3531" priority="2382">
      <formula>#REF!="Applicant Signatures"</formula>
    </cfRule>
  </conditionalFormatting>
  <conditionalFormatting sqref="Q1353">
    <cfRule type="expression" dxfId="3530" priority="2381">
      <formula>#REF!="Cash"</formula>
    </cfRule>
  </conditionalFormatting>
  <conditionalFormatting sqref="Q1353">
    <cfRule type="expression" dxfId="3529" priority="2380">
      <formula>#REF!="Applicant Signatures"</formula>
    </cfRule>
  </conditionalFormatting>
  <conditionalFormatting sqref="X1354:X1361">
    <cfRule type="expression" dxfId="3528" priority="2372">
      <formula>$H1354="Cash"</formula>
    </cfRule>
  </conditionalFormatting>
  <conditionalFormatting sqref="X1354:X1361">
    <cfRule type="expression" dxfId="3527" priority="2371">
      <formula>$H1354="Cash"</formula>
    </cfRule>
  </conditionalFormatting>
  <conditionalFormatting sqref="X1354:X1361">
    <cfRule type="expression" dxfId="3526" priority="2370">
      <formula>$H1354="Cash"</formula>
    </cfRule>
  </conditionalFormatting>
  <conditionalFormatting sqref="X1354:X1361">
    <cfRule type="expression" dxfId="3525" priority="2369">
      <formula>$O1354="Applicant Signatures"</formula>
    </cfRule>
  </conditionalFormatting>
  <conditionalFormatting sqref="X1354:X1361">
    <cfRule type="expression" dxfId="3524" priority="2368">
      <formula>$H1354="Cash"</formula>
    </cfRule>
  </conditionalFormatting>
  <conditionalFormatting sqref="X1354:X1361">
    <cfRule type="expression" dxfId="3523" priority="2367">
      <formula>$O1354="Applicant Signatures"</formula>
    </cfRule>
  </conditionalFormatting>
  <conditionalFormatting sqref="Q1354:Q1361">
    <cfRule type="expression" dxfId="3522" priority="2366">
      <formula>$H1354="Cash"</formula>
    </cfRule>
  </conditionalFormatting>
  <conditionalFormatting sqref="Q1354:Q1361">
    <cfRule type="expression" dxfId="3521" priority="2365">
      <formula>$O1354="Applicant Signatures"</formula>
    </cfRule>
  </conditionalFormatting>
  <conditionalFormatting sqref="R1354:R1361">
    <cfRule type="expression" dxfId="3520" priority="2364">
      <formula>$H1354="Cash"</formula>
    </cfRule>
  </conditionalFormatting>
  <conditionalFormatting sqref="T1354:T1356 T1361 O1354:O1361">
    <cfRule type="expression" dxfId="3519" priority="2363">
      <formula>$H1354="Cash"</formula>
    </cfRule>
  </conditionalFormatting>
  <conditionalFormatting sqref="S1354:U1356 Y1354:Z1361 W1354:W1361 S1361:U1361 S1357:S1360 U1357:U1360 AB1354:AB1361 B1354:P1361">
    <cfRule type="expression" dxfId="3518" priority="2362">
      <formula>$O1354="Applicant Signatures"</formula>
    </cfRule>
  </conditionalFormatting>
  <conditionalFormatting sqref="S1354:U1356 W1354:W1361 S1361:U1361 S1357:S1360 U1357:U1360 B1354:P1361">
    <cfRule type="expression" dxfId="3517" priority="2361">
      <formula>$H1354="Cash"</formula>
    </cfRule>
  </conditionalFormatting>
  <conditionalFormatting sqref="S1354:U1356 Y1354:Z1361 W1354:W1361 S1361:U1361 S1357:S1360 U1357:U1360 AB1354:AB1361 B1354:P1361">
    <cfRule type="expression" dxfId="3516" priority="2360">
      <formula>$O1354="Applicant Signatures"</formula>
    </cfRule>
  </conditionalFormatting>
  <conditionalFormatting sqref="R1354:R1361">
    <cfRule type="expression" dxfId="3515" priority="2359">
      <formula>$O1354="Applicant Signatures"</formula>
    </cfRule>
  </conditionalFormatting>
  <conditionalFormatting sqref="V1354 V1356 V1358:V1361">
    <cfRule type="expression" dxfId="3514" priority="2358">
      <formula>$H1354="Cash"</formula>
    </cfRule>
  </conditionalFormatting>
  <conditionalFormatting sqref="V1354 V1356 V1358:V1361">
    <cfRule type="expression" dxfId="3513" priority="2357">
      <formula>$O1354="Applicant Signatures"</formula>
    </cfRule>
  </conditionalFormatting>
  <conditionalFormatting sqref="Q1354:Q1361">
    <cfRule type="expression" dxfId="3512" priority="2356">
      <formula>#REF!="Cash"</formula>
    </cfRule>
  </conditionalFormatting>
  <conditionalFormatting sqref="Q1354:Q1361">
    <cfRule type="expression" dxfId="3511" priority="2355">
      <formula>#REF!="Applicant Signatures"</formula>
    </cfRule>
  </conditionalFormatting>
  <conditionalFormatting sqref="A1354:A1361">
    <cfRule type="expression" dxfId="3510" priority="2354">
      <formula>$H1354="Cash"</formula>
    </cfRule>
  </conditionalFormatting>
  <conditionalFormatting sqref="A1354:A1361">
    <cfRule type="expression" dxfId="3509" priority="2353">
      <formula>$O1354="Applicant Signatures"</formula>
    </cfRule>
  </conditionalFormatting>
  <conditionalFormatting sqref="A1354:A1361">
    <cfRule type="expression" dxfId="3508" priority="2352">
      <formula>#REF!="Cash"</formula>
    </cfRule>
  </conditionalFormatting>
  <conditionalFormatting sqref="A1354:A1361">
    <cfRule type="expression" dxfId="3507" priority="2351">
      <formula>#REF!="Applicant Signatures"</formula>
    </cfRule>
  </conditionalFormatting>
  <conditionalFormatting sqref="X1294">
    <cfRule type="expression" dxfId="3506" priority="2347">
      <formula>$H1294="Cash"</formula>
    </cfRule>
  </conditionalFormatting>
  <conditionalFormatting sqref="X1294">
    <cfRule type="expression" dxfId="3505" priority="2346">
      <formula>$H1294="Cash"</formula>
    </cfRule>
  </conditionalFormatting>
  <conditionalFormatting sqref="X1294">
    <cfRule type="expression" dxfId="3504" priority="2345">
      <formula>$H1294="Cash"</formula>
    </cfRule>
  </conditionalFormatting>
  <conditionalFormatting sqref="X1294">
    <cfRule type="expression" dxfId="3503" priority="2344">
      <formula>$O1294="Applicant Signatures"</formula>
    </cfRule>
  </conditionalFormatting>
  <conditionalFormatting sqref="X1294">
    <cfRule type="expression" dxfId="3502" priority="2343">
      <formula>$H1294="Cash"</formula>
    </cfRule>
  </conditionalFormatting>
  <conditionalFormatting sqref="X1294">
    <cfRule type="expression" dxfId="3501" priority="2342">
      <formula>$O1294="Applicant Signatures"</formula>
    </cfRule>
  </conditionalFormatting>
  <conditionalFormatting sqref="X1267">
    <cfRule type="expression" dxfId="3500" priority="2340">
      <formula>$H1267="Cash"</formula>
    </cfRule>
  </conditionalFormatting>
  <conditionalFormatting sqref="X1267">
    <cfRule type="expression" dxfId="3499" priority="2339">
      <formula>$H1267="Cash"</formula>
    </cfRule>
  </conditionalFormatting>
  <conditionalFormatting sqref="X1267">
    <cfRule type="expression" dxfId="3498" priority="2338">
      <formula>$H1267="Cash"</formula>
    </cfRule>
  </conditionalFormatting>
  <conditionalFormatting sqref="X1267">
    <cfRule type="expression" dxfId="3497" priority="2337">
      <formula>$O1267="Applicant Signatures"</formula>
    </cfRule>
  </conditionalFormatting>
  <conditionalFormatting sqref="X1267">
    <cfRule type="expression" dxfId="3496" priority="2336">
      <formula>$H1267="Cash"</formula>
    </cfRule>
  </conditionalFormatting>
  <conditionalFormatting sqref="X1267">
    <cfRule type="expression" dxfId="3495" priority="2335">
      <formula>$O1267="Applicant Signatures"</formula>
    </cfRule>
  </conditionalFormatting>
  <conditionalFormatting sqref="A1362">
    <cfRule type="expression" dxfId="3494" priority="2331">
      <formula>$H1362="Cash"</formula>
    </cfRule>
  </conditionalFormatting>
  <conditionalFormatting sqref="A1362">
    <cfRule type="expression" dxfId="3493" priority="2330">
      <formula>$O1362="Applicant Signatures"</formula>
    </cfRule>
  </conditionalFormatting>
  <conditionalFormatting sqref="Q1362">
    <cfRule type="expression" dxfId="3492" priority="2329">
      <formula>$H1362="Cash"</formula>
    </cfRule>
  </conditionalFormatting>
  <conditionalFormatting sqref="Q1362">
    <cfRule type="expression" dxfId="3491" priority="2328">
      <formula>$O1362="Applicant Signatures"</formula>
    </cfRule>
  </conditionalFormatting>
  <conditionalFormatting sqref="A1362">
    <cfRule type="expression" dxfId="3490" priority="2327">
      <formula>$H1362="Cash"</formula>
    </cfRule>
  </conditionalFormatting>
  <conditionalFormatting sqref="A1362">
    <cfRule type="expression" dxfId="3489" priority="2326">
      <formula>$O1362="Applicant Signatures"</formula>
    </cfRule>
  </conditionalFormatting>
  <conditionalFormatting sqref="Q1362">
    <cfRule type="expression" dxfId="3488" priority="2325">
      <formula>$H1362="Cash"</formula>
    </cfRule>
  </conditionalFormatting>
  <conditionalFormatting sqref="Q1362">
    <cfRule type="expression" dxfId="3487" priority="2324">
      <formula>$O1362="Applicant Signatures"</formula>
    </cfRule>
  </conditionalFormatting>
  <conditionalFormatting sqref="R1362">
    <cfRule type="expression" dxfId="3486" priority="2323">
      <formula>$H1362="Cash"</formula>
    </cfRule>
  </conditionalFormatting>
  <conditionalFormatting sqref="O1362 T1362:T1363">
    <cfRule type="expression" dxfId="3485" priority="2321">
      <formula>$H1362="Cash"</formula>
    </cfRule>
  </conditionalFormatting>
  <conditionalFormatting sqref="B1362:P1362 S1362:U1362 Y1362:Z1362 W1362">
    <cfRule type="expression" dxfId="3484" priority="2320">
      <formula>$O1362="Applicant Signatures"</formula>
    </cfRule>
  </conditionalFormatting>
  <conditionalFormatting sqref="B1362:P1362 S1362:U1362 W1362">
    <cfRule type="expression" dxfId="3483" priority="2319">
      <formula>$H1362="Cash"</formula>
    </cfRule>
  </conditionalFormatting>
  <conditionalFormatting sqref="B1362:P1362 S1362:U1362 Y1362:Z1362 W1362">
    <cfRule type="expression" dxfId="3482" priority="2318">
      <formula>$O1362="Applicant Signatures"</formula>
    </cfRule>
  </conditionalFormatting>
  <conditionalFormatting sqref="X1362">
    <cfRule type="expression" dxfId="3481" priority="2314">
      <formula>$H1362="Cash"</formula>
    </cfRule>
  </conditionalFormatting>
  <conditionalFormatting sqref="X1362">
    <cfRule type="expression" dxfId="3480" priority="2313">
      <formula>$H1362="Cash"</formula>
    </cfRule>
  </conditionalFormatting>
  <conditionalFormatting sqref="X1362">
    <cfRule type="expression" dxfId="3479" priority="2312">
      <formula>$H1362="Cash"</formula>
    </cfRule>
  </conditionalFormatting>
  <conditionalFormatting sqref="X1362">
    <cfRule type="expression" dxfId="3478" priority="2311">
      <formula>$O1362="Applicant Signatures"</formula>
    </cfRule>
  </conditionalFormatting>
  <conditionalFormatting sqref="X1362">
    <cfRule type="expression" dxfId="3477" priority="2310">
      <formula>$H1362="Cash"</formula>
    </cfRule>
  </conditionalFormatting>
  <conditionalFormatting sqref="X1362">
    <cfRule type="expression" dxfId="3476" priority="2309">
      <formula>$O1362="Applicant Signatures"</formula>
    </cfRule>
  </conditionalFormatting>
  <conditionalFormatting sqref="R1362">
    <cfRule type="expression" dxfId="3475" priority="2308">
      <formula>$O1362="Applicant Signatures"</formula>
    </cfRule>
  </conditionalFormatting>
  <conditionalFormatting sqref="A1363">
    <cfRule type="expression" dxfId="3474" priority="2307">
      <formula>$H1363="Cash"</formula>
    </cfRule>
  </conditionalFormatting>
  <conditionalFormatting sqref="A1363">
    <cfRule type="expression" dxfId="3473" priority="2306">
      <formula>$O1363="Applicant Signatures"</formula>
    </cfRule>
  </conditionalFormatting>
  <conditionalFormatting sqref="Q1363">
    <cfRule type="expression" dxfId="3472" priority="2305">
      <formula>$H1363="Cash"</formula>
    </cfRule>
  </conditionalFormatting>
  <conditionalFormatting sqref="Q1363">
    <cfRule type="expression" dxfId="3471" priority="2304">
      <formula>$O1363="Applicant Signatures"</formula>
    </cfRule>
  </conditionalFormatting>
  <conditionalFormatting sqref="A1363">
    <cfRule type="expression" dxfId="3470" priority="2303">
      <formula>$H1363="Cash"</formula>
    </cfRule>
  </conditionalFormatting>
  <conditionalFormatting sqref="A1363">
    <cfRule type="expression" dxfId="3469" priority="2302">
      <formula>$O1363="Applicant Signatures"</formula>
    </cfRule>
  </conditionalFormatting>
  <conditionalFormatting sqref="Q1363">
    <cfRule type="expression" dxfId="3468" priority="2301">
      <formula>$H1363="Cash"</formula>
    </cfRule>
  </conditionalFormatting>
  <conditionalFormatting sqref="Q1363">
    <cfRule type="expression" dxfId="3467" priority="2300">
      <formula>$O1363="Applicant Signatures"</formula>
    </cfRule>
  </conditionalFormatting>
  <conditionalFormatting sqref="R1363">
    <cfRule type="expression" dxfId="3466" priority="2299">
      <formula>$H1363="Cash"</formula>
    </cfRule>
  </conditionalFormatting>
  <conditionalFormatting sqref="O1363">
    <cfRule type="expression" dxfId="3465" priority="2297">
      <formula>$H1363="Cash"</formula>
    </cfRule>
  </conditionalFormatting>
  <conditionalFormatting sqref="B1363:P1363 S1363 Y1363:Z1363 W1363 U1363">
    <cfRule type="expression" dxfId="3464" priority="2296">
      <formula>$O1363="Applicant Signatures"</formula>
    </cfRule>
  </conditionalFormatting>
  <conditionalFormatting sqref="B1363:P1363 S1363 W1363 U1363">
    <cfRule type="expression" dxfId="3463" priority="2295">
      <formula>$H1363="Cash"</formula>
    </cfRule>
  </conditionalFormatting>
  <conditionalFormatting sqref="B1363:P1363 S1363 Y1363:Z1363 W1363 U1363">
    <cfRule type="expression" dxfId="3462" priority="2294">
      <formula>$O1363="Applicant Signatures"</formula>
    </cfRule>
  </conditionalFormatting>
  <conditionalFormatting sqref="X1363">
    <cfRule type="expression" dxfId="3461" priority="2290">
      <formula>$H1363="Cash"</formula>
    </cfRule>
  </conditionalFormatting>
  <conditionalFormatting sqref="X1363">
    <cfRule type="expression" dxfId="3460" priority="2289">
      <formula>$H1363="Cash"</formula>
    </cfRule>
  </conditionalFormatting>
  <conditionalFormatting sqref="X1363">
    <cfRule type="expression" dxfId="3459" priority="2288">
      <formula>$H1363="Cash"</formula>
    </cfRule>
  </conditionalFormatting>
  <conditionalFormatting sqref="X1363">
    <cfRule type="expression" dxfId="3458" priority="2287">
      <formula>$O1363="Applicant Signatures"</formula>
    </cfRule>
  </conditionalFormatting>
  <conditionalFormatting sqref="X1363">
    <cfRule type="expression" dxfId="3457" priority="2286">
      <formula>$H1363="Cash"</formula>
    </cfRule>
  </conditionalFormatting>
  <conditionalFormatting sqref="X1363">
    <cfRule type="expression" dxfId="3456" priority="2285">
      <formula>$O1363="Applicant Signatures"</formula>
    </cfRule>
  </conditionalFormatting>
  <conditionalFormatting sqref="R1363">
    <cfRule type="expression" dxfId="3455" priority="2284">
      <formula>$O1363="Applicant Signatures"</formula>
    </cfRule>
  </conditionalFormatting>
  <conditionalFormatting sqref="T1363">
    <cfRule type="expression" dxfId="3454" priority="2283">
      <formula>$O1363="Applicant Signatures"</formula>
    </cfRule>
  </conditionalFormatting>
  <conditionalFormatting sqref="T1363">
    <cfRule type="expression" dxfId="3453" priority="2282">
      <formula>$H1363="Cash"</formula>
    </cfRule>
  </conditionalFormatting>
  <conditionalFormatting sqref="T1363">
    <cfRule type="expression" dxfId="3452" priority="2281">
      <formula>$O1363="Applicant Signatures"</formula>
    </cfRule>
  </conditionalFormatting>
  <conditionalFormatting sqref="X1364">
    <cfRule type="expression" dxfId="3451" priority="2279">
      <formula>$H1364="Cash"</formula>
    </cfRule>
  </conditionalFormatting>
  <conditionalFormatting sqref="X1364">
    <cfRule type="expression" dxfId="3450" priority="2278">
      <formula>$H1364="Cash"</formula>
    </cfRule>
  </conditionalFormatting>
  <conditionalFormatting sqref="X1364">
    <cfRule type="expression" dxfId="3449" priority="2277">
      <formula>$H1364="Cash"</formula>
    </cfRule>
  </conditionalFormatting>
  <conditionalFormatting sqref="X1364">
    <cfRule type="expression" dxfId="3448" priority="2276">
      <formula>$O1364="Applicant Signatures"</formula>
    </cfRule>
  </conditionalFormatting>
  <conditionalFormatting sqref="X1364">
    <cfRule type="expression" dxfId="3447" priority="2275">
      <formula>$H1364="Cash"</formula>
    </cfRule>
  </conditionalFormatting>
  <conditionalFormatting sqref="X1364">
    <cfRule type="expression" dxfId="3446" priority="2274">
      <formula>$O1364="Applicant Signatures"</formula>
    </cfRule>
  </conditionalFormatting>
  <conditionalFormatting sqref="Q1364">
    <cfRule type="expression" dxfId="3445" priority="2273">
      <formula>$H1364="Cash"</formula>
    </cfRule>
  </conditionalFormatting>
  <conditionalFormatting sqref="Q1364">
    <cfRule type="expression" dxfId="3444" priority="2272">
      <formula>$O1364="Applicant Signatures"</formula>
    </cfRule>
  </conditionalFormatting>
  <conditionalFormatting sqref="R1364">
    <cfRule type="expression" dxfId="3443" priority="2271">
      <formula>$H1364="Cash"</formula>
    </cfRule>
  </conditionalFormatting>
  <conditionalFormatting sqref="T1364 O1364">
    <cfRule type="expression" dxfId="3442" priority="2270">
      <formula>$H1364="Cash"</formula>
    </cfRule>
  </conditionalFormatting>
  <conditionalFormatting sqref="S1364:U1364 Y1364:Z1364 W1364 B1364:P1364 AB1364">
    <cfRule type="expression" dxfId="3441" priority="2269">
      <formula>$O1364="Applicant Signatures"</formula>
    </cfRule>
  </conditionalFormatting>
  <conditionalFormatting sqref="S1364:U1364 W1364 B1364:P1364">
    <cfRule type="expression" dxfId="3440" priority="2268">
      <formula>$H1364="Cash"</formula>
    </cfRule>
  </conditionalFormatting>
  <conditionalFormatting sqref="S1364:U1364 Y1364:Z1364 W1364 B1364:P1364 AB1364">
    <cfRule type="expression" dxfId="3439" priority="2267">
      <formula>$O1364="Applicant Signatures"</formula>
    </cfRule>
  </conditionalFormatting>
  <conditionalFormatting sqref="R1364">
    <cfRule type="expression" dxfId="3438" priority="2266">
      <formula>$O1364="Applicant Signatures"</formula>
    </cfRule>
  </conditionalFormatting>
  <conditionalFormatting sqref="V1364">
    <cfRule type="expression" dxfId="3437" priority="2265">
      <formula>$H1364="Cash"</formula>
    </cfRule>
  </conditionalFormatting>
  <conditionalFormatting sqref="V1364">
    <cfRule type="expression" dxfId="3436" priority="2264">
      <formula>$O1364="Applicant Signatures"</formula>
    </cfRule>
  </conditionalFormatting>
  <conditionalFormatting sqref="Q1364">
    <cfRule type="expression" dxfId="3435" priority="2263">
      <formula>#REF!="Cash"</formula>
    </cfRule>
  </conditionalFormatting>
  <conditionalFormatting sqref="Q1364">
    <cfRule type="expression" dxfId="3434" priority="2262">
      <formula>#REF!="Applicant Signatures"</formula>
    </cfRule>
  </conditionalFormatting>
  <conditionalFormatting sqref="A1364">
    <cfRule type="expression" dxfId="3433" priority="2261">
      <formula>$H1364="Cash"</formula>
    </cfRule>
  </conditionalFormatting>
  <conditionalFormatting sqref="A1364">
    <cfRule type="expression" dxfId="3432" priority="2260">
      <formula>$O1364="Applicant Signatures"</formula>
    </cfRule>
  </conditionalFormatting>
  <conditionalFormatting sqref="A1364">
    <cfRule type="expression" dxfId="3431" priority="2259">
      <formula>#REF!="Cash"</formula>
    </cfRule>
  </conditionalFormatting>
  <conditionalFormatting sqref="A1364">
    <cfRule type="expression" dxfId="3430" priority="2258">
      <formula>#REF!="Applicant Signatures"</formula>
    </cfRule>
  </conditionalFormatting>
  <conditionalFormatting sqref="A1364">
    <cfRule type="expression" dxfId="3429" priority="2257">
      <formula>#REF!="Cash"</formula>
    </cfRule>
  </conditionalFormatting>
  <conditionalFormatting sqref="A1364">
    <cfRule type="expression" dxfId="3428" priority="2256">
      <formula>#REF!="Applicant Signatures"</formula>
    </cfRule>
  </conditionalFormatting>
  <conditionalFormatting sqref="Q1364">
    <cfRule type="expression" dxfId="3427" priority="2255">
      <formula>#REF!="Cash"</formula>
    </cfRule>
  </conditionalFormatting>
  <conditionalFormatting sqref="Q1364">
    <cfRule type="expression" dxfId="3426" priority="2254">
      <formula>#REF!="Applicant Signatures"</formula>
    </cfRule>
  </conditionalFormatting>
  <conditionalFormatting sqref="AB1362">
    <cfRule type="expression" dxfId="3425" priority="2253">
      <formula>$O1362="Applicant Signatures"</formula>
    </cfRule>
  </conditionalFormatting>
  <conditionalFormatting sqref="AB1362">
    <cfRule type="expression" dxfId="3424" priority="2252">
      <formula>$O1362="Applicant Signatures"</formula>
    </cfRule>
  </conditionalFormatting>
  <conditionalFormatting sqref="AB1363">
    <cfRule type="expression" dxfId="3423" priority="2251">
      <formula>$O1363="Applicant Signatures"</formula>
    </cfRule>
  </conditionalFormatting>
  <conditionalFormatting sqref="AB1363">
    <cfRule type="expression" dxfId="3422" priority="2250">
      <formula>$O1363="Applicant Signatures"</formula>
    </cfRule>
  </conditionalFormatting>
  <conditionalFormatting sqref="A1365:U1365 W1365:X1365">
    <cfRule type="expression" dxfId="3421" priority="2249">
      <formula>$H1365="Cash"</formula>
    </cfRule>
  </conditionalFormatting>
  <conditionalFormatting sqref="A1365:U1365 W1365:Z1365 AB1365">
    <cfRule type="expression" dxfId="3420" priority="2248">
      <formula>$O1365="Applicant Signatures"</formula>
    </cfRule>
  </conditionalFormatting>
  <conditionalFormatting sqref="X1366">
    <cfRule type="expression" dxfId="3419" priority="2247">
      <formula>$H1366="Cash"</formula>
    </cfRule>
  </conditionalFormatting>
  <conditionalFormatting sqref="X1366">
    <cfRule type="expression" dxfId="3418" priority="2246">
      <formula>$H1366="Cash"</formula>
    </cfRule>
  </conditionalFormatting>
  <conditionalFormatting sqref="X1366">
    <cfRule type="expression" dxfId="3417" priority="2245">
      <formula>$H1366="Cash"</formula>
    </cfRule>
  </conditionalFormatting>
  <conditionalFormatting sqref="X1366">
    <cfRule type="expression" dxfId="3416" priority="2244">
      <formula>$O1366="Applicant Signatures"</formula>
    </cfRule>
  </conditionalFormatting>
  <conditionalFormatting sqref="X1366">
    <cfRule type="expression" dxfId="3415" priority="2243">
      <formula>$H1366="Cash"</formula>
    </cfRule>
  </conditionalFormatting>
  <conditionalFormatting sqref="X1366">
    <cfRule type="expression" dxfId="3414" priority="2242">
      <formula>$O1366="Applicant Signatures"</formula>
    </cfRule>
  </conditionalFormatting>
  <conditionalFormatting sqref="Q1366">
    <cfRule type="expression" dxfId="3413" priority="2241">
      <formula>$H1366="Cash"</formula>
    </cfRule>
  </conditionalFormatting>
  <conditionalFormatting sqref="Q1366">
    <cfRule type="expression" dxfId="3412" priority="2240">
      <formula>$O1366="Applicant Signatures"</formula>
    </cfRule>
  </conditionalFormatting>
  <conditionalFormatting sqref="R1366">
    <cfRule type="expression" dxfId="3411" priority="2239">
      <formula>$H1366="Cash"</formula>
    </cfRule>
  </conditionalFormatting>
  <conditionalFormatting sqref="T1366 O1366">
    <cfRule type="expression" dxfId="3410" priority="2238">
      <formula>$H1366="Cash"</formula>
    </cfRule>
  </conditionalFormatting>
  <conditionalFormatting sqref="S1366:U1366 Y1366:Z1366 W1366 B1366:P1366 AB1366">
    <cfRule type="expression" dxfId="3409" priority="2237">
      <formula>$O1366="Applicant Signatures"</formula>
    </cfRule>
  </conditionalFormatting>
  <conditionalFormatting sqref="S1366:U1366 W1366 B1366:P1366">
    <cfRule type="expression" dxfId="3408" priority="2236">
      <formula>$H1366="Cash"</formula>
    </cfRule>
  </conditionalFormatting>
  <conditionalFormatting sqref="S1366:U1366 Y1366:Z1366 W1366 B1366:P1366 AB1366">
    <cfRule type="expression" dxfId="3407" priority="2235">
      <formula>$O1366="Applicant Signatures"</formula>
    </cfRule>
  </conditionalFormatting>
  <conditionalFormatting sqref="R1366">
    <cfRule type="expression" dxfId="3406" priority="2234">
      <formula>$O1366="Applicant Signatures"</formula>
    </cfRule>
  </conditionalFormatting>
  <conditionalFormatting sqref="V1366">
    <cfRule type="expression" dxfId="3405" priority="2233">
      <formula>$H1366="Cash"</formula>
    </cfRule>
  </conditionalFormatting>
  <conditionalFormatting sqref="V1366">
    <cfRule type="expression" dxfId="3404" priority="2232">
      <formula>$O1366="Applicant Signatures"</formula>
    </cfRule>
  </conditionalFormatting>
  <conditionalFormatting sqref="Q1366">
    <cfRule type="expression" dxfId="3403" priority="2231">
      <formula>#REF!="Cash"</formula>
    </cfRule>
  </conditionalFormatting>
  <conditionalFormatting sqref="Q1366">
    <cfRule type="expression" dxfId="3402" priority="2230">
      <formula>#REF!="Applicant Signatures"</formula>
    </cfRule>
  </conditionalFormatting>
  <conditionalFormatting sqref="A1366">
    <cfRule type="expression" dxfId="3401" priority="2229">
      <formula>$H1366="Cash"</formula>
    </cfRule>
  </conditionalFormatting>
  <conditionalFormatting sqref="A1366">
    <cfRule type="expression" dxfId="3400" priority="2228">
      <formula>$O1366="Applicant Signatures"</formula>
    </cfRule>
  </conditionalFormatting>
  <conditionalFormatting sqref="A1366">
    <cfRule type="expression" dxfId="3399" priority="2227">
      <formula>#REF!="Cash"</formula>
    </cfRule>
  </conditionalFormatting>
  <conditionalFormatting sqref="A1366">
    <cfRule type="expression" dxfId="3398" priority="2226">
      <formula>#REF!="Applicant Signatures"</formula>
    </cfRule>
  </conditionalFormatting>
  <conditionalFormatting sqref="A1366">
    <cfRule type="expression" dxfId="3397" priority="2225">
      <formula>#REF!="Cash"</formula>
    </cfRule>
  </conditionalFormatting>
  <conditionalFormatting sqref="A1366">
    <cfRule type="expression" dxfId="3396" priority="2224">
      <formula>#REF!="Applicant Signatures"</formula>
    </cfRule>
  </conditionalFormatting>
  <conditionalFormatting sqref="Q1366">
    <cfRule type="expression" dxfId="3395" priority="2223">
      <formula>#REF!="Cash"</formula>
    </cfRule>
  </conditionalFormatting>
  <conditionalFormatting sqref="Q1366">
    <cfRule type="expression" dxfId="3394" priority="2222">
      <formula>#REF!="Applicant Signatures"</formula>
    </cfRule>
  </conditionalFormatting>
  <conditionalFormatting sqref="A1367">
    <cfRule type="expression" dxfId="3393" priority="2219">
      <formula>$H1367="Cash"</formula>
    </cfRule>
  </conditionalFormatting>
  <conditionalFormatting sqref="A1367">
    <cfRule type="expression" dxfId="3392" priority="2218">
      <formula>$O1367="Applicant Signatures"</formula>
    </cfRule>
  </conditionalFormatting>
  <conditionalFormatting sqref="Q1367">
    <cfRule type="expression" dxfId="3391" priority="2217">
      <formula>$H1367="Cash"</formula>
    </cfRule>
  </conditionalFormatting>
  <conditionalFormatting sqref="Q1367">
    <cfRule type="expression" dxfId="3390" priority="2216">
      <formula>$O1367="Applicant Signatures"</formula>
    </cfRule>
  </conditionalFormatting>
  <conditionalFormatting sqref="A1367">
    <cfRule type="expression" dxfId="3389" priority="2215">
      <formula>$H1367="Cash"</formula>
    </cfRule>
  </conditionalFormatting>
  <conditionalFormatting sqref="A1367">
    <cfRule type="expression" dxfId="3388" priority="2214">
      <formula>$O1367="Applicant Signatures"</formula>
    </cfRule>
  </conditionalFormatting>
  <conditionalFormatting sqref="Q1367">
    <cfRule type="expression" dxfId="3387" priority="2213">
      <formula>$H1367="Cash"</formula>
    </cfRule>
  </conditionalFormatting>
  <conditionalFormatting sqref="Q1367">
    <cfRule type="expression" dxfId="3386" priority="2212">
      <formula>$O1367="Applicant Signatures"</formula>
    </cfRule>
  </conditionalFormatting>
  <conditionalFormatting sqref="R1367">
    <cfRule type="expression" dxfId="3385" priority="2211">
      <formula>$H1367="Cash"</formula>
    </cfRule>
  </conditionalFormatting>
  <conditionalFormatting sqref="V1367">
    <cfRule type="expression" dxfId="3384" priority="2210">
      <formula>$H1367="Cash"</formula>
    </cfRule>
  </conditionalFormatting>
  <conditionalFormatting sqref="T1367 O1367">
    <cfRule type="expression" dxfId="3383" priority="2209">
      <formula>$H1367="Cash"</formula>
    </cfRule>
  </conditionalFormatting>
  <conditionalFormatting sqref="B1367 S1367:U1367 Y1367:Z1367 W1367 D1367:P1367">
    <cfRule type="expression" dxfId="3382" priority="2208">
      <formula>$O1367="Applicant Signatures"</formula>
    </cfRule>
  </conditionalFormatting>
  <conditionalFormatting sqref="B1367 S1367:U1367 W1367 D1367:P1367">
    <cfRule type="expression" dxfId="3381" priority="2207">
      <formula>$H1367="Cash"</formula>
    </cfRule>
  </conditionalFormatting>
  <conditionalFormatting sqref="B1367 S1367:U1367 Y1367:Z1367 W1367 D1367:P1367">
    <cfRule type="expression" dxfId="3380" priority="2206">
      <formula>$O1367="Applicant Signatures"</formula>
    </cfRule>
  </conditionalFormatting>
  <conditionalFormatting sqref="V1367">
    <cfRule type="expression" dxfId="3379" priority="2205">
      <formula>$O1367="Applicant Signatures"</formula>
    </cfRule>
  </conditionalFormatting>
  <conditionalFormatting sqref="V1367">
    <cfRule type="expression" dxfId="3378" priority="2204">
      <formula>$H1367="Cash"</formula>
    </cfRule>
  </conditionalFormatting>
  <conditionalFormatting sqref="V1367">
    <cfRule type="expression" dxfId="3377" priority="2203">
      <formula>$O1367="Applicant Signatures"</formula>
    </cfRule>
  </conditionalFormatting>
  <conditionalFormatting sqref="X1367">
    <cfRule type="expression" dxfId="3376" priority="2202">
      <formula>$H1367="Cash"</formula>
    </cfRule>
  </conditionalFormatting>
  <conditionalFormatting sqref="X1367">
    <cfRule type="expression" dxfId="3375" priority="2201">
      <formula>$H1367="Cash"</formula>
    </cfRule>
  </conditionalFormatting>
  <conditionalFormatting sqref="X1367">
    <cfRule type="expression" dxfId="3374" priority="2200">
      <formula>$H1367="Cash"</formula>
    </cfRule>
  </conditionalFormatting>
  <conditionalFormatting sqref="X1367">
    <cfRule type="expression" dxfId="3373" priority="2199">
      <formula>$O1367="Applicant Signatures"</formula>
    </cfRule>
  </conditionalFormatting>
  <conditionalFormatting sqref="X1367">
    <cfRule type="expression" dxfId="3372" priority="2198">
      <formula>$H1367="Cash"</formula>
    </cfRule>
  </conditionalFormatting>
  <conditionalFormatting sqref="X1367">
    <cfRule type="expression" dxfId="3371" priority="2197">
      <formula>$O1367="Applicant Signatures"</formula>
    </cfRule>
  </conditionalFormatting>
  <conditionalFormatting sqref="R1367">
    <cfRule type="expression" dxfId="3370" priority="2196">
      <formula>$O1367="Applicant Signatures"</formula>
    </cfRule>
  </conditionalFormatting>
  <conditionalFormatting sqref="X1349">
    <cfRule type="expression" dxfId="3369" priority="2191">
      <formula>$H1349="Cash"</formula>
    </cfRule>
  </conditionalFormatting>
  <conditionalFormatting sqref="X1349">
    <cfRule type="expression" dxfId="3368" priority="2190">
      <formula>$H1349="Cash"</formula>
    </cfRule>
  </conditionalFormatting>
  <conditionalFormatting sqref="X1349">
    <cfRule type="expression" dxfId="3367" priority="2189">
      <formula>$H1349="Cash"</formula>
    </cfRule>
  </conditionalFormatting>
  <conditionalFormatting sqref="X1349">
    <cfRule type="expression" dxfId="3366" priority="2188">
      <formula>$O1349="Applicant Signatures"</formula>
    </cfRule>
  </conditionalFormatting>
  <conditionalFormatting sqref="X1349">
    <cfRule type="expression" dxfId="3365" priority="2187">
      <formula>$H1349="Cash"</formula>
    </cfRule>
  </conditionalFormatting>
  <conditionalFormatting sqref="X1349">
    <cfRule type="expression" dxfId="3364" priority="2186">
      <formula>$O1349="Applicant Signatures"</formula>
    </cfRule>
  </conditionalFormatting>
  <conditionalFormatting sqref="X1368:X1369 X1371:X1372">
    <cfRule type="expression" dxfId="3363" priority="2185">
      <formula>$H1368="Cash"</formula>
    </cfRule>
  </conditionalFormatting>
  <conditionalFormatting sqref="X1368:X1369 X1371:X1372">
    <cfRule type="expression" dxfId="3362" priority="2184">
      <formula>$H1368="Cash"</formula>
    </cfRule>
  </conditionalFormatting>
  <conditionalFormatting sqref="X1368:X1369 X1371:X1372">
    <cfRule type="expression" dxfId="3361" priority="2183">
      <formula>$H1368="Cash"</formula>
    </cfRule>
  </conditionalFormatting>
  <conditionalFormatting sqref="X1368:X1369 X1371:X1372">
    <cfRule type="expression" dxfId="3360" priority="2182">
      <formula>$O1368="Applicant Signatures"</formula>
    </cfRule>
  </conditionalFormatting>
  <conditionalFormatting sqref="X1368:X1369 X1371:X1372">
    <cfRule type="expression" dxfId="3359" priority="2181">
      <formula>$H1368="Cash"</formula>
    </cfRule>
  </conditionalFormatting>
  <conditionalFormatting sqref="X1368:X1369 X1371:X1372">
    <cfRule type="expression" dxfId="3358" priority="2180">
      <formula>$O1368="Applicant Signatures"</formula>
    </cfRule>
  </conditionalFormatting>
  <conditionalFormatting sqref="Q1368:Q1372">
    <cfRule type="expression" dxfId="3357" priority="2179">
      <formula>$H1368="Cash"</formula>
    </cfRule>
  </conditionalFormatting>
  <conditionalFormatting sqref="Q1368:Q1372">
    <cfRule type="expression" dxfId="3356" priority="2178">
      <formula>$O1368="Applicant Signatures"</formula>
    </cfRule>
  </conditionalFormatting>
  <conditionalFormatting sqref="R1368:R1372">
    <cfRule type="expression" dxfId="3355" priority="2177">
      <formula>$H1368="Cash"</formula>
    </cfRule>
  </conditionalFormatting>
  <conditionalFormatting sqref="T1371 O1368:O1372">
    <cfRule type="expression" dxfId="3354" priority="2176">
      <formula>$H1368="Cash"</formula>
    </cfRule>
  </conditionalFormatting>
  <conditionalFormatting sqref="S1371:U1371 Y1368:Z1372 W1368:W1372 B1368:P1372 S1368:S1370 U1368:U1370 S1372 U1372 AB1368:AB1372">
    <cfRule type="expression" dxfId="3353" priority="2175">
      <formula>$O1368="Applicant Signatures"</formula>
    </cfRule>
  </conditionalFormatting>
  <conditionalFormatting sqref="S1371:U1371 W1368:W1372 B1368:P1372 S1368:S1370 U1368:U1370 S1372 U1372">
    <cfRule type="expression" dxfId="3352" priority="2174">
      <formula>$H1368="Cash"</formula>
    </cfRule>
  </conditionalFormatting>
  <conditionalFormatting sqref="S1371:U1371 Y1368:Z1372 W1368:W1372 B1368:P1372 S1368:S1370 U1368:U1370 S1372 U1372 AB1368:AB1372">
    <cfRule type="expression" dxfId="3351" priority="2173">
      <formula>$O1368="Applicant Signatures"</formula>
    </cfRule>
  </conditionalFormatting>
  <conditionalFormatting sqref="R1368:R1372">
    <cfRule type="expression" dxfId="3350" priority="2172">
      <formula>$O1368="Applicant Signatures"</formula>
    </cfRule>
  </conditionalFormatting>
  <conditionalFormatting sqref="V1368:V1369 V1371:V1372">
    <cfRule type="expression" dxfId="3349" priority="2171">
      <formula>$H1368="Cash"</formula>
    </cfRule>
  </conditionalFormatting>
  <conditionalFormatting sqref="V1368:V1369 V1371:V1372">
    <cfRule type="expression" dxfId="3348" priority="2170">
      <formula>$O1368="Applicant Signatures"</formula>
    </cfRule>
  </conditionalFormatting>
  <conditionalFormatting sqref="Q1368:Q1372">
    <cfRule type="expression" dxfId="3347" priority="2169">
      <formula>#REF!="Cash"</formula>
    </cfRule>
  </conditionalFormatting>
  <conditionalFormatting sqref="Q1368:Q1372">
    <cfRule type="expression" dxfId="3346" priority="2168">
      <formula>#REF!="Applicant Signatures"</formula>
    </cfRule>
  </conditionalFormatting>
  <conditionalFormatting sqref="A1368:A1372">
    <cfRule type="expression" dxfId="3345" priority="2167">
      <formula>$H1368="Cash"</formula>
    </cfRule>
  </conditionalFormatting>
  <conditionalFormatting sqref="A1368:A1372">
    <cfRule type="expression" dxfId="3344" priority="2166">
      <formula>$O1368="Applicant Signatures"</formula>
    </cfRule>
  </conditionalFormatting>
  <conditionalFormatting sqref="A1368:A1372">
    <cfRule type="expression" dxfId="3343" priority="2165">
      <formula>#REF!="Cash"</formula>
    </cfRule>
  </conditionalFormatting>
  <conditionalFormatting sqref="A1368:A1372">
    <cfRule type="expression" dxfId="3342" priority="2164">
      <formula>#REF!="Applicant Signatures"</formula>
    </cfRule>
  </conditionalFormatting>
  <conditionalFormatting sqref="A1368:A1372">
    <cfRule type="expression" dxfId="3341" priority="2163">
      <formula>#REF!="Cash"</formula>
    </cfRule>
  </conditionalFormatting>
  <conditionalFormatting sqref="A1368:A1372">
    <cfRule type="expression" dxfId="3340" priority="2162">
      <formula>#REF!="Applicant Signatures"</formula>
    </cfRule>
  </conditionalFormatting>
  <conditionalFormatting sqref="Q1368:Q1372">
    <cfRule type="expression" dxfId="3339" priority="2161">
      <formula>#REF!="Cash"</formula>
    </cfRule>
  </conditionalFormatting>
  <conditionalFormatting sqref="Q1368:Q1372">
    <cfRule type="expression" dxfId="3338" priority="2160">
      <formula>#REF!="Applicant Signatures"</formula>
    </cfRule>
  </conditionalFormatting>
  <conditionalFormatting sqref="X1373">
    <cfRule type="expression" dxfId="3337" priority="2130">
      <formula>$H1373="Cash"</formula>
    </cfRule>
  </conditionalFormatting>
  <conditionalFormatting sqref="X1373">
    <cfRule type="expression" dxfId="3336" priority="2129">
      <formula>$H1373="Cash"</formula>
    </cfRule>
  </conditionalFormatting>
  <conditionalFormatting sqref="X1373">
    <cfRule type="expression" dxfId="3335" priority="2128">
      <formula>$H1373="Cash"</formula>
    </cfRule>
  </conditionalFormatting>
  <conditionalFormatting sqref="X1373">
    <cfRule type="expression" dxfId="3334" priority="2127">
      <formula>$O1373="Applicant Signatures"</formula>
    </cfRule>
  </conditionalFormatting>
  <conditionalFormatting sqref="X1373">
    <cfRule type="expression" dxfId="3333" priority="2126">
      <formula>$H1373="Cash"</formula>
    </cfRule>
  </conditionalFormatting>
  <conditionalFormatting sqref="X1373">
    <cfRule type="expression" dxfId="3332" priority="2125">
      <formula>$O1373="Applicant Signatures"</formula>
    </cfRule>
  </conditionalFormatting>
  <conditionalFormatting sqref="Q1373">
    <cfRule type="expression" dxfId="3331" priority="2124">
      <formula>$H1373="Cash"</formula>
    </cfRule>
  </conditionalFormatting>
  <conditionalFormatting sqref="Q1373">
    <cfRule type="expression" dxfId="3330" priority="2123">
      <formula>$O1373="Applicant Signatures"</formula>
    </cfRule>
  </conditionalFormatting>
  <conditionalFormatting sqref="T1373 O1373">
    <cfRule type="expression" dxfId="3329" priority="2121">
      <formula>$H1373="Cash"</formula>
    </cfRule>
  </conditionalFormatting>
  <conditionalFormatting sqref="S1373:U1373 Y1373:Z1373 W1373 B1373:P1373 AB1373">
    <cfRule type="expression" dxfId="3328" priority="2120">
      <formula>$O1373="Applicant Signatures"</formula>
    </cfRule>
  </conditionalFormatting>
  <conditionalFormatting sqref="S1373:U1373 W1373 B1373:P1373">
    <cfRule type="expression" dxfId="3327" priority="2119">
      <formula>$H1373="Cash"</formula>
    </cfRule>
  </conditionalFormatting>
  <conditionalFormatting sqref="S1373:U1373 Y1373:Z1373 W1373 B1373:P1373 AB1373">
    <cfRule type="expression" dxfId="3326" priority="2118">
      <formula>$O1373="Applicant Signatures"</formula>
    </cfRule>
  </conditionalFormatting>
  <conditionalFormatting sqref="V1373">
    <cfRule type="expression" dxfId="3325" priority="2116">
      <formula>$H1373="Cash"</formula>
    </cfRule>
  </conditionalFormatting>
  <conditionalFormatting sqref="V1373">
    <cfRule type="expression" dxfId="3324" priority="2115">
      <formula>$O1373="Applicant Signatures"</formula>
    </cfRule>
  </conditionalFormatting>
  <conditionalFormatting sqref="Q1373">
    <cfRule type="expression" dxfId="3323" priority="2114">
      <formula>#REF!="Cash"</formula>
    </cfRule>
  </conditionalFormatting>
  <conditionalFormatting sqref="Q1373">
    <cfRule type="expression" dxfId="3322" priority="2113">
      <formula>#REF!="Applicant Signatures"</formula>
    </cfRule>
  </conditionalFormatting>
  <conditionalFormatting sqref="A1373">
    <cfRule type="expression" dxfId="3321" priority="2112">
      <formula>$H1373="Cash"</formula>
    </cfRule>
  </conditionalFormatting>
  <conditionalFormatting sqref="A1373">
    <cfRule type="expression" dxfId="3320" priority="2111">
      <formula>$O1373="Applicant Signatures"</formula>
    </cfRule>
  </conditionalFormatting>
  <conditionalFormatting sqref="A1373">
    <cfRule type="expression" dxfId="3319" priority="2110">
      <formula>#REF!="Cash"</formula>
    </cfRule>
  </conditionalFormatting>
  <conditionalFormatting sqref="A1373">
    <cfRule type="expression" dxfId="3318" priority="2109">
      <formula>#REF!="Applicant Signatures"</formula>
    </cfRule>
  </conditionalFormatting>
  <conditionalFormatting sqref="A1373">
    <cfRule type="expression" dxfId="3317" priority="2108">
      <formula>#REF!="Cash"</formula>
    </cfRule>
  </conditionalFormatting>
  <conditionalFormatting sqref="A1373">
    <cfRule type="expression" dxfId="3316" priority="2107">
      <formula>#REF!="Applicant Signatures"</formula>
    </cfRule>
  </conditionalFormatting>
  <conditionalFormatting sqref="Q1373">
    <cfRule type="expression" dxfId="3315" priority="2106">
      <formula>#REF!="Cash"</formula>
    </cfRule>
  </conditionalFormatting>
  <conditionalFormatting sqref="Q1373">
    <cfRule type="expression" dxfId="3314" priority="2105">
      <formula>#REF!="Applicant Signatures"</formula>
    </cfRule>
  </conditionalFormatting>
  <conditionalFormatting sqref="V1355">
    <cfRule type="expression" dxfId="3313" priority="2104">
      <formula>$O1355="Applicant Signatures"</formula>
    </cfRule>
  </conditionalFormatting>
  <conditionalFormatting sqref="V1355">
    <cfRule type="expression" dxfId="3312" priority="2103">
      <formula>$H1355="Cash"</formula>
    </cfRule>
  </conditionalFormatting>
  <conditionalFormatting sqref="V1355">
    <cfRule type="expression" dxfId="3311" priority="2102">
      <formula>$O1355="Applicant Signatures"</formula>
    </cfRule>
  </conditionalFormatting>
  <conditionalFormatting sqref="Q1374">
    <cfRule type="expression" dxfId="3310" priority="2089">
      <formula>$H1374="Cash"</formula>
    </cfRule>
  </conditionalFormatting>
  <conditionalFormatting sqref="Q1374">
    <cfRule type="expression" dxfId="3309" priority="2088">
      <formula>$O1374="Applicant Signatures"</formula>
    </cfRule>
  </conditionalFormatting>
  <conditionalFormatting sqref="R1374">
    <cfRule type="expression" dxfId="3308" priority="2087">
      <formula>$H1374="Cash"</formula>
    </cfRule>
  </conditionalFormatting>
  <conditionalFormatting sqref="T1374 O1374">
    <cfRule type="expression" dxfId="3307" priority="2086">
      <formula>$H1374="Cash"</formula>
    </cfRule>
  </conditionalFormatting>
  <conditionalFormatting sqref="S1374:U1374 Y1374:Z1374 W1374 B1374:P1374 AB1374">
    <cfRule type="expression" dxfId="3306" priority="2085">
      <formula>$O1374="Applicant Signatures"</formula>
    </cfRule>
  </conditionalFormatting>
  <conditionalFormatting sqref="S1374:U1374 W1374 B1374:P1374">
    <cfRule type="expression" dxfId="3305" priority="2084">
      <formula>$H1374="Cash"</formula>
    </cfRule>
  </conditionalFormatting>
  <conditionalFormatting sqref="S1374:U1374 Y1374:Z1374 W1374 B1374:P1374 AB1374">
    <cfRule type="expression" dxfId="3304" priority="2083">
      <formula>$O1374="Applicant Signatures"</formula>
    </cfRule>
  </conditionalFormatting>
  <conditionalFormatting sqref="R1374">
    <cfRule type="expression" dxfId="3303" priority="2082">
      <formula>$O1374="Applicant Signatures"</formula>
    </cfRule>
  </conditionalFormatting>
  <conditionalFormatting sqref="V1374">
    <cfRule type="expression" dxfId="3302" priority="2081">
      <formula>$H1374="Cash"</formula>
    </cfRule>
  </conditionalFormatting>
  <conditionalFormatting sqref="V1374">
    <cfRule type="expression" dxfId="3301" priority="2080">
      <formula>$O1374="Applicant Signatures"</formula>
    </cfRule>
  </conditionalFormatting>
  <conditionalFormatting sqref="Q1374">
    <cfRule type="expression" dxfId="3300" priority="2079">
      <formula>#REF!="Cash"</formula>
    </cfRule>
  </conditionalFormatting>
  <conditionalFormatting sqref="Q1374">
    <cfRule type="expression" dxfId="3299" priority="2078">
      <formula>#REF!="Applicant Signatures"</formula>
    </cfRule>
  </conditionalFormatting>
  <conditionalFormatting sqref="A1374">
    <cfRule type="expression" dxfId="3298" priority="2077">
      <formula>$H1374="Cash"</formula>
    </cfRule>
  </conditionalFormatting>
  <conditionalFormatting sqref="A1374">
    <cfRule type="expression" dxfId="3297" priority="2076">
      <formula>$O1374="Applicant Signatures"</formula>
    </cfRule>
  </conditionalFormatting>
  <conditionalFormatting sqref="A1374">
    <cfRule type="expression" dxfId="3296" priority="2075">
      <formula>#REF!="Cash"</formula>
    </cfRule>
  </conditionalFormatting>
  <conditionalFormatting sqref="A1374">
    <cfRule type="expression" dxfId="3295" priority="2074">
      <formula>#REF!="Applicant Signatures"</formula>
    </cfRule>
  </conditionalFormatting>
  <conditionalFormatting sqref="A1374">
    <cfRule type="expression" dxfId="3294" priority="2073">
      <formula>#REF!="Cash"</formula>
    </cfRule>
  </conditionalFormatting>
  <conditionalFormatting sqref="A1374">
    <cfRule type="expression" dxfId="3293" priority="2072">
      <formula>#REF!="Applicant Signatures"</formula>
    </cfRule>
  </conditionalFormatting>
  <conditionalFormatting sqref="Q1374">
    <cfRule type="expression" dxfId="3292" priority="2071">
      <formula>#REF!="Cash"</formula>
    </cfRule>
  </conditionalFormatting>
  <conditionalFormatting sqref="Q1374">
    <cfRule type="expression" dxfId="3291" priority="2070">
      <formula>#REF!="Applicant Signatures"</formula>
    </cfRule>
  </conditionalFormatting>
  <conditionalFormatting sqref="X1375">
    <cfRule type="expression" dxfId="3290" priority="2043">
      <formula>$H1375="Cash"</formula>
    </cfRule>
  </conditionalFormatting>
  <conditionalFormatting sqref="X1375">
    <cfRule type="expression" dxfId="3289" priority="2042">
      <formula>$H1375="Cash"</formula>
    </cfRule>
  </conditionalFormatting>
  <conditionalFormatting sqref="X1375">
    <cfRule type="expression" dxfId="3288" priority="2041">
      <formula>$H1375="Cash"</formula>
    </cfRule>
  </conditionalFormatting>
  <conditionalFormatting sqref="X1375">
    <cfRule type="expression" dxfId="3287" priority="2040">
      <formula>$O1375="Applicant Signatures"</formula>
    </cfRule>
  </conditionalFormatting>
  <conditionalFormatting sqref="X1375">
    <cfRule type="expression" dxfId="3286" priority="2039">
      <formula>$H1375="Cash"</formula>
    </cfRule>
  </conditionalFormatting>
  <conditionalFormatting sqref="X1375">
    <cfRule type="expression" dxfId="3285" priority="2038">
      <formula>$O1375="Applicant Signatures"</formula>
    </cfRule>
  </conditionalFormatting>
  <conditionalFormatting sqref="Q1375">
    <cfRule type="expression" dxfId="3284" priority="2037">
      <formula>$H1375="Cash"</formula>
    </cfRule>
  </conditionalFormatting>
  <conditionalFormatting sqref="Q1375">
    <cfRule type="expression" dxfId="3283" priority="2036">
      <formula>$O1375="Applicant Signatures"</formula>
    </cfRule>
  </conditionalFormatting>
  <conditionalFormatting sqref="R1375">
    <cfRule type="expression" dxfId="3282" priority="2035">
      <formula>$H1375="Cash"</formula>
    </cfRule>
  </conditionalFormatting>
  <conditionalFormatting sqref="O1375">
    <cfRule type="expression" dxfId="3281" priority="2034">
      <formula>$H1375="Cash"</formula>
    </cfRule>
  </conditionalFormatting>
  <conditionalFormatting sqref="S1375 Y1375:Z1375 W1375 B1375:P1375 U1375 AB1375">
    <cfRule type="expression" dxfId="3280" priority="2033">
      <formula>$O1375="Applicant Signatures"</formula>
    </cfRule>
  </conditionalFormatting>
  <conditionalFormatting sqref="S1375 W1375 B1375:P1375 U1375">
    <cfRule type="expression" dxfId="3279" priority="2032">
      <formula>$H1375="Cash"</formula>
    </cfRule>
  </conditionalFormatting>
  <conditionalFormatting sqref="S1375 Y1375:Z1375 W1375 B1375:P1375 U1375 AB1375">
    <cfRule type="expression" dxfId="3278" priority="2031">
      <formula>$O1375="Applicant Signatures"</formula>
    </cfRule>
  </conditionalFormatting>
  <conditionalFormatting sqref="R1375">
    <cfRule type="expression" dxfId="3277" priority="2030">
      <formula>$O1375="Applicant Signatures"</formula>
    </cfRule>
  </conditionalFormatting>
  <conditionalFormatting sqref="V1375">
    <cfRule type="expression" dxfId="3276" priority="2029">
      <formula>$H1375="Cash"</formula>
    </cfRule>
  </conditionalFormatting>
  <conditionalFormatting sqref="V1375">
    <cfRule type="expression" dxfId="3275" priority="2028">
      <formula>$O1375="Applicant Signatures"</formula>
    </cfRule>
  </conditionalFormatting>
  <conditionalFormatting sqref="Q1375">
    <cfRule type="expression" dxfId="3274" priority="2027">
      <formula>#REF!="Cash"</formula>
    </cfRule>
  </conditionalFormatting>
  <conditionalFormatting sqref="Q1375">
    <cfRule type="expression" dxfId="3273" priority="2026">
      <formula>#REF!="Applicant Signatures"</formula>
    </cfRule>
  </conditionalFormatting>
  <conditionalFormatting sqref="A1375">
    <cfRule type="expression" dxfId="3272" priority="2025">
      <formula>$H1375="Cash"</formula>
    </cfRule>
  </conditionalFormatting>
  <conditionalFormatting sqref="A1375">
    <cfRule type="expression" dxfId="3271" priority="2024">
      <formula>$O1375="Applicant Signatures"</formula>
    </cfRule>
  </conditionalFormatting>
  <conditionalFormatting sqref="A1375">
    <cfRule type="expression" dxfId="3270" priority="2023">
      <formula>#REF!="Cash"</formula>
    </cfRule>
  </conditionalFormatting>
  <conditionalFormatting sqref="A1375">
    <cfRule type="expression" dxfId="3269" priority="2022">
      <formula>#REF!="Applicant Signatures"</formula>
    </cfRule>
  </conditionalFormatting>
  <conditionalFormatting sqref="A1375">
    <cfRule type="expression" dxfId="3268" priority="2021">
      <formula>#REF!="Cash"</formula>
    </cfRule>
  </conditionalFormatting>
  <conditionalFormatting sqref="A1375">
    <cfRule type="expression" dxfId="3267" priority="2020">
      <formula>#REF!="Applicant Signatures"</formula>
    </cfRule>
  </conditionalFormatting>
  <conditionalFormatting sqref="Q1375">
    <cfRule type="expression" dxfId="3266" priority="2019">
      <formula>#REF!="Cash"</formula>
    </cfRule>
  </conditionalFormatting>
  <conditionalFormatting sqref="Q1375">
    <cfRule type="expression" dxfId="3265" priority="2018">
      <formula>#REF!="Applicant Signatures"</formula>
    </cfRule>
  </conditionalFormatting>
  <conditionalFormatting sqref="T1376">
    <cfRule type="expression" dxfId="3264" priority="2017">
      <formula>$H1376="Cash"</formula>
    </cfRule>
  </conditionalFormatting>
  <conditionalFormatting sqref="A1376">
    <cfRule type="expression" dxfId="3263" priority="2016">
      <formula>$H1376="Cash"</formula>
    </cfRule>
  </conditionalFormatting>
  <conditionalFormatting sqref="A1376">
    <cfRule type="expression" dxfId="3262" priority="2015">
      <formula>$O1376="Applicant Signatures"</formula>
    </cfRule>
  </conditionalFormatting>
  <conditionalFormatting sqref="Q1376">
    <cfRule type="expression" dxfId="3261" priority="2014">
      <formula>$H1376="Cash"</formula>
    </cfRule>
  </conditionalFormatting>
  <conditionalFormatting sqref="Q1376">
    <cfRule type="expression" dxfId="3260" priority="2013">
      <formula>$O1376="Applicant Signatures"</formula>
    </cfRule>
  </conditionalFormatting>
  <conditionalFormatting sqref="A1376">
    <cfRule type="expression" dxfId="3259" priority="2012">
      <formula>$H1376="Cash"</formula>
    </cfRule>
  </conditionalFormatting>
  <conditionalFormatting sqref="A1376">
    <cfRule type="expression" dxfId="3258" priority="2011">
      <formula>$O1376="Applicant Signatures"</formula>
    </cfRule>
  </conditionalFormatting>
  <conditionalFormatting sqref="Q1376">
    <cfRule type="expression" dxfId="3257" priority="2010">
      <formula>$H1376="Cash"</formula>
    </cfRule>
  </conditionalFormatting>
  <conditionalFormatting sqref="Q1376">
    <cfRule type="expression" dxfId="3256" priority="2009">
      <formula>$O1376="Applicant Signatures"</formula>
    </cfRule>
  </conditionalFormatting>
  <conditionalFormatting sqref="R1376">
    <cfRule type="expression" dxfId="3255" priority="2008">
      <formula>$H1376="Cash"</formula>
    </cfRule>
  </conditionalFormatting>
  <conditionalFormatting sqref="V1376">
    <cfRule type="expression" dxfId="3254" priority="2007">
      <formula>$H1376="Cash"</formula>
    </cfRule>
  </conditionalFormatting>
  <conditionalFormatting sqref="O1376">
    <cfRule type="expression" dxfId="3253" priority="2006">
      <formula>$H1376="Cash"</formula>
    </cfRule>
  </conditionalFormatting>
  <conditionalFormatting sqref="B1376:P1376 S1376 Y1376:Z1376 W1376 U1376">
    <cfRule type="expression" dxfId="3252" priority="2005">
      <formula>$O1376="Applicant Signatures"</formula>
    </cfRule>
  </conditionalFormatting>
  <conditionalFormatting sqref="B1376:P1376 S1376 W1376 U1376">
    <cfRule type="expression" dxfId="3251" priority="2004">
      <formula>$H1376="Cash"</formula>
    </cfRule>
  </conditionalFormatting>
  <conditionalFormatting sqref="B1376:P1376 S1376 Y1376:Z1376 W1376 U1376">
    <cfRule type="expression" dxfId="3250" priority="2003">
      <formula>$O1376="Applicant Signatures"</formula>
    </cfRule>
  </conditionalFormatting>
  <conditionalFormatting sqref="V1376">
    <cfRule type="expression" dxfId="3249" priority="2002">
      <formula>$O1376="Applicant Signatures"</formula>
    </cfRule>
  </conditionalFormatting>
  <conditionalFormatting sqref="V1376">
    <cfRule type="expression" dxfId="3248" priority="2001">
      <formula>$H1376="Cash"</formula>
    </cfRule>
  </conditionalFormatting>
  <conditionalFormatting sqref="V1376">
    <cfRule type="expression" dxfId="3247" priority="2000">
      <formula>$O1376="Applicant Signatures"</formula>
    </cfRule>
  </conditionalFormatting>
  <conditionalFormatting sqref="X1376">
    <cfRule type="expression" dxfId="3246" priority="1999">
      <formula>$H1376="Cash"</formula>
    </cfRule>
  </conditionalFormatting>
  <conditionalFormatting sqref="X1376">
    <cfRule type="expression" dxfId="3245" priority="1998">
      <formula>$H1376="Cash"</formula>
    </cfRule>
  </conditionalFormatting>
  <conditionalFormatting sqref="X1376">
    <cfRule type="expression" dxfId="3244" priority="1997">
      <formula>$H1376="Cash"</formula>
    </cfRule>
  </conditionalFormatting>
  <conditionalFormatting sqref="X1376">
    <cfRule type="expression" dxfId="3243" priority="1996">
      <formula>$O1376="Applicant Signatures"</formula>
    </cfRule>
  </conditionalFormatting>
  <conditionalFormatting sqref="X1376">
    <cfRule type="expression" dxfId="3242" priority="1995">
      <formula>$H1376="Cash"</formula>
    </cfRule>
  </conditionalFormatting>
  <conditionalFormatting sqref="X1376">
    <cfRule type="expression" dxfId="3241" priority="1994">
      <formula>$O1376="Applicant Signatures"</formula>
    </cfRule>
  </conditionalFormatting>
  <conditionalFormatting sqref="R1376">
    <cfRule type="expression" dxfId="3240" priority="1993">
      <formula>$O1376="Applicant Signatures"</formula>
    </cfRule>
  </conditionalFormatting>
  <conditionalFormatting sqref="T1376">
    <cfRule type="expression" dxfId="3239" priority="1992">
      <formula>$O1376="Applicant Signatures"</formula>
    </cfRule>
  </conditionalFormatting>
  <conditionalFormatting sqref="T1376">
    <cfRule type="expression" dxfId="3238" priority="1991">
      <formula>$H1376="Cash"</formula>
    </cfRule>
  </conditionalFormatting>
  <conditionalFormatting sqref="T1376">
    <cfRule type="expression" dxfId="3237" priority="1990">
      <formula>$O1376="Applicant Signatures"</formula>
    </cfRule>
  </conditionalFormatting>
  <conditionalFormatting sqref="AB1367">
    <cfRule type="expression" dxfId="3236" priority="1987">
      <formula>$O1367="Applicant Signatures"</formula>
    </cfRule>
  </conditionalFormatting>
  <conditionalFormatting sqref="AB1367">
    <cfRule type="expression" dxfId="3235" priority="1986">
      <formula>$O1367="Applicant Signatures"</formula>
    </cfRule>
  </conditionalFormatting>
  <conditionalFormatting sqref="AB1376">
    <cfRule type="expression" dxfId="3234" priority="1985">
      <formula>$O1376="Applicant Signatures"</formula>
    </cfRule>
  </conditionalFormatting>
  <conditionalFormatting sqref="AB1376">
    <cfRule type="expression" dxfId="3233" priority="1984">
      <formula>$O1376="Applicant Signatures"</formula>
    </cfRule>
  </conditionalFormatting>
  <conditionalFormatting sqref="T1334 T1339 T1341 T1357 T1372 T1369 T1360">
    <cfRule type="expression" dxfId="3232" priority="1923">
      <formula>$H1334="Cash"</formula>
    </cfRule>
  </conditionalFormatting>
  <conditionalFormatting sqref="T1334 T1339 T1341 T1357 T1372 T1369 T1360">
    <cfRule type="expression" dxfId="3231" priority="1922">
      <formula>$O1334="Applicant Signatures"</formula>
    </cfRule>
  </conditionalFormatting>
  <conditionalFormatting sqref="T1334 T1339 T1341 T1357 T1372 T1369 T1360">
    <cfRule type="expression" dxfId="3230" priority="1921">
      <formula>$H1334="Cash"</formula>
    </cfRule>
  </conditionalFormatting>
  <conditionalFormatting sqref="T1334 T1339 T1341 T1357 T1372 T1369 T1360">
    <cfRule type="expression" dxfId="3229" priority="1920">
      <formula>$O1334="Applicant Signatures"</formula>
    </cfRule>
  </conditionalFormatting>
  <conditionalFormatting sqref="W775:W776 W773 W715 W701 W696 W691 W689 W683">
    <cfRule type="expression" dxfId="3228" priority="1914">
      <formula>$O683="Applicant Signatures"</formula>
    </cfRule>
  </conditionalFormatting>
  <conditionalFormatting sqref="W775:W776 W773 W715 W701 W696 W691 W689 W683">
    <cfRule type="expression" dxfId="3227" priority="1913">
      <formula>$H683="Cash"</formula>
    </cfRule>
  </conditionalFormatting>
  <conditionalFormatting sqref="W775:W776 W773 W715 W701 W696 W691 W689 W683">
    <cfRule type="expression" dxfId="3226" priority="1912">
      <formula>$O683="Applicant Signatures"</formula>
    </cfRule>
  </conditionalFormatting>
  <conditionalFormatting sqref="W231">
    <cfRule type="expression" dxfId="3225" priority="1911">
      <formula>$O231="Applicant Signatures"</formula>
    </cfRule>
  </conditionalFormatting>
  <conditionalFormatting sqref="W231">
    <cfRule type="expression" dxfId="3224" priority="1910">
      <formula>$H231="Cash"</formula>
    </cfRule>
  </conditionalFormatting>
  <conditionalFormatting sqref="W231">
    <cfRule type="expression" dxfId="3223" priority="1909">
      <formula>$O231="Applicant Signatures"</formula>
    </cfRule>
  </conditionalFormatting>
  <conditionalFormatting sqref="R644">
    <cfRule type="expression" dxfId="3222" priority="1902">
      <formula>$H644="Cash"</formula>
    </cfRule>
  </conditionalFormatting>
  <conditionalFormatting sqref="R644">
    <cfRule type="expression" dxfId="3221" priority="1901">
      <formula>$O644="Applicant Signatures"</formula>
    </cfRule>
  </conditionalFormatting>
  <conditionalFormatting sqref="B1385:X1385">
    <cfRule type="expression" dxfId="3220" priority="1900">
      <formula>$H1385="Cash"</formula>
    </cfRule>
  </conditionalFormatting>
  <conditionalFormatting sqref="B1385:Z1385 AB1385">
    <cfRule type="expression" dxfId="3219" priority="1899">
      <formula>$O1385="Applicant Signatures"</formula>
    </cfRule>
  </conditionalFormatting>
  <conditionalFormatting sqref="A1385">
    <cfRule type="expression" dxfId="3218" priority="1898">
      <formula>$H1385="Cash"</formula>
    </cfRule>
  </conditionalFormatting>
  <conditionalFormatting sqref="A1385">
    <cfRule type="expression" dxfId="3217" priority="1897">
      <formula>$O1385="Applicant Signatures"</formula>
    </cfRule>
  </conditionalFormatting>
  <conditionalFormatting sqref="A1385">
    <cfRule type="expression" dxfId="3216" priority="1896">
      <formula>#REF!="Cash"</formula>
    </cfRule>
  </conditionalFormatting>
  <conditionalFormatting sqref="A1385">
    <cfRule type="expression" dxfId="3215" priority="1895">
      <formula>#REF!="Applicant Signatures"</formula>
    </cfRule>
  </conditionalFormatting>
  <conditionalFormatting sqref="A1385">
    <cfRule type="expression" dxfId="3214" priority="1894">
      <formula>#REF!="Cash"</formula>
    </cfRule>
  </conditionalFormatting>
  <conditionalFormatting sqref="A1385">
    <cfRule type="expression" dxfId="3213" priority="1893">
      <formula>#REF!="Applicant Signatures"</formula>
    </cfRule>
  </conditionalFormatting>
  <conditionalFormatting sqref="X1056">
    <cfRule type="expression" dxfId="3212" priority="1892">
      <formula>$H1056="Cash"</formula>
    </cfRule>
  </conditionalFormatting>
  <conditionalFormatting sqref="X1056">
    <cfRule type="expression" dxfId="3211" priority="1891">
      <formula>$H1056="Cash"</formula>
    </cfRule>
  </conditionalFormatting>
  <conditionalFormatting sqref="X1056">
    <cfRule type="expression" dxfId="3210" priority="1890">
      <formula>$H1056="Cash"</formula>
    </cfRule>
  </conditionalFormatting>
  <conditionalFormatting sqref="X1136">
    <cfRule type="expression" dxfId="3209" priority="1889">
      <formula>$H1136="Cash"</formula>
    </cfRule>
  </conditionalFormatting>
  <conditionalFormatting sqref="X1136">
    <cfRule type="expression" dxfId="3208" priority="1888">
      <formula>$H1136="Cash"</formula>
    </cfRule>
  </conditionalFormatting>
  <conditionalFormatting sqref="X1136">
    <cfRule type="expression" dxfId="3207" priority="1887">
      <formula>$H1136="Cash"</formula>
    </cfRule>
  </conditionalFormatting>
  <conditionalFormatting sqref="W1138 W1127 W1094 W1088 W1078 W1075 W1070 W1057">
    <cfRule type="expression" dxfId="3206" priority="1886">
      <formula>$H1057="Cash"</formula>
    </cfRule>
  </conditionalFormatting>
  <conditionalFormatting sqref="X1386 Q1386 O1386 T1386">
    <cfRule type="expression" dxfId="3205" priority="1885">
      <formula>$H1386="Cash"</formula>
    </cfRule>
  </conditionalFormatting>
  <conditionalFormatting sqref="A1386:U1386 W1386:Z1386 AB1386">
    <cfRule type="expression" dxfId="3204" priority="1884">
      <formula>$O1386="Applicant Signatures"</formula>
    </cfRule>
  </conditionalFormatting>
  <conditionalFormatting sqref="R1386">
    <cfRule type="expression" dxfId="3203" priority="1883">
      <formula>$H1386="Cash"</formula>
    </cfRule>
  </conditionalFormatting>
  <conditionalFormatting sqref="A1386:U1386 W1386:X1386">
    <cfRule type="expression" dxfId="3202" priority="1882">
      <formula>$H1386="Cash"</formula>
    </cfRule>
  </conditionalFormatting>
  <conditionalFormatting sqref="A1386:U1386 W1386:Z1386 AB1386">
    <cfRule type="expression" dxfId="3201" priority="1881">
      <formula>$O1386="Applicant Signatures"</formula>
    </cfRule>
  </conditionalFormatting>
  <conditionalFormatting sqref="R1386">
    <cfRule type="expression" dxfId="3200" priority="1880">
      <formula>$H1386="Cash"</formula>
    </cfRule>
  </conditionalFormatting>
  <conditionalFormatting sqref="V1386">
    <cfRule type="expression" dxfId="3199" priority="1879">
      <formula>$H1386="Cash"</formula>
    </cfRule>
  </conditionalFormatting>
  <conditionalFormatting sqref="V1386">
    <cfRule type="expression" dxfId="3198" priority="1878">
      <formula>$O1386="Applicant Signatures"</formula>
    </cfRule>
  </conditionalFormatting>
  <conditionalFormatting sqref="V1386">
    <cfRule type="expression" dxfId="3197" priority="1877">
      <formula>$H1386="Cash"</formula>
    </cfRule>
  </conditionalFormatting>
  <conditionalFormatting sqref="V1386">
    <cfRule type="expression" dxfId="3196" priority="1876">
      <formula>$O1386="Applicant Signatures"</formula>
    </cfRule>
  </conditionalFormatting>
  <conditionalFormatting sqref="Q1387:Q1389">
    <cfRule type="expression" dxfId="3195" priority="1874">
      <formula>#REF!="Cash"</formula>
    </cfRule>
  </conditionalFormatting>
  <conditionalFormatting sqref="Q1387:Q1389">
    <cfRule type="expression" dxfId="3194" priority="1875">
      <formula>#REF!="Applicant Signatures"</formula>
    </cfRule>
  </conditionalFormatting>
  <conditionalFormatting sqref="B1387:S1387 U1387:X1387">
    <cfRule type="expression" dxfId="3193" priority="1873">
      <formula>$H1387="Cash"</formula>
    </cfRule>
  </conditionalFormatting>
  <conditionalFormatting sqref="B1387:S1387 U1387:Z1387 AB1387">
    <cfRule type="expression" dxfId="3192" priority="1872">
      <formula>$O1387="Applicant Signatures"</formula>
    </cfRule>
  </conditionalFormatting>
  <conditionalFormatting sqref="A1387:A1389">
    <cfRule type="expression" dxfId="3191" priority="1871">
      <formula>$H1387="Cash"</formula>
    </cfRule>
  </conditionalFormatting>
  <conditionalFormatting sqref="A1387:A1389">
    <cfRule type="expression" dxfId="3190" priority="1870">
      <formula>$O1387="Applicant Signatures"</formula>
    </cfRule>
  </conditionalFormatting>
  <conditionalFormatting sqref="A1387:A1389">
    <cfRule type="expression" dxfId="3189" priority="1869">
      <formula>#REF!="Cash"</formula>
    </cfRule>
  </conditionalFormatting>
  <conditionalFormatting sqref="A1387:A1389">
    <cfRule type="expression" dxfId="3188" priority="1868">
      <formula>#REF!="Applicant Signatures"</formula>
    </cfRule>
  </conditionalFormatting>
  <conditionalFormatting sqref="A1387:A1389">
    <cfRule type="expression" dxfId="3187" priority="1867">
      <formula>#REF!="Cash"</formula>
    </cfRule>
  </conditionalFormatting>
  <conditionalFormatting sqref="A1387:A1389">
    <cfRule type="expression" dxfId="3186" priority="1866">
      <formula>#REF!="Applicant Signatures"</formula>
    </cfRule>
  </conditionalFormatting>
  <conditionalFormatting sqref="B1388:N1388 U1388:W1388 P1388:S1388">
    <cfRule type="expression" dxfId="3185" priority="1865">
      <formula>$H1388="Cash"</formula>
    </cfRule>
  </conditionalFormatting>
  <conditionalFormatting sqref="B1388:N1388 U1388:W1388 P1388:S1388 Y1388:Z1388 AB1388">
    <cfRule type="expression" dxfId="3184" priority="1864">
      <formula>$O1388="Applicant Signatures"</formula>
    </cfRule>
  </conditionalFormatting>
  <conditionalFormatting sqref="B1389:S1389 U1389 W1389">
    <cfRule type="expression" dxfId="3183" priority="1863">
      <formula>$H1389="Cash"</formula>
    </cfRule>
  </conditionalFormatting>
  <conditionalFormatting sqref="B1389:S1389 AB1389 Y1389:Z1389 U1389 W1389">
    <cfRule type="expression" dxfId="3182" priority="1862">
      <formula>$O1389="Applicant Signatures"</formula>
    </cfRule>
  </conditionalFormatting>
  <conditionalFormatting sqref="X1339">
    <cfRule type="expression" dxfId="3181" priority="1854">
      <formula>$H1339="Cash"</formula>
    </cfRule>
  </conditionalFormatting>
  <conditionalFormatting sqref="X1339">
    <cfRule type="expression" dxfId="3180" priority="1853">
      <formula>$O1339="Applicant Signatures"</formula>
    </cfRule>
  </conditionalFormatting>
  <conditionalFormatting sqref="A1390">
    <cfRule type="expression" dxfId="3179" priority="1847">
      <formula>$H1390="Cash"</formula>
    </cfRule>
  </conditionalFormatting>
  <conditionalFormatting sqref="A1390">
    <cfRule type="expression" dxfId="3178" priority="1846">
      <formula>$O1390="Applicant Signatures"</formula>
    </cfRule>
  </conditionalFormatting>
  <conditionalFormatting sqref="Q1390">
    <cfRule type="expression" dxfId="3177" priority="1845">
      <formula>$H1390="Cash"</formula>
    </cfRule>
  </conditionalFormatting>
  <conditionalFormatting sqref="Q1390">
    <cfRule type="expression" dxfId="3176" priority="1844">
      <formula>$O1390="Applicant Signatures"</formula>
    </cfRule>
  </conditionalFormatting>
  <conditionalFormatting sqref="A1390">
    <cfRule type="expression" dxfId="3175" priority="1843">
      <formula>$H1390="Cash"</formula>
    </cfRule>
  </conditionalFormatting>
  <conditionalFormatting sqref="A1390">
    <cfRule type="expression" dxfId="3174" priority="1842">
      <formula>$O1390="Applicant Signatures"</formula>
    </cfRule>
  </conditionalFormatting>
  <conditionalFormatting sqref="Q1390">
    <cfRule type="expression" dxfId="3173" priority="1841">
      <formula>$H1390="Cash"</formula>
    </cfRule>
  </conditionalFormatting>
  <conditionalFormatting sqref="Q1390">
    <cfRule type="expression" dxfId="3172" priority="1840">
      <formula>$O1390="Applicant Signatures"</formula>
    </cfRule>
  </conditionalFormatting>
  <conditionalFormatting sqref="R1390">
    <cfRule type="expression" dxfId="3171" priority="1839">
      <formula>$H1390="Cash"</formula>
    </cfRule>
  </conditionalFormatting>
  <conditionalFormatting sqref="V1390">
    <cfRule type="expression" dxfId="3170" priority="1838">
      <formula>$H1390="Cash"</formula>
    </cfRule>
  </conditionalFormatting>
  <conditionalFormatting sqref="O1390 T1390">
    <cfRule type="expression" dxfId="3169" priority="1837">
      <formula>$H1390="Cash"</formula>
    </cfRule>
  </conditionalFormatting>
  <conditionalFormatting sqref="B1390 S1390:U1390 Y1390:Z1390 W1390 D1390:P1390">
    <cfRule type="expression" dxfId="3168" priority="1836">
      <formula>$O1390="Applicant Signatures"</formula>
    </cfRule>
  </conditionalFormatting>
  <conditionalFormatting sqref="B1390 S1390:U1390 W1390 D1390:P1390">
    <cfRule type="expression" dxfId="3167" priority="1835">
      <formula>$H1390="Cash"</formula>
    </cfRule>
  </conditionalFormatting>
  <conditionalFormatting sqref="B1390 S1390:U1390 Y1390:Z1390 W1390 D1390:P1390">
    <cfRule type="expression" dxfId="3166" priority="1834">
      <formula>$O1390="Applicant Signatures"</formula>
    </cfRule>
  </conditionalFormatting>
  <conditionalFormatting sqref="V1390">
    <cfRule type="expression" dxfId="3165" priority="1833">
      <formula>$O1390="Applicant Signatures"</formula>
    </cfRule>
  </conditionalFormatting>
  <conditionalFormatting sqref="V1390">
    <cfRule type="expression" dxfId="3164" priority="1832">
      <formula>$H1390="Cash"</formula>
    </cfRule>
  </conditionalFormatting>
  <conditionalFormatting sqref="V1390">
    <cfRule type="expression" dxfId="3163" priority="1831">
      <formula>$O1390="Applicant Signatures"</formula>
    </cfRule>
  </conditionalFormatting>
  <conditionalFormatting sqref="X1390">
    <cfRule type="expression" dxfId="3162" priority="1830">
      <formula>$H1390="Cash"</formula>
    </cfRule>
  </conditionalFormatting>
  <conditionalFormatting sqref="X1390">
    <cfRule type="expression" dxfId="3161" priority="1829">
      <formula>$H1390="Cash"</formula>
    </cfRule>
  </conditionalFormatting>
  <conditionalFormatting sqref="X1390">
    <cfRule type="expression" dxfId="3160" priority="1828">
      <formula>$H1390="Cash"</formula>
    </cfRule>
  </conditionalFormatting>
  <conditionalFormatting sqref="X1390">
    <cfRule type="expression" dxfId="3159" priority="1827">
      <formula>$O1390="Applicant Signatures"</formula>
    </cfRule>
  </conditionalFormatting>
  <conditionalFormatting sqref="X1390">
    <cfRule type="expression" dxfId="3158" priority="1826">
      <formula>$H1390="Cash"</formula>
    </cfRule>
  </conditionalFormatting>
  <conditionalFormatting sqref="X1390">
    <cfRule type="expression" dxfId="3157" priority="1825">
      <formula>$O1390="Applicant Signatures"</formula>
    </cfRule>
  </conditionalFormatting>
  <conditionalFormatting sqref="R1390">
    <cfRule type="expression" dxfId="3156" priority="1824">
      <formula>$O1390="Applicant Signatures"</formula>
    </cfRule>
  </conditionalFormatting>
  <conditionalFormatting sqref="AB1390">
    <cfRule type="expression" dxfId="3155" priority="1823">
      <formula>$O1390="Applicant Signatures"</formula>
    </cfRule>
  </conditionalFormatting>
  <conditionalFormatting sqref="AB1390">
    <cfRule type="expression" dxfId="3154" priority="1822">
      <formula>$O1390="Applicant Signatures"</formula>
    </cfRule>
  </conditionalFormatting>
  <conditionalFormatting sqref="T1391">
    <cfRule type="expression" dxfId="3153" priority="1821">
      <formula>$H1391="Cash"</formula>
    </cfRule>
  </conditionalFormatting>
  <conditionalFormatting sqref="A1391">
    <cfRule type="expression" dxfId="3152" priority="1820">
      <formula>$H1391="Cash"</formula>
    </cfRule>
  </conditionalFormatting>
  <conditionalFormatting sqref="A1391">
    <cfRule type="expression" dxfId="3151" priority="1819">
      <formula>$O1391="Applicant Signatures"</formula>
    </cfRule>
  </conditionalFormatting>
  <conditionalFormatting sqref="Q1391">
    <cfRule type="expression" dxfId="3150" priority="1818">
      <formula>$H1391="Cash"</formula>
    </cfRule>
  </conditionalFormatting>
  <conditionalFormatting sqref="Q1391">
    <cfRule type="expression" dxfId="3149" priority="1817">
      <formula>$O1391="Applicant Signatures"</formula>
    </cfRule>
  </conditionalFormatting>
  <conditionalFormatting sqref="A1391">
    <cfRule type="expression" dxfId="3148" priority="1816">
      <formula>$H1391="Cash"</formula>
    </cfRule>
  </conditionalFormatting>
  <conditionalFormatting sqref="A1391">
    <cfRule type="expression" dxfId="3147" priority="1815">
      <formula>$O1391="Applicant Signatures"</formula>
    </cfRule>
  </conditionalFormatting>
  <conditionalFormatting sqref="Q1391">
    <cfRule type="expression" dxfId="3146" priority="1814">
      <formula>$H1391="Cash"</formula>
    </cfRule>
  </conditionalFormatting>
  <conditionalFormatting sqref="Q1391">
    <cfRule type="expression" dxfId="3145" priority="1813">
      <formula>$O1391="Applicant Signatures"</formula>
    </cfRule>
  </conditionalFormatting>
  <conditionalFormatting sqref="R1391">
    <cfRule type="expression" dxfId="3144" priority="1812">
      <formula>$H1391="Cash"</formula>
    </cfRule>
  </conditionalFormatting>
  <conditionalFormatting sqref="V1391">
    <cfRule type="expression" dxfId="3143" priority="1811">
      <formula>$H1391="Cash"</formula>
    </cfRule>
  </conditionalFormatting>
  <conditionalFormatting sqref="O1391">
    <cfRule type="expression" dxfId="3142" priority="1810">
      <formula>$H1391="Cash"</formula>
    </cfRule>
  </conditionalFormatting>
  <conditionalFormatting sqref="B1391 S1391 Y1391:Z1391 W1391 U1391 D1391:P1391">
    <cfRule type="expression" dxfId="3141" priority="1809">
      <formula>$O1391="Applicant Signatures"</formula>
    </cfRule>
  </conditionalFormatting>
  <conditionalFormatting sqref="B1391 S1391 W1391 U1391 D1391:P1391">
    <cfRule type="expression" dxfId="3140" priority="1808">
      <formula>$H1391="Cash"</formula>
    </cfRule>
  </conditionalFormatting>
  <conditionalFormatting sqref="B1391 S1391 Y1391:Z1391 W1391 U1391 D1391:P1391">
    <cfRule type="expression" dxfId="3139" priority="1807">
      <formula>$O1391="Applicant Signatures"</formula>
    </cfRule>
  </conditionalFormatting>
  <conditionalFormatting sqref="V1391">
    <cfRule type="expression" dxfId="3138" priority="1806">
      <formula>$O1391="Applicant Signatures"</formula>
    </cfRule>
  </conditionalFormatting>
  <conditionalFormatting sqref="V1391">
    <cfRule type="expression" dxfId="3137" priority="1805">
      <formula>$H1391="Cash"</formula>
    </cfRule>
  </conditionalFormatting>
  <conditionalFormatting sqref="V1391">
    <cfRule type="expression" dxfId="3136" priority="1804">
      <formula>$O1391="Applicant Signatures"</formula>
    </cfRule>
  </conditionalFormatting>
  <conditionalFormatting sqref="X1391">
    <cfRule type="expression" dxfId="3135" priority="1803">
      <formula>$H1391="Cash"</formula>
    </cfRule>
  </conditionalFormatting>
  <conditionalFormatting sqref="X1391">
    <cfRule type="expression" dxfId="3134" priority="1802">
      <formula>$H1391="Cash"</formula>
    </cfRule>
  </conditionalFormatting>
  <conditionalFormatting sqref="X1391">
    <cfRule type="expression" dxfId="3133" priority="1801">
      <formula>$H1391="Cash"</formula>
    </cfRule>
  </conditionalFormatting>
  <conditionalFormatting sqref="X1391">
    <cfRule type="expression" dxfId="3132" priority="1800">
      <formula>$O1391="Applicant Signatures"</formula>
    </cfRule>
  </conditionalFormatting>
  <conditionalFormatting sqref="X1391">
    <cfRule type="expression" dxfId="3131" priority="1799">
      <formula>$H1391="Cash"</formula>
    </cfRule>
  </conditionalFormatting>
  <conditionalFormatting sqref="X1391">
    <cfRule type="expression" dxfId="3130" priority="1798">
      <formula>$O1391="Applicant Signatures"</formula>
    </cfRule>
  </conditionalFormatting>
  <conditionalFormatting sqref="R1391">
    <cfRule type="expression" dxfId="3129" priority="1797">
      <formula>$O1391="Applicant Signatures"</formula>
    </cfRule>
  </conditionalFormatting>
  <conditionalFormatting sqref="T1391">
    <cfRule type="expression" dxfId="3128" priority="1796">
      <formula>$O1391="Applicant Signatures"</formula>
    </cfRule>
  </conditionalFormatting>
  <conditionalFormatting sqref="T1391">
    <cfRule type="expression" dxfId="3127" priority="1795">
      <formula>$H1391="Cash"</formula>
    </cfRule>
  </conditionalFormatting>
  <conditionalFormatting sqref="T1391">
    <cfRule type="expression" dxfId="3126" priority="1794">
      <formula>$O1391="Applicant Signatures"</formula>
    </cfRule>
  </conditionalFormatting>
  <conditionalFormatting sqref="AB1391">
    <cfRule type="expression" dxfId="3125" priority="1793">
      <formula>$O1391="Applicant Signatures"</formula>
    </cfRule>
  </conditionalFormatting>
  <conditionalFormatting sqref="AB1391">
    <cfRule type="expression" dxfId="3124" priority="1792">
      <formula>$O1391="Applicant Signatures"</formula>
    </cfRule>
  </conditionalFormatting>
  <conditionalFormatting sqref="T1392">
    <cfRule type="expression" dxfId="3123" priority="1791">
      <formula>$H1392="Cash"</formula>
    </cfRule>
  </conditionalFormatting>
  <conditionalFormatting sqref="A1392">
    <cfRule type="expression" dxfId="3122" priority="1790">
      <formula>$H1392="Cash"</formula>
    </cfRule>
  </conditionalFormatting>
  <conditionalFormatting sqref="A1392">
    <cfRule type="expression" dxfId="3121" priority="1789">
      <formula>$O1392="Applicant Signatures"</formula>
    </cfRule>
  </conditionalFormatting>
  <conditionalFormatting sqref="Q1392">
    <cfRule type="expression" dxfId="3120" priority="1788">
      <formula>$H1392="Cash"</formula>
    </cfRule>
  </conditionalFormatting>
  <conditionalFormatting sqref="Q1392">
    <cfRule type="expression" dxfId="3119" priority="1787">
      <formula>$O1392="Applicant Signatures"</formula>
    </cfRule>
  </conditionalFormatting>
  <conditionalFormatting sqref="A1392">
    <cfRule type="expression" dxfId="3118" priority="1786">
      <formula>$H1392="Cash"</formula>
    </cfRule>
  </conditionalFormatting>
  <conditionalFormatting sqref="A1392">
    <cfRule type="expression" dxfId="3117" priority="1785">
      <formula>$O1392="Applicant Signatures"</formula>
    </cfRule>
  </conditionalFormatting>
  <conditionalFormatting sqref="Q1392">
    <cfRule type="expression" dxfId="3116" priority="1784">
      <formula>$H1392="Cash"</formula>
    </cfRule>
  </conditionalFormatting>
  <conditionalFormatting sqref="Q1392">
    <cfRule type="expression" dxfId="3115" priority="1783">
      <formula>$O1392="Applicant Signatures"</formula>
    </cfRule>
  </conditionalFormatting>
  <conditionalFormatting sqref="R1392">
    <cfRule type="expression" dxfId="3114" priority="1782">
      <formula>$H1392="Cash"</formula>
    </cfRule>
  </conditionalFormatting>
  <conditionalFormatting sqref="V1392">
    <cfRule type="expression" dxfId="3113" priority="1781">
      <formula>$H1392="Cash"</formula>
    </cfRule>
  </conditionalFormatting>
  <conditionalFormatting sqref="O1392">
    <cfRule type="expression" dxfId="3112" priority="1780">
      <formula>$H1392="Cash"</formula>
    </cfRule>
  </conditionalFormatting>
  <conditionalFormatting sqref="B1392:P1392 S1392 Y1392:Z1392 W1392 U1392">
    <cfRule type="expression" dxfId="3111" priority="1779">
      <formula>$O1392="Applicant Signatures"</formula>
    </cfRule>
  </conditionalFormatting>
  <conditionalFormatting sqref="B1392:P1392 S1392 W1392 U1392">
    <cfRule type="expression" dxfId="3110" priority="1778">
      <formula>$H1392="Cash"</formula>
    </cfRule>
  </conditionalFormatting>
  <conditionalFormatting sqref="B1392:P1392 S1392 Y1392:Z1392 W1392 U1392">
    <cfRule type="expression" dxfId="3109" priority="1777">
      <formula>$O1392="Applicant Signatures"</formula>
    </cfRule>
  </conditionalFormatting>
  <conditionalFormatting sqref="V1392">
    <cfRule type="expression" dxfId="3108" priority="1776">
      <formula>$O1392="Applicant Signatures"</formula>
    </cfRule>
  </conditionalFormatting>
  <conditionalFormatting sqref="V1392">
    <cfRule type="expression" dxfId="3107" priority="1775">
      <formula>$H1392="Cash"</formula>
    </cfRule>
  </conditionalFormatting>
  <conditionalFormatting sqref="V1392">
    <cfRule type="expression" dxfId="3106" priority="1774">
      <formula>$O1392="Applicant Signatures"</formula>
    </cfRule>
  </conditionalFormatting>
  <conditionalFormatting sqref="X1392">
    <cfRule type="expression" dxfId="3105" priority="1773">
      <formula>$H1392="Cash"</formula>
    </cfRule>
  </conditionalFormatting>
  <conditionalFormatting sqref="X1392">
    <cfRule type="expression" dxfId="3104" priority="1772">
      <formula>$H1392="Cash"</formula>
    </cfRule>
  </conditionalFormatting>
  <conditionalFormatting sqref="X1392">
    <cfRule type="expression" dxfId="3103" priority="1771">
      <formula>$H1392="Cash"</formula>
    </cfRule>
  </conditionalFormatting>
  <conditionalFormatting sqref="X1392">
    <cfRule type="expression" dxfId="3102" priority="1770">
      <formula>$O1392="Applicant Signatures"</formula>
    </cfRule>
  </conditionalFormatting>
  <conditionalFormatting sqref="X1392">
    <cfRule type="expression" dxfId="3101" priority="1769">
      <formula>$H1392="Cash"</formula>
    </cfRule>
  </conditionalFormatting>
  <conditionalFormatting sqref="X1392">
    <cfRule type="expression" dxfId="3100" priority="1768">
      <formula>$O1392="Applicant Signatures"</formula>
    </cfRule>
  </conditionalFormatting>
  <conditionalFormatting sqref="R1392">
    <cfRule type="expression" dxfId="3099" priority="1767">
      <formula>$O1392="Applicant Signatures"</formula>
    </cfRule>
  </conditionalFormatting>
  <conditionalFormatting sqref="T1392">
    <cfRule type="expression" dxfId="3098" priority="1766">
      <formula>$O1392="Applicant Signatures"</formula>
    </cfRule>
  </conditionalFormatting>
  <conditionalFormatting sqref="T1392">
    <cfRule type="expression" dxfId="3097" priority="1765">
      <formula>$H1392="Cash"</formula>
    </cfRule>
  </conditionalFormatting>
  <conditionalFormatting sqref="T1392">
    <cfRule type="expression" dxfId="3096" priority="1764">
      <formula>$O1392="Applicant Signatures"</formula>
    </cfRule>
  </conditionalFormatting>
  <conditionalFormatting sqref="AB1392">
    <cfRule type="expression" dxfId="3095" priority="1763">
      <formula>$O1392="Applicant Signatures"</formula>
    </cfRule>
  </conditionalFormatting>
  <conditionalFormatting sqref="AB1392">
    <cfRule type="expression" dxfId="3094" priority="1762">
      <formula>$O1392="Applicant Signatures"</formula>
    </cfRule>
  </conditionalFormatting>
  <conditionalFormatting sqref="T1393">
    <cfRule type="expression" dxfId="3093" priority="1761">
      <formula>$H1393="Cash"</formula>
    </cfRule>
  </conditionalFormatting>
  <conditionalFormatting sqref="A1393">
    <cfRule type="expression" dxfId="3092" priority="1760">
      <formula>$H1393="Cash"</formula>
    </cfRule>
  </conditionalFormatting>
  <conditionalFormatting sqref="A1393">
    <cfRule type="expression" dxfId="3091" priority="1759">
      <formula>$O1393="Applicant Signatures"</formula>
    </cfRule>
  </conditionalFormatting>
  <conditionalFormatting sqref="Q1393">
    <cfRule type="expression" dxfId="3090" priority="1758">
      <formula>$H1393="Cash"</formula>
    </cfRule>
  </conditionalFormatting>
  <conditionalFormatting sqref="Q1393">
    <cfRule type="expression" dxfId="3089" priority="1757">
      <formula>$O1393="Applicant Signatures"</formula>
    </cfRule>
  </conditionalFormatting>
  <conditionalFormatting sqref="A1393">
    <cfRule type="expression" dxfId="3088" priority="1756">
      <formula>$H1393="Cash"</formula>
    </cfRule>
  </conditionalFormatting>
  <conditionalFormatting sqref="A1393">
    <cfRule type="expression" dxfId="3087" priority="1755">
      <formula>$O1393="Applicant Signatures"</formula>
    </cfRule>
  </conditionalFormatting>
  <conditionalFormatting sqref="Q1393">
    <cfRule type="expression" dxfId="3086" priority="1754">
      <formula>$H1393="Cash"</formula>
    </cfRule>
  </conditionalFormatting>
  <conditionalFormatting sqref="Q1393">
    <cfRule type="expression" dxfId="3085" priority="1753">
      <formula>$O1393="Applicant Signatures"</formula>
    </cfRule>
  </conditionalFormatting>
  <conditionalFormatting sqref="R1393">
    <cfRule type="expression" dxfId="3084" priority="1752">
      <formula>$H1393="Cash"</formula>
    </cfRule>
  </conditionalFormatting>
  <conditionalFormatting sqref="V1393">
    <cfRule type="expression" dxfId="3083" priority="1751">
      <formula>$H1393="Cash"</formula>
    </cfRule>
  </conditionalFormatting>
  <conditionalFormatting sqref="O1393">
    <cfRule type="expression" dxfId="3082" priority="1750">
      <formula>$H1393="Cash"</formula>
    </cfRule>
  </conditionalFormatting>
  <conditionalFormatting sqref="B1393 S1393 Y1393:Z1393 W1393 U1393 D1393:P1393">
    <cfRule type="expression" dxfId="3081" priority="1749">
      <formula>$O1393="Applicant Signatures"</formula>
    </cfRule>
  </conditionalFormatting>
  <conditionalFormatting sqref="B1393 S1393 W1393 U1393 D1393:P1393">
    <cfRule type="expression" dxfId="3080" priority="1748">
      <formula>$H1393="Cash"</formula>
    </cfRule>
  </conditionalFormatting>
  <conditionalFormatting sqref="B1393 S1393 Y1393:Z1393 W1393 U1393 D1393:P1393">
    <cfRule type="expression" dxfId="3079" priority="1747">
      <formula>$O1393="Applicant Signatures"</formula>
    </cfRule>
  </conditionalFormatting>
  <conditionalFormatting sqref="V1393">
    <cfRule type="expression" dxfId="3078" priority="1746">
      <formula>$O1393="Applicant Signatures"</formula>
    </cfRule>
  </conditionalFormatting>
  <conditionalFormatting sqref="V1393">
    <cfRule type="expression" dxfId="3077" priority="1745">
      <formula>$H1393="Cash"</formula>
    </cfRule>
  </conditionalFormatting>
  <conditionalFormatting sqref="V1393">
    <cfRule type="expression" dxfId="3076" priority="1744">
      <formula>$O1393="Applicant Signatures"</formula>
    </cfRule>
  </conditionalFormatting>
  <conditionalFormatting sqref="X1393">
    <cfRule type="expression" dxfId="3075" priority="1743">
      <formula>$H1393="Cash"</formula>
    </cfRule>
  </conditionalFormatting>
  <conditionalFormatting sqref="X1393">
    <cfRule type="expression" dxfId="3074" priority="1742">
      <formula>$H1393="Cash"</formula>
    </cfRule>
  </conditionalFormatting>
  <conditionalFormatting sqref="X1393">
    <cfRule type="expression" dxfId="3073" priority="1741">
      <formula>$H1393="Cash"</formula>
    </cfRule>
  </conditionalFormatting>
  <conditionalFormatting sqref="X1393">
    <cfRule type="expression" dxfId="3072" priority="1740">
      <formula>$O1393="Applicant Signatures"</formula>
    </cfRule>
  </conditionalFormatting>
  <conditionalFormatting sqref="X1393">
    <cfRule type="expression" dxfId="3071" priority="1739">
      <formula>$H1393="Cash"</formula>
    </cfRule>
  </conditionalFormatting>
  <conditionalFormatting sqref="X1393">
    <cfRule type="expression" dxfId="3070" priority="1738">
      <formula>$O1393="Applicant Signatures"</formula>
    </cfRule>
  </conditionalFormatting>
  <conditionalFormatting sqref="R1393">
    <cfRule type="expression" dxfId="3069" priority="1737">
      <formula>$O1393="Applicant Signatures"</formula>
    </cfRule>
  </conditionalFormatting>
  <conditionalFormatting sqref="T1393">
    <cfRule type="expression" dxfId="3068" priority="1736">
      <formula>$O1393="Applicant Signatures"</formula>
    </cfRule>
  </conditionalFormatting>
  <conditionalFormatting sqref="T1393">
    <cfRule type="expression" dxfId="3067" priority="1735">
      <formula>$H1393="Cash"</formula>
    </cfRule>
  </conditionalFormatting>
  <conditionalFormatting sqref="T1393">
    <cfRule type="expression" dxfId="3066" priority="1734">
      <formula>$O1393="Applicant Signatures"</formula>
    </cfRule>
  </conditionalFormatting>
  <conditionalFormatting sqref="AB1393">
    <cfRule type="expression" dxfId="3065" priority="1733">
      <formula>$O1393="Applicant Signatures"</formula>
    </cfRule>
  </conditionalFormatting>
  <conditionalFormatting sqref="AB1393">
    <cfRule type="expression" dxfId="3064" priority="1732">
      <formula>$O1393="Applicant Signatures"</formula>
    </cfRule>
  </conditionalFormatting>
  <conditionalFormatting sqref="T1394">
    <cfRule type="expression" dxfId="3063" priority="1731">
      <formula>$H1394="Cash"</formula>
    </cfRule>
  </conditionalFormatting>
  <conditionalFormatting sqref="A1394">
    <cfRule type="expression" dxfId="3062" priority="1730">
      <formula>$H1394="Cash"</formula>
    </cfRule>
  </conditionalFormatting>
  <conditionalFormatting sqref="A1394">
    <cfRule type="expression" dxfId="3061" priority="1729">
      <formula>$O1394="Applicant Signatures"</formula>
    </cfRule>
  </conditionalFormatting>
  <conditionalFormatting sqref="Q1394">
    <cfRule type="expression" dxfId="3060" priority="1728">
      <formula>$H1394="Cash"</formula>
    </cfRule>
  </conditionalFormatting>
  <conditionalFormatting sqref="Q1394">
    <cfRule type="expression" dxfId="3059" priority="1727">
      <formula>$O1394="Applicant Signatures"</formula>
    </cfRule>
  </conditionalFormatting>
  <conditionalFormatting sqref="A1394">
    <cfRule type="expression" dxfId="3058" priority="1726">
      <formula>$H1394="Cash"</formula>
    </cfRule>
  </conditionalFormatting>
  <conditionalFormatting sqref="A1394">
    <cfRule type="expression" dxfId="3057" priority="1725">
      <formula>$O1394="Applicant Signatures"</formula>
    </cfRule>
  </conditionalFormatting>
  <conditionalFormatting sqref="Q1394">
    <cfRule type="expression" dxfId="3056" priority="1724">
      <formula>$H1394="Cash"</formula>
    </cfRule>
  </conditionalFormatting>
  <conditionalFormatting sqref="Q1394">
    <cfRule type="expression" dxfId="3055" priority="1723">
      <formula>$O1394="Applicant Signatures"</formula>
    </cfRule>
  </conditionalFormatting>
  <conditionalFormatting sqref="R1394">
    <cfRule type="expression" dxfId="3054" priority="1722">
      <formula>$H1394="Cash"</formula>
    </cfRule>
  </conditionalFormatting>
  <conditionalFormatting sqref="V1394">
    <cfRule type="expression" dxfId="3053" priority="1721">
      <formula>$H1394="Cash"</formula>
    </cfRule>
  </conditionalFormatting>
  <conditionalFormatting sqref="O1394">
    <cfRule type="expression" dxfId="3052" priority="1720">
      <formula>$H1394="Cash"</formula>
    </cfRule>
  </conditionalFormatting>
  <conditionalFormatting sqref="B1394 S1394 Y1394:Z1394 W1394 U1394 D1394:P1394">
    <cfRule type="expression" dxfId="3051" priority="1719">
      <formula>$O1394="Applicant Signatures"</formula>
    </cfRule>
  </conditionalFormatting>
  <conditionalFormatting sqref="B1394 S1394 W1394 U1394 D1394:P1394">
    <cfRule type="expression" dxfId="3050" priority="1718">
      <formula>$H1394="Cash"</formula>
    </cfRule>
  </conditionalFormatting>
  <conditionalFormatting sqref="B1394 S1394 Y1394:Z1394 W1394 U1394 D1394:P1394">
    <cfRule type="expression" dxfId="3049" priority="1717">
      <formula>$O1394="Applicant Signatures"</formula>
    </cfRule>
  </conditionalFormatting>
  <conditionalFormatting sqref="V1394">
    <cfRule type="expression" dxfId="3048" priority="1716">
      <formula>$O1394="Applicant Signatures"</formula>
    </cfRule>
  </conditionalFormatting>
  <conditionalFormatting sqref="V1394">
    <cfRule type="expression" dxfId="3047" priority="1715">
      <formula>$H1394="Cash"</formula>
    </cfRule>
  </conditionalFormatting>
  <conditionalFormatting sqref="V1394">
    <cfRule type="expression" dxfId="3046" priority="1714">
      <formula>$O1394="Applicant Signatures"</formula>
    </cfRule>
  </conditionalFormatting>
  <conditionalFormatting sqref="X1394">
    <cfRule type="expression" dxfId="3045" priority="1713">
      <formula>$H1394="Cash"</formula>
    </cfRule>
  </conditionalFormatting>
  <conditionalFormatting sqref="X1394">
    <cfRule type="expression" dxfId="3044" priority="1712">
      <formula>$H1394="Cash"</formula>
    </cfRule>
  </conditionalFormatting>
  <conditionalFormatting sqref="X1394">
    <cfRule type="expression" dxfId="3043" priority="1711">
      <formula>$H1394="Cash"</formula>
    </cfRule>
  </conditionalFormatting>
  <conditionalFormatting sqref="X1394">
    <cfRule type="expression" dxfId="3042" priority="1710">
      <formula>$O1394="Applicant Signatures"</formula>
    </cfRule>
  </conditionalFormatting>
  <conditionalFormatting sqref="X1394">
    <cfRule type="expression" dxfId="3041" priority="1709">
      <formula>$H1394="Cash"</formula>
    </cfRule>
  </conditionalFormatting>
  <conditionalFormatting sqref="X1394">
    <cfRule type="expression" dxfId="3040" priority="1708">
      <formula>$O1394="Applicant Signatures"</formula>
    </cfRule>
  </conditionalFormatting>
  <conditionalFormatting sqref="R1394">
    <cfRule type="expression" dxfId="3039" priority="1707">
      <formula>$O1394="Applicant Signatures"</formula>
    </cfRule>
  </conditionalFormatting>
  <conditionalFormatting sqref="T1394">
    <cfRule type="expression" dxfId="3038" priority="1706">
      <formula>$O1394="Applicant Signatures"</formula>
    </cfRule>
  </conditionalFormatting>
  <conditionalFormatting sqref="T1394">
    <cfRule type="expression" dxfId="3037" priority="1705">
      <formula>$H1394="Cash"</formula>
    </cfRule>
  </conditionalFormatting>
  <conditionalFormatting sqref="T1394">
    <cfRule type="expression" dxfId="3036" priority="1704">
      <formula>$O1394="Applicant Signatures"</formula>
    </cfRule>
  </conditionalFormatting>
  <conditionalFormatting sqref="AB1394">
    <cfRule type="expression" dxfId="3035" priority="1703">
      <formula>$O1394="Applicant Signatures"</formula>
    </cfRule>
  </conditionalFormatting>
  <conditionalFormatting sqref="AB1394">
    <cfRule type="expression" dxfId="3034" priority="1702">
      <formula>$O1394="Applicant Signatures"</formula>
    </cfRule>
  </conditionalFormatting>
  <conditionalFormatting sqref="C1314">
    <cfRule type="expression" dxfId="3033" priority="1698">
      <formula>$O1314="Applicant Signatures"</formula>
    </cfRule>
  </conditionalFormatting>
  <conditionalFormatting sqref="C1335">
    <cfRule type="expression" dxfId="3032" priority="1697">
      <formula>$O1335="Applicant Signatures"</formula>
    </cfRule>
  </conditionalFormatting>
  <conditionalFormatting sqref="C1367">
    <cfRule type="expression" dxfId="3031" priority="1696">
      <formula>$H1367="Cash"</formula>
    </cfRule>
  </conditionalFormatting>
  <conditionalFormatting sqref="C1367">
    <cfRule type="expression" dxfId="3030" priority="1695">
      <formula>$O1367="Applicant Signatures"</formula>
    </cfRule>
  </conditionalFormatting>
  <conditionalFormatting sqref="C1367">
    <cfRule type="expression" dxfId="3029" priority="1694">
      <formula>$H1367="Cash"</formula>
    </cfRule>
  </conditionalFormatting>
  <conditionalFormatting sqref="C1367">
    <cfRule type="expression" dxfId="3028" priority="1693">
      <formula>$O1367="Applicant Signatures"</formula>
    </cfRule>
  </conditionalFormatting>
  <conditionalFormatting sqref="C1367">
    <cfRule type="expression" dxfId="3027" priority="1692">
      <formula>$H1367="Cash"</formula>
    </cfRule>
  </conditionalFormatting>
  <conditionalFormatting sqref="C1390:C1391">
    <cfRule type="expression" dxfId="3026" priority="1691">
      <formula>$H1390="Cash"</formula>
    </cfRule>
  </conditionalFormatting>
  <conditionalFormatting sqref="C1390:C1391">
    <cfRule type="expression" dxfId="3025" priority="1690">
      <formula>$O1390="Applicant Signatures"</formula>
    </cfRule>
  </conditionalFormatting>
  <conditionalFormatting sqref="C1390:C1391">
    <cfRule type="expression" dxfId="3024" priority="1689">
      <formula>$H1390="Cash"</formula>
    </cfRule>
  </conditionalFormatting>
  <conditionalFormatting sqref="C1390:C1391">
    <cfRule type="expression" dxfId="3023" priority="1688">
      <formula>$O1390="Applicant Signatures"</formula>
    </cfRule>
  </conditionalFormatting>
  <conditionalFormatting sqref="C1390:C1391">
    <cfRule type="expression" dxfId="3022" priority="1687">
      <formula>$H1390="Cash"</formula>
    </cfRule>
  </conditionalFormatting>
  <conditionalFormatting sqref="C1393:C1394">
    <cfRule type="expression" dxfId="3021" priority="1686">
      <formula>$H1393="Cash"</formula>
    </cfRule>
  </conditionalFormatting>
  <conditionalFormatting sqref="C1393:C1394">
    <cfRule type="expression" dxfId="3020" priority="1685">
      <formula>$O1393="Applicant Signatures"</formula>
    </cfRule>
  </conditionalFormatting>
  <conditionalFormatting sqref="C1393:C1394">
    <cfRule type="expression" dxfId="3019" priority="1684">
      <formula>$H1393="Cash"</formula>
    </cfRule>
  </conditionalFormatting>
  <conditionalFormatting sqref="C1393:C1394">
    <cfRule type="expression" dxfId="3018" priority="1683">
      <formula>$O1393="Applicant Signatures"</formula>
    </cfRule>
  </conditionalFormatting>
  <conditionalFormatting sqref="C1393:C1394">
    <cfRule type="expression" dxfId="3017" priority="1682">
      <formula>$H1393="Cash"</formula>
    </cfRule>
  </conditionalFormatting>
  <conditionalFormatting sqref="X1395 Q1395 O1395 T1395">
    <cfRule type="expression" dxfId="3016" priority="1681">
      <formula>$H1395="Cash"</formula>
    </cfRule>
  </conditionalFormatting>
  <conditionalFormatting sqref="B1395:U1395 W1395:Z1395 AB1395">
    <cfRule type="expression" dxfId="3015" priority="1680">
      <formula>$O1395="Applicant Signatures"</formula>
    </cfRule>
  </conditionalFormatting>
  <conditionalFormatting sqref="R1395">
    <cfRule type="expression" dxfId="3014" priority="1679">
      <formula>$H1395="Cash"</formula>
    </cfRule>
  </conditionalFormatting>
  <conditionalFormatting sqref="B1395:U1395 W1395:X1395">
    <cfRule type="expression" dxfId="3013" priority="1678">
      <formula>$H1395="Cash"</formula>
    </cfRule>
  </conditionalFormatting>
  <conditionalFormatting sqref="B1395:U1395 W1395:Z1395 AB1395">
    <cfRule type="expression" dxfId="3012" priority="1677">
      <formula>$O1395="Applicant Signatures"</formula>
    </cfRule>
  </conditionalFormatting>
  <conditionalFormatting sqref="R1395">
    <cfRule type="expression" dxfId="3011" priority="1676">
      <formula>$H1395="Cash"</formula>
    </cfRule>
  </conditionalFormatting>
  <conditionalFormatting sqref="V1395">
    <cfRule type="expression" dxfId="3010" priority="1675">
      <formula>$H1395="Cash"</formula>
    </cfRule>
  </conditionalFormatting>
  <conditionalFormatting sqref="V1395">
    <cfRule type="expression" dxfId="3009" priority="1674">
      <formula>$O1395="Applicant Signatures"</formula>
    </cfRule>
  </conditionalFormatting>
  <conditionalFormatting sqref="V1395">
    <cfRule type="expression" dxfId="3008" priority="1673">
      <formula>$H1395="Cash"</formula>
    </cfRule>
  </conditionalFormatting>
  <conditionalFormatting sqref="V1395">
    <cfRule type="expression" dxfId="3007" priority="1672">
      <formula>$O1395="Applicant Signatures"</formula>
    </cfRule>
  </conditionalFormatting>
  <conditionalFormatting sqref="A1395">
    <cfRule type="expression" dxfId="3006" priority="1671">
      <formula>$O1395="Applicant Signatures"</formula>
    </cfRule>
  </conditionalFormatting>
  <conditionalFormatting sqref="A1395">
    <cfRule type="expression" dxfId="3005" priority="1670">
      <formula>$H1395="Cash"</formula>
    </cfRule>
  </conditionalFormatting>
  <conditionalFormatting sqref="A1395">
    <cfRule type="expression" dxfId="3004" priority="1669">
      <formula>$O1395="Applicant Signatures"</formula>
    </cfRule>
  </conditionalFormatting>
  <conditionalFormatting sqref="Q1396:Q1414">
    <cfRule type="expression" dxfId="3003" priority="1667">
      <formula>#REF!="Cash"</formula>
    </cfRule>
  </conditionalFormatting>
  <conditionalFormatting sqref="Q1396:Q1414">
    <cfRule type="expression" dxfId="3002" priority="1668">
      <formula>#REF!="Applicant Signatures"</formula>
    </cfRule>
  </conditionalFormatting>
  <conditionalFormatting sqref="B1396:X1396">
    <cfRule type="expression" dxfId="3001" priority="1666">
      <formula>$H1396="Cash"</formula>
    </cfRule>
  </conditionalFormatting>
  <conditionalFormatting sqref="B1396:Z1396 AB1396">
    <cfRule type="expression" dxfId="3000" priority="1665">
      <formula>$O1396="Applicant Signatures"</formula>
    </cfRule>
  </conditionalFormatting>
  <conditionalFormatting sqref="A1388:A1432">
    <cfRule type="expression" dxfId="2999" priority="1662">
      <formula>#REF!="Cash"</formula>
    </cfRule>
  </conditionalFormatting>
  <conditionalFormatting sqref="A1388:A1432">
    <cfRule type="expression" dxfId="2998" priority="1661">
      <formula>#REF!="Applicant Signatures"</formula>
    </cfRule>
  </conditionalFormatting>
  <conditionalFormatting sqref="A1388:A1432">
    <cfRule type="expression" dxfId="2997" priority="1660">
      <formula>#REF!="Cash"</formula>
    </cfRule>
  </conditionalFormatting>
  <conditionalFormatting sqref="A1388:A1432">
    <cfRule type="expression" dxfId="2996" priority="1659">
      <formula>#REF!="Applicant Signatures"</formula>
    </cfRule>
  </conditionalFormatting>
  <conditionalFormatting sqref="R789">
    <cfRule type="expression" dxfId="2995" priority="1648">
      <formula>$H789="Cash"</formula>
    </cfRule>
  </conditionalFormatting>
  <conditionalFormatting sqref="R789">
    <cfRule type="expression" dxfId="2994" priority="1647">
      <formula>$H789="Cash"</formula>
    </cfRule>
  </conditionalFormatting>
  <conditionalFormatting sqref="R789">
    <cfRule type="expression" dxfId="2993" priority="1646">
      <formula>$O789="Applicant Signatures"</formula>
    </cfRule>
  </conditionalFormatting>
  <conditionalFormatting sqref="R789">
    <cfRule type="expression" dxfId="2992" priority="1645">
      <formula>$H789="Cash"</formula>
    </cfRule>
  </conditionalFormatting>
  <conditionalFormatting sqref="B1397:X1397">
    <cfRule type="expression" dxfId="2991" priority="1641">
      <formula>$H1397="Cash"</formula>
    </cfRule>
  </conditionalFormatting>
  <conditionalFormatting sqref="B1397:Z1397 AB1397">
    <cfRule type="expression" dxfId="2990" priority="1640">
      <formula>$O1397="Applicant Signatures"</formula>
    </cfRule>
  </conditionalFormatting>
  <conditionalFormatting sqref="B1398:U1398 W1398:X1398">
    <cfRule type="expression" dxfId="2989" priority="1639">
      <formula>$H1398="Cash"</formula>
    </cfRule>
  </conditionalFormatting>
  <conditionalFormatting sqref="B1398:U1398 AB1398 W1398:Z1398">
    <cfRule type="expression" dxfId="2988" priority="1638">
      <formula>$O1398="Applicant Signatures"</formula>
    </cfRule>
  </conditionalFormatting>
  <conditionalFormatting sqref="B1399:X1399">
    <cfRule type="expression" dxfId="2987" priority="1637">
      <formula>$H1399="Cash"</formula>
    </cfRule>
  </conditionalFormatting>
  <conditionalFormatting sqref="B1399:Z1399 AB1399">
    <cfRule type="expression" dxfId="2986" priority="1636">
      <formula>$O1399="Applicant Signatures"</formula>
    </cfRule>
  </conditionalFormatting>
  <conditionalFormatting sqref="B1400:X1400">
    <cfRule type="expression" dxfId="2985" priority="1635">
      <formula>$H1400="Cash"</formula>
    </cfRule>
  </conditionalFormatting>
  <conditionalFormatting sqref="B1400:Z1400 AB1400">
    <cfRule type="expression" dxfId="2984" priority="1634">
      <formula>$O1400="Applicant Signatures"</formula>
    </cfRule>
  </conditionalFormatting>
  <conditionalFormatting sqref="B1401:X1401">
    <cfRule type="expression" dxfId="2983" priority="1633">
      <formula>$H1401="Cash"</formula>
    </cfRule>
  </conditionalFormatting>
  <conditionalFormatting sqref="B1401:Z1401 AB1401">
    <cfRule type="expression" dxfId="2982" priority="1632">
      <formula>$O1401="Applicant Signatures"</formula>
    </cfRule>
  </conditionalFormatting>
  <conditionalFormatting sqref="B1402:X1402">
    <cfRule type="expression" dxfId="2981" priority="1631">
      <formula>$H1402="Cash"</formula>
    </cfRule>
  </conditionalFormatting>
  <conditionalFormatting sqref="B1402:Z1402 AB1402">
    <cfRule type="expression" dxfId="2980" priority="1630">
      <formula>$O1402="Applicant Signatures"</formula>
    </cfRule>
  </conditionalFormatting>
  <conditionalFormatting sqref="V1251">
    <cfRule type="expression" dxfId="2979" priority="1625">
      <formula>$O1251="Applicant Signatures"</formula>
    </cfRule>
  </conditionalFormatting>
  <conditionalFormatting sqref="V1251">
    <cfRule type="expression" dxfId="2978" priority="1624">
      <formula>$H1251="Cash"</formula>
    </cfRule>
  </conditionalFormatting>
  <conditionalFormatting sqref="V1251">
    <cfRule type="expression" dxfId="2977" priority="1623">
      <formula>$O1251="Applicant Signatures"</formula>
    </cfRule>
  </conditionalFormatting>
  <conditionalFormatting sqref="V1234">
    <cfRule type="expression" dxfId="2976" priority="1622">
      <formula>$O1234="Applicant Signatures"</formula>
    </cfRule>
  </conditionalFormatting>
  <conditionalFormatting sqref="V1234">
    <cfRule type="expression" dxfId="2975" priority="1621">
      <formula>$H1234="Cash"</formula>
    </cfRule>
  </conditionalFormatting>
  <conditionalFormatting sqref="V1234">
    <cfRule type="expression" dxfId="2974" priority="1620">
      <formula>$O1234="Applicant Signatures"</formula>
    </cfRule>
  </conditionalFormatting>
  <conditionalFormatting sqref="V1233">
    <cfRule type="expression" dxfId="2973" priority="1619">
      <formula>$O1233="Applicant Signatures"</formula>
    </cfRule>
  </conditionalFormatting>
  <conditionalFormatting sqref="V1233">
    <cfRule type="expression" dxfId="2972" priority="1618">
      <formula>$H1233="Cash"</formula>
    </cfRule>
  </conditionalFormatting>
  <conditionalFormatting sqref="V1233">
    <cfRule type="expression" dxfId="2971" priority="1617">
      <formula>$O1233="Applicant Signatures"</formula>
    </cfRule>
  </conditionalFormatting>
  <conditionalFormatting sqref="V1097">
    <cfRule type="expression" dxfId="2970" priority="1616">
      <formula>$O1097="Applicant Signatures"</formula>
    </cfRule>
  </conditionalFormatting>
  <conditionalFormatting sqref="V1097">
    <cfRule type="expression" dxfId="2969" priority="1615">
      <formula>$H1097="Cash"</formula>
    </cfRule>
  </conditionalFormatting>
  <conditionalFormatting sqref="V1097">
    <cfRule type="expression" dxfId="2968" priority="1614">
      <formula>$O1097="Applicant Signatures"</formula>
    </cfRule>
  </conditionalFormatting>
  <conditionalFormatting sqref="Q1387">
    <cfRule type="expression" dxfId="2967" priority="1597">
      <formula>$H1387="Cash"</formula>
    </cfRule>
  </conditionalFormatting>
  <conditionalFormatting sqref="Q1387">
    <cfRule type="expression" dxfId="2966" priority="1596">
      <formula>$O1387="Applicant Signatures"</formula>
    </cfRule>
  </conditionalFormatting>
  <conditionalFormatting sqref="B1403:S1403 U1403 W1403:X1403">
    <cfRule type="expression" dxfId="2965" priority="1595">
      <formula>$H1403="Cash"</formula>
    </cfRule>
  </conditionalFormatting>
  <conditionalFormatting sqref="B1403:S1403 U1403 W1403:Z1403 AB1403">
    <cfRule type="expression" dxfId="2964" priority="1594">
      <formula>$O1403="Applicant Signatures"</formula>
    </cfRule>
  </conditionalFormatting>
  <conditionalFormatting sqref="B1404:S1404 U1404 X1404">
    <cfRule type="expression" dxfId="2963" priority="1593">
      <formula>$H1404="Cash"</formula>
    </cfRule>
  </conditionalFormatting>
  <conditionalFormatting sqref="B1404:S1404 U1404 AB1404 X1404:Z1404">
    <cfRule type="expression" dxfId="2962" priority="1592">
      <formula>$O1404="Applicant Signatures"</formula>
    </cfRule>
  </conditionalFormatting>
  <conditionalFormatting sqref="B1405:N1405 U1405 P1405:S1405 X1405">
    <cfRule type="expression" dxfId="2961" priority="1591">
      <formula>$H1405="Cash"</formula>
    </cfRule>
  </conditionalFormatting>
  <conditionalFormatting sqref="B1405:N1405 AB1405 U1405 P1405:S1405 X1405:Z1405">
    <cfRule type="expression" dxfId="2960" priority="1590">
      <formula>$O1405="Applicant Signatures"</formula>
    </cfRule>
  </conditionalFormatting>
  <conditionalFormatting sqref="T1404:T1405">
    <cfRule type="expression" dxfId="2959" priority="1589">
      <formula>$H1404="Cash"</formula>
    </cfRule>
  </conditionalFormatting>
  <conditionalFormatting sqref="T1404:T1405">
    <cfRule type="expression" dxfId="2958" priority="1588">
      <formula>$O1404="Applicant Signatures"</formula>
    </cfRule>
  </conditionalFormatting>
  <conditionalFormatting sqref="O1388">
    <cfRule type="expression" dxfId="2957" priority="1587">
      <formula>$H1388="Cash"</formula>
    </cfRule>
  </conditionalFormatting>
  <conditionalFormatting sqref="O1388">
    <cfRule type="expression" dxfId="2956" priority="1586">
      <formula>$O1388="Applicant Signatures"</formula>
    </cfRule>
  </conditionalFormatting>
  <conditionalFormatting sqref="T1403">
    <cfRule type="expression" dxfId="2955" priority="1583">
      <formula>$H1403="Cash"</formula>
    </cfRule>
  </conditionalFormatting>
  <conditionalFormatting sqref="T1403">
    <cfRule type="expression" dxfId="2954" priority="1582">
      <formula>$O1403="Applicant Signatures"</formula>
    </cfRule>
  </conditionalFormatting>
  <conditionalFormatting sqref="T1403">
    <cfRule type="expression" dxfId="2953" priority="1581">
      <formula>$H1403="Cash"</formula>
    </cfRule>
  </conditionalFormatting>
  <conditionalFormatting sqref="T1403">
    <cfRule type="expression" dxfId="2952" priority="1580">
      <formula>$O1403="Applicant Signatures"</formula>
    </cfRule>
  </conditionalFormatting>
  <conditionalFormatting sqref="X1388">
    <cfRule type="expression" dxfId="2951" priority="1575">
      <formula>$H1388="Cash"</formula>
    </cfRule>
  </conditionalFormatting>
  <conditionalFormatting sqref="X1388">
    <cfRule type="expression" dxfId="2950" priority="1574">
      <formula>$O1388="Applicant Signatures"</formula>
    </cfRule>
  </conditionalFormatting>
  <conditionalFormatting sqref="B1406:X1406">
    <cfRule type="expression" dxfId="2949" priority="1573">
      <formula>$H1406="Cash"</formula>
    </cfRule>
  </conditionalFormatting>
  <conditionalFormatting sqref="B1406:Z1406 AB1406">
    <cfRule type="expression" dxfId="2948" priority="1572">
      <formula>$O1406="Applicant Signatures"</formula>
    </cfRule>
  </conditionalFormatting>
  <conditionalFormatting sqref="B1407:X1407">
    <cfRule type="expression" dxfId="2947" priority="1565">
      <formula>$H1407="Cash"</formula>
    </cfRule>
  </conditionalFormatting>
  <conditionalFormatting sqref="B1407:Z1407 AB1407">
    <cfRule type="expression" dxfId="2946" priority="1564">
      <formula>$O1407="Applicant Signatures"</formula>
    </cfRule>
  </conditionalFormatting>
  <conditionalFormatting sqref="V1403 V1365 V1362:V1363 V1352:V1353 V785">
    <cfRule type="expression" dxfId="2945" priority="1563">
      <formula>$H785="Cash"</formula>
    </cfRule>
  </conditionalFormatting>
  <conditionalFormatting sqref="V1403 V1365 V1362:V1363 V1352:V1353">
    <cfRule type="expression" dxfId="2944" priority="1562">
      <formula>$O1352="Applicant Signatures"</formula>
    </cfRule>
  </conditionalFormatting>
  <conditionalFormatting sqref="T1387:T1388">
    <cfRule type="expression" dxfId="2943" priority="1558">
      <formula>$H1387="Cash"</formula>
    </cfRule>
  </conditionalFormatting>
  <conditionalFormatting sqref="T1387:T1388">
    <cfRule type="expression" dxfId="2942" priority="1557">
      <formula>$O1387="Applicant Signatures"</formula>
    </cfRule>
  </conditionalFormatting>
  <conditionalFormatting sqref="T1368">
    <cfRule type="expression" dxfId="2941" priority="1556">
      <formula>$H1368="Cash"</formula>
    </cfRule>
  </conditionalFormatting>
  <conditionalFormatting sqref="T1368">
    <cfRule type="expression" dxfId="2940" priority="1555">
      <formula>$O1368="Applicant Signatures"</formula>
    </cfRule>
  </conditionalFormatting>
  <conditionalFormatting sqref="X1378">
    <cfRule type="expression" dxfId="2939" priority="1548">
      <formula>$H1378="Cash"</formula>
    </cfRule>
  </conditionalFormatting>
  <conditionalFormatting sqref="X1378">
    <cfRule type="expression" dxfId="2938" priority="1547">
      <formula>$H1378="Cash"</formula>
    </cfRule>
  </conditionalFormatting>
  <conditionalFormatting sqref="X1378">
    <cfRule type="expression" dxfId="2937" priority="1546">
      <formula>$H1378="Cash"</formula>
    </cfRule>
  </conditionalFormatting>
  <conditionalFormatting sqref="X1378">
    <cfRule type="expression" dxfId="2936" priority="1545">
      <formula>$O1378="Applicant Signatures"</formula>
    </cfRule>
  </conditionalFormatting>
  <conditionalFormatting sqref="X1378">
    <cfRule type="expression" dxfId="2935" priority="1544">
      <formula>$H1378="Cash"</formula>
    </cfRule>
  </conditionalFormatting>
  <conditionalFormatting sqref="X1378">
    <cfRule type="expression" dxfId="2934" priority="1543">
      <formula>$O1378="Applicant Signatures"</formula>
    </cfRule>
  </conditionalFormatting>
  <conditionalFormatting sqref="B1408:X1414">
    <cfRule type="expression" dxfId="2933" priority="1541">
      <formula>$H1408="Cash"</formula>
    </cfRule>
  </conditionalFormatting>
  <conditionalFormatting sqref="B1408:Z1414 AB1408:AB1414">
    <cfRule type="expression" dxfId="2932" priority="1540">
      <formula>$O1408="Applicant Signatures"</formula>
    </cfRule>
  </conditionalFormatting>
  <conditionalFormatting sqref="Q1415">
    <cfRule type="expression" dxfId="2931" priority="1538">
      <formula>#REF!="Cash"</formula>
    </cfRule>
  </conditionalFormatting>
  <conditionalFormatting sqref="Q1415">
    <cfRule type="expression" dxfId="2930" priority="1539">
      <formula>#REF!="Applicant Signatures"</formula>
    </cfRule>
  </conditionalFormatting>
  <conditionalFormatting sqref="A1415">
    <cfRule type="expression" dxfId="2929" priority="1537">
      <formula>$H1415="Cash"</formula>
    </cfRule>
  </conditionalFormatting>
  <conditionalFormatting sqref="A1415">
    <cfRule type="expression" dxfId="2928" priority="1536">
      <formula>$O1415="Applicant Signatures"</formula>
    </cfRule>
  </conditionalFormatting>
  <conditionalFormatting sqref="A1415">
    <cfRule type="expression" dxfId="2927" priority="1535">
      <formula>#REF!="Cash"</formula>
    </cfRule>
  </conditionalFormatting>
  <conditionalFormatting sqref="A1415">
    <cfRule type="expression" dxfId="2926" priority="1534">
      <formula>#REF!="Applicant Signatures"</formula>
    </cfRule>
  </conditionalFormatting>
  <conditionalFormatting sqref="A1415">
    <cfRule type="expression" dxfId="2925" priority="1533">
      <formula>#REF!="Cash"</formula>
    </cfRule>
  </conditionalFormatting>
  <conditionalFormatting sqref="A1415">
    <cfRule type="expression" dxfId="2924" priority="1532">
      <formula>#REF!="Applicant Signatures"</formula>
    </cfRule>
  </conditionalFormatting>
  <conditionalFormatting sqref="B1415:S1415 U1415 W1415">
    <cfRule type="expression" dxfId="2923" priority="1531">
      <formula>$H1415="Cash"</formula>
    </cfRule>
  </conditionalFormatting>
  <conditionalFormatting sqref="B1415:S1415 AB1415 Y1415:Z1415 U1415 W1415">
    <cfRule type="expression" dxfId="2922" priority="1530">
      <formula>$O1415="Applicant Signatures"</formula>
    </cfRule>
  </conditionalFormatting>
  <conditionalFormatting sqref="Q1416">
    <cfRule type="expression" dxfId="2921" priority="1528">
      <formula>#REF!="Cash"</formula>
    </cfRule>
  </conditionalFormatting>
  <conditionalFormatting sqref="Q1416">
    <cfRule type="expression" dxfId="2920" priority="1529">
      <formula>#REF!="Applicant Signatures"</formula>
    </cfRule>
  </conditionalFormatting>
  <conditionalFormatting sqref="B1416:W1416">
    <cfRule type="expression" dxfId="2919" priority="1527">
      <formula>$H1416="Cash"</formula>
    </cfRule>
  </conditionalFormatting>
  <conditionalFormatting sqref="B1416:W1416 Y1416:Z1416 AB1416">
    <cfRule type="expression" dxfId="2918" priority="1526">
      <formula>$O1416="Applicant Signatures"</formula>
    </cfRule>
  </conditionalFormatting>
  <conditionalFormatting sqref="Q1417:Q1432">
    <cfRule type="expression" dxfId="2917" priority="1516">
      <formula>#REF!="Cash"</formula>
    </cfRule>
  </conditionalFormatting>
  <conditionalFormatting sqref="Q1417:Q1432">
    <cfRule type="expression" dxfId="2916" priority="1517">
      <formula>#REF!="Applicant Signatures"</formula>
    </cfRule>
  </conditionalFormatting>
  <conditionalFormatting sqref="B1417:N1417 P1417:X1417">
    <cfRule type="expression" dxfId="2915" priority="1515">
      <formula>$H1417="Cash"</formula>
    </cfRule>
  </conditionalFormatting>
  <conditionalFormatting sqref="B1417:N1417 AB1417 P1417:Z1417">
    <cfRule type="expression" dxfId="2914" priority="1514">
      <formula>$O1417="Applicant Signatures"</formula>
    </cfRule>
  </conditionalFormatting>
  <conditionalFormatting sqref="B1418:X1418">
    <cfRule type="expression" dxfId="2913" priority="1513">
      <formula>$H1418="Cash"</formula>
    </cfRule>
  </conditionalFormatting>
  <conditionalFormatting sqref="B1418:Z1418 AB1418">
    <cfRule type="expression" dxfId="2912" priority="1512">
      <formula>$O1418="Applicant Signatures"</formula>
    </cfRule>
  </conditionalFormatting>
  <conditionalFormatting sqref="B1419:X1419">
    <cfRule type="expression" dxfId="2911" priority="1511">
      <formula>$H1419="Cash"</formula>
    </cfRule>
  </conditionalFormatting>
  <conditionalFormatting sqref="B1419:Z1419 AB1419">
    <cfRule type="expression" dxfId="2910" priority="1510">
      <formula>$O1419="Applicant Signatures"</formula>
    </cfRule>
  </conditionalFormatting>
  <conditionalFormatting sqref="B1420:X1420">
    <cfRule type="expression" dxfId="2909" priority="1509">
      <formula>$H1420="Cash"</formula>
    </cfRule>
  </conditionalFormatting>
  <conditionalFormatting sqref="B1420:Z1420 AB1420">
    <cfRule type="expression" dxfId="2908" priority="1508">
      <formula>$O1420="Applicant Signatures"</formula>
    </cfRule>
  </conditionalFormatting>
  <conditionalFormatting sqref="X1416">
    <cfRule type="expression" dxfId="2907" priority="1505">
      <formula>$H1416="Cash"</formula>
    </cfRule>
  </conditionalFormatting>
  <conditionalFormatting sqref="X1416">
    <cfRule type="expression" dxfId="2906" priority="1504">
      <formula>$O1416="Applicant Signatures"</formula>
    </cfRule>
  </conditionalFormatting>
  <conditionalFormatting sqref="X1380">
    <cfRule type="expression" dxfId="2905" priority="1503">
      <formula>$H1380="Cash"</formula>
    </cfRule>
  </conditionalFormatting>
  <conditionalFormatting sqref="X1380">
    <cfRule type="expression" dxfId="2904" priority="1502">
      <formula>$O1380="Applicant Signatures"</formula>
    </cfRule>
  </conditionalFormatting>
  <conditionalFormatting sqref="B1421:S1421 U1421 W1421">
    <cfRule type="expression" dxfId="2903" priority="1501">
      <formula>$H1421="Cash"</formula>
    </cfRule>
  </conditionalFormatting>
  <conditionalFormatting sqref="B1421:S1421 AB1421 U1421 Y1421:Z1421 W1421">
    <cfRule type="expression" dxfId="2902" priority="1500">
      <formula>$O1421="Applicant Signatures"</formula>
    </cfRule>
  </conditionalFormatting>
  <conditionalFormatting sqref="B1422:X1422">
    <cfRule type="expression" dxfId="2901" priority="1499">
      <formula>$H1422="Cash"</formula>
    </cfRule>
  </conditionalFormatting>
  <conditionalFormatting sqref="B1422:Z1422 AB1422">
    <cfRule type="expression" dxfId="2900" priority="1498">
      <formula>$O1422="Applicant Signatures"</formula>
    </cfRule>
  </conditionalFormatting>
  <conditionalFormatting sqref="B1423:X1423">
    <cfRule type="expression" dxfId="2899" priority="1497">
      <formula>$H1423="Cash"</formula>
    </cfRule>
  </conditionalFormatting>
  <conditionalFormatting sqref="B1423:Z1423 AB1423">
    <cfRule type="expression" dxfId="2898" priority="1496">
      <formula>$O1423="Applicant Signatures"</formula>
    </cfRule>
  </conditionalFormatting>
  <conditionalFormatting sqref="B1424:X1427">
    <cfRule type="expression" dxfId="2897" priority="1493">
      <formula>$H1424="Cash"</formula>
    </cfRule>
  </conditionalFormatting>
  <conditionalFormatting sqref="B1424:Z1427 AB1424:AB1427">
    <cfRule type="expression" dxfId="2896" priority="1492">
      <formula>$O1424="Applicant Signatures"</formula>
    </cfRule>
  </conditionalFormatting>
  <conditionalFormatting sqref="B1428:X1428">
    <cfRule type="expression" dxfId="2895" priority="1490">
      <formula>$H1428="Cash"</formula>
    </cfRule>
  </conditionalFormatting>
  <conditionalFormatting sqref="B1428:Z1428 AB1428">
    <cfRule type="expression" dxfId="2894" priority="1489">
      <formula>$O1428="Applicant Signatures"</formula>
    </cfRule>
  </conditionalFormatting>
  <conditionalFormatting sqref="B1430:X1430 B1431:S1432 W1431:W1432 B1429:N1429 U1431:U1432 U1429 P1429:S1429">
    <cfRule type="expression" dxfId="2893" priority="1488">
      <formula>$H1429="Cash"</formula>
    </cfRule>
  </conditionalFormatting>
  <conditionalFormatting sqref="B1430:Z1430 AB1429:AB1432 Y1431:Z1432 B1431:S1432 W1431:W1432 B1429:N1429 Y1429:Z1429 U1431:U1432 U1429 P1429:S1429">
    <cfRule type="expression" dxfId="2892" priority="1487">
      <formula>$O1429="Applicant Signatures"</formula>
    </cfRule>
  </conditionalFormatting>
  <conditionalFormatting sqref="A1433 Q1433">
    <cfRule type="expression" dxfId="2891" priority="1486">
      <formula>$H1433="Cash"</formula>
    </cfRule>
  </conditionalFormatting>
  <conditionalFormatting sqref="Q1433 A1433">
    <cfRule type="expression" dxfId="2890" priority="1485">
      <formula>$O1433="Applicant Signatures"</formula>
    </cfRule>
  </conditionalFormatting>
  <conditionalFormatting sqref="Q1433 O1433">
    <cfRule type="expression" dxfId="2889" priority="1484">
      <formula>$H1433="Cash"</formula>
    </cfRule>
  </conditionalFormatting>
  <conditionalFormatting sqref="X1433">
    <cfRule type="expression" dxfId="2888" priority="1481">
      <formula>$H1433="Cash"</formula>
    </cfRule>
  </conditionalFormatting>
  <conditionalFormatting sqref="X1433">
    <cfRule type="expression" dxfId="2887" priority="1480">
      <formula>$O1433="Applicant Signatures"</formula>
    </cfRule>
  </conditionalFormatting>
  <conditionalFormatting sqref="X1433">
    <cfRule type="expression" dxfId="2886" priority="1479">
      <formula>$O1433="Applicant Signatures"</formula>
    </cfRule>
  </conditionalFormatting>
  <conditionalFormatting sqref="X1433">
    <cfRule type="expression" dxfId="2885" priority="1478">
      <formula>$O1433="Applicant Signatures"</formula>
    </cfRule>
  </conditionalFormatting>
  <conditionalFormatting sqref="A1433:Q1433 Y1433:Z1433 AB1433 U1433 W1433 S1433">
    <cfRule type="expression" dxfId="2884" priority="1477">
      <formula>$O1433="Applicant Signatures"</formula>
    </cfRule>
  </conditionalFormatting>
  <conditionalFormatting sqref="A1433:Q1433 U1433 W1433 S1433">
    <cfRule type="expression" dxfId="2883" priority="1476">
      <formula>$H1433="Cash"</formula>
    </cfRule>
  </conditionalFormatting>
  <conditionalFormatting sqref="A1433:Q1433 Y1433:Z1433 AB1433 U1433 W1433 S1433">
    <cfRule type="expression" dxfId="2882" priority="1475">
      <formula>$O1433="Applicant Signatures"</formula>
    </cfRule>
  </conditionalFormatting>
  <conditionalFormatting sqref="A1434:A1446">
    <cfRule type="expression" dxfId="2881" priority="1474">
      <formula>#REF!="Cash"</formula>
    </cfRule>
  </conditionalFormatting>
  <conditionalFormatting sqref="A1434:A1446">
    <cfRule type="expression" dxfId="2880" priority="1473">
      <formula>#REF!="Applicant Signatures"</formula>
    </cfRule>
  </conditionalFormatting>
  <conditionalFormatting sqref="A1434:A1446">
    <cfRule type="expression" dxfId="2879" priority="1472">
      <formula>#REF!="Cash"</formula>
    </cfRule>
  </conditionalFormatting>
  <conditionalFormatting sqref="A1434:A1446">
    <cfRule type="expression" dxfId="2878" priority="1471">
      <formula>#REF!="Applicant Signatures"</formula>
    </cfRule>
  </conditionalFormatting>
  <conditionalFormatting sqref="Q1434:Q1446">
    <cfRule type="expression" dxfId="2877" priority="1469">
      <formula>#REF!="Cash"</formula>
    </cfRule>
  </conditionalFormatting>
  <conditionalFormatting sqref="Q1434:Q1446">
    <cfRule type="expression" dxfId="2876" priority="1470">
      <formula>#REF!="Applicant Signatures"</formula>
    </cfRule>
  </conditionalFormatting>
  <conditionalFormatting sqref="B1434:X1434">
    <cfRule type="expression" dxfId="2875" priority="1468">
      <formula>$H1434="Cash"</formula>
    </cfRule>
  </conditionalFormatting>
  <conditionalFormatting sqref="B1434:Z1434 AB1434">
    <cfRule type="expression" dxfId="2874" priority="1467">
      <formula>$O1434="Applicant Signatures"</formula>
    </cfRule>
  </conditionalFormatting>
  <conditionalFormatting sqref="B1440:W1440 B1435:X1438 B1441:X1441 B1439:U1439 W1439:X1439">
    <cfRule type="expression" dxfId="2873" priority="1466">
      <formula>$H1435="Cash"</formula>
    </cfRule>
  </conditionalFormatting>
  <conditionalFormatting sqref="AB1435:AB1446 B1442:W1442 B1440:W1440 Y1440:Z1440 Y1442:Z1443 B1444:Q1444 B1443:S1443 U1443:W1443 B1435:Z1438 B1441:Z1441 Y1445:Z1446 B1445:W1446 B1439:U1439 W1439:Z1439 S1444:Z1444">
    <cfRule type="expression" dxfId="2872" priority="1465">
      <formula>$O1435="Applicant Signatures"</formula>
    </cfRule>
  </conditionalFormatting>
  <conditionalFormatting sqref="B1442:W1442">
    <cfRule type="expression" dxfId="2871" priority="1464">
      <formula>$H1442="Cash"</formula>
    </cfRule>
  </conditionalFormatting>
  <conditionalFormatting sqref="B1443:S1443 U1443:W1443">
    <cfRule type="expression" dxfId="2870" priority="1463">
      <formula>$H1443="Cash"</formula>
    </cfRule>
  </conditionalFormatting>
  <conditionalFormatting sqref="B1444:Q1444 S1444:X1444">
    <cfRule type="expression" dxfId="2869" priority="1462">
      <formula>$H1444="Cash"</formula>
    </cfRule>
  </conditionalFormatting>
  <conditionalFormatting sqref="B1445:W1445">
    <cfRule type="expression" dxfId="2868" priority="1460">
      <formula>$H1445="Cash"</formula>
    </cfRule>
  </conditionalFormatting>
  <conditionalFormatting sqref="B1446:W1446">
    <cfRule type="expression" dxfId="2867" priority="1459">
      <formula>$H1446="Cash"</formula>
    </cfRule>
  </conditionalFormatting>
  <conditionalFormatting sqref="Q1446">
    <cfRule type="expression" dxfId="2866" priority="1458">
      <formula>$H1446="Cash"</formula>
    </cfRule>
  </conditionalFormatting>
  <conditionalFormatting sqref="A1447:A1448">
    <cfRule type="expression" dxfId="2865" priority="1457">
      <formula>#REF!="Cash"</formula>
    </cfRule>
  </conditionalFormatting>
  <conditionalFormatting sqref="A1447:A1448">
    <cfRule type="expression" dxfId="2864" priority="1456">
      <formula>#REF!="Applicant Signatures"</formula>
    </cfRule>
  </conditionalFormatting>
  <conditionalFormatting sqref="A1447:A1448">
    <cfRule type="expression" dxfId="2863" priority="1455">
      <formula>#REF!="Cash"</formula>
    </cfRule>
  </conditionalFormatting>
  <conditionalFormatting sqref="A1447:A1448">
    <cfRule type="expression" dxfId="2862" priority="1454">
      <formula>#REF!="Applicant Signatures"</formula>
    </cfRule>
  </conditionalFormatting>
  <conditionalFormatting sqref="Q1448:Q1451">
    <cfRule type="expression" dxfId="2861" priority="1452">
      <formula>#REF!="Cash"</formula>
    </cfRule>
  </conditionalFormatting>
  <conditionalFormatting sqref="Q1448:Q1451">
    <cfRule type="expression" dxfId="2860" priority="1453">
      <formula>#REF!="Applicant Signatures"</formula>
    </cfRule>
  </conditionalFormatting>
  <conditionalFormatting sqref="B1447:P1447 R1447:S1447 U1447:W1447">
    <cfRule type="expression" dxfId="2859" priority="1451">
      <formula>$H1447="Cash"</formula>
    </cfRule>
  </conditionalFormatting>
  <conditionalFormatting sqref="B1448:W1448 AB1447:AB1448 B1447:P1447 R1447:S1447 U1447:W1447 Y1447:Z1448">
    <cfRule type="expression" dxfId="2858" priority="1450">
      <formula>$O1447="Applicant Signatures"</formula>
    </cfRule>
  </conditionalFormatting>
  <conditionalFormatting sqref="B1448:W1448">
    <cfRule type="expression" dxfId="2857" priority="1449">
      <formula>$H1448="Cash"</formula>
    </cfRule>
  </conditionalFormatting>
  <conditionalFormatting sqref="A1449:A1451">
    <cfRule type="expression" dxfId="2856" priority="1448">
      <formula>#REF!="Cash"</formula>
    </cfRule>
  </conditionalFormatting>
  <conditionalFormatting sqref="A1449:A1451">
    <cfRule type="expression" dxfId="2855" priority="1447">
      <formula>#REF!="Applicant Signatures"</formula>
    </cfRule>
  </conditionalFormatting>
  <conditionalFormatting sqref="A1449:A1451">
    <cfRule type="expression" dxfId="2854" priority="1446">
      <formula>#REF!="Cash"</formula>
    </cfRule>
  </conditionalFormatting>
  <conditionalFormatting sqref="A1449:A1451">
    <cfRule type="expression" dxfId="2853" priority="1445">
      <formula>#REF!="Applicant Signatures"</formula>
    </cfRule>
  </conditionalFormatting>
  <conditionalFormatting sqref="B1449:N1449 R1449:S1449 U1449 P1449 X1449">
    <cfRule type="expression" dxfId="2852" priority="1442">
      <formula>$H1449="Cash"</formula>
    </cfRule>
  </conditionalFormatting>
  <conditionalFormatting sqref="B1450:P1451 AB1449:AB1451 R1449:S1451 U1451:W1451 Y1450:Z1451 U1449:U1450 W1450 B1449:N1449 P1449 X1449:Z1449">
    <cfRule type="expression" dxfId="2851" priority="1441">
      <formula>$O1449="Applicant Signatures"</formula>
    </cfRule>
  </conditionalFormatting>
  <conditionalFormatting sqref="Q1449:Q1451">
    <cfRule type="expression" dxfId="2850" priority="1440">
      <formula>$H1449="Cash"</formula>
    </cfRule>
  </conditionalFormatting>
  <conditionalFormatting sqref="Q1449:Q1451">
    <cfRule type="expression" dxfId="2849" priority="1439">
      <formula>$O1449="Applicant Signatures"</formula>
    </cfRule>
  </conditionalFormatting>
  <conditionalFormatting sqref="Q1447">
    <cfRule type="expression" dxfId="2848" priority="1437">
      <formula>#REF!="Cash"</formula>
    </cfRule>
  </conditionalFormatting>
  <conditionalFormatting sqref="Q1447">
    <cfRule type="expression" dxfId="2847" priority="1438">
      <formula>#REF!="Applicant Signatures"</formula>
    </cfRule>
  </conditionalFormatting>
  <conditionalFormatting sqref="Q1447">
    <cfRule type="expression" dxfId="2846" priority="1436">
      <formula>$H1447="Cash"</formula>
    </cfRule>
  </conditionalFormatting>
  <conditionalFormatting sqref="Q1447">
    <cfRule type="expression" dxfId="2845" priority="1435">
      <formula>$O1447="Applicant Signatures"</formula>
    </cfRule>
  </conditionalFormatting>
  <conditionalFormatting sqref="T1449 T1451">
    <cfRule type="expression" dxfId="2844" priority="1434">
      <formula>$H1449="Cash"</formula>
    </cfRule>
  </conditionalFormatting>
  <conditionalFormatting sqref="T1449 T1451">
    <cfRule type="expression" dxfId="2843" priority="1433">
      <formula>$O1449="Applicant Signatures"</formula>
    </cfRule>
  </conditionalFormatting>
  <conditionalFormatting sqref="T1447">
    <cfRule type="expression" dxfId="2842" priority="1432">
      <formula>$H1447="Cash"</formula>
    </cfRule>
  </conditionalFormatting>
  <conditionalFormatting sqref="T1447">
    <cfRule type="expression" dxfId="2841" priority="1431">
      <formula>$O1447="Applicant Signatures"</formula>
    </cfRule>
  </conditionalFormatting>
  <conditionalFormatting sqref="T1421">
    <cfRule type="expression" dxfId="2840" priority="1430">
      <formula>$H1421="Cash"</formula>
    </cfRule>
  </conditionalFormatting>
  <conditionalFormatting sqref="T1421">
    <cfRule type="expression" dxfId="2839" priority="1429">
      <formula>$O1421="Applicant Signatures"</formula>
    </cfRule>
  </conditionalFormatting>
  <conditionalFormatting sqref="O1417">
    <cfRule type="expression" dxfId="2838" priority="1428">
      <formula>$H1417="Cash"</formula>
    </cfRule>
  </conditionalFormatting>
  <conditionalFormatting sqref="O1417">
    <cfRule type="expression" dxfId="2837" priority="1427">
      <formula>$O1417="Applicant Signatures"</formula>
    </cfRule>
  </conditionalFormatting>
  <conditionalFormatting sqref="B1450:P1450 R1450:S1450 U1450 W1450">
    <cfRule type="expression" dxfId="2836" priority="1426">
      <formula>$H1450="Cash"</formula>
    </cfRule>
  </conditionalFormatting>
  <conditionalFormatting sqref="B1451:P1451 R1451:S1451 U1451:W1451">
    <cfRule type="expression" dxfId="2835" priority="1425">
      <formula>$H1451="Cash"</formula>
    </cfRule>
  </conditionalFormatting>
  <conditionalFormatting sqref="A1452">
    <cfRule type="expression" dxfId="2834" priority="1424">
      <formula>#REF!="Cash"</formula>
    </cfRule>
  </conditionalFormatting>
  <conditionalFormatting sqref="A1452">
    <cfRule type="expression" dxfId="2833" priority="1423">
      <formula>#REF!="Applicant Signatures"</formula>
    </cfRule>
  </conditionalFormatting>
  <conditionalFormatting sqref="A1452">
    <cfRule type="expression" dxfId="2832" priority="1422">
      <formula>#REF!="Cash"</formula>
    </cfRule>
  </conditionalFormatting>
  <conditionalFormatting sqref="A1452">
    <cfRule type="expression" dxfId="2831" priority="1421">
      <formula>#REF!="Applicant Signatures"</formula>
    </cfRule>
  </conditionalFormatting>
  <conditionalFormatting sqref="Q1452">
    <cfRule type="expression" dxfId="2830" priority="1419">
      <formula>#REF!="Cash"</formula>
    </cfRule>
  </conditionalFormatting>
  <conditionalFormatting sqref="Q1452">
    <cfRule type="expression" dxfId="2829" priority="1420">
      <formula>#REF!="Applicant Signatures"</formula>
    </cfRule>
  </conditionalFormatting>
  <conditionalFormatting sqref="AB1452 B1452:W1452 Y1452:Z1452">
    <cfRule type="expression" dxfId="2828" priority="1418">
      <formula>$O1452="Applicant Signatures"</formula>
    </cfRule>
  </conditionalFormatting>
  <conditionalFormatting sqref="B1452:W1452">
    <cfRule type="expression" dxfId="2827" priority="1417">
      <formula>$H1452="Cash"</formula>
    </cfRule>
  </conditionalFormatting>
  <conditionalFormatting sqref="T1433">
    <cfRule type="expression" dxfId="2826" priority="1416">
      <formula>$H1433="Cash"</formula>
    </cfRule>
  </conditionalFormatting>
  <conditionalFormatting sqref="T1433">
    <cfRule type="expression" dxfId="2825" priority="1415">
      <formula>$O1433="Applicant Signatures"</formula>
    </cfRule>
  </conditionalFormatting>
  <conditionalFormatting sqref="X1442">
    <cfRule type="expression" dxfId="2824" priority="1414">
      <formula>$O1442="Applicant Signatures"</formula>
    </cfRule>
  </conditionalFormatting>
  <conditionalFormatting sqref="X1442">
    <cfRule type="expression" dxfId="2823" priority="1413">
      <formula>$H1442="Cash"</formula>
    </cfRule>
  </conditionalFormatting>
  <conditionalFormatting sqref="X1452">
    <cfRule type="expression" dxfId="2822" priority="1410">
      <formula>$O1452="Applicant Signatures"</formula>
    </cfRule>
  </conditionalFormatting>
  <conditionalFormatting sqref="X1452">
    <cfRule type="expression" dxfId="2821" priority="1409">
      <formula>$H1452="Cash"</formula>
    </cfRule>
  </conditionalFormatting>
  <conditionalFormatting sqref="T1446">
    <cfRule type="expression" dxfId="2820" priority="1402">
      <formula>$H1446="Cash"</formula>
    </cfRule>
  </conditionalFormatting>
  <conditionalFormatting sqref="Q1453">
    <cfRule type="expression" dxfId="2819" priority="1400">
      <formula>#REF!="Cash"</formula>
    </cfRule>
  </conditionalFormatting>
  <conditionalFormatting sqref="Q1453">
    <cfRule type="expression" dxfId="2818" priority="1401">
      <formula>#REF!="Applicant Signatures"</formula>
    </cfRule>
  </conditionalFormatting>
  <conditionalFormatting sqref="A1453">
    <cfRule type="expression" dxfId="2817" priority="1399">
      <formula>#REF!="Cash"</formula>
    </cfRule>
  </conditionalFormatting>
  <conditionalFormatting sqref="A1453">
    <cfRule type="expression" dxfId="2816" priority="1398">
      <formula>#REF!="Applicant Signatures"</formula>
    </cfRule>
  </conditionalFormatting>
  <conditionalFormatting sqref="A1453">
    <cfRule type="expression" dxfId="2815" priority="1397">
      <formula>#REF!="Cash"</formula>
    </cfRule>
  </conditionalFormatting>
  <conditionalFormatting sqref="A1453">
    <cfRule type="expression" dxfId="2814" priority="1396">
      <formula>#REF!="Applicant Signatures"</formula>
    </cfRule>
  </conditionalFormatting>
  <conditionalFormatting sqref="B1453:P1453 AB1453 R1453:S1453 U1453:W1453 Y1453:Z1453">
    <cfRule type="expression" dxfId="2813" priority="1395">
      <formula>$O1453="Applicant Signatures"</formula>
    </cfRule>
  </conditionalFormatting>
  <conditionalFormatting sqref="Q1453">
    <cfRule type="expression" dxfId="2812" priority="1394">
      <formula>$H1453="Cash"</formula>
    </cfRule>
  </conditionalFormatting>
  <conditionalFormatting sqref="Q1453">
    <cfRule type="expression" dxfId="2811" priority="1393">
      <formula>$O1453="Applicant Signatures"</formula>
    </cfRule>
  </conditionalFormatting>
  <conditionalFormatting sqref="T1453:T1455 T1461:T1462 T1457">
    <cfRule type="expression" dxfId="2810" priority="1392">
      <formula>$H1453="Cash"</formula>
    </cfRule>
  </conditionalFormatting>
  <conditionalFormatting sqref="T1453:T1455 T1461:T1462 T1457">
    <cfRule type="expression" dxfId="2809" priority="1391">
      <formula>$O1453="Applicant Signatures"</formula>
    </cfRule>
  </conditionalFormatting>
  <conditionalFormatting sqref="B1453:P1453 R1453:S1453 U1453:W1453">
    <cfRule type="expression" dxfId="2808" priority="1390">
      <formula>$H1453="Cash"</formula>
    </cfRule>
  </conditionalFormatting>
  <conditionalFormatting sqref="Q1454">
    <cfRule type="expression" dxfId="2807" priority="1388">
      <formula>#REF!="Cash"</formula>
    </cfRule>
  </conditionalFormatting>
  <conditionalFormatting sqref="Q1454">
    <cfRule type="expression" dxfId="2806" priority="1389">
      <formula>#REF!="Applicant Signatures"</formula>
    </cfRule>
  </conditionalFormatting>
  <conditionalFormatting sqref="A1454">
    <cfRule type="expression" dxfId="2805" priority="1387">
      <formula>#REF!="Cash"</formula>
    </cfRule>
  </conditionalFormatting>
  <conditionalFormatting sqref="A1454">
    <cfRule type="expression" dxfId="2804" priority="1386">
      <formula>#REF!="Applicant Signatures"</formula>
    </cfRule>
  </conditionalFormatting>
  <conditionalFormatting sqref="A1454">
    <cfRule type="expression" dxfId="2803" priority="1385">
      <formula>#REF!="Cash"</formula>
    </cfRule>
  </conditionalFormatting>
  <conditionalFormatting sqref="A1454">
    <cfRule type="expression" dxfId="2802" priority="1384">
      <formula>#REF!="Applicant Signatures"</formula>
    </cfRule>
  </conditionalFormatting>
  <conditionalFormatting sqref="B1454:P1454 AB1454 R1454:S1454 U1454:Z1454">
    <cfRule type="expression" dxfId="2801" priority="1383">
      <formula>$O1454="Applicant Signatures"</formula>
    </cfRule>
  </conditionalFormatting>
  <conditionalFormatting sqref="Q1454">
    <cfRule type="expression" dxfId="2800" priority="1382">
      <formula>$H1454="Cash"</formula>
    </cfRule>
  </conditionalFormatting>
  <conditionalFormatting sqref="Q1454">
    <cfRule type="expression" dxfId="2799" priority="1381">
      <formula>$O1454="Applicant Signatures"</formula>
    </cfRule>
  </conditionalFormatting>
  <conditionalFormatting sqref="B1454:P1454 R1454:S1454 U1454:X1454">
    <cfRule type="expression" dxfId="2798" priority="1378">
      <formula>$H1454="Cash"</formula>
    </cfRule>
  </conditionalFormatting>
  <conditionalFormatting sqref="Q1455:Q1464">
    <cfRule type="expression" dxfId="2797" priority="1376">
      <formula>#REF!="Cash"</formula>
    </cfRule>
  </conditionalFormatting>
  <conditionalFormatting sqref="Q1455:Q1464">
    <cfRule type="expression" dxfId="2796" priority="1377">
      <formula>#REF!="Applicant Signatures"</formula>
    </cfRule>
  </conditionalFormatting>
  <conditionalFormatting sqref="A1455:A1464">
    <cfRule type="expression" dxfId="2795" priority="1375">
      <formula>#REF!="Cash"</formula>
    </cfRule>
  </conditionalFormatting>
  <conditionalFormatting sqref="A1455:A1464">
    <cfRule type="expression" dxfId="2794" priority="1374">
      <formula>#REF!="Applicant Signatures"</formula>
    </cfRule>
  </conditionalFormatting>
  <conditionalFormatting sqref="A1455:A1464">
    <cfRule type="expression" dxfId="2793" priority="1373">
      <formula>#REF!="Cash"</formula>
    </cfRule>
  </conditionalFormatting>
  <conditionalFormatting sqref="A1455:A1464">
    <cfRule type="expression" dxfId="2792" priority="1372">
      <formula>#REF!="Applicant Signatures"</formula>
    </cfRule>
  </conditionalFormatting>
  <conditionalFormatting sqref="B1455:P1455 AB1455:AB1464 R1455:S1464 U1462:Z1464 B1456:M1464 O1456:P1456 U1455:Z1455 O1461:P1464 P1457:P1460 U1456:W1461 Y1456:Z1461">
    <cfRule type="expression" dxfId="2791" priority="1371">
      <formula>$O1455="Applicant Signatures"</formula>
    </cfRule>
  </conditionalFormatting>
  <conditionalFormatting sqref="Q1455:Q1464">
    <cfRule type="expression" dxfId="2790" priority="1370">
      <formula>$H1455="Cash"</formula>
    </cfRule>
  </conditionalFormatting>
  <conditionalFormatting sqref="Q1455:Q1464">
    <cfRule type="expression" dxfId="2789" priority="1369">
      <formula>$O1455="Applicant Signatures"</formula>
    </cfRule>
  </conditionalFormatting>
  <conditionalFormatting sqref="B1455:P1455 R1455:S1455 U1455:X1455">
    <cfRule type="expression" dxfId="2788" priority="1366">
      <formula>$H1455="Cash"</formula>
    </cfRule>
  </conditionalFormatting>
  <conditionalFormatting sqref="B1456:M1456 R1456:S1456 U1456:W1456 O1456:P1456">
    <cfRule type="expression" dxfId="2787" priority="1359">
      <formula>$H1456="Cash"</formula>
    </cfRule>
  </conditionalFormatting>
  <conditionalFormatting sqref="N1456:N1464">
    <cfRule type="expression" dxfId="2786" priority="1356">
      <formula>$O1456="Applicant Signatures"</formula>
    </cfRule>
  </conditionalFormatting>
  <conditionalFormatting sqref="N1456:N1464">
    <cfRule type="expression" dxfId="2785" priority="1355">
      <formula>$H1456="Cash"</formula>
    </cfRule>
  </conditionalFormatting>
  <conditionalFormatting sqref="N1456:N1464">
    <cfRule type="expression" dxfId="2784" priority="1354">
      <formula>$O1456="Applicant Signatures"</formula>
    </cfRule>
  </conditionalFormatting>
  <conditionalFormatting sqref="R1457:S1460 B1457:M1460 P1457:P1460 U1457:W1460">
    <cfRule type="expression" dxfId="2783" priority="1352">
      <formula>$H1457="Cash"</formula>
    </cfRule>
  </conditionalFormatting>
  <conditionalFormatting sqref="B1461:M1461 R1461:S1461 U1461:W1461 O1461:P1461">
    <cfRule type="expression" dxfId="2782" priority="1351">
      <formula>$H1461="Cash"</formula>
    </cfRule>
  </conditionalFormatting>
  <conditionalFormatting sqref="B1462:M1464 R1462:S1464 U1462:X1464 O1462:P1464">
    <cfRule type="expression" dxfId="2781" priority="1350">
      <formula>$H1462="Cash"</formula>
    </cfRule>
  </conditionalFormatting>
  <conditionalFormatting sqref="Q1465:Q1466">
    <cfRule type="expression" dxfId="2780" priority="1348">
      <formula>#REF!="Cash"</formula>
    </cfRule>
  </conditionalFormatting>
  <conditionalFormatting sqref="Q1465:Q1466">
    <cfRule type="expression" dxfId="2779" priority="1349">
      <formula>#REF!="Applicant Signatures"</formula>
    </cfRule>
  </conditionalFormatting>
  <conditionalFormatting sqref="A1465:A1466">
    <cfRule type="expression" dxfId="2778" priority="1347">
      <formula>#REF!="Cash"</formula>
    </cfRule>
  </conditionalFormatting>
  <conditionalFormatting sqref="A1465:A1466">
    <cfRule type="expression" dxfId="2777" priority="1346">
      <formula>#REF!="Applicant Signatures"</formula>
    </cfRule>
  </conditionalFormatting>
  <conditionalFormatting sqref="A1465:A1466">
    <cfRule type="expression" dxfId="2776" priority="1345">
      <formula>#REF!="Cash"</formula>
    </cfRule>
  </conditionalFormatting>
  <conditionalFormatting sqref="A1465:A1466">
    <cfRule type="expression" dxfId="2775" priority="1344">
      <formula>#REF!="Applicant Signatures"</formula>
    </cfRule>
  </conditionalFormatting>
  <conditionalFormatting sqref="B1465:X1465">
    <cfRule type="expression" dxfId="2774" priority="1343">
      <formula>$H1465="Cash"</formula>
    </cfRule>
  </conditionalFormatting>
  <conditionalFormatting sqref="AB1465:AB1466 B1465:Z1466">
    <cfRule type="expression" dxfId="2773" priority="1342">
      <formula>$O1465="Applicant Signatures"</formula>
    </cfRule>
  </conditionalFormatting>
  <conditionalFormatting sqref="B1466:X1466">
    <cfRule type="expression" dxfId="2772" priority="1341">
      <formula>$H1466="Cash"</formula>
    </cfRule>
  </conditionalFormatting>
  <conditionalFormatting sqref="Q1467">
    <cfRule type="expression" dxfId="2771" priority="1337">
      <formula>#REF!="Cash"</formula>
    </cfRule>
  </conditionalFormatting>
  <conditionalFormatting sqref="Q1467">
    <cfRule type="expression" dxfId="2770" priority="1338">
      <formula>#REF!="Applicant Signatures"</formula>
    </cfRule>
  </conditionalFormatting>
  <conditionalFormatting sqref="A1467">
    <cfRule type="expression" dxfId="2769" priority="1336">
      <formula>#REF!="Cash"</formula>
    </cfRule>
  </conditionalFormatting>
  <conditionalFormatting sqref="A1467">
    <cfRule type="expression" dxfId="2768" priority="1335">
      <formula>#REF!="Applicant Signatures"</formula>
    </cfRule>
  </conditionalFormatting>
  <conditionalFormatting sqref="A1467">
    <cfRule type="expression" dxfId="2767" priority="1334">
      <formula>#REF!="Cash"</formula>
    </cfRule>
  </conditionalFormatting>
  <conditionalFormatting sqref="A1467">
    <cfRule type="expression" dxfId="2766" priority="1333">
      <formula>#REF!="Applicant Signatures"</formula>
    </cfRule>
  </conditionalFormatting>
  <conditionalFormatting sqref="AB1467 R1467:S1467 U1467:W1467 B1467:M1467 P1467 Y1467:Z1467">
    <cfRule type="expression" dxfId="2765" priority="1332">
      <formula>$O1467="Applicant Signatures"</formula>
    </cfRule>
  </conditionalFormatting>
  <conditionalFormatting sqref="Q1467">
    <cfRule type="expression" dxfId="2764" priority="1331">
      <formula>$H1467="Cash"</formula>
    </cfRule>
  </conditionalFormatting>
  <conditionalFormatting sqref="Q1467">
    <cfRule type="expression" dxfId="2763" priority="1330">
      <formula>$O1467="Applicant Signatures"</formula>
    </cfRule>
  </conditionalFormatting>
  <conditionalFormatting sqref="N1467">
    <cfRule type="expression" dxfId="2762" priority="1329">
      <formula>$O1467="Applicant Signatures"</formula>
    </cfRule>
  </conditionalFormatting>
  <conditionalFormatting sqref="N1467">
    <cfRule type="expression" dxfId="2761" priority="1328">
      <formula>$H1467="Cash"</formula>
    </cfRule>
  </conditionalFormatting>
  <conditionalFormatting sqref="N1467">
    <cfRule type="expression" dxfId="2760" priority="1327">
      <formula>$O1467="Applicant Signatures"</formula>
    </cfRule>
  </conditionalFormatting>
  <conditionalFormatting sqref="B1467:M1467 R1467:S1467 U1467:W1467 P1467">
    <cfRule type="expression" dxfId="2759" priority="1326">
      <formula>$H1467="Cash"</formula>
    </cfRule>
  </conditionalFormatting>
  <conditionalFormatting sqref="R1466">
    <cfRule type="expression" dxfId="2758" priority="1325">
      <formula>$H1466="Cash"</formula>
    </cfRule>
  </conditionalFormatting>
  <conditionalFormatting sqref="X1468">
    <cfRule type="expression" dxfId="2757" priority="1321">
      <formula>$H1468="Cash"</formula>
    </cfRule>
  </conditionalFormatting>
  <conditionalFormatting sqref="X1468">
    <cfRule type="expression" dxfId="2756" priority="1320">
      <formula>$H1468="Cash"</formula>
    </cfRule>
  </conditionalFormatting>
  <conditionalFormatting sqref="X1468">
    <cfRule type="expression" dxfId="2755" priority="1319">
      <formula>$H1468="Cash"</formula>
    </cfRule>
  </conditionalFormatting>
  <conditionalFormatting sqref="B1468:P1468 R1468:Z1468 AB1468">
    <cfRule type="expression" dxfId="2754" priority="1318">
      <formula>$O1468="Applicant Signatures"</formula>
    </cfRule>
  </conditionalFormatting>
  <conditionalFormatting sqref="B1468:P1468 R1468:X1468">
    <cfRule type="expression" dxfId="2753" priority="1317">
      <formula>$H1468="Cash"</formula>
    </cfRule>
  </conditionalFormatting>
  <conditionalFormatting sqref="B1468:P1468 R1468:Z1468 AB1468">
    <cfRule type="expression" dxfId="2752" priority="1316">
      <formula>$O1468="Applicant Signatures"</formula>
    </cfRule>
  </conditionalFormatting>
  <conditionalFormatting sqref="X1468">
    <cfRule type="expression" dxfId="2751" priority="1315">
      <formula>$O1468="Applicant Signatures"</formula>
    </cfRule>
  </conditionalFormatting>
  <conditionalFormatting sqref="X1468">
    <cfRule type="expression" dxfId="2750" priority="1314">
      <formula>$H1468="Cash"</formula>
    </cfRule>
  </conditionalFormatting>
  <conditionalFormatting sqref="X1468">
    <cfRule type="expression" dxfId="2749" priority="1313">
      <formula>$O1468="Applicant Signatures"</formula>
    </cfRule>
  </conditionalFormatting>
  <conditionalFormatting sqref="T1480:T1485 T1469:T1478">
    <cfRule type="expression" dxfId="2748" priority="1312">
      <formula>$H1469="Cash"</formula>
    </cfRule>
  </conditionalFormatting>
  <conditionalFormatting sqref="T1480:T1485 T1469:T1478">
    <cfRule type="expression" dxfId="2747" priority="1311">
      <formula>$O1469="Applicant Signatures"</formula>
    </cfRule>
  </conditionalFormatting>
  <conditionalFormatting sqref="Q1469:Q1485">
    <cfRule type="expression" dxfId="2746" priority="1309">
      <formula>#REF!="Cash"</formula>
    </cfRule>
  </conditionalFormatting>
  <conditionalFormatting sqref="Q1469:Q1485">
    <cfRule type="expression" dxfId="2745" priority="1310">
      <formula>#REF!="Applicant Signatures"</formula>
    </cfRule>
  </conditionalFormatting>
  <conditionalFormatting sqref="A1469:A1485">
    <cfRule type="expression" dxfId="2744" priority="1308">
      <formula>#REF!="Cash"</formula>
    </cfRule>
  </conditionalFormatting>
  <conditionalFormatting sqref="A1469:A1485">
    <cfRule type="expression" dxfId="2743" priority="1307">
      <formula>#REF!="Applicant Signatures"</formula>
    </cfRule>
  </conditionalFormatting>
  <conditionalFormatting sqref="A1469:A1485">
    <cfRule type="expression" dxfId="2742" priority="1306">
      <formula>#REF!="Cash"</formula>
    </cfRule>
  </conditionalFormatting>
  <conditionalFormatting sqref="A1469:A1485">
    <cfRule type="expression" dxfId="2741" priority="1305">
      <formula>#REF!="Applicant Signatures"</formula>
    </cfRule>
  </conditionalFormatting>
  <conditionalFormatting sqref="AB1469:AB1485 R1469:S1485 B1469:M1485 O1469:P1485 U1481:V1482 X1481:Z1482 U1483:Z1485 U1469:Z1480">
    <cfRule type="expression" dxfId="2740" priority="1304">
      <formula>$O1469="Applicant Signatures"</formula>
    </cfRule>
  </conditionalFormatting>
  <conditionalFormatting sqref="Q1469:Q1485">
    <cfRule type="expression" dxfId="2739" priority="1303">
      <formula>$H1469="Cash"</formula>
    </cfRule>
  </conditionalFormatting>
  <conditionalFormatting sqref="Q1469:Q1485">
    <cfRule type="expression" dxfId="2738" priority="1302">
      <formula>$O1469="Applicant Signatures"</formula>
    </cfRule>
  </conditionalFormatting>
  <conditionalFormatting sqref="N1469:N1485">
    <cfRule type="expression" dxfId="2737" priority="1301">
      <formula>$O1469="Applicant Signatures"</formula>
    </cfRule>
  </conditionalFormatting>
  <conditionalFormatting sqref="N1469:N1485">
    <cfRule type="expression" dxfId="2736" priority="1300">
      <formula>$H1469="Cash"</formula>
    </cfRule>
  </conditionalFormatting>
  <conditionalFormatting sqref="N1469:N1485">
    <cfRule type="expression" dxfId="2735" priority="1299">
      <formula>$O1469="Applicant Signatures"</formula>
    </cfRule>
  </conditionalFormatting>
  <conditionalFormatting sqref="B1469:M1469 R1469:S1469 U1469:X1469 O1469:P1469">
    <cfRule type="expression" dxfId="2734" priority="1298">
      <formula>$H1469="Cash"</formula>
    </cfRule>
  </conditionalFormatting>
  <conditionalFormatting sqref="B1470:M1470 R1470:S1470 U1470:X1470 O1470:P1470">
    <cfRule type="expression" dxfId="2733" priority="1291">
      <formula>$H1470="Cash"</formula>
    </cfRule>
  </conditionalFormatting>
  <conditionalFormatting sqref="B1471:M1477 R1471:S1477 O1471:P1477 U1471:X1477">
    <cfRule type="expression" dxfId="2732" priority="1290">
      <formula>$H1471="Cash"</formula>
    </cfRule>
  </conditionalFormatting>
  <conditionalFormatting sqref="T1463:T1464">
    <cfRule type="expression" dxfId="2731" priority="1288">
      <formula>$O1463="Applicant Signatures"</formula>
    </cfRule>
  </conditionalFormatting>
  <conditionalFormatting sqref="T1463:T1464">
    <cfRule type="expression" dxfId="2730" priority="1287">
      <formula>$H1463="Cash"</formula>
    </cfRule>
  </conditionalFormatting>
  <conditionalFormatting sqref="B1478:M1478 R1478:S1478 U1478:X1478 O1478:P1478">
    <cfRule type="expression" dxfId="2729" priority="1286">
      <formula>$H1478="Cash"</formula>
    </cfRule>
  </conditionalFormatting>
  <conditionalFormatting sqref="T1306">
    <cfRule type="expression" dxfId="2728" priority="1285">
      <formula>$H1306="Cash"</formula>
    </cfRule>
  </conditionalFormatting>
  <conditionalFormatting sqref="T1306">
    <cfRule type="expression" dxfId="2727" priority="1284">
      <formula>$O1306="Applicant Signatures"</formula>
    </cfRule>
  </conditionalFormatting>
  <conditionalFormatting sqref="T1306">
    <cfRule type="expression" dxfId="2726" priority="1283">
      <formula>$H1306="Cash"</formula>
    </cfRule>
  </conditionalFormatting>
  <conditionalFormatting sqref="T1306">
    <cfRule type="expression" dxfId="2725" priority="1282">
      <formula>$O1306="Applicant Signatures"</formula>
    </cfRule>
  </conditionalFormatting>
  <conditionalFormatting sqref="X1440">
    <cfRule type="expression" dxfId="2724" priority="1281">
      <formula>$H1440="Cash"</formula>
    </cfRule>
  </conditionalFormatting>
  <conditionalFormatting sqref="X1440">
    <cfRule type="expression" dxfId="2723" priority="1280">
      <formula>$O1440="Applicant Signatures"</formula>
    </cfRule>
  </conditionalFormatting>
  <conditionalFormatting sqref="X1448">
    <cfRule type="expression" dxfId="2722" priority="1277">
      <formula>$H1448="Cash"</formula>
    </cfRule>
  </conditionalFormatting>
  <conditionalFormatting sqref="X1448">
    <cfRule type="expression" dxfId="2721" priority="1276">
      <formula>$O1448="Applicant Signatures"</formula>
    </cfRule>
  </conditionalFormatting>
  <conditionalFormatting sqref="X1451">
    <cfRule type="expression" dxfId="2720" priority="1275">
      <formula>$H1451="Cash"</formula>
    </cfRule>
  </conditionalFormatting>
  <conditionalFormatting sqref="X1451">
    <cfRule type="expression" dxfId="2719" priority="1274">
      <formula>$O1451="Applicant Signatures"</formula>
    </cfRule>
  </conditionalFormatting>
  <conditionalFormatting sqref="V1433">
    <cfRule type="expression" dxfId="2718" priority="1273">
      <formula>$H1433="Cash"</formula>
    </cfRule>
  </conditionalFormatting>
  <conditionalFormatting sqref="V1433">
    <cfRule type="expression" dxfId="2717" priority="1272">
      <formula>$O1433="Applicant Signatures"</formula>
    </cfRule>
  </conditionalFormatting>
  <conditionalFormatting sqref="V1433">
    <cfRule type="expression" dxfId="2716" priority="1271">
      <formula>$H1433="Cash"</formula>
    </cfRule>
  </conditionalFormatting>
  <conditionalFormatting sqref="V1433">
    <cfRule type="expression" dxfId="2715" priority="1270">
      <formula>$O1433="Applicant Signatures"</formula>
    </cfRule>
  </conditionalFormatting>
  <conditionalFormatting sqref="B1479:M1479 R1479:S1479 U1479:X1479 O1479:P1479">
    <cfRule type="expression" dxfId="2714" priority="1265">
      <formula>$H1479="Cash"</formula>
    </cfRule>
  </conditionalFormatting>
  <conditionalFormatting sqref="B1480:M1480 R1480:S1480 U1480:X1480 O1480:P1480">
    <cfRule type="expression" dxfId="2713" priority="1264">
      <formula>$H1480="Cash"</formula>
    </cfRule>
  </conditionalFormatting>
  <conditionalFormatting sqref="B1481:M1481 R1481:S1481 U1481:V1481 O1481:P1481 X1481">
    <cfRule type="expression" dxfId="2712" priority="1263">
      <formula>$H1481="Cash"</formula>
    </cfRule>
  </conditionalFormatting>
  <conditionalFormatting sqref="B1482:M1482 R1482:S1482 U1482:V1482 O1482:P1482 X1482">
    <cfRule type="expression" dxfId="2711" priority="1262">
      <formula>$H1482="Cash"</formula>
    </cfRule>
  </conditionalFormatting>
  <conditionalFormatting sqref="B1483:M1483 R1483:S1483 U1483:X1483 O1483:P1483">
    <cfRule type="expression" dxfId="2710" priority="1261">
      <formula>$H1483="Cash"</formula>
    </cfRule>
  </conditionalFormatting>
  <conditionalFormatting sqref="B1484:M1484 R1484:S1484 U1484:X1484 O1484:P1484">
    <cfRule type="expression" dxfId="2709" priority="1260">
      <formula>$H1484="Cash"</formula>
    </cfRule>
  </conditionalFormatting>
  <conditionalFormatting sqref="B1485:M1485 R1485:S1485 U1485:X1485 O1485:P1485">
    <cfRule type="expression" dxfId="2708" priority="1259">
      <formula>$H1485="Cash"</formula>
    </cfRule>
  </conditionalFormatting>
  <conditionalFormatting sqref="X1450">
    <cfRule type="expression" dxfId="2707" priority="1258">
      <formula>$O1450="Applicant Signatures"</formula>
    </cfRule>
  </conditionalFormatting>
  <conditionalFormatting sqref="X1450">
    <cfRule type="expression" dxfId="2706" priority="1257">
      <formula>$H1450="Cash"</formula>
    </cfRule>
  </conditionalFormatting>
  <conditionalFormatting sqref="X1461">
    <cfRule type="expression" dxfId="2705" priority="1256">
      <formula>$O1461="Applicant Signatures"</formula>
    </cfRule>
  </conditionalFormatting>
  <conditionalFormatting sqref="X1461">
    <cfRule type="expression" dxfId="2704" priority="1255">
      <formula>$H1461="Cash"</formula>
    </cfRule>
  </conditionalFormatting>
  <conditionalFormatting sqref="A1486">
    <cfRule type="expression" dxfId="2703" priority="1254">
      <formula>#REF!="Cash"</formula>
    </cfRule>
  </conditionalFormatting>
  <conditionalFormatting sqref="A1486">
    <cfRule type="expression" dxfId="2702" priority="1253">
      <formula>#REF!="Applicant Signatures"</formula>
    </cfRule>
  </conditionalFormatting>
  <conditionalFormatting sqref="A1486">
    <cfRule type="expression" dxfId="2701" priority="1252">
      <formula>#REF!="Cash"</formula>
    </cfRule>
  </conditionalFormatting>
  <conditionalFormatting sqref="A1486">
    <cfRule type="expression" dxfId="2700" priority="1251">
      <formula>#REF!="Applicant Signatures"</formula>
    </cfRule>
  </conditionalFormatting>
  <conditionalFormatting sqref="Q1486">
    <cfRule type="expression" dxfId="2699" priority="1249">
      <formula>#REF!="Cash"</formula>
    </cfRule>
  </conditionalFormatting>
  <conditionalFormatting sqref="Q1486">
    <cfRule type="expression" dxfId="2698" priority="1250">
      <formula>#REF!="Applicant Signatures"</formula>
    </cfRule>
  </conditionalFormatting>
  <conditionalFormatting sqref="AB1486 B1486:S1486 Y1486:Z1486 U1486:W1486">
    <cfRule type="expression" dxfId="2697" priority="1248">
      <formula>$O1486="Applicant Signatures"</formula>
    </cfRule>
  </conditionalFormatting>
  <conditionalFormatting sqref="B1486:S1486 U1486:W1486">
    <cfRule type="expression" dxfId="2696" priority="1247">
      <formula>$H1486="Cash"</formula>
    </cfRule>
  </conditionalFormatting>
  <conditionalFormatting sqref="Q1487:Q1496">
    <cfRule type="expression" dxfId="2695" priority="1243">
      <formula>#REF!="Cash"</formula>
    </cfRule>
  </conditionalFormatting>
  <conditionalFormatting sqref="Q1487:Q1496">
    <cfRule type="expression" dxfId="2694" priority="1244">
      <formula>#REF!="Applicant Signatures"</formula>
    </cfRule>
  </conditionalFormatting>
  <conditionalFormatting sqref="A1487:A1496">
    <cfRule type="expression" dxfId="2693" priority="1242">
      <formula>#REF!="Cash"</formula>
    </cfRule>
  </conditionalFormatting>
  <conditionalFormatting sqref="A1487:A1496">
    <cfRule type="expression" dxfId="2692" priority="1241">
      <formula>#REF!="Applicant Signatures"</formula>
    </cfRule>
  </conditionalFormatting>
  <conditionalFormatting sqref="A1487:A1496">
    <cfRule type="expression" dxfId="2691" priority="1240">
      <formula>#REF!="Cash"</formula>
    </cfRule>
  </conditionalFormatting>
  <conditionalFormatting sqref="A1487:A1496">
    <cfRule type="expression" dxfId="2690" priority="1239">
      <formula>#REF!="Applicant Signatures"</formula>
    </cfRule>
  </conditionalFormatting>
  <conditionalFormatting sqref="B1487:M1487 R1487:S1487 U1487:X1487 O1487:P1487">
    <cfRule type="expression" dxfId="2689" priority="1232">
      <formula>$H1487="Cash"</formula>
    </cfRule>
  </conditionalFormatting>
  <conditionalFormatting sqref="B1488:M1488 R1488:S1488 U1488:X1488 O1488:P1488">
    <cfRule type="expression" dxfId="2688" priority="1230">
      <formula>$H1488="Cash"</formula>
    </cfRule>
  </conditionalFormatting>
  <conditionalFormatting sqref="T1479">
    <cfRule type="expression" dxfId="2687" priority="1229">
      <formula>$O1479="Applicant Signatures"</formula>
    </cfRule>
  </conditionalFormatting>
  <conditionalFormatting sqref="T1479">
    <cfRule type="expression" dxfId="2686" priority="1228">
      <formula>$H1479="Cash"</formula>
    </cfRule>
  </conditionalFormatting>
  <conditionalFormatting sqref="A1489:U1489 W1489:AB1489">
    <cfRule type="expression" dxfId="2685" priority="1225">
      <formula>$O1489="Applicant Signatures"</formula>
    </cfRule>
  </conditionalFormatting>
  <conditionalFormatting sqref="B1489:M1489 R1489:S1489 U1489 O1489:P1489 W1489:X1489">
    <cfRule type="expression" dxfId="2684" priority="1224">
      <formula>$H1489="Cash"</formula>
    </cfRule>
  </conditionalFormatting>
  <conditionalFormatting sqref="A1490:AB1490">
    <cfRule type="expression" dxfId="2683" priority="1223">
      <formula>$O1490="Applicant Signatures"</formula>
    </cfRule>
  </conditionalFormatting>
  <conditionalFormatting sqref="B1490:M1490 R1490:S1490 U1490:X1490 O1490:P1490">
    <cfRule type="expression" dxfId="2682" priority="1222">
      <formula>$H1490="Cash"</formula>
    </cfRule>
  </conditionalFormatting>
  <conditionalFormatting sqref="A1491:AB1491">
    <cfRule type="expression" dxfId="2681" priority="1221">
      <formula>$O1491="Applicant Signatures"</formula>
    </cfRule>
  </conditionalFormatting>
  <conditionalFormatting sqref="B1491:M1491 R1491:S1491 U1491:X1491 O1491:P1491">
    <cfRule type="expression" dxfId="2680" priority="1220">
      <formula>$H1491="Cash"</formula>
    </cfRule>
  </conditionalFormatting>
  <conditionalFormatting sqref="A1492:AB1492">
    <cfRule type="expression" dxfId="2679" priority="1219">
      <formula>$O1492="Applicant Signatures"</formula>
    </cfRule>
  </conditionalFormatting>
  <conditionalFormatting sqref="B1492:M1492 R1492:S1492 U1492:X1492 O1492:P1492">
    <cfRule type="expression" dxfId="2678" priority="1218">
      <formula>$H1492="Cash"</formula>
    </cfRule>
  </conditionalFormatting>
  <conditionalFormatting sqref="A1493:N1493 U1493:AB1493 P1493:S1493">
    <cfRule type="expression" dxfId="2677" priority="1217">
      <formula>$O1493="Applicant Signatures"</formula>
    </cfRule>
  </conditionalFormatting>
  <conditionalFormatting sqref="B1493:M1493 R1493:S1493 U1493:X1493 P1493">
    <cfRule type="expression" dxfId="2676" priority="1216">
      <formula>$H1493="Cash"</formula>
    </cfRule>
  </conditionalFormatting>
  <conditionalFormatting sqref="A1494:N1494 Y1494:AB1494 U1494:W1494 P1494:S1494">
    <cfRule type="expression" dxfId="2675" priority="1215">
      <formula>$O1494="Applicant Signatures"</formula>
    </cfRule>
  </conditionalFormatting>
  <conditionalFormatting sqref="B1494:M1494 R1494:S1494 U1494:W1494 P1494">
    <cfRule type="expression" dxfId="2674" priority="1214">
      <formula>$H1494="Cash"</formula>
    </cfRule>
  </conditionalFormatting>
  <conditionalFormatting sqref="A1495:AB1495">
    <cfRule type="expression" dxfId="2673" priority="1213">
      <formula>$O1495="Applicant Signatures"</formula>
    </cfRule>
  </conditionalFormatting>
  <conditionalFormatting sqref="B1495:M1495 R1495:S1495 U1495:X1495 O1495:P1495">
    <cfRule type="expression" dxfId="2672" priority="1212">
      <formula>$H1495="Cash"</formula>
    </cfRule>
  </conditionalFormatting>
  <conditionalFormatting sqref="X1421 X1374 X1346 X1344">
    <cfRule type="expression" dxfId="2671" priority="1211">
      <formula>$H1344="Cash"</formula>
    </cfRule>
  </conditionalFormatting>
  <conditionalFormatting sqref="X1421 X1374 X1346 X1344">
    <cfRule type="expression" dxfId="2670" priority="1210">
      <formula>$H1344="Cash"</formula>
    </cfRule>
  </conditionalFormatting>
  <conditionalFormatting sqref="X1421 X1374 X1346 X1344">
    <cfRule type="expression" dxfId="2669" priority="1209">
      <formula>$H1344="Cash"</formula>
    </cfRule>
  </conditionalFormatting>
  <conditionalFormatting sqref="X1421 X1374 X1346 X1344">
    <cfRule type="expression" dxfId="2668" priority="1208">
      <formula>$O1344="Applicant Signatures"</formula>
    </cfRule>
  </conditionalFormatting>
  <conditionalFormatting sqref="X1421 X1374 X1346 X1344">
    <cfRule type="expression" dxfId="2667" priority="1207">
      <formula>$H1344="Cash"</formula>
    </cfRule>
  </conditionalFormatting>
  <conditionalFormatting sqref="X1421 X1374 X1346 X1344">
    <cfRule type="expression" dxfId="2666" priority="1206">
      <formula>$O1344="Applicant Signatures"</formula>
    </cfRule>
  </conditionalFormatting>
  <conditionalFormatting sqref="V1357">
    <cfRule type="expression" dxfId="2665" priority="1197">
      <formula>$H1357="Cash"</formula>
    </cfRule>
  </conditionalFormatting>
  <conditionalFormatting sqref="V1357">
    <cfRule type="expression" dxfId="2664" priority="1196">
      <formula>$O1357="Applicant Signatures"</formula>
    </cfRule>
  </conditionalFormatting>
  <conditionalFormatting sqref="V1357">
    <cfRule type="expression" dxfId="2663" priority="1195">
      <formula>$H1357="Cash"</formula>
    </cfRule>
  </conditionalFormatting>
  <conditionalFormatting sqref="V1357">
    <cfRule type="expression" dxfId="2662" priority="1194">
      <formula>$O1357="Applicant Signatures"</formula>
    </cfRule>
  </conditionalFormatting>
  <conditionalFormatting sqref="V1328">
    <cfRule type="expression" dxfId="2661" priority="1181">
      <formula>$H1328="Cash"</formula>
    </cfRule>
  </conditionalFormatting>
  <conditionalFormatting sqref="V1328">
    <cfRule type="expression" dxfId="2660" priority="1180">
      <formula>$O1328="Applicant Signatures"</formula>
    </cfRule>
  </conditionalFormatting>
  <conditionalFormatting sqref="V1370">
    <cfRule type="expression" dxfId="2659" priority="1177">
      <formula>$H1370="Cash"</formula>
    </cfRule>
  </conditionalFormatting>
  <conditionalFormatting sqref="V1370">
    <cfRule type="expression" dxfId="2658" priority="1176">
      <formula>$O1370="Applicant Signatures"</formula>
    </cfRule>
  </conditionalFormatting>
  <conditionalFormatting sqref="V1398">
    <cfRule type="expression" dxfId="2657" priority="1175">
      <formula>$H1398="Cash"</formula>
    </cfRule>
  </conditionalFormatting>
  <conditionalFormatting sqref="V1398">
    <cfRule type="expression" dxfId="2656" priority="1174">
      <formula>$O1398="Applicant Signatures"</formula>
    </cfRule>
  </conditionalFormatting>
  <conditionalFormatting sqref="V1431:V1432">
    <cfRule type="expression" dxfId="2655" priority="1171">
      <formula>$H1431="Cash"</formula>
    </cfRule>
  </conditionalFormatting>
  <conditionalFormatting sqref="V1431:V1432">
    <cfRule type="expression" dxfId="2654" priority="1170">
      <formula>$O1431="Applicant Signatures"</formula>
    </cfRule>
  </conditionalFormatting>
  <conditionalFormatting sqref="X1429">
    <cfRule type="expression" dxfId="2653" priority="1167">
      <formula>$O1429="Applicant Signatures"</formula>
    </cfRule>
  </conditionalFormatting>
  <conditionalFormatting sqref="X1429">
    <cfRule type="expression" dxfId="2652" priority="1166">
      <formula>$H1429="Cash"</formula>
    </cfRule>
  </conditionalFormatting>
  <conditionalFormatting sqref="X1494">
    <cfRule type="expression" dxfId="2651" priority="1165">
      <formula>$O1494="Applicant Signatures"</formula>
    </cfRule>
  </conditionalFormatting>
  <conditionalFormatting sqref="X1494">
    <cfRule type="expression" dxfId="2650" priority="1164">
      <formula>$H1494="Cash"</formula>
    </cfRule>
  </conditionalFormatting>
  <conditionalFormatting sqref="A1496:AB1496">
    <cfRule type="expression" dxfId="2649" priority="1163">
      <formula>$O1496="Applicant Signatures"</formula>
    </cfRule>
  </conditionalFormatting>
  <conditionalFormatting sqref="B1496:M1496 R1496:S1496 U1496:X1496 O1496:P1496">
    <cfRule type="expression" dxfId="2648" priority="1162">
      <formula>$H1496="Cash"</formula>
    </cfRule>
  </conditionalFormatting>
  <conditionalFormatting sqref="O1457">
    <cfRule type="expression" dxfId="2647" priority="1155">
      <formula>$H1457="Cash"</formula>
    </cfRule>
  </conditionalFormatting>
  <conditionalFormatting sqref="O1457">
    <cfRule type="expression" dxfId="2646" priority="1154">
      <formula>$O1457="Applicant Signatures"</formula>
    </cfRule>
  </conditionalFormatting>
  <conditionalFormatting sqref="X1467 X1457:X1460">
    <cfRule type="expression" dxfId="2645" priority="1153">
      <formula>$O1457="Applicant Signatures"</formula>
    </cfRule>
  </conditionalFormatting>
  <conditionalFormatting sqref="X1467 X1457:X1460">
    <cfRule type="expression" dxfId="2644" priority="1152">
      <formula>$H1457="Cash"</formula>
    </cfRule>
  </conditionalFormatting>
  <conditionalFormatting sqref="X1447">
    <cfRule type="expression" dxfId="2643" priority="1143">
      <formula>$H1447="Cash"</formula>
    </cfRule>
  </conditionalFormatting>
  <conditionalFormatting sqref="X1447">
    <cfRule type="expression" dxfId="2642" priority="1142">
      <formula>$O1447="Applicant Signatures"</formula>
    </cfRule>
  </conditionalFormatting>
  <conditionalFormatting sqref="X1389">
    <cfRule type="expression" dxfId="2641" priority="1135">
      <formula>$H1389="Cash"</formula>
    </cfRule>
  </conditionalFormatting>
  <conditionalFormatting sqref="X1389">
    <cfRule type="expression" dxfId="2640" priority="1134">
      <formula>$H1389="Cash"</formula>
    </cfRule>
  </conditionalFormatting>
  <conditionalFormatting sqref="X1389">
    <cfRule type="expression" dxfId="2639" priority="1133">
      <formula>$H1389="Cash"</formula>
    </cfRule>
  </conditionalFormatting>
  <conditionalFormatting sqref="X1389">
    <cfRule type="expression" dxfId="2638" priority="1132">
      <formula>$O1389="Applicant Signatures"</formula>
    </cfRule>
  </conditionalFormatting>
  <conditionalFormatting sqref="X1389">
    <cfRule type="expression" dxfId="2637" priority="1131">
      <formula>$H1389="Cash"</formula>
    </cfRule>
  </conditionalFormatting>
  <conditionalFormatting sqref="X1389">
    <cfRule type="expression" dxfId="2636" priority="1130">
      <formula>$O1389="Applicant Signatures"</formula>
    </cfRule>
  </conditionalFormatting>
  <conditionalFormatting sqref="X1415">
    <cfRule type="expression" dxfId="2635" priority="1129">
      <formula>$H1415="Cash"</formula>
    </cfRule>
  </conditionalFormatting>
  <conditionalFormatting sqref="X1415">
    <cfRule type="expression" dxfId="2634" priority="1128">
      <formula>$H1415="Cash"</formula>
    </cfRule>
  </conditionalFormatting>
  <conditionalFormatting sqref="X1415">
    <cfRule type="expression" dxfId="2633" priority="1127">
      <formula>$H1415="Cash"</formula>
    </cfRule>
  </conditionalFormatting>
  <conditionalFormatting sqref="X1415">
    <cfRule type="expression" dxfId="2632" priority="1126">
      <formula>$O1415="Applicant Signatures"</formula>
    </cfRule>
  </conditionalFormatting>
  <conditionalFormatting sqref="X1415">
    <cfRule type="expression" dxfId="2631" priority="1125">
      <formula>$H1415="Cash"</formula>
    </cfRule>
  </conditionalFormatting>
  <conditionalFormatting sqref="X1415">
    <cfRule type="expression" dxfId="2630" priority="1124">
      <formula>$O1415="Applicant Signatures"</formula>
    </cfRule>
  </conditionalFormatting>
  <conditionalFormatting sqref="X1443">
    <cfRule type="expression" dxfId="2629" priority="1111">
      <formula>$H1443="Cash"</formula>
    </cfRule>
  </conditionalFormatting>
  <conditionalFormatting sqref="X1443">
    <cfRule type="expression" dxfId="2628" priority="1110">
      <formula>$H1443="Cash"</formula>
    </cfRule>
  </conditionalFormatting>
  <conditionalFormatting sqref="X1443">
    <cfRule type="expression" dxfId="2627" priority="1109">
      <formula>$H1443="Cash"</formula>
    </cfRule>
  </conditionalFormatting>
  <conditionalFormatting sqref="X1443">
    <cfRule type="expression" dxfId="2626" priority="1108">
      <formula>$O1443="Applicant Signatures"</formula>
    </cfRule>
  </conditionalFormatting>
  <conditionalFormatting sqref="X1443">
    <cfRule type="expression" dxfId="2625" priority="1107">
      <formula>$H1443="Cash"</formula>
    </cfRule>
  </conditionalFormatting>
  <conditionalFormatting sqref="X1443">
    <cfRule type="expression" dxfId="2624" priority="1106">
      <formula>$O1443="Applicant Signatures"</formula>
    </cfRule>
  </conditionalFormatting>
  <conditionalFormatting sqref="X1486">
    <cfRule type="expression" dxfId="2623" priority="1105">
      <formula>$H1486="Cash"</formula>
    </cfRule>
  </conditionalFormatting>
  <conditionalFormatting sqref="X1486">
    <cfRule type="expression" dxfId="2622" priority="1104">
      <formula>$H1486="Cash"</formula>
    </cfRule>
  </conditionalFormatting>
  <conditionalFormatting sqref="X1486">
    <cfRule type="expression" dxfId="2621" priority="1103">
      <formula>$H1486="Cash"</formula>
    </cfRule>
  </conditionalFormatting>
  <conditionalFormatting sqref="X1486">
    <cfRule type="expression" dxfId="2620" priority="1102">
      <formula>$O1486="Applicant Signatures"</formula>
    </cfRule>
  </conditionalFormatting>
  <conditionalFormatting sqref="X1486">
    <cfRule type="expression" dxfId="2619" priority="1101">
      <formula>$H1486="Cash"</formula>
    </cfRule>
  </conditionalFormatting>
  <conditionalFormatting sqref="X1486">
    <cfRule type="expression" dxfId="2618" priority="1100">
      <formula>$O1486="Applicant Signatures"</formula>
    </cfRule>
  </conditionalFormatting>
  <conditionalFormatting sqref="X1432">
    <cfRule type="expression" dxfId="2617" priority="1099">
      <formula>$H1432="Cash"</formula>
    </cfRule>
  </conditionalFormatting>
  <conditionalFormatting sqref="X1432">
    <cfRule type="expression" dxfId="2616" priority="1098">
      <formula>$H1432="Cash"</formula>
    </cfRule>
  </conditionalFormatting>
  <conditionalFormatting sqref="X1432">
    <cfRule type="expression" dxfId="2615" priority="1097">
      <formula>$H1432="Cash"</formula>
    </cfRule>
  </conditionalFormatting>
  <conditionalFormatting sqref="X1432">
    <cfRule type="expression" dxfId="2614" priority="1096">
      <formula>$O1432="Applicant Signatures"</formula>
    </cfRule>
  </conditionalFormatting>
  <conditionalFormatting sqref="X1432">
    <cfRule type="expression" dxfId="2613" priority="1095">
      <formula>$H1432="Cash"</formula>
    </cfRule>
  </conditionalFormatting>
  <conditionalFormatting sqref="X1432">
    <cfRule type="expression" dxfId="2612" priority="1094">
      <formula>$O1432="Applicant Signatures"</formula>
    </cfRule>
  </conditionalFormatting>
  <conditionalFormatting sqref="X1431">
    <cfRule type="expression" dxfId="2611" priority="1093">
      <formula>$H1431="Cash"</formula>
    </cfRule>
  </conditionalFormatting>
  <conditionalFormatting sqref="X1431">
    <cfRule type="expression" dxfId="2610" priority="1092">
      <formula>$H1431="Cash"</formula>
    </cfRule>
  </conditionalFormatting>
  <conditionalFormatting sqref="X1431">
    <cfRule type="expression" dxfId="2609" priority="1091">
      <formula>$H1431="Cash"</formula>
    </cfRule>
  </conditionalFormatting>
  <conditionalFormatting sqref="X1431">
    <cfRule type="expression" dxfId="2608" priority="1090">
      <formula>$O1431="Applicant Signatures"</formula>
    </cfRule>
  </conditionalFormatting>
  <conditionalFormatting sqref="X1431">
    <cfRule type="expression" dxfId="2607" priority="1089">
      <formula>$H1431="Cash"</formula>
    </cfRule>
  </conditionalFormatting>
  <conditionalFormatting sqref="X1431">
    <cfRule type="expression" dxfId="2606" priority="1088">
      <formula>$O1431="Applicant Signatures"</formula>
    </cfRule>
  </conditionalFormatting>
  <conditionalFormatting sqref="X1370">
    <cfRule type="expression" dxfId="2605" priority="1087">
      <formula>$H1370="Cash"</formula>
    </cfRule>
  </conditionalFormatting>
  <conditionalFormatting sqref="X1370">
    <cfRule type="expression" dxfId="2604" priority="1086">
      <formula>$H1370="Cash"</formula>
    </cfRule>
  </conditionalFormatting>
  <conditionalFormatting sqref="X1370">
    <cfRule type="expression" dxfId="2603" priority="1085">
      <formula>$H1370="Cash"</formula>
    </cfRule>
  </conditionalFormatting>
  <conditionalFormatting sqref="X1370">
    <cfRule type="expression" dxfId="2602" priority="1084">
      <formula>$O1370="Applicant Signatures"</formula>
    </cfRule>
  </conditionalFormatting>
  <conditionalFormatting sqref="X1370">
    <cfRule type="expression" dxfId="2601" priority="1083">
      <formula>$H1370="Cash"</formula>
    </cfRule>
  </conditionalFormatting>
  <conditionalFormatting sqref="X1370">
    <cfRule type="expression" dxfId="2600" priority="1082">
      <formula>$O1370="Applicant Signatures"</formula>
    </cfRule>
  </conditionalFormatting>
  <conditionalFormatting sqref="T1486 T1450 T1443 T1431:T1432 T1389 T1370 T1415">
    <cfRule type="expression" dxfId="2599" priority="1081">
      <formula>$H1370="Cash"</formula>
    </cfRule>
  </conditionalFormatting>
  <conditionalFormatting sqref="T1486 T1450 T1443 T1431:T1432 T1389 T1370 T1415">
    <cfRule type="expression" dxfId="2598" priority="1080">
      <formula>$O1370="Applicant Signatures"</formula>
    </cfRule>
  </conditionalFormatting>
  <conditionalFormatting sqref="AA1497">
    <cfRule type="expression" dxfId="2597" priority="1079">
      <formula>$O1497="Applicant Signatures"</formula>
    </cfRule>
  </conditionalFormatting>
  <conditionalFormatting sqref="X1497">
    <cfRule type="expression" dxfId="2596" priority="1078">
      <formula>$H1497="Cash"</formula>
    </cfRule>
  </conditionalFormatting>
  <conditionalFormatting sqref="X1497">
    <cfRule type="expression" dxfId="2595" priority="1077">
      <formula>$H1497="Cash"</formula>
    </cfRule>
  </conditionalFormatting>
  <conditionalFormatting sqref="X1497">
    <cfRule type="expression" dxfId="2594" priority="1076">
      <formula>$H1497="Cash"</formula>
    </cfRule>
  </conditionalFormatting>
  <conditionalFormatting sqref="X1497">
    <cfRule type="expression" dxfId="2593" priority="1075">
      <formula>$O1497="Applicant Signatures"</formula>
    </cfRule>
  </conditionalFormatting>
  <conditionalFormatting sqref="X1497">
    <cfRule type="expression" dxfId="2592" priority="1074">
      <formula>$H1497="Cash"</formula>
    </cfRule>
  </conditionalFormatting>
  <conditionalFormatting sqref="X1497">
    <cfRule type="expression" dxfId="2591" priority="1073">
      <formula>$O1497="Applicant Signatures"</formula>
    </cfRule>
  </conditionalFormatting>
  <conditionalFormatting sqref="Q1497">
    <cfRule type="expression" dxfId="2590" priority="1072">
      <formula>$H1497="Cash"</formula>
    </cfRule>
  </conditionalFormatting>
  <conditionalFormatting sqref="Q1497">
    <cfRule type="expression" dxfId="2589" priority="1071">
      <formula>$O1497="Applicant Signatures"</formula>
    </cfRule>
  </conditionalFormatting>
  <conditionalFormatting sqref="R1497">
    <cfRule type="expression" dxfId="2588" priority="1070">
      <formula>$H1497="Cash"</formula>
    </cfRule>
  </conditionalFormatting>
  <conditionalFormatting sqref="T1497 O1497">
    <cfRule type="expression" dxfId="2587" priority="1069">
      <formula>$H1497="Cash"</formula>
    </cfRule>
  </conditionalFormatting>
  <conditionalFormatting sqref="S1497:U1497 Y1497:Z1497 W1497 B1497:P1497 AB1497">
    <cfRule type="expression" dxfId="2586" priority="1068">
      <formula>$O1497="Applicant Signatures"</formula>
    </cfRule>
  </conditionalFormatting>
  <conditionalFormatting sqref="S1497:U1497 W1497 B1497:P1497">
    <cfRule type="expression" dxfId="2585" priority="1067">
      <formula>$H1497="Cash"</formula>
    </cfRule>
  </conditionalFormatting>
  <conditionalFormatting sqref="S1497:U1497 Y1497:Z1497 W1497 B1497:P1497 AB1497">
    <cfRule type="expression" dxfId="2584" priority="1066">
      <formula>$O1497="Applicant Signatures"</formula>
    </cfRule>
  </conditionalFormatting>
  <conditionalFormatting sqref="R1497">
    <cfRule type="expression" dxfId="2583" priority="1065">
      <formula>$O1497="Applicant Signatures"</formula>
    </cfRule>
  </conditionalFormatting>
  <conditionalFormatting sqref="V1497">
    <cfRule type="expression" dxfId="2582" priority="1064">
      <formula>$H1497="Cash"</formula>
    </cfRule>
  </conditionalFormatting>
  <conditionalFormatting sqref="V1497">
    <cfRule type="expression" dxfId="2581" priority="1063">
      <formula>$O1497="Applicant Signatures"</formula>
    </cfRule>
  </conditionalFormatting>
  <conditionalFormatting sqref="Q1497">
    <cfRule type="expression" dxfId="2580" priority="1062">
      <formula>#REF!="Cash"</formula>
    </cfRule>
  </conditionalFormatting>
  <conditionalFormatting sqref="Q1497">
    <cfRule type="expression" dxfId="2579" priority="1061">
      <formula>#REF!="Applicant Signatures"</formula>
    </cfRule>
  </conditionalFormatting>
  <conditionalFormatting sqref="A1497">
    <cfRule type="expression" dxfId="2578" priority="1060">
      <formula>$H1497="Cash"</formula>
    </cfRule>
  </conditionalFormatting>
  <conditionalFormatting sqref="A1497">
    <cfRule type="expression" dxfId="2577" priority="1059">
      <formula>$O1497="Applicant Signatures"</formula>
    </cfRule>
  </conditionalFormatting>
  <conditionalFormatting sqref="A1497">
    <cfRule type="expression" dxfId="2576" priority="1058">
      <formula>#REF!="Cash"</formula>
    </cfRule>
  </conditionalFormatting>
  <conditionalFormatting sqref="A1497">
    <cfRule type="expression" dxfId="2575" priority="1057">
      <formula>#REF!="Applicant Signatures"</formula>
    </cfRule>
  </conditionalFormatting>
  <conditionalFormatting sqref="A1497">
    <cfRule type="expression" dxfId="2574" priority="1056">
      <formula>#REF!="Cash"</formula>
    </cfRule>
  </conditionalFormatting>
  <conditionalFormatting sqref="A1497">
    <cfRule type="expression" dxfId="2573" priority="1055">
      <formula>#REF!="Applicant Signatures"</formula>
    </cfRule>
  </conditionalFormatting>
  <conditionalFormatting sqref="Q1497">
    <cfRule type="expression" dxfId="2572" priority="1054">
      <formula>#REF!="Cash"</formula>
    </cfRule>
  </conditionalFormatting>
  <conditionalFormatting sqref="Q1497">
    <cfRule type="expression" dxfId="2571" priority="1053">
      <formula>#REF!="Applicant Signatures"</formula>
    </cfRule>
  </conditionalFormatting>
  <conditionalFormatting sqref="V1344">
    <cfRule type="expression" dxfId="2570" priority="1052">
      <formula>$D1344="Cash"</formula>
    </cfRule>
  </conditionalFormatting>
  <conditionalFormatting sqref="V1344">
    <cfRule type="expression" dxfId="2569" priority="1051">
      <formula>$I1344="Applicant Signatures"</formula>
    </cfRule>
  </conditionalFormatting>
  <conditionalFormatting sqref="V1347">
    <cfRule type="expression" dxfId="2568" priority="1050">
      <formula>$D1347="Cash"</formula>
    </cfRule>
  </conditionalFormatting>
  <conditionalFormatting sqref="V1347">
    <cfRule type="expression" dxfId="2567" priority="1049">
      <formula>$I1347="Applicant Signatures"</formula>
    </cfRule>
  </conditionalFormatting>
  <conditionalFormatting sqref="V1322">
    <cfRule type="expression" dxfId="2566" priority="1048">
      <formula>$D1322="Cash"</formula>
    </cfRule>
  </conditionalFormatting>
  <conditionalFormatting sqref="V1322">
    <cfRule type="expression" dxfId="2565" priority="1047">
      <formula>$I1322="Applicant Signatures"</formula>
    </cfRule>
  </conditionalFormatting>
  <conditionalFormatting sqref="V1389">
    <cfRule type="expression" dxfId="2564" priority="1046">
      <formula>$D1389="Cash"</formula>
    </cfRule>
  </conditionalFormatting>
  <conditionalFormatting sqref="V1389">
    <cfRule type="expression" dxfId="2563" priority="1045">
      <formula>$I1389="Applicant Signatures"</formula>
    </cfRule>
  </conditionalFormatting>
  <conditionalFormatting sqref="V1450">
    <cfRule type="expression" dxfId="2562" priority="1042">
      <formula>$D1450="Cash"</formula>
    </cfRule>
  </conditionalFormatting>
  <conditionalFormatting sqref="V1450">
    <cfRule type="expression" dxfId="2561" priority="1041">
      <formula>$I1450="Applicant Signatures"</formula>
    </cfRule>
  </conditionalFormatting>
  <conditionalFormatting sqref="V1421">
    <cfRule type="expression" dxfId="2560" priority="1040">
      <formula>$H1421="Cash"</formula>
    </cfRule>
  </conditionalFormatting>
  <conditionalFormatting sqref="V1421">
    <cfRule type="expression" dxfId="2559" priority="1039">
      <formula>$O1421="Applicant Signatures"</formula>
    </cfRule>
  </conditionalFormatting>
  <conditionalFormatting sqref="A1498 T1498 Q1498 N1498">
    <cfRule type="expression" dxfId="2558" priority="1038">
      <formula>$H1498="Cash"</formula>
    </cfRule>
  </conditionalFormatting>
  <conditionalFormatting sqref="Q1498">
    <cfRule type="expression" dxfId="2557" priority="1036">
      <formula>#REF!="Cash"</formula>
    </cfRule>
  </conditionalFormatting>
  <conditionalFormatting sqref="Q1498">
    <cfRule type="expression" dxfId="2556" priority="1037">
      <formula>#REF!="Applicant Signatures"</formula>
    </cfRule>
  </conditionalFormatting>
  <conditionalFormatting sqref="A1498">
    <cfRule type="expression" dxfId="2555" priority="1035">
      <formula>#REF!="Cash"</formula>
    </cfRule>
  </conditionalFormatting>
  <conditionalFormatting sqref="A1498">
    <cfRule type="expression" dxfId="2554" priority="1034">
      <formula>#REF!="Applicant Signatures"</formula>
    </cfRule>
  </conditionalFormatting>
  <conditionalFormatting sqref="A1498">
    <cfRule type="expression" dxfId="2553" priority="1033">
      <formula>#REF!="Cash"</formula>
    </cfRule>
  </conditionalFormatting>
  <conditionalFormatting sqref="A1498">
    <cfRule type="expression" dxfId="2552" priority="1032">
      <formula>#REF!="Applicant Signatures"</formula>
    </cfRule>
  </conditionalFormatting>
  <conditionalFormatting sqref="A1498:AB1498">
    <cfRule type="expression" dxfId="2551" priority="1031">
      <formula>$O1498="Applicant Signatures"</formula>
    </cfRule>
  </conditionalFormatting>
  <conditionalFormatting sqref="B1498:M1498 R1498:S1498 U1498:X1498 O1498:P1498">
    <cfRule type="expression" dxfId="2550" priority="1030">
      <formula>$H1498="Cash"</formula>
    </cfRule>
  </conditionalFormatting>
  <conditionalFormatting sqref="A1499 T1499:T1500 Q1499:Q1500 N1499:N1500">
    <cfRule type="expression" dxfId="2549" priority="1029">
      <formula>$H1499="Cash"</formula>
    </cfRule>
  </conditionalFormatting>
  <conditionalFormatting sqref="Q1499:Q1500">
    <cfRule type="expression" dxfId="2548" priority="1027">
      <formula>#REF!="Cash"</formula>
    </cfRule>
  </conditionalFormatting>
  <conditionalFormatting sqref="Q1499:Q1500">
    <cfRule type="expression" dxfId="2547" priority="1028">
      <formula>#REF!="Applicant Signatures"</formula>
    </cfRule>
  </conditionalFormatting>
  <conditionalFormatting sqref="A1499">
    <cfRule type="expression" dxfId="2546" priority="1026">
      <formula>#REF!="Cash"</formula>
    </cfRule>
  </conditionalFormatting>
  <conditionalFormatting sqref="A1499">
    <cfRule type="expression" dxfId="2545" priority="1025">
      <formula>#REF!="Applicant Signatures"</formula>
    </cfRule>
  </conditionalFormatting>
  <conditionalFormatting sqref="A1499">
    <cfRule type="expression" dxfId="2544" priority="1024">
      <formula>#REF!="Cash"</formula>
    </cfRule>
  </conditionalFormatting>
  <conditionalFormatting sqref="A1499">
    <cfRule type="expression" dxfId="2543" priority="1023">
      <formula>#REF!="Applicant Signatures"</formula>
    </cfRule>
  </conditionalFormatting>
  <conditionalFormatting sqref="A1499:AB1499">
    <cfRule type="expression" dxfId="2542" priority="1022">
      <formula>$O1499="Applicant Signatures"</formula>
    </cfRule>
  </conditionalFormatting>
  <conditionalFormatting sqref="B1499:M1499 R1499:S1499 U1499:X1499 O1499:P1499">
    <cfRule type="expression" dxfId="2541" priority="1021">
      <formula>$H1499="Cash"</formula>
    </cfRule>
  </conditionalFormatting>
  <conditionalFormatting sqref="B1500:AB1500">
    <cfRule type="expression" dxfId="2540" priority="1019">
      <formula>$O1500="Applicant Signatures"</formula>
    </cfRule>
  </conditionalFormatting>
  <conditionalFormatting sqref="B1500:M1500 R1500:S1500 U1500:X1500 O1500:P1500">
    <cfRule type="expression" dxfId="2539" priority="1018">
      <formula>$H1500="Cash"</formula>
    </cfRule>
  </conditionalFormatting>
  <conditionalFormatting sqref="X1453">
    <cfRule type="expression" dxfId="2538" priority="1017">
      <formula>$O1453="Applicant Signatures"</formula>
    </cfRule>
  </conditionalFormatting>
  <conditionalFormatting sqref="X1453">
    <cfRule type="expression" dxfId="2537" priority="1016">
      <formula>$H1453="Cash"</formula>
    </cfRule>
  </conditionalFormatting>
  <conditionalFormatting sqref="A1501">
    <cfRule type="expression" dxfId="2536" priority="1015">
      <formula>$H1501="Cash"</formula>
    </cfRule>
  </conditionalFormatting>
  <conditionalFormatting sqref="A1501 AA1501">
    <cfRule type="expression" dxfId="2535" priority="1014">
      <formula>$O1501="Applicant Signatures"</formula>
    </cfRule>
  </conditionalFormatting>
  <conditionalFormatting sqref="A1501">
    <cfRule type="expression" dxfId="2534" priority="1013">
      <formula>#REF!="Cash"</formula>
    </cfRule>
  </conditionalFormatting>
  <conditionalFormatting sqref="A1501">
    <cfRule type="expression" dxfId="2533" priority="1012">
      <formula>#REF!="Applicant Signatures"</formula>
    </cfRule>
  </conditionalFormatting>
  <conditionalFormatting sqref="A1501">
    <cfRule type="expression" dxfId="2532" priority="1011">
      <formula>#REF!="Cash"</formula>
    </cfRule>
  </conditionalFormatting>
  <conditionalFormatting sqref="A1501">
    <cfRule type="expression" dxfId="2531" priority="1010">
      <formula>#REF!="Applicant Signatures"</formula>
    </cfRule>
  </conditionalFormatting>
  <conditionalFormatting sqref="Q1501">
    <cfRule type="expression" dxfId="2530" priority="1008">
      <formula>#REF!="Cash"</formula>
    </cfRule>
  </conditionalFormatting>
  <conditionalFormatting sqref="Q1501">
    <cfRule type="expression" dxfId="2529" priority="1009">
      <formula>#REF!="Applicant Signatures"</formula>
    </cfRule>
  </conditionalFormatting>
  <conditionalFormatting sqref="AB1501 Y1501:Z1501 B1501:S1501 U1501:W1501">
    <cfRule type="expression" dxfId="2528" priority="1007">
      <formula>$O1501="Applicant Signatures"</formula>
    </cfRule>
  </conditionalFormatting>
  <conditionalFormatting sqref="B1501:S1501 U1501:W1501">
    <cfRule type="expression" dxfId="2527" priority="1006">
      <formula>$H1501="Cash"</formula>
    </cfRule>
  </conditionalFormatting>
  <conditionalFormatting sqref="X1501">
    <cfRule type="expression" dxfId="2526" priority="1005">
      <formula>$H1501="Cash"</formula>
    </cfRule>
  </conditionalFormatting>
  <conditionalFormatting sqref="X1501">
    <cfRule type="expression" dxfId="2525" priority="1004">
      <formula>$H1501="Cash"</formula>
    </cfRule>
  </conditionalFormatting>
  <conditionalFormatting sqref="X1501">
    <cfRule type="expression" dxfId="2524" priority="1003">
      <formula>$H1501="Cash"</formula>
    </cfRule>
  </conditionalFormatting>
  <conditionalFormatting sqref="X1501">
    <cfRule type="expression" dxfId="2523" priority="1002">
      <formula>$O1501="Applicant Signatures"</formula>
    </cfRule>
  </conditionalFormatting>
  <conditionalFormatting sqref="X1501">
    <cfRule type="expression" dxfId="2522" priority="1001">
      <formula>$H1501="Cash"</formula>
    </cfRule>
  </conditionalFormatting>
  <conditionalFormatting sqref="X1501">
    <cfRule type="expression" dxfId="2521" priority="1000">
      <formula>$O1501="Applicant Signatures"</formula>
    </cfRule>
  </conditionalFormatting>
  <conditionalFormatting sqref="T1501">
    <cfRule type="expression" dxfId="2520" priority="999">
      <formula>$H1501="Cash"</formula>
    </cfRule>
  </conditionalFormatting>
  <conditionalFormatting sqref="T1501">
    <cfRule type="expression" dxfId="2519" priority="998">
      <formula>$O1501="Applicant Signatures"</formula>
    </cfRule>
  </conditionalFormatting>
  <conditionalFormatting sqref="A1502 T1502 Q1502 N1502">
    <cfRule type="expression" dxfId="2518" priority="997">
      <formula>$H1502="Cash"</formula>
    </cfRule>
  </conditionalFormatting>
  <conditionalFormatting sqref="Q1502">
    <cfRule type="expression" dxfId="2517" priority="995">
      <formula>#REF!="Cash"</formula>
    </cfRule>
  </conditionalFormatting>
  <conditionalFormatting sqref="Q1502">
    <cfRule type="expression" dxfId="2516" priority="996">
      <formula>#REF!="Applicant Signatures"</formula>
    </cfRule>
  </conditionalFormatting>
  <conditionalFormatting sqref="A1502">
    <cfRule type="expression" dxfId="2515" priority="994">
      <formula>#REF!="Cash"</formula>
    </cfRule>
  </conditionalFormatting>
  <conditionalFormatting sqref="A1502">
    <cfRule type="expression" dxfId="2514" priority="993">
      <formula>#REF!="Applicant Signatures"</formula>
    </cfRule>
  </conditionalFormatting>
  <conditionalFormatting sqref="A1502">
    <cfRule type="expression" dxfId="2513" priority="992">
      <formula>#REF!="Cash"</formula>
    </cfRule>
  </conditionalFormatting>
  <conditionalFormatting sqref="A1502">
    <cfRule type="expression" dxfId="2512" priority="991">
      <formula>#REF!="Applicant Signatures"</formula>
    </cfRule>
  </conditionalFormatting>
  <conditionalFormatting sqref="A1502:AB1502">
    <cfRule type="expression" dxfId="2511" priority="990">
      <formula>$O1502="Applicant Signatures"</formula>
    </cfRule>
  </conditionalFormatting>
  <conditionalFormatting sqref="B1502:M1502 R1502:S1502 U1502:X1502 O1502:P1502">
    <cfRule type="expression" dxfId="2510" priority="989">
      <formula>$H1502="Cash"</formula>
    </cfRule>
  </conditionalFormatting>
  <conditionalFormatting sqref="A1503">
    <cfRule type="expression" dxfId="2509" priority="988">
      <formula>$H1503="Cash"</formula>
    </cfRule>
  </conditionalFormatting>
  <conditionalFormatting sqref="A1503 AA1503">
    <cfRule type="expression" dxfId="2508" priority="987">
      <formula>$O1503="Applicant Signatures"</formula>
    </cfRule>
  </conditionalFormatting>
  <conditionalFormatting sqref="Q1503">
    <cfRule type="expression" dxfId="2507" priority="985">
      <formula>#REF!="Cash"</formula>
    </cfRule>
  </conditionalFormatting>
  <conditionalFormatting sqref="Q1503">
    <cfRule type="expression" dxfId="2506" priority="986">
      <formula>#REF!="Applicant Signatures"</formula>
    </cfRule>
  </conditionalFormatting>
  <conditionalFormatting sqref="A1503">
    <cfRule type="expression" dxfId="2505" priority="984">
      <formula>#REF!="Cash"</formula>
    </cfRule>
  </conditionalFormatting>
  <conditionalFormatting sqref="A1503">
    <cfRule type="expression" dxfId="2504" priority="983">
      <formula>#REF!="Applicant Signatures"</formula>
    </cfRule>
  </conditionalFormatting>
  <conditionalFormatting sqref="A1503">
    <cfRule type="expression" dxfId="2503" priority="982">
      <formula>#REF!="Cash"</formula>
    </cfRule>
  </conditionalFormatting>
  <conditionalFormatting sqref="A1503">
    <cfRule type="expression" dxfId="2502" priority="981">
      <formula>#REF!="Applicant Signatures"</formula>
    </cfRule>
  </conditionalFormatting>
  <conditionalFormatting sqref="B1503:S1503 U1503 W1503:X1503">
    <cfRule type="expression" dxfId="2501" priority="980">
      <formula>$H1503="Cash"</formula>
    </cfRule>
  </conditionalFormatting>
  <conditionalFormatting sqref="B1503:S1503 U1503 W1503:Z1503 AB1503">
    <cfRule type="expression" dxfId="2500" priority="979">
      <formula>$O1503="Applicant Signatures"</formula>
    </cfRule>
  </conditionalFormatting>
  <conditionalFormatting sqref="T1503">
    <cfRule type="expression" dxfId="2499" priority="978">
      <formula>$H1503="Cash"</formula>
    </cfRule>
  </conditionalFormatting>
  <conditionalFormatting sqref="T1503">
    <cfRule type="expression" dxfId="2498" priority="977">
      <formula>$O1503="Applicant Signatures"</formula>
    </cfRule>
  </conditionalFormatting>
  <conditionalFormatting sqref="T1503">
    <cfRule type="expression" dxfId="2497" priority="976">
      <formula>$H1503="Cash"</formula>
    </cfRule>
  </conditionalFormatting>
  <conditionalFormatting sqref="T1503">
    <cfRule type="expression" dxfId="2496" priority="975">
      <formula>$O1503="Applicant Signatures"</formula>
    </cfRule>
  </conditionalFormatting>
  <conditionalFormatting sqref="V1503">
    <cfRule type="expression" dxfId="2495" priority="974">
      <formula>$H1503="Cash"</formula>
    </cfRule>
  </conditionalFormatting>
  <conditionalFormatting sqref="V1503">
    <cfRule type="expression" dxfId="2494" priority="973">
      <formula>$O1503="Applicant Signatures"</formula>
    </cfRule>
  </conditionalFormatting>
  <conditionalFormatting sqref="V1415">
    <cfRule type="expression" dxfId="2493" priority="972">
      <formula>$D1415="Cash"</formula>
    </cfRule>
  </conditionalFormatting>
  <conditionalFormatting sqref="V1415">
    <cfRule type="expression" dxfId="2492" priority="971">
      <formula>$I1415="Applicant Signatures"</formula>
    </cfRule>
  </conditionalFormatting>
  <conditionalFormatting sqref="A1504:U1504 W1504:AB1504">
    <cfRule type="expression" dxfId="2491" priority="957">
      <formula>$O1504="Applicant Signatures"</formula>
    </cfRule>
  </conditionalFormatting>
  <conditionalFormatting sqref="B1504:M1504 R1504:S1504 U1504 O1504:P1504 W1504:X1504">
    <cfRule type="expression" dxfId="2490" priority="956">
      <formula>$H1504="Cash"</formula>
    </cfRule>
  </conditionalFormatting>
  <conditionalFormatting sqref="A1506:AB1506 A1505:W1505 Y1505:AB1505">
    <cfRule type="expression" dxfId="2489" priority="955">
      <formula>$O1505="Applicant Signatures"</formula>
    </cfRule>
  </conditionalFormatting>
  <conditionalFormatting sqref="U1506:X1506 U1505:W1505">
    <cfRule type="expression" dxfId="2488" priority="954">
      <formula>$H1505="Cash"</formula>
    </cfRule>
  </conditionalFormatting>
  <conditionalFormatting sqref="A1507:U1507 X1507:AB1507">
    <cfRule type="expression" dxfId="2487" priority="953">
      <formula>$O1507="Applicant Signatures"</formula>
    </cfRule>
  </conditionalFormatting>
  <conditionalFormatting sqref="B1507:M1507 R1507:S1507 U1507 O1507:P1507 X1507">
    <cfRule type="expression" dxfId="2486" priority="952">
      <formula>$H1507="Cash"</formula>
    </cfRule>
  </conditionalFormatting>
  <conditionalFormatting sqref="X1480">
    <cfRule type="expression" dxfId="2485" priority="951">
      <formula>$H1480="Cash"</formula>
    </cfRule>
  </conditionalFormatting>
  <conditionalFormatting sqref="A1508:AB1508">
    <cfRule type="expression" dxfId="2484" priority="944">
      <formula>$O1508="Applicant Signatures"</formula>
    </cfRule>
  </conditionalFormatting>
  <conditionalFormatting sqref="B1508:M1508 R1508:S1508 U1508:X1508 O1508:P1508">
    <cfRule type="expression" dxfId="2483" priority="943">
      <formula>$H1508="Cash"</formula>
    </cfRule>
  </conditionalFormatting>
  <conditionalFormatting sqref="A1509:AB1509">
    <cfRule type="expression" dxfId="2482" priority="942">
      <formula>$O1509="Applicant Signatures"</formula>
    </cfRule>
  </conditionalFormatting>
  <conditionalFormatting sqref="B1509:M1509 R1509:S1509 U1509:X1509 O1509:P1509">
    <cfRule type="expression" dxfId="2481" priority="941">
      <formula>$H1509="Cash"</formula>
    </cfRule>
  </conditionalFormatting>
  <conditionalFormatting sqref="A1510:U1510 X1510:AB1510">
    <cfRule type="expression" dxfId="2480" priority="940">
      <formula>$O1510="Applicant Signatures"</formula>
    </cfRule>
  </conditionalFormatting>
  <conditionalFormatting sqref="B1510:M1510 R1510:S1510 U1510 O1510:P1510 X1510">
    <cfRule type="expression" dxfId="2479" priority="939">
      <formula>$H1510="Cash"</formula>
    </cfRule>
  </conditionalFormatting>
  <conditionalFormatting sqref="A1511:W1511 Y1511:AB1511">
    <cfRule type="expression" dxfId="2478" priority="923">
      <formula>$O1511="Applicant Signatures"</formula>
    </cfRule>
  </conditionalFormatting>
  <conditionalFormatting sqref="B1511:M1511 R1511:S1511 U1511:W1511 O1511:P1511">
    <cfRule type="expression" dxfId="2477" priority="922">
      <formula>$H1511="Cash"</formula>
    </cfRule>
  </conditionalFormatting>
  <conditionalFormatting sqref="A1512:AB1512">
    <cfRule type="expression" dxfId="2476" priority="921">
      <formula>$O1512="Applicant Signatures"</formula>
    </cfRule>
  </conditionalFormatting>
  <conditionalFormatting sqref="B1512:M1512 R1512:S1512 U1512:X1512 O1512:P1512">
    <cfRule type="expression" dxfId="2475" priority="920">
      <formula>$H1512="Cash"</formula>
    </cfRule>
  </conditionalFormatting>
  <conditionalFormatting sqref="A1513:U1513 W1513:AB1513">
    <cfRule type="expression" dxfId="2474" priority="919">
      <formula>$O1513="Applicant Signatures"</formula>
    </cfRule>
  </conditionalFormatting>
  <conditionalFormatting sqref="B1513:M1513 R1513:S1513 U1513 O1513:P1513 W1513:X1513">
    <cfRule type="expression" dxfId="2473" priority="918">
      <formula>$H1513="Cash"</formula>
    </cfRule>
  </conditionalFormatting>
  <conditionalFormatting sqref="A1514:AB1514">
    <cfRule type="expression" dxfId="2472" priority="917">
      <formula>$O1514="Applicant Signatures"</formula>
    </cfRule>
  </conditionalFormatting>
  <conditionalFormatting sqref="B1514:M1514 R1514:S1514 U1514:X1514 O1514:P1514">
    <cfRule type="expression" dxfId="2471" priority="916">
      <formula>$H1514="Cash"</formula>
    </cfRule>
  </conditionalFormatting>
  <conditionalFormatting sqref="A1515:AB1515">
    <cfRule type="expression" dxfId="2470" priority="915">
      <formula>$O1515="Applicant Signatures"</formula>
    </cfRule>
  </conditionalFormatting>
  <conditionalFormatting sqref="B1515:M1515 R1515:S1515 U1515:X1515 O1515:P1515">
    <cfRule type="expression" dxfId="2469" priority="914">
      <formula>$H1515="Cash"</formula>
    </cfRule>
  </conditionalFormatting>
  <conditionalFormatting sqref="B1516:AB1516">
    <cfRule type="expression" dxfId="2468" priority="913">
      <formula>$O1516="Applicant Signatures"</formula>
    </cfRule>
  </conditionalFormatting>
  <conditionalFormatting sqref="B1516:M1516 R1516:S1516 U1516:X1516 O1516:P1516">
    <cfRule type="expression" dxfId="2467" priority="912">
      <formula>$H1516="Cash"</formula>
    </cfRule>
  </conditionalFormatting>
  <conditionalFormatting sqref="A1516">
    <cfRule type="expression" dxfId="2466" priority="911">
      <formula>$O1516="Applicant Signatures"</formula>
    </cfRule>
  </conditionalFormatting>
  <conditionalFormatting sqref="A1517:AB1517">
    <cfRule type="expression" dxfId="2465" priority="910">
      <formula>$O1517="Applicant Signatures"</formula>
    </cfRule>
  </conditionalFormatting>
  <conditionalFormatting sqref="B1517:M1517 R1517:S1517 U1517:X1517 O1517:P1517">
    <cfRule type="expression" dxfId="2464" priority="909">
      <formula>$H1517="Cash"</formula>
    </cfRule>
  </conditionalFormatting>
  <conditionalFormatting sqref="V1299">
    <cfRule type="expression" dxfId="2463" priority="907">
      <formula>$H1299="Cash"</formula>
    </cfRule>
  </conditionalFormatting>
  <conditionalFormatting sqref="V1299">
    <cfRule type="expression" dxfId="2462" priority="906">
      <formula>$H1299="Cash"</formula>
    </cfRule>
  </conditionalFormatting>
  <conditionalFormatting sqref="V1299">
    <cfRule type="expression" dxfId="2461" priority="905">
      <formula>$H1299="Cash"</formula>
    </cfRule>
  </conditionalFormatting>
  <conditionalFormatting sqref="V1299">
    <cfRule type="expression" dxfId="2460" priority="904">
      <formula>$O1299="Applicant Signatures"</formula>
    </cfRule>
  </conditionalFormatting>
  <conditionalFormatting sqref="V1299">
    <cfRule type="expression" dxfId="2459" priority="903">
      <formula>$H1299="Cash"</formula>
    </cfRule>
  </conditionalFormatting>
  <conditionalFormatting sqref="V1299">
    <cfRule type="expression" dxfId="2458" priority="902">
      <formula>$O1299="Applicant Signatures"</formula>
    </cfRule>
  </conditionalFormatting>
  <conditionalFormatting sqref="A1518:AB1518">
    <cfRule type="expression" dxfId="2457" priority="896">
      <formula>$O1518="Applicant Signatures"</formula>
    </cfRule>
  </conditionalFormatting>
  <conditionalFormatting sqref="B1518:M1518 R1518:S1518 U1518:X1518 O1518:P1518">
    <cfRule type="expression" dxfId="2456" priority="895">
      <formula>$H1518="Cash"</formula>
    </cfRule>
  </conditionalFormatting>
  <conditionalFormatting sqref="A1500">
    <cfRule type="expression" dxfId="2455" priority="894">
      <formula>$H1500="Cash"</formula>
    </cfRule>
  </conditionalFormatting>
  <conditionalFormatting sqref="A1500">
    <cfRule type="expression" dxfId="2454" priority="893">
      <formula>$O1500="Applicant Signatures"</formula>
    </cfRule>
  </conditionalFormatting>
  <conditionalFormatting sqref="A1500">
    <cfRule type="expression" dxfId="2453" priority="892">
      <formula>#REF!="Cash"</formula>
    </cfRule>
  </conditionalFormatting>
  <conditionalFormatting sqref="A1500">
    <cfRule type="expression" dxfId="2452" priority="891">
      <formula>#REF!="Applicant Signatures"</formula>
    </cfRule>
  </conditionalFormatting>
  <conditionalFormatting sqref="A1500">
    <cfRule type="expression" dxfId="2451" priority="890">
      <formula>#REF!="Cash"</formula>
    </cfRule>
  </conditionalFormatting>
  <conditionalFormatting sqref="A1500">
    <cfRule type="expression" dxfId="2450" priority="889">
      <formula>#REF!="Applicant Signatures"</formula>
    </cfRule>
  </conditionalFormatting>
  <conditionalFormatting sqref="A1519:AB1519">
    <cfRule type="expression" dxfId="2449" priority="875">
      <formula>$O1519="Applicant Signatures"</formula>
    </cfRule>
  </conditionalFormatting>
  <conditionalFormatting sqref="B1519:M1519 R1519:S1519 U1519:X1519 O1519:P1519">
    <cfRule type="expression" dxfId="2448" priority="874">
      <formula>$H1519="Cash"</formula>
    </cfRule>
  </conditionalFormatting>
  <conditionalFormatting sqref="A1520:AB1520">
    <cfRule type="expression" dxfId="2447" priority="873">
      <formula>$O1520="Applicant Signatures"</formula>
    </cfRule>
  </conditionalFormatting>
  <conditionalFormatting sqref="B1520:M1520 R1520:S1520 U1520:X1520 O1520:P1520">
    <cfRule type="expression" dxfId="2446" priority="872">
      <formula>$H1520="Cash"</formula>
    </cfRule>
  </conditionalFormatting>
  <conditionalFormatting sqref="A1521:AB1521">
    <cfRule type="expression" dxfId="2445" priority="871">
      <formula>$O1521="Applicant Signatures"</formula>
    </cfRule>
  </conditionalFormatting>
  <conditionalFormatting sqref="B1521:M1521 R1521:S1521 U1521:X1521 O1521:P1521">
    <cfRule type="expression" dxfId="2444" priority="870">
      <formula>$H1521="Cash"</formula>
    </cfRule>
  </conditionalFormatting>
  <conditionalFormatting sqref="T1467 T1458:T1460 T1429">
    <cfRule type="expression" dxfId="2443" priority="869">
      <formula>$H1429="Cash"</formula>
    </cfRule>
  </conditionalFormatting>
  <conditionalFormatting sqref="T1467 T1458:T1460 T1429">
    <cfRule type="expression" dxfId="2442" priority="868">
      <formula>$O1429="Applicant Signatures"</formula>
    </cfRule>
  </conditionalFormatting>
  <conditionalFormatting sqref="A1522:AB1522">
    <cfRule type="expression" dxfId="2441" priority="867">
      <formula>$O1522="Applicant Signatures"</formula>
    </cfRule>
  </conditionalFormatting>
  <conditionalFormatting sqref="B1522:M1522 R1522:S1522 U1522:X1522 O1522:P1522">
    <cfRule type="expression" dxfId="2440" priority="866">
      <formula>$H1522="Cash"</formula>
    </cfRule>
  </conditionalFormatting>
  <conditionalFormatting sqref="A1523:W1523 Y1523:AB1523">
    <cfRule type="expression" dxfId="2439" priority="865">
      <formula>$O1523="Applicant Signatures"</formula>
    </cfRule>
  </conditionalFormatting>
  <conditionalFormatting sqref="B1523:M1523 R1523:S1523 U1523:W1523 O1523:P1523">
    <cfRule type="expression" dxfId="2438" priority="864">
      <formula>$H1523="Cash"</formula>
    </cfRule>
  </conditionalFormatting>
  <conditionalFormatting sqref="A1524:W1524 Y1524:AB1524">
    <cfRule type="expression" dxfId="2437" priority="863">
      <formula>$O1524="Applicant Signatures"</formula>
    </cfRule>
  </conditionalFormatting>
  <conditionalFormatting sqref="B1524:M1524 R1524:S1524 U1524:W1524 O1524:P1524">
    <cfRule type="expression" dxfId="2436" priority="862">
      <formula>$H1524="Cash"</formula>
    </cfRule>
  </conditionalFormatting>
  <conditionalFormatting sqref="A1525:W1525 Y1525:AB1525">
    <cfRule type="expression" dxfId="2435" priority="861">
      <formula>$O1525="Applicant Signatures"</formula>
    </cfRule>
  </conditionalFormatting>
  <conditionalFormatting sqref="B1525:M1525 R1525:S1525 U1525:W1525 O1525:P1525">
    <cfRule type="expression" dxfId="2434" priority="860">
      <formula>$H1525="Cash"</formula>
    </cfRule>
  </conditionalFormatting>
  <conditionalFormatting sqref="X1524:X1529">
    <cfRule type="expression" dxfId="2433" priority="857">
      <formula>$O1524="Applicant Signatures"</formula>
    </cfRule>
  </conditionalFormatting>
  <conditionalFormatting sqref="X1524:X1529">
    <cfRule type="expression" dxfId="2432" priority="856">
      <formula>$H1524="Cash"</formula>
    </cfRule>
  </conditionalFormatting>
  <conditionalFormatting sqref="A1526:W1526 Y1526:AB1526">
    <cfRule type="expression" dxfId="2431" priority="855">
      <formula>$O1526="Applicant Signatures"</formula>
    </cfRule>
  </conditionalFormatting>
  <conditionalFormatting sqref="B1526:M1526 R1526:S1526 U1526:W1526 O1526:P1526">
    <cfRule type="expression" dxfId="2430" priority="854">
      <formula>$H1526="Cash"</formula>
    </cfRule>
  </conditionalFormatting>
  <conditionalFormatting sqref="A1527:W1527 Y1527:AB1527">
    <cfRule type="expression" dxfId="2429" priority="853">
      <formula>$O1527="Applicant Signatures"</formula>
    </cfRule>
  </conditionalFormatting>
  <conditionalFormatting sqref="B1527:M1527 R1527:S1527 U1527:W1527 O1527:P1527">
    <cfRule type="expression" dxfId="2428" priority="852">
      <formula>$H1527="Cash"</formula>
    </cfRule>
  </conditionalFormatting>
  <conditionalFormatting sqref="A1528:W1528 Y1528:AB1528">
    <cfRule type="expression" dxfId="2427" priority="851">
      <formula>$O1528="Applicant Signatures"</formula>
    </cfRule>
  </conditionalFormatting>
  <conditionalFormatting sqref="B1528:M1528 R1528:S1528 U1528:W1528 O1528:P1528">
    <cfRule type="expression" dxfId="2426" priority="850">
      <formula>$H1528="Cash"</formula>
    </cfRule>
  </conditionalFormatting>
  <conditionalFormatting sqref="O1405">
    <cfRule type="expression" dxfId="2425" priority="849">
      <formula>$H1405="Cash"</formula>
    </cfRule>
  </conditionalFormatting>
  <conditionalFormatting sqref="O1405">
    <cfRule type="expression" dxfId="2424" priority="848">
      <formula>$O1405="Applicant Signatures"</formula>
    </cfRule>
  </conditionalFormatting>
  <conditionalFormatting sqref="O1429">
    <cfRule type="expression" dxfId="2423" priority="847">
      <formula>$H1429="Cash"</formula>
    </cfRule>
  </conditionalFormatting>
  <conditionalFormatting sqref="O1429">
    <cfRule type="expression" dxfId="2422" priority="846">
      <formula>$O1429="Applicant Signatures"</formula>
    </cfRule>
  </conditionalFormatting>
  <conditionalFormatting sqref="O1449">
    <cfRule type="expression" dxfId="2421" priority="845">
      <formula>$H1449="Cash"</formula>
    </cfRule>
  </conditionalFormatting>
  <conditionalFormatting sqref="O1449">
    <cfRule type="expression" dxfId="2420" priority="844">
      <formula>$O1449="Applicant Signatures"</formula>
    </cfRule>
  </conditionalFormatting>
  <conditionalFormatting sqref="O1458">
    <cfRule type="expression" dxfId="2419" priority="843">
      <formula>$H1458="Cash"</formula>
    </cfRule>
  </conditionalFormatting>
  <conditionalFormatting sqref="O1458">
    <cfRule type="expression" dxfId="2418" priority="842">
      <formula>$O1458="Applicant Signatures"</formula>
    </cfRule>
  </conditionalFormatting>
  <conditionalFormatting sqref="O1459">
    <cfRule type="expression" dxfId="2417" priority="841">
      <formula>$H1459="Cash"</formula>
    </cfRule>
  </conditionalFormatting>
  <conditionalFormatting sqref="O1459">
    <cfRule type="expression" dxfId="2416" priority="840">
      <formula>$O1459="Applicant Signatures"</formula>
    </cfRule>
  </conditionalFormatting>
  <conditionalFormatting sqref="O1460">
    <cfRule type="expression" dxfId="2415" priority="839">
      <formula>$H1460="Cash"</formula>
    </cfRule>
  </conditionalFormatting>
  <conditionalFormatting sqref="O1460">
    <cfRule type="expression" dxfId="2414" priority="838">
      <formula>$O1460="Applicant Signatures"</formula>
    </cfRule>
  </conditionalFormatting>
  <conditionalFormatting sqref="O1467">
    <cfRule type="expression" dxfId="2413" priority="837">
      <formula>$H1467="Cash"</formula>
    </cfRule>
  </conditionalFormatting>
  <conditionalFormatting sqref="O1467">
    <cfRule type="expression" dxfId="2412" priority="836">
      <formula>$O1467="Applicant Signatures"</formula>
    </cfRule>
  </conditionalFormatting>
  <conditionalFormatting sqref="V1404:W1404">
    <cfRule type="expression" dxfId="2411" priority="835">
      <formula>$O1404="Applicant Signatures"</formula>
    </cfRule>
  </conditionalFormatting>
  <conditionalFormatting sqref="V1404:W1404">
    <cfRule type="expression" dxfId="2410" priority="834">
      <formula>$H1404="Cash"</formula>
    </cfRule>
  </conditionalFormatting>
  <conditionalFormatting sqref="V1405:W1405">
    <cfRule type="expression" dxfId="2409" priority="833">
      <formula>$O1405="Applicant Signatures"</formula>
    </cfRule>
  </conditionalFormatting>
  <conditionalFormatting sqref="V1405:W1405">
    <cfRule type="expression" dxfId="2408" priority="832">
      <formula>$H1405="Cash"</formula>
    </cfRule>
  </conditionalFormatting>
  <conditionalFormatting sqref="V1429:W1429">
    <cfRule type="expression" dxfId="2407" priority="831">
      <formula>$O1429="Applicant Signatures"</formula>
    </cfRule>
  </conditionalFormatting>
  <conditionalFormatting sqref="V1429:W1429">
    <cfRule type="expression" dxfId="2406" priority="830">
      <formula>$H1429="Cash"</formula>
    </cfRule>
  </conditionalFormatting>
  <conditionalFormatting sqref="V1449:W1449">
    <cfRule type="expression" dxfId="2405" priority="829">
      <formula>$O1449="Applicant Signatures"</formula>
    </cfRule>
  </conditionalFormatting>
  <conditionalFormatting sqref="V1449:W1449">
    <cfRule type="expression" dxfId="2404" priority="828">
      <formula>$H1449="Cash"</formula>
    </cfRule>
  </conditionalFormatting>
  <conditionalFormatting sqref="A1529:W1529 Y1529:AB1529">
    <cfRule type="expression" dxfId="2403" priority="827">
      <formula>$O1529="Applicant Signatures"</formula>
    </cfRule>
  </conditionalFormatting>
  <conditionalFormatting sqref="B1529:M1529 R1529:S1529 U1529:W1529 O1529:P1529">
    <cfRule type="expression" dxfId="2402" priority="826">
      <formula>$H1529="Cash"</formula>
    </cfRule>
  </conditionalFormatting>
  <conditionalFormatting sqref="T1530 A1530 Q1530:R1530 O1530">
    <cfRule type="expression" dxfId="2401" priority="825">
      <formula>$H1530="Cash"</formula>
    </cfRule>
  </conditionalFormatting>
  <conditionalFormatting sqref="A1530 Q1530 AA1530">
    <cfRule type="expression" dxfId="2400" priority="824">
      <formula>$O1530="Applicant Signatures"</formula>
    </cfRule>
  </conditionalFormatting>
  <conditionalFormatting sqref="X1530">
    <cfRule type="expression" dxfId="2399" priority="823">
      <formula>$H1530="Cash"</formula>
    </cfRule>
  </conditionalFormatting>
  <conditionalFormatting sqref="X1530">
    <cfRule type="expression" dxfId="2398" priority="822">
      <formula>$H1530="Cash"</formula>
    </cfRule>
  </conditionalFormatting>
  <conditionalFormatting sqref="X1530">
    <cfRule type="expression" dxfId="2397" priority="821">
      <formula>$H1530="Cash"</formula>
    </cfRule>
  </conditionalFormatting>
  <conditionalFormatting sqref="B1530:P1530 R1530:U1530 AB1530 X1530:Z1530">
    <cfRule type="expression" dxfId="2396" priority="820">
      <formula>$O1530="Applicant Signatures"</formula>
    </cfRule>
  </conditionalFormatting>
  <conditionalFormatting sqref="B1530:P1530 R1530:U1530 X1530">
    <cfRule type="expression" dxfId="2395" priority="819">
      <formula>$H1530="Cash"</formula>
    </cfRule>
  </conditionalFormatting>
  <conditionalFormatting sqref="B1530:P1530 R1530:U1530 AB1530 X1530:Z1530">
    <cfRule type="expression" dxfId="2394" priority="818">
      <formula>$O1530="Applicant Signatures"</formula>
    </cfRule>
  </conditionalFormatting>
  <conditionalFormatting sqref="X1530">
    <cfRule type="expression" dxfId="2393" priority="817">
      <formula>$O1530="Applicant Signatures"</formula>
    </cfRule>
  </conditionalFormatting>
  <conditionalFormatting sqref="X1530">
    <cfRule type="expression" dxfId="2392" priority="816">
      <formula>$H1530="Cash"</formula>
    </cfRule>
  </conditionalFormatting>
  <conditionalFormatting sqref="X1530">
    <cfRule type="expression" dxfId="2391" priority="815">
      <formula>$O1530="Applicant Signatures"</formula>
    </cfRule>
  </conditionalFormatting>
  <conditionalFormatting sqref="Q1531:Q1561">
    <cfRule type="expression" dxfId="2390" priority="809">
      <formula>#REF!="Cash"</formula>
    </cfRule>
  </conditionalFormatting>
  <conditionalFormatting sqref="Q1531:Q1561">
    <cfRule type="expression" dxfId="2389" priority="810">
      <formula>#REF!="Applicant Signatures"</formula>
    </cfRule>
  </conditionalFormatting>
  <conditionalFormatting sqref="A1531:A1561">
    <cfRule type="expression" dxfId="2388" priority="808">
      <formula>#REF!="Cash"</formula>
    </cfRule>
  </conditionalFormatting>
  <conditionalFormatting sqref="A1531:A1561">
    <cfRule type="expression" dxfId="2387" priority="807">
      <formula>#REF!="Applicant Signatures"</formula>
    </cfRule>
  </conditionalFormatting>
  <conditionalFormatting sqref="A1531:A1561">
    <cfRule type="expression" dxfId="2386" priority="806">
      <formula>#REF!="Cash"</formula>
    </cfRule>
  </conditionalFormatting>
  <conditionalFormatting sqref="A1531:A1561">
    <cfRule type="expression" dxfId="2385" priority="805">
      <formula>#REF!="Applicant Signatures"</formula>
    </cfRule>
  </conditionalFormatting>
  <conditionalFormatting sqref="A1531:U1531 Y1531:AB1531 W1531">
    <cfRule type="expression" dxfId="2384" priority="802">
      <formula>$O1531="Applicant Signatures"</formula>
    </cfRule>
  </conditionalFormatting>
  <conditionalFormatting sqref="B1531:M1531 R1531:S1531 U1531 O1531:P1531 W1531">
    <cfRule type="expression" dxfId="2383" priority="801">
      <formula>$H1531="Cash"</formula>
    </cfRule>
  </conditionalFormatting>
  <conditionalFormatting sqref="A1532:W1532 Y1532:AB1532">
    <cfRule type="expression" dxfId="2382" priority="800">
      <formula>$O1532="Applicant Signatures"</formula>
    </cfRule>
  </conditionalFormatting>
  <conditionalFormatting sqref="B1532:M1532 R1532:S1532 U1532:W1532 O1532:P1532">
    <cfRule type="expression" dxfId="2381" priority="799">
      <formula>$H1532="Cash"</formula>
    </cfRule>
  </conditionalFormatting>
  <conditionalFormatting sqref="A1533:W1540 Y1533:AB1540">
    <cfRule type="expression" dxfId="2380" priority="798">
      <formula>$O1533="Applicant Signatures"</formula>
    </cfRule>
  </conditionalFormatting>
  <conditionalFormatting sqref="B1533:M1540 R1533:S1540 U1533:W1540 O1533:P1540">
    <cfRule type="expression" dxfId="2379" priority="797">
      <formula>$H1533="Cash"</formula>
    </cfRule>
  </conditionalFormatting>
  <conditionalFormatting sqref="X1505">
    <cfRule type="expression" dxfId="2378" priority="796">
      <formula>$O1505="Applicant Signatures"</formula>
    </cfRule>
  </conditionalFormatting>
  <conditionalFormatting sqref="X1505">
    <cfRule type="expression" dxfId="2377" priority="795">
      <formula>$H1505="Cash"</formula>
    </cfRule>
  </conditionalFormatting>
  <conditionalFormatting sqref="X1511">
    <cfRule type="expression" dxfId="2376" priority="794">
      <formula>$O1511="Applicant Signatures"</formula>
    </cfRule>
  </conditionalFormatting>
  <conditionalFormatting sqref="X1511">
    <cfRule type="expression" dxfId="2375" priority="793">
      <formula>$H1511="Cash"</formula>
    </cfRule>
  </conditionalFormatting>
  <conditionalFormatting sqref="T1493">
    <cfRule type="expression" dxfId="2374" priority="792">
      <formula>$H1493="Cash"</formula>
    </cfRule>
  </conditionalFormatting>
  <conditionalFormatting sqref="T1493">
    <cfRule type="expression" dxfId="2373" priority="791">
      <formula>$O1493="Applicant Signatures"</formula>
    </cfRule>
  </conditionalFormatting>
  <conditionalFormatting sqref="T1494">
    <cfRule type="expression" dxfId="2372" priority="790">
      <formula>$H1494="Cash"</formula>
    </cfRule>
  </conditionalFormatting>
  <conditionalFormatting sqref="T1494">
    <cfRule type="expression" dxfId="2371" priority="789">
      <formula>$O1494="Applicant Signatures"</formula>
    </cfRule>
  </conditionalFormatting>
  <conditionalFormatting sqref="T1359">
    <cfRule type="expression" dxfId="2370" priority="788">
      <formula>$H1359="Cash"</formula>
    </cfRule>
  </conditionalFormatting>
  <conditionalFormatting sqref="T1359">
    <cfRule type="expression" dxfId="2369" priority="787">
      <formula>$O1359="Applicant Signatures"</formula>
    </cfRule>
  </conditionalFormatting>
  <conditionalFormatting sqref="T1358">
    <cfRule type="expression" dxfId="2368" priority="786">
      <formula>$H1358="Cash"</formula>
    </cfRule>
  </conditionalFormatting>
  <conditionalFormatting sqref="T1358">
    <cfRule type="expression" dxfId="2367" priority="785">
      <formula>$O1358="Applicant Signatures"</formula>
    </cfRule>
  </conditionalFormatting>
  <conditionalFormatting sqref="O1493">
    <cfRule type="expression" dxfId="2366" priority="783">
      <formula>$H1493="Cash"</formula>
    </cfRule>
  </conditionalFormatting>
  <conditionalFormatting sqref="O1493">
    <cfRule type="expression" dxfId="2365" priority="782">
      <formula>$O1493="Applicant Signatures"</formula>
    </cfRule>
  </conditionalFormatting>
  <conditionalFormatting sqref="O1493">
    <cfRule type="expression" dxfId="2364" priority="781">
      <formula>$H1493="Cash"</formula>
    </cfRule>
  </conditionalFormatting>
  <conditionalFormatting sqref="O1493">
    <cfRule type="expression" dxfId="2363" priority="780">
      <formula>$O1493="Applicant Signatures"</formula>
    </cfRule>
  </conditionalFormatting>
  <conditionalFormatting sqref="O1494">
    <cfRule type="expression" dxfId="2362" priority="779">
      <formula>$H1494="Cash"</formula>
    </cfRule>
  </conditionalFormatting>
  <conditionalFormatting sqref="O1494">
    <cfRule type="expression" dxfId="2361" priority="778">
      <formula>$O1494="Applicant Signatures"</formula>
    </cfRule>
  </conditionalFormatting>
  <conditionalFormatting sqref="O1494">
    <cfRule type="expression" dxfId="2360" priority="777">
      <formula>$H1494="Cash"</formula>
    </cfRule>
  </conditionalFormatting>
  <conditionalFormatting sqref="O1494">
    <cfRule type="expression" dxfId="2359" priority="776">
      <formula>$O1494="Applicant Signatures"</formula>
    </cfRule>
  </conditionalFormatting>
  <conditionalFormatting sqref="A1541:W1541 Y1541:AB1541">
    <cfRule type="expression" dxfId="2358" priority="775">
      <formula>$O1541="Applicant Signatures"</formula>
    </cfRule>
  </conditionalFormatting>
  <conditionalFormatting sqref="B1541:M1541 R1541:S1541 U1541:W1541 O1541:P1541">
    <cfRule type="expression" dxfId="2357" priority="774">
      <formula>$H1541="Cash"</formula>
    </cfRule>
  </conditionalFormatting>
  <conditionalFormatting sqref="A1542:W1545 Y1542:AB1545">
    <cfRule type="expression" dxfId="2356" priority="773">
      <formula>$O1542="Applicant Signatures"</formula>
    </cfRule>
  </conditionalFormatting>
  <conditionalFormatting sqref="B1542:M1545 R1542:S1545 U1542:W1545 O1542:P1545">
    <cfRule type="expression" dxfId="2355" priority="772">
      <formula>$H1542="Cash"</formula>
    </cfRule>
  </conditionalFormatting>
  <conditionalFormatting sqref="V1531">
    <cfRule type="expression" dxfId="2354" priority="771">
      <formula>$H1531="Cash"</formula>
    </cfRule>
  </conditionalFormatting>
  <conditionalFormatting sqref="V1531">
    <cfRule type="expression" dxfId="2353" priority="770">
      <formula>$O1531="Applicant Signatures"</formula>
    </cfRule>
  </conditionalFormatting>
  <conditionalFormatting sqref="R1373">
    <cfRule type="expression" dxfId="2352" priority="769">
      <formula>$H1373="Cash"</formula>
    </cfRule>
  </conditionalFormatting>
  <conditionalFormatting sqref="R1373">
    <cfRule type="expression" dxfId="2351" priority="768">
      <formula>$O1373="Applicant Signatures"</formula>
    </cfRule>
  </conditionalFormatting>
  <conditionalFormatting sqref="V1507:W1507">
    <cfRule type="expression" dxfId="2350" priority="751">
      <formula>$H1507="Cash"</formula>
    </cfRule>
  </conditionalFormatting>
  <conditionalFormatting sqref="V1507:W1507">
    <cfRule type="expression" dxfId="2349" priority="750">
      <formula>$O1507="Applicant Signatures"</formula>
    </cfRule>
  </conditionalFormatting>
  <conditionalFormatting sqref="W1481">
    <cfRule type="expression" dxfId="2348" priority="749">
      <formula>$O1481="Applicant Signatures"</formula>
    </cfRule>
  </conditionalFormatting>
  <conditionalFormatting sqref="W1481">
    <cfRule type="expression" dxfId="2347" priority="748">
      <formula>$H1481="Cash"</formula>
    </cfRule>
  </conditionalFormatting>
  <conditionalFormatting sqref="W1481">
    <cfRule type="expression" dxfId="2346" priority="747">
      <formula>$O1481="Applicant Signatures"</formula>
    </cfRule>
  </conditionalFormatting>
  <conditionalFormatting sqref="W1482">
    <cfRule type="expression" dxfId="2345" priority="746">
      <formula>$O1482="Applicant Signatures"</formula>
    </cfRule>
  </conditionalFormatting>
  <conditionalFormatting sqref="W1482">
    <cfRule type="expression" dxfId="2344" priority="745">
      <formula>$H1482="Cash"</formula>
    </cfRule>
  </conditionalFormatting>
  <conditionalFormatting sqref="W1482">
    <cfRule type="expression" dxfId="2343" priority="744">
      <formula>$O1482="Applicant Signatures"</formula>
    </cfRule>
  </conditionalFormatting>
  <conditionalFormatting sqref="A1546:N1546 Y1546:AB1546 P1546:U1546">
    <cfRule type="expression" dxfId="2342" priority="743">
      <formula>$O1546="Applicant Signatures"</formula>
    </cfRule>
  </conditionalFormatting>
  <conditionalFormatting sqref="B1546:M1546 R1546:S1546 U1546 P1546">
    <cfRule type="expression" dxfId="2341" priority="742">
      <formula>$H1546="Cash"</formula>
    </cfRule>
  </conditionalFormatting>
  <conditionalFormatting sqref="A1547:N1547 Y1547:AB1547 P1547:U1547">
    <cfRule type="expression" dxfId="2340" priority="741">
      <formula>$O1547="Applicant Signatures"</formula>
    </cfRule>
  </conditionalFormatting>
  <conditionalFormatting sqref="B1547:M1547 R1547:S1547 U1547 P1547">
    <cfRule type="expression" dxfId="2339" priority="740">
      <formula>$H1547="Cash"</formula>
    </cfRule>
  </conditionalFormatting>
  <conditionalFormatting sqref="A1548:W1548 Y1548:AB1548">
    <cfRule type="expression" dxfId="2338" priority="737">
      <formula>$O1548="Applicant Signatures"</formula>
    </cfRule>
  </conditionalFormatting>
  <conditionalFormatting sqref="B1548:M1548 R1548:S1548 U1548:W1548 O1548:P1548">
    <cfRule type="expression" dxfId="2337" priority="736">
      <formula>$H1548="Cash"</formula>
    </cfRule>
  </conditionalFormatting>
  <conditionalFormatting sqref="A1549:W1549 Y1549:AB1549">
    <cfRule type="expression" dxfId="2336" priority="733">
      <formula>$O1549="Applicant Signatures"</formula>
    </cfRule>
  </conditionalFormatting>
  <conditionalFormatting sqref="B1549:M1549 R1549:S1549 U1549:W1549 O1549:P1549">
    <cfRule type="expression" dxfId="2335" priority="732">
      <formula>$H1549="Cash"</formula>
    </cfRule>
  </conditionalFormatting>
  <conditionalFormatting sqref="A1550:W1550 Y1550:AB1550">
    <cfRule type="expression" dxfId="2334" priority="731">
      <formula>$O1550="Applicant Signatures"</formula>
    </cfRule>
  </conditionalFormatting>
  <conditionalFormatting sqref="B1550:M1550 R1550:S1550 U1550:W1550 O1550:P1550">
    <cfRule type="expression" dxfId="2333" priority="730">
      <formula>$H1550="Cash"</formula>
    </cfRule>
  </conditionalFormatting>
  <conditionalFormatting sqref="A1551:W1551 Y1551:AB1551">
    <cfRule type="expression" dxfId="2332" priority="729">
      <formula>$O1551="Applicant Signatures"</formula>
    </cfRule>
  </conditionalFormatting>
  <conditionalFormatting sqref="B1551:M1551 R1551:S1551 U1551:W1551 O1551:P1551">
    <cfRule type="expression" dxfId="2331" priority="728">
      <formula>$H1551="Cash"</formula>
    </cfRule>
  </conditionalFormatting>
  <conditionalFormatting sqref="A1552:W1552 Y1552:AB1552">
    <cfRule type="expression" dxfId="2330" priority="727">
      <formula>$O1552="Applicant Signatures"</formula>
    </cfRule>
  </conditionalFormatting>
  <conditionalFormatting sqref="B1552:M1552 R1552:S1552 U1552:W1552 O1552:P1552">
    <cfRule type="expression" dxfId="2329" priority="726">
      <formula>$H1552="Cash"</formula>
    </cfRule>
  </conditionalFormatting>
  <conditionalFormatting sqref="T1546">
    <cfRule type="expression" dxfId="2328" priority="725">
      <formula>$O1546="Applicant Signatures"</formula>
    </cfRule>
  </conditionalFormatting>
  <conditionalFormatting sqref="T1547">
    <cfRule type="expression" dxfId="2327" priority="724">
      <formula>$O1547="Applicant Signatures"</formula>
    </cfRule>
  </conditionalFormatting>
  <conditionalFormatting sqref="A1553:W1553 Y1553:AB1553">
    <cfRule type="expression" dxfId="2326" priority="713">
      <formula>$O1553="Applicant Signatures"</formula>
    </cfRule>
  </conditionalFormatting>
  <conditionalFormatting sqref="B1553:M1553 R1553:S1553 U1553:W1553 O1553:P1553">
    <cfRule type="expression" dxfId="2325" priority="712">
      <formula>$H1553="Cash"</formula>
    </cfRule>
  </conditionalFormatting>
  <conditionalFormatting sqref="X1523">
    <cfRule type="expression" dxfId="2324" priority="711">
      <formula>$O1523="Applicant Signatures"</formula>
    </cfRule>
  </conditionalFormatting>
  <conditionalFormatting sqref="X1523">
    <cfRule type="expression" dxfId="2323" priority="710">
      <formula>$H1523="Cash"</formula>
    </cfRule>
  </conditionalFormatting>
  <conditionalFormatting sqref="V1485">
    <cfRule type="expression" dxfId="2322" priority="709">
      <formula>$H1485="Cash"</formula>
    </cfRule>
  </conditionalFormatting>
  <conditionalFormatting sqref="V1513">
    <cfRule type="expression" dxfId="2321" priority="708">
      <formula>$O1513="Applicant Signatures"</formula>
    </cfRule>
  </conditionalFormatting>
  <conditionalFormatting sqref="V1513">
    <cfRule type="expression" dxfId="2320" priority="707">
      <formula>$H1513="Cash"</formula>
    </cfRule>
  </conditionalFormatting>
  <conditionalFormatting sqref="A1554:W1559 Y1554:AB1559">
    <cfRule type="expression" dxfId="2319" priority="706">
      <formula>$O1554="Applicant Signatures"</formula>
    </cfRule>
  </conditionalFormatting>
  <conditionalFormatting sqref="B1554:M1559 R1554:S1559 U1554:W1559 O1554:P1559">
    <cfRule type="expression" dxfId="2318" priority="705">
      <formula>$H1554="Cash"</formula>
    </cfRule>
  </conditionalFormatting>
  <conditionalFormatting sqref="T1546">
    <cfRule type="expression" dxfId="2317" priority="702">
      <formula>$O1546="Applicant Signatures"</formula>
    </cfRule>
  </conditionalFormatting>
  <conditionalFormatting sqref="T1547">
    <cfRule type="expression" dxfId="2316" priority="701">
      <formula>$O1547="Applicant Signatures"</formula>
    </cfRule>
  </conditionalFormatting>
  <conditionalFormatting sqref="T1546">
    <cfRule type="expression" dxfId="2315" priority="700">
      <formula>$O1546="Applicant Signatures"</formula>
    </cfRule>
  </conditionalFormatting>
  <conditionalFormatting sqref="T1547">
    <cfRule type="expression" dxfId="2314" priority="699">
      <formula>$O1547="Applicant Signatures"</formula>
    </cfRule>
  </conditionalFormatting>
  <conditionalFormatting sqref="O1546">
    <cfRule type="expression" dxfId="2313" priority="668">
      <formula>$O1546="Applicant Signatures"</formula>
    </cfRule>
  </conditionalFormatting>
  <conditionalFormatting sqref="O1546">
    <cfRule type="expression" dxfId="2312" priority="667">
      <formula>$H1546="Cash"</formula>
    </cfRule>
  </conditionalFormatting>
  <conditionalFormatting sqref="O1547">
    <cfRule type="expression" dxfId="2311" priority="666">
      <formula>$O1547="Applicant Signatures"</formula>
    </cfRule>
  </conditionalFormatting>
  <conditionalFormatting sqref="O1547">
    <cfRule type="expression" dxfId="2310" priority="665">
      <formula>$H1547="Cash"</formula>
    </cfRule>
  </conditionalFormatting>
  <conditionalFormatting sqref="A1560:S1560 Y1560:AB1560 U1560:W1560">
    <cfRule type="expression" dxfId="2309" priority="664">
      <formula>$O1560="Applicant Signatures"</formula>
    </cfRule>
  </conditionalFormatting>
  <conditionalFormatting sqref="B1560:M1560 R1560:S1560 U1560:W1560 O1560:P1560">
    <cfRule type="expression" dxfId="2308" priority="663">
      <formula>$H1560="Cash"</formula>
    </cfRule>
  </conditionalFormatting>
  <conditionalFormatting sqref="A1561:S1561 Y1561:AB1561 U1561 W1561">
    <cfRule type="expression" dxfId="2307" priority="661">
      <formula>$O1561="Applicant Signatures"</formula>
    </cfRule>
  </conditionalFormatting>
  <conditionalFormatting sqref="B1561:M1561 R1561:S1561 U1561 O1561:P1561 W1561">
    <cfRule type="expression" dxfId="2306" priority="660">
      <formula>$H1561="Cash"</formula>
    </cfRule>
  </conditionalFormatting>
  <conditionalFormatting sqref="AA1562">
    <cfRule type="expression" dxfId="2305" priority="659">
      <formula>$O1562="Applicant Signatures"</formula>
    </cfRule>
  </conditionalFormatting>
  <conditionalFormatting sqref="X1562">
    <cfRule type="expression" dxfId="2304" priority="658">
      <formula>$H1562="Cash"</formula>
    </cfRule>
  </conditionalFormatting>
  <conditionalFormatting sqref="X1562">
    <cfRule type="expression" dxfId="2303" priority="657">
      <formula>$H1562="Cash"</formula>
    </cfRule>
  </conditionalFormatting>
  <conditionalFormatting sqref="X1562">
    <cfRule type="expression" dxfId="2302" priority="656">
      <formula>$H1562="Cash"</formula>
    </cfRule>
  </conditionalFormatting>
  <conditionalFormatting sqref="X1562">
    <cfRule type="expression" dxfId="2301" priority="655">
      <formula>$O1562="Applicant Signatures"</formula>
    </cfRule>
  </conditionalFormatting>
  <conditionalFormatting sqref="X1562">
    <cfRule type="expression" dxfId="2300" priority="654">
      <formula>$H1562="Cash"</formula>
    </cfRule>
  </conditionalFormatting>
  <conditionalFormatting sqref="X1562">
    <cfRule type="expression" dxfId="2299" priority="653">
      <formula>$O1562="Applicant Signatures"</formula>
    </cfRule>
  </conditionalFormatting>
  <conditionalFormatting sqref="Q1562">
    <cfRule type="expression" dxfId="2298" priority="652">
      <formula>$H1562="Cash"</formula>
    </cfRule>
  </conditionalFormatting>
  <conditionalFormatting sqref="Q1562">
    <cfRule type="expression" dxfId="2297" priority="651">
      <formula>$O1562="Applicant Signatures"</formula>
    </cfRule>
  </conditionalFormatting>
  <conditionalFormatting sqref="R1562">
    <cfRule type="expression" dxfId="2296" priority="650">
      <formula>$H1562="Cash"</formula>
    </cfRule>
  </conditionalFormatting>
  <conditionalFormatting sqref="T1562 O1562">
    <cfRule type="expression" dxfId="2295" priority="649">
      <formula>$H1562="Cash"</formula>
    </cfRule>
  </conditionalFormatting>
  <conditionalFormatting sqref="S1562:U1562 Y1562:Z1562 B1562:P1562 AB1562">
    <cfRule type="expression" dxfId="2294" priority="648">
      <formula>$O1562="Applicant Signatures"</formula>
    </cfRule>
  </conditionalFormatting>
  <conditionalFormatting sqref="S1562:U1562 B1562:P1562">
    <cfRule type="expression" dxfId="2293" priority="647">
      <formula>$H1562="Cash"</formula>
    </cfRule>
  </conditionalFormatting>
  <conditionalFormatting sqref="S1562:U1562 Y1562:Z1562 B1562:P1562 AB1562">
    <cfRule type="expression" dxfId="2292" priority="646">
      <formula>$O1562="Applicant Signatures"</formula>
    </cfRule>
  </conditionalFormatting>
  <conditionalFormatting sqref="R1562">
    <cfRule type="expression" dxfId="2291" priority="645">
      <formula>$O1562="Applicant Signatures"</formula>
    </cfRule>
  </conditionalFormatting>
  <conditionalFormatting sqref="Q1562">
    <cfRule type="expression" dxfId="2290" priority="642">
      <formula>#REF!="Cash"</formula>
    </cfRule>
  </conditionalFormatting>
  <conditionalFormatting sqref="Q1562">
    <cfRule type="expression" dxfId="2289" priority="641">
      <formula>#REF!="Applicant Signatures"</formula>
    </cfRule>
  </conditionalFormatting>
  <conditionalFormatting sqref="A1562">
    <cfRule type="expression" dxfId="2288" priority="640">
      <formula>$H1562="Cash"</formula>
    </cfRule>
  </conditionalFormatting>
  <conditionalFormatting sqref="A1562">
    <cfRule type="expression" dxfId="2287" priority="639">
      <formula>$O1562="Applicant Signatures"</formula>
    </cfRule>
  </conditionalFormatting>
  <conditionalFormatting sqref="A1562">
    <cfRule type="expression" dxfId="2286" priority="638">
      <formula>#REF!="Cash"</formula>
    </cfRule>
  </conditionalFormatting>
  <conditionalFormatting sqref="A1562">
    <cfRule type="expression" dxfId="2285" priority="637">
      <formula>#REF!="Applicant Signatures"</formula>
    </cfRule>
  </conditionalFormatting>
  <conditionalFormatting sqref="A1562">
    <cfRule type="expression" dxfId="2284" priority="636">
      <formula>#REF!="Cash"</formula>
    </cfRule>
  </conditionalFormatting>
  <conditionalFormatting sqref="A1562">
    <cfRule type="expression" dxfId="2283" priority="635">
      <formula>#REF!="Applicant Signatures"</formula>
    </cfRule>
  </conditionalFormatting>
  <conditionalFormatting sqref="Q1562">
    <cfRule type="expression" dxfId="2282" priority="634">
      <formula>#REF!="Cash"</formula>
    </cfRule>
  </conditionalFormatting>
  <conditionalFormatting sqref="Q1562">
    <cfRule type="expression" dxfId="2281" priority="633">
      <formula>#REF!="Applicant Signatures"</formula>
    </cfRule>
  </conditionalFormatting>
  <conditionalFormatting sqref="W1546">
    <cfRule type="expression" dxfId="2280" priority="632">
      <formula>$O1546="Applicant Signatures"</formula>
    </cfRule>
  </conditionalFormatting>
  <conditionalFormatting sqref="W1546">
    <cfRule type="expression" dxfId="2279" priority="631">
      <formula>$H1546="Cash"</formula>
    </cfRule>
  </conditionalFormatting>
  <conditionalFormatting sqref="W1547">
    <cfRule type="expression" dxfId="2278" priority="630">
      <formula>$O1547="Applicant Signatures"</formula>
    </cfRule>
  </conditionalFormatting>
  <conditionalFormatting sqref="W1547">
    <cfRule type="expression" dxfId="2277" priority="629">
      <formula>$H1547="Cash"</formula>
    </cfRule>
  </conditionalFormatting>
  <conditionalFormatting sqref="V1547">
    <cfRule type="expression" dxfId="2276" priority="626">
      <formula>$O1547="Applicant Signatures"</formula>
    </cfRule>
  </conditionalFormatting>
  <conditionalFormatting sqref="V1547">
    <cfRule type="expression" dxfId="2275" priority="625">
      <formula>$H1547="Cash"</formula>
    </cfRule>
  </conditionalFormatting>
  <conditionalFormatting sqref="V1546">
    <cfRule type="expression" dxfId="2274" priority="624">
      <formula>$O1546="Applicant Signatures"</formula>
    </cfRule>
  </conditionalFormatting>
  <conditionalFormatting sqref="V1546">
    <cfRule type="expression" dxfId="2273" priority="623">
      <formula>$H1546="Cash"</formula>
    </cfRule>
  </conditionalFormatting>
  <conditionalFormatting sqref="Q1563:Q1565 N1563:N1565 A1563:A1565 X1563:X1565 T1563:T1565">
    <cfRule type="expression" dxfId="2272" priority="622">
      <formula>$H1563="Cash"</formula>
    </cfRule>
  </conditionalFormatting>
  <conditionalFormatting sqref="X1563:X1565 T1563:T1565">
    <cfRule type="expression" dxfId="2271" priority="621">
      <formula>$O1563="Applicant Signatures"</formula>
    </cfRule>
  </conditionalFormatting>
  <conditionalFormatting sqref="Q1563:Q1565">
    <cfRule type="expression" dxfId="2270" priority="619">
      <formula>#REF!="Cash"</formula>
    </cfRule>
  </conditionalFormatting>
  <conditionalFormatting sqref="Q1563:Q1565">
    <cfRule type="expression" dxfId="2269" priority="620">
      <formula>#REF!="Applicant Signatures"</formula>
    </cfRule>
  </conditionalFormatting>
  <conditionalFormatting sqref="A1563:A1565">
    <cfRule type="expression" dxfId="2268" priority="618">
      <formula>#REF!="Cash"</formula>
    </cfRule>
  </conditionalFormatting>
  <conditionalFormatting sqref="A1563:A1565">
    <cfRule type="expression" dxfId="2267" priority="617">
      <formula>#REF!="Applicant Signatures"</formula>
    </cfRule>
  </conditionalFormatting>
  <conditionalFormatting sqref="A1563:A1565">
    <cfRule type="expression" dxfId="2266" priority="616">
      <formula>#REF!="Cash"</formula>
    </cfRule>
  </conditionalFormatting>
  <conditionalFormatting sqref="A1563:A1565">
    <cfRule type="expression" dxfId="2265" priority="615">
      <formula>#REF!="Applicant Signatures"</formula>
    </cfRule>
  </conditionalFormatting>
  <conditionalFormatting sqref="T1563:T1565">
    <cfRule type="expression" dxfId="2264" priority="614">
      <formula>$O1563="Applicant Signatures"</formula>
    </cfRule>
  </conditionalFormatting>
  <conditionalFormatting sqref="A1563:W1563 Y1563:AB1563">
    <cfRule type="expression" dxfId="2263" priority="613">
      <formula>$O1563="Applicant Signatures"</formula>
    </cfRule>
  </conditionalFormatting>
  <conditionalFormatting sqref="B1563:M1563 R1563:S1563 U1563:W1563 O1563:P1563">
    <cfRule type="expression" dxfId="2262" priority="612">
      <formula>$H1563="Cash"</formula>
    </cfRule>
  </conditionalFormatting>
  <conditionalFormatting sqref="A1564:W1564 Y1564:AB1564">
    <cfRule type="expression" dxfId="2261" priority="611">
      <formula>$O1564="Applicant Signatures"</formula>
    </cfRule>
  </conditionalFormatting>
  <conditionalFormatting sqref="B1564:M1564 R1564:S1564 U1564:W1564 O1564:P1564">
    <cfRule type="expression" dxfId="2260" priority="610">
      <formula>$H1564="Cash"</formula>
    </cfRule>
  </conditionalFormatting>
  <conditionalFormatting sqref="A1565:W1565 Y1565:AB1565">
    <cfRule type="expression" dxfId="2259" priority="609">
      <formula>$O1565="Applicant Signatures"</formula>
    </cfRule>
  </conditionalFormatting>
  <conditionalFormatting sqref="B1565:M1565 R1565:S1565 U1565:W1565 O1565:P1565">
    <cfRule type="expression" dxfId="2258" priority="608">
      <formula>$H1565="Cash"</formula>
    </cfRule>
  </conditionalFormatting>
  <conditionalFormatting sqref="M5:M1617">
    <cfRule type="expression" dxfId="2257" priority="607">
      <formula>$M5&lt;&gt;"SAR"</formula>
    </cfRule>
  </conditionalFormatting>
  <conditionalFormatting sqref="Q1566 N1566 A1566 X1566 T1566">
    <cfRule type="expression" dxfId="2256" priority="606">
      <formula>$H1566="Cash"</formula>
    </cfRule>
  </conditionalFormatting>
  <conditionalFormatting sqref="X1566 T1566">
    <cfRule type="expression" dxfId="2255" priority="605">
      <formula>$O1566="Applicant Signatures"</formula>
    </cfRule>
  </conditionalFormatting>
  <conditionalFormatting sqref="Q1566">
    <cfRule type="expression" dxfId="2254" priority="603">
      <formula>#REF!="Cash"</formula>
    </cfRule>
  </conditionalFormatting>
  <conditionalFormatting sqref="Q1566">
    <cfRule type="expression" dxfId="2253" priority="604">
      <formula>#REF!="Applicant Signatures"</formula>
    </cfRule>
  </conditionalFormatting>
  <conditionalFormatting sqref="A1566">
    <cfRule type="expression" dxfId="2252" priority="602">
      <formula>#REF!="Cash"</formula>
    </cfRule>
  </conditionalFormatting>
  <conditionalFormatting sqref="A1566">
    <cfRule type="expression" dxfId="2251" priority="601">
      <formula>#REF!="Applicant Signatures"</formula>
    </cfRule>
  </conditionalFormatting>
  <conditionalFormatting sqref="A1566">
    <cfRule type="expression" dxfId="2250" priority="600">
      <formula>#REF!="Cash"</formula>
    </cfRule>
  </conditionalFormatting>
  <conditionalFormatting sqref="A1566">
    <cfRule type="expression" dxfId="2249" priority="599">
      <formula>#REF!="Applicant Signatures"</formula>
    </cfRule>
  </conditionalFormatting>
  <conditionalFormatting sqref="A1566:W1566 Y1566:AB1566">
    <cfRule type="expression" dxfId="2248" priority="598">
      <formula>$O1566="Applicant Signatures"</formula>
    </cfRule>
  </conditionalFormatting>
  <conditionalFormatting sqref="B1566:M1566 R1566:S1566 U1566:W1566 O1566:P1566">
    <cfRule type="expression" dxfId="2247" priority="597">
      <formula>$H1566="Cash"</formula>
    </cfRule>
  </conditionalFormatting>
  <conditionalFormatting sqref="AA1567">
    <cfRule type="expression" dxfId="2246" priority="596">
      <formula>$O1567="Applicant Signatures"</formula>
    </cfRule>
  </conditionalFormatting>
  <conditionalFormatting sqref="X1567">
    <cfRule type="expression" dxfId="2245" priority="595">
      <formula>$H1567="Cash"</formula>
    </cfRule>
  </conditionalFormatting>
  <conditionalFormatting sqref="X1567">
    <cfRule type="expression" dxfId="2244" priority="594">
      <formula>$H1567="Cash"</formula>
    </cfRule>
  </conditionalFormatting>
  <conditionalFormatting sqref="X1567">
    <cfRule type="expression" dxfId="2243" priority="593">
      <formula>$H1567="Cash"</formula>
    </cfRule>
  </conditionalFormatting>
  <conditionalFormatting sqref="X1567">
    <cfRule type="expression" dxfId="2242" priority="592">
      <formula>$O1567="Applicant Signatures"</formula>
    </cfRule>
  </conditionalFormatting>
  <conditionalFormatting sqref="X1567">
    <cfRule type="expression" dxfId="2241" priority="591">
      <formula>$H1567="Cash"</formula>
    </cfRule>
  </conditionalFormatting>
  <conditionalFormatting sqref="X1567">
    <cfRule type="expression" dxfId="2240" priority="590">
      <formula>$O1567="Applicant Signatures"</formula>
    </cfRule>
  </conditionalFormatting>
  <conditionalFormatting sqref="Q1567">
    <cfRule type="expression" dxfId="2239" priority="589">
      <formula>$H1567="Cash"</formula>
    </cfRule>
  </conditionalFormatting>
  <conditionalFormatting sqref="Q1567">
    <cfRule type="expression" dxfId="2238" priority="588">
      <formula>$O1567="Applicant Signatures"</formula>
    </cfRule>
  </conditionalFormatting>
  <conditionalFormatting sqref="R1567">
    <cfRule type="expression" dxfId="2237" priority="587">
      <formula>$H1567="Cash"</formula>
    </cfRule>
  </conditionalFormatting>
  <conditionalFormatting sqref="T1567 O1567">
    <cfRule type="expression" dxfId="2236" priority="586">
      <formula>$H1567="Cash"</formula>
    </cfRule>
  </conditionalFormatting>
  <conditionalFormatting sqref="S1567:U1567 Y1567:Z1567 B1567:P1567 AB1567">
    <cfRule type="expression" dxfId="2235" priority="585">
      <formula>$O1567="Applicant Signatures"</formula>
    </cfRule>
  </conditionalFormatting>
  <conditionalFormatting sqref="S1567:U1567 B1567:P1567">
    <cfRule type="expression" dxfId="2234" priority="584">
      <formula>$H1567="Cash"</formula>
    </cfRule>
  </conditionalFormatting>
  <conditionalFormatting sqref="S1567:U1567 Y1567:Z1567 B1567:P1567 AB1567">
    <cfRule type="expression" dxfId="2233" priority="583">
      <formula>$O1567="Applicant Signatures"</formula>
    </cfRule>
  </conditionalFormatting>
  <conditionalFormatting sqref="R1567">
    <cfRule type="expression" dxfId="2232" priority="582">
      <formula>$O1567="Applicant Signatures"</formula>
    </cfRule>
  </conditionalFormatting>
  <conditionalFormatting sqref="Q1567">
    <cfRule type="expression" dxfId="2231" priority="579">
      <formula>#REF!="Cash"</formula>
    </cfRule>
  </conditionalFormatting>
  <conditionalFormatting sqref="Q1567">
    <cfRule type="expression" dxfId="2230" priority="578">
      <formula>#REF!="Applicant Signatures"</formula>
    </cfRule>
  </conditionalFormatting>
  <conditionalFormatting sqref="A1567">
    <cfRule type="expression" dxfId="2229" priority="577">
      <formula>$H1567="Cash"</formula>
    </cfRule>
  </conditionalFormatting>
  <conditionalFormatting sqref="A1567">
    <cfRule type="expression" dxfId="2228" priority="576">
      <formula>$O1567="Applicant Signatures"</formula>
    </cfRule>
  </conditionalFormatting>
  <conditionalFormatting sqref="A1567">
    <cfRule type="expression" dxfId="2227" priority="575">
      <formula>#REF!="Cash"</formula>
    </cfRule>
  </conditionalFormatting>
  <conditionalFormatting sqref="A1567">
    <cfRule type="expression" dxfId="2226" priority="574">
      <formula>#REF!="Applicant Signatures"</formula>
    </cfRule>
  </conditionalFormatting>
  <conditionalFormatting sqref="A1567">
    <cfRule type="expression" dxfId="2225" priority="573">
      <formula>#REF!="Cash"</formula>
    </cfRule>
  </conditionalFormatting>
  <conditionalFormatting sqref="A1567">
    <cfRule type="expression" dxfId="2224" priority="572">
      <formula>#REF!="Applicant Signatures"</formula>
    </cfRule>
  </conditionalFormatting>
  <conditionalFormatting sqref="Q1567">
    <cfRule type="expression" dxfId="2223" priority="571">
      <formula>#REF!="Cash"</formula>
    </cfRule>
  </conditionalFormatting>
  <conditionalFormatting sqref="Q1567">
    <cfRule type="expression" dxfId="2222" priority="570">
      <formula>#REF!="Applicant Signatures"</formula>
    </cfRule>
  </conditionalFormatting>
  <conditionalFormatting sqref="X1446">
    <cfRule type="expression" dxfId="2221" priority="569">
      <formula>$O1446="Applicant Signatures"</formula>
    </cfRule>
  </conditionalFormatting>
  <conditionalFormatting sqref="X1446">
    <cfRule type="expression" dxfId="2220" priority="568">
      <formula>$H1446="Cash"</formula>
    </cfRule>
  </conditionalFormatting>
  <conditionalFormatting sqref="X1445">
    <cfRule type="expression" dxfId="2219" priority="567">
      <formula>$O1445="Applicant Signatures"</formula>
    </cfRule>
  </conditionalFormatting>
  <conditionalFormatting sqref="X1445">
    <cfRule type="expression" dxfId="2218" priority="566">
      <formula>$H1445="Cash"</formula>
    </cfRule>
  </conditionalFormatting>
  <conditionalFormatting sqref="A1568">
    <cfRule type="expression" dxfId="2217" priority="565">
      <formula>$H1568="Cash"</formula>
    </cfRule>
  </conditionalFormatting>
  <conditionalFormatting sqref="A1568 AA1568">
    <cfRule type="expression" dxfId="2216" priority="564">
      <formula>$O1568="Applicant Signatures"</formula>
    </cfRule>
  </conditionalFormatting>
  <conditionalFormatting sqref="A1568">
    <cfRule type="expression" dxfId="2215" priority="563">
      <formula>#REF!="Cash"</formula>
    </cfRule>
  </conditionalFormatting>
  <conditionalFormatting sqref="A1568">
    <cfRule type="expression" dxfId="2214" priority="562">
      <formula>#REF!="Applicant Signatures"</formula>
    </cfRule>
  </conditionalFormatting>
  <conditionalFormatting sqref="A1568">
    <cfRule type="expression" dxfId="2213" priority="561">
      <formula>#REF!="Cash"</formula>
    </cfRule>
  </conditionalFormatting>
  <conditionalFormatting sqref="A1568">
    <cfRule type="expression" dxfId="2212" priority="560">
      <formula>#REF!="Applicant Signatures"</formula>
    </cfRule>
  </conditionalFormatting>
  <conditionalFormatting sqref="Q1568">
    <cfRule type="expression" dxfId="2211" priority="558">
      <formula>#REF!="Cash"</formula>
    </cfRule>
  </conditionalFormatting>
  <conditionalFormatting sqref="Q1568">
    <cfRule type="expression" dxfId="2210" priority="559">
      <formula>#REF!="Applicant Signatures"</formula>
    </cfRule>
  </conditionalFormatting>
  <conditionalFormatting sqref="AB1568 Y1568:Z1568 B1568:S1568 U1568 W1568">
    <cfRule type="expression" dxfId="2209" priority="557">
      <formula>$O1568="Applicant Signatures"</formula>
    </cfRule>
  </conditionalFormatting>
  <conditionalFormatting sqref="B1568:S1568 U1568 W1568">
    <cfRule type="expression" dxfId="2208" priority="556">
      <formula>$H1568="Cash"</formula>
    </cfRule>
  </conditionalFormatting>
  <conditionalFormatting sqref="X1568">
    <cfRule type="expression" dxfId="2207" priority="555">
      <formula>$H1568="Cash"</formula>
    </cfRule>
  </conditionalFormatting>
  <conditionalFormatting sqref="X1568">
    <cfRule type="expression" dxfId="2206" priority="554">
      <formula>$H1568="Cash"</formula>
    </cfRule>
  </conditionalFormatting>
  <conditionalFormatting sqref="X1568">
    <cfRule type="expression" dxfId="2205" priority="553">
      <formula>$H1568="Cash"</formula>
    </cfRule>
  </conditionalFormatting>
  <conditionalFormatting sqref="X1568">
    <cfRule type="expression" dxfId="2204" priority="552">
      <formula>$O1568="Applicant Signatures"</formula>
    </cfRule>
  </conditionalFormatting>
  <conditionalFormatting sqref="X1568">
    <cfRule type="expression" dxfId="2203" priority="551">
      <formula>$H1568="Cash"</formula>
    </cfRule>
  </conditionalFormatting>
  <conditionalFormatting sqref="X1568">
    <cfRule type="expression" dxfId="2202" priority="550">
      <formula>$O1568="Applicant Signatures"</formula>
    </cfRule>
  </conditionalFormatting>
  <conditionalFormatting sqref="T1568">
    <cfRule type="expression" dxfId="2201" priority="549">
      <formula>$H1568="Cash"</formula>
    </cfRule>
  </conditionalFormatting>
  <conditionalFormatting sqref="T1568">
    <cfRule type="expression" dxfId="2200" priority="548">
      <formula>$O1568="Applicant Signatures"</formula>
    </cfRule>
  </conditionalFormatting>
  <conditionalFormatting sqref="Q1569:Q1571 N1569:N1571 A1569:A1571 X1569:X1571 T1569 T1571">
    <cfRule type="expression" dxfId="2199" priority="547">
      <formula>$H1569="Cash"</formula>
    </cfRule>
  </conditionalFormatting>
  <conditionalFormatting sqref="X1569:X1571 T1569 T1571">
    <cfRule type="expression" dxfId="2198" priority="546">
      <formula>$O1569="Applicant Signatures"</formula>
    </cfRule>
  </conditionalFormatting>
  <conditionalFormatting sqref="Q1569:Q1571">
    <cfRule type="expression" dxfId="2197" priority="544">
      <formula>#REF!="Cash"</formula>
    </cfRule>
  </conditionalFormatting>
  <conditionalFormatting sqref="Q1569:Q1571">
    <cfRule type="expression" dxfId="2196" priority="545">
      <formula>#REF!="Applicant Signatures"</formula>
    </cfRule>
  </conditionalFormatting>
  <conditionalFormatting sqref="A1569:A1571">
    <cfRule type="expression" dxfId="2195" priority="543">
      <formula>#REF!="Cash"</formula>
    </cfRule>
  </conditionalFormatting>
  <conditionalFormatting sqref="A1569:A1571">
    <cfRule type="expression" dxfId="2194" priority="542">
      <formula>#REF!="Applicant Signatures"</formula>
    </cfRule>
  </conditionalFormatting>
  <conditionalFormatting sqref="A1569:A1571">
    <cfRule type="expression" dxfId="2193" priority="541">
      <formula>#REF!="Cash"</formula>
    </cfRule>
  </conditionalFormatting>
  <conditionalFormatting sqref="A1569:A1571">
    <cfRule type="expression" dxfId="2192" priority="540">
      <formula>#REF!="Applicant Signatures"</formula>
    </cfRule>
  </conditionalFormatting>
  <conditionalFormatting sqref="T1569 T1571">
    <cfRule type="expression" dxfId="2191" priority="539">
      <formula>$O1569="Applicant Signatures"</formula>
    </cfRule>
  </conditionalFormatting>
  <conditionalFormatting sqref="A1569:W1569 Y1569:AB1569">
    <cfRule type="expression" dxfId="2190" priority="538">
      <formula>$O1569="Applicant Signatures"</formula>
    </cfRule>
  </conditionalFormatting>
  <conditionalFormatting sqref="B1569:M1569 R1569:S1569 U1569:W1569 O1569:P1569">
    <cfRule type="expression" dxfId="2189" priority="537">
      <formula>$H1569="Cash"</formula>
    </cfRule>
  </conditionalFormatting>
  <conditionalFormatting sqref="A1570:S1570 Y1570:AB1570 U1570:W1570">
    <cfRule type="expression" dxfId="2188" priority="536">
      <formula>$O1570="Applicant Signatures"</formula>
    </cfRule>
  </conditionalFormatting>
  <conditionalFormatting sqref="B1570:M1570 R1570:S1570 U1570:W1570 O1570:P1570">
    <cfRule type="expression" dxfId="2187" priority="535">
      <formula>$H1570="Cash"</formula>
    </cfRule>
  </conditionalFormatting>
  <conditionalFormatting sqref="A1571:W1571 Y1571:AB1571">
    <cfRule type="expression" dxfId="2186" priority="534">
      <formula>$O1571="Applicant Signatures"</formula>
    </cfRule>
  </conditionalFormatting>
  <conditionalFormatting sqref="B1571:M1571 R1571:S1571 U1571:W1571 O1571:P1571">
    <cfRule type="expression" dxfId="2185" priority="533">
      <formula>$H1571="Cash"</formula>
    </cfRule>
  </conditionalFormatting>
  <conditionalFormatting sqref="V1446">
    <cfRule type="expression" dxfId="2184" priority="532">
      <formula>$H1446="Cash"</formula>
    </cfRule>
  </conditionalFormatting>
  <conditionalFormatting sqref="Q1572 N1572 A1572 T1572">
    <cfRule type="expression" dxfId="2183" priority="531">
      <formula>$H1572="Cash"</formula>
    </cfRule>
  </conditionalFormatting>
  <conditionalFormatting sqref="Q1572">
    <cfRule type="expression" dxfId="2182" priority="528">
      <formula>#REF!="Cash"</formula>
    </cfRule>
  </conditionalFormatting>
  <conditionalFormatting sqref="Q1572">
    <cfRule type="expression" dxfId="2181" priority="529">
      <formula>#REF!="Applicant Signatures"</formula>
    </cfRule>
  </conditionalFormatting>
  <conditionalFormatting sqref="A1572">
    <cfRule type="expression" dxfId="2180" priority="527">
      <formula>#REF!="Cash"</formula>
    </cfRule>
  </conditionalFormatting>
  <conditionalFormatting sqref="A1572">
    <cfRule type="expression" dxfId="2179" priority="526">
      <formula>#REF!="Applicant Signatures"</formula>
    </cfRule>
  </conditionalFormatting>
  <conditionalFormatting sqref="A1572">
    <cfRule type="expression" dxfId="2178" priority="525">
      <formula>#REF!="Cash"</formula>
    </cfRule>
  </conditionalFormatting>
  <conditionalFormatting sqref="A1572">
    <cfRule type="expression" dxfId="2177" priority="524">
      <formula>#REF!="Applicant Signatures"</formula>
    </cfRule>
  </conditionalFormatting>
  <conditionalFormatting sqref="A1572:W1572 Y1572:AB1572">
    <cfRule type="expression" dxfId="2176" priority="523">
      <formula>$O1572="Applicant Signatures"</formula>
    </cfRule>
  </conditionalFormatting>
  <conditionalFormatting sqref="B1572:M1572 R1572:S1572 U1572:W1572 O1572:P1572">
    <cfRule type="expression" dxfId="2175" priority="522">
      <formula>$H1572="Cash"</formula>
    </cfRule>
  </conditionalFormatting>
  <conditionalFormatting sqref="Q1573 N1573 A1573 X1573 T1573">
    <cfRule type="expression" dxfId="2174" priority="521">
      <formula>$H1573="Cash"</formula>
    </cfRule>
  </conditionalFormatting>
  <conditionalFormatting sqref="X1573 T1573">
    <cfRule type="expression" dxfId="2173" priority="520">
      <formula>$O1573="Applicant Signatures"</formula>
    </cfRule>
  </conditionalFormatting>
  <conditionalFormatting sqref="Q1573">
    <cfRule type="expression" dxfId="2172" priority="518">
      <formula>#REF!="Cash"</formula>
    </cfRule>
  </conditionalFormatting>
  <conditionalFormatting sqref="Q1573">
    <cfRule type="expression" dxfId="2171" priority="519">
      <formula>#REF!="Applicant Signatures"</formula>
    </cfRule>
  </conditionalFormatting>
  <conditionalFormatting sqref="A1573">
    <cfRule type="expression" dxfId="2170" priority="517">
      <formula>#REF!="Cash"</formula>
    </cfRule>
  </conditionalFormatting>
  <conditionalFormatting sqref="A1573">
    <cfRule type="expression" dxfId="2169" priority="516">
      <formula>#REF!="Applicant Signatures"</formula>
    </cfRule>
  </conditionalFormatting>
  <conditionalFormatting sqref="A1573">
    <cfRule type="expression" dxfId="2168" priority="515">
      <formula>#REF!="Cash"</formula>
    </cfRule>
  </conditionalFormatting>
  <conditionalFormatting sqref="A1573">
    <cfRule type="expression" dxfId="2167" priority="514">
      <formula>#REF!="Applicant Signatures"</formula>
    </cfRule>
  </conditionalFormatting>
  <conditionalFormatting sqref="T1573">
    <cfRule type="expression" dxfId="2166" priority="513">
      <formula>$O1573="Applicant Signatures"</formula>
    </cfRule>
  </conditionalFormatting>
  <conditionalFormatting sqref="A1573:W1573 Y1573:AB1573">
    <cfRule type="expression" dxfId="2165" priority="512">
      <formula>$O1573="Applicant Signatures"</formula>
    </cfRule>
  </conditionalFormatting>
  <conditionalFormatting sqref="B1573:M1573 R1573:S1573 U1573:W1573 O1573:P1573">
    <cfRule type="expression" dxfId="2164" priority="511">
      <formula>$H1573="Cash"</formula>
    </cfRule>
  </conditionalFormatting>
  <conditionalFormatting sqref="T1456">
    <cfRule type="expression" dxfId="2163" priority="509">
      <formula>$H1456="Cash"</formula>
    </cfRule>
  </conditionalFormatting>
  <conditionalFormatting sqref="T1456">
    <cfRule type="expression" dxfId="2162" priority="508">
      <formula>$O1456="Applicant Signatures"</formula>
    </cfRule>
  </conditionalFormatting>
  <conditionalFormatting sqref="T1456">
    <cfRule type="expression" dxfId="2161" priority="507">
      <formula>$O1456="Applicant Signatures"</formula>
    </cfRule>
  </conditionalFormatting>
  <conditionalFormatting sqref="T1456">
    <cfRule type="expression" dxfId="2160" priority="506">
      <formula>$O1456="Applicant Signatures"</formula>
    </cfRule>
  </conditionalFormatting>
  <conditionalFormatting sqref="T1299">
    <cfRule type="expression" dxfId="2159" priority="505">
      <formula>$H1299="Cash"</formula>
    </cfRule>
  </conditionalFormatting>
  <conditionalFormatting sqref="T1299">
    <cfRule type="expression" dxfId="2158" priority="504">
      <formula>$O1299="Applicant Signatures"</formula>
    </cfRule>
  </conditionalFormatting>
  <conditionalFormatting sqref="T1299">
    <cfRule type="expression" dxfId="2157" priority="503">
      <formula>$O1299="Applicant Signatures"</formula>
    </cfRule>
  </conditionalFormatting>
  <conditionalFormatting sqref="T1299">
    <cfRule type="expression" dxfId="2156" priority="502">
      <formula>$O1299="Applicant Signatures"</formula>
    </cfRule>
  </conditionalFormatting>
  <conditionalFormatting sqref="X1456">
    <cfRule type="expression" dxfId="2155" priority="501">
      <formula>$D1456="Cash"</formula>
    </cfRule>
  </conditionalFormatting>
  <conditionalFormatting sqref="X1456">
    <cfRule type="expression" dxfId="2154" priority="500">
      <formula>$I1456="Applicant Signatures"</formula>
    </cfRule>
  </conditionalFormatting>
  <conditionalFormatting sqref="X1299">
    <cfRule type="expression" dxfId="2153" priority="499">
      <formula>$H1299="Cash"</formula>
    </cfRule>
  </conditionalFormatting>
  <conditionalFormatting sqref="X1299">
    <cfRule type="expression" dxfId="2152" priority="498">
      <formula>$O1299="Applicant Signatures"</formula>
    </cfRule>
  </conditionalFormatting>
  <conditionalFormatting sqref="Q1574 N1574 A1574 X1574">
    <cfRule type="expression" dxfId="2151" priority="497">
      <formula>$H1574="Cash"</formula>
    </cfRule>
  </conditionalFormatting>
  <conditionalFormatting sqref="X1574">
    <cfRule type="expression" dxfId="2150" priority="496">
      <formula>$O1574="Applicant Signatures"</formula>
    </cfRule>
  </conditionalFormatting>
  <conditionalFormatting sqref="Q1574">
    <cfRule type="expression" dxfId="2149" priority="494">
      <formula>#REF!="Cash"</formula>
    </cfRule>
  </conditionalFormatting>
  <conditionalFormatting sqref="Q1574">
    <cfRule type="expression" dxfId="2148" priority="495">
      <formula>#REF!="Applicant Signatures"</formula>
    </cfRule>
  </conditionalFormatting>
  <conditionalFormatting sqref="A1574">
    <cfRule type="expression" dxfId="2147" priority="493">
      <formula>#REF!="Cash"</formula>
    </cfRule>
  </conditionalFormatting>
  <conditionalFormatting sqref="A1574">
    <cfRule type="expression" dxfId="2146" priority="492">
      <formula>#REF!="Applicant Signatures"</formula>
    </cfRule>
  </conditionalFormatting>
  <conditionalFormatting sqref="A1574">
    <cfRule type="expression" dxfId="2145" priority="491">
      <formula>#REF!="Cash"</formula>
    </cfRule>
  </conditionalFormatting>
  <conditionalFormatting sqref="A1574">
    <cfRule type="expression" dxfId="2144" priority="490">
      <formula>#REF!="Applicant Signatures"</formula>
    </cfRule>
  </conditionalFormatting>
  <conditionalFormatting sqref="A1574:S1574 Y1574:AB1574 U1574:W1574">
    <cfRule type="expression" dxfId="2143" priority="488">
      <formula>$O1574="Applicant Signatures"</formula>
    </cfRule>
  </conditionalFormatting>
  <conditionalFormatting sqref="B1574:M1574 R1574:S1574 U1574:W1574 O1574:P1574">
    <cfRule type="expression" dxfId="2142" priority="487">
      <formula>$H1574="Cash"</formula>
    </cfRule>
  </conditionalFormatting>
  <conditionalFormatting sqref="A1575">
    <cfRule type="expression" dxfId="2141" priority="486">
      <formula>$H1575="Cash"</formula>
    </cfRule>
  </conditionalFormatting>
  <conditionalFormatting sqref="A1575 AA1575">
    <cfRule type="expression" dxfId="2140" priority="485">
      <formula>$O1575="Applicant Signatures"</formula>
    </cfRule>
  </conditionalFormatting>
  <conditionalFormatting sqref="T1575">
    <cfRule type="expression" dxfId="2139" priority="484">
      <formula>$H1575="Cash"</formula>
    </cfRule>
  </conditionalFormatting>
  <conditionalFormatting sqref="T1575">
    <cfRule type="expression" dxfId="2138" priority="483">
      <formula>$O1575="Applicant Signatures"</formula>
    </cfRule>
  </conditionalFormatting>
  <conditionalFormatting sqref="Q1575">
    <cfRule type="expression" dxfId="2137" priority="481">
      <formula>#REF!="Cash"</formula>
    </cfRule>
  </conditionalFormatting>
  <conditionalFormatting sqref="Q1575">
    <cfRule type="expression" dxfId="2136" priority="482">
      <formula>#REF!="Applicant Signatures"</formula>
    </cfRule>
  </conditionalFormatting>
  <conditionalFormatting sqref="A1575">
    <cfRule type="expression" dxfId="2135" priority="480">
      <formula>#REF!="Cash"</formula>
    </cfRule>
  </conditionalFormatting>
  <conditionalFormatting sqref="A1575">
    <cfRule type="expression" dxfId="2134" priority="479">
      <formula>#REF!="Applicant Signatures"</formula>
    </cfRule>
  </conditionalFormatting>
  <conditionalFormatting sqref="A1575">
    <cfRule type="expression" dxfId="2133" priority="478">
      <formula>#REF!="Cash"</formula>
    </cfRule>
  </conditionalFormatting>
  <conditionalFormatting sqref="A1575">
    <cfRule type="expression" dxfId="2132" priority="477">
      <formula>#REF!="Applicant Signatures"</formula>
    </cfRule>
  </conditionalFormatting>
  <conditionalFormatting sqref="AB1575 R1575:S1575 B1575 O1575:P1575 U1575:Z1575 D1575:M1575">
    <cfRule type="expression" dxfId="2131" priority="476">
      <formula>$O1575="Applicant Signatures"</formula>
    </cfRule>
  </conditionalFormatting>
  <conditionalFormatting sqref="Q1575">
    <cfRule type="expression" dxfId="2130" priority="475">
      <formula>$H1575="Cash"</formula>
    </cfRule>
  </conditionalFormatting>
  <conditionalFormatting sqref="Q1575">
    <cfRule type="expression" dxfId="2129" priority="474">
      <formula>$O1575="Applicant Signatures"</formula>
    </cfRule>
  </conditionalFormatting>
  <conditionalFormatting sqref="N1575">
    <cfRule type="expression" dxfId="2128" priority="473">
      <formula>$O1575="Applicant Signatures"</formula>
    </cfRule>
  </conditionalFormatting>
  <conditionalFormatting sqref="N1575">
    <cfRule type="expression" dxfId="2127" priority="472">
      <formula>$H1575="Cash"</formula>
    </cfRule>
  </conditionalFormatting>
  <conditionalFormatting sqref="N1575">
    <cfRule type="expression" dxfId="2126" priority="471">
      <formula>$O1575="Applicant Signatures"</formula>
    </cfRule>
  </conditionalFormatting>
  <conditionalFormatting sqref="B1575 R1575:S1575 U1575:X1575 O1575:P1575 D1575:M1575">
    <cfRule type="expression" dxfId="2125" priority="470">
      <formula>$H1575="Cash"</formula>
    </cfRule>
  </conditionalFormatting>
  <conditionalFormatting sqref="A1576">
    <cfRule type="expression" dxfId="2124" priority="469">
      <formula>$H1576="Cash"</formula>
    </cfRule>
  </conditionalFormatting>
  <conditionalFormatting sqref="A1576 AA1576">
    <cfRule type="expression" dxfId="2123" priority="468">
      <formula>$O1576="Applicant Signatures"</formula>
    </cfRule>
  </conditionalFormatting>
  <conditionalFormatting sqref="T1576">
    <cfRule type="expression" dxfId="2122" priority="467">
      <formula>$H1576="Cash"</formula>
    </cfRule>
  </conditionalFormatting>
  <conditionalFormatting sqref="T1576">
    <cfRule type="expression" dxfId="2121" priority="466">
      <formula>$O1576="Applicant Signatures"</formula>
    </cfRule>
  </conditionalFormatting>
  <conditionalFormatting sqref="Q1576">
    <cfRule type="expression" dxfId="2120" priority="464">
      <formula>#REF!="Cash"</formula>
    </cfRule>
  </conditionalFormatting>
  <conditionalFormatting sqref="Q1576">
    <cfRule type="expression" dxfId="2119" priority="465">
      <formula>#REF!="Applicant Signatures"</formula>
    </cfRule>
  </conditionalFormatting>
  <conditionalFormatting sqref="A1576">
    <cfRule type="expression" dxfId="2118" priority="463">
      <formula>#REF!="Cash"</formula>
    </cfRule>
  </conditionalFormatting>
  <conditionalFormatting sqref="A1576">
    <cfRule type="expression" dxfId="2117" priority="462">
      <formula>#REF!="Applicant Signatures"</formula>
    </cfRule>
  </conditionalFormatting>
  <conditionalFormatting sqref="A1576">
    <cfRule type="expression" dxfId="2116" priority="461">
      <formula>#REF!="Cash"</formula>
    </cfRule>
  </conditionalFormatting>
  <conditionalFormatting sqref="A1576">
    <cfRule type="expression" dxfId="2115" priority="460">
      <formula>#REF!="Applicant Signatures"</formula>
    </cfRule>
  </conditionalFormatting>
  <conditionalFormatting sqref="AB1576 R1576:S1576 B1576 O1576:P1576 U1576:Z1576 D1576:M1576">
    <cfRule type="expression" dxfId="2114" priority="459">
      <formula>$O1576="Applicant Signatures"</formula>
    </cfRule>
  </conditionalFormatting>
  <conditionalFormatting sqref="Q1576">
    <cfRule type="expression" dxfId="2113" priority="458">
      <formula>$H1576="Cash"</formula>
    </cfRule>
  </conditionalFormatting>
  <conditionalFormatting sqref="Q1576">
    <cfRule type="expression" dxfId="2112" priority="457">
      <formula>$O1576="Applicant Signatures"</formula>
    </cfRule>
  </conditionalFormatting>
  <conditionalFormatting sqref="N1576">
    <cfRule type="expression" dxfId="2111" priority="456">
      <formula>$O1576="Applicant Signatures"</formula>
    </cfRule>
  </conditionalFormatting>
  <conditionalFormatting sqref="N1576">
    <cfRule type="expression" dxfId="2110" priority="455">
      <formula>$H1576="Cash"</formula>
    </cfRule>
  </conditionalFormatting>
  <conditionalFormatting sqref="N1576">
    <cfRule type="expression" dxfId="2109" priority="454">
      <formula>$O1576="Applicant Signatures"</formula>
    </cfRule>
  </conditionalFormatting>
  <conditionalFormatting sqref="B1576 R1576:S1576 U1576:X1576 O1576:P1576 D1576:M1576">
    <cfRule type="expression" dxfId="2108" priority="453">
      <formula>$H1576="Cash"</formula>
    </cfRule>
  </conditionalFormatting>
  <conditionalFormatting sqref="C1575">
    <cfRule type="expression" dxfId="2107" priority="452">
      <formula>$O1575="Applicant Signatures"</formula>
    </cfRule>
  </conditionalFormatting>
  <conditionalFormatting sqref="C1575">
    <cfRule type="expression" dxfId="2106" priority="451">
      <formula>$H1575="Cash"</formula>
    </cfRule>
  </conditionalFormatting>
  <conditionalFormatting sqref="C1576">
    <cfRule type="expression" dxfId="2105" priority="450">
      <formula>$O1576="Applicant Signatures"</formula>
    </cfRule>
  </conditionalFormatting>
  <conditionalFormatting sqref="C1576">
    <cfRule type="expression" dxfId="2104" priority="449">
      <formula>$H1576="Cash"</formula>
    </cfRule>
  </conditionalFormatting>
  <conditionalFormatting sqref="V1439">
    <cfRule type="expression" dxfId="2103" priority="448">
      <formula>$H1439="Cash"</formula>
    </cfRule>
  </conditionalFormatting>
  <conditionalFormatting sqref="V1439">
    <cfRule type="expression" dxfId="2102" priority="447">
      <formula>$O1439="Applicant Signatures"</formula>
    </cfRule>
  </conditionalFormatting>
  <conditionalFormatting sqref="V1504">
    <cfRule type="expression" dxfId="2101" priority="446">
      <formula>$H1504="Cash"</formula>
    </cfRule>
  </conditionalFormatting>
  <conditionalFormatting sqref="V1504">
    <cfRule type="expression" dxfId="2100" priority="445">
      <formula>$O1504="Applicant Signatures"</formula>
    </cfRule>
  </conditionalFormatting>
  <conditionalFormatting sqref="V1510:W1510">
    <cfRule type="expression" dxfId="2099" priority="444">
      <formula>$O1510="Applicant Signatures"</formula>
    </cfRule>
  </conditionalFormatting>
  <conditionalFormatting sqref="V1510:W1510">
    <cfRule type="expression" dxfId="2098" priority="443">
      <formula>$H1510="Cash"</formula>
    </cfRule>
  </conditionalFormatting>
  <conditionalFormatting sqref="V1562:W1562">
    <cfRule type="expression" dxfId="2097" priority="442">
      <formula>$O1562="Applicant Signatures"</formula>
    </cfRule>
  </conditionalFormatting>
  <conditionalFormatting sqref="V1562:W1562">
    <cfRule type="expression" dxfId="2096" priority="441">
      <formula>$H1562="Cash"</formula>
    </cfRule>
  </conditionalFormatting>
  <conditionalFormatting sqref="V1567:W1567">
    <cfRule type="expression" dxfId="2095" priority="440">
      <formula>$O1567="Applicant Signatures"</formula>
    </cfRule>
  </conditionalFormatting>
  <conditionalFormatting sqref="V1567:W1567">
    <cfRule type="expression" dxfId="2094" priority="439">
      <formula>$H1567="Cash"</formula>
    </cfRule>
  </conditionalFormatting>
  <conditionalFormatting sqref="Y1577:AB1582 A1577:S1582 U1577:W1582">
    <cfRule type="expression" dxfId="2093" priority="429">
      <formula>$O1577="Applicant Signatures"</formula>
    </cfRule>
  </conditionalFormatting>
  <conditionalFormatting sqref="B1577:M1582 R1577:S1582 U1577:W1582 O1577:P1582">
    <cfRule type="expression" dxfId="2092" priority="428">
      <formula>$H1577="Cash"</formula>
    </cfRule>
  </conditionalFormatting>
  <conditionalFormatting sqref="Y1583:AB1583 A1583:W1583">
    <cfRule type="expression" dxfId="2091" priority="425">
      <formula>$O1583="Applicant Signatures"</formula>
    </cfRule>
  </conditionalFormatting>
  <conditionalFormatting sqref="B1583:M1583 R1583:S1583 U1583:W1583 O1583:P1583">
    <cfRule type="expression" dxfId="2090" priority="424">
      <formula>$H1583="Cash"</formula>
    </cfRule>
  </conditionalFormatting>
  <conditionalFormatting sqref="Y1584:AB1584 A1584:W1584">
    <cfRule type="expression" dxfId="2089" priority="423">
      <formula>$O1584="Applicant Signatures"</formula>
    </cfRule>
  </conditionalFormatting>
  <conditionalFormatting sqref="B1584:M1584 R1584:S1584 U1584:W1584 O1584:P1584">
    <cfRule type="expression" dxfId="2088" priority="422">
      <formula>$H1584="Cash"</formula>
    </cfRule>
  </conditionalFormatting>
  <conditionalFormatting sqref="X1561">
    <cfRule type="expression" dxfId="2087" priority="421">
      <formula>$H1561="Cash"</formula>
    </cfRule>
  </conditionalFormatting>
  <conditionalFormatting sqref="X1561">
    <cfRule type="expression" dxfId="2086" priority="420">
      <formula>$O1561="Applicant Signatures"</formula>
    </cfRule>
  </conditionalFormatting>
  <conditionalFormatting sqref="Y1585:AB1585 A1585:W1585">
    <cfRule type="expression" dxfId="2085" priority="419">
      <formula>$O1585="Applicant Signatures"</formula>
    </cfRule>
  </conditionalFormatting>
  <conditionalFormatting sqref="B1585:M1585 R1585:S1585 U1585:W1585 O1585:P1585">
    <cfRule type="expression" dxfId="2084" priority="418">
      <formula>$H1585="Cash"</formula>
    </cfRule>
  </conditionalFormatting>
  <conditionalFormatting sqref="Y1586:AB1586 A1586:W1586">
    <cfRule type="expression" dxfId="2083" priority="417">
      <formula>$O1586="Applicant Signatures"</formula>
    </cfRule>
  </conditionalFormatting>
  <conditionalFormatting sqref="B1586:M1586 R1586:S1586 U1586:W1586 O1586:P1586">
    <cfRule type="expression" dxfId="2082" priority="416">
      <formula>$H1586="Cash"</formula>
    </cfRule>
  </conditionalFormatting>
  <conditionalFormatting sqref="Y1587:AB1587 A1587:W1587">
    <cfRule type="expression" dxfId="2081" priority="415">
      <formula>$O1587="Applicant Signatures"</formula>
    </cfRule>
  </conditionalFormatting>
  <conditionalFormatting sqref="B1587:M1587 R1587:S1587 U1587:W1587 O1587:P1587">
    <cfRule type="expression" dxfId="2080" priority="414">
      <formula>$H1587="Cash"</formula>
    </cfRule>
  </conditionalFormatting>
  <conditionalFormatting sqref="Q1588 N1588 A1588 X1588">
    <cfRule type="expression" dxfId="2079" priority="413">
      <formula>$H1588="Cash"</formula>
    </cfRule>
  </conditionalFormatting>
  <conditionalFormatting sqref="X1588">
    <cfRule type="expression" dxfId="2078" priority="412">
      <formula>$O1588="Applicant Signatures"</formula>
    </cfRule>
  </conditionalFormatting>
  <conditionalFormatting sqref="Q1588">
    <cfRule type="expression" dxfId="2077" priority="410">
      <formula>#REF!="Cash"</formula>
    </cfRule>
  </conditionalFormatting>
  <conditionalFormatting sqref="Q1588">
    <cfRule type="expression" dxfId="2076" priority="411">
      <formula>#REF!="Applicant Signatures"</formula>
    </cfRule>
  </conditionalFormatting>
  <conditionalFormatting sqref="A1588">
    <cfRule type="expression" dxfId="2075" priority="409">
      <formula>#REF!="Cash"</formula>
    </cfRule>
  </conditionalFormatting>
  <conditionalFormatting sqref="A1588">
    <cfRule type="expression" dxfId="2074" priority="408">
      <formula>#REF!="Applicant Signatures"</formula>
    </cfRule>
  </conditionalFormatting>
  <conditionalFormatting sqref="A1588">
    <cfRule type="expression" dxfId="2073" priority="407">
      <formula>#REF!="Cash"</formula>
    </cfRule>
  </conditionalFormatting>
  <conditionalFormatting sqref="A1588">
    <cfRule type="expression" dxfId="2072" priority="406">
      <formula>#REF!="Applicant Signatures"</formula>
    </cfRule>
  </conditionalFormatting>
  <conditionalFormatting sqref="A1588:N1588 Y1588:AB1588 U1588 P1588:S1588 W1588">
    <cfRule type="expression" dxfId="2071" priority="404">
      <formula>$O1588="Applicant Signatures"</formula>
    </cfRule>
  </conditionalFormatting>
  <conditionalFormatting sqref="B1588:M1588 R1588:S1588 U1588 P1588 W1588">
    <cfRule type="expression" dxfId="2070" priority="403">
      <formula>$H1588="Cash"</formula>
    </cfRule>
  </conditionalFormatting>
  <conditionalFormatting sqref="Q1589:Q1590">
    <cfRule type="expression" dxfId="2069" priority="399">
      <formula>#REF!="Cash"</formula>
    </cfRule>
  </conditionalFormatting>
  <conditionalFormatting sqref="Q1589:Q1590">
    <cfRule type="expression" dxfId="2068" priority="400">
      <formula>#REF!="Applicant Signatures"</formula>
    </cfRule>
  </conditionalFormatting>
  <conditionalFormatting sqref="A1589:A1590">
    <cfRule type="expression" dxfId="2067" priority="398">
      <formula>#REF!="Cash"</formula>
    </cfRule>
  </conditionalFormatting>
  <conditionalFormatting sqref="A1589:A1590">
    <cfRule type="expression" dxfId="2066" priority="397">
      <formula>#REF!="Applicant Signatures"</formula>
    </cfRule>
  </conditionalFormatting>
  <conditionalFormatting sqref="A1589:A1590">
    <cfRule type="expression" dxfId="2065" priority="396">
      <formula>#REF!="Cash"</formula>
    </cfRule>
  </conditionalFormatting>
  <conditionalFormatting sqref="A1589:A1590">
    <cfRule type="expression" dxfId="2064" priority="395">
      <formula>#REF!="Applicant Signatures"</formula>
    </cfRule>
  </conditionalFormatting>
  <conditionalFormatting sqref="A1589:N1589 Y1589:AB1589 U1589 P1589:S1589 W1589">
    <cfRule type="expression" dxfId="2063" priority="393">
      <formula>$O1589="Applicant Signatures"</formula>
    </cfRule>
  </conditionalFormatting>
  <conditionalFormatting sqref="B1589:M1589 R1589:S1589 U1589 P1589 W1589">
    <cfRule type="expression" dxfId="2062" priority="392">
      <formula>$H1589="Cash"</formula>
    </cfRule>
  </conditionalFormatting>
  <conditionalFormatting sqref="X1572">
    <cfRule type="expression" dxfId="2061" priority="383">
      <formula>$H1572="Cash"</formula>
    </cfRule>
  </conditionalFormatting>
  <conditionalFormatting sqref="X1572">
    <cfRule type="expression" dxfId="2060" priority="382">
      <formula>$O1572="Applicant Signatures"</formula>
    </cfRule>
  </conditionalFormatting>
  <conditionalFormatting sqref="T1570 T1560">
    <cfRule type="expression" dxfId="2059" priority="353">
      <formula>$H1560="Cash"</formula>
    </cfRule>
  </conditionalFormatting>
  <conditionalFormatting sqref="T1570 T1560">
    <cfRule type="expression" dxfId="2058" priority="352">
      <formula>$O1560="Applicant Signatures"</formula>
    </cfRule>
  </conditionalFormatting>
  <conditionalFormatting sqref="A1590:Q1590 Y1590:AB1590 U1590:W1590 S1590">
    <cfRule type="expression" dxfId="2057" priority="351">
      <formula>$O1590="Applicant Signatures"</formula>
    </cfRule>
  </conditionalFormatting>
  <conditionalFormatting sqref="B1590:M1590 S1590 U1590:W1590 O1590:P1590">
    <cfRule type="expression" dxfId="2056" priority="350">
      <formula>$H1590="Cash"</formula>
    </cfRule>
  </conditionalFormatting>
  <conditionalFormatting sqref="R1590">
    <cfRule type="expression" dxfId="2055" priority="345">
      <formula>$H1590="Cash"</formula>
    </cfRule>
  </conditionalFormatting>
  <conditionalFormatting sqref="R1590">
    <cfRule type="expression" dxfId="2054" priority="344">
      <formula>$O1590="Applicant Signatures"</formula>
    </cfRule>
  </conditionalFormatting>
  <conditionalFormatting sqref="T1561">
    <cfRule type="expression" dxfId="2053" priority="343">
      <formula>$H1561="Cash"</formula>
    </cfRule>
  </conditionalFormatting>
  <conditionalFormatting sqref="T1561">
    <cfRule type="expression" dxfId="2052" priority="342">
      <formula>$O1561="Applicant Signatures"</formula>
    </cfRule>
  </conditionalFormatting>
  <conditionalFormatting sqref="V1530">
    <cfRule type="expression" dxfId="2051" priority="341">
      <formula>$H1530="Cash"</formula>
    </cfRule>
  </conditionalFormatting>
  <conditionalFormatting sqref="V1530:W1530">
    <cfRule type="expression" dxfId="2050" priority="340">
      <formula>$O1530="Applicant Signatures"</formula>
    </cfRule>
  </conditionalFormatting>
  <conditionalFormatting sqref="V1530:W1530">
    <cfRule type="expression" dxfId="2049" priority="339">
      <formula>$H1530="Cash"</formula>
    </cfRule>
  </conditionalFormatting>
  <conditionalFormatting sqref="V1530:W1530">
    <cfRule type="expression" dxfId="2048" priority="338">
      <formula>$O1530="Applicant Signatures"</formula>
    </cfRule>
  </conditionalFormatting>
  <conditionalFormatting sqref="V1530">
    <cfRule type="expression" dxfId="2047" priority="337">
      <formula>$O1530="Applicant Signatures"</formula>
    </cfRule>
  </conditionalFormatting>
  <conditionalFormatting sqref="V1530">
    <cfRule type="expression" dxfId="2046" priority="336">
      <formula>$H1530="Cash"</formula>
    </cfRule>
  </conditionalFormatting>
  <conditionalFormatting sqref="V1530">
    <cfRule type="expression" dxfId="2045" priority="335">
      <formula>$O1530="Applicant Signatures"</formula>
    </cfRule>
  </conditionalFormatting>
  <conditionalFormatting sqref="T1588">
    <cfRule type="expression" dxfId="2044" priority="328">
      <formula>$H1588="Cash"</formula>
    </cfRule>
  </conditionalFormatting>
  <conditionalFormatting sqref="T1588">
    <cfRule type="expression" dxfId="2043" priority="327">
      <formula>$O1588="Applicant Signatures"</formula>
    </cfRule>
  </conditionalFormatting>
  <conditionalFormatting sqref="T1589">
    <cfRule type="expression" dxfId="2042" priority="326">
      <formula>$H1589="Cash"</formula>
    </cfRule>
  </conditionalFormatting>
  <conditionalFormatting sqref="T1589">
    <cfRule type="expression" dxfId="2041" priority="325">
      <formula>$O1589="Applicant Signatures"</formula>
    </cfRule>
  </conditionalFormatting>
  <conditionalFormatting sqref="Q1591 N1591 A1591 X1591 T1591">
    <cfRule type="expression" dxfId="2040" priority="324">
      <formula>$H1591="Cash"</formula>
    </cfRule>
  </conditionalFormatting>
  <conditionalFormatting sqref="X1591 T1591">
    <cfRule type="expression" dxfId="2039" priority="323">
      <formula>$O1591="Applicant Signatures"</formula>
    </cfRule>
  </conditionalFormatting>
  <conditionalFormatting sqref="Q1591">
    <cfRule type="expression" dxfId="2038" priority="321">
      <formula>#REF!="Cash"</formula>
    </cfRule>
  </conditionalFormatting>
  <conditionalFormatting sqref="Q1591">
    <cfRule type="expression" dxfId="2037" priority="322">
      <formula>#REF!="Applicant Signatures"</formula>
    </cfRule>
  </conditionalFormatting>
  <conditionalFormatting sqref="A1591">
    <cfRule type="expression" dxfId="2036" priority="320">
      <formula>#REF!="Cash"</formula>
    </cfRule>
  </conditionalFormatting>
  <conditionalFormatting sqref="A1591">
    <cfRule type="expression" dxfId="2035" priority="319">
      <formula>#REF!="Applicant Signatures"</formula>
    </cfRule>
  </conditionalFormatting>
  <conditionalFormatting sqref="A1591">
    <cfRule type="expression" dxfId="2034" priority="318">
      <formula>#REF!="Cash"</formula>
    </cfRule>
  </conditionalFormatting>
  <conditionalFormatting sqref="A1591">
    <cfRule type="expression" dxfId="2033" priority="317">
      <formula>#REF!="Applicant Signatures"</formula>
    </cfRule>
  </conditionalFormatting>
  <conditionalFormatting sqref="T1591">
    <cfRule type="expression" dxfId="2032" priority="316">
      <formula>$O1591="Applicant Signatures"</formula>
    </cfRule>
  </conditionalFormatting>
  <conditionalFormatting sqref="Y1591:AB1591 A1591:W1591">
    <cfRule type="expression" dxfId="2031" priority="315">
      <formula>$O1591="Applicant Signatures"</formula>
    </cfRule>
  </conditionalFormatting>
  <conditionalFormatting sqref="B1591:M1591 R1591:S1591 U1591:W1591 O1591:P1591">
    <cfRule type="expression" dxfId="2030" priority="314">
      <formula>$H1591="Cash"</formula>
    </cfRule>
  </conditionalFormatting>
  <conditionalFormatting sqref="V1561">
    <cfRule type="expression" dxfId="2029" priority="312">
      <formula>$O1561="Applicant Signatures"</formula>
    </cfRule>
  </conditionalFormatting>
  <conditionalFormatting sqref="V1561">
    <cfRule type="expression" dxfId="2028" priority="311">
      <formula>$H1561="Cash"</formula>
    </cfRule>
  </conditionalFormatting>
  <conditionalFormatting sqref="A1592">
    <cfRule type="expression" dxfId="2027" priority="310">
      <formula>$H1592="Cash"</formula>
    </cfRule>
  </conditionalFormatting>
  <conditionalFormatting sqref="A1592 AA1592">
    <cfRule type="expression" dxfId="2026" priority="309">
      <formula>$O1592="Applicant Signatures"</formula>
    </cfRule>
  </conditionalFormatting>
  <conditionalFormatting sqref="Q1592">
    <cfRule type="expression" dxfId="2025" priority="307">
      <formula>#REF!="Cash"</formula>
    </cfRule>
  </conditionalFormatting>
  <conditionalFormatting sqref="Q1592">
    <cfRule type="expression" dxfId="2024" priority="308">
      <formula>#REF!="Applicant Signatures"</formula>
    </cfRule>
  </conditionalFormatting>
  <conditionalFormatting sqref="A1592">
    <cfRule type="expression" dxfId="2023" priority="306">
      <formula>#REF!="Cash"</formula>
    </cfRule>
  </conditionalFormatting>
  <conditionalFormatting sqref="A1592">
    <cfRule type="expression" dxfId="2022" priority="305">
      <formula>#REF!="Applicant Signatures"</formula>
    </cfRule>
  </conditionalFormatting>
  <conditionalFormatting sqref="A1592">
    <cfRule type="expression" dxfId="2021" priority="304">
      <formula>#REF!="Cash"</formula>
    </cfRule>
  </conditionalFormatting>
  <conditionalFormatting sqref="A1592">
    <cfRule type="expression" dxfId="2020" priority="303">
      <formula>#REF!="Applicant Signatures"</formula>
    </cfRule>
  </conditionalFormatting>
  <conditionalFormatting sqref="AB1592 B1592:V1592 X1592:Z1592">
    <cfRule type="expression" dxfId="2019" priority="302">
      <formula>$O1592="Applicant Signatures"</formula>
    </cfRule>
  </conditionalFormatting>
  <conditionalFormatting sqref="B1592:V1592 X1592">
    <cfRule type="expression" dxfId="2018" priority="301">
      <formula>$H1592="Cash"</formula>
    </cfRule>
  </conditionalFormatting>
  <conditionalFormatting sqref="R1592">
    <cfRule type="expression" dxfId="2017" priority="300">
      <formula>$H1592="Cash"</formula>
    </cfRule>
  </conditionalFormatting>
  <conditionalFormatting sqref="T1581 T1574">
    <cfRule type="expression" dxfId="2016" priority="297">
      <formula>$H1574="Cash"</formula>
    </cfRule>
  </conditionalFormatting>
  <conditionalFormatting sqref="T1581 T1574">
    <cfRule type="expression" dxfId="2015" priority="296">
      <formula>$O1574="Applicant Signatures"</formula>
    </cfRule>
  </conditionalFormatting>
  <conditionalFormatting sqref="Q1593 N1593 A1593 X1593">
    <cfRule type="expression" dxfId="2014" priority="288">
      <formula>$H1593="Cash"</formula>
    </cfRule>
  </conditionalFormatting>
  <conditionalFormatting sqref="X1593">
    <cfRule type="expression" dxfId="2013" priority="287">
      <formula>$O1593="Applicant Signatures"</formula>
    </cfRule>
  </conditionalFormatting>
  <conditionalFormatting sqref="Q1593">
    <cfRule type="expression" dxfId="2012" priority="285">
      <formula>#REF!="Cash"</formula>
    </cfRule>
  </conditionalFormatting>
  <conditionalFormatting sqref="Q1593">
    <cfRule type="expression" dxfId="2011" priority="286">
      <formula>#REF!="Applicant Signatures"</formula>
    </cfRule>
  </conditionalFormatting>
  <conditionalFormatting sqref="A1593">
    <cfRule type="expression" dxfId="2010" priority="284">
      <formula>#REF!="Cash"</formula>
    </cfRule>
  </conditionalFormatting>
  <conditionalFormatting sqref="A1593">
    <cfRule type="expression" dxfId="2009" priority="283">
      <formula>#REF!="Applicant Signatures"</formula>
    </cfRule>
  </conditionalFormatting>
  <conditionalFormatting sqref="A1593">
    <cfRule type="expression" dxfId="2008" priority="282">
      <formula>#REF!="Cash"</formula>
    </cfRule>
  </conditionalFormatting>
  <conditionalFormatting sqref="A1593">
    <cfRule type="expression" dxfId="2007" priority="281">
      <formula>#REF!="Applicant Signatures"</formula>
    </cfRule>
  </conditionalFormatting>
  <conditionalFormatting sqref="Y1593:AB1593 A1593:S1593 U1593:W1593">
    <cfRule type="expression" dxfId="2006" priority="279">
      <formula>$O1593="Applicant Signatures"</formula>
    </cfRule>
  </conditionalFormatting>
  <conditionalFormatting sqref="B1593:M1593 R1593:S1593 U1593:W1593 O1593:P1593">
    <cfRule type="expression" dxfId="2005" priority="278">
      <formula>$H1593="Cash"</formula>
    </cfRule>
  </conditionalFormatting>
  <conditionalFormatting sqref="V1489">
    <cfRule type="expression" dxfId="2004" priority="277">
      <formula>$O1489="Applicant Signatures"</formula>
    </cfRule>
  </conditionalFormatting>
  <conditionalFormatting sqref="V1489">
    <cfRule type="expression" dxfId="2003" priority="276">
      <formula>$H1489="Cash"</formula>
    </cfRule>
  </conditionalFormatting>
  <conditionalFormatting sqref="O1588">
    <cfRule type="expression" dxfId="2002" priority="275">
      <formula>$O1588="Applicant Signatures"</formula>
    </cfRule>
  </conditionalFormatting>
  <conditionalFormatting sqref="O1588">
    <cfRule type="expression" dxfId="2001" priority="274">
      <formula>$H1588="Cash"</formula>
    </cfRule>
  </conditionalFormatting>
  <conditionalFormatting sqref="O1589">
    <cfRule type="expression" dxfId="2000" priority="273">
      <formula>$O1589="Applicant Signatures"</formula>
    </cfRule>
  </conditionalFormatting>
  <conditionalFormatting sqref="O1589">
    <cfRule type="expression" dxfId="1999" priority="272">
      <formula>$H1589="Cash"</formula>
    </cfRule>
  </conditionalFormatting>
  <conditionalFormatting sqref="A1594">
    <cfRule type="expression" dxfId="1998" priority="271">
      <formula>$H1594="Cash"</formula>
    </cfRule>
  </conditionalFormatting>
  <conditionalFormatting sqref="A1594 AA1594">
    <cfRule type="expression" dxfId="1997" priority="270">
      <formula>$O1594="Applicant Signatures"</formula>
    </cfRule>
  </conditionalFormatting>
  <conditionalFormatting sqref="A1594">
    <cfRule type="expression" dxfId="1996" priority="269">
      <formula>#REF!="Cash"</formula>
    </cfRule>
  </conditionalFormatting>
  <conditionalFormatting sqref="A1594">
    <cfRule type="expression" dxfId="1995" priority="268">
      <formula>#REF!="Applicant Signatures"</formula>
    </cfRule>
  </conditionalFormatting>
  <conditionalFormatting sqref="A1594">
    <cfRule type="expression" dxfId="1994" priority="267">
      <formula>#REF!="Cash"</formula>
    </cfRule>
  </conditionalFormatting>
  <conditionalFormatting sqref="A1594">
    <cfRule type="expression" dxfId="1993" priority="266">
      <formula>#REF!="Applicant Signatures"</formula>
    </cfRule>
  </conditionalFormatting>
  <conditionalFormatting sqref="Q1594">
    <cfRule type="expression" dxfId="1992" priority="264">
      <formula>#REF!="Cash"</formula>
    </cfRule>
  </conditionalFormatting>
  <conditionalFormatting sqref="Q1594">
    <cfRule type="expression" dxfId="1991" priority="265">
      <formula>#REF!="Applicant Signatures"</formula>
    </cfRule>
  </conditionalFormatting>
  <conditionalFormatting sqref="AB1594 Y1594:Z1594 B1594:S1594 U1594 W1594">
    <cfRule type="expression" dxfId="1990" priority="263">
      <formula>$O1594="Applicant Signatures"</formula>
    </cfRule>
  </conditionalFormatting>
  <conditionalFormatting sqref="B1594:S1594 U1594 W1594">
    <cfRule type="expression" dxfId="1989" priority="262">
      <formula>$H1594="Cash"</formula>
    </cfRule>
  </conditionalFormatting>
  <conditionalFormatting sqref="X1594">
    <cfRule type="expression" dxfId="1988" priority="261">
      <formula>$H1594="Cash"</formula>
    </cfRule>
  </conditionalFormatting>
  <conditionalFormatting sqref="X1594">
    <cfRule type="expression" dxfId="1987" priority="260">
      <formula>$H1594="Cash"</formula>
    </cfRule>
  </conditionalFormatting>
  <conditionalFormatting sqref="X1594">
    <cfRule type="expression" dxfId="1986" priority="259">
      <formula>$H1594="Cash"</formula>
    </cfRule>
  </conditionalFormatting>
  <conditionalFormatting sqref="X1594">
    <cfRule type="expression" dxfId="1985" priority="258">
      <formula>$O1594="Applicant Signatures"</formula>
    </cfRule>
  </conditionalFormatting>
  <conditionalFormatting sqref="X1594">
    <cfRule type="expression" dxfId="1984" priority="257">
      <formula>$H1594="Cash"</formula>
    </cfRule>
  </conditionalFormatting>
  <conditionalFormatting sqref="X1594">
    <cfRule type="expression" dxfId="1983" priority="256">
      <formula>$O1594="Applicant Signatures"</formula>
    </cfRule>
  </conditionalFormatting>
  <conditionalFormatting sqref="T1594">
    <cfRule type="expression" dxfId="1982" priority="255">
      <formula>$H1594="Cash"</formula>
    </cfRule>
  </conditionalFormatting>
  <conditionalFormatting sqref="T1594">
    <cfRule type="expression" dxfId="1981" priority="254">
      <formula>$O1594="Applicant Signatures"</formula>
    </cfRule>
  </conditionalFormatting>
  <conditionalFormatting sqref="V1594">
    <cfRule type="expression" dxfId="1980" priority="253">
      <formula>$O1594="Applicant Signatures"</formula>
    </cfRule>
  </conditionalFormatting>
  <conditionalFormatting sqref="V1594">
    <cfRule type="expression" dxfId="1979" priority="252">
      <formula>$H1594="Cash"</formula>
    </cfRule>
  </conditionalFormatting>
  <conditionalFormatting sqref="Q1595 N1595 A1595">
    <cfRule type="expression" dxfId="1978" priority="251">
      <formula>$H1595="Cash"</formula>
    </cfRule>
  </conditionalFormatting>
  <conditionalFormatting sqref="Q1595">
    <cfRule type="expression" dxfId="1977" priority="249">
      <formula>#REF!="Cash"</formula>
    </cfRule>
  </conditionalFormatting>
  <conditionalFormatting sqref="Q1595">
    <cfRule type="expression" dxfId="1976" priority="250">
      <formula>#REF!="Applicant Signatures"</formula>
    </cfRule>
  </conditionalFormatting>
  <conditionalFormatting sqref="A1595">
    <cfRule type="expression" dxfId="1975" priority="248">
      <formula>#REF!="Cash"</formula>
    </cfRule>
  </conditionalFormatting>
  <conditionalFormatting sqref="A1595">
    <cfRule type="expression" dxfId="1974" priority="247">
      <formula>#REF!="Applicant Signatures"</formula>
    </cfRule>
  </conditionalFormatting>
  <conditionalFormatting sqref="A1595">
    <cfRule type="expression" dxfId="1973" priority="246">
      <formula>#REF!="Cash"</formula>
    </cfRule>
  </conditionalFormatting>
  <conditionalFormatting sqref="A1595">
    <cfRule type="expression" dxfId="1972" priority="245">
      <formula>#REF!="Applicant Signatures"</formula>
    </cfRule>
  </conditionalFormatting>
  <conditionalFormatting sqref="A1595:S1595 Y1595:AB1595 U1595 W1595">
    <cfRule type="expression" dxfId="1971" priority="244">
      <formula>$O1595="Applicant Signatures"</formula>
    </cfRule>
  </conditionalFormatting>
  <conditionalFormatting sqref="B1595:M1595 R1595:S1595 U1595 O1595:P1595 W1595">
    <cfRule type="expression" dxfId="1970" priority="243">
      <formula>$H1595="Cash"</formula>
    </cfRule>
  </conditionalFormatting>
  <conditionalFormatting sqref="X1595">
    <cfRule type="expression" dxfId="1969" priority="242">
      <formula>$H1595="Cash"</formula>
    </cfRule>
  </conditionalFormatting>
  <conditionalFormatting sqref="X1595">
    <cfRule type="expression" dxfId="1968" priority="241">
      <formula>$O1595="Applicant Signatures"</formula>
    </cfRule>
  </conditionalFormatting>
  <conditionalFormatting sqref="T1595">
    <cfRule type="expression" dxfId="1967" priority="240">
      <formula>$H1595="Cash"</formula>
    </cfRule>
  </conditionalFormatting>
  <conditionalFormatting sqref="T1595">
    <cfRule type="expression" dxfId="1966" priority="239">
      <formula>$O1595="Applicant Signatures"</formula>
    </cfRule>
  </conditionalFormatting>
  <conditionalFormatting sqref="V1595">
    <cfRule type="expression" dxfId="1965" priority="238">
      <formula>$O1595="Applicant Signatures"</formula>
    </cfRule>
  </conditionalFormatting>
  <conditionalFormatting sqref="V1595">
    <cfRule type="expression" dxfId="1964" priority="237">
      <formula>$H1595="Cash"</formula>
    </cfRule>
  </conditionalFormatting>
  <conditionalFormatting sqref="V1588">
    <cfRule type="expression" dxfId="1963" priority="235">
      <formula>$O1588="Applicant Signatures"</formula>
    </cfRule>
  </conditionalFormatting>
  <conditionalFormatting sqref="V1588">
    <cfRule type="expression" dxfId="1962" priority="234">
      <formula>$H1588="Cash"</formula>
    </cfRule>
  </conditionalFormatting>
  <conditionalFormatting sqref="V1589">
    <cfRule type="expression" dxfId="1961" priority="233">
      <formula>$O1589="Applicant Signatures"</formula>
    </cfRule>
  </conditionalFormatting>
  <conditionalFormatting sqref="V1589">
    <cfRule type="expression" dxfId="1960" priority="232">
      <formula>$H1589="Cash"</formula>
    </cfRule>
  </conditionalFormatting>
  <conditionalFormatting sqref="Q1596 N1596 A1596 X1596 T1596">
    <cfRule type="expression" dxfId="1959" priority="231">
      <formula>$H1596="Cash"</formula>
    </cfRule>
  </conditionalFormatting>
  <conditionalFormatting sqref="X1596 T1596">
    <cfRule type="expression" dxfId="1958" priority="230">
      <formula>$O1596="Applicant Signatures"</formula>
    </cfRule>
  </conditionalFormatting>
  <conditionalFormatting sqref="Q1596">
    <cfRule type="expression" dxfId="1957" priority="228">
      <formula>#REF!="Cash"</formula>
    </cfRule>
  </conditionalFormatting>
  <conditionalFormatting sqref="Q1596">
    <cfRule type="expression" dxfId="1956" priority="229">
      <formula>#REF!="Applicant Signatures"</formula>
    </cfRule>
  </conditionalFormatting>
  <conditionalFormatting sqref="A1596">
    <cfRule type="expression" dxfId="1955" priority="227">
      <formula>#REF!="Cash"</formula>
    </cfRule>
  </conditionalFormatting>
  <conditionalFormatting sqref="A1596">
    <cfRule type="expression" dxfId="1954" priority="226">
      <formula>#REF!="Applicant Signatures"</formula>
    </cfRule>
  </conditionalFormatting>
  <conditionalFormatting sqref="A1596">
    <cfRule type="expression" dxfId="1953" priority="225">
      <formula>#REF!="Cash"</formula>
    </cfRule>
  </conditionalFormatting>
  <conditionalFormatting sqref="A1596">
    <cfRule type="expression" dxfId="1952" priority="224">
      <formula>#REF!="Applicant Signatures"</formula>
    </cfRule>
  </conditionalFormatting>
  <conditionalFormatting sqref="T1596">
    <cfRule type="expression" dxfId="1951" priority="223">
      <formula>$O1596="Applicant Signatures"</formula>
    </cfRule>
  </conditionalFormatting>
  <conditionalFormatting sqref="Y1596:AB1596 A1596:W1596">
    <cfRule type="expression" dxfId="1950" priority="222">
      <formula>$O1596="Applicant Signatures"</formula>
    </cfRule>
  </conditionalFormatting>
  <conditionalFormatting sqref="B1596:M1596 R1596:S1596 U1596:W1596 O1596:P1596">
    <cfRule type="expression" dxfId="1949" priority="221">
      <formula>$H1596="Cash"</formula>
    </cfRule>
  </conditionalFormatting>
  <conditionalFormatting sqref="Q1597 N1597 A1597 X1597 T1597">
    <cfRule type="expression" dxfId="1948" priority="220">
      <formula>$H1597="Cash"</formula>
    </cfRule>
  </conditionalFormatting>
  <conditionalFormatting sqref="X1597 T1597">
    <cfRule type="expression" dxfId="1947" priority="219">
      <formula>$O1597="Applicant Signatures"</formula>
    </cfRule>
  </conditionalFormatting>
  <conditionalFormatting sqref="Q1597">
    <cfRule type="expression" dxfId="1946" priority="217">
      <formula>#REF!="Cash"</formula>
    </cfRule>
  </conditionalFormatting>
  <conditionalFormatting sqref="Q1597">
    <cfRule type="expression" dxfId="1945" priority="218">
      <formula>#REF!="Applicant Signatures"</formula>
    </cfRule>
  </conditionalFormatting>
  <conditionalFormatting sqref="A1597">
    <cfRule type="expression" dxfId="1944" priority="216">
      <formula>#REF!="Cash"</formula>
    </cfRule>
  </conditionalFormatting>
  <conditionalFormatting sqref="A1597">
    <cfRule type="expression" dxfId="1943" priority="215">
      <formula>#REF!="Applicant Signatures"</formula>
    </cfRule>
  </conditionalFormatting>
  <conditionalFormatting sqref="A1597">
    <cfRule type="expression" dxfId="1942" priority="214">
      <formula>#REF!="Cash"</formula>
    </cfRule>
  </conditionalFormatting>
  <conditionalFormatting sqref="A1597">
    <cfRule type="expression" dxfId="1941" priority="213">
      <formula>#REF!="Applicant Signatures"</formula>
    </cfRule>
  </conditionalFormatting>
  <conditionalFormatting sqref="T1597">
    <cfRule type="expression" dxfId="1940" priority="212">
      <formula>$O1597="Applicant Signatures"</formula>
    </cfRule>
  </conditionalFormatting>
  <conditionalFormatting sqref="Y1597:AB1597 A1597:W1597">
    <cfRule type="expression" dxfId="1939" priority="211">
      <formula>$O1597="Applicant Signatures"</formula>
    </cfRule>
  </conditionalFormatting>
  <conditionalFormatting sqref="B1597:M1597 R1597:S1597 U1597:W1597 O1597:P1597">
    <cfRule type="expression" dxfId="1938" priority="210">
      <formula>$H1597="Cash"</formula>
    </cfRule>
  </conditionalFormatting>
  <conditionalFormatting sqref="Q1598:Q1599 N1598:N1599 A1598:A1599 X1598:X1599 T1598:T1599">
    <cfRule type="expression" dxfId="1937" priority="209">
      <formula>$H1598="Cash"</formula>
    </cfRule>
  </conditionalFormatting>
  <conditionalFormatting sqref="X1598:X1599 T1598:T1599">
    <cfRule type="expression" dxfId="1936" priority="208">
      <formula>$O1598="Applicant Signatures"</formula>
    </cfRule>
  </conditionalFormatting>
  <conditionalFormatting sqref="Q1598:Q1599">
    <cfRule type="expression" dxfId="1935" priority="206">
      <formula>#REF!="Cash"</formula>
    </cfRule>
  </conditionalFormatting>
  <conditionalFormatting sqref="Q1598:Q1599">
    <cfRule type="expression" dxfId="1934" priority="207">
      <formula>#REF!="Applicant Signatures"</formula>
    </cfRule>
  </conditionalFormatting>
  <conditionalFormatting sqref="A1598:A1599">
    <cfRule type="expression" dxfId="1933" priority="205">
      <formula>#REF!="Cash"</formula>
    </cfRule>
  </conditionalFormatting>
  <conditionalFormatting sqref="A1598:A1599">
    <cfRule type="expression" dxfId="1932" priority="204">
      <formula>#REF!="Applicant Signatures"</formula>
    </cfRule>
  </conditionalFormatting>
  <conditionalFormatting sqref="A1598:A1599">
    <cfRule type="expression" dxfId="1931" priority="203">
      <formula>#REF!="Cash"</formula>
    </cfRule>
  </conditionalFormatting>
  <conditionalFormatting sqref="A1598:A1599">
    <cfRule type="expression" dxfId="1930" priority="202">
      <formula>#REF!="Applicant Signatures"</formula>
    </cfRule>
  </conditionalFormatting>
  <conditionalFormatting sqref="T1598:T1599">
    <cfRule type="expression" dxfId="1929" priority="201">
      <formula>$O1598="Applicant Signatures"</formula>
    </cfRule>
  </conditionalFormatting>
  <conditionalFormatting sqref="Y1598:AB1598 A1598:W1598">
    <cfRule type="expression" dxfId="1928" priority="200">
      <formula>$O1598="Applicant Signatures"</formula>
    </cfRule>
  </conditionalFormatting>
  <conditionalFormatting sqref="B1598:M1598 R1598:S1598 U1598:W1598 O1598:P1598">
    <cfRule type="expression" dxfId="1927" priority="199">
      <formula>$H1598="Cash"</formula>
    </cfRule>
  </conditionalFormatting>
  <conditionalFormatting sqref="Y1599:AB1599 A1599:W1599">
    <cfRule type="expression" dxfId="1926" priority="198">
      <formula>$O1599="Applicant Signatures"</formula>
    </cfRule>
  </conditionalFormatting>
  <conditionalFormatting sqref="B1599:M1599 R1599:S1599 U1599:W1599 O1599:P1599">
    <cfRule type="expression" dxfId="1925" priority="197">
      <formula>$H1599="Cash"</formula>
    </cfRule>
  </conditionalFormatting>
  <conditionalFormatting sqref="R1083 R948 R914 R814 R789 R1247 R1308:R1309 R1444">
    <cfRule type="expression" dxfId="1924" priority="196">
      <formula>$H789="Cash"</formula>
    </cfRule>
  </conditionalFormatting>
  <conditionalFormatting sqref="R1444 R1308:R1309 R1247">
    <cfRule type="expression" dxfId="1923" priority="195">
      <formula>$O1247="Applicant Signatures"</formula>
    </cfRule>
  </conditionalFormatting>
  <conditionalFormatting sqref="R1247">
    <cfRule type="expression" dxfId="1922" priority="194">
      <formula>$O1247="Applicant Signatures"</formula>
    </cfRule>
  </conditionalFormatting>
  <conditionalFormatting sqref="R1247">
    <cfRule type="expression" dxfId="1921" priority="193">
      <formula>$H1247="Cash"</formula>
    </cfRule>
  </conditionalFormatting>
  <conditionalFormatting sqref="R1247">
    <cfRule type="expression" dxfId="1920" priority="192">
      <formula>$H1247="Cash"</formula>
    </cfRule>
  </conditionalFormatting>
  <conditionalFormatting sqref="R1247">
    <cfRule type="expression" dxfId="1919" priority="191">
      <formula>$O1247="Applicant Signatures"</formula>
    </cfRule>
  </conditionalFormatting>
  <conditionalFormatting sqref="R1247">
    <cfRule type="expression" dxfId="1918" priority="190">
      <formula>$H1247="Cash"</formula>
    </cfRule>
  </conditionalFormatting>
  <conditionalFormatting sqref="R1308">
    <cfRule type="expression" dxfId="1917" priority="189">
      <formula>$O1308="Applicant Signatures"</formula>
    </cfRule>
  </conditionalFormatting>
  <conditionalFormatting sqref="R1308">
    <cfRule type="expression" dxfId="1916" priority="188">
      <formula>$H1308="Cash"</formula>
    </cfRule>
  </conditionalFormatting>
  <conditionalFormatting sqref="R1308">
    <cfRule type="expression" dxfId="1915" priority="187">
      <formula>$H1308="Cash"</formula>
    </cfRule>
  </conditionalFormatting>
  <conditionalFormatting sqref="R1308">
    <cfRule type="expression" dxfId="1914" priority="186">
      <formula>$O1308="Applicant Signatures"</formula>
    </cfRule>
  </conditionalFormatting>
  <conditionalFormatting sqref="R1308">
    <cfRule type="expression" dxfId="1913" priority="185">
      <formula>$H1308="Cash"</formula>
    </cfRule>
  </conditionalFormatting>
  <conditionalFormatting sqref="R1433">
    <cfRule type="expression" dxfId="1912" priority="184">
      <formula>$H1433="Cash"</formula>
    </cfRule>
  </conditionalFormatting>
  <conditionalFormatting sqref="R1433">
    <cfRule type="expression" dxfId="1911" priority="183">
      <formula>$H1433="Cash"</formula>
    </cfRule>
  </conditionalFormatting>
  <conditionalFormatting sqref="R1433">
    <cfRule type="expression" dxfId="1910" priority="182">
      <formula>$O1433="Applicant Signatures"</formula>
    </cfRule>
  </conditionalFormatting>
  <conditionalFormatting sqref="R1433">
    <cfRule type="expression" dxfId="1909" priority="181">
      <formula>$H1433="Cash"</formula>
    </cfRule>
  </conditionalFormatting>
  <conditionalFormatting sqref="R1433">
    <cfRule type="expression" dxfId="1908" priority="180">
      <formula>$H1433="Cash"</formula>
    </cfRule>
  </conditionalFormatting>
  <conditionalFormatting sqref="R1444">
    <cfRule type="expression" dxfId="1907" priority="179">
      <formula>$O1444="Applicant Signatures"</formula>
    </cfRule>
  </conditionalFormatting>
  <conditionalFormatting sqref="R1444">
    <cfRule type="expression" dxfId="1906" priority="178">
      <formula>$H1444="Cash"</formula>
    </cfRule>
  </conditionalFormatting>
  <conditionalFormatting sqref="R1444">
    <cfRule type="expression" dxfId="1905" priority="177">
      <formula>$H1444="Cash"</formula>
    </cfRule>
  </conditionalFormatting>
  <conditionalFormatting sqref="R1444">
    <cfRule type="expression" dxfId="1904" priority="176">
      <formula>$O1444="Applicant Signatures"</formula>
    </cfRule>
  </conditionalFormatting>
  <conditionalFormatting sqref="R1444">
    <cfRule type="expression" dxfId="1903" priority="175">
      <formula>$H1444="Cash"</formula>
    </cfRule>
  </conditionalFormatting>
  <conditionalFormatting sqref="T1582 T1579">
    <cfRule type="expression" dxfId="1902" priority="173">
      <formula>$H1579="Cash"</formula>
    </cfRule>
  </conditionalFormatting>
  <conditionalFormatting sqref="T1582 T1579">
    <cfRule type="expression" dxfId="1901" priority="172">
      <formula>$O1579="Applicant Signatures"</formula>
    </cfRule>
  </conditionalFormatting>
  <conditionalFormatting sqref="Q1600 N1600 A1600 X1600 T1600">
    <cfRule type="expression" dxfId="1900" priority="171">
      <formula>$H1600="Cash"</formula>
    </cfRule>
  </conditionalFormatting>
  <conditionalFormatting sqref="X1600 T1600">
    <cfRule type="expression" dxfId="1899" priority="170">
      <formula>$O1600="Applicant Signatures"</formula>
    </cfRule>
  </conditionalFormatting>
  <conditionalFormatting sqref="Q1600">
    <cfRule type="expression" dxfId="1898" priority="168">
      <formula>#REF!="Cash"</formula>
    </cfRule>
  </conditionalFormatting>
  <conditionalFormatting sqref="Q1600">
    <cfRule type="expression" dxfId="1897" priority="169">
      <formula>#REF!="Applicant Signatures"</formula>
    </cfRule>
  </conditionalFormatting>
  <conditionalFormatting sqref="A1600">
    <cfRule type="expression" dxfId="1896" priority="167">
      <formula>#REF!="Cash"</formula>
    </cfRule>
  </conditionalFormatting>
  <conditionalFormatting sqref="A1600">
    <cfRule type="expression" dxfId="1895" priority="166">
      <formula>#REF!="Applicant Signatures"</formula>
    </cfRule>
  </conditionalFormatting>
  <conditionalFormatting sqref="A1600">
    <cfRule type="expression" dxfId="1894" priority="165">
      <formula>#REF!="Cash"</formula>
    </cfRule>
  </conditionalFormatting>
  <conditionalFormatting sqref="A1600">
    <cfRule type="expression" dxfId="1893" priority="164">
      <formula>#REF!="Applicant Signatures"</formula>
    </cfRule>
  </conditionalFormatting>
  <conditionalFormatting sqref="T1600">
    <cfRule type="expression" dxfId="1892" priority="163">
      <formula>$O1600="Applicant Signatures"</formula>
    </cfRule>
  </conditionalFormatting>
  <conditionalFormatting sqref="Y1600:AB1600 A1600:W1600">
    <cfRule type="expression" dxfId="1891" priority="162">
      <formula>$O1600="Applicant Signatures"</formula>
    </cfRule>
  </conditionalFormatting>
  <conditionalFormatting sqref="B1600:M1600 R1600:S1600 U1600:W1600 O1600:P1600">
    <cfRule type="expression" dxfId="1890" priority="161">
      <formula>$H1600="Cash"</formula>
    </cfRule>
  </conditionalFormatting>
  <conditionalFormatting sqref="W1592">
    <cfRule type="expression" dxfId="1889" priority="160">
      <formula>$O1592="Applicant Signatures"</formula>
    </cfRule>
  </conditionalFormatting>
  <conditionalFormatting sqref="W1592">
    <cfRule type="expression" dxfId="1888" priority="159">
      <formula>$H1592="Cash"</formula>
    </cfRule>
  </conditionalFormatting>
  <conditionalFormatting sqref="Q1601:Q1607 N1601:N1607 A1601:A1607 X1601:X1607 T1601:T1607">
    <cfRule type="expression" dxfId="1887" priority="140">
      <formula>$H1601="Cash"</formula>
    </cfRule>
  </conditionalFormatting>
  <conditionalFormatting sqref="X1601:X1607 T1601:T1607">
    <cfRule type="expression" dxfId="1886" priority="139">
      <formula>$O1601="Applicant Signatures"</formula>
    </cfRule>
  </conditionalFormatting>
  <conditionalFormatting sqref="Q1601:Q1607">
    <cfRule type="expression" dxfId="1885" priority="137">
      <formula>#REF!="Cash"</formula>
    </cfRule>
  </conditionalFormatting>
  <conditionalFormatting sqref="Q1601:Q1607">
    <cfRule type="expression" dxfId="1884" priority="138">
      <formula>#REF!="Applicant Signatures"</formula>
    </cfRule>
  </conditionalFormatting>
  <conditionalFormatting sqref="A1601:A1607">
    <cfRule type="expression" dxfId="1883" priority="136">
      <formula>#REF!="Cash"</formula>
    </cfRule>
  </conditionalFormatting>
  <conditionalFormatting sqref="A1601:A1607">
    <cfRule type="expression" dxfId="1882" priority="135">
      <formula>#REF!="Applicant Signatures"</formula>
    </cfRule>
  </conditionalFormatting>
  <conditionalFormatting sqref="A1601:A1607">
    <cfRule type="expression" dxfId="1881" priority="134">
      <formula>#REF!="Cash"</formula>
    </cfRule>
  </conditionalFormatting>
  <conditionalFormatting sqref="A1601:A1607">
    <cfRule type="expression" dxfId="1880" priority="133">
      <formula>#REF!="Applicant Signatures"</formula>
    </cfRule>
  </conditionalFormatting>
  <conditionalFormatting sqref="T1601:T1607">
    <cfRule type="expression" dxfId="1879" priority="132">
      <formula>$O1601="Applicant Signatures"</formula>
    </cfRule>
  </conditionalFormatting>
  <conditionalFormatting sqref="Y1601:AB1601 A1601:W1601">
    <cfRule type="expression" dxfId="1878" priority="131">
      <formula>$O1601="Applicant Signatures"</formula>
    </cfRule>
  </conditionalFormatting>
  <conditionalFormatting sqref="B1601:M1601 R1601:S1601 U1601:W1601 O1601:P1601">
    <cfRule type="expression" dxfId="1877" priority="130">
      <formula>$H1601="Cash"</formula>
    </cfRule>
  </conditionalFormatting>
  <conditionalFormatting sqref="M1601:M1607">
    <cfRule type="expression" dxfId="1876" priority="129">
      <formula>$O1601="Applicant Signatures"</formula>
    </cfRule>
  </conditionalFormatting>
  <conditionalFormatting sqref="M1601:M1607">
    <cfRule type="expression" dxfId="1875" priority="128">
      <formula>$H1601="Cash"</formula>
    </cfRule>
  </conditionalFormatting>
  <conditionalFormatting sqref="M1601:M1607">
    <cfRule type="expression" dxfId="1874" priority="127">
      <formula>$O1601="Applicant Signatures"</formula>
    </cfRule>
  </conditionalFormatting>
  <conditionalFormatting sqref="M1601:M1607">
    <cfRule type="expression" dxfId="1873" priority="126">
      <formula>$H1601="Cash"</formula>
    </cfRule>
  </conditionalFormatting>
  <conditionalFormatting sqref="Y1602:AB1607 A1602:W1607">
    <cfRule type="expression" dxfId="1872" priority="123">
      <formula>$O1602="Applicant Signatures"</formula>
    </cfRule>
  </conditionalFormatting>
  <conditionalFormatting sqref="B1602:M1607 U1602:W1607 O1602:P1607 R1602:S1607">
    <cfRule type="expression" dxfId="1871" priority="122">
      <formula>$H1602="Cash"</formula>
    </cfRule>
  </conditionalFormatting>
  <conditionalFormatting sqref="V1568">
    <cfRule type="expression" dxfId="1870" priority="121">
      <formula>$H1568="Cash"</formula>
    </cfRule>
  </conditionalFormatting>
  <conditionalFormatting sqref="V1568">
    <cfRule type="expression" dxfId="1869" priority="120">
      <formula>$O1568="Applicant Signatures"</formula>
    </cfRule>
  </conditionalFormatting>
  <conditionalFormatting sqref="V1568">
    <cfRule type="expression" dxfId="1868" priority="119">
      <formula>$H1568="Cash"</formula>
    </cfRule>
  </conditionalFormatting>
  <conditionalFormatting sqref="V1568">
    <cfRule type="expression" dxfId="1867" priority="118">
      <formula>$O1568="Applicant Signatures"</formula>
    </cfRule>
  </conditionalFormatting>
  <conditionalFormatting sqref="Q1608:Q1609 N1608:N1609 A1608:A1609 X1608:X1609 T1608:T1609">
    <cfRule type="expression" dxfId="1866" priority="116">
      <formula>$H1608="Cash"</formula>
    </cfRule>
  </conditionalFormatting>
  <conditionalFormatting sqref="X1608:X1609 T1608:T1609">
    <cfRule type="expression" dxfId="1865" priority="115">
      <formula>$O1608="Applicant Signatures"</formula>
    </cfRule>
  </conditionalFormatting>
  <conditionalFormatting sqref="Q1608:Q1609">
    <cfRule type="expression" dxfId="1864" priority="113">
      <formula>#REF!="Cash"</formula>
    </cfRule>
  </conditionalFormatting>
  <conditionalFormatting sqref="Q1608:Q1609">
    <cfRule type="expression" dxfId="1863" priority="114">
      <formula>#REF!="Applicant Signatures"</formula>
    </cfRule>
  </conditionalFormatting>
  <conditionalFormatting sqref="A1608:A1609">
    <cfRule type="expression" dxfId="1862" priority="112">
      <formula>#REF!="Cash"</formula>
    </cfRule>
  </conditionalFormatting>
  <conditionalFormatting sqref="A1608:A1609">
    <cfRule type="expression" dxfId="1861" priority="111">
      <formula>#REF!="Applicant Signatures"</formula>
    </cfRule>
  </conditionalFormatting>
  <conditionalFormatting sqref="A1608:A1609">
    <cfRule type="expression" dxfId="1860" priority="110">
      <formula>#REF!="Cash"</formula>
    </cfRule>
  </conditionalFormatting>
  <conditionalFormatting sqref="A1608:A1609">
    <cfRule type="expression" dxfId="1859" priority="109">
      <formula>#REF!="Applicant Signatures"</formula>
    </cfRule>
  </conditionalFormatting>
  <conditionalFormatting sqref="A1608:Q1609 Y1608:AB1609 U1608:W1609 S1608:S1609">
    <cfRule type="expression" dxfId="1858" priority="108">
      <formula>$O1608="Applicant Signatures"</formula>
    </cfRule>
  </conditionalFormatting>
  <conditionalFormatting sqref="B1608:M1609 S1608:S1609 U1608:W1609 O1608:P1609">
    <cfRule type="expression" dxfId="1857" priority="107">
      <formula>$H1608="Cash"</formula>
    </cfRule>
  </conditionalFormatting>
  <conditionalFormatting sqref="R1608:R1609">
    <cfRule type="expression" dxfId="1856" priority="106">
      <formula>$H1608="Cash"</formula>
    </cfRule>
  </conditionalFormatting>
  <conditionalFormatting sqref="R1608:R1609">
    <cfRule type="expression" dxfId="1855" priority="105">
      <formula>$O1608="Applicant Signatures"</formula>
    </cfRule>
  </conditionalFormatting>
  <conditionalFormatting sqref="Q1610:Q1611 N1610:N1611 A1610:A1611 X1610:X1611 T1610:T1611">
    <cfRule type="expression" dxfId="1854" priority="104">
      <formula>$H1610="Cash"</formula>
    </cfRule>
  </conditionalFormatting>
  <conditionalFormatting sqref="X1610:X1611 T1610:T1611">
    <cfRule type="expression" dxfId="1853" priority="103">
      <formula>$O1610="Applicant Signatures"</formula>
    </cfRule>
  </conditionalFormatting>
  <conditionalFormatting sqref="Q1610:Q1611">
    <cfRule type="expression" dxfId="1852" priority="101">
      <formula>#REF!="Cash"</formula>
    </cfRule>
  </conditionalFormatting>
  <conditionalFormatting sqref="Q1610:Q1611">
    <cfRule type="expression" dxfId="1851" priority="102">
      <formula>#REF!="Applicant Signatures"</formula>
    </cfRule>
  </conditionalFormatting>
  <conditionalFormatting sqref="A1610:A1611">
    <cfRule type="expression" dxfId="1850" priority="100">
      <formula>#REF!="Cash"</formula>
    </cfRule>
  </conditionalFormatting>
  <conditionalFormatting sqref="A1610:A1611">
    <cfRule type="expression" dxfId="1849" priority="99">
      <formula>#REF!="Applicant Signatures"</formula>
    </cfRule>
  </conditionalFormatting>
  <conditionalFormatting sqref="A1610:A1611">
    <cfRule type="expression" dxfId="1848" priority="98">
      <formula>#REF!="Cash"</formula>
    </cfRule>
  </conditionalFormatting>
  <conditionalFormatting sqref="A1610:A1611">
    <cfRule type="expression" dxfId="1847" priority="97">
      <formula>#REF!="Applicant Signatures"</formula>
    </cfRule>
  </conditionalFormatting>
  <conditionalFormatting sqref="T1610:T1611">
    <cfRule type="expression" dxfId="1846" priority="96">
      <formula>$O1610="Applicant Signatures"</formula>
    </cfRule>
  </conditionalFormatting>
  <conditionalFormatting sqref="M1610:M1611">
    <cfRule type="expression" dxfId="1845" priority="95">
      <formula>$O1610="Applicant Signatures"</formula>
    </cfRule>
  </conditionalFormatting>
  <conditionalFormatting sqref="M1610:M1611">
    <cfRule type="expression" dxfId="1844" priority="94">
      <formula>$H1610="Cash"</formula>
    </cfRule>
  </conditionalFormatting>
  <conditionalFormatting sqref="M1610:M1611">
    <cfRule type="expression" dxfId="1843" priority="93">
      <formula>$O1610="Applicant Signatures"</formula>
    </cfRule>
  </conditionalFormatting>
  <conditionalFormatting sqref="M1610:M1611">
    <cfRule type="expression" dxfId="1842" priority="92">
      <formula>$H1610="Cash"</formula>
    </cfRule>
  </conditionalFormatting>
  <conditionalFormatting sqref="Y1610:AB1610 A1610:W1610">
    <cfRule type="expression" dxfId="1841" priority="91">
      <formula>$O1610="Applicant Signatures"</formula>
    </cfRule>
  </conditionalFormatting>
  <conditionalFormatting sqref="B1610:M1610 U1610:W1610 O1610:P1610 R1610:S1610">
    <cfRule type="expression" dxfId="1840" priority="90">
      <formula>$H1610="Cash"</formula>
    </cfRule>
  </conditionalFormatting>
  <conditionalFormatting sqref="Y1611:AB1611 A1611:W1611">
    <cfRule type="expression" dxfId="1839" priority="89">
      <formula>$O1611="Applicant Signatures"</formula>
    </cfRule>
  </conditionalFormatting>
  <conditionalFormatting sqref="B1611:M1611 U1611:W1611 O1611:P1611 R1611:S1611">
    <cfRule type="expression" dxfId="1838" priority="88">
      <formula>$H1611="Cash"</formula>
    </cfRule>
  </conditionalFormatting>
  <conditionalFormatting sqref="A1612">
    <cfRule type="expression" dxfId="1837" priority="87">
      <formula>$H1612="Cash"</formula>
    </cfRule>
  </conditionalFormatting>
  <conditionalFormatting sqref="A1612">
    <cfRule type="expression" dxfId="1836" priority="86">
      <formula>$O1612="Applicant Signatures"</formula>
    </cfRule>
  </conditionalFormatting>
  <conditionalFormatting sqref="A1612">
    <cfRule type="expression" dxfId="1835" priority="85">
      <formula>#REF!="Cash"</formula>
    </cfRule>
  </conditionalFormatting>
  <conditionalFormatting sqref="A1612">
    <cfRule type="expression" dxfId="1834" priority="84">
      <formula>#REF!="Applicant Signatures"</formula>
    </cfRule>
  </conditionalFormatting>
  <conditionalFormatting sqref="A1612">
    <cfRule type="expression" dxfId="1833" priority="83">
      <formula>#REF!="Cash"</formula>
    </cfRule>
  </conditionalFormatting>
  <conditionalFormatting sqref="A1612">
    <cfRule type="expression" dxfId="1832" priority="82">
      <formula>#REF!="Applicant Signatures"</formula>
    </cfRule>
  </conditionalFormatting>
  <conditionalFormatting sqref="Q1612">
    <cfRule type="expression" dxfId="1831" priority="80">
      <formula>#REF!="Cash"</formula>
    </cfRule>
  </conditionalFormatting>
  <conditionalFormatting sqref="Q1612">
    <cfRule type="expression" dxfId="1830" priority="81">
      <formula>#REF!="Applicant Signatures"</formula>
    </cfRule>
  </conditionalFormatting>
  <conditionalFormatting sqref="AB1612 Y1612:Z1612 B1612:S1612 U1612 W1612">
    <cfRule type="expression" dxfId="1829" priority="79">
      <formula>$O1612="Applicant Signatures"</formula>
    </cfRule>
  </conditionalFormatting>
  <conditionalFormatting sqref="B1612:S1612 U1612 W1612">
    <cfRule type="expression" dxfId="1828" priority="78">
      <formula>$H1612="Cash"</formula>
    </cfRule>
  </conditionalFormatting>
  <conditionalFormatting sqref="X1612">
    <cfRule type="expression" dxfId="1827" priority="77">
      <formula>$H1612="Cash"</formula>
    </cfRule>
  </conditionalFormatting>
  <conditionalFormatting sqref="X1612">
    <cfRule type="expression" dxfId="1826" priority="76">
      <formula>$H1612="Cash"</formula>
    </cfRule>
  </conditionalFormatting>
  <conditionalFormatting sqref="X1612">
    <cfRule type="expression" dxfId="1825" priority="75">
      <formula>$H1612="Cash"</formula>
    </cfRule>
  </conditionalFormatting>
  <conditionalFormatting sqref="X1612">
    <cfRule type="expression" dxfId="1824" priority="74">
      <formula>$O1612="Applicant Signatures"</formula>
    </cfRule>
  </conditionalFormatting>
  <conditionalFormatting sqref="X1612">
    <cfRule type="expression" dxfId="1823" priority="73">
      <formula>$H1612="Cash"</formula>
    </cfRule>
  </conditionalFormatting>
  <conditionalFormatting sqref="X1612">
    <cfRule type="expression" dxfId="1822" priority="72">
      <formula>$O1612="Applicant Signatures"</formula>
    </cfRule>
  </conditionalFormatting>
  <conditionalFormatting sqref="T1612">
    <cfRule type="expression" dxfId="1821" priority="71">
      <formula>$H1612="Cash"</formula>
    </cfRule>
  </conditionalFormatting>
  <conditionalFormatting sqref="T1612">
    <cfRule type="expression" dxfId="1820" priority="70">
      <formula>$O1612="Applicant Signatures"</formula>
    </cfRule>
  </conditionalFormatting>
  <conditionalFormatting sqref="V1612">
    <cfRule type="expression" dxfId="1819" priority="69">
      <formula>$H1612="Cash"</formula>
    </cfRule>
  </conditionalFormatting>
  <conditionalFormatting sqref="V1612">
    <cfRule type="expression" dxfId="1818" priority="68">
      <formula>$O1612="Applicant Signatures"</formula>
    </cfRule>
  </conditionalFormatting>
  <conditionalFormatting sqref="V1612">
    <cfRule type="expression" dxfId="1817" priority="67">
      <formula>$H1612="Cash"</formula>
    </cfRule>
  </conditionalFormatting>
  <conditionalFormatting sqref="V1612">
    <cfRule type="expression" dxfId="1816" priority="66">
      <formula>$O1612="Applicant Signatures"</formula>
    </cfRule>
  </conditionalFormatting>
  <conditionalFormatting sqref="A1613">
    <cfRule type="expression" dxfId="1815" priority="65">
      <formula>$H1613="Cash"</formula>
    </cfRule>
  </conditionalFormatting>
  <conditionalFormatting sqref="A1613 AA1613">
    <cfRule type="expression" dxfId="1814" priority="64">
      <formula>$O1613="Applicant Signatures"</formula>
    </cfRule>
  </conditionalFormatting>
  <conditionalFormatting sqref="A1613">
    <cfRule type="expression" dxfId="1813" priority="63">
      <formula>#REF!="Cash"</formula>
    </cfRule>
  </conditionalFormatting>
  <conditionalFormatting sqref="A1613">
    <cfRule type="expression" dxfId="1812" priority="62">
      <formula>#REF!="Applicant Signatures"</formula>
    </cfRule>
  </conditionalFormatting>
  <conditionalFormatting sqref="A1613">
    <cfRule type="expression" dxfId="1811" priority="61">
      <formula>#REF!="Cash"</formula>
    </cfRule>
  </conditionalFormatting>
  <conditionalFormatting sqref="A1613">
    <cfRule type="expression" dxfId="1810" priority="60">
      <formula>#REF!="Applicant Signatures"</formula>
    </cfRule>
  </conditionalFormatting>
  <conditionalFormatting sqref="Q1613">
    <cfRule type="expression" dxfId="1809" priority="58">
      <formula>#REF!="Cash"</formula>
    </cfRule>
  </conditionalFormatting>
  <conditionalFormatting sqref="Q1613">
    <cfRule type="expression" dxfId="1808" priority="59">
      <formula>#REF!="Applicant Signatures"</formula>
    </cfRule>
  </conditionalFormatting>
  <conditionalFormatting sqref="AB1613 Y1613:Z1613 B1613:S1613 U1613 W1613">
    <cfRule type="expression" dxfId="1807" priority="57">
      <formula>$O1613="Applicant Signatures"</formula>
    </cfRule>
  </conditionalFormatting>
  <conditionalFormatting sqref="B1613:S1613 U1613 W1613">
    <cfRule type="expression" dxfId="1806" priority="56">
      <formula>$H1613="Cash"</formula>
    </cfRule>
  </conditionalFormatting>
  <conditionalFormatting sqref="X1613">
    <cfRule type="expression" dxfId="1805" priority="55">
      <formula>$H1613="Cash"</formula>
    </cfRule>
  </conditionalFormatting>
  <conditionalFormatting sqref="X1613">
    <cfRule type="expression" dxfId="1804" priority="54">
      <formula>$H1613="Cash"</formula>
    </cfRule>
  </conditionalFormatting>
  <conditionalFormatting sqref="X1613">
    <cfRule type="expression" dxfId="1803" priority="53">
      <formula>$H1613="Cash"</formula>
    </cfRule>
  </conditionalFormatting>
  <conditionalFormatting sqref="X1613">
    <cfRule type="expression" dxfId="1802" priority="52">
      <formula>$O1613="Applicant Signatures"</formula>
    </cfRule>
  </conditionalFormatting>
  <conditionalFormatting sqref="X1613">
    <cfRule type="expression" dxfId="1801" priority="51">
      <formula>$H1613="Cash"</formula>
    </cfRule>
  </conditionalFormatting>
  <conditionalFormatting sqref="X1613">
    <cfRule type="expression" dxfId="1800" priority="50">
      <formula>$O1613="Applicant Signatures"</formula>
    </cfRule>
  </conditionalFormatting>
  <conditionalFormatting sqref="T1613">
    <cfRule type="expression" dxfId="1799" priority="49">
      <formula>$H1613="Cash"</formula>
    </cfRule>
  </conditionalFormatting>
  <conditionalFormatting sqref="T1613">
    <cfRule type="expression" dxfId="1798" priority="48">
      <formula>$O1613="Applicant Signatures"</formula>
    </cfRule>
  </conditionalFormatting>
  <conditionalFormatting sqref="V1613">
    <cfRule type="expression" dxfId="1797" priority="47">
      <formula>$H1613="Cash"</formula>
    </cfRule>
  </conditionalFormatting>
  <conditionalFormatting sqref="V1613">
    <cfRule type="expression" dxfId="1796" priority="46">
      <formula>$O1613="Applicant Signatures"</formula>
    </cfRule>
  </conditionalFormatting>
  <conditionalFormatting sqref="V1613">
    <cfRule type="expression" dxfId="1795" priority="45">
      <formula>$H1613="Cash"</formula>
    </cfRule>
  </conditionalFormatting>
  <conditionalFormatting sqref="V1613">
    <cfRule type="expression" dxfId="1794" priority="44">
      <formula>$O1613="Applicant Signatures"</formula>
    </cfRule>
  </conditionalFormatting>
  <conditionalFormatting sqref="T1593 T1580 T1577:T1578">
    <cfRule type="expression" dxfId="1793" priority="42">
      <formula>$H1577="Cash"</formula>
    </cfRule>
  </conditionalFormatting>
  <conditionalFormatting sqref="T1593 T1580 T1577:T1578">
    <cfRule type="expression" dxfId="1792" priority="41">
      <formula>$O1577="Applicant Signatures"</formula>
    </cfRule>
  </conditionalFormatting>
  <conditionalFormatting sqref="AA1612">
    <cfRule type="expression" dxfId="1791" priority="34">
      <formula>$O1612="Applicant Signatures"</formula>
    </cfRule>
  </conditionalFormatting>
  <conditionalFormatting sqref="Q1614:Q1617 N1614:N1617 A1614:A1617 X1614:X1617 T1614:T1617">
    <cfRule type="expression" dxfId="1790" priority="33">
      <formula>$H1614="Cash"</formula>
    </cfRule>
  </conditionalFormatting>
  <conditionalFormatting sqref="X1614:X1617 T1614:T1617">
    <cfRule type="expression" dxfId="1789" priority="32">
      <formula>$O1614="Applicant Signatures"</formula>
    </cfRule>
  </conditionalFormatting>
  <conditionalFormatting sqref="Q1614:Q1617">
    <cfRule type="expression" dxfId="1788" priority="30">
      <formula>#REF!="Cash"</formula>
    </cfRule>
  </conditionalFormatting>
  <conditionalFormatting sqref="Q1614:Q1617">
    <cfRule type="expression" dxfId="1787" priority="31">
      <formula>#REF!="Applicant Signatures"</formula>
    </cfRule>
  </conditionalFormatting>
  <conditionalFormatting sqref="A1614:A1617">
    <cfRule type="expression" dxfId="1786" priority="29">
      <formula>#REF!="Cash"</formula>
    </cfRule>
  </conditionalFormatting>
  <conditionalFormatting sqref="A1614:A1617">
    <cfRule type="expression" dxfId="1785" priority="28">
      <formula>#REF!="Applicant Signatures"</formula>
    </cfRule>
  </conditionalFormatting>
  <conditionalFormatting sqref="A1614:A1617">
    <cfRule type="expression" dxfId="1784" priority="27">
      <formula>#REF!="Cash"</formula>
    </cfRule>
  </conditionalFormatting>
  <conditionalFormatting sqref="A1614:A1617">
    <cfRule type="expression" dxfId="1783" priority="26">
      <formula>#REF!="Applicant Signatures"</formula>
    </cfRule>
  </conditionalFormatting>
  <conditionalFormatting sqref="T1614:T1617">
    <cfRule type="expression" dxfId="1782" priority="25">
      <formula>$O1614="Applicant Signatures"</formula>
    </cfRule>
  </conditionalFormatting>
  <conditionalFormatting sqref="M1614:M1617">
    <cfRule type="expression" dxfId="1781" priority="24">
      <formula>$O1614="Applicant Signatures"</formula>
    </cfRule>
  </conditionalFormatting>
  <conditionalFormatting sqref="M1614:M1617">
    <cfRule type="expression" dxfId="1780" priority="23">
      <formula>$H1614="Cash"</formula>
    </cfRule>
  </conditionalFormatting>
  <conditionalFormatting sqref="M1614:M1617">
    <cfRule type="expression" dxfId="1779" priority="22">
      <formula>$O1614="Applicant Signatures"</formula>
    </cfRule>
  </conditionalFormatting>
  <conditionalFormatting sqref="M1614:M1617">
    <cfRule type="expression" dxfId="1778" priority="21">
      <formula>$H1614="Cash"</formula>
    </cfRule>
  </conditionalFormatting>
  <conditionalFormatting sqref="Y1614:AB1614 A1614:W1614">
    <cfRule type="expression" dxfId="1777" priority="20">
      <formula>$O1614="Applicant Signatures"</formula>
    </cfRule>
  </conditionalFormatting>
  <conditionalFormatting sqref="B1614:M1614 U1614:W1614 O1614:P1614 R1614:S1614">
    <cfRule type="expression" dxfId="1776" priority="19">
      <formula>$H1614="Cash"</formula>
    </cfRule>
  </conditionalFormatting>
  <conditionalFormatting sqref="Y1615:AB1615 A1615:W1615">
    <cfRule type="expression" dxfId="1775" priority="11">
      <formula>$O1615="Applicant Signatures"</formula>
    </cfRule>
  </conditionalFormatting>
  <conditionalFormatting sqref="B1615:M1615 U1615:W1615 O1615:P1615 R1615:S1615">
    <cfRule type="expression" dxfId="1774" priority="10">
      <formula>$H1615="Cash"</formula>
    </cfRule>
  </conditionalFormatting>
  <conditionalFormatting sqref="Y1616:AB1616 A1616:W1616">
    <cfRule type="expression" dxfId="1773" priority="8">
      <formula>$O1616="Applicant Signatures"</formula>
    </cfRule>
  </conditionalFormatting>
  <conditionalFormatting sqref="B1616:M1616 U1616:W1616 O1616:P1616 R1616:S1616">
    <cfRule type="expression" dxfId="1772" priority="7">
      <formula>$H1616="Cash"</formula>
    </cfRule>
  </conditionalFormatting>
  <conditionalFormatting sqref="Y1617:AB1617 A1617:W1617">
    <cfRule type="expression" dxfId="1771" priority="6">
      <formula>$O1617="Applicant Signatures"</formula>
    </cfRule>
  </conditionalFormatting>
  <conditionalFormatting sqref="B1617:M1617 U1617:W1617 O1617:P1617 R1617:S1617">
    <cfRule type="expression" dxfId="1770" priority="5">
      <formula>$H1617="Cash"</formula>
    </cfRule>
  </conditionalFormatting>
  <conditionalFormatting sqref="X1580">
    <cfRule type="expression" dxfId="1769" priority="2">
      <formula>$H1580="Cash"</formula>
    </cfRule>
  </conditionalFormatting>
  <conditionalFormatting sqref="X1580">
    <cfRule type="expression" dxfId="1768" priority="1">
      <formula>$O1580="Applicant Signatures"</formula>
    </cfRule>
  </conditionalFormatting>
  <dataValidations count="3">
    <dataValidation type="list" allowBlank="1" showInputMessage="1" showErrorMessage="1" sqref="E5:E1617" xr:uid="{173C8D39-44F5-4B1F-85BF-D065506C52C2}">
      <formula1>"Clean, Discrepant,Collection"</formula1>
    </dataValidation>
    <dataValidation type="list" allowBlank="1" showInputMessage="1" showErrorMessage="1" sqref="W5:W1617" xr:uid="{8E3AD22C-BB24-4D7D-BBD7-7CD4ECAC5F1E}">
      <formula1>"Yes, No"</formula1>
    </dataValidation>
    <dataValidation type="list" allowBlank="1" showInputMessage="1" showErrorMessage="1" sqref="P5:P1617" xr:uid="{07C394A4-A60D-4A75-A06F-F82F6B86F985}">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Remove_Filter">
                <anchor moveWithCells="1" sizeWithCells="1">
                  <from>
                    <xdr:col>0</xdr:col>
                    <xdr:colOff>114300</xdr:colOff>
                    <xdr:row>0</xdr:row>
                    <xdr:rowOff>114300</xdr:rowOff>
                  </from>
                  <to>
                    <xdr:col>1</xdr:col>
                    <xdr:colOff>190500</xdr:colOff>
                    <xdr:row>0</xdr:row>
                    <xdr:rowOff>381000</xdr:rowOff>
                  </to>
                </anchor>
              </controlPr>
            </control>
          </mc:Choice>
        </mc:AlternateContent>
        <mc:AlternateContent xmlns:mc="http://schemas.openxmlformats.org/markup-compatibility/2006">
          <mc:Choice Requires="x14">
            <control shapeId="3076" r:id="rId5" name="Button 4">
              <controlPr defaultSize="0" print="0" autoFill="0" autoPict="0" macro="[0]!Settlement_Show_Pending">
                <anchor moveWithCells="1" sizeWithCells="1">
                  <from>
                    <xdr:col>1</xdr:col>
                    <xdr:colOff>247650</xdr:colOff>
                    <xdr:row>0</xdr:row>
                    <xdr:rowOff>114300</xdr:rowOff>
                  </from>
                  <to>
                    <xdr:col>2</xdr:col>
                    <xdr:colOff>666750</xdr:colOff>
                    <xdr:row>0</xdr:row>
                    <xdr:rowOff>381000</xdr:rowOff>
                  </to>
                </anchor>
              </controlPr>
            </control>
          </mc:Choice>
        </mc:AlternateContent>
        <mc:AlternateContent xmlns:mc="http://schemas.openxmlformats.org/markup-compatibility/2006">
          <mc:Choice Requires="x14">
            <control shapeId="3080" r:id="rId6" name="Button 8">
              <controlPr defaultSize="0" print="0" autoFill="0" autoPict="0" macro="[0]!Today_Dues">
                <anchor moveWithCells="1" sizeWithCells="1">
                  <from>
                    <xdr:col>9</xdr:col>
                    <xdr:colOff>419100</xdr:colOff>
                    <xdr:row>1</xdr:row>
                    <xdr:rowOff>123825</xdr:rowOff>
                  </from>
                  <to>
                    <xdr:col>10</xdr:col>
                    <xdr:colOff>171450</xdr:colOff>
                    <xdr:row>2</xdr:row>
                    <xdr:rowOff>142875</xdr:rowOff>
                  </to>
                </anchor>
              </controlPr>
            </control>
          </mc:Choice>
        </mc:AlternateContent>
        <mc:AlternateContent xmlns:mc="http://schemas.openxmlformats.org/markup-compatibility/2006">
          <mc:Choice Requires="x14">
            <control shapeId="3081" r:id="rId7" name="Button 9">
              <controlPr defaultSize="0" print="0" autoFill="0" autoPict="0" macro="[0]!Tomorrow_Dues">
                <anchor moveWithCells="1" sizeWithCells="1">
                  <from>
                    <xdr:col>9</xdr:col>
                    <xdr:colOff>419100</xdr:colOff>
                    <xdr:row>0</xdr:row>
                    <xdr:rowOff>133350</xdr:rowOff>
                  </from>
                  <to>
                    <xdr:col>10</xdr:col>
                    <xdr:colOff>161925</xdr:colOff>
                    <xdr:row>0</xdr:row>
                    <xdr:rowOff>381000</xdr:rowOff>
                  </to>
                </anchor>
              </controlPr>
            </control>
          </mc:Choice>
        </mc:AlternateContent>
        <mc:AlternateContent xmlns:mc="http://schemas.openxmlformats.org/markup-compatibility/2006">
          <mc:Choice Requires="x14">
            <control shapeId="3082" r:id="rId8" name="Button 10">
              <controlPr defaultSize="0" print="0" autoFill="0" autoPict="0" macro="[0]!NoData_FundUtilize">
                <anchor moveWithCells="1" sizeWithCells="1">
                  <from>
                    <xdr:col>11</xdr:col>
                    <xdr:colOff>171450</xdr:colOff>
                    <xdr:row>1</xdr:row>
                    <xdr:rowOff>95250</xdr:rowOff>
                  </from>
                  <to>
                    <xdr:col>12</xdr:col>
                    <xdr:colOff>238125</xdr:colOff>
                    <xdr:row>2</xdr:row>
                    <xdr:rowOff>123825</xdr:rowOff>
                  </to>
                </anchor>
              </controlPr>
            </control>
          </mc:Choice>
        </mc:AlternateContent>
        <mc:AlternateContent xmlns:mc="http://schemas.openxmlformats.org/markup-compatibility/2006">
          <mc:Choice Requires="x14">
            <control shapeId="3086" r:id="rId9" name="Button 14">
              <controlPr defaultSize="0" autoFill="0" autoPict="0" macro="[0]!Check_Presentation">
                <anchor moveWithCells="1" sizeWithCells="1">
                  <from>
                    <xdr:col>1</xdr:col>
                    <xdr:colOff>190500</xdr:colOff>
                    <xdr:row>1</xdr:row>
                    <xdr:rowOff>0</xdr:rowOff>
                  </from>
                  <to>
                    <xdr:col>1</xdr:col>
                    <xdr:colOff>609600</xdr:colOff>
                    <xdr:row>2</xdr:row>
                    <xdr:rowOff>57150</xdr:rowOff>
                  </to>
                </anchor>
              </controlPr>
            </control>
          </mc:Choice>
        </mc:AlternateContent>
        <mc:AlternateContent xmlns:mc="http://schemas.openxmlformats.org/markup-compatibility/2006">
          <mc:Choice Requires="x14">
            <control shapeId="3090" r:id="rId10" name="Button 18">
              <controlPr defaultSize="0" print="0" autoFill="0" autoPict="0" macro="[0]!OnHold_For_Signatures">
                <anchor moveWithCells="1" sizeWithCells="1">
                  <from>
                    <xdr:col>2</xdr:col>
                    <xdr:colOff>723900</xdr:colOff>
                    <xdr:row>0</xdr:row>
                    <xdr:rowOff>114300</xdr:rowOff>
                  </from>
                  <to>
                    <xdr:col>3</xdr:col>
                    <xdr:colOff>1200150</xdr:colOff>
                    <xdr:row>0</xdr:row>
                    <xdr:rowOff>381000</xdr:rowOff>
                  </to>
                </anchor>
              </controlPr>
            </control>
          </mc:Choice>
        </mc:AlternateContent>
        <mc:AlternateContent xmlns:mc="http://schemas.openxmlformats.org/markup-compatibility/2006">
          <mc:Choice Requires="x14">
            <control shapeId="3093" r:id="rId11" name="Button 21">
              <controlPr defaultSize="0" print="0" autoFill="0" autoPict="0" macro="[0]!Not_Settlement_Applicant_signature">
                <anchor moveWithCells="1" sizeWithCells="1">
                  <from>
                    <xdr:col>2</xdr:col>
                    <xdr:colOff>723900</xdr:colOff>
                    <xdr:row>0</xdr:row>
                    <xdr:rowOff>447675</xdr:rowOff>
                  </from>
                  <to>
                    <xdr:col>3</xdr:col>
                    <xdr:colOff>1200150</xdr:colOff>
                    <xdr:row>1</xdr:row>
                    <xdr:rowOff>257175</xdr:rowOff>
                  </to>
                </anchor>
              </controlPr>
            </control>
          </mc:Choice>
        </mc:AlternateContent>
        <mc:AlternateContent xmlns:mc="http://schemas.openxmlformats.org/markup-compatibility/2006">
          <mc:Choice Requires="x14">
            <control shapeId="3100" r:id="rId12" name="Button 28">
              <controlPr defaultSize="0" print="0" autoFill="0" autoPict="0" macro="[0]!Due_Next_Week">
                <anchor moveWithCells="1" sizeWithCells="1">
                  <from>
                    <xdr:col>10</xdr:col>
                    <xdr:colOff>304800</xdr:colOff>
                    <xdr:row>0</xdr:row>
                    <xdr:rowOff>152400</xdr:rowOff>
                  </from>
                  <to>
                    <xdr:col>11</xdr:col>
                    <xdr:colOff>47625</xdr:colOff>
                    <xdr:row>0</xdr:row>
                    <xdr:rowOff>381000</xdr:rowOff>
                  </to>
                </anchor>
              </controlPr>
            </control>
          </mc:Choice>
        </mc:AlternateContent>
        <mc:AlternateContent xmlns:mc="http://schemas.openxmlformats.org/markup-compatibility/2006">
          <mc:Choice Requires="x14">
            <control shapeId="3107" r:id="rId13" name="Button 35">
              <controlPr defaultSize="0" print="0" autoFill="0" autoPict="0" macro="[0]!Eid_Holidays">
                <anchor moveWithCells="1" sizeWithCells="1">
                  <from>
                    <xdr:col>11</xdr:col>
                    <xdr:colOff>171450</xdr:colOff>
                    <xdr:row>0</xdr:row>
                    <xdr:rowOff>133350</xdr:rowOff>
                  </from>
                  <to>
                    <xdr:col>12</xdr:col>
                    <xdr:colOff>171450</xdr:colOff>
                    <xdr:row>0</xdr:row>
                    <xdr:rowOff>371475</xdr:rowOff>
                  </to>
                </anchor>
              </controlPr>
            </control>
          </mc:Choice>
        </mc:AlternateContent>
        <mc:AlternateContent xmlns:mc="http://schemas.openxmlformats.org/markup-compatibility/2006">
          <mc:Choice Requires="x14">
            <control shapeId="3116" r:id="rId14" name="Button 44">
              <controlPr defaultSize="0" print="0" autoFill="0" autoPict="0" macro="[0]!Due_This_Week">
                <anchor moveWithCells="1" sizeWithCells="1">
                  <from>
                    <xdr:col>10</xdr:col>
                    <xdr:colOff>304800</xdr:colOff>
                    <xdr:row>1</xdr:row>
                    <xdr:rowOff>114300</xdr:rowOff>
                  </from>
                  <to>
                    <xdr:col>11</xdr:col>
                    <xdr:colOff>47625</xdr:colOff>
                    <xdr:row>2</xdr:row>
                    <xdr:rowOff>133350</xdr:rowOff>
                  </to>
                </anchor>
              </controlPr>
            </control>
          </mc:Choice>
        </mc:AlternateContent>
      </controls>
    </mc:Choice>
  </mc:AlternateContent>
  <tableParts count="1">
    <tablePart r:id="rId15"/>
  </tableParts>
  <extLst>
    <ext xmlns:x14="http://schemas.microsoft.com/office/spreadsheetml/2009/9/main" uri="{CCE6A557-97BC-4b89-ADB6-D9C93CAAB3DF}">
      <x14:dataValidations xmlns:xm="http://schemas.microsoft.com/office/excel/2006/main" count="1">
        <x14:dataValidation type="list" allowBlank="1" showInputMessage="1" showErrorMessage="1" xr:uid="{B146866D-1FBC-4EFE-992F-740FB95F04A9}">
          <x14:formula1>
            <xm:f>'Data Validation'!$I$3:$I$10</xm:f>
          </x14:formula1>
          <xm:sqref>O5:O1617</xm:sqref>
        </x14:dataValidation>
      </x14:dataValidations>
    </ext>
    <ext xmlns:x15="http://schemas.microsoft.com/office/spreadsheetml/2010/11/main" uri="{3A4CF648-6AED-40f4-86FF-DC5316D8AED3}">
      <x14:slicerList xmlns:x14="http://schemas.microsoft.com/office/spreadsheetml/2009/9/main">
        <x14:slicer r:id="rId1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5E094-1FA3-43E0-859E-AE1ECE2D31E0}">
  <sheetPr codeName="Sheet10">
    <tabColor rgb="FF00B050"/>
  </sheetPr>
  <dimension ref="A1:R178"/>
  <sheetViews>
    <sheetView showGridLines="0" zoomScaleNormal="100" workbookViewId="0">
      <selection activeCell="F175" sqref="F175"/>
    </sheetView>
  </sheetViews>
  <sheetFormatPr defaultColWidth="8.85546875" defaultRowHeight="15" x14ac:dyDescent="0.25"/>
  <cols>
    <col min="1" max="1" width="20" customWidth="1"/>
    <col min="2" max="2" width="15.140625" customWidth="1"/>
    <col min="3" max="3" width="8.140625" customWidth="1"/>
    <col min="4" max="4" width="18.140625" customWidth="1"/>
    <col min="5" max="5" width="18.140625" bestFit="1" customWidth="1"/>
    <col min="6" max="6" width="70.5703125" customWidth="1"/>
    <col min="7" max="7" width="8.42578125" bestFit="1" customWidth="1"/>
    <col min="8" max="8" width="18.7109375" bestFit="1" customWidth="1"/>
    <col min="9" max="9" width="14.28515625" bestFit="1" customWidth="1"/>
    <col min="10" max="10" width="14.28515625" customWidth="1"/>
    <col min="11" max="11" width="14.42578125" bestFit="1" customWidth="1"/>
    <col min="12" max="12" width="69.140625" customWidth="1"/>
    <col min="13" max="13" width="40.140625" customWidth="1"/>
    <col min="14" max="14" width="38.42578125" bestFit="1" customWidth="1"/>
    <col min="15" max="16" width="19.28515625" bestFit="1" customWidth="1"/>
    <col min="17" max="17" width="15.85546875" bestFit="1" customWidth="1"/>
    <col min="18" max="18" width="19.85546875" bestFit="1" customWidth="1"/>
    <col min="19" max="19" width="40.28515625" customWidth="1"/>
    <col min="21" max="21" width="22.42578125" bestFit="1" customWidth="1"/>
    <col min="22" max="22" width="24" bestFit="1" customWidth="1"/>
    <col min="23" max="23" width="19.85546875" bestFit="1" customWidth="1"/>
    <col min="24" max="24" width="24" bestFit="1" customWidth="1"/>
    <col min="25" max="25" width="71" customWidth="1"/>
    <col min="27" max="27" width="63.28515625" customWidth="1"/>
    <col min="28" max="28" width="30.140625" customWidth="1"/>
  </cols>
  <sheetData>
    <row r="1" spans="1:18" ht="45" customHeight="1" x14ac:dyDescent="0.25">
      <c r="G1" s="417" t="str">
        <f>HYPERLINK("C:\Users\FarhanAmanullaShaikh\OneDrive - Modern Building Leaders Co\Documents\Whatsapp Approval-New LC Issuance.docx","Group Approval")</f>
        <v>Group Approval</v>
      </c>
    </row>
    <row r="2" spans="1:18" ht="22.5" customHeight="1" x14ac:dyDescent="0.25">
      <c r="A2" t="s">
        <v>4547</v>
      </c>
    </row>
    <row r="3" spans="1:18" ht="17.25" customHeight="1" x14ac:dyDescent="0.4">
      <c r="A3" s="211"/>
      <c r="B3" s="211"/>
      <c r="C3" s="211"/>
      <c r="D3" s="211"/>
      <c r="E3" s="211"/>
      <c r="F3" s="211"/>
      <c r="G3" s="211"/>
      <c r="H3" s="211"/>
      <c r="I3" s="211"/>
      <c r="J3" s="211"/>
      <c r="K3" s="211"/>
      <c r="L3" s="211"/>
      <c r="M3" s="211"/>
      <c r="N3" s="211"/>
      <c r="O3" s="211"/>
      <c r="P3" s="211"/>
    </row>
    <row r="4" spans="1:18" ht="15.75" x14ac:dyDescent="0.25">
      <c r="A4" s="248" t="s">
        <v>1038</v>
      </c>
      <c r="B4" s="248" t="s">
        <v>4258</v>
      </c>
      <c r="C4" s="248" t="s">
        <v>850</v>
      </c>
      <c r="D4" s="248" t="s">
        <v>1041</v>
      </c>
      <c r="E4" s="248" t="s">
        <v>2</v>
      </c>
      <c r="F4" s="248" t="s">
        <v>4</v>
      </c>
      <c r="G4" s="248" t="s">
        <v>7</v>
      </c>
      <c r="H4" s="248" t="s">
        <v>1039</v>
      </c>
      <c r="I4" s="248" t="s">
        <v>1040</v>
      </c>
      <c r="J4" s="248" t="s">
        <v>5018</v>
      </c>
      <c r="K4" s="248" t="s">
        <v>13</v>
      </c>
      <c r="L4" s="248" t="s">
        <v>1042</v>
      </c>
      <c r="M4" s="248" t="s">
        <v>17</v>
      </c>
      <c r="N4" s="248" t="s">
        <v>5184</v>
      </c>
      <c r="O4" s="248" t="s">
        <v>5</v>
      </c>
      <c r="P4" s="248" t="s">
        <v>6</v>
      </c>
      <c r="Q4" s="248" t="s">
        <v>846</v>
      </c>
      <c r="R4" s="248" t="s">
        <v>1162</v>
      </c>
    </row>
    <row r="5" spans="1:18" ht="15.75" hidden="1" x14ac:dyDescent="0.25">
      <c r="A5" s="161" t="s">
        <v>1893</v>
      </c>
      <c r="B5" s="158">
        <v>45925</v>
      </c>
      <c r="C5" s="157" t="s">
        <v>62</v>
      </c>
      <c r="D5" s="157" t="s">
        <v>1059</v>
      </c>
      <c r="E5" s="157" t="s">
        <v>20</v>
      </c>
      <c r="F5" s="398" t="s">
        <v>1892</v>
      </c>
      <c r="G5" s="157" t="s">
        <v>26</v>
      </c>
      <c r="H5" s="155">
        <v>1496002.23</v>
      </c>
      <c r="I5" s="164">
        <v>0.01</v>
      </c>
      <c r="J5" s="164" t="s">
        <v>857</v>
      </c>
      <c r="K5" s="236">
        <v>46022</v>
      </c>
      <c r="L5" s="157" t="s">
        <v>2240</v>
      </c>
      <c r="M5" s="163" t="s">
        <v>1918</v>
      </c>
      <c r="N5" s="163"/>
      <c r="O5" s="164" t="s">
        <v>869</v>
      </c>
      <c r="P5" s="157"/>
      <c r="Q5" s="157">
        <v>0</v>
      </c>
      <c r="R5" s="155" cm="1">
        <f t="array" ref="R5">Guarantee_Tariff(Guarantees[[#This Row],[Bank]],Guarantees[[#This Row],[Type]],Guarantees[[#This Row],[Amount]],Guarantees[[#This Row],[Issue Date]],Guarantees[[#This Row],[Expiry Date]])</f>
        <v>3225.7548084375003</v>
      </c>
    </row>
    <row r="6" spans="1:18" ht="15.75" hidden="1" x14ac:dyDescent="0.25">
      <c r="A6" s="161" t="s">
        <v>1159</v>
      </c>
      <c r="B6" s="158"/>
      <c r="C6" s="157" t="s">
        <v>62</v>
      </c>
      <c r="D6" s="157" t="s">
        <v>1059</v>
      </c>
      <c r="E6" s="157" t="s">
        <v>20</v>
      </c>
      <c r="F6" s="398" t="s">
        <v>1154</v>
      </c>
      <c r="G6" s="157" t="s">
        <v>26</v>
      </c>
      <c r="H6" s="155">
        <v>25000000</v>
      </c>
      <c r="I6" s="164">
        <v>0.01</v>
      </c>
      <c r="J6" s="164" t="s">
        <v>857</v>
      </c>
      <c r="K6" s="163">
        <v>45858</v>
      </c>
      <c r="L6" s="157" t="s">
        <v>1155</v>
      </c>
      <c r="M6" s="157"/>
      <c r="N6" s="157"/>
      <c r="O6" s="164"/>
      <c r="P6" s="157"/>
      <c r="Q6" s="157">
        <v>0</v>
      </c>
      <c r="R6" s="155" cm="1">
        <f t="array" ref="R6">Guarantee_Tariff(Guarantees[[#This Row],[Bank]],Guarantees[[#This Row],[Type]],Guarantees[[#This Row],[Amount]],Guarantees[[#This Row],[Issue Date]],Guarantees[[#This Row],[Expiry Date]])</f>
        <v>24726796.875</v>
      </c>
    </row>
    <row r="7" spans="1:18" ht="15.75" hidden="1" x14ac:dyDescent="0.25">
      <c r="A7" s="161" t="s">
        <v>1061</v>
      </c>
      <c r="B7" s="158"/>
      <c r="C7" s="157" t="s">
        <v>373</v>
      </c>
      <c r="D7" s="157" t="s">
        <v>1059</v>
      </c>
      <c r="E7" s="157" t="s">
        <v>20</v>
      </c>
      <c r="F7" s="398" t="s">
        <v>1062</v>
      </c>
      <c r="G7" s="157" t="s">
        <v>26</v>
      </c>
      <c r="H7" s="155">
        <v>50000000</v>
      </c>
      <c r="I7" s="164"/>
      <c r="J7" s="164" t="s">
        <v>857</v>
      </c>
      <c r="K7" s="158">
        <v>45704</v>
      </c>
      <c r="L7" s="157"/>
      <c r="M7" s="157"/>
      <c r="N7" s="157"/>
      <c r="O7" s="164"/>
      <c r="P7" s="157" t="s">
        <v>367</v>
      </c>
      <c r="Q7" s="157">
        <v>0</v>
      </c>
      <c r="R7" s="155" cm="1">
        <f t="array" ref="R7">Guarantee_Tariff(Guarantees[[#This Row],[Bank]],Guarantees[[#This Row],[Type]],Guarantees[[#This Row],[Amount]],Guarantees[[#This Row],[Issue Date]],Guarantees[[#This Row],[Expiry Date]])</f>
        <v>0</v>
      </c>
    </row>
    <row r="8" spans="1:18" ht="15.75" hidden="1" x14ac:dyDescent="0.25">
      <c r="A8" s="161" t="s">
        <v>1728</v>
      </c>
      <c r="B8" s="158"/>
      <c r="C8" s="157" t="s">
        <v>612</v>
      </c>
      <c r="D8" s="157" t="s">
        <v>1059</v>
      </c>
      <c r="E8" s="157" t="s">
        <v>20</v>
      </c>
      <c r="F8" s="398" t="s">
        <v>1729</v>
      </c>
      <c r="G8" s="157" t="s">
        <v>26</v>
      </c>
      <c r="H8" s="155">
        <v>50000000</v>
      </c>
      <c r="I8" s="164">
        <v>0.01</v>
      </c>
      <c r="J8" s="164" t="s">
        <v>857</v>
      </c>
      <c r="K8" s="240">
        <v>45977</v>
      </c>
      <c r="L8" s="157" t="s">
        <v>1730</v>
      </c>
      <c r="M8" s="163"/>
      <c r="N8" s="163"/>
      <c r="O8" s="164" t="s">
        <v>72</v>
      </c>
      <c r="P8" s="157" t="s">
        <v>367</v>
      </c>
      <c r="Q8" s="157">
        <v>0</v>
      </c>
      <c r="R8" s="155" cm="1">
        <f t="array" ref="R8">Guarantee_Tariff(Guarantees[[#This Row],[Bank]],Guarantees[[#This Row],[Type]],Guarantees[[#This Row],[Amount]],Guarantees[[#This Row],[Issue Date]],Guarantees[[#This Row],[Expiry Date]])</f>
        <v>47746562.5</v>
      </c>
    </row>
    <row r="9" spans="1:18" ht="15.75" hidden="1" x14ac:dyDescent="0.25">
      <c r="A9" s="161" t="s">
        <v>2621</v>
      </c>
      <c r="B9" s="158">
        <v>45978</v>
      </c>
      <c r="C9" s="157" t="s">
        <v>95</v>
      </c>
      <c r="D9" s="157" t="s">
        <v>1054</v>
      </c>
      <c r="E9" s="157" t="s">
        <v>20</v>
      </c>
      <c r="F9" s="398" t="s">
        <v>1729</v>
      </c>
      <c r="G9" s="157" t="s">
        <v>26</v>
      </c>
      <c r="H9" s="155">
        <f>491708357.1-350000000</f>
        <v>141708357.10000002</v>
      </c>
      <c r="I9" s="157"/>
      <c r="J9" s="164" t="s">
        <v>857</v>
      </c>
      <c r="K9" s="236">
        <v>45983</v>
      </c>
      <c r="L9" s="157"/>
      <c r="M9" s="163"/>
      <c r="N9" s="163"/>
      <c r="O9" s="164"/>
      <c r="P9" s="157" t="s">
        <v>367</v>
      </c>
      <c r="Q9" s="157">
        <v>0</v>
      </c>
      <c r="R9" s="155" cm="1">
        <f t="array" ref="R9">Guarantee_Tariff(Guarantees[[#This Row],[Bank]],Guarantees[[#This Row],[Type]],Guarantees[[#This Row],[Amount]],Guarantees[[#This Row],[Issue Date]],Guarantees[[#This Row],[Expiry Date]])</f>
        <v>0</v>
      </c>
    </row>
    <row r="10" spans="1:18" ht="15.75" hidden="1" x14ac:dyDescent="0.25">
      <c r="A10" s="161" t="s">
        <v>1096</v>
      </c>
      <c r="B10" s="158"/>
      <c r="C10" s="157" t="s">
        <v>62</v>
      </c>
      <c r="D10" s="157" t="s">
        <v>1059</v>
      </c>
      <c r="E10" s="157" t="s">
        <v>20</v>
      </c>
      <c r="F10" s="398" t="s">
        <v>1097</v>
      </c>
      <c r="G10" s="157" t="s">
        <v>26</v>
      </c>
      <c r="H10" s="155">
        <v>6000000</v>
      </c>
      <c r="I10" s="157"/>
      <c r="J10" s="164" t="s">
        <v>857</v>
      </c>
      <c r="K10" s="163">
        <v>45800</v>
      </c>
      <c r="L10" s="157" t="s">
        <v>1098</v>
      </c>
      <c r="M10" s="157"/>
      <c r="N10" s="157"/>
      <c r="O10" s="157"/>
      <c r="P10" s="157"/>
      <c r="Q10" s="157">
        <v>0</v>
      </c>
      <c r="R10" s="155" cm="1">
        <f t="array" ref="R10">Guarantee_Tariff(Guarantees[[#This Row],[Bank]],Guarantees[[#This Row],[Type]],Guarantees[[#This Row],[Amount]],Guarantees[[#This Row],[Issue Date]],Guarantees[[#This Row],[Expiry Date]])</f>
        <v>6585187.5</v>
      </c>
    </row>
    <row r="11" spans="1:18" ht="15.75" hidden="1" x14ac:dyDescent="0.25">
      <c r="A11" s="161" t="s">
        <v>1087</v>
      </c>
      <c r="B11" s="158"/>
      <c r="C11" s="157" t="s">
        <v>62</v>
      </c>
      <c r="D11" s="157" t="s">
        <v>1086</v>
      </c>
      <c r="E11" s="157" t="s">
        <v>20</v>
      </c>
      <c r="F11" s="398" t="s">
        <v>1088</v>
      </c>
      <c r="G11" s="157" t="s">
        <v>26</v>
      </c>
      <c r="H11" s="155" t="s">
        <v>1085</v>
      </c>
      <c r="I11" s="157"/>
      <c r="J11" s="164" t="s">
        <v>857</v>
      </c>
      <c r="K11" s="158">
        <v>45818</v>
      </c>
      <c r="L11" s="157"/>
      <c r="M11" s="157"/>
      <c r="N11" s="157"/>
      <c r="O11" s="157"/>
      <c r="P11" s="157"/>
      <c r="Q11" s="157">
        <v>0</v>
      </c>
      <c r="R11" s="155" cm="1">
        <f t="array" ref="R11">Guarantee_Tariff(Guarantees[[#This Row],[Bank]],Guarantees[[#This Row],[Type]],Guarantees[[#This Row],[Amount]],Guarantees[[#This Row],[Issue Date]],Guarantees[[#This Row],[Expiry Date]])</f>
        <v>10494856.4883125</v>
      </c>
    </row>
    <row r="12" spans="1:18" ht="15.75" hidden="1" x14ac:dyDescent="0.25">
      <c r="A12" s="161" t="s">
        <v>1740</v>
      </c>
      <c r="B12" s="158">
        <v>45883</v>
      </c>
      <c r="C12" s="157" t="s">
        <v>1073</v>
      </c>
      <c r="D12" s="157" t="s">
        <v>1059</v>
      </c>
      <c r="E12" s="157" t="s">
        <v>20</v>
      </c>
      <c r="F12" s="398" t="s">
        <v>1088</v>
      </c>
      <c r="G12" s="157" t="s">
        <v>26</v>
      </c>
      <c r="H12" s="155">
        <v>20000000</v>
      </c>
      <c r="I12" s="164">
        <v>0.01</v>
      </c>
      <c r="J12" s="164" t="s">
        <v>857</v>
      </c>
      <c r="K12" s="240">
        <v>45985</v>
      </c>
      <c r="L12" s="157" t="s">
        <v>1737</v>
      </c>
      <c r="M12" s="163"/>
      <c r="N12" s="163"/>
      <c r="O12" s="164"/>
      <c r="P12" s="157"/>
      <c r="Q12" s="157">
        <v>0</v>
      </c>
      <c r="R12" s="155" cm="1">
        <f t="array" ref="R12">Guarantee_Tariff(Guarantees[[#This Row],[Bank]],Guarantees[[#This Row],[Type]],Guarantees[[#This Row],[Amount]],Guarantees[[#This Row],[Issue Date]],Guarantees[[#This Row],[Expiry Date]])</f>
        <v>0</v>
      </c>
    </row>
    <row r="13" spans="1:18" ht="15.75" hidden="1" x14ac:dyDescent="0.25">
      <c r="A13" s="161" t="s">
        <v>1847</v>
      </c>
      <c r="B13" s="158">
        <v>45909</v>
      </c>
      <c r="C13" s="157" t="s">
        <v>62</v>
      </c>
      <c r="D13" s="157" t="s">
        <v>1059</v>
      </c>
      <c r="E13" s="157" t="s">
        <v>20</v>
      </c>
      <c r="F13" s="398" t="s">
        <v>1088</v>
      </c>
      <c r="G13" s="157" t="s">
        <v>26</v>
      </c>
      <c r="H13" s="155">
        <v>30000000</v>
      </c>
      <c r="I13" s="164"/>
      <c r="J13" s="164" t="s">
        <v>857</v>
      </c>
      <c r="K13" s="236">
        <v>46085</v>
      </c>
      <c r="L13" s="157" t="s">
        <v>1848</v>
      </c>
      <c r="M13" s="163" t="s">
        <v>2623</v>
      </c>
      <c r="N13" s="163"/>
      <c r="O13" s="164" t="s">
        <v>869</v>
      </c>
      <c r="P13" s="163"/>
      <c r="Q13" s="157">
        <v>0</v>
      </c>
      <c r="R13" s="155" cm="1">
        <f t="array" ref="R13">Guarantee_Tariff(Guarantees[[#This Row],[Bank]],Guarantees[[#This Row],[Type]],Guarantees[[#This Row],[Amount]],Guarantees[[#This Row],[Issue Date]],Guarantees[[#This Row],[Expiry Date]])</f>
        <v>115000</v>
      </c>
    </row>
    <row r="14" spans="1:18" ht="15.75" hidden="1" x14ac:dyDescent="0.25">
      <c r="A14" s="161" t="s">
        <v>1910</v>
      </c>
      <c r="B14" s="158">
        <v>45930</v>
      </c>
      <c r="C14" s="157" t="s">
        <v>62</v>
      </c>
      <c r="D14" s="157" t="s">
        <v>1059</v>
      </c>
      <c r="E14" s="157" t="s">
        <v>20</v>
      </c>
      <c r="F14" s="398" t="s">
        <v>1088</v>
      </c>
      <c r="G14" s="157" t="s">
        <v>26</v>
      </c>
      <c r="H14" s="155">
        <v>575298.01</v>
      </c>
      <c r="I14" s="164">
        <v>0.01</v>
      </c>
      <c r="J14" s="164" t="s">
        <v>857</v>
      </c>
      <c r="K14" s="236">
        <v>46022</v>
      </c>
      <c r="L14" s="157" t="s">
        <v>2239</v>
      </c>
      <c r="M14" s="163" t="s">
        <v>1918</v>
      </c>
      <c r="N14" s="163"/>
      <c r="O14" s="164" t="s">
        <v>869</v>
      </c>
      <c r="P14" s="157"/>
      <c r="Q14" s="157">
        <v>0</v>
      </c>
      <c r="R14" s="155" cm="1">
        <f t="array" ref="R14">Guarantee_Tariff(Guarantees[[#This Row],[Bank]],Guarantees[[#This Row],[Type]],Guarantees[[#This Row],[Amount]],Guarantees[[#This Row],[Issue Date]],Guarantees[[#This Row],[Expiry Date]])</f>
        <v>1240.4863340625</v>
      </c>
    </row>
    <row r="15" spans="1:18" ht="15.75" hidden="1" x14ac:dyDescent="0.25">
      <c r="A15" s="161" t="s">
        <v>1923</v>
      </c>
      <c r="B15" s="158">
        <v>45938</v>
      </c>
      <c r="C15" s="157" t="s">
        <v>612</v>
      </c>
      <c r="D15" s="157" t="s">
        <v>1059</v>
      </c>
      <c r="E15" s="157" t="s">
        <v>20</v>
      </c>
      <c r="F15" s="398" t="s">
        <v>1088</v>
      </c>
      <c r="G15" s="157" t="s">
        <v>26</v>
      </c>
      <c r="H15" s="155">
        <v>11500000</v>
      </c>
      <c r="I15" s="164">
        <v>0.01</v>
      </c>
      <c r="J15" s="164" t="s">
        <v>857</v>
      </c>
      <c r="K15" s="236">
        <v>46032</v>
      </c>
      <c r="L15" s="157" t="s">
        <v>1917</v>
      </c>
      <c r="M15" s="163"/>
      <c r="N15" s="163"/>
      <c r="O15" s="164" t="s">
        <v>72</v>
      </c>
      <c r="P15" s="157"/>
      <c r="Q15" s="157">
        <v>0</v>
      </c>
      <c r="R15" s="155" cm="1">
        <f t="array" ref="R15">Guarantee_Tariff(Guarantees[[#This Row],[Bank]],Guarantees[[#This Row],[Type]],Guarantees[[#This Row],[Amount]],Guarantees[[#This Row],[Issue Date]],Guarantees[[#This Row],[Expiry Date]])</f>
        <v>24257.8125</v>
      </c>
    </row>
    <row r="16" spans="1:18" ht="15.75" hidden="1" x14ac:dyDescent="0.25">
      <c r="A16" s="161" t="s">
        <v>1084</v>
      </c>
      <c r="B16" s="158">
        <v>45897</v>
      </c>
      <c r="C16" s="157" t="s">
        <v>62</v>
      </c>
      <c r="D16" s="157" t="s">
        <v>1086</v>
      </c>
      <c r="E16" s="157" t="s">
        <v>20</v>
      </c>
      <c r="F16" s="398" t="s">
        <v>1528</v>
      </c>
      <c r="G16" s="157" t="s">
        <v>26</v>
      </c>
      <c r="H16" s="155">
        <v>47373436.030000001</v>
      </c>
      <c r="I16" s="157"/>
      <c r="J16" s="164" t="s">
        <v>857</v>
      </c>
      <c r="K16" s="236">
        <v>45991</v>
      </c>
      <c r="L16" s="157"/>
      <c r="M16" s="157"/>
      <c r="N16" s="157"/>
      <c r="O16" s="157"/>
      <c r="P16" s="157" t="s">
        <v>77</v>
      </c>
      <c r="Q16" s="157">
        <v>0</v>
      </c>
      <c r="R16" s="155" cm="1">
        <f t="array" ref="R16">Guarantee_Tariff(Guarantees[[#This Row],[Bank]],Guarantees[[#This Row],[Type]],Guarantees[[#This Row],[Amount]],Guarantees[[#This Row],[Issue Date]],Guarantees[[#This Row],[Expiry Date]])</f>
        <v>20618.578573281251</v>
      </c>
    </row>
    <row r="17" spans="1:18" ht="15.75" hidden="1" x14ac:dyDescent="0.25">
      <c r="A17" s="161" t="s">
        <v>1121</v>
      </c>
      <c r="B17" s="158"/>
      <c r="C17" s="157" t="s">
        <v>373</v>
      </c>
      <c r="D17" s="157" t="s">
        <v>1065</v>
      </c>
      <c r="E17" s="157" t="s">
        <v>20</v>
      </c>
      <c r="F17" s="398" t="s">
        <v>1064</v>
      </c>
      <c r="G17" s="157" t="s">
        <v>26</v>
      </c>
      <c r="H17" s="155">
        <v>10000000</v>
      </c>
      <c r="I17" s="164"/>
      <c r="J17" s="164" t="s">
        <v>857</v>
      </c>
      <c r="K17" s="158">
        <v>45777</v>
      </c>
      <c r="L17" s="157" t="s">
        <v>1066</v>
      </c>
      <c r="M17" s="157"/>
      <c r="N17" s="157"/>
      <c r="O17" s="164"/>
      <c r="P17" s="157" t="s">
        <v>77</v>
      </c>
      <c r="Q17" s="157">
        <v>0</v>
      </c>
      <c r="R17" s="155" cm="1">
        <f t="array" ref="R17">Guarantee_Tariff(Guarantees[[#This Row],[Bank]],Guarantees[[#This Row],[Type]],Guarantees[[#This Row],[Amount]],Guarantees[[#This Row],[Issue Date]],Guarantees[[#This Row],[Expiry Date]])</f>
        <v>0</v>
      </c>
    </row>
    <row r="18" spans="1:18" ht="31.5" hidden="1" x14ac:dyDescent="0.25">
      <c r="A18" s="161" t="s">
        <v>1568</v>
      </c>
      <c r="B18" s="158">
        <v>45858</v>
      </c>
      <c r="C18" s="157" t="s">
        <v>62</v>
      </c>
      <c r="D18" s="157" t="s">
        <v>1059</v>
      </c>
      <c r="E18" s="157" t="s">
        <v>20</v>
      </c>
      <c r="F18" s="398" t="s">
        <v>1562</v>
      </c>
      <c r="G18" s="157" t="s">
        <v>26</v>
      </c>
      <c r="H18" s="155">
        <v>96917.56</v>
      </c>
      <c r="I18" s="164">
        <v>0.01</v>
      </c>
      <c r="J18" s="164" t="s">
        <v>857</v>
      </c>
      <c r="K18" s="236">
        <v>45947</v>
      </c>
      <c r="L18" s="157" t="s">
        <v>1563</v>
      </c>
      <c r="M18" s="163"/>
      <c r="N18" s="163"/>
      <c r="O18" s="164" t="s">
        <v>869</v>
      </c>
      <c r="P18" s="157"/>
      <c r="Q18" s="157">
        <v>0</v>
      </c>
      <c r="R18" s="155" cm="1">
        <f t="array" ref="R18">Guarantee_Tariff(Guarantees[[#This Row],[Bank]],Guarantees[[#This Row],[Type]],Guarantees[[#This Row],[Amount]],Guarantees[[#This Row],[Issue Date]],Guarantees[[#This Row],[Expiry Date]])</f>
        <v>208.97848875</v>
      </c>
    </row>
    <row r="19" spans="1:18" ht="15.75" hidden="1" x14ac:dyDescent="0.25">
      <c r="A19" s="161" t="s">
        <v>1471</v>
      </c>
      <c r="B19" s="158"/>
      <c r="C19" s="157" t="s">
        <v>62</v>
      </c>
      <c r="D19" s="157" t="s">
        <v>1059</v>
      </c>
      <c r="E19" s="157" t="s">
        <v>20</v>
      </c>
      <c r="F19" s="398" t="s">
        <v>1472</v>
      </c>
      <c r="G19" s="157" t="s">
        <v>26</v>
      </c>
      <c r="H19" s="155">
        <f>500000+150000</f>
        <v>650000</v>
      </c>
      <c r="I19" s="164">
        <v>0.01</v>
      </c>
      <c r="J19" s="164" t="s">
        <v>857</v>
      </c>
      <c r="K19" s="236">
        <v>45918</v>
      </c>
      <c r="L19" s="157" t="s">
        <v>1473</v>
      </c>
      <c r="M19" s="163"/>
      <c r="N19" s="163"/>
      <c r="O19" s="164"/>
      <c r="P19" s="157"/>
      <c r="Q19" s="157">
        <v>0</v>
      </c>
      <c r="R19" s="155" cm="1">
        <f t="array" ref="R19">Guarantee_Tariff(Guarantees[[#This Row],[Bank]],Guarantees[[#This Row],[Type]],Guarantees[[#This Row],[Amount]],Guarantees[[#This Row],[Issue Date]],Guarantees[[#This Row],[Expiry Date]])</f>
        <v>715264.0625</v>
      </c>
    </row>
    <row r="20" spans="1:18" ht="15.75" hidden="1" x14ac:dyDescent="0.25">
      <c r="A20" s="161" t="s">
        <v>1529</v>
      </c>
      <c r="B20" s="158">
        <v>45837</v>
      </c>
      <c r="C20" s="157" t="s">
        <v>62</v>
      </c>
      <c r="D20" s="157" t="s">
        <v>1059</v>
      </c>
      <c r="E20" s="157" t="s">
        <v>20</v>
      </c>
      <c r="F20" s="398" t="s">
        <v>1514</v>
      </c>
      <c r="G20" s="157" t="s">
        <v>26</v>
      </c>
      <c r="H20" s="155">
        <v>500000</v>
      </c>
      <c r="I20" s="164"/>
      <c r="J20" s="164" t="s">
        <v>378</v>
      </c>
      <c r="K20" s="236">
        <v>46095</v>
      </c>
      <c r="L20" s="157" t="s">
        <v>1515</v>
      </c>
      <c r="M20" s="163" t="s">
        <v>3104</v>
      </c>
      <c r="N20" s="163"/>
      <c r="O20" s="164"/>
      <c r="P20" s="163" t="s">
        <v>1856</v>
      </c>
      <c r="Q20" s="157">
        <v>0</v>
      </c>
      <c r="R20" s="155" cm="1">
        <f t="array" ref="R20">Guarantee_Tariff(Guarantees[[#This Row],[Bank]],Guarantees[[#This Row],[Type]],Guarantees[[#This Row],[Amount]],Guarantees[[#This Row],[Issue Date]],Guarantees[[#This Row],[Expiry Date]])</f>
        <v>3234.375</v>
      </c>
    </row>
    <row r="21" spans="1:18" ht="15.75" hidden="1" x14ac:dyDescent="0.25">
      <c r="A21" s="161"/>
      <c r="B21" s="158">
        <v>45914</v>
      </c>
      <c r="C21" s="157" t="s">
        <v>95</v>
      </c>
      <c r="D21" s="157" t="s">
        <v>1059</v>
      </c>
      <c r="E21" s="157" t="s">
        <v>20</v>
      </c>
      <c r="F21" s="398" t="s">
        <v>1514</v>
      </c>
      <c r="G21" s="157" t="s">
        <v>26</v>
      </c>
      <c r="H21" s="155">
        <v>2250000</v>
      </c>
      <c r="I21" s="164"/>
      <c r="J21" s="164" t="s">
        <v>857</v>
      </c>
      <c r="K21" s="236">
        <v>46006</v>
      </c>
      <c r="L21" s="157" t="s">
        <v>1866</v>
      </c>
      <c r="M21" s="163" t="s">
        <v>1877</v>
      </c>
      <c r="N21" s="163"/>
      <c r="O21" s="164"/>
      <c r="P21" s="157" t="s">
        <v>1865</v>
      </c>
      <c r="Q21" s="157">
        <v>0</v>
      </c>
      <c r="R21" s="155" cm="1">
        <f t="array" ref="R21">Guarantee_Tariff(Guarantees[[#This Row],[Bank]],Guarantees[[#This Row],[Type]],Guarantees[[#This Row],[Amount]],Guarantees[[#This Row],[Issue Date]],Guarantees[[#This Row],[Expiry Date]])</f>
        <v>5498.4375</v>
      </c>
    </row>
    <row r="22" spans="1:18" ht="15.75" hidden="1" x14ac:dyDescent="0.25">
      <c r="A22" s="161" t="s">
        <v>1457</v>
      </c>
      <c r="B22" s="158"/>
      <c r="C22" s="157" t="s">
        <v>62</v>
      </c>
      <c r="D22" s="157" t="s">
        <v>1059</v>
      </c>
      <c r="E22" s="157" t="s">
        <v>20</v>
      </c>
      <c r="F22" s="398" t="s">
        <v>1455</v>
      </c>
      <c r="G22" s="157" t="s">
        <v>26</v>
      </c>
      <c r="H22" s="155">
        <v>150000</v>
      </c>
      <c r="I22" s="164">
        <v>0.01</v>
      </c>
      <c r="J22" s="164" t="s">
        <v>857</v>
      </c>
      <c r="K22" s="236">
        <v>45917</v>
      </c>
      <c r="L22" s="1" t="s">
        <v>1456</v>
      </c>
      <c r="M22" s="163"/>
      <c r="N22" s="163"/>
      <c r="O22" s="164"/>
      <c r="P22" s="157"/>
      <c r="Q22" s="157">
        <v>0</v>
      </c>
      <c r="R22" s="155" cm="1">
        <f t="array" ref="R22">Guarantee_Tariff(Guarantees[[#This Row],[Bank]],Guarantees[[#This Row],[Type]],Guarantees[[#This Row],[Amount]],Guarantees[[#This Row],[Issue Date]],Guarantees[[#This Row],[Expiry Date]])</f>
        <v>165060.9375</v>
      </c>
    </row>
    <row r="23" spans="1:18" ht="15.75" hidden="1" x14ac:dyDescent="0.25">
      <c r="A23" s="161" t="s">
        <v>1903</v>
      </c>
      <c r="B23" s="158">
        <v>45929</v>
      </c>
      <c r="C23" s="157" t="s">
        <v>62</v>
      </c>
      <c r="D23" s="157" t="s">
        <v>1059</v>
      </c>
      <c r="E23" s="157" t="s">
        <v>20</v>
      </c>
      <c r="F23" s="398" t="s">
        <v>1455</v>
      </c>
      <c r="G23" s="157" t="s">
        <v>26</v>
      </c>
      <c r="H23" s="155">
        <f>4500000+2500000</f>
        <v>7000000</v>
      </c>
      <c r="I23" s="164">
        <v>0.01</v>
      </c>
      <c r="J23" s="164" t="s">
        <v>857</v>
      </c>
      <c r="K23" s="240">
        <v>46081</v>
      </c>
      <c r="L23" s="157" t="s">
        <v>2553</v>
      </c>
      <c r="M23" s="163"/>
      <c r="N23" s="163"/>
      <c r="O23" s="164" t="s">
        <v>72</v>
      </c>
      <c r="P23" s="157"/>
      <c r="Q23" s="157">
        <v>0</v>
      </c>
      <c r="R23" s="155" cm="1">
        <f t="array" ref="R23">Guarantee_Tariff(Guarantees[[#This Row],[Bank]],Guarantees[[#This Row],[Type]],Guarantees[[#This Row],[Amount]],Guarantees[[#This Row],[Issue Date]],Guarantees[[#This Row],[Expiry Date]])</f>
        <v>25156.25</v>
      </c>
    </row>
    <row r="24" spans="1:18" ht="15.75" hidden="1" x14ac:dyDescent="0.25">
      <c r="A24" s="161" t="s">
        <v>2794</v>
      </c>
      <c r="B24" s="158">
        <v>45981</v>
      </c>
      <c r="C24" s="157" t="s">
        <v>612</v>
      </c>
      <c r="D24" s="157" t="s">
        <v>1059</v>
      </c>
      <c r="E24" s="157" t="s">
        <v>20</v>
      </c>
      <c r="F24" s="398" t="s">
        <v>4663</v>
      </c>
      <c r="G24" s="157" t="s">
        <v>26</v>
      </c>
      <c r="H24" s="155">
        <v>11500000</v>
      </c>
      <c r="I24" s="164"/>
      <c r="J24" s="164" t="s">
        <v>378</v>
      </c>
      <c r="K24" s="236">
        <v>46339</v>
      </c>
      <c r="L24" s="157" t="s">
        <v>3554</v>
      </c>
      <c r="M24" s="163" t="s">
        <v>4744</v>
      </c>
      <c r="N24" s="163"/>
      <c r="O24" s="164"/>
      <c r="P24" s="163"/>
      <c r="Q24" s="157">
        <v>0</v>
      </c>
      <c r="R24" s="155" cm="1">
        <f t="array" ref="R24">Guarantee_Tariff(Guarantees[[#This Row],[Bank]],Guarantees[[#This Row],[Type]],Guarantees[[#This Row],[Amount]],Guarantees[[#This Row],[Issue Date]],Guarantees[[#This Row],[Expiry Date]])</f>
        <v>97031.25</v>
      </c>
    </row>
    <row r="25" spans="1:18" ht="15.75" hidden="1" x14ac:dyDescent="0.25">
      <c r="A25" s="161" t="s">
        <v>1056</v>
      </c>
      <c r="B25" s="158"/>
      <c r="C25" s="157" t="s">
        <v>612</v>
      </c>
      <c r="D25" s="157" t="s">
        <v>1059</v>
      </c>
      <c r="E25" s="157" t="s">
        <v>20</v>
      </c>
      <c r="F25" s="398" t="s">
        <v>1057</v>
      </c>
      <c r="G25" s="157" t="s">
        <v>26</v>
      </c>
      <c r="H25" s="155">
        <v>15000000</v>
      </c>
      <c r="I25" s="164">
        <v>0.01</v>
      </c>
      <c r="J25" s="164" t="s">
        <v>857</v>
      </c>
      <c r="K25" s="158">
        <v>45787</v>
      </c>
      <c r="L25" s="157" t="s">
        <v>1060</v>
      </c>
      <c r="M25" s="157"/>
      <c r="N25" s="157"/>
      <c r="O25" s="164"/>
      <c r="P25" s="157" t="s">
        <v>1058</v>
      </c>
      <c r="Q25" s="157">
        <v>0</v>
      </c>
      <c r="R25" s="155" cm="1">
        <f t="array" ref="R25">Guarantee_Tariff(Guarantees[[#This Row],[Bank]],Guarantees[[#This Row],[Type]],Guarantees[[#This Row],[Amount]],Guarantees[[#This Row],[Issue Date]],Guarantees[[#This Row],[Expiry Date]])</f>
        <v>15538177.083333334</v>
      </c>
    </row>
    <row r="26" spans="1:18" ht="15.75" hidden="1" x14ac:dyDescent="0.25">
      <c r="A26" s="161" t="s">
        <v>2022</v>
      </c>
      <c r="B26" s="158">
        <v>45942</v>
      </c>
      <c r="C26" s="157" t="s">
        <v>62</v>
      </c>
      <c r="D26" s="157" t="s">
        <v>1059</v>
      </c>
      <c r="E26" s="157" t="s">
        <v>20</v>
      </c>
      <c r="F26" s="398" t="s">
        <v>1936</v>
      </c>
      <c r="G26" s="157" t="s">
        <v>26</v>
      </c>
      <c r="H26" s="155">
        <v>452722.55</v>
      </c>
      <c r="I26" s="164">
        <v>0.01</v>
      </c>
      <c r="J26" s="164" t="s">
        <v>857</v>
      </c>
      <c r="K26" s="240">
        <v>46032</v>
      </c>
      <c r="L26" s="157" t="s">
        <v>2023</v>
      </c>
      <c r="M26" s="163"/>
      <c r="N26" s="163"/>
      <c r="O26" s="164" t="s">
        <v>869</v>
      </c>
      <c r="P26" s="157"/>
      <c r="Q26" s="157">
        <v>0</v>
      </c>
      <c r="R26" s="155" cm="1">
        <f t="array" ref="R26">Guarantee_Tariff(Guarantees[[#This Row],[Bank]],Guarantees[[#This Row],[Type]],Guarantees[[#This Row],[Amount]],Guarantees[[#This Row],[Issue Date]],Guarantees[[#This Row],[Expiry Date]])</f>
        <v>976.1829984374998</v>
      </c>
    </row>
    <row r="27" spans="1:18" ht="15.75" hidden="1" x14ac:dyDescent="0.25">
      <c r="A27" s="161" t="s">
        <v>2551</v>
      </c>
      <c r="B27" s="158">
        <v>45966</v>
      </c>
      <c r="C27" s="157" t="s">
        <v>62</v>
      </c>
      <c r="D27" s="157" t="s">
        <v>1059</v>
      </c>
      <c r="E27" s="157" t="s">
        <v>20</v>
      </c>
      <c r="F27" s="398" t="s">
        <v>1936</v>
      </c>
      <c r="G27" s="157" t="s">
        <v>26</v>
      </c>
      <c r="H27" s="155">
        <v>848450.11</v>
      </c>
      <c r="I27" s="164">
        <v>0.01</v>
      </c>
      <c r="J27" s="164" t="s">
        <v>857</v>
      </c>
      <c r="K27" s="240">
        <v>46058</v>
      </c>
      <c r="L27" s="157" t="s">
        <v>2453</v>
      </c>
      <c r="M27" s="163"/>
      <c r="N27" s="163"/>
      <c r="O27" s="164" t="s">
        <v>869</v>
      </c>
      <c r="P27" s="157"/>
      <c r="Q27" s="157">
        <v>0</v>
      </c>
      <c r="R27" s="155" cm="1">
        <f t="array" ref="R27">Guarantee_Tariff(Guarantees[[#This Row],[Bank]],Guarantees[[#This Row],[Type]],Guarantees[[#This Row],[Amount]],Guarantees[[#This Row],[Issue Date]],Guarantees[[#This Row],[Expiry Date]])</f>
        <v>1829.4705496874997</v>
      </c>
    </row>
    <row r="28" spans="1:18" ht="15.75" hidden="1" x14ac:dyDescent="0.25">
      <c r="A28" s="161" t="s">
        <v>2552</v>
      </c>
      <c r="B28" s="158">
        <v>45966</v>
      </c>
      <c r="C28" s="157" t="s">
        <v>62</v>
      </c>
      <c r="D28" s="157" t="s">
        <v>1059</v>
      </c>
      <c r="E28" s="157" t="s">
        <v>20</v>
      </c>
      <c r="F28" s="398" t="s">
        <v>1936</v>
      </c>
      <c r="G28" s="157" t="s">
        <v>26</v>
      </c>
      <c r="H28" s="155">
        <v>1020950.27</v>
      </c>
      <c r="I28" s="164">
        <v>0.01</v>
      </c>
      <c r="J28" s="164" t="s">
        <v>857</v>
      </c>
      <c r="K28" s="240">
        <v>46058</v>
      </c>
      <c r="L28" s="157" t="s">
        <v>2454</v>
      </c>
      <c r="M28" s="163"/>
      <c r="N28" s="163"/>
      <c r="O28" s="164" t="s">
        <v>869</v>
      </c>
      <c r="P28" s="157"/>
      <c r="Q28" s="157">
        <v>0</v>
      </c>
      <c r="R28" s="155" cm="1">
        <f t="array" ref="R28">Guarantee_Tariff(Guarantees[[#This Row],[Bank]],Guarantees[[#This Row],[Type]],Guarantees[[#This Row],[Amount]],Guarantees[[#This Row],[Issue Date]],Guarantees[[#This Row],[Expiry Date]])</f>
        <v>2201.4240196875003</v>
      </c>
    </row>
    <row r="29" spans="1:18" ht="15.75" hidden="1" x14ac:dyDescent="0.25">
      <c r="A29" s="161" t="s">
        <v>1474</v>
      </c>
      <c r="B29" s="158"/>
      <c r="C29" s="157" t="s">
        <v>62</v>
      </c>
      <c r="D29" s="157" t="s">
        <v>1059</v>
      </c>
      <c r="E29" s="157" t="s">
        <v>20</v>
      </c>
      <c r="F29" s="398" t="s">
        <v>1459</v>
      </c>
      <c r="G29" s="157" t="s">
        <v>26</v>
      </c>
      <c r="H29" s="155">
        <v>350000</v>
      </c>
      <c r="I29" s="164">
        <v>0.01</v>
      </c>
      <c r="J29" s="164" t="s">
        <v>857</v>
      </c>
      <c r="K29" s="236">
        <v>45945</v>
      </c>
      <c r="L29" s="157" t="s">
        <v>1458</v>
      </c>
      <c r="M29" s="163"/>
      <c r="N29" s="163"/>
      <c r="O29" s="164"/>
      <c r="P29" s="157"/>
      <c r="Q29" s="157">
        <v>0</v>
      </c>
      <c r="R29" s="155" cm="1">
        <f t="array" ref="R29">Guarantee_Tariff(Guarantees[[#This Row],[Bank]],Guarantees[[#This Row],[Type]],Guarantees[[#This Row],[Amount]],Guarantees[[#This Row],[Issue Date]],Guarantees[[#This Row],[Expiry Date]])</f>
        <v>385393.75</v>
      </c>
    </row>
    <row r="30" spans="1:18" ht="15.75" hidden="1" x14ac:dyDescent="0.25">
      <c r="A30" s="161" t="s">
        <v>1939</v>
      </c>
      <c r="B30" s="158">
        <v>45943</v>
      </c>
      <c r="C30" s="157" t="s">
        <v>62</v>
      </c>
      <c r="D30" s="157" t="s">
        <v>1059</v>
      </c>
      <c r="E30" s="157" t="s">
        <v>20</v>
      </c>
      <c r="F30" s="398" t="s">
        <v>1941</v>
      </c>
      <c r="G30" s="157" t="s">
        <v>26</v>
      </c>
      <c r="H30" s="155">
        <v>100000000</v>
      </c>
      <c r="I30" s="164"/>
      <c r="J30" s="164" t="s">
        <v>857</v>
      </c>
      <c r="K30" s="236">
        <v>46037</v>
      </c>
      <c r="L30" s="157" t="s">
        <v>1944</v>
      </c>
      <c r="M30" s="163"/>
      <c r="N30" s="163"/>
      <c r="O30" s="164" t="s">
        <v>72</v>
      </c>
      <c r="P30" s="163"/>
      <c r="Q30" s="157">
        <v>0</v>
      </c>
      <c r="R30" s="155" cm="1">
        <f t="array" ref="R30">Guarantee_Tariff(Guarantees[[#This Row],[Bank]],Guarantees[[#This Row],[Type]],Guarantees[[#This Row],[Amount]],Guarantees[[#This Row],[Issue Date]],Guarantees[[#This Row],[Expiry Date]])</f>
        <v>183281.25</v>
      </c>
    </row>
    <row r="31" spans="1:18" ht="15.75" hidden="1" x14ac:dyDescent="0.25">
      <c r="A31" s="161" t="s">
        <v>1940</v>
      </c>
      <c r="B31" s="158">
        <v>45943</v>
      </c>
      <c r="C31" s="157" t="s">
        <v>612</v>
      </c>
      <c r="D31" s="157" t="s">
        <v>1059</v>
      </c>
      <c r="E31" s="157" t="s">
        <v>20</v>
      </c>
      <c r="F31" s="398" t="s">
        <v>1941</v>
      </c>
      <c r="G31" s="157" t="s">
        <v>26</v>
      </c>
      <c r="H31" s="155">
        <v>50000000</v>
      </c>
      <c r="I31" s="164"/>
      <c r="J31" s="164" t="s">
        <v>857</v>
      </c>
      <c r="K31" s="236">
        <v>46037</v>
      </c>
      <c r="L31" s="157" t="s">
        <v>1944</v>
      </c>
      <c r="M31" s="163"/>
      <c r="N31" s="163"/>
      <c r="O31" s="164"/>
      <c r="P31" s="163"/>
      <c r="Q31" s="157">
        <v>0</v>
      </c>
      <c r="R31" s="155" cm="1">
        <f t="array" ref="R31">Guarantee_Tariff(Guarantees[[#This Row],[Bank]],Guarantees[[#This Row],[Type]],Guarantees[[#This Row],[Amount]],Guarantees[[#This Row],[Issue Date]],Guarantees[[#This Row],[Expiry Date]])</f>
        <v>93437.5</v>
      </c>
    </row>
    <row r="32" spans="1:18" ht="15.75" hidden="1" x14ac:dyDescent="0.25">
      <c r="A32" s="161" t="s">
        <v>1678</v>
      </c>
      <c r="B32" s="158">
        <v>45872</v>
      </c>
      <c r="C32" s="157" t="s">
        <v>62</v>
      </c>
      <c r="D32" s="157" t="s">
        <v>1059</v>
      </c>
      <c r="E32" s="157" t="s">
        <v>20</v>
      </c>
      <c r="F32" s="398" t="s">
        <v>1666</v>
      </c>
      <c r="G32" s="157" t="s">
        <v>26</v>
      </c>
      <c r="H32" s="155">
        <v>3600000</v>
      </c>
      <c r="I32" s="164">
        <v>0.01</v>
      </c>
      <c r="J32" s="164" t="s">
        <v>857</v>
      </c>
      <c r="K32" s="236">
        <v>45962</v>
      </c>
      <c r="L32" s="157" t="s">
        <v>1667</v>
      </c>
      <c r="M32" s="163"/>
      <c r="N32" s="163"/>
      <c r="O32" s="164"/>
      <c r="P32" s="163"/>
      <c r="Q32" s="157">
        <v>0</v>
      </c>
      <c r="R32" s="155" cm="1">
        <f t="array" ref="R32">Guarantee_Tariff(Guarantees[[#This Row],[Bank]],Guarantees[[#This Row],[Type]],Guarantees[[#This Row],[Amount]],Guarantees[[#This Row],[Issue Date]],Guarantees[[#This Row],[Expiry Date]])</f>
        <v>7762.5</v>
      </c>
    </row>
    <row r="33" spans="1:18" ht="15.75" hidden="1" x14ac:dyDescent="0.25">
      <c r="A33" s="161" t="s">
        <v>1053</v>
      </c>
      <c r="B33" s="158"/>
      <c r="C33" s="157" t="s">
        <v>62</v>
      </c>
      <c r="D33" s="157" t="s">
        <v>1054</v>
      </c>
      <c r="E33" s="157" t="s">
        <v>20</v>
      </c>
      <c r="F33" s="398" t="s">
        <v>1046</v>
      </c>
      <c r="G33" s="159" t="s">
        <v>26</v>
      </c>
      <c r="H33" s="155">
        <v>1946754.4</v>
      </c>
      <c r="I33" s="162">
        <v>0.1</v>
      </c>
      <c r="J33" s="164" t="s">
        <v>857</v>
      </c>
      <c r="K33" s="158">
        <v>45703</v>
      </c>
      <c r="L33" s="157" t="s">
        <v>1047</v>
      </c>
      <c r="M33" s="160"/>
      <c r="N33" s="160"/>
      <c r="O33" s="162"/>
      <c r="P33" s="157" t="s">
        <v>410</v>
      </c>
      <c r="Q33" s="157">
        <v>0</v>
      </c>
      <c r="R33" s="155" cm="1">
        <f t="array" ref="R33">Guarantee_Tariff(Guarantees[[#This Row],[Bank]],Guarantees[[#This Row],[Type]],Guarantees[[#This Row],[Amount]],Guarantees[[#This Row],[Issue Date]],Guarantees[[#This Row],[Expiry Date]])</f>
        <v>4972396.0327416668</v>
      </c>
    </row>
    <row r="34" spans="1:18" ht="15.75" hidden="1" x14ac:dyDescent="0.25">
      <c r="A34" s="161" t="s">
        <v>1055</v>
      </c>
      <c r="B34" s="158"/>
      <c r="C34" s="157" t="s">
        <v>373</v>
      </c>
      <c r="D34" s="157" t="s">
        <v>1054</v>
      </c>
      <c r="E34" s="157" t="s">
        <v>20</v>
      </c>
      <c r="F34" s="398" t="s">
        <v>1046</v>
      </c>
      <c r="G34" s="157" t="s">
        <v>26</v>
      </c>
      <c r="H34" s="155">
        <f>77809509.89-12049176.89</f>
        <v>65760333</v>
      </c>
      <c r="I34" s="157"/>
      <c r="J34" s="164" t="s">
        <v>857</v>
      </c>
      <c r="K34" s="163">
        <v>45903</v>
      </c>
      <c r="L34" s="157"/>
      <c r="M34" s="157"/>
      <c r="N34" s="157"/>
      <c r="O34" s="157"/>
      <c r="P34" s="157"/>
      <c r="Q34" s="157">
        <v>0</v>
      </c>
      <c r="R34" s="155" cm="1">
        <f t="array" ref="R34">Guarantee_Tariff(Guarantees[[#This Row],[Bank]],Guarantees[[#This Row],[Type]],Guarantees[[#This Row],[Amount]],Guarantees[[#This Row],[Issue Date]],Guarantees[[#This Row],[Expiry Date]])</f>
        <v>0</v>
      </c>
    </row>
    <row r="35" spans="1:18" ht="15.75" hidden="1" x14ac:dyDescent="0.25">
      <c r="A35" s="161" t="s">
        <v>1890</v>
      </c>
      <c r="B35" s="158">
        <v>45924</v>
      </c>
      <c r="C35" s="157" t="s">
        <v>62</v>
      </c>
      <c r="D35" s="157" t="s">
        <v>1044</v>
      </c>
      <c r="E35" s="157" t="s">
        <v>20</v>
      </c>
      <c r="F35" s="398" t="s">
        <v>1046</v>
      </c>
      <c r="G35" s="157" t="s">
        <v>26</v>
      </c>
      <c r="H35" s="155">
        <v>75504406</v>
      </c>
      <c r="I35" s="164"/>
      <c r="J35" s="164" t="s">
        <v>857</v>
      </c>
      <c r="K35" s="236">
        <v>45960</v>
      </c>
      <c r="L35" s="157" t="s">
        <v>4305</v>
      </c>
      <c r="M35" s="163"/>
      <c r="N35" s="163"/>
      <c r="O35" s="164" t="s">
        <v>72</v>
      </c>
      <c r="P35" s="163" t="s">
        <v>1145</v>
      </c>
      <c r="Q35" s="157">
        <v>1020076</v>
      </c>
      <c r="R35" s="155" cm="1">
        <f t="array" ref="R35">Guarantee_Tariff(Guarantees[[#This Row],[Bank]],Guarantees[[#This Row],[Type]],Guarantees[[#This Row],[Amount]],Guarantees[[#This Row],[Issue Date]],Guarantees[[#This Row],[Expiry Date]])</f>
        <v>46421.909843750007</v>
      </c>
    </row>
    <row r="36" spans="1:18" ht="15.75" hidden="1" x14ac:dyDescent="0.25">
      <c r="A36" s="161" t="s">
        <v>1921</v>
      </c>
      <c r="B36" s="158">
        <v>45001</v>
      </c>
      <c r="C36" s="237" t="s">
        <v>62</v>
      </c>
      <c r="D36" s="237" t="s">
        <v>1054</v>
      </c>
      <c r="E36" s="157" t="s">
        <v>20</v>
      </c>
      <c r="F36" s="398" t="s">
        <v>1046</v>
      </c>
      <c r="G36" s="237" t="s">
        <v>26</v>
      </c>
      <c r="H36" s="156">
        <v>10705101</v>
      </c>
      <c r="I36" s="238"/>
      <c r="J36" s="164" t="s">
        <v>857</v>
      </c>
      <c r="K36" s="165">
        <v>45968</v>
      </c>
      <c r="L36" s="237" t="s">
        <v>1922</v>
      </c>
      <c r="M36" s="239"/>
      <c r="N36" s="239"/>
      <c r="O36" s="238"/>
      <c r="P36" s="239" t="s">
        <v>1145</v>
      </c>
      <c r="Q36" s="237">
        <v>1020076</v>
      </c>
      <c r="R36" s="155" cm="1">
        <f t="array" ref="R36">Guarantee_Tariff(Guarantees[[#This Row],[Bank]],Guarantees[[#This Row],[Type]],Guarantees[[#This Row],[Amount]],Guarantees[[#This Row],[Issue Date]],Guarantees[[#This Row],[Expiry Date]])</f>
        <v>571804.19983333338</v>
      </c>
    </row>
    <row r="37" spans="1:18" ht="15.75" hidden="1" x14ac:dyDescent="0.25">
      <c r="A37" s="161" t="s">
        <v>1481</v>
      </c>
      <c r="B37" s="158">
        <v>45825</v>
      </c>
      <c r="C37" s="157" t="s">
        <v>62</v>
      </c>
      <c r="D37" s="157" t="s">
        <v>1059</v>
      </c>
      <c r="E37" s="157" t="s">
        <v>20</v>
      </c>
      <c r="F37" s="398" t="s">
        <v>1476</v>
      </c>
      <c r="G37" s="157" t="s">
        <v>26</v>
      </c>
      <c r="H37" s="155">
        <v>18515</v>
      </c>
      <c r="I37" s="164">
        <v>0.01</v>
      </c>
      <c r="J37" s="164" t="s">
        <v>857</v>
      </c>
      <c r="K37" s="236">
        <v>45916</v>
      </c>
      <c r="L37" s="1" t="s">
        <v>1475</v>
      </c>
      <c r="M37" s="163"/>
      <c r="N37" s="163"/>
      <c r="O37" s="164" t="s">
        <v>869</v>
      </c>
      <c r="P37" s="157"/>
      <c r="Q37" s="157">
        <v>0</v>
      </c>
      <c r="R37" s="155" cm="1">
        <f t="array" ref="R37">Guarantee_Tariff(Guarantees[[#This Row],[Bank]],Guarantees[[#This Row],[Type]],Guarantees[[#This Row],[Amount]],Guarantees[[#This Row],[Issue Date]],Guarantees[[#This Row],[Expiry Date]])</f>
        <v>39.922968750000003</v>
      </c>
    </row>
    <row r="38" spans="1:18" ht="15.75" hidden="1" x14ac:dyDescent="0.25">
      <c r="A38" s="161"/>
      <c r="B38" s="158"/>
      <c r="C38" s="237" t="s">
        <v>95</v>
      </c>
      <c r="D38" s="237" t="s">
        <v>1059</v>
      </c>
      <c r="E38" s="157" t="s">
        <v>20</v>
      </c>
      <c r="F38" s="398" t="s">
        <v>1049</v>
      </c>
      <c r="G38" s="237" t="s">
        <v>26</v>
      </c>
      <c r="H38" s="156">
        <v>3866187</v>
      </c>
      <c r="I38" s="238">
        <v>0.01</v>
      </c>
      <c r="J38" s="164" t="s">
        <v>857</v>
      </c>
      <c r="K38" s="274">
        <v>45884</v>
      </c>
      <c r="L38" s="237" t="s">
        <v>1067</v>
      </c>
      <c r="M38" s="237"/>
      <c r="N38" s="237"/>
      <c r="O38" s="238"/>
      <c r="P38" s="237"/>
      <c r="Q38" s="157">
        <v>0</v>
      </c>
      <c r="R38" s="155" cm="1">
        <f t="array" ref="R38">Guarantee_Tariff(Guarantees[[#This Row],[Bank]],Guarantees[[#This Row],[Type]],Guarantees[[#This Row],[Amount]],Guarantees[[#This Row],[Issue Date]],Guarantees[[#This Row],[Expiry Date]])</f>
        <v>4815327.8539437503</v>
      </c>
    </row>
    <row r="39" spans="1:18" ht="15.75" hidden="1" x14ac:dyDescent="0.25">
      <c r="A39" s="161" t="s">
        <v>1538</v>
      </c>
      <c r="B39" s="158">
        <v>45845</v>
      </c>
      <c r="C39" s="237" t="s">
        <v>62</v>
      </c>
      <c r="D39" s="237" t="s">
        <v>1059</v>
      </c>
      <c r="E39" s="157" t="s">
        <v>20</v>
      </c>
      <c r="F39" s="398" t="s">
        <v>1049</v>
      </c>
      <c r="G39" s="237" t="s">
        <v>26</v>
      </c>
      <c r="H39" s="156">
        <v>3181610</v>
      </c>
      <c r="I39" s="238"/>
      <c r="J39" s="164" t="s">
        <v>857</v>
      </c>
      <c r="K39" s="165">
        <v>46012</v>
      </c>
      <c r="L39" s="237" t="s">
        <v>1536</v>
      </c>
      <c r="M39" s="239"/>
      <c r="N39" s="239"/>
      <c r="O39" s="238"/>
      <c r="P39" s="237"/>
      <c r="Q39" s="157">
        <v>0</v>
      </c>
      <c r="R39" s="155" cm="1">
        <f t="array" ref="R39">Guarantee_Tariff(Guarantees[[#This Row],[Bank]],Guarantees[[#This Row],[Type]],Guarantees[[#This Row],[Amount]],Guarantees[[#This Row],[Issue Date]],Guarantees[[#This Row],[Expiry Date]])</f>
        <v>13720.693124999998</v>
      </c>
    </row>
    <row r="40" spans="1:18" ht="15.75" hidden="1" x14ac:dyDescent="0.25">
      <c r="A40" s="161" t="s">
        <v>1092</v>
      </c>
      <c r="B40" s="158"/>
      <c r="C40" s="237" t="s">
        <v>62</v>
      </c>
      <c r="D40" s="237" t="s">
        <v>1059</v>
      </c>
      <c r="E40" s="157" t="s">
        <v>20</v>
      </c>
      <c r="F40" s="398" t="s">
        <v>1093</v>
      </c>
      <c r="G40" s="237" t="s">
        <v>26</v>
      </c>
      <c r="H40" s="156">
        <v>336000000</v>
      </c>
      <c r="I40" s="238">
        <v>0.01</v>
      </c>
      <c r="J40" s="164" t="s">
        <v>857</v>
      </c>
      <c r="K40" s="239">
        <v>45916</v>
      </c>
      <c r="L40" s="237" t="s">
        <v>1094</v>
      </c>
      <c r="M40" s="237"/>
      <c r="N40" s="237"/>
      <c r="O40" s="238"/>
      <c r="P40" s="237"/>
      <c r="Q40" s="157">
        <v>0</v>
      </c>
      <c r="R40" s="155" cm="1">
        <f t="array" ref="R40">Guarantee_Tariff(Guarantees[[#This Row],[Bank]],Guarantees[[#This Row],[Type]],Guarantees[[#This Row],[Amount]],Guarantees[[#This Row],[Issue Date]],Guarantees[[#This Row],[Expiry Date]])</f>
        <v>309947760.41666669</v>
      </c>
    </row>
    <row r="41" spans="1:18" ht="15.75" hidden="1" x14ac:dyDescent="0.25">
      <c r="A41" s="161" t="s">
        <v>1068</v>
      </c>
      <c r="B41" s="158"/>
      <c r="C41" s="237" t="s">
        <v>612</v>
      </c>
      <c r="D41" s="237" t="s">
        <v>1059</v>
      </c>
      <c r="E41" s="157" t="s">
        <v>20</v>
      </c>
      <c r="F41" s="398" t="s">
        <v>1069</v>
      </c>
      <c r="G41" s="237" t="s">
        <v>26</v>
      </c>
      <c r="H41" s="156">
        <v>27900000</v>
      </c>
      <c r="I41" s="238">
        <v>0.01</v>
      </c>
      <c r="J41" s="164" t="s">
        <v>857</v>
      </c>
      <c r="K41" s="274">
        <v>45797</v>
      </c>
      <c r="L41" s="237" t="s">
        <v>1071</v>
      </c>
      <c r="M41" s="237"/>
      <c r="N41" s="237"/>
      <c r="O41" s="238"/>
      <c r="P41" s="237" t="s">
        <v>1070</v>
      </c>
      <c r="Q41" s="157">
        <v>0</v>
      </c>
      <c r="R41" s="155" cm="1">
        <f t="array" ref="R41">Guarantee_Tariff(Guarantees[[#This Row],[Bank]],Guarantees[[#This Row],[Type]],Guarantees[[#This Row],[Amount]],Guarantees[[#This Row],[Issue Date]],Guarantees[[#This Row],[Expiry Date]])</f>
        <v>27346820.3125</v>
      </c>
    </row>
    <row r="42" spans="1:18" ht="15.75" hidden="1" x14ac:dyDescent="0.25">
      <c r="A42" s="161"/>
      <c r="B42" s="158"/>
      <c r="C42" s="237" t="s">
        <v>62</v>
      </c>
      <c r="D42" s="237" t="s">
        <v>1059</v>
      </c>
      <c r="E42" s="157" t="s">
        <v>20</v>
      </c>
      <c r="F42" s="398" t="s">
        <v>1089</v>
      </c>
      <c r="G42" s="237" t="s">
        <v>26</v>
      </c>
      <c r="H42" s="156">
        <v>6019800</v>
      </c>
      <c r="I42" s="238">
        <v>0.02</v>
      </c>
      <c r="J42" s="164" t="s">
        <v>857</v>
      </c>
      <c r="K42" s="239">
        <v>45961</v>
      </c>
      <c r="L42" s="237" t="s">
        <v>1202</v>
      </c>
      <c r="M42" s="237"/>
      <c r="N42" s="237"/>
      <c r="O42" s="238"/>
      <c r="P42" s="237"/>
      <c r="Q42" s="157">
        <v>0</v>
      </c>
      <c r="R42" s="155" cm="1">
        <f t="array" ref="R42">Guarantee_Tariff(Guarantees[[#This Row],[Bank]],Guarantees[[#This Row],[Type]],Guarantees[[#This Row],[Amount]],Guarantees[[#This Row],[Issue Date]],Guarantees[[#This Row],[Expiry Date]])</f>
        <v>6628552.2750000004</v>
      </c>
    </row>
    <row r="43" spans="1:18" ht="15.75" hidden="1" x14ac:dyDescent="0.25">
      <c r="A43" s="161"/>
      <c r="B43" s="158"/>
      <c r="C43" s="237" t="s">
        <v>62</v>
      </c>
      <c r="D43" s="237" t="s">
        <v>1065</v>
      </c>
      <c r="E43" s="157" t="s">
        <v>20</v>
      </c>
      <c r="F43" s="398" t="s">
        <v>1077</v>
      </c>
      <c r="G43" s="237" t="s">
        <v>26</v>
      </c>
      <c r="H43" s="156">
        <v>500000</v>
      </c>
      <c r="I43" s="237"/>
      <c r="J43" s="164" t="s">
        <v>857</v>
      </c>
      <c r="K43" s="274">
        <v>45930</v>
      </c>
      <c r="L43" s="237" t="s">
        <v>1078</v>
      </c>
      <c r="M43" s="237"/>
      <c r="N43" s="237"/>
      <c r="O43" s="237"/>
      <c r="P43" s="237" t="s">
        <v>1076</v>
      </c>
      <c r="Q43" s="157">
        <v>0</v>
      </c>
      <c r="R43" s="155" cm="1">
        <f t="array" ref="R43">Guarantee_Tariff(Guarantees[[#This Row],[Bank]],Guarantees[[#This Row],[Type]],Guarantees[[#This Row],[Amount]],Guarantees[[#This Row],[Issue Date]],Guarantees[[#This Row],[Expiry Date]])</f>
        <v>183401.04166666666</v>
      </c>
    </row>
    <row r="44" spans="1:18" ht="15.75" hidden="1" x14ac:dyDescent="0.25">
      <c r="A44" s="161" t="s">
        <v>1881</v>
      </c>
      <c r="B44" s="158">
        <v>45916</v>
      </c>
      <c r="C44" s="237" t="s">
        <v>62</v>
      </c>
      <c r="D44" s="237" t="s">
        <v>1059</v>
      </c>
      <c r="E44" s="157" t="s">
        <v>20</v>
      </c>
      <c r="F44" s="398" t="s">
        <v>1879</v>
      </c>
      <c r="G44" s="237" t="s">
        <v>26</v>
      </c>
      <c r="H44" s="156">
        <v>926666.67</v>
      </c>
      <c r="I44" s="238">
        <v>0.01</v>
      </c>
      <c r="J44" s="164" t="s">
        <v>857</v>
      </c>
      <c r="K44" s="165">
        <v>46006</v>
      </c>
      <c r="L44" s="237" t="s">
        <v>1880</v>
      </c>
      <c r="M44" s="239"/>
      <c r="N44" s="239"/>
      <c r="O44" s="238" t="s">
        <v>869</v>
      </c>
      <c r="P44" s="237"/>
      <c r="Q44" s="157">
        <v>0</v>
      </c>
      <c r="R44" s="155" cm="1">
        <f t="array" ref="R44">Guarantee_Tariff(Guarantees[[#This Row],[Bank]],Guarantees[[#This Row],[Type]],Guarantees[[#This Row],[Amount]],Guarantees[[#This Row],[Issue Date]],Guarantees[[#This Row],[Expiry Date]])</f>
        <v>1998.1250071874997</v>
      </c>
    </row>
    <row r="45" spans="1:18" ht="15.75" hidden="1" x14ac:dyDescent="0.25">
      <c r="A45" s="161"/>
      <c r="B45" s="158"/>
      <c r="C45" s="237" t="s">
        <v>62</v>
      </c>
      <c r="D45" s="237" t="s">
        <v>1059</v>
      </c>
      <c r="E45" s="157" t="s">
        <v>20</v>
      </c>
      <c r="F45" s="398" t="s">
        <v>1158</v>
      </c>
      <c r="G45" s="237" t="s">
        <v>26</v>
      </c>
      <c r="H45" s="156">
        <v>394583</v>
      </c>
      <c r="I45" s="238">
        <v>0.02</v>
      </c>
      <c r="J45" s="164" t="s">
        <v>857</v>
      </c>
      <c r="K45" s="239">
        <v>45847</v>
      </c>
      <c r="L45" s="237" t="s">
        <v>1160</v>
      </c>
      <c r="M45" s="237"/>
      <c r="N45" s="237"/>
      <c r="O45" s="238"/>
      <c r="P45" s="237"/>
      <c r="Q45" s="157">
        <v>0</v>
      </c>
      <c r="R45" s="155" cm="1">
        <f t="array" ref="R45">Guarantee_Tariff(Guarantees[[#This Row],[Bank]],Guarantees[[#This Row],[Type]],Guarantees[[#This Row],[Amount]],Guarantees[[#This Row],[Issue Date]],Guarantees[[#This Row],[Expiry Date]])</f>
        <v>433350.77974999999</v>
      </c>
    </row>
    <row r="46" spans="1:18" ht="15.75" hidden="1" x14ac:dyDescent="0.25">
      <c r="A46" s="161" t="s">
        <v>1620</v>
      </c>
      <c r="B46" s="158">
        <v>45982</v>
      </c>
      <c r="C46" s="237" t="s">
        <v>62</v>
      </c>
      <c r="D46" s="237" t="s">
        <v>1059</v>
      </c>
      <c r="E46" s="157" t="s">
        <v>20</v>
      </c>
      <c r="F46" s="398" t="s">
        <v>1479</v>
      </c>
      <c r="G46" s="237" t="s">
        <v>26</v>
      </c>
      <c r="H46" s="156">
        <v>5000000</v>
      </c>
      <c r="I46" s="238"/>
      <c r="J46" s="164" t="s">
        <v>857</v>
      </c>
      <c r="K46" s="165">
        <v>46053</v>
      </c>
      <c r="L46" s="237" t="s">
        <v>1480</v>
      </c>
      <c r="M46" s="239"/>
      <c r="N46" s="239"/>
      <c r="O46" s="238"/>
      <c r="P46" s="237"/>
      <c r="Q46" s="157">
        <v>0</v>
      </c>
      <c r="R46" s="155" cm="1">
        <f t="array" ref="R46">Guarantee_Tariff(Guarantees[[#This Row],[Bank]],Guarantees[[#This Row],[Type]],Guarantees[[#This Row],[Amount]],Guarantees[[#This Row],[Issue Date]],Guarantees[[#This Row],[Expiry Date]])</f>
        <v>7187.5</v>
      </c>
    </row>
    <row r="47" spans="1:18" ht="15.75" hidden="1" x14ac:dyDescent="0.25">
      <c r="A47" s="161" t="s">
        <v>3921</v>
      </c>
      <c r="B47" s="158">
        <v>46043</v>
      </c>
      <c r="C47" s="237" t="s">
        <v>1073</v>
      </c>
      <c r="D47" s="237" t="s">
        <v>1044</v>
      </c>
      <c r="E47" s="157" t="s">
        <v>20</v>
      </c>
      <c r="F47" s="398" t="s">
        <v>3277</v>
      </c>
      <c r="G47" s="184" t="s">
        <v>26</v>
      </c>
      <c r="H47" s="156">
        <v>7295593.1600000001</v>
      </c>
      <c r="I47" s="273">
        <v>0.05</v>
      </c>
      <c r="J47" s="164" t="s">
        <v>378</v>
      </c>
      <c r="K47" s="241">
        <v>47573</v>
      </c>
      <c r="L47" s="237" t="s">
        <v>3278</v>
      </c>
      <c r="M47" s="239"/>
      <c r="N47" s="239"/>
      <c r="O47" s="273" t="s">
        <v>72</v>
      </c>
      <c r="P47" s="237" t="s">
        <v>3904</v>
      </c>
      <c r="Q47" s="157">
        <v>0</v>
      </c>
      <c r="R47" s="155" cm="1">
        <f t="array" ref="R47">Guarantee_Tariff(Guarantees[[#This Row],[Bank]],Guarantees[[#This Row],[Type]],Guarantees[[#This Row],[Amount]],Guarantees[[#This Row],[Issue Date]],Guarantees[[#This Row],[Expiry Date]])</f>
        <v>0</v>
      </c>
    </row>
    <row r="48" spans="1:18" ht="15.75" hidden="1" x14ac:dyDescent="0.25">
      <c r="A48" s="161" t="s">
        <v>3807</v>
      </c>
      <c r="B48" s="158">
        <v>46043</v>
      </c>
      <c r="C48" s="237" t="s">
        <v>62</v>
      </c>
      <c r="D48" s="237" t="s">
        <v>1044</v>
      </c>
      <c r="E48" s="157" t="s">
        <v>20</v>
      </c>
      <c r="F48" s="398" t="s">
        <v>4186</v>
      </c>
      <c r="G48" s="237" t="s">
        <v>26</v>
      </c>
      <c r="H48" s="156">
        <v>10112000</v>
      </c>
      <c r="I48" s="238">
        <v>0.1</v>
      </c>
      <c r="J48" s="164" t="s">
        <v>378</v>
      </c>
      <c r="K48" s="165">
        <v>47694</v>
      </c>
      <c r="L48" s="237" t="s">
        <v>3788</v>
      </c>
      <c r="M48" s="239" t="s">
        <v>4187</v>
      </c>
      <c r="N48" s="239"/>
      <c r="O48" s="238" t="s">
        <v>72</v>
      </c>
      <c r="P48" s="237" t="s">
        <v>3810</v>
      </c>
      <c r="Q48" s="157">
        <v>0</v>
      </c>
      <c r="R48" s="155" cm="1">
        <f t="array" ref="R48">Guarantee_Tariff(Guarantees[[#This Row],[Bank]],Guarantees[[#This Row],[Type]],Guarantees[[#This Row],[Amount]],Guarantees[[#This Row],[Issue Date]],Guarantees[[#This Row],[Expiry Date]])</f>
        <v>399002.08333333331</v>
      </c>
    </row>
    <row r="49" spans="1:18" ht="15.75" hidden="1" x14ac:dyDescent="0.25">
      <c r="A49" s="161" t="s">
        <v>5025</v>
      </c>
      <c r="B49" s="158">
        <v>46134</v>
      </c>
      <c r="C49" s="237" t="s">
        <v>62</v>
      </c>
      <c r="D49" s="237" t="s">
        <v>1044</v>
      </c>
      <c r="E49" s="157" t="s">
        <v>20</v>
      </c>
      <c r="F49" s="398" t="s">
        <v>4663</v>
      </c>
      <c r="G49" s="237" t="s">
        <v>26</v>
      </c>
      <c r="H49" s="156">
        <v>500000</v>
      </c>
      <c r="I49" s="238">
        <v>0.1</v>
      </c>
      <c r="J49" s="164" t="s">
        <v>378</v>
      </c>
      <c r="K49" s="426">
        <v>46247</v>
      </c>
      <c r="L49" s="239" t="s">
        <v>4745</v>
      </c>
      <c r="M49" s="465" t="s">
        <v>11</v>
      </c>
      <c r="N49" s="465"/>
      <c r="O49" s="238" t="s">
        <v>72</v>
      </c>
      <c r="P49" s="237"/>
      <c r="Q49" s="157">
        <v>0</v>
      </c>
      <c r="R49" s="156" cm="1">
        <f t="array" ref="R49">Guarantee_Tariff(Guarantees[[#This Row],[Bank]],Guarantees[[#This Row],[Type]],Guarantees[[#This Row],[Amount]],Guarantees[[#This Row],[Issue Date]],Guarantees[[#This Row],[Expiry Date]])</f>
        <v>1437.5</v>
      </c>
    </row>
    <row r="50" spans="1:18" ht="15.75" hidden="1" x14ac:dyDescent="0.25">
      <c r="A50" s="161" t="s">
        <v>5334</v>
      </c>
      <c r="B50" s="158">
        <v>46163</v>
      </c>
      <c r="C50" s="237" t="s">
        <v>366</v>
      </c>
      <c r="D50" s="237" t="s">
        <v>1054</v>
      </c>
      <c r="E50" s="237" t="s">
        <v>20</v>
      </c>
      <c r="F50" s="398" t="s">
        <v>1088</v>
      </c>
      <c r="G50" s="237" t="s">
        <v>26</v>
      </c>
      <c r="H50" s="156">
        <v>122730756.81</v>
      </c>
      <c r="I50" s="238">
        <v>0.1</v>
      </c>
      <c r="J50" s="164" t="s">
        <v>378</v>
      </c>
      <c r="K50" s="426">
        <v>47209</v>
      </c>
      <c r="L50" s="239" t="s">
        <v>3732</v>
      </c>
      <c r="M50" s="427" t="s">
        <v>5449</v>
      </c>
      <c r="N50" s="427"/>
      <c r="O50" s="238" t="s">
        <v>72</v>
      </c>
      <c r="P50" s="239"/>
      <c r="Q50" s="157">
        <v>0</v>
      </c>
      <c r="R50" s="156" cm="1">
        <f t="array" ref="R50">Guarantee_Tariff(Guarantees[[#This Row],[Bank]],Guarantees[[#This Row],[Type]],Guarantees[[#This Row],[Amount]],Guarantees[[#This Row],[Issue Date]],Guarantees[[#This Row],[Expiry Date]])</f>
        <v>2050455.9356492916</v>
      </c>
    </row>
    <row r="51" spans="1:18" ht="15.75" hidden="1" x14ac:dyDescent="0.25">
      <c r="A51" s="161" t="s">
        <v>1773</v>
      </c>
      <c r="B51" s="158">
        <v>45799</v>
      </c>
      <c r="C51" s="237" t="s">
        <v>62</v>
      </c>
      <c r="D51" s="237" t="s">
        <v>1059</v>
      </c>
      <c r="E51" s="157" t="s">
        <v>20</v>
      </c>
      <c r="F51" s="398" t="s">
        <v>1774</v>
      </c>
      <c r="G51" s="237" t="s">
        <v>26</v>
      </c>
      <c r="H51" s="156">
        <v>4000000</v>
      </c>
      <c r="I51" s="273">
        <v>0.01</v>
      </c>
      <c r="J51" s="164" t="s">
        <v>378</v>
      </c>
      <c r="K51" s="454">
        <v>46203</v>
      </c>
      <c r="L51" s="165" t="s">
        <v>1775</v>
      </c>
      <c r="M51" s="427"/>
      <c r="N51" s="427"/>
      <c r="O51" s="238"/>
      <c r="P51" s="157"/>
      <c r="Q51" s="157">
        <v>0</v>
      </c>
      <c r="R51" s="155" cm="1">
        <f t="array" ref="R51">Guarantee_Tariff(Guarantees[[#This Row],[Bank]],Guarantees[[#This Row],[Type]],Guarantees[[#This Row],[Amount]],Guarantees[[#This Row],[Issue Date]],Guarantees[[#This Row],[Expiry Date]])</f>
        <v>37375</v>
      </c>
    </row>
    <row r="52" spans="1:18" ht="15.75" hidden="1" x14ac:dyDescent="0.25">
      <c r="A52" s="161" t="s">
        <v>1665</v>
      </c>
      <c r="B52" s="158">
        <v>45869</v>
      </c>
      <c r="C52" s="237" t="s">
        <v>62</v>
      </c>
      <c r="D52" s="237" t="s">
        <v>1059</v>
      </c>
      <c r="E52" s="157" t="s">
        <v>20</v>
      </c>
      <c r="F52" s="398" t="s">
        <v>4849</v>
      </c>
      <c r="G52" s="237" t="s">
        <v>26</v>
      </c>
      <c r="H52" s="156">
        <v>33000000</v>
      </c>
      <c r="I52" s="453">
        <v>0.01</v>
      </c>
      <c r="J52" s="164" t="s">
        <v>857</v>
      </c>
      <c r="K52" s="454">
        <v>46187</v>
      </c>
      <c r="L52" s="464" t="s">
        <v>4872</v>
      </c>
      <c r="M52" s="455"/>
      <c r="N52" s="455"/>
      <c r="O52" s="456"/>
      <c r="P52" s="157"/>
      <c r="Q52" s="157">
        <v>0</v>
      </c>
      <c r="R52" s="155" cm="1">
        <f t="array" ref="R52">Guarantee_Tariff(Guarantees[[#This Row],[Bank]],Guarantees[[#This Row],[Type]],Guarantees[[#This Row],[Amount]],Guarantees[[#This Row],[Issue Date]],Guarantees[[#This Row],[Expiry Date]])</f>
        <v>230598.95833333334</v>
      </c>
    </row>
    <row r="53" spans="1:18" ht="15.75" hidden="1" x14ac:dyDescent="0.25">
      <c r="A53" s="161" t="s">
        <v>1902</v>
      </c>
      <c r="B53" s="158">
        <v>45929</v>
      </c>
      <c r="C53" s="237" t="s">
        <v>62</v>
      </c>
      <c r="D53" s="237" t="s">
        <v>1059</v>
      </c>
      <c r="E53" s="157" t="s">
        <v>20</v>
      </c>
      <c r="F53" s="398" t="s">
        <v>4850</v>
      </c>
      <c r="G53" s="237" t="s">
        <v>26</v>
      </c>
      <c r="H53" s="156">
        <v>4250000</v>
      </c>
      <c r="I53" s="453">
        <v>0.01</v>
      </c>
      <c r="J53" s="164" t="s">
        <v>857</v>
      </c>
      <c r="K53" s="454">
        <v>46203</v>
      </c>
      <c r="L53" s="464" t="s">
        <v>1900</v>
      </c>
      <c r="M53" s="455"/>
      <c r="N53" s="455"/>
      <c r="O53" s="456"/>
      <c r="P53" s="237" t="s">
        <v>613</v>
      </c>
      <c r="Q53" s="237">
        <v>1020106</v>
      </c>
      <c r="R53" s="155" cm="1">
        <f t="array" ref="R53">Guarantee_Tariff(Guarantees[[#This Row],[Bank]],Guarantees[[#This Row],[Type]],Guarantees[[#This Row],[Amount]],Guarantees[[#This Row],[Issue Date]],Guarantees[[#This Row],[Expiry Date]])</f>
        <v>27492.1875</v>
      </c>
    </row>
    <row r="54" spans="1:18" ht="15.75" hidden="1" x14ac:dyDescent="0.25">
      <c r="A54" s="161" t="s">
        <v>3365</v>
      </c>
      <c r="B54" s="158">
        <v>46027</v>
      </c>
      <c r="C54" s="237" t="s">
        <v>62</v>
      </c>
      <c r="D54" s="237" t="s">
        <v>1059</v>
      </c>
      <c r="E54" s="157" t="s">
        <v>20</v>
      </c>
      <c r="F54" s="398" t="s">
        <v>4851</v>
      </c>
      <c r="G54" s="237" t="s">
        <v>26</v>
      </c>
      <c r="H54" s="156">
        <v>25000</v>
      </c>
      <c r="I54" s="273">
        <v>0.01</v>
      </c>
      <c r="J54" s="164" t="s">
        <v>378</v>
      </c>
      <c r="K54" s="454">
        <v>46148</v>
      </c>
      <c r="L54" s="464" t="s">
        <v>4873</v>
      </c>
      <c r="M54" s="455"/>
      <c r="N54" s="455"/>
      <c r="O54" s="273" t="s">
        <v>72</v>
      </c>
      <c r="P54" s="157"/>
      <c r="Q54" s="157">
        <v>0</v>
      </c>
      <c r="R54" s="155" cm="1">
        <f t="array" ref="R54">Guarantee_Tariff(Guarantees[[#This Row],[Bank]],Guarantees[[#This Row],[Type]],Guarantees[[#This Row],[Amount]],Guarantees[[#This Row],[Issue Date]],Guarantees[[#This Row],[Expiry Date]])</f>
        <v>71.875</v>
      </c>
    </row>
    <row r="55" spans="1:18" ht="15.75" hidden="1" x14ac:dyDescent="0.25">
      <c r="A55" s="161" t="s">
        <v>3737</v>
      </c>
      <c r="B55" s="158">
        <v>46040</v>
      </c>
      <c r="C55" s="237" t="s">
        <v>62</v>
      </c>
      <c r="D55" s="237" t="s">
        <v>1059</v>
      </c>
      <c r="E55" s="157" t="s">
        <v>20</v>
      </c>
      <c r="F55" s="398" t="s">
        <v>4852</v>
      </c>
      <c r="G55" s="237" t="s">
        <v>26</v>
      </c>
      <c r="H55" s="156">
        <v>2000000</v>
      </c>
      <c r="I55" s="453">
        <v>0.03</v>
      </c>
      <c r="J55" s="164" t="s">
        <v>857</v>
      </c>
      <c r="K55" s="454">
        <v>46130</v>
      </c>
      <c r="L55" s="464" t="s">
        <v>4874</v>
      </c>
      <c r="M55" s="455"/>
      <c r="N55" s="455"/>
      <c r="O55" s="456"/>
      <c r="P55" s="157"/>
      <c r="Q55" s="157">
        <v>0</v>
      </c>
      <c r="R55" s="155" cm="1">
        <f t="array" ref="R55">Guarantee_Tariff(Guarantees[[#This Row],[Bank]],Guarantees[[#This Row],[Type]],Guarantees[[#This Row],[Amount]],Guarantees[[#This Row],[Issue Date]],Guarantees[[#This Row],[Expiry Date]])</f>
        <v>4312.5</v>
      </c>
    </row>
    <row r="56" spans="1:18" ht="15.75" hidden="1" x14ac:dyDescent="0.25">
      <c r="A56" s="161" t="s">
        <v>3922</v>
      </c>
      <c r="B56" s="158">
        <v>46054</v>
      </c>
      <c r="C56" s="237" t="s">
        <v>62</v>
      </c>
      <c r="D56" s="237" t="s">
        <v>1059</v>
      </c>
      <c r="E56" s="157" t="s">
        <v>20</v>
      </c>
      <c r="F56" s="398" t="s">
        <v>4853</v>
      </c>
      <c r="G56" s="237" t="s">
        <v>26</v>
      </c>
      <c r="H56" s="156">
        <v>8000000</v>
      </c>
      <c r="I56" s="453">
        <v>0.02</v>
      </c>
      <c r="J56" s="164" t="s">
        <v>378</v>
      </c>
      <c r="K56" s="454">
        <v>46174</v>
      </c>
      <c r="L56" s="464" t="s">
        <v>3812</v>
      </c>
      <c r="M56" s="455"/>
      <c r="N56" s="455"/>
      <c r="O56" s="456"/>
      <c r="P56" s="157"/>
      <c r="Q56" s="157">
        <v>0</v>
      </c>
      <c r="R56" s="155" cm="1">
        <f t="array" ref="R56">Guarantee_Tariff(Guarantees[[#This Row],[Bank]],Guarantees[[#This Row],[Type]],Guarantees[[#This Row],[Amount]],Guarantees[[#This Row],[Issue Date]],Guarantees[[#This Row],[Expiry Date]])</f>
        <v>23000</v>
      </c>
    </row>
    <row r="57" spans="1:18" ht="15.75" hidden="1" x14ac:dyDescent="0.25">
      <c r="A57" s="161" t="s">
        <v>4014</v>
      </c>
      <c r="B57" s="158">
        <v>46062</v>
      </c>
      <c r="C57" s="237" t="s">
        <v>62</v>
      </c>
      <c r="D57" s="237" t="s">
        <v>1059</v>
      </c>
      <c r="E57" s="157" t="s">
        <v>20</v>
      </c>
      <c r="F57" s="398" t="s">
        <v>4854</v>
      </c>
      <c r="G57" s="237" t="s">
        <v>26</v>
      </c>
      <c r="H57" s="156">
        <f>4000000+2000000+1500000</f>
        <v>7500000</v>
      </c>
      <c r="I57" s="453">
        <v>0.01</v>
      </c>
      <c r="J57" s="164" t="s">
        <v>378</v>
      </c>
      <c r="K57" s="454">
        <v>46185</v>
      </c>
      <c r="L57" s="464" t="s">
        <v>4875</v>
      </c>
      <c r="M57" s="455"/>
      <c r="N57" s="455"/>
      <c r="O57" s="238" t="s">
        <v>4010</v>
      </c>
      <c r="P57" s="157"/>
      <c r="Q57" s="237" t="s">
        <v>2866</v>
      </c>
      <c r="R57" s="155" cm="1">
        <f t="array" ref="R57">Guarantee_Tariff(Guarantees[[#This Row],[Bank]],Guarantees[[#This Row],[Type]],Guarantees[[#This Row],[Amount]],Guarantees[[#This Row],[Issue Date]],Guarantees[[#This Row],[Expiry Date]])</f>
        <v>21562.5</v>
      </c>
    </row>
    <row r="58" spans="1:18" ht="15.75" hidden="1" x14ac:dyDescent="0.25">
      <c r="A58" s="161" t="s">
        <v>4621</v>
      </c>
      <c r="B58" s="158">
        <v>46120</v>
      </c>
      <c r="C58" s="237" t="s">
        <v>62</v>
      </c>
      <c r="D58" s="237" t="s">
        <v>1059</v>
      </c>
      <c r="E58" s="157" t="s">
        <v>20</v>
      </c>
      <c r="F58" s="398" t="s">
        <v>4855</v>
      </c>
      <c r="G58" s="237" t="s">
        <v>26</v>
      </c>
      <c r="H58" s="156">
        <v>640000</v>
      </c>
      <c r="I58" s="453">
        <v>0.25</v>
      </c>
      <c r="J58" s="164" t="s">
        <v>857</v>
      </c>
      <c r="K58" s="454">
        <v>46198</v>
      </c>
      <c r="L58" s="464" t="s">
        <v>4876</v>
      </c>
      <c r="M58" s="455"/>
      <c r="N58" s="455"/>
      <c r="O58" s="456"/>
      <c r="P58" s="157"/>
      <c r="Q58" s="237" t="s">
        <v>4550</v>
      </c>
      <c r="R58" s="155" cm="1">
        <f t="array" ref="R58">Guarantee_Tariff(Guarantees[[#This Row],[Bank]],Guarantees[[#This Row],[Type]],Guarantees[[#This Row],[Amount]],Guarantees[[#This Row],[Issue Date]],Guarantees[[#This Row],[Expiry Date]])</f>
        <v>1380</v>
      </c>
    </row>
    <row r="59" spans="1:18" ht="15.75" hidden="1" x14ac:dyDescent="0.25">
      <c r="A59" s="161" t="s">
        <v>4685</v>
      </c>
      <c r="B59" s="158">
        <v>46124</v>
      </c>
      <c r="C59" s="237" t="s">
        <v>62</v>
      </c>
      <c r="D59" s="237" t="s">
        <v>1059</v>
      </c>
      <c r="E59" s="157" t="s">
        <v>20</v>
      </c>
      <c r="F59" s="398" t="s">
        <v>5017</v>
      </c>
      <c r="G59" s="237" t="s">
        <v>26</v>
      </c>
      <c r="H59" s="156">
        <f>200000+120000</f>
        <v>320000</v>
      </c>
      <c r="I59" s="453">
        <v>0.01</v>
      </c>
      <c r="J59" s="164" t="s">
        <v>378</v>
      </c>
      <c r="K59" s="454">
        <v>46245</v>
      </c>
      <c r="L59" s="464" t="s">
        <v>4877</v>
      </c>
      <c r="M59" s="455"/>
      <c r="N59" s="455"/>
      <c r="O59" s="456"/>
      <c r="P59" s="157"/>
      <c r="Q59" s="237" t="s">
        <v>72</v>
      </c>
      <c r="R59" s="155" cm="1">
        <f t="array" ref="R59">Guarantee_Tariff(Guarantees[[#This Row],[Bank]],Guarantees[[#This Row],[Type]],Guarantees[[#This Row],[Amount]],Guarantees[[#This Row],[Issue Date]],Guarantees[[#This Row],[Expiry Date]])</f>
        <v>920</v>
      </c>
    </row>
    <row r="60" spans="1:18" ht="15.75" hidden="1" x14ac:dyDescent="0.25">
      <c r="A60" s="161" t="s">
        <v>4726</v>
      </c>
      <c r="B60" s="158">
        <v>46126</v>
      </c>
      <c r="C60" s="237" t="s">
        <v>62</v>
      </c>
      <c r="D60" s="237" t="s">
        <v>1059</v>
      </c>
      <c r="E60" s="157" t="s">
        <v>20</v>
      </c>
      <c r="F60" s="398" t="s">
        <v>4856</v>
      </c>
      <c r="G60" s="237" t="s">
        <v>26</v>
      </c>
      <c r="H60" s="156">
        <v>1800000</v>
      </c>
      <c r="I60" s="453"/>
      <c r="J60" s="164" t="s">
        <v>378</v>
      </c>
      <c r="K60" s="454">
        <v>46244</v>
      </c>
      <c r="L60" s="464" t="s">
        <v>4878</v>
      </c>
      <c r="M60" s="455"/>
      <c r="N60" s="455"/>
      <c r="O60" s="456"/>
      <c r="P60" s="157"/>
      <c r="Q60" s="237" t="s">
        <v>72</v>
      </c>
      <c r="R60" s="155" cm="1">
        <f t="array" ref="R60">Guarantee_Tariff(Guarantees[[#This Row],[Bank]],Guarantees[[#This Row],[Type]],Guarantees[[#This Row],[Amount]],Guarantees[[#This Row],[Issue Date]],Guarantees[[#This Row],[Expiry Date]])</f>
        <v>5175</v>
      </c>
    </row>
    <row r="61" spans="1:18" ht="15.75" hidden="1" x14ac:dyDescent="0.25">
      <c r="A61" s="161" t="s">
        <v>4740</v>
      </c>
      <c r="B61" s="158">
        <v>46128</v>
      </c>
      <c r="C61" s="237" t="s">
        <v>62</v>
      </c>
      <c r="D61" s="237" t="s">
        <v>1059</v>
      </c>
      <c r="E61" s="157" t="s">
        <v>20</v>
      </c>
      <c r="F61" s="398" t="s">
        <v>4397</v>
      </c>
      <c r="G61" s="237" t="s">
        <v>26</v>
      </c>
      <c r="H61" s="156">
        <v>344659.27</v>
      </c>
      <c r="I61" s="453">
        <v>0.01</v>
      </c>
      <c r="J61" s="164" t="s">
        <v>378</v>
      </c>
      <c r="K61" s="454">
        <v>46218</v>
      </c>
      <c r="L61" s="464" t="s">
        <v>4879</v>
      </c>
      <c r="M61" s="455"/>
      <c r="N61" s="455"/>
      <c r="O61" s="456"/>
      <c r="P61" s="157"/>
      <c r="Q61" s="237" t="s">
        <v>869</v>
      </c>
      <c r="R61" s="155" cm="1">
        <f t="array" ref="R61">Guarantee_Tariff(Guarantees[[#This Row],[Bank]],Guarantees[[#This Row],[Type]],Guarantees[[#This Row],[Amount]],Guarantees[[#This Row],[Issue Date]],Guarantees[[#This Row],[Expiry Date]])</f>
        <v>743.1715509375</v>
      </c>
    </row>
    <row r="62" spans="1:18" ht="15.75" hidden="1" x14ac:dyDescent="0.25">
      <c r="A62" s="161" t="s">
        <v>4743</v>
      </c>
      <c r="B62" s="158">
        <v>46128</v>
      </c>
      <c r="C62" s="237" t="s">
        <v>62</v>
      </c>
      <c r="D62" s="237" t="s">
        <v>1059</v>
      </c>
      <c r="E62" s="157" t="s">
        <v>20</v>
      </c>
      <c r="F62" s="398" t="s">
        <v>4857</v>
      </c>
      <c r="G62" s="237" t="s">
        <v>191</v>
      </c>
      <c r="H62" s="156">
        <v>6000000</v>
      </c>
      <c r="I62" s="453">
        <v>0.05</v>
      </c>
      <c r="J62" s="164" t="s">
        <v>378</v>
      </c>
      <c r="K62" s="454">
        <v>46295</v>
      </c>
      <c r="L62" s="464" t="s">
        <v>4880</v>
      </c>
      <c r="M62" s="455"/>
      <c r="N62" s="455"/>
      <c r="O62" s="456"/>
      <c r="P62" s="157"/>
      <c r="Q62" s="237" t="s">
        <v>72</v>
      </c>
      <c r="R62" s="155" cm="1">
        <f t="array" ref="R62">Guarantee_Tariff(Guarantees[[#This Row],[Bank]],Guarantees[[#This Row],[Type]],Guarantees[[#This Row],[Amount]],Guarantees[[#This Row],[Issue Date]],Guarantees[[#This Row],[Expiry Date]])</f>
        <v>25875</v>
      </c>
    </row>
    <row r="63" spans="1:18" ht="15.75" hidden="1" x14ac:dyDescent="0.25">
      <c r="A63" s="161" t="s">
        <v>1080</v>
      </c>
      <c r="B63" s="158">
        <v>44651</v>
      </c>
      <c r="C63" s="237" t="s">
        <v>62</v>
      </c>
      <c r="D63" s="237" t="s">
        <v>1054</v>
      </c>
      <c r="E63" s="157" t="s">
        <v>20</v>
      </c>
      <c r="F63" s="398" t="s">
        <v>1081</v>
      </c>
      <c r="G63" s="237" t="s">
        <v>26</v>
      </c>
      <c r="H63" s="156">
        <f>8607331.02-2054320.17</f>
        <v>6553010.8499999996</v>
      </c>
      <c r="I63" s="453"/>
      <c r="J63" s="164" t="s">
        <v>378</v>
      </c>
      <c r="K63" s="454">
        <v>46295</v>
      </c>
      <c r="L63" s="464" t="s">
        <v>4881</v>
      </c>
      <c r="M63" s="455"/>
      <c r="N63" s="455"/>
      <c r="O63" s="456"/>
      <c r="P63" s="157" t="s">
        <v>77</v>
      </c>
      <c r="Q63" s="237">
        <v>1020051</v>
      </c>
      <c r="R63" s="155" cm="1">
        <f t="array" ref="R63">Guarantee_Tariff(Guarantees[[#This Row],[Bank]],Guarantees[[#This Row],[Type]],Guarantees[[#This Row],[Amount]],Guarantees[[#This Row],[Issue Date]],Guarantees[[#This Row],[Expiry Date]])</f>
        <v>604446.99038281257</v>
      </c>
    </row>
    <row r="64" spans="1:18" ht="15.75" hidden="1" x14ac:dyDescent="0.25">
      <c r="A64" s="161" t="s">
        <v>1082</v>
      </c>
      <c r="B64" s="158">
        <v>45357</v>
      </c>
      <c r="C64" s="237" t="s">
        <v>62</v>
      </c>
      <c r="D64" s="237" t="s">
        <v>1054</v>
      </c>
      <c r="E64" s="157" t="s">
        <v>20</v>
      </c>
      <c r="F64" s="398" t="s">
        <v>1081</v>
      </c>
      <c r="G64" s="237" t="s">
        <v>26</v>
      </c>
      <c r="H64" s="156">
        <f>23921555.38-16443039.32</f>
        <v>7478516.0599999987</v>
      </c>
      <c r="I64" s="453"/>
      <c r="J64" s="164" t="s">
        <v>378</v>
      </c>
      <c r="K64" s="454">
        <v>46295</v>
      </c>
      <c r="L64" s="464" t="s">
        <v>4882</v>
      </c>
      <c r="M64" s="455"/>
      <c r="N64" s="455"/>
      <c r="O64" s="456"/>
      <c r="P64" s="157" t="s">
        <v>77</v>
      </c>
      <c r="Q64" s="237">
        <v>1020100</v>
      </c>
      <c r="R64" s="155" cm="1">
        <f t="array" ref="R64">Guarantee_Tariff(Guarantees[[#This Row],[Bank]],Guarantees[[#This Row],[Type]],Guarantees[[#This Row],[Amount]],Guarantees[[#This Row],[Issue Date]],Guarantees[[#This Row],[Expiry Date]])</f>
        <v>388804.93391104159</v>
      </c>
    </row>
    <row r="65" spans="1:18" ht="15.75" hidden="1" x14ac:dyDescent="0.25">
      <c r="A65" s="161" t="s">
        <v>4741</v>
      </c>
      <c r="B65" s="158">
        <v>45617</v>
      </c>
      <c r="C65" s="237" t="s">
        <v>62</v>
      </c>
      <c r="D65" s="237" t="s">
        <v>1054</v>
      </c>
      <c r="E65" s="157" t="s">
        <v>20</v>
      </c>
      <c r="F65" s="398" t="s">
        <v>4397</v>
      </c>
      <c r="G65" s="237" t="s">
        <v>26</v>
      </c>
      <c r="H65" s="156">
        <v>4643382</v>
      </c>
      <c r="I65" s="453"/>
      <c r="J65" s="164" t="s">
        <v>378</v>
      </c>
      <c r="K65" s="454">
        <v>46527</v>
      </c>
      <c r="L65" s="464" t="s">
        <v>4742</v>
      </c>
      <c r="M65" s="455"/>
      <c r="N65" s="455"/>
      <c r="O65" s="456"/>
      <c r="P65" s="157"/>
      <c r="Q65" s="237">
        <v>1020113</v>
      </c>
      <c r="R65" s="155" cm="1">
        <f t="array" ref="R65">Guarantee_Tariff(Guarantees[[#This Row],[Bank]],Guarantees[[#This Row],[Type]],Guarantees[[#This Row],[Amount]],Guarantees[[#This Row],[Issue Date]],Guarantees[[#This Row],[Expiry Date]])</f>
        <v>233620.15687500002</v>
      </c>
    </row>
    <row r="66" spans="1:18" ht="15.75" hidden="1" x14ac:dyDescent="0.25">
      <c r="A66" s="161" t="s">
        <v>2920</v>
      </c>
      <c r="B66" s="158">
        <v>45490</v>
      </c>
      <c r="C66" s="237" t="s">
        <v>62</v>
      </c>
      <c r="D66" s="237" t="s">
        <v>1054</v>
      </c>
      <c r="E66" s="157" t="s">
        <v>20</v>
      </c>
      <c r="F66" s="398" t="s">
        <v>4858</v>
      </c>
      <c r="G66" s="237" t="s">
        <v>26</v>
      </c>
      <c r="H66" s="156">
        <f>18798025-5863562.04</f>
        <v>12934462.960000001</v>
      </c>
      <c r="I66" s="453"/>
      <c r="J66" s="164" t="s">
        <v>378</v>
      </c>
      <c r="K66" s="454">
        <v>46356</v>
      </c>
      <c r="L66" s="464" t="s">
        <v>4883</v>
      </c>
      <c r="M66" s="239"/>
      <c r="N66" s="531"/>
      <c r="O66" s="456"/>
      <c r="P66" s="157"/>
      <c r="Q66" s="237">
        <v>1020107</v>
      </c>
      <c r="R66" s="155" cm="1">
        <f t="array" ref="R66">Guarantee_Tariff(Guarantees[[#This Row],[Bank]],Guarantees[[#This Row],[Type]],Guarantees[[#This Row],[Amount]],Guarantees[[#This Row],[Issue Date]],Guarantees[[#This Row],[Expiry Date]])</f>
        <v>618878.7933654167</v>
      </c>
    </row>
    <row r="67" spans="1:18" ht="15.75" hidden="1" x14ac:dyDescent="0.25">
      <c r="A67" s="161" t="s">
        <v>2432</v>
      </c>
      <c r="B67" s="158">
        <v>44803</v>
      </c>
      <c r="C67" s="237" t="s">
        <v>62</v>
      </c>
      <c r="D67" s="237" t="s">
        <v>1054</v>
      </c>
      <c r="E67" s="157" t="s">
        <v>20</v>
      </c>
      <c r="F67" s="398" t="s">
        <v>4859</v>
      </c>
      <c r="G67" s="237" t="s">
        <v>26</v>
      </c>
      <c r="H67" s="156">
        <v>4620199</v>
      </c>
      <c r="I67" s="453"/>
      <c r="J67" s="164" t="s">
        <v>378</v>
      </c>
      <c r="K67" s="454">
        <v>46460</v>
      </c>
      <c r="L67" s="464" t="s">
        <v>2433</v>
      </c>
      <c r="M67" s="455"/>
      <c r="N67" s="455"/>
      <c r="O67" s="456"/>
      <c r="P67" s="157"/>
      <c r="Q67" s="237">
        <v>1020053</v>
      </c>
      <c r="R67" s="155" cm="1">
        <f t="array" ref="R67">Guarantee_Tariff(Guarantees[[#This Row],[Bank]],Guarantees[[#This Row],[Type]],Guarantees[[#This Row],[Amount]],Guarantees[[#This Row],[Issue Date]],Guarantees[[#This Row],[Expiry Date]])</f>
        <v>426165.23067708337</v>
      </c>
    </row>
    <row r="68" spans="1:18" ht="15.75" hidden="1" x14ac:dyDescent="0.25">
      <c r="A68" s="161" t="s">
        <v>4396</v>
      </c>
      <c r="B68" s="158">
        <v>45643</v>
      </c>
      <c r="C68" s="237" t="s">
        <v>62</v>
      </c>
      <c r="D68" s="237" t="s">
        <v>1054</v>
      </c>
      <c r="E68" s="157" t="s">
        <v>20</v>
      </c>
      <c r="F68" s="398" t="s">
        <v>4397</v>
      </c>
      <c r="G68" s="237" t="s">
        <v>26</v>
      </c>
      <c r="H68" s="156">
        <v>972221</v>
      </c>
      <c r="I68" s="453"/>
      <c r="J68" s="164" t="s">
        <v>378</v>
      </c>
      <c r="K68" s="454">
        <v>46497</v>
      </c>
      <c r="L68" s="464" t="s">
        <v>4398</v>
      </c>
      <c r="M68" s="455"/>
      <c r="N68" s="455"/>
      <c r="O68" s="456"/>
      <c r="P68" s="157"/>
      <c r="Q68" s="237">
        <v>1020113</v>
      </c>
      <c r="R68" s="155" cm="1">
        <f t="array" ref="R68">Guarantee_Tariff(Guarantees[[#This Row],[Bank]],Guarantees[[#This Row],[Type]],Guarantees[[#This Row],[Amount]],Guarantees[[#This Row],[Issue Date]],Guarantees[[#This Row],[Expiry Date]])</f>
        <v>45653.877791666673</v>
      </c>
    </row>
    <row r="69" spans="1:18" ht="15.75" hidden="1" x14ac:dyDescent="0.25">
      <c r="A69" s="161" t="s">
        <v>1763</v>
      </c>
      <c r="B69" s="158">
        <v>45887</v>
      </c>
      <c r="C69" s="237" t="s">
        <v>62</v>
      </c>
      <c r="D69" s="237" t="s">
        <v>1054</v>
      </c>
      <c r="E69" s="157" t="s">
        <v>20</v>
      </c>
      <c r="F69" s="398" t="s">
        <v>4954</v>
      </c>
      <c r="G69" s="237" t="s">
        <v>26</v>
      </c>
      <c r="H69" s="156">
        <v>16885934.850000001</v>
      </c>
      <c r="I69" s="453">
        <v>0.2</v>
      </c>
      <c r="J69" s="164" t="s">
        <v>378</v>
      </c>
      <c r="K69" s="454">
        <v>46387</v>
      </c>
      <c r="L69" s="464" t="s">
        <v>4884</v>
      </c>
      <c r="M69" s="455"/>
      <c r="N69" s="455"/>
      <c r="O69" s="164" t="s">
        <v>80</v>
      </c>
      <c r="P69" s="157"/>
      <c r="Q69" s="237" t="s">
        <v>80</v>
      </c>
      <c r="R69" s="155" cm="1">
        <f t="array" ref="R69">Guarantee_Tariff(Guarantees[[#This Row],[Bank]],Guarantees[[#This Row],[Type]],Guarantees[[#This Row],[Amount]],Guarantees[[#This Row],[Issue Date]],Guarantees[[#This Row],[Expiry Date]])</f>
        <v>467402.11897161457</v>
      </c>
    </row>
    <row r="70" spans="1:18" ht="15.75" hidden="1" x14ac:dyDescent="0.25">
      <c r="A70" s="161" t="s">
        <v>1825</v>
      </c>
      <c r="B70" s="158">
        <v>45896</v>
      </c>
      <c r="C70" s="157" t="s">
        <v>62</v>
      </c>
      <c r="D70" s="237" t="s">
        <v>1054</v>
      </c>
      <c r="E70" s="157" t="s">
        <v>20</v>
      </c>
      <c r="F70" s="398" t="s">
        <v>4954</v>
      </c>
      <c r="G70" s="237" t="s">
        <v>26</v>
      </c>
      <c r="H70" s="156">
        <v>10882800.98</v>
      </c>
      <c r="I70" s="453">
        <v>0.2</v>
      </c>
      <c r="J70" s="164" t="s">
        <v>857</v>
      </c>
      <c r="K70" s="454">
        <v>46112</v>
      </c>
      <c r="L70" s="464" t="s">
        <v>4885</v>
      </c>
      <c r="M70" s="455"/>
      <c r="N70" s="455"/>
      <c r="O70" s="164" t="s">
        <v>80</v>
      </c>
      <c r="P70" s="157"/>
      <c r="Q70" s="237" t="s">
        <v>80</v>
      </c>
      <c r="R70" s="155" cm="1">
        <f t="array" ref="R70">Guarantee_Tariff(Guarantees[[#This Row],[Bank]],Guarantees[[#This Row],[Type]],Guarantees[[#This Row],[Amount]],Guarantees[[#This Row],[Issue Date]],Guarantees[[#This Row],[Expiry Date]])</f>
        <v>127019.28359968749</v>
      </c>
    </row>
    <row r="71" spans="1:18" ht="31.5" hidden="1" x14ac:dyDescent="0.25">
      <c r="A71" s="161" t="s">
        <v>1894</v>
      </c>
      <c r="B71" s="158">
        <v>45923</v>
      </c>
      <c r="C71" s="237" t="s">
        <v>62</v>
      </c>
      <c r="D71" s="237" t="s">
        <v>1054</v>
      </c>
      <c r="E71" s="157" t="s">
        <v>20</v>
      </c>
      <c r="F71" s="398" t="s">
        <v>4860</v>
      </c>
      <c r="G71" s="237" t="s">
        <v>26</v>
      </c>
      <c r="H71" s="156">
        <v>599610</v>
      </c>
      <c r="I71" s="453">
        <v>0.3</v>
      </c>
      <c r="J71" s="164" t="s">
        <v>378</v>
      </c>
      <c r="K71" s="454">
        <v>46387</v>
      </c>
      <c r="L71" s="464" t="s">
        <v>4886</v>
      </c>
      <c r="M71" s="455"/>
      <c r="N71" s="455"/>
      <c r="O71" s="456" t="s">
        <v>869</v>
      </c>
      <c r="P71" s="157"/>
      <c r="Q71" s="237" t="s">
        <v>869</v>
      </c>
      <c r="R71" s="155" cm="1">
        <f t="array" ref="R71">Guarantee_Tariff(Guarantees[[#This Row],[Bank]],Guarantees[[#This Row],[Type]],Guarantees[[#This Row],[Amount]],Guarantees[[#This Row],[Issue Date]],Guarantees[[#This Row],[Expiry Date]])</f>
        <v>15083.9390625</v>
      </c>
    </row>
    <row r="72" spans="1:18" ht="47.25" hidden="1" x14ac:dyDescent="0.25">
      <c r="A72" s="161" t="s">
        <v>4229</v>
      </c>
      <c r="B72" s="158">
        <v>46084</v>
      </c>
      <c r="C72" s="237" t="s">
        <v>62</v>
      </c>
      <c r="D72" s="237" t="s">
        <v>1054</v>
      </c>
      <c r="E72" s="157" t="s">
        <v>20</v>
      </c>
      <c r="F72" s="398" t="s">
        <v>4861</v>
      </c>
      <c r="G72" s="237" t="s">
        <v>26</v>
      </c>
      <c r="H72" s="156">
        <v>10112000</v>
      </c>
      <c r="I72" s="453">
        <v>0.1</v>
      </c>
      <c r="J72" s="164" t="s">
        <v>378</v>
      </c>
      <c r="K72" s="454">
        <v>46642</v>
      </c>
      <c r="L72" s="464" t="s">
        <v>4887</v>
      </c>
      <c r="M72" s="455"/>
      <c r="N72" s="455"/>
      <c r="O72" s="238" t="s">
        <v>72</v>
      </c>
      <c r="P72" s="237" t="s">
        <v>3810</v>
      </c>
      <c r="Q72" s="237">
        <v>1020138</v>
      </c>
      <c r="R72" s="155" cm="1">
        <f t="array" ref="R72">Guarantee_Tariff(Guarantees[[#This Row],[Bank]],Guarantees[[#This Row],[Type]],Guarantees[[#This Row],[Amount]],Guarantees[[#This Row],[Issue Date]],Guarantees[[#This Row],[Expiry Date]])</f>
        <v>321959.75</v>
      </c>
    </row>
    <row r="73" spans="1:18" ht="15.75" hidden="1" x14ac:dyDescent="0.25">
      <c r="A73" s="161" t="s">
        <v>3769</v>
      </c>
      <c r="B73" s="158">
        <v>44636</v>
      </c>
      <c r="C73" s="237" t="s">
        <v>62</v>
      </c>
      <c r="D73" s="237" t="s">
        <v>1044</v>
      </c>
      <c r="E73" s="157" t="s">
        <v>20</v>
      </c>
      <c r="F73" s="398" t="s">
        <v>3786</v>
      </c>
      <c r="G73" s="237" t="s">
        <v>26</v>
      </c>
      <c r="H73" s="156">
        <v>9200000</v>
      </c>
      <c r="I73" s="453"/>
      <c r="J73" s="164" t="s">
        <v>378</v>
      </c>
      <c r="K73" s="454">
        <v>46460</v>
      </c>
      <c r="L73" s="464" t="s">
        <v>2433</v>
      </c>
      <c r="M73" s="455"/>
      <c r="N73" s="455"/>
      <c r="O73" s="456"/>
      <c r="P73" s="157"/>
      <c r="Q73" s="237">
        <v>1020053</v>
      </c>
      <c r="R73" s="155" cm="1">
        <f t="array" ref="R73">Guarantee_Tariff(Guarantees[[#This Row],[Bank]],Guarantees[[#This Row],[Type]],Guarantees[[#This Row],[Amount]],Guarantees[[#This Row],[Issue Date]],Guarantees[[#This Row],[Expiry Date]])</f>
        <v>403362.5</v>
      </c>
    </row>
    <row r="74" spans="1:18" ht="15.75" hidden="1" x14ac:dyDescent="0.25">
      <c r="A74" s="161" t="s">
        <v>1083</v>
      </c>
      <c r="B74" s="158">
        <v>44746</v>
      </c>
      <c r="C74" s="237" t="s">
        <v>62</v>
      </c>
      <c r="D74" s="237" t="s">
        <v>1044</v>
      </c>
      <c r="E74" s="157" t="s">
        <v>20</v>
      </c>
      <c r="F74" s="398" t="s">
        <v>1528</v>
      </c>
      <c r="G74" s="237" t="s">
        <v>26</v>
      </c>
      <c r="H74" s="156">
        <v>117011111</v>
      </c>
      <c r="I74" s="453"/>
      <c r="J74" s="164" t="s">
        <v>378</v>
      </c>
      <c r="K74" s="454">
        <v>46386</v>
      </c>
      <c r="L74" s="464" t="s">
        <v>4888</v>
      </c>
      <c r="M74" s="455"/>
      <c r="N74" s="455"/>
      <c r="O74" s="456"/>
      <c r="P74" s="157" t="s">
        <v>77</v>
      </c>
      <c r="Q74" s="237">
        <v>1020051</v>
      </c>
      <c r="R74" s="155" cm="1">
        <f t="array" ref="R74">Guarantee_Tariff(Guarantees[[#This Row],[Bank]],Guarantees[[#This Row],[Type]],Guarantees[[#This Row],[Amount]],Guarantees[[#This Row],[Issue Date]],Guarantees[[#This Row],[Expiry Date]])</f>
        <v>3920548.3180989581</v>
      </c>
    </row>
    <row r="75" spans="1:18" ht="15.75" hidden="1" x14ac:dyDescent="0.25">
      <c r="A75" s="161" t="s">
        <v>1852</v>
      </c>
      <c r="B75" s="158">
        <v>44838</v>
      </c>
      <c r="C75" s="237" t="s">
        <v>62</v>
      </c>
      <c r="D75" s="237" t="s">
        <v>1044</v>
      </c>
      <c r="E75" s="157" t="s">
        <v>20</v>
      </c>
      <c r="F75" s="398" t="s">
        <v>1853</v>
      </c>
      <c r="G75" s="237" t="s">
        <v>26</v>
      </c>
      <c r="H75" s="156">
        <v>4800000</v>
      </c>
      <c r="I75" s="453"/>
      <c r="J75" s="164" t="s">
        <v>378</v>
      </c>
      <c r="K75" s="454">
        <v>46327</v>
      </c>
      <c r="L75" s="464" t="s">
        <v>1854</v>
      </c>
      <c r="M75" s="455"/>
      <c r="N75" s="455"/>
      <c r="O75" s="456"/>
      <c r="P75" s="157"/>
      <c r="Q75" s="237">
        <v>1020065</v>
      </c>
      <c r="R75" s="155" cm="1">
        <f t="array" ref="R75">Guarantee_Tariff(Guarantees[[#This Row],[Bank]],Guarantees[[#This Row],[Type]],Guarantees[[#This Row],[Amount]],Guarantees[[#This Row],[Issue Date]],Guarantees[[#This Row],[Expiry Date]])</f>
        <v>172500</v>
      </c>
    </row>
    <row r="76" spans="1:18" ht="15.75" hidden="1" x14ac:dyDescent="0.25">
      <c r="A76" s="161" t="s">
        <v>2922</v>
      </c>
      <c r="B76" s="158">
        <v>44868</v>
      </c>
      <c r="C76" s="237" t="s">
        <v>62</v>
      </c>
      <c r="D76" s="237" t="s">
        <v>1044</v>
      </c>
      <c r="E76" s="157" t="s">
        <v>20</v>
      </c>
      <c r="F76" s="398" t="s">
        <v>4862</v>
      </c>
      <c r="G76" s="237" t="s">
        <v>26</v>
      </c>
      <c r="H76" s="156">
        <v>1200117</v>
      </c>
      <c r="I76" s="453"/>
      <c r="J76" s="164" t="s">
        <v>378</v>
      </c>
      <c r="K76" s="454">
        <v>46387</v>
      </c>
      <c r="L76" s="464" t="s">
        <v>4889</v>
      </c>
      <c r="M76" s="455"/>
      <c r="N76" s="455"/>
      <c r="O76" s="456"/>
      <c r="P76" s="157"/>
      <c r="Q76" s="237" t="s">
        <v>869</v>
      </c>
      <c r="R76" s="155" cm="1">
        <f t="array" ref="R76">Guarantee_Tariff(Guarantees[[#This Row],[Bank]],Guarantees[[#This Row],[Type]],Guarantees[[#This Row],[Amount]],Guarantees[[#This Row],[Issue Date]],Guarantees[[#This Row],[Expiry Date]])</f>
        <v>43991.788781250005</v>
      </c>
    </row>
    <row r="77" spans="1:18" ht="15.75" hidden="1" x14ac:dyDescent="0.25">
      <c r="A77" s="161" t="s">
        <v>3813</v>
      </c>
      <c r="B77" s="158">
        <v>44955</v>
      </c>
      <c r="C77" s="237" t="s">
        <v>62</v>
      </c>
      <c r="D77" s="237" t="s">
        <v>1044</v>
      </c>
      <c r="E77" s="157" t="s">
        <v>20</v>
      </c>
      <c r="F77" s="398" t="s">
        <v>3814</v>
      </c>
      <c r="G77" s="237" t="s">
        <v>26</v>
      </c>
      <c r="H77" s="156">
        <v>948019</v>
      </c>
      <c r="I77" s="453"/>
      <c r="J77" s="164" t="s">
        <v>378</v>
      </c>
      <c r="K77" s="454">
        <v>46412</v>
      </c>
      <c r="L77" s="464" t="s">
        <v>3815</v>
      </c>
      <c r="M77" s="455"/>
      <c r="N77" s="455"/>
      <c r="O77" s="456"/>
      <c r="P77" s="157"/>
      <c r="Q77" s="237">
        <v>1020066</v>
      </c>
      <c r="R77" s="155" cm="1">
        <f t="array" ref="R77">Guarantee_Tariff(Guarantees[[#This Row],[Bank]],Guarantees[[#This Row],[Type]],Guarantees[[#This Row],[Amount]],Guarantees[[#This Row],[Issue Date]],Guarantees[[#This Row],[Expiry Date]])</f>
        <v>33388.044156249998</v>
      </c>
    </row>
    <row r="78" spans="1:18" ht="15.75" hidden="1" x14ac:dyDescent="0.25">
      <c r="A78" s="161" t="s">
        <v>1915</v>
      </c>
      <c r="B78" s="158">
        <v>45148</v>
      </c>
      <c r="C78" s="237" t="s">
        <v>62</v>
      </c>
      <c r="D78" s="237" t="s">
        <v>1044</v>
      </c>
      <c r="E78" s="157" t="s">
        <v>20</v>
      </c>
      <c r="F78" s="398" t="s">
        <v>4397</v>
      </c>
      <c r="G78" s="237" t="s">
        <v>26</v>
      </c>
      <c r="H78" s="156">
        <v>1789232.55</v>
      </c>
      <c r="I78" s="453"/>
      <c r="J78" s="164" t="s">
        <v>378</v>
      </c>
      <c r="K78" s="454">
        <v>46356</v>
      </c>
      <c r="L78" s="464" t="s">
        <v>4890</v>
      </c>
      <c r="M78" s="455"/>
      <c r="N78" s="455"/>
      <c r="O78" s="456"/>
      <c r="P78" s="157"/>
      <c r="Q78" s="237">
        <v>1020064</v>
      </c>
      <c r="R78" s="155" cm="1">
        <f t="array" ref="R78">Guarantee_Tariff(Guarantees[[#This Row],[Bank]],Guarantees[[#This Row],[Type]],Guarantees[[#This Row],[Amount]],Guarantees[[#This Row],[Issue Date]],Guarantees[[#This Row],[Expiry Date]])</f>
        <v>51440.4358125</v>
      </c>
    </row>
    <row r="79" spans="1:18" ht="15.75" hidden="1" x14ac:dyDescent="0.25">
      <c r="A79" s="161" t="s">
        <v>4838</v>
      </c>
      <c r="B79" s="158">
        <v>45372</v>
      </c>
      <c r="C79" s="237" t="s">
        <v>62</v>
      </c>
      <c r="D79" s="237" t="s">
        <v>1044</v>
      </c>
      <c r="E79" s="157" t="s">
        <v>20</v>
      </c>
      <c r="F79" s="398" t="s">
        <v>4863</v>
      </c>
      <c r="G79" s="237" t="s">
        <v>26</v>
      </c>
      <c r="H79" s="156">
        <v>661387.19999999995</v>
      </c>
      <c r="I79" s="453"/>
      <c r="J79" s="164" t="s">
        <v>378</v>
      </c>
      <c r="K79" s="454">
        <v>46376</v>
      </c>
      <c r="L79" s="464" t="s">
        <v>4891</v>
      </c>
      <c r="M79" s="455"/>
      <c r="N79" s="455"/>
      <c r="O79" s="456"/>
      <c r="P79" s="157"/>
      <c r="Q79" s="237">
        <v>1020102</v>
      </c>
      <c r="R79" s="155" cm="1">
        <f t="array" ref="R79">Guarantee_Tariff(Guarantees[[#This Row],[Bank]],Guarantees[[#This Row],[Type]],Guarantees[[#This Row],[Amount]],Guarantees[[#This Row],[Issue Date]],Guarantees[[#This Row],[Expiry Date]])</f>
        <v>15687.277649999996</v>
      </c>
    </row>
    <row r="80" spans="1:18" ht="15.75" hidden="1" x14ac:dyDescent="0.25">
      <c r="A80" s="161" t="s">
        <v>2288</v>
      </c>
      <c r="B80" s="158">
        <v>45407</v>
      </c>
      <c r="C80" s="237" t="s">
        <v>62</v>
      </c>
      <c r="D80" s="237" t="s">
        <v>1044</v>
      </c>
      <c r="E80" s="157" t="s">
        <v>20</v>
      </c>
      <c r="F80" s="398" t="s">
        <v>1908</v>
      </c>
      <c r="G80" s="237" t="s">
        <v>26</v>
      </c>
      <c r="H80" s="156">
        <v>893526.37</v>
      </c>
      <c r="I80" s="453"/>
      <c r="J80" s="164" t="s">
        <v>378</v>
      </c>
      <c r="K80" s="454">
        <v>46326</v>
      </c>
      <c r="L80" s="157" t="s">
        <v>2289</v>
      </c>
      <c r="M80" s="455"/>
      <c r="N80" s="455"/>
      <c r="O80" s="456"/>
      <c r="P80" s="157"/>
      <c r="Q80" s="237">
        <v>1020104</v>
      </c>
      <c r="R80" s="155" cm="1">
        <f t="array" ref="R80">Guarantee_Tariff(Guarantees[[#This Row],[Bank]],Guarantees[[#This Row],[Type]],Guarantees[[#This Row],[Amount]],Guarantees[[#This Row],[Issue Date]],Guarantees[[#This Row],[Expiry Date]])</f>
        <v>19908.884431562499</v>
      </c>
    </row>
    <row r="81" spans="1:18" ht="15.75" hidden="1" x14ac:dyDescent="0.25">
      <c r="A81" s="161" t="s">
        <v>1907</v>
      </c>
      <c r="B81" s="158">
        <v>45407</v>
      </c>
      <c r="C81" s="237" t="s">
        <v>62</v>
      </c>
      <c r="D81" s="237" t="s">
        <v>1044</v>
      </c>
      <c r="E81" s="157" t="s">
        <v>20</v>
      </c>
      <c r="F81" s="398" t="s">
        <v>1908</v>
      </c>
      <c r="G81" s="237" t="s">
        <v>26</v>
      </c>
      <c r="H81" s="156">
        <v>749171</v>
      </c>
      <c r="I81" s="453"/>
      <c r="J81" s="164" t="s">
        <v>378</v>
      </c>
      <c r="K81" s="454">
        <v>46326</v>
      </c>
      <c r="L81" s="464" t="s">
        <v>1909</v>
      </c>
      <c r="M81" s="455"/>
      <c r="N81" s="455"/>
      <c r="O81" s="456"/>
      <c r="P81" s="157"/>
      <c r="Q81" s="237">
        <v>1020103</v>
      </c>
      <c r="R81" s="155" cm="1">
        <f t="array" ref="R81">Guarantee_Tariff(Guarantees[[#This Row],[Bank]],Guarantees[[#This Row],[Type]],Guarantees[[#This Row],[Amount]],Guarantees[[#This Row],[Issue Date]],Guarantees[[#This Row],[Expiry Date]])</f>
        <v>16692.466343750002</v>
      </c>
    </row>
    <row r="82" spans="1:18" ht="15.75" hidden="1" x14ac:dyDescent="0.25">
      <c r="A82" s="161" t="s">
        <v>4839</v>
      </c>
      <c r="B82" s="158">
        <v>45475</v>
      </c>
      <c r="C82" s="237" t="s">
        <v>62</v>
      </c>
      <c r="D82" s="237" t="s">
        <v>1044</v>
      </c>
      <c r="E82" s="157" t="s">
        <v>20</v>
      </c>
      <c r="F82" s="398" t="s">
        <v>4858</v>
      </c>
      <c r="G82" s="237" t="s">
        <v>26</v>
      </c>
      <c r="H82" s="156">
        <v>18798025</v>
      </c>
      <c r="I82" s="453"/>
      <c r="J82" s="164" t="s">
        <v>378</v>
      </c>
      <c r="K82" s="454">
        <v>47118</v>
      </c>
      <c r="L82" s="464" t="s">
        <v>4883</v>
      </c>
      <c r="M82" s="455"/>
      <c r="N82" s="455"/>
      <c r="O82" s="456"/>
      <c r="P82" s="157"/>
      <c r="Q82" s="237">
        <v>1020107</v>
      </c>
      <c r="R82" s="155" cm="1">
        <f t="array" ref="R82">Guarantee_Tariff(Guarantees[[#This Row],[Bank]],Guarantees[[#This Row],[Type]],Guarantees[[#This Row],[Amount]],Guarantees[[#This Row],[Issue Date]],Guarantees[[#This Row],[Expiry Date]])</f>
        <v>685143.271484375</v>
      </c>
    </row>
    <row r="83" spans="1:18" ht="15.75" hidden="1" x14ac:dyDescent="0.25">
      <c r="A83" s="161" t="s">
        <v>4840</v>
      </c>
      <c r="B83" s="158">
        <v>45480</v>
      </c>
      <c r="C83" s="237" t="s">
        <v>62</v>
      </c>
      <c r="D83" s="237" t="s">
        <v>1044</v>
      </c>
      <c r="E83" s="157" t="s">
        <v>20</v>
      </c>
      <c r="F83" s="398" t="s">
        <v>3814</v>
      </c>
      <c r="G83" s="237" t="s">
        <v>26</v>
      </c>
      <c r="H83" s="156">
        <v>366749.6</v>
      </c>
      <c r="I83" s="453"/>
      <c r="J83" s="164" t="s">
        <v>378</v>
      </c>
      <c r="K83" s="454">
        <v>46234</v>
      </c>
      <c r="L83" s="464" t="s">
        <v>4892</v>
      </c>
      <c r="M83" s="455"/>
      <c r="N83" s="455"/>
      <c r="O83" s="456"/>
      <c r="P83" s="157"/>
      <c r="Q83" s="237">
        <v>1020094</v>
      </c>
      <c r="R83" s="155" cm="1">
        <f t="array" ref="R83">Guarantee_Tariff(Guarantees[[#This Row],[Bank]],Guarantees[[#This Row],[Type]],Guarantees[[#This Row],[Amount]],Guarantees[[#This Row],[Issue Date]],Guarantees[[#This Row],[Expiry Date]])</f>
        <v>6590.0318749999997</v>
      </c>
    </row>
    <row r="84" spans="1:18" ht="15.75" hidden="1" x14ac:dyDescent="0.25">
      <c r="A84" s="161" t="s">
        <v>4841</v>
      </c>
      <c r="B84" s="158">
        <v>45480</v>
      </c>
      <c r="C84" s="237" t="s">
        <v>62</v>
      </c>
      <c r="D84" s="237" t="s">
        <v>1044</v>
      </c>
      <c r="E84" s="157" t="s">
        <v>20</v>
      </c>
      <c r="F84" s="398" t="s">
        <v>3814</v>
      </c>
      <c r="G84" s="237" t="s">
        <v>26</v>
      </c>
      <c r="H84" s="156">
        <v>351519.05</v>
      </c>
      <c r="I84" s="453"/>
      <c r="J84" s="164" t="s">
        <v>378</v>
      </c>
      <c r="K84" s="454">
        <v>46234</v>
      </c>
      <c r="L84" s="464" t="s">
        <v>4892</v>
      </c>
      <c r="M84" s="455"/>
      <c r="N84" s="455"/>
      <c r="O84" s="456"/>
      <c r="P84" s="157"/>
      <c r="Q84" s="237">
        <v>1020094</v>
      </c>
      <c r="R84" s="155" cm="1">
        <f t="array" ref="R84">Guarantee_Tariff(Guarantees[[#This Row],[Bank]],Guarantees[[#This Row],[Type]],Guarantees[[#This Row],[Amount]],Guarantees[[#This Row],[Issue Date]],Guarantees[[#This Row],[Expiry Date]])</f>
        <v>6316.3579296874996</v>
      </c>
    </row>
    <row r="85" spans="1:18" ht="15.75" hidden="1" x14ac:dyDescent="0.25">
      <c r="A85" s="161" t="s">
        <v>4842</v>
      </c>
      <c r="B85" s="158">
        <v>45516</v>
      </c>
      <c r="C85" s="237" t="s">
        <v>62</v>
      </c>
      <c r="D85" s="237" t="s">
        <v>1044</v>
      </c>
      <c r="E85" s="157" t="s">
        <v>20</v>
      </c>
      <c r="F85" s="398" t="s">
        <v>3814</v>
      </c>
      <c r="G85" s="237" t="s">
        <v>26</v>
      </c>
      <c r="H85" s="156">
        <v>1299799.32</v>
      </c>
      <c r="I85" s="453"/>
      <c r="J85" s="164" t="s">
        <v>378</v>
      </c>
      <c r="K85" s="454">
        <v>46244</v>
      </c>
      <c r="L85" s="464" t="s">
        <v>4893</v>
      </c>
      <c r="M85" s="455"/>
      <c r="N85" s="455"/>
      <c r="O85" s="456"/>
      <c r="P85" s="157"/>
      <c r="Q85" s="237">
        <v>1020074</v>
      </c>
      <c r="R85" s="155" cm="1">
        <f t="array" ref="R85">Guarantee_Tariff(Guarantees[[#This Row],[Bank]],Guarantees[[#This Row],[Type]],Guarantees[[#This Row],[Amount]],Guarantees[[#This Row],[Issue Date]],Guarantees[[#This Row],[Expiry Date]])</f>
        <v>22421.538270000005</v>
      </c>
    </row>
    <row r="86" spans="1:18" ht="15.75" hidden="1" x14ac:dyDescent="0.25">
      <c r="A86" s="161" t="s">
        <v>1045</v>
      </c>
      <c r="B86" s="158">
        <v>44793</v>
      </c>
      <c r="C86" s="237" t="s">
        <v>62</v>
      </c>
      <c r="D86" s="237" t="s">
        <v>1044</v>
      </c>
      <c r="E86" s="157" t="s">
        <v>20</v>
      </c>
      <c r="F86" s="398" t="s">
        <v>1046</v>
      </c>
      <c r="G86" s="237" t="s">
        <v>26</v>
      </c>
      <c r="H86" s="156">
        <v>973377.2</v>
      </c>
      <c r="I86" s="453"/>
      <c r="J86" s="164" t="s">
        <v>378</v>
      </c>
      <c r="K86" s="454">
        <v>46568</v>
      </c>
      <c r="L86" s="464" t="s">
        <v>4894</v>
      </c>
      <c r="M86" s="455"/>
      <c r="N86" s="455"/>
      <c r="O86" s="456"/>
      <c r="P86" s="157" t="s">
        <v>410</v>
      </c>
      <c r="Q86" s="237">
        <v>1020085</v>
      </c>
      <c r="R86" s="155" cm="1">
        <f t="array" ref="R86">Guarantee_Tariff(Guarantees[[#This Row],[Bank]],Guarantees[[#This Row],[Type]],Guarantees[[#This Row],[Amount]],Guarantees[[#This Row],[Issue Date]],Guarantees[[#This Row],[Expiry Date]])</f>
        <v>41277.276887499997</v>
      </c>
    </row>
    <row r="87" spans="1:18" ht="15.75" hidden="1" x14ac:dyDescent="0.25">
      <c r="A87" s="161" t="s">
        <v>4843</v>
      </c>
      <c r="B87" s="158">
        <v>45613</v>
      </c>
      <c r="C87" s="237" t="s">
        <v>62</v>
      </c>
      <c r="D87" s="237" t="s">
        <v>1044</v>
      </c>
      <c r="E87" s="157" t="s">
        <v>20</v>
      </c>
      <c r="F87" s="398" t="s">
        <v>4397</v>
      </c>
      <c r="G87" s="237" t="s">
        <v>26</v>
      </c>
      <c r="H87" s="156">
        <v>464338.15</v>
      </c>
      <c r="I87" s="453"/>
      <c r="J87" s="164" t="s">
        <v>378</v>
      </c>
      <c r="K87" s="454">
        <v>46537</v>
      </c>
      <c r="L87" s="464" t="s">
        <v>4742</v>
      </c>
      <c r="M87" s="455"/>
      <c r="N87" s="455"/>
      <c r="O87" s="456"/>
      <c r="P87" s="157"/>
      <c r="Q87" s="237">
        <v>1020113</v>
      </c>
      <c r="R87" s="155" cm="1">
        <f t="array" ref="R87">Guarantee_Tariff(Guarantees[[#This Row],[Bank]],Guarantees[[#This Row],[Type]],Guarantees[[#This Row],[Amount]],Guarantees[[#This Row],[Issue Date]],Guarantees[[#This Row],[Expiry Date]])</f>
        <v>10346.034404687502</v>
      </c>
    </row>
    <row r="88" spans="1:18" ht="15.75" hidden="1" x14ac:dyDescent="0.25">
      <c r="A88" s="161" t="s">
        <v>3617</v>
      </c>
      <c r="B88" s="158">
        <v>45665</v>
      </c>
      <c r="C88" s="237" t="s">
        <v>62</v>
      </c>
      <c r="D88" s="237" t="s">
        <v>1044</v>
      </c>
      <c r="E88" s="157" t="s">
        <v>20</v>
      </c>
      <c r="F88" s="398" t="s">
        <v>4864</v>
      </c>
      <c r="G88" s="237" t="s">
        <v>26</v>
      </c>
      <c r="H88" s="156">
        <v>6000000</v>
      </c>
      <c r="I88" s="453"/>
      <c r="J88" s="164" t="s">
        <v>378</v>
      </c>
      <c r="K88" s="454">
        <v>46215</v>
      </c>
      <c r="L88" s="464" t="s">
        <v>3620</v>
      </c>
      <c r="M88" s="239" t="s">
        <v>5183</v>
      </c>
      <c r="N88" s="239"/>
      <c r="O88" s="273" t="s">
        <v>869</v>
      </c>
      <c r="P88" s="237" t="s">
        <v>73</v>
      </c>
      <c r="Q88" s="237">
        <v>1020116</v>
      </c>
      <c r="R88" s="155" cm="1">
        <f t="array" ref="R88">Guarantee_Tariff(Guarantees[[#This Row],[Bank]],Guarantees[[#This Row],[Type]],Guarantees[[#This Row],[Amount]],Guarantees[[#This Row],[Issue Date]],Guarantees[[#This Row],[Expiry Date]])</f>
        <v>77625</v>
      </c>
    </row>
    <row r="89" spans="1:18" ht="15.75" hidden="1" x14ac:dyDescent="0.25">
      <c r="A89" s="161" t="s">
        <v>1802</v>
      </c>
      <c r="B89" s="158">
        <v>45687</v>
      </c>
      <c r="C89" s="237" t="s">
        <v>62</v>
      </c>
      <c r="D89" s="237" t="s">
        <v>1044</v>
      </c>
      <c r="E89" s="157" t="s">
        <v>20</v>
      </c>
      <c r="F89" s="398" t="s">
        <v>1803</v>
      </c>
      <c r="G89" s="237" t="s">
        <v>26</v>
      </c>
      <c r="H89" s="156">
        <v>5283535</v>
      </c>
      <c r="I89" s="453"/>
      <c r="J89" s="164" t="s">
        <v>378</v>
      </c>
      <c r="K89" s="454">
        <v>46176</v>
      </c>
      <c r="L89" s="464" t="s">
        <v>1804</v>
      </c>
      <c r="M89" s="455"/>
      <c r="N89" s="455"/>
      <c r="O89" s="456"/>
      <c r="P89" s="157"/>
      <c r="Q89" s="237">
        <v>1020056</v>
      </c>
      <c r="R89" s="155" cm="1">
        <f t="array" ref="R89">Guarantee_Tariff(Guarantees[[#This Row],[Bank]],Guarantees[[#This Row],[Type]],Guarantees[[#This Row],[Amount]],Guarantees[[#This Row],[Issue Date]],Guarantees[[#This Row],[Expiry Date]])</f>
        <v>60760.652499999997</v>
      </c>
    </row>
    <row r="90" spans="1:18" ht="15.75" hidden="1" x14ac:dyDescent="0.25">
      <c r="A90" s="161" t="s">
        <v>4844</v>
      </c>
      <c r="B90" s="158">
        <v>45740</v>
      </c>
      <c r="C90" s="237" t="s">
        <v>62</v>
      </c>
      <c r="D90" s="237" t="s">
        <v>1044</v>
      </c>
      <c r="E90" s="157" t="s">
        <v>20</v>
      </c>
      <c r="F90" s="398" t="s">
        <v>4865</v>
      </c>
      <c r="G90" s="237" t="s">
        <v>26</v>
      </c>
      <c r="H90" s="156">
        <v>991216.23</v>
      </c>
      <c r="I90" s="453"/>
      <c r="J90" s="164" t="s">
        <v>378</v>
      </c>
      <c r="K90" s="454">
        <v>46350</v>
      </c>
      <c r="L90" s="464" t="s">
        <v>4895</v>
      </c>
      <c r="M90" s="455"/>
      <c r="N90" s="455"/>
      <c r="O90" s="456"/>
      <c r="P90" s="157"/>
      <c r="Q90" s="237" t="s">
        <v>4907</v>
      </c>
      <c r="R90" s="155" cm="1">
        <f t="array" ref="R90">Guarantee_Tariff(Guarantees[[#This Row],[Bank]],Guarantees[[#This Row],[Type]],Guarantees[[#This Row],[Amount]],Guarantees[[#This Row],[Issue Date]],Guarantees[[#This Row],[Expiry Date]])</f>
        <v>14248.733306249998</v>
      </c>
    </row>
    <row r="91" spans="1:18" ht="15.75" hidden="1" x14ac:dyDescent="0.25">
      <c r="A91" s="161" t="s">
        <v>1534</v>
      </c>
      <c r="B91" s="158">
        <v>45841</v>
      </c>
      <c r="C91" s="237" t="s">
        <v>62</v>
      </c>
      <c r="D91" s="237" t="s">
        <v>1044</v>
      </c>
      <c r="E91" s="157" t="s">
        <v>20</v>
      </c>
      <c r="F91" s="398" t="s">
        <v>4954</v>
      </c>
      <c r="G91" s="237" t="s">
        <v>26</v>
      </c>
      <c r="H91" s="156">
        <v>2365826.2999999998</v>
      </c>
      <c r="I91" s="453">
        <v>0.05</v>
      </c>
      <c r="J91" s="164" t="s">
        <v>378</v>
      </c>
      <c r="K91" s="454">
        <v>46387</v>
      </c>
      <c r="L91" s="464" t="s">
        <v>4896</v>
      </c>
      <c r="M91" s="455"/>
      <c r="N91" s="455"/>
      <c r="O91" s="164" t="s">
        <v>80</v>
      </c>
      <c r="P91" s="157"/>
      <c r="Q91" s="237" t="s">
        <v>80</v>
      </c>
      <c r="R91" s="155" cm="1">
        <f t="array" ref="R91">Guarantee_Tariff(Guarantees[[#This Row],[Bank]],Guarantees[[#This Row],[Type]],Guarantees[[#This Row],[Amount]],Guarantees[[#This Row],[Issue Date]],Guarantees[[#This Row],[Expiry Date]])</f>
        <v>30607.877756249996</v>
      </c>
    </row>
    <row r="92" spans="1:18" ht="15.75" hidden="1" x14ac:dyDescent="0.25">
      <c r="A92" s="161" t="s">
        <v>1533</v>
      </c>
      <c r="B92" s="158">
        <v>45841</v>
      </c>
      <c r="C92" s="237" t="s">
        <v>62</v>
      </c>
      <c r="D92" s="237" t="s">
        <v>1044</v>
      </c>
      <c r="E92" s="157" t="s">
        <v>20</v>
      </c>
      <c r="F92" s="398" t="s">
        <v>4954</v>
      </c>
      <c r="G92" s="237" t="s">
        <v>26</v>
      </c>
      <c r="H92" s="156">
        <v>3670855.4</v>
      </c>
      <c r="I92" s="453"/>
      <c r="J92" s="164" t="s">
        <v>378</v>
      </c>
      <c r="K92" s="454">
        <v>46387</v>
      </c>
      <c r="L92" s="464" t="s">
        <v>4884</v>
      </c>
      <c r="M92" s="455"/>
      <c r="N92" s="455"/>
      <c r="O92" s="456"/>
      <c r="P92" s="157"/>
      <c r="Q92" s="237" t="s">
        <v>80</v>
      </c>
      <c r="R92" s="155" cm="1">
        <f t="array" ref="R92">Guarantee_Tariff(Guarantees[[#This Row],[Bank]],Guarantees[[#This Row],[Type]],Guarantees[[#This Row],[Amount]],Guarantees[[#This Row],[Issue Date]],Guarantees[[#This Row],[Expiry Date]])</f>
        <v>47491.691737499998</v>
      </c>
    </row>
    <row r="93" spans="1:18" ht="47.25" hidden="1" x14ac:dyDescent="0.25">
      <c r="A93" s="161" t="s">
        <v>4148</v>
      </c>
      <c r="B93" s="158">
        <v>46072</v>
      </c>
      <c r="C93" s="237" t="s">
        <v>62</v>
      </c>
      <c r="D93" s="237" t="s">
        <v>1044</v>
      </c>
      <c r="E93" s="157" t="s">
        <v>20</v>
      </c>
      <c r="F93" s="398" t="s">
        <v>4861</v>
      </c>
      <c r="G93" s="237" t="s">
        <v>26</v>
      </c>
      <c r="H93" s="156">
        <v>10112000</v>
      </c>
      <c r="I93" s="453">
        <v>0.1</v>
      </c>
      <c r="J93" s="164" t="s">
        <v>378</v>
      </c>
      <c r="K93" s="454">
        <v>47725</v>
      </c>
      <c r="L93" s="464" t="s">
        <v>4887</v>
      </c>
      <c r="M93" s="455"/>
      <c r="N93" s="455"/>
      <c r="O93" s="238" t="s">
        <v>72</v>
      </c>
      <c r="P93" s="237" t="s">
        <v>3810</v>
      </c>
      <c r="Q93" s="237">
        <v>1020138</v>
      </c>
      <c r="R93" s="155" cm="1">
        <f t="array" ref="R93">Guarantee_Tariff(Guarantees[[#This Row],[Bank]],Guarantees[[#This Row],[Type]],Guarantees[[#This Row],[Amount]],Guarantees[[#This Row],[Issue Date]],Guarantees[[#This Row],[Expiry Date]])</f>
        <v>399002.08333333331</v>
      </c>
    </row>
    <row r="94" spans="1:18" ht="15.75" hidden="1" x14ac:dyDescent="0.25">
      <c r="A94" s="161" t="s">
        <v>4845</v>
      </c>
      <c r="B94" s="158">
        <v>45581</v>
      </c>
      <c r="C94" s="237" t="s">
        <v>62</v>
      </c>
      <c r="D94" s="237" t="s">
        <v>1484</v>
      </c>
      <c r="E94" s="157" t="s">
        <v>20</v>
      </c>
      <c r="F94" s="398" t="s">
        <v>4866</v>
      </c>
      <c r="G94" s="237" t="s">
        <v>26</v>
      </c>
      <c r="H94" s="156">
        <v>4656682.1500000004</v>
      </c>
      <c r="I94" s="453"/>
      <c r="J94" s="164" t="s">
        <v>378</v>
      </c>
      <c r="K94" s="454">
        <v>46265</v>
      </c>
      <c r="L94" s="464" t="s">
        <v>4897</v>
      </c>
      <c r="M94" s="455"/>
      <c r="N94" s="455"/>
      <c r="O94" s="456"/>
      <c r="P94" s="157"/>
      <c r="Q94" s="237">
        <v>1020044</v>
      </c>
      <c r="R94" s="155" cm="1">
        <f t="array" ref="R94">Guarantee_Tariff(Guarantees[[#This Row],[Bank]],Guarantees[[#This Row],[Type]],Guarantees[[#This Row],[Amount]],Guarantees[[#This Row],[Issue Date]],Guarantees[[#This Row],[Expiry Date]])</f>
        <v>76980.776792187506</v>
      </c>
    </row>
    <row r="95" spans="1:18" ht="15.75" hidden="1" x14ac:dyDescent="0.25">
      <c r="A95" s="161" t="s">
        <v>4846</v>
      </c>
      <c r="B95" s="158">
        <v>45494</v>
      </c>
      <c r="C95" s="237" t="s">
        <v>62</v>
      </c>
      <c r="D95" s="237" t="s">
        <v>1086</v>
      </c>
      <c r="E95" s="157" t="s">
        <v>20</v>
      </c>
      <c r="F95" s="398" t="s">
        <v>4867</v>
      </c>
      <c r="G95" s="237" t="s">
        <v>26</v>
      </c>
      <c r="H95" s="156">
        <v>16000000</v>
      </c>
      <c r="I95" s="453"/>
      <c r="J95" s="164" t="s">
        <v>378</v>
      </c>
      <c r="K95" s="454">
        <v>46234</v>
      </c>
      <c r="L95" s="464" t="s">
        <v>4898</v>
      </c>
      <c r="M95" s="455"/>
      <c r="N95" s="455"/>
      <c r="O95" s="456"/>
      <c r="P95" s="157"/>
      <c r="Q95" s="237">
        <v>1020095</v>
      </c>
      <c r="R95" s="155" cm="1">
        <f t="array" ref="R95">Guarantee_Tariff(Guarantees[[#This Row],[Bank]],Guarantees[[#This Row],[Type]],Guarantees[[#This Row],[Amount]],Guarantees[[#This Row],[Issue Date]],Guarantees[[#This Row],[Expiry Date]])</f>
        <v>77864.583333333343</v>
      </c>
    </row>
    <row r="96" spans="1:18" ht="15.75" hidden="1" x14ac:dyDescent="0.25">
      <c r="A96" s="161" t="s">
        <v>1063</v>
      </c>
      <c r="B96" s="158">
        <v>45701</v>
      </c>
      <c r="C96" s="237" t="s">
        <v>62</v>
      </c>
      <c r="D96" s="237" t="s">
        <v>1086</v>
      </c>
      <c r="E96" s="157" t="s">
        <v>20</v>
      </c>
      <c r="F96" s="398" t="s">
        <v>1528</v>
      </c>
      <c r="G96" s="237" t="s">
        <v>26</v>
      </c>
      <c r="H96" s="156">
        <f>52000000+10000000</f>
        <v>62000000</v>
      </c>
      <c r="I96" s="453"/>
      <c r="J96" s="164" t="s">
        <v>378</v>
      </c>
      <c r="K96" s="454">
        <v>46387</v>
      </c>
      <c r="L96" s="464" t="s">
        <v>2398</v>
      </c>
      <c r="M96" s="455"/>
      <c r="N96" s="455"/>
      <c r="O96" s="456"/>
      <c r="P96" s="157" t="s">
        <v>77</v>
      </c>
      <c r="Q96" s="237">
        <v>1020096</v>
      </c>
      <c r="R96" s="155" cm="1">
        <f t="array" ref="R96">Guarantee_Tariff(Guarantees[[#This Row],[Bank]],Guarantees[[#This Row],[Type]],Guarantees[[#This Row],[Amount]],Guarantees[[#This Row],[Issue Date]],Guarantees[[#This Row],[Expiry Date]])</f>
        <v>198375</v>
      </c>
    </row>
    <row r="97" spans="1:18" ht="15.75" hidden="1" x14ac:dyDescent="0.25">
      <c r="A97" s="161" t="s">
        <v>4847</v>
      </c>
      <c r="B97" s="158">
        <v>45714</v>
      </c>
      <c r="C97" s="237" t="s">
        <v>62</v>
      </c>
      <c r="D97" s="237" t="s">
        <v>1086</v>
      </c>
      <c r="E97" s="157" t="s">
        <v>20</v>
      </c>
      <c r="F97" s="398" t="s">
        <v>4868</v>
      </c>
      <c r="G97" s="237" t="s">
        <v>26</v>
      </c>
      <c r="H97" s="156">
        <v>500000</v>
      </c>
      <c r="I97" s="453"/>
      <c r="J97" s="164" t="s">
        <v>378</v>
      </c>
      <c r="K97" s="454">
        <v>46295</v>
      </c>
      <c r="L97" s="464" t="s">
        <v>4899</v>
      </c>
      <c r="M97" s="455"/>
      <c r="N97" s="455"/>
      <c r="O97" s="456"/>
      <c r="P97" s="157"/>
      <c r="Q97" s="237" t="s">
        <v>4908</v>
      </c>
      <c r="R97" s="155" cm="1">
        <f t="array" ref="R97">Guarantee_Tariff(Guarantees[[#This Row],[Bank]],Guarantees[[#This Row],[Type]],Guarantees[[#This Row],[Amount]],Guarantees[[#This Row],[Issue Date]],Guarantees[[#This Row],[Expiry Date]])</f>
        <v>2276.041666666667</v>
      </c>
    </row>
    <row r="98" spans="1:18" ht="15.75" hidden="1" x14ac:dyDescent="0.25">
      <c r="A98" s="161" t="s">
        <v>2802</v>
      </c>
      <c r="B98" s="158">
        <v>45714</v>
      </c>
      <c r="C98" s="237" t="s">
        <v>62</v>
      </c>
      <c r="D98" s="237" t="s">
        <v>1065</v>
      </c>
      <c r="E98" s="157" t="s">
        <v>20</v>
      </c>
      <c r="F98" s="398" t="s">
        <v>4869</v>
      </c>
      <c r="G98" s="237" t="s">
        <v>26</v>
      </c>
      <c r="H98" s="156">
        <v>156856.79999999999</v>
      </c>
      <c r="I98" s="453"/>
      <c r="J98" s="164" t="s">
        <v>378</v>
      </c>
      <c r="K98" s="454">
        <v>46387</v>
      </c>
      <c r="L98" s="464" t="s">
        <v>4900</v>
      </c>
      <c r="M98" s="455"/>
      <c r="N98" s="455"/>
      <c r="O98" s="456"/>
      <c r="P98" s="237" t="s">
        <v>2805</v>
      </c>
      <c r="Q98" s="237" t="s">
        <v>4908</v>
      </c>
      <c r="R98" s="155" cm="1">
        <f t="array" ref="R98">Guarantee_Tariff(Guarantees[[#This Row],[Bank]],Guarantees[[#This Row],[Type]],Guarantees[[#This Row],[Amount]],Guarantees[[#This Row],[Issue Date]],Guarantees[[#This Row],[Expiry Date]])</f>
        <v>826.76604999999995</v>
      </c>
    </row>
    <row r="99" spans="1:18" ht="15.75" hidden="1" x14ac:dyDescent="0.25">
      <c r="A99" s="161" t="s">
        <v>2806</v>
      </c>
      <c r="B99" s="158">
        <v>45714</v>
      </c>
      <c r="C99" s="237" t="s">
        <v>62</v>
      </c>
      <c r="D99" s="237" t="s">
        <v>1065</v>
      </c>
      <c r="E99" s="157" t="s">
        <v>20</v>
      </c>
      <c r="F99" s="398" t="s">
        <v>1075</v>
      </c>
      <c r="G99" s="237" t="s">
        <v>26</v>
      </c>
      <c r="H99" s="156">
        <v>100000</v>
      </c>
      <c r="I99" s="453"/>
      <c r="J99" s="164" t="s">
        <v>378</v>
      </c>
      <c r="K99" s="454">
        <v>46418</v>
      </c>
      <c r="L99" s="464" t="s">
        <v>4901</v>
      </c>
      <c r="M99" s="455"/>
      <c r="N99" s="455"/>
      <c r="O99" s="456"/>
      <c r="P99" s="157"/>
      <c r="Q99" s="237" t="s">
        <v>4908</v>
      </c>
      <c r="R99" s="155" cm="1">
        <f t="array" ref="R99">Guarantee_Tariff(Guarantees[[#This Row],[Bank]],Guarantees[[#This Row],[Type]],Guarantees[[#This Row],[Amount]],Guarantees[[#This Row],[Issue Date]],Guarantees[[#This Row],[Expiry Date]])</f>
        <v>551.04166666666674</v>
      </c>
    </row>
    <row r="100" spans="1:18" ht="15.75" hidden="1" x14ac:dyDescent="0.25">
      <c r="A100" s="161" t="s">
        <v>2803</v>
      </c>
      <c r="B100" s="158">
        <v>45714</v>
      </c>
      <c r="C100" s="237" t="s">
        <v>62</v>
      </c>
      <c r="D100" s="237" t="s">
        <v>1065</v>
      </c>
      <c r="E100" s="157" t="s">
        <v>20</v>
      </c>
      <c r="F100" s="398" t="s">
        <v>4869</v>
      </c>
      <c r="G100" s="237" t="s">
        <v>26</v>
      </c>
      <c r="H100" s="156">
        <v>392142</v>
      </c>
      <c r="I100" s="453"/>
      <c r="J100" s="164" t="s">
        <v>378</v>
      </c>
      <c r="K100" s="454">
        <v>46387</v>
      </c>
      <c r="L100" s="464" t="s">
        <v>4902</v>
      </c>
      <c r="M100" s="455"/>
      <c r="N100" s="455"/>
      <c r="O100" s="456"/>
      <c r="P100" s="237" t="s">
        <v>2805</v>
      </c>
      <c r="Q100" s="237" t="s">
        <v>4908</v>
      </c>
      <c r="R100" s="155" cm="1">
        <f t="array" ref="R100">Guarantee_Tariff(Guarantees[[#This Row],[Bank]],Guarantees[[#This Row],[Type]],Guarantees[[#This Row],[Amount]],Guarantees[[#This Row],[Issue Date]],Guarantees[[#This Row],[Expiry Date]])</f>
        <v>2066.915125</v>
      </c>
    </row>
    <row r="101" spans="1:18" ht="15.75" hidden="1" x14ac:dyDescent="0.25">
      <c r="A101" s="161" t="s">
        <v>1147</v>
      </c>
      <c r="B101" s="158">
        <v>45756</v>
      </c>
      <c r="C101" s="237" t="s">
        <v>62</v>
      </c>
      <c r="D101" s="237" t="s">
        <v>1065</v>
      </c>
      <c r="E101" s="157" t="s">
        <v>20</v>
      </c>
      <c r="F101" s="398" t="s">
        <v>1079</v>
      </c>
      <c r="G101" s="237" t="s">
        <v>26</v>
      </c>
      <c r="H101" s="156">
        <v>50000</v>
      </c>
      <c r="I101" s="453"/>
      <c r="J101" s="164" t="s">
        <v>378</v>
      </c>
      <c r="K101" s="454">
        <v>46446</v>
      </c>
      <c r="L101" s="464" t="s">
        <v>4903</v>
      </c>
      <c r="M101" s="455"/>
      <c r="N101" s="455"/>
      <c r="O101" s="456"/>
      <c r="P101" s="157" t="s">
        <v>2805</v>
      </c>
      <c r="Q101" s="237" t="s">
        <v>4908</v>
      </c>
      <c r="R101" s="155" cm="1">
        <f t="array" ref="R101">Guarantee_Tariff(Guarantees[[#This Row],[Bank]],Guarantees[[#This Row],[Type]],Guarantees[[#This Row],[Amount]],Guarantees[[#This Row],[Issue Date]],Guarantees[[#This Row],[Expiry Date]])</f>
        <v>275.52083333333337</v>
      </c>
    </row>
    <row r="102" spans="1:18" ht="15.75" hidden="1" x14ac:dyDescent="0.25">
      <c r="A102" s="161" t="s">
        <v>1485</v>
      </c>
      <c r="B102" s="158">
        <v>45830</v>
      </c>
      <c r="C102" s="237" t="s">
        <v>62</v>
      </c>
      <c r="D102" s="237" t="s">
        <v>1054</v>
      </c>
      <c r="E102" s="157" t="s">
        <v>20</v>
      </c>
      <c r="F102" s="398" t="s">
        <v>4870</v>
      </c>
      <c r="G102" s="237" t="s">
        <v>26</v>
      </c>
      <c r="H102" s="156">
        <v>958014.7</v>
      </c>
      <c r="I102" s="453">
        <v>0.01</v>
      </c>
      <c r="J102" s="164" t="s">
        <v>378</v>
      </c>
      <c r="K102" s="454">
        <v>46177</v>
      </c>
      <c r="L102" s="464" t="s">
        <v>4904</v>
      </c>
      <c r="M102" s="455"/>
      <c r="N102" s="455"/>
      <c r="O102" s="238" t="s">
        <v>869</v>
      </c>
      <c r="P102" s="157"/>
      <c r="Q102" s="237" t="s">
        <v>869</v>
      </c>
      <c r="R102" s="155" cm="1">
        <f t="array" ref="R102">Guarantee_Tariff(Guarantees[[#This Row],[Bank]],Guarantees[[#This Row],[Type]],Guarantees[[#This Row],[Amount]],Guarantees[[#This Row],[Issue Date]],Guarantees[[#This Row],[Expiry Date]])</f>
        <v>19280.045837499998</v>
      </c>
    </row>
    <row r="103" spans="1:18" ht="15.75" hidden="1" x14ac:dyDescent="0.25">
      <c r="A103" s="161" t="s">
        <v>1584</v>
      </c>
      <c r="B103" s="158">
        <v>45860</v>
      </c>
      <c r="C103" s="237" t="s">
        <v>62</v>
      </c>
      <c r="D103" s="237" t="s">
        <v>1054</v>
      </c>
      <c r="E103" s="157" t="s">
        <v>20</v>
      </c>
      <c r="F103" s="398" t="s">
        <v>1528</v>
      </c>
      <c r="G103" s="237" t="s">
        <v>26</v>
      </c>
      <c r="H103" s="156">
        <f>174666602.36-13004692.1-11286741.07</f>
        <v>150375169.19000003</v>
      </c>
      <c r="I103" s="453"/>
      <c r="J103" s="164" t="s">
        <v>378</v>
      </c>
      <c r="K103" s="454">
        <v>46660</v>
      </c>
      <c r="L103" s="464" t="s">
        <v>4905</v>
      </c>
      <c r="M103" s="455"/>
      <c r="N103" s="455"/>
      <c r="O103" s="456"/>
      <c r="P103" s="157" t="s">
        <v>483</v>
      </c>
      <c r="Q103" s="237">
        <v>1020096</v>
      </c>
      <c r="R103" s="155" cm="1">
        <f t="array" ref="R103">Guarantee_Tariff(Guarantees[[#This Row],[Bank]],Guarantees[[#This Row],[Type]],Guarantees[[#This Row],[Amount]],Guarantees[[#This Row],[Issue Date]],Guarantees[[#This Row],[Expiry Date]])</f>
        <v>6355149.6920357831</v>
      </c>
    </row>
    <row r="104" spans="1:18" ht="15.75" hidden="1" x14ac:dyDescent="0.25">
      <c r="A104" s="161" t="s">
        <v>1585</v>
      </c>
      <c r="B104" s="158">
        <v>45860</v>
      </c>
      <c r="C104" s="237" t="s">
        <v>62</v>
      </c>
      <c r="D104" s="237" t="s">
        <v>1044</v>
      </c>
      <c r="E104" s="157" t="s">
        <v>20</v>
      </c>
      <c r="F104" s="398" t="s">
        <v>1528</v>
      </c>
      <c r="G104" s="237" t="s">
        <v>26</v>
      </c>
      <c r="H104" s="156">
        <v>185992068</v>
      </c>
      <c r="I104" s="453"/>
      <c r="J104" s="164" t="s">
        <v>378</v>
      </c>
      <c r="K104" s="454">
        <v>47026</v>
      </c>
      <c r="L104" s="464" t="s">
        <v>4905</v>
      </c>
      <c r="M104" s="455"/>
      <c r="N104" s="455"/>
      <c r="O104" s="456"/>
      <c r="P104" s="157"/>
      <c r="Q104" s="237">
        <v>1020096</v>
      </c>
      <c r="R104" s="155" cm="1">
        <f t="array" ref="R104">Guarantee_Tariff(Guarantees[[#This Row],[Bank]],Guarantees[[#This Row],[Type]],Guarantees[[#This Row],[Amount]],Guarantees[[#This Row],[Issue Date]],Guarantees[[#This Row],[Expiry Date]])</f>
        <v>4391377.2134375004</v>
      </c>
    </row>
    <row r="105" spans="1:18" ht="15.75" hidden="1" x14ac:dyDescent="0.25">
      <c r="A105" s="161" t="s">
        <v>1583</v>
      </c>
      <c r="B105" s="158">
        <v>45860</v>
      </c>
      <c r="C105" s="237" t="s">
        <v>62</v>
      </c>
      <c r="D105" s="237" t="s">
        <v>1484</v>
      </c>
      <c r="E105" s="157" t="s">
        <v>20</v>
      </c>
      <c r="F105" s="398" t="s">
        <v>1528</v>
      </c>
      <c r="G105" s="237" t="s">
        <v>26</v>
      </c>
      <c r="H105" s="156">
        <v>92996034</v>
      </c>
      <c r="I105" s="453"/>
      <c r="J105" s="164" t="s">
        <v>378</v>
      </c>
      <c r="K105" s="454">
        <v>46840</v>
      </c>
      <c r="L105" s="464" t="s">
        <v>4905</v>
      </c>
      <c r="M105" s="455"/>
      <c r="N105" s="455"/>
      <c r="O105" s="164" t="s">
        <v>72</v>
      </c>
      <c r="P105" s="157"/>
      <c r="Q105" s="237">
        <v>1020096</v>
      </c>
      <c r="R105" s="155" cm="1">
        <f t="array" ref="R105">Guarantee_Tariff(Guarantees[[#This Row],[Bank]],Guarantees[[#This Row],[Type]],Guarantees[[#This Row],[Amount]],Guarantees[[#This Row],[Issue Date]],Guarantees[[#This Row],[Expiry Date]])</f>
        <v>1877655.9845312501</v>
      </c>
    </row>
    <row r="106" spans="1:18" ht="15.75" hidden="1" x14ac:dyDescent="0.25">
      <c r="A106" s="161" t="s">
        <v>1043</v>
      </c>
      <c r="B106" s="158">
        <v>44255</v>
      </c>
      <c r="C106" s="237" t="s">
        <v>62</v>
      </c>
      <c r="D106" s="237" t="s">
        <v>1044</v>
      </c>
      <c r="E106" s="157" t="s">
        <v>20</v>
      </c>
      <c r="F106" s="398" t="s">
        <v>4864</v>
      </c>
      <c r="G106" s="237" t="s">
        <v>26</v>
      </c>
      <c r="H106" s="156">
        <f>120000000+180000000+30000000+30000000+30000000+30000000+60000000+120000000+240000000</f>
        <v>840000000</v>
      </c>
      <c r="I106" s="453"/>
      <c r="J106" s="164" t="s">
        <v>378</v>
      </c>
      <c r="K106" s="454">
        <v>46477</v>
      </c>
      <c r="L106" s="464" t="s">
        <v>4906</v>
      </c>
      <c r="M106" s="455"/>
      <c r="N106" s="455"/>
      <c r="O106" s="456"/>
      <c r="P106" s="157" t="s">
        <v>73</v>
      </c>
      <c r="Q106" s="237">
        <v>1020015</v>
      </c>
      <c r="R106" s="155" cm="1">
        <f t="array" ref="R106">Guarantee_Tariff(Guarantees[[#This Row],[Bank]],Guarantees[[#This Row],[Type]],Guarantees[[#This Row],[Amount]],Guarantees[[#This Row],[Issue Date]],Guarantees[[#This Row],[Expiry Date]])</f>
        <v>37319895.833333328</v>
      </c>
    </row>
    <row r="107" spans="1:18" ht="15.75" hidden="1" x14ac:dyDescent="0.25">
      <c r="A107" s="161" t="s">
        <v>1828</v>
      </c>
      <c r="B107" s="158">
        <v>44922</v>
      </c>
      <c r="C107" s="237" t="s">
        <v>62</v>
      </c>
      <c r="D107" s="237" t="s">
        <v>1054</v>
      </c>
      <c r="E107" s="157" t="s">
        <v>20</v>
      </c>
      <c r="F107" s="398" t="s">
        <v>1832</v>
      </c>
      <c r="G107" s="237" t="s">
        <v>26</v>
      </c>
      <c r="H107" s="156">
        <f>196236613-103998044.21</f>
        <v>92238568.790000007</v>
      </c>
      <c r="I107" s="453"/>
      <c r="J107" s="164" t="s">
        <v>378</v>
      </c>
      <c r="K107" s="454">
        <v>46295</v>
      </c>
      <c r="L107" s="464" t="s">
        <v>1829</v>
      </c>
      <c r="M107" s="455"/>
      <c r="N107" s="455"/>
      <c r="O107" s="456"/>
      <c r="P107" s="239" t="s">
        <v>81</v>
      </c>
      <c r="Q107" s="237">
        <v>1020070</v>
      </c>
      <c r="R107" s="155" cm="1">
        <f t="array" ref="R107">Guarantee_Tariff(Guarantees[[#This Row],[Bank]],Guarantees[[#This Row],[Type]],Guarantees[[#This Row],[Amount]],Guarantees[[#This Row],[Issue Date]],Guarantees[[#This Row],[Expiry Date]])</f>
        <v>6662652.4746753136</v>
      </c>
    </row>
    <row r="108" spans="1:18" ht="15.75" hidden="1" x14ac:dyDescent="0.25">
      <c r="A108" s="161" t="s">
        <v>4848</v>
      </c>
      <c r="B108" s="158">
        <v>44909</v>
      </c>
      <c r="C108" s="237" t="s">
        <v>62</v>
      </c>
      <c r="D108" s="237" t="s">
        <v>1044</v>
      </c>
      <c r="E108" s="157" t="s">
        <v>20</v>
      </c>
      <c r="F108" s="398" t="s">
        <v>4871</v>
      </c>
      <c r="G108" s="237" t="s">
        <v>26</v>
      </c>
      <c r="H108" s="156">
        <f>80980695.44+13088753.49</f>
        <v>94069448.929999992</v>
      </c>
      <c r="I108" s="453"/>
      <c r="J108" s="164" t="s">
        <v>378</v>
      </c>
      <c r="K108" s="454">
        <v>46234</v>
      </c>
      <c r="L108" s="464" t="s">
        <v>1829</v>
      </c>
      <c r="M108" s="455" t="s">
        <v>5652</v>
      </c>
      <c r="N108" s="455"/>
      <c r="O108" s="456"/>
      <c r="P108" s="157"/>
      <c r="Q108" s="237">
        <v>1020070</v>
      </c>
      <c r="R108" s="155" cm="1">
        <f t="array" ref="R108">Guarantee_Tariff(Guarantees[[#This Row],[Bank]],Guarantees[[#This Row],[Type]],Guarantees[[#This Row],[Amount]],Guarantees[[#This Row],[Issue Date]],Guarantees[[#This Row],[Expiry Date]])</f>
        <v>2531830.2686760416</v>
      </c>
    </row>
    <row r="109" spans="1:18" ht="15.75" hidden="1" x14ac:dyDescent="0.25">
      <c r="A109" s="161" t="s">
        <v>2238</v>
      </c>
      <c r="B109" s="158">
        <v>45358</v>
      </c>
      <c r="C109" s="237" t="s">
        <v>62</v>
      </c>
      <c r="D109" s="237" t="s">
        <v>1484</v>
      </c>
      <c r="E109" s="157" t="s">
        <v>20</v>
      </c>
      <c r="F109" s="398" t="s">
        <v>1832</v>
      </c>
      <c r="G109" s="237" t="s">
        <v>26</v>
      </c>
      <c r="H109" s="156">
        <f>80110387+10801429.14</f>
        <v>90911816.140000001</v>
      </c>
      <c r="I109" s="453"/>
      <c r="J109" s="164" t="s">
        <v>378</v>
      </c>
      <c r="K109" s="454">
        <v>46234</v>
      </c>
      <c r="L109" s="464" t="s">
        <v>1829</v>
      </c>
      <c r="M109" s="455"/>
      <c r="N109" s="455"/>
      <c r="O109" s="456"/>
      <c r="P109" s="237" t="s">
        <v>81</v>
      </c>
      <c r="Q109" s="237">
        <v>1020070</v>
      </c>
      <c r="R109" s="155" cm="1">
        <f t="array" ref="R109">Guarantee_Tariff(Guarantees[[#This Row],[Bank]],Guarantees[[#This Row],[Type]],Guarantees[[#This Row],[Amount]],Guarantees[[#This Row],[Issue Date]],Guarantees[[#This Row],[Expiry Date]])</f>
        <v>1613858.8897234374</v>
      </c>
    </row>
    <row r="110" spans="1:18" ht="15.75" x14ac:dyDescent="0.25">
      <c r="A110" s="161" t="s">
        <v>1830</v>
      </c>
      <c r="B110" s="158">
        <v>45001</v>
      </c>
      <c r="C110" s="237" t="s">
        <v>62</v>
      </c>
      <c r="D110" s="237" t="s">
        <v>1920</v>
      </c>
      <c r="E110" s="157" t="s">
        <v>1124</v>
      </c>
      <c r="F110" s="398" t="s">
        <v>4116</v>
      </c>
      <c r="G110" s="237" t="s">
        <v>26</v>
      </c>
      <c r="H110" s="156">
        <f>17603842-14309427.09</f>
        <v>3294414.91</v>
      </c>
      <c r="I110" s="453"/>
      <c r="J110" s="164" t="s">
        <v>378</v>
      </c>
      <c r="K110" s="454">
        <v>46537</v>
      </c>
      <c r="L110" s="157" t="s">
        <v>1919</v>
      </c>
      <c r="M110" s="455" t="s">
        <v>5313</v>
      </c>
      <c r="N110" s="455"/>
      <c r="O110" s="164" t="s">
        <v>72</v>
      </c>
      <c r="P110" s="163" t="s">
        <v>1145</v>
      </c>
      <c r="Q110" s="237">
        <v>1020093</v>
      </c>
      <c r="R110" s="155" cm="1">
        <f t="array" ref="R110">Guarantee_Tariff(Guarantees[[#This Row],[Bank]],Guarantees[[#This Row],[Type]],Guarantees[[#This Row],[Amount]],Guarantees[[#This Row],[Issue Date]],Guarantees[[#This Row],[Expiry Date]])</f>
        <v>40253.632181562505</v>
      </c>
    </row>
    <row r="111" spans="1:18" ht="15.75" hidden="1" x14ac:dyDescent="0.25">
      <c r="A111" s="161" t="s">
        <v>4395</v>
      </c>
      <c r="B111" s="158">
        <v>46106</v>
      </c>
      <c r="C111" s="237" t="s">
        <v>62</v>
      </c>
      <c r="D111" s="237" t="s">
        <v>1044</v>
      </c>
      <c r="E111" s="157" t="s">
        <v>20</v>
      </c>
      <c r="F111" s="398" t="s">
        <v>4116</v>
      </c>
      <c r="G111" s="237" t="s">
        <v>26</v>
      </c>
      <c r="H111" s="156">
        <v>75505588.5</v>
      </c>
      <c r="I111" s="453"/>
      <c r="J111" s="164" t="s">
        <v>378</v>
      </c>
      <c r="K111" s="454">
        <v>46662</v>
      </c>
      <c r="L111" s="464" t="s">
        <v>4352</v>
      </c>
      <c r="M111" s="455"/>
      <c r="N111" s="455"/>
      <c r="O111" s="238" t="s">
        <v>72</v>
      </c>
      <c r="P111" s="239" t="s">
        <v>1145</v>
      </c>
      <c r="Q111" s="237">
        <v>1020093</v>
      </c>
      <c r="R111" s="155" cm="1">
        <f t="array" ref="R111">Guarantee_Tariff(Guarantees[[#This Row],[Bank]],Guarantees[[#This Row],[Type]],Guarantees[[#This Row],[Amount]],Guarantees[[#This Row],[Issue Date]],Guarantees[[#This Row],[Expiry Date]])</f>
        <v>882029.74412760418</v>
      </c>
    </row>
    <row r="112" spans="1:18" ht="15.75" hidden="1" x14ac:dyDescent="0.25">
      <c r="A112" s="161" t="s">
        <v>2914</v>
      </c>
      <c r="B112" s="158">
        <v>44864</v>
      </c>
      <c r="C112" s="237" t="s">
        <v>62</v>
      </c>
      <c r="D112" s="237" t="s">
        <v>1086</v>
      </c>
      <c r="E112" s="157" t="s">
        <v>20</v>
      </c>
      <c r="F112" s="398" t="s">
        <v>2913</v>
      </c>
      <c r="G112" s="237" t="s">
        <v>26</v>
      </c>
      <c r="H112" s="156">
        <v>29325</v>
      </c>
      <c r="I112" s="453"/>
      <c r="J112" s="164" t="s">
        <v>378</v>
      </c>
      <c r="K112" s="426">
        <v>46417</v>
      </c>
      <c r="L112" s="464" t="s">
        <v>2433</v>
      </c>
      <c r="M112" s="455"/>
      <c r="N112" s="455"/>
      <c r="O112" s="456"/>
      <c r="P112" s="237"/>
      <c r="Q112" s="237">
        <v>1020053</v>
      </c>
      <c r="R112" s="156" cm="1">
        <f t="array" ref="R112">Guarantee_Tariff(Guarantees[[#This Row],[Bank]],Guarantees[[#This Row],[Type]],Guarantees[[#This Row],[Amount]],Guarantees[[#This Row],[Issue Date]],Guarantees[[#This Row],[Expiry Date]])</f>
        <v>365.34062499999999</v>
      </c>
    </row>
    <row r="113" spans="1:18" ht="15.75" hidden="1" x14ac:dyDescent="0.25">
      <c r="A113" s="161" t="s">
        <v>4909</v>
      </c>
      <c r="B113" s="158">
        <v>44728</v>
      </c>
      <c r="C113" s="157" t="s">
        <v>21</v>
      </c>
      <c r="D113" s="157" t="s">
        <v>1054</v>
      </c>
      <c r="E113" s="157" t="s">
        <v>20</v>
      </c>
      <c r="F113" s="398" t="s">
        <v>4911</v>
      </c>
      <c r="G113" s="157" t="s">
        <v>26</v>
      </c>
      <c r="H113" s="460">
        <f>160141690.37-52619961.4</f>
        <v>107521728.97</v>
      </c>
      <c r="I113" s="273"/>
      <c r="J113" s="164" t="s">
        <v>378</v>
      </c>
      <c r="K113" s="454">
        <v>46218</v>
      </c>
      <c r="L113" s="165" t="s">
        <v>4912</v>
      </c>
      <c r="M113" s="427" t="s">
        <v>5609</v>
      </c>
      <c r="N113" s="427"/>
      <c r="O113" s="238"/>
      <c r="P113" s="157"/>
      <c r="Q113" s="237">
        <v>1020055</v>
      </c>
      <c r="R113" s="155" cm="1">
        <f t="array" ref="R113">Guarantee_Tariff(Guarantees[[#This Row],[Bank]],Guarantees[[#This Row],[Type]],Guarantees[[#This Row],[Amount]],Guarantees[[#This Row],[Issue Date]],Guarantees[[#This Row],[Expiry Date]])</f>
        <v>0</v>
      </c>
    </row>
    <row r="114" spans="1:18" ht="15.75" hidden="1" x14ac:dyDescent="0.25">
      <c r="A114" s="161" t="s">
        <v>4910</v>
      </c>
      <c r="B114" s="158">
        <v>44728</v>
      </c>
      <c r="C114" s="157" t="s">
        <v>21</v>
      </c>
      <c r="D114" s="237" t="s">
        <v>1044</v>
      </c>
      <c r="E114" s="157" t="s">
        <v>20</v>
      </c>
      <c r="F114" s="398" t="s">
        <v>4911</v>
      </c>
      <c r="G114" s="237" t="s">
        <v>26</v>
      </c>
      <c r="H114" s="156">
        <v>283243040.8635</v>
      </c>
      <c r="I114" s="453"/>
      <c r="J114" s="164" t="s">
        <v>378</v>
      </c>
      <c r="K114" s="426">
        <v>46752</v>
      </c>
      <c r="L114" s="464" t="s">
        <v>4912</v>
      </c>
      <c r="M114" s="455"/>
      <c r="N114" s="455"/>
      <c r="O114" s="456"/>
      <c r="P114" s="237"/>
      <c r="Q114" s="457">
        <v>1020055</v>
      </c>
      <c r="R114" s="156" cm="1">
        <f t="array" ref="R114">Guarantee_Tariff(Guarantees[[#This Row],[Bank]],Guarantees[[#This Row],[Type]],Guarantees[[#This Row],[Amount]],Guarantees[[#This Row],[Issue Date]],Guarantees[[#This Row],[Expiry Date]])</f>
        <v>0</v>
      </c>
    </row>
    <row r="115" spans="1:18" ht="15.75" hidden="1" x14ac:dyDescent="0.25">
      <c r="A115" s="161" t="s">
        <v>4115</v>
      </c>
      <c r="B115" s="158">
        <v>45126</v>
      </c>
      <c r="C115" s="157" t="s">
        <v>366</v>
      </c>
      <c r="D115" s="157" t="s">
        <v>1044</v>
      </c>
      <c r="E115" s="157" t="s">
        <v>20</v>
      </c>
      <c r="F115" s="398" t="s">
        <v>4116</v>
      </c>
      <c r="G115" s="237" t="s">
        <v>26</v>
      </c>
      <c r="H115" s="155">
        <v>19450032.010000002</v>
      </c>
      <c r="I115" s="273">
        <v>0.1</v>
      </c>
      <c r="J115" s="164" t="s">
        <v>378</v>
      </c>
      <c r="K115" s="454">
        <v>46228</v>
      </c>
      <c r="L115" s="165" t="s">
        <v>4920</v>
      </c>
      <c r="M115" s="427"/>
      <c r="N115" s="427"/>
      <c r="O115" s="273" t="s">
        <v>1791</v>
      </c>
      <c r="P115" s="157"/>
      <c r="Q115" s="157">
        <v>1020082</v>
      </c>
      <c r="R115" s="155" cm="1">
        <f t="array" ref="R115">Guarantee_Tariff(Guarantees[[#This Row],[Bank]],Guarantees[[#This Row],[Type]],Guarantees[[#This Row],[Amount]],Guarantees[[#This Row],[Issue Date]],Guarantees[[#This Row],[Expiry Date]])</f>
        <v>342347.57730934722</v>
      </c>
    </row>
    <row r="116" spans="1:18" ht="15.75" hidden="1" x14ac:dyDescent="0.25">
      <c r="A116" s="161" t="s">
        <v>1052</v>
      </c>
      <c r="B116" s="158">
        <v>45166</v>
      </c>
      <c r="C116" s="157" t="s">
        <v>366</v>
      </c>
      <c r="D116" s="157" t="s">
        <v>1044</v>
      </c>
      <c r="E116" s="157" t="s">
        <v>20</v>
      </c>
      <c r="F116" s="398" t="s">
        <v>4116</v>
      </c>
      <c r="G116" s="237" t="s">
        <v>26</v>
      </c>
      <c r="H116" s="155">
        <v>2966139</v>
      </c>
      <c r="I116" s="453">
        <v>0.1</v>
      </c>
      <c r="J116" s="164" t="s">
        <v>378</v>
      </c>
      <c r="K116" s="454">
        <v>46544</v>
      </c>
      <c r="L116" s="464" t="s">
        <v>4921</v>
      </c>
      <c r="M116" s="455"/>
      <c r="N116" s="455"/>
      <c r="O116" s="456"/>
      <c r="P116" s="157" t="s">
        <v>410</v>
      </c>
      <c r="Q116" s="461">
        <v>1020085</v>
      </c>
      <c r="R116" s="155" cm="1">
        <f t="array" ref="R116">Guarantee_Tariff(Guarantees[[#This Row],[Bank]],Guarantees[[#This Row],[Type]],Guarantees[[#This Row],[Amount]],Guarantees[[#This Row],[Issue Date]],Guarantees[[#This Row],[Expiry Date]])</f>
        <v>65283.895462499997</v>
      </c>
    </row>
    <row r="117" spans="1:18" ht="15.75" hidden="1" x14ac:dyDescent="0.25">
      <c r="A117" s="161" t="s">
        <v>1930</v>
      </c>
      <c r="B117" s="158">
        <v>45196</v>
      </c>
      <c r="C117" s="157" t="s">
        <v>366</v>
      </c>
      <c r="D117" s="157" t="s">
        <v>1054</v>
      </c>
      <c r="E117" s="157" t="s">
        <v>20</v>
      </c>
      <c r="F117" s="398" t="s">
        <v>4915</v>
      </c>
      <c r="G117" s="237" t="s">
        <v>26</v>
      </c>
      <c r="H117" s="155">
        <v>328550322.60000002</v>
      </c>
      <c r="I117" s="453"/>
      <c r="J117" s="164" t="s">
        <v>378</v>
      </c>
      <c r="K117" s="454">
        <v>46434</v>
      </c>
      <c r="L117" s="464" t="s">
        <v>1933</v>
      </c>
      <c r="M117" s="455"/>
      <c r="N117" s="455"/>
      <c r="O117" s="456"/>
      <c r="P117" s="157"/>
      <c r="Q117" s="461">
        <v>1020088</v>
      </c>
      <c r="R117" s="155" cm="1">
        <f t="array" ref="R117">Guarantee_Tariff(Guarantees[[#This Row],[Bank]],Guarantees[[#This Row],[Type]],Guarantees[[#This Row],[Amount]],Guarantees[[#This Row],[Issue Date]],Guarantees[[#This Row],[Expiry Date]])</f>
        <v>6496626.3095225003</v>
      </c>
    </row>
    <row r="118" spans="1:18" ht="15.75" hidden="1" x14ac:dyDescent="0.25">
      <c r="A118" s="161" t="s">
        <v>4913</v>
      </c>
      <c r="B118" s="158">
        <v>45195</v>
      </c>
      <c r="C118" s="157" t="s">
        <v>366</v>
      </c>
      <c r="D118" s="157" t="s">
        <v>1044</v>
      </c>
      <c r="E118" s="157" t="s">
        <v>20</v>
      </c>
      <c r="F118" s="398" t="s">
        <v>4915</v>
      </c>
      <c r="G118" s="237" t="s">
        <v>26</v>
      </c>
      <c r="H118" s="155">
        <v>133604320.3</v>
      </c>
      <c r="I118" s="453"/>
      <c r="J118" s="164" t="s">
        <v>378</v>
      </c>
      <c r="K118" s="454">
        <v>46523</v>
      </c>
      <c r="L118" s="464" t="s">
        <v>1933</v>
      </c>
      <c r="M118" s="455"/>
      <c r="N118" s="455"/>
      <c r="O118" s="456"/>
      <c r="P118" s="157"/>
      <c r="Q118" s="461">
        <v>1020088</v>
      </c>
      <c r="R118" s="155" cm="1">
        <f t="array" ref="R118">Guarantee_Tariff(Guarantees[[#This Row],[Bank]],Guarantees[[#This Row],[Type]],Guarantees[[#This Row],[Amount]],Guarantees[[#This Row],[Issue Date]],Guarantees[[#This Row],[Expiry Date]])</f>
        <v>2833896.0828077779</v>
      </c>
    </row>
    <row r="119" spans="1:18" ht="15.75" hidden="1" x14ac:dyDescent="0.25">
      <c r="A119" s="161" t="s">
        <v>4074</v>
      </c>
      <c r="B119" s="158">
        <v>45802</v>
      </c>
      <c r="C119" s="157" t="s">
        <v>366</v>
      </c>
      <c r="D119" s="157" t="s">
        <v>1484</v>
      </c>
      <c r="E119" s="157" t="s">
        <v>20</v>
      </c>
      <c r="F119" s="398" t="s">
        <v>4915</v>
      </c>
      <c r="G119" s="237" t="s">
        <v>26</v>
      </c>
      <c r="H119" s="155">
        <v>100000000</v>
      </c>
      <c r="I119" s="453"/>
      <c r="J119" s="164" t="s">
        <v>378</v>
      </c>
      <c r="K119" s="454">
        <v>46523</v>
      </c>
      <c r="L119" s="464" t="s">
        <v>1933</v>
      </c>
      <c r="M119" s="455"/>
      <c r="N119" s="455"/>
      <c r="O119" s="456"/>
      <c r="P119" s="237" t="s">
        <v>4075</v>
      </c>
      <c r="Q119" s="461">
        <v>1020088</v>
      </c>
      <c r="R119" s="155" cm="1">
        <f t="array" ref="R119">Guarantee_Tariff(Guarantees[[#This Row],[Bank]],Guarantees[[#This Row],[Type]],Guarantees[[#This Row],[Amount]],Guarantees[[#This Row],[Issue Date]],Guarantees[[#This Row],[Expiry Date]])</f>
        <v>1151597.2222222222</v>
      </c>
    </row>
    <row r="120" spans="1:18" ht="15.75" hidden="1" x14ac:dyDescent="0.25">
      <c r="A120" s="161" t="s">
        <v>4914</v>
      </c>
      <c r="B120" s="158">
        <v>45797</v>
      </c>
      <c r="C120" s="157" t="s">
        <v>366</v>
      </c>
      <c r="D120" s="157" t="s">
        <v>1054</v>
      </c>
      <c r="E120" s="157" t="s">
        <v>20</v>
      </c>
      <c r="F120" s="398" t="s">
        <v>4916</v>
      </c>
      <c r="G120" s="237" t="s">
        <v>26</v>
      </c>
      <c r="H120" s="155">
        <v>59000000</v>
      </c>
      <c r="I120" s="453"/>
      <c r="J120" s="164" t="s">
        <v>378</v>
      </c>
      <c r="K120" s="454">
        <v>46539</v>
      </c>
      <c r="L120" s="464" t="s">
        <v>4922</v>
      </c>
      <c r="M120" s="455"/>
      <c r="N120" s="455"/>
      <c r="O120" s="456"/>
      <c r="P120" s="157"/>
      <c r="Q120" s="461">
        <v>1020117</v>
      </c>
      <c r="R120" s="155" cm="1">
        <f t="array" ref="R120">Guarantee_Tariff(Guarantees[[#This Row],[Bank]],Guarantees[[#This Row],[Type]],Guarantees[[#This Row],[Amount]],Guarantees[[#This Row],[Issue Date]],Guarantees[[#This Row],[Expiry Date]])</f>
        <v>699231.94444444438</v>
      </c>
    </row>
    <row r="121" spans="1:18" ht="15.75" hidden="1" x14ac:dyDescent="0.25">
      <c r="A121" s="161" t="s">
        <v>1048</v>
      </c>
      <c r="B121" s="158">
        <v>45722</v>
      </c>
      <c r="C121" s="157" t="s">
        <v>366</v>
      </c>
      <c r="D121" s="157" t="s">
        <v>1044</v>
      </c>
      <c r="E121" s="157" t="s">
        <v>20</v>
      </c>
      <c r="F121" s="398" t="s">
        <v>4916</v>
      </c>
      <c r="G121" s="237" t="s">
        <v>26</v>
      </c>
      <c r="H121" s="155">
        <v>17200000</v>
      </c>
      <c r="I121" s="453">
        <v>0.05</v>
      </c>
      <c r="J121" s="164" t="s">
        <v>378</v>
      </c>
      <c r="K121" s="454">
        <v>46477</v>
      </c>
      <c r="L121" s="464" t="s">
        <v>1051</v>
      </c>
      <c r="M121" s="455"/>
      <c r="N121" s="455"/>
      <c r="O121" s="162" t="s">
        <v>1791</v>
      </c>
      <c r="P121" s="157" t="s">
        <v>1050</v>
      </c>
      <c r="Q121" s="461">
        <v>1020117</v>
      </c>
      <c r="R121" s="155" cm="1">
        <f t="array" ref="R121">Guarantee_Tariff(Guarantees[[#This Row],[Bank]],Guarantees[[#This Row],[Type]],Guarantees[[#This Row],[Amount]],Guarantees[[#This Row],[Issue Date]],Guarantees[[#This Row],[Expiry Date]])</f>
        <v>207415.27777777778</v>
      </c>
    </row>
    <row r="122" spans="1:18" ht="15.75" hidden="1" x14ac:dyDescent="0.25">
      <c r="A122" s="161" t="s">
        <v>1891</v>
      </c>
      <c r="B122" s="158">
        <v>45925</v>
      </c>
      <c r="C122" s="157" t="s">
        <v>366</v>
      </c>
      <c r="D122" s="157" t="s">
        <v>1044</v>
      </c>
      <c r="E122" s="157" t="s">
        <v>20</v>
      </c>
      <c r="F122" s="398" t="s">
        <v>4917</v>
      </c>
      <c r="G122" s="237" t="s">
        <v>26</v>
      </c>
      <c r="H122" s="155">
        <v>79044531.299999997</v>
      </c>
      <c r="I122" s="453"/>
      <c r="J122" s="164" t="s">
        <v>378</v>
      </c>
      <c r="K122" s="454">
        <v>46387</v>
      </c>
      <c r="L122" s="464" t="s">
        <v>4923</v>
      </c>
      <c r="M122" s="455"/>
      <c r="N122" s="455"/>
      <c r="O122" s="456"/>
      <c r="P122" s="157"/>
      <c r="Q122" s="461">
        <v>1020002</v>
      </c>
      <c r="R122" s="155" cm="1">
        <f t="array" ref="R122">Guarantee_Tariff(Guarantees[[#This Row],[Bank]],Guarantees[[#This Row],[Type]],Guarantees[[#This Row],[Amount]],Guarantees[[#This Row],[Issue Date]],Guarantees[[#This Row],[Expiry Date]])</f>
        <v>583282.77055124997</v>
      </c>
    </row>
    <row r="123" spans="1:18" ht="15.75" hidden="1" x14ac:dyDescent="0.25">
      <c r="A123" s="161" t="s">
        <v>1935</v>
      </c>
      <c r="B123" s="158">
        <v>45942</v>
      </c>
      <c r="C123" s="157" t="s">
        <v>366</v>
      </c>
      <c r="D123" s="157" t="s">
        <v>1044</v>
      </c>
      <c r="E123" s="157" t="s">
        <v>20</v>
      </c>
      <c r="F123" s="398" t="s">
        <v>4116</v>
      </c>
      <c r="G123" s="237" t="s">
        <v>26</v>
      </c>
      <c r="H123" s="155">
        <v>38904754.950000003</v>
      </c>
      <c r="I123" s="453"/>
      <c r="J123" s="164" t="s">
        <v>378</v>
      </c>
      <c r="K123" s="454">
        <v>46395</v>
      </c>
      <c r="L123" s="237" t="s">
        <v>1914</v>
      </c>
      <c r="M123" s="455"/>
      <c r="N123" s="455"/>
      <c r="O123" s="164" t="s">
        <v>72</v>
      </c>
      <c r="P123" s="157"/>
      <c r="Q123" s="461">
        <v>1020098</v>
      </c>
      <c r="R123" s="155" cm="1">
        <f t="array" ref="R123">Guarantee_Tariff(Guarantees[[#This Row],[Bank]],Guarantees[[#This Row],[Type]],Guarantees[[#This Row],[Amount]],Guarantees[[#This Row],[Issue Date]],Guarantees[[#This Row],[Expiry Date]])</f>
        <v>281492.1123778125</v>
      </c>
    </row>
    <row r="124" spans="1:18" ht="15.75" hidden="1" x14ac:dyDescent="0.25">
      <c r="A124" s="161" t="s">
        <v>3650</v>
      </c>
      <c r="B124" s="158">
        <v>46035</v>
      </c>
      <c r="C124" s="157" t="s">
        <v>366</v>
      </c>
      <c r="D124" s="157" t="s">
        <v>1044</v>
      </c>
      <c r="E124" s="157" t="s">
        <v>20</v>
      </c>
      <c r="F124" s="398" t="s">
        <v>4918</v>
      </c>
      <c r="G124" s="237" t="s">
        <v>26</v>
      </c>
      <c r="H124" s="155">
        <v>15433491.4</v>
      </c>
      <c r="I124" s="453">
        <v>0.05</v>
      </c>
      <c r="J124" s="164" t="s">
        <v>378</v>
      </c>
      <c r="K124" s="454">
        <v>47676</v>
      </c>
      <c r="L124" s="464" t="s">
        <v>4924</v>
      </c>
      <c r="M124" s="455"/>
      <c r="N124" s="455"/>
      <c r="O124" s="273" t="s">
        <v>2866</v>
      </c>
      <c r="P124" s="237" t="s">
        <v>1050</v>
      </c>
      <c r="Q124" s="461">
        <v>1020141</v>
      </c>
      <c r="R124" s="155" cm="1">
        <f t="array" ref="R124">Guarantee_Tariff(Guarantees[[#This Row],[Bank]],Guarantees[[#This Row],[Type]],Guarantees[[#This Row],[Amount]],Guarantees[[#This Row],[Issue Date]],Guarantees[[#This Row],[Expiry Date]])</f>
        <v>404518.24021541671</v>
      </c>
    </row>
    <row r="125" spans="1:18" ht="15.75" hidden="1" x14ac:dyDescent="0.25">
      <c r="A125" s="161" t="s">
        <v>4208</v>
      </c>
      <c r="B125" s="158">
        <v>46083</v>
      </c>
      <c r="C125" s="157" t="s">
        <v>366</v>
      </c>
      <c r="D125" s="157" t="s">
        <v>1054</v>
      </c>
      <c r="E125" s="157" t="s">
        <v>20</v>
      </c>
      <c r="F125" s="398" t="s">
        <v>4918</v>
      </c>
      <c r="G125" s="237" t="s">
        <v>26</v>
      </c>
      <c r="H125" s="155">
        <v>15433491.4</v>
      </c>
      <c r="I125" s="453">
        <v>0.1</v>
      </c>
      <c r="J125" s="164" t="s">
        <v>378</v>
      </c>
      <c r="K125" s="454">
        <v>46934</v>
      </c>
      <c r="L125" s="464" t="s">
        <v>4924</v>
      </c>
      <c r="M125" s="455"/>
      <c r="N125" s="455"/>
      <c r="O125" s="273" t="s">
        <v>2866</v>
      </c>
      <c r="P125" s="237" t="s">
        <v>1050</v>
      </c>
      <c r="Q125" s="461">
        <v>1020141</v>
      </c>
      <c r="R125" s="155" cm="1">
        <f t="array" ref="R125">Guarantee_Tariff(Guarantees[[#This Row],[Bank]],Guarantees[[#This Row],[Type]],Guarantees[[#This Row],[Amount]],Guarantees[[#This Row],[Issue Date]],Guarantees[[#This Row],[Expiry Date]])</f>
        <v>209777.58831402776</v>
      </c>
    </row>
    <row r="126" spans="1:18" ht="15.75" hidden="1" x14ac:dyDescent="0.25">
      <c r="A126" s="161" t="s">
        <v>4492</v>
      </c>
      <c r="B126" s="158">
        <v>46112</v>
      </c>
      <c r="C126" s="157" t="s">
        <v>366</v>
      </c>
      <c r="D126" s="157" t="s">
        <v>1054</v>
      </c>
      <c r="E126" s="157" t="s">
        <v>20</v>
      </c>
      <c r="F126" s="398" t="s">
        <v>4355</v>
      </c>
      <c r="G126" s="237" t="s">
        <v>26</v>
      </c>
      <c r="H126" s="155">
        <v>16210214.279999999</v>
      </c>
      <c r="I126" s="453">
        <v>0.2</v>
      </c>
      <c r="J126" s="164" t="s">
        <v>378</v>
      </c>
      <c r="K126" s="454">
        <v>46237</v>
      </c>
      <c r="L126" s="464" t="s">
        <v>4925</v>
      </c>
      <c r="M126" s="455"/>
      <c r="N126" s="455"/>
      <c r="O126" s="238" t="s">
        <v>72</v>
      </c>
      <c r="P126" s="157"/>
      <c r="Q126" s="461">
        <v>1020140</v>
      </c>
      <c r="R126" s="155" cm="1">
        <f t="array" ref="R126">Guarantee_Tariff(Guarantees[[#This Row],[Bank]],Guarantees[[#This Row],[Type]],Guarantees[[#This Row],[Amount]],Guarantees[[#This Row],[Issue Date]],Guarantees[[#This Row],[Expiry Date]])</f>
        <v>32364.143093749997</v>
      </c>
    </row>
    <row r="127" spans="1:18" ht="15.75" hidden="1" x14ac:dyDescent="0.25">
      <c r="A127" s="161" t="s">
        <v>4491</v>
      </c>
      <c r="B127" s="158">
        <v>46112</v>
      </c>
      <c r="C127" s="157" t="s">
        <v>366</v>
      </c>
      <c r="D127" s="157" t="s">
        <v>1044</v>
      </c>
      <c r="E127" s="157" t="s">
        <v>20</v>
      </c>
      <c r="F127" s="398" t="s">
        <v>4355</v>
      </c>
      <c r="G127" s="237" t="s">
        <v>26</v>
      </c>
      <c r="H127" s="155">
        <v>8105107.1399999997</v>
      </c>
      <c r="I127" s="453">
        <v>0.1</v>
      </c>
      <c r="J127" s="164" t="s">
        <v>378</v>
      </c>
      <c r="K127" s="454">
        <v>46619</v>
      </c>
      <c r="L127" s="464" t="s">
        <v>4925</v>
      </c>
      <c r="M127" s="455"/>
      <c r="N127" s="455"/>
      <c r="O127" s="238" t="s">
        <v>72</v>
      </c>
      <c r="P127" s="157"/>
      <c r="Q127" s="461">
        <v>1020140</v>
      </c>
      <c r="R127" s="155" cm="1">
        <f t="array" ref="R127">Guarantee_Tariff(Guarantees[[#This Row],[Bank]],Guarantees[[#This Row],[Type]],Guarantees[[#This Row],[Amount]],Guarantees[[#This Row],[Issue Date]],Guarantees[[#This Row],[Expiry Date]])</f>
        <v>65634.482194124997</v>
      </c>
    </row>
    <row r="128" spans="1:18" ht="15.75" hidden="1" x14ac:dyDescent="0.25">
      <c r="A128" s="161" t="s">
        <v>4738</v>
      </c>
      <c r="B128" s="158">
        <v>46127</v>
      </c>
      <c r="C128" s="157" t="s">
        <v>366</v>
      </c>
      <c r="D128" s="157" t="s">
        <v>1044</v>
      </c>
      <c r="E128" s="157" t="s">
        <v>20</v>
      </c>
      <c r="F128" s="398" t="s">
        <v>4919</v>
      </c>
      <c r="G128" s="237" t="s">
        <v>26</v>
      </c>
      <c r="H128" s="155">
        <v>162910904.24000001</v>
      </c>
      <c r="I128" s="453">
        <v>0.1</v>
      </c>
      <c r="J128" s="164" t="s">
        <v>378</v>
      </c>
      <c r="K128" s="454">
        <v>47583</v>
      </c>
      <c r="L128" s="464" t="s">
        <v>3732</v>
      </c>
      <c r="M128" s="455"/>
      <c r="N128" s="455"/>
      <c r="O128" s="456"/>
      <c r="P128" s="157"/>
      <c r="Q128" s="461">
        <v>1020148</v>
      </c>
      <c r="R128" s="155" cm="1">
        <f t="array" ref="R128">Guarantee_Tariff(Guarantees[[#This Row],[Bank]],Guarantees[[#This Row],[Type]],Guarantees[[#This Row],[Amount]],Guarantees[[#This Row],[Issue Date]],Guarantees[[#This Row],[Expiry Date]])</f>
        <v>3788583.5841591116</v>
      </c>
    </row>
    <row r="129" spans="1:18" ht="15.75" hidden="1" x14ac:dyDescent="0.25">
      <c r="A129" s="161" t="s">
        <v>1090</v>
      </c>
      <c r="B129" s="158">
        <v>45361</v>
      </c>
      <c r="C129" s="157" t="s">
        <v>366</v>
      </c>
      <c r="D129" s="157" t="s">
        <v>1054</v>
      </c>
      <c r="E129" s="157" t="s">
        <v>845</v>
      </c>
      <c r="F129" s="398" t="s">
        <v>1729</v>
      </c>
      <c r="G129" s="237" t="s">
        <v>26</v>
      </c>
      <c r="H129" s="155">
        <v>283416714.20000005</v>
      </c>
      <c r="I129" s="453"/>
      <c r="J129" s="164" t="s">
        <v>378</v>
      </c>
      <c r="K129" s="454">
        <v>46173</v>
      </c>
      <c r="L129" s="464" t="s">
        <v>4926</v>
      </c>
      <c r="M129" s="455"/>
      <c r="N129" s="455"/>
      <c r="O129" s="456"/>
      <c r="P129" s="157"/>
      <c r="Q129" s="461">
        <v>1020091</v>
      </c>
      <c r="R129" s="155" cm="1">
        <f t="array" ref="R129">Guarantee_Tariff(Guarantees[[#This Row],[Bank]],Guarantees[[#This Row],[Type]],Guarantees[[#This Row],[Amount]],Guarantees[[#This Row],[Issue Date]],Guarantees[[#This Row],[Expiry Date]])</f>
        <v>3675757.3294438897</v>
      </c>
    </row>
    <row r="130" spans="1:18" ht="15.75" hidden="1" x14ac:dyDescent="0.25">
      <c r="A130" s="161" t="s">
        <v>2929</v>
      </c>
      <c r="B130" s="158">
        <v>45361</v>
      </c>
      <c r="C130" s="157" t="s">
        <v>366</v>
      </c>
      <c r="D130" s="157" t="s">
        <v>1044</v>
      </c>
      <c r="E130" s="157" t="s">
        <v>20</v>
      </c>
      <c r="F130" s="398" t="s">
        <v>1729</v>
      </c>
      <c r="G130" s="237" t="s">
        <v>26</v>
      </c>
      <c r="H130" s="155">
        <v>491708357.10000002</v>
      </c>
      <c r="I130" s="453"/>
      <c r="J130" s="164" t="s">
        <v>378</v>
      </c>
      <c r="K130" s="454">
        <v>46713</v>
      </c>
      <c r="L130" s="464" t="s">
        <v>4926</v>
      </c>
      <c r="M130" s="455"/>
      <c r="N130" s="455"/>
      <c r="O130" s="456"/>
      <c r="P130" s="157"/>
      <c r="Q130" s="461">
        <v>1020091</v>
      </c>
      <c r="R130" s="155" cm="1">
        <f t="array" ref="R130">Guarantee_Tariff(Guarantees[[#This Row],[Bank]],Guarantees[[#This Row],[Type]],Guarantees[[#This Row],[Amount]],Guarantees[[#This Row],[Issue Date]],Guarantees[[#This Row],[Expiry Date]])</f>
        <v>10618168.800264999</v>
      </c>
    </row>
    <row r="131" spans="1:18" ht="15.75" hidden="1" x14ac:dyDescent="0.25">
      <c r="A131" s="161" t="s">
        <v>1091</v>
      </c>
      <c r="B131" s="158">
        <v>45454</v>
      </c>
      <c r="C131" s="157" t="s">
        <v>366</v>
      </c>
      <c r="D131" s="237" t="s">
        <v>1484</v>
      </c>
      <c r="E131" s="157" t="s">
        <v>20</v>
      </c>
      <c r="F131" s="398" t="s">
        <v>1729</v>
      </c>
      <c r="G131" s="237" t="s">
        <v>26</v>
      </c>
      <c r="H131" s="156">
        <v>491708357.10000002</v>
      </c>
      <c r="I131" s="453"/>
      <c r="J131" s="164" t="s">
        <v>378</v>
      </c>
      <c r="K131" s="426">
        <v>46713</v>
      </c>
      <c r="L131" s="464" t="s">
        <v>4926</v>
      </c>
      <c r="M131" s="455"/>
      <c r="N131" s="455"/>
      <c r="O131" s="456"/>
      <c r="P131" s="237"/>
      <c r="Q131" s="457">
        <v>1020091</v>
      </c>
      <c r="R131" s="156" cm="1">
        <f t="array" ref="R131">Guarantee_Tariff(Guarantees[[#This Row],[Bank]],Guarantees[[#This Row],[Type]],Guarantees[[#This Row],[Amount]],Guarantees[[#This Row],[Issue Date]],Guarantees[[#This Row],[Expiry Date]])</f>
        <v>9887777.0114893764</v>
      </c>
    </row>
    <row r="132" spans="1:18" ht="15.75" hidden="1" x14ac:dyDescent="0.25">
      <c r="A132" s="161" t="s">
        <v>1095</v>
      </c>
      <c r="B132" s="158">
        <v>45595</v>
      </c>
      <c r="C132" s="157" t="s">
        <v>95</v>
      </c>
      <c r="D132" s="157" t="s">
        <v>1086</v>
      </c>
      <c r="E132" s="157" t="s">
        <v>20</v>
      </c>
      <c r="F132" s="398" t="s">
        <v>3318</v>
      </c>
      <c r="G132" s="237" t="s">
        <v>26</v>
      </c>
      <c r="H132" s="155">
        <f>88000000+10000000+36000000+50000000</f>
        <v>184000000</v>
      </c>
      <c r="I132" s="273"/>
      <c r="J132" s="164" t="s">
        <v>378</v>
      </c>
      <c r="K132" s="454">
        <v>46295</v>
      </c>
      <c r="L132" s="427" t="s">
        <v>4096</v>
      </c>
      <c r="M132" s="427"/>
      <c r="N132" s="427"/>
      <c r="O132" s="238"/>
      <c r="P132" s="157" t="s">
        <v>96</v>
      </c>
      <c r="Q132" s="157">
        <v>1020097</v>
      </c>
      <c r="R132" s="155" cm="1">
        <f t="array" ref="R132">Guarantee_Tariff(Guarantees[[#This Row],[Bank]],Guarantees[[#This Row],[Type]],Guarantees[[#This Row],[Amount]],Guarantees[[#This Row],[Issue Date]],Guarantees[[#This Row],[Expiry Date]])</f>
        <v>2967910.4166666665</v>
      </c>
    </row>
    <row r="133" spans="1:18" ht="15.75" hidden="1" x14ac:dyDescent="0.25">
      <c r="A133" s="161" t="s">
        <v>2865</v>
      </c>
      <c r="B133" s="158">
        <v>45988</v>
      </c>
      <c r="C133" s="157" t="s">
        <v>95</v>
      </c>
      <c r="D133" s="157" t="s">
        <v>1065</v>
      </c>
      <c r="E133" s="157" t="s">
        <v>20</v>
      </c>
      <c r="F133" s="398" t="s">
        <v>4931</v>
      </c>
      <c r="G133" s="237" t="s">
        <v>26</v>
      </c>
      <c r="H133" s="156">
        <v>999000</v>
      </c>
      <c r="I133" s="453"/>
      <c r="J133" s="164" t="s">
        <v>378</v>
      </c>
      <c r="K133" s="454">
        <v>46356</v>
      </c>
      <c r="L133" s="458" t="s">
        <v>4933</v>
      </c>
      <c r="M133" s="455"/>
      <c r="N133" s="455"/>
      <c r="O133" s="238" t="s">
        <v>2024</v>
      </c>
      <c r="P133" s="157"/>
      <c r="Q133" s="157" t="s">
        <v>4927</v>
      </c>
      <c r="R133" s="155" cm="1">
        <f t="array" ref="R133">Guarantee_Tariff(Guarantees[[#This Row],[Bank]],Guarantees[[#This Row],[Type]],Guarantees[[#This Row],[Amount]],Guarantees[[#This Row],[Issue Date]],Guarantees[[#This Row],[Expiry Date]])</f>
        <v>9765.2250000000004</v>
      </c>
    </row>
    <row r="134" spans="1:18" ht="15.75" hidden="1" x14ac:dyDescent="0.25">
      <c r="A134" s="161" t="s">
        <v>1928</v>
      </c>
      <c r="B134" s="158">
        <v>45939</v>
      </c>
      <c r="C134" s="157" t="s">
        <v>95</v>
      </c>
      <c r="D134" s="157" t="s">
        <v>1054</v>
      </c>
      <c r="E134" s="157" t="s">
        <v>20</v>
      </c>
      <c r="F134" s="398" t="s">
        <v>4932</v>
      </c>
      <c r="G134" s="237" t="s">
        <v>26</v>
      </c>
      <c r="H134" s="156">
        <f>17585003.6-11516846.6</f>
        <v>6068157.0000000019</v>
      </c>
      <c r="I134" s="453">
        <v>0.4</v>
      </c>
      <c r="J134" s="164" t="s">
        <v>378</v>
      </c>
      <c r="K134" s="454">
        <v>46203</v>
      </c>
      <c r="L134" s="458" t="s">
        <v>1916</v>
      </c>
      <c r="M134" s="455"/>
      <c r="N134" s="455"/>
      <c r="O134" s="238" t="s">
        <v>72</v>
      </c>
      <c r="P134" s="157"/>
      <c r="Q134" s="157">
        <v>1020133</v>
      </c>
      <c r="R134" s="155" cm="1">
        <f t="array" ref="R134">Guarantee_Tariff(Guarantees[[#This Row],[Bank]],Guarantees[[#This Row],[Type]],Guarantees[[#This Row],[Amount]],Guarantees[[#This Row],[Issue Date]],Guarantees[[#This Row],[Expiry Date]])</f>
        <v>44487.176006250011</v>
      </c>
    </row>
    <row r="135" spans="1:18" ht="15.75" hidden="1" x14ac:dyDescent="0.25">
      <c r="A135" s="161" t="s">
        <v>1929</v>
      </c>
      <c r="B135" s="158">
        <v>45939</v>
      </c>
      <c r="C135" s="157" t="s">
        <v>95</v>
      </c>
      <c r="D135" s="157" t="s">
        <v>1044</v>
      </c>
      <c r="E135" s="157" t="s">
        <v>20</v>
      </c>
      <c r="F135" s="398" t="s">
        <v>4932</v>
      </c>
      <c r="G135" s="237" t="s">
        <v>26</v>
      </c>
      <c r="H135" s="156">
        <v>2198125.4500000002</v>
      </c>
      <c r="I135" s="453">
        <v>0.05</v>
      </c>
      <c r="J135" s="164" t="s">
        <v>378</v>
      </c>
      <c r="K135" s="454">
        <v>46470</v>
      </c>
      <c r="L135" s="458" t="s">
        <v>1916</v>
      </c>
      <c r="M135" s="455"/>
      <c r="N135" s="455"/>
      <c r="O135" s="456"/>
      <c r="P135" s="157"/>
      <c r="Q135" s="157">
        <v>1020133</v>
      </c>
      <c r="R135" s="155" cm="1">
        <f t="array" ref="R135">Guarantee_Tariff(Guarantees[[#This Row],[Bank]],Guarantees[[#This Row],[Type]],Guarantees[[#This Row],[Amount]],Guarantees[[#This Row],[Issue Date]],Guarantees[[#This Row],[Expiry Date]])</f>
        <v>32230.014410625001</v>
      </c>
    </row>
    <row r="136" spans="1:18" ht="15.75" hidden="1" x14ac:dyDescent="0.25">
      <c r="A136" s="161" t="s">
        <v>1688</v>
      </c>
      <c r="B136" s="158">
        <v>45355</v>
      </c>
      <c r="C136" s="157" t="s">
        <v>95</v>
      </c>
      <c r="D136" s="157" t="s">
        <v>1054</v>
      </c>
      <c r="E136" s="157" t="s">
        <v>20</v>
      </c>
      <c r="F136" s="398" t="s">
        <v>4930</v>
      </c>
      <c r="G136" s="237" t="s">
        <v>26</v>
      </c>
      <c r="H136" s="155">
        <f>215406287-24075361.27</f>
        <v>191330925.72999999</v>
      </c>
      <c r="I136" s="453"/>
      <c r="J136" s="164" t="s">
        <v>378</v>
      </c>
      <c r="K136" s="454">
        <v>46660</v>
      </c>
      <c r="L136" s="458" t="s">
        <v>4096</v>
      </c>
      <c r="M136" s="455"/>
      <c r="N136" s="455"/>
      <c r="O136" s="456"/>
      <c r="P136" s="157" t="s">
        <v>77</v>
      </c>
      <c r="Q136" s="157">
        <v>1020097</v>
      </c>
      <c r="R136" s="155" cm="1">
        <f t="array" ref="R136">Guarantee_Tariff(Guarantees[[#This Row],[Bank]],Guarantees[[#This Row],[Type]],Guarantees[[#This Row],[Amount]],Guarantees[[#This Row],[Issue Date]],Guarantees[[#This Row],[Expiry Date]])</f>
        <v>5901854.1753375409</v>
      </c>
    </row>
    <row r="137" spans="1:18" ht="15.75" hidden="1" x14ac:dyDescent="0.25">
      <c r="A137" s="161" t="s">
        <v>4928</v>
      </c>
      <c r="B137" s="158">
        <v>45323</v>
      </c>
      <c r="C137" s="157" t="s">
        <v>95</v>
      </c>
      <c r="D137" s="157" t="s">
        <v>1044</v>
      </c>
      <c r="E137" s="157" t="s">
        <v>20</v>
      </c>
      <c r="F137" s="398" t="s">
        <v>4930</v>
      </c>
      <c r="G137" s="237" t="s">
        <v>26</v>
      </c>
      <c r="H137" s="155">
        <v>236032410.40000001</v>
      </c>
      <c r="I137" s="453"/>
      <c r="J137" s="164" t="s">
        <v>378</v>
      </c>
      <c r="K137" s="454">
        <v>47026.09</v>
      </c>
      <c r="L137" s="458" t="s">
        <v>4096</v>
      </c>
      <c r="M137" s="455"/>
      <c r="N137" s="455"/>
      <c r="O137" s="456"/>
      <c r="P137" s="157"/>
      <c r="Q137" s="157">
        <v>1020097</v>
      </c>
      <c r="R137" s="155" cm="1">
        <f t="array" ref="R137">Guarantee_Tariff(Guarantees[[#This Row],[Bank]],Guarantees[[#This Row],[Type]],Guarantees[[#This Row],[Amount]],Guarantees[[#This Row],[Issue Date]],Guarantees[[#This Row],[Expiry Date]])</f>
        <v>9415902.3031225</v>
      </c>
    </row>
    <row r="138" spans="1:18" ht="15.75" hidden="1" x14ac:dyDescent="0.25">
      <c r="A138" s="161" t="s">
        <v>4929</v>
      </c>
      <c r="B138" s="158">
        <v>45416</v>
      </c>
      <c r="C138" s="157" t="s">
        <v>95</v>
      </c>
      <c r="D138" s="237" t="s">
        <v>1484</v>
      </c>
      <c r="E138" s="157" t="s">
        <v>20</v>
      </c>
      <c r="F138" s="398" t="s">
        <v>4930</v>
      </c>
      <c r="G138" s="237" t="s">
        <v>26</v>
      </c>
      <c r="H138" s="155">
        <v>118016205.2</v>
      </c>
      <c r="I138" s="453"/>
      <c r="J138" s="164" t="s">
        <v>378</v>
      </c>
      <c r="K138" s="426">
        <v>46840</v>
      </c>
      <c r="L138" s="458" t="s">
        <v>4096</v>
      </c>
      <c r="M138" s="455"/>
      <c r="N138" s="455"/>
      <c r="O138" s="456"/>
      <c r="P138" s="237"/>
      <c r="Q138" s="237">
        <v>1020097</v>
      </c>
      <c r="R138" s="156" cm="1">
        <f t="array" ref="R138">Guarantee_Tariff(Guarantees[[#This Row],[Bank]],Guarantees[[#This Row],[Type]],Guarantees[[#This Row],[Amount]],Guarantees[[#This Row],[Issue Date]],Guarantees[[#This Row],[Expiry Date]])</f>
        <v>3910145.8508487497</v>
      </c>
    </row>
    <row r="139" spans="1:18" ht="15.75" hidden="1" x14ac:dyDescent="0.25">
      <c r="A139" s="161" t="s">
        <v>1911</v>
      </c>
      <c r="B139" s="158">
        <v>45932</v>
      </c>
      <c r="C139" s="157" t="s">
        <v>612</v>
      </c>
      <c r="D139" s="157" t="s">
        <v>1059</v>
      </c>
      <c r="E139" s="157" t="s">
        <v>20</v>
      </c>
      <c r="F139" s="398" t="s">
        <v>4936</v>
      </c>
      <c r="G139" s="237" t="s">
        <v>26</v>
      </c>
      <c r="H139" s="155">
        <v>20000000</v>
      </c>
      <c r="I139" s="273"/>
      <c r="J139" s="164" t="s">
        <v>378</v>
      </c>
      <c r="K139" s="454">
        <v>46203</v>
      </c>
      <c r="L139" s="165" t="s">
        <v>4941</v>
      </c>
      <c r="M139" s="427"/>
      <c r="N139" s="427"/>
      <c r="O139" s="238"/>
      <c r="P139" s="157"/>
      <c r="Q139" s="157" t="s">
        <v>72</v>
      </c>
      <c r="R139" s="155" cm="1">
        <f t="array" ref="R139">Guarantee_Tariff(Guarantees[[#This Row],[Bank]],Guarantees[[#This Row],[Type]],Guarantees[[#This Row],[Amount]],Guarantees[[#This Row],[Issue Date]],Guarantees[[#This Row],[Expiry Date]])</f>
        <v>118593.75</v>
      </c>
    </row>
    <row r="140" spans="1:18" ht="15.75" hidden="1" x14ac:dyDescent="0.25">
      <c r="A140" s="161" t="s">
        <v>2550</v>
      </c>
      <c r="B140" s="158">
        <v>45965</v>
      </c>
      <c r="C140" s="157" t="s">
        <v>612</v>
      </c>
      <c r="D140" s="157" t="s">
        <v>1059</v>
      </c>
      <c r="E140" s="157" t="s">
        <v>20</v>
      </c>
      <c r="F140" s="398" t="s">
        <v>2804</v>
      </c>
      <c r="G140" s="237" t="s">
        <v>26</v>
      </c>
      <c r="H140" s="155">
        <v>34000000</v>
      </c>
      <c r="I140" s="453">
        <v>0.01</v>
      </c>
      <c r="J140" s="164" t="s">
        <v>378</v>
      </c>
      <c r="K140" s="454">
        <v>46173</v>
      </c>
      <c r="L140" s="464" t="s">
        <v>4953</v>
      </c>
      <c r="M140" s="455"/>
      <c r="N140" s="455"/>
      <c r="O140" s="456"/>
      <c r="P140" s="157"/>
      <c r="Q140" s="461" t="s">
        <v>72</v>
      </c>
      <c r="R140" s="155" cm="1">
        <f t="array" ref="R140">Guarantee_Tariff(Guarantees[[#This Row],[Bank]],Guarantees[[#This Row],[Type]],Guarantees[[#This Row],[Amount]],Guarantees[[#This Row],[Issue Date]],Guarantees[[#This Row],[Expiry Date]])</f>
        <v>150937.5</v>
      </c>
    </row>
    <row r="141" spans="1:18" ht="15.75" hidden="1" x14ac:dyDescent="0.25">
      <c r="A141" s="161" t="s">
        <v>3084</v>
      </c>
      <c r="B141" s="158">
        <v>46001</v>
      </c>
      <c r="C141" s="157" t="s">
        <v>612</v>
      </c>
      <c r="D141" s="157" t="s">
        <v>1059</v>
      </c>
      <c r="E141" s="157" t="s">
        <v>20</v>
      </c>
      <c r="F141" s="398" t="s">
        <v>4937</v>
      </c>
      <c r="G141" s="237" t="s">
        <v>26</v>
      </c>
      <c r="H141" s="155">
        <v>9700000</v>
      </c>
      <c r="I141" s="453">
        <v>0.01</v>
      </c>
      <c r="J141" s="164" t="s">
        <v>378</v>
      </c>
      <c r="K141" s="454">
        <v>46203</v>
      </c>
      <c r="L141" s="464" t="s">
        <v>4942</v>
      </c>
      <c r="M141" s="455"/>
      <c r="N141" s="455"/>
      <c r="O141" s="456"/>
      <c r="P141" s="157"/>
      <c r="Q141" s="461" t="s">
        <v>72</v>
      </c>
      <c r="R141" s="155" cm="1">
        <f t="array" ref="R141">Guarantee_Tariff(Guarantees[[#This Row],[Bank]],Guarantees[[#This Row],[Type]],Guarantees[[#This Row],[Amount]],Guarantees[[#This Row],[Issue Date]],Guarantees[[#This Row],[Expiry Date]])</f>
        <v>48803.125</v>
      </c>
    </row>
    <row r="142" spans="1:18" ht="15.75" hidden="1" x14ac:dyDescent="0.25">
      <c r="A142" s="161" t="s">
        <v>3733</v>
      </c>
      <c r="B142" s="158">
        <v>46041</v>
      </c>
      <c r="C142" s="157" t="s">
        <v>612</v>
      </c>
      <c r="D142" s="157" t="s">
        <v>1059</v>
      </c>
      <c r="E142" s="157" t="s">
        <v>20</v>
      </c>
      <c r="F142" s="398" t="s">
        <v>4919</v>
      </c>
      <c r="G142" s="237" t="s">
        <v>26</v>
      </c>
      <c r="H142" s="155">
        <v>20000000</v>
      </c>
      <c r="I142" s="453">
        <v>0.01</v>
      </c>
      <c r="J142" s="164" t="s">
        <v>378</v>
      </c>
      <c r="K142" s="454">
        <v>46172</v>
      </c>
      <c r="L142" s="464" t="s">
        <v>4943</v>
      </c>
      <c r="M142" s="455"/>
      <c r="N142" s="455"/>
      <c r="O142" s="238" t="s">
        <v>72</v>
      </c>
      <c r="P142" s="157"/>
      <c r="Q142" s="461" t="s">
        <v>72</v>
      </c>
      <c r="R142" s="155" cm="1">
        <f t="array" ref="R142">Guarantee_Tariff(Guarantees[[#This Row],[Bank]],Guarantees[[#This Row],[Type]],Guarantees[[#This Row],[Amount]],Guarantees[[#This Row],[Issue Date]],Guarantees[[#This Row],[Expiry Date]])</f>
        <v>52708.333333333336</v>
      </c>
    </row>
    <row r="143" spans="1:18" ht="15.75" hidden="1" x14ac:dyDescent="0.25">
      <c r="A143" s="161" t="s">
        <v>4048</v>
      </c>
      <c r="B143" s="158">
        <v>46064</v>
      </c>
      <c r="C143" s="157" t="s">
        <v>612</v>
      </c>
      <c r="D143" s="157" t="s">
        <v>1059</v>
      </c>
      <c r="E143" s="157" t="s">
        <v>20</v>
      </c>
      <c r="F143" s="398" t="s">
        <v>4919</v>
      </c>
      <c r="G143" s="237" t="s">
        <v>26</v>
      </c>
      <c r="H143" s="155">
        <f>20000000+5000000</f>
        <v>25000000</v>
      </c>
      <c r="I143" s="453">
        <v>0.01</v>
      </c>
      <c r="J143" s="164" t="s">
        <v>378</v>
      </c>
      <c r="K143" s="454">
        <v>46292</v>
      </c>
      <c r="L143" s="464" t="s">
        <v>5170</v>
      </c>
      <c r="M143" s="455"/>
      <c r="N143" s="455"/>
      <c r="O143" s="456"/>
      <c r="P143" s="157"/>
      <c r="Q143" s="461" t="s">
        <v>72</v>
      </c>
      <c r="R143" s="155" cm="1">
        <f t="array" ref="R143">Guarantee_Tariff(Guarantees[[#This Row],[Bank]],Guarantees[[#This Row],[Type]],Guarantees[[#This Row],[Amount]],Guarantees[[#This Row],[Issue Date]],Guarantees[[#This Row],[Expiry Date]])</f>
        <v>129375</v>
      </c>
    </row>
    <row r="144" spans="1:18" ht="15.75" hidden="1" x14ac:dyDescent="0.25">
      <c r="A144" s="161" t="s">
        <v>4275</v>
      </c>
      <c r="B144" s="158">
        <v>46089</v>
      </c>
      <c r="C144" s="157" t="s">
        <v>612</v>
      </c>
      <c r="D144" s="157" t="s">
        <v>1059</v>
      </c>
      <c r="E144" s="157" t="s">
        <v>20</v>
      </c>
      <c r="F144" s="398" t="s">
        <v>4850</v>
      </c>
      <c r="G144" s="237" t="s">
        <v>26</v>
      </c>
      <c r="H144" s="155">
        <v>17500000</v>
      </c>
      <c r="I144" s="453">
        <v>0.01</v>
      </c>
      <c r="J144" s="164" t="s">
        <v>857</v>
      </c>
      <c r="K144" s="454">
        <v>46234</v>
      </c>
      <c r="L144" s="464" t="s">
        <v>4238</v>
      </c>
      <c r="M144" s="455"/>
      <c r="N144" s="455"/>
      <c r="O144" s="456"/>
      <c r="P144" s="157"/>
      <c r="Q144" s="461" t="s">
        <v>72</v>
      </c>
      <c r="R144" s="155" cm="1">
        <f t="array" ref="R144">Guarantee_Tariff(Guarantees[[#This Row],[Bank]],Guarantees[[#This Row],[Type]],Guarantees[[#This Row],[Amount]],Guarantees[[#This Row],[Issue Date]],Guarantees[[#This Row],[Expiry Date]])</f>
        <v>58398.4375</v>
      </c>
    </row>
    <row r="145" spans="1:18" ht="15.75" hidden="1" x14ac:dyDescent="0.25">
      <c r="A145" s="161" t="s">
        <v>4388</v>
      </c>
      <c r="B145" s="158">
        <v>46097</v>
      </c>
      <c r="C145" s="157" t="s">
        <v>612</v>
      </c>
      <c r="D145" s="157" t="s">
        <v>1059</v>
      </c>
      <c r="E145" s="157" t="s">
        <v>20</v>
      </c>
      <c r="F145" s="398" t="s">
        <v>4938</v>
      </c>
      <c r="G145" s="237" t="s">
        <v>26</v>
      </c>
      <c r="H145" s="155">
        <v>6000000</v>
      </c>
      <c r="I145" s="453">
        <v>0.01</v>
      </c>
      <c r="J145" s="164" t="s">
        <v>378</v>
      </c>
      <c r="K145" s="454">
        <v>46203</v>
      </c>
      <c r="L145" s="464" t="s">
        <v>4944</v>
      </c>
      <c r="M145" s="455"/>
      <c r="N145" s="455"/>
      <c r="O145" s="238" t="s">
        <v>72</v>
      </c>
      <c r="P145" s="157"/>
      <c r="Q145" s="461" t="s">
        <v>72</v>
      </c>
      <c r="R145" s="155" cm="1">
        <f t="array" ref="R145">Guarantee_Tariff(Guarantees[[#This Row],[Bank]],Guarantees[[#This Row],[Type]],Guarantees[[#This Row],[Amount]],Guarantees[[#This Row],[Issue Date]],Guarantees[[#This Row],[Expiry Date]])</f>
        <v>17250</v>
      </c>
    </row>
    <row r="146" spans="1:18" ht="15.75" hidden="1" x14ac:dyDescent="0.25">
      <c r="A146" s="161" t="s">
        <v>4557</v>
      </c>
      <c r="B146" s="158">
        <v>46118</v>
      </c>
      <c r="C146" s="157" t="s">
        <v>612</v>
      </c>
      <c r="D146" s="157" t="s">
        <v>1059</v>
      </c>
      <c r="E146" s="157" t="s">
        <v>20</v>
      </c>
      <c r="F146" s="398" t="s">
        <v>4919</v>
      </c>
      <c r="G146" s="237" t="s">
        <v>26</v>
      </c>
      <c r="H146" s="155">
        <v>30000000</v>
      </c>
      <c r="I146" s="453">
        <v>0.01</v>
      </c>
      <c r="J146" s="164" t="s">
        <v>378</v>
      </c>
      <c r="K146" s="454">
        <v>46250</v>
      </c>
      <c r="L146" s="464" t="s">
        <v>4945</v>
      </c>
      <c r="M146" s="455"/>
      <c r="N146" s="455"/>
      <c r="O146" s="238" t="s">
        <v>72</v>
      </c>
      <c r="P146" s="157"/>
      <c r="Q146" s="461" t="s">
        <v>72</v>
      </c>
      <c r="R146" s="155" cm="1">
        <f t="array" ref="R146">Guarantee_Tariff(Guarantees[[#This Row],[Bank]],Guarantees[[#This Row],[Type]],Guarantees[[#This Row],[Amount]],Guarantees[[#This Row],[Issue Date]],Guarantees[[#This Row],[Expiry Date]])</f>
        <v>76666.666666666672</v>
      </c>
    </row>
    <row r="147" spans="1:18" ht="15.75" hidden="1" x14ac:dyDescent="0.25">
      <c r="A147" s="161" t="s">
        <v>4629</v>
      </c>
      <c r="B147" s="158">
        <v>46120</v>
      </c>
      <c r="C147" s="157" t="s">
        <v>612</v>
      </c>
      <c r="D147" s="157" t="s">
        <v>1059</v>
      </c>
      <c r="E147" s="157" t="s">
        <v>20</v>
      </c>
      <c r="F147" s="398" t="s">
        <v>4939</v>
      </c>
      <c r="G147" s="237" t="s">
        <v>26</v>
      </c>
      <c r="H147" s="155">
        <v>8000000</v>
      </c>
      <c r="I147" s="453">
        <v>0.02</v>
      </c>
      <c r="J147" s="164" t="s">
        <v>378</v>
      </c>
      <c r="K147" s="454">
        <v>46304</v>
      </c>
      <c r="L147" s="464" t="s">
        <v>4946</v>
      </c>
      <c r="M147" s="455"/>
      <c r="N147" s="455"/>
      <c r="O147" s="238" t="s">
        <v>4550</v>
      </c>
      <c r="P147" s="157"/>
      <c r="Q147" s="461" t="s">
        <v>4550</v>
      </c>
      <c r="R147" s="155" cm="1">
        <f t="array" ref="R147">Guarantee_Tariff(Guarantees[[#This Row],[Bank]],Guarantees[[#This Row],[Type]],Guarantees[[#This Row],[Amount]],Guarantees[[#This Row],[Issue Date]],Guarantees[[#This Row],[Expiry Date]])</f>
        <v>34500</v>
      </c>
    </row>
    <row r="148" spans="1:18" ht="15.75" hidden="1" x14ac:dyDescent="0.25">
      <c r="A148" s="161" t="s">
        <v>4683</v>
      </c>
      <c r="B148" s="158">
        <v>46125</v>
      </c>
      <c r="C148" s="157" t="s">
        <v>612</v>
      </c>
      <c r="D148" s="157" t="s">
        <v>1059</v>
      </c>
      <c r="E148" s="157" t="s">
        <v>20</v>
      </c>
      <c r="F148" s="398" t="s">
        <v>4940</v>
      </c>
      <c r="G148" s="237" t="s">
        <v>26</v>
      </c>
      <c r="H148" s="155">
        <f>13000000+5000000</f>
        <v>18000000</v>
      </c>
      <c r="I148" s="453">
        <v>0.01</v>
      </c>
      <c r="J148" s="164" t="s">
        <v>378</v>
      </c>
      <c r="K148" s="454">
        <v>46261</v>
      </c>
      <c r="L148" s="464" t="s">
        <v>5016</v>
      </c>
      <c r="M148" s="455"/>
      <c r="N148" s="455"/>
      <c r="O148" s="456"/>
      <c r="P148" s="157"/>
      <c r="Q148" s="461" t="s">
        <v>72</v>
      </c>
      <c r="R148" s="155" cm="1">
        <f t="array" ref="R148">Guarantee_Tariff(Guarantees[[#This Row],[Bank]],Guarantees[[#This Row],[Type]],Guarantees[[#This Row],[Amount]],Guarantees[[#This Row],[Issue Date]],Guarantees[[#This Row],[Expiry Date]])</f>
        <v>59895.833333333336</v>
      </c>
    </row>
    <row r="149" spans="1:18" ht="15.75" hidden="1" x14ac:dyDescent="0.25">
      <c r="A149" s="161" t="s">
        <v>4934</v>
      </c>
      <c r="B149" s="158">
        <v>45560</v>
      </c>
      <c r="C149" s="157" t="s">
        <v>612</v>
      </c>
      <c r="D149" s="157" t="s">
        <v>1054</v>
      </c>
      <c r="E149" s="157" t="s">
        <v>20</v>
      </c>
      <c r="F149" s="398" t="s">
        <v>4850</v>
      </c>
      <c r="G149" s="237" t="s">
        <v>26</v>
      </c>
      <c r="H149" s="155">
        <f>390000000-127334574.46</f>
        <v>262665425.54000002</v>
      </c>
      <c r="I149" s="453"/>
      <c r="J149" s="164" t="s">
        <v>378</v>
      </c>
      <c r="K149" s="454">
        <v>46575</v>
      </c>
      <c r="L149" s="464" t="s">
        <v>4947</v>
      </c>
      <c r="M149" s="455"/>
      <c r="N149" s="455"/>
      <c r="O149" s="456"/>
      <c r="P149" s="157"/>
      <c r="Q149" s="461">
        <v>1020106</v>
      </c>
      <c r="R149" s="155" cm="1">
        <f t="array" ref="R149">Guarantee_Tariff(Guarantees[[#This Row],[Bank]],Guarantees[[#This Row],[Type]],Guarantees[[#This Row],[Amount]],Guarantees[[#This Row],[Issue Date]],Guarantees[[#This Row],[Expiry Date]])</f>
        <v>5389801.1138614584</v>
      </c>
    </row>
    <row r="150" spans="1:18" ht="15.75" hidden="1" x14ac:dyDescent="0.25">
      <c r="A150" s="161" t="s">
        <v>4935</v>
      </c>
      <c r="B150" s="158">
        <v>45440</v>
      </c>
      <c r="C150" s="157" t="s">
        <v>612</v>
      </c>
      <c r="D150" s="157" t="s">
        <v>1044</v>
      </c>
      <c r="E150" s="157" t="s">
        <v>20</v>
      </c>
      <c r="F150" s="398" t="s">
        <v>4850</v>
      </c>
      <c r="G150" s="237" t="s">
        <v>26</v>
      </c>
      <c r="H150" s="156">
        <v>199849418.40000001</v>
      </c>
      <c r="I150" s="453"/>
      <c r="J150" s="164" t="s">
        <v>378</v>
      </c>
      <c r="K150" s="426">
        <v>46940</v>
      </c>
      <c r="L150" s="464" t="s">
        <v>4947</v>
      </c>
      <c r="M150" s="455"/>
      <c r="N150" s="455"/>
      <c r="O150" s="456"/>
      <c r="P150" s="237"/>
      <c r="Q150" s="462">
        <v>1020106</v>
      </c>
      <c r="R150" s="156" cm="1">
        <f t="array" ref="R150">Guarantee_Tariff(Guarantees[[#This Row],[Bank]],Guarantees[[#This Row],[Type]],Guarantees[[#This Row],[Amount]],Guarantees[[#This Row],[Issue Date]],Guarantees[[#This Row],[Expiry Date]])</f>
        <v>6044969.5614583343</v>
      </c>
    </row>
    <row r="151" spans="1:18" ht="15.75" hidden="1" x14ac:dyDescent="0.25">
      <c r="A151" s="161" t="s">
        <v>1072</v>
      </c>
      <c r="B151" s="158">
        <v>45705</v>
      </c>
      <c r="C151" s="157" t="s">
        <v>1073</v>
      </c>
      <c r="D151" s="157" t="s">
        <v>1054</v>
      </c>
      <c r="E151" s="157" t="s">
        <v>20</v>
      </c>
      <c r="F151" s="398" t="s">
        <v>4865</v>
      </c>
      <c r="G151" s="237" t="s">
        <v>26</v>
      </c>
      <c r="H151" s="155">
        <v>97441308.719999999</v>
      </c>
      <c r="I151" s="273"/>
      <c r="J151" s="164" t="s">
        <v>378</v>
      </c>
      <c r="K151" s="454">
        <v>46485</v>
      </c>
      <c r="L151" s="463" t="s">
        <v>4950</v>
      </c>
      <c r="M151" s="427"/>
      <c r="N151" s="427"/>
      <c r="O151" s="238"/>
      <c r="P151" s="157" t="s">
        <v>1074</v>
      </c>
      <c r="Q151" s="157">
        <v>1020108</v>
      </c>
      <c r="R151" s="155" cm="1">
        <f t="array" ref="R151">Guarantee_Tariff(Guarantees[[#This Row],[Bank]],Guarantees[[#This Row],[Type]],Guarantees[[#This Row],[Amount]],Guarantees[[#This Row],[Issue Date]],Guarantees[[#This Row],[Expiry Date]])</f>
        <v>0</v>
      </c>
    </row>
    <row r="152" spans="1:18" ht="15.75" hidden="1" x14ac:dyDescent="0.25">
      <c r="A152" s="161" t="s">
        <v>4948</v>
      </c>
      <c r="B152" s="158">
        <v>45538</v>
      </c>
      <c r="C152" s="157" t="s">
        <v>1073</v>
      </c>
      <c r="D152" s="157" t="s">
        <v>1044</v>
      </c>
      <c r="E152" s="157" t="s">
        <v>20</v>
      </c>
      <c r="F152" s="398" t="s">
        <v>4865</v>
      </c>
      <c r="G152" s="237" t="s">
        <v>26</v>
      </c>
      <c r="H152" s="155">
        <v>32480436.239999998</v>
      </c>
      <c r="I152" s="453"/>
      <c r="J152" s="164" t="s">
        <v>378</v>
      </c>
      <c r="K152" s="454">
        <v>46421</v>
      </c>
      <c r="L152" s="463" t="s">
        <v>4950</v>
      </c>
      <c r="M152" s="455"/>
      <c r="N152" s="455"/>
      <c r="O152" s="456"/>
      <c r="P152" s="157"/>
      <c r="Q152" s="461">
        <v>1020108</v>
      </c>
      <c r="R152" s="155" cm="1">
        <f t="array" ref="R152">Guarantee_Tariff(Guarantees[[#This Row],[Bank]],Guarantees[[#This Row],[Type]],Guarantees[[#This Row],[Amount]],Guarantees[[#This Row],[Issue Date]],Guarantees[[#This Row],[Expiry Date]])</f>
        <v>0</v>
      </c>
    </row>
    <row r="153" spans="1:18" ht="15.75" hidden="1" x14ac:dyDescent="0.25">
      <c r="A153" s="161" t="s">
        <v>4949</v>
      </c>
      <c r="B153" s="158">
        <v>46051</v>
      </c>
      <c r="C153" s="157" t="s">
        <v>1073</v>
      </c>
      <c r="D153" s="237" t="s">
        <v>1044</v>
      </c>
      <c r="E153" s="157" t="s">
        <v>20</v>
      </c>
      <c r="F153" s="398" t="s">
        <v>4865</v>
      </c>
      <c r="G153" s="237" t="s">
        <v>26</v>
      </c>
      <c r="H153" s="156">
        <v>7295593.1600000001</v>
      </c>
      <c r="I153" s="453"/>
      <c r="J153" s="164" t="s">
        <v>378</v>
      </c>
      <c r="K153" s="426">
        <v>47573</v>
      </c>
      <c r="L153" s="459" t="s">
        <v>4951</v>
      </c>
      <c r="M153" s="455"/>
      <c r="N153" s="455"/>
      <c r="O153" s="456"/>
      <c r="P153" s="237"/>
      <c r="Q153" s="457">
        <v>1020143</v>
      </c>
      <c r="R153" s="156" cm="1">
        <f t="array" ref="R153">Guarantee_Tariff(Guarantees[[#This Row],[Bank]],Guarantees[[#This Row],[Type]],Guarantees[[#This Row],[Amount]],Guarantees[[#This Row],[Issue Date]],Guarantees[[#This Row],[Expiry Date]])</f>
        <v>0</v>
      </c>
    </row>
    <row r="154" spans="1:18" ht="15.75" hidden="1" x14ac:dyDescent="0.25">
      <c r="A154" s="161" t="s">
        <v>4112</v>
      </c>
      <c r="B154" s="158">
        <v>46071</v>
      </c>
      <c r="C154" s="157" t="s">
        <v>3764</v>
      </c>
      <c r="D154" s="237" t="s">
        <v>1044</v>
      </c>
      <c r="E154" s="157" t="s">
        <v>20</v>
      </c>
      <c r="F154" s="398" t="s">
        <v>4952</v>
      </c>
      <c r="G154" s="237" t="s">
        <v>26</v>
      </c>
      <c r="H154" s="155">
        <v>266170937.5</v>
      </c>
      <c r="I154" s="273">
        <v>0.1</v>
      </c>
      <c r="J154" s="164" t="s">
        <v>378</v>
      </c>
      <c r="K154" s="454">
        <v>47514</v>
      </c>
      <c r="L154" s="165" t="s">
        <v>5173</v>
      </c>
      <c r="M154" s="427"/>
      <c r="N154" s="427"/>
      <c r="O154" s="273" t="s">
        <v>72</v>
      </c>
      <c r="P154" s="237" t="s">
        <v>3765</v>
      </c>
      <c r="Q154" s="157">
        <v>1020139</v>
      </c>
      <c r="R154" s="155" cm="1">
        <f t="array" ref="R154">Guarantee_Tariff(Guarantees[[#This Row],[Bank]],Guarantees[[#This Row],[Type]],Guarantees[[#This Row],[Amount]],Guarantees[[#This Row],[Issue Date]],Guarantees[[#This Row],[Expiry Date]])</f>
        <v>10770880.234375</v>
      </c>
    </row>
    <row r="155" spans="1:18" ht="15.75" hidden="1" x14ac:dyDescent="0.25">
      <c r="A155" s="161" t="s">
        <v>4256</v>
      </c>
      <c r="B155" s="158">
        <v>46086</v>
      </c>
      <c r="C155" s="157" t="s">
        <v>3764</v>
      </c>
      <c r="D155" s="157" t="s">
        <v>1054</v>
      </c>
      <c r="E155" s="157" t="s">
        <v>20</v>
      </c>
      <c r="F155" s="398" t="s">
        <v>4952</v>
      </c>
      <c r="G155" s="237" t="s">
        <v>26</v>
      </c>
      <c r="H155" s="155">
        <v>266170937.5</v>
      </c>
      <c r="I155" s="453">
        <v>0.1</v>
      </c>
      <c r="J155" s="164" t="s">
        <v>378</v>
      </c>
      <c r="K155" s="454">
        <v>46783</v>
      </c>
      <c r="L155" s="165" t="s">
        <v>5173</v>
      </c>
      <c r="M155" s="455"/>
      <c r="N155" s="455"/>
      <c r="O155" s="273" t="s">
        <v>72</v>
      </c>
      <c r="P155" s="237" t="s">
        <v>3765</v>
      </c>
      <c r="Q155" s="461">
        <v>1020139</v>
      </c>
      <c r="R155" s="155" cm="1">
        <f t="array" ref="R155">Guarantee_Tariff(Guarantees[[#This Row],[Bank]],Guarantees[[#This Row],[Type]],Guarantees[[#This Row],[Amount]],Guarantees[[#This Row],[Issue Date]],Guarantees[[#This Row],[Expiry Date]])</f>
        <v>5161046.7789713545</v>
      </c>
    </row>
    <row r="156" spans="1:18" ht="15.75" hidden="1" x14ac:dyDescent="0.25">
      <c r="A156" s="161" t="s">
        <v>4257</v>
      </c>
      <c r="B156" s="158">
        <v>46086</v>
      </c>
      <c r="C156" s="157" t="s">
        <v>3764</v>
      </c>
      <c r="D156" s="237" t="s">
        <v>1484</v>
      </c>
      <c r="E156" s="157" t="s">
        <v>20</v>
      </c>
      <c r="F156" s="398" t="s">
        <v>4952</v>
      </c>
      <c r="G156" s="237" t="s">
        <v>26</v>
      </c>
      <c r="H156" s="156">
        <v>266170937.5</v>
      </c>
      <c r="I156" s="164">
        <v>0.1</v>
      </c>
      <c r="J156" s="164" t="s">
        <v>378</v>
      </c>
      <c r="K156" s="426">
        <v>47514</v>
      </c>
      <c r="L156" s="165" t="s">
        <v>5173</v>
      </c>
      <c r="M156" s="455"/>
      <c r="N156" s="455"/>
      <c r="O156" s="273" t="s">
        <v>72</v>
      </c>
      <c r="P156" s="237" t="s">
        <v>3765</v>
      </c>
      <c r="Q156" s="457">
        <v>1020139</v>
      </c>
      <c r="R156" s="156" cm="1">
        <f t="array" ref="R156">Guarantee_Tariff(Guarantees[[#This Row],[Bank]],Guarantees[[#This Row],[Type]],Guarantees[[#This Row],[Amount]],Guarantees[[#This Row],[Issue Date]],Guarantees[[#This Row],[Expiry Date]])</f>
        <v>10770880.234375</v>
      </c>
    </row>
    <row r="157" spans="1:18" ht="15.75" hidden="1" x14ac:dyDescent="0.25">
      <c r="A157" s="472" t="s">
        <v>5079</v>
      </c>
      <c r="B157" s="473">
        <v>46138</v>
      </c>
      <c r="C157" s="237" t="s">
        <v>62</v>
      </c>
      <c r="D157" s="237" t="s">
        <v>1059</v>
      </c>
      <c r="E157" s="157" t="s">
        <v>20</v>
      </c>
      <c r="F157" s="474" t="s">
        <v>5058</v>
      </c>
      <c r="G157" s="237" t="s">
        <v>26</v>
      </c>
      <c r="H157" s="156">
        <v>5000000</v>
      </c>
      <c r="I157" s="273" t="s">
        <v>5059</v>
      </c>
      <c r="J157" s="273" t="s">
        <v>378</v>
      </c>
      <c r="K157" s="426">
        <v>46356</v>
      </c>
      <c r="L157" t="s">
        <v>5060</v>
      </c>
      <c r="M157" s="427"/>
      <c r="N157" s="427"/>
      <c r="O157" s="238"/>
      <c r="P157" s="237"/>
      <c r="Q157" s="237" t="s">
        <v>72</v>
      </c>
      <c r="R157" s="156" cm="1">
        <f t="array" ref="R157">Guarantee_Tariff(Guarantees[[#This Row],[Bank]],Guarantees[[#This Row],[Type]],Guarantees[[#This Row],[Amount]],Guarantees[[#This Row],[Issue Date]],Guarantees[[#This Row],[Expiry Date]])</f>
        <v>25156.25</v>
      </c>
    </row>
    <row r="158" spans="1:18" ht="15.75" hidden="1" x14ac:dyDescent="0.25">
      <c r="A158" s="472" t="s">
        <v>5187</v>
      </c>
      <c r="B158" s="473">
        <v>46148</v>
      </c>
      <c r="C158" s="237" t="s">
        <v>62</v>
      </c>
      <c r="D158" s="237" t="s">
        <v>1054</v>
      </c>
      <c r="E158" s="157" t="s">
        <v>20</v>
      </c>
      <c r="F158" s="474" t="s">
        <v>4851</v>
      </c>
      <c r="G158" s="237" t="s">
        <v>26</v>
      </c>
      <c r="H158" s="156">
        <f>567932.92+85189.94</f>
        <v>653122.8600000001</v>
      </c>
      <c r="I158" s="273">
        <v>0.1</v>
      </c>
      <c r="J158" s="273" t="s">
        <v>378</v>
      </c>
      <c r="K158" s="426">
        <v>46356</v>
      </c>
      <c r="L158" s="165" t="s">
        <v>5176</v>
      </c>
      <c r="M158" s="427" t="s">
        <v>5302</v>
      </c>
      <c r="N158" s="427" t="s">
        <v>5185</v>
      </c>
      <c r="O158" s="273" t="s">
        <v>72</v>
      </c>
      <c r="P158" s="237"/>
      <c r="Q158" s="237">
        <v>1020109</v>
      </c>
      <c r="R158" s="156" cm="1">
        <f t="array" ref="R158">Guarantee_Tariff(Guarantees[[#This Row],[Bank]],Guarantees[[#This Row],[Type]],Guarantees[[#This Row],[Amount]],Guarantees[[#This Row],[Issue Date]],Guarantees[[#This Row],[Expiry Date]])</f>
        <v>7667.3902418750013</v>
      </c>
    </row>
    <row r="159" spans="1:18" ht="15.75" hidden="1" x14ac:dyDescent="0.25">
      <c r="A159" s="472" t="s">
        <v>5256</v>
      </c>
      <c r="B159" s="473">
        <v>46152</v>
      </c>
      <c r="C159" s="237" t="s">
        <v>62</v>
      </c>
      <c r="D159" s="237" t="s">
        <v>1059</v>
      </c>
      <c r="E159" s="157" t="s">
        <v>20</v>
      </c>
      <c r="F159" s="474" t="s">
        <v>1936</v>
      </c>
      <c r="G159" s="237" t="s">
        <v>26</v>
      </c>
      <c r="H159" s="156">
        <v>232729</v>
      </c>
      <c r="I159" s="273">
        <v>0.01</v>
      </c>
      <c r="J159" s="273" t="s">
        <v>378</v>
      </c>
      <c r="K159" s="533">
        <v>46272</v>
      </c>
      <c r="L159" s="165" t="s">
        <v>5253</v>
      </c>
      <c r="M159" s="427"/>
      <c r="N159" s="427" t="s">
        <v>5254</v>
      </c>
      <c r="O159" s="238" t="s">
        <v>4550</v>
      </c>
      <c r="P159" s="237"/>
      <c r="Q159" s="237">
        <v>0</v>
      </c>
      <c r="R159" s="156" cm="1">
        <f t="array" ref="R159">Guarantee_Tariff(Guarantees[[#This Row],[Bank]],Guarantees[[#This Row],[Type]],Guarantees[[#This Row],[Amount]],Guarantees[[#This Row],[Issue Date]],Guarantees[[#This Row],[Expiry Date]])</f>
        <v>669.09587499999998</v>
      </c>
    </row>
    <row r="160" spans="1:18" ht="15.75" hidden="1" x14ac:dyDescent="0.25">
      <c r="A160" s="472" t="s">
        <v>5396</v>
      </c>
      <c r="B160" s="473">
        <v>46174</v>
      </c>
      <c r="C160" s="237" t="s">
        <v>5315</v>
      </c>
      <c r="D160" s="237" t="s">
        <v>1059</v>
      </c>
      <c r="E160" s="237" t="s">
        <v>20</v>
      </c>
      <c r="F160" s="474" t="s">
        <v>1088</v>
      </c>
      <c r="G160" s="237" t="s">
        <v>26</v>
      </c>
      <c r="H160" s="156">
        <v>25000000</v>
      </c>
      <c r="I160" s="273">
        <v>0.01</v>
      </c>
      <c r="J160" s="273" t="s">
        <v>378</v>
      </c>
      <c r="K160" s="426">
        <v>46301</v>
      </c>
      <c r="L160" s="165" t="s">
        <v>5316</v>
      </c>
      <c r="M160" s="427"/>
      <c r="N160" s="427"/>
      <c r="O160" s="238" t="s">
        <v>72</v>
      </c>
      <c r="P160" s="239"/>
      <c r="Q160" s="237">
        <v>0</v>
      </c>
      <c r="R160" s="156" cm="1">
        <f t="array" ref="R160">Guarantee_Tariff(Guarantees[[#This Row],[Bank]],Guarantees[[#This Row],[Type]],Guarantees[[#This Row],[Amount]],Guarantees[[#This Row],[Issue Date]],Guarantees[[#This Row],[Expiry Date]])</f>
        <v>0</v>
      </c>
    </row>
    <row r="161" spans="1:18" ht="15.75" hidden="1" x14ac:dyDescent="0.25">
      <c r="A161" s="472" t="s">
        <v>5430</v>
      </c>
      <c r="B161" s="473">
        <v>46176</v>
      </c>
      <c r="C161" s="237" t="s">
        <v>5315</v>
      </c>
      <c r="D161" s="237" t="s">
        <v>1059</v>
      </c>
      <c r="E161" s="237" t="s">
        <v>20</v>
      </c>
      <c r="F161" s="474" t="s">
        <v>5398</v>
      </c>
      <c r="G161" s="237" t="s">
        <v>26</v>
      </c>
      <c r="H161" s="156">
        <v>14800000</v>
      </c>
      <c r="I161" s="273" t="s">
        <v>5399</v>
      </c>
      <c r="J161" s="273" t="s">
        <v>378</v>
      </c>
      <c r="K161" s="426">
        <v>46538</v>
      </c>
      <c r="L161" s="539" t="s">
        <v>5400</v>
      </c>
      <c r="M161" s="427"/>
      <c r="N161" s="427"/>
      <c r="O161" s="238" t="s">
        <v>80</v>
      </c>
      <c r="P161" s="237"/>
      <c r="Q161" s="237"/>
      <c r="R161" s="156" cm="1">
        <f t="array" ref="R161">Guarantee_Tariff(Guarantees[[#This Row],[Bank]],Guarantees[[#This Row],[Type]],Guarantees[[#This Row],[Amount]],Guarantees[[#This Row],[Issue Date]],Guarantees[[#This Row],[Expiry Date]])</f>
        <v>0</v>
      </c>
    </row>
    <row r="162" spans="1:18" ht="15.75" x14ac:dyDescent="0.25">
      <c r="A162" s="472"/>
      <c r="B162" s="473"/>
      <c r="C162" s="237" t="s">
        <v>5315</v>
      </c>
      <c r="D162" s="237" t="s">
        <v>1059</v>
      </c>
      <c r="E162" s="237" t="s">
        <v>728</v>
      </c>
      <c r="F162" s="538" t="s">
        <v>5401</v>
      </c>
      <c r="G162" s="237" t="s">
        <v>26</v>
      </c>
      <c r="H162" s="156">
        <v>5200000</v>
      </c>
      <c r="I162" s="273" t="s">
        <v>5399</v>
      </c>
      <c r="J162" s="273" t="s">
        <v>378</v>
      </c>
      <c r="K162" s="426">
        <v>46538</v>
      </c>
      <c r="L162" s="539" t="s">
        <v>5400</v>
      </c>
      <c r="M162" s="427" t="s">
        <v>5544</v>
      </c>
      <c r="N162" s="427"/>
      <c r="O162" s="238" t="s">
        <v>80</v>
      </c>
      <c r="P162" s="237"/>
      <c r="Q162" s="237"/>
      <c r="R162" s="156" cm="1">
        <f t="array" ref="R162">Guarantee_Tariff(Guarantees[[#This Row],[Bank]],Guarantees[[#This Row],[Type]],Guarantees[[#This Row],[Amount]],Guarantees[[#This Row],[Issue Date]],Guarantees[[#This Row],[Expiry Date]])</f>
        <v>0</v>
      </c>
    </row>
    <row r="163" spans="1:18" ht="15.75" hidden="1" x14ac:dyDescent="0.25">
      <c r="A163" s="472" t="s">
        <v>5452</v>
      </c>
      <c r="B163" s="473">
        <v>46180</v>
      </c>
      <c r="C163" s="237" t="s">
        <v>62</v>
      </c>
      <c r="D163" s="237" t="s">
        <v>1059</v>
      </c>
      <c r="E163" s="237" t="s">
        <v>20</v>
      </c>
      <c r="F163" s="474" t="s">
        <v>4857</v>
      </c>
      <c r="G163" s="237" t="s">
        <v>191</v>
      </c>
      <c r="H163" s="156">
        <v>2000000</v>
      </c>
      <c r="I163" s="273">
        <v>0.05</v>
      </c>
      <c r="J163" s="273" t="s">
        <v>378</v>
      </c>
      <c r="K163" s="426">
        <v>46330</v>
      </c>
      <c r="L163" s="165" t="s">
        <v>5411</v>
      </c>
      <c r="M163" s="427"/>
      <c r="N163" s="427"/>
      <c r="O163" s="238"/>
      <c r="P163" s="237"/>
      <c r="Q163" s="237" t="s">
        <v>72</v>
      </c>
      <c r="R163" s="156" cm="1">
        <f t="array" ref="R163">Guarantee_Tariff(Guarantees[[#This Row],[Bank]],Guarantees[[#This Row],[Type]],Guarantees[[#This Row],[Amount]],Guarantees[[#This Row],[Issue Date]],Guarantees[[#This Row],[Expiry Date]])</f>
        <v>7187.5</v>
      </c>
    </row>
    <row r="164" spans="1:18" ht="15.75" hidden="1" x14ac:dyDescent="0.25">
      <c r="A164" s="472" t="s">
        <v>5451</v>
      </c>
      <c r="B164" s="473">
        <v>46180</v>
      </c>
      <c r="C164" s="237" t="s">
        <v>62</v>
      </c>
      <c r="D164" s="237" t="s">
        <v>1059</v>
      </c>
      <c r="E164" s="237" t="s">
        <v>20</v>
      </c>
      <c r="F164" s="474" t="s">
        <v>1154</v>
      </c>
      <c r="G164" s="237" t="s">
        <v>26</v>
      </c>
      <c r="H164" s="156">
        <v>15000000</v>
      </c>
      <c r="I164" s="273">
        <v>0.01</v>
      </c>
      <c r="J164" s="273" t="s">
        <v>378</v>
      </c>
      <c r="K164" s="426">
        <v>46280</v>
      </c>
      <c r="L164" s="165" t="s">
        <v>5414</v>
      </c>
      <c r="M164" s="427"/>
      <c r="N164" s="427"/>
      <c r="O164" s="238"/>
      <c r="P164" s="237"/>
      <c r="Q164" s="237" t="s">
        <v>72</v>
      </c>
      <c r="R164" s="156" cm="1">
        <f t="array" ref="R164">Guarantee_Tariff(Guarantees[[#This Row],[Bank]],Guarantees[[#This Row],[Type]],Guarantees[[#This Row],[Amount]],Guarantees[[#This Row],[Issue Date]],Guarantees[[#This Row],[Expiry Date]])</f>
        <v>30546.875</v>
      </c>
    </row>
    <row r="165" spans="1:18" ht="15.75" hidden="1" x14ac:dyDescent="0.25">
      <c r="A165" s="472" t="s">
        <v>5551</v>
      </c>
      <c r="B165" s="473">
        <v>46184</v>
      </c>
      <c r="C165" s="237" t="s">
        <v>62</v>
      </c>
      <c r="D165" s="237" t="s">
        <v>1059</v>
      </c>
      <c r="E165" s="237" t="s">
        <v>20</v>
      </c>
      <c r="F165" s="474" t="s">
        <v>1093</v>
      </c>
      <c r="G165" s="237" t="s">
        <v>26</v>
      </c>
      <c r="H165" s="156">
        <v>4000000</v>
      </c>
      <c r="I165" s="273">
        <v>0.01</v>
      </c>
      <c r="J165" s="273" t="s">
        <v>378</v>
      </c>
      <c r="K165" s="426">
        <v>46387</v>
      </c>
      <c r="L165" s="165" t="s">
        <v>5534</v>
      </c>
      <c r="M165" s="427"/>
      <c r="N165" s="427"/>
      <c r="O165" s="238" t="s">
        <v>72</v>
      </c>
      <c r="P165" s="237"/>
      <c r="Q165" s="237">
        <v>0</v>
      </c>
      <c r="R165" s="156" cm="1">
        <f t="array" ref="R165">Guarantee_Tariff(Guarantees[[#This Row],[Bank]],Guarantees[[#This Row],[Type]],Guarantees[[#This Row],[Amount]],Guarantees[[#This Row],[Issue Date]],Guarantees[[#This Row],[Expiry Date]])</f>
        <v>20125</v>
      </c>
    </row>
    <row r="166" spans="1:18" ht="15.75" hidden="1" x14ac:dyDescent="0.25">
      <c r="A166" s="472" t="s">
        <v>5558</v>
      </c>
      <c r="B166" s="473">
        <v>46184</v>
      </c>
      <c r="C166" s="237" t="s">
        <v>62</v>
      </c>
      <c r="D166" s="237" t="s">
        <v>1059</v>
      </c>
      <c r="E166" s="237" t="s">
        <v>20</v>
      </c>
      <c r="F166" s="474" t="s">
        <v>4663</v>
      </c>
      <c r="G166" s="237" t="s">
        <v>26</v>
      </c>
      <c r="H166" s="156">
        <v>4500000</v>
      </c>
      <c r="I166" s="273">
        <v>0.01</v>
      </c>
      <c r="J166" s="273" t="s">
        <v>378</v>
      </c>
      <c r="K166" s="426">
        <v>46282</v>
      </c>
      <c r="L166" s="165" t="s">
        <v>5545</v>
      </c>
      <c r="M166" s="465"/>
      <c r="N166" s="427"/>
      <c r="O166" s="238" t="s">
        <v>80</v>
      </c>
      <c r="P166" s="237"/>
      <c r="Q166" s="237">
        <v>0</v>
      </c>
      <c r="R166" s="156" cm="1">
        <f t="array" ref="R166">Guarantee_Tariff(Guarantees[[#This Row],[Bank]],Guarantees[[#This Row],[Type]],Guarantees[[#This Row],[Amount]],Guarantees[[#This Row],[Issue Date]],Guarantees[[#This Row],[Expiry Date]])</f>
        <v>9703.125</v>
      </c>
    </row>
    <row r="167" spans="1:18" ht="15.75" hidden="1" x14ac:dyDescent="0.25">
      <c r="A167" s="472" t="s">
        <v>5557</v>
      </c>
      <c r="B167" s="473">
        <v>46184</v>
      </c>
      <c r="C167" s="237" t="s">
        <v>62</v>
      </c>
      <c r="D167" s="237" t="s">
        <v>1059</v>
      </c>
      <c r="E167" s="237" t="s">
        <v>20</v>
      </c>
      <c r="F167" s="474" t="s">
        <v>4663</v>
      </c>
      <c r="G167" s="237" t="s">
        <v>26</v>
      </c>
      <c r="H167" s="156">
        <v>3500000</v>
      </c>
      <c r="I167" s="273">
        <v>0.01</v>
      </c>
      <c r="J167" s="273" t="s">
        <v>378</v>
      </c>
      <c r="K167" s="426">
        <v>46282</v>
      </c>
      <c r="L167" s="165" t="s">
        <v>5546</v>
      </c>
      <c r="M167" s="465"/>
      <c r="N167" s="427"/>
      <c r="O167" s="238" t="s">
        <v>80</v>
      </c>
      <c r="P167" s="237"/>
      <c r="Q167" s="237">
        <v>0</v>
      </c>
      <c r="R167" s="156" cm="1">
        <f t="array" ref="R167">Guarantee_Tariff(Guarantees[[#This Row],[Bank]],Guarantees[[#This Row],[Type]],Guarantees[[#This Row],[Amount]],Guarantees[[#This Row],[Issue Date]],Guarantees[[#This Row],[Expiry Date]])</f>
        <v>7546.875</v>
      </c>
    </row>
    <row r="168" spans="1:18" ht="15.75" x14ac:dyDescent="0.25">
      <c r="A168" s="472"/>
      <c r="B168" s="473"/>
      <c r="C168" s="237" t="s">
        <v>62</v>
      </c>
      <c r="D168" s="237" t="s">
        <v>1059</v>
      </c>
      <c r="E168" s="237" t="s">
        <v>1452</v>
      </c>
      <c r="F168" s="474" t="s">
        <v>5552</v>
      </c>
      <c r="G168" s="237" t="s">
        <v>191</v>
      </c>
      <c r="H168" s="156">
        <v>225000</v>
      </c>
      <c r="I168" s="273" t="s">
        <v>5399</v>
      </c>
      <c r="J168" s="273" t="s">
        <v>378</v>
      </c>
      <c r="K168" s="426">
        <v>46376</v>
      </c>
      <c r="L168" s="165" t="s">
        <v>5553</v>
      </c>
      <c r="M168" s="551" t="s">
        <v>5650</v>
      </c>
      <c r="N168" s="427"/>
      <c r="O168" s="238" t="s">
        <v>5554</v>
      </c>
      <c r="P168" s="237"/>
      <c r="Q168" s="237">
        <v>0</v>
      </c>
      <c r="R168" s="156" cm="1">
        <f t="array" ref="R168">Guarantee_Tariff(Guarantees[[#This Row],[Bank]],Guarantees[[#This Row],[Type]],Guarantees[[#This Row],[Amount]],Guarantees[[#This Row],[Issue Date]],Guarantees[[#This Row],[Expiry Date]])</f>
        <v>250017.1875</v>
      </c>
    </row>
    <row r="169" spans="1:18" ht="15.75" hidden="1" x14ac:dyDescent="0.25">
      <c r="A169" s="472" t="s">
        <v>5666</v>
      </c>
      <c r="B169" s="473">
        <v>46195</v>
      </c>
      <c r="C169" s="237" t="s">
        <v>62</v>
      </c>
      <c r="D169" s="237" t="s">
        <v>1059</v>
      </c>
      <c r="E169" s="237" t="s">
        <v>20</v>
      </c>
      <c r="F169" s="474" t="s">
        <v>5662</v>
      </c>
      <c r="G169" s="237" t="s">
        <v>26</v>
      </c>
      <c r="H169" s="156">
        <v>24000000</v>
      </c>
      <c r="I169" s="273">
        <v>0.01</v>
      </c>
      <c r="J169" s="273" t="s">
        <v>378</v>
      </c>
      <c r="K169" s="426">
        <v>46356</v>
      </c>
      <c r="L169" s="567" t="s">
        <v>5663</v>
      </c>
      <c r="M169" s="427"/>
      <c r="N169" s="427"/>
      <c r="O169" s="238" t="s">
        <v>80</v>
      </c>
      <c r="P169" s="237"/>
      <c r="Q169" s="237"/>
      <c r="R169" s="156" cm="1">
        <f t="array" ref="R169">Guarantee_Tariff(Guarantees[[#This Row],[Bank]],Guarantees[[#This Row],[Type]],Guarantees[[#This Row],[Amount]],Guarantees[[#This Row],[Issue Date]],Guarantees[[#This Row],[Expiry Date]])</f>
        <v>77864.583333333328</v>
      </c>
    </row>
    <row r="173" spans="1:18" x14ac:dyDescent="0.25">
      <c r="C173" t="s">
        <v>1298</v>
      </c>
    </row>
    <row r="178" spans="8:8" x14ac:dyDescent="0.25">
      <c r="H178" s="314"/>
    </row>
  </sheetData>
  <phoneticPr fontId="24" type="noConversion"/>
  <conditionalFormatting sqref="A3:D3">
    <cfRule type="expression" dxfId="6089" priority="1362">
      <formula>$E3="Cash"</formula>
    </cfRule>
  </conditionalFormatting>
  <conditionalFormatting sqref="K23:K24 K28 K30 K39 K5:K13 K43 K41 K46 E5:E49 E51:E159 E161:E169 B5:B169">
    <cfRule type="expression" dxfId="6088" priority="6179">
      <formula>$S5="Payment Settled"</formula>
    </cfRule>
    <cfRule type="expression" dxfId="6087" priority="6180">
      <formula>$P5="Cash"</formula>
    </cfRule>
  </conditionalFormatting>
  <conditionalFormatting sqref="K15">
    <cfRule type="expression" dxfId="6086" priority="6247">
      <formula>$S14="Payment Settled"</formula>
    </cfRule>
    <cfRule type="expression" dxfId="6085" priority="6248">
      <formula>$P15="Cash"</formula>
    </cfRule>
  </conditionalFormatting>
  <conditionalFormatting sqref="A115:A131">
    <cfRule type="duplicateValues" dxfId="6084" priority="251"/>
  </conditionalFormatting>
  <conditionalFormatting sqref="A115:A131">
    <cfRule type="duplicateValues" dxfId="6083" priority="252"/>
  </conditionalFormatting>
  <conditionalFormatting sqref="A132:A138">
    <cfRule type="duplicateValues" dxfId="6082" priority="250"/>
  </conditionalFormatting>
  <conditionalFormatting sqref="A149:A150">
    <cfRule type="duplicateValues" dxfId="6081" priority="248"/>
  </conditionalFormatting>
  <conditionalFormatting sqref="A149:A150">
    <cfRule type="duplicateValues" dxfId="6080" priority="249"/>
  </conditionalFormatting>
  <conditionalFormatting sqref="A151:A153">
    <cfRule type="duplicateValues" dxfId="6079" priority="244"/>
  </conditionalFormatting>
  <conditionalFormatting sqref="A151:A153">
    <cfRule type="duplicateValues" dxfId="6078" priority="245"/>
  </conditionalFormatting>
  <conditionalFormatting sqref="A154:A156">
    <cfRule type="duplicateValues" dxfId="6077" priority="242"/>
    <cfRule type="duplicateValues" dxfId="6076" priority="243"/>
  </conditionalFormatting>
  <conditionalFormatting sqref="A140">
    <cfRule type="duplicateValues" dxfId="6075" priority="234"/>
  </conditionalFormatting>
  <conditionalFormatting sqref="A139:A148">
    <cfRule type="duplicateValues" dxfId="6074" priority="6401"/>
    <cfRule type="duplicateValues" dxfId="6073" priority="6402"/>
  </conditionalFormatting>
  <conditionalFormatting sqref="A132">
    <cfRule type="duplicateValues" dxfId="6072" priority="208"/>
  </conditionalFormatting>
  <conditionalFormatting sqref="B104">
    <cfRule type="expression" dxfId="6071" priority="204">
      <formula>$S104="Payment Settled"</formula>
    </cfRule>
    <cfRule type="expression" dxfId="6070" priority="205">
      <formula>$P104="Cash"</formula>
    </cfRule>
  </conditionalFormatting>
  <conditionalFormatting sqref="A123">
    <cfRule type="duplicateValues" dxfId="6069" priority="195"/>
  </conditionalFormatting>
  <conditionalFormatting sqref="A136">
    <cfRule type="duplicateValues" dxfId="6068" priority="188"/>
  </conditionalFormatting>
  <conditionalFormatting sqref="B70">
    <cfRule type="expression" dxfId="6067" priority="184">
      <formula>$S70="Payment Settled"</formula>
    </cfRule>
    <cfRule type="expression" dxfId="6066" priority="185">
      <formula>$P70="Cash"</formula>
    </cfRule>
  </conditionalFormatting>
  <conditionalFormatting sqref="B103">
    <cfRule type="expression" dxfId="6065" priority="176">
      <formula>$S103="Payment Settled"</formula>
    </cfRule>
    <cfRule type="expression" dxfId="6064" priority="177">
      <formula>$P103="Cash"</formula>
    </cfRule>
  </conditionalFormatting>
  <conditionalFormatting sqref="A124">
    <cfRule type="duplicateValues" dxfId="6063" priority="161"/>
  </conditionalFormatting>
  <conditionalFormatting sqref="A134">
    <cfRule type="duplicateValues" dxfId="6062" priority="158"/>
  </conditionalFormatting>
  <conditionalFormatting sqref="A135">
    <cfRule type="duplicateValues" dxfId="6061" priority="149"/>
  </conditionalFormatting>
  <conditionalFormatting sqref="A116">
    <cfRule type="duplicateValues" dxfId="6060" priority="143"/>
  </conditionalFormatting>
  <conditionalFormatting sqref="A121">
    <cfRule type="duplicateValues" dxfId="6059" priority="140"/>
  </conditionalFormatting>
  <conditionalFormatting sqref="A117">
    <cfRule type="duplicateValues" dxfId="6058" priority="129"/>
  </conditionalFormatting>
  <conditionalFormatting sqref="A133">
    <cfRule type="duplicateValues" dxfId="6057" priority="126"/>
  </conditionalFormatting>
  <conditionalFormatting sqref="A122">
    <cfRule type="duplicateValues" dxfId="6056" priority="123"/>
  </conditionalFormatting>
  <conditionalFormatting sqref="A154">
    <cfRule type="duplicateValues" dxfId="6055" priority="114"/>
  </conditionalFormatting>
  <conditionalFormatting sqref="A142">
    <cfRule type="duplicateValues" dxfId="6054" priority="111"/>
  </conditionalFormatting>
  <conditionalFormatting sqref="A143">
    <cfRule type="duplicateValues" dxfId="6053" priority="106"/>
  </conditionalFormatting>
  <conditionalFormatting sqref="A125">
    <cfRule type="duplicateValues" dxfId="6052" priority="97"/>
  </conditionalFormatting>
  <conditionalFormatting sqref="A125">
    <cfRule type="duplicateValues" dxfId="6051" priority="98"/>
  </conditionalFormatting>
  <conditionalFormatting sqref="A156">
    <cfRule type="duplicateValues" dxfId="6050" priority="94"/>
  </conditionalFormatting>
  <conditionalFormatting sqref="A119">
    <cfRule type="duplicateValues" dxfId="6049" priority="89"/>
  </conditionalFormatting>
  <conditionalFormatting sqref="A155">
    <cfRule type="duplicateValues" dxfId="6048" priority="84"/>
  </conditionalFormatting>
  <conditionalFormatting sqref="A145">
    <cfRule type="duplicateValues" dxfId="6047" priority="79"/>
  </conditionalFormatting>
  <conditionalFormatting sqref="A144">
    <cfRule type="duplicateValues" dxfId="6046" priority="76"/>
  </conditionalFormatting>
  <conditionalFormatting sqref="A130">
    <cfRule type="duplicateValues" dxfId="6045" priority="71"/>
  </conditionalFormatting>
  <conditionalFormatting sqref="A127">
    <cfRule type="duplicateValues" dxfId="6044" priority="64"/>
  </conditionalFormatting>
  <conditionalFormatting sqref="A126">
    <cfRule type="duplicateValues" dxfId="6043" priority="61"/>
  </conditionalFormatting>
  <conditionalFormatting sqref="B62">
    <cfRule type="expression" dxfId="6042" priority="53">
      <formula>$S62="Payment Settled"</formula>
    </cfRule>
    <cfRule type="expression" dxfId="6041" priority="54">
      <formula>$P62="Cash"</formula>
    </cfRule>
  </conditionalFormatting>
  <conditionalFormatting sqref="A146">
    <cfRule type="duplicateValues" dxfId="6040" priority="50"/>
  </conditionalFormatting>
  <conditionalFormatting sqref="B61">
    <cfRule type="expression" dxfId="6039" priority="46">
      <formula>$S61="Payment Settled"</formula>
    </cfRule>
    <cfRule type="expression" dxfId="6038" priority="47">
      <formula>$P61="Cash"</formula>
    </cfRule>
  </conditionalFormatting>
  <conditionalFormatting sqref="A147">
    <cfRule type="duplicateValues" dxfId="6037" priority="43"/>
  </conditionalFormatting>
  <conditionalFormatting sqref="A148">
    <cfRule type="duplicateValues" dxfId="6036" priority="40"/>
  </conditionalFormatting>
  <conditionalFormatting sqref="A128">
    <cfRule type="duplicateValues" dxfId="6035" priority="37"/>
  </conditionalFormatting>
  <conditionalFormatting sqref="B58">
    <cfRule type="expression" dxfId="6034" priority="33">
      <formula>$S58="Payment Settled"</formula>
    </cfRule>
    <cfRule type="expression" dxfId="6033" priority="34">
      <formula>$P58="Cash"</formula>
    </cfRule>
  </conditionalFormatting>
  <conditionalFormatting sqref="B55">
    <cfRule type="expression" dxfId="6032" priority="29">
      <formula>$S55="Payment Settled"</formula>
    </cfRule>
    <cfRule type="expression" dxfId="6031" priority="30">
      <formula>$P55="Cash"</formula>
    </cfRule>
  </conditionalFormatting>
  <conditionalFormatting sqref="B65">
    <cfRule type="expression" dxfId="6030" priority="23">
      <formula>$S65="Payment Settled"</formula>
    </cfRule>
    <cfRule type="expression" dxfId="6029" priority="24">
      <formula>$P65="Cash"</formula>
    </cfRule>
  </conditionalFormatting>
  <conditionalFormatting sqref="B59">
    <cfRule type="expression" dxfId="6028" priority="19">
      <formula>$S59="Payment Settled"</formula>
    </cfRule>
    <cfRule type="expression" dxfId="6027" priority="20">
      <formula>$P59="Cash"</formula>
    </cfRule>
  </conditionalFormatting>
  <conditionalFormatting sqref="B157">
    <cfRule type="expression" dxfId="6026" priority="13">
      <formula>$S157="Payment Settled"</formula>
    </cfRule>
    <cfRule type="expression" dxfId="6025" priority="14">
      <formula>$P157="Cash"</formula>
    </cfRule>
  </conditionalFormatting>
  <conditionalFormatting sqref="A5:A169">
    <cfRule type="duplicateValues" dxfId="6024" priority="7035"/>
  </conditionalFormatting>
  <conditionalFormatting sqref="A161">
    <cfRule type="duplicateValues" dxfId="6023" priority="7"/>
  </conditionalFormatting>
  <conditionalFormatting sqref="A161">
    <cfRule type="duplicateValues" dxfId="6022" priority="8"/>
  </conditionalFormatting>
  <conditionalFormatting sqref="A161">
    <cfRule type="duplicateValues" dxfId="6021" priority="6"/>
  </conditionalFormatting>
  <conditionalFormatting sqref="B163:B164">
    <cfRule type="expression" dxfId="6020" priority="4">
      <formula>$S163="Payment Settled"</formula>
    </cfRule>
    <cfRule type="expression" dxfId="6019" priority="5">
      <formula>$P163="Cash"</formula>
    </cfRule>
  </conditionalFormatting>
  <conditionalFormatting sqref="A169">
    <cfRule type="duplicateValues" dxfId="6018" priority="2"/>
  </conditionalFormatting>
  <conditionalFormatting sqref="A169">
    <cfRule type="duplicateValues" dxfId="6017" priority="3"/>
  </conditionalFormatting>
  <conditionalFormatting sqref="A169">
    <cfRule type="duplicateValues" dxfId="6016" priority="1"/>
  </conditionalFormatting>
  <dataValidations count="2">
    <dataValidation type="list" allowBlank="1" showInputMessage="1" showErrorMessage="1" sqref="D5:D169" xr:uid="{536744BD-FDBF-4661-BC6E-F8667BBC3B61}">
      <formula1>"Bid,Taxation,Advance,Performance,Financial,Material,Retention"</formula1>
    </dataValidation>
    <dataValidation type="list" allowBlank="1" showInputMessage="1" showErrorMessage="1" sqref="J5:J169" xr:uid="{073FD75E-0C15-498E-A1E8-64CA006552CC}">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4" r:id="rId4" name="Button 6">
              <controlPr defaultSize="0" print="0" autoFill="0" autoPict="0" macro="[0]!Guarantee_Show_Pending">
                <anchor moveWithCells="1" sizeWithCells="1">
                  <from>
                    <xdr:col>1</xdr:col>
                    <xdr:colOff>390525</xdr:colOff>
                    <xdr:row>0</xdr:row>
                    <xdr:rowOff>171450</xdr:rowOff>
                  </from>
                  <to>
                    <xdr:col>3</xdr:col>
                    <xdr:colOff>76200</xdr:colOff>
                    <xdr:row>0</xdr:row>
                    <xdr:rowOff>438150</xdr:rowOff>
                  </to>
                </anchor>
              </controlPr>
            </control>
          </mc:Choice>
        </mc:AlternateContent>
        <mc:AlternateContent xmlns:mc="http://schemas.openxmlformats.org/markup-compatibility/2006">
          <mc:Choice Requires="x14">
            <control shapeId="22535" r:id="rId5" name="Button 7">
              <controlPr defaultSize="0" print="0" autoFill="0" autoPict="0" macro="[0]!Remove_Filter">
                <anchor moveWithCells="1" sizeWithCells="1">
                  <from>
                    <xdr:col>0</xdr:col>
                    <xdr:colOff>114300</xdr:colOff>
                    <xdr:row>0</xdr:row>
                    <xdr:rowOff>171450</xdr:rowOff>
                  </from>
                  <to>
                    <xdr:col>1</xdr:col>
                    <xdr:colOff>123825</xdr:colOff>
                    <xdr:row>0</xdr:row>
                    <xdr:rowOff>438150</xdr:rowOff>
                  </to>
                </anchor>
              </controlPr>
            </control>
          </mc:Choice>
        </mc:AlternateContent>
        <mc:AlternateContent xmlns:mc="http://schemas.openxmlformats.org/markup-compatibility/2006">
          <mc:Choice Requires="x14">
            <control shapeId="22536" r:id="rId6" name="Button 8">
              <controlPr defaultSize="0" autoFill="0" autoPict="0" macro="[0]!Check_Guarantee">
                <anchor moveWithCells="1" sizeWithCells="1">
                  <from>
                    <xdr:col>1</xdr:col>
                    <xdr:colOff>190500</xdr:colOff>
                    <xdr:row>0</xdr:row>
                    <xdr:rowOff>561975</xdr:rowOff>
                  </from>
                  <to>
                    <xdr:col>1</xdr:col>
                    <xdr:colOff>581025</xdr:colOff>
                    <xdr:row>2</xdr:row>
                    <xdr:rowOff>47625</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
        <x14:dataValidation type="list" allowBlank="1" showInputMessage="1" showErrorMessage="1" xr:uid="{03F735E6-9797-4339-97D3-A45070922B22}">
          <x14:formula1>
            <xm:f>'Data Validation'!$C$3:$C$9</xm:f>
          </x14:formula1>
          <xm:sqref>E5:E169</xm:sqref>
        </x14:dataValidation>
      </x14:dataValidations>
    </ext>
    <ext xmlns:x15="http://schemas.microsoft.com/office/spreadsheetml/2010/11/main" uri="{3A4CF648-6AED-40f4-86FF-DC5316D8AED3}">
      <x14:slicerList xmlns:x14="http://schemas.microsoft.com/office/spreadsheetml/2009/9/main">
        <x14:slicer r:id="rId8"/>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4282D-E189-4A9E-B15D-87FEEE625CEC}">
  <sheetPr codeName="Sheet4">
    <tabColor rgb="FFC00000"/>
  </sheetPr>
  <dimension ref="A3:W1520"/>
  <sheetViews>
    <sheetView showGridLines="0" workbookViewId="0">
      <selection activeCell="F14" sqref="F14"/>
    </sheetView>
  </sheetViews>
  <sheetFormatPr defaultColWidth="8.7109375" defaultRowHeight="15" x14ac:dyDescent="0.25"/>
  <cols>
    <col min="1" max="1" width="19.42578125" bestFit="1" customWidth="1"/>
    <col min="2" max="2" width="12.140625" customWidth="1"/>
    <col min="3" max="3" width="17.85546875" customWidth="1"/>
    <col min="4" max="4" width="44.7109375" customWidth="1"/>
    <col min="5" max="5" width="13.5703125" customWidth="1"/>
    <col min="6" max="6" width="7.5703125" customWidth="1"/>
    <col min="7" max="7" width="15.140625" customWidth="1"/>
    <col min="8" max="8" width="7.85546875" customWidth="1"/>
    <col min="9" max="9" width="77.85546875" customWidth="1"/>
    <col min="10" max="10" width="30.5703125" customWidth="1"/>
    <col min="11" max="11" width="22.140625" customWidth="1"/>
    <col min="12" max="12" width="14.5703125" customWidth="1"/>
    <col min="13" max="13" width="7" customWidth="1"/>
    <col min="14" max="14" width="11" customWidth="1"/>
    <col min="15" max="15" width="16.140625" customWidth="1"/>
    <col min="16" max="16" width="19" bestFit="1" customWidth="1"/>
    <col min="17" max="17" width="7.28515625" bestFit="1" customWidth="1"/>
    <col min="18" max="18" width="19.85546875" bestFit="1" customWidth="1"/>
    <col min="19" max="19" width="13.42578125" bestFit="1" customWidth="1"/>
    <col min="20" max="20" width="52.42578125" bestFit="1" customWidth="1"/>
    <col min="21" max="21" width="36.7109375" bestFit="1" customWidth="1"/>
    <col min="22" max="22" width="12.7109375" bestFit="1" customWidth="1"/>
    <col min="23" max="23" width="81.140625" bestFit="1" customWidth="1"/>
    <col min="24" max="24" width="9.7109375" bestFit="1" customWidth="1"/>
    <col min="25" max="25" width="7.7109375" bestFit="1" customWidth="1"/>
    <col min="26" max="26" width="20.42578125" bestFit="1" customWidth="1"/>
    <col min="27" max="27" width="15.5703125" bestFit="1" customWidth="1"/>
    <col min="28" max="28" width="47.28515625" customWidth="1"/>
  </cols>
  <sheetData>
    <row r="3" spans="1:23" ht="49.15" customHeight="1" x14ac:dyDescent="0.35">
      <c r="H3" s="627" t="s">
        <v>1113</v>
      </c>
      <c r="I3" s="627"/>
    </row>
    <row r="4" spans="1:23" x14ac:dyDescent="0.25">
      <c r="A4" s="196" t="s">
        <v>0</v>
      </c>
      <c r="B4" s="196" t="s">
        <v>847</v>
      </c>
      <c r="C4" s="196" t="s">
        <v>848</v>
      </c>
      <c r="D4" s="196" t="s">
        <v>841</v>
      </c>
      <c r="E4" s="196" t="s">
        <v>849</v>
      </c>
      <c r="F4" s="196" t="s">
        <v>850</v>
      </c>
      <c r="G4" s="196" t="s">
        <v>3</v>
      </c>
      <c r="H4" s="196" t="s">
        <v>15</v>
      </c>
      <c r="I4" s="196" t="s">
        <v>4</v>
      </c>
      <c r="J4" s="196" t="s">
        <v>5</v>
      </c>
      <c r="K4" s="196" t="s">
        <v>6</v>
      </c>
      <c r="L4" s="196" t="s">
        <v>846</v>
      </c>
      <c r="M4" s="196" t="s">
        <v>7</v>
      </c>
      <c r="N4" s="196" t="s">
        <v>2</v>
      </c>
      <c r="O4" s="196" t="s">
        <v>907</v>
      </c>
      <c r="P4" s="196" t="s">
        <v>852</v>
      </c>
      <c r="Q4" s="196" t="s">
        <v>9</v>
      </c>
      <c r="R4" s="196" t="s">
        <v>853</v>
      </c>
      <c r="S4" s="196" t="s">
        <v>854</v>
      </c>
      <c r="T4" s="196" t="s">
        <v>16</v>
      </c>
      <c r="U4" s="196" t="s">
        <v>855</v>
      </c>
      <c r="V4" s="196" t="s">
        <v>12</v>
      </c>
      <c r="W4" s="196" t="s">
        <v>17</v>
      </c>
    </row>
    <row r="5" spans="1:23" ht="15.75" x14ac:dyDescent="0.25">
      <c r="A5" s="51" t="s">
        <v>1834</v>
      </c>
      <c r="B5" s="52">
        <v>46181</v>
      </c>
      <c r="C5" s="51" t="s">
        <v>929</v>
      </c>
      <c r="D5" s="51" t="s">
        <v>1537</v>
      </c>
      <c r="E5" s="51" t="s">
        <v>858</v>
      </c>
      <c r="F5" s="51" t="s">
        <v>62</v>
      </c>
      <c r="G5" s="51" t="s">
        <v>483</v>
      </c>
      <c r="H5" s="51" t="s">
        <v>27</v>
      </c>
      <c r="I5" s="51" t="s">
        <v>1647</v>
      </c>
      <c r="J5" s="51" t="s">
        <v>72</v>
      </c>
      <c r="K5" s="51" t="s">
        <v>483</v>
      </c>
      <c r="L5" s="51" t="s">
        <v>1646</v>
      </c>
      <c r="M5" s="51" t="s">
        <v>78</v>
      </c>
      <c r="N5" s="51" t="s">
        <v>20</v>
      </c>
      <c r="O5" s="51" t="s">
        <v>857</v>
      </c>
      <c r="P5" s="53">
        <v>1181449.78</v>
      </c>
      <c r="Q5" s="53">
        <v>3.75</v>
      </c>
      <c r="R5" s="53">
        <v>4430436.6749999998</v>
      </c>
      <c r="S5" s="73">
        <v>46196</v>
      </c>
      <c r="T5" s="51" t="s">
        <v>1937</v>
      </c>
      <c r="U5" s="51" t="s">
        <v>4028</v>
      </c>
      <c r="V5" s="51" t="s">
        <v>378</v>
      </c>
      <c r="W5" s="51"/>
    </row>
    <row r="6" spans="1:23" ht="15.75" x14ac:dyDescent="0.25">
      <c r="A6" s="48" t="s">
        <v>1639</v>
      </c>
      <c r="B6" s="49">
        <v>46191</v>
      </c>
      <c r="C6" s="48" t="s">
        <v>924</v>
      </c>
      <c r="D6" s="48" t="s">
        <v>509</v>
      </c>
      <c r="E6" s="48" t="s">
        <v>856</v>
      </c>
      <c r="F6" s="48" t="s">
        <v>95</v>
      </c>
      <c r="G6" s="48" t="s">
        <v>96</v>
      </c>
      <c r="H6" s="48" t="s">
        <v>27</v>
      </c>
      <c r="I6" s="48" t="s">
        <v>1582</v>
      </c>
      <c r="J6" s="48" t="s">
        <v>72</v>
      </c>
      <c r="K6" s="48" t="s">
        <v>511</v>
      </c>
      <c r="L6" s="48" t="s">
        <v>1236</v>
      </c>
      <c r="M6" s="48" t="s">
        <v>26</v>
      </c>
      <c r="N6" s="48" t="s">
        <v>20</v>
      </c>
      <c r="O6" s="48" t="s">
        <v>378</v>
      </c>
      <c r="P6" s="50">
        <v>185753.46</v>
      </c>
      <c r="Q6" s="50">
        <v>1</v>
      </c>
      <c r="R6" s="50">
        <v>185753.46</v>
      </c>
      <c r="S6" s="74">
        <v>46191</v>
      </c>
      <c r="T6" s="48" t="s">
        <v>1338</v>
      </c>
      <c r="U6" s="48"/>
      <c r="V6" s="48" t="s">
        <v>378</v>
      </c>
      <c r="W6" s="48"/>
    </row>
    <row r="7" spans="1:23" ht="15.75" x14ac:dyDescent="0.25">
      <c r="A7" s="48" t="s">
        <v>2904</v>
      </c>
      <c r="B7" s="49">
        <v>46124</v>
      </c>
      <c r="C7" s="48" t="s">
        <v>918</v>
      </c>
      <c r="D7" s="48" t="s">
        <v>441</v>
      </c>
      <c r="E7" s="48" t="s">
        <v>858</v>
      </c>
      <c r="F7" s="48" t="s">
        <v>366</v>
      </c>
      <c r="G7" s="48" t="s">
        <v>710</v>
      </c>
      <c r="H7" s="48" t="s">
        <v>27</v>
      </c>
      <c r="I7" s="48" t="s">
        <v>1374</v>
      </c>
      <c r="J7" s="48" t="s">
        <v>24</v>
      </c>
      <c r="K7" s="48" t="s">
        <v>710</v>
      </c>
      <c r="L7" s="48" t="s">
        <v>1209</v>
      </c>
      <c r="M7" s="48" t="s">
        <v>26</v>
      </c>
      <c r="N7" s="48" t="s">
        <v>20</v>
      </c>
      <c r="O7" s="48" t="s">
        <v>857</v>
      </c>
      <c r="P7" s="50">
        <v>1000332.98</v>
      </c>
      <c r="Q7" s="50">
        <v>1</v>
      </c>
      <c r="R7" s="50">
        <v>1000332.98</v>
      </c>
      <c r="S7" s="74">
        <v>46188</v>
      </c>
      <c r="T7" s="48" t="s">
        <v>621</v>
      </c>
      <c r="U7" s="48"/>
      <c r="V7" s="48" t="s">
        <v>378</v>
      </c>
      <c r="W7" s="48"/>
    </row>
    <row r="8" spans="1:23" ht="15.75" x14ac:dyDescent="0.25">
      <c r="A8" s="48" t="s">
        <v>2915</v>
      </c>
      <c r="B8" s="49">
        <v>46112</v>
      </c>
      <c r="C8" s="48" t="s">
        <v>918</v>
      </c>
      <c r="D8" s="48" t="s">
        <v>4206</v>
      </c>
      <c r="E8" s="48" t="s">
        <v>858</v>
      </c>
      <c r="F8" s="48" t="s">
        <v>62</v>
      </c>
      <c r="G8" s="48" t="s">
        <v>483</v>
      </c>
      <c r="H8" s="48" t="s">
        <v>27</v>
      </c>
      <c r="I8" s="48" t="s">
        <v>2363</v>
      </c>
      <c r="J8" s="48" t="s">
        <v>4207</v>
      </c>
      <c r="K8" s="48" t="s">
        <v>483</v>
      </c>
      <c r="L8" s="48" t="s">
        <v>1646</v>
      </c>
      <c r="M8" s="48" t="s">
        <v>67</v>
      </c>
      <c r="N8" s="48" t="s">
        <v>20</v>
      </c>
      <c r="O8" s="48" t="s">
        <v>857</v>
      </c>
      <c r="P8" s="50">
        <v>59836</v>
      </c>
      <c r="Q8" s="50">
        <v>4.375</v>
      </c>
      <c r="R8" s="50">
        <v>261782.5</v>
      </c>
      <c r="S8" s="74">
        <v>46188</v>
      </c>
      <c r="T8" s="48" t="s">
        <v>705</v>
      </c>
      <c r="U8" s="48" t="s">
        <v>4028</v>
      </c>
      <c r="V8" s="48" t="s">
        <v>378</v>
      </c>
      <c r="W8" s="48"/>
    </row>
    <row r="9" spans="1:23" ht="15.75" x14ac:dyDescent="0.25">
      <c r="A9" s="48" t="s">
        <v>4393</v>
      </c>
      <c r="B9" s="49">
        <v>46134</v>
      </c>
      <c r="C9" s="48" t="s">
        <v>918</v>
      </c>
      <c r="D9" s="48" t="s">
        <v>441</v>
      </c>
      <c r="E9" s="48" t="s">
        <v>858</v>
      </c>
      <c r="F9" s="48" t="s">
        <v>366</v>
      </c>
      <c r="G9" s="48" t="s">
        <v>710</v>
      </c>
      <c r="H9" s="48" t="s">
        <v>27</v>
      </c>
      <c r="I9" s="48" t="s">
        <v>4277</v>
      </c>
      <c r="J9" s="48" t="s">
        <v>24</v>
      </c>
      <c r="K9" s="48" t="s">
        <v>710</v>
      </c>
      <c r="L9" s="48" t="s">
        <v>1209</v>
      </c>
      <c r="M9" s="48" t="s">
        <v>26</v>
      </c>
      <c r="N9" s="48" t="s">
        <v>20</v>
      </c>
      <c r="O9" s="48" t="s">
        <v>857</v>
      </c>
      <c r="P9" s="50">
        <v>5000000</v>
      </c>
      <c r="Q9" s="50">
        <v>1</v>
      </c>
      <c r="R9" s="50">
        <v>5000000</v>
      </c>
      <c r="S9" s="74">
        <v>46187</v>
      </c>
      <c r="T9" s="48" t="s">
        <v>311</v>
      </c>
      <c r="U9" s="48" t="s">
        <v>5574</v>
      </c>
      <c r="V9" s="48" t="s">
        <v>378</v>
      </c>
      <c r="W9" s="48"/>
    </row>
    <row r="10" spans="1:23" ht="15.75" x14ac:dyDescent="0.25">
      <c r="A10" s="48" t="s">
        <v>3319</v>
      </c>
      <c r="B10" s="49">
        <v>46146</v>
      </c>
      <c r="C10" s="48" t="s">
        <v>924</v>
      </c>
      <c r="D10" s="48" t="s">
        <v>3566</v>
      </c>
      <c r="E10" s="48" t="s">
        <v>856</v>
      </c>
      <c r="F10" s="48" t="s">
        <v>612</v>
      </c>
      <c r="G10" s="48" t="s">
        <v>613</v>
      </c>
      <c r="H10" s="48" t="s">
        <v>27</v>
      </c>
      <c r="I10" s="48" t="s">
        <v>3187</v>
      </c>
      <c r="J10" s="48" t="s">
        <v>72</v>
      </c>
      <c r="K10" s="48" t="s">
        <v>613</v>
      </c>
      <c r="L10" s="48" t="s">
        <v>1135</v>
      </c>
      <c r="M10" s="48" t="s">
        <v>26</v>
      </c>
      <c r="N10" s="48" t="s">
        <v>20</v>
      </c>
      <c r="O10" s="48" t="s">
        <v>378</v>
      </c>
      <c r="P10" s="50">
        <v>204411.35</v>
      </c>
      <c r="Q10" s="50">
        <v>1</v>
      </c>
      <c r="R10" s="50">
        <v>204411.35</v>
      </c>
      <c r="S10" s="74">
        <v>46187</v>
      </c>
      <c r="T10" s="48" t="s">
        <v>3188</v>
      </c>
      <c r="U10" s="48" t="s">
        <v>613</v>
      </c>
      <c r="V10" s="48" t="s">
        <v>857</v>
      </c>
      <c r="W10" s="48"/>
    </row>
    <row r="11" spans="1:23" ht="15.75" x14ac:dyDescent="0.25">
      <c r="A11" s="48" t="s">
        <v>1896</v>
      </c>
      <c r="B11" s="49">
        <v>46154</v>
      </c>
      <c r="C11" s="48" t="s">
        <v>931</v>
      </c>
      <c r="D11" s="48" t="s">
        <v>509</v>
      </c>
      <c r="E11" s="48" t="s">
        <v>856</v>
      </c>
      <c r="F11" s="48" t="s">
        <v>21</v>
      </c>
      <c r="G11" s="48" t="s">
        <v>22</v>
      </c>
      <c r="H11" s="48" t="s">
        <v>27</v>
      </c>
      <c r="I11" s="48" t="s">
        <v>1883</v>
      </c>
      <c r="J11" s="48" t="s">
        <v>72</v>
      </c>
      <c r="K11" s="48" t="s">
        <v>511</v>
      </c>
      <c r="L11" s="48" t="s">
        <v>1236</v>
      </c>
      <c r="M11" s="48" t="s">
        <v>26</v>
      </c>
      <c r="N11" s="48" t="s">
        <v>20</v>
      </c>
      <c r="O11" s="48" t="s">
        <v>378</v>
      </c>
      <c r="P11" s="50">
        <v>263230</v>
      </c>
      <c r="Q11" s="50">
        <v>1</v>
      </c>
      <c r="R11" s="50">
        <v>263230</v>
      </c>
      <c r="S11" s="74">
        <v>46187</v>
      </c>
      <c r="T11" s="48" t="s">
        <v>117</v>
      </c>
      <c r="U11" s="48" t="s">
        <v>1460</v>
      </c>
      <c r="V11" s="48" t="s">
        <v>378</v>
      </c>
      <c r="W11" s="48"/>
    </row>
    <row r="12" spans="1:23" ht="15.75" x14ac:dyDescent="0.25">
      <c r="A12" s="48" t="s">
        <v>4679</v>
      </c>
      <c r="B12" s="49">
        <v>46163</v>
      </c>
      <c r="C12" s="48" t="s">
        <v>916</v>
      </c>
      <c r="D12" s="48" t="s">
        <v>2801</v>
      </c>
      <c r="E12" s="48" t="s">
        <v>856</v>
      </c>
      <c r="F12" s="48" t="s">
        <v>95</v>
      </c>
      <c r="G12" s="48" t="s">
        <v>96</v>
      </c>
      <c r="H12" s="48" t="s">
        <v>27</v>
      </c>
      <c r="I12" s="48" t="s">
        <v>2448</v>
      </c>
      <c r="J12" s="48" t="s">
        <v>5172</v>
      </c>
      <c r="K12" s="48" t="s">
        <v>328</v>
      </c>
      <c r="L12" s="48" t="s">
        <v>1142</v>
      </c>
      <c r="M12" s="48" t="s">
        <v>26</v>
      </c>
      <c r="N12" s="48" t="s">
        <v>20</v>
      </c>
      <c r="O12" s="48" t="s">
        <v>378</v>
      </c>
      <c r="P12" s="50">
        <v>2500000</v>
      </c>
      <c r="Q12" s="50">
        <v>1</v>
      </c>
      <c r="R12" s="50">
        <v>2500000</v>
      </c>
      <c r="S12" s="74">
        <v>46184</v>
      </c>
      <c r="T12" s="48" t="s">
        <v>3188</v>
      </c>
      <c r="U12" s="48" t="s">
        <v>96</v>
      </c>
      <c r="V12" s="48" t="s">
        <v>857</v>
      </c>
      <c r="W12" s="48"/>
    </row>
    <row r="13" spans="1:23" ht="15.75" x14ac:dyDescent="0.25">
      <c r="A13" s="48" t="s">
        <v>4304</v>
      </c>
      <c r="B13" s="49">
        <v>46110</v>
      </c>
      <c r="C13" s="48" t="s">
        <v>916</v>
      </c>
      <c r="D13" s="48" t="s">
        <v>441</v>
      </c>
      <c r="E13" s="48" t="s">
        <v>856</v>
      </c>
      <c r="F13" s="48" t="s">
        <v>612</v>
      </c>
      <c r="G13" s="48" t="s">
        <v>613</v>
      </c>
      <c r="H13" s="48" t="s">
        <v>27</v>
      </c>
      <c r="I13" s="48" t="s">
        <v>4277</v>
      </c>
      <c r="J13" s="48" t="s">
        <v>24</v>
      </c>
      <c r="K13" s="48" t="s">
        <v>367</v>
      </c>
      <c r="L13" s="48" t="s">
        <v>1136</v>
      </c>
      <c r="M13" s="48" t="s">
        <v>26</v>
      </c>
      <c r="N13" s="48" t="s">
        <v>20</v>
      </c>
      <c r="O13" s="48" t="s">
        <v>378</v>
      </c>
      <c r="P13" s="50">
        <v>25000000</v>
      </c>
      <c r="Q13" s="50">
        <v>1</v>
      </c>
      <c r="R13" s="50">
        <v>25000000</v>
      </c>
      <c r="S13" s="74">
        <v>46181</v>
      </c>
      <c r="T13" s="48" t="s">
        <v>311</v>
      </c>
      <c r="U13" s="48" t="s">
        <v>5455</v>
      </c>
      <c r="V13" s="48" t="s">
        <v>378</v>
      </c>
      <c r="W13" s="48"/>
    </row>
    <row r="14" spans="1:23" ht="15.75" x14ac:dyDescent="0.25">
      <c r="A14" s="48" t="s">
        <v>2562</v>
      </c>
      <c r="B14" s="49">
        <v>46135</v>
      </c>
      <c r="C14" s="48" t="s">
        <v>922</v>
      </c>
      <c r="D14" s="48" t="s">
        <v>2801</v>
      </c>
      <c r="E14" s="48" t="s">
        <v>856</v>
      </c>
      <c r="F14" s="48" t="s">
        <v>95</v>
      </c>
      <c r="G14" s="48" t="s">
        <v>96</v>
      </c>
      <c r="H14" s="48" t="s">
        <v>27</v>
      </c>
      <c r="I14" s="48" t="s">
        <v>2448</v>
      </c>
      <c r="J14" s="48" t="s">
        <v>3219</v>
      </c>
      <c r="K14" s="48" t="s">
        <v>328</v>
      </c>
      <c r="L14" s="48" t="s">
        <v>1142</v>
      </c>
      <c r="M14" s="48" t="s">
        <v>26</v>
      </c>
      <c r="N14" s="48" t="s">
        <v>20</v>
      </c>
      <c r="O14" s="48" t="s">
        <v>378</v>
      </c>
      <c r="P14" s="50">
        <v>1418090.3</v>
      </c>
      <c r="Q14" s="50">
        <v>1</v>
      </c>
      <c r="R14" s="50">
        <v>1418090.3</v>
      </c>
      <c r="S14" s="74">
        <v>46181</v>
      </c>
      <c r="T14" s="48" t="s">
        <v>311</v>
      </c>
      <c r="U14" s="48" t="s">
        <v>96</v>
      </c>
      <c r="V14" s="48" t="s">
        <v>857</v>
      </c>
      <c r="W14" s="48"/>
    </row>
    <row r="15" spans="1:23" ht="15.75" x14ac:dyDescent="0.25">
      <c r="A15" s="48" t="s">
        <v>2568</v>
      </c>
      <c r="B15" s="49">
        <v>46155</v>
      </c>
      <c r="C15" s="48" t="s">
        <v>931</v>
      </c>
      <c r="D15" s="48" t="s">
        <v>1537</v>
      </c>
      <c r="E15" s="48" t="s">
        <v>856</v>
      </c>
      <c r="F15" s="48" t="s">
        <v>62</v>
      </c>
      <c r="G15" s="48" t="s">
        <v>70</v>
      </c>
      <c r="H15" s="48" t="s">
        <v>70</v>
      </c>
      <c r="I15" s="48" t="s">
        <v>1641</v>
      </c>
      <c r="J15" s="48" t="s">
        <v>72</v>
      </c>
      <c r="K15" s="48" t="s">
        <v>483</v>
      </c>
      <c r="L15" s="48" t="s">
        <v>1646</v>
      </c>
      <c r="M15" s="48" t="s">
        <v>26</v>
      </c>
      <c r="N15" s="48" t="s">
        <v>20</v>
      </c>
      <c r="O15" s="48" t="s">
        <v>857</v>
      </c>
      <c r="P15" s="50">
        <v>911.13000000000466</v>
      </c>
      <c r="Q15" s="50">
        <v>1</v>
      </c>
      <c r="R15" s="50">
        <v>911.13000000000466</v>
      </c>
      <c r="S15" s="74">
        <v>46181</v>
      </c>
      <c r="T15" s="48" t="s">
        <v>305</v>
      </c>
      <c r="U15" s="48" t="s">
        <v>70</v>
      </c>
      <c r="V15" s="48" t="s">
        <v>857</v>
      </c>
      <c r="W15" s="48"/>
    </row>
    <row r="16" spans="1:23" ht="15.75" x14ac:dyDescent="0.25">
      <c r="A16" s="48" t="s">
        <v>2562</v>
      </c>
      <c r="B16" s="49">
        <v>46160</v>
      </c>
      <c r="C16" s="48" t="s">
        <v>929</v>
      </c>
      <c r="D16" s="48" t="s">
        <v>2801</v>
      </c>
      <c r="E16" s="48" t="s">
        <v>856</v>
      </c>
      <c r="F16" s="48" t="s">
        <v>95</v>
      </c>
      <c r="G16" s="48" t="s">
        <v>96</v>
      </c>
      <c r="H16" s="48" t="s">
        <v>27</v>
      </c>
      <c r="I16" s="48" t="s">
        <v>2448</v>
      </c>
      <c r="J16" s="48" t="s">
        <v>3219</v>
      </c>
      <c r="K16" s="48" t="s">
        <v>328</v>
      </c>
      <c r="L16" s="48" t="s">
        <v>1142</v>
      </c>
      <c r="M16" s="48" t="s">
        <v>26</v>
      </c>
      <c r="N16" s="48" t="s">
        <v>20</v>
      </c>
      <c r="O16" s="48" t="s">
        <v>378</v>
      </c>
      <c r="P16" s="50">
        <v>373524</v>
      </c>
      <c r="Q16" s="50">
        <v>1</v>
      </c>
      <c r="R16" s="50">
        <v>373524</v>
      </c>
      <c r="S16" s="74">
        <v>46181</v>
      </c>
      <c r="T16" s="48" t="s">
        <v>311</v>
      </c>
      <c r="U16" s="48" t="s">
        <v>96</v>
      </c>
      <c r="V16" s="48" t="s">
        <v>857</v>
      </c>
      <c r="W16" s="48"/>
    </row>
    <row r="17" spans="1:23" ht="15.75" x14ac:dyDescent="0.25">
      <c r="A17" s="48" t="s">
        <v>2287</v>
      </c>
      <c r="B17" s="49">
        <v>46176</v>
      </c>
      <c r="C17" s="48" t="s">
        <v>928</v>
      </c>
      <c r="D17" s="48" t="s">
        <v>3566</v>
      </c>
      <c r="E17" s="48" t="s">
        <v>856</v>
      </c>
      <c r="F17" s="48" t="s">
        <v>612</v>
      </c>
      <c r="G17" s="48" t="s">
        <v>613</v>
      </c>
      <c r="H17" s="48" t="s">
        <v>27</v>
      </c>
      <c r="I17" s="48" t="s">
        <v>1938</v>
      </c>
      <c r="J17" s="48" t="s">
        <v>72</v>
      </c>
      <c r="K17" s="48" t="s">
        <v>613</v>
      </c>
      <c r="L17" s="48" t="s">
        <v>1135</v>
      </c>
      <c r="M17" s="48" t="s">
        <v>26</v>
      </c>
      <c r="N17" s="48" t="s">
        <v>20</v>
      </c>
      <c r="O17" s="48" t="s">
        <v>378</v>
      </c>
      <c r="P17" s="50">
        <v>1205043.97</v>
      </c>
      <c r="Q17" s="50">
        <v>1</v>
      </c>
      <c r="R17" s="50">
        <v>1205043.97</v>
      </c>
      <c r="S17" s="74">
        <v>46181</v>
      </c>
      <c r="T17" s="48" t="s">
        <v>2790</v>
      </c>
      <c r="U17" s="48" t="s">
        <v>613</v>
      </c>
      <c r="V17" s="48" t="s">
        <v>857</v>
      </c>
      <c r="W17" s="48"/>
    </row>
    <row r="18" spans="1:23" ht="15.75" x14ac:dyDescent="0.25">
      <c r="A18" s="48" t="s">
        <v>1767</v>
      </c>
      <c r="B18" s="49">
        <v>46176</v>
      </c>
      <c r="C18" s="48" t="s">
        <v>930</v>
      </c>
      <c r="D18" s="48" t="s">
        <v>509</v>
      </c>
      <c r="E18" s="48" t="s">
        <v>856</v>
      </c>
      <c r="F18" s="48" t="s">
        <v>21</v>
      </c>
      <c r="G18" s="48" t="s">
        <v>22</v>
      </c>
      <c r="H18" s="48" t="s">
        <v>27</v>
      </c>
      <c r="I18" s="48" t="s">
        <v>1337</v>
      </c>
      <c r="J18" s="48" t="s">
        <v>72</v>
      </c>
      <c r="K18" s="48" t="s">
        <v>511</v>
      </c>
      <c r="L18" s="48" t="s">
        <v>1236</v>
      </c>
      <c r="M18" s="48" t="s">
        <v>26</v>
      </c>
      <c r="N18" s="48" t="s">
        <v>20</v>
      </c>
      <c r="O18" s="48" t="s">
        <v>378</v>
      </c>
      <c r="P18" s="50">
        <v>292378.94</v>
      </c>
      <c r="Q18" s="50">
        <v>1</v>
      </c>
      <c r="R18" s="50">
        <v>292378.94</v>
      </c>
      <c r="S18" s="74">
        <v>46181</v>
      </c>
      <c r="T18" s="48" t="s">
        <v>1338</v>
      </c>
      <c r="U18" s="48" t="s">
        <v>511</v>
      </c>
      <c r="V18" s="48" t="s">
        <v>857</v>
      </c>
      <c r="W18" s="48"/>
    </row>
    <row r="19" spans="1:23" ht="15.75" x14ac:dyDescent="0.25">
      <c r="A19" s="48" t="s">
        <v>1934</v>
      </c>
      <c r="B19" s="49">
        <v>46155</v>
      </c>
      <c r="C19" s="48" t="s">
        <v>931</v>
      </c>
      <c r="D19" s="48" t="s">
        <v>1537</v>
      </c>
      <c r="E19" s="48" t="s">
        <v>856</v>
      </c>
      <c r="F19" s="48" t="s">
        <v>62</v>
      </c>
      <c r="G19" s="48" t="s">
        <v>483</v>
      </c>
      <c r="H19" s="48" t="s">
        <v>27</v>
      </c>
      <c r="I19" s="48" t="s">
        <v>1641</v>
      </c>
      <c r="J19" s="48" t="s">
        <v>72</v>
      </c>
      <c r="K19" s="48" t="s">
        <v>483</v>
      </c>
      <c r="L19" s="48" t="s">
        <v>1646</v>
      </c>
      <c r="M19" s="48" t="s">
        <v>26</v>
      </c>
      <c r="N19" s="48" t="s">
        <v>20</v>
      </c>
      <c r="O19" s="48" t="s">
        <v>857</v>
      </c>
      <c r="P19" s="50">
        <v>732848.2</v>
      </c>
      <c r="Q19" s="50">
        <v>1</v>
      </c>
      <c r="R19" s="50">
        <v>732848.2</v>
      </c>
      <c r="S19" s="74">
        <v>46181</v>
      </c>
      <c r="T19" s="48" t="s">
        <v>305</v>
      </c>
      <c r="U19" s="48" t="s">
        <v>4028</v>
      </c>
      <c r="V19" s="48" t="s">
        <v>857</v>
      </c>
      <c r="W19" s="48"/>
    </row>
    <row r="20" spans="1:23" ht="15.75" x14ac:dyDescent="0.25">
      <c r="A20" s="48" t="s">
        <v>1767</v>
      </c>
      <c r="B20" s="49">
        <v>46176</v>
      </c>
      <c r="C20" s="48" t="s">
        <v>922</v>
      </c>
      <c r="D20" s="48" t="s">
        <v>509</v>
      </c>
      <c r="E20" s="48" t="s">
        <v>856</v>
      </c>
      <c r="F20" s="48" t="s">
        <v>21</v>
      </c>
      <c r="G20" s="48" t="s">
        <v>22</v>
      </c>
      <c r="H20" s="48" t="s">
        <v>27</v>
      </c>
      <c r="I20" s="48" t="s">
        <v>1337</v>
      </c>
      <c r="J20" s="48" t="s">
        <v>72</v>
      </c>
      <c r="K20" s="48" t="s">
        <v>511</v>
      </c>
      <c r="L20" s="48" t="s">
        <v>1236</v>
      </c>
      <c r="M20" s="48" t="s">
        <v>26</v>
      </c>
      <c r="N20" s="48" t="s">
        <v>20</v>
      </c>
      <c r="O20" s="48" t="s">
        <v>378</v>
      </c>
      <c r="P20" s="50">
        <v>440649.09</v>
      </c>
      <c r="Q20" s="50">
        <v>1</v>
      </c>
      <c r="R20" s="50">
        <v>440649.09</v>
      </c>
      <c r="S20" s="74">
        <v>46181</v>
      </c>
      <c r="T20" s="48" t="s">
        <v>1338</v>
      </c>
      <c r="U20" s="48" t="s">
        <v>511</v>
      </c>
      <c r="V20" s="48" t="s">
        <v>857</v>
      </c>
      <c r="W20" s="48"/>
    </row>
    <row r="21" spans="1:23" ht="15.75" x14ac:dyDescent="0.25">
      <c r="A21" s="48" t="s">
        <v>1767</v>
      </c>
      <c r="B21" s="49">
        <v>46176</v>
      </c>
      <c r="C21" s="48" t="s">
        <v>929</v>
      </c>
      <c r="D21" s="48" t="s">
        <v>509</v>
      </c>
      <c r="E21" s="48" t="s">
        <v>856</v>
      </c>
      <c r="F21" s="48" t="s">
        <v>21</v>
      </c>
      <c r="G21" s="48" t="s">
        <v>22</v>
      </c>
      <c r="H21" s="48" t="s">
        <v>27</v>
      </c>
      <c r="I21" s="48" t="s">
        <v>1337</v>
      </c>
      <c r="J21" s="48" t="s">
        <v>72</v>
      </c>
      <c r="K21" s="48" t="s">
        <v>511</v>
      </c>
      <c r="L21" s="48" t="s">
        <v>1236</v>
      </c>
      <c r="M21" s="48" t="s">
        <v>26</v>
      </c>
      <c r="N21" s="48" t="s">
        <v>20</v>
      </c>
      <c r="O21" s="48" t="s">
        <v>378</v>
      </c>
      <c r="P21" s="50">
        <v>85138.27</v>
      </c>
      <c r="Q21" s="50">
        <v>1</v>
      </c>
      <c r="R21" s="50">
        <v>85138.27</v>
      </c>
      <c r="S21" s="74">
        <v>46181</v>
      </c>
      <c r="T21" s="48" t="s">
        <v>1338</v>
      </c>
      <c r="U21" s="48" t="s">
        <v>511</v>
      </c>
      <c r="V21" s="48" t="s">
        <v>857</v>
      </c>
      <c r="W21" s="48"/>
    </row>
    <row r="22" spans="1:23" ht="15.75" x14ac:dyDescent="0.25">
      <c r="A22" s="48" t="s">
        <v>1887</v>
      </c>
      <c r="B22" s="49">
        <v>46159</v>
      </c>
      <c r="C22" s="48" t="s">
        <v>924</v>
      </c>
      <c r="D22" s="48" t="s">
        <v>509</v>
      </c>
      <c r="E22" s="48" t="s">
        <v>856</v>
      </c>
      <c r="F22" s="48" t="s">
        <v>21</v>
      </c>
      <c r="G22" s="48" t="s">
        <v>22</v>
      </c>
      <c r="H22" s="48" t="s">
        <v>27</v>
      </c>
      <c r="I22" s="48" t="s">
        <v>510</v>
      </c>
      <c r="J22" s="48" t="s">
        <v>72</v>
      </c>
      <c r="K22" s="48" t="s">
        <v>511</v>
      </c>
      <c r="L22" s="48" t="s">
        <v>1236</v>
      </c>
      <c r="M22" s="48" t="s">
        <v>26</v>
      </c>
      <c r="N22" s="48" t="s">
        <v>20</v>
      </c>
      <c r="O22" s="48" t="s">
        <v>378</v>
      </c>
      <c r="P22" s="50">
        <v>1018975.83</v>
      </c>
      <c r="Q22" s="50">
        <v>1</v>
      </c>
      <c r="R22" s="50">
        <v>1018975.83</v>
      </c>
      <c r="S22" s="74">
        <v>46180</v>
      </c>
      <c r="T22" s="48" t="s">
        <v>1882</v>
      </c>
      <c r="U22" s="48" t="s">
        <v>511</v>
      </c>
      <c r="V22" s="48" t="s">
        <v>857</v>
      </c>
      <c r="W22" s="48"/>
    </row>
    <row r="23" spans="1:23" ht="15.75" x14ac:dyDescent="0.25">
      <c r="A23" s="48" t="s">
        <v>4546</v>
      </c>
      <c r="B23" s="49">
        <v>46133</v>
      </c>
      <c r="C23" s="48" t="s">
        <v>918</v>
      </c>
      <c r="D23" s="48" t="s">
        <v>4231</v>
      </c>
      <c r="E23" s="48" t="s">
        <v>858</v>
      </c>
      <c r="F23" s="48" t="s">
        <v>1073</v>
      </c>
      <c r="G23" s="48" t="s">
        <v>882</v>
      </c>
      <c r="H23" s="48" t="s">
        <v>27</v>
      </c>
      <c r="I23" s="48" t="s">
        <v>4230</v>
      </c>
      <c r="J23" s="48" t="s">
        <v>72</v>
      </c>
      <c r="K23" s="48" t="s">
        <v>882</v>
      </c>
      <c r="L23" s="48" t="s">
        <v>4134</v>
      </c>
      <c r="M23" s="48" t="s">
        <v>26</v>
      </c>
      <c r="N23" s="48" t="s">
        <v>20</v>
      </c>
      <c r="O23" s="48" t="s">
        <v>857</v>
      </c>
      <c r="P23" s="50">
        <v>1031998.5</v>
      </c>
      <c r="Q23" s="50">
        <v>1</v>
      </c>
      <c r="R23" s="50">
        <v>1031998.5</v>
      </c>
      <c r="S23" s="74">
        <v>46180</v>
      </c>
      <c r="T23" s="48" t="s">
        <v>425</v>
      </c>
      <c r="U23" s="48" t="s">
        <v>882</v>
      </c>
      <c r="V23" s="48" t="s">
        <v>857</v>
      </c>
      <c r="W23" s="48"/>
    </row>
    <row r="24" spans="1:23" ht="15.75" x14ac:dyDescent="0.25">
      <c r="A24" s="48" t="s">
        <v>4239</v>
      </c>
      <c r="B24" s="49">
        <v>46109</v>
      </c>
      <c r="C24" s="48" t="s">
        <v>916</v>
      </c>
      <c r="D24" s="48" t="s">
        <v>509</v>
      </c>
      <c r="E24" s="48" t="s">
        <v>858</v>
      </c>
      <c r="F24" s="48" t="s">
        <v>21</v>
      </c>
      <c r="G24" s="48" t="s">
        <v>22</v>
      </c>
      <c r="H24" s="48" t="s">
        <v>27</v>
      </c>
      <c r="I24" s="48" t="s">
        <v>781</v>
      </c>
      <c r="J24" s="48" t="s">
        <v>72</v>
      </c>
      <c r="K24" s="48" t="s">
        <v>511</v>
      </c>
      <c r="L24" s="48" t="s">
        <v>1236</v>
      </c>
      <c r="M24" s="48" t="s">
        <v>26</v>
      </c>
      <c r="N24" s="48" t="s">
        <v>20</v>
      </c>
      <c r="O24" s="48" t="s">
        <v>857</v>
      </c>
      <c r="P24" s="50">
        <v>415046.21</v>
      </c>
      <c r="Q24" s="50">
        <v>1</v>
      </c>
      <c r="R24" s="50">
        <v>415046.21</v>
      </c>
      <c r="S24" s="74">
        <v>46180</v>
      </c>
      <c r="T24" s="48" t="s">
        <v>305</v>
      </c>
      <c r="U24" s="48" t="s">
        <v>511</v>
      </c>
      <c r="V24" s="48" t="s">
        <v>857</v>
      </c>
      <c r="W24" s="48"/>
    </row>
    <row r="25" spans="1:23" ht="15.75" x14ac:dyDescent="0.25">
      <c r="A25" s="48" t="s">
        <v>3142</v>
      </c>
      <c r="B25" s="49">
        <v>46148</v>
      </c>
      <c r="C25" s="48" t="s">
        <v>918</v>
      </c>
      <c r="D25" s="48" t="s">
        <v>2801</v>
      </c>
      <c r="E25" s="48" t="s">
        <v>856</v>
      </c>
      <c r="F25" s="48" t="s">
        <v>95</v>
      </c>
      <c r="G25" s="48" t="s">
        <v>96</v>
      </c>
      <c r="H25" s="48" t="s">
        <v>27</v>
      </c>
      <c r="I25" s="48" t="s">
        <v>2925</v>
      </c>
      <c r="J25" s="48" t="s">
        <v>3219</v>
      </c>
      <c r="K25" s="48" t="s">
        <v>328</v>
      </c>
      <c r="L25" s="48" t="s">
        <v>1142</v>
      </c>
      <c r="M25" s="48" t="s">
        <v>26</v>
      </c>
      <c r="N25" s="48" t="s">
        <v>20</v>
      </c>
      <c r="O25" s="48" t="s">
        <v>378</v>
      </c>
      <c r="P25" s="50">
        <v>240327</v>
      </c>
      <c r="Q25" s="50">
        <v>1</v>
      </c>
      <c r="R25" s="50">
        <v>240327</v>
      </c>
      <c r="S25" s="74">
        <v>46177</v>
      </c>
      <c r="T25" s="48" t="s">
        <v>425</v>
      </c>
      <c r="U25" s="48" t="s">
        <v>96</v>
      </c>
      <c r="V25" s="48" t="s">
        <v>857</v>
      </c>
      <c r="W25" s="48"/>
    </row>
    <row r="26" spans="1:23" ht="15.75" x14ac:dyDescent="0.25">
      <c r="A26" s="48" t="s">
        <v>1664</v>
      </c>
      <c r="B26" s="49">
        <v>46126</v>
      </c>
      <c r="C26" s="48" t="s">
        <v>924</v>
      </c>
      <c r="D26" s="48" t="s">
        <v>1119</v>
      </c>
      <c r="E26" s="48" t="s">
        <v>858</v>
      </c>
      <c r="F26" s="48" t="s">
        <v>366</v>
      </c>
      <c r="G26" s="48" t="s">
        <v>367</v>
      </c>
      <c r="H26" s="48" t="s">
        <v>27</v>
      </c>
      <c r="I26" s="48" t="s">
        <v>1623</v>
      </c>
      <c r="J26" s="48" t="s">
        <v>24</v>
      </c>
      <c r="K26" s="48" t="s">
        <v>367</v>
      </c>
      <c r="L26" s="48" t="s">
        <v>1136</v>
      </c>
      <c r="M26" s="48" t="s">
        <v>26</v>
      </c>
      <c r="N26" s="48" t="s">
        <v>20</v>
      </c>
      <c r="O26" s="48" t="s">
        <v>857</v>
      </c>
      <c r="P26" s="50">
        <v>176542</v>
      </c>
      <c r="Q26" s="50">
        <v>1</v>
      </c>
      <c r="R26" s="50">
        <v>176542</v>
      </c>
      <c r="S26" s="74">
        <v>46176</v>
      </c>
      <c r="T26" s="48" t="s">
        <v>1624</v>
      </c>
      <c r="U26" s="48" t="s">
        <v>367</v>
      </c>
      <c r="V26" s="48" t="s">
        <v>857</v>
      </c>
      <c r="W26" s="48"/>
    </row>
    <row r="27" spans="1:23" ht="15.75" x14ac:dyDescent="0.25">
      <c r="A27" s="48" t="s">
        <v>4295</v>
      </c>
      <c r="B27" s="49">
        <v>46109</v>
      </c>
      <c r="C27" s="48" t="s">
        <v>924</v>
      </c>
      <c r="D27" s="48" t="s">
        <v>441</v>
      </c>
      <c r="E27" s="48" t="s">
        <v>856</v>
      </c>
      <c r="F27" s="48" t="s">
        <v>21</v>
      </c>
      <c r="G27" s="48" t="s">
        <v>22</v>
      </c>
      <c r="H27" s="48" t="s">
        <v>27</v>
      </c>
      <c r="I27" s="48" t="s">
        <v>4277</v>
      </c>
      <c r="J27" s="48" t="s">
        <v>24</v>
      </c>
      <c r="K27" s="48" t="s">
        <v>367</v>
      </c>
      <c r="L27" s="48" t="s">
        <v>1136</v>
      </c>
      <c r="M27" s="48" t="s">
        <v>26</v>
      </c>
      <c r="N27" s="48" t="s">
        <v>20</v>
      </c>
      <c r="O27" s="48" t="s">
        <v>857</v>
      </c>
      <c r="P27" s="50">
        <v>50000000</v>
      </c>
      <c r="Q27" s="50">
        <v>1</v>
      </c>
      <c r="R27" s="50">
        <v>50000000</v>
      </c>
      <c r="S27" s="74">
        <v>46176</v>
      </c>
      <c r="T27" s="48" t="s">
        <v>311</v>
      </c>
      <c r="U27" s="48" t="s">
        <v>5428</v>
      </c>
      <c r="V27" s="48" t="s">
        <v>378</v>
      </c>
      <c r="W27" s="48" t="s">
        <v>5412</v>
      </c>
    </row>
    <row r="28" spans="1:23" ht="15.75" x14ac:dyDescent="0.25">
      <c r="A28" s="48" t="s">
        <v>3954</v>
      </c>
      <c r="B28" s="49">
        <v>46091</v>
      </c>
      <c r="C28" s="48" t="s">
        <v>916</v>
      </c>
      <c r="D28" s="48" t="s">
        <v>1537</v>
      </c>
      <c r="E28" s="48" t="s">
        <v>856</v>
      </c>
      <c r="F28" s="48" t="s">
        <v>62</v>
      </c>
      <c r="G28" s="48" t="s">
        <v>483</v>
      </c>
      <c r="H28" s="48" t="s">
        <v>27</v>
      </c>
      <c r="I28" s="48" t="s">
        <v>3857</v>
      </c>
      <c r="J28" s="48" t="s">
        <v>24</v>
      </c>
      <c r="K28" s="48" t="s">
        <v>483</v>
      </c>
      <c r="L28" s="48" t="s">
        <v>1646</v>
      </c>
      <c r="M28" s="48" t="s">
        <v>26</v>
      </c>
      <c r="N28" s="48" t="s">
        <v>20</v>
      </c>
      <c r="O28" s="48" t="s">
        <v>857</v>
      </c>
      <c r="P28" s="50">
        <v>500000</v>
      </c>
      <c r="Q28" s="50">
        <v>1</v>
      </c>
      <c r="R28" s="50">
        <v>500000</v>
      </c>
      <c r="S28" s="74">
        <v>46176</v>
      </c>
      <c r="T28" s="48" t="s">
        <v>3229</v>
      </c>
      <c r="U28" s="48" t="s">
        <v>5429</v>
      </c>
      <c r="V28" s="48" t="s">
        <v>378</v>
      </c>
      <c r="W28" s="48"/>
    </row>
    <row r="29" spans="1:23" ht="15.75" x14ac:dyDescent="0.25">
      <c r="A29" s="48" t="s">
        <v>3948</v>
      </c>
      <c r="B29" s="49">
        <v>46096</v>
      </c>
      <c r="C29" s="48" t="s">
        <v>916</v>
      </c>
      <c r="D29" s="48" t="s">
        <v>1537</v>
      </c>
      <c r="E29" s="48" t="s">
        <v>856</v>
      </c>
      <c r="F29" s="48" t="s">
        <v>62</v>
      </c>
      <c r="G29" s="48" t="s">
        <v>483</v>
      </c>
      <c r="H29" s="48" t="s">
        <v>27</v>
      </c>
      <c r="I29" s="48" t="s">
        <v>521</v>
      </c>
      <c r="J29" s="48" t="s">
        <v>24</v>
      </c>
      <c r="K29" s="48" t="s">
        <v>483</v>
      </c>
      <c r="L29" s="48" t="s">
        <v>1646</v>
      </c>
      <c r="M29" s="48" t="s">
        <v>26</v>
      </c>
      <c r="N29" s="48" t="s">
        <v>20</v>
      </c>
      <c r="O29" s="48" t="s">
        <v>857</v>
      </c>
      <c r="P29" s="50">
        <v>500000</v>
      </c>
      <c r="Q29" s="50">
        <v>1</v>
      </c>
      <c r="R29" s="50">
        <v>500000</v>
      </c>
      <c r="S29" s="74">
        <v>46176</v>
      </c>
      <c r="T29" s="48" t="s">
        <v>3229</v>
      </c>
      <c r="U29" s="48" t="s">
        <v>5429</v>
      </c>
      <c r="V29" s="48" t="s">
        <v>378</v>
      </c>
      <c r="W29" s="48"/>
    </row>
    <row r="30" spans="1:23" ht="15.75" x14ac:dyDescent="0.25">
      <c r="A30" s="48" t="s">
        <v>3320</v>
      </c>
      <c r="B30" s="49">
        <v>46092</v>
      </c>
      <c r="C30" s="48" t="s">
        <v>916</v>
      </c>
      <c r="D30" s="48" t="s">
        <v>1537</v>
      </c>
      <c r="E30" s="48" t="s">
        <v>856</v>
      </c>
      <c r="F30" s="48" t="s">
        <v>62</v>
      </c>
      <c r="G30" s="48" t="s">
        <v>483</v>
      </c>
      <c r="H30" s="48" t="s">
        <v>27</v>
      </c>
      <c r="I30" s="48" t="s">
        <v>1614</v>
      </c>
      <c r="J30" s="48" t="s">
        <v>24</v>
      </c>
      <c r="K30" s="48" t="s">
        <v>483</v>
      </c>
      <c r="L30" s="48" t="s">
        <v>1646</v>
      </c>
      <c r="M30" s="48" t="s">
        <v>26</v>
      </c>
      <c r="N30" s="48" t="s">
        <v>20</v>
      </c>
      <c r="O30" s="48" t="s">
        <v>857</v>
      </c>
      <c r="P30" s="50">
        <v>326709.94</v>
      </c>
      <c r="Q30" s="50">
        <v>1</v>
      </c>
      <c r="R30" s="50">
        <v>326709.94</v>
      </c>
      <c r="S30" s="74">
        <v>46176</v>
      </c>
      <c r="T30" s="48" t="s">
        <v>3229</v>
      </c>
      <c r="U30" s="48" t="s">
        <v>5429</v>
      </c>
      <c r="V30" s="48" t="s">
        <v>378</v>
      </c>
      <c r="W30" s="48"/>
    </row>
    <row r="31" spans="1:23" ht="15.75" x14ac:dyDescent="0.25">
      <c r="A31" s="48" t="s">
        <v>3955</v>
      </c>
      <c r="B31" s="49">
        <v>46093</v>
      </c>
      <c r="C31" s="48" t="s">
        <v>916</v>
      </c>
      <c r="D31" s="48" t="s">
        <v>1537</v>
      </c>
      <c r="E31" s="48" t="s">
        <v>856</v>
      </c>
      <c r="F31" s="48" t="s">
        <v>62</v>
      </c>
      <c r="G31" s="48" t="s">
        <v>483</v>
      </c>
      <c r="H31" s="48" t="s">
        <v>27</v>
      </c>
      <c r="I31" s="48" t="s">
        <v>1614</v>
      </c>
      <c r="J31" s="48" t="s">
        <v>24</v>
      </c>
      <c r="K31" s="48" t="s">
        <v>483</v>
      </c>
      <c r="L31" s="48" t="s">
        <v>1646</v>
      </c>
      <c r="M31" s="48" t="s">
        <v>26</v>
      </c>
      <c r="N31" s="48" t="s">
        <v>20</v>
      </c>
      <c r="O31" s="48" t="s">
        <v>857</v>
      </c>
      <c r="P31" s="50">
        <v>500000</v>
      </c>
      <c r="Q31" s="50">
        <v>1</v>
      </c>
      <c r="R31" s="50">
        <v>500000</v>
      </c>
      <c r="S31" s="74">
        <v>46176</v>
      </c>
      <c r="T31" s="48" t="s">
        <v>3229</v>
      </c>
      <c r="U31" s="48" t="s">
        <v>5429</v>
      </c>
      <c r="V31" s="48" t="s">
        <v>378</v>
      </c>
      <c r="W31" s="48"/>
    </row>
    <row r="32" spans="1:23" ht="15.75" x14ac:dyDescent="0.25">
      <c r="A32" s="48" t="s">
        <v>1834</v>
      </c>
      <c r="B32" s="49">
        <v>46160</v>
      </c>
      <c r="C32" s="48" t="s">
        <v>922</v>
      </c>
      <c r="D32" s="48" t="s">
        <v>1537</v>
      </c>
      <c r="E32" s="48" t="s">
        <v>858</v>
      </c>
      <c r="F32" s="48" t="s">
        <v>62</v>
      </c>
      <c r="G32" s="48" t="s">
        <v>483</v>
      </c>
      <c r="H32" s="48" t="s">
        <v>27</v>
      </c>
      <c r="I32" s="48" t="s">
        <v>1647</v>
      </c>
      <c r="J32" s="48" t="s">
        <v>72</v>
      </c>
      <c r="K32" s="48" t="s">
        <v>483</v>
      </c>
      <c r="L32" s="48" t="s">
        <v>1646</v>
      </c>
      <c r="M32" s="48" t="s">
        <v>78</v>
      </c>
      <c r="N32" s="48" t="s">
        <v>20</v>
      </c>
      <c r="O32" s="48" t="s">
        <v>857</v>
      </c>
      <c r="P32" s="50">
        <v>227656</v>
      </c>
      <c r="Q32" s="50">
        <v>3.75</v>
      </c>
      <c r="R32" s="50">
        <v>853710</v>
      </c>
      <c r="S32" s="74">
        <v>46176</v>
      </c>
      <c r="T32" s="48" t="s">
        <v>1937</v>
      </c>
      <c r="U32" s="48" t="s">
        <v>5429</v>
      </c>
      <c r="V32" s="48" t="s">
        <v>378</v>
      </c>
      <c r="W32" s="48"/>
    </row>
    <row r="33" spans="1:23" ht="15.75" x14ac:dyDescent="0.25">
      <c r="A33" s="48" t="s">
        <v>3952</v>
      </c>
      <c r="B33" s="49">
        <v>46097</v>
      </c>
      <c r="C33" s="48" t="s">
        <v>916</v>
      </c>
      <c r="D33" s="48" t="s">
        <v>1537</v>
      </c>
      <c r="E33" s="48" t="s">
        <v>856</v>
      </c>
      <c r="F33" s="48" t="s">
        <v>62</v>
      </c>
      <c r="G33" s="48" t="s">
        <v>483</v>
      </c>
      <c r="H33" s="48" t="s">
        <v>27</v>
      </c>
      <c r="I33" s="48" t="s">
        <v>3858</v>
      </c>
      <c r="J33" s="48" t="s">
        <v>24</v>
      </c>
      <c r="K33" s="48" t="s">
        <v>483</v>
      </c>
      <c r="L33" s="48" t="s">
        <v>1646</v>
      </c>
      <c r="M33" s="48" t="s">
        <v>26</v>
      </c>
      <c r="N33" s="48" t="s">
        <v>20</v>
      </c>
      <c r="O33" s="48" t="s">
        <v>857</v>
      </c>
      <c r="P33" s="50">
        <v>500000</v>
      </c>
      <c r="Q33" s="50">
        <v>1</v>
      </c>
      <c r="R33" s="50">
        <v>500000</v>
      </c>
      <c r="S33" s="74">
        <v>46176</v>
      </c>
      <c r="T33" s="48" t="s">
        <v>3229</v>
      </c>
      <c r="U33" s="48" t="s">
        <v>5429</v>
      </c>
      <c r="V33" s="48" t="s">
        <v>378</v>
      </c>
      <c r="W33" s="48"/>
    </row>
    <row r="34" spans="1:23" ht="15.75" x14ac:dyDescent="0.25">
      <c r="A34" s="48" t="s">
        <v>3953</v>
      </c>
      <c r="B34" s="49">
        <v>46091</v>
      </c>
      <c r="C34" s="48" t="s">
        <v>916</v>
      </c>
      <c r="D34" s="48" t="s">
        <v>1537</v>
      </c>
      <c r="E34" s="48" t="s">
        <v>856</v>
      </c>
      <c r="F34" s="48" t="s">
        <v>62</v>
      </c>
      <c r="G34" s="48" t="s">
        <v>483</v>
      </c>
      <c r="H34" s="48" t="s">
        <v>27</v>
      </c>
      <c r="I34" s="48" t="s">
        <v>3856</v>
      </c>
      <c r="J34" s="48" t="s">
        <v>24</v>
      </c>
      <c r="K34" s="48" t="s">
        <v>483</v>
      </c>
      <c r="L34" s="48" t="s">
        <v>1646</v>
      </c>
      <c r="M34" s="48" t="s">
        <v>26</v>
      </c>
      <c r="N34" s="48" t="s">
        <v>20</v>
      </c>
      <c r="O34" s="48" t="s">
        <v>857</v>
      </c>
      <c r="P34" s="50">
        <v>500000</v>
      </c>
      <c r="Q34" s="50">
        <v>1</v>
      </c>
      <c r="R34" s="50">
        <v>500000</v>
      </c>
      <c r="S34" s="74">
        <v>46176</v>
      </c>
      <c r="T34" s="48" t="s">
        <v>3229</v>
      </c>
      <c r="U34" s="48" t="s">
        <v>5429</v>
      </c>
      <c r="V34" s="48" t="s">
        <v>378</v>
      </c>
      <c r="W34" s="48"/>
    </row>
    <row r="35" spans="1:23" ht="15.75" x14ac:dyDescent="0.25">
      <c r="A35" s="48" t="s">
        <v>1818</v>
      </c>
      <c r="B35" s="49">
        <v>45967</v>
      </c>
      <c r="C35" s="48" t="s">
        <v>916</v>
      </c>
      <c r="D35" s="48" t="s">
        <v>1181</v>
      </c>
      <c r="E35" s="48" t="s">
        <v>858</v>
      </c>
      <c r="F35" s="48" t="s">
        <v>366</v>
      </c>
      <c r="G35" s="48" t="s">
        <v>710</v>
      </c>
      <c r="H35" s="48" t="s">
        <v>27</v>
      </c>
      <c r="I35" s="48" t="s">
        <v>1784</v>
      </c>
      <c r="J35" s="48" t="s">
        <v>72</v>
      </c>
      <c r="K35" s="48" t="s">
        <v>81</v>
      </c>
      <c r="L35" s="48" t="s">
        <v>1139</v>
      </c>
      <c r="M35" s="48" t="s">
        <v>26</v>
      </c>
      <c r="N35" s="48" t="s">
        <v>20</v>
      </c>
      <c r="O35" s="48" t="s">
        <v>378</v>
      </c>
      <c r="P35" s="50">
        <v>1641337.5</v>
      </c>
      <c r="Q35" s="50">
        <v>1</v>
      </c>
      <c r="R35" s="50">
        <v>1641337.5</v>
      </c>
      <c r="S35" s="74">
        <v>46175</v>
      </c>
      <c r="T35" s="48" t="s">
        <v>1785</v>
      </c>
      <c r="U35" s="48" t="s">
        <v>377</v>
      </c>
      <c r="V35" s="48" t="s">
        <v>857</v>
      </c>
      <c r="W35" s="48"/>
    </row>
    <row r="36" spans="1:23" ht="15.75" x14ac:dyDescent="0.25">
      <c r="A36" s="48" t="s">
        <v>707</v>
      </c>
      <c r="B36" s="49">
        <v>46159</v>
      </c>
      <c r="C36" s="48" t="s">
        <v>922</v>
      </c>
      <c r="D36" s="48" t="s">
        <v>708</v>
      </c>
      <c r="E36" s="48" t="s">
        <v>856</v>
      </c>
      <c r="F36" s="48" t="s">
        <v>95</v>
      </c>
      <c r="G36" s="48" t="s">
        <v>96</v>
      </c>
      <c r="H36" s="48" t="s">
        <v>27</v>
      </c>
      <c r="I36" s="48" t="s">
        <v>3623</v>
      </c>
      <c r="J36" s="48" t="s">
        <v>1791</v>
      </c>
      <c r="K36" s="48" t="s">
        <v>328</v>
      </c>
      <c r="L36" s="48" t="s">
        <v>1142</v>
      </c>
      <c r="M36" s="48" t="s">
        <v>67</v>
      </c>
      <c r="N36" s="48" t="s">
        <v>20</v>
      </c>
      <c r="O36" s="48" t="s">
        <v>857</v>
      </c>
      <c r="P36" s="50">
        <v>869469.45</v>
      </c>
      <c r="Q36" s="50">
        <v>4.4160000000000004</v>
      </c>
      <c r="R36" s="50">
        <v>3839577.0912000001</v>
      </c>
      <c r="S36" s="74">
        <v>46174</v>
      </c>
      <c r="T36" s="48" t="s">
        <v>255</v>
      </c>
      <c r="U36" s="48" t="s">
        <v>96</v>
      </c>
      <c r="V36" s="48" t="s">
        <v>857</v>
      </c>
      <c r="W36" s="48"/>
    </row>
    <row r="37" spans="1:23" ht="15.75" x14ac:dyDescent="0.25">
      <c r="A37" s="48" t="s">
        <v>4137</v>
      </c>
      <c r="B37" s="49">
        <v>46138</v>
      </c>
      <c r="C37" s="48" t="s">
        <v>916</v>
      </c>
      <c r="D37" s="48" t="s">
        <v>831</v>
      </c>
      <c r="E37" s="48" t="s">
        <v>856</v>
      </c>
      <c r="F37" s="48" t="s">
        <v>21</v>
      </c>
      <c r="G37" s="48" t="s">
        <v>22</v>
      </c>
      <c r="H37" s="48" t="s">
        <v>27</v>
      </c>
      <c r="I37" s="48" t="s">
        <v>535</v>
      </c>
      <c r="J37" s="48" t="s">
        <v>80</v>
      </c>
      <c r="K37" s="48" t="s">
        <v>22</v>
      </c>
      <c r="L37" s="48" t="s">
        <v>1132</v>
      </c>
      <c r="M37" s="48" t="s">
        <v>31</v>
      </c>
      <c r="N37" s="48" t="s">
        <v>20</v>
      </c>
      <c r="O37" s="48" t="s">
        <v>378</v>
      </c>
      <c r="P37" s="50">
        <v>1198730.71</v>
      </c>
      <c r="Q37" s="50">
        <v>5.0896999999999997</v>
      </c>
      <c r="R37" s="50">
        <v>6101179.6946869995</v>
      </c>
      <c r="S37" s="74">
        <v>46174</v>
      </c>
      <c r="T37" s="48" t="s">
        <v>311</v>
      </c>
      <c r="U37" s="48" t="s">
        <v>22</v>
      </c>
      <c r="V37" s="48" t="s">
        <v>857</v>
      </c>
      <c r="W37" s="48"/>
    </row>
    <row r="38" spans="1:23" ht="15.75" x14ac:dyDescent="0.25">
      <c r="A38" s="48" t="s">
        <v>3722</v>
      </c>
      <c r="B38" s="49">
        <v>46132</v>
      </c>
      <c r="C38" s="48" t="s">
        <v>916</v>
      </c>
      <c r="D38" s="48" t="s">
        <v>1259</v>
      </c>
      <c r="E38" s="48" t="s">
        <v>858</v>
      </c>
      <c r="F38" s="48" t="s">
        <v>95</v>
      </c>
      <c r="G38" s="48" t="s">
        <v>96</v>
      </c>
      <c r="H38" s="48" t="s">
        <v>27</v>
      </c>
      <c r="I38" s="48" t="s">
        <v>521</v>
      </c>
      <c r="J38" s="48" t="s">
        <v>1791</v>
      </c>
      <c r="K38" s="48" t="s">
        <v>328</v>
      </c>
      <c r="L38" s="48" t="s">
        <v>1142</v>
      </c>
      <c r="M38" s="48" t="s">
        <v>26</v>
      </c>
      <c r="N38" s="48" t="s">
        <v>20</v>
      </c>
      <c r="O38" s="48" t="s">
        <v>378</v>
      </c>
      <c r="P38" s="50">
        <v>350000</v>
      </c>
      <c r="Q38" s="50">
        <v>1</v>
      </c>
      <c r="R38" s="50">
        <v>350000</v>
      </c>
      <c r="S38" s="74">
        <v>46173</v>
      </c>
      <c r="T38" s="48" t="s">
        <v>28</v>
      </c>
      <c r="U38" s="48" t="s">
        <v>96</v>
      </c>
      <c r="V38" s="48" t="s">
        <v>857</v>
      </c>
      <c r="W38" s="48"/>
    </row>
    <row r="39" spans="1:23" ht="15.75" x14ac:dyDescent="0.25">
      <c r="A39" s="48" t="s">
        <v>2903</v>
      </c>
      <c r="B39" s="49">
        <v>46071</v>
      </c>
      <c r="C39" s="48" t="s">
        <v>924</v>
      </c>
      <c r="D39" s="48" t="s">
        <v>441</v>
      </c>
      <c r="E39" s="48" t="s">
        <v>858</v>
      </c>
      <c r="F39" s="48" t="s">
        <v>366</v>
      </c>
      <c r="G39" s="48" t="s">
        <v>710</v>
      </c>
      <c r="H39" s="48" t="s">
        <v>27</v>
      </c>
      <c r="I39" s="48" t="s">
        <v>1378</v>
      </c>
      <c r="J39" s="48" t="s">
        <v>24</v>
      </c>
      <c r="K39" s="48" t="s">
        <v>710</v>
      </c>
      <c r="L39" s="48" t="s">
        <v>1209</v>
      </c>
      <c r="M39" s="48" t="s">
        <v>26</v>
      </c>
      <c r="N39" s="48" t="s">
        <v>20</v>
      </c>
      <c r="O39" s="48" t="s">
        <v>857</v>
      </c>
      <c r="P39" s="50">
        <v>127445.13</v>
      </c>
      <c r="Q39" s="50">
        <v>1</v>
      </c>
      <c r="R39" s="50">
        <v>127445.13</v>
      </c>
      <c r="S39" s="74">
        <v>46173</v>
      </c>
      <c r="T39" s="48" t="s">
        <v>621</v>
      </c>
      <c r="U39" s="48" t="s">
        <v>710</v>
      </c>
      <c r="V39" s="48" t="s">
        <v>857</v>
      </c>
      <c r="W39" s="48"/>
    </row>
    <row r="40" spans="1:23" ht="15.75" x14ac:dyDescent="0.25">
      <c r="A40" s="48" t="s">
        <v>707</v>
      </c>
      <c r="B40" s="49">
        <v>46154</v>
      </c>
      <c r="C40" s="48" t="s">
        <v>933</v>
      </c>
      <c r="D40" s="48" t="s">
        <v>708</v>
      </c>
      <c r="E40" s="48" t="s">
        <v>858</v>
      </c>
      <c r="F40" s="48" t="s">
        <v>95</v>
      </c>
      <c r="G40" s="48" t="s">
        <v>96</v>
      </c>
      <c r="H40" s="48" t="s">
        <v>27</v>
      </c>
      <c r="I40" s="48" t="s">
        <v>3623</v>
      </c>
      <c r="J40" s="48" t="s">
        <v>1791</v>
      </c>
      <c r="K40" s="48" t="s">
        <v>328</v>
      </c>
      <c r="L40" s="48" t="s">
        <v>1142</v>
      </c>
      <c r="M40" s="48" t="s">
        <v>67</v>
      </c>
      <c r="N40" s="48" t="s">
        <v>20</v>
      </c>
      <c r="O40" s="48" t="s">
        <v>857</v>
      </c>
      <c r="P40" s="50">
        <v>150630.35999999999</v>
      </c>
      <c r="Q40" s="50">
        <v>4.4429999999999996</v>
      </c>
      <c r="R40" s="50">
        <v>669250.68947999983</v>
      </c>
      <c r="S40" s="74">
        <v>46173</v>
      </c>
      <c r="T40" s="48" t="s">
        <v>255</v>
      </c>
      <c r="U40" s="48" t="s">
        <v>96</v>
      </c>
      <c r="V40" s="48" t="s">
        <v>857</v>
      </c>
      <c r="W40" s="48"/>
    </row>
    <row r="41" spans="1:23" ht="15.75" x14ac:dyDescent="0.25">
      <c r="A41" s="48" t="s">
        <v>2916</v>
      </c>
      <c r="B41" s="49">
        <v>46055</v>
      </c>
      <c r="C41" s="48" t="s">
        <v>918</v>
      </c>
      <c r="D41" s="48" t="s">
        <v>441</v>
      </c>
      <c r="E41" s="48" t="s">
        <v>856</v>
      </c>
      <c r="F41" s="48" t="s">
        <v>366</v>
      </c>
      <c r="G41" s="48" t="s">
        <v>710</v>
      </c>
      <c r="H41" s="48" t="s">
        <v>27</v>
      </c>
      <c r="I41" s="48" t="s">
        <v>2799</v>
      </c>
      <c r="J41" s="48" t="s">
        <v>24</v>
      </c>
      <c r="K41" s="48" t="s">
        <v>710</v>
      </c>
      <c r="L41" s="48" t="s">
        <v>1209</v>
      </c>
      <c r="M41" s="48" t="s">
        <v>26</v>
      </c>
      <c r="N41" s="48" t="s">
        <v>20</v>
      </c>
      <c r="O41" s="48" t="s">
        <v>857</v>
      </c>
      <c r="P41" s="50">
        <v>1235823.67</v>
      </c>
      <c r="Q41" s="50">
        <v>1</v>
      </c>
      <c r="R41" s="50">
        <v>1235823.67</v>
      </c>
      <c r="S41" s="74">
        <v>46163</v>
      </c>
      <c r="T41" s="48" t="s">
        <v>621</v>
      </c>
      <c r="U41" s="48" t="s">
        <v>367</v>
      </c>
      <c r="V41" s="48" t="s">
        <v>378</v>
      </c>
      <c r="W41" s="48"/>
    </row>
    <row r="42" spans="1:23" ht="15.75" x14ac:dyDescent="0.25">
      <c r="A42" s="48" t="s">
        <v>3723</v>
      </c>
      <c r="B42" s="49">
        <v>46082</v>
      </c>
      <c r="C42" s="48" t="s">
        <v>916</v>
      </c>
      <c r="D42" s="48" t="s">
        <v>1259</v>
      </c>
      <c r="E42" s="48" t="s">
        <v>858</v>
      </c>
      <c r="F42" s="48" t="s">
        <v>95</v>
      </c>
      <c r="G42" s="48" t="s">
        <v>96</v>
      </c>
      <c r="H42" s="48" t="s">
        <v>27</v>
      </c>
      <c r="I42" s="48" t="s">
        <v>3621</v>
      </c>
      <c r="J42" s="48" t="s">
        <v>1791</v>
      </c>
      <c r="K42" s="48" t="s">
        <v>328</v>
      </c>
      <c r="L42" s="48" t="s">
        <v>1142</v>
      </c>
      <c r="M42" s="48" t="s">
        <v>26</v>
      </c>
      <c r="N42" s="48" t="s">
        <v>20</v>
      </c>
      <c r="O42" s="48" t="s">
        <v>378</v>
      </c>
      <c r="P42" s="50">
        <v>700000</v>
      </c>
      <c r="Q42" s="50">
        <v>1</v>
      </c>
      <c r="R42" s="50">
        <v>700000</v>
      </c>
      <c r="S42" s="74">
        <v>46163</v>
      </c>
      <c r="T42" s="48" t="s">
        <v>3622</v>
      </c>
      <c r="U42" s="48" t="s">
        <v>96</v>
      </c>
      <c r="V42" s="48" t="s">
        <v>857</v>
      </c>
      <c r="W42" s="48"/>
    </row>
    <row r="43" spans="1:23" ht="15.75" x14ac:dyDescent="0.25">
      <c r="A43" s="48" t="s">
        <v>707</v>
      </c>
      <c r="B43" s="49">
        <v>46147</v>
      </c>
      <c r="C43" s="48" t="s">
        <v>928</v>
      </c>
      <c r="D43" s="48" t="s">
        <v>708</v>
      </c>
      <c r="E43" s="48" t="s">
        <v>856</v>
      </c>
      <c r="F43" s="48" t="s">
        <v>95</v>
      </c>
      <c r="G43" s="48" t="s">
        <v>96</v>
      </c>
      <c r="H43" s="48" t="s">
        <v>27</v>
      </c>
      <c r="I43" s="48" t="s">
        <v>3623</v>
      </c>
      <c r="J43" s="48" t="s">
        <v>1791</v>
      </c>
      <c r="K43" s="48" t="s">
        <v>328</v>
      </c>
      <c r="L43" s="48" t="s">
        <v>1142</v>
      </c>
      <c r="M43" s="48" t="s">
        <v>67</v>
      </c>
      <c r="N43" s="48" t="s">
        <v>20</v>
      </c>
      <c r="O43" s="48" t="s">
        <v>857</v>
      </c>
      <c r="P43" s="50">
        <v>612506.13</v>
      </c>
      <c r="Q43" s="50">
        <v>4.4429999999999996</v>
      </c>
      <c r="R43" s="50">
        <v>2721364.7355899997</v>
      </c>
      <c r="S43" s="74">
        <v>46162</v>
      </c>
      <c r="T43" s="48" t="s">
        <v>255</v>
      </c>
      <c r="U43" s="48" t="s">
        <v>96</v>
      </c>
      <c r="V43" s="48" t="s">
        <v>857</v>
      </c>
      <c r="W43" s="48"/>
    </row>
    <row r="44" spans="1:23" ht="15.75" x14ac:dyDescent="0.25">
      <c r="A44" s="48" t="s">
        <v>4073</v>
      </c>
      <c r="B44" s="49">
        <v>46091</v>
      </c>
      <c r="C44" s="48" t="s">
        <v>916</v>
      </c>
      <c r="D44" s="48" t="s">
        <v>1181</v>
      </c>
      <c r="E44" s="48" t="s">
        <v>858</v>
      </c>
      <c r="F44" s="48" t="s">
        <v>366</v>
      </c>
      <c r="G44" s="48" t="s">
        <v>710</v>
      </c>
      <c r="H44" s="48" t="s">
        <v>27</v>
      </c>
      <c r="I44" s="48" t="s">
        <v>1782</v>
      </c>
      <c r="J44" s="48" t="s">
        <v>1791</v>
      </c>
      <c r="K44" s="48" t="s">
        <v>81</v>
      </c>
      <c r="L44" s="48" t="s">
        <v>1139</v>
      </c>
      <c r="M44" s="48" t="s">
        <v>26</v>
      </c>
      <c r="N44" s="48" t="s">
        <v>20</v>
      </c>
      <c r="O44" s="48" t="s">
        <v>857</v>
      </c>
      <c r="P44" s="50">
        <v>667115</v>
      </c>
      <c r="Q44" s="50">
        <v>1</v>
      </c>
      <c r="R44" s="50">
        <v>667115</v>
      </c>
      <c r="S44" s="74">
        <v>46160</v>
      </c>
      <c r="T44" s="48" t="s">
        <v>408</v>
      </c>
      <c r="U44" s="48" t="s">
        <v>377</v>
      </c>
      <c r="V44" s="48" t="s">
        <v>857</v>
      </c>
      <c r="W44" s="48"/>
    </row>
    <row r="45" spans="1:23" ht="15.75" x14ac:dyDescent="0.25">
      <c r="A45" s="48" t="s">
        <v>2915</v>
      </c>
      <c r="B45" s="49">
        <v>46109</v>
      </c>
      <c r="C45" s="48" t="s">
        <v>916</v>
      </c>
      <c r="D45" s="48" t="s">
        <v>4206</v>
      </c>
      <c r="E45" s="48" t="s">
        <v>858</v>
      </c>
      <c r="F45" s="48" t="s">
        <v>62</v>
      </c>
      <c r="G45" s="48" t="s">
        <v>483</v>
      </c>
      <c r="H45" s="48" t="s">
        <v>27</v>
      </c>
      <c r="I45" s="48" t="s">
        <v>2363</v>
      </c>
      <c r="J45" s="48" t="s">
        <v>4207</v>
      </c>
      <c r="K45" s="48" t="s">
        <v>483</v>
      </c>
      <c r="L45" s="48" t="s">
        <v>1646</v>
      </c>
      <c r="M45" s="48" t="s">
        <v>67</v>
      </c>
      <c r="N45" s="48" t="s">
        <v>20</v>
      </c>
      <c r="O45" s="48" t="s">
        <v>857</v>
      </c>
      <c r="P45" s="50">
        <v>169226.99</v>
      </c>
      <c r="Q45" s="50">
        <v>4.32</v>
      </c>
      <c r="R45" s="50">
        <v>731060.59680000006</v>
      </c>
      <c r="S45" s="74">
        <v>46159</v>
      </c>
      <c r="T45" s="48" t="s">
        <v>705</v>
      </c>
      <c r="U45" s="48" t="s">
        <v>483</v>
      </c>
      <c r="V45" s="48" t="s">
        <v>857</v>
      </c>
      <c r="W45" s="48"/>
    </row>
    <row r="46" spans="1:23" ht="15.75" x14ac:dyDescent="0.25">
      <c r="A46" s="48" t="s">
        <v>3896</v>
      </c>
      <c r="B46" s="49">
        <v>46084</v>
      </c>
      <c r="C46" s="48" t="s">
        <v>916</v>
      </c>
      <c r="D46" s="48" t="s">
        <v>441</v>
      </c>
      <c r="E46" s="48" t="s">
        <v>858</v>
      </c>
      <c r="F46" s="48" t="s">
        <v>366</v>
      </c>
      <c r="G46" s="48" t="s">
        <v>710</v>
      </c>
      <c r="H46" s="48" t="s">
        <v>27</v>
      </c>
      <c r="I46" s="48" t="s">
        <v>3295</v>
      </c>
      <c r="J46" s="48" t="s">
        <v>24</v>
      </c>
      <c r="K46" s="48" t="s">
        <v>710</v>
      </c>
      <c r="L46" s="48" t="s">
        <v>1209</v>
      </c>
      <c r="M46" s="48" t="s">
        <v>26</v>
      </c>
      <c r="N46" s="48" t="s">
        <v>20</v>
      </c>
      <c r="O46" s="48" t="s">
        <v>857</v>
      </c>
      <c r="P46" s="50">
        <v>1000000</v>
      </c>
      <c r="Q46" s="50">
        <v>1</v>
      </c>
      <c r="R46" s="50">
        <v>1000000</v>
      </c>
      <c r="S46" s="74">
        <v>46159</v>
      </c>
      <c r="T46" s="48" t="s">
        <v>1904</v>
      </c>
      <c r="U46" s="48" t="s">
        <v>367</v>
      </c>
      <c r="V46" s="48" t="s">
        <v>378</v>
      </c>
      <c r="W46" s="48"/>
    </row>
    <row r="47" spans="1:23" ht="15.75" x14ac:dyDescent="0.25">
      <c r="A47" s="48" t="s">
        <v>4546</v>
      </c>
      <c r="B47" s="49">
        <v>46117</v>
      </c>
      <c r="C47" s="48" t="s">
        <v>916</v>
      </c>
      <c r="D47" s="48" t="s">
        <v>4231</v>
      </c>
      <c r="E47" s="48" t="s">
        <v>858</v>
      </c>
      <c r="F47" s="48" t="s">
        <v>1073</v>
      </c>
      <c r="G47" s="48" t="s">
        <v>882</v>
      </c>
      <c r="H47" s="48" t="s">
        <v>27</v>
      </c>
      <c r="I47" s="48" t="s">
        <v>4230</v>
      </c>
      <c r="J47" s="48" t="s">
        <v>72</v>
      </c>
      <c r="K47" s="48" t="s">
        <v>882</v>
      </c>
      <c r="L47" s="48" t="s">
        <v>4134</v>
      </c>
      <c r="M47" s="48" t="s">
        <v>26</v>
      </c>
      <c r="N47" s="48" t="s">
        <v>20</v>
      </c>
      <c r="O47" s="48" t="s">
        <v>857</v>
      </c>
      <c r="P47" s="50">
        <v>1675271</v>
      </c>
      <c r="Q47" s="50">
        <v>1</v>
      </c>
      <c r="R47" s="50">
        <v>1675271</v>
      </c>
      <c r="S47" s="74">
        <v>46159</v>
      </c>
      <c r="T47" s="48" t="s">
        <v>425</v>
      </c>
      <c r="U47" s="48" t="s">
        <v>882</v>
      </c>
      <c r="V47" s="48" t="s">
        <v>857</v>
      </c>
      <c r="W47" s="48"/>
    </row>
    <row r="48" spans="1:23" ht="15.75" x14ac:dyDescent="0.25">
      <c r="A48" s="48" t="s">
        <v>3730</v>
      </c>
      <c r="B48" s="49">
        <v>46114</v>
      </c>
      <c r="C48" s="48" t="s">
        <v>916</v>
      </c>
      <c r="D48" s="48" t="s">
        <v>3222</v>
      </c>
      <c r="E48" s="48" t="s">
        <v>858</v>
      </c>
      <c r="F48" s="48" t="s">
        <v>366</v>
      </c>
      <c r="G48" s="48" t="s">
        <v>1450</v>
      </c>
      <c r="H48" s="48" t="s">
        <v>27</v>
      </c>
      <c r="I48" s="48" t="s">
        <v>3266</v>
      </c>
      <c r="J48" s="48" t="s">
        <v>3782</v>
      </c>
      <c r="K48" s="48" t="s">
        <v>367</v>
      </c>
      <c r="L48" s="48" t="s">
        <v>1136</v>
      </c>
      <c r="M48" s="48" t="s">
        <v>26</v>
      </c>
      <c r="N48" s="48" t="s">
        <v>20</v>
      </c>
      <c r="O48" s="48" t="s">
        <v>857</v>
      </c>
      <c r="P48" s="50">
        <v>2272515</v>
      </c>
      <c r="Q48" s="50">
        <v>1</v>
      </c>
      <c r="R48" s="50">
        <v>2272515</v>
      </c>
      <c r="S48" s="74">
        <v>46159</v>
      </c>
      <c r="T48" s="48" t="s">
        <v>4254</v>
      </c>
      <c r="U48" s="48" t="s">
        <v>4353</v>
      </c>
      <c r="V48" s="48" t="s">
        <v>857</v>
      </c>
      <c r="W48" s="48"/>
    </row>
    <row r="49" spans="1:23" ht="15.75" x14ac:dyDescent="0.25">
      <c r="A49" s="48" t="s">
        <v>3146</v>
      </c>
      <c r="B49" s="49">
        <v>46092</v>
      </c>
      <c r="C49" s="48" t="s">
        <v>929</v>
      </c>
      <c r="D49" s="48" t="s">
        <v>2928</v>
      </c>
      <c r="E49" s="48" t="s">
        <v>858</v>
      </c>
      <c r="F49" s="48" t="s">
        <v>21</v>
      </c>
      <c r="G49" s="48" t="s">
        <v>22</v>
      </c>
      <c r="H49" s="48" t="s">
        <v>27</v>
      </c>
      <c r="I49" s="48" t="s">
        <v>2927</v>
      </c>
      <c r="J49" s="48" t="s">
        <v>3287</v>
      </c>
      <c r="K49" s="48" t="s">
        <v>22</v>
      </c>
      <c r="L49" s="48" t="s">
        <v>1132</v>
      </c>
      <c r="M49" s="48" t="s">
        <v>26</v>
      </c>
      <c r="N49" s="48" t="s">
        <v>20</v>
      </c>
      <c r="O49" s="48" t="s">
        <v>857</v>
      </c>
      <c r="P49" s="50">
        <v>66237.67</v>
      </c>
      <c r="Q49" s="50">
        <v>1</v>
      </c>
      <c r="R49" s="50">
        <v>66237.67</v>
      </c>
      <c r="S49" s="74">
        <v>46159</v>
      </c>
      <c r="T49" s="48" t="s">
        <v>311</v>
      </c>
      <c r="U49" s="48" t="s">
        <v>22</v>
      </c>
      <c r="V49" s="48" t="s">
        <v>857</v>
      </c>
      <c r="W49" s="48"/>
    </row>
    <row r="50" spans="1:23" ht="15.75" x14ac:dyDescent="0.25">
      <c r="A50" s="48" t="s">
        <v>4393</v>
      </c>
      <c r="B50" s="49">
        <v>46113</v>
      </c>
      <c r="C50" s="48" t="s">
        <v>916</v>
      </c>
      <c r="D50" s="48" t="s">
        <v>441</v>
      </c>
      <c r="E50" s="48" t="s">
        <v>858</v>
      </c>
      <c r="F50" s="48" t="s">
        <v>366</v>
      </c>
      <c r="G50" s="48" t="s">
        <v>710</v>
      </c>
      <c r="H50" s="48" t="s">
        <v>27</v>
      </c>
      <c r="I50" s="48" t="s">
        <v>4277</v>
      </c>
      <c r="J50" s="48" t="s">
        <v>24</v>
      </c>
      <c r="K50" s="48" t="s">
        <v>710</v>
      </c>
      <c r="L50" s="48" t="s">
        <v>1209</v>
      </c>
      <c r="M50" s="48" t="s">
        <v>26</v>
      </c>
      <c r="N50" s="48" t="s">
        <v>20</v>
      </c>
      <c r="O50" s="48" t="s">
        <v>857</v>
      </c>
      <c r="P50" s="50">
        <v>5000000</v>
      </c>
      <c r="Q50" s="50">
        <v>1</v>
      </c>
      <c r="R50" s="50">
        <v>5000000</v>
      </c>
      <c r="S50" s="74">
        <v>46159</v>
      </c>
      <c r="T50" s="48" t="s">
        <v>311</v>
      </c>
      <c r="U50" s="48" t="s">
        <v>367</v>
      </c>
      <c r="V50" s="48" t="s">
        <v>378</v>
      </c>
      <c r="W50" s="48"/>
    </row>
    <row r="51" spans="1:23" ht="15.75" x14ac:dyDescent="0.25">
      <c r="A51" s="48" t="s">
        <v>3783</v>
      </c>
      <c r="B51" s="49">
        <v>46097</v>
      </c>
      <c r="C51" s="48" t="s">
        <v>916</v>
      </c>
      <c r="D51" s="48" t="s">
        <v>1259</v>
      </c>
      <c r="E51" s="48" t="s">
        <v>858</v>
      </c>
      <c r="F51" s="48" t="s">
        <v>95</v>
      </c>
      <c r="G51" s="48" t="s">
        <v>96</v>
      </c>
      <c r="H51" s="48" t="s">
        <v>27</v>
      </c>
      <c r="I51" s="48" t="s">
        <v>521</v>
      </c>
      <c r="J51" s="48" t="s">
        <v>1791</v>
      </c>
      <c r="K51" s="48" t="s">
        <v>328</v>
      </c>
      <c r="L51" s="48" t="s">
        <v>1142</v>
      </c>
      <c r="M51" s="48" t="s">
        <v>26</v>
      </c>
      <c r="N51" s="48" t="s">
        <v>20</v>
      </c>
      <c r="O51" s="48" t="s">
        <v>378</v>
      </c>
      <c r="P51" s="50">
        <v>806924.71</v>
      </c>
      <c r="Q51" s="50">
        <v>1</v>
      </c>
      <c r="R51" s="50">
        <v>806924.71</v>
      </c>
      <c r="S51" s="74">
        <v>46155</v>
      </c>
      <c r="T51" s="48" t="s">
        <v>28</v>
      </c>
      <c r="U51" s="48" t="s">
        <v>96</v>
      </c>
      <c r="V51" s="48" t="s">
        <v>857</v>
      </c>
      <c r="W51" s="48"/>
    </row>
    <row r="52" spans="1:23" ht="15.75" x14ac:dyDescent="0.25">
      <c r="A52" s="48" t="s">
        <v>3718</v>
      </c>
      <c r="B52" s="49">
        <v>46097</v>
      </c>
      <c r="C52" s="48" t="s">
        <v>916</v>
      </c>
      <c r="D52" s="48" t="s">
        <v>1259</v>
      </c>
      <c r="E52" s="48" t="s">
        <v>858</v>
      </c>
      <c r="F52" s="48" t="s">
        <v>95</v>
      </c>
      <c r="G52" s="48" t="s">
        <v>96</v>
      </c>
      <c r="H52" s="48" t="s">
        <v>27</v>
      </c>
      <c r="I52" s="48" t="s">
        <v>521</v>
      </c>
      <c r="J52" s="48" t="s">
        <v>1791</v>
      </c>
      <c r="K52" s="48" t="s">
        <v>328</v>
      </c>
      <c r="L52" s="48" t="s">
        <v>1142</v>
      </c>
      <c r="M52" s="48" t="s">
        <v>26</v>
      </c>
      <c r="N52" s="48" t="s">
        <v>20</v>
      </c>
      <c r="O52" s="48" t="s">
        <v>378</v>
      </c>
      <c r="P52" s="50">
        <v>250000</v>
      </c>
      <c r="Q52" s="50">
        <v>1</v>
      </c>
      <c r="R52" s="50">
        <v>250000</v>
      </c>
      <c r="S52" s="74">
        <v>46155</v>
      </c>
      <c r="T52" s="48" t="s">
        <v>28</v>
      </c>
      <c r="U52" s="48" t="s">
        <v>96</v>
      </c>
      <c r="V52" s="48" t="s">
        <v>857</v>
      </c>
      <c r="W52" s="48"/>
    </row>
    <row r="53" spans="1:23" ht="15.75" x14ac:dyDescent="0.25">
      <c r="A53" s="48" t="s">
        <v>4054</v>
      </c>
      <c r="B53" s="49">
        <v>46072</v>
      </c>
      <c r="C53" s="48" t="s">
        <v>916</v>
      </c>
      <c r="D53" s="48" t="s">
        <v>441</v>
      </c>
      <c r="E53" s="48" t="s">
        <v>856</v>
      </c>
      <c r="F53" s="48" t="s">
        <v>21</v>
      </c>
      <c r="G53" s="48" t="s">
        <v>22</v>
      </c>
      <c r="H53" s="48" t="s">
        <v>27</v>
      </c>
      <c r="I53" s="48" t="s">
        <v>4277</v>
      </c>
      <c r="J53" s="48" t="s">
        <v>24</v>
      </c>
      <c r="K53" s="48" t="s">
        <v>213</v>
      </c>
      <c r="L53" s="48" t="s">
        <v>1134</v>
      </c>
      <c r="M53" s="48" t="s">
        <v>26</v>
      </c>
      <c r="N53" s="48" t="s">
        <v>20</v>
      </c>
      <c r="O53" s="48" t="s">
        <v>857</v>
      </c>
      <c r="P53" s="50">
        <v>12000000</v>
      </c>
      <c r="Q53" s="50">
        <v>1</v>
      </c>
      <c r="R53" s="50">
        <v>12000000</v>
      </c>
      <c r="S53" s="74">
        <v>46155</v>
      </c>
      <c r="T53" s="48" t="s">
        <v>311</v>
      </c>
      <c r="U53" s="48" t="s">
        <v>5309</v>
      </c>
      <c r="V53" s="48" t="s">
        <v>378</v>
      </c>
      <c r="W53" s="48" t="s">
        <v>5298</v>
      </c>
    </row>
    <row r="54" spans="1:23" ht="15.75" x14ac:dyDescent="0.25">
      <c r="A54" s="48" t="s">
        <v>4055</v>
      </c>
      <c r="B54" s="49">
        <v>46072</v>
      </c>
      <c r="C54" s="48" t="s">
        <v>918</v>
      </c>
      <c r="D54" s="48" t="s">
        <v>441</v>
      </c>
      <c r="E54" s="48" t="s">
        <v>856</v>
      </c>
      <c r="F54" s="48" t="s">
        <v>21</v>
      </c>
      <c r="G54" s="48" t="s">
        <v>22</v>
      </c>
      <c r="H54" s="48" t="s">
        <v>27</v>
      </c>
      <c r="I54" s="48" t="s">
        <v>4277</v>
      </c>
      <c r="J54" s="48" t="s">
        <v>24</v>
      </c>
      <c r="K54" s="48" t="s">
        <v>90</v>
      </c>
      <c r="L54" s="48" t="s">
        <v>1141</v>
      </c>
      <c r="M54" s="48" t="s">
        <v>26</v>
      </c>
      <c r="N54" s="48" t="s">
        <v>20</v>
      </c>
      <c r="O54" s="48" t="s">
        <v>857</v>
      </c>
      <c r="P54" s="50">
        <v>13000000</v>
      </c>
      <c r="Q54" s="50">
        <v>1</v>
      </c>
      <c r="R54" s="50">
        <v>13000000</v>
      </c>
      <c r="S54" s="74">
        <v>46155</v>
      </c>
      <c r="T54" s="48" t="s">
        <v>311</v>
      </c>
      <c r="U54" s="48" t="s">
        <v>5309</v>
      </c>
      <c r="V54" s="48" t="s">
        <v>378</v>
      </c>
      <c r="W54" s="48" t="s">
        <v>5298</v>
      </c>
    </row>
    <row r="55" spans="1:23" ht="15.75" x14ac:dyDescent="0.25">
      <c r="A55" s="48" t="s">
        <v>3319</v>
      </c>
      <c r="B55" s="49">
        <v>46138</v>
      </c>
      <c r="C55" s="48" t="s">
        <v>918</v>
      </c>
      <c r="D55" s="48" t="s">
        <v>3566</v>
      </c>
      <c r="E55" s="48" t="s">
        <v>856</v>
      </c>
      <c r="F55" s="48" t="s">
        <v>612</v>
      </c>
      <c r="G55" s="48" t="s">
        <v>613</v>
      </c>
      <c r="H55" s="48" t="s">
        <v>27</v>
      </c>
      <c r="I55" s="48" t="s">
        <v>3187</v>
      </c>
      <c r="J55" s="48" t="s">
        <v>72</v>
      </c>
      <c r="K55" s="48" t="s">
        <v>613</v>
      </c>
      <c r="L55" s="48" t="s">
        <v>1135</v>
      </c>
      <c r="M55" s="48" t="s">
        <v>26</v>
      </c>
      <c r="N55" s="48" t="s">
        <v>20</v>
      </c>
      <c r="O55" s="48" t="s">
        <v>378</v>
      </c>
      <c r="P55" s="50">
        <v>182356.65</v>
      </c>
      <c r="Q55" s="50">
        <v>1</v>
      </c>
      <c r="R55" s="50">
        <v>182356.65</v>
      </c>
      <c r="S55" s="74">
        <v>46154</v>
      </c>
      <c r="T55" s="48" t="s">
        <v>3188</v>
      </c>
      <c r="U55" s="48" t="s">
        <v>613</v>
      </c>
      <c r="V55" s="48" t="s">
        <v>857</v>
      </c>
      <c r="W55" s="48"/>
    </row>
    <row r="56" spans="1:23" ht="15.75" x14ac:dyDescent="0.25">
      <c r="A56" s="48" t="s">
        <v>1895</v>
      </c>
      <c r="B56" s="49">
        <v>46093</v>
      </c>
      <c r="C56" s="48" t="s">
        <v>1299</v>
      </c>
      <c r="D56" s="48" t="s">
        <v>509</v>
      </c>
      <c r="E56" s="48" t="s">
        <v>856</v>
      </c>
      <c r="F56" s="48" t="s">
        <v>21</v>
      </c>
      <c r="G56" s="48" t="s">
        <v>22</v>
      </c>
      <c r="H56" s="48" t="s">
        <v>27</v>
      </c>
      <c r="I56" s="48" t="s">
        <v>1252</v>
      </c>
      <c r="J56" s="48" t="s">
        <v>72</v>
      </c>
      <c r="K56" s="48" t="s">
        <v>511</v>
      </c>
      <c r="L56" s="48" t="s">
        <v>1236</v>
      </c>
      <c r="M56" s="48" t="s">
        <v>26</v>
      </c>
      <c r="N56" s="48" t="s">
        <v>20</v>
      </c>
      <c r="O56" s="48" t="s">
        <v>857</v>
      </c>
      <c r="P56" s="50">
        <v>876429.92999999993</v>
      </c>
      <c r="Q56" s="50">
        <v>1</v>
      </c>
      <c r="R56" s="50">
        <v>876429.92999999993</v>
      </c>
      <c r="S56" s="74">
        <v>46154</v>
      </c>
      <c r="T56" s="48" t="s">
        <v>621</v>
      </c>
      <c r="U56" s="48" t="s">
        <v>5335</v>
      </c>
      <c r="V56" s="48" t="s">
        <v>378</v>
      </c>
      <c r="W56" s="48"/>
    </row>
    <row r="57" spans="1:23" ht="15.75" x14ac:dyDescent="0.25">
      <c r="A57" s="48" t="s">
        <v>1895</v>
      </c>
      <c r="B57" s="49">
        <v>46093</v>
      </c>
      <c r="C57" s="48" t="s">
        <v>1300</v>
      </c>
      <c r="D57" s="48" t="s">
        <v>509</v>
      </c>
      <c r="E57" s="48" t="s">
        <v>856</v>
      </c>
      <c r="F57" s="48" t="s">
        <v>21</v>
      </c>
      <c r="G57" s="48" t="s">
        <v>22</v>
      </c>
      <c r="H57" s="48" t="s">
        <v>27</v>
      </c>
      <c r="I57" s="48" t="s">
        <v>1252</v>
      </c>
      <c r="J57" s="48" t="s">
        <v>72</v>
      </c>
      <c r="K57" s="48" t="s">
        <v>511</v>
      </c>
      <c r="L57" s="48" t="s">
        <v>1236</v>
      </c>
      <c r="M57" s="48" t="s">
        <v>26</v>
      </c>
      <c r="N57" s="48" t="s">
        <v>20</v>
      </c>
      <c r="O57" s="48" t="s">
        <v>857</v>
      </c>
      <c r="P57" s="50">
        <v>249184.51999999996</v>
      </c>
      <c r="Q57" s="50">
        <v>1</v>
      </c>
      <c r="R57" s="50">
        <v>249184.51999999996</v>
      </c>
      <c r="S57" s="74">
        <v>46154</v>
      </c>
      <c r="T57" s="48" t="s">
        <v>621</v>
      </c>
      <c r="U57" s="48" t="s">
        <v>5337</v>
      </c>
      <c r="V57" s="48" t="s">
        <v>378</v>
      </c>
      <c r="W57" s="48"/>
    </row>
    <row r="58" spans="1:23" ht="15.75" x14ac:dyDescent="0.25">
      <c r="A58" s="48" t="s">
        <v>3228</v>
      </c>
      <c r="B58" s="49">
        <v>46138</v>
      </c>
      <c r="C58" s="48" t="s">
        <v>916</v>
      </c>
      <c r="D58" s="48" t="s">
        <v>831</v>
      </c>
      <c r="E58" s="48" t="s">
        <v>856</v>
      </c>
      <c r="F58" s="48" t="s">
        <v>21</v>
      </c>
      <c r="G58" s="48" t="s">
        <v>22</v>
      </c>
      <c r="H58" s="48" t="s">
        <v>27</v>
      </c>
      <c r="I58" s="48" t="s">
        <v>535</v>
      </c>
      <c r="J58" s="48" t="s">
        <v>80</v>
      </c>
      <c r="K58" s="48" t="s">
        <v>22</v>
      </c>
      <c r="L58" s="48" t="s">
        <v>1132</v>
      </c>
      <c r="M58" s="48" t="s">
        <v>31</v>
      </c>
      <c r="N58" s="48" t="s">
        <v>20</v>
      </c>
      <c r="O58" s="48" t="s">
        <v>378</v>
      </c>
      <c r="P58" s="50">
        <v>71061.149999999994</v>
      </c>
      <c r="Q58" s="50">
        <v>5.1128999000000004</v>
      </c>
      <c r="R58" s="50">
        <v>363328.54672888498</v>
      </c>
      <c r="S58" s="74">
        <v>46154</v>
      </c>
      <c r="T58" s="48" t="s">
        <v>311</v>
      </c>
      <c r="U58" s="48" t="s">
        <v>22</v>
      </c>
      <c r="V58" s="48" t="s">
        <v>857</v>
      </c>
      <c r="W58" s="48"/>
    </row>
    <row r="59" spans="1:23" ht="15.75" x14ac:dyDescent="0.25">
      <c r="A59" s="48" t="s">
        <v>1895</v>
      </c>
      <c r="B59" s="49">
        <v>46093</v>
      </c>
      <c r="C59" s="48" t="s">
        <v>1301</v>
      </c>
      <c r="D59" s="48" t="s">
        <v>509</v>
      </c>
      <c r="E59" s="48" t="s">
        <v>856</v>
      </c>
      <c r="F59" s="48" t="s">
        <v>21</v>
      </c>
      <c r="G59" s="48" t="s">
        <v>22</v>
      </c>
      <c r="H59" s="48" t="s">
        <v>27</v>
      </c>
      <c r="I59" s="48" t="s">
        <v>1252</v>
      </c>
      <c r="J59" s="48" t="s">
        <v>72</v>
      </c>
      <c r="K59" s="48" t="s">
        <v>511</v>
      </c>
      <c r="L59" s="48" t="s">
        <v>1236</v>
      </c>
      <c r="M59" s="48" t="s">
        <v>26</v>
      </c>
      <c r="N59" s="48" t="s">
        <v>20</v>
      </c>
      <c r="O59" s="48" t="s">
        <v>857</v>
      </c>
      <c r="P59" s="50">
        <v>239706.05999999994</v>
      </c>
      <c r="Q59" s="50">
        <v>1</v>
      </c>
      <c r="R59" s="50">
        <v>239706.05999999994</v>
      </c>
      <c r="S59" s="74">
        <v>46154</v>
      </c>
      <c r="T59" s="48" t="s">
        <v>621</v>
      </c>
      <c r="U59" s="48" t="s">
        <v>5336</v>
      </c>
      <c r="V59" s="48" t="s">
        <v>378</v>
      </c>
      <c r="W59" s="48"/>
    </row>
    <row r="60" spans="1:23" ht="15.75" x14ac:dyDescent="0.25">
      <c r="A60" s="48" t="s">
        <v>3901</v>
      </c>
      <c r="B60" s="49">
        <v>46089</v>
      </c>
      <c r="C60" s="48" t="s">
        <v>916</v>
      </c>
      <c r="D60" s="48" t="s">
        <v>441</v>
      </c>
      <c r="E60" s="48" t="s">
        <v>856</v>
      </c>
      <c r="F60" s="48" t="s">
        <v>366</v>
      </c>
      <c r="G60" s="48" t="s">
        <v>710</v>
      </c>
      <c r="H60" s="48" t="s">
        <v>27</v>
      </c>
      <c r="I60" s="48" t="s">
        <v>3294</v>
      </c>
      <c r="J60" s="48" t="s">
        <v>24</v>
      </c>
      <c r="K60" s="48" t="s">
        <v>710</v>
      </c>
      <c r="L60" s="48" t="s">
        <v>1209</v>
      </c>
      <c r="M60" s="48" t="s">
        <v>26</v>
      </c>
      <c r="N60" s="48" t="s">
        <v>20</v>
      </c>
      <c r="O60" s="48" t="s">
        <v>857</v>
      </c>
      <c r="P60" s="50">
        <v>500000</v>
      </c>
      <c r="Q60" s="50">
        <v>1</v>
      </c>
      <c r="R60" s="50">
        <v>500000</v>
      </c>
      <c r="S60" s="74">
        <v>46153</v>
      </c>
      <c r="T60" s="48" t="s">
        <v>1904</v>
      </c>
      <c r="U60" s="48" t="s">
        <v>710</v>
      </c>
      <c r="V60" s="48" t="s">
        <v>857</v>
      </c>
      <c r="W60" s="48"/>
    </row>
    <row r="61" spans="1:23" ht="15.75" x14ac:dyDescent="0.25">
      <c r="A61" s="48" t="s">
        <v>3899</v>
      </c>
      <c r="B61" s="49">
        <v>46086</v>
      </c>
      <c r="C61" s="48" t="s">
        <v>916</v>
      </c>
      <c r="D61" s="48" t="s">
        <v>441</v>
      </c>
      <c r="E61" s="48" t="s">
        <v>856</v>
      </c>
      <c r="F61" s="48" t="s">
        <v>366</v>
      </c>
      <c r="G61" s="48" t="s">
        <v>710</v>
      </c>
      <c r="H61" s="48" t="s">
        <v>27</v>
      </c>
      <c r="I61" s="48" t="s">
        <v>349</v>
      </c>
      <c r="J61" s="48" t="s">
        <v>24</v>
      </c>
      <c r="K61" s="48" t="s">
        <v>710</v>
      </c>
      <c r="L61" s="48" t="s">
        <v>1209</v>
      </c>
      <c r="M61" s="48" t="s">
        <v>26</v>
      </c>
      <c r="N61" s="48" t="s">
        <v>20</v>
      </c>
      <c r="O61" s="48" t="s">
        <v>857</v>
      </c>
      <c r="P61" s="50">
        <v>500000</v>
      </c>
      <c r="Q61" s="50">
        <v>1</v>
      </c>
      <c r="R61" s="50">
        <v>500000</v>
      </c>
      <c r="S61" s="74">
        <v>46153</v>
      </c>
      <c r="T61" s="48" t="s">
        <v>1904</v>
      </c>
      <c r="U61" s="48" t="s">
        <v>5259</v>
      </c>
      <c r="V61" s="48" t="s">
        <v>378</v>
      </c>
      <c r="W61" s="48"/>
    </row>
    <row r="62" spans="1:23" ht="15.75" x14ac:dyDescent="0.25">
      <c r="A62" s="48" t="s">
        <v>3894</v>
      </c>
      <c r="B62" s="49">
        <v>46078</v>
      </c>
      <c r="C62" s="48" t="s">
        <v>918</v>
      </c>
      <c r="D62" s="48" t="s">
        <v>441</v>
      </c>
      <c r="E62" s="48" t="s">
        <v>856</v>
      </c>
      <c r="F62" s="48" t="s">
        <v>366</v>
      </c>
      <c r="G62" s="48" t="s">
        <v>710</v>
      </c>
      <c r="H62" s="48" t="s">
        <v>27</v>
      </c>
      <c r="I62" s="48" t="s">
        <v>477</v>
      </c>
      <c r="J62" s="48" t="s">
        <v>24</v>
      </c>
      <c r="K62" s="48" t="s">
        <v>710</v>
      </c>
      <c r="L62" s="48" t="s">
        <v>1209</v>
      </c>
      <c r="M62" s="48" t="s">
        <v>26</v>
      </c>
      <c r="N62" s="48" t="s">
        <v>20</v>
      </c>
      <c r="O62" s="48" t="s">
        <v>857</v>
      </c>
      <c r="P62" s="50">
        <v>402500</v>
      </c>
      <c r="Q62" s="50">
        <v>1</v>
      </c>
      <c r="R62" s="50">
        <v>402500</v>
      </c>
      <c r="S62" s="74">
        <v>46153</v>
      </c>
      <c r="T62" s="48" t="s">
        <v>1904</v>
      </c>
      <c r="U62" s="48" t="s">
        <v>710</v>
      </c>
      <c r="V62" s="48" t="s">
        <v>857</v>
      </c>
      <c r="W62" s="48"/>
    </row>
    <row r="63" spans="1:23" ht="15.75" x14ac:dyDescent="0.25">
      <c r="A63" s="48" t="s">
        <v>3897</v>
      </c>
      <c r="B63" s="49">
        <v>46071</v>
      </c>
      <c r="C63" s="48" t="s">
        <v>916</v>
      </c>
      <c r="D63" s="48" t="s">
        <v>441</v>
      </c>
      <c r="E63" s="48" t="s">
        <v>856</v>
      </c>
      <c r="F63" s="48" t="s">
        <v>366</v>
      </c>
      <c r="G63" s="48" t="s">
        <v>710</v>
      </c>
      <c r="H63" s="48" t="s">
        <v>27</v>
      </c>
      <c r="I63" s="48" t="s">
        <v>521</v>
      </c>
      <c r="J63" s="48" t="s">
        <v>24</v>
      </c>
      <c r="K63" s="48" t="s">
        <v>710</v>
      </c>
      <c r="L63" s="48" t="s">
        <v>1209</v>
      </c>
      <c r="M63" s="48" t="s">
        <v>26</v>
      </c>
      <c r="N63" s="48" t="s">
        <v>20</v>
      </c>
      <c r="O63" s="48" t="s">
        <v>857</v>
      </c>
      <c r="P63" s="50">
        <v>1000000</v>
      </c>
      <c r="Q63" s="50">
        <v>1</v>
      </c>
      <c r="R63" s="50">
        <v>1000000</v>
      </c>
      <c r="S63" s="74">
        <v>46153</v>
      </c>
      <c r="T63" s="48" t="s">
        <v>1904</v>
      </c>
      <c r="U63" s="48" t="s">
        <v>5257</v>
      </c>
      <c r="V63" s="48" t="s">
        <v>378</v>
      </c>
      <c r="W63" s="48"/>
    </row>
    <row r="64" spans="1:23" ht="15.75" x14ac:dyDescent="0.25">
      <c r="A64" s="48" t="s">
        <v>3894</v>
      </c>
      <c r="B64" s="49">
        <v>46078</v>
      </c>
      <c r="C64" s="48" t="s">
        <v>916</v>
      </c>
      <c r="D64" s="48" t="s">
        <v>441</v>
      </c>
      <c r="E64" s="48" t="s">
        <v>856</v>
      </c>
      <c r="F64" s="48" t="s">
        <v>366</v>
      </c>
      <c r="G64" s="48" t="s">
        <v>710</v>
      </c>
      <c r="H64" s="48" t="s">
        <v>27</v>
      </c>
      <c r="I64" s="48" t="s">
        <v>477</v>
      </c>
      <c r="J64" s="48" t="s">
        <v>24</v>
      </c>
      <c r="K64" s="48" t="s">
        <v>710</v>
      </c>
      <c r="L64" s="48" t="s">
        <v>1209</v>
      </c>
      <c r="M64" s="48" t="s">
        <v>26</v>
      </c>
      <c r="N64" s="48" t="s">
        <v>20</v>
      </c>
      <c r="O64" s="48" t="s">
        <v>857</v>
      </c>
      <c r="P64" s="50">
        <v>1597500</v>
      </c>
      <c r="Q64" s="50">
        <v>1</v>
      </c>
      <c r="R64" s="50">
        <v>1597500</v>
      </c>
      <c r="S64" s="74">
        <v>46153</v>
      </c>
      <c r="T64" s="48" t="s">
        <v>1904</v>
      </c>
      <c r="U64" s="48" t="s">
        <v>710</v>
      </c>
      <c r="V64" s="48" t="s">
        <v>857</v>
      </c>
      <c r="W64" s="48"/>
    </row>
    <row r="65" spans="1:23" ht="15.75" x14ac:dyDescent="0.25">
      <c r="A65" s="48" t="s">
        <v>3571</v>
      </c>
      <c r="B65" s="49">
        <v>46078</v>
      </c>
      <c r="C65" s="48" t="s">
        <v>916</v>
      </c>
      <c r="D65" s="48" t="s">
        <v>441</v>
      </c>
      <c r="E65" s="48" t="s">
        <v>856</v>
      </c>
      <c r="F65" s="48" t="s">
        <v>612</v>
      </c>
      <c r="G65" s="48" t="s">
        <v>613</v>
      </c>
      <c r="H65" s="48" t="s">
        <v>27</v>
      </c>
      <c r="I65" s="48" t="s">
        <v>779</v>
      </c>
      <c r="J65" s="48" t="s">
        <v>24</v>
      </c>
      <c r="K65" s="48" t="s">
        <v>613</v>
      </c>
      <c r="L65" s="48" t="s">
        <v>1135</v>
      </c>
      <c r="M65" s="48" t="s">
        <v>26</v>
      </c>
      <c r="N65" s="48" t="s">
        <v>20</v>
      </c>
      <c r="O65" s="48" t="s">
        <v>378</v>
      </c>
      <c r="P65" s="50">
        <v>1478254.88</v>
      </c>
      <c r="Q65" s="50">
        <v>1</v>
      </c>
      <c r="R65" s="50">
        <v>1478254.88</v>
      </c>
      <c r="S65" s="74">
        <v>46152</v>
      </c>
      <c r="T65" s="48" t="s">
        <v>1904</v>
      </c>
      <c r="U65" s="48" t="s">
        <v>613</v>
      </c>
      <c r="V65" s="48" t="s">
        <v>857</v>
      </c>
      <c r="W65" s="48"/>
    </row>
    <row r="66" spans="1:23" ht="15.75" x14ac:dyDescent="0.25">
      <c r="A66" s="48" t="s">
        <v>1446</v>
      </c>
      <c r="B66" s="49">
        <v>46147</v>
      </c>
      <c r="C66" s="48" t="s">
        <v>931</v>
      </c>
      <c r="D66" s="48" t="s">
        <v>509</v>
      </c>
      <c r="E66" s="48" t="s">
        <v>858</v>
      </c>
      <c r="F66" s="48" t="s">
        <v>95</v>
      </c>
      <c r="G66" s="48" t="s">
        <v>96</v>
      </c>
      <c r="H66" s="48" t="s">
        <v>27</v>
      </c>
      <c r="I66" s="48" t="s">
        <v>1337</v>
      </c>
      <c r="J66" s="48" t="s">
        <v>72</v>
      </c>
      <c r="K66" s="48" t="s">
        <v>511</v>
      </c>
      <c r="L66" s="48" t="s">
        <v>1236</v>
      </c>
      <c r="M66" s="48" t="s">
        <v>26</v>
      </c>
      <c r="N66" s="48" t="s">
        <v>20</v>
      </c>
      <c r="O66" s="48" t="s">
        <v>378</v>
      </c>
      <c r="P66" s="50">
        <v>270623.75</v>
      </c>
      <c r="Q66" s="50">
        <v>1</v>
      </c>
      <c r="R66" s="50">
        <v>270623.75</v>
      </c>
      <c r="S66" s="74">
        <v>46149</v>
      </c>
      <c r="T66" s="48" t="s">
        <v>1338</v>
      </c>
      <c r="U66" s="48" t="s">
        <v>1460</v>
      </c>
      <c r="V66" s="48" t="s">
        <v>378</v>
      </c>
      <c r="W66" s="48"/>
    </row>
    <row r="67" spans="1:23" ht="15.75" x14ac:dyDescent="0.25">
      <c r="A67" s="48" t="s">
        <v>3900</v>
      </c>
      <c r="B67" s="49">
        <v>46121</v>
      </c>
      <c r="C67" s="48" t="s">
        <v>916</v>
      </c>
      <c r="D67" s="48" t="s">
        <v>441</v>
      </c>
      <c r="E67" s="48" t="s">
        <v>856</v>
      </c>
      <c r="F67" s="48" t="s">
        <v>366</v>
      </c>
      <c r="G67" s="48" t="s">
        <v>710</v>
      </c>
      <c r="H67" s="48" t="s">
        <v>27</v>
      </c>
      <c r="I67" s="48" t="s">
        <v>3291</v>
      </c>
      <c r="J67" s="48" t="s">
        <v>24</v>
      </c>
      <c r="K67" s="48" t="s">
        <v>710</v>
      </c>
      <c r="L67" s="48" t="s">
        <v>1209</v>
      </c>
      <c r="M67" s="48" t="s">
        <v>26</v>
      </c>
      <c r="N67" s="48" t="s">
        <v>20</v>
      </c>
      <c r="O67" s="48" t="s">
        <v>857</v>
      </c>
      <c r="P67" s="50">
        <v>500000</v>
      </c>
      <c r="Q67" s="50">
        <v>1</v>
      </c>
      <c r="R67" s="50">
        <v>500000</v>
      </c>
      <c r="S67" s="74">
        <v>46147</v>
      </c>
      <c r="T67" s="48" t="s">
        <v>1904</v>
      </c>
      <c r="U67" s="48" t="s">
        <v>710</v>
      </c>
      <c r="V67" s="48" t="s">
        <v>857</v>
      </c>
      <c r="W67" s="48"/>
    </row>
    <row r="68" spans="1:23" ht="15.75" x14ac:dyDescent="0.25">
      <c r="A68" s="48" t="s">
        <v>3265</v>
      </c>
      <c r="B68" s="49">
        <v>46061</v>
      </c>
      <c r="C68" s="48" t="s">
        <v>916</v>
      </c>
      <c r="D68" s="48" t="s">
        <v>441</v>
      </c>
      <c r="E68" s="48" t="s">
        <v>856</v>
      </c>
      <c r="F68" s="48" t="s">
        <v>366</v>
      </c>
      <c r="G68" s="48" t="s">
        <v>710</v>
      </c>
      <c r="H68" s="48" t="s">
        <v>27</v>
      </c>
      <c r="I68" s="48" t="s">
        <v>1572</v>
      </c>
      <c r="J68" s="48" t="s">
        <v>24</v>
      </c>
      <c r="K68" s="48" t="s">
        <v>710</v>
      </c>
      <c r="L68" s="48" t="s">
        <v>1209</v>
      </c>
      <c r="M68" s="48" t="s">
        <v>26</v>
      </c>
      <c r="N68" s="48" t="s">
        <v>20</v>
      </c>
      <c r="O68" s="48" t="s">
        <v>857</v>
      </c>
      <c r="P68" s="50">
        <v>650518.46</v>
      </c>
      <c r="Q68" s="50">
        <v>1</v>
      </c>
      <c r="R68" s="50">
        <v>650518.46</v>
      </c>
      <c r="S68" s="74">
        <v>46147</v>
      </c>
      <c r="T68" s="48" t="s">
        <v>621</v>
      </c>
      <c r="U68" s="48" t="s">
        <v>710</v>
      </c>
      <c r="V68" s="48" t="s">
        <v>857</v>
      </c>
      <c r="W68" s="48"/>
    </row>
    <row r="69" spans="1:23" ht="15.75" x14ac:dyDescent="0.25">
      <c r="A69" s="48" t="s">
        <v>1873</v>
      </c>
      <c r="B69" s="49">
        <v>46036</v>
      </c>
      <c r="C69" s="48" t="s">
        <v>916</v>
      </c>
      <c r="D69" s="48" t="s">
        <v>441</v>
      </c>
      <c r="E69" s="48" t="s">
        <v>856</v>
      </c>
      <c r="F69" s="48" t="s">
        <v>366</v>
      </c>
      <c r="G69" s="48" t="s">
        <v>710</v>
      </c>
      <c r="H69" s="48" t="s">
        <v>27</v>
      </c>
      <c r="I69" s="48" t="s">
        <v>1843</v>
      </c>
      <c r="J69" s="48" t="s">
        <v>24</v>
      </c>
      <c r="K69" s="48" t="s">
        <v>710</v>
      </c>
      <c r="L69" s="48" t="s">
        <v>1209</v>
      </c>
      <c r="M69" s="48" t="s">
        <v>26</v>
      </c>
      <c r="N69" s="48" t="s">
        <v>20</v>
      </c>
      <c r="O69" s="48" t="s">
        <v>857</v>
      </c>
      <c r="P69" s="50">
        <v>1071489.43</v>
      </c>
      <c r="Q69" s="50">
        <v>1</v>
      </c>
      <c r="R69" s="50">
        <v>1071489.43</v>
      </c>
      <c r="S69" s="74">
        <v>46147</v>
      </c>
      <c r="T69" s="48" t="s">
        <v>621</v>
      </c>
      <c r="U69" s="48" t="s">
        <v>710</v>
      </c>
      <c r="V69" s="48" t="s">
        <v>857</v>
      </c>
      <c r="W69" s="48"/>
    </row>
    <row r="70" spans="1:23" ht="15.75" x14ac:dyDescent="0.25">
      <c r="A70" s="48" t="s">
        <v>1343</v>
      </c>
      <c r="B70" s="49">
        <v>46056</v>
      </c>
      <c r="C70" s="48" t="s">
        <v>916</v>
      </c>
      <c r="D70" s="48" t="s">
        <v>441</v>
      </c>
      <c r="E70" s="48" t="s">
        <v>856</v>
      </c>
      <c r="F70" s="48" t="s">
        <v>21</v>
      </c>
      <c r="G70" s="48" t="s">
        <v>22</v>
      </c>
      <c r="H70" s="48" t="s">
        <v>27</v>
      </c>
      <c r="I70" s="48" t="s">
        <v>1334</v>
      </c>
      <c r="J70" s="48" t="s">
        <v>24</v>
      </c>
      <c r="K70" s="48" t="s">
        <v>22</v>
      </c>
      <c r="L70" s="48" t="s">
        <v>1132</v>
      </c>
      <c r="M70" s="48" t="s">
        <v>26</v>
      </c>
      <c r="N70" s="48" t="s">
        <v>20</v>
      </c>
      <c r="O70" s="48" t="s">
        <v>857</v>
      </c>
      <c r="P70" s="50">
        <v>249589.36</v>
      </c>
      <c r="Q70" s="50">
        <v>1</v>
      </c>
      <c r="R70" s="50">
        <v>249589.36</v>
      </c>
      <c r="S70" s="74">
        <v>46147</v>
      </c>
      <c r="T70" s="48" t="s">
        <v>1629</v>
      </c>
      <c r="U70" s="48" t="s">
        <v>22</v>
      </c>
      <c r="V70" s="48" t="s">
        <v>857</v>
      </c>
      <c r="W70" s="48"/>
    </row>
    <row r="71" spans="1:23" ht="15.75" x14ac:dyDescent="0.25">
      <c r="A71" s="48" t="s">
        <v>4239</v>
      </c>
      <c r="B71" s="49">
        <v>46141</v>
      </c>
      <c r="C71" s="48" t="s">
        <v>928</v>
      </c>
      <c r="D71" s="48" t="s">
        <v>509</v>
      </c>
      <c r="E71" s="48" t="s">
        <v>858</v>
      </c>
      <c r="F71" s="48" t="s">
        <v>21</v>
      </c>
      <c r="G71" s="48" t="s">
        <v>22</v>
      </c>
      <c r="H71" s="48" t="s">
        <v>27</v>
      </c>
      <c r="I71" s="48" t="s">
        <v>781</v>
      </c>
      <c r="J71" s="48" t="s">
        <v>72</v>
      </c>
      <c r="K71" s="48" t="s">
        <v>511</v>
      </c>
      <c r="L71" s="48" t="s">
        <v>1236</v>
      </c>
      <c r="M71" s="48" t="s">
        <v>26</v>
      </c>
      <c r="N71" s="48" t="s">
        <v>20</v>
      </c>
      <c r="O71" s="48" t="s">
        <v>378</v>
      </c>
      <c r="P71" s="50">
        <v>292116.28000000003</v>
      </c>
      <c r="Q71" s="50">
        <v>1</v>
      </c>
      <c r="R71" s="50">
        <v>292116.28000000003</v>
      </c>
      <c r="S71" s="74">
        <v>46147</v>
      </c>
      <c r="T71" s="48" t="s">
        <v>305</v>
      </c>
      <c r="U71" s="48" t="s">
        <v>511</v>
      </c>
      <c r="V71" s="48" t="s">
        <v>857</v>
      </c>
      <c r="W71" s="48"/>
    </row>
    <row r="72" spans="1:23" ht="15.75" x14ac:dyDescent="0.25">
      <c r="A72" s="48" t="s">
        <v>4239</v>
      </c>
      <c r="B72" s="49">
        <v>46141</v>
      </c>
      <c r="C72" s="48" t="s">
        <v>918</v>
      </c>
      <c r="D72" s="48" t="s">
        <v>509</v>
      </c>
      <c r="E72" s="48" t="s">
        <v>858</v>
      </c>
      <c r="F72" s="48" t="s">
        <v>21</v>
      </c>
      <c r="G72" s="48" t="s">
        <v>22</v>
      </c>
      <c r="H72" s="48" t="s">
        <v>27</v>
      </c>
      <c r="I72" s="48" t="s">
        <v>781</v>
      </c>
      <c r="J72" s="48" t="s">
        <v>72</v>
      </c>
      <c r="K72" s="48" t="s">
        <v>511</v>
      </c>
      <c r="L72" s="48" t="s">
        <v>1236</v>
      </c>
      <c r="M72" s="48" t="s">
        <v>26</v>
      </c>
      <c r="N72" s="48" t="s">
        <v>20</v>
      </c>
      <c r="O72" s="48" t="s">
        <v>378</v>
      </c>
      <c r="P72" s="50">
        <v>430163.81</v>
      </c>
      <c r="Q72" s="50">
        <v>1</v>
      </c>
      <c r="R72" s="50">
        <v>430163.81</v>
      </c>
      <c r="S72" s="74">
        <v>46147</v>
      </c>
      <c r="T72" s="48" t="s">
        <v>305</v>
      </c>
      <c r="U72" s="48" t="s">
        <v>1460</v>
      </c>
      <c r="V72" s="48" t="s">
        <v>857</v>
      </c>
      <c r="W72" s="48"/>
    </row>
    <row r="73" spans="1:23" ht="15.75" x14ac:dyDescent="0.25">
      <c r="A73" s="48" t="s">
        <v>4239</v>
      </c>
      <c r="B73" s="49">
        <v>46141</v>
      </c>
      <c r="C73" s="48" t="s">
        <v>924</v>
      </c>
      <c r="D73" s="48" t="s">
        <v>509</v>
      </c>
      <c r="E73" s="48" t="s">
        <v>858</v>
      </c>
      <c r="F73" s="48" t="s">
        <v>21</v>
      </c>
      <c r="G73" s="48" t="s">
        <v>22</v>
      </c>
      <c r="H73" s="48" t="s">
        <v>27</v>
      </c>
      <c r="I73" s="48" t="s">
        <v>781</v>
      </c>
      <c r="J73" s="48" t="s">
        <v>72</v>
      </c>
      <c r="K73" s="48" t="s">
        <v>511</v>
      </c>
      <c r="L73" s="48" t="s">
        <v>1236</v>
      </c>
      <c r="M73" s="48" t="s">
        <v>26</v>
      </c>
      <c r="N73" s="48" t="s">
        <v>20</v>
      </c>
      <c r="O73" s="48" t="s">
        <v>378</v>
      </c>
      <c r="P73" s="50">
        <v>411465.73</v>
      </c>
      <c r="Q73" s="50">
        <v>1</v>
      </c>
      <c r="R73" s="50">
        <v>411465.73</v>
      </c>
      <c r="S73" s="74">
        <v>46147</v>
      </c>
      <c r="T73" s="48" t="s">
        <v>305</v>
      </c>
      <c r="U73" s="48" t="s">
        <v>1460</v>
      </c>
      <c r="V73" s="48" t="s">
        <v>857</v>
      </c>
      <c r="W73" s="48"/>
    </row>
    <row r="74" spans="1:23" ht="15.75" x14ac:dyDescent="0.25">
      <c r="A74" s="48" t="s">
        <v>1652</v>
      </c>
      <c r="B74" s="49">
        <v>46078</v>
      </c>
      <c r="C74" s="48" t="s">
        <v>924</v>
      </c>
      <c r="D74" s="48" t="s">
        <v>1119</v>
      </c>
      <c r="E74" s="48" t="s">
        <v>858</v>
      </c>
      <c r="F74" s="48" t="s">
        <v>366</v>
      </c>
      <c r="G74" s="48" t="s">
        <v>367</v>
      </c>
      <c r="H74" s="48" t="s">
        <v>27</v>
      </c>
      <c r="I74" s="48" t="s">
        <v>1614</v>
      </c>
      <c r="J74" s="48" t="s">
        <v>24</v>
      </c>
      <c r="K74" s="48" t="s">
        <v>367</v>
      </c>
      <c r="L74" s="48" t="s">
        <v>1136</v>
      </c>
      <c r="M74" s="48" t="s">
        <v>26</v>
      </c>
      <c r="N74" s="48" t="s">
        <v>20</v>
      </c>
      <c r="O74" s="48" t="s">
        <v>857</v>
      </c>
      <c r="P74" s="50">
        <v>100810.74</v>
      </c>
      <c r="Q74" s="50">
        <v>1</v>
      </c>
      <c r="R74" s="50">
        <v>100810.74</v>
      </c>
      <c r="S74" s="74">
        <v>46146</v>
      </c>
      <c r="T74" s="48" t="s">
        <v>1624</v>
      </c>
      <c r="U74" s="48" t="s">
        <v>4353</v>
      </c>
      <c r="V74" s="48" t="s">
        <v>857</v>
      </c>
      <c r="W74" s="48"/>
    </row>
    <row r="75" spans="1:23" ht="15.75" x14ac:dyDescent="0.25">
      <c r="A75" s="48" t="s">
        <v>3721</v>
      </c>
      <c r="B75" s="49">
        <v>46079</v>
      </c>
      <c r="C75" s="48" t="s">
        <v>916</v>
      </c>
      <c r="D75" s="48" t="s">
        <v>1259</v>
      </c>
      <c r="E75" s="48" t="s">
        <v>858</v>
      </c>
      <c r="F75" s="48" t="s">
        <v>95</v>
      </c>
      <c r="G75" s="48" t="s">
        <v>96</v>
      </c>
      <c r="H75" s="48" t="s">
        <v>27</v>
      </c>
      <c r="I75" s="48" t="s">
        <v>3618</v>
      </c>
      <c r="J75" s="48" t="s">
        <v>1791</v>
      </c>
      <c r="K75" s="48" t="s">
        <v>328</v>
      </c>
      <c r="L75" s="48" t="s">
        <v>1142</v>
      </c>
      <c r="M75" s="48" t="s">
        <v>26</v>
      </c>
      <c r="N75" s="48" t="s">
        <v>20</v>
      </c>
      <c r="O75" s="48" t="s">
        <v>378</v>
      </c>
      <c r="P75" s="50">
        <v>400000</v>
      </c>
      <c r="Q75" s="50">
        <v>1</v>
      </c>
      <c r="R75" s="50">
        <v>400000</v>
      </c>
      <c r="S75" s="74">
        <v>46146</v>
      </c>
      <c r="T75" s="48" t="s">
        <v>28</v>
      </c>
      <c r="U75" s="48" t="s">
        <v>96</v>
      </c>
      <c r="V75" s="48" t="s">
        <v>857</v>
      </c>
      <c r="W75" s="48"/>
    </row>
    <row r="76" spans="1:23" ht="15.75" x14ac:dyDescent="0.25">
      <c r="A76" s="48" t="s">
        <v>3326</v>
      </c>
      <c r="B76" s="49">
        <v>46086</v>
      </c>
      <c r="C76" s="48" t="s">
        <v>918</v>
      </c>
      <c r="D76" s="48" t="s">
        <v>1537</v>
      </c>
      <c r="E76" s="48" t="s">
        <v>858</v>
      </c>
      <c r="F76" s="48" t="s">
        <v>62</v>
      </c>
      <c r="G76" s="48" t="s">
        <v>483</v>
      </c>
      <c r="H76" s="48" t="s">
        <v>27</v>
      </c>
      <c r="I76" s="48" t="s">
        <v>1627</v>
      </c>
      <c r="J76" s="48" t="s">
        <v>24</v>
      </c>
      <c r="K76" s="48" t="s">
        <v>483</v>
      </c>
      <c r="L76" s="48" t="s">
        <v>1646</v>
      </c>
      <c r="M76" s="48" t="s">
        <v>26</v>
      </c>
      <c r="N76" s="48" t="s">
        <v>20</v>
      </c>
      <c r="O76" s="48" t="s">
        <v>857</v>
      </c>
      <c r="P76" s="50">
        <v>50916.25</v>
      </c>
      <c r="Q76" s="50">
        <v>1</v>
      </c>
      <c r="R76" s="50">
        <v>50916.25</v>
      </c>
      <c r="S76" s="74">
        <v>46146</v>
      </c>
      <c r="T76" s="48" t="s">
        <v>3229</v>
      </c>
      <c r="U76" s="48" t="s">
        <v>483</v>
      </c>
      <c r="V76" s="48" t="s">
        <v>857</v>
      </c>
      <c r="W76" s="48"/>
    </row>
    <row r="77" spans="1:23" ht="15.75" x14ac:dyDescent="0.25">
      <c r="A77" s="48" t="s">
        <v>3568</v>
      </c>
      <c r="B77" s="49">
        <v>46069</v>
      </c>
      <c r="C77" s="48" t="s">
        <v>916</v>
      </c>
      <c r="D77" s="48" t="s">
        <v>441</v>
      </c>
      <c r="E77" s="48" t="s">
        <v>856</v>
      </c>
      <c r="F77" s="48" t="s">
        <v>612</v>
      </c>
      <c r="G77" s="48" t="s">
        <v>613</v>
      </c>
      <c r="H77" s="48" t="s">
        <v>27</v>
      </c>
      <c r="I77" s="48" t="s">
        <v>3332</v>
      </c>
      <c r="J77" s="48" t="s">
        <v>24</v>
      </c>
      <c r="K77" s="48" t="s">
        <v>613</v>
      </c>
      <c r="L77" s="48" t="s">
        <v>1135</v>
      </c>
      <c r="M77" s="48" t="s">
        <v>26</v>
      </c>
      <c r="N77" s="48" t="s">
        <v>20</v>
      </c>
      <c r="O77" s="48" t="s">
        <v>378</v>
      </c>
      <c r="P77" s="50">
        <v>209875</v>
      </c>
      <c r="Q77" s="50">
        <v>1</v>
      </c>
      <c r="R77" s="50">
        <v>209875</v>
      </c>
      <c r="S77" s="74">
        <v>46145</v>
      </c>
      <c r="T77" s="48" t="s">
        <v>1904</v>
      </c>
      <c r="U77" s="48" t="s">
        <v>613</v>
      </c>
      <c r="V77" s="48" t="s">
        <v>857</v>
      </c>
      <c r="W77" s="48"/>
    </row>
    <row r="78" spans="1:23" ht="15.75" x14ac:dyDescent="0.25">
      <c r="A78" s="48" t="s">
        <v>3567</v>
      </c>
      <c r="B78" s="49">
        <v>46072</v>
      </c>
      <c r="C78" s="48" t="s">
        <v>916</v>
      </c>
      <c r="D78" s="48" t="s">
        <v>441</v>
      </c>
      <c r="E78" s="48" t="s">
        <v>856</v>
      </c>
      <c r="F78" s="48" t="s">
        <v>612</v>
      </c>
      <c r="G78" s="48" t="s">
        <v>613</v>
      </c>
      <c r="H78" s="48" t="s">
        <v>27</v>
      </c>
      <c r="I78" s="48" t="s">
        <v>3331</v>
      </c>
      <c r="J78" s="48" t="s">
        <v>24</v>
      </c>
      <c r="K78" s="48" t="s">
        <v>613</v>
      </c>
      <c r="L78" s="48" t="s">
        <v>1135</v>
      </c>
      <c r="M78" s="48" t="s">
        <v>26</v>
      </c>
      <c r="N78" s="48" t="s">
        <v>20</v>
      </c>
      <c r="O78" s="48" t="s">
        <v>378</v>
      </c>
      <c r="P78" s="50">
        <v>212349.8</v>
      </c>
      <c r="Q78" s="50">
        <v>1</v>
      </c>
      <c r="R78" s="50">
        <v>212349.8</v>
      </c>
      <c r="S78" s="74">
        <v>46145</v>
      </c>
      <c r="T78" s="48" t="s">
        <v>1904</v>
      </c>
      <c r="U78" s="48" t="s">
        <v>613</v>
      </c>
      <c r="V78" s="48" t="s">
        <v>857</v>
      </c>
      <c r="W78" s="48"/>
    </row>
    <row r="79" spans="1:23" ht="15.75" x14ac:dyDescent="0.25">
      <c r="A79" s="48" t="s">
        <v>2906</v>
      </c>
      <c r="B79" s="49">
        <v>46068</v>
      </c>
      <c r="C79" s="48" t="s">
        <v>918</v>
      </c>
      <c r="D79" s="48" t="s">
        <v>4206</v>
      </c>
      <c r="E79" s="48" t="s">
        <v>858</v>
      </c>
      <c r="F79" s="48" t="s">
        <v>62</v>
      </c>
      <c r="G79" s="48" t="s">
        <v>483</v>
      </c>
      <c r="H79" s="48" t="s">
        <v>27</v>
      </c>
      <c r="I79" s="48" t="s">
        <v>2363</v>
      </c>
      <c r="J79" s="48" t="s">
        <v>4207</v>
      </c>
      <c r="K79" s="48" t="s">
        <v>483</v>
      </c>
      <c r="L79" s="48" t="s">
        <v>1646</v>
      </c>
      <c r="M79" s="48" t="s">
        <v>78</v>
      </c>
      <c r="N79" s="48" t="s">
        <v>20</v>
      </c>
      <c r="O79" s="48" t="s">
        <v>857</v>
      </c>
      <c r="P79" s="50">
        <v>21571.200000000001</v>
      </c>
      <c r="Q79" s="50">
        <v>3.75</v>
      </c>
      <c r="R79" s="50">
        <v>80892</v>
      </c>
      <c r="S79" s="74">
        <v>46145</v>
      </c>
      <c r="T79" s="48" t="s">
        <v>705</v>
      </c>
      <c r="U79" s="48" t="s">
        <v>483</v>
      </c>
      <c r="V79" s="48" t="s">
        <v>857</v>
      </c>
      <c r="W79" s="48"/>
    </row>
    <row r="80" spans="1:23" ht="15.75" x14ac:dyDescent="0.25">
      <c r="A80" s="48" t="s">
        <v>1887</v>
      </c>
      <c r="B80" s="49">
        <v>46113</v>
      </c>
      <c r="C80" s="48" t="s">
        <v>918</v>
      </c>
      <c r="D80" s="48" t="s">
        <v>509</v>
      </c>
      <c r="E80" s="48" t="s">
        <v>856</v>
      </c>
      <c r="F80" s="48" t="s">
        <v>21</v>
      </c>
      <c r="G80" s="48" t="s">
        <v>22</v>
      </c>
      <c r="H80" s="48" t="s">
        <v>27</v>
      </c>
      <c r="I80" s="48" t="s">
        <v>510</v>
      </c>
      <c r="J80" s="48" t="s">
        <v>72</v>
      </c>
      <c r="K80" s="48" t="s">
        <v>511</v>
      </c>
      <c r="L80" s="48" t="s">
        <v>1236</v>
      </c>
      <c r="M80" s="48" t="s">
        <v>26</v>
      </c>
      <c r="N80" s="48" t="s">
        <v>20</v>
      </c>
      <c r="O80" s="48" t="s">
        <v>857</v>
      </c>
      <c r="P80" s="50">
        <v>2303974.85</v>
      </c>
      <c r="Q80" s="50">
        <v>1</v>
      </c>
      <c r="R80" s="50">
        <v>2303974.85</v>
      </c>
      <c r="S80" s="74">
        <v>46142</v>
      </c>
      <c r="T80" s="48" t="s">
        <v>1882</v>
      </c>
      <c r="U80" s="48" t="s">
        <v>882</v>
      </c>
      <c r="V80" s="48" t="s">
        <v>378</v>
      </c>
      <c r="W80" s="48"/>
    </row>
    <row r="81" spans="1:23" ht="15.75" x14ac:dyDescent="0.25">
      <c r="A81" s="48" t="s">
        <v>2562</v>
      </c>
      <c r="B81" s="49">
        <v>46109</v>
      </c>
      <c r="C81" s="48" t="s">
        <v>928</v>
      </c>
      <c r="D81" s="48" t="s">
        <v>2801</v>
      </c>
      <c r="E81" s="48" t="s">
        <v>856</v>
      </c>
      <c r="F81" s="48" t="s">
        <v>95</v>
      </c>
      <c r="G81" s="48" t="s">
        <v>96</v>
      </c>
      <c r="H81" s="48" t="s">
        <v>27</v>
      </c>
      <c r="I81" s="48" t="s">
        <v>2448</v>
      </c>
      <c r="J81" s="48" t="s">
        <v>3219</v>
      </c>
      <c r="K81" s="48" t="s">
        <v>328</v>
      </c>
      <c r="L81" s="48" t="s">
        <v>1142</v>
      </c>
      <c r="M81" s="48" t="s">
        <v>26</v>
      </c>
      <c r="N81" s="48" t="s">
        <v>20</v>
      </c>
      <c r="O81" s="48" t="s">
        <v>857</v>
      </c>
      <c r="P81" s="50">
        <v>1597041.23</v>
      </c>
      <c r="Q81" s="50">
        <v>1</v>
      </c>
      <c r="R81" s="50">
        <v>1597041.23</v>
      </c>
      <c r="S81" s="74">
        <v>46142</v>
      </c>
      <c r="T81" s="48" t="s">
        <v>311</v>
      </c>
      <c r="U81" s="48" t="s">
        <v>96</v>
      </c>
      <c r="V81" s="48" t="s">
        <v>857</v>
      </c>
      <c r="W81" s="48"/>
    </row>
    <row r="82" spans="1:23" ht="15.75" x14ac:dyDescent="0.25">
      <c r="A82" s="48" t="s">
        <v>3142</v>
      </c>
      <c r="B82" s="49">
        <v>46109</v>
      </c>
      <c r="C82" s="48" t="s">
        <v>916</v>
      </c>
      <c r="D82" s="48" t="s">
        <v>2801</v>
      </c>
      <c r="E82" s="48" t="s">
        <v>856</v>
      </c>
      <c r="F82" s="48" t="s">
        <v>95</v>
      </c>
      <c r="G82" s="48" t="s">
        <v>96</v>
      </c>
      <c r="H82" s="48" t="s">
        <v>27</v>
      </c>
      <c r="I82" s="48" t="s">
        <v>2925</v>
      </c>
      <c r="J82" s="48" t="s">
        <v>3219</v>
      </c>
      <c r="K82" s="48" t="s">
        <v>328</v>
      </c>
      <c r="L82" s="48" t="s">
        <v>1142</v>
      </c>
      <c r="M82" s="48" t="s">
        <v>26</v>
      </c>
      <c r="N82" s="48" t="s">
        <v>20</v>
      </c>
      <c r="O82" s="48" t="s">
        <v>378</v>
      </c>
      <c r="P82" s="50">
        <v>223403.6</v>
      </c>
      <c r="Q82" s="50">
        <v>1</v>
      </c>
      <c r="R82" s="50">
        <v>223403.6</v>
      </c>
      <c r="S82" s="74">
        <v>46142</v>
      </c>
      <c r="T82" s="48" t="s">
        <v>425</v>
      </c>
      <c r="U82" s="48" t="s">
        <v>96</v>
      </c>
      <c r="V82" s="48" t="s">
        <v>857</v>
      </c>
      <c r="W82" s="48"/>
    </row>
    <row r="83" spans="1:23" ht="15.75" x14ac:dyDescent="0.25">
      <c r="A83" s="48" t="s">
        <v>2562</v>
      </c>
      <c r="B83" s="49">
        <v>46125</v>
      </c>
      <c r="C83" s="48" t="s">
        <v>933</v>
      </c>
      <c r="D83" s="48" t="s">
        <v>2801</v>
      </c>
      <c r="E83" s="48" t="s">
        <v>856</v>
      </c>
      <c r="F83" s="48" t="s">
        <v>95</v>
      </c>
      <c r="G83" s="48" t="s">
        <v>96</v>
      </c>
      <c r="H83" s="48" t="s">
        <v>27</v>
      </c>
      <c r="I83" s="48" t="s">
        <v>2448</v>
      </c>
      <c r="J83" s="48" t="s">
        <v>3219</v>
      </c>
      <c r="K83" s="48" t="s">
        <v>328</v>
      </c>
      <c r="L83" s="48" t="s">
        <v>1142</v>
      </c>
      <c r="M83" s="48" t="s">
        <v>26</v>
      </c>
      <c r="N83" s="48" t="s">
        <v>20</v>
      </c>
      <c r="O83" s="48" t="s">
        <v>378</v>
      </c>
      <c r="P83" s="50">
        <v>1386492.9</v>
      </c>
      <c r="Q83" s="50">
        <v>1</v>
      </c>
      <c r="R83" s="50">
        <v>1386492.9</v>
      </c>
      <c r="S83" s="74">
        <v>46142</v>
      </c>
      <c r="T83" s="48" t="s">
        <v>311</v>
      </c>
      <c r="U83" s="48" t="s">
        <v>96</v>
      </c>
      <c r="V83" s="48" t="s">
        <v>857</v>
      </c>
      <c r="W83" s="48"/>
    </row>
    <row r="84" spans="1:23" ht="15.75" x14ac:dyDescent="0.25">
      <c r="A84" s="48" t="s">
        <v>1896</v>
      </c>
      <c r="B84" s="49">
        <v>46111</v>
      </c>
      <c r="C84" s="48" t="s">
        <v>922</v>
      </c>
      <c r="D84" s="48" t="s">
        <v>509</v>
      </c>
      <c r="E84" s="48" t="s">
        <v>856</v>
      </c>
      <c r="F84" s="48" t="s">
        <v>21</v>
      </c>
      <c r="G84" s="48" t="s">
        <v>22</v>
      </c>
      <c r="H84" s="48" t="s">
        <v>27</v>
      </c>
      <c r="I84" s="48" t="s">
        <v>1883</v>
      </c>
      <c r="J84" s="48" t="s">
        <v>72</v>
      </c>
      <c r="K84" s="48" t="s">
        <v>511</v>
      </c>
      <c r="L84" s="48" t="s">
        <v>1236</v>
      </c>
      <c r="M84" s="48" t="s">
        <v>26</v>
      </c>
      <c r="N84" s="48" t="s">
        <v>20</v>
      </c>
      <c r="O84" s="48" t="s">
        <v>857</v>
      </c>
      <c r="P84" s="50">
        <v>412500</v>
      </c>
      <c r="Q84" s="50">
        <v>1</v>
      </c>
      <c r="R84" s="50">
        <v>412500</v>
      </c>
      <c r="S84" s="74">
        <v>46141</v>
      </c>
      <c r="T84" s="48" t="s">
        <v>117</v>
      </c>
      <c r="U84" s="48" t="s">
        <v>511</v>
      </c>
      <c r="V84" s="48" t="s">
        <v>857</v>
      </c>
      <c r="W84" s="48"/>
    </row>
    <row r="85" spans="1:23" ht="15.75" x14ac:dyDescent="0.25">
      <c r="A85" s="48" t="s">
        <v>3569</v>
      </c>
      <c r="B85" s="49">
        <v>46058</v>
      </c>
      <c r="C85" s="48" t="s">
        <v>916</v>
      </c>
      <c r="D85" s="48" t="s">
        <v>441</v>
      </c>
      <c r="E85" s="48" t="s">
        <v>856</v>
      </c>
      <c r="F85" s="48" t="s">
        <v>612</v>
      </c>
      <c r="G85" s="48" t="s">
        <v>613</v>
      </c>
      <c r="H85" s="48" t="s">
        <v>27</v>
      </c>
      <c r="I85" s="48" t="s">
        <v>1703</v>
      </c>
      <c r="J85" s="48" t="s">
        <v>24</v>
      </c>
      <c r="K85" s="48" t="s">
        <v>613</v>
      </c>
      <c r="L85" s="48" t="s">
        <v>1135</v>
      </c>
      <c r="M85" s="48" t="s">
        <v>26</v>
      </c>
      <c r="N85" s="48" t="s">
        <v>20</v>
      </c>
      <c r="O85" s="48" t="s">
        <v>378</v>
      </c>
      <c r="P85" s="50">
        <v>252107.36</v>
      </c>
      <c r="Q85" s="50">
        <v>1</v>
      </c>
      <c r="R85" s="50">
        <v>252107.36</v>
      </c>
      <c r="S85" s="74">
        <v>46140</v>
      </c>
      <c r="T85" s="48" t="s">
        <v>1904</v>
      </c>
      <c r="U85" s="48" t="s">
        <v>613</v>
      </c>
      <c r="V85" s="48" t="s">
        <v>857</v>
      </c>
      <c r="W85" s="48"/>
    </row>
    <row r="86" spans="1:23" ht="15.75" x14ac:dyDescent="0.25">
      <c r="A86" s="48" t="s">
        <v>1610</v>
      </c>
      <c r="B86" s="49">
        <v>46139</v>
      </c>
      <c r="C86" s="48" t="s">
        <v>928</v>
      </c>
      <c r="D86" s="48" t="s">
        <v>3566</v>
      </c>
      <c r="E86" s="48" t="s">
        <v>856</v>
      </c>
      <c r="F86" s="48" t="s">
        <v>612</v>
      </c>
      <c r="G86" s="48" t="s">
        <v>613</v>
      </c>
      <c r="H86" s="48" t="s">
        <v>27</v>
      </c>
      <c r="I86" s="48" t="s">
        <v>1556</v>
      </c>
      <c r="J86" s="48" t="s">
        <v>72</v>
      </c>
      <c r="K86" s="48" t="s">
        <v>613</v>
      </c>
      <c r="L86" s="48" t="s">
        <v>1135</v>
      </c>
      <c r="M86" s="48" t="s">
        <v>26</v>
      </c>
      <c r="N86" s="48" t="s">
        <v>20</v>
      </c>
      <c r="O86" s="48" t="s">
        <v>378</v>
      </c>
      <c r="P86" s="50">
        <v>644946.44999999995</v>
      </c>
      <c r="Q86" s="50">
        <v>1</v>
      </c>
      <c r="R86" s="50">
        <v>644946.44999999995</v>
      </c>
      <c r="S86" s="74">
        <v>46140</v>
      </c>
      <c r="T86" s="48" t="s">
        <v>425</v>
      </c>
      <c r="U86" s="48" t="s">
        <v>613</v>
      </c>
      <c r="V86" s="48" t="s">
        <v>857</v>
      </c>
      <c r="W86" s="48"/>
    </row>
    <row r="87" spans="1:23" ht="15.75" x14ac:dyDescent="0.25">
      <c r="A87" s="48" t="s">
        <v>3326</v>
      </c>
      <c r="B87" s="49">
        <v>46063</v>
      </c>
      <c r="C87" s="48" t="s">
        <v>916</v>
      </c>
      <c r="D87" s="48" t="s">
        <v>1537</v>
      </c>
      <c r="E87" s="48" t="s">
        <v>856</v>
      </c>
      <c r="F87" s="48" t="s">
        <v>62</v>
      </c>
      <c r="G87" s="48" t="s">
        <v>483</v>
      </c>
      <c r="H87" s="48" t="s">
        <v>27</v>
      </c>
      <c r="I87" s="48" t="s">
        <v>1627</v>
      </c>
      <c r="J87" s="48" t="s">
        <v>24</v>
      </c>
      <c r="K87" s="48" t="s">
        <v>483</v>
      </c>
      <c r="L87" s="48" t="s">
        <v>1646</v>
      </c>
      <c r="M87" s="48" t="s">
        <v>26</v>
      </c>
      <c r="N87" s="48" t="s">
        <v>20</v>
      </c>
      <c r="O87" s="48" t="s">
        <v>857</v>
      </c>
      <c r="P87" s="50">
        <v>449036.45</v>
      </c>
      <c r="Q87" s="50">
        <v>1</v>
      </c>
      <c r="R87" s="50">
        <v>449036.45</v>
      </c>
      <c r="S87" s="74">
        <v>46140</v>
      </c>
      <c r="T87" s="48" t="s">
        <v>3229</v>
      </c>
      <c r="U87" s="48" t="s">
        <v>483</v>
      </c>
      <c r="V87" s="48" t="s">
        <v>857</v>
      </c>
      <c r="W87" s="48"/>
    </row>
    <row r="88" spans="1:23" ht="15.75" x14ac:dyDescent="0.25">
      <c r="A88" s="48" t="s">
        <v>3325</v>
      </c>
      <c r="B88" s="49">
        <v>46061</v>
      </c>
      <c r="C88" s="48" t="s">
        <v>916</v>
      </c>
      <c r="D88" s="48" t="s">
        <v>1537</v>
      </c>
      <c r="E88" s="48" t="s">
        <v>856</v>
      </c>
      <c r="F88" s="48" t="s">
        <v>62</v>
      </c>
      <c r="G88" s="48" t="s">
        <v>483</v>
      </c>
      <c r="H88" s="48" t="s">
        <v>27</v>
      </c>
      <c r="I88" s="48" t="s">
        <v>473</v>
      </c>
      <c r="J88" s="48" t="s">
        <v>24</v>
      </c>
      <c r="K88" s="48" t="s">
        <v>483</v>
      </c>
      <c r="L88" s="48" t="s">
        <v>1646</v>
      </c>
      <c r="M88" s="48" t="s">
        <v>26</v>
      </c>
      <c r="N88" s="48" t="s">
        <v>20</v>
      </c>
      <c r="O88" s="48" t="s">
        <v>857</v>
      </c>
      <c r="P88" s="50">
        <v>500000</v>
      </c>
      <c r="Q88" s="50">
        <v>1</v>
      </c>
      <c r="R88" s="50">
        <v>500000</v>
      </c>
      <c r="S88" s="74">
        <v>46140</v>
      </c>
      <c r="T88" s="48" t="s">
        <v>3229</v>
      </c>
      <c r="U88" s="48" t="s">
        <v>483</v>
      </c>
      <c r="V88" s="48" t="s">
        <v>857</v>
      </c>
      <c r="W88" s="48"/>
    </row>
    <row r="89" spans="1:23" ht="15.75" x14ac:dyDescent="0.25">
      <c r="A89" s="48" t="s">
        <v>2620</v>
      </c>
      <c r="B89" s="49">
        <v>46062</v>
      </c>
      <c r="C89" s="48" t="s">
        <v>916</v>
      </c>
      <c r="D89" s="48" t="s">
        <v>441</v>
      </c>
      <c r="E89" s="48" t="s">
        <v>856</v>
      </c>
      <c r="F89" s="48" t="s">
        <v>21</v>
      </c>
      <c r="G89" s="48" t="s">
        <v>22</v>
      </c>
      <c r="H89" s="48" t="s">
        <v>27</v>
      </c>
      <c r="I89" s="48" t="s">
        <v>2564</v>
      </c>
      <c r="J89" s="48" t="s">
        <v>24</v>
      </c>
      <c r="K89" s="48" t="s">
        <v>22</v>
      </c>
      <c r="L89" s="48" t="s">
        <v>1132</v>
      </c>
      <c r="M89" s="48" t="s">
        <v>26</v>
      </c>
      <c r="N89" s="48" t="s">
        <v>20</v>
      </c>
      <c r="O89" s="48" t="s">
        <v>857</v>
      </c>
      <c r="P89" s="50">
        <v>332244.19</v>
      </c>
      <c r="Q89" s="50">
        <v>1</v>
      </c>
      <c r="R89" s="50">
        <v>332244.19</v>
      </c>
      <c r="S89" s="74">
        <v>46140</v>
      </c>
      <c r="T89" s="48" t="s">
        <v>1904</v>
      </c>
      <c r="U89" s="48" t="s">
        <v>22</v>
      </c>
      <c r="V89" s="48" t="s">
        <v>857</v>
      </c>
      <c r="W89" s="48"/>
    </row>
    <row r="90" spans="1:23" ht="15.75" x14ac:dyDescent="0.25">
      <c r="A90" s="48" t="s">
        <v>321</v>
      </c>
      <c r="B90" s="49">
        <v>46134</v>
      </c>
      <c r="C90" s="48" t="s">
        <v>931</v>
      </c>
      <c r="D90" s="48" t="s">
        <v>1118</v>
      </c>
      <c r="E90" s="48" t="s">
        <v>858</v>
      </c>
      <c r="F90" s="48" t="s">
        <v>62</v>
      </c>
      <c r="G90" s="48" t="s">
        <v>70</v>
      </c>
      <c r="H90" s="48" t="s">
        <v>70</v>
      </c>
      <c r="I90" s="48" t="s">
        <v>322</v>
      </c>
      <c r="J90" s="48" t="s">
        <v>72</v>
      </c>
      <c r="K90" s="48" t="s">
        <v>213</v>
      </c>
      <c r="L90" s="48" t="s">
        <v>1134</v>
      </c>
      <c r="M90" s="48" t="s">
        <v>26</v>
      </c>
      <c r="N90" s="48" t="s">
        <v>20</v>
      </c>
      <c r="O90" s="48" t="s">
        <v>857</v>
      </c>
      <c r="P90" s="50">
        <v>68953.33</v>
      </c>
      <c r="Q90" s="50">
        <v>1</v>
      </c>
      <c r="R90" s="50">
        <v>68953.33</v>
      </c>
      <c r="S90" s="74">
        <v>46139</v>
      </c>
      <c r="T90" s="48" t="s">
        <v>127</v>
      </c>
      <c r="U90" s="48" t="s">
        <v>213</v>
      </c>
      <c r="V90" s="48" t="s">
        <v>857</v>
      </c>
      <c r="W90" s="48"/>
    </row>
    <row r="91" spans="1:23" ht="15.75" x14ac:dyDescent="0.25">
      <c r="A91" s="48" t="s">
        <v>1896</v>
      </c>
      <c r="B91" s="49">
        <v>46125</v>
      </c>
      <c r="C91" s="48" t="s">
        <v>929</v>
      </c>
      <c r="D91" s="48" t="s">
        <v>509</v>
      </c>
      <c r="E91" s="48" t="s">
        <v>856</v>
      </c>
      <c r="F91" s="48" t="s">
        <v>21</v>
      </c>
      <c r="G91" s="48" t="s">
        <v>22</v>
      </c>
      <c r="H91" s="48" t="s">
        <v>27</v>
      </c>
      <c r="I91" s="48" t="s">
        <v>1883</v>
      </c>
      <c r="J91" s="48" t="s">
        <v>72</v>
      </c>
      <c r="K91" s="48" t="s">
        <v>511</v>
      </c>
      <c r="L91" s="48" t="s">
        <v>1236</v>
      </c>
      <c r="M91" s="48" t="s">
        <v>26</v>
      </c>
      <c r="N91" s="48" t="s">
        <v>20</v>
      </c>
      <c r="O91" s="48" t="s">
        <v>857</v>
      </c>
      <c r="P91" s="50">
        <v>279950</v>
      </c>
      <c r="Q91" s="50">
        <v>1</v>
      </c>
      <c r="R91" s="50">
        <v>279950</v>
      </c>
      <c r="S91" s="74">
        <v>46138</v>
      </c>
      <c r="T91" s="48" t="s">
        <v>117</v>
      </c>
      <c r="U91" s="48" t="s">
        <v>511</v>
      </c>
      <c r="V91" s="48" t="s">
        <v>857</v>
      </c>
      <c r="W91" s="48"/>
    </row>
    <row r="92" spans="1:23" ht="15.75" x14ac:dyDescent="0.25">
      <c r="A92" s="48" t="s">
        <v>3145</v>
      </c>
      <c r="B92" s="49">
        <v>46071</v>
      </c>
      <c r="C92" s="48" t="s">
        <v>916</v>
      </c>
      <c r="D92" s="48" t="s">
        <v>2928</v>
      </c>
      <c r="E92" s="48" t="s">
        <v>856</v>
      </c>
      <c r="F92" s="48" t="s">
        <v>21</v>
      </c>
      <c r="G92" s="48" t="s">
        <v>22</v>
      </c>
      <c r="H92" s="48" t="s">
        <v>27</v>
      </c>
      <c r="I92" s="48" t="s">
        <v>2926</v>
      </c>
      <c r="J92" s="48" t="s">
        <v>3287</v>
      </c>
      <c r="K92" s="48" t="s">
        <v>22</v>
      </c>
      <c r="L92" s="48" t="s">
        <v>1132</v>
      </c>
      <c r="M92" s="48" t="s">
        <v>26</v>
      </c>
      <c r="N92" s="48" t="s">
        <v>20</v>
      </c>
      <c r="O92" s="48" t="s">
        <v>857</v>
      </c>
      <c r="P92" s="50">
        <v>1249991.3500000001</v>
      </c>
      <c r="Q92" s="50">
        <v>1</v>
      </c>
      <c r="R92" s="50">
        <v>1249991.3500000001</v>
      </c>
      <c r="S92" s="74">
        <v>46138</v>
      </c>
      <c r="T92" s="48" t="s">
        <v>311</v>
      </c>
      <c r="U92" s="48" t="s">
        <v>22</v>
      </c>
      <c r="V92" s="48" t="s">
        <v>857</v>
      </c>
      <c r="W92" s="48"/>
    </row>
    <row r="93" spans="1:23" ht="15.75" x14ac:dyDescent="0.25">
      <c r="A93" s="48" t="s">
        <v>1821</v>
      </c>
      <c r="B93" s="49">
        <v>46078</v>
      </c>
      <c r="C93" s="48" t="s">
        <v>916</v>
      </c>
      <c r="D93" s="48" t="s">
        <v>441</v>
      </c>
      <c r="E93" s="48" t="s">
        <v>856</v>
      </c>
      <c r="F93" s="48" t="s">
        <v>612</v>
      </c>
      <c r="G93" s="48" t="s">
        <v>613</v>
      </c>
      <c r="H93" s="48" t="s">
        <v>27</v>
      </c>
      <c r="I93" s="48" t="s">
        <v>1701</v>
      </c>
      <c r="J93" s="48" t="s">
        <v>24</v>
      </c>
      <c r="K93" s="48" t="s">
        <v>613</v>
      </c>
      <c r="L93" s="48" t="s">
        <v>1135</v>
      </c>
      <c r="M93" s="48" t="s">
        <v>26</v>
      </c>
      <c r="N93" s="48" t="s">
        <v>20</v>
      </c>
      <c r="O93" s="48" t="s">
        <v>378</v>
      </c>
      <c r="P93" s="50">
        <v>42591.07</v>
      </c>
      <c r="Q93" s="50">
        <v>1</v>
      </c>
      <c r="R93" s="50">
        <v>42591.07</v>
      </c>
      <c r="S93" s="74">
        <v>46138</v>
      </c>
      <c r="T93" s="48" t="s">
        <v>311</v>
      </c>
      <c r="U93" s="48" t="s">
        <v>613</v>
      </c>
      <c r="V93" s="48" t="s">
        <v>857</v>
      </c>
      <c r="W93" s="48"/>
    </row>
    <row r="94" spans="1:23" ht="15.75" x14ac:dyDescent="0.25">
      <c r="A94" s="48" t="s">
        <v>1810</v>
      </c>
      <c r="B94" s="49">
        <v>46113</v>
      </c>
      <c r="C94" s="48" t="s">
        <v>933</v>
      </c>
      <c r="D94" s="48" t="s">
        <v>3566</v>
      </c>
      <c r="E94" s="48" t="s">
        <v>856</v>
      </c>
      <c r="F94" s="48" t="s">
        <v>612</v>
      </c>
      <c r="G94" s="48" t="s">
        <v>613</v>
      </c>
      <c r="H94" s="48" t="s">
        <v>27</v>
      </c>
      <c r="I94" s="48" t="s">
        <v>1549</v>
      </c>
      <c r="J94" s="48" t="s">
        <v>72</v>
      </c>
      <c r="K94" s="48" t="s">
        <v>613</v>
      </c>
      <c r="L94" s="48" t="s">
        <v>1135</v>
      </c>
      <c r="M94" s="48" t="s">
        <v>26</v>
      </c>
      <c r="N94" s="48" t="s">
        <v>20</v>
      </c>
      <c r="O94" s="48" t="s">
        <v>378</v>
      </c>
      <c r="P94" s="50">
        <v>537079</v>
      </c>
      <c r="Q94" s="50">
        <v>1</v>
      </c>
      <c r="R94" s="50">
        <v>537079</v>
      </c>
      <c r="S94" s="74">
        <v>46138</v>
      </c>
      <c r="T94" s="48" t="s">
        <v>425</v>
      </c>
      <c r="U94" s="48" t="s">
        <v>613</v>
      </c>
      <c r="V94" s="48" t="s">
        <v>857</v>
      </c>
      <c r="W94" s="48"/>
    </row>
    <row r="95" spans="1:23" ht="15.75" x14ac:dyDescent="0.25">
      <c r="A95" s="48" t="s">
        <v>1565</v>
      </c>
      <c r="B95" s="49">
        <v>46078</v>
      </c>
      <c r="C95" s="48" t="s">
        <v>916</v>
      </c>
      <c r="D95" s="48" t="s">
        <v>441</v>
      </c>
      <c r="E95" s="48" t="s">
        <v>856</v>
      </c>
      <c r="F95" s="48" t="s">
        <v>612</v>
      </c>
      <c r="G95" s="48" t="s">
        <v>613</v>
      </c>
      <c r="H95" s="48" t="s">
        <v>27</v>
      </c>
      <c r="I95" s="48" t="s">
        <v>1543</v>
      </c>
      <c r="J95" s="48" t="s">
        <v>24</v>
      </c>
      <c r="K95" s="48" t="s">
        <v>613</v>
      </c>
      <c r="L95" s="48" t="s">
        <v>1135</v>
      </c>
      <c r="M95" s="48" t="s">
        <v>26</v>
      </c>
      <c r="N95" s="48" t="s">
        <v>20</v>
      </c>
      <c r="O95" s="48" t="s">
        <v>378</v>
      </c>
      <c r="P95" s="50">
        <v>89826.5</v>
      </c>
      <c r="Q95" s="50">
        <v>1</v>
      </c>
      <c r="R95" s="50">
        <v>89826.5</v>
      </c>
      <c r="S95" s="74">
        <v>46138</v>
      </c>
      <c r="T95" s="48" t="s">
        <v>311</v>
      </c>
      <c r="U95" s="48" t="s">
        <v>613</v>
      </c>
      <c r="V95" s="48" t="s">
        <v>857</v>
      </c>
      <c r="W95" s="48"/>
    </row>
    <row r="96" spans="1:23" ht="15.75" x14ac:dyDescent="0.25">
      <c r="A96" s="48" t="s">
        <v>1905</v>
      </c>
      <c r="B96" s="49">
        <v>46036</v>
      </c>
      <c r="C96" s="48" t="s">
        <v>916</v>
      </c>
      <c r="D96" s="48" t="s">
        <v>441</v>
      </c>
      <c r="E96" s="48" t="s">
        <v>856</v>
      </c>
      <c r="F96" s="48" t="s">
        <v>366</v>
      </c>
      <c r="G96" s="48" t="s">
        <v>710</v>
      </c>
      <c r="H96" s="48" t="s">
        <v>27</v>
      </c>
      <c r="I96" s="48" t="s">
        <v>1385</v>
      </c>
      <c r="J96" s="48" t="s">
        <v>24</v>
      </c>
      <c r="K96" s="48" t="s">
        <v>710</v>
      </c>
      <c r="L96" s="48" t="s">
        <v>1209</v>
      </c>
      <c r="M96" s="48" t="s">
        <v>26</v>
      </c>
      <c r="N96" s="48" t="s">
        <v>20</v>
      </c>
      <c r="O96" s="48" t="s">
        <v>857</v>
      </c>
      <c r="P96" s="50">
        <v>500000</v>
      </c>
      <c r="Q96" s="50">
        <v>1</v>
      </c>
      <c r="R96" s="50">
        <v>500000</v>
      </c>
      <c r="S96" s="74">
        <v>46138</v>
      </c>
      <c r="T96" s="48" t="s">
        <v>621</v>
      </c>
      <c r="U96" s="48" t="s">
        <v>710</v>
      </c>
      <c r="V96" s="48" t="s">
        <v>857</v>
      </c>
      <c r="W96" s="48"/>
    </row>
    <row r="97" spans="1:23" ht="15.75" x14ac:dyDescent="0.25">
      <c r="A97" s="48" t="s">
        <v>2906</v>
      </c>
      <c r="B97" s="49">
        <v>46063</v>
      </c>
      <c r="C97" s="48" t="s">
        <v>916</v>
      </c>
      <c r="D97" s="48" t="s">
        <v>4206</v>
      </c>
      <c r="E97" s="48" t="s">
        <v>858</v>
      </c>
      <c r="F97" s="48" t="s">
        <v>62</v>
      </c>
      <c r="G97" s="48" t="s">
        <v>483</v>
      </c>
      <c r="H97" s="48" t="s">
        <v>27</v>
      </c>
      <c r="I97" s="48" t="s">
        <v>2363</v>
      </c>
      <c r="J97" s="48" t="s">
        <v>4207</v>
      </c>
      <c r="K97" s="48" t="s">
        <v>483</v>
      </c>
      <c r="L97" s="48" t="s">
        <v>1646</v>
      </c>
      <c r="M97" s="48" t="s">
        <v>78</v>
      </c>
      <c r="N97" s="48" t="s">
        <v>20</v>
      </c>
      <c r="O97" s="48" t="s">
        <v>857</v>
      </c>
      <c r="P97" s="50">
        <v>81510.42</v>
      </c>
      <c r="Q97" s="50">
        <v>3.754</v>
      </c>
      <c r="R97" s="50">
        <v>305990.11667999998</v>
      </c>
      <c r="S97" s="74">
        <v>46138</v>
      </c>
      <c r="T97" s="48" t="s">
        <v>705</v>
      </c>
      <c r="U97" s="48" t="s">
        <v>483</v>
      </c>
      <c r="V97" s="48" t="s">
        <v>857</v>
      </c>
      <c r="W97" s="48"/>
    </row>
    <row r="98" spans="1:23" ht="15.75" x14ac:dyDescent="0.25">
      <c r="A98" s="48" t="s">
        <v>1896</v>
      </c>
      <c r="B98" s="49">
        <v>46125</v>
      </c>
      <c r="C98" s="48" t="s">
        <v>930</v>
      </c>
      <c r="D98" s="48" t="s">
        <v>509</v>
      </c>
      <c r="E98" s="48" t="s">
        <v>856</v>
      </c>
      <c r="F98" s="48" t="s">
        <v>21</v>
      </c>
      <c r="G98" s="48" t="s">
        <v>22</v>
      </c>
      <c r="H98" s="48" t="s">
        <v>27</v>
      </c>
      <c r="I98" s="48" t="s">
        <v>1883</v>
      </c>
      <c r="J98" s="48" t="s">
        <v>72</v>
      </c>
      <c r="K98" s="48" t="s">
        <v>511</v>
      </c>
      <c r="L98" s="48" t="s">
        <v>1236</v>
      </c>
      <c r="M98" s="48" t="s">
        <v>26</v>
      </c>
      <c r="N98" s="48" t="s">
        <v>20</v>
      </c>
      <c r="O98" s="48" t="s">
        <v>378</v>
      </c>
      <c r="P98" s="50">
        <v>412500</v>
      </c>
      <c r="Q98" s="50">
        <v>1</v>
      </c>
      <c r="R98" s="50">
        <v>412500</v>
      </c>
      <c r="S98" s="74">
        <v>46138</v>
      </c>
      <c r="T98" s="48" t="s">
        <v>117</v>
      </c>
      <c r="U98" s="48" t="s">
        <v>511</v>
      </c>
      <c r="V98" s="48" t="s">
        <v>857</v>
      </c>
      <c r="W98" s="48"/>
    </row>
    <row r="99" spans="1:23" ht="15.75" x14ac:dyDescent="0.25">
      <c r="A99" s="48" t="s">
        <v>3720</v>
      </c>
      <c r="B99" s="49">
        <v>46109</v>
      </c>
      <c r="C99" s="48" t="s">
        <v>916</v>
      </c>
      <c r="D99" s="48" t="s">
        <v>1259</v>
      </c>
      <c r="E99" s="48" t="s">
        <v>858</v>
      </c>
      <c r="F99" s="48" t="s">
        <v>95</v>
      </c>
      <c r="G99" s="48" t="s">
        <v>96</v>
      </c>
      <c r="H99" s="48" t="s">
        <v>27</v>
      </c>
      <c r="I99" s="48" t="s">
        <v>3619</v>
      </c>
      <c r="J99" s="48" t="s">
        <v>1791</v>
      </c>
      <c r="K99" s="48" t="s">
        <v>328</v>
      </c>
      <c r="L99" s="48" t="s">
        <v>1142</v>
      </c>
      <c r="M99" s="48" t="s">
        <v>26</v>
      </c>
      <c r="N99" s="48" t="s">
        <v>20</v>
      </c>
      <c r="O99" s="48" t="s">
        <v>857</v>
      </c>
      <c r="P99" s="50">
        <v>800000</v>
      </c>
      <c r="Q99" s="50">
        <v>1</v>
      </c>
      <c r="R99" s="50">
        <v>800000</v>
      </c>
      <c r="S99" s="74">
        <v>46135</v>
      </c>
      <c r="T99" s="48" t="s">
        <v>28</v>
      </c>
      <c r="U99" s="48" t="s">
        <v>96</v>
      </c>
      <c r="V99" s="48" t="s">
        <v>857</v>
      </c>
      <c r="W99" s="48"/>
    </row>
    <row r="100" spans="1:23" ht="15.75" x14ac:dyDescent="0.25">
      <c r="A100" s="48" t="s">
        <v>1896</v>
      </c>
      <c r="B100" s="49">
        <v>46097</v>
      </c>
      <c r="C100" s="48" t="s">
        <v>928</v>
      </c>
      <c r="D100" s="48" t="s">
        <v>509</v>
      </c>
      <c r="E100" s="48" t="s">
        <v>858</v>
      </c>
      <c r="F100" s="48" t="s">
        <v>21</v>
      </c>
      <c r="G100" s="48" t="s">
        <v>22</v>
      </c>
      <c r="H100" s="48" t="s">
        <v>27</v>
      </c>
      <c r="I100" s="48" t="s">
        <v>1883</v>
      </c>
      <c r="J100" s="48" t="s">
        <v>72</v>
      </c>
      <c r="K100" s="48" t="s">
        <v>511</v>
      </c>
      <c r="L100" s="48" t="s">
        <v>1236</v>
      </c>
      <c r="M100" s="48" t="s">
        <v>26</v>
      </c>
      <c r="N100" s="48" t="s">
        <v>20</v>
      </c>
      <c r="O100" s="48" t="s">
        <v>857</v>
      </c>
      <c r="P100" s="50">
        <v>279950</v>
      </c>
      <c r="Q100" s="50">
        <v>1</v>
      </c>
      <c r="R100" s="50">
        <v>279950</v>
      </c>
      <c r="S100" s="74">
        <v>46135</v>
      </c>
      <c r="T100" s="48" t="s">
        <v>117</v>
      </c>
      <c r="U100" s="48" t="s">
        <v>511</v>
      </c>
      <c r="V100" s="48" t="s">
        <v>857</v>
      </c>
      <c r="W100" s="48"/>
    </row>
    <row r="101" spans="1:23" ht="15.75" x14ac:dyDescent="0.25">
      <c r="A101" s="48" t="s">
        <v>1934</v>
      </c>
      <c r="B101" s="49">
        <v>46109</v>
      </c>
      <c r="C101" s="48" t="s">
        <v>930</v>
      </c>
      <c r="D101" s="48" t="s">
        <v>1537</v>
      </c>
      <c r="E101" s="48" t="s">
        <v>856</v>
      </c>
      <c r="F101" s="48" t="s">
        <v>62</v>
      </c>
      <c r="G101" s="48" t="s">
        <v>483</v>
      </c>
      <c r="H101" s="48" t="s">
        <v>27</v>
      </c>
      <c r="I101" s="48" t="s">
        <v>1641</v>
      </c>
      <c r="J101" s="48" t="s">
        <v>72</v>
      </c>
      <c r="K101" s="48" t="s">
        <v>483</v>
      </c>
      <c r="L101" s="48" t="s">
        <v>1646</v>
      </c>
      <c r="M101" s="48" t="s">
        <v>26</v>
      </c>
      <c r="N101" s="48" t="s">
        <v>20</v>
      </c>
      <c r="O101" s="48" t="s">
        <v>857</v>
      </c>
      <c r="P101" s="50">
        <v>1543299.32</v>
      </c>
      <c r="Q101" s="50">
        <v>1</v>
      </c>
      <c r="R101" s="50">
        <v>1543299.32</v>
      </c>
      <c r="S101" s="74">
        <v>46135</v>
      </c>
      <c r="T101" s="48" t="s">
        <v>305</v>
      </c>
      <c r="U101" s="48" t="s">
        <v>483</v>
      </c>
      <c r="V101" s="48" t="s">
        <v>857</v>
      </c>
      <c r="W101" s="48"/>
    </row>
    <row r="102" spans="1:23" ht="15.75" x14ac:dyDescent="0.25">
      <c r="A102" s="48" t="s">
        <v>1690</v>
      </c>
      <c r="B102" s="49">
        <v>46044</v>
      </c>
      <c r="C102" s="48" t="s">
        <v>916</v>
      </c>
      <c r="D102" s="48" t="s">
        <v>1119</v>
      </c>
      <c r="E102" s="48" t="s">
        <v>858</v>
      </c>
      <c r="F102" s="48" t="s">
        <v>366</v>
      </c>
      <c r="G102" s="48" t="s">
        <v>367</v>
      </c>
      <c r="H102" s="48" t="s">
        <v>27</v>
      </c>
      <c r="I102" s="48" t="s">
        <v>1681</v>
      </c>
      <c r="J102" s="48" t="s">
        <v>24</v>
      </c>
      <c r="K102" s="48" t="s">
        <v>367</v>
      </c>
      <c r="L102" s="48" t="s">
        <v>1136</v>
      </c>
      <c r="M102" s="48" t="s">
        <v>26</v>
      </c>
      <c r="N102" s="48" t="s">
        <v>20</v>
      </c>
      <c r="O102" s="48" t="s">
        <v>857</v>
      </c>
      <c r="P102" s="50">
        <v>850000</v>
      </c>
      <c r="Q102" s="50">
        <v>1</v>
      </c>
      <c r="R102" s="50">
        <v>850000</v>
      </c>
      <c r="S102" s="74">
        <v>46135</v>
      </c>
      <c r="T102" s="48" t="s">
        <v>1629</v>
      </c>
      <c r="U102" s="48" t="s">
        <v>367</v>
      </c>
      <c r="V102" s="48" t="s">
        <v>857</v>
      </c>
      <c r="W102" s="48"/>
    </row>
    <row r="103" spans="1:23" ht="15.75" x14ac:dyDescent="0.25">
      <c r="A103" s="48" t="s">
        <v>1896</v>
      </c>
      <c r="B103" s="49">
        <v>46109</v>
      </c>
      <c r="C103" s="48" t="s">
        <v>933</v>
      </c>
      <c r="D103" s="48" t="s">
        <v>509</v>
      </c>
      <c r="E103" s="48" t="s">
        <v>856</v>
      </c>
      <c r="F103" s="48" t="s">
        <v>21</v>
      </c>
      <c r="G103" s="48" t="s">
        <v>22</v>
      </c>
      <c r="H103" s="48" t="s">
        <v>27</v>
      </c>
      <c r="I103" s="48" t="s">
        <v>1883</v>
      </c>
      <c r="J103" s="48" t="s">
        <v>72</v>
      </c>
      <c r="K103" s="48" t="s">
        <v>511</v>
      </c>
      <c r="L103" s="48" t="s">
        <v>1236</v>
      </c>
      <c r="M103" s="48" t="s">
        <v>26</v>
      </c>
      <c r="N103" s="48" t="s">
        <v>20</v>
      </c>
      <c r="O103" s="48" t="s">
        <v>857</v>
      </c>
      <c r="P103" s="50">
        <v>412500</v>
      </c>
      <c r="Q103" s="50">
        <v>1</v>
      </c>
      <c r="R103" s="50">
        <v>412500</v>
      </c>
      <c r="S103" s="74">
        <v>46135</v>
      </c>
      <c r="T103" s="48" t="s">
        <v>117</v>
      </c>
      <c r="U103" s="48" t="s">
        <v>511</v>
      </c>
      <c r="V103" s="48" t="s">
        <v>857</v>
      </c>
      <c r="W103" s="48"/>
    </row>
    <row r="104" spans="1:23" ht="15.75" x14ac:dyDescent="0.25">
      <c r="A104" s="48" t="s">
        <v>1402</v>
      </c>
      <c r="B104" s="49">
        <v>46062</v>
      </c>
      <c r="C104" s="48" t="s">
        <v>918</v>
      </c>
      <c r="D104" s="48" t="s">
        <v>441</v>
      </c>
      <c r="E104" s="48" t="s">
        <v>856</v>
      </c>
      <c r="F104" s="48" t="s">
        <v>21</v>
      </c>
      <c r="G104" s="48" t="s">
        <v>22</v>
      </c>
      <c r="H104" s="48" t="s">
        <v>27</v>
      </c>
      <c r="I104" s="48" t="s">
        <v>1319</v>
      </c>
      <c r="J104" s="48" t="s">
        <v>24</v>
      </c>
      <c r="K104" s="48" t="s">
        <v>22</v>
      </c>
      <c r="L104" s="48" t="s">
        <v>1132</v>
      </c>
      <c r="M104" s="48" t="s">
        <v>26</v>
      </c>
      <c r="N104" s="48" t="s">
        <v>20</v>
      </c>
      <c r="O104" s="48" t="s">
        <v>857</v>
      </c>
      <c r="P104" s="50">
        <v>87392.960000000006</v>
      </c>
      <c r="Q104" s="50">
        <v>1</v>
      </c>
      <c r="R104" s="50">
        <v>87392.960000000006</v>
      </c>
      <c r="S104" s="74">
        <v>46134</v>
      </c>
      <c r="T104" s="48" t="s">
        <v>1629</v>
      </c>
      <c r="U104" s="48" t="s">
        <v>22</v>
      </c>
      <c r="V104" s="48" t="s">
        <v>857</v>
      </c>
      <c r="W104" s="48"/>
    </row>
    <row r="105" spans="1:23" ht="15.75" x14ac:dyDescent="0.25">
      <c r="A105" s="48" t="s">
        <v>1899</v>
      </c>
      <c r="B105" s="49">
        <v>46047</v>
      </c>
      <c r="C105" s="48" t="s">
        <v>916</v>
      </c>
      <c r="D105" s="48" t="s">
        <v>441</v>
      </c>
      <c r="E105" s="48" t="s">
        <v>858</v>
      </c>
      <c r="F105" s="48" t="s">
        <v>366</v>
      </c>
      <c r="G105" s="48" t="s">
        <v>710</v>
      </c>
      <c r="H105" s="48" t="s">
        <v>27</v>
      </c>
      <c r="I105" s="48" t="s">
        <v>1573</v>
      </c>
      <c r="J105" s="48" t="s">
        <v>24</v>
      </c>
      <c r="K105" s="48" t="s">
        <v>710</v>
      </c>
      <c r="L105" s="48" t="s">
        <v>1209</v>
      </c>
      <c r="M105" s="48" t="s">
        <v>26</v>
      </c>
      <c r="N105" s="48" t="s">
        <v>20</v>
      </c>
      <c r="O105" s="48" t="s">
        <v>857</v>
      </c>
      <c r="P105" s="50">
        <v>347240.48</v>
      </c>
      <c r="Q105" s="50">
        <v>1</v>
      </c>
      <c r="R105" s="50">
        <v>347240.48</v>
      </c>
      <c r="S105" s="74">
        <v>46134</v>
      </c>
      <c r="T105" s="48" t="s">
        <v>621</v>
      </c>
      <c r="U105" s="48" t="s">
        <v>710</v>
      </c>
      <c r="V105" s="48" t="s">
        <v>857</v>
      </c>
      <c r="W105" s="48"/>
    </row>
    <row r="106" spans="1:23" ht="15.75" x14ac:dyDescent="0.25">
      <c r="A106" s="48" t="s">
        <v>4394</v>
      </c>
      <c r="B106" s="49">
        <v>46131</v>
      </c>
      <c r="C106" s="48" t="s">
        <v>916</v>
      </c>
      <c r="D106" s="48" t="s">
        <v>1537</v>
      </c>
      <c r="E106" s="48" t="s">
        <v>856</v>
      </c>
      <c r="F106" s="48" t="s">
        <v>62</v>
      </c>
      <c r="G106" s="48" t="s">
        <v>483</v>
      </c>
      <c r="H106" s="48" t="s">
        <v>27</v>
      </c>
      <c r="I106" s="48" t="s">
        <v>1641</v>
      </c>
      <c r="J106" s="48" t="s">
        <v>72</v>
      </c>
      <c r="K106" s="48" t="s">
        <v>483</v>
      </c>
      <c r="L106" s="48" t="s">
        <v>1646</v>
      </c>
      <c r="M106" s="48" t="s">
        <v>26</v>
      </c>
      <c r="N106" s="48" t="s">
        <v>20</v>
      </c>
      <c r="O106" s="48" t="s">
        <v>857</v>
      </c>
      <c r="P106" s="50">
        <v>4576500</v>
      </c>
      <c r="Q106" s="50">
        <v>1</v>
      </c>
      <c r="R106" s="50">
        <v>4576500</v>
      </c>
      <c r="S106" s="74">
        <v>46133</v>
      </c>
      <c r="T106" s="48" t="s">
        <v>4293</v>
      </c>
      <c r="U106" s="48" t="s">
        <v>483</v>
      </c>
      <c r="V106" s="48" t="s">
        <v>857</v>
      </c>
      <c r="W106" s="48"/>
    </row>
    <row r="107" spans="1:23" ht="15.75" x14ac:dyDescent="0.25">
      <c r="A107" s="48" t="s">
        <v>2903</v>
      </c>
      <c r="B107" s="49">
        <v>46036</v>
      </c>
      <c r="C107" s="48" t="s">
        <v>918</v>
      </c>
      <c r="D107" s="48" t="s">
        <v>441</v>
      </c>
      <c r="E107" s="48" t="s">
        <v>858</v>
      </c>
      <c r="F107" s="48" t="s">
        <v>366</v>
      </c>
      <c r="G107" s="48" t="s">
        <v>710</v>
      </c>
      <c r="H107" s="48" t="s">
        <v>27</v>
      </c>
      <c r="I107" s="48" t="s">
        <v>1378</v>
      </c>
      <c r="J107" s="48" t="s">
        <v>24</v>
      </c>
      <c r="K107" s="48" t="s">
        <v>710</v>
      </c>
      <c r="L107" s="48" t="s">
        <v>1209</v>
      </c>
      <c r="M107" s="48" t="s">
        <v>26</v>
      </c>
      <c r="N107" s="48" t="s">
        <v>20</v>
      </c>
      <c r="O107" s="48" t="s">
        <v>857</v>
      </c>
      <c r="P107" s="50">
        <v>218125.67</v>
      </c>
      <c r="Q107" s="50">
        <v>1</v>
      </c>
      <c r="R107" s="50">
        <v>218125.67</v>
      </c>
      <c r="S107" s="74">
        <v>46133</v>
      </c>
      <c r="T107" s="48" t="s">
        <v>621</v>
      </c>
      <c r="U107" s="48" t="s">
        <v>710</v>
      </c>
      <c r="V107" s="48" t="s">
        <v>857</v>
      </c>
      <c r="W107" s="48"/>
    </row>
    <row r="108" spans="1:23" ht="15.75" x14ac:dyDescent="0.25">
      <c r="A108" s="48" t="s">
        <v>1446</v>
      </c>
      <c r="B108" s="49">
        <v>46131</v>
      </c>
      <c r="C108" s="48" t="s">
        <v>930</v>
      </c>
      <c r="D108" s="48" t="s">
        <v>509</v>
      </c>
      <c r="E108" s="48" t="s">
        <v>856</v>
      </c>
      <c r="F108" s="48" t="s">
        <v>95</v>
      </c>
      <c r="G108" s="48" t="s">
        <v>96</v>
      </c>
      <c r="H108" s="48" t="s">
        <v>27</v>
      </c>
      <c r="I108" s="48" t="s">
        <v>1337</v>
      </c>
      <c r="J108" s="48" t="s">
        <v>72</v>
      </c>
      <c r="K108" s="48" t="s">
        <v>511</v>
      </c>
      <c r="L108" s="48" t="s">
        <v>1236</v>
      </c>
      <c r="M108" s="48" t="s">
        <v>26</v>
      </c>
      <c r="N108" s="48" t="s">
        <v>20</v>
      </c>
      <c r="O108" s="48" t="s">
        <v>378</v>
      </c>
      <c r="P108" s="50">
        <v>809237.75</v>
      </c>
      <c r="Q108" s="50">
        <v>1</v>
      </c>
      <c r="R108" s="50">
        <v>809237.75</v>
      </c>
      <c r="S108" s="74">
        <v>46131</v>
      </c>
      <c r="T108" s="48" t="s">
        <v>1338</v>
      </c>
      <c r="U108" s="48" t="s">
        <v>511</v>
      </c>
      <c r="V108" s="48" t="s">
        <v>857</v>
      </c>
      <c r="W108" s="48"/>
    </row>
    <row r="109" spans="1:23" ht="15.75" x14ac:dyDescent="0.25">
      <c r="A109" s="48" t="s">
        <v>1672</v>
      </c>
      <c r="B109" s="49">
        <v>46083</v>
      </c>
      <c r="C109" s="48" t="s">
        <v>918</v>
      </c>
      <c r="D109" s="48" t="s">
        <v>1119</v>
      </c>
      <c r="E109" s="48" t="s">
        <v>856</v>
      </c>
      <c r="F109" s="48" t="s">
        <v>366</v>
      </c>
      <c r="G109" s="48" t="s">
        <v>367</v>
      </c>
      <c r="H109" s="48" t="s">
        <v>27</v>
      </c>
      <c r="I109" s="48" t="s">
        <v>1632</v>
      </c>
      <c r="J109" s="48" t="s">
        <v>24</v>
      </c>
      <c r="K109" s="48" t="s">
        <v>367</v>
      </c>
      <c r="L109" s="48" t="s">
        <v>1136</v>
      </c>
      <c r="M109" s="48" t="s">
        <v>26</v>
      </c>
      <c r="N109" s="48" t="s">
        <v>20</v>
      </c>
      <c r="O109" s="48" t="s">
        <v>857</v>
      </c>
      <c r="P109" s="50">
        <v>45901.760000000002</v>
      </c>
      <c r="Q109" s="50">
        <v>1</v>
      </c>
      <c r="R109" s="50">
        <v>45901.760000000002</v>
      </c>
      <c r="S109" s="74">
        <v>46131</v>
      </c>
      <c r="T109" s="48" t="s">
        <v>1624</v>
      </c>
      <c r="U109" s="48" t="s">
        <v>4353</v>
      </c>
      <c r="V109" s="48" t="s">
        <v>857</v>
      </c>
      <c r="W109" s="48"/>
    </row>
    <row r="110" spans="1:23" ht="15.75" x14ac:dyDescent="0.25">
      <c r="A110" s="48" t="s">
        <v>1400</v>
      </c>
      <c r="B110" s="49">
        <v>46033</v>
      </c>
      <c r="C110" s="48" t="s">
        <v>916</v>
      </c>
      <c r="D110" s="48" t="s">
        <v>441</v>
      </c>
      <c r="E110" s="48" t="s">
        <v>856</v>
      </c>
      <c r="F110" s="48" t="s">
        <v>21</v>
      </c>
      <c r="G110" s="48" t="s">
        <v>22</v>
      </c>
      <c r="H110" s="48" t="s">
        <v>27</v>
      </c>
      <c r="I110" s="48" t="s">
        <v>1264</v>
      </c>
      <c r="J110" s="48" t="s">
        <v>24</v>
      </c>
      <c r="K110" s="48" t="s">
        <v>22</v>
      </c>
      <c r="L110" s="48" t="s">
        <v>1132</v>
      </c>
      <c r="M110" s="48" t="s">
        <v>26</v>
      </c>
      <c r="N110" s="48" t="s">
        <v>20</v>
      </c>
      <c r="O110" s="48" t="s">
        <v>857</v>
      </c>
      <c r="P110" s="50">
        <v>350000</v>
      </c>
      <c r="Q110" s="50">
        <v>1</v>
      </c>
      <c r="R110" s="50">
        <v>350000</v>
      </c>
      <c r="S110" s="74">
        <v>46128</v>
      </c>
      <c r="T110" s="48" t="s">
        <v>1629</v>
      </c>
      <c r="U110" s="48" t="s">
        <v>22</v>
      </c>
      <c r="V110" s="48" t="s">
        <v>378</v>
      </c>
      <c r="W110" s="48"/>
    </row>
    <row r="111" spans="1:23" ht="15.75" x14ac:dyDescent="0.25">
      <c r="A111" s="48" t="s">
        <v>4205</v>
      </c>
      <c r="B111" s="49">
        <v>46096</v>
      </c>
      <c r="C111" s="48" t="s">
        <v>916</v>
      </c>
      <c r="D111" s="48" t="s">
        <v>509</v>
      </c>
      <c r="E111" s="48" t="s">
        <v>856</v>
      </c>
      <c r="F111" s="48" t="s">
        <v>95</v>
      </c>
      <c r="G111" s="48" t="s">
        <v>96</v>
      </c>
      <c r="H111" s="48" t="s">
        <v>27</v>
      </c>
      <c r="I111" s="48" t="s">
        <v>1200</v>
      </c>
      <c r="J111" s="48" t="s">
        <v>72</v>
      </c>
      <c r="K111" s="48" t="s">
        <v>511</v>
      </c>
      <c r="L111" s="48" t="s">
        <v>1236</v>
      </c>
      <c r="M111" s="48" t="s">
        <v>26</v>
      </c>
      <c r="N111" s="48" t="s">
        <v>20</v>
      </c>
      <c r="O111" s="48" t="s">
        <v>378</v>
      </c>
      <c r="P111" s="50">
        <v>1696396.49</v>
      </c>
      <c r="Q111" s="50">
        <v>1</v>
      </c>
      <c r="R111" s="50">
        <v>1696396.49</v>
      </c>
      <c r="S111" s="74">
        <v>46128</v>
      </c>
      <c r="T111" s="48" t="s">
        <v>305</v>
      </c>
      <c r="U111" s="48" t="s">
        <v>511</v>
      </c>
      <c r="V111" s="48" t="s">
        <v>378</v>
      </c>
      <c r="W111" s="48"/>
    </row>
    <row r="112" spans="1:23" ht="15.75" x14ac:dyDescent="0.25">
      <c r="A112" s="48" t="s">
        <v>1312</v>
      </c>
      <c r="B112" s="49">
        <v>46033</v>
      </c>
      <c r="C112" s="48" t="s">
        <v>918</v>
      </c>
      <c r="D112" s="48" t="s">
        <v>441</v>
      </c>
      <c r="E112" s="48" t="s">
        <v>856</v>
      </c>
      <c r="F112" s="48" t="s">
        <v>21</v>
      </c>
      <c r="G112" s="48" t="s">
        <v>22</v>
      </c>
      <c r="H112" s="48" t="s">
        <v>27</v>
      </c>
      <c r="I112" s="48" t="s">
        <v>1264</v>
      </c>
      <c r="J112" s="48" t="s">
        <v>24</v>
      </c>
      <c r="K112" s="48" t="s">
        <v>22</v>
      </c>
      <c r="L112" s="48" t="s">
        <v>1132</v>
      </c>
      <c r="M112" s="48" t="s">
        <v>26</v>
      </c>
      <c r="N112" s="48" t="s">
        <v>20</v>
      </c>
      <c r="O112" s="48" t="s">
        <v>857</v>
      </c>
      <c r="P112" s="50">
        <v>312132.31</v>
      </c>
      <c r="Q112" s="50">
        <v>1</v>
      </c>
      <c r="R112" s="50">
        <v>312132.31</v>
      </c>
      <c r="S112" s="74">
        <v>46128</v>
      </c>
      <c r="T112" s="48" t="s">
        <v>1629</v>
      </c>
      <c r="U112" s="48" t="s">
        <v>22</v>
      </c>
      <c r="V112" s="48" t="s">
        <v>378</v>
      </c>
      <c r="W112" s="48"/>
    </row>
    <row r="113" spans="1:23" ht="15.75" x14ac:dyDescent="0.25">
      <c r="A113" s="48" t="s">
        <v>1767</v>
      </c>
      <c r="B113" s="49">
        <v>46113</v>
      </c>
      <c r="C113" s="48" t="s">
        <v>933</v>
      </c>
      <c r="D113" s="48" t="s">
        <v>509</v>
      </c>
      <c r="E113" s="48" t="s">
        <v>856</v>
      </c>
      <c r="F113" s="48" t="s">
        <v>21</v>
      </c>
      <c r="G113" s="48" t="s">
        <v>22</v>
      </c>
      <c r="H113" s="48" t="s">
        <v>27</v>
      </c>
      <c r="I113" s="48" t="s">
        <v>1337</v>
      </c>
      <c r="J113" s="48" t="s">
        <v>72</v>
      </c>
      <c r="K113" s="48" t="s">
        <v>511</v>
      </c>
      <c r="L113" s="48" t="s">
        <v>1236</v>
      </c>
      <c r="M113" s="48" t="s">
        <v>26</v>
      </c>
      <c r="N113" s="48" t="s">
        <v>20</v>
      </c>
      <c r="O113" s="48" t="s">
        <v>378</v>
      </c>
      <c r="P113" s="50">
        <v>291391.23</v>
      </c>
      <c r="Q113" s="50">
        <v>1</v>
      </c>
      <c r="R113" s="50">
        <v>291391.23</v>
      </c>
      <c r="S113" s="74">
        <v>46128</v>
      </c>
      <c r="T113" s="48" t="s">
        <v>1338</v>
      </c>
      <c r="U113" s="48" t="s">
        <v>511</v>
      </c>
      <c r="V113" s="48" t="s">
        <v>378</v>
      </c>
      <c r="W113" s="48"/>
    </row>
    <row r="114" spans="1:23" ht="15.75" x14ac:dyDescent="0.25">
      <c r="A114" s="48" t="s">
        <v>1767</v>
      </c>
      <c r="B114" s="49">
        <v>46113</v>
      </c>
      <c r="C114" s="48" t="s">
        <v>928</v>
      </c>
      <c r="D114" s="48" t="s">
        <v>509</v>
      </c>
      <c r="E114" s="48" t="s">
        <v>856</v>
      </c>
      <c r="F114" s="48" t="s">
        <v>21</v>
      </c>
      <c r="G114" s="48" t="s">
        <v>22</v>
      </c>
      <c r="H114" s="48" t="s">
        <v>27</v>
      </c>
      <c r="I114" s="48" t="s">
        <v>1337</v>
      </c>
      <c r="J114" s="48" t="s">
        <v>72</v>
      </c>
      <c r="K114" s="48" t="s">
        <v>511</v>
      </c>
      <c r="L114" s="48" t="s">
        <v>1236</v>
      </c>
      <c r="M114" s="48" t="s">
        <v>26</v>
      </c>
      <c r="N114" s="48" t="s">
        <v>20</v>
      </c>
      <c r="O114" s="48" t="s">
        <v>857</v>
      </c>
      <c r="P114" s="50">
        <v>53670.59</v>
      </c>
      <c r="Q114" s="50">
        <v>1</v>
      </c>
      <c r="R114" s="50">
        <v>53670.59</v>
      </c>
      <c r="S114" s="74">
        <v>46128</v>
      </c>
      <c r="T114" s="48" t="s">
        <v>1338</v>
      </c>
      <c r="U114" s="48" t="s">
        <v>511</v>
      </c>
      <c r="V114" s="48" t="s">
        <v>378</v>
      </c>
      <c r="W114" s="48"/>
    </row>
    <row r="115" spans="1:23" ht="15.75" x14ac:dyDescent="0.25">
      <c r="A115" s="48" t="s">
        <v>3322</v>
      </c>
      <c r="B115" s="49">
        <v>46044</v>
      </c>
      <c r="C115" s="48" t="s">
        <v>916</v>
      </c>
      <c r="D115" s="48" t="s">
        <v>1537</v>
      </c>
      <c r="E115" s="48" t="s">
        <v>856</v>
      </c>
      <c r="F115" s="48" t="s">
        <v>62</v>
      </c>
      <c r="G115" s="48" t="s">
        <v>483</v>
      </c>
      <c r="H115" s="48" t="s">
        <v>27</v>
      </c>
      <c r="I115" s="48" t="s">
        <v>3230</v>
      </c>
      <c r="J115" s="48" t="s">
        <v>24</v>
      </c>
      <c r="K115" s="48" t="s">
        <v>483</v>
      </c>
      <c r="L115" s="48" t="s">
        <v>1646</v>
      </c>
      <c r="M115" s="48" t="s">
        <v>26</v>
      </c>
      <c r="N115" s="48" t="s">
        <v>20</v>
      </c>
      <c r="O115" s="48" t="s">
        <v>857</v>
      </c>
      <c r="P115" s="50">
        <v>550000</v>
      </c>
      <c r="Q115" s="50">
        <v>1</v>
      </c>
      <c r="R115" s="50">
        <v>550000</v>
      </c>
      <c r="S115" s="74">
        <v>46126</v>
      </c>
      <c r="T115" s="48" t="s">
        <v>3229</v>
      </c>
      <c r="U115" s="48" t="s">
        <v>483</v>
      </c>
      <c r="V115" s="48" t="s">
        <v>857</v>
      </c>
      <c r="W115" s="48"/>
    </row>
    <row r="116" spans="1:23" ht="15.75" x14ac:dyDescent="0.25">
      <c r="A116" s="48" t="s">
        <v>3329</v>
      </c>
      <c r="B116" s="49">
        <v>46043</v>
      </c>
      <c r="C116" s="48" t="s">
        <v>916</v>
      </c>
      <c r="D116" s="48" t="s">
        <v>1537</v>
      </c>
      <c r="E116" s="48" t="s">
        <v>856</v>
      </c>
      <c r="F116" s="48" t="s">
        <v>62</v>
      </c>
      <c r="G116" s="48" t="s">
        <v>483</v>
      </c>
      <c r="H116" s="48" t="s">
        <v>27</v>
      </c>
      <c r="I116" s="48" t="s">
        <v>521</v>
      </c>
      <c r="J116" s="48" t="s">
        <v>24</v>
      </c>
      <c r="K116" s="48" t="s">
        <v>483</v>
      </c>
      <c r="L116" s="48" t="s">
        <v>1646</v>
      </c>
      <c r="M116" s="48" t="s">
        <v>26</v>
      </c>
      <c r="N116" s="48" t="s">
        <v>20</v>
      </c>
      <c r="O116" s="48" t="s">
        <v>857</v>
      </c>
      <c r="P116" s="50">
        <v>1000000</v>
      </c>
      <c r="Q116" s="50">
        <v>1</v>
      </c>
      <c r="R116" s="50">
        <v>1000000</v>
      </c>
      <c r="S116" s="74">
        <v>46126</v>
      </c>
      <c r="T116" s="48" t="s">
        <v>3229</v>
      </c>
      <c r="U116" s="48" t="s">
        <v>483</v>
      </c>
      <c r="V116" s="48" t="s">
        <v>857</v>
      </c>
      <c r="W116" s="48"/>
    </row>
    <row r="117" spans="1:23" ht="15.75" x14ac:dyDescent="0.25">
      <c r="A117" s="48" t="s">
        <v>2904</v>
      </c>
      <c r="B117" s="49">
        <v>46048</v>
      </c>
      <c r="C117" s="48" t="s">
        <v>916</v>
      </c>
      <c r="D117" s="48" t="s">
        <v>441</v>
      </c>
      <c r="E117" s="48" t="s">
        <v>858</v>
      </c>
      <c r="F117" s="48" t="s">
        <v>366</v>
      </c>
      <c r="G117" s="48" t="s">
        <v>710</v>
      </c>
      <c r="H117" s="48" t="s">
        <v>27</v>
      </c>
      <c r="I117" s="48" t="s">
        <v>1374</v>
      </c>
      <c r="J117" s="48" t="s">
        <v>24</v>
      </c>
      <c r="K117" s="48" t="s">
        <v>710</v>
      </c>
      <c r="L117" s="48" t="s">
        <v>1209</v>
      </c>
      <c r="M117" s="48" t="s">
        <v>26</v>
      </c>
      <c r="N117" s="48" t="s">
        <v>20</v>
      </c>
      <c r="O117" s="48" t="s">
        <v>857</v>
      </c>
      <c r="P117" s="50">
        <v>5903039.0800000001</v>
      </c>
      <c r="Q117" s="50">
        <v>1</v>
      </c>
      <c r="R117" s="50">
        <v>5903039.0800000001</v>
      </c>
      <c r="S117" s="74">
        <v>46126</v>
      </c>
      <c r="T117" s="48" t="s">
        <v>621</v>
      </c>
      <c r="U117" s="48" t="s">
        <v>710</v>
      </c>
      <c r="V117" s="48" t="s">
        <v>857</v>
      </c>
      <c r="W117" s="48"/>
    </row>
    <row r="118" spans="1:23" ht="15.75" x14ac:dyDescent="0.25">
      <c r="A118" s="48" t="s">
        <v>3146</v>
      </c>
      <c r="B118" s="49">
        <v>46092</v>
      </c>
      <c r="C118" s="48" t="s">
        <v>930</v>
      </c>
      <c r="D118" s="48" t="s">
        <v>2928</v>
      </c>
      <c r="E118" s="48" t="s">
        <v>858</v>
      </c>
      <c r="F118" s="48" t="s">
        <v>21</v>
      </c>
      <c r="G118" s="48" t="s">
        <v>22</v>
      </c>
      <c r="H118" s="48" t="s">
        <v>27</v>
      </c>
      <c r="I118" s="48" t="s">
        <v>2927</v>
      </c>
      <c r="J118" s="48" t="s">
        <v>3287</v>
      </c>
      <c r="K118" s="48" t="s">
        <v>22</v>
      </c>
      <c r="L118" s="48" t="s">
        <v>1132</v>
      </c>
      <c r="M118" s="48" t="s">
        <v>26</v>
      </c>
      <c r="N118" s="48" t="s">
        <v>20</v>
      </c>
      <c r="O118" s="48" t="s">
        <v>857</v>
      </c>
      <c r="P118" s="50">
        <v>295503.43</v>
      </c>
      <c r="Q118" s="50">
        <v>1</v>
      </c>
      <c r="R118" s="50">
        <v>295503.43</v>
      </c>
      <c r="S118" s="74">
        <v>46125</v>
      </c>
      <c r="T118" s="48" t="s">
        <v>311</v>
      </c>
      <c r="U118" s="48" t="s">
        <v>22</v>
      </c>
      <c r="V118" s="48" t="s">
        <v>857</v>
      </c>
      <c r="W118" s="48"/>
    </row>
    <row r="119" spans="1:23" ht="15.75" x14ac:dyDescent="0.25">
      <c r="A119" s="48" t="s">
        <v>3146</v>
      </c>
      <c r="B119" s="49">
        <v>46092</v>
      </c>
      <c r="C119" s="48" t="s">
        <v>933</v>
      </c>
      <c r="D119" s="48" t="s">
        <v>2928</v>
      </c>
      <c r="E119" s="48" t="s">
        <v>858</v>
      </c>
      <c r="F119" s="48" t="s">
        <v>21</v>
      </c>
      <c r="G119" s="48" t="s">
        <v>22</v>
      </c>
      <c r="H119" s="48" t="s">
        <v>27</v>
      </c>
      <c r="I119" s="48" t="s">
        <v>2927</v>
      </c>
      <c r="J119" s="48" t="s">
        <v>3287</v>
      </c>
      <c r="K119" s="48" t="s">
        <v>22</v>
      </c>
      <c r="L119" s="48" t="s">
        <v>1132</v>
      </c>
      <c r="M119" s="48" t="s">
        <v>26</v>
      </c>
      <c r="N119" s="48" t="s">
        <v>20</v>
      </c>
      <c r="O119" s="48" t="s">
        <v>857</v>
      </c>
      <c r="P119" s="50">
        <v>1702804.09</v>
      </c>
      <c r="Q119" s="50">
        <v>1</v>
      </c>
      <c r="R119" s="50">
        <v>1702804.09</v>
      </c>
      <c r="S119" s="74">
        <v>46125</v>
      </c>
      <c r="T119" s="48" t="s">
        <v>311</v>
      </c>
      <c r="U119" s="48" t="s">
        <v>22</v>
      </c>
      <c r="V119" s="48" t="s">
        <v>857</v>
      </c>
      <c r="W119" s="48"/>
    </row>
    <row r="120" spans="1:23" ht="15.75" x14ac:dyDescent="0.25">
      <c r="A120" s="48" t="s">
        <v>3146</v>
      </c>
      <c r="B120" s="49">
        <v>46092</v>
      </c>
      <c r="C120" s="48" t="s">
        <v>922</v>
      </c>
      <c r="D120" s="48" t="s">
        <v>2928</v>
      </c>
      <c r="E120" s="48" t="s">
        <v>858</v>
      </c>
      <c r="F120" s="48" t="s">
        <v>21</v>
      </c>
      <c r="G120" s="48" t="s">
        <v>22</v>
      </c>
      <c r="H120" s="48" t="s">
        <v>27</v>
      </c>
      <c r="I120" s="48" t="s">
        <v>2927</v>
      </c>
      <c r="J120" s="48" t="s">
        <v>3287</v>
      </c>
      <c r="K120" s="48" t="s">
        <v>22</v>
      </c>
      <c r="L120" s="48" t="s">
        <v>1132</v>
      </c>
      <c r="M120" s="48" t="s">
        <v>26</v>
      </c>
      <c r="N120" s="48" t="s">
        <v>20</v>
      </c>
      <c r="O120" s="48" t="s">
        <v>857</v>
      </c>
      <c r="P120" s="50">
        <v>1364256.27</v>
      </c>
      <c r="Q120" s="50">
        <v>1</v>
      </c>
      <c r="R120" s="50">
        <v>1364256.27</v>
      </c>
      <c r="S120" s="74">
        <v>46125</v>
      </c>
      <c r="T120" s="48" t="s">
        <v>311</v>
      </c>
      <c r="U120" s="48" t="s">
        <v>22</v>
      </c>
      <c r="V120" s="48" t="s">
        <v>857</v>
      </c>
      <c r="W120" s="48"/>
    </row>
    <row r="121" spans="1:23" ht="15.75" x14ac:dyDescent="0.25">
      <c r="A121" s="48" t="s">
        <v>3146</v>
      </c>
      <c r="B121" s="49">
        <v>46093</v>
      </c>
      <c r="C121" s="48" t="s">
        <v>931</v>
      </c>
      <c r="D121" s="48" t="s">
        <v>2928</v>
      </c>
      <c r="E121" s="48" t="s">
        <v>858</v>
      </c>
      <c r="F121" s="48" t="s">
        <v>21</v>
      </c>
      <c r="G121" s="48" t="s">
        <v>22</v>
      </c>
      <c r="H121" s="48" t="s">
        <v>27</v>
      </c>
      <c r="I121" s="48" t="s">
        <v>2927</v>
      </c>
      <c r="J121" s="48" t="s">
        <v>3287</v>
      </c>
      <c r="K121" s="48" t="s">
        <v>22</v>
      </c>
      <c r="L121" s="48" t="s">
        <v>1132</v>
      </c>
      <c r="M121" s="48" t="s">
        <v>26</v>
      </c>
      <c r="N121" s="48" t="s">
        <v>20</v>
      </c>
      <c r="O121" s="48" t="s">
        <v>857</v>
      </c>
      <c r="P121" s="50">
        <v>529272.69999999995</v>
      </c>
      <c r="Q121" s="50">
        <v>1</v>
      </c>
      <c r="R121" s="50">
        <v>529272.69999999995</v>
      </c>
      <c r="S121" s="74">
        <v>46125</v>
      </c>
      <c r="T121" s="48" t="s">
        <v>311</v>
      </c>
      <c r="U121" s="48" t="s">
        <v>22</v>
      </c>
      <c r="V121" s="48" t="s">
        <v>857</v>
      </c>
      <c r="W121" s="48"/>
    </row>
    <row r="122" spans="1:23" ht="15.75" x14ac:dyDescent="0.25">
      <c r="A122" s="48" t="s">
        <v>3146</v>
      </c>
      <c r="B122" s="49">
        <v>46056</v>
      </c>
      <c r="C122" s="48" t="s">
        <v>918</v>
      </c>
      <c r="D122" s="48" t="s">
        <v>2928</v>
      </c>
      <c r="E122" s="48" t="s">
        <v>856</v>
      </c>
      <c r="F122" s="48" t="s">
        <v>21</v>
      </c>
      <c r="G122" s="48" t="s">
        <v>22</v>
      </c>
      <c r="H122" s="48" t="s">
        <v>27</v>
      </c>
      <c r="I122" s="48" t="s">
        <v>2927</v>
      </c>
      <c r="J122" s="48" t="s">
        <v>3287</v>
      </c>
      <c r="K122" s="48" t="s">
        <v>22</v>
      </c>
      <c r="L122" s="48" t="s">
        <v>1132</v>
      </c>
      <c r="M122" s="48" t="s">
        <v>26</v>
      </c>
      <c r="N122" s="48" t="s">
        <v>20</v>
      </c>
      <c r="O122" s="48" t="s">
        <v>857</v>
      </c>
      <c r="P122" s="50">
        <v>738299.32</v>
      </c>
      <c r="Q122" s="50">
        <v>1</v>
      </c>
      <c r="R122" s="50">
        <v>738299.32</v>
      </c>
      <c r="S122" s="74">
        <v>46125</v>
      </c>
      <c r="T122" s="48" t="s">
        <v>311</v>
      </c>
      <c r="U122" s="48" t="s">
        <v>22</v>
      </c>
      <c r="V122" s="48" t="s">
        <v>857</v>
      </c>
      <c r="W122" s="48"/>
    </row>
    <row r="123" spans="1:23" ht="15.75" x14ac:dyDescent="0.25">
      <c r="A123" s="48" t="s">
        <v>1896</v>
      </c>
      <c r="B123" s="49">
        <v>46093</v>
      </c>
      <c r="C123" s="48" t="s">
        <v>924</v>
      </c>
      <c r="D123" s="48" t="s">
        <v>509</v>
      </c>
      <c r="E123" s="48" t="s">
        <v>858</v>
      </c>
      <c r="F123" s="48" t="s">
        <v>21</v>
      </c>
      <c r="G123" s="48" t="s">
        <v>22</v>
      </c>
      <c r="H123" s="48" t="s">
        <v>27</v>
      </c>
      <c r="I123" s="48" t="s">
        <v>1883</v>
      </c>
      <c r="J123" s="48" t="s">
        <v>72</v>
      </c>
      <c r="K123" s="48" t="s">
        <v>511</v>
      </c>
      <c r="L123" s="48" t="s">
        <v>1236</v>
      </c>
      <c r="M123" s="48" t="s">
        <v>26</v>
      </c>
      <c r="N123" s="48" t="s">
        <v>20</v>
      </c>
      <c r="O123" s="48" t="s">
        <v>857</v>
      </c>
      <c r="P123" s="50">
        <v>277163.32</v>
      </c>
      <c r="Q123" s="50">
        <v>1</v>
      </c>
      <c r="R123" s="50">
        <v>277163.32</v>
      </c>
      <c r="S123" s="74">
        <v>46125</v>
      </c>
      <c r="T123" s="48" t="s">
        <v>117</v>
      </c>
      <c r="U123" s="48" t="s">
        <v>511</v>
      </c>
      <c r="V123" s="48" t="s">
        <v>857</v>
      </c>
      <c r="W123" s="48"/>
    </row>
    <row r="124" spans="1:23" ht="15.75" x14ac:dyDescent="0.25">
      <c r="A124" s="48" t="s">
        <v>3146</v>
      </c>
      <c r="B124" s="49">
        <v>46056</v>
      </c>
      <c r="C124" s="48" t="s">
        <v>916</v>
      </c>
      <c r="D124" s="48" t="s">
        <v>2928</v>
      </c>
      <c r="E124" s="48" t="s">
        <v>856</v>
      </c>
      <c r="F124" s="48" t="s">
        <v>21</v>
      </c>
      <c r="G124" s="48" t="s">
        <v>22</v>
      </c>
      <c r="H124" s="48" t="s">
        <v>27</v>
      </c>
      <c r="I124" s="48" t="s">
        <v>2927</v>
      </c>
      <c r="J124" s="48" t="s">
        <v>3287</v>
      </c>
      <c r="K124" s="48" t="s">
        <v>22</v>
      </c>
      <c r="L124" s="48" t="s">
        <v>1132</v>
      </c>
      <c r="M124" s="48" t="s">
        <v>26</v>
      </c>
      <c r="N124" s="48" t="s">
        <v>20</v>
      </c>
      <c r="O124" s="48" t="s">
        <v>857</v>
      </c>
      <c r="P124" s="50">
        <v>1825754.98</v>
      </c>
      <c r="Q124" s="50">
        <v>1</v>
      </c>
      <c r="R124" s="50">
        <v>1825754.98</v>
      </c>
      <c r="S124" s="74">
        <v>46125</v>
      </c>
      <c r="T124" s="48" t="s">
        <v>311</v>
      </c>
      <c r="U124" s="48" t="s">
        <v>22</v>
      </c>
      <c r="V124" s="48" t="s">
        <v>857</v>
      </c>
      <c r="W124" s="48"/>
    </row>
    <row r="125" spans="1:23" ht="15.75" x14ac:dyDescent="0.25">
      <c r="A125" s="48" t="s">
        <v>3227</v>
      </c>
      <c r="B125" s="49">
        <v>46091</v>
      </c>
      <c r="C125" s="48" t="s">
        <v>924</v>
      </c>
      <c r="D125" s="48" t="s">
        <v>831</v>
      </c>
      <c r="E125" s="48" t="s">
        <v>856</v>
      </c>
      <c r="F125" s="48" t="s">
        <v>21</v>
      </c>
      <c r="G125" s="48" t="s">
        <v>22</v>
      </c>
      <c r="H125" s="48" t="s">
        <v>27</v>
      </c>
      <c r="I125" s="48" t="s">
        <v>3623</v>
      </c>
      <c r="J125" s="48" t="s">
        <v>80</v>
      </c>
      <c r="K125" s="48" t="s">
        <v>22</v>
      </c>
      <c r="L125" s="48" t="s">
        <v>1132</v>
      </c>
      <c r="M125" s="48" t="s">
        <v>67</v>
      </c>
      <c r="N125" s="48" t="s">
        <v>20</v>
      </c>
      <c r="O125" s="48" t="s">
        <v>857</v>
      </c>
      <c r="P125" s="50">
        <v>17155.97</v>
      </c>
      <c r="Q125" s="50">
        <v>4.4400000000000004</v>
      </c>
      <c r="R125" s="50">
        <v>76172.506800000017</v>
      </c>
      <c r="S125" s="74">
        <v>46125</v>
      </c>
      <c r="T125" s="48" t="s">
        <v>425</v>
      </c>
      <c r="U125" s="48" t="s">
        <v>22</v>
      </c>
      <c r="V125" s="48" t="s">
        <v>857</v>
      </c>
      <c r="W125" s="48" t="s">
        <v>4302</v>
      </c>
    </row>
    <row r="126" spans="1:23" ht="15.75" x14ac:dyDescent="0.25">
      <c r="A126" s="48" t="s">
        <v>1662</v>
      </c>
      <c r="B126" s="49">
        <v>46043</v>
      </c>
      <c r="C126" s="48" t="s">
        <v>933</v>
      </c>
      <c r="D126" s="48" t="s">
        <v>1119</v>
      </c>
      <c r="E126" s="48" t="s">
        <v>858</v>
      </c>
      <c r="F126" s="48" t="s">
        <v>366</v>
      </c>
      <c r="G126" s="48" t="s">
        <v>367</v>
      </c>
      <c r="H126" s="48" t="s">
        <v>27</v>
      </c>
      <c r="I126" s="48" t="s">
        <v>1630</v>
      </c>
      <c r="J126" s="48" t="s">
        <v>24</v>
      </c>
      <c r="K126" s="48" t="s">
        <v>367</v>
      </c>
      <c r="L126" s="48" t="s">
        <v>1136</v>
      </c>
      <c r="M126" s="48" t="s">
        <v>26</v>
      </c>
      <c r="N126" s="48" t="s">
        <v>20</v>
      </c>
      <c r="O126" s="48" t="s">
        <v>857</v>
      </c>
      <c r="P126" s="50">
        <v>148828.26</v>
      </c>
      <c r="Q126" s="50">
        <v>1</v>
      </c>
      <c r="R126" s="50">
        <v>148828.26</v>
      </c>
      <c r="S126" s="74">
        <v>46124</v>
      </c>
      <c r="T126" s="48" t="s">
        <v>1624</v>
      </c>
      <c r="U126" s="48" t="s">
        <v>4353</v>
      </c>
      <c r="V126" s="48" t="s">
        <v>857</v>
      </c>
      <c r="W126" s="48"/>
    </row>
    <row r="127" spans="1:23" ht="15.75" x14ac:dyDescent="0.25">
      <c r="A127" s="48" t="s">
        <v>713</v>
      </c>
      <c r="B127" s="49">
        <v>46056</v>
      </c>
      <c r="C127" s="48" t="s">
        <v>924</v>
      </c>
      <c r="D127" s="48" t="s">
        <v>441</v>
      </c>
      <c r="E127" s="48" t="s">
        <v>858</v>
      </c>
      <c r="F127" s="48" t="s">
        <v>366</v>
      </c>
      <c r="G127" s="48" t="s">
        <v>710</v>
      </c>
      <c r="H127" s="48" t="s">
        <v>27</v>
      </c>
      <c r="I127" s="48" t="s">
        <v>714</v>
      </c>
      <c r="J127" s="48" t="s">
        <v>24</v>
      </c>
      <c r="K127" s="48" t="s">
        <v>710</v>
      </c>
      <c r="L127" s="48" t="s">
        <v>1209</v>
      </c>
      <c r="M127" s="48" t="s">
        <v>26</v>
      </c>
      <c r="N127" s="48" t="s">
        <v>20</v>
      </c>
      <c r="O127" s="48" t="s">
        <v>857</v>
      </c>
      <c r="P127" s="50">
        <v>126323.81</v>
      </c>
      <c r="Q127" s="50">
        <v>1</v>
      </c>
      <c r="R127" s="50">
        <v>126323.81</v>
      </c>
      <c r="S127" s="74">
        <v>46124</v>
      </c>
      <c r="T127" s="48" t="s">
        <v>311</v>
      </c>
      <c r="U127" s="48" t="s">
        <v>710</v>
      </c>
      <c r="V127" s="48" t="s">
        <v>857</v>
      </c>
      <c r="W127" s="48"/>
    </row>
    <row r="128" spans="1:23" ht="15.75" x14ac:dyDescent="0.25">
      <c r="A128" s="48" t="s">
        <v>3319</v>
      </c>
      <c r="B128" s="49">
        <v>46097</v>
      </c>
      <c r="C128" s="48" t="s">
        <v>916</v>
      </c>
      <c r="D128" s="48" t="s">
        <v>3566</v>
      </c>
      <c r="E128" s="48" t="s">
        <v>856</v>
      </c>
      <c r="F128" s="48" t="s">
        <v>612</v>
      </c>
      <c r="G128" s="48" t="s">
        <v>613</v>
      </c>
      <c r="H128" s="48" t="s">
        <v>27</v>
      </c>
      <c r="I128" s="48" t="s">
        <v>3187</v>
      </c>
      <c r="J128" s="48" t="s">
        <v>72</v>
      </c>
      <c r="K128" s="48" t="s">
        <v>613</v>
      </c>
      <c r="L128" s="48" t="s">
        <v>1135</v>
      </c>
      <c r="M128" s="48" t="s">
        <v>26</v>
      </c>
      <c r="N128" s="48" t="s">
        <v>20</v>
      </c>
      <c r="O128" s="48" t="s">
        <v>378</v>
      </c>
      <c r="P128" s="50">
        <v>109064.85</v>
      </c>
      <c r="Q128" s="50">
        <v>1</v>
      </c>
      <c r="R128" s="50">
        <v>109064.85</v>
      </c>
      <c r="S128" s="74">
        <v>46124</v>
      </c>
      <c r="T128" s="48" t="s">
        <v>3188</v>
      </c>
      <c r="U128" s="48" t="s">
        <v>613</v>
      </c>
      <c r="V128" s="48" t="s">
        <v>857</v>
      </c>
      <c r="W128" s="48"/>
    </row>
    <row r="129" spans="1:23" ht="15.75" x14ac:dyDescent="0.25">
      <c r="A129" s="48" t="s">
        <v>2916</v>
      </c>
      <c r="B129" s="49">
        <v>46041</v>
      </c>
      <c r="C129" s="48" t="s">
        <v>916</v>
      </c>
      <c r="D129" s="48" t="s">
        <v>441</v>
      </c>
      <c r="E129" s="48" t="s">
        <v>858</v>
      </c>
      <c r="F129" s="48" t="s">
        <v>366</v>
      </c>
      <c r="G129" s="48" t="s">
        <v>710</v>
      </c>
      <c r="H129" s="48" t="s">
        <v>27</v>
      </c>
      <c r="I129" s="48" t="s">
        <v>2799</v>
      </c>
      <c r="J129" s="48" t="s">
        <v>24</v>
      </c>
      <c r="K129" s="48" t="s">
        <v>710</v>
      </c>
      <c r="L129" s="48" t="s">
        <v>1209</v>
      </c>
      <c r="M129" s="48" t="s">
        <v>26</v>
      </c>
      <c r="N129" s="48" t="s">
        <v>20</v>
      </c>
      <c r="O129" s="48" t="s">
        <v>857</v>
      </c>
      <c r="P129" s="50">
        <v>664214</v>
      </c>
      <c r="Q129" s="50">
        <v>1</v>
      </c>
      <c r="R129" s="50">
        <v>664214</v>
      </c>
      <c r="S129" s="74">
        <v>46121</v>
      </c>
      <c r="T129" s="48" t="s">
        <v>621</v>
      </c>
      <c r="U129" s="48" t="s">
        <v>710</v>
      </c>
      <c r="V129" s="48" t="s">
        <v>857</v>
      </c>
      <c r="W129" s="48"/>
    </row>
    <row r="130" spans="1:23" ht="15.75" x14ac:dyDescent="0.25">
      <c r="A130" s="48" t="s">
        <v>2569</v>
      </c>
      <c r="B130" s="49">
        <v>46008</v>
      </c>
      <c r="C130" s="48" t="s">
        <v>924</v>
      </c>
      <c r="D130" s="48" t="s">
        <v>1184</v>
      </c>
      <c r="E130" s="48" t="s">
        <v>858</v>
      </c>
      <c r="F130" s="48" t="s">
        <v>21</v>
      </c>
      <c r="G130" s="48" t="s">
        <v>22</v>
      </c>
      <c r="H130" s="48" t="s">
        <v>27</v>
      </c>
      <c r="I130" s="48" t="s">
        <v>2561</v>
      </c>
      <c r="J130" s="48" t="s">
        <v>72</v>
      </c>
      <c r="K130" s="48" t="s">
        <v>90</v>
      </c>
      <c r="L130" s="48" t="s">
        <v>1141</v>
      </c>
      <c r="M130" s="48" t="s">
        <v>26</v>
      </c>
      <c r="N130" s="48" t="s">
        <v>20</v>
      </c>
      <c r="O130" s="48" t="s">
        <v>857</v>
      </c>
      <c r="P130" s="50">
        <v>28000000</v>
      </c>
      <c r="Q130" s="50">
        <v>1</v>
      </c>
      <c r="R130" s="50">
        <v>28000000</v>
      </c>
      <c r="S130" s="74">
        <v>46121</v>
      </c>
      <c r="T130" s="48" t="s">
        <v>1785</v>
      </c>
      <c r="U130" s="48" t="s">
        <v>22</v>
      </c>
      <c r="V130" s="48" t="s">
        <v>378</v>
      </c>
      <c r="W130" s="48"/>
    </row>
    <row r="131" spans="1:23" ht="15.75" x14ac:dyDescent="0.25">
      <c r="A131" s="48" t="s">
        <v>707</v>
      </c>
      <c r="B131" s="49">
        <v>46097</v>
      </c>
      <c r="C131" s="48" t="s">
        <v>924</v>
      </c>
      <c r="D131" s="48" t="s">
        <v>708</v>
      </c>
      <c r="E131" s="48" t="s">
        <v>858</v>
      </c>
      <c r="F131" s="48" t="s">
        <v>95</v>
      </c>
      <c r="G131" s="48" t="s">
        <v>96</v>
      </c>
      <c r="H131" s="48" t="s">
        <v>27</v>
      </c>
      <c r="I131" s="48" t="s">
        <v>3623</v>
      </c>
      <c r="J131" s="48" t="s">
        <v>1791</v>
      </c>
      <c r="K131" s="48" t="s">
        <v>328</v>
      </c>
      <c r="L131" s="48" t="s">
        <v>1142</v>
      </c>
      <c r="M131" s="48" t="s">
        <v>67</v>
      </c>
      <c r="N131" s="48" t="s">
        <v>20</v>
      </c>
      <c r="O131" s="48" t="s">
        <v>857</v>
      </c>
      <c r="P131" s="50">
        <v>256748.12</v>
      </c>
      <c r="Q131" s="50">
        <v>4.4555999999999996</v>
      </c>
      <c r="R131" s="50">
        <v>1143966.9234719998</v>
      </c>
      <c r="S131" s="74">
        <v>46120</v>
      </c>
      <c r="T131" s="48" t="s">
        <v>255</v>
      </c>
      <c r="U131" s="48" t="s">
        <v>96</v>
      </c>
      <c r="V131" s="48" t="s">
        <v>857</v>
      </c>
      <c r="W131" s="48"/>
    </row>
    <row r="132" spans="1:23" ht="15.75" x14ac:dyDescent="0.25">
      <c r="A132" s="48" t="s">
        <v>3227</v>
      </c>
      <c r="B132" s="49">
        <v>46097</v>
      </c>
      <c r="C132" s="48" t="s">
        <v>928</v>
      </c>
      <c r="D132" s="48" t="s">
        <v>831</v>
      </c>
      <c r="E132" s="48" t="s">
        <v>856</v>
      </c>
      <c r="F132" s="48" t="s">
        <v>21</v>
      </c>
      <c r="G132" s="48" t="s">
        <v>22</v>
      </c>
      <c r="H132" s="48" t="s">
        <v>27</v>
      </c>
      <c r="I132" s="48" t="s">
        <v>3623</v>
      </c>
      <c r="J132" s="48" t="s">
        <v>80</v>
      </c>
      <c r="K132" s="48" t="s">
        <v>22</v>
      </c>
      <c r="L132" s="48" t="s">
        <v>1132</v>
      </c>
      <c r="M132" s="48" t="s">
        <v>67</v>
      </c>
      <c r="N132" s="48" t="s">
        <v>20</v>
      </c>
      <c r="O132" s="48" t="s">
        <v>857</v>
      </c>
      <c r="P132" s="50">
        <v>22000</v>
      </c>
      <c r="Q132" s="50">
        <v>4.5</v>
      </c>
      <c r="R132" s="50">
        <v>99000</v>
      </c>
      <c r="S132" s="74">
        <v>46119</v>
      </c>
      <c r="T132" s="48" t="s">
        <v>425</v>
      </c>
      <c r="U132" s="48" t="s">
        <v>22</v>
      </c>
      <c r="V132" s="48" t="s">
        <v>857</v>
      </c>
      <c r="W132" s="48" t="s">
        <v>4391</v>
      </c>
    </row>
    <row r="133" spans="1:23" ht="15.75" x14ac:dyDescent="0.25">
      <c r="A133" s="48" t="s">
        <v>2903</v>
      </c>
      <c r="B133" s="49">
        <v>46023</v>
      </c>
      <c r="C133" s="48" t="s">
        <v>916</v>
      </c>
      <c r="D133" s="48" t="s">
        <v>441</v>
      </c>
      <c r="E133" s="48" t="s">
        <v>858</v>
      </c>
      <c r="F133" s="48" t="s">
        <v>366</v>
      </c>
      <c r="G133" s="48" t="s">
        <v>710</v>
      </c>
      <c r="H133" s="48" t="s">
        <v>27</v>
      </c>
      <c r="I133" s="48" t="s">
        <v>1378</v>
      </c>
      <c r="J133" s="48" t="s">
        <v>24</v>
      </c>
      <c r="K133" s="48" t="s">
        <v>710</v>
      </c>
      <c r="L133" s="48" t="s">
        <v>1209</v>
      </c>
      <c r="M133" s="48" t="s">
        <v>26</v>
      </c>
      <c r="N133" s="48" t="s">
        <v>20</v>
      </c>
      <c r="O133" s="48" t="s">
        <v>857</v>
      </c>
      <c r="P133" s="50">
        <v>453779.49</v>
      </c>
      <c r="Q133" s="50">
        <v>1</v>
      </c>
      <c r="R133" s="50">
        <v>453779.49</v>
      </c>
      <c r="S133" s="74">
        <v>46118</v>
      </c>
      <c r="T133" s="48" t="s">
        <v>621</v>
      </c>
      <c r="U133" s="48" t="s">
        <v>710</v>
      </c>
      <c r="V133" s="48" t="s">
        <v>857</v>
      </c>
      <c r="W133" s="48"/>
    </row>
    <row r="134" spans="1:23" ht="15.75" x14ac:dyDescent="0.25">
      <c r="A134" s="48" t="s">
        <v>1489</v>
      </c>
      <c r="B134" s="49">
        <v>46041</v>
      </c>
      <c r="C134" s="48" t="s">
        <v>916</v>
      </c>
      <c r="D134" s="48" t="s">
        <v>441</v>
      </c>
      <c r="E134" s="48" t="s">
        <v>858</v>
      </c>
      <c r="F134" s="48" t="s">
        <v>21</v>
      </c>
      <c r="G134" s="48" t="s">
        <v>22</v>
      </c>
      <c r="H134" s="48" t="s">
        <v>27</v>
      </c>
      <c r="I134" s="48" t="s">
        <v>1375</v>
      </c>
      <c r="J134" s="48" t="s">
        <v>24</v>
      </c>
      <c r="K134" s="48" t="s">
        <v>407</v>
      </c>
      <c r="L134" s="48" t="s">
        <v>1131</v>
      </c>
      <c r="M134" s="48" t="s">
        <v>26</v>
      </c>
      <c r="N134" s="48" t="s">
        <v>20</v>
      </c>
      <c r="O134" s="48" t="s">
        <v>857</v>
      </c>
      <c r="P134" s="50">
        <v>300000</v>
      </c>
      <c r="Q134" s="50">
        <v>1</v>
      </c>
      <c r="R134" s="50">
        <v>300000</v>
      </c>
      <c r="S134" s="74">
        <v>46117</v>
      </c>
      <c r="T134" s="48" t="s">
        <v>1624</v>
      </c>
      <c r="U134" s="48" t="s">
        <v>407</v>
      </c>
      <c r="V134" s="48" t="s">
        <v>857</v>
      </c>
      <c r="W134" s="48"/>
    </row>
    <row r="135" spans="1:23" ht="15.75" x14ac:dyDescent="0.25">
      <c r="A135" s="48" t="s">
        <v>2619</v>
      </c>
      <c r="B135" s="49">
        <v>46041</v>
      </c>
      <c r="C135" s="48" t="s">
        <v>916</v>
      </c>
      <c r="D135" s="48" t="s">
        <v>441</v>
      </c>
      <c r="E135" s="48" t="s">
        <v>856</v>
      </c>
      <c r="F135" s="48" t="s">
        <v>21</v>
      </c>
      <c r="G135" s="48" t="s">
        <v>22</v>
      </c>
      <c r="H135" s="48" t="s">
        <v>27</v>
      </c>
      <c r="I135" s="48" t="s">
        <v>587</v>
      </c>
      <c r="J135" s="48" t="s">
        <v>24</v>
      </c>
      <c r="K135" s="48" t="s">
        <v>22</v>
      </c>
      <c r="L135" s="48" t="s">
        <v>1132</v>
      </c>
      <c r="M135" s="48" t="s">
        <v>26</v>
      </c>
      <c r="N135" s="48" t="s">
        <v>20</v>
      </c>
      <c r="O135" s="48" t="s">
        <v>857</v>
      </c>
      <c r="P135" s="50">
        <v>1252435.67</v>
      </c>
      <c r="Q135" s="50">
        <v>1</v>
      </c>
      <c r="R135" s="50">
        <v>1252435.67</v>
      </c>
      <c r="S135" s="74">
        <v>46117</v>
      </c>
      <c r="T135" s="48" t="s">
        <v>1904</v>
      </c>
      <c r="U135" s="48" t="s">
        <v>22</v>
      </c>
      <c r="V135" s="48" t="s">
        <v>857</v>
      </c>
      <c r="W135" s="48"/>
    </row>
    <row r="136" spans="1:23" ht="15.75" x14ac:dyDescent="0.25">
      <c r="A136" s="48" t="s">
        <v>1428</v>
      </c>
      <c r="B136" s="49">
        <v>46008</v>
      </c>
      <c r="C136" s="48" t="s">
        <v>916</v>
      </c>
      <c r="D136" s="48" t="s">
        <v>441</v>
      </c>
      <c r="E136" s="48" t="s">
        <v>858</v>
      </c>
      <c r="F136" s="48" t="s">
        <v>21</v>
      </c>
      <c r="G136" s="48" t="s">
        <v>22</v>
      </c>
      <c r="H136" s="48" t="s">
        <v>27</v>
      </c>
      <c r="I136" s="48" t="s">
        <v>1363</v>
      </c>
      <c r="J136" s="48" t="s">
        <v>24</v>
      </c>
      <c r="K136" s="48" t="s">
        <v>22</v>
      </c>
      <c r="L136" s="48" t="s">
        <v>1132</v>
      </c>
      <c r="M136" s="48" t="s">
        <v>26</v>
      </c>
      <c r="N136" s="48" t="s">
        <v>20</v>
      </c>
      <c r="O136" s="48" t="s">
        <v>857</v>
      </c>
      <c r="P136" s="50">
        <v>120438.35</v>
      </c>
      <c r="Q136" s="50">
        <v>1</v>
      </c>
      <c r="R136" s="50">
        <v>120438.35</v>
      </c>
      <c r="S136" s="74">
        <v>46114</v>
      </c>
      <c r="T136" s="48" t="s">
        <v>621</v>
      </c>
      <c r="U136" s="48" t="s">
        <v>22</v>
      </c>
      <c r="V136" s="48" t="s">
        <v>857</v>
      </c>
      <c r="W136" s="48"/>
    </row>
    <row r="137" spans="1:23" ht="15.75" x14ac:dyDescent="0.25">
      <c r="A137" s="48" t="s">
        <v>1834</v>
      </c>
      <c r="B137" s="49">
        <v>46109</v>
      </c>
      <c r="C137" s="48" t="s">
        <v>933</v>
      </c>
      <c r="D137" s="48" t="s">
        <v>1537</v>
      </c>
      <c r="E137" s="48" t="s">
        <v>858</v>
      </c>
      <c r="F137" s="48" t="s">
        <v>62</v>
      </c>
      <c r="G137" s="48" t="s">
        <v>483</v>
      </c>
      <c r="H137" s="48" t="s">
        <v>27</v>
      </c>
      <c r="I137" s="48" t="s">
        <v>1647</v>
      </c>
      <c r="J137" s="48" t="s">
        <v>72</v>
      </c>
      <c r="K137" s="48" t="s">
        <v>483</v>
      </c>
      <c r="L137" s="48" t="s">
        <v>1646</v>
      </c>
      <c r="M137" s="48" t="s">
        <v>78</v>
      </c>
      <c r="N137" s="48" t="s">
        <v>20</v>
      </c>
      <c r="O137" s="48" t="s">
        <v>857</v>
      </c>
      <c r="P137" s="50">
        <v>317074.96000000002</v>
      </c>
      <c r="Q137" s="50">
        <v>3.76</v>
      </c>
      <c r="R137" s="50">
        <v>1192201.8496000001</v>
      </c>
      <c r="S137" s="74">
        <v>46114</v>
      </c>
      <c r="T137" s="48" t="s">
        <v>1937</v>
      </c>
      <c r="U137" s="48" t="s">
        <v>483</v>
      </c>
      <c r="V137" s="48" t="s">
        <v>857</v>
      </c>
      <c r="W137" s="48"/>
    </row>
    <row r="138" spans="1:23" ht="15.75" x14ac:dyDescent="0.25">
      <c r="A138" s="48" t="s">
        <v>1447</v>
      </c>
      <c r="B138" s="49">
        <v>46070</v>
      </c>
      <c r="C138" s="48" t="s">
        <v>928</v>
      </c>
      <c r="D138" s="48" t="s">
        <v>441</v>
      </c>
      <c r="E138" s="48" t="s">
        <v>856</v>
      </c>
      <c r="F138" s="48" t="s">
        <v>612</v>
      </c>
      <c r="G138" s="48" t="s">
        <v>613</v>
      </c>
      <c r="H138" s="48" t="s">
        <v>27</v>
      </c>
      <c r="I138" s="48" t="s">
        <v>1416</v>
      </c>
      <c r="J138" s="48" t="s">
        <v>24</v>
      </c>
      <c r="K138" s="48" t="s">
        <v>613</v>
      </c>
      <c r="L138" s="48" t="s">
        <v>1135</v>
      </c>
      <c r="M138" s="48" t="s">
        <v>26</v>
      </c>
      <c r="N138" s="48" t="s">
        <v>20</v>
      </c>
      <c r="O138" s="48" t="s">
        <v>378</v>
      </c>
      <c r="P138" s="50">
        <v>521698.4</v>
      </c>
      <c r="Q138" s="50">
        <v>1</v>
      </c>
      <c r="R138" s="50">
        <v>521698.4</v>
      </c>
      <c r="S138" s="74">
        <v>46113</v>
      </c>
      <c r="T138" s="48" t="s">
        <v>311</v>
      </c>
      <c r="U138" s="48" t="s">
        <v>613</v>
      </c>
      <c r="V138" s="48" t="s">
        <v>857</v>
      </c>
      <c r="W138" s="48"/>
    </row>
    <row r="139" spans="1:23" ht="15.75" x14ac:dyDescent="0.25">
      <c r="A139" s="48" t="s">
        <v>1425</v>
      </c>
      <c r="B139" s="49">
        <v>46050</v>
      </c>
      <c r="C139" s="48" t="s">
        <v>916</v>
      </c>
      <c r="D139" s="48" t="s">
        <v>441</v>
      </c>
      <c r="E139" s="48" t="s">
        <v>858</v>
      </c>
      <c r="F139" s="48" t="s">
        <v>95</v>
      </c>
      <c r="G139" s="48" t="s">
        <v>96</v>
      </c>
      <c r="H139" s="48" t="s">
        <v>27</v>
      </c>
      <c r="I139" s="48" t="s">
        <v>521</v>
      </c>
      <c r="J139" s="48" t="s">
        <v>24</v>
      </c>
      <c r="K139" s="48" t="s">
        <v>22</v>
      </c>
      <c r="L139" s="48" t="s">
        <v>1132</v>
      </c>
      <c r="M139" s="48" t="s">
        <v>26</v>
      </c>
      <c r="N139" s="48" t="s">
        <v>20</v>
      </c>
      <c r="O139" s="48" t="s">
        <v>378</v>
      </c>
      <c r="P139" s="50">
        <v>400000</v>
      </c>
      <c r="Q139" s="50">
        <v>1</v>
      </c>
      <c r="R139" s="50">
        <v>400000</v>
      </c>
      <c r="S139" s="74">
        <v>46113</v>
      </c>
      <c r="T139" s="48" t="s">
        <v>621</v>
      </c>
      <c r="U139" s="48" t="s">
        <v>22</v>
      </c>
      <c r="V139" s="48" t="s">
        <v>857</v>
      </c>
      <c r="W139" s="48"/>
    </row>
    <row r="140" spans="1:23" ht="15.75" x14ac:dyDescent="0.25">
      <c r="A140" s="48" t="s">
        <v>2918</v>
      </c>
      <c r="B140" s="49">
        <v>46047</v>
      </c>
      <c r="C140" s="48" t="s">
        <v>916</v>
      </c>
      <c r="D140" s="48" t="s">
        <v>441</v>
      </c>
      <c r="E140" s="48" t="s">
        <v>856</v>
      </c>
      <c r="F140" s="48" t="s">
        <v>21</v>
      </c>
      <c r="G140" s="48" t="s">
        <v>22</v>
      </c>
      <c r="H140" s="48" t="s">
        <v>27</v>
      </c>
      <c r="I140" s="48" t="s">
        <v>1329</v>
      </c>
      <c r="J140" s="48" t="s">
        <v>24</v>
      </c>
      <c r="K140" s="48" t="s">
        <v>22</v>
      </c>
      <c r="L140" s="48" t="s">
        <v>1132</v>
      </c>
      <c r="M140" s="48" t="s">
        <v>26</v>
      </c>
      <c r="N140" s="48" t="s">
        <v>20</v>
      </c>
      <c r="O140" s="48" t="s">
        <v>857</v>
      </c>
      <c r="P140" s="50">
        <v>2044458.32</v>
      </c>
      <c r="Q140" s="50">
        <v>1</v>
      </c>
      <c r="R140" s="50">
        <v>2044458.32</v>
      </c>
      <c r="S140" s="74">
        <v>46112</v>
      </c>
      <c r="T140" s="48" t="s">
        <v>311</v>
      </c>
      <c r="U140" s="48" t="s">
        <v>22</v>
      </c>
      <c r="V140" s="48" t="s">
        <v>378</v>
      </c>
      <c r="W140" s="48"/>
    </row>
    <row r="141" spans="1:23" ht="15.75" x14ac:dyDescent="0.25">
      <c r="A141" s="48" t="s">
        <v>1859</v>
      </c>
      <c r="B141" s="49">
        <v>45999</v>
      </c>
      <c r="C141" s="48" t="s">
        <v>916</v>
      </c>
      <c r="D141" s="48" t="s">
        <v>1537</v>
      </c>
      <c r="E141" s="48" t="s">
        <v>858</v>
      </c>
      <c r="F141" s="48" t="s">
        <v>62</v>
      </c>
      <c r="G141" s="48" t="s">
        <v>483</v>
      </c>
      <c r="H141" s="48" t="s">
        <v>27</v>
      </c>
      <c r="I141" s="48" t="s">
        <v>638</v>
      </c>
      <c r="J141" s="48" t="s">
        <v>24</v>
      </c>
      <c r="K141" s="48" t="s">
        <v>483</v>
      </c>
      <c r="L141" s="48" t="s">
        <v>1646</v>
      </c>
      <c r="M141" s="48" t="s">
        <v>26</v>
      </c>
      <c r="N141" s="48" t="s">
        <v>20</v>
      </c>
      <c r="O141" s="48" t="s">
        <v>857</v>
      </c>
      <c r="P141" s="50">
        <v>1000000</v>
      </c>
      <c r="Q141" s="50">
        <v>1</v>
      </c>
      <c r="R141" s="50">
        <v>1000000</v>
      </c>
      <c r="S141" s="74">
        <v>46111</v>
      </c>
      <c r="T141" s="48" t="s">
        <v>621</v>
      </c>
      <c r="U141" s="48" t="s">
        <v>483</v>
      </c>
      <c r="V141" s="48" t="s">
        <v>378</v>
      </c>
      <c r="W141" s="48"/>
    </row>
    <row r="142" spans="1:23" ht="15.75" x14ac:dyDescent="0.25">
      <c r="A142" s="48" t="s">
        <v>1875</v>
      </c>
      <c r="B142" s="49">
        <v>46005</v>
      </c>
      <c r="C142" s="48" t="s">
        <v>916</v>
      </c>
      <c r="D142" s="48" t="s">
        <v>441</v>
      </c>
      <c r="E142" s="48" t="s">
        <v>856</v>
      </c>
      <c r="F142" s="48" t="s">
        <v>366</v>
      </c>
      <c r="G142" s="48" t="s">
        <v>710</v>
      </c>
      <c r="H142" s="48" t="s">
        <v>27</v>
      </c>
      <c r="I142" s="48" t="s">
        <v>479</v>
      </c>
      <c r="J142" s="48" t="s">
        <v>24</v>
      </c>
      <c r="K142" s="48" t="s">
        <v>710</v>
      </c>
      <c r="L142" s="48" t="s">
        <v>1209</v>
      </c>
      <c r="M142" s="48" t="s">
        <v>26</v>
      </c>
      <c r="N142" s="48" t="s">
        <v>20</v>
      </c>
      <c r="O142" s="48" t="s">
        <v>378</v>
      </c>
      <c r="P142" s="50">
        <v>2000000</v>
      </c>
      <c r="Q142" s="50">
        <v>1</v>
      </c>
      <c r="R142" s="50">
        <v>2000000</v>
      </c>
      <c r="S142" s="74">
        <v>46110</v>
      </c>
      <c r="T142" s="48" t="s">
        <v>621</v>
      </c>
      <c r="U142" s="48" t="s">
        <v>710</v>
      </c>
      <c r="V142" s="48" t="s">
        <v>857</v>
      </c>
      <c r="W142" s="48"/>
    </row>
    <row r="143" spans="1:23" ht="15.75" x14ac:dyDescent="0.25">
      <c r="A143" s="48" t="s">
        <v>1420</v>
      </c>
      <c r="B143" s="49">
        <v>46007</v>
      </c>
      <c r="C143" s="48" t="s">
        <v>924</v>
      </c>
      <c r="D143" s="48" t="s">
        <v>441</v>
      </c>
      <c r="E143" s="48" t="s">
        <v>856</v>
      </c>
      <c r="F143" s="48" t="s">
        <v>95</v>
      </c>
      <c r="G143" s="48" t="s">
        <v>96</v>
      </c>
      <c r="H143" s="48" t="s">
        <v>27</v>
      </c>
      <c r="I143" s="48" t="s">
        <v>177</v>
      </c>
      <c r="J143" s="48" t="s">
        <v>24</v>
      </c>
      <c r="K143" s="48" t="s">
        <v>22</v>
      </c>
      <c r="L143" s="48" t="s">
        <v>1132</v>
      </c>
      <c r="M143" s="48" t="s">
        <v>26</v>
      </c>
      <c r="N143" s="48" t="s">
        <v>20</v>
      </c>
      <c r="O143" s="48" t="s">
        <v>378</v>
      </c>
      <c r="P143" s="50">
        <v>51889.25</v>
      </c>
      <c r="Q143" s="50">
        <v>1</v>
      </c>
      <c r="R143" s="50">
        <v>51889.25</v>
      </c>
      <c r="S143" s="74">
        <v>46106</v>
      </c>
      <c r="T143" s="48" t="s">
        <v>621</v>
      </c>
      <c r="U143" s="48" t="s">
        <v>613</v>
      </c>
      <c r="V143" s="48" t="s">
        <v>378</v>
      </c>
      <c r="W143" s="48"/>
    </row>
    <row r="144" spans="1:23" ht="15.75" x14ac:dyDescent="0.25">
      <c r="A144" s="48" t="s">
        <v>3227</v>
      </c>
      <c r="B144" s="49">
        <v>46065</v>
      </c>
      <c r="C144" s="48" t="s">
        <v>918</v>
      </c>
      <c r="D144" s="48" t="s">
        <v>831</v>
      </c>
      <c r="E144" s="48" t="s">
        <v>856</v>
      </c>
      <c r="F144" s="48" t="s">
        <v>21</v>
      </c>
      <c r="G144" s="48" t="s">
        <v>22</v>
      </c>
      <c r="H144" s="48" t="s">
        <v>27</v>
      </c>
      <c r="I144" s="48" t="s">
        <v>3623</v>
      </c>
      <c r="J144" s="48" t="s">
        <v>80</v>
      </c>
      <c r="K144" s="48" t="s">
        <v>22</v>
      </c>
      <c r="L144" s="48" t="s">
        <v>1132</v>
      </c>
      <c r="M144" s="48" t="s">
        <v>67</v>
      </c>
      <c r="N144" s="48" t="s">
        <v>20</v>
      </c>
      <c r="O144" s="48" t="s">
        <v>857</v>
      </c>
      <c r="P144" s="50">
        <v>39870.519999999997</v>
      </c>
      <c r="Q144" s="50">
        <v>4.3899999999999997</v>
      </c>
      <c r="R144" s="50">
        <v>175031.58279999997</v>
      </c>
      <c r="S144" s="74">
        <v>46105</v>
      </c>
      <c r="T144" s="48" t="s">
        <v>425</v>
      </c>
      <c r="U144" s="48" t="s">
        <v>613</v>
      </c>
      <c r="V144" s="48" t="s">
        <v>378</v>
      </c>
      <c r="W144" s="48"/>
    </row>
    <row r="145" spans="1:23" ht="15.75" x14ac:dyDescent="0.25">
      <c r="A145" s="48" t="s">
        <v>3719</v>
      </c>
      <c r="B145" s="49">
        <v>46090</v>
      </c>
      <c r="C145" s="48" t="s">
        <v>916</v>
      </c>
      <c r="D145" s="48" t="s">
        <v>1259</v>
      </c>
      <c r="E145" s="48" t="s">
        <v>858</v>
      </c>
      <c r="F145" s="48" t="s">
        <v>95</v>
      </c>
      <c r="G145" s="48" t="s">
        <v>96</v>
      </c>
      <c r="H145" s="48" t="s">
        <v>27</v>
      </c>
      <c r="I145" s="48" t="s">
        <v>523</v>
      </c>
      <c r="J145" s="48" t="s">
        <v>1791</v>
      </c>
      <c r="K145" s="48" t="s">
        <v>328</v>
      </c>
      <c r="L145" s="48" t="s">
        <v>1142</v>
      </c>
      <c r="M145" s="48" t="s">
        <v>26</v>
      </c>
      <c r="N145" s="48" t="s">
        <v>20</v>
      </c>
      <c r="O145" s="48" t="s">
        <v>378</v>
      </c>
      <c r="P145" s="50">
        <v>800000</v>
      </c>
      <c r="Q145" s="50">
        <v>1</v>
      </c>
      <c r="R145" s="50">
        <v>800000</v>
      </c>
      <c r="S145" s="74">
        <v>46105</v>
      </c>
      <c r="T145" s="48" t="s">
        <v>35</v>
      </c>
      <c r="U145" s="48" t="s">
        <v>96</v>
      </c>
      <c r="V145" s="48" t="s">
        <v>857</v>
      </c>
      <c r="W145" s="48"/>
    </row>
    <row r="146" spans="1:23" ht="15.75" x14ac:dyDescent="0.25">
      <c r="A146" s="48" t="s">
        <v>1869</v>
      </c>
      <c r="B146" s="49">
        <v>46015</v>
      </c>
      <c r="C146" s="48" t="s">
        <v>918</v>
      </c>
      <c r="D146" s="48" t="s">
        <v>441</v>
      </c>
      <c r="E146" s="48" t="s">
        <v>858</v>
      </c>
      <c r="F146" s="48" t="s">
        <v>366</v>
      </c>
      <c r="G146" s="48" t="s">
        <v>710</v>
      </c>
      <c r="H146" s="48" t="s">
        <v>27</v>
      </c>
      <c r="I146" s="48" t="s">
        <v>1837</v>
      </c>
      <c r="J146" s="48" t="s">
        <v>24</v>
      </c>
      <c r="K146" s="48" t="s">
        <v>710</v>
      </c>
      <c r="L146" s="48" t="s">
        <v>1209</v>
      </c>
      <c r="M146" s="48" t="s">
        <v>26</v>
      </c>
      <c r="N146" s="48" t="s">
        <v>20</v>
      </c>
      <c r="O146" s="48" t="s">
        <v>857</v>
      </c>
      <c r="P146" s="50">
        <v>1960451.21</v>
      </c>
      <c r="Q146" s="50">
        <v>1</v>
      </c>
      <c r="R146" s="50">
        <v>1960451.21</v>
      </c>
      <c r="S146" s="74">
        <v>46105</v>
      </c>
      <c r="T146" s="48" t="s">
        <v>621</v>
      </c>
      <c r="U146" s="48" t="s">
        <v>710</v>
      </c>
      <c r="V146" s="48" t="s">
        <v>857</v>
      </c>
      <c r="W146" s="48"/>
    </row>
    <row r="147" spans="1:23" ht="15.75" x14ac:dyDescent="0.25">
      <c r="A147" s="48" t="s">
        <v>3146</v>
      </c>
      <c r="B147" s="49">
        <v>46072</v>
      </c>
      <c r="C147" s="48" t="s">
        <v>924</v>
      </c>
      <c r="D147" s="48" t="s">
        <v>2928</v>
      </c>
      <c r="E147" s="48" t="s">
        <v>856</v>
      </c>
      <c r="F147" s="48" t="s">
        <v>21</v>
      </c>
      <c r="G147" s="48" t="s">
        <v>22</v>
      </c>
      <c r="H147" s="48" t="s">
        <v>27</v>
      </c>
      <c r="I147" s="48" t="s">
        <v>2927</v>
      </c>
      <c r="J147" s="48" t="s">
        <v>3287</v>
      </c>
      <c r="K147" s="48" t="s">
        <v>22</v>
      </c>
      <c r="L147" s="48" t="s">
        <v>1132</v>
      </c>
      <c r="M147" s="48" t="s">
        <v>26</v>
      </c>
      <c r="N147" s="48" t="s">
        <v>20</v>
      </c>
      <c r="O147" s="48" t="s">
        <v>857</v>
      </c>
      <c r="P147" s="50">
        <v>485451.98</v>
      </c>
      <c r="Q147" s="50">
        <v>1</v>
      </c>
      <c r="R147" s="50">
        <v>485451.98</v>
      </c>
      <c r="S147" s="74">
        <v>46105</v>
      </c>
      <c r="T147" s="48" t="s">
        <v>311</v>
      </c>
      <c r="U147" s="48" t="s">
        <v>613</v>
      </c>
      <c r="V147" s="48" t="s">
        <v>378</v>
      </c>
      <c r="W147" s="48"/>
    </row>
    <row r="148" spans="1:23" ht="15.75" x14ac:dyDescent="0.25">
      <c r="A148" s="48" t="s">
        <v>3146</v>
      </c>
      <c r="B148" s="49">
        <v>46072</v>
      </c>
      <c r="C148" s="48" t="s">
        <v>928</v>
      </c>
      <c r="D148" s="48" t="s">
        <v>2928</v>
      </c>
      <c r="E148" s="48" t="s">
        <v>856</v>
      </c>
      <c r="F148" s="48" t="s">
        <v>21</v>
      </c>
      <c r="G148" s="48" t="s">
        <v>22</v>
      </c>
      <c r="H148" s="48" t="s">
        <v>27</v>
      </c>
      <c r="I148" s="48" t="s">
        <v>2927</v>
      </c>
      <c r="J148" s="48" t="s">
        <v>3287</v>
      </c>
      <c r="K148" s="48" t="s">
        <v>22</v>
      </c>
      <c r="L148" s="48" t="s">
        <v>1132</v>
      </c>
      <c r="M148" s="48" t="s">
        <v>26</v>
      </c>
      <c r="N148" s="48" t="s">
        <v>20</v>
      </c>
      <c r="O148" s="48" t="s">
        <v>857</v>
      </c>
      <c r="P148" s="50">
        <v>251618.06</v>
      </c>
      <c r="Q148" s="50">
        <v>1</v>
      </c>
      <c r="R148" s="50">
        <v>251618.06</v>
      </c>
      <c r="S148" s="74">
        <v>46105</v>
      </c>
      <c r="T148" s="48" t="s">
        <v>311</v>
      </c>
      <c r="U148" s="48" t="s">
        <v>613</v>
      </c>
      <c r="V148" s="48" t="s">
        <v>378</v>
      </c>
      <c r="W148" s="48"/>
    </row>
    <row r="149" spans="1:23" ht="15.75" x14ac:dyDescent="0.25">
      <c r="A149" s="48" t="s">
        <v>2618</v>
      </c>
      <c r="B149" s="49">
        <v>46041</v>
      </c>
      <c r="C149" s="48" t="s">
        <v>916</v>
      </c>
      <c r="D149" s="48" t="s">
        <v>441</v>
      </c>
      <c r="E149" s="48" t="s">
        <v>858</v>
      </c>
      <c r="F149" s="48" t="s">
        <v>21</v>
      </c>
      <c r="G149" s="48" t="s">
        <v>22</v>
      </c>
      <c r="H149" s="48" t="s">
        <v>27</v>
      </c>
      <c r="I149" s="48" t="s">
        <v>2563</v>
      </c>
      <c r="J149" s="48" t="s">
        <v>24</v>
      </c>
      <c r="K149" s="48" t="s">
        <v>22</v>
      </c>
      <c r="L149" s="48" t="s">
        <v>1132</v>
      </c>
      <c r="M149" s="48" t="s">
        <v>26</v>
      </c>
      <c r="N149" s="48" t="s">
        <v>20</v>
      </c>
      <c r="O149" s="48" t="s">
        <v>857</v>
      </c>
      <c r="P149" s="50">
        <v>1989866.83</v>
      </c>
      <c r="Q149" s="50">
        <v>1</v>
      </c>
      <c r="R149" s="50">
        <v>1989866.83</v>
      </c>
      <c r="S149" s="74">
        <v>46105</v>
      </c>
      <c r="T149" s="48" t="s">
        <v>1904</v>
      </c>
      <c r="U149" s="48" t="s">
        <v>613</v>
      </c>
      <c r="V149" s="48" t="s">
        <v>378</v>
      </c>
      <c r="W149" s="48"/>
    </row>
    <row r="150" spans="1:23" ht="15.75" x14ac:dyDescent="0.25">
      <c r="A150" s="48" t="s">
        <v>1673</v>
      </c>
      <c r="B150" s="49">
        <v>45995</v>
      </c>
      <c r="C150" s="48" t="s">
        <v>918</v>
      </c>
      <c r="D150" s="48" t="s">
        <v>1119</v>
      </c>
      <c r="E150" s="48" t="s">
        <v>858</v>
      </c>
      <c r="F150" s="48" t="s">
        <v>366</v>
      </c>
      <c r="G150" s="48" t="s">
        <v>367</v>
      </c>
      <c r="H150" s="48" t="s">
        <v>27</v>
      </c>
      <c r="I150" s="48" t="s">
        <v>1628</v>
      </c>
      <c r="J150" s="48" t="s">
        <v>24</v>
      </c>
      <c r="K150" s="48" t="s">
        <v>367</v>
      </c>
      <c r="L150" s="48" t="s">
        <v>1136</v>
      </c>
      <c r="M150" s="48" t="s">
        <v>26</v>
      </c>
      <c r="N150" s="48" t="s">
        <v>20</v>
      </c>
      <c r="O150" s="48" t="s">
        <v>378</v>
      </c>
      <c r="P150" s="50">
        <v>610345.93000000005</v>
      </c>
      <c r="Q150" s="50">
        <v>1</v>
      </c>
      <c r="R150" s="50">
        <v>610345.93000000005</v>
      </c>
      <c r="S150" s="74">
        <v>46105</v>
      </c>
      <c r="T150" s="48" t="s">
        <v>1629</v>
      </c>
      <c r="U150" s="48" t="s">
        <v>367</v>
      </c>
      <c r="V150" s="48" t="s">
        <v>857</v>
      </c>
      <c r="W150" s="48"/>
    </row>
    <row r="151" spans="1:23" ht="15.75" x14ac:dyDescent="0.25">
      <c r="A151" s="48" t="s">
        <v>2568</v>
      </c>
      <c r="B151" s="49">
        <v>46063</v>
      </c>
      <c r="C151" s="48" t="s">
        <v>929</v>
      </c>
      <c r="D151" s="48" t="s">
        <v>1537</v>
      </c>
      <c r="E151" s="48" t="s">
        <v>856</v>
      </c>
      <c r="F151" s="48" t="s">
        <v>62</v>
      </c>
      <c r="G151" s="48" t="s">
        <v>70</v>
      </c>
      <c r="H151" s="48" t="s">
        <v>70</v>
      </c>
      <c r="I151" s="48" t="s">
        <v>1641</v>
      </c>
      <c r="J151" s="48" t="s">
        <v>72</v>
      </c>
      <c r="K151" s="48" t="s">
        <v>483</v>
      </c>
      <c r="L151" s="48" t="s">
        <v>1646</v>
      </c>
      <c r="M151" s="48" t="s">
        <v>26</v>
      </c>
      <c r="N151" s="48" t="s">
        <v>20</v>
      </c>
      <c r="O151" s="48" t="s">
        <v>857</v>
      </c>
      <c r="P151" s="50">
        <v>4310.6000000000931</v>
      </c>
      <c r="Q151" s="50">
        <v>1</v>
      </c>
      <c r="R151" s="50">
        <v>4310.6000000000931</v>
      </c>
      <c r="S151" s="74">
        <v>46105</v>
      </c>
      <c r="T151" s="48" t="s">
        <v>305</v>
      </c>
      <c r="U151" s="48" t="s">
        <v>70</v>
      </c>
      <c r="V151" s="48" t="s">
        <v>857</v>
      </c>
      <c r="W151" s="48"/>
    </row>
    <row r="152" spans="1:23" ht="15.75" x14ac:dyDescent="0.25">
      <c r="A152" s="48" t="s">
        <v>1934</v>
      </c>
      <c r="B152" s="49">
        <v>46063</v>
      </c>
      <c r="C152" s="48" t="s">
        <v>929</v>
      </c>
      <c r="D152" s="48" t="s">
        <v>1537</v>
      </c>
      <c r="E152" s="48" t="s">
        <v>856</v>
      </c>
      <c r="F152" s="48" t="s">
        <v>62</v>
      </c>
      <c r="G152" s="48" t="s">
        <v>483</v>
      </c>
      <c r="H152" s="48" t="s">
        <v>27</v>
      </c>
      <c r="I152" s="48" t="s">
        <v>1641</v>
      </c>
      <c r="J152" s="48" t="s">
        <v>72</v>
      </c>
      <c r="K152" s="48" t="s">
        <v>483</v>
      </c>
      <c r="L152" s="48" t="s">
        <v>1646</v>
      </c>
      <c r="M152" s="48" t="s">
        <v>26</v>
      </c>
      <c r="N152" s="48" t="s">
        <v>20</v>
      </c>
      <c r="O152" s="48" t="s">
        <v>857</v>
      </c>
      <c r="P152" s="50">
        <v>3467133.56</v>
      </c>
      <c r="Q152" s="50">
        <v>1</v>
      </c>
      <c r="R152" s="50">
        <v>3467133.56</v>
      </c>
      <c r="S152" s="74">
        <v>46105</v>
      </c>
      <c r="T152" s="48" t="s">
        <v>305</v>
      </c>
      <c r="U152" s="48" t="s">
        <v>483</v>
      </c>
      <c r="V152" s="48" t="s">
        <v>857</v>
      </c>
      <c r="W152" s="48"/>
    </row>
    <row r="153" spans="1:23" ht="15.75" x14ac:dyDescent="0.25">
      <c r="A153" s="48" t="s">
        <v>2562</v>
      </c>
      <c r="B153" s="49">
        <v>46049</v>
      </c>
      <c r="C153" s="48" t="s">
        <v>924</v>
      </c>
      <c r="D153" s="48" t="s">
        <v>2801</v>
      </c>
      <c r="E153" s="48" t="s">
        <v>856</v>
      </c>
      <c r="F153" s="48" t="s">
        <v>95</v>
      </c>
      <c r="G153" s="48" t="s">
        <v>96</v>
      </c>
      <c r="H153" s="48" t="s">
        <v>27</v>
      </c>
      <c r="I153" s="48" t="s">
        <v>2448</v>
      </c>
      <c r="J153" s="48" t="s">
        <v>3219</v>
      </c>
      <c r="K153" s="48" t="s">
        <v>328</v>
      </c>
      <c r="L153" s="48" t="s">
        <v>1142</v>
      </c>
      <c r="M153" s="48" t="s">
        <v>26</v>
      </c>
      <c r="N153" s="48" t="s">
        <v>20</v>
      </c>
      <c r="O153" s="48" t="s">
        <v>378</v>
      </c>
      <c r="P153" s="50">
        <v>949026</v>
      </c>
      <c r="Q153" s="50">
        <v>1</v>
      </c>
      <c r="R153" s="50">
        <v>949026</v>
      </c>
      <c r="S153" s="74">
        <v>46104</v>
      </c>
      <c r="T153" s="48" t="s">
        <v>311</v>
      </c>
      <c r="U153" s="48" t="s">
        <v>96</v>
      </c>
      <c r="V153" s="48" t="s">
        <v>857</v>
      </c>
      <c r="W153" s="48"/>
    </row>
    <row r="154" spans="1:23" ht="15.75" x14ac:dyDescent="0.25">
      <c r="A154" s="48" t="s">
        <v>2562</v>
      </c>
      <c r="B154" s="49">
        <v>46042</v>
      </c>
      <c r="C154" s="48" t="s">
        <v>918</v>
      </c>
      <c r="D154" s="48" t="s">
        <v>2801</v>
      </c>
      <c r="E154" s="48" t="s">
        <v>856</v>
      </c>
      <c r="F154" s="48" t="s">
        <v>95</v>
      </c>
      <c r="G154" s="48" t="s">
        <v>96</v>
      </c>
      <c r="H154" s="48" t="s">
        <v>27</v>
      </c>
      <c r="I154" s="48" t="s">
        <v>2448</v>
      </c>
      <c r="J154" s="48" t="s">
        <v>3219</v>
      </c>
      <c r="K154" s="48" t="s">
        <v>328</v>
      </c>
      <c r="L154" s="48" t="s">
        <v>1142</v>
      </c>
      <c r="M154" s="48" t="s">
        <v>26</v>
      </c>
      <c r="N154" s="48" t="s">
        <v>20</v>
      </c>
      <c r="O154" s="48" t="s">
        <v>378</v>
      </c>
      <c r="P154" s="50">
        <v>794349.56</v>
      </c>
      <c r="Q154" s="50">
        <v>1</v>
      </c>
      <c r="R154" s="50">
        <v>794349.56</v>
      </c>
      <c r="S154" s="74">
        <v>46104</v>
      </c>
      <c r="T154" s="48" t="s">
        <v>311</v>
      </c>
      <c r="U154" s="48" t="s">
        <v>96</v>
      </c>
      <c r="V154" s="48" t="s">
        <v>857</v>
      </c>
      <c r="W154" s="48"/>
    </row>
    <row r="155" spans="1:23" ht="15.75" x14ac:dyDescent="0.25">
      <c r="A155" s="48" t="s">
        <v>2921</v>
      </c>
      <c r="B155" s="49">
        <v>46040</v>
      </c>
      <c r="C155" s="48" t="s">
        <v>916</v>
      </c>
      <c r="D155" s="48" t="s">
        <v>1259</v>
      </c>
      <c r="E155" s="48" t="s">
        <v>856</v>
      </c>
      <c r="F155" s="48" t="s">
        <v>95</v>
      </c>
      <c r="G155" s="48" t="s">
        <v>96</v>
      </c>
      <c r="H155" s="48" t="s">
        <v>27</v>
      </c>
      <c r="I155" s="48" t="s">
        <v>1924</v>
      </c>
      <c r="J155" s="48" t="s">
        <v>72</v>
      </c>
      <c r="K155" s="48" t="s">
        <v>328</v>
      </c>
      <c r="L155" s="48" t="s">
        <v>1142</v>
      </c>
      <c r="M155" s="48" t="s">
        <v>26</v>
      </c>
      <c r="N155" s="48" t="s">
        <v>20</v>
      </c>
      <c r="O155" s="48" t="s">
        <v>378</v>
      </c>
      <c r="P155" s="50">
        <v>1200600</v>
      </c>
      <c r="Q155" s="50">
        <v>1</v>
      </c>
      <c r="R155" s="50">
        <v>1200600</v>
      </c>
      <c r="S155" s="74">
        <v>46097</v>
      </c>
      <c r="T155" s="48" t="s">
        <v>311</v>
      </c>
      <c r="U155" s="48" t="s">
        <v>96</v>
      </c>
      <c r="V155" s="48" t="s">
        <v>857</v>
      </c>
      <c r="W155" s="48"/>
    </row>
    <row r="156" spans="1:23" ht="15.75" x14ac:dyDescent="0.25">
      <c r="A156" s="48" t="s">
        <v>1610</v>
      </c>
      <c r="B156" s="49">
        <v>46097</v>
      </c>
      <c r="C156" s="48" t="s">
        <v>924</v>
      </c>
      <c r="D156" s="48" t="s">
        <v>3566</v>
      </c>
      <c r="E156" s="48" t="s">
        <v>856</v>
      </c>
      <c r="F156" s="48" t="s">
        <v>612</v>
      </c>
      <c r="G156" s="48" t="s">
        <v>613</v>
      </c>
      <c r="H156" s="48" t="s">
        <v>27</v>
      </c>
      <c r="I156" s="48" t="s">
        <v>1556</v>
      </c>
      <c r="J156" s="48" t="s">
        <v>72</v>
      </c>
      <c r="K156" s="48" t="s">
        <v>613</v>
      </c>
      <c r="L156" s="48" t="s">
        <v>1135</v>
      </c>
      <c r="M156" s="48" t="s">
        <v>26</v>
      </c>
      <c r="N156" s="48" t="s">
        <v>20</v>
      </c>
      <c r="O156" s="48" t="s">
        <v>378</v>
      </c>
      <c r="P156" s="50">
        <v>54799.8</v>
      </c>
      <c r="Q156" s="50">
        <v>1</v>
      </c>
      <c r="R156" s="50">
        <v>54799.8</v>
      </c>
      <c r="S156" s="74">
        <v>46097</v>
      </c>
      <c r="T156" s="48" t="s">
        <v>425</v>
      </c>
      <c r="U156" s="48" t="s">
        <v>613</v>
      </c>
      <c r="V156" s="48" t="s">
        <v>857</v>
      </c>
      <c r="W156" s="48"/>
    </row>
    <row r="157" spans="1:23" ht="15.75" x14ac:dyDescent="0.25">
      <c r="A157" s="48" t="s">
        <v>2287</v>
      </c>
      <c r="B157" s="49">
        <v>46097</v>
      </c>
      <c r="C157" s="48" t="s">
        <v>924</v>
      </c>
      <c r="D157" s="48" t="s">
        <v>3566</v>
      </c>
      <c r="E157" s="48" t="s">
        <v>856</v>
      </c>
      <c r="F157" s="48" t="s">
        <v>612</v>
      </c>
      <c r="G157" s="48" t="s">
        <v>613</v>
      </c>
      <c r="H157" s="48" t="s">
        <v>27</v>
      </c>
      <c r="I157" s="48" t="s">
        <v>1938</v>
      </c>
      <c r="J157" s="48" t="s">
        <v>72</v>
      </c>
      <c r="K157" s="48" t="s">
        <v>613</v>
      </c>
      <c r="L157" s="48" t="s">
        <v>1135</v>
      </c>
      <c r="M157" s="48" t="s">
        <v>26</v>
      </c>
      <c r="N157" s="48" t="s">
        <v>20</v>
      </c>
      <c r="O157" s="48" t="s">
        <v>378</v>
      </c>
      <c r="P157" s="50">
        <v>1835164.63</v>
      </c>
      <c r="Q157" s="50">
        <v>1</v>
      </c>
      <c r="R157" s="50">
        <v>1835164.63</v>
      </c>
      <c r="S157" s="74">
        <v>46097</v>
      </c>
      <c r="T157" s="48" t="s">
        <v>2790</v>
      </c>
      <c r="U157" s="48" t="s">
        <v>613</v>
      </c>
      <c r="V157" s="48" t="s">
        <v>857</v>
      </c>
      <c r="W157" s="48"/>
    </row>
    <row r="158" spans="1:23" ht="15.75" x14ac:dyDescent="0.25">
      <c r="A158" s="48" t="s">
        <v>306</v>
      </c>
      <c r="B158" s="49">
        <v>46063</v>
      </c>
      <c r="C158" s="48" t="s">
        <v>4357</v>
      </c>
      <c r="D158" s="48" t="s">
        <v>1118</v>
      </c>
      <c r="E158" s="48" t="s">
        <v>858</v>
      </c>
      <c r="F158" s="48" t="s">
        <v>62</v>
      </c>
      <c r="G158" s="48" t="s">
        <v>70</v>
      </c>
      <c r="H158" s="48" t="s">
        <v>70</v>
      </c>
      <c r="I158" s="48" t="s">
        <v>307</v>
      </c>
      <c r="J158" s="48" t="s">
        <v>72</v>
      </c>
      <c r="K158" s="48" t="s">
        <v>213</v>
      </c>
      <c r="L158" s="48" t="s">
        <v>1134</v>
      </c>
      <c r="M158" s="48" t="s">
        <v>67</v>
      </c>
      <c r="N158" s="48" t="s">
        <v>20</v>
      </c>
      <c r="O158" s="48" t="s">
        <v>857</v>
      </c>
      <c r="P158" s="50">
        <v>339253.47</v>
      </c>
      <c r="Q158" s="50">
        <v>4.5700921750359704</v>
      </c>
      <c r="R158" s="50">
        <v>1550419.6286008002</v>
      </c>
      <c r="S158" s="74">
        <v>46097</v>
      </c>
      <c r="T158" s="48" t="s">
        <v>308</v>
      </c>
      <c r="U158" s="48" t="s">
        <v>213</v>
      </c>
      <c r="V158" s="48" t="s">
        <v>857</v>
      </c>
      <c r="W158" s="48"/>
    </row>
    <row r="159" spans="1:23" ht="15.75" x14ac:dyDescent="0.25">
      <c r="A159" s="48" t="s">
        <v>3144</v>
      </c>
      <c r="B159" s="49">
        <v>46035</v>
      </c>
      <c r="C159" s="48" t="s">
        <v>916</v>
      </c>
      <c r="D159" s="48" t="s">
        <v>4619</v>
      </c>
      <c r="E159" s="48" t="s">
        <v>858</v>
      </c>
      <c r="F159" s="48" t="s">
        <v>21</v>
      </c>
      <c r="G159" s="48" t="s">
        <v>22</v>
      </c>
      <c r="H159" s="48" t="s">
        <v>27</v>
      </c>
      <c r="I159" s="48" t="s">
        <v>1541</v>
      </c>
      <c r="J159" s="48" t="s">
        <v>72</v>
      </c>
      <c r="K159" s="48" t="s">
        <v>22</v>
      </c>
      <c r="L159" s="48" t="s">
        <v>1132</v>
      </c>
      <c r="M159" s="48" t="s">
        <v>26</v>
      </c>
      <c r="N159" s="48" t="s">
        <v>20</v>
      </c>
      <c r="O159" s="48" t="s">
        <v>857</v>
      </c>
      <c r="P159" s="50">
        <v>11768747.039999999</v>
      </c>
      <c r="Q159" s="50">
        <v>1</v>
      </c>
      <c r="R159" s="50">
        <v>11768747.039999999</v>
      </c>
      <c r="S159" s="74">
        <v>46097</v>
      </c>
      <c r="T159" s="48" t="s">
        <v>311</v>
      </c>
      <c r="U159" s="48" t="s">
        <v>4389</v>
      </c>
      <c r="V159" s="48" t="s">
        <v>378</v>
      </c>
      <c r="W159" s="48" t="s">
        <v>4390</v>
      </c>
    </row>
    <row r="160" spans="1:23" ht="15.75" x14ac:dyDescent="0.25">
      <c r="A160" s="48" t="s">
        <v>2569</v>
      </c>
      <c r="B160" s="49">
        <v>45994</v>
      </c>
      <c r="C160" s="48" t="s">
        <v>918</v>
      </c>
      <c r="D160" s="48" t="s">
        <v>1184</v>
      </c>
      <c r="E160" s="48" t="s">
        <v>856</v>
      </c>
      <c r="F160" s="48" t="s">
        <v>21</v>
      </c>
      <c r="G160" s="48" t="s">
        <v>22</v>
      </c>
      <c r="H160" s="48" t="s">
        <v>27</v>
      </c>
      <c r="I160" s="48" t="s">
        <v>2561</v>
      </c>
      <c r="J160" s="48" t="s">
        <v>72</v>
      </c>
      <c r="K160" s="48" t="s">
        <v>90</v>
      </c>
      <c r="L160" s="48" t="s">
        <v>1141</v>
      </c>
      <c r="M160" s="48" t="s">
        <v>26</v>
      </c>
      <c r="N160" s="48" t="s">
        <v>20</v>
      </c>
      <c r="O160" s="48" t="s">
        <v>857</v>
      </c>
      <c r="P160" s="50">
        <v>32000000</v>
      </c>
      <c r="Q160" s="50">
        <v>1</v>
      </c>
      <c r="R160" s="50">
        <v>32000000</v>
      </c>
      <c r="S160" s="74">
        <v>46096</v>
      </c>
      <c r="T160" s="48" t="s">
        <v>1785</v>
      </c>
      <c r="U160" s="48" t="s">
        <v>4294</v>
      </c>
      <c r="V160" s="48" t="s">
        <v>378</v>
      </c>
      <c r="W160" s="48" t="s">
        <v>4354</v>
      </c>
    </row>
    <row r="161" spans="1:23" ht="15.75" x14ac:dyDescent="0.25">
      <c r="A161" s="48" t="s">
        <v>2569</v>
      </c>
      <c r="B161" s="49">
        <v>45977</v>
      </c>
      <c r="C161" s="48" t="s">
        <v>916</v>
      </c>
      <c r="D161" s="48" t="s">
        <v>1184</v>
      </c>
      <c r="E161" s="48" t="s">
        <v>856</v>
      </c>
      <c r="F161" s="48" t="s">
        <v>21</v>
      </c>
      <c r="G161" s="48" t="s">
        <v>22</v>
      </c>
      <c r="H161" s="48" t="s">
        <v>27</v>
      </c>
      <c r="I161" s="48" t="s">
        <v>2561</v>
      </c>
      <c r="J161" s="48" t="s">
        <v>72</v>
      </c>
      <c r="K161" s="48" t="s">
        <v>90</v>
      </c>
      <c r="L161" s="48" t="s">
        <v>1141</v>
      </c>
      <c r="M161" s="48" t="s">
        <v>26</v>
      </c>
      <c r="N161" s="48" t="s">
        <v>20</v>
      </c>
      <c r="O161" s="48" t="s">
        <v>857</v>
      </c>
      <c r="P161" s="50">
        <v>34000000</v>
      </c>
      <c r="Q161" s="50">
        <v>1</v>
      </c>
      <c r="R161" s="50">
        <v>34000000</v>
      </c>
      <c r="S161" s="74">
        <v>46093</v>
      </c>
      <c r="T161" s="48" t="s">
        <v>1785</v>
      </c>
      <c r="U161" s="48" t="s">
        <v>4294</v>
      </c>
      <c r="V161" s="48" t="s">
        <v>378</v>
      </c>
      <c r="W161" s="48"/>
    </row>
    <row r="162" spans="1:23" ht="15.75" x14ac:dyDescent="0.25">
      <c r="A162" s="48" t="s">
        <v>1689</v>
      </c>
      <c r="B162" s="49">
        <v>46049</v>
      </c>
      <c r="C162" s="48" t="s">
        <v>924</v>
      </c>
      <c r="D162" s="48" t="s">
        <v>1119</v>
      </c>
      <c r="E162" s="48" t="s">
        <v>858</v>
      </c>
      <c r="F162" s="48" t="s">
        <v>366</v>
      </c>
      <c r="G162" s="48" t="s">
        <v>367</v>
      </c>
      <c r="H162" s="48" t="s">
        <v>27</v>
      </c>
      <c r="I162" s="48" t="s">
        <v>1682</v>
      </c>
      <c r="J162" s="48" t="s">
        <v>24</v>
      </c>
      <c r="K162" s="48" t="s">
        <v>367</v>
      </c>
      <c r="L162" s="48" t="s">
        <v>1136</v>
      </c>
      <c r="M162" s="48" t="s">
        <v>26</v>
      </c>
      <c r="N162" s="48" t="s">
        <v>20</v>
      </c>
      <c r="O162" s="48" t="s">
        <v>857</v>
      </c>
      <c r="P162" s="50">
        <v>15003.16</v>
      </c>
      <c r="Q162" s="50">
        <v>1</v>
      </c>
      <c r="R162" s="50">
        <v>15003.16</v>
      </c>
      <c r="S162" s="74">
        <v>46093</v>
      </c>
      <c r="T162" s="48" t="s">
        <v>1683</v>
      </c>
      <c r="U162" s="48" t="s">
        <v>4353</v>
      </c>
      <c r="V162" s="48" t="s">
        <v>857</v>
      </c>
      <c r="W162" s="48"/>
    </row>
    <row r="163" spans="1:23" ht="15.75" x14ac:dyDescent="0.25">
      <c r="A163" s="48" t="s">
        <v>3227</v>
      </c>
      <c r="B163" s="49">
        <v>46065</v>
      </c>
      <c r="C163" s="48" t="s">
        <v>916</v>
      </c>
      <c r="D163" s="48" t="s">
        <v>831</v>
      </c>
      <c r="E163" s="48" t="s">
        <v>856</v>
      </c>
      <c r="F163" s="48" t="s">
        <v>21</v>
      </c>
      <c r="G163" s="48" t="s">
        <v>22</v>
      </c>
      <c r="H163" s="48" t="s">
        <v>27</v>
      </c>
      <c r="I163" s="48" t="s">
        <v>3623</v>
      </c>
      <c r="J163" s="48" t="s">
        <v>80</v>
      </c>
      <c r="K163" s="48" t="s">
        <v>22</v>
      </c>
      <c r="L163" s="48" t="s">
        <v>1132</v>
      </c>
      <c r="M163" s="48" t="s">
        <v>67</v>
      </c>
      <c r="N163" s="48" t="s">
        <v>20</v>
      </c>
      <c r="O163" s="48" t="s">
        <v>857</v>
      </c>
      <c r="P163" s="50">
        <v>79734.39</v>
      </c>
      <c r="Q163" s="50">
        <v>4.4320000000000004</v>
      </c>
      <c r="R163" s="50">
        <v>353382.81648000004</v>
      </c>
      <c r="S163" s="74">
        <v>46091</v>
      </c>
      <c r="T163" s="48" t="s">
        <v>425</v>
      </c>
      <c r="U163" s="48" t="s">
        <v>22</v>
      </c>
      <c r="V163" s="48" t="s">
        <v>857</v>
      </c>
      <c r="W163" s="48"/>
    </row>
    <row r="164" spans="1:23" ht="15.75" x14ac:dyDescent="0.25">
      <c r="A164" s="48" t="s">
        <v>1858</v>
      </c>
      <c r="B164" s="49">
        <v>45993</v>
      </c>
      <c r="C164" s="48" t="s">
        <v>916</v>
      </c>
      <c r="D164" s="48" t="s">
        <v>1537</v>
      </c>
      <c r="E164" s="48" t="s">
        <v>856</v>
      </c>
      <c r="F164" s="48" t="s">
        <v>62</v>
      </c>
      <c r="G164" s="48" t="s">
        <v>483</v>
      </c>
      <c r="H164" s="48" t="s">
        <v>27</v>
      </c>
      <c r="I164" s="48" t="s">
        <v>1788</v>
      </c>
      <c r="J164" s="48" t="s">
        <v>24</v>
      </c>
      <c r="K164" s="48" t="s">
        <v>483</v>
      </c>
      <c r="L164" s="48" t="s">
        <v>1646</v>
      </c>
      <c r="M164" s="48" t="s">
        <v>26</v>
      </c>
      <c r="N164" s="48" t="s">
        <v>20</v>
      </c>
      <c r="O164" s="48" t="s">
        <v>378</v>
      </c>
      <c r="P164" s="50">
        <v>2000000</v>
      </c>
      <c r="Q164" s="50">
        <v>1</v>
      </c>
      <c r="R164" s="50">
        <v>2000000</v>
      </c>
      <c r="S164" s="74">
        <v>46090</v>
      </c>
      <c r="T164" s="48" t="s">
        <v>621</v>
      </c>
      <c r="U164" s="48" t="s">
        <v>4028</v>
      </c>
      <c r="V164" s="48" t="s">
        <v>857</v>
      </c>
      <c r="W164" s="48"/>
    </row>
    <row r="165" spans="1:23" ht="15.75" x14ac:dyDescent="0.25">
      <c r="A165" s="48" t="s">
        <v>4545</v>
      </c>
      <c r="B165" s="49">
        <v>46078</v>
      </c>
      <c r="C165" s="48" t="s">
        <v>916</v>
      </c>
      <c r="D165" s="48" t="s">
        <v>4231</v>
      </c>
      <c r="E165" s="48" t="s">
        <v>856</v>
      </c>
      <c r="F165" s="48" t="s">
        <v>1073</v>
      </c>
      <c r="G165" s="48" t="s">
        <v>882</v>
      </c>
      <c r="H165" s="48" t="s">
        <v>27</v>
      </c>
      <c r="I165" s="48" t="s">
        <v>2924</v>
      </c>
      <c r="J165" s="48" t="s">
        <v>72</v>
      </c>
      <c r="K165" s="48" t="s">
        <v>882</v>
      </c>
      <c r="L165" s="48" t="s">
        <v>4134</v>
      </c>
      <c r="M165" s="48" t="s">
        <v>26</v>
      </c>
      <c r="N165" s="48" t="s">
        <v>20</v>
      </c>
      <c r="O165" s="48" t="s">
        <v>378</v>
      </c>
      <c r="P165" s="50">
        <v>1164996</v>
      </c>
      <c r="Q165" s="50">
        <v>1</v>
      </c>
      <c r="R165" s="50">
        <v>1164996</v>
      </c>
      <c r="S165" s="74">
        <v>46090</v>
      </c>
      <c r="T165" s="48" t="s">
        <v>425</v>
      </c>
      <c r="U165" s="48" t="s">
        <v>407</v>
      </c>
      <c r="V165" s="48" t="s">
        <v>378</v>
      </c>
      <c r="W165" s="48"/>
    </row>
    <row r="166" spans="1:23" ht="15.75" x14ac:dyDescent="0.25">
      <c r="A166" s="48" t="s">
        <v>1396</v>
      </c>
      <c r="B166" s="49">
        <v>46043</v>
      </c>
      <c r="C166" s="48" t="s">
        <v>918</v>
      </c>
      <c r="D166" s="48" t="s">
        <v>441</v>
      </c>
      <c r="E166" s="48" t="s">
        <v>858</v>
      </c>
      <c r="F166" s="48" t="s">
        <v>612</v>
      </c>
      <c r="G166" s="48" t="s">
        <v>613</v>
      </c>
      <c r="H166" s="48" t="s">
        <v>27</v>
      </c>
      <c r="I166" s="48" t="s">
        <v>1390</v>
      </c>
      <c r="J166" s="48" t="s">
        <v>24</v>
      </c>
      <c r="K166" s="48" t="s">
        <v>613</v>
      </c>
      <c r="L166" s="48" t="s">
        <v>1135</v>
      </c>
      <c r="M166" s="48" t="s">
        <v>26</v>
      </c>
      <c r="N166" s="48" t="s">
        <v>20</v>
      </c>
      <c r="O166" s="48" t="s">
        <v>378</v>
      </c>
      <c r="P166" s="50">
        <v>137644.65</v>
      </c>
      <c r="Q166" s="50">
        <v>1</v>
      </c>
      <c r="R166" s="50">
        <v>137644.65</v>
      </c>
      <c r="S166" s="74">
        <v>46089</v>
      </c>
      <c r="T166" s="48" t="s">
        <v>311</v>
      </c>
      <c r="U166" s="48" t="s">
        <v>613</v>
      </c>
      <c r="V166" s="48" t="s">
        <v>857</v>
      </c>
      <c r="W166" s="48"/>
    </row>
    <row r="167" spans="1:23" ht="15.75" x14ac:dyDescent="0.25">
      <c r="A167" s="48" t="s">
        <v>1410</v>
      </c>
      <c r="B167" s="49">
        <v>45985</v>
      </c>
      <c r="C167" s="48" t="s">
        <v>916</v>
      </c>
      <c r="D167" s="48" t="s">
        <v>441</v>
      </c>
      <c r="E167" s="48" t="s">
        <v>858</v>
      </c>
      <c r="F167" s="48" t="s">
        <v>21</v>
      </c>
      <c r="G167" s="48" t="s">
        <v>22</v>
      </c>
      <c r="H167" s="48" t="s">
        <v>27</v>
      </c>
      <c r="I167" s="48" t="s">
        <v>826</v>
      </c>
      <c r="J167" s="48" t="s">
        <v>24</v>
      </c>
      <c r="K167" s="48" t="s">
        <v>22</v>
      </c>
      <c r="L167" s="48" t="s">
        <v>1132</v>
      </c>
      <c r="M167" s="48" t="s">
        <v>26</v>
      </c>
      <c r="N167" s="48" t="s">
        <v>20</v>
      </c>
      <c r="O167" s="48" t="s">
        <v>857</v>
      </c>
      <c r="P167" s="50">
        <v>73962.710000000006</v>
      </c>
      <c r="Q167" s="50">
        <v>1</v>
      </c>
      <c r="R167" s="50">
        <v>73962.710000000006</v>
      </c>
      <c r="S167" s="74">
        <v>46086</v>
      </c>
      <c r="T167" s="48" t="s">
        <v>621</v>
      </c>
      <c r="U167" s="48" t="s">
        <v>22</v>
      </c>
      <c r="V167" s="48" t="s">
        <v>857</v>
      </c>
      <c r="W167" s="48"/>
    </row>
    <row r="168" spans="1:23" ht="15.75" x14ac:dyDescent="0.25">
      <c r="A168" s="48" t="s">
        <v>1503</v>
      </c>
      <c r="B168" s="49">
        <v>45982</v>
      </c>
      <c r="C168" s="48" t="s">
        <v>916</v>
      </c>
      <c r="D168" s="48" t="s">
        <v>441</v>
      </c>
      <c r="E168" s="48" t="s">
        <v>858</v>
      </c>
      <c r="F168" s="48" t="s">
        <v>21</v>
      </c>
      <c r="G168" s="48" t="s">
        <v>22</v>
      </c>
      <c r="H168" s="48" t="s">
        <v>27</v>
      </c>
      <c r="I168" s="48" t="s">
        <v>772</v>
      </c>
      <c r="J168" s="48" t="s">
        <v>24</v>
      </c>
      <c r="K168" s="48" t="s">
        <v>407</v>
      </c>
      <c r="L168" s="48" t="s">
        <v>1131</v>
      </c>
      <c r="M168" s="48" t="s">
        <v>26</v>
      </c>
      <c r="N168" s="48" t="s">
        <v>20</v>
      </c>
      <c r="O168" s="48" t="s">
        <v>857</v>
      </c>
      <c r="P168" s="50">
        <v>207691.38</v>
      </c>
      <c r="Q168" s="50">
        <v>1</v>
      </c>
      <c r="R168" s="50">
        <v>207691.38</v>
      </c>
      <c r="S168" s="74">
        <v>46086</v>
      </c>
      <c r="T168" s="48" t="s">
        <v>621</v>
      </c>
      <c r="U168" s="48" t="s">
        <v>22</v>
      </c>
      <c r="V168" s="48" t="s">
        <v>378</v>
      </c>
      <c r="W168" s="48"/>
    </row>
    <row r="169" spans="1:23" ht="15.75" x14ac:dyDescent="0.25">
      <c r="A169" s="48" t="s">
        <v>1823</v>
      </c>
      <c r="B169" s="49">
        <v>46044</v>
      </c>
      <c r="C169" s="48" t="s">
        <v>916</v>
      </c>
      <c r="D169" s="48" t="s">
        <v>441</v>
      </c>
      <c r="E169" s="48" t="s">
        <v>856</v>
      </c>
      <c r="F169" s="48" t="s">
        <v>612</v>
      </c>
      <c r="G169" s="48" t="s">
        <v>613</v>
      </c>
      <c r="H169" s="48" t="s">
        <v>27</v>
      </c>
      <c r="I169" s="48" t="s">
        <v>1700</v>
      </c>
      <c r="J169" s="48" t="s">
        <v>24</v>
      </c>
      <c r="K169" s="48" t="s">
        <v>613</v>
      </c>
      <c r="L169" s="48" t="s">
        <v>1135</v>
      </c>
      <c r="M169" s="48" t="s">
        <v>26</v>
      </c>
      <c r="N169" s="48" t="s">
        <v>20</v>
      </c>
      <c r="O169" s="48" t="s">
        <v>378</v>
      </c>
      <c r="P169" s="50">
        <v>737540</v>
      </c>
      <c r="Q169" s="50">
        <v>1</v>
      </c>
      <c r="R169" s="50">
        <v>737540</v>
      </c>
      <c r="S169" s="74">
        <v>46086</v>
      </c>
      <c r="T169" s="48" t="s">
        <v>311</v>
      </c>
      <c r="U169" s="48" t="s">
        <v>613</v>
      </c>
      <c r="V169" s="48" t="s">
        <v>857</v>
      </c>
      <c r="W169" s="48"/>
    </row>
    <row r="170" spans="1:23" ht="15.75" x14ac:dyDescent="0.25">
      <c r="A170" s="48" t="s">
        <v>2917</v>
      </c>
      <c r="B170" s="49">
        <v>46015</v>
      </c>
      <c r="C170" s="48" t="s">
        <v>916</v>
      </c>
      <c r="D170" s="48" t="s">
        <v>441</v>
      </c>
      <c r="E170" s="48" t="s">
        <v>858</v>
      </c>
      <c r="F170" s="48" t="s">
        <v>21</v>
      </c>
      <c r="G170" s="48" t="s">
        <v>22</v>
      </c>
      <c r="H170" s="48" t="s">
        <v>27</v>
      </c>
      <c r="I170" s="48" t="s">
        <v>519</v>
      </c>
      <c r="J170" s="48" t="s">
        <v>24</v>
      </c>
      <c r="K170" s="48" t="s">
        <v>22</v>
      </c>
      <c r="L170" s="48" t="s">
        <v>1132</v>
      </c>
      <c r="M170" s="48" t="s">
        <v>26</v>
      </c>
      <c r="N170" s="48" t="s">
        <v>20</v>
      </c>
      <c r="O170" s="48" t="s">
        <v>857</v>
      </c>
      <c r="P170" s="50">
        <v>4000000</v>
      </c>
      <c r="Q170" s="50">
        <v>1</v>
      </c>
      <c r="R170" s="50">
        <v>4000000</v>
      </c>
      <c r="S170" s="74">
        <v>46085</v>
      </c>
      <c r="T170" s="48" t="s">
        <v>311</v>
      </c>
      <c r="U170" s="48" t="s">
        <v>22</v>
      </c>
      <c r="V170" s="48" t="s">
        <v>857</v>
      </c>
      <c r="W170" s="48"/>
    </row>
    <row r="171" spans="1:23" ht="15.75" x14ac:dyDescent="0.25">
      <c r="A171" s="48" t="s">
        <v>1912</v>
      </c>
      <c r="B171" s="49">
        <v>45982</v>
      </c>
      <c r="C171" s="48" t="s">
        <v>916</v>
      </c>
      <c r="D171" s="48" t="s">
        <v>441</v>
      </c>
      <c r="E171" s="48" t="s">
        <v>856</v>
      </c>
      <c r="F171" s="48" t="s">
        <v>366</v>
      </c>
      <c r="G171" s="48" t="s">
        <v>710</v>
      </c>
      <c r="H171" s="48" t="s">
        <v>27</v>
      </c>
      <c r="I171" s="48" t="s">
        <v>521</v>
      </c>
      <c r="J171" s="48" t="s">
        <v>24</v>
      </c>
      <c r="K171" s="48" t="s">
        <v>710</v>
      </c>
      <c r="L171" s="48" t="s">
        <v>1209</v>
      </c>
      <c r="M171" s="48" t="s">
        <v>26</v>
      </c>
      <c r="N171" s="48" t="s">
        <v>20</v>
      </c>
      <c r="O171" s="48" t="s">
        <v>857</v>
      </c>
      <c r="P171" s="50">
        <v>600000</v>
      </c>
      <c r="Q171" s="50">
        <v>1</v>
      </c>
      <c r="R171" s="50">
        <v>600000</v>
      </c>
      <c r="S171" s="74">
        <v>46084</v>
      </c>
      <c r="T171" s="48" t="s">
        <v>621</v>
      </c>
      <c r="U171" s="48" t="s">
        <v>710</v>
      </c>
      <c r="V171" s="48" t="s">
        <v>857</v>
      </c>
      <c r="W171" s="48"/>
    </row>
    <row r="172" spans="1:23" ht="15.75" x14ac:dyDescent="0.25">
      <c r="A172" s="48" t="s">
        <v>3169</v>
      </c>
      <c r="B172" s="49">
        <v>46079</v>
      </c>
      <c r="C172" s="48" t="s">
        <v>924</v>
      </c>
      <c r="D172" s="48" t="s">
        <v>1184</v>
      </c>
      <c r="E172" s="48" t="s">
        <v>856</v>
      </c>
      <c r="F172" s="48" t="s">
        <v>21</v>
      </c>
      <c r="G172" s="48" t="s">
        <v>22</v>
      </c>
      <c r="H172" s="48" t="s">
        <v>27</v>
      </c>
      <c r="I172" s="48" t="s">
        <v>2622</v>
      </c>
      <c r="J172" s="48" t="s">
        <v>72</v>
      </c>
      <c r="K172" s="48" t="s">
        <v>90</v>
      </c>
      <c r="L172" s="48" t="s">
        <v>1141</v>
      </c>
      <c r="M172" s="48" t="s">
        <v>67</v>
      </c>
      <c r="N172" s="48" t="s">
        <v>20</v>
      </c>
      <c r="O172" s="48" t="s">
        <v>857</v>
      </c>
      <c r="P172" s="50">
        <v>851000</v>
      </c>
      <c r="Q172" s="50">
        <v>4.4394999999999998</v>
      </c>
      <c r="R172" s="50">
        <v>3778014.5</v>
      </c>
      <c r="S172" s="74">
        <v>46083</v>
      </c>
      <c r="T172" s="48" t="s">
        <v>3627</v>
      </c>
      <c r="U172" s="48" t="s">
        <v>90</v>
      </c>
      <c r="V172" s="48" t="s">
        <v>857</v>
      </c>
      <c r="W172" s="48"/>
    </row>
    <row r="173" spans="1:23" ht="15.75" x14ac:dyDescent="0.25">
      <c r="A173" s="48" t="s">
        <v>1524</v>
      </c>
      <c r="B173" s="49">
        <v>46058</v>
      </c>
      <c r="C173" s="48" t="s">
        <v>916</v>
      </c>
      <c r="D173" s="48" t="s">
        <v>441</v>
      </c>
      <c r="E173" s="48" t="s">
        <v>858</v>
      </c>
      <c r="F173" s="48" t="s">
        <v>21</v>
      </c>
      <c r="G173" s="48" t="s">
        <v>22</v>
      </c>
      <c r="H173" s="48" t="s">
        <v>27</v>
      </c>
      <c r="I173" s="48" t="s">
        <v>1463</v>
      </c>
      <c r="J173" s="48" t="s">
        <v>24</v>
      </c>
      <c r="K173" s="48" t="s">
        <v>407</v>
      </c>
      <c r="L173" s="48" t="s">
        <v>1131</v>
      </c>
      <c r="M173" s="48" t="s">
        <v>26</v>
      </c>
      <c r="N173" s="48" t="s">
        <v>20</v>
      </c>
      <c r="O173" s="48" t="s">
        <v>857</v>
      </c>
      <c r="P173" s="50">
        <v>204357</v>
      </c>
      <c r="Q173" s="50">
        <v>1</v>
      </c>
      <c r="R173" s="50">
        <v>204357</v>
      </c>
      <c r="S173" s="74">
        <v>46082</v>
      </c>
      <c r="T173" s="48" t="s">
        <v>621</v>
      </c>
      <c r="U173" s="48" t="s">
        <v>407</v>
      </c>
      <c r="V173" s="48" t="s">
        <v>857</v>
      </c>
      <c r="W173" s="48" t="s">
        <v>4114</v>
      </c>
    </row>
    <row r="174" spans="1:23" ht="15.75" x14ac:dyDescent="0.25">
      <c r="A174" s="48" t="s">
        <v>2237</v>
      </c>
      <c r="B174" s="49">
        <v>46014</v>
      </c>
      <c r="C174" s="48" t="s">
        <v>916</v>
      </c>
      <c r="D174" s="48" t="s">
        <v>441</v>
      </c>
      <c r="E174" s="48" t="s">
        <v>856</v>
      </c>
      <c r="F174" s="48" t="s">
        <v>366</v>
      </c>
      <c r="G174" s="48" t="s">
        <v>710</v>
      </c>
      <c r="H174" s="48" t="s">
        <v>27</v>
      </c>
      <c r="I174" s="48" t="s">
        <v>1845</v>
      </c>
      <c r="J174" s="48" t="s">
        <v>24</v>
      </c>
      <c r="K174" s="48" t="s">
        <v>710</v>
      </c>
      <c r="L174" s="48" t="s">
        <v>1209</v>
      </c>
      <c r="M174" s="48" t="s">
        <v>26</v>
      </c>
      <c r="N174" s="48" t="s">
        <v>20</v>
      </c>
      <c r="O174" s="48" t="s">
        <v>857</v>
      </c>
      <c r="P174" s="50">
        <v>336122.53</v>
      </c>
      <c r="Q174" s="50">
        <v>1</v>
      </c>
      <c r="R174" s="50">
        <v>336122.53</v>
      </c>
      <c r="S174" s="74">
        <v>46082</v>
      </c>
      <c r="T174" s="48" t="s">
        <v>621</v>
      </c>
      <c r="U174" s="48" t="s">
        <v>710</v>
      </c>
      <c r="V174" s="48" t="s">
        <v>857</v>
      </c>
      <c r="W174" s="48"/>
    </row>
    <row r="175" spans="1:23" ht="15.75" x14ac:dyDescent="0.25">
      <c r="A175" s="48" t="s">
        <v>2394</v>
      </c>
      <c r="B175" s="49">
        <v>46002</v>
      </c>
      <c r="C175" s="48" t="s">
        <v>916</v>
      </c>
      <c r="D175" s="48" t="s">
        <v>3566</v>
      </c>
      <c r="E175" s="48" t="s">
        <v>856</v>
      </c>
      <c r="F175" s="48" t="s">
        <v>612</v>
      </c>
      <c r="G175" s="48" t="s">
        <v>613</v>
      </c>
      <c r="H175" s="48" t="s">
        <v>27</v>
      </c>
      <c r="I175" s="48" t="s">
        <v>177</v>
      </c>
      <c r="J175" s="48" t="s">
        <v>24</v>
      </c>
      <c r="K175" s="48" t="s">
        <v>613</v>
      </c>
      <c r="L175" s="48" t="s">
        <v>1135</v>
      </c>
      <c r="M175" s="48" t="s">
        <v>26</v>
      </c>
      <c r="N175" s="48" t="s">
        <v>20</v>
      </c>
      <c r="O175" s="48" t="s">
        <v>378</v>
      </c>
      <c r="P175" s="50">
        <v>2000000.93</v>
      </c>
      <c r="Q175" s="50">
        <v>1</v>
      </c>
      <c r="R175" s="50">
        <v>2000000.93</v>
      </c>
      <c r="S175" s="74">
        <v>46079</v>
      </c>
      <c r="T175" s="48" t="s">
        <v>1904</v>
      </c>
      <c r="U175" s="48" t="s">
        <v>613</v>
      </c>
      <c r="V175" s="48" t="s">
        <v>857</v>
      </c>
      <c r="W175" s="48"/>
    </row>
    <row r="176" spans="1:23" ht="15.75" x14ac:dyDescent="0.25">
      <c r="A176" s="48" t="s">
        <v>3169</v>
      </c>
      <c r="B176" s="49">
        <v>46078</v>
      </c>
      <c r="C176" s="48" t="s">
        <v>918</v>
      </c>
      <c r="D176" s="48" t="s">
        <v>1184</v>
      </c>
      <c r="E176" s="48" t="s">
        <v>856</v>
      </c>
      <c r="F176" s="48" t="s">
        <v>21</v>
      </c>
      <c r="G176" s="48" t="s">
        <v>22</v>
      </c>
      <c r="H176" s="48" t="s">
        <v>27</v>
      </c>
      <c r="I176" s="48" t="s">
        <v>2622</v>
      </c>
      <c r="J176" s="48" t="s">
        <v>72</v>
      </c>
      <c r="K176" s="48" t="s">
        <v>90</v>
      </c>
      <c r="L176" s="48" t="s">
        <v>1141</v>
      </c>
      <c r="M176" s="48" t="s">
        <v>67</v>
      </c>
      <c r="N176" s="48" t="s">
        <v>20</v>
      </c>
      <c r="O176" s="48" t="s">
        <v>857</v>
      </c>
      <c r="P176" s="50">
        <v>975000</v>
      </c>
      <c r="Q176" s="50">
        <v>4.4595000000000002</v>
      </c>
      <c r="R176" s="50">
        <v>4348012.5</v>
      </c>
      <c r="S176" s="74">
        <v>46079</v>
      </c>
      <c r="T176" s="48" t="s">
        <v>3627</v>
      </c>
      <c r="U176" s="48" t="s">
        <v>90</v>
      </c>
      <c r="V176" s="48" t="s">
        <v>857</v>
      </c>
      <c r="W176" s="48"/>
    </row>
    <row r="177" spans="1:23" ht="15.75" x14ac:dyDescent="0.25">
      <c r="A177" s="48" t="s">
        <v>2395</v>
      </c>
      <c r="B177" s="49">
        <v>46028</v>
      </c>
      <c r="C177" s="48" t="s">
        <v>916</v>
      </c>
      <c r="D177" s="48" t="s">
        <v>3566</v>
      </c>
      <c r="E177" s="48" t="s">
        <v>858</v>
      </c>
      <c r="F177" s="48" t="s">
        <v>612</v>
      </c>
      <c r="G177" s="48" t="s">
        <v>613</v>
      </c>
      <c r="H177" s="48" t="s">
        <v>27</v>
      </c>
      <c r="I177" s="48" t="s">
        <v>809</v>
      </c>
      <c r="J177" s="48" t="s">
        <v>24</v>
      </c>
      <c r="K177" s="48" t="s">
        <v>613</v>
      </c>
      <c r="L177" s="48" t="s">
        <v>1135</v>
      </c>
      <c r="M177" s="48" t="s">
        <v>26</v>
      </c>
      <c r="N177" s="48" t="s">
        <v>20</v>
      </c>
      <c r="O177" s="48" t="s">
        <v>378</v>
      </c>
      <c r="P177" s="50">
        <v>282279.51</v>
      </c>
      <c r="Q177" s="50">
        <v>1</v>
      </c>
      <c r="R177" s="50">
        <v>282279.51</v>
      </c>
      <c r="S177" s="74">
        <v>46078</v>
      </c>
      <c r="T177" s="48" t="s">
        <v>1904</v>
      </c>
      <c r="U177" s="48" t="s">
        <v>613</v>
      </c>
      <c r="V177" s="48" t="s">
        <v>857</v>
      </c>
      <c r="W177" s="48"/>
    </row>
    <row r="178" spans="1:23" ht="15.75" x14ac:dyDescent="0.25">
      <c r="A178" s="48" t="s">
        <v>1810</v>
      </c>
      <c r="B178" s="49">
        <v>46048</v>
      </c>
      <c r="C178" s="48" t="s">
        <v>928</v>
      </c>
      <c r="D178" s="48" t="s">
        <v>3566</v>
      </c>
      <c r="E178" s="48" t="s">
        <v>856</v>
      </c>
      <c r="F178" s="48" t="s">
        <v>612</v>
      </c>
      <c r="G178" s="48" t="s">
        <v>613</v>
      </c>
      <c r="H178" s="48" t="s">
        <v>27</v>
      </c>
      <c r="I178" s="48" t="s">
        <v>1549</v>
      </c>
      <c r="J178" s="48" t="s">
        <v>72</v>
      </c>
      <c r="K178" s="48" t="s">
        <v>613</v>
      </c>
      <c r="L178" s="48" t="s">
        <v>1135</v>
      </c>
      <c r="M178" s="48" t="s">
        <v>26</v>
      </c>
      <c r="N178" s="48" t="s">
        <v>20</v>
      </c>
      <c r="O178" s="48" t="s">
        <v>378</v>
      </c>
      <c r="P178" s="50">
        <v>519801.15</v>
      </c>
      <c r="Q178" s="50">
        <v>1</v>
      </c>
      <c r="R178" s="50">
        <v>519801.15</v>
      </c>
      <c r="S178" s="74">
        <v>46076</v>
      </c>
      <c r="T178" s="48" t="s">
        <v>425</v>
      </c>
      <c r="U178" s="48" t="s">
        <v>613</v>
      </c>
      <c r="V178" s="48" t="s">
        <v>857</v>
      </c>
      <c r="W178" s="48"/>
    </row>
    <row r="179" spans="1:23" ht="15.75" x14ac:dyDescent="0.25">
      <c r="A179" s="48" t="s">
        <v>1670</v>
      </c>
      <c r="B179" s="49">
        <v>45998</v>
      </c>
      <c r="C179" s="48" t="s">
        <v>918</v>
      </c>
      <c r="D179" s="48" t="s">
        <v>1119</v>
      </c>
      <c r="E179" s="48" t="s">
        <v>858</v>
      </c>
      <c r="F179" s="48" t="s">
        <v>366</v>
      </c>
      <c r="G179" s="48" t="s">
        <v>367</v>
      </c>
      <c r="H179" s="48" t="s">
        <v>27</v>
      </c>
      <c r="I179" s="48" t="s">
        <v>1627</v>
      </c>
      <c r="J179" s="48" t="s">
        <v>24</v>
      </c>
      <c r="K179" s="48" t="s">
        <v>367</v>
      </c>
      <c r="L179" s="48" t="s">
        <v>1136</v>
      </c>
      <c r="M179" s="48" t="s">
        <v>26</v>
      </c>
      <c r="N179" s="48" t="s">
        <v>20</v>
      </c>
      <c r="O179" s="48" t="s">
        <v>857</v>
      </c>
      <c r="P179" s="50">
        <v>226041.29</v>
      </c>
      <c r="Q179" s="50">
        <v>1</v>
      </c>
      <c r="R179" s="50">
        <v>226041.29</v>
      </c>
      <c r="S179" s="74">
        <v>46076</v>
      </c>
      <c r="T179" s="48" t="s">
        <v>1624</v>
      </c>
      <c r="U179" s="48" t="s">
        <v>367</v>
      </c>
      <c r="V179" s="48" t="s">
        <v>857</v>
      </c>
      <c r="W179" s="48"/>
    </row>
    <row r="180" spans="1:23" ht="15.75" x14ac:dyDescent="0.25">
      <c r="A180" s="48" t="s">
        <v>1872</v>
      </c>
      <c r="B180" s="49">
        <v>46023</v>
      </c>
      <c r="C180" s="48" t="s">
        <v>918</v>
      </c>
      <c r="D180" s="48" t="s">
        <v>441</v>
      </c>
      <c r="E180" s="48" t="s">
        <v>858</v>
      </c>
      <c r="F180" s="48" t="s">
        <v>366</v>
      </c>
      <c r="G180" s="48" t="s">
        <v>710</v>
      </c>
      <c r="H180" s="48" t="s">
        <v>27</v>
      </c>
      <c r="I180" s="48" t="s">
        <v>1839</v>
      </c>
      <c r="J180" s="48" t="s">
        <v>24</v>
      </c>
      <c r="K180" s="48" t="s">
        <v>710</v>
      </c>
      <c r="L180" s="48" t="s">
        <v>1209</v>
      </c>
      <c r="M180" s="48" t="s">
        <v>26</v>
      </c>
      <c r="N180" s="48" t="s">
        <v>20</v>
      </c>
      <c r="O180" s="48" t="s">
        <v>857</v>
      </c>
      <c r="P180" s="50">
        <v>293625.94</v>
      </c>
      <c r="Q180" s="50">
        <v>1</v>
      </c>
      <c r="R180" s="50">
        <v>293625.94</v>
      </c>
      <c r="S180" s="74">
        <v>46076</v>
      </c>
      <c r="T180" s="48" t="s">
        <v>621</v>
      </c>
      <c r="U180" s="48" t="s">
        <v>710</v>
      </c>
      <c r="V180" s="48" t="s">
        <v>857</v>
      </c>
      <c r="W180" s="48"/>
    </row>
    <row r="181" spans="1:23" ht="15.75" x14ac:dyDescent="0.25">
      <c r="A181" s="48" t="s">
        <v>1662</v>
      </c>
      <c r="B181" s="49">
        <v>46000</v>
      </c>
      <c r="C181" s="48" t="s">
        <v>928</v>
      </c>
      <c r="D181" s="48" t="s">
        <v>1119</v>
      </c>
      <c r="E181" s="48" t="s">
        <v>858</v>
      </c>
      <c r="F181" s="48" t="s">
        <v>366</v>
      </c>
      <c r="G181" s="48" t="s">
        <v>367</v>
      </c>
      <c r="H181" s="48" t="s">
        <v>27</v>
      </c>
      <c r="I181" s="48" t="s">
        <v>1630</v>
      </c>
      <c r="J181" s="48" t="s">
        <v>24</v>
      </c>
      <c r="K181" s="48" t="s">
        <v>367</v>
      </c>
      <c r="L181" s="48" t="s">
        <v>1136</v>
      </c>
      <c r="M181" s="48" t="s">
        <v>26</v>
      </c>
      <c r="N181" s="48" t="s">
        <v>20</v>
      </c>
      <c r="O181" s="48" t="s">
        <v>378</v>
      </c>
      <c r="P181" s="50">
        <v>328383.40000000002</v>
      </c>
      <c r="Q181" s="50">
        <v>1</v>
      </c>
      <c r="R181" s="50">
        <v>328383.40000000002</v>
      </c>
      <c r="S181" s="74">
        <v>46076</v>
      </c>
      <c r="T181" s="48" t="s">
        <v>1624</v>
      </c>
      <c r="U181" s="48" t="s">
        <v>367</v>
      </c>
      <c r="V181" s="48" t="s">
        <v>857</v>
      </c>
      <c r="W181" s="48"/>
    </row>
    <row r="182" spans="1:23" ht="15.75" x14ac:dyDescent="0.25">
      <c r="A182" s="48" t="s">
        <v>1606</v>
      </c>
      <c r="B182" s="49">
        <v>45993</v>
      </c>
      <c r="C182" s="48" t="s">
        <v>916</v>
      </c>
      <c r="D182" s="48" t="s">
        <v>441</v>
      </c>
      <c r="E182" s="48" t="s">
        <v>858</v>
      </c>
      <c r="F182" s="48" t="s">
        <v>366</v>
      </c>
      <c r="G182" s="48" t="s">
        <v>710</v>
      </c>
      <c r="H182" s="48" t="s">
        <v>27</v>
      </c>
      <c r="I182" s="48" t="s">
        <v>1575</v>
      </c>
      <c r="J182" s="48" t="s">
        <v>24</v>
      </c>
      <c r="K182" s="48" t="s">
        <v>710</v>
      </c>
      <c r="L182" s="48" t="s">
        <v>1209</v>
      </c>
      <c r="M182" s="48" t="s">
        <v>26</v>
      </c>
      <c r="N182" s="48" t="s">
        <v>20</v>
      </c>
      <c r="O182" s="48" t="s">
        <v>378</v>
      </c>
      <c r="P182" s="50">
        <v>250000</v>
      </c>
      <c r="Q182" s="50">
        <v>1</v>
      </c>
      <c r="R182" s="50">
        <v>250000</v>
      </c>
      <c r="S182" s="74">
        <v>46072</v>
      </c>
      <c r="T182" s="48" t="s">
        <v>621</v>
      </c>
      <c r="U182" s="48" t="s">
        <v>613</v>
      </c>
      <c r="V182" s="48" t="s">
        <v>378</v>
      </c>
      <c r="W182" s="48"/>
    </row>
    <row r="183" spans="1:23" ht="15.75" x14ac:dyDescent="0.25">
      <c r="A183" s="48" t="s">
        <v>1446</v>
      </c>
      <c r="B183" s="49">
        <v>46061</v>
      </c>
      <c r="C183" s="48" t="s">
        <v>929</v>
      </c>
      <c r="D183" s="48" t="s">
        <v>509</v>
      </c>
      <c r="E183" s="48" t="s">
        <v>858</v>
      </c>
      <c r="F183" s="48" t="s">
        <v>95</v>
      </c>
      <c r="G183" s="48" t="s">
        <v>96</v>
      </c>
      <c r="H183" s="48" t="s">
        <v>27</v>
      </c>
      <c r="I183" s="48" t="s">
        <v>1337</v>
      </c>
      <c r="J183" s="48" t="s">
        <v>72</v>
      </c>
      <c r="K183" s="48" t="s">
        <v>511</v>
      </c>
      <c r="L183" s="48" t="s">
        <v>1236</v>
      </c>
      <c r="M183" s="48" t="s">
        <v>26</v>
      </c>
      <c r="N183" s="48" t="s">
        <v>20</v>
      </c>
      <c r="O183" s="48" t="s">
        <v>378</v>
      </c>
      <c r="P183" s="50">
        <v>971037</v>
      </c>
      <c r="Q183" s="50">
        <v>1</v>
      </c>
      <c r="R183" s="50">
        <v>971037</v>
      </c>
      <c r="S183" s="74">
        <v>46071</v>
      </c>
      <c r="T183" s="48" t="s">
        <v>1338</v>
      </c>
      <c r="U183" s="48" t="s">
        <v>511</v>
      </c>
      <c r="V183" s="48" t="s">
        <v>857</v>
      </c>
      <c r="W183" s="48"/>
    </row>
    <row r="184" spans="1:23" ht="15.75" x14ac:dyDescent="0.25">
      <c r="A184" s="48" t="s">
        <v>1855</v>
      </c>
      <c r="B184" s="49">
        <v>45982</v>
      </c>
      <c r="C184" s="48" t="s">
        <v>916</v>
      </c>
      <c r="D184" s="48" t="s">
        <v>1537</v>
      </c>
      <c r="E184" s="48" t="s">
        <v>856</v>
      </c>
      <c r="F184" s="48" t="s">
        <v>62</v>
      </c>
      <c r="G184" s="48" t="s">
        <v>70</v>
      </c>
      <c r="H184" s="48" t="s">
        <v>70</v>
      </c>
      <c r="I184" s="48" t="s">
        <v>526</v>
      </c>
      <c r="J184" s="48" t="s">
        <v>24</v>
      </c>
      <c r="K184" s="48" t="s">
        <v>483</v>
      </c>
      <c r="L184" s="48" t="s">
        <v>1646</v>
      </c>
      <c r="M184" s="48" t="s">
        <v>26</v>
      </c>
      <c r="N184" s="48" t="s">
        <v>20</v>
      </c>
      <c r="O184" s="48" t="s">
        <v>857</v>
      </c>
      <c r="P184" s="50">
        <v>300000</v>
      </c>
      <c r="Q184" s="50">
        <v>1</v>
      </c>
      <c r="R184" s="50">
        <v>300000</v>
      </c>
      <c r="S184" s="74">
        <v>46070</v>
      </c>
      <c r="T184" s="48" t="s">
        <v>621</v>
      </c>
      <c r="U184" s="48" t="s">
        <v>70</v>
      </c>
      <c r="V184" s="48" t="s">
        <v>857</v>
      </c>
      <c r="W184" s="48"/>
    </row>
    <row r="185" spans="1:23" ht="15.75" x14ac:dyDescent="0.25">
      <c r="A185" s="48" t="s">
        <v>306</v>
      </c>
      <c r="B185" s="49">
        <v>46062</v>
      </c>
      <c r="C185" s="48" t="s">
        <v>4101</v>
      </c>
      <c r="D185" s="48" t="s">
        <v>1118</v>
      </c>
      <c r="E185" s="48" t="s">
        <v>858</v>
      </c>
      <c r="F185" s="48" t="s">
        <v>62</v>
      </c>
      <c r="G185" s="48" t="s">
        <v>70</v>
      </c>
      <c r="H185" s="48" t="s">
        <v>70</v>
      </c>
      <c r="I185" s="48" t="s">
        <v>307</v>
      </c>
      <c r="J185" s="48" t="s">
        <v>72</v>
      </c>
      <c r="K185" s="48" t="s">
        <v>213</v>
      </c>
      <c r="L185" s="48" t="s">
        <v>1134</v>
      </c>
      <c r="M185" s="48" t="s">
        <v>67</v>
      </c>
      <c r="N185" s="48" t="s">
        <v>20</v>
      </c>
      <c r="O185" s="48" t="s">
        <v>857</v>
      </c>
      <c r="P185" s="50">
        <v>18210.38</v>
      </c>
      <c r="Q185" s="50">
        <v>4.5700921750359704</v>
      </c>
      <c r="R185" s="50">
        <v>83223.115142431547</v>
      </c>
      <c r="S185" s="74">
        <v>46070</v>
      </c>
      <c r="T185" s="48" t="s">
        <v>308</v>
      </c>
      <c r="U185" s="48" t="s">
        <v>213</v>
      </c>
      <c r="V185" s="48" t="s">
        <v>857</v>
      </c>
      <c r="W185" s="48"/>
    </row>
    <row r="186" spans="1:23" ht="15.75" x14ac:dyDescent="0.25">
      <c r="A186" s="48" t="s">
        <v>723</v>
      </c>
      <c r="B186" s="49">
        <v>46028</v>
      </c>
      <c r="C186" s="48" t="s">
        <v>918</v>
      </c>
      <c r="D186" s="48" t="s">
        <v>441</v>
      </c>
      <c r="E186" s="48" t="s">
        <v>858</v>
      </c>
      <c r="F186" s="48" t="s">
        <v>612</v>
      </c>
      <c r="G186" s="48" t="s">
        <v>613</v>
      </c>
      <c r="H186" s="48" t="s">
        <v>27</v>
      </c>
      <c r="I186" s="48" t="s">
        <v>724</v>
      </c>
      <c r="J186" s="48" t="s">
        <v>24</v>
      </c>
      <c r="K186" s="48" t="s">
        <v>613</v>
      </c>
      <c r="L186" s="48" t="s">
        <v>1135</v>
      </c>
      <c r="M186" s="48" t="s">
        <v>26</v>
      </c>
      <c r="N186" s="48" t="s">
        <v>20</v>
      </c>
      <c r="O186" s="48" t="s">
        <v>378</v>
      </c>
      <c r="P186" s="50">
        <v>251134</v>
      </c>
      <c r="Q186" s="50">
        <v>1</v>
      </c>
      <c r="R186" s="50">
        <v>251134</v>
      </c>
      <c r="S186" s="74">
        <v>46069</v>
      </c>
      <c r="T186" s="48" t="s">
        <v>311</v>
      </c>
      <c r="U186" s="48" t="s">
        <v>613</v>
      </c>
      <c r="V186" s="48" t="s">
        <v>857</v>
      </c>
      <c r="W186" s="48"/>
    </row>
    <row r="187" spans="1:23" ht="15.75" x14ac:dyDescent="0.25">
      <c r="A187" s="48" t="s">
        <v>1674</v>
      </c>
      <c r="B187" s="49">
        <v>45965</v>
      </c>
      <c r="C187" s="48" t="s">
        <v>918</v>
      </c>
      <c r="D187" s="48" t="s">
        <v>1119</v>
      </c>
      <c r="E187" s="48" t="s">
        <v>858</v>
      </c>
      <c r="F187" s="48" t="s">
        <v>366</v>
      </c>
      <c r="G187" s="48" t="s">
        <v>367</v>
      </c>
      <c r="H187" s="48" t="s">
        <v>27</v>
      </c>
      <c r="I187" s="48" t="s">
        <v>1653</v>
      </c>
      <c r="J187" s="48" t="s">
        <v>24</v>
      </c>
      <c r="K187" s="48" t="s">
        <v>367</v>
      </c>
      <c r="L187" s="48" t="s">
        <v>1136</v>
      </c>
      <c r="M187" s="48" t="s">
        <v>26</v>
      </c>
      <c r="N187" s="48" t="s">
        <v>20</v>
      </c>
      <c r="O187" s="48" t="s">
        <v>857</v>
      </c>
      <c r="P187" s="50">
        <v>148419.23000000001</v>
      </c>
      <c r="Q187" s="50">
        <v>1</v>
      </c>
      <c r="R187" s="50">
        <v>148419.23000000001</v>
      </c>
      <c r="S187" s="74">
        <v>46069</v>
      </c>
      <c r="T187" s="48" t="s">
        <v>1629</v>
      </c>
      <c r="U187" s="48" t="s">
        <v>367</v>
      </c>
      <c r="V187" s="48" t="s">
        <v>857</v>
      </c>
      <c r="W187" s="48"/>
    </row>
    <row r="188" spans="1:23" ht="15.75" x14ac:dyDescent="0.25">
      <c r="A188" s="48" t="s">
        <v>1862</v>
      </c>
      <c r="B188" s="49">
        <v>45991</v>
      </c>
      <c r="C188" s="48" t="s">
        <v>916</v>
      </c>
      <c r="D188" s="48" t="s">
        <v>1537</v>
      </c>
      <c r="E188" s="48" t="s">
        <v>858</v>
      </c>
      <c r="F188" s="48" t="s">
        <v>62</v>
      </c>
      <c r="G188" s="48" t="s">
        <v>70</v>
      </c>
      <c r="H188" s="48" t="s">
        <v>70</v>
      </c>
      <c r="I188" s="48" t="s">
        <v>1790</v>
      </c>
      <c r="J188" s="48" t="s">
        <v>24</v>
      </c>
      <c r="K188" s="48" t="s">
        <v>483</v>
      </c>
      <c r="L188" s="48" t="s">
        <v>1646</v>
      </c>
      <c r="M188" s="48" t="s">
        <v>26</v>
      </c>
      <c r="N188" s="48" t="s">
        <v>20</v>
      </c>
      <c r="O188" s="48" t="s">
        <v>857</v>
      </c>
      <c r="P188" s="50">
        <v>250000</v>
      </c>
      <c r="Q188" s="50">
        <v>1</v>
      </c>
      <c r="R188" s="50">
        <v>250000</v>
      </c>
      <c r="S188" s="74">
        <v>46069</v>
      </c>
      <c r="T188" s="48" t="s">
        <v>621</v>
      </c>
      <c r="U188" s="48" t="s">
        <v>70</v>
      </c>
      <c r="V188" s="48" t="s">
        <v>857</v>
      </c>
      <c r="W188" s="48"/>
    </row>
    <row r="189" spans="1:23" ht="15.75" x14ac:dyDescent="0.25">
      <c r="A189" s="48" t="s">
        <v>1857</v>
      </c>
      <c r="B189" s="49">
        <v>45957</v>
      </c>
      <c r="C189" s="48" t="s">
        <v>916</v>
      </c>
      <c r="D189" s="48" t="s">
        <v>1119</v>
      </c>
      <c r="E189" s="48" t="s">
        <v>856</v>
      </c>
      <c r="F189" s="48" t="s">
        <v>366</v>
      </c>
      <c r="G189" s="48" t="s">
        <v>367</v>
      </c>
      <c r="H189" s="48" t="s">
        <v>27</v>
      </c>
      <c r="I189" s="48" t="s">
        <v>1841</v>
      </c>
      <c r="J189" s="48" t="s">
        <v>24</v>
      </c>
      <c r="K189" s="48" t="s">
        <v>367</v>
      </c>
      <c r="L189" s="48" t="s">
        <v>1136</v>
      </c>
      <c r="M189" s="48" t="s">
        <v>26</v>
      </c>
      <c r="N189" s="48" t="s">
        <v>20</v>
      </c>
      <c r="O189" s="48" t="s">
        <v>857</v>
      </c>
      <c r="P189" s="50">
        <v>2000000</v>
      </c>
      <c r="Q189" s="50">
        <v>1</v>
      </c>
      <c r="R189" s="50">
        <v>2000000</v>
      </c>
      <c r="S189" s="74">
        <v>46069</v>
      </c>
      <c r="T189" s="48" t="s">
        <v>1629</v>
      </c>
      <c r="U189" s="48" t="s">
        <v>367</v>
      </c>
      <c r="V189" s="48" t="s">
        <v>857</v>
      </c>
      <c r="W189" s="48"/>
    </row>
    <row r="190" spans="1:23" ht="15.75" x14ac:dyDescent="0.25">
      <c r="A190" s="48" t="s">
        <v>2236</v>
      </c>
      <c r="B190" s="49">
        <v>46000</v>
      </c>
      <c r="C190" s="48" t="s">
        <v>916</v>
      </c>
      <c r="D190" s="48" t="s">
        <v>441</v>
      </c>
      <c r="E190" s="48" t="s">
        <v>858</v>
      </c>
      <c r="F190" s="48" t="s">
        <v>366</v>
      </c>
      <c r="G190" s="48" t="s">
        <v>710</v>
      </c>
      <c r="H190" s="48" t="s">
        <v>27</v>
      </c>
      <c r="I190" s="48" t="s">
        <v>1842</v>
      </c>
      <c r="J190" s="48" t="s">
        <v>24</v>
      </c>
      <c r="K190" s="48" t="s">
        <v>710</v>
      </c>
      <c r="L190" s="48" t="s">
        <v>1209</v>
      </c>
      <c r="M190" s="48" t="s">
        <v>26</v>
      </c>
      <c r="N190" s="48" t="s">
        <v>20</v>
      </c>
      <c r="O190" s="48" t="s">
        <v>378</v>
      </c>
      <c r="P190" s="50">
        <v>47630.53</v>
      </c>
      <c r="Q190" s="50">
        <v>1</v>
      </c>
      <c r="R190" s="50">
        <v>47630.53</v>
      </c>
      <c r="S190" s="74">
        <v>46068</v>
      </c>
      <c r="T190" s="48" t="s">
        <v>621</v>
      </c>
      <c r="U190" s="48" t="s">
        <v>613</v>
      </c>
      <c r="V190" s="48" t="s">
        <v>378</v>
      </c>
      <c r="W190" s="48"/>
    </row>
    <row r="191" spans="1:23" ht="15.75" x14ac:dyDescent="0.25">
      <c r="A191" s="48" t="s">
        <v>1443</v>
      </c>
      <c r="B191" s="49">
        <v>45963</v>
      </c>
      <c r="C191" s="48" t="s">
        <v>918</v>
      </c>
      <c r="D191" s="48" t="s">
        <v>441</v>
      </c>
      <c r="E191" s="48" t="s">
        <v>856</v>
      </c>
      <c r="F191" s="48" t="s">
        <v>366</v>
      </c>
      <c r="G191" s="48" t="s">
        <v>710</v>
      </c>
      <c r="H191" s="48" t="s">
        <v>27</v>
      </c>
      <c r="I191" s="48" t="s">
        <v>449</v>
      </c>
      <c r="J191" s="48" t="s">
        <v>24</v>
      </c>
      <c r="K191" s="48" t="s">
        <v>710</v>
      </c>
      <c r="L191" s="48" t="s">
        <v>1209</v>
      </c>
      <c r="M191" s="48" t="s">
        <v>26</v>
      </c>
      <c r="N191" s="48" t="s">
        <v>20</v>
      </c>
      <c r="O191" s="48" t="s">
        <v>857</v>
      </c>
      <c r="P191" s="50">
        <v>109036.65</v>
      </c>
      <c r="Q191" s="50">
        <v>1</v>
      </c>
      <c r="R191" s="50">
        <v>109036.65</v>
      </c>
      <c r="S191" s="74">
        <v>46068</v>
      </c>
      <c r="T191" s="48" t="s">
        <v>621</v>
      </c>
      <c r="U191" s="48" t="s">
        <v>613</v>
      </c>
      <c r="V191" s="48" t="s">
        <v>378</v>
      </c>
      <c r="W191" s="48"/>
    </row>
    <row r="192" spans="1:23" ht="15.75" x14ac:dyDescent="0.25">
      <c r="A192" s="48" t="s">
        <v>2236</v>
      </c>
      <c r="B192" s="49">
        <v>46016</v>
      </c>
      <c r="C192" s="48" t="s">
        <v>918</v>
      </c>
      <c r="D192" s="48" t="s">
        <v>441</v>
      </c>
      <c r="E192" s="48" t="s">
        <v>858</v>
      </c>
      <c r="F192" s="48" t="s">
        <v>366</v>
      </c>
      <c r="G192" s="48" t="s">
        <v>710</v>
      </c>
      <c r="H192" s="48" t="s">
        <v>27</v>
      </c>
      <c r="I192" s="48" t="s">
        <v>1842</v>
      </c>
      <c r="J192" s="48" t="s">
        <v>24</v>
      </c>
      <c r="K192" s="48" t="s">
        <v>710</v>
      </c>
      <c r="L192" s="48" t="s">
        <v>1209</v>
      </c>
      <c r="M192" s="48" t="s">
        <v>26</v>
      </c>
      <c r="N192" s="48" t="s">
        <v>20</v>
      </c>
      <c r="O192" s="48" t="s">
        <v>857</v>
      </c>
      <c r="P192" s="50">
        <v>253336.46</v>
      </c>
      <c r="Q192" s="50">
        <v>1</v>
      </c>
      <c r="R192" s="50">
        <v>253336.46</v>
      </c>
      <c r="S192" s="74">
        <v>46068</v>
      </c>
      <c r="T192" s="48" t="s">
        <v>621</v>
      </c>
      <c r="U192" s="48" t="s">
        <v>613</v>
      </c>
      <c r="V192" s="48" t="s">
        <v>378</v>
      </c>
      <c r="W192" s="48"/>
    </row>
    <row r="193" spans="1:23" ht="15.75" x14ac:dyDescent="0.25">
      <c r="A193" s="48" t="s">
        <v>2287</v>
      </c>
      <c r="B193" s="49">
        <v>46047</v>
      </c>
      <c r="C193" s="48" t="s">
        <v>918</v>
      </c>
      <c r="D193" s="48" t="s">
        <v>3566</v>
      </c>
      <c r="E193" s="48" t="s">
        <v>856</v>
      </c>
      <c r="F193" s="48" t="s">
        <v>612</v>
      </c>
      <c r="G193" s="48" t="s">
        <v>613</v>
      </c>
      <c r="H193" s="48" t="s">
        <v>27</v>
      </c>
      <c r="I193" s="48" t="s">
        <v>1938</v>
      </c>
      <c r="J193" s="48" t="s">
        <v>72</v>
      </c>
      <c r="K193" s="48" t="s">
        <v>613</v>
      </c>
      <c r="L193" s="48" t="s">
        <v>1135</v>
      </c>
      <c r="M193" s="48" t="s">
        <v>26</v>
      </c>
      <c r="N193" s="48" t="s">
        <v>20</v>
      </c>
      <c r="O193" s="48" t="s">
        <v>378</v>
      </c>
      <c r="P193" s="50">
        <v>1575293.5</v>
      </c>
      <c r="Q193" s="50">
        <v>1</v>
      </c>
      <c r="R193" s="50">
        <v>1575293.5</v>
      </c>
      <c r="S193" s="74">
        <v>46065</v>
      </c>
      <c r="T193" s="48" t="s">
        <v>2790</v>
      </c>
      <c r="U193" s="48" t="s">
        <v>613</v>
      </c>
      <c r="V193" s="48" t="s">
        <v>857</v>
      </c>
      <c r="W193" s="48"/>
    </row>
    <row r="194" spans="1:23" ht="15.75" x14ac:dyDescent="0.25">
      <c r="A194" s="48" t="s">
        <v>1659</v>
      </c>
      <c r="B194" s="49">
        <v>45982</v>
      </c>
      <c r="C194" s="48" t="s">
        <v>916</v>
      </c>
      <c r="D194" s="48" t="s">
        <v>441</v>
      </c>
      <c r="E194" s="48" t="s">
        <v>858</v>
      </c>
      <c r="F194" s="48" t="s">
        <v>21</v>
      </c>
      <c r="G194" s="48" t="s">
        <v>22</v>
      </c>
      <c r="H194" s="48" t="s">
        <v>27</v>
      </c>
      <c r="I194" s="48" t="s">
        <v>115</v>
      </c>
      <c r="J194" s="48" t="s">
        <v>24</v>
      </c>
      <c r="K194" s="48" t="s">
        <v>22</v>
      </c>
      <c r="L194" s="48" t="s">
        <v>1132</v>
      </c>
      <c r="M194" s="48" t="s">
        <v>26</v>
      </c>
      <c r="N194" s="48" t="s">
        <v>20</v>
      </c>
      <c r="O194" s="48" t="s">
        <v>857</v>
      </c>
      <c r="P194" s="50">
        <v>250000</v>
      </c>
      <c r="Q194" s="50">
        <v>1</v>
      </c>
      <c r="R194" s="50">
        <v>250000</v>
      </c>
      <c r="S194" s="74">
        <v>46064</v>
      </c>
      <c r="T194" s="48" t="s">
        <v>621</v>
      </c>
      <c r="U194" s="48" t="s">
        <v>613</v>
      </c>
      <c r="V194" s="48" t="s">
        <v>378</v>
      </c>
      <c r="W194" s="48"/>
    </row>
    <row r="195" spans="1:23" ht="15.75" x14ac:dyDescent="0.25">
      <c r="A195" s="48" t="s">
        <v>1897</v>
      </c>
      <c r="B195" s="49">
        <v>45967</v>
      </c>
      <c r="C195" s="48" t="s">
        <v>916</v>
      </c>
      <c r="D195" s="48" t="s">
        <v>441</v>
      </c>
      <c r="E195" s="48" t="s">
        <v>856</v>
      </c>
      <c r="F195" s="48" t="s">
        <v>366</v>
      </c>
      <c r="G195" s="48" t="s">
        <v>710</v>
      </c>
      <c r="H195" s="48" t="s">
        <v>27</v>
      </c>
      <c r="I195" s="48" t="s">
        <v>1840</v>
      </c>
      <c r="J195" s="48" t="s">
        <v>24</v>
      </c>
      <c r="K195" s="48" t="s">
        <v>710</v>
      </c>
      <c r="L195" s="48" t="s">
        <v>1209</v>
      </c>
      <c r="M195" s="48" t="s">
        <v>26</v>
      </c>
      <c r="N195" s="48" t="s">
        <v>20</v>
      </c>
      <c r="O195" s="48" t="s">
        <v>857</v>
      </c>
      <c r="P195" s="50">
        <v>299950.92</v>
      </c>
      <c r="Q195" s="50">
        <v>1</v>
      </c>
      <c r="R195" s="50">
        <v>299950.92</v>
      </c>
      <c r="S195" s="74">
        <v>46064</v>
      </c>
      <c r="T195" s="48" t="s">
        <v>621</v>
      </c>
      <c r="U195" s="48" t="s">
        <v>613</v>
      </c>
      <c r="V195" s="48" t="s">
        <v>378</v>
      </c>
      <c r="W195" s="48"/>
    </row>
    <row r="196" spans="1:23" ht="15.75" x14ac:dyDescent="0.25">
      <c r="A196" s="48" t="s">
        <v>2562</v>
      </c>
      <c r="B196" s="49">
        <v>45982</v>
      </c>
      <c r="C196" s="48" t="s">
        <v>916</v>
      </c>
      <c r="D196" s="48" t="s">
        <v>2801</v>
      </c>
      <c r="E196" s="48" t="s">
        <v>858</v>
      </c>
      <c r="F196" s="48" t="s">
        <v>95</v>
      </c>
      <c r="G196" s="48" t="s">
        <v>96</v>
      </c>
      <c r="H196" s="48" t="s">
        <v>27</v>
      </c>
      <c r="I196" s="48" t="s">
        <v>2448</v>
      </c>
      <c r="J196" s="48" t="s">
        <v>3219</v>
      </c>
      <c r="K196" s="48" t="s">
        <v>328</v>
      </c>
      <c r="L196" s="48" t="s">
        <v>1142</v>
      </c>
      <c r="M196" s="48" t="s">
        <v>26</v>
      </c>
      <c r="N196" s="48" t="s">
        <v>20</v>
      </c>
      <c r="O196" s="48" t="s">
        <v>378</v>
      </c>
      <c r="P196" s="50">
        <v>11269136.109999999</v>
      </c>
      <c r="Q196" s="50">
        <v>1</v>
      </c>
      <c r="R196" s="50">
        <v>11269136.109999999</v>
      </c>
      <c r="S196" s="74">
        <v>46063</v>
      </c>
      <c r="T196" s="48" t="s">
        <v>311</v>
      </c>
      <c r="U196" s="48" t="s">
        <v>96</v>
      </c>
      <c r="V196" s="48" t="s">
        <v>857</v>
      </c>
      <c r="W196" s="48"/>
    </row>
    <row r="197" spans="1:23" ht="15.75" x14ac:dyDescent="0.25">
      <c r="A197" s="48" t="s">
        <v>1869</v>
      </c>
      <c r="B197" s="49">
        <v>46005</v>
      </c>
      <c r="C197" s="48" t="s">
        <v>916</v>
      </c>
      <c r="D197" s="48" t="s">
        <v>441</v>
      </c>
      <c r="E197" s="48" t="s">
        <v>858</v>
      </c>
      <c r="F197" s="48" t="s">
        <v>366</v>
      </c>
      <c r="G197" s="48" t="s">
        <v>710</v>
      </c>
      <c r="H197" s="48" t="s">
        <v>27</v>
      </c>
      <c r="I197" s="48" t="s">
        <v>1837</v>
      </c>
      <c r="J197" s="48" t="s">
        <v>24</v>
      </c>
      <c r="K197" s="48" t="s">
        <v>710</v>
      </c>
      <c r="L197" s="48" t="s">
        <v>1209</v>
      </c>
      <c r="M197" s="48" t="s">
        <v>26</v>
      </c>
      <c r="N197" s="48" t="s">
        <v>20</v>
      </c>
      <c r="O197" s="48" t="s">
        <v>378</v>
      </c>
      <c r="P197" s="50">
        <v>539548.79</v>
      </c>
      <c r="Q197" s="50">
        <v>1</v>
      </c>
      <c r="R197" s="50">
        <v>539548.79</v>
      </c>
      <c r="S197" s="74">
        <v>46063</v>
      </c>
      <c r="T197" s="48" t="s">
        <v>621</v>
      </c>
      <c r="U197" s="48" t="s">
        <v>613</v>
      </c>
      <c r="V197" s="48" t="s">
        <v>378</v>
      </c>
      <c r="W197" s="48"/>
    </row>
    <row r="198" spans="1:23" ht="15.75" x14ac:dyDescent="0.25">
      <c r="A198" s="48" t="s">
        <v>1934</v>
      </c>
      <c r="B198" s="49">
        <v>46034</v>
      </c>
      <c r="C198" s="48" t="s">
        <v>922</v>
      </c>
      <c r="D198" s="48" t="s">
        <v>1537</v>
      </c>
      <c r="E198" s="48" t="s">
        <v>856</v>
      </c>
      <c r="F198" s="48" t="s">
        <v>62</v>
      </c>
      <c r="G198" s="48" t="s">
        <v>483</v>
      </c>
      <c r="H198" s="48" t="s">
        <v>27</v>
      </c>
      <c r="I198" s="48" t="s">
        <v>1641</v>
      </c>
      <c r="J198" s="48" t="s">
        <v>72</v>
      </c>
      <c r="K198" s="48" t="s">
        <v>483</v>
      </c>
      <c r="L198" s="48" t="s">
        <v>1646</v>
      </c>
      <c r="M198" s="48" t="s">
        <v>26</v>
      </c>
      <c r="N198" s="48" t="s">
        <v>20</v>
      </c>
      <c r="O198" s="48" t="s">
        <v>857</v>
      </c>
      <c r="P198" s="50">
        <v>2355259.1800000002</v>
      </c>
      <c r="Q198" s="50">
        <v>1</v>
      </c>
      <c r="R198" s="50">
        <v>2355259.1800000002</v>
      </c>
      <c r="S198" s="74">
        <v>46062</v>
      </c>
      <c r="T198" s="48" t="s">
        <v>305</v>
      </c>
      <c r="U198" s="48" t="s">
        <v>4028</v>
      </c>
      <c r="V198" s="48" t="s">
        <v>378</v>
      </c>
      <c r="W198" s="48"/>
    </row>
    <row r="199" spans="1:23" ht="15.75" x14ac:dyDescent="0.25">
      <c r="A199" s="48" t="s">
        <v>1809</v>
      </c>
      <c r="B199" s="49">
        <v>46016</v>
      </c>
      <c r="C199" s="48" t="s">
        <v>916</v>
      </c>
      <c r="D199" s="48" t="s">
        <v>441</v>
      </c>
      <c r="E199" s="48" t="s">
        <v>858</v>
      </c>
      <c r="F199" s="48" t="s">
        <v>612</v>
      </c>
      <c r="G199" s="48" t="s">
        <v>613</v>
      </c>
      <c r="H199" s="48" t="s">
        <v>27</v>
      </c>
      <c r="I199" s="48" t="s">
        <v>1699</v>
      </c>
      <c r="J199" s="48" t="s">
        <v>24</v>
      </c>
      <c r="K199" s="48" t="s">
        <v>613</v>
      </c>
      <c r="L199" s="48" t="s">
        <v>1135</v>
      </c>
      <c r="M199" s="48" t="s">
        <v>26</v>
      </c>
      <c r="N199" s="48" t="s">
        <v>20</v>
      </c>
      <c r="O199" s="48" t="s">
        <v>378</v>
      </c>
      <c r="P199" s="50">
        <v>70863</v>
      </c>
      <c r="Q199" s="50">
        <v>1</v>
      </c>
      <c r="R199" s="50">
        <v>70863</v>
      </c>
      <c r="S199" s="74">
        <v>46062</v>
      </c>
      <c r="T199" s="48" t="s">
        <v>311</v>
      </c>
      <c r="U199" s="48" t="s">
        <v>613</v>
      </c>
      <c r="V199" s="48" t="s">
        <v>857</v>
      </c>
      <c r="W199" s="48"/>
    </row>
    <row r="200" spans="1:23" ht="15.75" x14ac:dyDescent="0.25">
      <c r="A200" s="48" t="s">
        <v>2568</v>
      </c>
      <c r="B200" s="49">
        <v>46034</v>
      </c>
      <c r="C200" s="48" t="s">
        <v>922</v>
      </c>
      <c r="D200" s="48" t="s">
        <v>1537</v>
      </c>
      <c r="E200" s="48" t="s">
        <v>856</v>
      </c>
      <c r="F200" s="48" t="s">
        <v>62</v>
      </c>
      <c r="G200" s="48" t="s">
        <v>70</v>
      </c>
      <c r="H200" s="48" t="s">
        <v>70</v>
      </c>
      <c r="I200" s="48" t="s">
        <v>1641</v>
      </c>
      <c r="J200" s="48" t="s">
        <v>72</v>
      </c>
      <c r="K200" s="48" t="s">
        <v>483</v>
      </c>
      <c r="L200" s="48" t="s">
        <v>1646</v>
      </c>
      <c r="M200" s="48" t="s">
        <v>26</v>
      </c>
      <c r="N200" s="48" t="s">
        <v>20</v>
      </c>
      <c r="O200" s="48" t="s">
        <v>857</v>
      </c>
      <c r="P200" s="50">
        <v>968203.15</v>
      </c>
      <c r="Q200" s="50">
        <v>1</v>
      </c>
      <c r="R200" s="50">
        <v>968203.15</v>
      </c>
      <c r="S200" s="74">
        <v>46062</v>
      </c>
      <c r="T200" s="48" t="s">
        <v>305</v>
      </c>
      <c r="U200" s="48" t="s">
        <v>70</v>
      </c>
      <c r="V200" s="48" t="s">
        <v>857</v>
      </c>
      <c r="W200" s="48"/>
    </row>
    <row r="201" spans="1:23" ht="15.75" x14ac:dyDescent="0.25">
      <c r="A201" s="48" t="s">
        <v>1550</v>
      </c>
      <c r="B201" s="49">
        <v>45986</v>
      </c>
      <c r="C201" s="48" t="s">
        <v>918</v>
      </c>
      <c r="D201" s="48" t="s">
        <v>1537</v>
      </c>
      <c r="E201" s="48" t="s">
        <v>856</v>
      </c>
      <c r="F201" s="48" t="s">
        <v>95</v>
      </c>
      <c r="G201" s="48" t="s">
        <v>96</v>
      </c>
      <c r="H201" s="48" t="s">
        <v>27</v>
      </c>
      <c r="I201" s="48" t="s">
        <v>1261</v>
      </c>
      <c r="J201" s="48" t="s">
        <v>72</v>
      </c>
      <c r="K201" s="48" t="s">
        <v>483</v>
      </c>
      <c r="L201" s="48" t="s">
        <v>1646</v>
      </c>
      <c r="M201" s="48" t="s">
        <v>26</v>
      </c>
      <c r="N201" s="48" t="s">
        <v>20</v>
      </c>
      <c r="O201" s="48" t="s">
        <v>378</v>
      </c>
      <c r="P201" s="50">
        <v>6331957.5</v>
      </c>
      <c r="Q201" s="50">
        <v>1</v>
      </c>
      <c r="R201" s="50">
        <v>6331957.5</v>
      </c>
      <c r="S201" s="74">
        <v>46061</v>
      </c>
      <c r="T201" s="48" t="s">
        <v>311</v>
      </c>
      <c r="U201" s="48" t="s">
        <v>96</v>
      </c>
      <c r="V201" s="48" t="s">
        <v>378</v>
      </c>
      <c r="W201" s="48"/>
    </row>
    <row r="202" spans="1:23" ht="15.75" x14ac:dyDescent="0.25">
      <c r="A202" s="48" t="s">
        <v>2396</v>
      </c>
      <c r="B202" s="49">
        <v>46014</v>
      </c>
      <c r="C202" s="48" t="s">
        <v>916</v>
      </c>
      <c r="D202" s="48" t="s">
        <v>3566</v>
      </c>
      <c r="E202" s="48" t="s">
        <v>856</v>
      </c>
      <c r="F202" s="48" t="s">
        <v>612</v>
      </c>
      <c r="G202" s="48" t="s">
        <v>613</v>
      </c>
      <c r="H202" s="48" t="s">
        <v>27</v>
      </c>
      <c r="I202" s="48" t="s">
        <v>1924</v>
      </c>
      <c r="J202" s="48" t="s">
        <v>24</v>
      </c>
      <c r="K202" s="48" t="s">
        <v>613</v>
      </c>
      <c r="L202" s="48" t="s">
        <v>1135</v>
      </c>
      <c r="M202" s="48" t="s">
        <v>26</v>
      </c>
      <c r="N202" s="48" t="s">
        <v>20</v>
      </c>
      <c r="O202" s="48" t="s">
        <v>378</v>
      </c>
      <c r="P202" s="50">
        <v>526125</v>
      </c>
      <c r="Q202" s="50">
        <v>1</v>
      </c>
      <c r="R202" s="50">
        <v>526125</v>
      </c>
      <c r="S202" s="74">
        <v>46061</v>
      </c>
      <c r="T202" s="48" t="s">
        <v>1925</v>
      </c>
      <c r="U202" s="48" t="s">
        <v>613</v>
      </c>
      <c r="V202" s="48" t="s">
        <v>857</v>
      </c>
      <c r="W202" s="48"/>
    </row>
    <row r="203" spans="1:23" ht="15.75" x14ac:dyDescent="0.25">
      <c r="A203" s="48" t="s">
        <v>1609</v>
      </c>
      <c r="B203" s="49">
        <v>45982</v>
      </c>
      <c r="C203" s="48" t="s">
        <v>916</v>
      </c>
      <c r="D203" s="48" t="s">
        <v>441</v>
      </c>
      <c r="E203" s="48" t="s">
        <v>858</v>
      </c>
      <c r="F203" s="48" t="s">
        <v>366</v>
      </c>
      <c r="G203" s="48" t="s">
        <v>710</v>
      </c>
      <c r="H203" s="48" t="s">
        <v>27</v>
      </c>
      <c r="I203" s="48" t="s">
        <v>1573</v>
      </c>
      <c r="J203" s="48" t="s">
        <v>24</v>
      </c>
      <c r="K203" s="48" t="s">
        <v>710</v>
      </c>
      <c r="L203" s="48" t="s">
        <v>1209</v>
      </c>
      <c r="M203" s="48" t="s">
        <v>26</v>
      </c>
      <c r="N203" s="48" t="s">
        <v>20</v>
      </c>
      <c r="O203" s="48" t="s">
        <v>857</v>
      </c>
      <c r="P203" s="50">
        <v>137792.10999999999</v>
      </c>
      <c r="Q203" s="50">
        <v>1</v>
      </c>
      <c r="R203" s="50">
        <v>137792.10999999999</v>
      </c>
      <c r="S203" s="74">
        <v>46058</v>
      </c>
      <c r="T203" s="48" t="s">
        <v>621</v>
      </c>
      <c r="U203" s="48" t="s">
        <v>613</v>
      </c>
      <c r="V203" s="48" t="s">
        <v>378</v>
      </c>
      <c r="W203" s="48"/>
    </row>
    <row r="204" spans="1:23" ht="15.75" x14ac:dyDescent="0.25">
      <c r="A204" s="48" t="s">
        <v>1898</v>
      </c>
      <c r="B204" s="49">
        <v>45973</v>
      </c>
      <c r="C204" s="48" t="s">
        <v>916</v>
      </c>
      <c r="D204" s="48" t="s">
        <v>441</v>
      </c>
      <c r="E204" s="48" t="s">
        <v>856</v>
      </c>
      <c r="F204" s="48" t="s">
        <v>366</v>
      </c>
      <c r="G204" s="48" t="s">
        <v>710</v>
      </c>
      <c r="H204" s="48" t="s">
        <v>27</v>
      </c>
      <c r="I204" s="48" t="s">
        <v>1379</v>
      </c>
      <c r="J204" s="48" t="s">
        <v>24</v>
      </c>
      <c r="K204" s="48" t="s">
        <v>710</v>
      </c>
      <c r="L204" s="48" t="s">
        <v>1209</v>
      </c>
      <c r="M204" s="48" t="s">
        <v>26</v>
      </c>
      <c r="N204" s="48" t="s">
        <v>20</v>
      </c>
      <c r="O204" s="48" t="s">
        <v>857</v>
      </c>
      <c r="P204" s="50">
        <v>550000</v>
      </c>
      <c r="Q204" s="50">
        <v>1</v>
      </c>
      <c r="R204" s="50">
        <v>550000</v>
      </c>
      <c r="S204" s="74">
        <v>46057</v>
      </c>
      <c r="T204" s="48" t="s">
        <v>621</v>
      </c>
      <c r="U204" s="48" t="s">
        <v>613</v>
      </c>
      <c r="V204" s="48" t="s">
        <v>378</v>
      </c>
      <c r="W204" s="48"/>
    </row>
    <row r="205" spans="1:23" ht="15.75" x14ac:dyDescent="0.25">
      <c r="A205" s="48" t="s">
        <v>1662</v>
      </c>
      <c r="B205" s="49">
        <v>45983</v>
      </c>
      <c r="C205" s="48" t="s">
        <v>924</v>
      </c>
      <c r="D205" s="48" t="s">
        <v>1119</v>
      </c>
      <c r="E205" s="48" t="s">
        <v>858</v>
      </c>
      <c r="F205" s="48" t="s">
        <v>366</v>
      </c>
      <c r="G205" s="48" t="s">
        <v>367</v>
      </c>
      <c r="H205" s="48" t="s">
        <v>27</v>
      </c>
      <c r="I205" s="48" t="s">
        <v>1630</v>
      </c>
      <c r="J205" s="48" t="s">
        <v>24</v>
      </c>
      <c r="K205" s="48" t="s">
        <v>367</v>
      </c>
      <c r="L205" s="48" t="s">
        <v>1136</v>
      </c>
      <c r="M205" s="48" t="s">
        <v>26</v>
      </c>
      <c r="N205" s="48" t="s">
        <v>20</v>
      </c>
      <c r="O205" s="48" t="s">
        <v>857</v>
      </c>
      <c r="P205" s="50">
        <v>266294.28999999998</v>
      </c>
      <c r="Q205" s="50">
        <v>1</v>
      </c>
      <c r="R205" s="50">
        <v>266294.28999999998</v>
      </c>
      <c r="S205" s="74">
        <v>46057</v>
      </c>
      <c r="T205" s="48" t="s">
        <v>1624</v>
      </c>
      <c r="U205" s="48" t="s">
        <v>367</v>
      </c>
      <c r="V205" s="48" t="s">
        <v>857</v>
      </c>
      <c r="W205" s="48"/>
    </row>
    <row r="206" spans="1:23" ht="15.75" x14ac:dyDescent="0.25">
      <c r="A206" s="48" t="s">
        <v>1434</v>
      </c>
      <c r="B206" s="49">
        <v>45974</v>
      </c>
      <c r="C206" s="48" t="s">
        <v>918</v>
      </c>
      <c r="D206" s="48" t="s">
        <v>441</v>
      </c>
      <c r="E206" s="48" t="s">
        <v>858</v>
      </c>
      <c r="F206" s="48" t="s">
        <v>366</v>
      </c>
      <c r="G206" s="48" t="s">
        <v>710</v>
      </c>
      <c r="H206" s="48" t="s">
        <v>27</v>
      </c>
      <c r="I206" s="48" t="s">
        <v>1381</v>
      </c>
      <c r="J206" s="48" t="s">
        <v>24</v>
      </c>
      <c r="K206" s="48" t="s">
        <v>710</v>
      </c>
      <c r="L206" s="48" t="s">
        <v>1209</v>
      </c>
      <c r="M206" s="48" t="s">
        <v>26</v>
      </c>
      <c r="N206" s="48" t="s">
        <v>20</v>
      </c>
      <c r="O206" s="48" t="s">
        <v>857</v>
      </c>
      <c r="P206" s="50">
        <v>20278.96</v>
      </c>
      <c r="Q206" s="50">
        <v>1</v>
      </c>
      <c r="R206" s="50">
        <v>20278.96</v>
      </c>
      <c r="S206" s="74">
        <v>46057</v>
      </c>
      <c r="T206" s="48" t="s">
        <v>621</v>
      </c>
      <c r="U206" s="48" t="s">
        <v>613</v>
      </c>
      <c r="V206" s="48" t="s">
        <v>378</v>
      </c>
      <c r="W206" s="48"/>
    </row>
    <row r="207" spans="1:23" ht="15.75" x14ac:dyDescent="0.25">
      <c r="A207" s="48" t="s">
        <v>1672</v>
      </c>
      <c r="B207" s="49">
        <v>45984</v>
      </c>
      <c r="C207" s="48" t="s">
        <v>916</v>
      </c>
      <c r="D207" s="48" t="s">
        <v>1119</v>
      </c>
      <c r="E207" s="48" t="s">
        <v>856</v>
      </c>
      <c r="F207" s="48" t="s">
        <v>366</v>
      </c>
      <c r="G207" s="48" t="s">
        <v>367</v>
      </c>
      <c r="H207" s="48" t="s">
        <v>27</v>
      </c>
      <c r="I207" s="48" t="s">
        <v>1632</v>
      </c>
      <c r="J207" s="48" t="s">
        <v>24</v>
      </c>
      <c r="K207" s="48" t="s">
        <v>367</v>
      </c>
      <c r="L207" s="48" t="s">
        <v>1136</v>
      </c>
      <c r="M207" s="48" t="s">
        <v>26</v>
      </c>
      <c r="N207" s="48" t="s">
        <v>20</v>
      </c>
      <c r="O207" s="48" t="s">
        <v>857</v>
      </c>
      <c r="P207" s="50">
        <v>73226.539999999994</v>
      </c>
      <c r="Q207" s="50">
        <v>1</v>
      </c>
      <c r="R207" s="50">
        <v>73226.539999999994</v>
      </c>
      <c r="S207" s="74">
        <v>46057</v>
      </c>
      <c r="T207" s="48" t="s">
        <v>1624</v>
      </c>
      <c r="U207" s="48" t="s">
        <v>367</v>
      </c>
      <c r="V207" s="48" t="s">
        <v>857</v>
      </c>
      <c r="W207" s="48"/>
    </row>
    <row r="208" spans="1:23" ht="15.75" x14ac:dyDescent="0.25">
      <c r="A208" s="48" t="s">
        <v>1819</v>
      </c>
      <c r="B208" s="49">
        <v>46008</v>
      </c>
      <c r="C208" s="48" t="s">
        <v>916</v>
      </c>
      <c r="D208" s="48" t="s">
        <v>441</v>
      </c>
      <c r="E208" s="48" t="s">
        <v>856</v>
      </c>
      <c r="F208" s="48" t="s">
        <v>612</v>
      </c>
      <c r="G208" s="48" t="s">
        <v>613</v>
      </c>
      <c r="H208" s="48" t="s">
        <v>27</v>
      </c>
      <c r="I208" s="48" t="s">
        <v>1703</v>
      </c>
      <c r="J208" s="48" t="s">
        <v>24</v>
      </c>
      <c r="K208" s="48" t="s">
        <v>613</v>
      </c>
      <c r="L208" s="48" t="s">
        <v>1135</v>
      </c>
      <c r="M208" s="48" t="s">
        <v>26</v>
      </c>
      <c r="N208" s="48" t="s">
        <v>20</v>
      </c>
      <c r="O208" s="48" t="s">
        <v>378</v>
      </c>
      <c r="P208" s="50">
        <v>251134</v>
      </c>
      <c r="Q208" s="50">
        <v>1</v>
      </c>
      <c r="R208" s="50">
        <v>251134</v>
      </c>
      <c r="S208" s="74">
        <v>46057</v>
      </c>
      <c r="T208" s="48" t="s">
        <v>311</v>
      </c>
      <c r="U208" s="48" t="s">
        <v>613</v>
      </c>
      <c r="V208" s="48" t="s">
        <v>857</v>
      </c>
      <c r="W208" s="48"/>
    </row>
    <row r="209" spans="1:23" ht="15.75" x14ac:dyDescent="0.25">
      <c r="A209" s="48" t="s">
        <v>1648</v>
      </c>
      <c r="B209" s="49">
        <v>45915</v>
      </c>
      <c r="C209" s="48" t="s">
        <v>918</v>
      </c>
      <c r="D209" s="48" t="s">
        <v>1119</v>
      </c>
      <c r="E209" s="48" t="s">
        <v>858</v>
      </c>
      <c r="F209" s="48" t="s">
        <v>366</v>
      </c>
      <c r="G209" s="48" t="s">
        <v>367</v>
      </c>
      <c r="H209" s="48" t="s">
        <v>27</v>
      </c>
      <c r="I209" s="48" t="s">
        <v>1625</v>
      </c>
      <c r="J209" s="48" t="s">
        <v>24</v>
      </c>
      <c r="K209" s="48" t="s">
        <v>367</v>
      </c>
      <c r="L209" s="48" t="s">
        <v>1136</v>
      </c>
      <c r="M209" s="48" t="s">
        <v>26</v>
      </c>
      <c r="N209" s="48" t="s">
        <v>20</v>
      </c>
      <c r="O209" s="48" t="s">
        <v>857</v>
      </c>
      <c r="P209" s="50">
        <v>1156440.1000000001</v>
      </c>
      <c r="Q209" s="50">
        <v>1</v>
      </c>
      <c r="R209" s="50">
        <v>1156440.1000000001</v>
      </c>
      <c r="S209" s="74">
        <v>46057</v>
      </c>
      <c r="T209" s="48" t="s">
        <v>1626</v>
      </c>
      <c r="U209" s="48" t="s">
        <v>367</v>
      </c>
      <c r="V209" s="48" t="s">
        <v>857</v>
      </c>
      <c r="W209" s="48"/>
    </row>
    <row r="210" spans="1:23" ht="15.75" x14ac:dyDescent="0.25">
      <c r="A210" s="48" t="s">
        <v>1677</v>
      </c>
      <c r="B210" s="49">
        <v>45973</v>
      </c>
      <c r="C210" s="48" t="s">
        <v>918</v>
      </c>
      <c r="D210" s="48" t="s">
        <v>1119</v>
      </c>
      <c r="E210" s="48" t="s">
        <v>858</v>
      </c>
      <c r="F210" s="48" t="s">
        <v>366</v>
      </c>
      <c r="G210" s="48" t="s">
        <v>367</v>
      </c>
      <c r="H210" s="48" t="s">
        <v>27</v>
      </c>
      <c r="I210" s="48" t="s">
        <v>1676</v>
      </c>
      <c r="J210" s="48" t="s">
        <v>24</v>
      </c>
      <c r="K210" s="48" t="s">
        <v>367</v>
      </c>
      <c r="L210" s="48" t="s">
        <v>1136</v>
      </c>
      <c r="M210" s="48" t="s">
        <v>26</v>
      </c>
      <c r="N210" s="48" t="s">
        <v>20</v>
      </c>
      <c r="O210" s="48" t="s">
        <v>857</v>
      </c>
      <c r="P210" s="50">
        <v>456260.2</v>
      </c>
      <c r="Q210" s="50">
        <v>1</v>
      </c>
      <c r="R210" s="50">
        <v>456260.2</v>
      </c>
      <c r="S210" s="74">
        <v>46057</v>
      </c>
      <c r="T210" s="48" t="s">
        <v>1624</v>
      </c>
      <c r="U210" s="48" t="s">
        <v>367</v>
      </c>
      <c r="V210" s="48" t="s">
        <v>857</v>
      </c>
      <c r="W210" s="48"/>
    </row>
    <row r="211" spans="1:23" ht="15.75" x14ac:dyDescent="0.25">
      <c r="A211" s="48" t="s">
        <v>1655</v>
      </c>
      <c r="B211" s="49">
        <v>45999</v>
      </c>
      <c r="C211" s="48" t="s">
        <v>916</v>
      </c>
      <c r="D211" s="48" t="s">
        <v>441</v>
      </c>
      <c r="E211" s="48" t="s">
        <v>856</v>
      </c>
      <c r="F211" s="48" t="s">
        <v>21</v>
      </c>
      <c r="G211" s="48" t="s">
        <v>22</v>
      </c>
      <c r="H211" s="48" t="s">
        <v>27</v>
      </c>
      <c r="I211" s="48" t="s">
        <v>177</v>
      </c>
      <c r="J211" s="48" t="s">
        <v>24</v>
      </c>
      <c r="K211" s="48" t="s">
        <v>22</v>
      </c>
      <c r="L211" s="48" t="s">
        <v>1132</v>
      </c>
      <c r="M211" s="48" t="s">
        <v>26</v>
      </c>
      <c r="N211" s="48" t="s">
        <v>20</v>
      </c>
      <c r="O211" s="48" t="s">
        <v>857</v>
      </c>
      <c r="P211" s="50">
        <v>500000</v>
      </c>
      <c r="Q211" s="50">
        <v>1</v>
      </c>
      <c r="R211" s="50">
        <v>500000</v>
      </c>
      <c r="S211" s="74">
        <v>46055</v>
      </c>
      <c r="T211" s="48" t="s">
        <v>621</v>
      </c>
      <c r="U211" s="48" t="s">
        <v>613</v>
      </c>
      <c r="V211" s="48" t="s">
        <v>378</v>
      </c>
      <c r="W211" s="48"/>
    </row>
    <row r="212" spans="1:23" ht="15.75" x14ac:dyDescent="0.25">
      <c r="A212" s="48" t="s">
        <v>1901</v>
      </c>
      <c r="B212" s="49">
        <v>46000</v>
      </c>
      <c r="C212" s="48" t="s">
        <v>916</v>
      </c>
      <c r="D212" s="48" t="s">
        <v>441</v>
      </c>
      <c r="E212" s="48" t="s">
        <v>856</v>
      </c>
      <c r="F212" s="48" t="s">
        <v>366</v>
      </c>
      <c r="G212" s="48" t="s">
        <v>710</v>
      </c>
      <c r="H212" s="48" t="s">
        <v>27</v>
      </c>
      <c r="I212" s="48" t="s">
        <v>1634</v>
      </c>
      <c r="J212" s="48" t="s">
        <v>24</v>
      </c>
      <c r="K212" s="48" t="s">
        <v>710</v>
      </c>
      <c r="L212" s="48" t="s">
        <v>1209</v>
      </c>
      <c r="M212" s="48" t="s">
        <v>26</v>
      </c>
      <c r="N212" s="48" t="s">
        <v>20</v>
      </c>
      <c r="O212" s="48" t="s">
        <v>378</v>
      </c>
      <c r="P212" s="50">
        <v>250000</v>
      </c>
      <c r="Q212" s="50">
        <v>1</v>
      </c>
      <c r="R212" s="50">
        <v>250000</v>
      </c>
      <c r="S212" s="74">
        <v>46054</v>
      </c>
      <c r="T212" s="48" t="s">
        <v>621</v>
      </c>
      <c r="U212" s="48" t="s">
        <v>710</v>
      </c>
      <c r="V212" s="48" t="s">
        <v>857</v>
      </c>
      <c r="W212" s="48"/>
    </row>
    <row r="213" spans="1:23" ht="15.75" x14ac:dyDescent="0.25">
      <c r="A213" s="48" t="s">
        <v>1906</v>
      </c>
      <c r="B213" s="49">
        <v>45973</v>
      </c>
      <c r="C213" s="48" t="s">
        <v>916</v>
      </c>
      <c r="D213" s="48" t="s">
        <v>441</v>
      </c>
      <c r="E213" s="48" t="s">
        <v>856</v>
      </c>
      <c r="F213" s="48" t="s">
        <v>366</v>
      </c>
      <c r="G213" s="48" t="s">
        <v>710</v>
      </c>
      <c r="H213" s="48" t="s">
        <v>27</v>
      </c>
      <c r="I213" s="48" t="s">
        <v>477</v>
      </c>
      <c r="J213" s="48" t="s">
        <v>24</v>
      </c>
      <c r="K213" s="48" t="s">
        <v>710</v>
      </c>
      <c r="L213" s="48" t="s">
        <v>1209</v>
      </c>
      <c r="M213" s="48" t="s">
        <v>26</v>
      </c>
      <c r="N213" s="48" t="s">
        <v>20</v>
      </c>
      <c r="O213" s="48" t="s">
        <v>857</v>
      </c>
      <c r="P213" s="50">
        <v>1500000</v>
      </c>
      <c r="Q213" s="50">
        <v>1</v>
      </c>
      <c r="R213" s="50">
        <v>1500000</v>
      </c>
      <c r="S213" s="74">
        <v>46054</v>
      </c>
      <c r="T213" s="48" t="s">
        <v>621</v>
      </c>
      <c r="U213" s="48" t="s">
        <v>613</v>
      </c>
      <c r="V213" s="48" t="s">
        <v>378</v>
      </c>
      <c r="W213" s="48"/>
    </row>
    <row r="214" spans="1:23" ht="15.75" x14ac:dyDescent="0.25">
      <c r="A214" s="48" t="s">
        <v>1811</v>
      </c>
      <c r="B214" s="49">
        <v>46023</v>
      </c>
      <c r="C214" s="48" t="s">
        <v>918</v>
      </c>
      <c r="D214" s="48" t="s">
        <v>1181</v>
      </c>
      <c r="E214" s="48" t="s">
        <v>856</v>
      </c>
      <c r="F214" s="48" t="s">
        <v>366</v>
      </c>
      <c r="G214" s="48" t="s">
        <v>710</v>
      </c>
      <c r="H214" s="48" t="s">
        <v>27</v>
      </c>
      <c r="I214" s="48" t="s">
        <v>1786</v>
      </c>
      <c r="J214" s="48" t="s">
        <v>1791</v>
      </c>
      <c r="K214" s="48" t="s">
        <v>81</v>
      </c>
      <c r="L214" s="48" t="s">
        <v>1139</v>
      </c>
      <c r="M214" s="48" t="s">
        <v>26</v>
      </c>
      <c r="N214" s="48" t="s">
        <v>20</v>
      </c>
      <c r="O214" s="48" t="s">
        <v>857</v>
      </c>
      <c r="P214" s="50">
        <v>2772611.82</v>
      </c>
      <c r="Q214" s="50">
        <v>1</v>
      </c>
      <c r="R214" s="50">
        <v>2772611.82</v>
      </c>
      <c r="S214" s="74">
        <v>46054</v>
      </c>
      <c r="T214" s="48" t="s">
        <v>1755</v>
      </c>
      <c r="U214" s="48" t="s">
        <v>613</v>
      </c>
      <c r="V214" s="48" t="s">
        <v>378</v>
      </c>
      <c r="W214" s="48"/>
    </row>
    <row r="215" spans="1:23" ht="15.75" x14ac:dyDescent="0.25">
      <c r="A215" s="48" t="s">
        <v>2434</v>
      </c>
      <c r="B215" s="49">
        <v>45982</v>
      </c>
      <c r="C215" s="48" t="s">
        <v>916</v>
      </c>
      <c r="D215" s="48" t="s">
        <v>441</v>
      </c>
      <c r="E215" s="48" t="s">
        <v>858</v>
      </c>
      <c r="F215" s="48" t="s">
        <v>366</v>
      </c>
      <c r="G215" s="48" t="s">
        <v>710</v>
      </c>
      <c r="H215" s="48" t="s">
        <v>27</v>
      </c>
      <c r="I215" s="48" t="s">
        <v>1844</v>
      </c>
      <c r="J215" s="48" t="s">
        <v>24</v>
      </c>
      <c r="K215" s="48" t="s">
        <v>710</v>
      </c>
      <c r="L215" s="48" t="s">
        <v>1209</v>
      </c>
      <c r="M215" s="48" t="s">
        <v>26</v>
      </c>
      <c r="N215" s="48" t="s">
        <v>20</v>
      </c>
      <c r="O215" s="48" t="s">
        <v>857</v>
      </c>
      <c r="P215" s="50">
        <v>1500000</v>
      </c>
      <c r="Q215" s="50">
        <v>1</v>
      </c>
      <c r="R215" s="50">
        <v>1500000</v>
      </c>
      <c r="S215" s="74">
        <v>46050</v>
      </c>
      <c r="T215" s="48" t="s">
        <v>621</v>
      </c>
      <c r="U215" s="48" t="s">
        <v>710</v>
      </c>
      <c r="V215" s="48" t="s">
        <v>857</v>
      </c>
      <c r="W215" s="48"/>
    </row>
    <row r="216" spans="1:23" ht="15.75" x14ac:dyDescent="0.25">
      <c r="A216" s="48" t="s">
        <v>1871</v>
      </c>
      <c r="B216" s="49">
        <v>45952</v>
      </c>
      <c r="C216" s="48" t="s">
        <v>916</v>
      </c>
      <c r="D216" s="48" t="s">
        <v>441</v>
      </c>
      <c r="E216" s="48" t="s">
        <v>856</v>
      </c>
      <c r="F216" s="48" t="s">
        <v>366</v>
      </c>
      <c r="G216" s="48" t="s">
        <v>710</v>
      </c>
      <c r="H216" s="48" t="s">
        <v>27</v>
      </c>
      <c r="I216" s="48" t="s">
        <v>1246</v>
      </c>
      <c r="J216" s="48" t="s">
        <v>24</v>
      </c>
      <c r="K216" s="48" t="s">
        <v>710</v>
      </c>
      <c r="L216" s="48" t="s">
        <v>1209</v>
      </c>
      <c r="M216" s="48" t="s">
        <v>26</v>
      </c>
      <c r="N216" s="48" t="s">
        <v>20</v>
      </c>
      <c r="O216" s="48" t="s">
        <v>857</v>
      </c>
      <c r="P216" s="50">
        <v>500000</v>
      </c>
      <c r="Q216" s="50">
        <v>1</v>
      </c>
      <c r="R216" s="50">
        <v>500000</v>
      </c>
      <c r="S216" s="74">
        <v>46050</v>
      </c>
      <c r="T216" s="48" t="s">
        <v>621</v>
      </c>
      <c r="U216" s="48" t="s">
        <v>710</v>
      </c>
      <c r="V216" s="48" t="s">
        <v>857</v>
      </c>
      <c r="W216" s="48"/>
    </row>
    <row r="217" spans="1:23" ht="15.75" x14ac:dyDescent="0.25">
      <c r="A217" s="48" t="s">
        <v>2287</v>
      </c>
      <c r="B217" s="49">
        <v>46041</v>
      </c>
      <c r="C217" s="48" t="s">
        <v>916</v>
      </c>
      <c r="D217" s="48" t="s">
        <v>3566</v>
      </c>
      <c r="E217" s="48" t="s">
        <v>856</v>
      </c>
      <c r="F217" s="48" t="s">
        <v>612</v>
      </c>
      <c r="G217" s="48" t="s">
        <v>613</v>
      </c>
      <c r="H217" s="48" t="s">
        <v>27</v>
      </c>
      <c r="I217" s="48" t="s">
        <v>1938</v>
      </c>
      <c r="J217" s="48" t="s">
        <v>72</v>
      </c>
      <c r="K217" s="48" t="s">
        <v>613</v>
      </c>
      <c r="L217" s="48" t="s">
        <v>1135</v>
      </c>
      <c r="M217" s="48" t="s">
        <v>26</v>
      </c>
      <c r="N217" s="48" t="s">
        <v>20</v>
      </c>
      <c r="O217" s="48" t="s">
        <v>378</v>
      </c>
      <c r="P217" s="50">
        <v>1117011.5</v>
      </c>
      <c r="Q217" s="50">
        <v>1</v>
      </c>
      <c r="R217" s="50">
        <v>1117011.5</v>
      </c>
      <c r="S217" s="74">
        <v>46050</v>
      </c>
      <c r="T217" s="48" t="s">
        <v>2790</v>
      </c>
      <c r="U217" s="48" t="s">
        <v>613</v>
      </c>
      <c r="V217" s="48" t="s">
        <v>857</v>
      </c>
      <c r="W217" s="48"/>
    </row>
    <row r="218" spans="1:23" ht="15.75" x14ac:dyDescent="0.25">
      <c r="A218" s="48" t="s">
        <v>1876</v>
      </c>
      <c r="B218" s="49">
        <v>45965</v>
      </c>
      <c r="C218" s="48" t="s">
        <v>918</v>
      </c>
      <c r="D218" s="48" t="s">
        <v>441</v>
      </c>
      <c r="E218" s="48" t="s">
        <v>856</v>
      </c>
      <c r="F218" s="48" t="s">
        <v>366</v>
      </c>
      <c r="G218" s="48" t="s">
        <v>710</v>
      </c>
      <c r="H218" s="48" t="s">
        <v>27</v>
      </c>
      <c r="I218" s="48" t="s">
        <v>1838</v>
      </c>
      <c r="J218" s="48" t="s">
        <v>24</v>
      </c>
      <c r="K218" s="48" t="s">
        <v>710</v>
      </c>
      <c r="L218" s="48" t="s">
        <v>1209</v>
      </c>
      <c r="M218" s="48" t="s">
        <v>26</v>
      </c>
      <c r="N218" s="48" t="s">
        <v>20</v>
      </c>
      <c r="O218" s="48" t="s">
        <v>857</v>
      </c>
      <c r="P218" s="50">
        <v>816561.09</v>
      </c>
      <c r="Q218" s="50">
        <v>1</v>
      </c>
      <c r="R218" s="50">
        <v>816561.09</v>
      </c>
      <c r="S218" s="74">
        <v>46049</v>
      </c>
      <c r="T218" s="48" t="s">
        <v>621</v>
      </c>
      <c r="U218" s="48" t="s">
        <v>710</v>
      </c>
      <c r="V218" s="48" t="s">
        <v>857</v>
      </c>
      <c r="W218" s="48"/>
    </row>
    <row r="219" spans="1:23" ht="15.75" x14ac:dyDescent="0.25">
      <c r="A219" s="48" t="s">
        <v>736</v>
      </c>
      <c r="B219" s="49">
        <v>45931</v>
      </c>
      <c r="C219" s="48" t="s">
        <v>928</v>
      </c>
      <c r="D219" s="48" t="s">
        <v>1119</v>
      </c>
      <c r="E219" s="48" t="s">
        <v>858</v>
      </c>
      <c r="F219" s="48" t="s">
        <v>366</v>
      </c>
      <c r="G219" s="48" t="s">
        <v>367</v>
      </c>
      <c r="H219" s="48" t="s">
        <v>27</v>
      </c>
      <c r="I219" s="48" t="s">
        <v>737</v>
      </c>
      <c r="J219" s="48" t="s">
        <v>72</v>
      </c>
      <c r="K219" s="48" t="s">
        <v>367</v>
      </c>
      <c r="L219" s="48" t="s">
        <v>1136</v>
      </c>
      <c r="M219" s="48" t="s">
        <v>26</v>
      </c>
      <c r="N219" s="48" t="s">
        <v>20</v>
      </c>
      <c r="O219" s="48" t="s">
        <v>857</v>
      </c>
      <c r="P219" s="50">
        <v>3095923</v>
      </c>
      <c r="Q219" s="50">
        <v>1</v>
      </c>
      <c r="R219" s="50">
        <v>3095923</v>
      </c>
      <c r="S219" s="74">
        <v>46049</v>
      </c>
      <c r="T219" s="48" t="s">
        <v>738</v>
      </c>
      <c r="U219" s="48" t="s">
        <v>367</v>
      </c>
      <c r="V219" s="48" t="s">
        <v>857</v>
      </c>
      <c r="W219" s="48"/>
    </row>
    <row r="220" spans="1:23" ht="15.75" x14ac:dyDescent="0.25">
      <c r="A220" s="48" t="s">
        <v>1807</v>
      </c>
      <c r="B220" s="49">
        <v>45971</v>
      </c>
      <c r="C220" s="48" t="s">
        <v>916</v>
      </c>
      <c r="D220" s="48" t="s">
        <v>1181</v>
      </c>
      <c r="E220" s="48" t="s">
        <v>858</v>
      </c>
      <c r="F220" s="48" t="s">
        <v>366</v>
      </c>
      <c r="G220" s="48" t="s">
        <v>710</v>
      </c>
      <c r="H220" s="48" t="s">
        <v>27</v>
      </c>
      <c r="I220" s="48" t="s">
        <v>1757</v>
      </c>
      <c r="J220" s="48" t="s">
        <v>1791</v>
      </c>
      <c r="K220" s="48" t="s">
        <v>81</v>
      </c>
      <c r="L220" s="48" t="s">
        <v>1139</v>
      </c>
      <c r="M220" s="48" t="s">
        <v>26</v>
      </c>
      <c r="N220" s="48" t="s">
        <v>20</v>
      </c>
      <c r="O220" s="48" t="s">
        <v>857</v>
      </c>
      <c r="P220" s="50">
        <v>500000</v>
      </c>
      <c r="Q220" s="50">
        <v>1</v>
      </c>
      <c r="R220" s="50">
        <v>500000</v>
      </c>
      <c r="S220" s="74">
        <v>46049</v>
      </c>
      <c r="T220" s="48" t="s">
        <v>408</v>
      </c>
      <c r="U220" s="48" t="s">
        <v>710</v>
      </c>
      <c r="V220" s="48" t="s">
        <v>378</v>
      </c>
      <c r="W220" s="48"/>
    </row>
    <row r="221" spans="1:23" ht="15.75" x14ac:dyDescent="0.25">
      <c r="A221" s="48" t="s">
        <v>3169</v>
      </c>
      <c r="B221" s="49">
        <v>46043</v>
      </c>
      <c r="C221" s="48" t="s">
        <v>916</v>
      </c>
      <c r="D221" s="48" t="s">
        <v>1184</v>
      </c>
      <c r="E221" s="48" t="s">
        <v>856</v>
      </c>
      <c r="F221" s="48" t="s">
        <v>21</v>
      </c>
      <c r="G221" s="48" t="s">
        <v>22</v>
      </c>
      <c r="H221" s="48" t="s">
        <v>27</v>
      </c>
      <c r="I221" s="48" t="s">
        <v>2622</v>
      </c>
      <c r="J221" s="48" t="s">
        <v>72</v>
      </c>
      <c r="K221" s="48" t="s">
        <v>90</v>
      </c>
      <c r="L221" s="48" t="s">
        <v>1141</v>
      </c>
      <c r="M221" s="48" t="s">
        <v>67</v>
      </c>
      <c r="N221" s="48" t="s">
        <v>20</v>
      </c>
      <c r="O221" s="48" t="s">
        <v>857</v>
      </c>
      <c r="P221" s="50">
        <v>2850000</v>
      </c>
      <c r="Q221" s="50">
        <v>4.4850000000000003</v>
      </c>
      <c r="R221" s="50">
        <v>12782250</v>
      </c>
      <c r="S221" s="74">
        <v>46049</v>
      </c>
      <c r="T221" s="48" t="s">
        <v>3627</v>
      </c>
      <c r="U221" s="48" t="s">
        <v>90</v>
      </c>
      <c r="V221" s="48" t="s">
        <v>857</v>
      </c>
      <c r="W221" s="48"/>
    </row>
    <row r="222" spans="1:23" ht="15.75" x14ac:dyDescent="0.25">
      <c r="A222" s="48" t="s">
        <v>1861</v>
      </c>
      <c r="B222" s="49">
        <v>45988</v>
      </c>
      <c r="C222" s="48" t="s">
        <v>916</v>
      </c>
      <c r="D222" s="48" t="s">
        <v>1537</v>
      </c>
      <c r="E222" s="48" t="s">
        <v>858</v>
      </c>
      <c r="F222" s="48" t="s">
        <v>62</v>
      </c>
      <c r="G222" s="48" t="s">
        <v>70</v>
      </c>
      <c r="H222" s="48" t="s">
        <v>70</v>
      </c>
      <c r="I222" s="48" t="s">
        <v>1789</v>
      </c>
      <c r="J222" s="48" t="s">
        <v>24</v>
      </c>
      <c r="K222" s="48" t="s">
        <v>483</v>
      </c>
      <c r="L222" s="48" t="s">
        <v>1646</v>
      </c>
      <c r="M222" s="48" t="s">
        <v>26</v>
      </c>
      <c r="N222" s="48" t="s">
        <v>20</v>
      </c>
      <c r="O222" s="48" t="s">
        <v>857</v>
      </c>
      <c r="P222" s="50">
        <v>600000</v>
      </c>
      <c r="Q222" s="50">
        <v>1</v>
      </c>
      <c r="R222" s="50">
        <v>600000</v>
      </c>
      <c r="S222" s="74">
        <v>46049</v>
      </c>
      <c r="T222" s="48" t="s">
        <v>621</v>
      </c>
      <c r="U222" s="48" t="s">
        <v>70</v>
      </c>
      <c r="V222" s="48" t="s">
        <v>857</v>
      </c>
      <c r="W222" s="48"/>
    </row>
    <row r="223" spans="1:23" ht="15.75" x14ac:dyDescent="0.25">
      <c r="A223" s="48" t="s">
        <v>1350</v>
      </c>
      <c r="B223" s="49">
        <v>45985</v>
      </c>
      <c r="C223" s="48" t="s">
        <v>916</v>
      </c>
      <c r="D223" s="48" t="s">
        <v>441</v>
      </c>
      <c r="E223" s="48" t="s">
        <v>858</v>
      </c>
      <c r="F223" s="48" t="s">
        <v>21</v>
      </c>
      <c r="G223" s="48" t="s">
        <v>22</v>
      </c>
      <c r="H223" s="48" t="s">
        <v>27</v>
      </c>
      <c r="I223" s="48" t="s">
        <v>1326</v>
      </c>
      <c r="J223" s="48" t="s">
        <v>24</v>
      </c>
      <c r="K223" s="48" t="s">
        <v>22</v>
      </c>
      <c r="L223" s="48" t="s">
        <v>1132</v>
      </c>
      <c r="M223" s="48" t="s">
        <v>26</v>
      </c>
      <c r="N223" s="48" t="s">
        <v>20</v>
      </c>
      <c r="O223" s="48" t="s">
        <v>857</v>
      </c>
      <c r="P223" s="50">
        <v>235199.15</v>
      </c>
      <c r="Q223" s="50">
        <v>1</v>
      </c>
      <c r="R223" s="50">
        <v>235199.15</v>
      </c>
      <c r="S223" s="74">
        <v>46049</v>
      </c>
      <c r="T223" s="48" t="s">
        <v>621</v>
      </c>
      <c r="U223" s="48" t="s">
        <v>613</v>
      </c>
      <c r="V223" s="48" t="s">
        <v>378</v>
      </c>
      <c r="W223" s="48"/>
    </row>
    <row r="224" spans="1:23" ht="15.75" x14ac:dyDescent="0.25">
      <c r="A224" s="48" t="s">
        <v>1446</v>
      </c>
      <c r="B224" s="49">
        <v>46042</v>
      </c>
      <c r="C224" s="48" t="s">
        <v>933</v>
      </c>
      <c r="D224" s="48" t="s">
        <v>509</v>
      </c>
      <c r="E224" s="48" t="s">
        <v>858</v>
      </c>
      <c r="F224" s="48" t="s">
        <v>95</v>
      </c>
      <c r="G224" s="48" t="s">
        <v>96</v>
      </c>
      <c r="H224" s="48" t="s">
        <v>27</v>
      </c>
      <c r="I224" s="48" t="s">
        <v>1337</v>
      </c>
      <c r="J224" s="48" t="s">
        <v>72</v>
      </c>
      <c r="K224" s="48" t="s">
        <v>511</v>
      </c>
      <c r="L224" s="48" t="s">
        <v>1236</v>
      </c>
      <c r="M224" s="48" t="s">
        <v>26</v>
      </c>
      <c r="N224" s="48" t="s">
        <v>20</v>
      </c>
      <c r="O224" s="48" t="s">
        <v>378</v>
      </c>
      <c r="P224" s="50">
        <v>123142</v>
      </c>
      <c r="Q224" s="50">
        <v>1</v>
      </c>
      <c r="R224" s="50">
        <v>123142</v>
      </c>
      <c r="S224" s="74">
        <v>46048</v>
      </c>
      <c r="T224" s="48" t="s">
        <v>1338</v>
      </c>
      <c r="U224" s="48" t="s">
        <v>511</v>
      </c>
      <c r="V224" s="48" t="s">
        <v>857</v>
      </c>
      <c r="W224" s="48"/>
    </row>
    <row r="225" spans="1:23" ht="15.75" x14ac:dyDescent="0.25">
      <c r="A225" s="48" t="s">
        <v>1446</v>
      </c>
      <c r="B225" s="49">
        <v>46042</v>
      </c>
      <c r="C225" s="48" t="s">
        <v>922</v>
      </c>
      <c r="D225" s="48" t="s">
        <v>509</v>
      </c>
      <c r="E225" s="48" t="s">
        <v>858</v>
      </c>
      <c r="F225" s="48" t="s">
        <v>95</v>
      </c>
      <c r="G225" s="48" t="s">
        <v>96</v>
      </c>
      <c r="H225" s="48" t="s">
        <v>27</v>
      </c>
      <c r="I225" s="48" t="s">
        <v>1337</v>
      </c>
      <c r="J225" s="48" t="s">
        <v>72</v>
      </c>
      <c r="K225" s="48" t="s">
        <v>511</v>
      </c>
      <c r="L225" s="48" t="s">
        <v>1236</v>
      </c>
      <c r="M225" s="48" t="s">
        <v>26</v>
      </c>
      <c r="N225" s="48" t="s">
        <v>20</v>
      </c>
      <c r="O225" s="48" t="s">
        <v>378</v>
      </c>
      <c r="P225" s="50">
        <v>125798.5</v>
      </c>
      <c r="Q225" s="50">
        <v>1</v>
      </c>
      <c r="R225" s="50">
        <v>125798.5</v>
      </c>
      <c r="S225" s="74">
        <v>46048</v>
      </c>
      <c r="T225" s="48" t="s">
        <v>1338</v>
      </c>
      <c r="U225" s="48" t="s">
        <v>511</v>
      </c>
      <c r="V225" s="48" t="s">
        <v>857</v>
      </c>
      <c r="W225" s="48"/>
    </row>
    <row r="226" spans="1:23" ht="15.75" x14ac:dyDescent="0.25">
      <c r="A226" s="48" t="s">
        <v>2568</v>
      </c>
      <c r="B226" s="49">
        <v>46020</v>
      </c>
      <c r="C226" s="48" t="s">
        <v>933</v>
      </c>
      <c r="D226" s="48" t="s">
        <v>1537</v>
      </c>
      <c r="E226" s="48" t="s">
        <v>856</v>
      </c>
      <c r="F226" s="48" t="s">
        <v>62</v>
      </c>
      <c r="G226" s="48" t="s">
        <v>70</v>
      </c>
      <c r="H226" s="48" t="s">
        <v>70</v>
      </c>
      <c r="I226" s="48" t="s">
        <v>1641</v>
      </c>
      <c r="J226" s="48" t="s">
        <v>72</v>
      </c>
      <c r="K226" s="48" t="s">
        <v>483</v>
      </c>
      <c r="L226" s="48" t="s">
        <v>1646</v>
      </c>
      <c r="M226" s="48" t="s">
        <v>26</v>
      </c>
      <c r="N226" s="48" t="s">
        <v>20</v>
      </c>
      <c r="O226" s="48" t="s">
        <v>857</v>
      </c>
      <c r="P226" s="50">
        <v>884957.28000000026</v>
      </c>
      <c r="Q226" s="50">
        <v>1</v>
      </c>
      <c r="R226" s="50">
        <v>884957.28000000026</v>
      </c>
      <c r="S226" s="74">
        <v>46048</v>
      </c>
      <c r="T226" s="48" t="s">
        <v>305</v>
      </c>
      <c r="U226" s="48" t="s">
        <v>70</v>
      </c>
      <c r="V226" s="48" t="s">
        <v>857</v>
      </c>
      <c r="W226" s="48"/>
    </row>
    <row r="227" spans="1:23" ht="15.75" x14ac:dyDescent="0.25">
      <c r="A227" s="48" t="s">
        <v>1934</v>
      </c>
      <c r="B227" s="49">
        <v>46020</v>
      </c>
      <c r="C227" s="48" t="s">
        <v>933</v>
      </c>
      <c r="D227" s="48" t="s">
        <v>1537</v>
      </c>
      <c r="E227" s="48" t="s">
        <v>856</v>
      </c>
      <c r="F227" s="48" t="s">
        <v>62</v>
      </c>
      <c r="G227" s="48" t="s">
        <v>483</v>
      </c>
      <c r="H227" s="48" t="s">
        <v>27</v>
      </c>
      <c r="I227" s="48" t="s">
        <v>1641</v>
      </c>
      <c r="J227" s="48" t="s">
        <v>72</v>
      </c>
      <c r="K227" s="48" t="s">
        <v>483</v>
      </c>
      <c r="L227" s="48" t="s">
        <v>1646</v>
      </c>
      <c r="M227" s="48" t="s">
        <v>26</v>
      </c>
      <c r="N227" s="48" t="s">
        <v>20</v>
      </c>
      <c r="O227" s="48" t="s">
        <v>857</v>
      </c>
      <c r="P227" s="50">
        <v>2152954.58</v>
      </c>
      <c r="Q227" s="50">
        <v>1</v>
      </c>
      <c r="R227" s="50">
        <v>2152954.58</v>
      </c>
      <c r="S227" s="74">
        <v>46048</v>
      </c>
      <c r="T227" s="48" t="s">
        <v>305</v>
      </c>
      <c r="U227" s="48" t="s">
        <v>483</v>
      </c>
      <c r="V227" s="48" t="s">
        <v>857</v>
      </c>
      <c r="W227" s="48"/>
    </row>
    <row r="228" spans="1:23" ht="15.75" x14ac:dyDescent="0.25">
      <c r="A228" s="48" t="s">
        <v>1767</v>
      </c>
      <c r="B228" s="49">
        <v>46043</v>
      </c>
      <c r="C228" s="48" t="s">
        <v>924</v>
      </c>
      <c r="D228" s="48" t="s">
        <v>509</v>
      </c>
      <c r="E228" s="48" t="s">
        <v>856</v>
      </c>
      <c r="F228" s="48" t="s">
        <v>21</v>
      </c>
      <c r="G228" s="48" t="s">
        <v>22</v>
      </c>
      <c r="H228" s="48" t="s">
        <v>27</v>
      </c>
      <c r="I228" s="48" t="s">
        <v>1337</v>
      </c>
      <c r="J228" s="48" t="s">
        <v>72</v>
      </c>
      <c r="K228" s="48" t="s">
        <v>511</v>
      </c>
      <c r="L228" s="48" t="s">
        <v>1236</v>
      </c>
      <c r="M228" s="48" t="s">
        <v>26</v>
      </c>
      <c r="N228" s="48" t="s">
        <v>20</v>
      </c>
      <c r="O228" s="48" t="s">
        <v>857</v>
      </c>
      <c r="P228" s="50">
        <v>231118.72</v>
      </c>
      <c r="Q228" s="50">
        <v>1</v>
      </c>
      <c r="R228" s="50">
        <v>231118.72</v>
      </c>
      <c r="S228" s="74">
        <v>46047</v>
      </c>
      <c r="T228" s="48" t="s">
        <v>1338</v>
      </c>
      <c r="U228" s="48" t="s">
        <v>511</v>
      </c>
      <c r="V228" s="48" t="s">
        <v>857</v>
      </c>
      <c r="W228" s="48"/>
    </row>
    <row r="229" spans="1:23" ht="15.75" x14ac:dyDescent="0.25">
      <c r="A229" s="48" t="s">
        <v>1885</v>
      </c>
      <c r="B229" s="49">
        <v>45973</v>
      </c>
      <c r="C229" s="48" t="s">
        <v>916</v>
      </c>
      <c r="D229" s="48" t="s">
        <v>441</v>
      </c>
      <c r="E229" s="48" t="s">
        <v>858</v>
      </c>
      <c r="F229" s="48" t="s">
        <v>21</v>
      </c>
      <c r="G229" s="48" t="s">
        <v>22</v>
      </c>
      <c r="H229" s="48" t="s">
        <v>27</v>
      </c>
      <c r="I229" s="48" t="s">
        <v>1863</v>
      </c>
      <c r="J229" s="48" t="s">
        <v>24</v>
      </c>
      <c r="K229" s="48" t="s">
        <v>22</v>
      </c>
      <c r="L229" s="48" t="s">
        <v>1132</v>
      </c>
      <c r="M229" s="48" t="s">
        <v>26</v>
      </c>
      <c r="N229" s="48" t="s">
        <v>20</v>
      </c>
      <c r="O229" s="48" t="s">
        <v>857</v>
      </c>
      <c r="P229" s="50">
        <v>207933.08</v>
      </c>
      <c r="Q229" s="50">
        <v>1</v>
      </c>
      <c r="R229" s="50">
        <v>207933.08</v>
      </c>
      <c r="S229" s="74">
        <v>46047</v>
      </c>
      <c r="T229" s="48" t="s">
        <v>621</v>
      </c>
      <c r="U229" s="48" t="s">
        <v>613</v>
      </c>
      <c r="V229" s="48" t="s">
        <v>378</v>
      </c>
      <c r="W229" s="48"/>
    </row>
    <row r="230" spans="1:23" ht="15.75" x14ac:dyDescent="0.25">
      <c r="A230" s="48" t="s">
        <v>1566</v>
      </c>
      <c r="B230" s="49">
        <v>46027</v>
      </c>
      <c r="C230" s="48" t="s">
        <v>928</v>
      </c>
      <c r="D230" s="48" t="s">
        <v>441</v>
      </c>
      <c r="E230" s="48" t="s">
        <v>856</v>
      </c>
      <c r="F230" s="48" t="s">
        <v>612</v>
      </c>
      <c r="G230" s="48" t="s">
        <v>613</v>
      </c>
      <c r="H230" s="48" t="s">
        <v>27</v>
      </c>
      <c r="I230" s="48" t="s">
        <v>693</v>
      </c>
      <c r="J230" s="48" t="s">
        <v>24</v>
      </c>
      <c r="K230" s="48" t="s">
        <v>613</v>
      </c>
      <c r="L230" s="48" t="s">
        <v>1135</v>
      </c>
      <c r="M230" s="48" t="s">
        <v>26</v>
      </c>
      <c r="N230" s="48" t="s">
        <v>20</v>
      </c>
      <c r="O230" s="48" t="s">
        <v>378</v>
      </c>
      <c r="P230" s="50">
        <v>96824.6</v>
      </c>
      <c r="Q230" s="50">
        <v>1</v>
      </c>
      <c r="R230" s="50">
        <v>96824.6</v>
      </c>
      <c r="S230" s="74">
        <v>46047</v>
      </c>
      <c r="T230" s="48" t="s">
        <v>311</v>
      </c>
      <c r="U230" s="48" t="s">
        <v>613</v>
      </c>
      <c r="V230" s="48" t="s">
        <v>857</v>
      </c>
      <c r="W230" s="48"/>
    </row>
    <row r="231" spans="1:23" ht="15.75" x14ac:dyDescent="0.25">
      <c r="A231" s="48" t="s">
        <v>1673</v>
      </c>
      <c r="B231" s="49">
        <v>45936</v>
      </c>
      <c r="C231" s="48" t="s">
        <v>916</v>
      </c>
      <c r="D231" s="48" t="s">
        <v>1119</v>
      </c>
      <c r="E231" s="48" t="s">
        <v>858</v>
      </c>
      <c r="F231" s="48" t="s">
        <v>366</v>
      </c>
      <c r="G231" s="48" t="s">
        <v>367</v>
      </c>
      <c r="H231" s="48" t="s">
        <v>27</v>
      </c>
      <c r="I231" s="48" t="s">
        <v>1628</v>
      </c>
      <c r="J231" s="48" t="s">
        <v>24</v>
      </c>
      <c r="K231" s="48" t="s">
        <v>367</v>
      </c>
      <c r="L231" s="48" t="s">
        <v>1136</v>
      </c>
      <c r="M231" s="48" t="s">
        <v>26</v>
      </c>
      <c r="N231" s="48" t="s">
        <v>20</v>
      </c>
      <c r="O231" s="48" t="s">
        <v>857</v>
      </c>
      <c r="P231" s="50">
        <v>239654.07</v>
      </c>
      <c r="Q231" s="50">
        <v>1</v>
      </c>
      <c r="R231" s="50">
        <v>239654.07</v>
      </c>
      <c r="S231" s="74">
        <v>46047</v>
      </c>
      <c r="T231" s="48" t="s">
        <v>1629</v>
      </c>
      <c r="U231" s="48" t="s">
        <v>367</v>
      </c>
      <c r="V231" s="48" t="s">
        <v>857</v>
      </c>
      <c r="W231" s="48"/>
    </row>
    <row r="232" spans="1:23" ht="15.75" x14ac:dyDescent="0.25">
      <c r="A232" s="48" t="s">
        <v>1817</v>
      </c>
      <c r="B232" s="49">
        <v>45970</v>
      </c>
      <c r="C232" s="48" t="s">
        <v>916</v>
      </c>
      <c r="D232" s="48" t="s">
        <v>1181</v>
      </c>
      <c r="E232" s="48" t="s">
        <v>856</v>
      </c>
      <c r="F232" s="48" t="s">
        <v>366</v>
      </c>
      <c r="G232" s="48" t="s">
        <v>710</v>
      </c>
      <c r="H232" s="48" t="s">
        <v>27</v>
      </c>
      <c r="I232" s="48" t="s">
        <v>1760</v>
      </c>
      <c r="J232" s="48" t="s">
        <v>1791</v>
      </c>
      <c r="K232" s="48" t="s">
        <v>81</v>
      </c>
      <c r="L232" s="48" t="s">
        <v>1139</v>
      </c>
      <c r="M232" s="48" t="s">
        <v>26</v>
      </c>
      <c r="N232" s="48" t="s">
        <v>20</v>
      </c>
      <c r="O232" s="48" t="s">
        <v>857</v>
      </c>
      <c r="P232" s="50">
        <v>1180195</v>
      </c>
      <c r="Q232" s="50">
        <v>1</v>
      </c>
      <c r="R232" s="50">
        <v>1180195</v>
      </c>
      <c r="S232" s="74">
        <v>46047</v>
      </c>
      <c r="T232" s="48" t="s">
        <v>408</v>
      </c>
      <c r="U232" s="48" t="s">
        <v>367</v>
      </c>
      <c r="V232" s="48" t="s">
        <v>857</v>
      </c>
      <c r="W232" s="48"/>
    </row>
    <row r="233" spans="1:23" ht="15.75" x14ac:dyDescent="0.25">
      <c r="A233" s="48" t="s">
        <v>1834</v>
      </c>
      <c r="B233" s="49">
        <v>46042</v>
      </c>
      <c r="C233" s="48" t="s">
        <v>928</v>
      </c>
      <c r="D233" s="48" t="s">
        <v>1537</v>
      </c>
      <c r="E233" s="48" t="s">
        <v>858</v>
      </c>
      <c r="F233" s="48" t="s">
        <v>62</v>
      </c>
      <c r="G233" s="48" t="s">
        <v>483</v>
      </c>
      <c r="H233" s="48" t="s">
        <v>27</v>
      </c>
      <c r="I233" s="48" t="s">
        <v>1647</v>
      </c>
      <c r="J233" s="48" t="s">
        <v>72</v>
      </c>
      <c r="K233" s="48" t="s">
        <v>483</v>
      </c>
      <c r="L233" s="48" t="s">
        <v>1646</v>
      </c>
      <c r="M233" s="48" t="s">
        <v>78</v>
      </c>
      <c r="N233" s="48" t="s">
        <v>20</v>
      </c>
      <c r="O233" s="48" t="s">
        <v>857</v>
      </c>
      <c r="P233" s="50">
        <v>144571.51</v>
      </c>
      <c r="Q233" s="50">
        <v>3.76</v>
      </c>
      <c r="R233" s="50">
        <v>543588.87760000001</v>
      </c>
      <c r="S233" s="74">
        <v>46044</v>
      </c>
      <c r="T233" s="48" t="s">
        <v>1937</v>
      </c>
      <c r="U233" s="48" t="s">
        <v>483</v>
      </c>
      <c r="V233" s="48" t="s">
        <v>857</v>
      </c>
      <c r="W233" s="48"/>
    </row>
    <row r="234" spans="1:23" ht="15.75" x14ac:dyDescent="0.25">
      <c r="A234" s="48" t="s">
        <v>1876</v>
      </c>
      <c r="B234" s="49">
        <v>45960</v>
      </c>
      <c r="C234" s="48" t="s">
        <v>916</v>
      </c>
      <c r="D234" s="48" t="s">
        <v>441</v>
      </c>
      <c r="E234" s="48" t="s">
        <v>856</v>
      </c>
      <c r="F234" s="48" t="s">
        <v>366</v>
      </c>
      <c r="G234" s="48" t="s">
        <v>710</v>
      </c>
      <c r="H234" s="48" t="s">
        <v>27</v>
      </c>
      <c r="I234" s="48" t="s">
        <v>1838</v>
      </c>
      <c r="J234" s="48" t="s">
        <v>24</v>
      </c>
      <c r="K234" s="48" t="s">
        <v>710</v>
      </c>
      <c r="L234" s="48" t="s">
        <v>1209</v>
      </c>
      <c r="M234" s="48" t="s">
        <v>26</v>
      </c>
      <c r="N234" s="48" t="s">
        <v>20</v>
      </c>
      <c r="O234" s="48" t="s">
        <v>857</v>
      </c>
      <c r="P234" s="50">
        <v>4182477.33</v>
      </c>
      <c r="Q234" s="50">
        <v>1</v>
      </c>
      <c r="R234" s="50">
        <v>4182477.33</v>
      </c>
      <c r="S234" s="74">
        <v>46044</v>
      </c>
      <c r="T234" s="48" t="s">
        <v>621</v>
      </c>
      <c r="U234" s="48" t="s">
        <v>710</v>
      </c>
      <c r="V234" s="48" t="s">
        <v>857</v>
      </c>
      <c r="W234" s="48"/>
    </row>
    <row r="235" spans="1:23" ht="15.75" x14ac:dyDescent="0.25">
      <c r="A235" s="48" t="s">
        <v>1874</v>
      </c>
      <c r="B235" s="49">
        <v>45986</v>
      </c>
      <c r="C235" s="48" t="s">
        <v>916</v>
      </c>
      <c r="D235" s="48" t="s">
        <v>441</v>
      </c>
      <c r="E235" s="48" t="s">
        <v>858</v>
      </c>
      <c r="F235" s="48" t="s">
        <v>366</v>
      </c>
      <c r="G235" s="48" t="s">
        <v>710</v>
      </c>
      <c r="H235" s="48" t="s">
        <v>27</v>
      </c>
      <c r="I235" s="48" t="s">
        <v>1789</v>
      </c>
      <c r="J235" s="48" t="s">
        <v>24</v>
      </c>
      <c r="K235" s="48" t="s">
        <v>710</v>
      </c>
      <c r="L235" s="48" t="s">
        <v>1209</v>
      </c>
      <c r="M235" s="48" t="s">
        <v>26</v>
      </c>
      <c r="N235" s="48" t="s">
        <v>20</v>
      </c>
      <c r="O235" s="48" t="s">
        <v>857</v>
      </c>
      <c r="P235" s="50">
        <v>2000000</v>
      </c>
      <c r="Q235" s="50">
        <v>1</v>
      </c>
      <c r="R235" s="50">
        <v>2000000</v>
      </c>
      <c r="S235" s="74">
        <v>46041</v>
      </c>
      <c r="T235" s="48" t="s">
        <v>621</v>
      </c>
      <c r="U235" s="48" t="s">
        <v>710</v>
      </c>
      <c r="V235" s="48" t="s">
        <v>857</v>
      </c>
      <c r="W235" s="48"/>
    </row>
    <row r="236" spans="1:23" ht="15.75" x14ac:dyDescent="0.25">
      <c r="A236" s="48" t="s">
        <v>1658</v>
      </c>
      <c r="B236" s="49">
        <v>45951</v>
      </c>
      <c r="C236" s="48" t="s">
        <v>918</v>
      </c>
      <c r="D236" s="48" t="s">
        <v>441</v>
      </c>
      <c r="E236" s="48" t="s">
        <v>858</v>
      </c>
      <c r="F236" s="48" t="s">
        <v>21</v>
      </c>
      <c r="G236" s="48" t="s">
        <v>22</v>
      </c>
      <c r="H236" s="48" t="s">
        <v>27</v>
      </c>
      <c r="I236" s="48" t="s">
        <v>1589</v>
      </c>
      <c r="J236" s="48" t="s">
        <v>24</v>
      </c>
      <c r="K236" s="48" t="s">
        <v>22</v>
      </c>
      <c r="L236" s="48" t="s">
        <v>1132</v>
      </c>
      <c r="M236" s="48" t="s">
        <v>26</v>
      </c>
      <c r="N236" s="48" t="s">
        <v>20</v>
      </c>
      <c r="O236" s="48" t="s">
        <v>857</v>
      </c>
      <c r="P236" s="50">
        <v>245588.5</v>
      </c>
      <c r="Q236" s="50">
        <v>1</v>
      </c>
      <c r="R236" s="50">
        <v>245588.5</v>
      </c>
      <c r="S236" s="74">
        <v>46040</v>
      </c>
      <c r="T236" s="48" t="s">
        <v>621</v>
      </c>
      <c r="U236" s="48" t="s">
        <v>613</v>
      </c>
      <c r="V236" s="48" t="s">
        <v>378</v>
      </c>
      <c r="W236" s="48"/>
    </row>
    <row r="237" spans="1:23" ht="15.75" x14ac:dyDescent="0.25">
      <c r="A237" s="48" t="s">
        <v>1328</v>
      </c>
      <c r="B237" s="49">
        <v>45970</v>
      </c>
      <c r="C237" s="48" t="s">
        <v>928</v>
      </c>
      <c r="D237" s="48" t="s">
        <v>441</v>
      </c>
      <c r="E237" s="48" t="s">
        <v>856</v>
      </c>
      <c r="F237" s="48" t="s">
        <v>373</v>
      </c>
      <c r="G237" s="48" t="s">
        <v>70</v>
      </c>
      <c r="H237" s="48" t="s">
        <v>70</v>
      </c>
      <c r="I237" s="48" t="s">
        <v>521</v>
      </c>
      <c r="J237" s="48" t="s">
        <v>24</v>
      </c>
      <c r="K237" s="48" t="s">
        <v>22</v>
      </c>
      <c r="L237" s="48" t="s">
        <v>1132</v>
      </c>
      <c r="M237" s="48" t="s">
        <v>26</v>
      </c>
      <c r="N237" s="48" t="s">
        <v>20</v>
      </c>
      <c r="O237" s="48" t="s">
        <v>857</v>
      </c>
      <c r="P237" s="50">
        <v>1281656.55</v>
      </c>
      <c r="Q237" s="50">
        <v>1</v>
      </c>
      <c r="R237" s="50">
        <v>1281656.55</v>
      </c>
      <c r="S237" s="74">
        <v>46040</v>
      </c>
      <c r="T237" s="48" t="s">
        <v>311</v>
      </c>
      <c r="U237" s="48" t="s">
        <v>1849</v>
      </c>
      <c r="V237" s="48" t="s">
        <v>378</v>
      </c>
      <c r="W237" s="48"/>
    </row>
    <row r="238" spans="1:23" ht="15.75" x14ac:dyDescent="0.25">
      <c r="A238" s="48" t="s">
        <v>1662</v>
      </c>
      <c r="B238" s="49">
        <v>45957</v>
      </c>
      <c r="C238" s="48" t="s">
        <v>918</v>
      </c>
      <c r="D238" s="48" t="s">
        <v>1119</v>
      </c>
      <c r="E238" s="48" t="s">
        <v>858</v>
      </c>
      <c r="F238" s="48" t="s">
        <v>366</v>
      </c>
      <c r="G238" s="48" t="s">
        <v>367</v>
      </c>
      <c r="H238" s="48" t="s">
        <v>27</v>
      </c>
      <c r="I238" s="48" t="s">
        <v>1630</v>
      </c>
      <c r="J238" s="48" t="s">
        <v>24</v>
      </c>
      <c r="K238" s="48" t="s">
        <v>367</v>
      </c>
      <c r="L238" s="48" t="s">
        <v>1136</v>
      </c>
      <c r="M238" s="48" t="s">
        <v>26</v>
      </c>
      <c r="N238" s="48" t="s">
        <v>20</v>
      </c>
      <c r="O238" s="48" t="s">
        <v>857</v>
      </c>
      <c r="P238" s="50">
        <v>314788.40000000002</v>
      </c>
      <c r="Q238" s="50">
        <v>1</v>
      </c>
      <c r="R238" s="50">
        <v>314788.40000000002</v>
      </c>
      <c r="S238" s="74">
        <v>46040</v>
      </c>
      <c r="T238" s="48" t="s">
        <v>1624</v>
      </c>
      <c r="U238" s="48" t="s">
        <v>367</v>
      </c>
      <c r="V238" s="48" t="s">
        <v>857</v>
      </c>
      <c r="W238" s="48"/>
    </row>
    <row r="239" spans="1:23" ht="15.75" x14ac:dyDescent="0.25">
      <c r="A239" s="48" t="s">
        <v>1648</v>
      </c>
      <c r="B239" s="49">
        <v>45896</v>
      </c>
      <c r="C239" s="48" t="s">
        <v>916</v>
      </c>
      <c r="D239" s="48" t="s">
        <v>1119</v>
      </c>
      <c r="E239" s="48" t="s">
        <v>858</v>
      </c>
      <c r="F239" s="48" t="s">
        <v>366</v>
      </c>
      <c r="G239" s="48" t="s">
        <v>367</v>
      </c>
      <c r="H239" s="48" t="s">
        <v>27</v>
      </c>
      <c r="I239" s="48" t="s">
        <v>1625</v>
      </c>
      <c r="J239" s="48" t="s">
        <v>24</v>
      </c>
      <c r="K239" s="48" t="s">
        <v>367</v>
      </c>
      <c r="L239" s="48" t="s">
        <v>1136</v>
      </c>
      <c r="M239" s="48" t="s">
        <v>26</v>
      </c>
      <c r="N239" s="48" t="s">
        <v>20</v>
      </c>
      <c r="O239" s="48" t="s">
        <v>857</v>
      </c>
      <c r="P239" s="50">
        <v>2874080</v>
      </c>
      <c r="Q239" s="50">
        <v>1</v>
      </c>
      <c r="R239" s="50">
        <v>2874080</v>
      </c>
      <c r="S239" s="74">
        <v>46040</v>
      </c>
      <c r="T239" s="48" t="s">
        <v>1626</v>
      </c>
      <c r="U239" s="48" t="s">
        <v>367</v>
      </c>
      <c r="V239" s="48" t="s">
        <v>857</v>
      </c>
      <c r="W239" s="48"/>
    </row>
    <row r="240" spans="1:23" ht="15.75" x14ac:dyDescent="0.25">
      <c r="A240" s="48" t="s">
        <v>1664</v>
      </c>
      <c r="B240" s="49">
        <v>45977</v>
      </c>
      <c r="C240" s="48" t="s">
        <v>918</v>
      </c>
      <c r="D240" s="48" t="s">
        <v>1119</v>
      </c>
      <c r="E240" s="48" t="s">
        <v>858</v>
      </c>
      <c r="F240" s="48" t="s">
        <v>366</v>
      </c>
      <c r="G240" s="48" t="s">
        <v>367</v>
      </c>
      <c r="H240" s="48" t="s">
        <v>27</v>
      </c>
      <c r="I240" s="48" t="s">
        <v>1623</v>
      </c>
      <c r="J240" s="48" t="s">
        <v>24</v>
      </c>
      <c r="K240" s="48" t="s">
        <v>367</v>
      </c>
      <c r="L240" s="48" t="s">
        <v>1136</v>
      </c>
      <c r="M240" s="48" t="s">
        <v>26</v>
      </c>
      <c r="N240" s="48" t="s">
        <v>20</v>
      </c>
      <c r="O240" s="48" t="s">
        <v>857</v>
      </c>
      <c r="P240" s="50">
        <v>164946.54999999999</v>
      </c>
      <c r="Q240" s="50">
        <v>1</v>
      </c>
      <c r="R240" s="50">
        <v>164946.54999999999</v>
      </c>
      <c r="S240" s="74">
        <v>46040</v>
      </c>
      <c r="T240" s="48" t="s">
        <v>1624</v>
      </c>
      <c r="U240" s="48" t="s">
        <v>367</v>
      </c>
      <c r="V240" s="48" t="s">
        <v>857</v>
      </c>
      <c r="W240" s="48"/>
    </row>
    <row r="241" spans="1:23" ht="15.75" x14ac:dyDescent="0.25">
      <c r="A241" s="48" t="s">
        <v>1652</v>
      </c>
      <c r="B241" s="49">
        <v>45964</v>
      </c>
      <c r="C241" s="48" t="s">
        <v>918</v>
      </c>
      <c r="D241" s="48" t="s">
        <v>1119</v>
      </c>
      <c r="E241" s="48" t="s">
        <v>858</v>
      </c>
      <c r="F241" s="48" t="s">
        <v>366</v>
      </c>
      <c r="G241" s="48" t="s">
        <v>367</v>
      </c>
      <c r="H241" s="48" t="s">
        <v>27</v>
      </c>
      <c r="I241" s="48" t="s">
        <v>1614</v>
      </c>
      <c r="J241" s="48" t="s">
        <v>24</v>
      </c>
      <c r="K241" s="48" t="s">
        <v>367</v>
      </c>
      <c r="L241" s="48" t="s">
        <v>1136</v>
      </c>
      <c r="M241" s="48" t="s">
        <v>26</v>
      </c>
      <c r="N241" s="48" t="s">
        <v>20</v>
      </c>
      <c r="O241" s="48" t="s">
        <v>857</v>
      </c>
      <c r="P241" s="50">
        <v>194357.37</v>
      </c>
      <c r="Q241" s="50">
        <v>1</v>
      </c>
      <c r="R241" s="50">
        <v>194357.37</v>
      </c>
      <c r="S241" s="74">
        <v>46040</v>
      </c>
      <c r="T241" s="48" t="s">
        <v>1624</v>
      </c>
      <c r="U241" s="48" t="s">
        <v>367</v>
      </c>
      <c r="V241" s="48" t="s">
        <v>857</v>
      </c>
      <c r="W241" s="48"/>
    </row>
    <row r="242" spans="1:23" ht="15.75" x14ac:dyDescent="0.25">
      <c r="A242" s="48" t="s">
        <v>1671</v>
      </c>
      <c r="B242" s="49">
        <v>45965</v>
      </c>
      <c r="C242" s="48" t="s">
        <v>916</v>
      </c>
      <c r="D242" s="48" t="s">
        <v>1119</v>
      </c>
      <c r="E242" s="48" t="s">
        <v>856</v>
      </c>
      <c r="F242" s="48" t="s">
        <v>366</v>
      </c>
      <c r="G242" s="48" t="s">
        <v>367</v>
      </c>
      <c r="H242" s="48" t="s">
        <v>27</v>
      </c>
      <c r="I242" s="48" t="s">
        <v>1634</v>
      </c>
      <c r="J242" s="48" t="s">
        <v>24</v>
      </c>
      <c r="K242" s="48" t="s">
        <v>367</v>
      </c>
      <c r="L242" s="48" t="s">
        <v>1136</v>
      </c>
      <c r="M242" s="48" t="s">
        <v>26</v>
      </c>
      <c r="N242" s="48" t="s">
        <v>20</v>
      </c>
      <c r="O242" s="48" t="s">
        <v>857</v>
      </c>
      <c r="P242" s="50">
        <v>871119.25</v>
      </c>
      <c r="Q242" s="50">
        <v>1</v>
      </c>
      <c r="R242" s="50">
        <v>871119.25</v>
      </c>
      <c r="S242" s="74">
        <v>46040</v>
      </c>
      <c r="T242" s="48" t="s">
        <v>1624</v>
      </c>
      <c r="U242" s="48" t="s">
        <v>367</v>
      </c>
      <c r="V242" s="48" t="s">
        <v>857</v>
      </c>
      <c r="W242" s="48"/>
    </row>
    <row r="243" spans="1:23" ht="15.75" x14ac:dyDescent="0.25">
      <c r="A243" s="48" t="s">
        <v>1189</v>
      </c>
      <c r="B243" s="49">
        <v>45986</v>
      </c>
      <c r="C243" s="48" t="s">
        <v>918</v>
      </c>
      <c r="D243" s="48" t="s">
        <v>441</v>
      </c>
      <c r="E243" s="48" t="s">
        <v>858</v>
      </c>
      <c r="F243" s="48" t="s">
        <v>366</v>
      </c>
      <c r="G243" s="48" t="s">
        <v>710</v>
      </c>
      <c r="H243" s="48" t="s">
        <v>27</v>
      </c>
      <c r="I243" s="48" t="s">
        <v>1122</v>
      </c>
      <c r="J243" s="48" t="s">
        <v>24</v>
      </c>
      <c r="K243" s="48" t="s">
        <v>710</v>
      </c>
      <c r="L243" s="48" t="s">
        <v>1209</v>
      </c>
      <c r="M243" s="48" t="s">
        <v>26</v>
      </c>
      <c r="N243" s="48" t="s">
        <v>20</v>
      </c>
      <c r="O243" s="48" t="s">
        <v>857</v>
      </c>
      <c r="P243" s="50">
        <v>188433.83</v>
      </c>
      <c r="Q243" s="50">
        <v>1</v>
      </c>
      <c r="R243" s="50">
        <v>188433.83</v>
      </c>
      <c r="S243" s="74">
        <v>46040</v>
      </c>
      <c r="T243" s="48" t="s">
        <v>425</v>
      </c>
      <c r="U243" s="48" t="s">
        <v>710</v>
      </c>
      <c r="V243" s="48" t="s">
        <v>857</v>
      </c>
      <c r="W243" s="48"/>
    </row>
    <row r="244" spans="1:23" ht="15.75" x14ac:dyDescent="0.25">
      <c r="A244" s="48" t="s">
        <v>1872</v>
      </c>
      <c r="B244" s="49">
        <v>45964</v>
      </c>
      <c r="C244" s="48" t="s">
        <v>916</v>
      </c>
      <c r="D244" s="48" t="s">
        <v>441</v>
      </c>
      <c r="E244" s="48" t="s">
        <v>856</v>
      </c>
      <c r="F244" s="48" t="s">
        <v>366</v>
      </c>
      <c r="G244" s="48" t="s">
        <v>710</v>
      </c>
      <c r="H244" s="48" t="s">
        <v>27</v>
      </c>
      <c r="I244" s="48" t="s">
        <v>1839</v>
      </c>
      <c r="J244" s="48" t="s">
        <v>24</v>
      </c>
      <c r="K244" s="48" t="s">
        <v>710</v>
      </c>
      <c r="L244" s="48" t="s">
        <v>1209</v>
      </c>
      <c r="M244" s="48" t="s">
        <v>26</v>
      </c>
      <c r="N244" s="48" t="s">
        <v>20</v>
      </c>
      <c r="O244" s="48" t="s">
        <v>857</v>
      </c>
      <c r="P244" s="50">
        <v>906374.06</v>
      </c>
      <c r="Q244" s="50">
        <v>1</v>
      </c>
      <c r="R244" s="50">
        <v>906374.06</v>
      </c>
      <c r="S244" s="74">
        <v>46037</v>
      </c>
      <c r="T244" s="48" t="s">
        <v>621</v>
      </c>
      <c r="U244" s="48" t="s">
        <v>710</v>
      </c>
      <c r="V244" s="48" t="s">
        <v>857</v>
      </c>
      <c r="W244" s="48"/>
    </row>
    <row r="245" spans="1:23" ht="15.75" x14ac:dyDescent="0.25">
      <c r="A245" s="48" t="s">
        <v>1566</v>
      </c>
      <c r="B245" s="49">
        <v>45963</v>
      </c>
      <c r="C245" s="48" t="s">
        <v>924</v>
      </c>
      <c r="D245" s="48" t="s">
        <v>441</v>
      </c>
      <c r="E245" s="48" t="s">
        <v>856</v>
      </c>
      <c r="F245" s="48" t="s">
        <v>612</v>
      </c>
      <c r="G245" s="48" t="s">
        <v>613</v>
      </c>
      <c r="H245" s="48" t="s">
        <v>27</v>
      </c>
      <c r="I245" s="48" t="s">
        <v>693</v>
      </c>
      <c r="J245" s="48" t="s">
        <v>24</v>
      </c>
      <c r="K245" s="48" t="s">
        <v>613</v>
      </c>
      <c r="L245" s="48" t="s">
        <v>1135</v>
      </c>
      <c r="M245" s="48" t="s">
        <v>26</v>
      </c>
      <c r="N245" s="48" t="s">
        <v>20</v>
      </c>
      <c r="O245" s="48" t="s">
        <v>378</v>
      </c>
      <c r="P245" s="50">
        <v>48936.47</v>
      </c>
      <c r="Q245" s="50">
        <v>1</v>
      </c>
      <c r="R245" s="50">
        <v>48936.47</v>
      </c>
      <c r="S245" s="74">
        <v>46036</v>
      </c>
      <c r="T245" s="48" t="s">
        <v>311</v>
      </c>
      <c r="U245" s="48" t="s">
        <v>613</v>
      </c>
      <c r="V245" s="48" t="s">
        <v>857</v>
      </c>
      <c r="W245" s="48"/>
    </row>
    <row r="246" spans="1:23" ht="15.75" x14ac:dyDescent="0.25">
      <c r="A246" s="48" t="s">
        <v>1934</v>
      </c>
      <c r="B246" s="49">
        <v>46006</v>
      </c>
      <c r="C246" s="48" t="s">
        <v>928</v>
      </c>
      <c r="D246" s="48" t="s">
        <v>1537</v>
      </c>
      <c r="E246" s="48" t="s">
        <v>856</v>
      </c>
      <c r="F246" s="48" t="s">
        <v>62</v>
      </c>
      <c r="G246" s="48" t="s">
        <v>483</v>
      </c>
      <c r="H246" s="48" t="s">
        <v>27</v>
      </c>
      <c r="I246" s="48" t="s">
        <v>1641</v>
      </c>
      <c r="J246" s="48" t="s">
        <v>72</v>
      </c>
      <c r="K246" s="48" t="s">
        <v>483</v>
      </c>
      <c r="L246" s="48" t="s">
        <v>1646</v>
      </c>
      <c r="M246" s="48" t="s">
        <v>26</v>
      </c>
      <c r="N246" s="48" t="s">
        <v>20</v>
      </c>
      <c r="O246" s="48" t="s">
        <v>857</v>
      </c>
      <c r="P246" s="50">
        <v>2440379.4900000002</v>
      </c>
      <c r="Q246" s="50">
        <v>1</v>
      </c>
      <c r="R246" s="50">
        <v>2440379.4900000002</v>
      </c>
      <c r="S246" s="74">
        <v>46035</v>
      </c>
      <c r="T246" s="48" t="s">
        <v>305</v>
      </c>
      <c r="U246" s="48" t="s">
        <v>483</v>
      </c>
      <c r="V246" s="48" t="s">
        <v>857</v>
      </c>
      <c r="W246" s="48"/>
    </row>
    <row r="247" spans="1:23" ht="15.75" x14ac:dyDescent="0.25">
      <c r="A247" s="48" t="s">
        <v>596</v>
      </c>
      <c r="B247" s="49">
        <v>46030</v>
      </c>
      <c r="C247" s="48" t="s">
        <v>928</v>
      </c>
      <c r="D247" s="48" t="s">
        <v>441</v>
      </c>
      <c r="E247" s="48" t="s">
        <v>858</v>
      </c>
      <c r="F247" s="48" t="s">
        <v>373</v>
      </c>
      <c r="G247" s="48" t="s">
        <v>70</v>
      </c>
      <c r="H247" s="48" t="s">
        <v>70</v>
      </c>
      <c r="I247" s="48" t="s">
        <v>155</v>
      </c>
      <c r="J247" s="48" t="s">
        <v>24</v>
      </c>
      <c r="K247" s="48" t="s">
        <v>22</v>
      </c>
      <c r="L247" s="48" t="s">
        <v>1132</v>
      </c>
      <c r="M247" s="48" t="s">
        <v>26</v>
      </c>
      <c r="N247" s="48" t="s">
        <v>20</v>
      </c>
      <c r="O247" s="48" t="s">
        <v>378</v>
      </c>
      <c r="P247" s="50">
        <v>616454.66999999993</v>
      </c>
      <c r="Q247" s="50">
        <v>1</v>
      </c>
      <c r="R247" s="50">
        <v>616454.66999999993</v>
      </c>
      <c r="S247" s="74">
        <v>46035</v>
      </c>
      <c r="T247" s="48" t="s">
        <v>311</v>
      </c>
      <c r="U247" s="48" t="s">
        <v>613</v>
      </c>
      <c r="V247" s="48" t="s">
        <v>378</v>
      </c>
      <c r="W247" s="48" t="s">
        <v>3626</v>
      </c>
    </row>
    <row r="248" spans="1:23" ht="15.75" x14ac:dyDescent="0.25">
      <c r="A248" s="48" t="s">
        <v>596</v>
      </c>
      <c r="B248" s="49">
        <v>46030</v>
      </c>
      <c r="C248" s="48" t="s">
        <v>3625</v>
      </c>
      <c r="D248" s="48" t="s">
        <v>441</v>
      </c>
      <c r="E248" s="48" t="s">
        <v>858</v>
      </c>
      <c r="F248" s="48" t="s">
        <v>373</v>
      </c>
      <c r="G248" s="48" t="s">
        <v>70</v>
      </c>
      <c r="H248" s="48" t="s">
        <v>70</v>
      </c>
      <c r="I248" s="48" t="s">
        <v>155</v>
      </c>
      <c r="J248" s="48" t="s">
        <v>24</v>
      </c>
      <c r="K248" s="48" t="s">
        <v>22</v>
      </c>
      <c r="L248" s="48" t="s">
        <v>1132</v>
      </c>
      <c r="M248" s="48" t="s">
        <v>26</v>
      </c>
      <c r="N248" s="48" t="s">
        <v>20</v>
      </c>
      <c r="O248" s="48" t="s">
        <v>378</v>
      </c>
      <c r="P248" s="50">
        <v>205932.54999999993</v>
      </c>
      <c r="Q248" s="50">
        <v>1</v>
      </c>
      <c r="R248" s="50">
        <v>205932.54999999993</v>
      </c>
      <c r="S248" s="74">
        <v>46035</v>
      </c>
      <c r="T248" s="48" t="s">
        <v>311</v>
      </c>
      <c r="U248" s="48" t="s">
        <v>1849</v>
      </c>
      <c r="V248" s="48" t="s">
        <v>378</v>
      </c>
      <c r="W248" s="48" t="s">
        <v>3626</v>
      </c>
    </row>
    <row r="249" spans="1:23" ht="15.75" x14ac:dyDescent="0.25">
      <c r="A249" s="48" t="s">
        <v>694</v>
      </c>
      <c r="B249" s="49">
        <v>45945</v>
      </c>
      <c r="C249" s="48" t="s">
        <v>928</v>
      </c>
      <c r="D249" s="48" t="s">
        <v>441</v>
      </c>
      <c r="E249" s="48" t="s">
        <v>856</v>
      </c>
      <c r="F249" s="48" t="s">
        <v>612</v>
      </c>
      <c r="G249" s="48" t="s">
        <v>613</v>
      </c>
      <c r="H249" s="48" t="s">
        <v>27</v>
      </c>
      <c r="I249" s="48" t="s">
        <v>695</v>
      </c>
      <c r="J249" s="48" t="s">
        <v>24</v>
      </c>
      <c r="K249" s="48" t="s">
        <v>613</v>
      </c>
      <c r="L249" s="48" t="s">
        <v>1135</v>
      </c>
      <c r="M249" s="48" t="s">
        <v>26</v>
      </c>
      <c r="N249" s="48" t="s">
        <v>20</v>
      </c>
      <c r="O249" s="48" t="s">
        <v>378</v>
      </c>
      <c r="P249" s="50">
        <v>119761.29</v>
      </c>
      <c r="Q249" s="50">
        <v>1</v>
      </c>
      <c r="R249" s="50">
        <v>119761.29</v>
      </c>
      <c r="S249" s="74">
        <v>46034</v>
      </c>
      <c r="T249" s="48" t="s">
        <v>311</v>
      </c>
      <c r="U249" s="48" t="s">
        <v>613</v>
      </c>
      <c r="V249" s="48" t="s">
        <v>857</v>
      </c>
      <c r="W249" s="48"/>
    </row>
    <row r="250" spans="1:23" ht="15.75" x14ac:dyDescent="0.25">
      <c r="A250" s="48" t="s">
        <v>2568</v>
      </c>
      <c r="B250" s="49">
        <v>46006</v>
      </c>
      <c r="C250" s="48" t="s">
        <v>3624</v>
      </c>
      <c r="D250" s="48" t="s">
        <v>1537</v>
      </c>
      <c r="E250" s="48" t="s">
        <v>856</v>
      </c>
      <c r="F250" s="48" t="s">
        <v>62</v>
      </c>
      <c r="G250" s="48" t="s">
        <v>70</v>
      </c>
      <c r="H250" s="48" t="s">
        <v>70</v>
      </c>
      <c r="I250" s="48" t="s">
        <v>1641</v>
      </c>
      <c r="J250" s="48" t="s">
        <v>72</v>
      </c>
      <c r="K250" s="48" t="s">
        <v>483</v>
      </c>
      <c r="L250" s="48" t="s">
        <v>1646</v>
      </c>
      <c r="M250" s="48" t="s">
        <v>26</v>
      </c>
      <c r="N250" s="48" t="s">
        <v>20</v>
      </c>
      <c r="O250" s="48" t="s">
        <v>857</v>
      </c>
      <c r="P250" s="50">
        <v>1003194.5099999998</v>
      </c>
      <c r="Q250" s="50">
        <v>1</v>
      </c>
      <c r="R250" s="50">
        <v>1003194.5099999998</v>
      </c>
      <c r="S250" s="74">
        <v>46034</v>
      </c>
      <c r="T250" s="48" t="s">
        <v>305</v>
      </c>
      <c r="U250" s="48" t="s">
        <v>70</v>
      </c>
      <c r="V250" s="48" t="s">
        <v>857</v>
      </c>
      <c r="W250" s="48"/>
    </row>
    <row r="251" spans="1:23" ht="15.75" x14ac:dyDescent="0.25">
      <c r="A251" s="48" t="s">
        <v>2568</v>
      </c>
      <c r="B251" s="49">
        <v>46006</v>
      </c>
      <c r="C251" s="48" t="s">
        <v>1304</v>
      </c>
      <c r="D251" s="48" t="s">
        <v>1537</v>
      </c>
      <c r="E251" s="48" t="s">
        <v>856</v>
      </c>
      <c r="F251" s="48" t="s">
        <v>62</v>
      </c>
      <c r="G251" s="48" t="s">
        <v>70</v>
      </c>
      <c r="H251" s="48" t="s">
        <v>70</v>
      </c>
      <c r="I251" s="48" t="s">
        <v>1641</v>
      </c>
      <c r="J251" s="48" t="s">
        <v>72</v>
      </c>
      <c r="K251" s="48" t="s">
        <v>483</v>
      </c>
      <c r="L251" s="48" t="s">
        <v>1646</v>
      </c>
      <c r="M251" s="48" t="s">
        <v>26</v>
      </c>
      <c r="N251" s="48" t="s">
        <v>20</v>
      </c>
      <c r="O251" s="48" t="s">
        <v>857</v>
      </c>
      <c r="P251" s="50">
        <v>394252.65</v>
      </c>
      <c r="Q251" s="50">
        <v>1</v>
      </c>
      <c r="R251" s="50">
        <v>394252.65</v>
      </c>
      <c r="S251" s="74">
        <v>46034</v>
      </c>
      <c r="T251" s="48" t="s">
        <v>305</v>
      </c>
      <c r="U251" s="48" t="s">
        <v>70</v>
      </c>
      <c r="V251" s="48" t="s">
        <v>857</v>
      </c>
      <c r="W251" s="48"/>
    </row>
    <row r="252" spans="1:23" ht="15.75" x14ac:dyDescent="0.25">
      <c r="A252" s="48" t="s">
        <v>1151</v>
      </c>
      <c r="B252" s="49">
        <v>46016</v>
      </c>
      <c r="C252" s="48" t="s">
        <v>918</v>
      </c>
      <c r="D252" s="48" t="s">
        <v>441</v>
      </c>
      <c r="E252" s="48" t="s">
        <v>856</v>
      </c>
      <c r="F252" s="48" t="s">
        <v>612</v>
      </c>
      <c r="G252" s="48" t="s">
        <v>613</v>
      </c>
      <c r="H252" s="48" t="s">
        <v>27</v>
      </c>
      <c r="I252" s="48" t="s">
        <v>1104</v>
      </c>
      <c r="J252" s="48" t="s">
        <v>24</v>
      </c>
      <c r="K252" s="48" t="s">
        <v>613</v>
      </c>
      <c r="L252" s="48" t="s">
        <v>1135</v>
      </c>
      <c r="M252" s="48" t="s">
        <v>26</v>
      </c>
      <c r="N252" s="48" t="s">
        <v>20</v>
      </c>
      <c r="O252" s="48" t="s">
        <v>378</v>
      </c>
      <c r="P252" s="50">
        <v>65268.54</v>
      </c>
      <c r="Q252" s="50">
        <v>1</v>
      </c>
      <c r="R252" s="50">
        <v>65268.54</v>
      </c>
      <c r="S252" s="74">
        <v>46034</v>
      </c>
      <c r="T252" s="48" t="s">
        <v>311</v>
      </c>
      <c r="U252" s="48" t="s">
        <v>613</v>
      </c>
      <c r="V252" s="48" t="s">
        <v>857</v>
      </c>
      <c r="W252" s="48"/>
    </row>
    <row r="253" spans="1:23" ht="15.75" x14ac:dyDescent="0.25">
      <c r="A253" s="48" t="s">
        <v>1934</v>
      </c>
      <c r="B253" s="49">
        <v>46006</v>
      </c>
      <c r="C253" s="48" t="s">
        <v>924</v>
      </c>
      <c r="D253" s="48" t="s">
        <v>1537</v>
      </c>
      <c r="E253" s="48" t="s">
        <v>856</v>
      </c>
      <c r="F253" s="48" t="s">
        <v>62</v>
      </c>
      <c r="G253" s="48" t="s">
        <v>483</v>
      </c>
      <c r="H253" s="48" t="s">
        <v>27</v>
      </c>
      <c r="I253" s="48" t="s">
        <v>1641</v>
      </c>
      <c r="J253" s="48" t="s">
        <v>72</v>
      </c>
      <c r="K253" s="48" t="s">
        <v>483</v>
      </c>
      <c r="L253" s="48" t="s">
        <v>1646</v>
      </c>
      <c r="M253" s="48" t="s">
        <v>26</v>
      </c>
      <c r="N253" s="48" t="s">
        <v>20</v>
      </c>
      <c r="O253" s="48" t="s">
        <v>857</v>
      </c>
      <c r="P253" s="50">
        <v>959062.35</v>
      </c>
      <c r="Q253" s="50">
        <v>1</v>
      </c>
      <c r="R253" s="50">
        <v>959062.35</v>
      </c>
      <c r="S253" s="74">
        <v>46034</v>
      </c>
      <c r="T253" s="48" t="s">
        <v>305</v>
      </c>
      <c r="U253" s="48" t="s">
        <v>483</v>
      </c>
      <c r="V253" s="48" t="s">
        <v>857</v>
      </c>
      <c r="W253" s="48"/>
    </row>
    <row r="254" spans="1:23" ht="15.75" x14ac:dyDescent="0.25">
      <c r="A254" s="48" t="s">
        <v>734</v>
      </c>
      <c r="B254" s="49">
        <v>45999</v>
      </c>
      <c r="C254" s="48" t="s">
        <v>916</v>
      </c>
      <c r="D254" s="48" t="s">
        <v>441</v>
      </c>
      <c r="E254" s="48" t="s">
        <v>856</v>
      </c>
      <c r="F254" s="48" t="s">
        <v>612</v>
      </c>
      <c r="G254" s="48" t="s">
        <v>613</v>
      </c>
      <c r="H254" s="48" t="s">
        <v>27</v>
      </c>
      <c r="I254" s="48" t="s">
        <v>735</v>
      </c>
      <c r="J254" s="48" t="s">
        <v>24</v>
      </c>
      <c r="K254" s="48" t="s">
        <v>613</v>
      </c>
      <c r="L254" s="48" t="s">
        <v>1135</v>
      </c>
      <c r="M254" s="48" t="s">
        <v>26</v>
      </c>
      <c r="N254" s="48" t="s">
        <v>20</v>
      </c>
      <c r="O254" s="48" t="s">
        <v>378</v>
      </c>
      <c r="P254" s="50">
        <v>263925</v>
      </c>
      <c r="Q254" s="50">
        <v>1</v>
      </c>
      <c r="R254" s="50">
        <v>263925</v>
      </c>
      <c r="S254" s="74">
        <v>46033</v>
      </c>
      <c r="T254" s="48" t="s">
        <v>425</v>
      </c>
      <c r="U254" s="48" t="s">
        <v>613</v>
      </c>
      <c r="V254" s="48" t="s">
        <v>857</v>
      </c>
      <c r="W254" s="48"/>
    </row>
    <row r="255" spans="1:23" ht="15.75" x14ac:dyDescent="0.25">
      <c r="A255" s="48" t="s">
        <v>1860</v>
      </c>
      <c r="B255" s="49">
        <v>45999</v>
      </c>
      <c r="C255" s="48" t="s">
        <v>916</v>
      </c>
      <c r="D255" s="48" t="s">
        <v>1537</v>
      </c>
      <c r="E255" s="48" t="s">
        <v>858</v>
      </c>
      <c r="F255" s="48" t="s">
        <v>62</v>
      </c>
      <c r="G255" s="48" t="s">
        <v>70</v>
      </c>
      <c r="H255" s="48" t="s">
        <v>70</v>
      </c>
      <c r="I255" s="48" t="s">
        <v>1787</v>
      </c>
      <c r="J255" s="48" t="s">
        <v>24</v>
      </c>
      <c r="K255" s="48" t="s">
        <v>483</v>
      </c>
      <c r="L255" s="48" t="s">
        <v>1646</v>
      </c>
      <c r="M255" s="48" t="s">
        <v>26</v>
      </c>
      <c r="N255" s="48" t="s">
        <v>20</v>
      </c>
      <c r="O255" s="48" t="s">
        <v>857</v>
      </c>
      <c r="P255" s="50">
        <v>450000</v>
      </c>
      <c r="Q255" s="50">
        <v>1</v>
      </c>
      <c r="R255" s="50">
        <v>450000</v>
      </c>
      <c r="S255" s="74">
        <v>46033</v>
      </c>
      <c r="T255" s="48" t="s">
        <v>621</v>
      </c>
      <c r="U255" s="48" t="s">
        <v>70</v>
      </c>
      <c r="V255" s="48" t="s">
        <v>857</v>
      </c>
      <c r="W255" s="48"/>
    </row>
    <row r="256" spans="1:23" ht="15.75" x14ac:dyDescent="0.25">
      <c r="A256" s="48" t="s">
        <v>1188</v>
      </c>
      <c r="B256" s="49">
        <v>46005</v>
      </c>
      <c r="C256" s="48" t="s">
        <v>918</v>
      </c>
      <c r="D256" s="48" t="s">
        <v>441</v>
      </c>
      <c r="E256" s="48" t="s">
        <v>858</v>
      </c>
      <c r="F256" s="48" t="s">
        <v>366</v>
      </c>
      <c r="G256" s="48" t="s">
        <v>710</v>
      </c>
      <c r="H256" s="48" t="s">
        <v>27</v>
      </c>
      <c r="I256" s="48" t="s">
        <v>836</v>
      </c>
      <c r="J256" s="48" t="s">
        <v>24</v>
      </c>
      <c r="K256" s="48" t="s">
        <v>710</v>
      </c>
      <c r="L256" s="48" t="s">
        <v>1209</v>
      </c>
      <c r="M256" s="48" t="s">
        <v>26</v>
      </c>
      <c r="N256" s="48" t="s">
        <v>20</v>
      </c>
      <c r="O256" s="48" t="s">
        <v>378</v>
      </c>
      <c r="P256" s="50">
        <v>258500.05</v>
      </c>
      <c r="Q256" s="50">
        <v>1</v>
      </c>
      <c r="R256" s="50">
        <v>258500.05</v>
      </c>
      <c r="S256" s="74">
        <v>46033</v>
      </c>
      <c r="T256" s="48" t="s">
        <v>311</v>
      </c>
      <c r="U256" s="48" t="s">
        <v>710</v>
      </c>
      <c r="V256" s="48" t="s">
        <v>857</v>
      </c>
      <c r="W256" s="48"/>
    </row>
    <row r="257" spans="1:23" ht="15.75" x14ac:dyDescent="0.25">
      <c r="A257" s="48" t="s">
        <v>1354</v>
      </c>
      <c r="B257" s="49">
        <v>45922</v>
      </c>
      <c r="C257" s="48" t="s">
        <v>916</v>
      </c>
      <c r="D257" s="48" t="s">
        <v>441</v>
      </c>
      <c r="E257" s="48" t="s">
        <v>858</v>
      </c>
      <c r="F257" s="48" t="s">
        <v>21</v>
      </c>
      <c r="G257" s="48" t="s">
        <v>22</v>
      </c>
      <c r="H257" s="48" t="s">
        <v>27</v>
      </c>
      <c r="I257" s="48" t="s">
        <v>1322</v>
      </c>
      <c r="J257" s="48" t="s">
        <v>24</v>
      </c>
      <c r="K257" s="48" t="s">
        <v>22</v>
      </c>
      <c r="L257" s="48" t="s">
        <v>1132</v>
      </c>
      <c r="M257" s="48" t="s">
        <v>26</v>
      </c>
      <c r="N257" s="48" t="s">
        <v>20</v>
      </c>
      <c r="O257" s="48" t="s">
        <v>857</v>
      </c>
      <c r="P257" s="50">
        <v>221169.27</v>
      </c>
      <c r="Q257" s="50">
        <v>1</v>
      </c>
      <c r="R257" s="50">
        <v>221169.27</v>
      </c>
      <c r="S257" s="74">
        <v>46030</v>
      </c>
      <c r="T257" s="48" t="s">
        <v>621</v>
      </c>
      <c r="U257" s="48" t="s">
        <v>22</v>
      </c>
      <c r="V257" s="48" t="s">
        <v>857</v>
      </c>
      <c r="W257" s="48"/>
    </row>
    <row r="258" spans="1:23" ht="15.75" x14ac:dyDescent="0.25">
      <c r="A258" s="48" t="s">
        <v>1608</v>
      </c>
      <c r="B258" s="49">
        <v>45956</v>
      </c>
      <c r="C258" s="48" t="s">
        <v>916</v>
      </c>
      <c r="D258" s="48" t="s">
        <v>441</v>
      </c>
      <c r="E258" s="48" t="s">
        <v>858</v>
      </c>
      <c r="F258" s="48" t="s">
        <v>366</v>
      </c>
      <c r="G258" s="48" t="s">
        <v>710</v>
      </c>
      <c r="H258" s="48" t="s">
        <v>27</v>
      </c>
      <c r="I258" s="48" t="s">
        <v>1579</v>
      </c>
      <c r="J258" s="48" t="s">
        <v>24</v>
      </c>
      <c r="K258" s="48" t="s">
        <v>710</v>
      </c>
      <c r="L258" s="48" t="s">
        <v>1209</v>
      </c>
      <c r="M258" s="48" t="s">
        <v>26</v>
      </c>
      <c r="N258" s="48" t="s">
        <v>20</v>
      </c>
      <c r="O258" s="48" t="s">
        <v>857</v>
      </c>
      <c r="P258" s="50">
        <v>200000</v>
      </c>
      <c r="Q258" s="50">
        <v>1</v>
      </c>
      <c r="R258" s="50">
        <v>200000</v>
      </c>
      <c r="S258" s="74">
        <v>46030</v>
      </c>
      <c r="T258" s="48" t="s">
        <v>621</v>
      </c>
      <c r="U258" s="48" t="s">
        <v>710</v>
      </c>
      <c r="V258" s="48" t="s">
        <v>857</v>
      </c>
      <c r="W258" s="48"/>
    </row>
    <row r="259" spans="1:23" ht="15.75" x14ac:dyDescent="0.25">
      <c r="A259" s="48" t="s">
        <v>1680</v>
      </c>
      <c r="B259" s="49">
        <v>45928</v>
      </c>
      <c r="C259" s="48" t="s">
        <v>916</v>
      </c>
      <c r="D259" s="48" t="s">
        <v>441</v>
      </c>
      <c r="E259" s="48" t="s">
        <v>858</v>
      </c>
      <c r="F259" s="48" t="s">
        <v>21</v>
      </c>
      <c r="G259" s="48" t="s">
        <v>22</v>
      </c>
      <c r="H259" s="48" t="s">
        <v>27</v>
      </c>
      <c r="I259" s="48" t="s">
        <v>1595</v>
      </c>
      <c r="J259" s="48" t="s">
        <v>24</v>
      </c>
      <c r="K259" s="48" t="s">
        <v>22</v>
      </c>
      <c r="L259" s="48" t="s">
        <v>1132</v>
      </c>
      <c r="M259" s="48" t="s">
        <v>26</v>
      </c>
      <c r="N259" s="48" t="s">
        <v>20</v>
      </c>
      <c r="O259" s="48" t="s">
        <v>857</v>
      </c>
      <c r="P259" s="50">
        <v>200000</v>
      </c>
      <c r="Q259" s="50">
        <v>1</v>
      </c>
      <c r="R259" s="50">
        <v>200000</v>
      </c>
      <c r="S259" s="74">
        <v>46030</v>
      </c>
      <c r="T259" s="48" t="s">
        <v>621</v>
      </c>
      <c r="U259" s="48" t="s">
        <v>483</v>
      </c>
      <c r="V259" s="48" t="s">
        <v>378</v>
      </c>
      <c r="W259" s="48"/>
    </row>
    <row r="260" spans="1:23" ht="15.75" x14ac:dyDescent="0.25">
      <c r="A260" s="48" t="s">
        <v>1443</v>
      </c>
      <c r="B260" s="49">
        <v>45921</v>
      </c>
      <c r="C260" s="48" t="s">
        <v>916</v>
      </c>
      <c r="D260" s="48" t="s">
        <v>441</v>
      </c>
      <c r="E260" s="48" t="s">
        <v>856</v>
      </c>
      <c r="F260" s="48" t="s">
        <v>366</v>
      </c>
      <c r="G260" s="48" t="s">
        <v>710</v>
      </c>
      <c r="H260" s="48" t="s">
        <v>27</v>
      </c>
      <c r="I260" s="48" t="s">
        <v>449</v>
      </c>
      <c r="J260" s="48" t="s">
        <v>24</v>
      </c>
      <c r="K260" s="48" t="s">
        <v>710</v>
      </c>
      <c r="L260" s="48" t="s">
        <v>1209</v>
      </c>
      <c r="M260" s="48" t="s">
        <v>26</v>
      </c>
      <c r="N260" s="48" t="s">
        <v>20</v>
      </c>
      <c r="O260" s="48" t="s">
        <v>857</v>
      </c>
      <c r="P260" s="50">
        <v>766157.63</v>
      </c>
      <c r="Q260" s="50">
        <v>1</v>
      </c>
      <c r="R260" s="50">
        <v>766157.63</v>
      </c>
      <c r="S260" s="74">
        <v>46030</v>
      </c>
      <c r="T260" s="48" t="s">
        <v>621</v>
      </c>
      <c r="U260" s="48" t="s">
        <v>710</v>
      </c>
      <c r="V260" s="48" t="s">
        <v>857</v>
      </c>
      <c r="W260" s="48"/>
    </row>
    <row r="261" spans="1:23" ht="15.75" x14ac:dyDescent="0.25">
      <c r="A261" s="48" t="s">
        <v>1518</v>
      </c>
      <c r="B261" s="49">
        <v>45932</v>
      </c>
      <c r="C261" s="48" t="s">
        <v>916</v>
      </c>
      <c r="D261" s="48" t="s">
        <v>441</v>
      </c>
      <c r="E261" s="48" t="s">
        <v>858</v>
      </c>
      <c r="F261" s="48" t="s">
        <v>21</v>
      </c>
      <c r="G261" s="48" t="s">
        <v>22</v>
      </c>
      <c r="H261" s="48" t="s">
        <v>27</v>
      </c>
      <c r="I261" s="48" t="s">
        <v>1464</v>
      </c>
      <c r="J261" s="48" t="s">
        <v>24</v>
      </c>
      <c r="K261" s="48" t="s">
        <v>407</v>
      </c>
      <c r="L261" s="48" t="s">
        <v>1131</v>
      </c>
      <c r="M261" s="48" t="s">
        <v>26</v>
      </c>
      <c r="N261" s="48" t="s">
        <v>20</v>
      </c>
      <c r="O261" s="48" t="s">
        <v>857</v>
      </c>
      <c r="P261" s="50">
        <v>350461</v>
      </c>
      <c r="Q261" s="50">
        <v>1</v>
      </c>
      <c r="R261" s="50">
        <v>350461</v>
      </c>
      <c r="S261" s="74">
        <v>46029</v>
      </c>
      <c r="T261" s="48" t="s">
        <v>621</v>
      </c>
      <c r="U261" s="48" t="s">
        <v>1460</v>
      </c>
      <c r="V261" s="48" t="s">
        <v>378</v>
      </c>
      <c r="W261" s="48"/>
    </row>
    <row r="262" spans="1:23" ht="15.75" x14ac:dyDescent="0.25">
      <c r="A262" s="48" t="s">
        <v>1522</v>
      </c>
      <c r="B262" s="49">
        <v>45930</v>
      </c>
      <c r="C262" s="48" t="s">
        <v>916</v>
      </c>
      <c r="D262" s="48" t="s">
        <v>441</v>
      </c>
      <c r="E262" s="48" t="s">
        <v>856</v>
      </c>
      <c r="F262" s="48" t="s">
        <v>21</v>
      </c>
      <c r="G262" s="48" t="s">
        <v>22</v>
      </c>
      <c r="H262" s="48" t="s">
        <v>27</v>
      </c>
      <c r="I262" s="48" t="s">
        <v>1468</v>
      </c>
      <c r="J262" s="48" t="s">
        <v>24</v>
      </c>
      <c r="K262" s="48" t="s">
        <v>407</v>
      </c>
      <c r="L262" s="48" t="s">
        <v>1131</v>
      </c>
      <c r="M262" s="48" t="s">
        <v>26</v>
      </c>
      <c r="N262" s="48" t="s">
        <v>20</v>
      </c>
      <c r="O262" s="48" t="s">
        <v>857</v>
      </c>
      <c r="P262" s="50">
        <v>263032</v>
      </c>
      <c r="Q262" s="50">
        <v>1</v>
      </c>
      <c r="R262" s="50">
        <v>263032</v>
      </c>
      <c r="S262" s="74">
        <v>46029</v>
      </c>
      <c r="T262" s="48" t="s">
        <v>621</v>
      </c>
      <c r="U262" s="48" t="s">
        <v>1460</v>
      </c>
      <c r="V262" s="48" t="s">
        <v>378</v>
      </c>
      <c r="W262" s="48"/>
    </row>
    <row r="263" spans="1:23" ht="15.75" x14ac:dyDescent="0.25">
      <c r="A263" s="48" t="s">
        <v>1617</v>
      </c>
      <c r="B263" s="49">
        <v>45935</v>
      </c>
      <c r="C263" s="48" t="s">
        <v>916</v>
      </c>
      <c r="D263" s="48" t="s">
        <v>441</v>
      </c>
      <c r="E263" s="48" t="s">
        <v>858</v>
      </c>
      <c r="F263" s="48" t="s">
        <v>95</v>
      </c>
      <c r="G263" s="48" t="s">
        <v>96</v>
      </c>
      <c r="H263" s="48" t="s">
        <v>27</v>
      </c>
      <c r="I263" s="48" t="s">
        <v>1571</v>
      </c>
      <c r="J263" s="48" t="s">
        <v>24</v>
      </c>
      <c r="K263" s="48" t="s">
        <v>407</v>
      </c>
      <c r="L263" s="48" t="s">
        <v>1131</v>
      </c>
      <c r="M263" s="48" t="s">
        <v>26</v>
      </c>
      <c r="N263" s="48" t="s">
        <v>20</v>
      </c>
      <c r="O263" s="48" t="s">
        <v>378</v>
      </c>
      <c r="P263" s="50">
        <v>184701.44</v>
      </c>
      <c r="Q263" s="50">
        <v>1</v>
      </c>
      <c r="R263" s="50">
        <v>184701.44</v>
      </c>
      <c r="S263" s="74">
        <v>46029</v>
      </c>
      <c r="T263" s="48" t="s">
        <v>621</v>
      </c>
      <c r="U263" s="48" t="s">
        <v>483</v>
      </c>
      <c r="V263" s="48" t="s">
        <v>857</v>
      </c>
      <c r="W263" s="48"/>
    </row>
    <row r="264" spans="1:23" ht="15.75" x14ac:dyDescent="0.25">
      <c r="A264" s="48" t="s">
        <v>1771</v>
      </c>
      <c r="B264" s="49">
        <v>45931</v>
      </c>
      <c r="C264" s="48" t="s">
        <v>916</v>
      </c>
      <c r="D264" s="48" t="s">
        <v>441</v>
      </c>
      <c r="E264" s="48" t="s">
        <v>856</v>
      </c>
      <c r="F264" s="48" t="s">
        <v>366</v>
      </c>
      <c r="G264" s="48" t="s">
        <v>710</v>
      </c>
      <c r="H264" s="48" t="s">
        <v>27</v>
      </c>
      <c r="I264" s="48" t="s">
        <v>1697</v>
      </c>
      <c r="J264" s="48" t="s">
        <v>24</v>
      </c>
      <c r="K264" s="48" t="s">
        <v>710</v>
      </c>
      <c r="L264" s="48" t="s">
        <v>1209</v>
      </c>
      <c r="M264" s="48" t="s">
        <v>26</v>
      </c>
      <c r="N264" s="48" t="s">
        <v>20</v>
      </c>
      <c r="O264" s="48" t="s">
        <v>857</v>
      </c>
      <c r="P264" s="50">
        <v>300000</v>
      </c>
      <c r="Q264" s="50">
        <v>1</v>
      </c>
      <c r="R264" s="50">
        <v>300000</v>
      </c>
      <c r="S264" s="74">
        <v>46029</v>
      </c>
      <c r="T264" s="48" t="s">
        <v>621</v>
      </c>
      <c r="U264" s="48" t="s">
        <v>710</v>
      </c>
      <c r="V264" s="48" t="s">
        <v>857</v>
      </c>
      <c r="W264" s="48"/>
    </row>
    <row r="265" spans="1:23" ht="15.75" x14ac:dyDescent="0.25">
      <c r="A265" s="48" t="s">
        <v>1332</v>
      </c>
      <c r="B265" s="49">
        <v>45936</v>
      </c>
      <c r="C265" s="48" t="s">
        <v>916</v>
      </c>
      <c r="D265" s="48" t="s">
        <v>441</v>
      </c>
      <c r="E265" s="48" t="s">
        <v>856</v>
      </c>
      <c r="F265" s="48" t="s">
        <v>21</v>
      </c>
      <c r="G265" s="48" t="s">
        <v>22</v>
      </c>
      <c r="H265" s="48" t="s">
        <v>27</v>
      </c>
      <c r="I265" s="48" t="s">
        <v>1269</v>
      </c>
      <c r="J265" s="48" t="s">
        <v>24</v>
      </c>
      <c r="K265" s="48" t="s">
        <v>22</v>
      </c>
      <c r="L265" s="48" t="s">
        <v>1132</v>
      </c>
      <c r="M265" s="48" t="s">
        <v>26</v>
      </c>
      <c r="N265" s="48" t="s">
        <v>20</v>
      </c>
      <c r="O265" s="48" t="s">
        <v>857</v>
      </c>
      <c r="P265" s="50">
        <v>253537.11</v>
      </c>
      <c r="Q265" s="50">
        <v>1</v>
      </c>
      <c r="R265" s="50">
        <v>253537.11</v>
      </c>
      <c r="S265" s="74">
        <v>46029</v>
      </c>
      <c r="T265" s="48" t="s">
        <v>621</v>
      </c>
      <c r="U265" s="48" t="s">
        <v>22</v>
      </c>
      <c r="V265" s="48" t="s">
        <v>857</v>
      </c>
      <c r="W265" s="48"/>
    </row>
    <row r="266" spans="1:23" ht="15.75" x14ac:dyDescent="0.25">
      <c r="A266" s="48" t="s">
        <v>1517</v>
      </c>
      <c r="B266" s="49">
        <v>45985</v>
      </c>
      <c r="C266" s="48" t="s">
        <v>916</v>
      </c>
      <c r="D266" s="48" t="s">
        <v>441</v>
      </c>
      <c r="E266" s="48" t="s">
        <v>858</v>
      </c>
      <c r="F266" s="48" t="s">
        <v>21</v>
      </c>
      <c r="G266" s="48" t="s">
        <v>22</v>
      </c>
      <c r="H266" s="48" t="s">
        <v>27</v>
      </c>
      <c r="I266" s="48" t="s">
        <v>1462</v>
      </c>
      <c r="J266" s="48" t="s">
        <v>24</v>
      </c>
      <c r="K266" s="48" t="s">
        <v>407</v>
      </c>
      <c r="L266" s="48" t="s">
        <v>1131</v>
      </c>
      <c r="M266" s="48" t="s">
        <v>26</v>
      </c>
      <c r="N266" s="48" t="s">
        <v>20</v>
      </c>
      <c r="O266" s="48" t="s">
        <v>857</v>
      </c>
      <c r="P266" s="50">
        <v>378574</v>
      </c>
      <c r="Q266" s="50">
        <v>1</v>
      </c>
      <c r="R266" s="50">
        <v>378574</v>
      </c>
      <c r="S266" s="74">
        <v>46029</v>
      </c>
      <c r="T266" s="48" t="s">
        <v>621</v>
      </c>
      <c r="U266" s="48" t="s">
        <v>483</v>
      </c>
      <c r="V266" s="48" t="s">
        <v>857</v>
      </c>
      <c r="W266" s="48"/>
    </row>
    <row r="267" spans="1:23" ht="15.75" x14ac:dyDescent="0.25">
      <c r="A267" s="48" t="s">
        <v>1810</v>
      </c>
      <c r="B267" s="49">
        <v>46002</v>
      </c>
      <c r="C267" s="48" t="s">
        <v>924</v>
      </c>
      <c r="D267" s="48" t="s">
        <v>3566</v>
      </c>
      <c r="E267" s="48" t="s">
        <v>856</v>
      </c>
      <c r="F267" s="48" t="s">
        <v>612</v>
      </c>
      <c r="G267" s="48" t="s">
        <v>613</v>
      </c>
      <c r="H267" s="48" t="s">
        <v>27</v>
      </c>
      <c r="I267" s="48" t="s">
        <v>1549</v>
      </c>
      <c r="J267" s="48" t="s">
        <v>72</v>
      </c>
      <c r="K267" s="48" t="s">
        <v>613</v>
      </c>
      <c r="L267" s="48" t="s">
        <v>1135</v>
      </c>
      <c r="M267" s="48" t="s">
        <v>26</v>
      </c>
      <c r="N267" s="48" t="s">
        <v>20</v>
      </c>
      <c r="O267" s="48" t="s">
        <v>378</v>
      </c>
      <c r="P267" s="50">
        <v>253366.85</v>
      </c>
      <c r="Q267" s="50">
        <v>1</v>
      </c>
      <c r="R267" s="50">
        <v>253366.85</v>
      </c>
      <c r="S267" s="74">
        <v>46029</v>
      </c>
      <c r="T267" s="48" t="s">
        <v>425</v>
      </c>
      <c r="U267" s="48" t="s">
        <v>483</v>
      </c>
      <c r="V267" s="48" t="s">
        <v>378</v>
      </c>
      <c r="W267" s="48"/>
    </row>
    <row r="268" spans="1:23" ht="15.75" x14ac:dyDescent="0.25">
      <c r="A268" s="48" t="s">
        <v>1353</v>
      </c>
      <c r="B268" s="49">
        <v>45932</v>
      </c>
      <c r="C268" s="48" t="s">
        <v>916</v>
      </c>
      <c r="D268" s="48" t="s">
        <v>441</v>
      </c>
      <c r="E268" s="48" t="s">
        <v>858</v>
      </c>
      <c r="F268" s="48" t="s">
        <v>21</v>
      </c>
      <c r="G268" s="48" t="s">
        <v>22</v>
      </c>
      <c r="H268" s="48" t="s">
        <v>27</v>
      </c>
      <c r="I268" s="48" t="s">
        <v>1323</v>
      </c>
      <c r="J268" s="48" t="s">
        <v>24</v>
      </c>
      <c r="K268" s="48" t="s">
        <v>22</v>
      </c>
      <c r="L268" s="48" t="s">
        <v>1132</v>
      </c>
      <c r="M268" s="48" t="s">
        <v>26</v>
      </c>
      <c r="N268" s="48" t="s">
        <v>20</v>
      </c>
      <c r="O268" s="48" t="s">
        <v>857</v>
      </c>
      <c r="P268" s="50">
        <v>283912</v>
      </c>
      <c r="Q268" s="50">
        <v>1</v>
      </c>
      <c r="R268" s="50">
        <v>283912</v>
      </c>
      <c r="S268" s="74">
        <v>46028</v>
      </c>
      <c r="T268" s="48" t="s">
        <v>621</v>
      </c>
      <c r="U268" s="48" t="s">
        <v>22</v>
      </c>
      <c r="V268" s="48" t="s">
        <v>857</v>
      </c>
      <c r="W268" s="48"/>
    </row>
    <row r="269" spans="1:23" ht="15.75" x14ac:dyDescent="0.25">
      <c r="A269" s="48" t="s">
        <v>1311</v>
      </c>
      <c r="B269" s="49">
        <v>45917</v>
      </c>
      <c r="C269" s="48" t="s">
        <v>918</v>
      </c>
      <c r="D269" s="48" t="s">
        <v>441</v>
      </c>
      <c r="E269" s="48" t="s">
        <v>858</v>
      </c>
      <c r="F269" s="48" t="s">
        <v>21</v>
      </c>
      <c r="G269" s="48" t="s">
        <v>22</v>
      </c>
      <c r="H269" s="48" t="s">
        <v>27</v>
      </c>
      <c r="I269" s="48" t="s">
        <v>1268</v>
      </c>
      <c r="J269" s="48" t="s">
        <v>24</v>
      </c>
      <c r="K269" s="48" t="s">
        <v>22</v>
      </c>
      <c r="L269" s="48" t="s">
        <v>1132</v>
      </c>
      <c r="M269" s="48" t="s">
        <v>26</v>
      </c>
      <c r="N269" s="48" t="s">
        <v>20</v>
      </c>
      <c r="O269" s="48" t="s">
        <v>857</v>
      </c>
      <c r="P269" s="50">
        <v>47696.38</v>
      </c>
      <c r="Q269" s="50">
        <v>1</v>
      </c>
      <c r="R269" s="50">
        <v>47696.38</v>
      </c>
      <c r="S269" s="74">
        <v>46028</v>
      </c>
      <c r="T269" s="48" t="s">
        <v>621</v>
      </c>
      <c r="U269" s="48" t="s">
        <v>22</v>
      </c>
      <c r="V269" s="48" t="s">
        <v>857</v>
      </c>
      <c r="W269" s="48"/>
    </row>
    <row r="270" spans="1:23" ht="15.75" x14ac:dyDescent="0.25">
      <c r="A270" s="48" t="s">
        <v>1313</v>
      </c>
      <c r="B270" s="49">
        <v>45922</v>
      </c>
      <c r="C270" s="48" t="s">
        <v>916</v>
      </c>
      <c r="D270" s="48" t="s">
        <v>441</v>
      </c>
      <c r="E270" s="48" t="s">
        <v>856</v>
      </c>
      <c r="F270" s="48" t="s">
        <v>21</v>
      </c>
      <c r="G270" s="48" t="s">
        <v>22</v>
      </c>
      <c r="H270" s="48" t="s">
        <v>27</v>
      </c>
      <c r="I270" s="48" t="s">
        <v>752</v>
      </c>
      <c r="J270" s="48" t="s">
        <v>24</v>
      </c>
      <c r="K270" s="48" t="s">
        <v>22</v>
      </c>
      <c r="L270" s="48" t="s">
        <v>1132</v>
      </c>
      <c r="M270" s="48" t="s">
        <v>26</v>
      </c>
      <c r="N270" s="48" t="s">
        <v>20</v>
      </c>
      <c r="O270" s="48" t="s">
        <v>857</v>
      </c>
      <c r="P270" s="50">
        <v>891914.65</v>
      </c>
      <c r="Q270" s="50">
        <v>1</v>
      </c>
      <c r="R270" s="50">
        <v>891914.65</v>
      </c>
      <c r="S270" s="74">
        <v>46028</v>
      </c>
      <c r="T270" s="48" t="s">
        <v>621</v>
      </c>
      <c r="U270" s="48" t="s">
        <v>22</v>
      </c>
      <c r="V270" s="48" t="s">
        <v>857</v>
      </c>
      <c r="W270" s="48"/>
    </row>
    <row r="271" spans="1:23" ht="15.75" x14ac:dyDescent="0.25">
      <c r="A271" s="48" t="s">
        <v>1504</v>
      </c>
      <c r="B271" s="49">
        <v>45917</v>
      </c>
      <c r="C271" s="48" t="s">
        <v>916</v>
      </c>
      <c r="D271" s="48" t="s">
        <v>441</v>
      </c>
      <c r="E271" s="48" t="s">
        <v>856</v>
      </c>
      <c r="F271" s="48" t="s">
        <v>21</v>
      </c>
      <c r="G271" s="48" t="s">
        <v>22</v>
      </c>
      <c r="H271" s="48" t="s">
        <v>27</v>
      </c>
      <c r="I271" s="48" t="s">
        <v>1414</v>
      </c>
      <c r="J271" s="48" t="s">
        <v>24</v>
      </c>
      <c r="K271" s="48" t="s">
        <v>407</v>
      </c>
      <c r="L271" s="48" t="s">
        <v>1131</v>
      </c>
      <c r="M271" s="48" t="s">
        <v>26</v>
      </c>
      <c r="N271" s="48" t="s">
        <v>20</v>
      </c>
      <c r="O271" s="48" t="s">
        <v>857</v>
      </c>
      <c r="P271" s="50">
        <v>200000</v>
      </c>
      <c r="Q271" s="50">
        <v>1</v>
      </c>
      <c r="R271" s="50">
        <v>200000</v>
      </c>
      <c r="S271" s="74">
        <v>46028</v>
      </c>
      <c r="T271" s="48" t="s">
        <v>621</v>
      </c>
      <c r="U271" s="48" t="s">
        <v>407</v>
      </c>
      <c r="V271" s="48" t="s">
        <v>857</v>
      </c>
      <c r="W271" s="48"/>
    </row>
    <row r="272" spans="1:23" ht="15.75" x14ac:dyDescent="0.25">
      <c r="A272" s="48" t="s">
        <v>1315</v>
      </c>
      <c r="B272" s="49">
        <v>45922</v>
      </c>
      <c r="C272" s="48" t="s">
        <v>916</v>
      </c>
      <c r="D272" s="48" t="s">
        <v>441</v>
      </c>
      <c r="E272" s="48" t="s">
        <v>858</v>
      </c>
      <c r="F272" s="48" t="s">
        <v>21</v>
      </c>
      <c r="G272" s="48" t="s">
        <v>22</v>
      </c>
      <c r="H272" s="48" t="s">
        <v>27</v>
      </c>
      <c r="I272" s="48" t="s">
        <v>1265</v>
      </c>
      <c r="J272" s="48" t="s">
        <v>24</v>
      </c>
      <c r="K272" s="48" t="s">
        <v>22</v>
      </c>
      <c r="L272" s="48" t="s">
        <v>1132</v>
      </c>
      <c r="M272" s="48" t="s">
        <v>26</v>
      </c>
      <c r="N272" s="48" t="s">
        <v>20</v>
      </c>
      <c r="O272" s="48" t="s">
        <v>857</v>
      </c>
      <c r="P272" s="50">
        <v>102859.94</v>
      </c>
      <c r="Q272" s="50">
        <v>1</v>
      </c>
      <c r="R272" s="50">
        <v>102859.94</v>
      </c>
      <c r="S272" s="74">
        <v>46028</v>
      </c>
      <c r="T272" s="48" t="s">
        <v>621</v>
      </c>
      <c r="U272" s="48" t="s">
        <v>22</v>
      </c>
      <c r="V272" s="48" t="s">
        <v>857</v>
      </c>
      <c r="W272" s="48"/>
    </row>
    <row r="273" spans="1:23" ht="15.75" x14ac:dyDescent="0.25">
      <c r="A273" s="48" t="s">
        <v>1399</v>
      </c>
      <c r="B273" s="49">
        <v>45924</v>
      </c>
      <c r="C273" s="48" t="s">
        <v>916</v>
      </c>
      <c r="D273" s="48" t="s">
        <v>441</v>
      </c>
      <c r="E273" s="48" t="s">
        <v>858</v>
      </c>
      <c r="F273" s="48" t="s">
        <v>21</v>
      </c>
      <c r="G273" s="48" t="s">
        <v>22</v>
      </c>
      <c r="H273" s="48" t="s">
        <v>27</v>
      </c>
      <c r="I273" s="48" t="s">
        <v>1270</v>
      </c>
      <c r="J273" s="48" t="s">
        <v>24</v>
      </c>
      <c r="K273" s="48" t="s">
        <v>22</v>
      </c>
      <c r="L273" s="48" t="s">
        <v>1132</v>
      </c>
      <c r="M273" s="48" t="s">
        <v>26</v>
      </c>
      <c r="N273" s="48" t="s">
        <v>20</v>
      </c>
      <c r="O273" s="48" t="s">
        <v>857</v>
      </c>
      <c r="P273" s="50">
        <v>140641.01</v>
      </c>
      <c r="Q273" s="50">
        <v>1</v>
      </c>
      <c r="R273" s="50">
        <v>140641.01</v>
      </c>
      <c r="S273" s="74">
        <v>46028</v>
      </c>
      <c r="T273" s="48" t="s">
        <v>621</v>
      </c>
      <c r="U273" s="48" t="s">
        <v>22</v>
      </c>
      <c r="V273" s="48" t="s">
        <v>857</v>
      </c>
      <c r="W273" s="48"/>
    </row>
    <row r="274" spans="1:23" ht="15.75" x14ac:dyDescent="0.25">
      <c r="A274" s="48" t="s">
        <v>1403</v>
      </c>
      <c r="B274" s="49">
        <v>45937</v>
      </c>
      <c r="C274" s="48" t="s">
        <v>916</v>
      </c>
      <c r="D274" s="48" t="s">
        <v>441</v>
      </c>
      <c r="E274" s="48" t="s">
        <v>858</v>
      </c>
      <c r="F274" s="48" t="s">
        <v>21</v>
      </c>
      <c r="G274" s="48" t="s">
        <v>22</v>
      </c>
      <c r="H274" s="48" t="s">
        <v>27</v>
      </c>
      <c r="I274" s="48" t="s">
        <v>1360</v>
      </c>
      <c r="J274" s="48" t="s">
        <v>24</v>
      </c>
      <c r="K274" s="48" t="s">
        <v>22</v>
      </c>
      <c r="L274" s="48" t="s">
        <v>1132</v>
      </c>
      <c r="M274" s="48" t="s">
        <v>26</v>
      </c>
      <c r="N274" s="48" t="s">
        <v>20</v>
      </c>
      <c r="O274" s="48" t="s">
        <v>857</v>
      </c>
      <c r="P274" s="50">
        <v>381871.86</v>
      </c>
      <c r="Q274" s="50">
        <v>1</v>
      </c>
      <c r="R274" s="50">
        <v>381871.86</v>
      </c>
      <c r="S274" s="74">
        <v>46028</v>
      </c>
      <c r="T274" s="48" t="s">
        <v>621</v>
      </c>
      <c r="U274" s="48" t="s">
        <v>22</v>
      </c>
      <c r="V274" s="48" t="s">
        <v>857</v>
      </c>
      <c r="W274" s="48"/>
    </row>
    <row r="275" spans="1:23" ht="15.75" x14ac:dyDescent="0.25">
      <c r="A275" s="48" t="s">
        <v>1347</v>
      </c>
      <c r="B275" s="49">
        <v>45937</v>
      </c>
      <c r="C275" s="48" t="s">
        <v>916</v>
      </c>
      <c r="D275" s="48" t="s">
        <v>441</v>
      </c>
      <c r="E275" s="48" t="s">
        <v>858</v>
      </c>
      <c r="F275" s="48" t="s">
        <v>21</v>
      </c>
      <c r="G275" s="48" t="s">
        <v>22</v>
      </c>
      <c r="H275" s="48" t="s">
        <v>27</v>
      </c>
      <c r="I275" s="48" t="s">
        <v>666</v>
      </c>
      <c r="J275" s="48" t="s">
        <v>24</v>
      </c>
      <c r="K275" s="48" t="s">
        <v>22</v>
      </c>
      <c r="L275" s="48" t="s">
        <v>1132</v>
      </c>
      <c r="M275" s="48" t="s">
        <v>26</v>
      </c>
      <c r="N275" s="48" t="s">
        <v>20</v>
      </c>
      <c r="O275" s="48" t="s">
        <v>857</v>
      </c>
      <c r="P275" s="50">
        <v>254390</v>
      </c>
      <c r="Q275" s="50">
        <v>1</v>
      </c>
      <c r="R275" s="50">
        <v>254390</v>
      </c>
      <c r="S275" s="74">
        <v>46028</v>
      </c>
      <c r="T275" s="48" t="s">
        <v>621</v>
      </c>
      <c r="U275" s="48" t="s">
        <v>22</v>
      </c>
      <c r="V275" s="48" t="s">
        <v>857</v>
      </c>
      <c r="W275" s="48"/>
    </row>
    <row r="276" spans="1:23" ht="15.75" x14ac:dyDescent="0.25">
      <c r="A276" s="48" t="s">
        <v>1412</v>
      </c>
      <c r="B276" s="49">
        <v>45915</v>
      </c>
      <c r="C276" s="48" t="s">
        <v>916</v>
      </c>
      <c r="D276" s="48" t="s">
        <v>441</v>
      </c>
      <c r="E276" s="48" t="s">
        <v>858</v>
      </c>
      <c r="F276" s="48" t="s">
        <v>21</v>
      </c>
      <c r="G276" s="48" t="s">
        <v>22</v>
      </c>
      <c r="H276" s="48" t="s">
        <v>27</v>
      </c>
      <c r="I276" s="48" t="s">
        <v>1361</v>
      </c>
      <c r="J276" s="48" t="s">
        <v>24</v>
      </c>
      <c r="K276" s="48" t="s">
        <v>22</v>
      </c>
      <c r="L276" s="48" t="s">
        <v>1132</v>
      </c>
      <c r="M276" s="48" t="s">
        <v>26</v>
      </c>
      <c r="N276" s="48" t="s">
        <v>20</v>
      </c>
      <c r="O276" s="48" t="s">
        <v>857</v>
      </c>
      <c r="P276" s="50">
        <v>255852.91</v>
      </c>
      <c r="Q276" s="50">
        <v>1</v>
      </c>
      <c r="R276" s="50">
        <v>255852.91</v>
      </c>
      <c r="S276" s="74">
        <v>46028</v>
      </c>
      <c r="T276" s="48" t="s">
        <v>621</v>
      </c>
      <c r="U276" s="48" t="s">
        <v>22</v>
      </c>
      <c r="V276" s="48" t="s">
        <v>857</v>
      </c>
      <c r="W276" s="48"/>
    </row>
    <row r="277" spans="1:23" ht="15.75" x14ac:dyDescent="0.25">
      <c r="A277" s="48" t="s">
        <v>1519</v>
      </c>
      <c r="B277" s="49">
        <v>46020</v>
      </c>
      <c r="C277" s="48" t="s">
        <v>916</v>
      </c>
      <c r="D277" s="48" t="s">
        <v>441</v>
      </c>
      <c r="E277" s="48" t="s">
        <v>858</v>
      </c>
      <c r="F277" s="48" t="s">
        <v>21</v>
      </c>
      <c r="G277" s="48" t="s">
        <v>22</v>
      </c>
      <c r="H277" s="48" t="s">
        <v>27</v>
      </c>
      <c r="I277" s="48" t="s">
        <v>1465</v>
      </c>
      <c r="J277" s="48" t="s">
        <v>24</v>
      </c>
      <c r="K277" s="48" t="s">
        <v>407</v>
      </c>
      <c r="L277" s="48" t="s">
        <v>1131</v>
      </c>
      <c r="M277" s="48" t="s">
        <v>26</v>
      </c>
      <c r="N277" s="48" t="s">
        <v>20</v>
      </c>
      <c r="O277" s="48" t="s">
        <v>857</v>
      </c>
      <c r="P277" s="50">
        <v>93771</v>
      </c>
      <c r="Q277" s="50">
        <v>1</v>
      </c>
      <c r="R277" s="50">
        <v>93771</v>
      </c>
      <c r="S277" s="74">
        <v>46028</v>
      </c>
      <c r="T277" s="48" t="s">
        <v>621</v>
      </c>
      <c r="U277" s="48" t="s">
        <v>1460</v>
      </c>
      <c r="V277" s="48" t="s">
        <v>378</v>
      </c>
      <c r="W277" s="48"/>
    </row>
    <row r="278" spans="1:23" ht="15.75" x14ac:dyDescent="0.25">
      <c r="A278" s="48" t="s">
        <v>1668</v>
      </c>
      <c r="B278" s="49">
        <v>45915</v>
      </c>
      <c r="C278" s="48" t="s">
        <v>916</v>
      </c>
      <c r="D278" s="48" t="s">
        <v>441</v>
      </c>
      <c r="E278" s="48" t="s">
        <v>858</v>
      </c>
      <c r="F278" s="48" t="s">
        <v>21</v>
      </c>
      <c r="G278" s="48" t="s">
        <v>22</v>
      </c>
      <c r="H278" s="48" t="s">
        <v>27</v>
      </c>
      <c r="I278" s="48" t="s">
        <v>1594</v>
      </c>
      <c r="J278" s="48" t="s">
        <v>24</v>
      </c>
      <c r="K278" s="48" t="s">
        <v>22</v>
      </c>
      <c r="L278" s="48" t="s">
        <v>1132</v>
      </c>
      <c r="M278" s="48" t="s">
        <v>26</v>
      </c>
      <c r="N278" s="48" t="s">
        <v>20</v>
      </c>
      <c r="O278" s="48" t="s">
        <v>857</v>
      </c>
      <c r="P278" s="50">
        <v>150000</v>
      </c>
      <c r="Q278" s="50">
        <v>1</v>
      </c>
      <c r="R278" s="50">
        <v>150000</v>
      </c>
      <c r="S278" s="74">
        <v>46027</v>
      </c>
      <c r="T278" s="48" t="s">
        <v>621</v>
      </c>
      <c r="U278" s="48" t="s">
        <v>22</v>
      </c>
      <c r="V278" s="48" t="s">
        <v>857</v>
      </c>
      <c r="W278" s="48"/>
    </row>
    <row r="279" spans="1:23" ht="15.75" x14ac:dyDescent="0.25">
      <c r="A279" s="48" t="s">
        <v>707</v>
      </c>
      <c r="B279" s="49">
        <v>46015</v>
      </c>
      <c r="C279" s="48" t="s">
        <v>918</v>
      </c>
      <c r="D279" s="48" t="s">
        <v>708</v>
      </c>
      <c r="E279" s="48" t="s">
        <v>858</v>
      </c>
      <c r="F279" s="48" t="s">
        <v>95</v>
      </c>
      <c r="G279" s="48" t="s">
        <v>96</v>
      </c>
      <c r="H279" s="48" t="s">
        <v>27</v>
      </c>
      <c r="I279" s="48" t="s">
        <v>3623</v>
      </c>
      <c r="J279" s="48" t="s">
        <v>1791</v>
      </c>
      <c r="K279" s="48" t="s">
        <v>328</v>
      </c>
      <c r="L279" s="48" t="s">
        <v>1142</v>
      </c>
      <c r="M279" s="48" t="s">
        <v>67</v>
      </c>
      <c r="N279" s="48" t="s">
        <v>20</v>
      </c>
      <c r="O279" s="48" t="s">
        <v>857</v>
      </c>
      <c r="P279" s="50">
        <v>128454.38</v>
      </c>
      <c r="Q279" s="50">
        <v>4.4555999999999996</v>
      </c>
      <c r="R279" s="50">
        <v>572341.33552799991</v>
      </c>
      <c r="S279" s="74">
        <v>46027</v>
      </c>
      <c r="T279" s="48" t="s">
        <v>255</v>
      </c>
      <c r="U279" s="48" t="s">
        <v>96</v>
      </c>
      <c r="V279" s="48" t="s">
        <v>857</v>
      </c>
      <c r="W279" s="48"/>
    </row>
    <row r="280" spans="1:23" ht="15.75" x14ac:dyDescent="0.25">
      <c r="A280" s="48" t="s">
        <v>1649</v>
      </c>
      <c r="B280" s="49">
        <v>45925</v>
      </c>
      <c r="C280" s="48" t="s">
        <v>918</v>
      </c>
      <c r="D280" s="48" t="s">
        <v>1119</v>
      </c>
      <c r="E280" s="48" t="s">
        <v>856</v>
      </c>
      <c r="F280" s="48" t="s">
        <v>366</v>
      </c>
      <c r="G280" s="48" t="s">
        <v>367</v>
      </c>
      <c r="H280" s="48" t="s">
        <v>27</v>
      </c>
      <c r="I280" s="48" t="s">
        <v>1611</v>
      </c>
      <c r="J280" s="48" t="s">
        <v>24</v>
      </c>
      <c r="K280" s="48" t="s">
        <v>367</v>
      </c>
      <c r="L280" s="48" t="s">
        <v>1136</v>
      </c>
      <c r="M280" s="48" t="s">
        <v>26</v>
      </c>
      <c r="N280" s="48" t="s">
        <v>20</v>
      </c>
      <c r="O280" s="48" t="s">
        <v>857</v>
      </c>
      <c r="P280" s="50">
        <v>1459350</v>
      </c>
      <c r="Q280" s="50">
        <v>1</v>
      </c>
      <c r="R280" s="50">
        <v>1459350</v>
      </c>
      <c r="S280" s="74">
        <v>46027</v>
      </c>
      <c r="T280" s="48" t="s">
        <v>1629</v>
      </c>
      <c r="U280" s="48" t="s">
        <v>367</v>
      </c>
      <c r="V280" s="48" t="s">
        <v>857</v>
      </c>
      <c r="W280" s="48"/>
    </row>
    <row r="281" spans="1:23" ht="15.75" x14ac:dyDescent="0.25">
      <c r="A281" s="48" t="s">
        <v>1834</v>
      </c>
      <c r="B281" s="49">
        <v>46007</v>
      </c>
      <c r="C281" s="48" t="s">
        <v>924</v>
      </c>
      <c r="D281" s="48" t="s">
        <v>1537</v>
      </c>
      <c r="E281" s="48" t="s">
        <v>856</v>
      </c>
      <c r="F281" s="48" t="s">
        <v>62</v>
      </c>
      <c r="G281" s="48" t="s">
        <v>483</v>
      </c>
      <c r="H281" s="48" t="s">
        <v>27</v>
      </c>
      <c r="I281" s="48" t="s">
        <v>1647</v>
      </c>
      <c r="J281" s="48" t="s">
        <v>72</v>
      </c>
      <c r="K281" s="48" t="s">
        <v>483</v>
      </c>
      <c r="L281" s="48" t="s">
        <v>1646</v>
      </c>
      <c r="M281" s="48" t="s">
        <v>78</v>
      </c>
      <c r="N281" s="48" t="s">
        <v>20</v>
      </c>
      <c r="O281" s="48" t="s">
        <v>857</v>
      </c>
      <c r="P281" s="50">
        <v>152903.39000000001</v>
      </c>
      <c r="Q281" s="50">
        <v>3.758</v>
      </c>
      <c r="R281" s="50">
        <v>574610.93962000008</v>
      </c>
      <c r="S281" s="74">
        <v>46027</v>
      </c>
      <c r="T281" s="48" t="s">
        <v>1937</v>
      </c>
      <c r="U281" s="48" t="s">
        <v>483</v>
      </c>
      <c r="V281" s="48" t="s">
        <v>857</v>
      </c>
      <c r="W281" s="48"/>
    </row>
    <row r="282" spans="1:23" ht="15.75" x14ac:dyDescent="0.25">
      <c r="A282" s="48" t="s">
        <v>1436</v>
      </c>
      <c r="B282" s="49">
        <v>45929</v>
      </c>
      <c r="C282" s="48" t="s">
        <v>916</v>
      </c>
      <c r="D282" s="48" t="s">
        <v>441</v>
      </c>
      <c r="E282" s="48" t="s">
        <v>856</v>
      </c>
      <c r="F282" s="48" t="s">
        <v>366</v>
      </c>
      <c r="G282" s="48" t="s">
        <v>710</v>
      </c>
      <c r="H282" s="48" t="s">
        <v>27</v>
      </c>
      <c r="I282" s="48" t="s">
        <v>521</v>
      </c>
      <c r="J282" s="48" t="s">
        <v>24</v>
      </c>
      <c r="K282" s="48" t="s">
        <v>710</v>
      </c>
      <c r="L282" s="48" t="s">
        <v>1209</v>
      </c>
      <c r="M282" s="48" t="s">
        <v>26</v>
      </c>
      <c r="N282" s="48" t="s">
        <v>20</v>
      </c>
      <c r="O282" s="48" t="s">
        <v>857</v>
      </c>
      <c r="P282" s="50">
        <v>400000</v>
      </c>
      <c r="Q282" s="50">
        <v>1</v>
      </c>
      <c r="R282" s="50">
        <v>400000</v>
      </c>
      <c r="S282" s="74">
        <v>46027</v>
      </c>
      <c r="T282" s="48" t="s">
        <v>621</v>
      </c>
      <c r="U282" s="48" t="s">
        <v>710</v>
      </c>
      <c r="V282" s="48" t="s">
        <v>857</v>
      </c>
      <c r="W282" s="48"/>
    </row>
    <row r="283" spans="1:23" ht="15.75" x14ac:dyDescent="0.25">
      <c r="A283" s="48" t="s">
        <v>1602</v>
      </c>
      <c r="B283" s="49">
        <v>45929</v>
      </c>
      <c r="C283" s="48" t="s">
        <v>916</v>
      </c>
      <c r="D283" s="48" t="s">
        <v>441</v>
      </c>
      <c r="E283" s="48" t="s">
        <v>856</v>
      </c>
      <c r="F283" s="48" t="s">
        <v>366</v>
      </c>
      <c r="G283" s="48" t="s">
        <v>710</v>
      </c>
      <c r="H283" s="48" t="s">
        <v>27</v>
      </c>
      <c r="I283" s="48" t="s">
        <v>521</v>
      </c>
      <c r="J283" s="48" t="s">
        <v>24</v>
      </c>
      <c r="K283" s="48" t="s">
        <v>710</v>
      </c>
      <c r="L283" s="48" t="s">
        <v>1209</v>
      </c>
      <c r="M283" s="48" t="s">
        <v>26</v>
      </c>
      <c r="N283" s="48" t="s">
        <v>20</v>
      </c>
      <c r="O283" s="48" t="s">
        <v>857</v>
      </c>
      <c r="P283" s="50">
        <v>250000</v>
      </c>
      <c r="Q283" s="50">
        <v>1</v>
      </c>
      <c r="R283" s="50">
        <v>250000</v>
      </c>
      <c r="S283" s="74">
        <v>46027</v>
      </c>
      <c r="T283" s="48" t="s">
        <v>621</v>
      </c>
      <c r="U283" s="48" t="s">
        <v>710</v>
      </c>
      <c r="V283" s="48" t="s">
        <v>857</v>
      </c>
      <c r="W283" s="48"/>
    </row>
    <row r="284" spans="1:23" ht="15.75" x14ac:dyDescent="0.25">
      <c r="A284" s="48" t="s">
        <v>2907</v>
      </c>
      <c r="B284" s="49">
        <v>46012</v>
      </c>
      <c r="C284" s="48" t="s">
        <v>916</v>
      </c>
      <c r="D284" s="48" t="s">
        <v>2801</v>
      </c>
      <c r="E284" s="48" t="s">
        <v>856</v>
      </c>
      <c r="F284" s="48" t="s">
        <v>95</v>
      </c>
      <c r="G284" s="48" t="s">
        <v>96</v>
      </c>
      <c r="H284" s="48" t="s">
        <v>27</v>
      </c>
      <c r="I284" s="48" t="s">
        <v>2448</v>
      </c>
      <c r="J284" s="48" t="s">
        <v>3219</v>
      </c>
      <c r="K284" s="48" t="s">
        <v>328</v>
      </c>
      <c r="L284" s="48" t="s">
        <v>1142</v>
      </c>
      <c r="M284" s="48" t="s">
        <v>26</v>
      </c>
      <c r="N284" s="48" t="s">
        <v>20</v>
      </c>
      <c r="O284" s="48" t="s">
        <v>378</v>
      </c>
      <c r="P284" s="50">
        <v>999166</v>
      </c>
      <c r="Q284" s="50">
        <v>1</v>
      </c>
      <c r="R284" s="50">
        <v>999166</v>
      </c>
      <c r="S284" s="74">
        <v>46026</v>
      </c>
      <c r="T284" s="48" t="s">
        <v>2790</v>
      </c>
      <c r="U284" s="48" t="s">
        <v>96</v>
      </c>
      <c r="V284" s="48" t="s">
        <v>857</v>
      </c>
      <c r="W284" s="48"/>
    </row>
    <row r="285" spans="1:23" ht="15.75" x14ac:dyDescent="0.25">
      <c r="A285" s="48" t="s">
        <v>1811</v>
      </c>
      <c r="B285" s="49">
        <v>45999</v>
      </c>
      <c r="C285" s="48" t="s">
        <v>916</v>
      </c>
      <c r="D285" s="48" t="s">
        <v>1181</v>
      </c>
      <c r="E285" s="48" t="s">
        <v>858</v>
      </c>
      <c r="F285" s="48" t="s">
        <v>366</v>
      </c>
      <c r="G285" s="48" t="s">
        <v>710</v>
      </c>
      <c r="H285" s="48" t="s">
        <v>27</v>
      </c>
      <c r="I285" s="48" t="s">
        <v>1786</v>
      </c>
      <c r="J285" s="48" t="s">
        <v>1791</v>
      </c>
      <c r="K285" s="48" t="s">
        <v>81</v>
      </c>
      <c r="L285" s="48" t="s">
        <v>1139</v>
      </c>
      <c r="M285" s="48" t="s">
        <v>26</v>
      </c>
      <c r="N285" s="48" t="s">
        <v>20</v>
      </c>
      <c r="O285" s="48" t="s">
        <v>378</v>
      </c>
      <c r="P285" s="50">
        <v>2352034.91</v>
      </c>
      <c r="Q285" s="50">
        <v>1</v>
      </c>
      <c r="R285" s="50">
        <v>2352034.91</v>
      </c>
      <c r="S285" s="74">
        <v>46026</v>
      </c>
      <c r="T285" s="48" t="s">
        <v>1755</v>
      </c>
      <c r="U285" s="48" t="s">
        <v>377</v>
      </c>
      <c r="V285" s="48" t="s">
        <v>857</v>
      </c>
      <c r="W285" s="48"/>
    </row>
    <row r="286" spans="1:23" ht="15.75" x14ac:dyDescent="0.25">
      <c r="A286" s="48" t="s">
        <v>1530</v>
      </c>
      <c r="B286" s="49">
        <v>45958</v>
      </c>
      <c r="C286" s="48" t="s">
        <v>924</v>
      </c>
      <c r="D286" s="48" t="s">
        <v>1878</v>
      </c>
      <c r="E286" s="48" t="s">
        <v>856</v>
      </c>
      <c r="F286" s="48" t="s">
        <v>366</v>
      </c>
      <c r="G286" s="48" t="s">
        <v>367</v>
      </c>
      <c r="H286" s="48" t="s">
        <v>27</v>
      </c>
      <c r="I286" s="48" t="s">
        <v>1513</v>
      </c>
      <c r="J286" s="48" t="s">
        <v>3220</v>
      </c>
      <c r="K286" s="48" t="s">
        <v>367</v>
      </c>
      <c r="L286" s="48" t="s">
        <v>1136</v>
      </c>
      <c r="M286" s="48" t="s">
        <v>26</v>
      </c>
      <c r="N286" s="48" t="s">
        <v>20</v>
      </c>
      <c r="O286" s="48" t="s">
        <v>857</v>
      </c>
      <c r="P286" s="50">
        <v>1302055.49</v>
      </c>
      <c r="Q286" s="50">
        <v>1</v>
      </c>
      <c r="R286" s="50">
        <v>1302055.49</v>
      </c>
      <c r="S286" s="74">
        <v>46026</v>
      </c>
      <c r="T286" s="48" t="s">
        <v>311</v>
      </c>
      <c r="U286" s="48" t="s">
        <v>367</v>
      </c>
      <c r="V286" s="48" t="s">
        <v>857</v>
      </c>
      <c r="W286" s="48"/>
    </row>
    <row r="287" spans="1:23" ht="15.75" x14ac:dyDescent="0.25">
      <c r="A287" s="48" t="s">
        <v>721</v>
      </c>
      <c r="B287" s="49">
        <v>45971</v>
      </c>
      <c r="C287" s="48" t="s">
        <v>933</v>
      </c>
      <c r="D287" s="48" t="s">
        <v>441</v>
      </c>
      <c r="E287" s="48" t="s">
        <v>856</v>
      </c>
      <c r="F287" s="48" t="s">
        <v>612</v>
      </c>
      <c r="G287" s="48" t="s">
        <v>613</v>
      </c>
      <c r="H287" s="48" t="s">
        <v>27</v>
      </c>
      <c r="I287" s="48" t="s">
        <v>177</v>
      </c>
      <c r="J287" s="48" t="s">
        <v>24</v>
      </c>
      <c r="K287" s="48" t="s">
        <v>613</v>
      </c>
      <c r="L287" s="48" t="s">
        <v>1135</v>
      </c>
      <c r="M287" s="48" t="s">
        <v>26</v>
      </c>
      <c r="N287" s="48" t="s">
        <v>20</v>
      </c>
      <c r="O287" s="48" t="s">
        <v>378</v>
      </c>
      <c r="P287" s="50">
        <v>497076</v>
      </c>
      <c r="Q287" s="50">
        <v>1</v>
      </c>
      <c r="R287" s="50">
        <v>497076</v>
      </c>
      <c r="S287" s="74">
        <v>46026</v>
      </c>
      <c r="T287" s="48" t="s">
        <v>311</v>
      </c>
      <c r="U287" s="48" t="s">
        <v>613</v>
      </c>
      <c r="V287" s="48" t="s">
        <v>857</v>
      </c>
      <c r="W287" s="48"/>
    </row>
    <row r="288" spans="1:23" ht="15.75" x14ac:dyDescent="0.25">
      <c r="A288" s="48" t="s">
        <v>1451</v>
      </c>
      <c r="B288" s="49">
        <v>46021</v>
      </c>
      <c r="C288" s="48" t="s">
        <v>918</v>
      </c>
      <c r="D288" s="48" t="s">
        <v>1394</v>
      </c>
      <c r="E288" s="48" t="s">
        <v>856</v>
      </c>
      <c r="F288" s="48" t="s">
        <v>95</v>
      </c>
      <c r="G288" s="48" t="s">
        <v>96</v>
      </c>
      <c r="H288" s="48" t="s">
        <v>27</v>
      </c>
      <c r="I288" s="48" t="s">
        <v>89</v>
      </c>
      <c r="J288" s="48" t="s">
        <v>80</v>
      </c>
      <c r="K288" s="48" t="s">
        <v>90</v>
      </c>
      <c r="L288" s="48" t="s">
        <v>1141</v>
      </c>
      <c r="M288" s="48" t="s">
        <v>26</v>
      </c>
      <c r="N288" s="48" t="s">
        <v>20</v>
      </c>
      <c r="O288" s="48" t="s">
        <v>378</v>
      </c>
      <c r="P288" s="50">
        <v>1325597</v>
      </c>
      <c r="Q288" s="50">
        <v>1</v>
      </c>
      <c r="R288" s="50">
        <v>1325597</v>
      </c>
      <c r="S288" s="74">
        <v>46021</v>
      </c>
      <c r="T288" s="48" t="s">
        <v>425</v>
      </c>
      <c r="U288" s="48" t="s">
        <v>90</v>
      </c>
      <c r="V288" s="48" t="s">
        <v>857</v>
      </c>
      <c r="W288" s="48"/>
    </row>
    <row r="289" spans="1:23" ht="15.75" x14ac:dyDescent="0.25">
      <c r="A289" s="48" t="s">
        <v>611</v>
      </c>
      <c r="B289" s="49">
        <v>45987</v>
      </c>
      <c r="C289" s="48" t="s">
        <v>918</v>
      </c>
      <c r="D289" s="48" t="s">
        <v>441</v>
      </c>
      <c r="E289" s="48" t="s">
        <v>856</v>
      </c>
      <c r="F289" s="48" t="s">
        <v>612</v>
      </c>
      <c r="G289" s="48" t="s">
        <v>613</v>
      </c>
      <c r="H289" s="48" t="s">
        <v>27</v>
      </c>
      <c r="I289" s="48" t="s">
        <v>614</v>
      </c>
      <c r="J289" s="48" t="s">
        <v>24</v>
      </c>
      <c r="K289" s="48" t="s">
        <v>613</v>
      </c>
      <c r="L289" s="48" t="s">
        <v>1135</v>
      </c>
      <c r="M289" s="48" t="s">
        <v>26</v>
      </c>
      <c r="N289" s="48" t="s">
        <v>20</v>
      </c>
      <c r="O289" s="48" t="s">
        <v>378</v>
      </c>
      <c r="P289" s="50">
        <v>1000000</v>
      </c>
      <c r="Q289" s="50">
        <v>1</v>
      </c>
      <c r="R289" s="50">
        <v>1000000</v>
      </c>
      <c r="S289" s="74">
        <v>46021</v>
      </c>
      <c r="T289" s="48" t="s">
        <v>311</v>
      </c>
      <c r="U289" s="48" t="s">
        <v>613</v>
      </c>
      <c r="V289" s="48" t="s">
        <v>857</v>
      </c>
      <c r="W289" s="48"/>
    </row>
    <row r="290" spans="1:23" ht="15.75" x14ac:dyDescent="0.25">
      <c r="A290" s="48" t="s">
        <v>1794</v>
      </c>
      <c r="B290" s="49">
        <v>45985</v>
      </c>
      <c r="C290" s="48" t="s">
        <v>916</v>
      </c>
      <c r="D290" s="48" t="s">
        <v>441</v>
      </c>
      <c r="E290" s="48" t="s">
        <v>858</v>
      </c>
      <c r="F290" s="48" t="s">
        <v>21</v>
      </c>
      <c r="G290" s="48" t="s">
        <v>22</v>
      </c>
      <c r="H290" s="48" t="s">
        <v>27</v>
      </c>
      <c r="I290" s="48" t="s">
        <v>1764</v>
      </c>
      <c r="J290" s="48" t="s">
        <v>24</v>
      </c>
      <c r="K290" s="48" t="s">
        <v>22</v>
      </c>
      <c r="L290" s="48" t="s">
        <v>1132</v>
      </c>
      <c r="M290" s="48" t="s">
        <v>26</v>
      </c>
      <c r="N290" s="48" t="s">
        <v>20</v>
      </c>
      <c r="O290" s="48" t="s">
        <v>857</v>
      </c>
      <c r="P290" s="50">
        <v>200000</v>
      </c>
      <c r="Q290" s="50">
        <v>1</v>
      </c>
      <c r="R290" s="50">
        <v>200000</v>
      </c>
      <c r="S290" s="74">
        <v>46020</v>
      </c>
      <c r="T290" s="48" t="s">
        <v>621</v>
      </c>
      <c r="U290" s="48" t="s">
        <v>22</v>
      </c>
      <c r="V290" s="48" t="s">
        <v>857</v>
      </c>
      <c r="W290" s="48"/>
    </row>
    <row r="291" spans="1:23" ht="15.75" x14ac:dyDescent="0.25">
      <c r="A291" s="48" t="s">
        <v>1800</v>
      </c>
      <c r="B291" s="49">
        <v>45965</v>
      </c>
      <c r="C291" s="48" t="s">
        <v>918</v>
      </c>
      <c r="D291" s="48" t="s">
        <v>1181</v>
      </c>
      <c r="E291" s="48" t="s">
        <v>856</v>
      </c>
      <c r="F291" s="48" t="s">
        <v>366</v>
      </c>
      <c r="G291" s="48" t="s">
        <v>710</v>
      </c>
      <c r="H291" s="48" t="s">
        <v>27</v>
      </c>
      <c r="I291" s="48" t="s">
        <v>1758</v>
      </c>
      <c r="J291" s="48" t="s">
        <v>1791</v>
      </c>
      <c r="K291" s="48" t="s">
        <v>81</v>
      </c>
      <c r="L291" s="48" t="s">
        <v>1139</v>
      </c>
      <c r="M291" s="48" t="s">
        <v>26</v>
      </c>
      <c r="N291" s="48" t="s">
        <v>20</v>
      </c>
      <c r="O291" s="48" t="s">
        <v>857</v>
      </c>
      <c r="P291" s="50">
        <v>295975</v>
      </c>
      <c r="Q291" s="50">
        <v>1</v>
      </c>
      <c r="R291" s="50">
        <v>295975</v>
      </c>
      <c r="S291" s="74">
        <v>46020</v>
      </c>
      <c r="T291" s="48" t="s">
        <v>408</v>
      </c>
      <c r="U291" s="48" t="s">
        <v>377</v>
      </c>
      <c r="V291" s="48" t="s">
        <v>857</v>
      </c>
      <c r="W291" s="48"/>
    </row>
    <row r="292" spans="1:23" ht="15.75" x14ac:dyDescent="0.25">
      <c r="A292" s="48" t="s">
        <v>1451</v>
      </c>
      <c r="B292" s="49">
        <v>46013</v>
      </c>
      <c r="C292" s="48" t="s">
        <v>916</v>
      </c>
      <c r="D292" s="48" t="s">
        <v>1394</v>
      </c>
      <c r="E292" s="48" t="s">
        <v>856</v>
      </c>
      <c r="F292" s="48" t="s">
        <v>95</v>
      </c>
      <c r="G292" s="48" t="s">
        <v>96</v>
      </c>
      <c r="H292" s="48" t="s">
        <v>27</v>
      </c>
      <c r="I292" s="48" t="s">
        <v>89</v>
      </c>
      <c r="J292" s="48" t="s">
        <v>80</v>
      </c>
      <c r="K292" s="48" t="s">
        <v>90</v>
      </c>
      <c r="L292" s="48" t="s">
        <v>1141</v>
      </c>
      <c r="M292" s="48" t="s">
        <v>26</v>
      </c>
      <c r="N292" s="48" t="s">
        <v>20</v>
      </c>
      <c r="O292" s="48" t="s">
        <v>378</v>
      </c>
      <c r="P292" s="50">
        <v>6019158.46</v>
      </c>
      <c r="Q292" s="50">
        <v>1</v>
      </c>
      <c r="R292" s="50">
        <v>6019158.46</v>
      </c>
      <c r="S292" s="74">
        <v>46019</v>
      </c>
      <c r="T292" s="48" t="s">
        <v>425</v>
      </c>
      <c r="U292" s="48" t="s">
        <v>90</v>
      </c>
      <c r="V292" s="48" t="s">
        <v>857</v>
      </c>
      <c r="W292" s="48"/>
    </row>
    <row r="293" spans="1:23" ht="15.75" x14ac:dyDescent="0.25">
      <c r="A293" s="48" t="s">
        <v>1639</v>
      </c>
      <c r="B293" s="49">
        <v>46012</v>
      </c>
      <c r="C293" s="48" t="s">
        <v>918</v>
      </c>
      <c r="D293" s="48" t="s">
        <v>509</v>
      </c>
      <c r="E293" s="48" t="s">
        <v>856</v>
      </c>
      <c r="F293" s="48" t="s">
        <v>95</v>
      </c>
      <c r="G293" s="48" t="s">
        <v>96</v>
      </c>
      <c r="H293" s="48" t="s">
        <v>27</v>
      </c>
      <c r="I293" s="48" t="s">
        <v>1582</v>
      </c>
      <c r="J293" s="48" t="s">
        <v>72</v>
      </c>
      <c r="K293" s="48" t="s">
        <v>511</v>
      </c>
      <c r="L293" s="48" t="s">
        <v>1236</v>
      </c>
      <c r="M293" s="48" t="s">
        <v>26</v>
      </c>
      <c r="N293" s="48" t="s">
        <v>20</v>
      </c>
      <c r="O293" s="48" t="s">
        <v>378</v>
      </c>
      <c r="P293" s="50">
        <v>488824.87</v>
      </c>
      <c r="Q293" s="50">
        <v>1</v>
      </c>
      <c r="R293" s="50">
        <v>488824.87</v>
      </c>
      <c r="S293" s="74">
        <v>46019</v>
      </c>
      <c r="T293" s="48" t="s">
        <v>1338</v>
      </c>
      <c r="U293" s="48" t="s">
        <v>304</v>
      </c>
      <c r="V293" s="48" t="s">
        <v>378</v>
      </c>
      <c r="W293" s="48"/>
    </row>
    <row r="294" spans="1:23" ht="15.75" x14ac:dyDescent="0.25">
      <c r="A294" s="48" t="s">
        <v>1735</v>
      </c>
      <c r="B294" s="49">
        <v>45942</v>
      </c>
      <c r="C294" s="48" t="s">
        <v>918</v>
      </c>
      <c r="D294" s="48" t="s">
        <v>1119</v>
      </c>
      <c r="E294" s="48" t="s">
        <v>858</v>
      </c>
      <c r="F294" s="48" t="s">
        <v>366</v>
      </c>
      <c r="G294" s="48" t="s">
        <v>367</v>
      </c>
      <c r="H294" s="48" t="s">
        <v>27</v>
      </c>
      <c r="I294" s="48" t="s">
        <v>177</v>
      </c>
      <c r="J294" s="48" t="s">
        <v>24</v>
      </c>
      <c r="K294" s="48" t="s">
        <v>367</v>
      </c>
      <c r="L294" s="48" t="s">
        <v>1136</v>
      </c>
      <c r="M294" s="48" t="s">
        <v>26</v>
      </c>
      <c r="N294" s="48" t="s">
        <v>20</v>
      </c>
      <c r="O294" s="48" t="s">
        <v>857</v>
      </c>
      <c r="P294" s="50">
        <v>806347.93</v>
      </c>
      <c r="Q294" s="50">
        <v>1</v>
      </c>
      <c r="R294" s="50">
        <v>806347.93</v>
      </c>
      <c r="S294" s="74">
        <v>46019</v>
      </c>
      <c r="T294" s="48" t="s">
        <v>1624</v>
      </c>
      <c r="U294" s="48" t="s">
        <v>367</v>
      </c>
      <c r="V294" s="48" t="s">
        <v>857</v>
      </c>
      <c r="W294" s="48"/>
    </row>
    <row r="295" spans="1:23" ht="15.75" x14ac:dyDescent="0.25">
      <c r="A295" s="48" t="s">
        <v>1687</v>
      </c>
      <c r="B295" s="49">
        <v>45907</v>
      </c>
      <c r="C295" s="48" t="s">
        <v>916</v>
      </c>
      <c r="D295" s="48" t="s">
        <v>1119</v>
      </c>
      <c r="E295" s="48" t="s">
        <v>858</v>
      </c>
      <c r="F295" s="48" t="s">
        <v>366</v>
      </c>
      <c r="G295" s="48" t="s">
        <v>367</v>
      </c>
      <c r="H295" s="48" t="s">
        <v>27</v>
      </c>
      <c r="I295" s="48" t="s">
        <v>1645</v>
      </c>
      <c r="J295" s="48" t="s">
        <v>24</v>
      </c>
      <c r="K295" s="48" t="s">
        <v>367</v>
      </c>
      <c r="L295" s="48" t="s">
        <v>1136</v>
      </c>
      <c r="M295" s="48" t="s">
        <v>26</v>
      </c>
      <c r="N295" s="48" t="s">
        <v>20</v>
      </c>
      <c r="O295" s="48" t="s">
        <v>857</v>
      </c>
      <c r="P295" s="50">
        <v>98871.6</v>
      </c>
      <c r="Q295" s="50">
        <v>1</v>
      </c>
      <c r="R295" s="50">
        <v>98871.6</v>
      </c>
      <c r="S295" s="74">
        <v>46016</v>
      </c>
      <c r="T295" s="48" t="s">
        <v>1629</v>
      </c>
      <c r="U295" s="48" t="s">
        <v>367</v>
      </c>
      <c r="V295" s="48" t="s">
        <v>857</v>
      </c>
      <c r="W295" s="48"/>
    </row>
    <row r="296" spans="1:23" ht="15.75" x14ac:dyDescent="0.25">
      <c r="A296" s="48" t="s">
        <v>1801</v>
      </c>
      <c r="B296" s="49">
        <v>45922</v>
      </c>
      <c r="C296" s="48" t="s">
        <v>916</v>
      </c>
      <c r="D296" s="48" t="s">
        <v>1181</v>
      </c>
      <c r="E296" s="48" t="s">
        <v>858</v>
      </c>
      <c r="F296" s="48" t="s">
        <v>366</v>
      </c>
      <c r="G296" s="48" t="s">
        <v>710</v>
      </c>
      <c r="H296" s="48" t="s">
        <v>27</v>
      </c>
      <c r="I296" s="48" t="s">
        <v>1765</v>
      </c>
      <c r="J296" s="48" t="s">
        <v>1791</v>
      </c>
      <c r="K296" s="48" t="s">
        <v>81</v>
      </c>
      <c r="L296" s="48" t="s">
        <v>1139</v>
      </c>
      <c r="M296" s="48" t="s">
        <v>26</v>
      </c>
      <c r="N296" s="48" t="s">
        <v>20</v>
      </c>
      <c r="O296" s="48" t="s">
        <v>857</v>
      </c>
      <c r="P296" s="50">
        <v>1500000</v>
      </c>
      <c r="Q296" s="50">
        <v>1</v>
      </c>
      <c r="R296" s="50">
        <v>1500000</v>
      </c>
      <c r="S296" s="74">
        <v>46016</v>
      </c>
      <c r="T296" s="48" t="s">
        <v>1761</v>
      </c>
      <c r="U296" s="48" t="s">
        <v>377</v>
      </c>
      <c r="V296" s="48" t="s">
        <v>857</v>
      </c>
      <c r="W296" s="48"/>
    </row>
    <row r="297" spans="1:23" ht="15.75" x14ac:dyDescent="0.25">
      <c r="A297" s="48" t="s">
        <v>1887</v>
      </c>
      <c r="B297" s="49">
        <v>46013</v>
      </c>
      <c r="C297" s="48" t="s">
        <v>916</v>
      </c>
      <c r="D297" s="48" t="s">
        <v>509</v>
      </c>
      <c r="E297" s="48" t="s">
        <v>856</v>
      </c>
      <c r="F297" s="48" t="s">
        <v>21</v>
      </c>
      <c r="G297" s="48" t="s">
        <v>22</v>
      </c>
      <c r="H297" s="48" t="s">
        <v>27</v>
      </c>
      <c r="I297" s="48" t="s">
        <v>510</v>
      </c>
      <c r="J297" s="48" t="s">
        <v>72</v>
      </c>
      <c r="K297" s="48" t="s">
        <v>511</v>
      </c>
      <c r="L297" s="48" t="s">
        <v>1236</v>
      </c>
      <c r="M297" s="48" t="s">
        <v>26</v>
      </c>
      <c r="N297" s="48" t="s">
        <v>20</v>
      </c>
      <c r="O297" s="48" t="s">
        <v>857</v>
      </c>
      <c r="P297" s="50">
        <v>1749763.62</v>
      </c>
      <c r="Q297" s="50">
        <v>1</v>
      </c>
      <c r="R297" s="50">
        <v>1749763.62</v>
      </c>
      <c r="S297" s="74">
        <v>46016</v>
      </c>
      <c r="T297" s="48" t="s">
        <v>1882</v>
      </c>
      <c r="U297" s="48" t="s">
        <v>511</v>
      </c>
      <c r="V297" s="48" t="s">
        <v>857</v>
      </c>
      <c r="W297" s="48"/>
    </row>
    <row r="298" spans="1:23" ht="15.75" x14ac:dyDescent="0.25">
      <c r="A298" s="48" t="s">
        <v>1637</v>
      </c>
      <c r="B298" s="49">
        <v>45967</v>
      </c>
      <c r="C298" s="48" t="s">
        <v>918</v>
      </c>
      <c r="D298" s="48" t="s">
        <v>1119</v>
      </c>
      <c r="E298" s="48" t="s">
        <v>858</v>
      </c>
      <c r="F298" s="48" t="s">
        <v>366</v>
      </c>
      <c r="G298" s="48" t="s">
        <v>367</v>
      </c>
      <c r="H298" s="48" t="s">
        <v>27</v>
      </c>
      <c r="I298" s="48" t="s">
        <v>4277</v>
      </c>
      <c r="J298" s="48" t="s">
        <v>24</v>
      </c>
      <c r="K298" s="48" t="s">
        <v>367</v>
      </c>
      <c r="L298" s="48" t="s">
        <v>1136</v>
      </c>
      <c r="M298" s="48" t="s">
        <v>26</v>
      </c>
      <c r="N298" s="48" t="s">
        <v>20</v>
      </c>
      <c r="O298" s="48" t="s">
        <v>857</v>
      </c>
      <c r="P298" s="50">
        <v>15540825</v>
      </c>
      <c r="Q298" s="50">
        <v>1</v>
      </c>
      <c r="R298" s="50">
        <v>15540825</v>
      </c>
      <c r="S298" s="74">
        <v>46016</v>
      </c>
      <c r="T298" s="48" t="s">
        <v>425</v>
      </c>
      <c r="U298" s="48" t="s">
        <v>367</v>
      </c>
      <c r="V298" s="48" t="s">
        <v>857</v>
      </c>
      <c r="W298" s="48"/>
    </row>
    <row r="299" spans="1:23" ht="15.75" x14ac:dyDescent="0.25">
      <c r="A299" s="48" t="s">
        <v>1736</v>
      </c>
      <c r="B299" s="49">
        <v>45931</v>
      </c>
      <c r="C299" s="48" t="s">
        <v>924</v>
      </c>
      <c r="D299" s="48" t="s">
        <v>1119</v>
      </c>
      <c r="E299" s="48" t="s">
        <v>856</v>
      </c>
      <c r="F299" s="48" t="s">
        <v>366</v>
      </c>
      <c r="G299" s="48" t="s">
        <v>367</v>
      </c>
      <c r="H299" s="48" t="s">
        <v>27</v>
      </c>
      <c r="I299" s="48" t="s">
        <v>521</v>
      </c>
      <c r="J299" s="48" t="s">
        <v>24</v>
      </c>
      <c r="K299" s="48" t="s">
        <v>367</v>
      </c>
      <c r="L299" s="48" t="s">
        <v>1136</v>
      </c>
      <c r="M299" s="48" t="s">
        <v>26</v>
      </c>
      <c r="N299" s="48" t="s">
        <v>20</v>
      </c>
      <c r="O299" s="48" t="s">
        <v>857</v>
      </c>
      <c r="P299" s="50">
        <v>25000000</v>
      </c>
      <c r="Q299" s="50">
        <v>1</v>
      </c>
      <c r="R299" s="50">
        <v>25000000</v>
      </c>
      <c r="S299" s="74">
        <v>46015</v>
      </c>
      <c r="T299" s="48" t="s">
        <v>1624</v>
      </c>
      <c r="U299" s="48" t="s">
        <v>367</v>
      </c>
      <c r="V299" s="48" t="s">
        <v>857</v>
      </c>
      <c r="W299" s="48"/>
    </row>
    <row r="300" spans="1:23" ht="15.75" x14ac:dyDescent="0.25">
      <c r="A300" s="48" t="s">
        <v>1447</v>
      </c>
      <c r="B300" s="49">
        <v>45952</v>
      </c>
      <c r="C300" s="48" t="s">
        <v>924</v>
      </c>
      <c r="D300" s="48" t="s">
        <v>441</v>
      </c>
      <c r="E300" s="48" t="s">
        <v>856</v>
      </c>
      <c r="F300" s="48" t="s">
        <v>612</v>
      </c>
      <c r="G300" s="48" t="s">
        <v>613</v>
      </c>
      <c r="H300" s="48" t="s">
        <v>27</v>
      </c>
      <c r="I300" s="48" t="s">
        <v>1416</v>
      </c>
      <c r="J300" s="48" t="s">
        <v>24</v>
      </c>
      <c r="K300" s="48" t="s">
        <v>613</v>
      </c>
      <c r="L300" s="48" t="s">
        <v>1135</v>
      </c>
      <c r="M300" s="48" t="s">
        <v>26</v>
      </c>
      <c r="N300" s="48" t="s">
        <v>20</v>
      </c>
      <c r="O300" s="48" t="s">
        <v>378</v>
      </c>
      <c r="P300" s="50">
        <v>500000</v>
      </c>
      <c r="Q300" s="50">
        <v>1</v>
      </c>
      <c r="R300" s="50">
        <v>500000</v>
      </c>
      <c r="S300" s="74">
        <v>46015</v>
      </c>
      <c r="T300" s="48" t="s">
        <v>311</v>
      </c>
      <c r="U300" s="48" t="s">
        <v>613</v>
      </c>
      <c r="V300" s="48" t="s">
        <v>857</v>
      </c>
      <c r="W300" s="48"/>
    </row>
    <row r="301" spans="1:23" ht="15.75" x14ac:dyDescent="0.25">
      <c r="A301" s="48" t="s">
        <v>1601</v>
      </c>
      <c r="B301" s="49">
        <v>45924</v>
      </c>
      <c r="C301" s="48" t="s">
        <v>916</v>
      </c>
      <c r="D301" s="48" t="s">
        <v>441</v>
      </c>
      <c r="E301" s="48" t="s">
        <v>858</v>
      </c>
      <c r="F301" s="48" t="s">
        <v>366</v>
      </c>
      <c r="G301" s="48" t="s">
        <v>710</v>
      </c>
      <c r="H301" s="48" t="s">
        <v>27</v>
      </c>
      <c r="I301" s="48" t="s">
        <v>1574</v>
      </c>
      <c r="J301" s="48" t="s">
        <v>24</v>
      </c>
      <c r="K301" s="48" t="s">
        <v>710</v>
      </c>
      <c r="L301" s="48" t="s">
        <v>1209</v>
      </c>
      <c r="M301" s="48" t="s">
        <v>26</v>
      </c>
      <c r="N301" s="48" t="s">
        <v>20</v>
      </c>
      <c r="O301" s="48" t="s">
        <v>857</v>
      </c>
      <c r="P301" s="50">
        <v>378800.2</v>
      </c>
      <c r="Q301" s="50">
        <v>1</v>
      </c>
      <c r="R301" s="50">
        <v>378800.2</v>
      </c>
      <c r="S301" s="74">
        <v>46015</v>
      </c>
      <c r="T301" s="48" t="s">
        <v>621</v>
      </c>
      <c r="U301" s="48" t="s">
        <v>710</v>
      </c>
      <c r="V301" s="48" t="s">
        <v>857</v>
      </c>
      <c r="W301" s="48"/>
    </row>
    <row r="302" spans="1:23" ht="15.75" x14ac:dyDescent="0.25">
      <c r="A302" s="48" t="s">
        <v>1792</v>
      </c>
      <c r="B302" s="49">
        <v>45925</v>
      </c>
      <c r="C302" s="48" t="s">
        <v>916</v>
      </c>
      <c r="D302" s="48" t="s">
        <v>441</v>
      </c>
      <c r="E302" s="48" t="s">
        <v>858</v>
      </c>
      <c r="F302" s="48" t="s">
        <v>21</v>
      </c>
      <c r="G302" s="48" t="s">
        <v>22</v>
      </c>
      <c r="H302" s="48" t="s">
        <v>27</v>
      </c>
      <c r="I302" s="48" t="s">
        <v>1586</v>
      </c>
      <c r="J302" s="48" t="s">
        <v>24</v>
      </c>
      <c r="K302" s="48" t="s">
        <v>22</v>
      </c>
      <c r="L302" s="48" t="s">
        <v>1132</v>
      </c>
      <c r="M302" s="48" t="s">
        <v>26</v>
      </c>
      <c r="N302" s="48" t="s">
        <v>20</v>
      </c>
      <c r="O302" s="48" t="s">
        <v>857</v>
      </c>
      <c r="P302" s="50">
        <v>900000</v>
      </c>
      <c r="Q302" s="50">
        <v>1</v>
      </c>
      <c r="R302" s="50">
        <v>900000</v>
      </c>
      <c r="S302" s="74">
        <v>46014</v>
      </c>
      <c r="T302" s="48" t="s">
        <v>621</v>
      </c>
      <c r="U302" s="48" t="s">
        <v>22</v>
      </c>
      <c r="V302" s="48" t="s">
        <v>857</v>
      </c>
      <c r="W302" s="48"/>
    </row>
    <row r="303" spans="1:23" ht="15.75" x14ac:dyDescent="0.25">
      <c r="A303" s="48" t="s">
        <v>1445</v>
      </c>
      <c r="B303" s="49">
        <v>45945</v>
      </c>
      <c r="C303" s="48" t="s">
        <v>916</v>
      </c>
      <c r="D303" s="48" t="s">
        <v>441</v>
      </c>
      <c r="E303" s="48" t="s">
        <v>858</v>
      </c>
      <c r="F303" s="48" t="s">
        <v>366</v>
      </c>
      <c r="G303" s="48" t="s">
        <v>710</v>
      </c>
      <c r="H303" s="48" t="s">
        <v>27</v>
      </c>
      <c r="I303" s="48" t="s">
        <v>1386</v>
      </c>
      <c r="J303" s="48" t="s">
        <v>24</v>
      </c>
      <c r="K303" s="48" t="s">
        <v>710</v>
      </c>
      <c r="L303" s="48" t="s">
        <v>1209</v>
      </c>
      <c r="M303" s="48" t="s">
        <v>26</v>
      </c>
      <c r="N303" s="48" t="s">
        <v>20</v>
      </c>
      <c r="O303" s="48" t="s">
        <v>857</v>
      </c>
      <c r="P303" s="50">
        <v>2000000</v>
      </c>
      <c r="Q303" s="50">
        <v>1</v>
      </c>
      <c r="R303" s="50">
        <v>2000000</v>
      </c>
      <c r="S303" s="74">
        <v>46013</v>
      </c>
      <c r="T303" s="48" t="s">
        <v>621</v>
      </c>
      <c r="U303" s="48" t="s">
        <v>710</v>
      </c>
      <c r="V303" s="48" t="s">
        <v>857</v>
      </c>
      <c r="W303" s="48"/>
    </row>
    <row r="304" spans="1:23" ht="15.75" x14ac:dyDescent="0.25">
      <c r="A304" s="48" t="s">
        <v>1674</v>
      </c>
      <c r="B304" s="49">
        <v>45903</v>
      </c>
      <c r="C304" s="48" t="s">
        <v>916</v>
      </c>
      <c r="D304" s="48" t="s">
        <v>1119</v>
      </c>
      <c r="E304" s="48" t="s">
        <v>856</v>
      </c>
      <c r="F304" s="48" t="s">
        <v>366</v>
      </c>
      <c r="G304" s="48" t="s">
        <v>367</v>
      </c>
      <c r="H304" s="48" t="s">
        <v>27</v>
      </c>
      <c r="I304" s="48" t="s">
        <v>1653</v>
      </c>
      <c r="J304" s="48" t="s">
        <v>24</v>
      </c>
      <c r="K304" s="48" t="s">
        <v>367</v>
      </c>
      <c r="L304" s="48" t="s">
        <v>1136</v>
      </c>
      <c r="M304" s="48" t="s">
        <v>26</v>
      </c>
      <c r="N304" s="48" t="s">
        <v>20</v>
      </c>
      <c r="O304" s="48" t="s">
        <v>857</v>
      </c>
      <c r="P304" s="50">
        <v>1246756.1200000001</v>
      </c>
      <c r="Q304" s="50">
        <v>1</v>
      </c>
      <c r="R304" s="50">
        <v>1246756.1200000001</v>
      </c>
      <c r="S304" s="74">
        <v>46012</v>
      </c>
      <c r="T304" s="48" t="s">
        <v>1629</v>
      </c>
      <c r="U304" s="48" t="s">
        <v>367</v>
      </c>
      <c r="V304" s="48" t="s">
        <v>857</v>
      </c>
      <c r="W304" s="48"/>
    </row>
    <row r="305" spans="1:23" ht="15.75" x14ac:dyDescent="0.25">
      <c r="A305" s="48" t="s">
        <v>1689</v>
      </c>
      <c r="B305" s="49">
        <v>45960</v>
      </c>
      <c r="C305" s="48" t="s">
        <v>918</v>
      </c>
      <c r="D305" s="48" t="s">
        <v>1119</v>
      </c>
      <c r="E305" s="48" t="s">
        <v>858</v>
      </c>
      <c r="F305" s="48" t="s">
        <v>366</v>
      </c>
      <c r="G305" s="48" t="s">
        <v>367</v>
      </c>
      <c r="H305" s="48" t="s">
        <v>27</v>
      </c>
      <c r="I305" s="48" t="s">
        <v>1682</v>
      </c>
      <c r="J305" s="48" t="s">
        <v>24</v>
      </c>
      <c r="K305" s="48" t="s">
        <v>367</v>
      </c>
      <c r="L305" s="48" t="s">
        <v>1136</v>
      </c>
      <c r="M305" s="48" t="s">
        <v>26</v>
      </c>
      <c r="N305" s="48" t="s">
        <v>20</v>
      </c>
      <c r="O305" s="48" t="s">
        <v>857</v>
      </c>
      <c r="P305" s="50">
        <v>379272.9</v>
      </c>
      <c r="Q305" s="50">
        <v>1</v>
      </c>
      <c r="R305" s="50">
        <v>379272.9</v>
      </c>
      <c r="S305" s="74">
        <v>46012</v>
      </c>
      <c r="T305" s="48" t="s">
        <v>1683</v>
      </c>
      <c r="U305" s="48" t="s">
        <v>367</v>
      </c>
      <c r="V305" s="48" t="s">
        <v>857</v>
      </c>
      <c r="W305" s="48"/>
    </row>
    <row r="306" spans="1:23" ht="15.75" x14ac:dyDescent="0.25">
      <c r="A306" s="48" t="s">
        <v>1934</v>
      </c>
      <c r="B306" s="49">
        <v>45978</v>
      </c>
      <c r="C306" s="48" t="s">
        <v>918</v>
      </c>
      <c r="D306" s="48" t="s">
        <v>1537</v>
      </c>
      <c r="E306" s="48" t="s">
        <v>856</v>
      </c>
      <c r="F306" s="48" t="s">
        <v>62</v>
      </c>
      <c r="G306" s="48" t="s">
        <v>483</v>
      </c>
      <c r="H306" s="48" t="s">
        <v>27</v>
      </c>
      <c r="I306" s="48" t="s">
        <v>1641</v>
      </c>
      <c r="J306" s="48" t="s">
        <v>72</v>
      </c>
      <c r="K306" s="48" t="s">
        <v>483</v>
      </c>
      <c r="L306" s="48" t="s">
        <v>1646</v>
      </c>
      <c r="M306" s="48" t="s">
        <v>26</v>
      </c>
      <c r="N306" s="48" t="s">
        <v>20</v>
      </c>
      <c r="O306" s="48" t="s">
        <v>857</v>
      </c>
      <c r="P306" s="50">
        <v>1479912.9</v>
      </c>
      <c r="Q306" s="50">
        <v>1</v>
      </c>
      <c r="R306" s="50">
        <v>1479912.9</v>
      </c>
      <c r="S306" s="74">
        <v>46012</v>
      </c>
      <c r="T306" s="48" t="s">
        <v>305</v>
      </c>
      <c r="U306" s="48" t="s">
        <v>377</v>
      </c>
      <c r="V306" s="48" t="s">
        <v>378</v>
      </c>
      <c r="W306" s="48"/>
    </row>
    <row r="307" spans="1:23" ht="15.75" x14ac:dyDescent="0.25">
      <c r="A307" s="48" t="s">
        <v>1487</v>
      </c>
      <c r="B307" s="49">
        <v>45936</v>
      </c>
      <c r="C307" s="48" t="s">
        <v>916</v>
      </c>
      <c r="D307" s="48" t="s">
        <v>441</v>
      </c>
      <c r="E307" s="48" t="s">
        <v>856</v>
      </c>
      <c r="F307" s="48" t="s">
        <v>21</v>
      </c>
      <c r="G307" s="48" t="s">
        <v>22</v>
      </c>
      <c r="H307" s="48" t="s">
        <v>27</v>
      </c>
      <c r="I307" s="48" t="s">
        <v>1372</v>
      </c>
      <c r="J307" s="48" t="s">
        <v>24</v>
      </c>
      <c r="K307" s="48" t="s">
        <v>407</v>
      </c>
      <c r="L307" s="48" t="s">
        <v>1131</v>
      </c>
      <c r="M307" s="48" t="s">
        <v>26</v>
      </c>
      <c r="N307" s="48" t="s">
        <v>20</v>
      </c>
      <c r="O307" s="48" t="s">
        <v>857</v>
      </c>
      <c r="P307" s="50">
        <v>578910</v>
      </c>
      <c r="Q307" s="50">
        <v>1</v>
      </c>
      <c r="R307" s="50">
        <v>578910</v>
      </c>
      <c r="S307" s="74">
        <v>46012</v>
      </c>
      <c r="T307" s="48" t="s">
        <v>621</v>
      </c>
      <c r="U307" s="48" t="s">
        <v>511</v>
      </c>
      <c r="V307" s="48" t="s">
        <v>378</v>
      </c>
      <c r="W307" s="48"/>
    </row>
    <row r="308" spans="1:23" ht="15.75" x14ac:dyDescent="0.25">
      <c r="A308" s="48" t="s">
        <v>1834</v>
      </c>
      <c r="B308" s="49">
        <v>45999</v>
      </c>
      <c r="C308" s="48" t="s">
        <v>918</v>
      </c>
      <c r="D308" s="48" t="s">
        <v>1537</v>
      </c>
      <c r="E308" s="48" t="s">
        <v>858</v>
      </c>
      <c r="F308" s="48" t="s">
        <v>62</v>
      </c>
      <c r="G308" s="48" t="s">
        <v>483</v>
      </c>
      <c r="H308" s="48" t="s">
        <v>27</v>
      </c>
      <c r="I308" s="48" t="s">
        <v>1647</v>
      </c>
      <c r="J308" s="48" t="s">
        <v>72</v>
      </c>
      <c r="K308" s="48" t="s">
        <v>483</v>
      </c>
      <c r="L308" s="48" t="s">
        <v>1646</v>
      </c>
      <c r="M308" s="48" t="s">
        <v>78</v>
      </c>
      <c r="N308" s="48" t="s">
        <v>20</v>
      </c>
      <c r="O308" s="48" t="s">
        <v>857</v>
      </c>
      <c r="P308" s="50">
        <v>4469041.34</v>
      </c>
      <c r="Q308" s="50">
        <v>3.762</v>
      </c>
      <c r="R308" s="50">
        <v>16812533.521079998</v>
      </c>
      <c r="S308" s="74">
        <v>46009</v>
      </c>
      <c r="T308" s="48" t="s">
        <v>1937</v>
      </c>
      <c r="U308" s="48" t="s">
        <v>483</v>
      </c>
      <c r="V308" s="48" t="s">
        <v>378</v>
      </c>
      <c r="W308" s="48" t="s">
        <v>3143</v>
      </c>
    </row>
    <row r="309" spans="1:23" ht="15.75" x14ac:dyDescent="0.25">
      <c r="A309" s="48" t="s">
        <v>1689</v>
      </c>
      <c r="B309" s="49">
        <v>45959</v>
      </c>
      <c r="C309" s="48" t="s">
        <v>916</v>
      </c>
      <c r="D309" s="48" t="s">
        <v>1119</v>
      </c>
      <c r="E309" s="48" t="s">
        <v>858</v>
      </c>
      <c r="F309" s="48" t="s">
        <v>366</v>
      </c>
      <c r="G309" s="48" t="s">
        <v>367</v>
      </c>
      <c r="H309" s="48" t="s">
        <v>27</v>
      </c>
      <c r="I309" s="48" t="s">
        <v>1682</v>
      </c>
      <c r="J309" s="48" t="s">
        <v>24</v>
      </c>
      <c r="K309" s="48" t="s">
        <v>367</v>
      </c>
      <c r="L309" s="48" t="s">
        <v>1136</v>
      </c>
      <c r="M309" s="48" t="s">
        <v>26</v>
      </c>
      <c r="N309" s="48" t="s">
        <v>20</v>
      </c>
      <c r="O309" s="48" t="s">
        <v>857</v>
      </c>
      <c r="P309" s="50">
        <v>88221.07</v>
      </c>
      <c r="Q309" s="50">
        <v>1</v>
      </c>
      <c r="R309" s="50">
        <v>88221.07</v>
      </c>
      <c r="S309" s="74">
        <v>46009</v>
      </c>
      <c r="T309" s="48" t="s">
        <v>1683</v>
      </c>
      <c r="U309" s="48" t="s">
        <v>367</v>
      </c>
      <c r="V309" s="48" t="s">
        <v>857</v>
      </c>
      <c r="W309" s="48"/>
    </row>
    <row r="310" spans="1:23" ht="15.75" x14ac:dyDescent="0.25">
      <c r="A310" s="48" t="s">
        <v>1235</v>
      </c>
      <c r="B310" s="49">
        <v>45950</v>
      </c>
      <c r="C310" s="48" t="s">
        <v>918</v>
      </c>
      <c r="D310" s="48" t="s">
        <v>441</v>
      </c>
      <c r="E310" s="48" t="s">
        <v>856</v>
      </c>
      <c r="F310" s="48" t="s">
        <v>612</v>
      </c>
      <c r="G310" s="48" t="s">
        <v>613</v>
      </c>
      <c r="H310" s="48" t="s">
        <v>27</v>
      </c>
      <c r="I310" s="48" t="s">
        <v>1205</v>
      </c>
      <c r="J310" s="48" t="s">
        <v>24</v>
      </c>
      <c r="K310" s="48" t="s">
        <v>613</v>
      </c>
      <c r="L310" s="48" t="s">
        <v>1135</v>
      </c>
      <c r="M310" s="48" t="s">
        <v>26</v>
      </c>
      <c r="N310" s="48" t="s">
        <v>20</v>
      </c>
      <c r="O310" s="48" t="s">
        <v>378</v>
      </c>
      <c r="P310" s="50">
        <v>130844.12</v>
      </c>
      <c r="Q310" s="50">
        <v>1</v>
      </c>
      <c r="R310" s="50">
        <v>130844.12</v>
      </c>
      <c r="S310" s="74">
        <v>46009</v>
      </c>
      <c r="T310" s="48" t="s">
        <v>311</v>
      </c>
      <c r="U310" s="48" t="s">
        <v>613</v>
      </c>
      <c r="V310" s="48" t="s">
        <v>857</v>
      </c>
      <c r="W310" s="48"/>
    </row>
    <row r="311" spans="1:23" ht="15.75" x14ac:dyDescent="0.25">
      <c r="A311" s="48" t="s">
        <v>1768</v>
      </c>
      <c r="B311" s="49">
        <v>45949</v>
      </c>
      <c r="C311" s="48" t="s">
        <v>916</v>
      </c>
      <c r="D311" s="48" t="s">
        <v>441</v>
      </c>
      <c r="E311" s="48" t="s">
        <v>858</v>
      </c>
      <c r="F311" s="48" t="s">
        <v>366</v>
      </c>
      <c r="G311" s="48" t="s">
        <v>710</v>
      </c>
      <c r="H311" s="48" t="s">
        <v>27</v>
      </c>
      <c r="I311" s="48" t="s">
        <v>1698</v>
      </c>
      <c r="J311" s="48" t="s">
        <v>24</v>
      </c>
      <c r="K311" s="48" t="s">
        <v>710</v>
      </c>
      <c r="L311" s="48" t="s">
        <v>1209</v>
      </c>
      <c r="M311" s="48" t="s">
        <v>26</v>
      </c>
      <c r="N311" s="48" t="s">
        <v>20</v>
      </c>
      <c r="O311" s="48" t="s">
        <v>857</v>
      </c>
      <c r="P311" s="50">
        <v>200000</v>
      </c>
      <c r="Q311" s="50">
        <v>1</v>
      </c>
      <c r="R311" s="50">
        <v>200000</v>
      </c>
      <c r="S311" s="74">
        <v>46008</v>
      </c>
      <c r="T311" s="48" t="s">
        <v>621</v>
      </c>
      <c r="U311" s="48" t="s">
        <v>710</v>
      </c>
      <c r="V311" s="48" t="s">
        <v>857</v>
      </c>
      <c r="W311" s="48"/>
    </row>
    <row r="312" spans="1:23" ht="15.75" x14ac:dyDescent="0.25">
      <c r="A312" s="48" t="s">
        <v>1816</v>
      </c>
      <c r="B312" s="49">
        <v>45924</v>
      </c>
      <c r="C312" s="48" t="s">
        <v>916</v>
      </c>
      <c r="D312" s="48" t="s">
        <v>1181</v>
      </c>
      <c r="E312" s="48" t="s">
        <v>856</v>
      </c>
      <c r="F312" s="48" t="s">
        <v>366</v>
      </c>
      <c r="G312" s="48" t="s">
        <v>710</v>
      </c>
      <c r="H312" s="48" t="s">
        <v>27</v>
      </c>
      <c r="I312" s="48" t="s">
        <v>521</v>
      </c>
      <c r="J312" s="48" t="s">
        <v>1791</v>
      </c>
      <c r="K312" s="48" t="s">
        <v>81</v>
      </c>
      <c r="L312" s="48" t="s">
        <v>1139</v>
      </c>
      <c r="M312" s="48" t="s">
        <v>26</v>
      </c>
      <c r="N312" s="48" t="s">
        <v>20</v>
      </c>
      <c r="O312" s="48" t="s">
        <v>857</v>
      </c>
      <c r="P312" s="50">
        <v>809915</v>
      </c>
      <c r="Q312" s="50">
        <v>1</v>
      </c>
      <c r="R312" s="50">
        <v>809915</v>
      </c>
      <c r="S312" s="74">
        <v>46008</v>
      </c>
      <c r="T312" s="48" t="s">
        <v>408</v>
      </c>
      <c r="U312" s="48" t="s">
        <v>377</v>
      </c>
      <c r="V312" s="48" t="s">
        <v>857</v>
      </c>
      <c r="W312" s="48"/>
    </row>
    <row r="313" spans="1:23" ht="15.75" x14ac:dyDescent="0.25">
      <c r="A313" s="48" t="s">
        <v>1769</v>
      </c>
      <c r="B313" s="49">
        <v>45929</v>
      </c>
      <c r="C313" s="48" t="s">
        <v>916</v>
      </c>
      <c r="D313" s="48" t="s">
        <v>441</v>
      </c>
      <c r="E313" s="48" t="s">
        <v>858</v>
      </c>
      <c r="F313" s="48" t="s">
        <v>366</v>
      </c>
      <c r="G313" s="48" t="s">
        <v>710</v>
      </c>
      <c r="H313" s="48" t="s">
        <v>27</v>
      </c>
      <c r="I313" s="48" t="s">
        <v>1572</v>
      </c>
      <c r="J313" s="48" t="s">
        <v>24</v>
      </c>
      <c r="K313" s="48" t="s">
        <v>710</v>
      </c>
      <c r="L313" s="48" t="s">
        <v>1209</v>
      </c>
      <c r="M313" s="48" t="s">
        <v>26</v>
      </c>
      <c r="N313" s="48" t="s">
        <v>20</v>
      </c>
      <c r="O313" s="48" t="s">
        <v>857</v>
      </c>
      <c r="P313" s="50">
        <v>700000</v>
      </c>
      <c r="Q313" s="50">
        <v>1</v>
      </c>
      <c r="R313" s="50">
        <v>700000</v>
      </c>
      <c r="S313" s="74">
        <v>46008</v>
      </c>
      <c r="T313" s="48" t="s">
        <v>621</v>
      </c>
      <c r="U313" s="48" t="s">
        <v>710</v>
      </c>
      <c r="V313" s="48" t="s">
        <v>857</v>
      </c>
      <c r="W313" s="48"/>
    </row>
    <row r="314" spans="1:23" ht="15.75" x14ac:dyDescent="0.25">
      <c r="A314" s="48" t="s">
        <v>2568</v>
      </c>
      <c r="B314" s="49">
        <v>45978</v>
      </c>
      <c r="C314" s="48" t="s">
        <v>1591</v>
      </c>
      <c r="D314" s="48" t="s">
        <v>1537</v>
      </c>
      <c r="E314" s="48" t="s">
        <v>856</v>
      </c>
      <c r="F314" s="48" t="s">
        <v>62</v>
      </c>
      <c r="G314" s="48" t="s">
        <v>70</v>
      </c>
      <c r="H314" s="48" t="s">
        <v>70</v>
      </c>
      <c r="I314" s="48" t="s">
        <v>1641</v>
      </c>
      <c r="J314" s="48" t="s">
        <v>72</v>
      </c>
      <c r="K314" s="48" t="s">
        <v>483</v>
      </c>
      <c r="L314" s="48" t="s">
        <v>1646</v>
      </c>
      <c r="M314" s="48" t="s">
        <v>26</v>
      </c>
      <c r="N314" s="48" t="s">
        <v>20</v>
      </c>
      <c r="O314" s="48" t="s">
        <v>857</v>
      </c>
      <c r="P314" s="50">
        <v>608364.6100000001</v>
      </c>
      <c r="Q314" s="50">
        <v>1</v>
      </c>
      <c r="R314" s="50">
        <v>608364.6100000001</v>
      </c>
      <c r="S314" s="74">
        <v>46008</v>
      </c>
      <c r="T314" s="48" t="s">
        <v>305</v>
      </c>
      <c r="U314" s="48" t="s">
        <v>70</v>
      </c>
      <c r="V314" s="48" t="s">
        <v>857</v>
      </c>
      <c r="W314" s="48"/>
    </row>
    <row r="315" spans="1:23" ht="15.75" x14ac:dyDescent="0.25">
      <c r="A315" s="48" t="s">
        <v>1649</v>
      </c>
      <c r="B315" s="49">
        <v>45909</v>
      </c>
      <c r="C315" s="48" t="s">
        <v>916</v>
      </c>
      <c r="D315" s="48" t="s">
        <v>1119</v>
      </c>
      <c r="E315" s="48" t="s">
        <v>856</v>
      </c>
      <c r="F315" s="48" t="s">
        <v>366</v>
      </c>
      <c r="G315" s="48" t="s">
        <v>367</v>
      </c>
      <c r="H315" s="48" t="s">
        <v>27</v>
      </c>
      <c r="I315" s="48" t="s">
        <v>1611</v>
      </c>
      <c r="J315" s="48" t="s">
        <v>24</v>
      </c>
      <c r="K315" s="48" t="s">
        <v>367</v>
      </c>
      <c r="L315" s="48" t="s">
        <v>1136</v>
      </c>
      <c r="M315" s="48" t="s">
        <v>26</v>
      </c>
      <c r="N315" s="48" t="s">
        <v>20</v>
      </c>
      <c r="O315" s="48" t="s">
        <v>378</v>
      </c>
      <c r="P315" s="50">
        <v>621000</v>
      </c>
      <c r="Q315" s="50">
        <v>1</v>
      </c>
      <c r="R315" s="50">
        <v>621000</v>
      </c>
      <c r="S315" s="74">
        <v>46007</v>
      </c>
      <c r="T315" s="48" t="s">
        <v>1629</v>
      </c>
      <c r="U315" s="48" t="s">
        <v>367</v>
      </c>
      <c r="V315" s="48" t="s">
        <v>857</v>
      </c>
      <c r="W315" s="48"/>
    </row>
    <row r="316" spans="1:23" ht="15.75" x14ac:dyDescent="0.25">
      <c r="A316" s="48" t="s">
        <v>1686</v>
      </c>
      <c r="B316" s="49">
        <v>45893</v>
      </c>
      <c r="C316" s="48" t="s">
        <v>916</v>
      </c>
      <c r="D316" s="48" t="s">
        <v>1119</v>
      </c>
      <c r="E316" s="48" t="s">
        <v>856</v>
      </c>
      <c r="F316" s="48" t="s">
        <v>366</v>
      </c>
      <c r="G316" s="48" t="s">
        <v>367</v>
      </c>
      <c r="H316" s="48" t="s">
        <v>27</v>
      </c>
      <c r="I316" s="48" t="s">
        <v>1643</v>
      </c>
      <c r="J316" s="48" t="s">
        <v>24</v>
      </c>
      <c r="K316" s="48" t="s">
        <v>367</v>
      </c>
      <c r="L316" s="48" t="s">
        <v>1136</v>
      </c>
      <c r="M316" s="48" t="s">
        <v>26</v>
      </c>
      <c r="N316" s="48" t="s">
        <v>20</v>
      </c>
      <c r="O316" s="48" t="s">
        <v>857</v>
      </c>
      <c r="P316" s="50">
        <v>4782000</v>
      </c>
      <c r="Q316" s="50">
        <v>1</v>
      </c>
      <c r="R316" s="50">
        <v>4782000</v>
      </c>
      <c r="S316" s="74">
        <v>46007</v>
      </c>
      <c r="T316" s="48" t="s">
        <v>1629</v>
      </c>
      <c r="U316" s="48" t="s">
        <v>367</v>
      </c>
      <c r="V316" s="48" t="s">
        <v>857</v>
      </c>
      <c r="W316" s="48"/>
    </row>
    <row r="317" spans="1:23" ht="15.75" x14ac:dyDescent="0.25">
      <c r="A317" s="48" t="s">
        <v>1597</v>
      </c>
      <c r="B317" s="49">
        <v>45957</v>
      </c>
      <c r="C317" s="48" t="s">
        <v>916</v>
      </c>
      <c r="D317" s="48" t="s">
        <v>441</v>
      </c>
      <c r="E317" s="48" t="s">
        <v>856</v>
      </c>
      <c r="F317" s="48" t="s">
        <v>366</v>
      </c>
      <c r="G317" s="48" t="s">
        <v>710</v>
      </c>
      <c r="H317" s="48" t="s">
        <v>27</v>
      </c>
      <c r="I317" s="48" t="s">
        <v>1581</v>
      </c>
      <c r="J317" s="48" t="s">
        <v>24</v>
      </c>
      <c r="K317" s="48" t="s">
        <v>710</v>
      </c>
      <c r="L317" s="48" t="s">
        <v>1209</v>
      </c>
      <c r="M317" s="48" t="s">
        <v>26</v>
      </c>
      <c r="N317" s="48" t="s">
        <v>20</v>
      </c>
      <c r="O317" s="48" t="s">
        <v>857</v>
      </c>
      <c r="P317" s="50">
        <v>283333.74</v>
      </c>
      <c r="Q317" s="50">
        <v>1</v>
      </c>
      <c r="R317" s="50">
        <v>283333.74</v>
      </c>
      <c r="S317" s="74">
        <v>46007</v>
      </c>
      <c r="T317" s="48" t="s">
        <v>621</v>
      </c>
      <c r="U317" s="48" t="s">
        <v>710</v>
      </c>
      <c r="V317" s="48" t="s">
        <v>857</v>
      </c>
      <c r="W317" s="48"/>
    </row>
    <row r="318" spans="1:23" ht="15.75" x14ac:dyDescent="0.25">
      <c r="A318" s="48" t="s">
        <v>721</v>
      </c>
      <c r="B318" s="49">
        <v>45953</v>
      </c>
      <c r="C318" s="48" t="s">
        <v>928</v>
      </c>
      <c r="D318" s="48" t="s">
        <v>441</v>
      </c>
      <c r="E318" s="48" t="s">
        <v>856</v>
      </c>
      <c r="F318" s="48" t="s">
        <v>612</v>
      </c>
      <c r="G318" s="48" t="s">
        <v>613</v>
      </c>
      <c r="H318" s="48" t="s">
        <v>27</v>
      </c>
      <c r="I318" s="48" t="s">
        <v>177</v>
      </c>
      <c r="J318" s="48" t="s">
        <v>24</v>
      </c>
      <c r="K318" s="48" t="s">
        <v>613</v>
      </c>
      <c r="L318" s="48" t="s">
        <v>1135</v>
      </c>
      <c r="M318" s="48" t="s">
        <v>26</v>
      </c>
      <c r="N318" s="48" t="s">
        <v>20</v>
      </c>
      <c r="O318" s="48" t="s">
        <v>378</v>
      </c>
      <c r="P318" s="50">
        <v>565800</v>
      </c>
      <c r="Q318" s="50">
        <v>1</v>
      </c>
      <c r="R318" s="50">
        <v>565800</v>
      </c>
      <c r="S318" s="74">
        <v>46007</v>
      </c>
      <c r="T318" s="48" t="s">
        <v>311</v>
      </c>
      <c r="U318" s="48" t="s">
        <v>613</v>
      </c>
      <c r="V318" s="48" t="s">
        <v>857</v>
      </c>
      <c r="W318" s="48"/>
    </row>
    <row r="319" spans="1:23" ht="15.75" x14ac:dyDescent="0.25">
      <c r="A319" s="48" t="s">
        <v>1339</v>
      </c>
      <c r="B319" s="49">
        <v>45936</v>
      </c>
      <c r="C319" s="48" t="s">
        <v>918</v>
      </c>
      <c r="D319" s="48" t="s">
        <v>441</v>
      </c>
      <c r="E319" s="48" t="s">
        <v>858</v>
      </c>
      <c r="F319" s="48" t="s">
        <v>21</v>
      </c>
      <c r="G319" s="48" t="s">
        <v>22</v>
      </c>
      <c r="H319" s="48" t="s">
        <v>27</v>
      </c>
      <c r="I319" s="48" t="s">
        <v>349</v>
      </c>
      <c r="J319" s="48" t="s">
        <v>24</v>
      </c>
      <c r="K319" s="48" t="s">
        <v>22</v>
      </c>
      <c r="L319" s="48" t="s">
        <v>1132</v>
      </c>
      <c r="M319" s="48" t="s">
        <v>26</v>
      </c>
      <c r="N319" s="48" t="s">
        <v>20</v>
      </c>
      <c r="O319" s="48" t="s">
        <v>857</v>
      </c>
      <c r="P319" s="50">
        <v>124411.18</v>
      </c>
      <c r="Q319" s="50">
        <v>1</v>
      </c>
      <c r="R319" s="50">
        <v>124411.18</v>
      </c>
      <c r="S319" s="74">
        <v>46006</v>
      </c>
      <c r="T319" s="48" t="s">
        <v>621</v>
      </c>
      <c r="U319" s="48" t="s">
        <v>613</v>
      </c>
      <c r="V319" s="48" t="s">
        <v>378</v>
      </c>
      <c r="W319" s="48"/>
    </row>
    <row r="320" spans="1:23" ht="15.75" x14ac:dyDescent="0.25">
      <c r="A320" s="48" t="s">
        <v>1605</v>
      </c>
      <c r="B320" s="49">
        <v>45930</v>
      </c>
      <c r="C320" s="48" t="s">
        <v>916</v>
      </c>
      <c r="D320" s="48" t="s">
        <v>441</v>
      </c>
      <c r="E320" s="48" t="s">
        <v>856</v>
      </c>
      <c r="F320" s="48" t="s">
        <v>366</v>
      </c>
      <c r="G320" s="48" t="s">
        <v>710</v>
      </c>
      <c r="H320" s="48" t="s">
        <v>27</v>
      </c>
      <c r="I320" s="48" t="s">
        <v>1580</v>
      </c>
      <c r="J320" s="48" t="s">
        <v>24</v>
      </c>
      <c r="K320" s="48" t="s">
        <v>710</v>
      </c>
      <c r="L320" s="48" t="s">
        <v>1209</v>
      </c>
      <c r="M320" s="48" t="s">
        <v>26</v>
      </c>
      <c r="N320" s="48" t="s">
        <v>20</v>
      </c>
      <c r="O320" s="48" t="s">
        <v>857</v>
      </c>
      <c r="P320" s="50">
        <v>300000</v>
      </c>
      <c r="Q320" s="50">
        <v>1</v>
      </c>
      <c r="R320" s="50">
        <v>300000</v>
      </c>
      <c r="S320" s="74">
        <v>46006</v>
      </c>
      <c r="T320" s="48" t="s">
        <v>621</v>
      </c>
      <c r="U320" s="48" t="s">
        <v>710</v>
      </c>
      <c r="V320" s="48" t="s">
        <v>857</v>
      </c>
      <c r="W320" s="48"/>
    </row>
    <row r="321" spans="1:23" ht="15.75" x14ac:dyDescent="0.25">
      <c r="A321" s="48" t="s">
        <v>1280</v>
      </c>
      <c r="B321" s="49">
        <v>45928</v>
      </c>
      <c r="C321" s="48" t="s">
        <v>924</v>
      </c>
      <c r="D321" s="48" t="s">
        <v>441</v>
      </c>
      <c r="E321" s="48" t="s">
        <v>858</v>
      </c>
      <c r="F321" s="48" t="s">
        <v>373</v>
      </c>
      <c r="G321" s="48" t="s">
        <v>70</v>
      </c>
      <c r="H321" s="48" t="s">
        <v>70</v>
      </c>
      <c r="I321" s="48" t="s">
        <v>1239</v>
      </c>
      <c r="J321" s="48" t="s">
        <v>24</v>
      </c>
      <c r="K321" s="48" t="s">
        <v>407</v>
      </c>
      <c r="L321" s="48" t="s">
        <v>1131</v>
      </c>
      <c r="M321" s="48" t="s">
        <v>26</v>
      </c>
      <c r="N321" s="48" t="s">
        <v>20</v>
      </c>
      <c r="O321" s="48" t="s">
        <v>857</v>
      </c>
      <c r="P321" s="50">
        <v>65902.81</v>
      </c>
      <c r="Q321" s="50">
        <v>1</v>
      </c>
      <c r="R321" s="50">
        <v>65902.81</v>
      </c>
      <c r="S321" s="74">
        <v>46006</v>
      </c>
      <c r="T321" s="48" t="s">
        <v>621</v>
      </c>
      <c r="U321" s="48" t="s">
        <v>1849</v>
      </c>
      <c r="V321" s="48" t="s">
        <v>378</v>
      </c>
      <c r="W321" s="48"/>
    </row>
    <row r="322" spans="1:23" ht="15.75" x14ac:dyDescent="0.25">
      <c r="A322" s="48" t="s">
        <v>1328</v>
      </c>
      <c r="B322" s="49">
        <v>45943</v>
      </c>
      <c r="C322" s="48" t="s">
        <v>924</v>
      </c>
      <c r="D322" s="48" t="s">
        <v>441</v>
      </c>
      <c r="E322" s="48" t="s">
        <v>858</v>
      </c>
      <c r="F322" s="48" t="s">
        <v>373</v>
      </c>
      <c r="G322" s="48" t="s">
        <v>70</v>
      </c>
      <c r="H322" s="48" t="s">
        <v>70</v>
      </c>
      <c r="I322" s="48" t="s">
        <v>521</v>
      </c>
      <c r="J322" s="48" t="s">
        <v>24</v>
      </c>
      <c r="K322" s="48" t="s">
        <v>22</v>
      </c>
      <c r="L322" s="48" t="s">
        <v>1132</v>
      </c>
      <c r="M322" s="48" t="s">
        <v>26</v>
      </c>
      <c r="N322" s="48" t="s">
        <v>20</v>
      </c>
      <c r="O322" s="48" t="s">
        <v>857</v>
      </c>
      <c r="P322" s="50">
        <v>1101821.3999999999</v>
      </c>
      <c r="Q322" s="50">
        <v>1</v>
      </c>
      <c r="R322" s="50">
        <v>1101821.3999999999</v>
      </c>
      <c r="S322" s="74">
        <v>46005</v>
      </c>
      <c r="T322" s="48" t="s">
        <v>311</v>
      </c>
      <c r="U322" s="48" t="s">
        <v>1849</v>
      </c>
      <c r="V322" s="48" t="s">
        <v>378</v>
      </c>
      <c r="W322" s="48" t="s">
        <v>2566</v>
      </c>
    </row>
    <row r="323" spans="1:23" ht="15.75" x14ac:dyDescent="0.25">
      <c r="A323" s="48" t="s">
        <v>1654</v>
      </c>
      <c r="B323" s="49">
        <v>45930</v>
      </c>
      <c r="C323" s="48" t="s">
        <v>916</v>
      </c>
      <c r="D323" s="48" t="s">
        <v>441</v>
      </c>
      <c r="E323" s="48" t="s">
        <v>856</v>
      </c>
      <c r="F323" s="48" t="s">
        <v>21</v>
      </c>
      <c r="G323" s="48" t="s">
        <v>22</v>
      </c>
      <c r="H323" s="48" t="s">
        <v>27</v>
      </c>
      <c r="I323" s="48" t="s">
        <v>1592</v>
      </c>
      <c r="J323" s="48" t="s">
        <v>24</v>
      </c>
      <c r="K323" s="48" t="s">
        <v>22</v>
      </c>
      <c r="L323" s="48" t="s">
        <v>1132</v>
      </c>
      <c r="M323" s="48" t="s">
        <v>26</v>
      </c>
      <c r="N323" s="48" t="s">
        <v>20</v>
      </c>
      <c r="O323" s="48" t="s">
        <v>857</v>
      </c>
      <c r="P323" s="50">
        <v>311571.08</v>
      </c>
      <c r="Q323" s="50">
        <v>1</v>
      </c>
      <c r="R323" s="50">
        <v>311571.08</v>
      </c>
      <c r="S323" s="74">
        <v>46002</v>
      </c>
      <c r="T323" s="48" t="s">
        <v>621</v>
      </c>
      <c r="U323" s="48" t="s">
        <v>613</v>
      </c>
      <c r="V323" s="48" t="s">
        <v>378</v>
      </c>
      <c r="W323" s="48"/>
    </row>
    <row r="324" spans="1:23" ht="15.75" x14ac:dyDescent="0.25">
      <c r="A324" s="48" t="s">
        <v>1814</v>
      </c>
      <c r="B324" s="49">
        <v>45945</v>
      </c>
      <c r="C324" s="48" t="s">
        <v>916</v>
      </c>
      <c r="D324" s="48" t="s">
        <v>441</v>
      </c>
      <c r="E324" s="48" t="s">
        <v>856</v>
      </c>
      <c r="F324" s="48" t="s">
        <v>612</v>
      </c>
      <c r="G324" s="48" t="s">
        <v>613</v>
      </c>
      <c r="H324" s="48" t="s">
        <v>27</v>
      </c>
      <c r="I324" s="48" t="s">
        <v>177</v>
      </c>
      <c r="J324" s="48" t="s">
        <v>24</v>
      </c>
      <c r="K324" s="48" t="s">
        <v>613</v>
      </c>
      <c r="L324" s="48" t="s">
        <v>1135</v>
      </c>
      <c r="M324" s="48" t="s">
        <v>26</v>
      </c>
      <c r="N324" s="48" t="s">
        <v>20</v>
      </c>
      <c r="O324" s="48" t="s">
        <v>378</v>
      </c>
      <c r="P324" s="50">
        <v>1000000</v>
      </c>
      <c r="Q324" s="50">
        <v>1</v>
      </c>
      <c r="R324" s="50">
        <v>1000000</v>
      </c>
      <c r="S324" s="74">
        <v>46002</v>
      </c>
      <c r="T324" s="48" t="s">
        <v>311</v>
      </c>
      <c r="U324" s="48" t="s">
        <v>613</v>
      </c>
      <c r="V324" s="48" t="s">
        <v>857</v>
      </c>
      <c r="W324" s="48"/>
    </row>
    <row r="325" spans="1:23" ht="15.75" x14ac:dyDescent="0.25">
      <c r="A325" s="48" t="s">
        <v>1569</v>
      </c>
      <c r="B325" s="49">
        <v>45995</v>
      </c>
      <c r="C325" s="48" t="s">
        <v>924</v>
      </c>
      <c r="D325" s="48" t="s">
        <v>441</v>
      </c>
      <c r="E325" s="48" t="s">
        <v>856</v>
      </c>
      <c r="F325" s="48" t="s">
        <v>612</v>
      </c>
      <c r="G325" s="48" t="s">
        <v>613</v>
      </c>
      <c r="H325" s="48" t="s">
        <v>27</v>
      </c>
      <c r="I325" s="48" t="s">
        <v>177</v>
      </c>
      <c r="J325" s="48" t="s">
        <v>24</v>
      </c>
      <c r="K325" s="48" t="s">
        <v>613</v>
      </c>
      <c r="L325" s="48" t="s">
        <v>1135</v>
      </c>
      <c r="M325" s="48" t="s">
        <v>26</v>
      </c>
      <c r="N325" s="48" t="s">
        <v>20</v>
      </c>
      <c r="O325" s="48" t="s">
        <v>378</v>
      </c>
      <c r="P325" s="50">
        <v>368005.11</v>
      </c>
      <c r="Q325" s="50">
        <v>1</v>
      </c>
      <c r="R325" s="50">
        <v>368005.11</v>
      </c>
      <c r="S325" s="74">
        <v>46002</v>
      </c>
      <c r="T325" s="48" t="s">
        <v>311</v>
      </c>
      <c r="U325" s="48" t="s">
        <v>613</v>
      </c>
      <c r="V325" s="48" t="s">
        <v>857</v>
      </c>
      <c r="W325" s="48"/>
    </row>
    <row r="326" spans="1:23" ht="15.75" x14ac:dyDescent="0.25">
      <c r="A326" s="48" t="s">
        <v>1896</v>
      </c>
      <c r="B326" s="49">
        <v>46000</v>
      </c>
      <c r="C326" s="48" t="s">
        <v>918</v>
      </c>
      <c r="D326" s="48" t="s">
        <v>509</v>
      </c>
      <c r="E326" s="48" t="s">
        <v>856</v>
      </c>
      <c r="F326" s="48" t="s">
        <v>21</v>
      </c>
      <c r="G326" s="48" t="s">
        <v>22</v>
      </c>
      <c r="H326" s="48" t="s">
        <v>27</v>
      </c>
      <c r="I326" s="48" t="s">
        <v>1883</v>
      </c>
      <c r="J326" s="48" t="s">
        <v>72</v>
      </c>
      <c r="K326" s="48" t="s">
        <v>511</v>
      </c>
      <c r="L326" s="48" t="s">
        <v>1236</v>
      </c>
      <c r="M326" s="48" t="s">
        <v>26</v>
      </c>
      <c r="N326" s="48" t="s">
        <v>20</v>
      </c>
      <c r="O326" s="48" t="s">
        <v>857</v>
      </c>
      <c r="P326" s="50">
        <v>530502</v>
      </c>
      <c r="Q326" s="50">
        <v>1</v>
      </c>
      <c r="R326" s="50">
        <v>530502</v>
      </c>
      <c r="S326" s="74">
        <v>46002</v>
      </c>
      <c r="T326" s="48" t="s">
        <v>117</v>
      </c>
      <c r="U326" s="48" t="s">
        <v>2930</v>
      </c>
      <c r="V326" s="48" t="s">
        <v>378</v>
      </c>
      <c r="W326" s="48"/>
    </row>
    <row r="327" spans="1:23" ht="15.75" x14ac:dyDescent="0.25">
      <c r="A327" s="48" t="s">
        <v>1530</v>
      </c>
      <c r="B327" s="49">
        <v>45937</v>
      </c>
      <c r="C327" s="48" t="s">
        <v>918</v>
      </c>
      <c r="D327" s="48" t="s">
        <v>1878</v>
      </c>
      <c r="E327" s="48" t="s">
        <v>856</v>
      </c>
      <c r="F327" s="48" t="s">
        <v>366</v>
      </c>
      <c r="G327" s="48" t="s">
        <v>367</v>
      </c>
      <c r="H327" s="48" t="s">
        <v>27</v>
      </c>
      <c r="I327" s="48" t="s">
        <v>1513</v>
      </c>
      <c r="J327" s="48" t="s">
        <v>3220</v>
      </c>
      <c r="K327" s="48" t="s">
        <v>367</v>
      </c>
      <c r="L327" s="48" t="s">
        <v>1136</v>
      </c>
      <c r="M327" s="48" t="s">
        <v>26</v>
      </c>
      <c r="N327" s="48" t="s">
        <v>20</v>
      </c>
      <c r="O327" s="48" t="s">
        <v>857</v>
      </c>
      <c r="P327" s="50">
        <v>570425.12</v>
      </c>
      <c r="Q327" s="50">
        <v>1</v>
      </c>
      <c r="R327" s="50">
        <v>570425.12</v>
      </c>
      <c r="S327" s="74">
        <v>46001</v>
      </c>
      <c r="T327" s="48" t="s">
        <v>311</v>
      </c>
      <c r="U327" s="48" t="s">
        <v>367</v>
      </c>
      <c r="V327" s="48" t="s">
        <v>857</v>
      </c>
      <c r="W327" s="48"/>
    </row>
    <row r="328" spans="1:23" ht="15.75" x14ac:dyDescent="0.25">
      <c r="A328" s="48" t="s">
        <v>1607</v>
      </c>
      <c r="B328" s="49">
        <v>45917</v>
      </c>
      <c r="C328" s="48" t="s">
        <v>916</v>
      </c>
      <c r="D328" s="48" t="s">
        <v>441</v>
      </c>
      <c r="E328" s="48" t="s">
        <v>858</v>
      </c>
      <c r="F328" s="48" t="s">
        <v>366</v>
      </c>
      <c r="G328" s="48" t="s">
        <v>710</v>
      </c>
      <c r="H328" s="48" t="s">
        <v>27</v>
      </c>
      <c r="I328" s="48" t="s">
        <v>1578</v>
      </c>
      <c r="J328" s="48" t="s">
        <v>24</v>
      </c>
      <c r="K328" s="48" t="s">
        <v>710</v>
      </c>
      <c r="L328" s="48" t="s">
        <v>1209</v>
      </c>
      <c r="M328" s="48" t="s">
        <v>26</v>
      </c>
      <c r="N328" s="48" t="s">
        <v>20</v>
      </c>
      <c r="O328" s="48" t="s">
        <v>857</v>
      </c>
      <c r="P328" s="50">
        <v>160462</v>
      </c>
      <c r="Q328" s="50">
        <v>1</v>
      </c>
      <c r="R328" s="50">
        <v>160462</v>
      </c>
      <c r="S328" s="74">
        <v>46001</v>
      </c>
      <c r="T328" s="48" t="s">
        <v>621</v>
      </c>
      <c r="U328" s="48" t="s">
        <v>710</v>
      </c>
      <c r="V328" s="48" t="s">
        <v>857</v>
      </c>
      <c r="W328" s="48"/>
    </row>
    <row r="329" spans="1:23" ht="15.75" x14ac:dyDescent="0.25">
      <c r="A329" s="48" t="s">
        <v>1599</v>
      </c>
      <c r="B329" s="49">
        <v>45910</v>
      </c>
      <c r="C329" s="48" t="s">
        <v>916</v>
      </c>
      <c r="D329" s="48" t="s">
        <v>441</v>
      </c>
      <c r="E329" s="48" t="s">
        <v>856</v>
      </c>
      <c r="F329" s="48" t="s">
        <v>366</v>
      </c>
      <c r="G329" s="48" t="s">
        <v>710</v>
      </c>
      <c r="H329" s="48" t="s">
        <v>27</v>
      </c>
      <c r="I329" s="48" t="s">
        <v>177</v>
      </c>
      <c r="J329" s="48" t="s">
        <v>24</v>
      </c>
      <c r="K329" s="48" t="s">
        <v>710</v>
      </c>
      <c r="L329" s="48" t="s">
        <v>1209</v>
      </c>
      <c r="M329" s="48" t="s">
        <v>26</v>
      </c>
      <c r="N329" s="48" t="s">
        <v>20</v>
      </c>
      <c r="O329" s="48" t="s">
        <v>857</v>
      </c>
      <c r="P329" s="50">
        <v>546393.94999999995</v>
      </c>
      <c r="Q329" s="50">
        <v>1</v>
      </c>
      <c r="R329" s="50">
        <v>546393.94999999995</v>
      </c>
      <c r="S329" s="74">
        <v>46000</v>
      </c>
      <c r="T329" s="48" t="s">
        <v>621</v>
      </c>
      <c r="U329" s="48" t="s">
        <v>710</v>
      </c>
      <c r="V329" s="48" t="s">
        <v>857</v>
      </c>
      <c r="W329" s="48"/>
    </row>
    <row r="330" spans="1:23" ht="15.75" x14ac:dyDescent="0.25">
      <c r="A330" s="48" t="s">
        <v>1194</v>
      </c>
      <c r="B330" s="49">
        <v>45924</v>
      </c>
      <c r="C330" s="48" t="s">
        <v>924</v>
      </c>
      <c r="D330" s="48" t="s">
        <v>509</v>
      </c>
      <c r="E330" s="48" t="s">
        <v>856</v>
      </c>
      <c r="F330" s="48" t="s">
        <v>21</v>
      </c>
      <c r="G330" s="48" t="s">
        <v>22</v>
      </c>
      <c r="H330" s="48" t="s">
        <v>27</v>
      </c>
      <c r="I330" s="48" t="s">
        <v>769</v>
      </c>
      <c r="J330" s="48" t="s">
        <v>24</v>
      </c>
      <c r="K330" s="48" t="s">
        <v>407</v>
      </c>
      <c r="L330" s="48" t="s">
        <v>1131</v>
      </c>
      <c r="M330" s="48" t="s">
        <v>26</v>
      </c>
      <c r="N330" s="48" t="s">
        <v>20</v>
      </c>
      <c r="O330" s="48" t="s">
        <v>857</v>
      </c>
      <c r="P330" s="50">
        <v>48414.03</v>
      </c>
      <c r="Q330" s="50">
        <v>1</v>
      </c>
      <c r="R330" s="50">
        <v>48414.03</v>
      </c>
      <c r="S330" s="74">
        <v>45999</v>
      </c>
      <c r="T330" s="48" t="s">
        <v>311</v>
      </c>
      <c r="U330" s="48" t="s">
        <v>1460</v>
      </c>
      <c r="V330" s="48" t="s">
        <v>378</v>
      </c>
      <c r="W330" s="48"/>
    </row>
    <row r="331" spans="1:23" ht="15.75" x14ac:dyDescent="0.25">
      <c r="A331" s="48" t="s">
        <v>1293</v>
      </c>
      <c r="B331" s="49">
        <v>45915</v>
      </c>
      <c r="C331" s="48" t="s">
        <v>916</v>
      </c>
      <c r="D331" s="48" t="s">
        <v>441</v>
      </c>
      <c r="E331" s="48" t="s">
        <v>858</v>
      </c>
      <c r="F331" s="48" t="s">
        <v>373</v>
      </c>
      <c r="G331" s="48" t="s">
        <v>70</v>
      </c>
      <c r="H331" s="48" t="s">
        <v>70</v>
      </c>
      <c r="I331" s="48" t="s">
        <v>1244</v>
      </c>
      <c r="J331" s="48" t="s">
        <v>24</v>
      </c>
      <c r="K331" s="48" t="s">
        <v>407</v>
      </c>
      <c r="L331" s="48" t="s">
        <v>1131</v>
      </c>
      <c r="M331" s="48" t="s">
        <v>26</v>
      </c>
      <c r="N331" s="48" t="s">
        <v>20</v>
      </c>
      <c r="O331" s="48" t="s">
        <v>857</v>
      </c>
      <c r="P331" s="50">
        <v>200000</v>
      </c>
      <c r="Q331" s="50">
        <v>1</v>
      </c>
      <c r="R331" s="50">
        <v>200000</v>
      </c>
      <c r="S331" s="74">
        <v>45999</v>
      </c>
      <c r="T331" s="48" t="s">
        <v>621</v>
      </c>
      <c r="U331" s="48" t="s">
        <v>1849</v>
      </c>
      <c r="V331" s="48" t="s">
        <v>378</v>
      </c>
      <c r="W331" s="48"/>
    </row>
    <row r="332" spans="1:23" ht="15.75" x14ac:dyDescent="0.25">
      <c r="A332" s="48" t="s">
        <v>1501</v>
      </c>
      <c r="B332" s="49">
        <v>45945</v>
      </c>
      <c r="C332" s="48" t="s">
        <v>916</v>
      </c>
      <c r="D332" s="48" t="s">
        <v>441</v>
      </c>
      <c r="E332" s="48" t="s">
        <v>856</v>
      </c>
      <c r="F332" s="48" t="s">
        <v>21</v>
      </c>
      <c r="G332" s="48" t="s">
        <v>22</v>
      </c>
      <c r="H332" s="48" t="s">
        <v>27</v>
      </c>
      <c r="I332" s="48" t="s">
        <v>177</v>
      </c>
      <c r="J332" s="48" t="s">
        <v>24</v>
      </c>
      <c r="K332" s="48" t="s">
        <v>407</v>
      </c>
      <c r="L332" s="48" t="s">
        <v>1131</v>
      </c>
      <c r="M332" s="48" t="s">
        <v>26</v>
      </c>
      <c r="N332" s="48" t="s">
        <v>20</v>
      </c>
      <c r="O332" s="48" t="s">
        <v>857</v>
      </c>
      <c r="P332" s="50">
        <v>500000</v>
      </c>
      <c r="Q332" s="50">
        <v>1</v>
      </c>
      <c r="R332" s="50">
        <v>500000</v>
      </c>
      <c r="S332" s="74">
        <v>45998</v>
      </c>
      <c r="T332" s="48" t="s">
        <v>621</v>
      </c>
      <c r="U332" s="48" t="s">
        <v>304</v>
      </c>
      <c r="V332" s="48" t="s">
        <v>378</v>
      </c>
      <c r="W332" s="48"/>
    </row>
    <row r="333" spans="1:23" ht="15.75" x14ac:dyDescent="0.25">
      <c r="A333" s="48" t="s">
        <v>1193</v>
      </c>
      <c r="B333" s="49">
        <v>45918</v>
      </c>
      <c r="C333" s="48" t="s">
        <v>918</v>
      </c>
      <c r="D333" s="48" t="s">
        <v>509</v>
      </c>
      <c r="E333" s="48" t="s">
        <v>856</v>
      </c>
      <c r="F333" s="48" t="s">
        <v>21</v>
      </c>
      <c r="G333" s="48" t="s">
        <v>22</v>
      </c>
      <c r="H333" s="48" t="s">
        <v>27</v>
      </c>
      <c r="I333" s="48" t="s">
        <v>774</v>
      </c>
      <c r="J333" s="48" t="s">
        <v>24</v>
      </c>
      <c r="K333" s="48" t="s">
        <v>407</v>
      </c>
      <c r="L333" s="48" t="s">
        <v>1131</v>
      </c>
      <c r="M333" s="48" t="s">
        <v>26</v>
      </c>
      <c r="N333" s="48" t="s">
        <v>20</v>
      </c>
      <c r="O333" s="48" t="s">
        <v>857</v>
      </c>
      <c r="P333" s="50">
        <v>135071.07</v>
      </c>
      <c r="Q333" s="50">
        <v>1</v>
      </c>
      <c r="R333" s="50">
        <v>135071.07</v>
      </c>
      <c r="S333" s="74">
        <v>45998</v>
      </c>
      <c r="T333" s="48" t="s">
        <v>311</v>
      </c>
      <c r="U333" s="48" t="s">
        <v>1460</v>
      </c>
      <c r="V333" s="48" t="s">
        <v>378</v>
      </c>
      <c r="W333" s="48"/>
    </row>
    <row r="334" spans="1:23" ht="15.75" x14ac:dyDescent="0.25">
      <c r="A334" s="48" t="s">
        <v>1491</v>
      </c>
      <c r="B334" s="49">
        <v>45922</v>
      </c>
      <c r="C334" s="48" t="s">
        <v>916</v>
      </c>
      <c r="D334" s="48" t="s">
        <v>441</v>
      </c>
      <c r="E334" s="48" t="s">
        <v>856</v>
      </c>
      <c r="F334" s="48" t="s">
        <v>21</v>
      </c>
      <c r="G334" s="48" t="s">
        <v>22</v>
      </c>
      <c r="H334" s="48" t="s">
        <v>27</v>
      </c>
      <c r="I334" s="48" t="s">
        <v>718</v>
      </c>
      <c r="J334" s="48" t="s">
        <v>24</v>
      </c>
      <c r="K334" s="48" t="s">
        <v>407</v>
      </c>
      <c r="L334" s="48" t="s">
        <v>1131</v>
      </c>
      <c r="M334" s="48" t="s">
        <v>26</v>
      </c>
      <c r="N334" s="48" t="s">
        <v>20</v>
      </c>
      <c r="O334" s="48" t="s">
        <v>857</v>
      </c>
      <c r="P334" s="50">
        <v>511750</v>
      </c>
      <c r="Q334" s="50">
        <v>1</v>
      </c>
      <c r="R334" s="50">
        <v>511750</v>
      </c>
      <c r="S334" s="74">
        <v>45998</v>
      </c>
      <c r="T334" s="48" t="s">
        <v>621</v>
      </c>
      <c r="U334" s="48" t="s">
        <v>304</v>
      </c>
      <c r="V334" s="48" t="s">
        <v>378</v>
      </c>
      <c r="W334" s="48"/>
    </row>
    <row r="335" spans="1:23" ht="15.75" x14ac:dyDescent="0.25">
      <c r="A335" s="48" t="s">
        <v>1439</v>
      </c>
      <c r="B335" s="49">
        <v>45935</v>
      </c>
      <c r="C335" s="48" t="s">
        <v>916</v>
      </c>
      <c r="D335" s="48" t="s">
        <v>441</v>
      </c>
      <c r="E335" s="48" t="s">
        <v>858</v>
      </c>
      <c r="F335" s="48" t="s">
        <v>366</v>
      </c>
      <c r="G335" s="48" t="s">
        <v>710</v>
      </c>
      <c r="H335" s="48" t="s">
        <v>27</v>
      </c>
      <c r="I335" s="48" t="s">
        <v>1382</v>
      </c>
      <c r="J335" s="48" t="s">
        <v>24</v>
      </c>
      <c r="K335" s="48" t="s">
        <v>710</v>
      </c>
      <c r="L335" s="48" t="s">
        <v>1209</v>
      </c>
      <c r="M335" s="48" t="s">
        <v>26</v>
      </c>
      <c r="N335" s="48" t="s">
        <v>20</v>
      </c>
      <c r="O335" s="48" t="s">
        <v>857</v>
      </c>
      <c r="P335" s="50">
        <v>205760</v>
      </c>
      <c r="Q335" s="50">
        <v>1</v>
      </c>
      <c r="R335" s="50">
        <v>205760</v>
      </c>
      <c r="S335" s="74">
        <v>45998</v>
      </c>
      <c r="T335" s="48" t="s">
        <v>621</v>
      </c>
      <c r="U335" s="48" t="s">
        <v>710</v>
      </c>
      <c r="V335" s="48" t="s">
        <v>857</v>
      </c>
      <c r="W335" s="48"/>
    </row>
    <row r="336" spans="1:23" ht="15.75" x14ac:dyDescent="0.25">
      <c r="A336" s="48" t="s">
        <v>1657</v>
      </c>
      <c r="B336" s="49">
        <v>45915</v>
      </c>
      <c r="C336" s="48" t="s">
        <v>916</v>
      </c>
      <c r="D336" s="48" t="s">
        <v>441</v>
      </c>
      <c r="E336" s="48" t="s">
        <v>858</v>
      </c>
      <c r="F336" s="48" t="s">
        <v>21</v>
      </c>
      <c r="G336" s="48" t="s">
        <v>22</v>
      </c>
      <c r="H336" s="48" t="s">
        <v>27</v>
      </c>
      <c r="I336" s="48" t="s">
        <v>1593</v>
      </c>
      <c r="J336" s="48" t="s">
        <v>24</v>
      </c>
      <c r="K336" s="48" t="s">
        <v>22</v>
      </c>
      <c r="L336" s="48" t="s">
        <v>1132</v>
      </c>
      <c r="M336" s="48" t="s">
        <v>26</v>
      </c>
      <c r="N336" s="48" t="s">
        <v>20</v>
      </c>
      <c r="O336" s="48" t="s">
        <v>857</v>
      </c>
      <c r="P336" s="50">
        <v>304000.75</v>
      </c>
      <c r="Q336" s="50">
        <v>1</v>
      </c>
      <c r="R336" s="50">
        <v>304000.75</v>
      </c>
      <c r="S336" s="74">
        <v>45998</v>
      </c>
      <c r="T336" s="48" t="s">
        <v>621</v>
      </c>
      <c r="U336" s="48" t="s">
        <v>613</v>
      </c>
      <c r="V336" s="48" t="s">
        <v>378</v>
      </c>
      <c r="W336" s="48"/>
    </row>
    <row r="337" spans="1:23" ht="15.75" x14ac:dyDescent="0.25">
      <c r="A337" s="48" t="s">
        <v>1675</v>
      </c>
      <c r="B337" s="49">
        <v>45921</v>
      </c>
      <c r="C337" s="48" t="s">
        <v>916</v>
      </c>
      <c r="D337" s="48" t="s">
        <v>1119</v>
      </c>
      <c r="E337" s="48" t="s">
        <v>856</v>
      </c>
      <c r="F337" s="48" t="s">
        <v>366</v>
      </c>
      <c r="G337" s="48" t="s">
        <v>367</v>
      </c>
      <c r="H337" s="48" t="s">
        <v>27</v>
      </c>
      <c r="I337" s="48" t="s">
        <v>1612</v>
      </c>
      <c r="J337" s="48" t="s">
        <v>24</v>
      </c>
      <c r="K337" s="48" t="s">
        <v>367</v>
      </c>
      <c r="L337" s="48" t="s">
        <v>1136</v>
      </c>
      <c r="M337" s="48" t="s">
        <v>26</v>
      </c>
      <c r="N337" s="48" t="s">
        <v>20</v>
      </c>
      <c r="O337" s="48" t="s">
        <v>857</v>
      </c>
      <c r="P337" s="50">
        <v>851717.19</v>
      </c>
      <c r="Q337" s="50">
        <v>1</v>
      </c>
      <c r="R337" s="50">
        <v>851717.19</v>
      </c>
      <c r="S337" s="74">
        <v>45998</v>
      </c>
      <c r="T337" s="48" t="s">
        <v>1624</v>
      </c>
      <c r="U337" s="48" t="s">
        <v>367</v>
      </c>
      <c r="V337" s="48" t="s">
        <v>857</v>
      </c>
      <c r="W337" s="48"/>
    </row>
    <row r="338" spans="1:23" ht="15.75" x14ac:dyDescent="0.25">
      <c r="A338" s="48" t="s">
        <v>1736</v>
      </c>
      <c r="B338" s="49">
        <v>45914</v>
      </c>
      <c r="C338" s="48" t="s">
        <v>918</v>
      </c>
      <c r="D338" s="48" t="s">
        <v>1119</v>
      </c>
      <c r="E338" s="48" t="s">
        <v>856</v>
      </c>
      <c r="F338" s="48" t="s">
        <v>366</v>
      </c>
      <c r="G338" s="48" t="s">
        <v>367</v>
      </c>
      <c r="H338" s="48" t="s">
        <v>27</v>
      </c>
      <c r="I338" s="48" t="s">
        <v>521</v>
      </c>
      <c r="J338" s="48" t="s">
        <v>24</v>
      </c>
      <c r="K338" s="48" t="s">
        <v>367</v>
      </c>
      <c r="L338" s="48" t="s">
        <v>1136</v>
      </c>
      <c r="M338" s="48" t="s">
        <v>26</v>
      </c>
      <c r="N338" s="48" t="s">
        <v>20</v>
      </c>
      <c r="O338" s="48" t="s">
        <v>857</v>
      </c>
      <c r="P338" s="50">
        <v>5000000</v>
      </c>
      <c r="Q338" s="50">
        <v>1</v>
      </c>
      <c r="R338" s="50">
        <v>5000000</v>
      </c>
      <c r="S338" s="74">
        <v>45998</v>
      </c>
      <c r="T338" s="48" t="s">
        <v>1624</v>
      </c>
      <c r="U338" s="48" t="s">
        <v>367</v>
      </c>
      <c r="V338" s="48" t="s">
        <v>857</v>
      </c>
      <c r="W338" s="48"/>
    </row>
    <row r="339" spans="1:23" ht="15.75" x14ac:dyDescent="0.25">
      <c r="A339" s="48" t="s">
        <v>1663</v>
      </c>
      <c r="B339" s="49">
        <v>45918</v>
      </c>
      <c r="C339" s="48" t="s">
        <v>916</v>
      </c>
      <c r="D339" s="48" t="s">
        <v>1119</v>
      </c>
      <c r="E339" s="48" t="s">
        <v>858</v>
      </c>
      <c r="F339" s="48" t="s">
        <v>366</v>
      </c>
      <c r="G339" s="48" t="s">
        <v>367</v>
      </c>
      <c r="H339" s="48" t="s">
        <v>27</v>
      </c>
      <c r="I339" s="48" t="s">
        <v>1635</v>
      </c>
      <c r="J339" s="48" t="s">
        <v>24</v>
      </c>
      <c r="K339" s="48" t="s">
        <v>367</v>
      </c>
      <c r="L339" s="48" t="s">
        <v>1136</v>
      </c>
      <c r="M339" s="48" t="s">
        <v>26</v>
      </c>
      <c r="N339" s="48" t="s">
        <v>20</v>
      </c>
      <c r="O339" s="48" t="s">
        <v>857</v>
      </c>
      <c r="P339" s="50">
        <v>1500000</v>
      </c>
      <c r="Q339" s="50">
        <v>1</v>
      </c>
      <c r="R339" s="50">
        <v>1500000</v>
      </c>
      <c r="S339" s="74">
        <v>45998</v>
      </c>
      <c r="T339" s="48" t="s">
        <v>1624</v>
      </c>
      <c r="U339" s="48" t="s">
        <v>367</v>
      </c>
      <c r="V339" s="48" t="s">
        <v>857</v>
      </c>
      <c r="W339" s="48"/>
    </row>
    <row r="340" spans="1:23" ht="15.75" x14ac:dyDescent="0.25">
      <c r="A340" s="48" t="s">
        <v>1636</v>
      </c>
      <c r="B340" s="49">
        <v>45931</v>
      </c>
      <c r="C340" s="48" t="s">
        <v>916</v>
      </c>
      <c r="D340" s="48" t="s">
        <v>1119</v>
      </c>
      <c r="E340" s="48" t="s">
        <v>856</v>
      </c>
      <c r="F340" s="48" t="s">
        <v>366</v>
      </c>
      <c r="G340" s="48" t="s">
        <v>367</v>
      </c>
      <c r="H340" s="48" t="s">
        <v>27</v>
      </c>
      <c r="I340" s="48" t="s">
        <v>338</v>
      </c>
      <c r="J340" s="48" t="s">
        <v>24</v>
      </c>
      <c r="K340" s="48" t="s">
        <v>367</v>
      </c>
      <c r="L340" s="48" t="s">
        <v>1136</v>
      </c>
      <c r="M340" s="48" t="s">
        <v>26</v>
      </c>
      <c r="N340" s="48" t="s">
        <v>20</v>
      </c>
      <c r="O340" s="48" t="s">
        <v>857</v>
      </c>
      <c r="P340" s="50">
        <v>5000000</v>
      </c>
      <c r="Q340" s="50">
        <v>1</v>
      </c>
      <c r="R340" s="50">
        <v>5000000</v>
      </c>
      <c r="S340" s="74">
        <v>45998</v>
      </c>
      <c r="T340" s="48" t="s">
        <v>1624</v>
      </c>
      <c r="U340" s="48" t="s">
        <v>367</v>
      </c>
      <c r="V340" s="48" t="s">
        <v>857</v>
      </c>
      <c r="W340" s="48"/>
    </row>
    <row r="341" spans="1:23" ht="15.75" x14ac:dyDescent="0.25">
      <c r="A341" s="48" t="s">
        <v>1651</v>
      </c>
      <c r="B341" s="49">
        <v>45931</v>
      </c>
      <c r="C341" s="48" t="s">
        <v>916</v>
      </c>
      <c r="D341" s="48" t="s">
        <v>1119</v>
      </c>
      <c r="E341" s="48" t="s">
        <v>858</v>
      </c>
      <c r="F341" s="48" t="s">
        <v>366</v>
      </c>
      <c r="G341" s="48" t="s">
        <v>367</v>
      </c>
      <c r="H341" s="48" t="s">
        <v>27</v>
      </c>
      <c r="I341" s="48" t="s">
        <v>1613</v>
      </c>
      <c r="J341" s="48" t="s">
        <v>24</v>
      </c>
      <c r="K341" s="48" t="s">
        <v>367</v>
      </c>
      <c r="L341" s="48" t="s">
        <v>1136</v>
      </c>
      <c r="M341" s="48" t="s">
        <v>26</v>
      </c>
      <c r="N341" s="48" t="s">
        <v>20</v>
      </c>
      <c r="O341" s="48" t="s">
        <v>857</v>
      </c>
      <c r="P341" s="50">
        <v>1800000</v>
      </c>
      <c r="Q341" s="50">
        <v>1</v>
      </c>
      <c r="R341" s="50">
        <v>1800000</v>
      </c>
      <c r="S341" s="74">
        <v>45998</v>
      </c>
      <c r="T341" s="48" t="s">
        <v>1624</v>
      </c>
      <c r="U341" s="48" t="s">
        <v>367</v>
      </c>
      <c r="V341" s="48" t="s">
        <v>857</v>
      </c>
      <c r="W341" s="48"/>
    </row>
    <row r="342" spans="1:23" ht="15.75" x14ac:dyDescent="0.25">
      <c r="A342" s="48" t="s">
        <v>1734</v>
      </c>
      <c r="B342" s="49">
        <v>45911</v>
      </c>
      <c r="C342" s="48" t="s">
        <v>916</v>
      </c>
      <c r="D342" s="48" t="s">
        <v>1119</v>
      </c>
      <c r="E342" s="48" t="s">
        <v>856</v>
      </c>
      <c r="F342" s="48" t="s">
        <v>366</v>
      </c>
      <c r="G342" s="48" t="s">
        <v>367</v>
      </c>
      <c r="H342" s="48" t="s">
        <v>27</v>
      </c>
      <c r="I342" s="48" t="s">
        <v>1696</v>
      </c>
      <c r="J342" s="48" t="s">
        <v>24</v>
      </c>
      <c r="K342" s="48" t="s">
        <v>367</v>
      </c>
      <c r="L342" s="48" t="s">
        <v>1136</v>
      </c>
      <c r="M342" s="48" t="s">
        <v>26</v>
      </c>
      <c r="N342" s="48" t="s">
        <v>20</v>
      </c>
      <c r="O342" s="48" t="s">
        <v>857</v>
      </c>
      <c r="P342" s="50">
        <v>5000000</v>
      </c>
      <c r="Q342" s="50">
        <v>1</v>
      </c>
      <c r="R342" s="50">
        <v>5000000</v>
      </c>
      <c r="S342" s="74">
        <v>45998</v>
      </c>
      <c r="T342" s="48" t="s">
        <v>1624</v>
      </c>
      <c r="U342" s="48" t="s">
        <v>367</v>
      </c>
      <c r="V342" s="48" t="s">
        <v>857</v>
      </c>
      <c r="W342" s="48"/>
    </row>
    <row r="343" spans="1:23" ht="15.75" x14ac:dyDescent="0.25">
      <c r="A343" s="48" t="s">
        <v>1735</v>
      </c>
      <c r="B343" s="49">
        <v>45918</v>
      </c>
      <c r="C343" s="48" t="s">
        <v>916</v>
      </c>
      <c r="D343" s="48" t="s">
        <v>1119</v>
      </c>
      <c r="E343" s="48" t="s">
        <v>856</v>
      </c>
      <c r="F343" s="48" t="s">
        <v>366</v>
      </c>
      <c r="G343" s="48" t="s">
        <v>367</v>
      </c>
      <c r="H343" s="48" t="s">
        <v>27</v>
      </c>
      <c r="I343" s="48" t="s">
        <v>177</v>
      </c>
      <c r="J343" s="48" t="s">
        <v>24</v>
      </c>
      <c r="K343" s="48" t="s">
        <v>367</v>
      </c>
      <c r="L343" s="48" t="s">
        <v>1136</v>
      </c>
      <c r="M343" s="48" t="s">
        <v>26</v>
      </c>
      <c r="N343" s="48" t="s">
        <v>20</v>
      </c>
      <c r="O343" s="48" t="s">
        <v>857</v>
      </c>
      <c r="P343" s="50">
        <v>5443652.0700000003</v>
      </c>
      <c r="Q343" s="50">
        <v>1</v>
      </c>
      <c r="R343" s="50">
        <v>5443652.0700000003</v>
      </c>
      <c r="S343" s="74">
        <v>45998</v>
      </c>
      <c r="T343" s="48" t="s">
        <v>1624</v>
      </c>
      <c r="U343" s="48" t="s">
        <v>367</v>
      </c>
      <c r="V343" s="48" t="s">
        <v>857</v>
      </c>
      <c r="W343" s="48"/>
    </row>
    <row r="344" spans="1:23" ht="15.75" x14ac:dyDescent="0.25">
      <c r="A344" s="48" t="s">
        <v>1658</v>
      </c>
      <c r="B344" s="49">
        <v>45915</v>
      </c>
      <c r="C344" s="48" t="s">
        <v>916</v>
      </c>
      <c r="D344" s="48" t="s">
        <v>441</v>
      </c>
      <c r="E344" s="48" t="s">
        <v>858</v>
      </c>
      <c r="F344" s="48" t="s">
        <v>21</v>
      </c>
      <c r="G344" s="48" t="s">
        <v>22</v>
      </c>
      <c r="H344" s="48" t="s">
        <v>27</v>
      </c>
      <c r="I344" s="48" t="s">
        <v>1589</v>
      </c>
      <c r="J344" s="48" t="s">
        <v>24</v>
      </c>
      <c r="K344" s="48" t="s">
        <v>22</v>
      </c>
      <c r="L344" s="48" t="s">
        <v>1132</v>
      </c>
      <c r="M344" s="48" t="s">
        <v>26</v>
      </c>
      <c r="N344" s="48" t="s">
        <v>20</v>
      </c>
      <c r="O344" s="48" t="s">
        <v>857</v>
      </c>
      <c r="P344" s="50">
        <v>150000</v>
      </c>
      <c r="Q344" s="50">
        <v>1</v>
      </c>
      <c r="R344" s="50">
        <v>150000</v>
      </c>
      <c r="S344" s="74">
        <v>45995</v>
      </c>
      <c r="T344" s="48" t="s">
        <v>621</v>
      </c>
      <c r="U344" s="48" t="s">
        <v>613</v>
      </c>
      <c r="V344" s="48" t="s">
        <v>378</v>
      </c>
      <c r="W344" s="48"/>
    </row>
    <row r="345" spans="1:23" ht="15.75" x14ac:dyDescent="0.25">
      <c r="A345" s="48" t="s">
        <v>1616</v>
      </c>
      <c r="B345" s="49">
        <v>45914</v>
      </c>
      <c r="C345" s="48" t="s">
        <v>916</v>
      </c>
      <c r="D345" s="48" t="s">
        <v>441</v>
      </c>
      <c r="E345" s="48" t="s">
        <v>856</v>
      </c>
      <c r="F345" s="48" t="s">
        <v>95</v>
      </c>
      <c r="G345" s="48" t="s">
        <v>96</v>
      </c>
      <c r="H345" s="48" t="s">
        <v>27</v>
      </c>
      <c r="I345" s="48" t="s">
        <v>1567</v>
      </c>
      <c r="J345" s="48" t="s">
        <v>24</v>
      </c>
      <c r="K345" s="48" t="s">
        <v>407</v>
      </c>
      <c r="L345" s="48" t="s">
        <v>1131</v>
      </c>
      <c r="M345" s="48" t="s">
        <v>26</v>
      </c>
      <c r="N345" s="48" t="s">
        <v>20</v>
      </c>
      <c r="O345" s="48" t="s">
        <v>378</v>
      </c>
      <c r="P345" s="50">
        <v>150000</v>
      </c>
      <c r="Q345" s="50">
        <v>1</v>
      </c>
      <c r="R345" s="50">
        <v>150000</v>
      </c>
      <c r="S345" s="74">
        <v>45995</v>
      </c>
      <c r="T345" s="48" t="s">
        <v>621</v>
      </c>
      <c r="U345" s="48" t="s">
        <v>1460</v>
      </c>
      <c r="V345" s="48" t="s">
        <v>378</v>
      </c>
      <c r="W345" s="48"/>
    </row>
    <row r="346" spans="1:23" ht="15.75" x14ac:dyDescent="0.25">
      <c r="A346" s="48" t="s">
        <v>1806</v>
      </c>
      <c r="B346" s="49">
        <v>45977</v>
      </c>
      <c r="C346" s="48" t="s">
        <v>916</v>
      </c>
      <c r="D346" s="48" t="s">
        <v>1181</v>
      </c>
      <c r="E346" s="48" t="s">
        <v>858</v>
      </c>
      <c r="F346" s="48" t="s">
        <v>366</v>
      </c>
      <c r="G346" s="48" t="s">
        <v>710</v>
      </c>
      <c r="H346" s="48" t="s">
        <v>27</v>
      </c>
      <c r="I346" s="48" t="s">
        <v>1756</v>
      </c>
      <c r="J346" s="48" t="s">
        <v>1791</v>
      </c>
      <c r="K346" s="48" t="s">
        <v>81</v>
      </c>
      <c r="L346" s="48" t="s">
        <v>1139</v>
      </c>
      <c r="M346" s="48" t="s">
        <v>26</v>
      </c>
      <c r="N346" s="48" t="s">
        <v>20</v>
      </c>
      <c r="O346" s="48" t="s">
        <v>857</v>
      </c>
      <c r="P346" s="50">
        <v>304417</v>
      </c>
      <c r="Q346" s="50">
        <v>1</v>
      </c>
      <c r="R346" s="50">
        <v>304417</v>
      </c>
      <c r="S346" s="74">
        <v>45995</v>
      </c>
      <c r="T346" s="48" t="s">
        <v>408</v>
      </c>
      <c r="U346" s="48" t="s">
        <v>710</v>
      </c>
      <c r="V346" s="48" t="s">
        <v>378</v>
      </c>
      <c r="W346" s="48"/>
    </row>
    <row r="347" spans="1:23" ht="15.75" x14ac:dyDescent="0.25">
      <c r="A347" s="48" t="s">
        <v>1660</v>
      </c>
      <c r="B347" s="49">
        <v>45910</v>
      </c>
      <c r="C347" s="48" t="s">
        <v>916</v>
      </c>
      <c r="D347" s="48" t="s">
        <v>441</v>
      </c>
      <c r="E347" s="48" t="s">
        <v>856</v>
      </c>
      <c r="F347" s="48" t="s">
        <v>21</v>
      </c>
      <c r="G347" s="48" t="s">
        <v>22</v>
      </c>
      <c r="H347" s="48" t="s">
        <v>27</v>
      </c>
      <c r="I347" s="48" t="s">
        <v>587</v>
      </c>
      <c r="J347" s="48" t="s">
        <v>24</v>
      </c>
      <c r="K347" s="48" t="s">
        <v>22</v>
      </c>
      <c r="L347" s="48" t="s">
        <v>1132</v>
      </c>
      <c r="M347" s="48" t="s">
        <v>26</v>
      </c>
      <c r="N347" s="48" t="s">
        <v>20</v>
      </c>
      <c r="O347" s="48" t="s">
        <v>857</v>
      </c>
      <c r="P347" s="50">
        <v>417625.03</v>
      </c>
      <c r="Q347" s="50">
        <v>1</v>
      </c>
      <c r="R347" s="50">
        <v>417625.03</v>
      </c>
      <c r="S347" s="74">
        <v>45994</v>
      </c>
      <c r="T347" s="48" t="s">
        <v>621</v>
      </c>
      <c r="U347" s="48" t="s">
        <v>613</v>
      </c>
      <c r="V347" s="48" t="s">
        <v>378</v>
      </c>
      <c r="W347" s="48"/>
    </row>
    <row r="348" spans="1:23" ht="15.75" x14ac:dyDescent="0.25">
      <c r="A348" s="48" t="s">
        <v>1767</v>
      </c>
      <c r="B348" s="49">
        <v>45991</v>
      </c>
      <c r="C348" s="48" t="s">
        <v>918</v>
      </c>
      <c r="D348" s="48" t="s">
        <v>509</v>
      </c>
      <c r="E348" s="48" t="s">
        <v>856</v>
      </c>
      <c r="F348" s="48" t="s">
        <v>21</v>
      </c>
      <c r="G348" s="48" t="s">
        <v>22</v>
      </c>
      <c r="H348" s="48" t="s">
        <v>27</v>
      </c>
      <c r="I348" s="48" t="s">
        <v>1337</v>
      </c>
      <c r="J348" s="48" t="s">
        <v>72</v>
      </c>
      <c r="K348" s="48" t="s">
        <v>511</v>
      </c>
      <c r="L348" s="48" t="s">
        <v>1236</v>
      </c>
      <c r="M348" s="48" t="s">
        <v>26</v>
      </c>
      <c r="N348" s="48" t="s">
        <v>20</v>
      </c>
      <c r="O348" s="48" t="s">
        <v>857</v>
      </c>
      <c r="P348" s="50">
        <v>272312.64</v>
      </c>
      <c r="Q348" s="50">
        <v>1</v>
      </c>
      <c r="R348" s="50">
        <v>272312.64</v>
      </c>
      <c r="S348" s="74">
        <v>45993</v>
      </c>
      <c r="T348" s="48" t="s">
        <v>1338</v>
      </c>
      <c r="U348" s="48" t="s">
        <v>304</v>
      </c>
      <c r="V348" s="48" t="s">
        <v>378</v>
      </c>
      <c r="W348" s="48"/>
    </row>
    <row r="349" spans="1:23" ht="15.75" x14ac:dyDescent="0.25">
      <c r="A349" s="48" t="s">
        <v>1661</v>
      </c>
      <c r="B349" s="49">
        <v>45895</v>
      </c>
      <c r="C349" s="48" t="s">
        <v>916</v>
      </c>
      <c r="D349" s="48" t="s">
        <v>441</v>
      </c>
      <c r="E349" s="48" t="s">
        <v>856</v>
      </c>
      <c r="F349" s="48" t="s">
        <v>21</v>
      </c>
      <c r="G349" s="48" t="s">
        <v>22</v>
      </c>
      <c r="H349" s="48" t="s">
        <v>27</v>
      </c>
      <c r="I349" s="48" t="s">
        <v>1588</v>
      </c>
      <c r="J349" s="48" t="s">
        <v>24</v>
      </c>
      <c r="K349" s="48" t="s">
        <v>22</v>
      </c>
      <c r="L349" s="48" t="s">
        <v>1132</v>
      </c>
      <c r="M349" s="48" t="s">
        <v>26</v>
      </c>
      <c r="N349" s="48" t="s">
        <v>20</v>
      </c>
      <c r="O349" s="48" t="s">
        <v>857</v>
      </c>
      <c r="P349" s="50">
        <v>4106471.65</v>
      </c>
      <c r="Q349" s="50">
        <v>1</v>
      </c>
      <c r="R349" s="50">
        <v>4106471.65</v>
      </c>
      <c r="S349" s="74">
        <v>45992</v>
      </c>
      <c r="T349" s="48" t="s">
        <v>621</v>
      </c>
      <c r="U349" s="48" t="s">
        <v>710</v>
      </c>
      <c r="V349" s="48" t="s">
        <v>378</v>
      </c>
      <c r="W349" s="48"/>
    </row>
    <row r="350" spans="1:23" ht="15.75" x14ac:dyDescent="0.25">
      <c r="A350" s="48" t="s">
        <v>1558</v>
      </c>
      <c r="B350" s="49">
        <v>45932</v>
      </c>
      <c r="C350" s="48" t="s">
        <v>918</v>
      </c>
      <c r="D350" s="48" t="s">
        <v>441</v>
      </c>
      <c r="E350" s="48" t="s">
        <v>856</v>
      </c>
      <c r="F350" s="48" t="s">
        <v>612</v>
      </c>
      <c r="G350" s="48" t="s">
        <v>613</v>
      </c>
      <c r="H350" s="48" t="s">
        <v>27</v>
      </c>
      <c r="I350" s="48" t="s">
        <v>1544</v>
      </c>
      <c r="J350" s="48" t="s">
        <v>24</v>
      </c>
      <c r="K350" s="48" t="s">
        <v>613</v>
      </c>
      <c r="L350" s="48" t="s">
        <v>1135</v>
      </c>
      <c r="M350" s="48" t="s">
        <v>26</v>
      </c>
      <c r="N350" s="48" t="s">
        <v>20</v>
      </c>
      <c r="O350" s="48" t="s">
        <v>378</v>
      </c>
      <c r="P350" s="50">
        <v>528000</v>
      </c>
      <c r="Q350" s="50">
        <v>1</v>
      </c>
      <c r="R350" s="50">
        <v>528000</v>
      </c>
      <c r="S350" s="74">
        <v>45992</v>
      </c>
      <c r="T350" s="48" t="s">
        <v>311</v>
      </c>
      <c r="U350" s="48" t="s">
        <v>613</v>
      </c>
      <c r="V350" s="48" t="s">
        <v>857</v>
      </c>
      <c r="W350" s="48"/>
    </row>
    <row r="351" spans="1:23" ht="15.75" x14ac:dyDescent="0.25">
      <c r="A351" s="48" t="s">
        <v>1656</v>
      </c>
      <c r="B351" s="49">
        <v>45915</v>
      </c>
      <c r="C351" s="48" t="s">
        <v>916</v>
      </c>
      <c r="D351" s="48" t="s">
        <v>441</v>
      </c>
      <c r="E351" s="48" t="s">
        <v>858</v>
      </c>
      <c r="F351" s="48" t="s">
        <v>21</v>
      </c>
      <c r="G351" s="48" t="s">
        <v>22</v>
      </c>
      <c r="H351" s="48" t="s">
        <v>27</v>
      </c>
      <c r="I351" s="48" t="s">
        <v>1109</v>
      </c>
      <c r="J351" s="48" t="s">
        <v>24</v>
      </c>
      <c r="K351" s="48" t="s">
        <v>22</v>
      </c>
      <c r="L351" s="48" t="s">
        <v>1132</v>
      </c>
      <c r="M351" s="48" t="s">
        <v>26</v>
      </c>
      <c r="N351" s="48" t="s">
        <v>20</v>
      </c>
      <c r="O351" s="48" t="s">
        <v>857</v>
      </c>
      <c r="P351" s="50">
        <v>305000</v>
      </c>
      <c r="Q351" s="50">
        <v>1</v>
      </c>
      <c r="R351" s="50">
        <v>305000</v>
      </c>
      <c r="S351" s="74">
        <v>45992</v>
      </c>
      <c r="T351" s="48" t="s">
        <v>621</v>
      </c>
      <c r="U351" s="48" t="s">
        <v>710</v>
      </c>
      <c r="V351" s="48" t="s">
        <v>378</v>
      </c>
      <c r="W351" s="48"/>
    </row>
    <row r="352" spans="1:23" ht="15.75" x14ac:dyDescent="0.25">
      <c r="A352" s="48" t="s">
        <v>1896</v>
      </c>
      <c r="B352" s="49">
        <v>45982</v>
      </c>
      <c r="C352" s="48" t="s">
        <v>916</v>
      </c>
      <c r="D352" s="48" t="s">
        <v>509</v>
      </c>
      <c r="E352" s="48" t="s">
        <v>858</v>
      </c>
      <c r="F352" s="48" t="s">
        <v>21</v>
      </c>
      <c r="G352" s="48" t="s">
        <v>22</v>
      </c>
      <c r="H352" s="48" t="s">
        <v>27</v>
      </c>
      <c r="I352" s="48" t="s">
        <v>1883</v>
      </c>
      <c r="J352" s="48" t="s">
        <v>72</v>
      </c>
      <c r="K352" s="48" t="s">
        <v>511</v>
      </c>
      <c r="L352" s="48" t="s">
        <v>1236</v>
      </c>
      <c r="M352" s="48" t="s">
        <v>26</v>
      </c>
      <c r="N352" s="48" t="s">
        <v>20</v>
      </c>
      <c r="O352" s="48" t="s">
        <v>857</v>
      </c>
      <c r="P352" s="50">
        <v>1479500</v>
      </c>
      <c r="Q352" s="50">
        <v>1</v>
      </c>
      <c r="R352" s="50">
        <v>1479500</v>
      </c>
      <c r="S352" s="74">
        <v>45992</v>
      </c>
      <c r="T352" s="48" t="s">
        <v>117</v>
      </c>
      <c r="U352" s="48" t="s">
        <v>304</v>
      </c>
      <c r="V352" s="48" t="s">
        <v>378</v>
      </c>
      <c r="W352" s="48"/>
    </row>
    <row r="353" spans="1:23" ht="15.75" x14ac:dyDescent="0.25">
      <c r="A353" s="48" t="s">
        <v>702</v>
      </c>
      <c r="B353" s="49">
        <v>45922</v>
      </c>
      <c r="C353" s="48" t="s">
        <v>1023</v>
      </c>
      <c r="D353" s="48" t="s">
        <v>1119</v>
      </c>
      <c r="E353" s="48" t="s">
        <v>856</v>
      </c>
      <c r="F353" s="48" t="s">
        <v>95</v>
      </c>
      <c r="G353" s="48" t="s">
        <v>96</v>
      </c>
      <c r="H353" s="48" t="s">
        <v>27</v>
      </c>
      <c r="I353" s="48" t="s">
        <v>703</v>
      </c>
      <c r="J353" s="48" t="s">
        <v>704</v>
      </c>
      <c r="K353" s="48" t="s">
        <v>367</v>
      </c>
      <c r="L353" s="48" t="s">
        <v>1136</v>
      </c>
      <c r="M353" s="48" t="s">
        <v>78</v>
      </c>
      <c r="N353" s="48" t="s">
        <v>20</v>
      </c>
      <c r="O353" s="48" t="s">
        <v>857</v>
      </c>
      <c r="P353" s="50">
        <v>84924.76</v>
      </c>
      <c r="Q353" s="50">
        <v>3.75</v>
      </c>
      <c r="R353" s="50">
        <v>318467.84999999998</v>
      </c>
      <c r="S353" s="74">
        <v>45992</v>
      </c>
      <c r="T353" s="48" t="s">
        <v>705</v>
      </c>
      <c r="U353" s="48" t="s">
        <v>367</v>
      </c>
      <c r="V353" s="48" t="s">
        <v>857</v>
      </c>
      <c r="W353" s="48"/>
    </row>
    <row r="354" spans="1:23" ht="15.75" x14ac:dyDescent="0.25">
      <c r="A354" s="48" t="s">
        <v>689</v>
      </c>
      <c r="B354" s="49">
        <v>45936</v>
      </c>
      <c r="C354" s="48" t="s">
        <v>933</v>
      </c>
      <c r="D354" s="48" t="s">
        <v>1119</v>
      </c>
      <c r="E354" s="48" t="s">
        <v>858</v>
      </c>
      <c r="F354" s="48" t="s">
        <v>366</v>
      </c>
      <c r="G354" s="48" t="s">
        <v>367</v>
      </c>
      <c r="H354" s="48" t="s">
        <v>27</v>
      </c>
      <c r="I354" s="48" t="s">
        <v>690</v>
      </c>
      <c r="J354" s="48" t="s">
        <v>72</v>
      </c>
      <c r="K354" s="48" t="s">
        <v>367</v>
      </c>
      <c r="L354" s="48" t="s">
        <v>1136</v>
      </c>
      <c r="M354" s="48" t="s">
        <v>26</v>
      </c>
      <c r="N354" s="48" t="s">
        <v>20</v>
      </c>
      <c r="O354" s="48" t="s">
        <v>857</v>
      </c>
      <c r="P354" s="50">
        <v>825735.95</v>
      </c>
      <c r="Q354" s="50">
        <v>1</v>
      </c>
      <c r="R354" s="50">
        <v>825735.95</v>
      </c>
      <c r="S354" s="74">
        <v>45991</v>
      </c>
      <c r="T354" s="48" t="s">
        <v>311</v>
      </c>
      <c r="U354" s="48" t="s">
        <v>367</v>
      </c>
      <c r="V354" s="48" t="s">
        <v>857</v>
      </c>
      <c r="W354" s="48"/>
    </row>
    <row r="355" spans="1:23" ht="15.75" x14ac:dyDescent="0.25">
      <c r="A355" s="48" t="s">
        <v>1395</v>
      </c>
      <c r="B355" s="49">
        <v>45967</v>
      </c>
      <c r="C355" s="48" t="s">
        <v>916</v>
      </c>
      <c r="D355" s="48" t="s">
        <v>441</v>
      </c>
      <c r="E355" s="48" t="s">
        <v>858</v>
      </c>
      <c r="F355" s="48" t="s">
        <v>612</v>
      </c>
      <c r="G355" s="48" t="s">
        <v>613</v>
      </c>
      <c r="H355" s="48" t="s">
        <v>27</v>
      </c>
      <c r="I355" s="48" t="s">
        <v>1392</v>
      </c>
      <c r="J355" s="48" t="s">
        <v>24</v>
      </c>
      <c r="K355" s="48" t="s">
        <v>613</v>
      </c>
      <c r="L355" s="48" t="s">
        <v>1135</v>
      </c>
      <c r="M355" s="48" t="s">
        <v>26</v>
      </c>
      <c r="N355" s="48" t="s">
        <v>20</v>
      </c>
      <c r="O355" s="48" t="s">
        <v>378</v>
      </c>
      <c r="P355" s="50">
        <v>618700</v>
      </c>
      <c r="Q355" s="50">
        <v>1</v>
      </c>
      <c r="R355" s="50">
        <v>618700</v>
      </c>
      <c r="S355" s="74">
        <v>45991</v>
      </c>
      <c r="T355" s="48" t="s">
        <v>311</v>
      </c>
      <c r="U355" s="48" t="s">
        <v>613</v>
      </c>
      <c r="V355" s="48" t="s">
        <v>857</v>
      </c>
      <c r="W355" s="48"/>
    </row>
    <row r="356" spans="1:23" ht="15.75" x14ac:dyDescent="0.25">
      <c r="A356" s="48" t="s">
        <v>1447</v>
      </c>
      <c r="B356" s="49">
        <v>45935</v>
      </c>
      <c r="C356" s="48" t="s">
        <v>918</v>
      </c>
      <c r="D356" s="48" t="s">
        <v>441</v>
      </c>
      <c r="E356" s="48" t="s">
        <v>856</v>
      </c>
      <c r="F356" s="48" t="s">
        <v>612</v>
      </c>
      <c r="G356" s="48" t="s">
        <v>613</v>
      </c>
      <c r="H356" s="48" t="s">
        <v>27</v>
      </c>
      <c r="I356" s="48" t="s">
        <v>1416</v>
      </c>
      <c r="J356" s="48" t="s">
        <v>24</v>
      </c>
      <c r="K356" s="48" t="s">
        <v>613</v>
      </c>
      <c r="L356" s="48" t="s">
        <v>1135</v>
      </c>
      <c r="M356" s="48" t="s">
        <v>26</v>
      </c>
      <c r="N356" s="48" t="s">
        <v>20</v>
      </c>
      <c r="O356" s="48" t="s">
        <v>378</v>
      </c>
      <c r="P356" s="50">
        <v>564484.85</v>
      </c>
      <c r="Q356" s="50">
        <v>1</v>
      </c>
      <c r="R356" s="50">
        <v>564484.85</v>
      </c>
      <c r="S356" s="74">
        <v>45991</v>
      </c>
      <c r="T356" s="48" t="s">
        <v>311</v>
      </c>
      <c r="U356" s="48" t="s">
        <v>613</v>
      </c>
      <c r="V356" s="48" t="s">
        <v>857</v>
      </c>
      <c r="W356" s="48"/>
    </row>
    <row r="357" spans="1:23" ht="15.75" x14ac:dyDescent="0.25">
      <c r="A357" s="48" t="s">
        <v>1820</v>
      </c>
      <c r="B357" s="49">
        <v>45944</v>
      </c>
      <c r="C357" s="48" t="s">
        <v>916</v>
      </c>
      <c r="D357" s="48" t="s">
        <v>441</v>
      </c>
      <c r="E357" s="48" t="s">
        <v>856</v>
      </c>
      <c r="F357" s="48" t="s">
        <v>612</v>
      </c>
      <c r="G357" s="48" t="s">
        <v>613</v>
      </c>
      <c r="H357" s="48" t="s">
        <v>27</v>
      </c>
      <c r="I357" s="48" t="s">
        <v>1702</v>
      </c>
      <c r="J357" s="48" t="s">
        <v>24</v>
      </c>
      <c r="K357" s="48" t="s">
        <v>613</v>
      </c>
      <c r="L357" s="48" t="s">
        <v>1135</v>
      </c>
      <c r="M357" s="48" t="s">
        <v>26</v>
      </c>
      <c r="N357" s="48" t="s">
        <v>20</v>
      </c>
      <c r="O357" s="48" t="s">
        <v>378</v>
      </c>
      <c r="P357" s="50">
        <v>148350</v>
      </c>
      <c r="Q357" s="50">
        <v>1</v>
      </c>
      <c r="R357" s="50">
        <v>148350</v>
      </c>
      <c r="S357" s="74">
        <v>45991</v>
      </c>
      <c r="T357" s="48" t="s">
        <v>311</v>
      </c>
      <c r="U357" s="48" t="s">
        <v>613</v>
      </c>
      <c r="V357" s="48" t="s">
        <v>857</v>
      </c>
      <c r="W357" s="48"/>
    </row>
    <row r="358" spans="1:23" ht="15.75" x14ac:dyDescent="0.25">
      <c r="A358" s="48" t="s">
        <v>1812</v>
      </c>
      <c r="B358" s="49">
        <v>45939</v>
      </c>
      <c r="C358" s="48" t="s">
        <v>916</v>
      </c>
      <c r="D358" s="48" t="s">
        <v>1181</v>
      </c>
      <c r="E358" s="48" t="s">
        <v>858</v>
      </c>
      <c r="F358" s="48" t="s">
        <v>366</v>
      </c>
      <c r="G358" s="48" t="s">
        <v>710</v>
      </c>
      <c r="H358" s="48" t="s">
        <v>27</v>
      </c>
      <c r="I358" s="48" t="s">
        <v>1759</v>
      </c>
      <c r="J358" s="48" t="s">
        <v>1791</v>
      </c>
      <c r="K358" s="48" t="s">
        <v>81</v>
      </c>
      <c r="L358" s="48" t="s">
        <v>1139</v>
      </c>
      <c r="M358" s="48" t="s">
        <v>26</v>
      </c>
      <c r="N358" s="48" t="s">
        <v>20</v>
      </c>
      <c r="O358" s="48" t="s">
        <v>857</v>
      </c>
      <c r="P358" s="50">
        <v>784558</v>
      </c>
      <c r="Q358" s="50">
        <v>1</v>
      </c>
      <c r="R358" s="50">
        <v>784558</v>
      </c>
      <c r="S358" s="74">
        <v>45991</v>
      </c>
      <c r="T358" s="48" t="s">
        <v>408</v>
      </c>
      <c r="U358" s="48" t="s">
        <v>710</v>
      </c>
      <c r="V358" s="48" t="s">
        <v>378</v>
      </c>
      <c r="W358" s="48"/>
    </row>
    <row r="359" spans="1:23" ht="15.75" x14ac:dyDescent="0.25">
      <c r="A359" s="48" t="s">
        <v>1446</v>
      </c>
      <c r="B359" s="49">
        <v>45982</v>
      </c>
      <c r="C359" s="48" t="s">
        <v>928</v>
      </c>
      <c r="D359" s="48" t="s">
        <v>509</v>
      </c>
      <c r="E359" s="48" t="s">
        <v>858</v>
      </c>
      <c r="F359" s="48" t="s">
        <v>95</v>
      </c>
      <c r="G359" s="48" t="s">
        <v>96</v>
      </c>
      <c r="H359" s="48" t="s">
        <v>27</v>
      </c>
      <c r="I359" s="48" t="s">
        <v>1337</v>
      </c>
      <c r="J359" s="48" t="s">
        <v>72</v>
      </c>
      <c r="K359" s="48" t="s">
        <v>511</v>
      </c>
      <c r="L359" s="48" t="s">
        <v>1236</v>
      </c>
      <c r="M359" s="48" t="s">
        <v>26</v>
      </c>
      <c r="N359" s="48" t="s">
        <v>20</v>
      </c>
      <c r="O359" s="48" t="s">
        <v>378</v>
      </c>
      <c r="P359" s="50">
        <v>637519.75</v>
      </c>
      <c r="Q359" s="50">
        <v>1</v>
      </c>
      <c r="R359" s="50">
        <v>637519.75</v>
      </c>
      <c r="S359" s="74">
        <v>45988</v>
      </c>
      <c r="T359" s="48" t="s">
        <v>1338</v>
      </c>
      <c r="U359" s="48" t="s">
        <v>304</v>
      </c>
      <c r="V359" s="48" t="s">
        <v>378</v>
      </c>
      <c r="W359" s="48"/>
    </row>
    <row r="360" spans="1:23" ht="15.75" x14ac:dyDescent="0.25">
      <c r="A360" s="48" t="s">
        <v>1127</v>
      </c>
      <c r="B360" s="49">
        <v>45953</v>
      </c>
      <c r="C360" s="48" t="s">
        <v>933</v>
      </c>
      <c r="D360" s="48" t="s">
        <v>1878</v>
      </c>
      <c r="E360" s="48" t="s">
        <v>858</v>
      </c>
      <c r="F360" s="48" t="s">
        <v>366</v>
      </c>
      <c r="G360" s="48" t="s">
        <v>367</v>
      </c>
      <c r="H360" s="48" t="s">
        <v>27</v>
      </c>
      <c r="I360" s="48" t="s">
        <v>729</v>
      </c>
      <c r="J360" s="48" t="s">
        <v>3220</v>
      </c>
      <c r="K360" s="48" t="s">
        <v>367</v>
      </c>
      <c r="L360" s="48" t="s">
        <v>1136</v>
      </c>
      <c r="M360" s="48" t="s">
        <v>191</v>
      </c>
      <c r="N360" s="48" t="s">
        <v>20</v>
      </c>
      <c r="O360" s="48" t="s">
        <v>857</v>
      </c>
      <c r="P360" s="50">
        <v>799878.87</v>
      </c>
      <c r="Q360" s="50">
        <v>1.0262</v>
      </c>
      <c r="R360" s="50">
        <v>820835.69639399997</v>
      </c>
      <c r="S360" s="74">
        <v>45988</v>
      </c>
      <c r="T360" s="48" t="s">
        <v>425</v>
      </c>
      <c r="U360" s="48" t="s">
        <v>367</v>
      </c>
      <c r="V360" s="48" t="s">
        <v>857</v>
      </c>
      <c r="W360" s="48"/>
    </row>
    <row r="361" spans="1:23" ht="15.75" x14ac:dyDescent="0.25">
      <c r="A361" s="48" t="s">
        <v>1444</v>
      </c>
      <c r="B361" s="49">
        <v>45908</v>
      </c>
      <c r="C361" s="48" t="s">
        <v>918</v>
      </c>
      <c r="D361" s="48" t="s">
        <v>441</v>
      </c>
      <c r="E361" s="48" t="s">
        <v>858</v>
      </c>
      <c r="F361" s="48" t="s">
        <v>366</v>
      </c>
      <c r="G361" s="48" t="s">
        <v>710</v>
      </c>
      <c r="H361" s="48" t="s">
        <v>27</v>
      </c>
      <c r="I361" s="48" t="s">
        <v>1383</v>
      </c>
      <c r="J361" s="48" t="s">
        <v>24</v>
      </c>
      <c r="K361" s="48" t="s">
        <v>710</v>
      </c>
      <c r="L361" s="48" t="s">
        <v>1209</v>
      </c>
      <c r="M361" s="48" t="s">
        <v>26</v>
      </c>
      <c r="N361" s="48" t="s">
        <v>20</v>
      </c>
      <c r="O361" s="48" t="s">
        <v>857</v>
      </c>
      <c r="P361" s="50">
        <v>94000.88</v>
      </c>
      <c r="Q361" s="50">
        <v>1</v>
      </c>
      <c r="R361" s="50">
        <v>94000.88</v>
      </c>
      <c r="S361" s="74">
        <v>45988</v>
      </c>
      <c r="T361" s="48" t="s">
        <v>621</v>
      </c>
      <c r="U361" s="48" t="s">
        <v>710</v>
      </c>
      <c r="V361" s="48" t="s">
        <v>857</v>
      </c>
      <c r="W361" s="48"/>
    </row>
    <row r="362" spans="1:23" ht="15.75" x14ac:dyDescent="0.25">
      <c r="A362" s="48" t="s">
        <v>1639</v>
      </c>
      <c r="B362" s="49">
        <v>45982</v>
      </c>
      <c r="C362" s="48" t="s">
        <v>916</v>
      </c>
      <c r="D362" s="48" t="s">
        <v>509</v>
      </c>
      <c r="E362" s="48" t="s">
        <v>858</v>
      </c>
      <c r="F362" s="48" t="s">
        <v>95</v>
      </c>
      <c r="G362" s="48" t="s">
        <v>96</v>
      </c>
      <c r="H362" s="48" t="s">
        <v>27</v>
      </c>
      <c r="I362" s="48" t="s">
        <v>1582</v>
      </c>
      <c r="J362" s="48" t="s">
        <v>72</v>
      </c>
      <c r="K362" s="48" t="s">
        <v>511</v>
      </c>
      <c r="L362" s="48" t="s">
        <v>1236</v>
      </c>
      <c r="M362" s="48" t="s">
        <v>26</v>
      </c>
      <c r="N362" s="48" t="s">
        <v>20</v>
      </c>
      <c r="O362" s="48" t="s">
        <v>378</v>
      </c>
      <c r="P362" s="50">
        <v>586589.85</v>
      </c>
      <c r="Q362" s="50">
        <v>1</v>
      </c>
      <c r="R362" s="50">
        <v>586589.85</v>
      </c>
      <c r="S362" s="74">
        <v>45988</v>
      </c>
      <c r="T362" s="48" t="s">
        <v>1338</v>
      </c>
      <c r="U362" s="48" t="s">
        <v>304</v>
      </c>
      <c r="V362" s="48" t="s">
        <v>378</v>
      </c>
      <c r="W362" s="48"/>
    </row>
    <row r="363" spans="1:23" ht="15.75" x14ac:dyDescent="0.25">
      <c r="A363" s="48" t="s">
        <v>721</v>
      </c>
      <c r="B363" s="49">
        <v>45945</v>
      </c>
      <c r="C363" s="48" t="s">
        <v>924</v>
      </c>
      <c r="D363" s="48" t="s">
        <v>441</v>
      </c>
      <c r="E363" s="48" t="s">
        <v>856</v>
      </c>
      <c r="F363" s="48" t="s">
        <v>612</v>
      </c>
      <c r="G363" s="48" t="s">
        <v>613</v>
      </c>
      <c r="H363" s="48" t="s">
        <v>27</v>
      </c>
      <c r="I363" s="48" t="s">
        <v>177</v>
      </c>
      <c r="J363" s="48" t="s">
        <v>24</v>
      </c>
      <c r="K363" s="48" t="s">
        <v>613</v>
      </c>
      <c r="L363" s="48" t="s">
        <v>1135</v>
      </c>
      <c r="M363" s="48" t="s">
        <v>26</v>
      </c>
      <c r="N363" s="48" t="s">
        <v>20</v>
      </c>
      <c r="O363" s="48" t="s">
        <v>378</v>
      </c>
      <c r="P363" s="50">
        <v>733654</v>
      </c>
      <c r="Q363" s="50">
        <v>1</v>
      </c>
      <c r="R363" s="50">
        <v>733654</v>
      </c>
      <c r="S363" s="74">
        <v>45988</v>
      </c>
      <c r="T363" s="48" t="s">
        <v>311</v>
      </c>
      <c r="U363" s="48" t="s">
        <v>613</v>
      </c>
      <c r="V363" s="48" t="s">
        <v>857</v>
      </c>
      <c r="W363" s="48"/>
    </row>
    <row r="364" spans="1:23" ht="15.75" x14ac:dyDescent="0.25">
      <c r="A364" s="48" t="s">
        <v>1191</v>
      </c>
      <c r="B364" s="49">
        <v>45957</v>
      </c>
      <c r="C364" s="48" t="s">
        <v>933</v>
      </c>
      <c r="D364" s="48" t="s">
        <v>509</v>
      </c>
      <c r="E364" s="48" t="s">
        <v>858</v>
      </c>
      <c r="F364" s="48" t="s">
        <v>21</v>
      </c>
      <c r="G364" s="48" t="s">
        <v>22</v>
      </c>
      <c r="H364" s="48" t="s">
        <v>27</v>
      </c>
      <c r="I364" s="48" t="s">
        <v>781</v>
      </c>
      <c r="J364" s="48" t="s">
        <v>72</v>
      </c>
      <c r="K364" s="48" t="s">
        <v>511</v>
      </c>
      <c r="L364" s="48" t="s">
        <v>1236</v>
      </c>
      <c r="M364" s="48" t="s">
        <v>26</v>
      </c>
      <c r="N364" s="48" t="s">
        <v>20</v>
      </c>
      <c r="O364" s="48" t="s">
        <v>857</v>
      </c>
      <c r="P364" s="50">
        <v>439810.72</v>
      </c>
      <c r="Q364" s="50">
        <v>1</v>
      </c>
      <c r="R364" s="50">
        <v>439810.72</v>
      </c>
      <c r="S364" s="74">
        <v>45988</v>
      </c>
      <c r="T364" s="48" t="s">
        <v>1886</v>
      </c>
      <c r="U364" s="48" t="s">
        <v>304</v>
      </c>
      <c r="V364" s="48" t="s">
        <v>378</v>
      </c>
      <c r="W364" s="48"/>
    </row>
    <row r="365" spans="1:23" ht="15.75" x14ac:dyDescent="0.25">
      <c r="A365" s="48" t="s">
        <v>1273</v>
      </c>
      <c r="B365" s="49">
        <v>45895</v>
      </c>
      <c r="C365" s="48" t="s">
        <v>916</v>
      </c>
      <c r="D365" s="48" t="s">
        <v>441</v>
      </c>
      <c r="E365" s="48" t="s">
        <v>858</v>
      </c>
      <c r="F365" s="48" t="s">
        <v>373</v>
      </c>
      <c r="G365" s="48" t="s">
        <v>70</v>
      </c>
      <c r="H365" s="48" t="s">
        <v>70</v>
      </c>
      <c r="I365" s="48" t="s">
        <v>1249</v>
      </c>
      <c r="J365" s="48" t="s">
        <v>24</v>
      </c>
      <c r="K365" s="48" t="s">
        <v>407</v>
      </c>
      <c r="L365" s="48" t="s">
        <v>1131</v>
      </c>
      <c r="M365" s="48" t="s">
        <v>26</v>
      </c>
      <c r="N365" s="48" t="s">
        <v>20</v>
      </c>
      <c r="O365" s="48" t="s">
        <v>857</v>
      </c>
      <c r="P365" s="50">
        <v>253477.32</v>
      </c>
      <c r="Q365" s="50">
        <v>1</v>
      </c>
      <c r="R365" s="50">
        <v>253477.32</v>
      </c>
      <c r="S365" s="74">
        <v>45988</v>
      </c>
      <c r="T365" s="48" t="s">
        <v>621</v>
      </c>
      <c r="U365" s="48" t="s">
        <v>1849</v>
      </c>
      <c r="V365" s="48" t="s">
        <v>378</v>
      </c>
      <c r="W365" s="48"/>
    </row>
    <row r="366" spans="1:23" ht="15.75" x14ac:dyDescent="0.25">
      <c r="A366" s="48" t="s">
        <v>1604</v>
      </c>
      <c r="B366" s="49">
        <v>45910</v>
      </c>
      <c r="C366" s="48" t="s">
        <v>916</v>
      </c>
      <c r="D366" s="48" t="s">
        <v>441</v>
      </c>
      <c r="E366" s="48" t="s">
        <v>856</v>
      </c>
      <c r="F366" s="48" t="s">
        <v>366</v>
      </c>
      <c r="G366" s="48" t="s">
        <v>710</v>
      </c>
      <c r="H366" s="48" t="s">
        <v>27</v>
      </c>
      <c r="I366" s="48" t="s">
        <v>477</v>
      </c>
      <c r="J366" s="48" t="s">
        <v>24</v>
      </c>
      <c r="K366" s="48" t="s">
        <v>710</v>
      </c>
      <c r="L366" s="48" t="s">
        <v>1209</v>
      </c>
      <c r="M366" s="48" t="s">
        <v>26</v>
      </c>
      <c r="N366" s="48" t="s">
        <v>20</v>
      </c>
      <c r="O366" s="48" t="s">
        <v>857</v>
      </c>
      <c r="P366" s="50">
        <v>500000</v>
      </c>
      <c r="Q366" s="50">
        <v>1</v>
      </c>
      <c r="R366" s="50">
        <v>500000</v>
      </c>
      <c r="S366" s="74">
        <v>45987</v>
      </c>
      <c r="T366" s="48" t="s">
        <v>621</v>
      </c>
      <c r="U366" s="48" t="s">
        <v>710</v>
      </c>
      <c r="V366" s="48" t="s">
        <v>857</v>
      </c>
      <c r="W366" s="48"/>
    </row>
    <row r="367" spans="1:23" ht="15.75" x14ac:dyDescent="0.25">
      <c r="A367" s="48" t="s">
        <v>1615</v>
      </c>
      <c r="B367" s="49">
        <v>45924</v>
      </c>
      <c r="C367" s="48" t="s">
        <v>916</v>
      </c>
      <c r="D367" s="48" t="s">
        <v>441</v>
      </c>
      <c r="E367" s="48" t="s">
        <v>858</v>
      </c>
      <c r="F367" s="48" t="s">
        <v>366</v>
      </c>
      <c r="G367" s="48" t="s">
        <v>710</v>
      </c>
      <c r="H367" s="48" t="s">
        <v>27</v>
      </c>
      <c r="I367" s="48" t="s">
        <v>1576</v>
      </c>
      <c r="J367" s="48" t="s">
        <v>24</v>
      </c>
      <c r="K367" s="48" t="s">
        <v>710</v>
      </c>
      <c r="L367" s="48" t="s">
        <v>1209</v>
      </c>
      <c r="M367" s="48" t="s">
        <v>26</v>
      </c>
      <c r="N367" s="48" t="s">
        <v>20</v>
      </c>
      <c r="O367" s="48" t="s">
        <v>857</v>
      </c>
      <c r="P367" s="50">
        <v>150000</v>
      </c>
      <c r="Q367" s="50">
        <v>1</v>
      </c>
      <c r="R367" s="50">
        <v>150000</v>
      </c>
      <c r="S367" s="74">
        <v>45987</v>
      </c>
      <c r="T367" s="48" t="s">
        <v>621</v>
      </c>
      <c r="U367" s="48" t="s">
        <v>710</v>
      </c>
      <c r="V367" s="48" t="s">
        <v>857</v>
      </c>
      <c r="W367" s="48"/>
    </row>
    <row r="368" spans="1:23" ht="15.75" x14ac:dyDescent="0.25">
      <c r="A368" s="48" t="s">
        <v>1569</v>
      </c>
      <c r="B368" s="49">
        <v>45946</v>
      </c>
      <c r="C368" s="48" t="s">
        <v>918</v>
      </c>
      <c r="D368" s="48" t="s">
        <v>441</v>
      </c>
      <c r="E368" s="48" t="s">
        <v>856</v>
      </c>
      <c r="F368" s="48" t="s">
        <v>612</v>
      </c>
      <c r="G368" s="48" t="s">
        <v>613</v>
      </c>
      <c r="H368" s="48" t="s">
        <v>27</v>
      </c>
      <c r="I368" s="48" t="s">
        <v>177</v>
      </c>
      <c r="J368" s="48" t="s">
        <v>24</v>
      </c>
      <c r="K368" s="48" t="s">
        <v>613</v>
      </c>
      <c r="L368" s="48" t="s">
        <v>1135</v>
      </c>
      <c r="M368" s="48" t="s">
        <v>26</v>
      </c>
      <c r="N368" s="48" t="s">
        <v>20</v>
      </c>
      <c r="O368" s="48" t="s">
        <v>378</v>
      </c>
      <c r="P368" s="50">
        <v>1036414.51</v>
      </c>
      <c r="Q368" s="50">
        <v>1</v>
      </c>
      <c r="R368" s="50">
        <v>1036414.51</v>
      </c>
      <c r="S368" s="74">
        <v>45987</v>
      </c>
      <c r="T368" s="48" t="s">
        <v>311</v>
      </c>
      <c r="U368" s="48" t="s">
        <v>613</v>
      </c>
      <c r="V368" s="48" t="s">
        <v>857</v>
      </c>
      <c r="W368" s="48"/>
    </row>
    <row r="369" spans="1:23" ht="15.75" x14ac:dyDescent="0.25">
      <c r="A369" s="48" t="s">
        <v>1650</v>
      </c>
      <c r="B369" s="49">
        <v>45908</v>
      </c>
      <c r="C369" s="48" t="s">
        <v>916</v>
      </c>
      <c r="D369" s="48" t="s">
        <v>1119</v>
      </c>
      <c r="E369" s="48" t="s">
        <v>856</v>
      </c>
      <c r="F369" s="48" t="s">
        <v>366</v>
      </c>
      <c r="G369" s="48" t="s">
        <v>367</v>
      </c>
      <c r="H369" s="48" t="s">
        <v>27</v>
      </c>
      <c r="I369" s="48" t="s">
        <v>1631</v>
      </c>
      <c r="J369" s="48" t="s">
        <v>24</v>
      </c>
      <c r="K369" s="48" t="s">
        <v>367</v>
      </c>
      <c r="L369" s="48" t="s">
        <v>1136</v>
      </c>
      <c r="M369" s="48" t="s">
        <v>26</v>
      </c>
      <c r="N369" s="48" t="s">
        <v>20</v>
      </c>
      <c r="O369" s="48" t="s">
        <v>857</v>
      </c>
      <c r="P369" s="50">
        <v>1994342</v>
      </c>
      <c r="Q369" s="50">
        <v>1</v>
      </c>
      <c r="R369" s="50">
        <v>1994342</v>
      </c>
      <c r="S369" s="74">
        <v>45986</v>
      </c>
      <c r="T369" s="48" t="s">
        <v>1624</v>
      </c>
      <c r="U369" s="48" t="s">
        <v>367</v>
      </c>
      <c r="V369" s="48" t="s">
        <v>857</v>
      </c>
      <c r="W369" s="48"/>
    </row>
    <row r="370" spans="1:23" ht="15.75" x14ac:dyDescent="0.25">
      <c r="A370" s="48" t="s">
        <v>1662</v>
      </c>
      <c r="B370" s="49">
        <v>45901</v>
      </c>
      <c r="C370" s="48" t="s">
        <v>916</v>
      </c>
      <c r="D370" s="48" t="s">
        <v>1119</v>
      </c>
      <c r="E370" s="48" t="s">
        <v>856</v>
      </c>
      <c r="F370" s="48" t="s">
        <v>366</v>
      </c>
      <c r="G370" s="48" t="s">
        <v>367</v>
      </c>
      <c r="H370" s="48" t="s">
        <v>27</v>
      </c>
      <c r="I370" s="48" t="s">
        <v>1630</v>
      </c>
      <c r="J370" s="48" t="s">
        <v>24</v>
      </c>
      <c r="K370" s="48" t="s">
        <v>367</v>
      </c>
      <c r="L370" s="48" t="s">
        <v>1136</v>
      </c>
      <c r="M370" s="48" t="s">
        <v>26</v>
      </c>
      <c r="N370" s="48" t="s">
        <v>20</v>
      </c>
      <c r="O370" s="48" t="s">
        <v>857</v>
      </c>
      <c r="P370" s="50">
        <v>327131.67</v>
      </c>
      <c r="Q370" s="50">
        <v>1</v>
      </c>
      <c r="R370" s="50">
        <v>327131.67</v>
      </c>
      <c r="S370" s="74">
        <v>45986</v>
      </c>
      <c r="T370" s="48" t="s">
        <v>1624</v>
      </c>
      <c r="U370" s="48" t="s">
        <v>367</v>
      </c>
      <c r="V370" s="48" t="s">
        <v>857</v>
      </c>
      <c r="W370" s="48"/>
    </row>
    <row r="371" spans="1:23" ht="15.75" x14ac:dyDescent="0.25">
      <c r="A371" s="48" t="s">
        <v>1669</v>
      </c>
      <c r="B371" s="49">
        <v>45911</v>
      </c>
      <c r="C371" s="48" t="s">
        <v>916</v>
      </c>
      <c r="D371" s="48" t="s">
        <v>1119</v>
      </c>
      <c r="E371" s="48" t="s">
        <v>858</v>
      </c>
      <c r="F371" s="48" t="s">
        <v>366</v>
      </c>
      <c r="G371" s="48" t="s">
        <v>367</v>
      </c>
      <c r="H371" s="48" t="s">
        <v>27</v>
      </c>
      <c r="I371" s="48" t="s">
        <v>1633</v>
      </c>
      <c r="J371" s="48" t="s">
        <v>24</v>
      </c>
      <c r="K371" s="48" t="s">
        <v>367</v>
      </c>
      <c r="L371" s="48" t="s">
        <v>1136</v>
      </c>
      <c r="M371" s="48" t="s">
        <v>26</v>
      </c>
      <c r="N371" s="48" t="s">
        <v>20</v>
      </c>
      <c r="O371" s="48" t="s">
        <v>857</v>
      </c>
      <c r="P371" s="50">
        <v>273781</v>
      </c>
      <c r="Q371" s="50">
        <v>1</v>
      </c>
      <c r="R371" s="50">
        <v>273781</v>
      </c>
      <c r="S371" s="74">
        <v>45986</v>
      </c>
      <c r="T371" s="48" t="s">
        <v>1624</v>
      </c>
      <c r="U371" s="48" t="s">
        <v>367</v>
      </c>
      <c r="V371" s="48" t="s">
        <v>857</v>
      </c>
      <c r="W371" s="48"/>
    </row>
    <row r="372" spans="1:23" ht="15.75" x14ac:dyDescent="0.25">
      <c r="A372" s="48" t="s">
        <v>1598</v>
      </c>
      <c r="B372" s="49">
        <v>45911</v>
      </c>
      <c r="C372" s="48" t="s">
        <v>916</v>
      </c>
      <c r="D372" s="48" t="s">
        <v>441</v>
      </c>
      <c r="E372" s="48" t="s">
        <v>858</v>
      </c>
      <c r="F372" s="48" t="s">
        <v>366</v>
      </c>
      <c r="G372" s="48" t="s">
        <v>710</v>
      </c>
      <c r="H372" s="48" t="s">
        <v>27</v>
      </c>
      <c r="I372" s="48" t="s">
        <v>1572</v>
      </c>
      <c r="J372" s="48" t="s">
        <v>24</v>
      </c>
      <c r="K372" s="48" t="s">
        <v>710</v>
      </c>
      <c r="L372" s="48" t="s">
        <v>1209</v>
      </c>
      <c r="M372" s="48" t="s">
        <v>26</v>
      </c>
      <c r="N372" s="48" t="s">
        <v>20</v>
      </c>
      <c r="O372" s="48" t="s">
        <v>857</v>
      </c>
      <c r="P372" s="50">
        <v>2250000</v>
      </c>
      <c r="Q372" s="50">
        <v>1</v>
      </c>
      <c r="R372" s="50">
        <v>2250000</v>
      </c>
      <c r="S372" s="74">
        <v>45986</v>
      </c>
      <c r="T372" s="48" t="s">
        <v>621</v>
      </c>
      <c r="U372" s="48" t="s">
        <v>710</v>
      </c>
      <c r="V372" s="48" t="s">
        <v>857</v>
      </c>
      <c r="W372" s="48"/>
    </row>
    <row r="373" spans="1:23" ht="15.75" x14ac:dyDescent="0.25">
      <c r="A373" s="48" t="s">
        <v>1800</v>
      </c>
      <c r="B373" s="49">
        <v>45920</v>
      </c>
      <c r="C373" s="48" t="s">
        <v>916</v>
      </c>
      <c r="D373" s="48" t="s">
        <v>1181</v>
      </c>
      <c r="E373" s="48" t="s">
        <v>858</v>
      </c>
      <c r="F373" s="48" t="s">
        <v>366</v>
      </c>
      <c r="G373" s="48" t="s">
        <v>710</v>
      </c>
      <c r="H373" s="48" t="s">
        <v>27</v>
      </c>
      <c r="I373" s="48" t="s">
        <v>1758</v>
      </c>
      <c r="J373" s="48" t="s">
        <v>1791</v>
      </c>
      <c r="K373" s="48" t="s">
        <v>81</v>
      </c>
      <c r="L373" s="48" t="s">
        <v>1139</v>
      </c>
      <c r="M373" s="48" t="s">
        <v>26</v>
      </c>
      <c r="N373" s="48" t="s">
        <v>20</v>
      </c>
      <c r="O373" s="48" t="s">
        <v>857</v>
      </c>
      <c r="P373" s="50">
        <v>2704025</v>
      </c>
      <c r="Q373" s="50">
        <v>1</v>
      </c>
      <c r="R373" s="50">
        <v>2704025</v>
      </c>
      <c r="S373" s="74">
        <v>45986</v>
      </c>
      <c r="T373" s="48" t="s">
        <v>408</v>
      </c>
      <c r="U373" s="48" t="s">
        <v>710</v>
      </c>
      <c r="V373" s="48" t="s">
        <v>378</v>
      </c>
      <c r="W373" s="48"/>
    </row>
    <row r="374" spans="1:23" ht="15.75" x14ac:dyDescent="0.25">
      <c r="A374" s="48" t="s">
        <v>1664</v>
      </c>
      <c r="B374" s="49">
        <v>45915</v>
      </c>
      <c r="C374" s="48" t="s">
        <v>916</v>
      </c>
      <c r="D374" s="48" t="s">
        <v>1119</v>
      </c>
      <c r="E374" s="48" t="s">
        <v>858</v>
      </c>
      <c r="F374" s="48" t="s">
        <v>366</v>
      </c>
      <c r="G374" s="48" t="s">
        <v>367</v>
      </c>
      <c r="H374" s="48" t="s">
        <v>27</v>
      </c>
      <c r="I374" s="48" t="s">
        <v>1623</v>
      </c>
      <c r="J374" s="48" t="s">
        <v>24</v>
      </c>
      <c r="K374" s="48" t="s">
        <v>367</v>
      </c>
      <c r="L374" s="48" t="s">
        <v>1136</v>
      </c>
      <c r="M374" s="48" t="s">
        <v>26</v>
      </c>
      <c r="N374" s="48" t="s">
        <v>20</v>
      </c>
      <c r="O374" s="48" t="s">
        <v>857</v>
      </c>
      <c r="P374" s="50">
        <v>658511</v>
      </c>
      <c r="Q374" s="50">
        <v>1</v>
      </c>
      <c r="R374" s="50">
        <v>658511</v>
      </c>
      <c r="S374" s="74">
        <v>45986</v>
      </c>
      <c r="T374" s="48" t="s">
        <v>1624</v>
      </c>
      <c r="U374" s="48" t="s">
        <v>367</v>
      </c>
      <c r="V374" s="48" t="s">
        <v>857</v>
      </c>
      <c r="W374" s="48"/>
    </row>
    <row r="375" spans="1:23" ht="15.75" x14ac:dyDescent="0.25">
      <c r="A375" s="48" t="s">
        <v>1423</v>
      </c>
      <c r="B375" s="49">
        <v>45957</v>
      </c>
      <c r="C375" s="48" t="s">
        <v>916</v>
      </c>
      <c r="D375" s="48" t="s">
        <v>441</v>
      </c>
      <c r="E375" s="48" t="s">
        <v>858</v>
      </c>
      <c r="F375" s="48" t="s">
        <v>95</v>
      </c>
      <c r="G375" s="48" t="s">
        <v>96</v>
      </c>
      <c r="H375" s="48" t="s">
        <v>27</v>
      </c>
      <c r="I375" s="48" t="s">
        <v>1327</v>
      </c>
      <c r="J375" s="48" t="s">
        <v>24</v>
      </c>
      <c r="K375" s="48" t="s">
        <v>22</v>
      </c>
      <c r="L375" s="48" t="s">
        <v>1132</v>
      </c>
      <c r="M375" s="48" t="s">
        <v>26</v>
      </c>
      <c r="N375" s="48" t="s">
        <v>20</v>
      </c>
      <c r="O375" s="48" t="s">
        <v>378</v>
      </c>
      <c r="P375" s="50">
        <v>547153.37</v>
      </c>
      <c r="Q375" s="50">
        <v>1</v>
      </c>
      <c r="R375" s="50">
        <v>547153.37</v>
      </c>
      <c r="S375" s="74">
        <v>45986</v>
      </c>
      <c r="T375" s="48" t="s">
        <v>621</v>
      </c>
      <c r="U375" s="48" t="s">
        <v>613</v>
      </c>
      <c r="V375" s="48" t="s">
        <v>378</v>
      </c>
      <c r="W375" s="48"/>
    </row>
    <row r="376" spans="1:23" ht="15.75" x14ac:dyDescent="0.25">
      <c r="A376" s="48" t="s">
        <v>1670</v>
      </c>
      <c r="B376" s="49">
        <v>45900</v>
      </c>
      <c r="C376" s="48" t="s">
        <v>916</v>
      </c>
      <c r="D376" s="48" t="s">
        <v>1119</v>
      </c>
      <c r="E376" s="48" t="s">
        <v>856</v>
      </c>
      <c r="F376" s="48" t="s">
        <v>366</v>
      </c>
      <c r="G376" s="48" t="s">
        <v>367</v>
      </c>
      <c r="H376" s="48" t="s">
        <v>27</v>
      </c>
      <c r="I376" s="48" t="s">
        <v>1627</v>
      </c>
      <c r="J376" s="48" t="s">
        <v>24</v>
      </c>
      <c r="K376" s="48" t="s">
        <v>367</v>
      </c>
      <c r="L376" s="48" t="s">
        <v>1136</v>
      </c>
      <c r="M376" s="48" t="s">
        <v>26</v>
      </c>
      <c r="N376" s="48" t="s">
        <v>20</v>
      </c>
      <c r="O376" s="48" t="s">
        <v>857</v>
      </c>
      <c r="P376" s="50">
        <v>273958.68</v>
      </c>
      <c r="Q376" s="50">
        <v>1</v>
      </c>
      <c r="R376" s="50">
        <v>273958.68</v>
      </c>
      <c r="S376" s="74">
        <v>45986</v>
      </c>
      <c r="T376" s="48" t="s">
        <v>1624</v>
      </c>
      <c r="U376" s="48" t="s">
        <v>367</v>
      </c>
      <c r="V376" s="48" t="s">
        <v>857</v>
      </c>
      <c r="W376" s="48"/>
    </row>
    <row r="377" spans="1:23" ht="15.75" x14ac:dyDescent="0.25">
      <c r="A377" s="48" t="s">
        <v>1736</v>
      </c>
      <c r="B377" s="49">
        <v>45901</v>
      </c>
      <c r="C377" s="48" t="s">
        <v>916</v>
      </c>
      <c r="D377" s="48" t="s">
        <v>1119</v>
      </c>
      <c r="E377" s="48" t="s">
        <v>856</v>
      </c>
      <c r="F377" s="48" t="s">
        <v>366</v>
      </c>
      <c r="G377" s="48" t="s">
        <v>367</v>
      </c>
      <c r="H377" s="48" t="s">
        <v>27</v>
      </c>
      <c r="I377" s="48" t="s">
        <v>521</v>
      </c>
      <c r="J377" s="48" t="s">
        <v>24</v>
      </c>
      <c r="K377" s="48" t="s">
        <v>367</v>
      </c>
      <c r="L377" s="48" t="s">
        <v>1136</v>
      </c>
      <c r="M377" s="48" t="s">
        <v>26</v>
      </c>
      <c r="N377" s="48" t="s">
        <v>20</v>
      </c>
      <c r="O377" s="48" t="s">
        <v>857</v>
      </c>
      <c r="P377" s="50">
        <v>10000000</v>
      </c>
      <c r="Q377" s="50">
        <v>1</v>
      </c>
      <c r="R377" s="50">
        <v>10000000</v>
      </c>
      <c r="S377" s="74">
        <v>45986</v>
      </c>
      <c r="T377" s="48" t="s">
        <v>1624</v>
      </c>
      <c r="U377" s="48" t="s">
        <v>367</v>
      </c>
      <c r="V377" s="48" t="s">
        <v>857</v>
      </c>
      <c r="W377" s="48"/>
    </row>
    <row r="378" spans="1:23" ht="15.75" x14ac:dyDescent="0.25">
      <c r="A378" s="48" t="s">
        <v>1652</v>
      </c>
      <c r="B378" s="49">
        <v>45910</v>
      </c>
      <c r="C378" s="48" t="s">
        <v>916</v>
      </c>
      <c r="D378" s="48" t="s">
        <v>1119</v>
      </c>
      <c r="E378" s="48" t="s">
        <v>858</v>
      </c>
      <c r="F378" s="48" t="s">
        <v>366</v>
      </c>
      <c r="G378" s="48" t="s">
        <v>367</v>
      </c>
      <c r="H378" s="48" t="s">
        <v>27</v>
      </c>
      <c r="I378" s="48" t="s">
        <v>1614</v>
      </c>
      <c r="J378" s="48" t="s">
        <v>24</v>
      </c>
      <c r="K378" s="48" t="s">
        <v>367</v>
      </c>
      <c r="L378" s="48" t="s">
        <v>1136</v>
      </c>
      <c r="M378" s="48" t="s">
        <v>26</v>
      </c>
      <c r="N378" s="48" t="s">
        <v>20</v>
      </c>
      <c r="O378" s="48" t="s">
        <v>857</v>
      </c>
      <c r="P378" s="50">
        <v>1304831.8899999999</v>
      </c>
      <c r="Q378" s="50">
        <v>1</v>
      </c>
      <c r="R378" s="50">
        <v>1304831.8899999999</v>
      </c>
      <c r="S378" s="74">
        <v>45986</v>
      </c>
      <c r="T378" s="48" t="s">
        <v>1624</v>
      </c>
      <c r="U378" s="48" t="s">
        <v>367</v>
      </c>
      <c r="V378" s="48" t="s">
        <v>857</v>
      </c>
      <c r="W378" s="48"/>
    </row>
    <row r="379" spans="1:23" ht="15.75" x14ac:dyDescent="0.25">
      <c r="A379" s="48" t="s">
        <v>1498</v>
      </c>
      <c r="B379" s="49">
        <v>45873</v>
      </c>
      <c r="C379" s="48" t="s">
        <v>916</v>
      </c>
      <c r="D379" s="48" t="s">
        <v>441</v>
      </c>
      <c r="E379" s="48" t="s">
        <v>858</v>
      </c>
      <c r="F379" s="48" t="s">
        <v>21</v>
      </c>
      <c r="G379" s="48" t="s">
        <v>22</v>
      </c>
      <c r="H379" s="48" t="s">
        <v>27</v>
      </c>
      <c r="I379" s="48" t="s">
        <v>1413</v>
      </c>
      <c r="J379" s="48" t="s">
        <v>24</v>
      </c>
      <c r="K379" s="48" t="s">
        <v>407</v>
      </c>
      <c r="L379" s="48" t="s">
        <v>1131</v>
      </c>
      <c r="M379" s="48" t="s">
        <v>26</v>
      </c>
      <c r="N379" s="48" t="s">
        <v>20</v>
      </c>
      <c r="O379" s="48" t="s">
        <v>857</v>
      </c>
      <c r="P379" s="50">
        <v>94929.8</v>
      </c>
      <c r="Q379" s="50">
        <v>1</v>
      </c>
      <c r="R379" s="50">
        <v>94929.8</v>
      </c>
      <c r="S379" s="74">
        <v>45985</v>
      </c>
      <c r="T379" s="48" t="s">
        <v>621</v>
      </c>
      <c r="U379" s="48" t="s">
        <v>304</v>
      </c>
      <c r="V379" s="48" t="s">
        <v>378</v>
      </c>
      <c r="W379" s="48"/>
    </row>
    <row r="380" spans="1:23" ht="15.75" x14ac:dyDescent="0.25">
      <c r="A380" s="48" t="s">
        <v>1731</v>
      </c>
      <c r="B380" s="49">
        <v>45967</v>
      </c>
      <c r="C380" s="48" t="s">
        <v>916</v>
      </c>
      <c r="D380" s="48" t="s">
        <v>1181</v>
      </c>
      <c r="E380" s="48" t="s">
        <v>856</v>
      </c>
      <c r="F380" s="48" t="s">
        <v>366</v>
      </c>
      <c r="G380" s="48" t="s">
        <v>710</v>
      </c>
      <c r="H380" s="48" t="s">
        <v>27</v>
      </c>
      <c r="I380" s="48" t="s">
        <v>1482</v>
      </c>
      <c r="J380" s="48" t="s">
        <v>72</v>
      </c>
      <c r="K380" s="48" t="s">
        <v>81</v>
      </c>
      <c r="L380" s="48" t="s">
        <v>1139</v>
      </c>
      <c r="M380" s="48" t="s">
        <v>191</v>
      </c>
      <c r="N380" s="48" t="s">
        <v>20</v>
      </c>
      <c r="O380" s="48" t="s">
        <v>857</v>
      </c>
      <c r="P380" s="50">
        <v>786823.04</v>
      </c>
      <c r="Q380" s="50">
        <v>1.026</v>
      </c>
      <c r="R380" s="50">
        <v>807280.43904000008</v>
      </c>
      <c r="S380" s="74">
        <v>45985</v>
      </c>
      <c r="T380" s="48" t="s">
        <v>461</v>
      </c>
      <c r="U380" s="48" t="s">
        <v>377</v>
      </c>
      <c r="V380" s="48" t="s">
        <v>857</v>
      </c>
      <c r="W380" s="48"/>
    </row>
    <row r="381" spans="1:23" ht="15.75" x14ac:dyDescent="0.25">
      <c r="A381" s="48" t="s">
        <v>1516</v>
      </c>
      <c r="B381" s="49">
        <v>45900</v>
      </c>
      <c r="C381" s="48" t="s">
        <v>916</v>
      </c>
      <c r="D381" s="48" t="s">
        <v>441</v>
      </c>
      <c r="E381" s="48" t="s">
        <v>858</v>
      </c>
      <c r="F381" s="48" t="s">
        <v>21</v>
      </c>
      <c r="G381" s="48" t="s">
        <v>22</v>
      </c>
      <c r="H381" s="48" t="s">
        <v>27</v>
      </c>
      <c r="I381" s="48" t="s">
        <v>1461</v>
      </c>
      <c r="J381" s="48" t="s">
        <v>24</v>
      </c>
      <c r="K381" s="48" t="s">
        <v>407</v>
      </c>
      <c r="L381" s="48" t="s">
        <v>1131</v>
      </c>
      <c r="M381" s="48" t="s">
        <v>26</v>
      </c>
      <c r="N381" s="48" t="s">
        <v>20</v>
      </c>
      <c r="O381" s="48" t="s">
        <v>857</v>
      </c>
      <c r="P381" s="50">
        <v>870662</v>
      </c>
      <c r="Q381" s="50">
        <v>1</v>
      </c>
      <c r="R381" s="50">
        <v>870662</v>
      </c>
      <c r="S381" s="74">
        <v>45985</v>
      </c>
      <c r="T381" s="48" t="s">
        <v>621</v>
      </c>
      <c r="U381" s="48" t="s">
        <v>304</v>
      </c>
      <c r="V381" s="48" t="s">
        <v>378</v>
      </c>
      <c r="W381" s="48"/>
    </row>
    <row r="382" spans="1:23" ht="15.75" x14ac:dyDescent="0.25">
      <c r="A382" s="48" t="s">
        <v>1521</v>
      </c>
      <c r="B382" s="49">
        <v>45873</v>
      </c>
      <c r="C382" s="48" t="s">
        <v>916</v>
      </c>
      <c r="D382" s="48" t="s">
        <v>441</v>
      </c>
      <c r="E382" s="48" t="s">
        <v>858</v>
      </c>
      <c r="F382" s="48" t="s">
        <v>21</v>
      </c>
      <c r="G382" s="48" t="s">
        <v>22</v>
      </c>
      <c r="H382" s="48" t="s">
        <v>27</v>
      </c>
      <c r="I382" s="48" t="s">
        <v>1466</v>
      </c>
      <c r="J382" s="48" t="s">
        <v>24</v>
      </c>
      <c r="K382" s="48" t="s">
        <v>407</v>
      </c>
      <c r="L382" s="48" t="s">
        <v>1131</v>
      </c>
      <c r="M382" s="48" t="s">
        <v>26</v>
      </c>
      <c r="N382" s="48" t="s">
        <v>20</v>
      </c>
      <c r="O382" s="48" t="s">
        <v>857</v>
      </c>
      <c r="P382" s="50">
        <v>214923</v>
      </c>
      <c r="Q382" s="50">
        <v>1</v>
      </c>
      <c r="R382" s="50">
        <v>214923</v>
      </c>
      <c r="S382" s="74">
        <v>45985</v>
      </c>
      <c r="T382" s="48" t="s">
        <v>621</v>
      </c>
      <c r="U382" s="48" t="s">
        <v>304</v>
      </c>
      <c r="V382" s="48" t="s">
        <v>378</v>
      </c>
      <c r="W382" s="48"/>
    </row>
    <row r="383" spans="1:23" ht="15.75" x14ac:dyDescent="0.25">
      <c r="A383" s="48" t="s">
        <v>1596</v>
      </c>
      <c r="B383" s="49">
        <v>45916</v>
      </c>
      <c r="C383" s="48" t="s">
        <v>916</v>
      </c>
      <c r="D383" s="48" t="s">
        <v>441</v>
      </c>
      <c r="E383" s="48" t="s">
        <v>858</v>
      </c>
      <c r="F383" s="48" t="s">
        <v>366</v>
      </c>
      <c r="G383" s="48" t="s">
        <v>710</v>
      </c>
      <c r="H383" s="48" t="s">
        <v>27</v>
      </c>
      <c r="I383" s="48" t="s">
        <v>1577</v>
      </c>
      <c r="J383" s="48" t="s">
        <v>24</v>
      </c>
      <c r="K383" s="48" t="s">
        <v>710</v>
      </c>
      <c r="L383" s="48" t="s">
        <v>1209</v>
      </c>
      <c r="M383" s="48" t="s">
        <v>26</v>
      </c>
      <c r="N383" s="48" t="s">
        <v>20</v>
      </c>
      <c r="O383" s="48" t="s">
        <v>857</v>
      </c>
      <c r="P383" s="50">
        <v>250000</v>
      </c>
      <c r="Q383" s="50">
        <v>1</v>
      </c>
      <c r="R383" s="50">
        <v>250000</v>
      </c>
      <c r="S383" s="74">
        <v>45985</v>
      </c>
      <c r="T383" s="48" t="s">
        <v>621</v>
      </c>
      <c r="U383" s="48" t="s">
        <v>710</v>
      </c>
      <c r="V383" s="48" t="s">
        <v>857</v>
      </c>
      <c r="W383" s="48"/>
    </row>
    <row r="384" spans="1:23" ht="15.75" x14ac:dyDescent="0.25">
      <c r="A384" s="48" t="s">
        <v>1934</v>
      </c>
      <c r="B384" s="49">
        <v>45956</v>
      </c>
      <c r="C384" s="48" t="s">
        <v>1300</v>
      </c>
      <c r="D384" s="48" t="s">
        <v>1537</v>
      </c>
      <c r="E384" s="48" t="s">
        <v>856</v>
      </c>
      <c r="F384" s="48" t="s">
        <v>62</v>
      </c>
      <c r="G384" s="48" t="s">
        <v>483</v>
      </c>
      <c r="H384" s="48" t="s">
        <v>27</v>
      </c>
      <c r="I384" s="48" t="s">
        <v>1641</v>
      </c>
      <c r="J384" s="48" t="s">
        <v>72</v>
      </c>
      <c r="K384" s="48" t="s">
        <v>483</v>
      </c>
      <c r="L384" s="48" t="s">
        <v>1646</v>
      </c>
      <c r="M384" s="48" t="s">
        <v>26</v>
      </c>
      <c r="N384" s="48" t="s">
        <v>20</v>
      </c>
      <c r="O384" s="48" t="s">
        <v>857</v>
      </c>
      <c r="P384" s="50">
        <v>1290003.54</v>
      </c>
      <c r="Q384" s="50">
        <v>1</v>
      </c>
      <c r="R384" s="50">
        <v>1290003.54</v>
      </c>
      <c r="S384" s="74">
        <v>45985</v>
      </c>
      <c r="T384" s="48" t="s">
        <v>305</v>
      </c>
      <c r="U384" s="48" t="s">
        <v>613</v>
      </c>
      <c r="V384" s="48" t="s">
        <v>857</v>
      </c>
      <c r="W384" s="48" t="s">
        <v>2789</v>
      </c>
    </row>
    <row r="385" spans="1:23" ht="15.75" x14ac:dyDescent="0.25">
      <c r="A385" s="48" t="s">
        <v>1600</v>
      </c>
      <c r="B385" s="49">
        <v>45917</v>
      </c>
      <c r="C385" s="48" t="s">
        <v>916</v>
      </c>
      <c r="D385" s="48" t="s">
        <v>441</v>
      </c>
      <c r="E385" s="48" t="s">
        <v>858</v>
      </c>
      <c r="F385" s="48" t="s">
        <v>366</v>
      </c>
      <c r="G385" s="48" t="s">
        <v>710</v>
      </c>
      <c r="H385" s="48" t="s">
        <v>27</v>
      </c>
      <c r="I385" s="48" t="s">
        <v>1789</v>
      </c>
      <c r="J385" s="48" t="s">
        <v>24</v>
      </c>
      <c r="K385" s="48" t="s">
        <v>710</v>
      </c>
      <c r="L385" s="48" t="s">
        <v>1209</v>
      </c>
      <c r="M385" s="48" t="s">
        <v>26</v>
      </c>
      <c r="N385" s="48" t="s">
        <v>20</v>
      </c>
      <c r="O385" s="48" t="s">
        <v>857</v>
      </c>
      <c r="P385" s="50">
        <v>293143.98</v>
      </c>
      <c r="Q385" s="50">
        <v>1</v>
      </c>
      <c r="R385" s="50">
        <v>293143.98</v>
      </c>
      <c r="S385" s="74">
        <v>45985</v>
      </c>
      <c r="T385" s="48" t="s">
        <v>621</v>
      </c>
      <c r="U385" s="48" t="s">
        <v>710</v>
      </c>
      <c r="V385" s="48" t="s">
        <v>857</v>
      </c>
      <c r="W385" s="48"/>
    </row>
    <row r="386" spans="1:23" ht="15.75" x14ac:dyDescent="0.25">
      <c r="A386" s="48" t="s">
        <v>1934</v>
      </c>
      <c r="B386" s="49">
        <v>45956</v>
      </c>
      <c r="C386" s="48" t="s">
        <v>1299</v>
      </c>
      <c r="D386" s="48" t="s">
        <v>1537</v>
      </c>
      <c r="E386" s="48" t="s">
        <v>856</v>
      </c>
      <c r="F386" s="48" t="s">
        <v>62</v>
      </c>
      <c r="G386" s="48" t="s">
        <v>483</v>
      </c>
      <c r="H386" s="48" t="s">
        <v>27</v>
      </c>
      <c r="I386" s="48" t="s">
        <v>1641</v>
      </c>
      <c r="J386" s="48" t="s">
        <v>72</v>
      </c>
      <c r="K386" s="48" t="s">
        <v>483</v>
      </c>
      <c r="L386" s="48" t="s">
        <v>1646</v>
      </c>
      <c r="M386" s="48" t="s">
        <v>26</v>
      </c>
      <c r="N386" s="48" t="s">
        <v>20</v>
      </c>
      <c r="O386" s="48" t="s">
        <v>857</v>
      </c>
      <c r="P386" s="50">
        <v>184328.1</v>
      </c>
      <c r="Q386" s="50">
        <v>1</v>
      </c>
      <c r="R386" s="50">
        <v>184328.1</v>
      </c>
      <c r="S386" s="74">
        <v>45984</v>
      </c>
      <c r="T386" s="48" t="s">
        <v>305</v>
      </c>
      <c r="U386" s="48" t="s">
        <v>613</v>
      </c>
      <c r="V386" s="48" t="s">
        <v>857</v>
      </c>
      <c r="W386" s="48"/>
    </row>
    <row r="387" spans="1:23" ht="15.75" x14ac:dyDescent="0.25">
      <c r="A387" s="48" t="s">
        <v>1566</v>
      </c>
      <c r="B387" s="49">
        <v>45918</v>
      </c>
      <c r="C387" s="48" t="s">
        <v>918</v>
      </c>
      <c r="D387" s="48" t="s">
        <v>441</v>
      </c>
      <c r="E387" s="48" t="s">
        <v>856</v>
      </c>
      <c r="F387" s="48" t="s">
        <v>612</v>
      </c>
      <c r="G387" s="48" t="s">
        <v>613</v>
      </c>
      <c r="H387" s="48" t="s">
        <v>27</v>
      </c>
      <c r="I387" s="48" t="s">
        <v>693</v>
      </c>
      <c r="J387" s="48" t="s">
        <v>24</v>
      </c>
      <c r="K387" s="48" t="s">
        <v>613</v>
      </c>
      <c r="L387" s="48" t="s">
        <v>1135</v>
      </c>
      <c r="M387" s="48" t="s">
        <v>26</v>
      </c>
      <c r="N387" s="48" t="s">
        <v>20</v>
      </c>
      <c r="O387" s="48" t="s">
        <v>857</v>
      </c>
      <c r="P387" s="50">
        <v>98885.28</v>
      </c>
      <c r="Q387" s="50">
        <v>1</v>
      </c>
      <c r="R387" s="50">
        <v>98885.28</v>
      </c>
      <c r="S387" s="74">
        <v>45984</v>
      </c>
      <c r="T387" s="48" t="s">
        <v>311</v>
      </c>
      <c r="U387" s="48" t="s">
        <v>613</v>
      </c>
      <c r="V387" s="48" t="s">
        <v>857</v>
      </c>
      <c r="W387" s="48"/>
    </row>
    <row r="388" spans="1:23" ht="15.75" x14ac:dyDescent="0.25">
      <c r="A388" s="48" t="s">
        <v>1191</v>
      </c>
      <c r="B388" s="49">
        <v>45965</v>
      </c>
      <c r="C388" s="48" t="s">
        <v>922</v>
      </c>
      <c r="D388" s="48" t="s">
        <v>509</v>
      </c>
      <c r="E388" s="48" t="s">
        <v>858</v>
      </c>
      <c r="F388" s="48" t="s">
        <v>21</v>
      </c>
      <c r="G388" s="48" t="s">
        <v>22</v>
      </c>
      <c r="H388" s="48" t="s">
        <v>27</v>
      </c>
      <c r="I388" s="48" t="s">
        <v>781</v>
      </c>
      <c r="J388" s="48" t="s">
        <v>72</v>
      </c>
      <c r="K388" s="48" t="s">
        <v>511</v>
      </c>
      <c r="L388" s="48" t="s">
        <v>1236</v>
      </c>
      <c r="M388" s="48" t="s">
        <v>26</v>
      </c>
      <c r="N388" s="48" t="s">
        <v>20</v>
      </c>
      <c r="O388" s="48" t="s">
        <v>857</v>
      </c>
      <c r="P388" s="50">
        <v>403641.7</v>
      </c>
      <c r="Q388" s="50">
        <v>1</v>
      </c>
      <c r="R388" s="50">
        <v>403641.7</v>
      </c>
      <c r="S388" s="74">
        <v>45984</v>
      </c>
      <c r="T388" s="48" t="s">
        <v>1886</v>
      </c>
      <c r="U388" s="48" t="s">
        <v>304</v>
      </c>
      <c r="V388" s="48" t="s">
        <v>378</v>
      </c>
      <c r="W388" s="48"/>
    </row>
    <row r="389" spans="1:23" ht="15.75" x14ac:dyDescent="0.25">
      <c r="A389" s="48" t="s">
        <v>1603</v>
      </c>
      <c r="B389" s="49">
        <v>45914</v>
      </c>
      <c r="C389" s="48" t="s">
        <v>916</v>
      </c>
      <c r="D389" s="48" t="s">
        <v>441</v>
      </c>
      <c r="E389" s="48" t="s">
        <v>858</v>
      </c>
      <c r="F389" s="48" t="s">
        <v>366</v>
      </c>
      <c r="G389" s="48" t="s">
        <v>710</v>
      </c>
      <c r="H389" s="48" t="s">
        <v>27</v>
      </c>
      <c r="I389" s="48" t="s">
        <v>1243</v>
      </c>
      <c r="J389" s="48" t="s">
        <v>24</v>
      </c>
      <c r="K389" s="48" t="s">
        <v>710</v>
      </c>
      <c r="L389" s="48" t="s">
        <v>1209</v>
      </c>
      <c r="M389" s="48" t="s">
        <v>26</v>
      </c>
      <c r="N389" s="48" t="s">
        <v>20</v>
      </c>
      <c r="O389" s="48" t="s">
        <v>857</v>
      </c>
      <c r="P389" s="50">
        <v>250000</v>
      </c>
      <c r="Q389" s="50">
        <v>1</v>
      </c>
      <c r="R389" s="50">
        <v>250000</v>
      </c>
      <c r="S389" s="74">
        <v>45984</v>
      </c>
      <c r="T389" s="48" t="s">
        <v>621</v>
      </c>
      <c r="U389" s="48" t="s">
        <v>710</v>
      </c>
      <c r="V389" s="48" t="s">
        <v>857</v>
      </c>
      <c r="W389" s="48"/>
    </row>
    <row r="390" spans="1:23" ht="15.75" x14ac:dyDescent="0.25">
      <c r="A390" s="48" t="s">
        <v>2568</v>
      </c>
      <c r="B390" s="49">
        <v>45956</v>
      </c>
      <c r="C390" s="48" t="s">
        <v>916</v>
      </c>
      <c r="D390" s="48" t="s">
        <v>1537</v>
      </c>
      <c r="E390" s="48" t="s">
        <v>856</v>
      </c>
      <c r="F390" s="48" t="s">
        <v>62</v>
      </c>
      <c r="G390" s="48" t="s">
        <v>70</v>
      </c>
      <c r="H390" s="48" t="s">
        <v>70</v>
      </c>
      <c r="I390" s="48" t="s">
        <v>1641</v>
      </c>
      <c r="J390" s="48" t="s">
        <v>72</v>
      </c>
      <c r="K390" s="48" t="s">
        <v>483</v>
      </c>
      <c r="L390" s="48" t="s">
        <v>1646</v>
      </c>
      <c r="M390" s="48" t="s">
        <v>26</v>
      </c>
      <c r="N390" s="48" t="s">
        <v>20</v>
      </c>
      <c r="O390" s="48" t="s">
        <v>857</v>
      </c>
      <c r="P390" s="50">
        <v>215118.36</v>
      </c>
      <c r="Q390" s="50">
        <v>1</v>
      </c>
      <c r="R390" s="50">
        <v>215118.36</v>
      </c>
      <c r="S390" s="74">
        <v>45984</v>
      </c>
      <c r="T390" s="48" t="s">
        <v>305</v>
      </c>
      <c r="U390" s="48" t="s">
        <v>70</v>
      </c>
      <c r="V390" s="48" t="s">
        <v>857</v>
      </c>
      <c r="W390" s="48"/>
    </row>
    <row r="391" spans="1:23" ht="15.75" x14ac:dyDescent="0.25">
      <c r="A391" s="48" t="s">
        <v>700</v>
      </c>
      <c r="B391" s="49">
        <v>45908</v>
      </c>
      <c r="C391" s="48" t="s">
        <v>933</v>
      </c>
      <c r="D391" s="48" t="s">
        <v>1119</v>
      </c>
      <c r="E391" s="48" t="s">
        <v>856</v>
      </c>
      <c r="F391" s="48" t="s">
        <v>366</v>
      </c>
      <c r="G391" s="48" t="s">
        <v>367</v>
      </c>
      <c r="H391" s="48" t="s">
        <v>27</v>
      </c>
      <c r="I391" s="48" t="s">
        <v>701</v>
      </c>
      <c r="J391" s="48" t="s">
        <v>72</v>
      </c>
      <c r="K391" s="48" t="s">
        <v>367</v>
      </c>
      <c r="L391" s="48" t="s">
        <v>1136</v>
      </c>
      <c r="M391" s="48" t="s">
        <v>26</v>
      </c>
      <c r="N391" s="48" t="s">
        <v>20</v>
      </c>
      <c r="O391" s="48" t="s">
        <v>857</v>
      </c>
      <c r="P391" s="50">
        <v>912973.22</v>
      </c>
      <c r="Q391" s="50">
        <v>1</v>
      </c>
      <c r="R391" s="50">
        <v>912973.22</v>
      </c>
      <c r="S391" s="74">
        <v>45980</v>
      </c>
      <c r="T391" s="48" t="s">
        <v>311</v>
      </c>
      <c r="U391" s="48" t="s">
        <v>367</v>
      </c>
      <c r="V391" s="48" t="s">
        <v>857</v>
      </c>
      <c r="W391" s="48"/>
    </row>
    <row r="392" spans="1:23" ht="15.75" x14ac:dyDescent="0.25">
      <c r="A392" s="48" t="s">
        <v>689</v>
      </c>
      <c r="B392" s="49">
        <v>45936</v>
      </c>
      <c r="C392" s="48" t="s">
        <v>928</v>
      </c>
      <c r="D392" s="48" t="s">
        <v>1119</v>
      </c>
      <c r="E392" s="48" t="s">
        <v>858</v>
      </c>
      <c r="F392" s="48" t="s">
        <v>366</v>
      </c>
      <c r="G392" s="48" t="s">
        <v>367</v>
      </c>
      <c r="H392" s="48" t="s">
        <v>27</v>
      </c>
      <c r="I392" s="48" t="s">
        <v>690</v>
      </c>
      <c r="J392" s="48" t="s">
        <v>72</v>
      </c>
      <c r="K392" s="48" t="s">
        <v>367</v>
      </c>
      <c r="L392" s="48" t="s">
        <v>1136</v>
      </c>
      <c r="M392" s="48" t="s">
        <v>26</v>
      </c>
      <c r="N392" s="48" t="s">
        <v>20</v>
      </c>
      <c r="O392" s="48" t="s">
        <v>857</v>
      </c>
      <c r="P392" s="50">
        <v>1364259.37</v>
      </c>
      <c r="Q392" s="50">
        <v>1</v>
      </c>
      <c r="R392" s="50">
        <v>1364259.37</v>
      </c>
      <c r="S392" s="74">
        <v>45980</v>
      </c>
      <c r="T392" s="48" t="s">
        <v>311</v>
      </c>
      <c r="U392" s="48" t="s">
        <v>367</v>
      </c>
      <c r="V392" s="48" t="s">
        <v>857</v>
      </c>
      <c r="W392" s="48"/>
    </row>
    <row r="393" spans="1:23" ht="15.75" x14ac:dyDescent="0.25">
      <c r="A393" s="48" t="s">
        <v>1685</v>
      </c>
      <c r="B393" s="49">
        <v>45902</v>
      </c>
      <c r="C393" s="48" t="s">
        <v>916</v>
      </c>
      <c r="D393" s="48" t="s">
        <v>1119</v>
      </c>
      <c r="E393" s="48" t="s">
        <v>856</v>
      </c>
      <c r="F393" s="48" t="s">
        <v>366</v>
      </c>
      <c r="G393" s="48" t="s">
        <v>367</v>
      </c>
      <c r="H393" s="48" t="s">
        <v>27</v>
      </c>
      <c r="I393" s="48" t="s">
        <v>1644</v>
      </c>
      <c r="J393" s="48" t="s">
        <v>24</v>
      </c>
      <c r="K393" s="48" t="s">
        <v>367</v>
      </c>
      <c r="L393" s="48" t="s">
        <v>1136</v>
      </c>
      <c r="M393" s="48" t="s">
        <v>26</v>
      </c>
      <c r="N393" s="48" t="s">
        <v>20</v>
      </c>
      <c r="O393" s="48" t="s">
        <v>857</v>
      </c>
      <c r="P393" s="50">
        <v>1400000</v>
      </c>
      <c r="Q393" s="50">
        <v>1</v>
      </c>
      <c r="R393" s="50">
        <v>1400000</v>
      </c>
      <c r="S393" s="74">
        <v>45980</v>
      </c>
      <c r="T393" s="48" t="s">
        <v>1624</v>
      </c>
      <c r="U393" s="48" t="s">
        <v>367</v>
      </c>
      <c r="V393" s="48" t="s">
        <v>857</v>
      </c>
      <c r="W393" s="48"/>
    </row>
    <row r="394" spans="1:23" ht="15.75" x14ac:dyDescent="0.25">
      <c r="A394" s="48" t="s">
        <v>719</v>
      </c>
      <c r="B394" s="49">
        <v>45935</v>
      </c>
      <c r="C394" s="48" t="s">
        <v>918</v>
      </c>
      <c r="D394" s="48" t="s">
        <v>441</v>
      </c>
      <c r="E394" s="48" t="s">
        <v>858</v>
      </c>
      <c r="F394" s="48" t="s">
        <v>612</v>
      </c>
      <c r="G394" s="48" t="s">
        <v>613</v>
      </c>
      <c r="H394" s="48" t="s">
        <v>27</v>
      </c>
      <c r="I394" s="48" t="s">
        <v>720</v>
      </c>
      <c r="J394" s="48" t="s">
        <v>24</v>
      </c>
      <c r="K394" s="48" t="s">
        <v>613</v>
      </c>
      <c r="L394" s="48" t="s">
        <v>1135</v>
      </c>
      <c r="M394" s="48" t="s">
        <v>26</v>
      </c>
      <c r="N394" s="48" t="s">
        <v>20</v>
      </c>
      <c r="O394" s="48" t="s">
        <v>857</v>
      </c>
      <c r="P394" s="50">
        <v>85527.8</v>
      </c>
      <c r="Q394" s="50">
        <v>1</v>
      </c>
      <c r="R394" s="50">
        <v>85527.8</v>
      </c>
      <c r="S394" s="74">
        <v>45979</v>
      </c>
      <c r="T394" s="48" t="s">
        <v>311</v>
      </c>
      <c r="U394" s="48" t="s">
        <v>613</v>
      </c>
      <c r="V394" s="48" t="s">
        <v>857</v>
      </c>
      <c r="W394" s="48"/>
    </row>
    <row r="395" spans="1:23" ht="15.75" x14ac:dyDescent="0.25">
      <c r="A395" s="48" t="s">
        <v>1559</v>
      </c>
      <c r="B395" s="49">
        <v>45916</v>
      </c>
      <c r="C395" s="48" t="s">
        <v>916</v>
      </c>
      <c r="D395" s="48" t="s">
        <v>441</v>
      </c>
      <c r="E395" s="48" t="s">
        <v>856</v>
      </c>
      <c r="F395" s="48" t="s">
        <v>612</v>
      </c>
      <c r="G395" s="48" t="s">
        <v>613</v>
      </c>
      <c r="H395" s="48" t="s">
        <v>27</v>
      </c>
      <c r="I395" s="48" t="s">
        <v>1545</v>
      </c>
      <c r="J395" s="48" t="s">
        <v>24</v>
      </c>
      <c r="K395" s="48" t="s">
        <v>613</v>
      </c>
      <c r="L395" s="48" t="s">
        <v>1135</v>
      </c>
      <c r="M395" s="48" t="s">
        <v>26</v>
      </c>
      <c r="N395" s="48" t="s">
        <v>20</v>
      </c>
      <c r="O395" s="48" t="s">
        <v>378</v>
      </c>
      <c r="P395" s="50">
        <v>225103.44</v>
      </c>
      <c r="Q395" s="50">
        <v>1</v>
      </c>
      <c r="R395" s="50">
        <v>225103.44</v>
      </c>
      <c r="S395" s="74">
        <v>45979</v>
      </c>
      <c r="T395" s="48" t="s">
        <v>311</v>
      </c>
      <c r="U395" s="48" t="s">
        <v>613</v>
      </c>
      <c r="V395" s="48" t="s">
        <v>857</v>
      </c>
      <c r="W395" s="48"/>
    </row>
    <row r="396" spans="1:23" ht="15.75" x14ac:dyDescent="0.25">
      <c r="A396" s="48" t="s">
        <v>702</v>
      </c>
      <c r="B396" s="49">
        <v>45897</v>
      </c>
      <c r="C396" s="48" t="s">
        <v>925</v>
      </c>
      <c r="D396" s="48" t="s">
        <v>1119</v>
      </c>
      <c r="E396" s="48" t="s">
        <v>858</v>
      </c>
      <c r="F396" s="48" t="s">
        <v>95</v>
      </c>
      <c r="G396" s="48" t="s">
        <v>96</v>
      </c>
      <c r="H396" s="48" t="s">
        <v>27</v>
      </c>
      <c r="I396" s="48" t="s">
        <v>703</v>
      </c>
      <c r="J396" s="48" t="s">
        <v>704</v>
      </c>
      <c r="K396" s="48" t="s">
        <v>367</v>
      </c>
      <c r="L396" s="48" t="s">
        <v>1136</v>
      </c>
      <c r="M396" s="48" t="s">
        <v>78</v>
      </c>
      <c r="N396" s="48" t="s">
        <v>20</v>
      </c>
      <c r="O396" s="48" t="s">
        <v>857</v>
      </c>
      <c r="P396" s="50">
        <v>339699.04</v>
      </c>
      <c r="Q396" s="50">
        <v>3.75</v>
      </c>
      <c r="R396" s="50">
        <v>1273871.3999999999</v>
      </c>
      <c r="S396" s="74">
        <v>45978</v>
      </c>
      <c r="T396" s="48" t="s">
        <v>705</v>
      </c>
      <c r="U396" s="48" t="s">
        <v>367</v>
      </c>
      <c r="V396" s="48" t="s">
        <v>857</v>
      </c>
      <c r="W396" s="48"/>
    </row>
    <row r="397" spans="1:23" ht="15.75" x14ac:dyDescent="0.25">
      <c r="A397" s="48" t="s">
        <v>1677</v>
      </c>
      <c r="B397" s="49">
        <v>45900</v>
      </c>
      <c r="C397" s="48" t="s">
        <v>916</v>
      </c>
      <c r="D397" s="48" t="s">
        <v>1119</v>
      </c>
      <c r="E397" s="48" t="s">
        <v>858</v>
      </c>
      <c r="F397" s="48" t="s">
        <v>366</v>
      </c>
      <c r="G397" s="48" t="s">
        <v>367</v>
      </c>
      <c r="H397" s="48" t="s">
        <v>27</v>
      </c>
      <c r="I397" s="48" t="s">
        <v>1676</v>
      </c>
      <c r="J397" s="48" t="s">
        <v>24</v>
      </c>
      <c r="K397" s="48" t="s">
        <v>367</v>
      </c>
      <c r="L397" s="48" t="s">
        <v>1136</v>
      </c>
      <c r="M397" s="48" t="s">
        <v>26</v>
      </c>
      <c r="N397" s="48" t="s">
        <v>20</v>
      </c>
      <c r="O397" s="48" t="s">
        <v>857</v>
      </c>
      <c r="P397" s="50">
        <v>243215.8</v>
      </c>
      <c r="Q397" s="50">
        <v>1</v>
      </c>
      <c r="R397" s="50">
        <v>243215.8</v>
      </c>
      <c r="S397" s="74">
        <v>45978</v>
      </c>
      <c r="T397" s="48" t="s">
        <v>1624</v>
      </c>
      <c r="U397" s="48" t="s">
        <v>367</v>
      </c>
      <c r="V397" s="48" t="s">
        <v>857</v>
      </c>
      <c r="W397" s="48"/>
    </row>
    <row r="398" spans="1:23" ht="15.75" x14ac:dyDescent="0.25">
      <c r="A398" s="48" t="s">
        <v>707</v>
      </c>
      <c r="B398" s="49">
        <v>45963</v>
      </c>
      <c r="C398" s="48" t="s">
        <v>916</v>
      </c>
      <c r="D398" s="48" t="s">
        <v>708</v>
      </c>
      <c r="E398" s="48" t="s">
        <v>858</v>
      </c>
      <c r="F398" s="48" t="s">
        <v>95</v>
      </c>
      <c r="G398" s="48" t="s">
        <v>96</v>
      </c>
      <c r="H398" s="48" t="s">
        <v>27</v>
      </c>
      <c r="I398" s="48" t="s">
        <v>3623</v>
      </c>
      <c r="J398" s="48" t="s">
        <v>1791</v>
      </c>
      <c r="K398" s="48" t="s">
        <v>328</v>
      </c>
      <c r="L398" s="48" t="s">
        <v>1142</v>
      </c>
      <c r="M398" s="48" t="s">
        <v>67</v>
      </c>
      <c r="N398" s="48" t="s">
        <v>20</v>
      </c>
      <c r="O398" s="48" t="s">
        <v>857</v>
      </c>
      <c r="P398" s="50">
        <v>750369.22</v>
      </c>
      <c r="Q398" s="50">
        <v>4.5170000000000003</v>
      </c>
      <c r="R398" s="50">
        <v>3389417.7667400003</v>
      </c>
      <c r="S398" s="74">
        <v>45978</v>
      </c>
      <c r="T398" s="48" t="s">
        <v>255</v>
      </c>
      <c r="U398" s="48" t="s">
        <v>613</v>
      </c>
      <c r="V398" s="48" t="s">
        <v>857</v>
      </c>
      <c r="W398" s="48"/>
    </row>
    <row r="399" spans="1:23" ht="15.75" x14ac:dyDescent="0.25">
      <c r="A399" s="48" t="s">
        <v>1231</v>
      </c>
      <c r="B399" s="49">
        <v>45916</v>
      </c>
      <c r="C399" s="48" t="s">
        <v>918</v>
      </c>
      <c r="D399" s="48" t="s">
        <v>441</v>
      </c>
      <c r="E399" s="48" t="s">
        <v>856</v>
      </c>
      <c r="F399" s="48" t="s">
        <v>612</v>
      </c>
      <c r="G399" s="48" t="s">
        <v>613</v>
      </c>
      <c r="H399" s="48" t="s">
        <v>27</v>
      </c>
      <c r="I399" s="48" t="s">
        <v>155</v>
      </c>
      <c r="J399" s="48" t="s">
        <v>24</v>
      </c>
      <c r="K399" s="48" t="s">
        <v>613</v>
      </c>
      <c r="L399" s="48" t="s">
        <v>1135</v>
      </c>
      <c r="M399" s="48" t="s">
        <v>26</v>
      </c>
      <c r="N399" s="48" t="s">
        <v>20</v>
      </c>
      <c r="O399" s="48" t="s">
        <v>378</v>
      </c>
      <c r="P399" s="50">
        <v>329151.09999999998</v>
      </c>
      <c r="Q399" s="50">
        <v>1</v>
      </c>
      <c r="R399" s="50">
        <v>329151.09999999998</v>
      </c>
      <c r="S399" s="74">
        <v>45978</v>
      </c>
      <c r="T399" s="48" t="s">
        <v>311</v>
      </c>
      <c r="U399" s="48" t="s">
        <v>613</v>
      </c>
      <c r="V399" s="48" t="s">
        <v>857</v>
      </c>
      <c r="W399" s="48"/>
    </row>
    <row r="400" spans="1:23" ht="15.75" x14ac:dyDescent="0.25">
      <c r="A400" s="48" t="s">
        <v>1312</v>
      </c>
      <c r="B400" s="49">
        <v>45866</v>
      </c>
      <c r="C400" s="48" t="s">
        <v>916</v>
      </c>
      <c r="D400" s="48" t="s">
        <v>441</v>
      </c>
      <c r="E400" s="48" t="s">
        <v>858</v>
      </c>
      <c r="F400" s="48" t="s">
        <v>21</v>
      </c>
      <c r="G400" s="48" t="s">
        <v>22</v>
      </c>
      <c r="H400" s="48" t="s">
        <v>27</v>
      </c>
      <c r="I400" s="48" t="s">
        <v>1264</v>
      </c>
      <c r="J400" s="48" t="s">
        <v>24</v>
      </c>
      <c r="K400" s="48" t="s">
        <v>22</v>
      </c>
      <c r="L400" s="48" t="s">
        <v>1132</v>
      </c>
      <c r="M400" s="48" t="s">
        <v>26</v>
      </c>
      <c r="N400" s="48" t="s">
        <v>20</v>
      </c>
      <c r="O400" s="48" t="s">
        <v>857</v>
      </c>
      <c r="P400" s="50">
        <v>312132.31</v>
      </c>
      <c r="Q400" s="50">
        <v>1</v>
      </c>
      <c r="R400" s="50">
        <v>312132.31</v>
      </c>
      <c r="S400" s="74">
        <v>45977</v>
      </c>
      <c r="T400" s="48" t="s">
        <v>1629</v>
      </c>
      <c r="U400" s="48" t="s">
        <v>22</v>
      </c>
      <c r="V400" s="48" t="s">
        <v>857</v>
      </c>
      <c r="W400" s="48"/>
    </row>
    <row r="401" spans="1:23" ht="15.75" x14ac:dyDescent="0.25">
      <c r="A401" s="48" t="s">
        <v>1555</v>
      </c>
      <c r="B401" s="49">
        <v>45964</v>
      </c>
      <c r="C401" s="48" t="s">
        <v>916</v>
      </c>
      <c r="D401" s="48" t="s">
        <v>441</v>
      </c>
      <c r="E401" s="48" t="s">
        <v>858</v>
      </c>
      <c r="F401" s="48" t="s">
        <v>21</v>
      </c>
      <c r="G401" s="48" t="s">
        <v>22</v>
      </c>
      <c r="H401" s="48" t="s">
        <v>27</v>
      </c>
      <c r="I401" s="48" t="s">
        <v>1541</v>
      </c>
      <c r="J401" s="48" t="s">
        <v>72</v>
      </c>
      <c r="K401" s="48" t="s">
        <v>22</v>
      </c>
      <c r="L401" s="48" t="s">
        <v>1132</v>
      </c>
      <c r="M401" s="48" t="s">
        <v>26</v>
      </c>
      <c r="N401" s="48" t="s">
        <v>20</v>
      </c>
      <c r="O401" s="48" t="s">
        <v>378</v>
      </c>
      <c r="P401" s="50">
        <v>10095188.34</v>
      </c>
      <c r="Q401" s="50">
        <v>1</v>
      </c>
      <c r="R401" s="50">
        <v>10095188.34</v>
      </c>
      <c r="S401" s="74">
        <v>45977</v>
      </c>
      <c r="T401" s="48" t="s">
        <v>461</v>
      </c>
      <c r="U401" s="48" t="s">
        <v>613</v>
      </c>
      <c r="V401" s="48" t="s">
        <v>378</v>
      </c>
      <c r="W401" s="48" t="s">
        <v>3649</v>
      </c>
    </row>
    <row r="402" spans="1:23" ht="15.75" x14ac:dyDescent="0.25">
      <c r="A402" s="48" t="s">
        <v>1691</v>
      </c>
      <c r="B402" s="49">
        <v>45893</v>
      </c>
      <c r="C402" s="48" t="s">
        <v>916</v>
      </c>
      <c r="D402" s="48" t="s">
        <v>1119</v>
      </c>
      <c r="E402" s="48" t="s">
        <v>858</v>
      </c>
      <c r="F402" s="48" t="s">
        <v>366</v>
      </c>
      <c r="G402" s="48" t="s">
        <v>367</v>
      </c>
      <c r="H402" s="48" t="s">
        <v>27</v>
      </c>
      <c r="I402" s="48" t="s">
        <v>1679</v>
      </c>
      <c r="J402" s="48" t="s">
        <v>24</v>
      </c>
      <c r="K402" s="48" t="s">
        <v>367</v>
      </c>
      <c r="L402" s="48" t="s">
        <v>1136</v>
      </c>
      <c r="M402" s="48" t="s">
        <v>26</v>
      </c>
      <c r="N402" s="48" t="s">
        <v>20</v>
      </c>
      <c r="O402" s="48" t="s">
        <v>857</v>
      </c>
      <c r="P402" s="50">
        <v>500000</v>
      </c>
      <c r="Q402" s="50">
        <v>1</v>
      </c>
      <c r="R402" s="50">
        <v>500000</v>
      </c>
      <c r="S402" s="74">
        <v>45977</v>
      </c>
      <c r="T402" s="48" t="s">
        <v>1624</v>
      </c>
      <c r="U402" s="48" t="s">
        <v>367</v>
      </c>
      <c r="V402" s="48" t="s">
        <v>857</v>
      </c>
      <c r="W402" s="48"/>
    </row>
    <row r="403" spans="1:23" ht="15.75" x14ac:dyDescent="0.25">
      <c r="A403" s="48" t="s">
        <v>1523</v>
      </c>
      <c r="B403" s="49">
        <v>45862</v>
      </c>
      <c r="C403" s="48" t="s">
        <v>916</v>
      </c>
      <c r="D403" s="48" t="s">
        <v>441</v>
      </c>
      <c r="E403" s="48" t="s">
        <v>858</v>
      </c>
      <c r="F403" s="48" t="s">
        <v>21</v>
      </c>
      <c r="G403" s="48" t="s">
        <v>22</v>
      </c>
      <c r="H403" s="48" t="s">
        <v>27</v>
      </c>
      <c r="I403" s="48" t="s">
        <v>1241</v>
      </c>
      <c r="J403" s="48" t="s">
        <v>24</v>
      </c>
      <c r="K403" s="48" t="s">
        <v>407</v>
      </c>
      <c r="L403" s="48" t="s">
        <v>1131</v>
      </c>
      <c r="M403" s="48" t="s">
        <v>26</v>
      </c>
      <c r="N403" s="48" t="s">
        <v>20</v>
      </c>
      <c r="O403" s="48" t="s">
        <v>857</v>
      </c>
      <c r="P403" s="50">
        <v>200000</v>
      </c>
      <c r="Q403" s="50">
        <v>1</v>
      </c>
      <c r="R403" s="50">
        <v>200000</v>
      </c>
      <c r="S403" s="74">
        <v>45974</v>
      </c>
      <c r="T403" s="48" t="s">
        <v>621</v>
      </c>
      <c r="U403" s="48" t="s">
        <v>304</v>
      </c>
      <c r="V403" s="48" t="s">
        <v>378</v>
      </c>
      <c r="W403" s="48"/>
    </row>
    <row r="404" spans="1:23" ht="15.75" x14ac:dyDescent="0.25">
      <c r="A404" s="48" t="s">
        <v>1401</v>
      </c>
      <c r="B404" s="49">
        <v>45866</v>
      </c>
      <c r="C404" s="48" t="s">
        <v>918</v>
      </c>
      <c r="D404" s="48" t="s">
        <v>441</v>
      </c>
      <c r="E404" s="48" t="s">
        <v>856</v>
      </c>
      <c r="F404" s="48" t="s">
        <v>21</v>
      </c>
      <c r="G404" s="48" t="s">
        <v>22</v>
      </c>
      <c r="H404" s="48" t="s">
        <v>27</v>
      </c>
      <c r="I404" s="48" t="s">
        <v>177</v>
      </c>
      <c r="J404" s="48" t="s">
        <v>24</v>
      </c>
      <c r="K404" s="48" t="s">
        <v>22</v>
      </c>
      <c r="L404" s="48" t="s">
        <v>1132</v>
      </c>
      <c r="M404" s="48" t="s">
        <v>26</v>
      </c>
      <c r="N404" s="48" t="s">
        <v>20</v>
      </c>
      <c r="O404" s="48" t="s">
        <v>857</v>
      </c>
      <c r="P404" s="50">
        <v>55200</v>
      </c>
      <c r="Q404" s="50">
        <v>1</v>
      </c>
      <c r="R404" s="50">
        <v>55200</v>
      </c>
      <c r="S404" s="74">
        <v>45974</v>
      </c>
      <c r="T404" s="48" t="s">
        <v>621</v>
      </c>
      <c r="U404" s="48" t="s">
        <v>613</v>
      </c>
      <c r="V404" s="48" t="s">
        <v>378</v>
      </c>
      <c r="W404" s="48"/>
    </row>
    <row r="405" spans="1:23" ht="15.75" x14ac:dyDescent="0.25">
      <c r="A405" s="48" t="s">
        <v>1402</v>
      </c>
      <c r="B405" s="49">
        <v>45875</v>
      </c>
      <c r="C405" s="48" t="s">
        <v>916</v>
      </c>
      <c r="D405" s="48" t="s">
        <v>441</v>
      </c>
      <c r="E405" s="48" t="s">
        <v>856</v>
      </c>
      <c r="F405" s="48" t="s">
        <v>21</v>
      </c>
      <c r="G405" s="48" t="s">
        <v>22</v>
      </c>
      <c r="H405" s="48" t="s">
        <v>27</v>
      </c>
      <c r="I405" s="48" t="s">
        <v>1319</v>
      </c>
      <c r="J405" s="48" t="s">
        <v>24</v>
      </c>
      <c r="K405" s="48" t="s">
        <v>22</v>
      </c>
      <c r="L405" s="48" t="s">
        <v>1132</v>
      </c>
      <c r="M405" s="48" t="s">
        <v>26</v>
      </c>
      <c r="N405" s="48" t="s">
        <v>20</v>
      </c>
      <c r="O405" s="48" t="s">
        <v>857</v>
      </c>
      <c r="P405" s="50">
        <v>162607.04000000001</v>
      </c>
      <c r="Q405" s="50">
        <v>1</v>
      </c>
      <c r="R405" s="50">
        <v>162607.04000000001</v>
      </c>
      <c r="S405" s="74">
        <v>45974</v>
      </c>
      <c r="T405" s="48" t="s">
        <v>1629</v>
      </c>
      <c r="U405" s="48" t="s">
        <v>613</v>
      </c>
      <c r="V405" s="48" t="s">
        <v>378</v>
      </c>
      <c r="W405" s="48"/>
    </row>
    <row r="406" spans="1:23" ht="15.75" x14ac:dyDescent="0.25">
      <c r="A406" s="48" t="s">
        <v>1520</v>
      </c>
      <c r="B406" s="49">
        <v>45861</v>
      </c>
      <c r="C406" s="48" t="s">
        <v>916</v>
      </c>
      <c r="D406" s="48" t="s">
        <v>441</v>
      </c>
      <c r="E406" s="48" t="s">
        <v>858</v>
      </c>
      <c r="F406" s="48" t="s">
        <v>21</v>
      </c>
      <c r="G406" s="48" t="s">
        <v>22</v>
      </c>
      <c r="H406" s="48" t="s">
        <v>27</v>
      </c>
      <c r="I406" s="48" t="s">
        <v>1365</v>
      </c>
      <c r="J406" s="48" t="s">
        <v>24</v>
      </c>
      <c r="K406" s="48" t="s">
        <v>407</v>
      </c>
      <c r="L406" s="48" t="s">
        <v>1131</v>
      </c>
      <c r="M406" s="48" t="s">
        <v>26</v>
      </c>
      <c r="N406" s="48" t="s">
        <v>20</v>
      </c>
      <c r="O406" s="48" t="s">
        <v>857</v>
      </c>
      <c r="P406" s="50">
        <v>550000</v>
      </c>
      <c r="Q406" s="50">
        <v>1</v>
      </c>
      <c r="R406" s="50">
        <v>550000</v>
      </c>
      <c r="S406" s="74">
        <v>45974</v>
      </c>
      <c r="T406" s="48" t="s">
        <v>621</v>
      </c>
      <c r="U406" s="48" t="s">
        <v>304</v>
      </c>
      <c r="V406" s="48" t="s">
        <v>378</v>
      </c>
      <c r="W406" s="48"/>
    </row>
    <row r="407" spans="1:23" ht="15.75" x14ac:dyDescent="0.25">
      <c r="A407" s="48" t="s">
        <v>1494</v>
      </c>
      <c r="B407" s="49">
        <v>45869</v>
      </c>
      <c r="C407" s="48" t="s">
        <v>916</v>
      </c>
      <c r="D407" s="48" t="s">
        <v>441</v>
      </c>
      <c r="E407" s="48" t="s">
        <v>858</v>
      </c>
      <c r="F407" s="48" t="s">
        <v>21</v>
      </c>
      <c r="G407" s="48" t="s">
        <v>22</v>
      </c>
      <c r="H407" s="48" t="s">
        <v>27</v>
      </c>
      <c r="I407" s="48" t="s">
        <v>640</v>
      </c>
      <c r="J407" s="48" t="s">
        <v>24</v>
      </c>
      <c r="K407" s="48" t="s">
        <v>407</v>
      </c>
      <c r="L407" s="48" t="s">
        <v>1131</v>
      </c>
      <c r="M407" s="48" t="s">
        <v>26</v>
      </c>
      <c r="N407" s="48" t="s">
        <v>20</v>
      </c>
      <c r="O407" s="48" t="s">
        <v>857</v>
      </c>
      <c r="P407" s="50">
        <v>248951.85</v>
      </c>
      <c r="Q407" s="50">
        <v>1</v>
      </c>
      <c r="R407" s="50">
        <v>248951.85</v>
      </c>
      <c r="S407" s="74">
        <v>45974</v>
      </c>
      <c r="T407" s="48" t="s">
        <v>621</v>
      </c>
      <c r="U407" s="48" t="s">
        <v>304</v>
      </c>
      <c r="V407" s="48" t="s">
        <v>378</v>
      </c>
      <c r="W407" s="48"/>
    </row>
    <row r="408" spans="1:23" ht="15.75" x14ac:dyDescent="0.25">
      <c r="A408" s="48" t="s">
        <v>1411</v>
      </c>
      <c r="B408" s="49">
        <v>45887</v>
      </c>
      <c r="C408" s="48" t="s">
        <v>916</v>
      </c>
      <c r="D408" s="48" t="s">
        <v>441</v>
      </c>
      <c r="E408" s="48" t="s">
        <v>858</v>
      </c>
      <c r="F408" s="48" t="s">
        <v>21</v>
      </c>
      <c r="G408" s="48" t="s">
        <v>22</v>
      </c>
      <c r="H408" s="48" t="s">
        <v>27</v>
      </c>
      <c r="I408" s="48" t="s">
        <v>1362</v>
      </c>
      <c r="J408" s="48" t="s">
        <v>24</v>
      </c>
      <c r="K408" s="48" t="s">
        <v>22</v>
      </c>
      <c r="L408" s="48" t="s">
        <v>1132</v>
      </c>
      <c r="M408" s="48" t="s">
        <v>26</v>
      </c>
      <c r="N408" s="48" t="s">
        <v>20</v>
      </c>
      <c r="O408" s="48" t="s">
        <v>857</v>
      </c>
      <c r="P408" s="50">
        <v>249901.5</v>
      </c>
      <c r="Q408" s="50">
        <v>1</v>
      </c>
      <c r="R408" s="50">
        <v>249901.5</v>
      </c>
      <c r="S408" s="74">
        <v>45974</v>
      </c>
      <c r="T408" s="48" t="s">
        <v>621</v>
      </c>
      <c r="U408" s="48" t="s">
        <v>613</v>
      </c>
      <c r="V408" s="48" t="s">
        <v>378</v>
      </c>
      <c r="W408" s="48"/>
    </row>
    <row r="409" spans="1:23" ht="15.75" x14ac:dyDescent="0.25">
      <c r="A409" s="48" t="s">
        <v>793</v>
      </c>
      <c r="B409" s="49">
        <v>45869</v>
      </c>
      <c r="C409" s="48" t="s">
        <v>916</v>
      </c>
      <c r="D409" s="48" t="s">
        <v>441</v>
      </c>
      <c r="E409" s="48" t="s">
        <v>858</v>
      </c>
      <c r="F409" s="48" t="s">
        <v>21</v>
      </c>
      <c r="G409" s="48" t="s">
        <v>22</v>
      </c>
      <c r="H409" s="48" t="s">
        <v>27</v>
      </c>
      <c r="I409" s="48" t="s">
        <v>640</v>
      </c>
      <c r="J409" s="48" t="s">
        <v>24</v>
      </c>
      <c r="K409" s="48" t="s">
        <v>22</v>
      </c>
      <c r="L409" s="48" t="s">
        <v>1132</v>
      </c>
      <c r="M409" s="48" t="s">
        <v>26</v>
      </c>
      <c r="N409" s="48" t="s">
        <v>20</v>
      </c>
      <c r="O409" s="48" t="s">
        <v>857</v>
      </c>
      <c r="P409" s="50">
        <v>400000</v>
      </c>
      <c r="Q409" s="50">
        <v>1</v>
      </c>
      <c r="R409" s="50">
        <v>400000</v>
      </c>
      <c r="S409" s="74">
        <v>45974</v>
      </c>
      <c r="T409" s="48" t="s">
        <v>311</v>
      </c>
      <c r="U409" s="48" t="s">
        <v>613</v>
      </c>
      <c r="V409" s="48" t="s">
        <v>378</v>
      </c>
      <c r="W409" s="48"/>
    </row>
    <row r="410" spans="1:23" ht="15.75" x14ac:dyDescent="0.25">
      <c r="A410" s="48" t="s">
        <v>1339</v>
      </c>
      <c r="B410" s="49">
        <v>45868</v>
      </c>
      <c r="C410" s="48" t="s">
        <v>916</v>
      </c>
      <c r="D410" s="48" t="s">
        <v>441</v>
      </c>
      <c r="E410" s="48" t="s">
        <v>858</v>
      </c>
      <c r="F410" s="48" t="s">
        <v>21</v>
      </c>
      <c r="G410" s="48" t="s">
        <v>22</v>
      </c>
      <c r="H410" s="48" t="s">
        <v>27</v>
      </c>
      <c r="I410" s="48" t="s">
        <v>349</v>
      </c>
      <c r="J410" s="48" t="s">
        <v>24</v>
      </c>
      <c r="K410" s="48" t="s">
        <v>22</v>
      </c>
      <c r="L410" s="48" t="s">
        <v>1132</v>
      </c>
      <c r="M410" s="48" t="s">
        <v>26</v>
      </c>
      <c r="N410" s="48" t="s">
        <v>20</v>
      </c>
      <c r="O410" s="48" t="s">
        <v>857</v>
      </c>
      <c r="P410" s="50">
        <v>171555.34</v>
      </c>
      <c r="Q410" s="50">
        <v>1</v>
      </c>
      <c r="R410" s="50">
        <v>171555.34</v>
      </c>
      <c r="S410" s="74">
        <v>45974</v>
      </c>
      <c r="T410" s="48" t="s">
        <v>621</v>
      </c>
      <c r="U410" s="48" t="s">
        <v>613</v>
      </c>
      <c r="V410" s="48" t="s">
        <v>378</v>
      </c>
      <c r="W410" s="48"/>
    </row>
    <row r="411" spans="1:23" ht="15.75" x14ac:dyDescent="0.25">
      <c r="A411" s="48" t="s">
        <v>1488</v>
      </c>
      <c r="B411" s="49">
        <v>45868</v>
      </c>
      <c r="C411" s="48" t="s">
        <v>916</v>
      </c>
      <c r="D411" s="48" t="s">
        <v>441</v>
      </c>
      <c r="E411" s="48" t="s">
        <v>856</v>
      </c>
      <c r="F411" s="48" t="s">
        <v>21</v>
      </c>
      <c r="G411" s="48" t="s">
        <v>22</v>
      </c>
      <c r="H411" s="48" t="s">
        <v>27</v>
      </c>
      <c r="I411" s="48" t="s">
        <v>1329</v>
      </c>
      <c r="J411" s="48" t="s">
        <v>24</v>
      </c>
      <c r="K411" s="48" t="s">
        <v>407</v>
      </c>
      <c r="L411" s="48" t="s">
        <v>1131</v>
      </c>
      <c r="M411" s="48" t="s">
        <v>26</v>
      </c>
      <c r="N411" s="48" t="s">
        <v>20</v>
      </c>
      <c r="O411" s="48" t="s">
        <v>857</v>
      </c>
      <c r="P411" s="50">
        <v>300000</v>
      </c>
      <c r="Q411" s="50">
        <v>1</v>
      </c>
      <c r="R411" s="50">
        <v>300000</v>
      </c>
      <c r="S411" s="74">
        <v>45974</v>
      </c>
      <c r="T411" s="48" t="s">
        <v>621</v>
      </c>
      <c r="U411" s="48" t="s">
        <v>304</v>
      </c>
      <c r="V411" s="48" t="s">
        <v>378</v>
      </c>
      <c r="W411" s="48"/>
    </row>
    <row r="412" spans="1:23" ht="15.75" x14ac:dyDescent="0.25">
      <c r="A412" s="48" t="s">
        <v>1492</v>
      </c>
      <c r="B412" s="49">
        <v>45866</v>
      </c>
      <c r="C412" s="48" t="s">
        <v>916</v>
      </c>
      <c r="D412" s="48" t="s">
        <v>441</v>
      </c>
      <c r="E412" s="48" t="s">
        <v>858</v>
      </c>
      <c r="F412" s="48" t="s">
        <v>21</v>
      </c>
      <c r="G412" s="48" t="s">
        <v>22</v>
      </c>
      <c r="H412" s="48" t="s">
        <v>27</v>
      </c>
      <c r="I412" s="48" t="s">
        <v>419</v>
      </c>
      <c r="J412" s="48" t="s">
        <v>24</v>
      </c>
      <c r="K412" s="48" t="s">
        <v>407</v>
      </c>
      <c r="L412" s="48" t="s">
        <v>1131</v>
      </c>
      <c r="M412" s="48" t="s">
        <v>26</v>
      </c>
      <c r="N412" s="48" t="s">
        <v>20</v>
      </c>
      <c r="O412" s="48" t="s">
        <v>857</v>
      </c>
      <c r="P412" s="50">
        <v>80000</v>
      </c>
      <c r="Q412" s="50">
        <v>1</v>
      </c>
      <c r="R412" s="50">
        <v>80000</v>
      </c>
      <c r="S412" s="74">
        <v>45974</v>
      </c>
      <c r="T412" s="48" t="s">
        <v>621</v>
      </c>
      <c r="U412" s="48" t="s">
        <v>304</v>
      </c>
      <c r="V412" s="48" t="s">
        <v>378</v>
      </c>
      <c r="W412" s="48"/>
    </row>
    <row r="413" spans="1:23" ht="15.75" x14ac:dyDescent="0.25">
      <c r="A413" s="48" t="s">
        <v>1401</v>
      </c>
      <c r="B413" s="49">
        <v>45866</v>
      </c>
      <c r="C413" s="48" t="s">
        <v>916</v>
      </c>
      <c r="D413" s="48" t="s">
        <v>441</v>
      </c>
      <c r="E413" s="48" t="s">
        <v>856</v>
      </c>
      <c r="F413" s="48" t="s">
        <v>21</v>
      </c>
      <c r="G413" s="48" t="s">
        <v>22</v>
      </c>
      <c r="H413" s="48" t="s">
        <v>27</v>
      </c>
      <c r="I413" s="48" t="s">
        <v>177</v>
      </c>
      <c r="J413" s="48" t="s">
        <v>24</v>
      </c>
      <c r="K413" s="48" t="s">
        <v>22</v>
      </c>
      <c r="L413" s="48" t="s">
        <v>1132</v>
      </c>
      <c r="M413" s="48" t="s">
        <v>26</v>
      </c>
      <c r="N413" s="48" t="s">
        <v>20</v>
      </c>
      <c r="O413" s="48" t="s">
        <v>857</v>
      </c>
      <c r="P413" s="50">
        <v>394800</v>
      </c>
      <c r="Q413" s="50">
        <v>1</v>
      </c>
      <c r="R413" s="50">
        <v>394800</v>
      </c>
      <c r="S413" s="74">
        <v>45973</v>
      </c>
      <c r="T413" s="48" t="s">
        <v>621</v>
      </c>
      <c r="U413" s="48" t="s">
        <v>613</v>
      </c>
      <c r="V413" s="48" t="s">
        <v>378</v>
      </c>
      <c r="W413" s="48"/>
    </row>
    <row r="414" spans="1:23" ht="15.75" x14ac:dyDescent="0.25">
      <c r="A414" s="48" t="s">
        <v>1815</v>
      </c>
      <c r="B414" s="49">
        <v>45970</v>
      </c>
      <c r="C414" s="48" t="s">
        <v>916</v>
      </c>
      <c r="D414" s="48" t="s">
        <v>1181</v>
      </c>
      <c r="E414" s="48" t="s">
        <v>858</v>
      </c>
      <c r="F414" s="48" t="s">
        <v>366</v>
      </c>
      <c r="G414" s="48" t="s">
        <v>710</v>
      </c>
      <c r="H414" s="48" t="s">
        <v>27</v>
      </c>
      <c r="I414" s="48" t="s">
        <v>1766</v>
      </c>
      <c r="J414" s="48" t="s">
        <v>1791</v>
      </c>
      <c r="K414" s="48" t="s">
        <v>81</v>
      </c>
      <c r="L414" s="48" t="s">
        <v>1139</v>
      </c>
      <c r="M414" s="48" t="s">
        <v>26</v>
      </c>
      <c r="N414" s="48" t="s">
        <v>20</v>
      </c>
      <c r="O414" s="48" t="s">
        <v>857</v>
      </c>
      <c r="P414" s="50">
        <v>686883</v>
      </c>
      <c r="Q414" s="50">
        <v>1</v>
      </c>
      <c r="R414" s="50">
        <v>686883</v>
      </c>
      <c r="S414" s="74">
        <v>45973</v>
      </c>
      <c r="T414" s="48" t="s">
        <v>1761</v>
      </c>
      <c r="U414" s="48" t="s">
        <v>377</v>
      </c>
      <c r="V414" s="48" t="s">
        <v>857</v>
      </c>
      <c r="W414" s="48"/>
    </row>
    <row r="415" spans="1:23" ht="15.75" x14ac:dyDescent="0.25">
      <c r="A415" s="48" t="s">
        <v>1851</v>
      </c>
      <c r="B415" s="49">
        <v>45963</v>
      </c>
      <c r="C415" s="48" t="s">
        <v>918</v>
      </c>
      <c r="D415" s="48" t="s">
        <v>1878</v>
      </c>
      <c r="E415" s="48" t="s">
        <v>858</v>
      </c>
      <c r="F415" s="48" t="s">
        <v>366</v>
      </c>
      <c r="G415" s="48" t="s">
        <v>367</v>
      </c>
      <c r="H415" s="48" t="s">
        <v>27</v>
      </c>
      <c r="I415" s="48" t="s">
        <v>1826</v>
      </c>
      <c r="J415" s="48" t="s">
        <v>3220</v>
      </c>
      <c r="K415" s="48" t="s">
        <v>367</v>
      </c>
      <c r="L415" s="48" t="s">
        <v>1136</v>
      </c>
      <c r="M415" s="48" t="s">
        <v>26</v>
      </c>
      <c r="N415" s="48" t="s">
        <v>20</v>
      </c>
      <c r="O415" s="48" t="s">
        <v>857</v>
      </c>
      <c r="P415" s="50">
        <v>979998.95</v>
      </c>
      <c r="Q415" s="50">
        <v>1</v>
      </c>
      <c r="R415" s="50">
        <v>979998.95</v>
      </c>
      <c r="S415" s="74">
        <v>45973</v>
      </c>
      <c r="T415" s="48" t="s">
        <v>1827</v>
      </c>
      <c r="U415" s="48" t="s">
        <v>367</v>
      </c>
      <c r="V415" s="48" t="s">
        <v>857</v>
      </c>
      <c r="W415" s="48"/>
    </row>
    <row r="416" spans="1:23" ht="15.75" x14ac:dyDescent="0.25">
      <c r="A416" s="48" t="s">
        <v>306</v>
      </c>
      <c r="B416" s="49">
        <v>45966</v>
      </c>
      <c r="C416" s="48" t="s">
        <v>2565</v>
      </c>
      <c r="D416" s="48" t="s">
        <v>1118</v>
      </c>
      <c r="E416" s="48" t="s">
        <v>858</v>
      </c>
      <c r="F416" s="48" t="s">
        <v>62</v>
      </c>
      <c r="G416" s="48" t="s">
        <v>70</v>
      </c>
      <c r="H416" s="48" t="s">
        <v>70</v>
      </c>
      <c r="I416" s="48" t="s">
        <v>307</v>
      </c>
      <c r="J416" s="48" t="s">
        <v>72</v>
      </c>
      <c r="K416" s="48" t="s">
        <v>213</v>
      </c>
      <c r="L416" s="48" t="s">
        <v>1134</v>
      </c>
      <c r="M416" s="48" t="s">
        <v>67</v>
      </c>
      <c r="N416" s="48" t="s">
        <v>20</v>
      </c>
      <c r="O416" s="48" t="s">
        <v>857</v>
      </c>
      <c r="P416" s="50">
        <v>45021.19</v>
      </c>
      <c r="Q416" s="50">
        <v>4.5700921750359704</v>
      </c>
      <c r="R416" s="50">
        <v>205750.98812980769</v>
      </c>
      <c r="S416" s="74">
        <v>45973</v>
      </c>
      <c r="T416" s="48" t="s">
        <v>308</v>
      </c>
      <c r="U416" s="48" t="s">
        <v>213</v>
      </c>
      <c r="V416" s="48" t="s">
        <v>857</v>
      </c>
      <c r="W416" s="48"/>
    </row>
    <row r="417" spans="1:23" ht="15.75" x14ac:dyDescent="0.25">
      <c r="A417" s="48" t="s">
        <v>1280</v>
      </c>
      <c r="B417" s="49">
        <v>45901</v>
      </c>
      <c r="C417" s="48" t="s">
        <v>918</v>
      </c>
      <c r="D417" s="48" t="s">
        <v>441</v>
      </c>
      <c r="E417" s="48" t="s">
        <v>858</v>
      </c>
      <c r="F417" s="48" t="s">
        <v>373</v>
      </c>
      <c r="G417" s="48" t="s">
        <v>70</v>
      </c>
      <c r="H417" s="48" t="s">
        <v>70</v>
      </c>
      <c r="I417" s="48" t="s">
        <v>1239</v>
      </c>
      <c r="J417" s="48" t="s">
        <v>24</v>
      </c>
      <c r="K417" s="48" t="s">
        <v>407</v>
      </c>
      <c r="L417" s="48" t="s">
        <v>1131</v>
      </c>
      <c r="M417" s="48" t="s">
        <v>26</v>
      </c>
      <c r="N417" s="48" t="s">
        <v>20</v>
      </c>
      <c r="O417" s="48" t="s">
        <v>857</v>
      </c>
      <c r="P417" s="50">
        <v>141838.25</v>
      </c>
      <c r="Q417" s="50">
        <v>1</v>
      </c>
      <c r="R417" s="50">
        <v>141838.25</v>
      </c>
      <c r="S417" s="74">
        <v>45973</v>
      </c>
      <c r="T417" s="48" t="s">
        <v>621</v>
      </c>
      <c r="U417" s="48" t="s">
        <v>304</v>
      </c>
      <c r="V417" s="48" t="s">
        <v>378</v>
      </c>
      <c r="W417" s="48" t="s">
        <v>3787</v>
      </c>
    </row>
    <row r="418" spans="1:23" ht="15.75" x14ac:dyDescent="0.25">
      <c r="A418" s="48" t="s">
        <v>1420</v>
      </c>
      <c r="B418" s="49">
        <v>45921</v>
      </c>
      <c r="C418" s="48" t="s">
        <v>916</v>
      </c>
      <c r="D418" s="48" t="s">
        <v>441</v>
      </c>
      <c r="E418" s="48" t="s">
        <v>856</v>
      </c>
      <c r="F418" s="48" t="s">
        <v>95</v>
      </c>
      <c r="G418" s="48" t="s">
        <v>96</v>
      </c>
      <c r="H418" s="48" t="s">
        <v>27</v>
      </c>
      <c r="I418" s="48" t="s">
        <v>177</v>
      </c>
      <c r="J418" s="48" t="s">
        <v>24</v>
      </c>
      <c r="K418" s="48" t="s">
        <v>22</v>
      </c>
      <c r="L418" s="48" t="s">
        <v>1132</v>
      </c>
      <c r="M418" s="48" t="s">
        <v>26</v>
      </c>
      <c r="N418" s="48" t="s">
        <v>20</v>
      </c>
      <c r="O418" s="48" t="s">
        <v>378</v>
      </c>
      <c r="P418" s="50">
        <v>1353135.09</v>
      </c>
      <c r="Q418" s="50">
        <v>1</v>
      </c>
      <c r="R418" s="50">
        <v>1353135.09</v>
      </c>
      <c r="S418" s="74">
        <v>45973</v>
      </c>
      <c r="T418" s="48" t="s">
        <v>621</v>
      </c>
      <c r="U418" s="48" t="s">
        <v>613</v>
      </c>
      <c r="V418" s="48" t="s">
        <v>378</v>
      </c>
      <c r="W418" s="48"/>
    </row>
    <row r="419" spans="1:23" ht="15.75" x14ac:dyDescent="0.25">
      <c r="A419" s="48" t="s">
        <v>306</v>
      </c>
      <c r="B419" s="49">
        <v>45943</v>
      </c>
      <c r="C419" s="48" t="s">
        <v>2615</v>
      </c>
      <c r="D419" s="48" t="s">
        <v>1118</v>
      </c>
      <c r="E419" s="48" t="s">
        <v>858</v>
      </c>
      <c r="F419" s="48" t="s">
        <v>62</v>
      </c>
      <c r="G419" s="48" t="s">
        <v>70</v>
      </c>
      <c r="H419" s="48" t="s">
        <v>70</v>
      </c>
      <c r="I419" s="48" t="s">
        <v>307</v>
      </c>
      <c r="J419" s="48" t="s">
        <v>72</v>
      </c>
      <c r="K419" s="48" t="s">
        <v>213</v>
      </c>
      <c r="L419" s="48" t="s">
        <v>1134</v>
      </c>
      <c r="M419" s="48" t="s">
        <v>67</v>
      </c>
      <c r="N419" s="48" t="s">
        <v>20</v>
      </c>
      <c r="O419" s="48" t="s">
        <v>857</v>
      </c>
      <c r="P419" s="50">
        <v>1226540.45</v>
      </c>
      <c r="Q419" s="50">
        <v>4.5700921750359704</v>
      </c>
      <c r="R419" s="50">
        <v>5605402.9129100973</v>
      </c>
      <c r="S419" s="74">
        <v>45972</v>
      </c>
      <c r="T419" s="48" t="s">
        <v>308</v>
      </c>
      <c r="U419" s="48" t="s">
        <v>213</v>
      </c>
      <c r="V419" s="48" t="s">
        <v>857</v>
      </c>
      <c r="W419" s="48"/>
    </row>
    <row r="420" spans="1:23" ht="15.75" x14ac:dyDescent="0.25">
      <c r="A420" s="48" t="s">
        <v>1550</v>
      </c>
      <c r="B420" s="49">
        <v>45869</v>
      </c>
      <c r="C420" s="48" t="s">
        <v>916</v>
      </c>
      <c r="D420" s="48" t="s">
        <v>1537</v>
      </c>
      <c r="E420" s="48" t="s">
        <v>856</v>
      </c>
      <c r="F420" s="48" t="s">
        <v>95</v>
      </c>
      <c r="G420" s="48" t="s">
        <v>96</v>
      </c>
      <c r="H420" s="48" t="s">
        <v>27</v>
      </c>
      <c r="I420" s="48" t="s">
        <v>1261</v>
      </c>
      <c r="J420" s="48" t="s">
        <v>72</v>
      </c>
      <c r="K420" s="48" t="s">
        <v>483</v>
      </c>
      <c r="L420" s="48" t="s">
        <v>1646</v>
      </c>
      <c r="M420" s="48" t="s">
        <v>26</v>
      </c>
      <c r="N420" s="48" t="s">
        <v>20</v>
      </c>
      <c r="O420" s="48" t="s">
        <v>378</v>
      </c>
      <c r="P420" s="50">
        <v>9484337.5</v>
      </c>
      <c r="Q420" s="50">
        <v>1</v>
      </c>
      <c r="R420" s="50">
        <v>9484337.5</v>
      </c>
      <c r="S420" s="74">
        <v>45972</v>
      </c>
      <c r="T420" s="48" t="s">
        <v>311</v>
      </c>
      <c r="U420" s="48" t="s">
        <v>483</v>
      </c>
      <c r="V420" s="48" t="s">
        <v>857</v>
      </c>
      <c r="W420" s="48"/>
    </row>
    <row r="421" spans="1:23" ht="15.75" x14ac:dyDescent="0.25">
      <c r="A421" s="48" t="s">
        <v>1129</v>
      </c>
      <c r="B421" s="49">
        <v>45965</v>
      </c>
      <c r="C421" s="48" t="s">
        <v>933</v>
      </c>
      <c r="D421" s="48" t="s">
        <v>1878</v>
      </c>
      <c r="E421" s="48" t="s">
        <v>858</v>
      </c>
      <c r="F421" s="48" t="s">
        <v>366</v>
      </c>
      <c r="G421" s="48" t="s">
        <v>367</v>
      </c>
      <c r="H421" s="48" t="s">
        <v>27</v>
      </c>
      <c r="I421" s="48" t="s">
        <v>1130</v>
      </c>
      <c r="J421" s="48" t="s">
        <v>3220</v>
      </c>
      <c r="K421" s="48" t="s">
        <v>367</v>
      </c>
      <c r="L421" s="48" t="s">
        <v>1136</v>
      </c>
      <c r="M421" s="48" t="s">
        <v>26</v>
      </c>
      <c r="N421" s="48" t="s">
        <v>20</v>
      </c>
      <c r="O421" s="48" t="s">
        <v>857</v>
      </c>
      <c r="P421" s="50">
        <v>730000</v>
      </c>
      <c r="Q421" s="50">
        <v>1</v>
      </c>
      <c r="R421" s="50">
        <v>730000</v>
      </c>
      <c r="S421" s="74">
        <v>45972</v>
      </c>
      <c r="T421" s="48" t="s">
        <v>461</v>
      </c>
      <c r="U421" s="48" t="s">
        <v>367</v>
      </c>
      <c r="V421" s="48" t="s">
        <v>857</v>
      </c>
      <c r="W421" s="48"/>
    </row>
    <row r="422" spans="1:23" ht="15.75" x14ac:dyDescent="0.25">
      <c r="A422" s="48" t="s">
        <v>736</v>
      </c>
      <c r="B422" s="49">
        <v>45839</v>
      </c>
      <c r="C422" s="48" t="s">
        <v>924</v>
      </c>
      <c r="D422" s="48" t="s">
        <v>1119</v>
      </c>
      <c r="E422" s="48" t="s">
        <v>858</v>
      </c>
      <c r="F422" s="48" t="s">
        <v>366</v>
      </c>
      <c r="G422" s="48" t="s">
        <v>367</v>
      </c>
      <c r="H422" s="48" t="s">
        <v>27</v>
      </c>
      <c r="I422" s="48" t="s">
        <v>737</v>
      </c>
      <c r="J422" s="48" t="s">
        <v>72</v>
      </c>
      <c r="K422" s="48" t="s">
        <v>367</v>
      </c>
      <c r="L422" s="48" t="s">
        <v>1136</v>
      </c>
      <c r="M422" s="48" t="s">
        <v>26</v>
      </c>
      <c r="N422" s="48" t="s">
        <v>20</v>
      </c>
      <c r="O422" s="48" t="s">
        <v>857</v>
      </c>
      <c r="P422" s="50">
        <v>3613085.85</v>
      </c>
      <c r="Q422" s="50">
        <v>1</v>
      </c>
      <c r="R422" s="50">
        <v>3613085.85</v>
      </c>
      <c r="S422" s="74">
        <v>45972</v>
      </c>
      <c r="T422" s="48" t="s">
        <v>738</v>
      </c>
      <c r="U422" s="48" t="s">
        <v>367</v>
      </c>
      <c r="V422" s="48" t="s">
        <v>857</v>
      </c>
      <c r="W422" s="48"/>
    </row>
    <row r="423" spans="1:23" ht="15.75" x14ac:dyDescent="0.25">
      <c r="A423" s="48" t="s">
        <v>1564</v>
      </c>
      <c r="B423" s="49">
        <v>45929</v>
      </c>
      <c r="C423" s="48" t="s">
        <v>916</v>
      </c>
      <c r="D423" s="48" t="s">
        <v>441</v>
      </c>
      <c r="E423" s="48" t="s">
        <v>856</v>
      </c>
      <c r="F423" s="48" t="s">
        <v>612</v>
      </c>
      <c r="G423" s="48" t="s">
        <v>613</v>
      </c>
      <c r="H423" s="48" t="s">
        <v>27</v>
      </c>
      <c r="I423" s="48" t="s">
        <v>1542</v>
      </c>
      <c r="J423" s="48" t="s">
        <v>24</v>
      </c>
      <c r="K423" s="48" t="s">
        <v>613</v>
      </c>
      <c r="L423" s="48" t="s">
        <v>1135</v>
      </c>
      <c r="M423" s="48" t="s">
        <v>26</v>
      </c>
      <c r="N423" s="48" t="s">
        <v>20</v>
      </c>
      <c r="O423" s="48" t="s">
        <v>857</v>
      </c>
      <c r="P423" s="50">
        <v>300000</v>
      </c>
      <c r="Q423" s="50">
        <v>1</v>
      </c>
      <c r="R423" s="50">
        <v>300000</v>
      </c>
      <c r="S423" s="74">
        <v>45971</v>
      </c>
      <c r="T423" s="48" t="s">
        <v>311</v>
      </c>
      <c r="U423" s="48" t="s">
        <v>613</v>
      </c>
      <c r="V423" s="48" t="s">
        <v>857</v>
      </c>
      <c r="W423" s="48"/>
    </row>
    <row r="424" spans="1:23" ht="15.75" x14ac:dyDescent="0.25">
      <c r="A424" s="48" t="s">
        <v>1526</v>
      </c>
      <c r="B424" s="49">
        <v>45960</v>
      </c>
      <c r="C424" s="48" t="s">
        <v>916</v>
      </c>
      <c r="D424" s="48" t="s">
        <v>441</v>
      </c>
      <c r="E424" s="48" t="s">
        <v>858</v>
      </c>
      <c r="F424" s="48" t="s">
        <v>21</v>
      </c>
      <c r="G424" s="48" t="s">
        <v>22</v>
      </c>
      <c r="H424" s="48" t="s">
        <v>27</v>
      </c>
      <c r="I424" s="48" t="s">
        <v>1467</v>
      </c>
      <c r="J424" s="48" t="s">
        <v>24</v>
      </c>
      <c r="K424" s="48" t="s">
        <v>407</v>
      </c>
      <c r="L424" s="48" t="s">
        <v>1131</v>
      </c>
      <c r="M424" s="48" t="s">
        <v>26</v>
      </c>
      <c r="N424" s="48" t="s">
        <v>20</v>
      </c>
      <c r="O424" s="48" t="s">
        <v>378</v>
      </c>
      <c r="P424" s="50">
        <v>123144</v>
      </c>
      <c r="Q424" s="50">
        <v>1</v>
      </c>
      <c r="R424" s="50">
        <v>123144</v>
      </c>
      <c r="S424" s="74">
        <v>45971</v>
      </c>
      <c r="T424" s="48" t="s">
        <v>621</v>
      </c>
      <c r="U424" s="48" t="s">
        <v>407</v>
      </c>
      <c r="V424" s="48" t="s">
        <v>857</v>
      </c>
      <c r="W424" s="48" t="s">
        <v>2567</v>
      </c>
    </row>
    <row r="425" spans="1:23" ht="15.75" x14ac:dyDescent="0.25">
      <c r="A425" s="48" t="s">
        <v>1638</v>
      </c>
      <c r="B425" s="49">
        <v>45883</v>
      </c>
      <c r="C425" s="48" t="s">
        <v>916</v>
      </c>
      <c r="D425" s="48" t="s">
        <v>1119</v>
      </c>
      <c r="E425" s="48" t="s">
        <v>856</v>
      </c>
      <c r="F425" s="48" t="s">
        <v>366</v>
      </c>
      <c r="G425" s="48" t="s">
        <v>367</v>
      </c>
      <c r="H425" s="48" t="s">
        <v>27</v>
      </c>
      <c r="I425" s="48" t="s">
        <v>521</v>
      </c>
      <c r="J425" s="48" t="s">
        <v>24</v>
      </c>
      <c r="K425" s="48" t="s">
        <v>367</v>
      </c>
      <c r="L425" s="48" t="s">
        <v>1136</v>
      </c>
      <c r="M425" s="48" t="s">
        <v>26</v>
      </c>
      <c r="N425" s="48" t="s">
        <v>20</v>
      </c>
      <c r="O425" s="48" t="s">
        <v>857</v>
      </c>
      <c r="P425" s="50">
        <v>20000000</v>
      </c>
      <c r="Q425" s="50">
        <v>1</v>
      </c>
      <c r="R425" s="50">
        <v>20000000</v>
      </c>
      <c r="S425" s="74">
        <v>45971</v>
      </c>
      <c r="T425" s="48" t="s">
        <v>1624</v>
      </c>
      <c r="U425" s="48" t="s">
        <v>367</v>
      </c>
      <c r="V425" s="48" t="s">
        <v>857</v>
      </c>
      <c r="W425" s="48"/>
    </row>
    <row r="426" spans="1:23" ht="15.75" x14ac:dyDescent="0.25">
      <c r="A426" s="48" t="s">
        <v>1441</v>
      </c>
      <c r="B426" s="49">
        <v>45914</v>
      </c>
      <c r="C426" s="48" t="s">
        <v>916</v>
      </c>
      <c r="D426" s="48" t="s">
        <v>441</v>
      </c>
      <c r="E426" s="48" t="s">
        <v>858</v>
      </c>
      <c r="F426" s="48" t="s">
        <v>366</v>
      </c>
      <c r="G426" s="48" t="s">
        <v>710</v>
      </c>
      <c r="H426" s="48" t="s">
        <v>27</v>
      </c>
      <c r="I426" s="48" t="s">
        <v>1378</v>
      </c>
      <c r="J426" s="48" t="s">
        <v>24</v>
      </c>
      <c r="K426" s="48" t="s">
        <v>710</v>
      </c>
      <c r="L426" s="48" t="s">
        <v>1209</v>
      </c>
      <c r="M426" s="48" t="s">
        <v>26</v>
      </c>
      <c r="N426" s="48" t="s">
        <v>20</v>
      </c>
      <c r="O426" s="48" t="s">
        <v>857</v>
      </c>
      <c r="P426" s="50">
        <v>500000</v>
      </c>
      <c r="Q426" s="50">
        <v>1</v>
      </c>
      <c r="R426" s="50">
        <v>500000</v>
      </c>
      <c r="S426" s="74">
        <v>45970</v>
      </c>
      <c r="T426" s="48" t="s">
        <v>621</v>
      </c>
      <c r="U426" s="48" t="s">
        <v>710</v>
      </c>
      <c r="V426" s="48" t="s">
        <v>857</v>
      </c>
      <c r="W426" s="48"/>
    </row>
    <row r="427" spans="1:23" ht="15.75" x14ac:dyDescent="0.25">
      <c r="A427" s="48" t="s">
        <v>778</v>
      </c>
      <c r="B427" s="49">
        <v>45937</v>
      </c>
      <c r="C427" s="48" t="s">
        <v>924</v>
      </c>
      <c r="D427" s="48" t="s">
        <v>441</v>
      </c>
      <c r="E427" s="48" t="s">
        <v>856</v>
      </c>
      <c r="F427" s="48" t="s">
        <v>366</v>
      </c>
      <c r="G427" s="48" t="s">
        <v>710</v>
      </c>
      <c r="H427" s="48" t="s">
        <v>27</v>
      </c>
      <c r="I427" s="48" t="s">
        <v>779</v>
      </c>
      <c r="J427" s="48" t="s">
        <v>24</v>
      </c>
      <c r="K427" s="48" t="s">
        <v>710</v>
      </c>
      <c r="L427" s="48" t="s">
        <v>1209</v>
      </c>
      <c r="M427" s="48" t="s">
        <v>26</v>
      </c>
      <c r="N427" s="48" t="s">
        <v>20</v>
      </c>
      <c r="O427" s="48" t="s">
        <v>857</v>
      </c>
      <c r="P427" s="50">
        <v>267233.01</v>
      </c>
      <c r="Q427" s="50">
        <v>1</v>
      </c>
      <c r="R427" s="50">
        <v>267233.01</v>
      </c>
      <c r="S427" s="74">
        <v>45970</v>
      </c>
      <c r="T427" s="48" t="s">
        <v>311</v>
      </c>
      <c r="U427" s="48" t="s">
        <v>710</v>
      </c>
      <c r="V427" s="48" t="s">
        <v>857</v>
      </c>
      <c r="W427" s="48"/>
    </row>
    <row r="428" spans="1:23" ht="15.75" x14ac:dyDescent="0.25">
      <c r="A428" s="48" t="s">
        <v>1434</v>
      </c>
      <c r="B428" s="49">
        <v>45917</v>
      </c>
      <c r="C428" s="48" t="s">
        <v>916</v>
      </c>
      <c r="D428" s="48" t="s">
        <v>441</v>
      </c>
      <c r="E428" s="48" t="s">
        <v>856</v>
      </c>
      <c r="F428" s="48" t="s">
        <v>366</v>
      </c>
      <c r="G428" s="48" t="s">
        <v>710</v>
      </c>
      <c r="H428" s="48" t="s">
        <v>27</v>
      </c>
      <c r="I428" s="48" t="s">
        <v>1381</v>
      </c>
      <c r="J428" s="48" t="s">
        <v>24</v>
      </c>
      <c r="K428" s="48" t="s">
        <v>710</v>
      </c>
      <c r="L428" s="48" t="s">
        <v>1209</v>
      </c>
      <c r="M428" s="48" t="s">
        <v>26</v>
      </c>
      <c r="N428" s="48" t="s">
        <v>20</v>
      </c>
      <c r="O428" s="48" t="s">
        <v>857</v>
      </c>
      <c r="P428" s="50">
        <v>779721.04</v>
      </c>
      <c r="Q428" s="50">
        <v>1</v>
      </c>
      <c r="R428" s="50">
        <v>779721.04</v>
      </c>
      <c r="S428" s="74">
        <v>45967</v>
      </c>
      <c r="T428" s="48" t="s">
        <v>621</v>
      </c>
      <c r="U428" s="48" t="s">
        <v>710</v>
      </c>
      <c r="V428" s="48" t="s">
        <v>857</v>
      </c>
      <c r="W428" s="48"/>
    </row>
    <row r="429" spans="1:23" ht="15.75" x14ac:dyDescent="0.25">
      <c r="A429" s="48" t="s">
        <v>1191</v>
      </c>
      <c r="B429" s="49">
        <v>45936</v>
      </c>
      <c r="C429" s="48" t="s">
        <v>928</v>
      </c>
      <c r="D429" s="48" t="s">
        <v>509</v>
      </c>
      <c r="E429" s="48" t="s">
        <v>858</v>
      </c>
      <c r="F429" s="48" t="s">
        <v>21</v>
      </c>
      <c r="G429" s="48" t="s">
        <v>22</v>
      </c>
      <c r="H429" s="48" t="s">
        <v>27</v>
      </c>
      <c r="I429" s="48" t="s">
        <v>781</v>
      </c>
      <c r="J429" s="48" t="s">
        <v>72</v>
      </c>
      <c r="K429" s="48" t="s">
        <v>511</v>
      </c>
      <c r="L429" s="48" t="s">
        <v>1236</v>
      </c>
      <c r="M429" s="48" t="s">
        <v>26</v>
      </c>
      <c r="N429" s="48" t="s">
        <v>20</v>
      </c>
      <c r="O429" s="48" t="s">
        <v>857</v>
      </c>
      <c r="P429" s="50">
        <v>507064.21</v>
      </c>
      <c r="Q429" s="50">
        <v>1</v>
      </c>
      <c r="R429" s="50">
        <v>507064.21</v>
      </c>
      <c r="S429" s="74">
        <v>45967</v>
      </c>
      <c r="T429" s="48" t="s">
        <v>1886</v>
      </c>
      <c r="U429" s="48" t="s">
        <v>511</v>
      </c>
      <c r="V429" s="48" t="s">
        <v>857</v>
      </c>
      <c r="W429" s="48"/>
    </row>
    <row r="430" spans="1:23" ht="15.75" x14ac:dyDescent="0.25">
      <c r="A430" s="48" t="s">
        <v>1191</v>
      </c>
      <c r="B430" s="49">
        <v>45936</v>
      </c>
      <c r="C430" s="48" t="s">
        <v>924</v>
      </c>
      <c r="D430" s="48" t="s">
        <v>509</v>
      </c>
      <c r="E430" s="48" t="s">
        <v>858</v>
      </c>
      <c r="F430" s="48" t="s">
        <v>21</v>
      </c>
      <c r="G430" s="48" t="s">
        <v>22</v>
      </c>
      <c r="H430" s="48" t="s">
        <v>27</v>
      </c>
      <c r="I430" s="48" t="s">
        <v>781</v>
      </c>
      <c r="J430" s="48" t="s">
        <v>72</v>
      </c>
      <c r="K430" s="48" t="s">
        <v>511</v>
      </c>
      <c r="L430" s="48" t="s">
        <v>1236</v>
      </c>
      <c r="M430" s="48" t="s">
        <v>26</v>
      </c>
      <c r="N430" s="48" t="s">
        <v>20</v>
      </c>
      <c r="O430" s="48" t="s">
        <v>857</v>
      </c>
      <c r="P430" s="50">
        <v>295500</v>
      </c>
      <c r="Q430" s="50">
        <v>1</v>
      </c>
      <c r="R430" s="50">
        <v>295500</v>
      </c>
      <c r="S430" s="74">
        <v>45967</v>
      </c>
      <c r="T430" s="48" t="s">
        <v>1886</v>
      </c>
      <c r="U430" s="48" t="s">
        <v>511</v>
      </c>
      <c r="V430" s="48" t="s">
        <v>857</v>
      </c>
      <c r="W430" s="48"/>
    </row>
    <row r="431" spans="1:23" ht="15.75" x14ac:dyDescent="0.25">
      <c r="A431" s="48" t="s">
        <v>1446</v>
      </c>
      <c r="B431" s="49">
        <v>45963</v>
      </c>
      <c r="C431" s="48" t="s">
        <v>924</v>
      </c>
      <c r="D431" s="48" t="s">
        <v>509</v>
      </c>
      <c r="E431" s="48" t="s">
        <v>858</v>
      </c>
      <c r="F431" s="48" t="s">
        <v>95</v>
      </c>
      <c r="G431" s="48" t="s">
        <v>96</v>
      </c>
      <c r="H431" s="48" t="s">
        <v>27</v>
      </c>
      <c r="I431" s="48" t="s">
        <v>1337</v>
      </c>
      <c r="J431" s="48" t="s">
        <v>72</v>
      </c>
      <c r="K431" s="48" t="s">
        <v>511</v>
      </c>
      <c r="L431" s="48" t="s">
        <v>1236</v>
      </c>
      <c r="M431" s="48" t="s">
        <v>26</v>
      </c>
      <c r="N431" s="48" t="s">
        <v>20</v>
      </c>
      <c r="O431" s="48" t="s">
        <v>378</v>
      </c>
      <c r="P431" s="50">
        <v>386911.75</v>
      </c>
      <c r="Q431" s="50">
        <v>1</v>
      </c>
      <c r="R431" s="50">
        <v>386911.75</v>
      </c>
      <c r="S431" s="74">
        <v>45967</v>
      </c>
      <c r="T431" s="48" t="s">
        <v>1338</v>
      </c>
      <c r="U431" s="48" t="s">
        <v>511</v>
      </c>
      <c r="V431" s="48" t="s">
        <v>857</v>
      </c>
      <c r="W431" s="48"/>
    </row>
    <row r="432" spans="1:23" ht="15.75" x14ac:dyDescent="0.25">
      <c r="A432" s="48" t="s">
        <v>1733</v>
      </c>
      <c r="B432" s="49">
        <v>45929</v>
      </c>
      <c r="C432" s="48" t="s">
        <v>916</v>
      </c>
      <c r="D432" s="48" t="s">
        <v>1119</v>
      </c>
      <c r="E432" s="48" t="s">
        <v>856</v>
      </c>
      <c r="F432" s="48" t="s">
        <v>366</v>
      </c>
      <c r="G432" s="48" t="s">
        <v>367</v>
      </c>
      <c r="H432" s="48" t="s">
        <v>27</v>
      </c>
      <c r="I432" s="48" t="s">
        <v>1695</v>
      </c>
      <c r="J432" s="48" t="s">
        <v>24</v>
      </c>
      <c r="K432" s="48" t="s">
        <v>367</v>
      </c>
      <c r="L432" s="48" t="s">
        <v>1136</v>
      </c>
      <c r="M432" s="48" t="s">
        <v>26</v>
      </c>
      <c r="N432" s="48" t="s">
        <v>20</v>
      </c>
      <c r="O432" s="48" t="s">
        <v>857</v>
      </c>
      <c r="P432" s="50">
        <v>600000</v>
      </c>
      <c r="Q432" s="50">
        <v>1</v>
      </c>
      <c r="R432" s="50">
        <v>600000</v>
      </c>
      <c r="S432" s="74">
        <v>45967</v>
      </c>
      <c r="T432" s="48" t="s">
        <v>1683</v>
      </c>
      <c r="U432" s="48" t="s">
        <v>367</v>
      </c>
      <c r="V432" s="48" t="s">
        <v>857</v>
      </c>
      <c r="W432" s="48"/>
    </row>
    <row r="433" spans="1:23" ht="15.75" x14ac:dyDescent="0.25">
      <c r="A433" s="48" t="s">
        <v>1743</v>
      </c>
      <c r="B433" s="49">
        <v>45966</v>
      </c>
      <c r="C433" s="48" t="s">
        <v>918</v>
      </c>
      <c r="D433" s="48" t="s">
        <v>1727</v>
      </c>
      <c r="E433" s="48" t="s">
        <v>858</v>
      </c>
      <c r="F433" s="48" t="s">
        <v>62</v>
      </c>
      <c r="G433" s="48" t="s">
        <v>70</v>
      </c>
      <c r="H433" s="48" t="s">
        <v>70</v>
      </c>
      <c r="I433" s="48" t="s">
        <v>1725</v>
      </c>
      <c r="J433" s="48" t="s">
        <v>869</v>
      </c>
      <c r="K433" s="48" t="s">
        <v>1762</v>
      </c>
      <c r="L433" s="48" t="s">
        <v>917</v>
      </c>
      <c r="M433" s="48" t="s">
        <v>26</v>
      </c>
      <c r="N433" s="48" t="s">
        <v>20</v>
      </c>
      <c r="O433" s="48" t="s">
        <v>857</v>
      </c>
      <c r="P433" s="50">
        <v>136540.97</v>
      </c>
      <c r="Q433" s="50">
        <v>1</v>
      </c>
      <c r="R433" s="50">
        <v>136540.97</v>
      </c>
      <c r="S433" s="74">
        <v>45966</v>
      </c>
      <c r="T433" s="48" t="s">
        <v>208</v>
      </c>
      <c r="U433" s="48" t="s">
        <v>70</v>
      </c>
      <c r="V433" s="48" t="s">
        <v>857</v>
      </c>
      <c r="W433" s="48"/>
    </row>
    <row r="434" spans="1:23" ht="15.75" x14ac:dyDescent="0.25">
      <c r="A434" s="48" t="s">
        <v>1810</v>
      </c>
      <c r="B434" s="49">
        <v>45942</v>
      </c>
      <c r="C434" s="48" t="s">
        <v>918</v>
      </c>
      <c r="D434" s="48" t="s">
        <v>3566</v>
      </c>
      <c r="E434" s="48" t="s">
        <v>856</v>
      </c>
      <c r="F434" s="48" t="s">
        <v>612</v>
      </c>
      <c r="G434" s="48" t="s">
        <v>613</v>
      </c>
      <c r="H434" s="48" t="s">
        <v>27</v>
      </c>
      <c r="I434" s="48" t="s">
        <v>1549</v>
      </c>
      <c r="J434" s="48" t="s">
        <v>72</v>
      </c>
      <c r="K434" s="48" t="s">
        <v>613</v>
      </c>
      <c r="L434" s="48" t="s">
        <v>1135</v>
      </c>
      <c r="M434" s="48" t="s">
        <v>26</v>
      </c>
      <c r="N434" s="48" t="s">
        <v>20</v>
      </c>
      <c r="O434" s="48" t="s">
        <v>378</v>
      </c>
      <c r="P434" s="50">
        <v>403652.3</v>
      </c>
      <c r="Q434" s="50">
        <v>1</v>
      </c>
      <c r="R434" s="50">
        <v>403652.3</v>
      </c>
      <c r="S434" s="74">
        <v>45966</v>
      </c>
      <c r="T434" s="48" t="s">
        <v>425</v>
      </c>
      <c r="U434" s="48" t="s">
        <v>377</v>
      </c>
      <c r="V434" s="48" t="s">
        <v>378</v>
      </c>
      <c r="W434" s="48"/>
    </row>
    <row r="435" spans="1:23" ht="15.75" x14ac:dyDescent="0.25">
      <c r="A435" s="48" t="s">
        <v>1446</v>
      </c>
      <c r="B435" s="49">
        <v>45957</v>
      </c>
      <c r="C435" s="48" t="s">
        <v>918</v>
      </c>
      <c r="D435" s="48" t="s">
        <v>509</v>
      </c>
      <c r="E435" s="48" t="s">
        <v>858</v>
      </c>
      <c r="F435" s="48" t="s">
        <v>95</v>
      </c>
      <c r="G435" s="48" t="s">
        <v>96</v>
      </c>
      <c r="H435" s="48" t="s">
        <v>27</v>
      </c>
      <c r="I435" s="48" t="s">
        <v>1337</v>
      </c>
      <c r="J435" s="48" t="s">
        <v>72</v>
      </c>
      <c r="K435" s="48" t="s">
        <v>511</v>
      </c>
      <c r="L435" s="48" t="s">
        <v>1236</v>
      </c>
      <c r="M435" s="48" t="s">
        <v>26</v>
      </c>
      <c r="N435" s="48" t="s">
        <v>20</v>
      </c>
      <c r="O435" s="48" t="s">
        <v>378</v>
      </c>
      <c r="P435" s="50">
        <v>180745.25</v>
      </c>
      <c r="Q435" s="50">
        <v>1</v>
      </c>
      <c r="R435" s="50">
        <v>180745.25</v>
      </c>
      <c r="S435" s="74">
        <v>45966</v>
      </c>
      <c r="T435" s="48" t="s">
        <v>1338</v>
      </c>
      <c r="U435" s="48" t="s">
        <v>511</v>
      </c>
      <c r="V435" s="48" t="s">
        <v>857</v>
      </c>
      <c r="W435" s="48"/>
    </row>
    <row r="436" spans="1:23" ht="15.75" x14ac:dyDescent="0.25">
      <c r="A436" s="48" t="s">
        <v>1342</v>
      </c>
      <c r="B436" s="49">
        <v>45861</v>
      </c>
      <c r="C436" s="48" t="s">
        <v>916</v>
      </c>
      <c r="D436" s="48" t="s">
        <v>441</v>
      </c>
      <c r="E436" s="48" t="s">
        <v>858</v>
      </c>
      <c r="F436" s="48" t="s">
        <v>21</v>
      </c>
      <c r="G436" s="48" t="s">
        <v>22</v>
      </c>
      <c r="H436" s="48" t="s">
        <v>27</v>
      </c>
      <c r="I436" s="48" t="s">
        <v>1265</v>
      </c>
      <c r="J436" s="48" t="s">
        <v>24</v>
      </c>
      <c r="K436" s="48" t="s">
        <v>22</v>
      </c>
      <c r="L436" s="48" t="s">
        <v>1132</v>
      </c>
      <c r="M436" s="48" t="s">
        <v>26</v>
      </c>
      <c r="N436" s="48" t="s">
        <v>20</v>
      </c>
      <c r="O436" s="48" t="s">
        <v>857</v>
      </c>
      <c r="P436" s="50">
        <v>292628.83</v>
      </c>
      <c r="Q436" s="50">
        <v>1</v>
      </c>
      <c r="R436" s="50">
        <v>292628.83</v>
      </c>
      <c r="S436" s="74">
        <v>45965</v>
      </c>
      <c r="T436" s="48" t="s">
        <v>621</v>
      </c>
      <c r="U436" s="48" t="s">
        <v>710</v>
      </c>
      <c r="V436" s="48" t="s">
        <v>378</v>
      </c>
      <c r="W436" s="48"/>
    </row>
    <row r="437" spans="1:23" ht="15.75" x14ac:dyDescent="0.25">
      <c r="A437" s="48" t="s">
        <v>1405</v>
      </c>
      <c r="B437" s="49">
        <v>45852</v>
      </c>
      <c r="C437" s="48" t="s">
        <v>916</v>
      </c>
      <c r="D437" s="48" t="s">
        <v>441</v>
      </c>
      <c r="E437" s="48" t="s">
        <v>858</v>
      </c>
      <c r="F437" s="48" t="s">
        <v>21</v>
      </c>
      <c r="G437" s="48" t="s">
        <v>22</v>
      </c>
      <c r="H437" s="48" t="s">
        <v>27</v>
      </c>
      <c r="I437" s="48" t="s">
        <v>1358</v>
      </c>
      <c r="J437" s="48" t="s">
        <v>24</v>
      </c>
      <c r="K437" s="48" t="s">
        <v>22</v>
      </c>
      <c r="L437" s="48" t="s">
        <v>1132</v>
      </c>
      <c r="M437" s="48" t="s">
        <v>26</v>
      </c>
      <c r="N437" s="48" t="s">
        <v>20</v>
      </c>
      <c r="O437" s="48" t="s">
        <v>857</v>
      </c>
      <c r="P437" s="50">
        <v>250000</v>
      </c>
      <c r="Q437" s="50">
        <v>1</v>
      </c>
      <c r="R437" s="50">
        <v>250000</v>
      </c>
      <c r="S437" s="74">
        <v>45965</v>
      </c>
      <c r="T437" s="48" t="s">
        <v>621</v>
      </c>
      <c r="U437" s="48" t="s">
        <v>710</v>
      </c>
      <c r="V437" s="48" t="s">
        <v>378</v>
      </c>
      <c r="W437" s="48"/>
    </row>
    <row r="438" spans="1:23" ht="15.75" x14ac:dyDescent="0.25">
      <c r="A438" s="48" t="s">
        <v>1429</v>
      </c>
      <c r="B438" s="49">
        <v>45862</v>
      </c>
      <c r="C438" s="48" t="s">
        <v>916</v>
      </c>
      <c r="D438" s="48" t="s">
        <v>441</v>
      </c>
      <c r="E438" s="48" t="s">
        <v>856</v>
      </c>
      <c r="F438" s="48" t="s">
        <v>21</v>
      </c>
      <c r="G438" s="48" t="s">
        <v>22</v>
      </c>
      <c r="H438" s="48" t="s">
        <v>27</v>
      </c>
      <c r="I438" s="48" t="s">
        <v>477</v>
      </c>
      <c r="J438" s="48" t="s">
        <v>24</v>
      </c>
      <c r="K438" s="48" t="s">
        <v>22</v>
      </c>
      <c r="L438" s="48" t="s">
        <v>1132</v>
      </c>
      <c r="M438" s="48" t="s">
        <v>26</v>
      </c>
      <c r="N438" s="48" t="s">
        <v>20</v>
      </c>
      <c r="O438" s="48" t="s">
        <v>857</v>
      </c>
      <c r="P438" s="50">
        <v>286074</v>
      </c>
      <c r="Q438" s="50">
        <v>1</v>
      </c>
      <c r="R438" s="50">
        <v>286074</v>
      </c>
      <c r="S438" s="74">
        <v>45965</v>
      </c>
      <c r="T438" s="48" t="s">
        <v>621</v>
      </c>
      <c r="U438" s="48" t="s">
        <v>710</v>
      </c>
      <c r="V438" s="48" t="s">
        <v>378</v>
      </c>
      <c r="W438" s="48"/>
    </row>
    <row r="439" spans="1:23" ht="15.75" x14ac:dyDescent="0.25">
      <c r="A439" s="48" t="s">
        <v>1499</v>
      </c>
      <c r="B439" s="49">
        <v>45882</v>
      </c>
      <c r="C439" s="48" t="s">
        <v>916</v>
      </c>
      <c r="D439" s="48" t="s">
        <v>441</v>
      </c>
      <c r="E439" s="48" t="s">
        <v>858</v>
      </c>
      <c r="F439" s="48" t="s">
        <v>21</v>
      </c>
      <c r="G439" s="48" t="s">
        <v>22</v>
      </c>
      <c r="H439" s="48" t="s">
        <v>27</v>
      </c>
      <c r="I439" s="48" t="s">
        <v>521</v>
      </c>
      <c r="J439" s="48" t="s">
        <v>24</v>
      </c>
      <c r="K439" s="48" t="s">
        <v>407</v>
      </c>
      <c r="L439" s="48" t="s">
        <v>1131</v>
      </c>
      <c r="M439" s="48" t="s">
        <v>26</v>
      </c>
      <c r="N439" s="48" t="s">
        <v>20</v>
      </c>
      <c r="O439" s="48" t="s">
        <v>857</v>
      </c>
      <c r="P439" s="50">
        <v>900000</v>
      </c>
      <c r="Q439" s="50">
        <v>1</v>
      </c>
      <c r="R439" s="50">
        <v>900000</v>
      </c>
      <c r="S439" s="74">
        <v>45965</v>
      </c>
      <c r="T439" s="48" t="s">
        <v>621</v>
      </c>
      <c r="U439" s="48" t="s">
        <v>511</v>
      </c>
      <c r="V439" s="48" t="s">
        <v>378</v>
      </c>
      <c r="W439" s="48"/>
    </row>
    <row r="440" spans="1:23" ht="15.75" x14ac:dyDescent="0.25">
      <c r="A440" s="48" t="s">
        <v>702</v>
      </c>
      <c r="B440" s="49">
        <v>45893</v>
      </c>
      <c r="C440" s="48" t="s">
        <v>919</v>
      </c>
      <c r="D440" s="48" t="s">
        <v>1119</v>
      </c>
      <c r="E440" s="48" t="s">
        <v>856</v>
      </c>
      <c r="F440" s="48" t="s">
        <v>95</v>
      </c>
      <c r="G440" s="48" t="s">
        <v>96</v>
      </c>
      <c r="H440" s="48" t="s">
        <v>27</v>
      </c>
      <c r="I440" s="48" t="s">
        <v>703</v>
      </c>
      <c r="J440" s="48" t="s">
        <v>704</v>
      </c>
      <c r="K440" s="48" t="s">
        <v>367</v>
      </c>
      <c r="L440" s="48" t="s">
        <v>1136</v>
      </c>
      <c r="M440" s="48" t="s">
        <v>78</v>
      </c>
      <c r="N440" s="48" t="s">
        <v>20</v>
      </c>
      <c r="O440" s="48" t="s">
        <v>857</v>
      </c>
      <c r="P440" s="50">
        <v>88184.93</v>
      </c>
      <c r="Q440" s="50">
        <v>3.75</v>
      </c>
      <c r="R440" s="50">
        <v>330693.48749999999</v>
      </c>
      <c r="S440" s="74">
        <v>45965</v>
      </c>
      <c r="T440" s="48" t="s">
        <v>705</v>
      </c>
      <c r="U440" s="48" t="s">
        <v>367</v>
      </c>
      <c r="V440" s="48" t="s">
        <v>857</v>
      </c>
      <c r="W440" s="48"/>
    </row>
    <row r="441" spans="1:23" ht="15.75" x14ac:dyDescent="0.25">
      <c r="A441" s="48" t="s">
        <v>702</v>
      </c>
      <c r="B441" s="49">
        <v>45893</v>
      </c>
      <c r="C441" s="48" t="s">
        <v>934</v>
      </c>
      <c r="D441" s="48" t="s">
        <v>1119</v>
      </c>
      <c r="E441" s="48" t="s">
        <v>856</v>
      </c>
      <c r="F441" s="48" t="s">
        <v>95</v>
      </c>
      <c r="G441" s="48" t="s">
        <v>96</v>
      </c>
      <c r="H441" s="48" t="s">
        <v>27</v>
      </c>
      <c r="I441" s="48" t="s">
        <v>703</v>
      </c>
      <c r="J441" s="48" t="s">
        <v>704</v>
      </c>
      <c r="K441" s="48" t="s">
        <v>367</v>
      </c>
      <c r="L441" s="48" t="s">
        <v>1136</v>
      </c>
      <c r="M441" s="48" t="s">
        <v>78</v>
      </c>
      <c r="N441" s="48" t="s">
        <v>20</v>
      </c>
      <c r="O441" s="48" t="s">
        <v>857</v>
      </c>
      <c r="P441" s="50">
        <v>254774.28</v>
      </c>
      <c r="Q441" s="50">
        <v>3.75</v>
      </c>
      <c r="R441" s="50">
        <v>955403.55</v>
      </c>
      <c r="S441" s="74">
        <v>45965</v>
      </c>
      <c r="T441" s="48" t="s">
        <v>705</v>
      </c>
      <c r="U441" s="48" t="s">
        <v>367</v>
      </c>
      <c r="V441" s="48" t="s">
        <v>857</v>
      </c>
      <c r="W441" s="48"/>
    </row>
    <row r="442" spans="1:23" ht="15.75" x14ac:dyDescent="0.25">
      <c r="A442" s="48" t="s">
        <v>1348</v>
      </c>
      <c r="B442" s="49">
        <v>45862</v>
      </c>
      <c r="C442" s="48" t="s">
        <v>916</v>
      </c>
      <c r="D442" s="48" t="s">
        <v>441</v>
      </c>
      <c r="E442" s="48" t="s">
        <v>858</v>
      </c>
      <c r="F442" s="48" t="s">
        <v>21</v>
      </c>
      <c r="G442" s="48" t="s">
        <v>22</v>
      </c>
      <c r="H442" s="48" t="s">
        <v>27</v>
      </c>
      <c r="I442" s="48" t="s">
        <v>1268</v>
      </c>
      <c r="J442" s="48" t="s">
        <v>24</v>
      </c>
      <c r="K442" s="48" t="s">
        <v>22</v>
      </c>
      <c r="L442" s="48" t="s">
        <v>1132</v>
      </c>
      <c r="M442" s="48" t="s">
        <v>26</v>
      </c>
      <c r="N442" s="48" t="s">
        <v>20</v>
      </c>
      <c r="O442" s="48" t="s">
        <v>857</v>
      </c>
      <c r="P442" s="50">
        <v>202604.9</v>
      </c>
      <c r="Q442" s="50">
        <v>1</v>
      </c>
      <c r="R442" s="50">
        <v>202604.9</v>
      </c>
      <c r="S442" s="74">
        <v>45965</v>
      </c>
      <c r="T442" s="48" t="s">
        <v>621</v>
      </c>
      <c r="U442" s="48" t="s">
        <v>710</v>
      </c>
      <c r="V442" s="48" t="s">
        <v>378</v>
      </c>
      <c r="W442" s="48"/>
    </row>
    <row r="443" spans="1:23" ht="15.75" x14ac:dyDescent="0.25">
      <c r="A443" s="48" t="s">
        <v>1251</v>
      </c>
      <c r="B443" s="49">
        <v>45964</v>
      </c>
      <c r="C443" s="48" t="s">
        <v>924</v>
      </c>
      <c r="D443" s="48" t="s">
        <v>509</v>
      </c>
      <c r="E443" s="48" t="s">
        <v>856</v>
      </c>
      <c r="F443" s="48" t="s">
        <v>95</v>
      </c>
      <c r="G443" s="48" t="s">
        <v>96</v>
      </c>
      <c r="H443" s="48" t="s">
        <v>27</v>
      </c>
      <c r="I443" s="48" t="s">
        <v>1200</v>
      </c>
      <c r="J443" s="48" t="s">
        <v>72</v>
      </c>
      <c r="K443" s="48" t="s">
        <v>511</v>
      </c>
      <c r="L443" s="48" t="s">
        <v>1236</v>
      </c>
      <c r="M443" s="48" t="s">
        <v>26</v>
      </c>
      <c r="N443" s="48" t="s">
        <v>20</v>
      </c>
      <c r="O443" s="48" t="s">
        <v>378</v>
      </c>
      <c r="P443" s="50">
        <v>1789060.46</v>
      </c>
      <c r="Q443" s="50">
        <v>1</v>
      </c>
      <c r="R443" s="50">
        <v>1789060.46</v>
      </c>
      <c r="S443" s="74">
        <v>45964</v>
      </c>
      <c r="T443" s="48" t="s">
        <v>305</v>
      </c>
      <c r="U443" s="48" t="s">
        <v>511</v>
      </c>
      <c r="V443" s="48" t="s">
        <v>857</v>
      </c>
      <c r="W443" s="48"/>
    </row>
    <row r="444" spans="1:23" ht="15.75" x14ac:dyDescent="0.25">
      <c r="A444" s="48" t="s">
        <v>1397</v>
      </c>
      <c r="B444" s="49">
        <v>45916</v>
      </c>
      <c r="C444" s="48" t="s">
        <v>916</v>
      </c>
      <c r="D444" s="48" t="s">
        <v>441</v>
      </c>
      <c r="E444" s="48" t="s">
        <v>856</v>
      </c>
      <c r="F444" s="48" t="s">
        <v>612</v>
      </c>
      <c r="G444" s="48" t="s">
        <v>613</v>
      </c>
      <c r="H444" s="48" t="s">
        <v>27</v>
      </c>
      <c r="I444" s="48" t="s">
        <v>1391</v>
      </c>
      <c r="J444" s="48" t="s">
        <v>24</v>
      </c>
      <c r="K444" s="48" t="s">
        <v>613</v>
      </c>
      <c r="L444" s="48" t="s">
        <v>1135</v>
      </c>
      <c r="M444" s="48" t="s">
        <v>26</v>
      </c>
      <c r="N444" s="48" t="s">
        <v>20</v>
      </c>
      <c r="O444" s="48" t="s">
        <v>378</v>
      </c>
      <c r="P444" s="50">
        <v>552155.25</v>
      </c>
      <c r="Q444" s="50">
        <v>1</v>
      </c>
      <c r="R444" s="50">
        <v>552155.25</v>
      </c>
      <c r="S444" s="74">
        <v>45964</v>
      </c>
      <c r="T444" s="48" t="s">
        <v>311</v>
      </c>
      <c r="U444" s="48" t="s">
        <v>377</v>
      </c>
      <c r="V444" s="48" t="s">
        <v>378</v>
      </c>
      <c r="W444" s="48"/>
    </row>
    <row r="445" spans="1:23" ht="15.75" x14ac:dyDescent="0.25">
      <c r="A445" s="48" t="s">
        <v>1431</v>
      </c>
      <c r="B445" s="49">
        <v>45917</v>
      </c>
      <c r="C445" s="48" t="s">
        <v>916</v>
      </c>
      <c r="D445" s="48" t="s">
        <v>441</v>
      </c>
      <c r="E445" s="48" t="s">
        <v>856</v>
      </c>
      <c r="F445" s="48" t="s">
        <v>366</v>
      </c>
      <c r="G445" s="48" t="s">
        <v>710</v>
      </c>
      <c r="H445" s="48" t="s">
        <v>27</v>
      </c>
      <c r="I445" s="48" t="s">
        <v>1377</v>
      </c>
      <c r="J445" s="48" t="s">
        <v>24</v>
      </c>
      <c r="K445" s="48" t="s">
        <v>710</v>
      </c>
      <c r="L445" s="48" t="s">
        <v>1209</v>
      </c>
      <c r="M445" s="48" t="s">
        <v>26</v>
      </c>
      <c r="N445" s="48" t="s">
        <v>20</v>
      </c>
      <c r="O445" s="48" t="s">
        <v>857</v>
      </c>
      <c r="P445" s="50">
        <v>667529.19999999995</v>
      </c>
      <c r="Q445" s="50">
        <v>1</v>
      </c>
      <c r="R445" s="50">
        <v>667529.19999999995</v>
      </c>
      <c r="S445" s="74">
        <v>45964</v>
      </c>
      <c r="T445" s="48" t="s">
        <v>621</v>
      </c>
      <c r="U445" s="48" t="s">
        <v>710</v>
      </c>
      <c r="V445" s="48" t="s">
        <v>857</v>
      </c>
      <c r="W445" s="48"/>
    </row>
    <row r="446" spans="1:23" ht="15.75" x14ac:dyDescent="0.25">
      <c r="A446" s="48" t="s">
        <v>2255</v>
      </c>
      <c r="B446" s="49">
        <v>45960</v>
      </c>
      <c r="C446" s="48" t="s">
        <v>918</v>
      </c>
      <c r="D446" s="48" t="s">
        <v>1878</v>
      </c>
      <c r="E446" s="48" t="s">
        <v>858</v>
      </c>
      <c r="F446" s="48" t="s">
        <v>366</v>
      </c>
      <c r="G446" s="48" t="s">
        <v>367</v>
      </c>
      <c r="H446" s="48" t="s">
        <v>27</v>
      </c>
      <c r="I446" s="48" t="s">
        <v>1931</v>
      </c>
      <c r="J446" s="48" t="s">
        <v>3220</v>
      </c>
      <c r="K446" s="48" t="s">
        <v>367</v>
      </c>
      <c r="L446" s="48" t="s">
        <v>1136</v>
      </c>
      <c r="M446" s="48" t="s">
        <v>26</v>
      </c>
      <c r="N446" s="48" t="s">
        <v>20</v>
      </c>
      <c r="O446" s="48" t="s">
        <v>857</v>
      </c>
      <c r="P446" s="50">
        <v>1800000</v>
      </c>
      <c r="Q446" s="50">
        <v>1</v>
      </c>
      <c r="R446" s="50">
        <v>1800000</v>
      </c>
      <c r="S446" s="74">
        <v>45964</v>
      </c>
      <c r="T446" s="48" t="s">
        <v>1932</v>
      </c>
      <c r="U446" s="48" t="s">
        <v>367</v>
      </c>
      <c r="V446" s="48" t="s">
        <v>857</v>
      </c>
      <c r="W446" s="48"/>
    </row>
    <row r="447" spans="1:23" ht="15.75" x14ac:dyDescent="0.25">
      <c r="A447" s="48" t="s">
        <v>2255</v>
      </c>
      <c r="B447" s="49">
        <v>45960</v>
      </c>
      <c r="C447" s="48" t="s">
        <v>916</v>
      </c>
      <c r="D447" s="48" t="s">
        <v>1878</v>
      </c>
      <c r="E447" s="48" t="s">
        <v>858</v>
      </c>
      <c r="F447" s="48" t="s">
        <v>366</v>
      </c>
      <c r="G447" s="48" t="s">
        <v>367</v>
      </c>
      <c r="H447" s="48" t="s">
        <v>27</v>
      </c>
      <c r="I447" s="48" t="s">
        <v>1931</v>
      </c>
      <c r="J447" s="48" t="s">
        <v>3220</v>
      </c>
      <c r="K447" s="48" t="s">
        <v>367</v>
      </c>
      <c r="L447" s="48" t="s">
        <v>1136</v>
      </c>
      <c r="M447" s="48" t="s">
        <v>26</v>
      </c>
      <c r="N447" s="48" t="s">
        <v>20</v>
      </c>
      <c r="O447" s="48" t="s">
        <v>857</v>
      </c>
      <c r="P447" s="50">
        <v>1200000</v>
      </c>
      <c r="Q447" s="50">
        <v>1</v>
      </c>
      <c r="R447" s="50">
        <v>1200000</v>
      </c>
      <c r="S447" s="74">
        <v>45964</v>
      </c>
      <c r="T447" s="48" t="s">
        <v>1932</v>
      </c>
      <c r="U447" s="48" t="s">
        <v>367</v>
      </c>
      <c r="V447" s="48" t="s">
        <v>857</v>
      </c>
      <c r="W447" s="48"/>
    </row>
    <row r="448" spans="1:23" ht="15.75" x14ac:dyDescent="0.25">
      <c r="A448" s="48" t="s">
        <v>1311</v>
      </c>
      <c r="B448" s="49">
        <v>45862</v>
      </c>
      <c r="C448" s="48" t="s">
        <v>916</v>
      </c>
      <c r="D448" s="48" t="s">
        <v>441</v>
      </c>
      <c r="E448" s="48" t="s">
        <v>858</v>
      </c>
      <c r="F448" s="48" t="s">
        <v>21</v>
      </c>
      <c r="G448" s="48" t="s">
        <v>22</v>
      </c>
      <c r="H448" s="48" t="s">
        <v>27</v>
      </c>
      <c r="I448" s="48" t="s">
        <v>1268</v>
      </c>
      <c r="J448" s="48" t="s">
        <v>24</v>
      </c>
      <c r="K448" s="48" t="s">
        <v>22</v>
      </c>
      <c r="L448" s="48" t="s">
        <v>1132</v>
      </c>
      <c r="M448" s="48" t="s">
        <v>26</v>
      </c>
      <c r="N448" s="48" t="s">
        <v>20</v>
      </c>
      <c r="O448" s="48" t="s">
        <v>857</v>
      </c>
      <c r="P448" s="50">
        <v>30420.75</v>
      </c>
      <c r="Q448" s="50">
        <v>1</v>
      </c>
      <c r="R448" s="50">
        <v>30420.75</v>
      </c>
      <c r="S448" s="74">
        <v>45964</v>
      </c>
      <c r="T448" s="48" t="s">
        <v>621</v>
      </c>
      <c r="U448" s="48" t="s">
        <v>22</v>
      </c>
      <c r="V448" s="48" t="s">
        <v>857</v>
      </c>
      <c r="W448" s="48"/>
    </row>
    <row r="449" spans="1:23" ht="15.75" x14ac:dyDescent="0.25">
      <c r="A449" s="48" t="s">
        <v>1558</v>
      </c>
      <c r="B449" s="49">
        <v>45918</v>
      </c>
      <c r="C449" s="48" t="s">
        <v>916</v>
      </c>
      <c r="D449" s="48" t="s">
        <v>441</v>
      </c>
      <c r="E449" s="48" t="s">
        <v>856</v>
      </c>
      <c r="F449" s="48" t="s">
        <v>612</v>
      </c>
      <c r="G449" s="48" t="s">
        <v>613</v>
      </c>
      <c r="H449" s="48" t="s">
        <v>27</v>
      </c>
      <c r="I449" s="48" t="s">
        <v>1544</v>
      </c>
      <c r="J449" s="48" t="s">
        <v>24</v>
      </c>
      <c r="K449" s="48" t="s">
        <v>613</v>
      </c>
      <c r="L449" s="48" t="s">
        <v>1135</v>
      </c>
      <c r="M449" s="48" t="s">
        <v>26</v>
      </c>
      <c r="N449" s="48" t="s">
        <v>20</v>
      </c>
      <c r="O449" s="48" t="s">
        <v>378</v>
      </c>
      <c r="P449" s="50">
        <v>472000</v>
      </c>
      <c r="Q449" s="50">
        <v>1</v>
      </c>
      <c r="R449" s="50">
        <v>472000</v>
      </c>
      <c r="S449" s="74">
        <v>45963</v>
      </c>
      <c r="T449" s="48" t="s">
        <v>311</v>
      </c>
      <c r="U449" s="48" t="s">
        <v>377</v>
      </c>
      <c r="V449" s="48" t="s">
        <v>378</v>
      </c>
      <c r="W449" s="48"/>
    </row>
    <row r="450" spans="1:23" ht="15.75" x14ac:dyDescent="0.25">
      <c r="A450" s="48" t="s">
        <v>1430</v>
      </c>
      <c r="B450" s="49">
        <v>45879</v>
      </c>
      <c r="C450" s="48" t="s">
        <v>916</v>
      </c>
      <c r="D450" s="48" t="s">
        <v>441</v>
      </c>
      <c r="E450" s="48" t="s">
        <v>856</v>
      </c>
      <c r="F450" s="48" t="s">
        <v>366</v>
      </c>
      <c r="G450" s="48" t="s">
        <v>710</v>
      </c>
      <c r="H450" s="48" t="s">
        <v>27</v>
      </c>
      <c r="I450" s="48" t="s">
        <v>473</v>
      </c>
      <c r="J450" s="48" t="s">
        <v>24</v>
      </c>
      <c r="K450" s="48" t="s">
        <v>710</v>
      </c>
      <c r="L450" s="48" t="s">
        <v>1209</v>
      </c>
      <c r="M450" s="48" t="s">
        <v>26</v>
      </c>
      <c r="N450" s="48" t="s">
        <v>20</v>
      </c>
      <c r="O450" s="48" t="s">
        <v>857</v>
      </c>
      <c r="P450" s="50">
        <v>400000</v>
      </c>
      <c r="Q450" s="50">
        <v>1</v>
      </c>
      <c r="R450" s="50">
        <v>400000</v>
      </c>
      <c r="S450" s="74">
        <v>45963</v>
      </c>
      <c r="T450" s="48" t="s">
        <v>621</v>
      </c>
      <c r="U450" s="48" t="s">
        <v>367</v>
      </c>
      <c r="V450" s="48" t="s">
        <v>378</v>
      </c>
      <c r="W450" s="48"/>
    </row>
    <row r="451" spans="1:23" ht="15.75" x14ac:dyDescent="0.25">
      <c r="A451" s="48" t="s">
        <v>1438</v>
      </c>
      <c r="B451" s="49">
        <v>45874</v>
      </c>
      <c r="C451" s="48" t="s">
        <v>916</v>
      </c>
      <c r="D451" s="48" t="s">
        <v>441</v>
      </c>
      <c r="E451" s="48" t="s">
        <v>858</v>
      </c>
      <c r="F451" s="48" t="s">
        <v>366</v>
      </c>
      <c r="G451" s="48" t="s">
        <v>710</v>
      </c>
      <c r="H451" s="48" t="s">
        <v>27</v>
      </c>
      <c r="I451" s="48" t="s">
        <v>1380</v>
      </c>
      <c r="J451" s="48" t="s">
        <v>24</v>
      </c>
      <c r="K451" s="48" t="s">
        <v>710</v>
      </c>
      <c r="L451" s="48" t="s">
        <v>1209</v>
      </c>
      <c r="M451" s="48" t="s">
        <v>26</v>
      </c>
      <c r="N451" s="48" t="s">
        <v>20</v>
      </c>
      <c r="O451" s="48" t="s">
        <v>857</v>
      </c>
      <c r="P451" s="50">
        <v>524686.5</v>
      </c>
      <c r="Q451" s="50">
        <v>1</v>
      </c>
      <c r="R451" s="50">
        <v>524686.5</v>
      </c>
      <c r="S451" s="74">
        <v>45963</v>
      </c>
      <c r="T451" s="48" t="s">
        <v>621</v>
      </c>
      <c r="U451" s="48" t="s">
        <v>367</v>
      </c>
      <c r="V451" s="48" t="s">
        <v>378</v>
      </c>
      <c r="W451" s="48"/>
    </row>
    <row r="452" spans="1:23" ht="15.75" x14ac:dyDescent="0.25">
      <c r="A452" s="48" t="s">
        <v>1437</v>
      </c>
      <c r="B452" s="49">
        <v>45889</v>
      </c>
      <c r="C452" s="48" t="s">
        <v>916</v>
      </c>
      <c r="D452" s="48" t="s">
        <v>441</v>
      </c>
      <c r="E452" s="48" t="s">
        <v>856</v>
      </c>
      <c r="F452" s="48" t="s">
        <v>366</v>
      </c>
      <c r="G452" s="48" t="s">
        <v>710</v>
      </c>
      <c r="H452" s="48" t="s">
        <v>27</v>
      </c>
      <c r="I452" s="48" t="s">
        <v>1379</v>
      </c>
      <c r="J452" s="48" t="s">
        <v>24</v>
      </c>
      <c r="K452" s="48" t="s">
        <v>710</v>
      </c>
      <c r="L452" s="48" t="s">
        <v>1209</v>
      </c>
      <c r="M452" s="48" t="s">
        <v>26</v>
      </c>
      <c r="N452" s="48" t="s">
        <v>20</v>
      </c>
      <c r="O452" s="48" t="s">
        <v>857</v>
      </c>
      <c r="P452" s="50">
        <v>400000</v>
      </c>
      <c r="Q452" s="50">
        <v>1</v>
      </c>
      <c r="R452" s="50">
        <v>400000</v>
      </c>
      <c r="S452" s="74">
        <v>45963</v>
      </c>
      <c r="T452" s="48" t="s">
        <v>621</v>
      </c>
      <c r="U452" s="48" t="s">
        <v>1926</v>
      </c>
      <c r="V452" s="48" t="s">
        <v>378</v>
      </c>
      <c r="W452" s="48"/>
    </row>
    <row r="453" spans="1:23" ht="15.75" x14ac:dyDescent="0.25">
      <c r="A453" s="48" t="s">
        <v>1432</v>
      </c>
      <c r="B453" s="49">
        <v>45866</v>
      </c>
      <c r="C453" s="48" t="s">
        <v>916</v>
      </c>
      <c r="D453" s="48" t="s">
        <v>441</v>
      </c>
      <c r="E453" s="48" t="s">
        <v>856</v>
      </c>
      <c r="F453" s="48" t="s">
        <v>366</v>
      </c>
      <c r="G453" s="48" t="s">
        <v>710</v>
      </c>
      <c r="H453" s="48" t="s">
        <v>27</v>
      </c>
      <c r="I453" s="48" t="s">
        <v>1385</v>
      </c>
      <c r="J453" s="48" t="s">
        <v>24</v>
      </c>
      <c r="K453" s="48" t="s">
        <v>710</v>
      </c>
      <c r="L453" s="48" t="s">
        <v>1209</v>
      </c>
      <c r="M453" s="48" t="s">
        <v>26</v>
      </c>
      <c r="N453" s="48" t="s">
        <v>20</v>
      </c>
      <c r="O453" s="48" t="s">
        <v>857</v>
      </c>
      <c r="P453" s="50">
        <v>300000</v>
      </c>
      <c r="Q453" s="50">
        <v>1</v>
      </c>
      <c r="R453" s="50">
        <v>300000</v>
      </c>
      <c r="S453" s="74">
        <v>45960</v>
      </c>
      <c r="T453" s="48" t="s">
        <v>621</v>
      </c>
      <c r="U453" s="48" t="s">
        <v>710</v>
      </c>
      <c r="V453" s="48" t="s">
        <v>857</v>
      </c>
      <c r="W453" s="48"/>
    </row>
    <row r="454" spans="1:23" ht="15.75" x14ac:dyDescent="0.25">
      <c r="A454" s="48" t="s">
        <v>1610</v>
      </c>
      <c r="B454" s="49">
        <v>45932</v>
      </c>
      <c r="C454" s="48" t="s">
        <v>916</v>
      </c>
      <c r="D454" s="48" t="s">
        <v>3566</v>
      </c>
      <c r="E454" s="48" t="s">
        <v>856</v>
      </c>
      <c r="F454" s="48" t="s">
        <v>612</v>
      </c>
      <c r="G454" s="48" t="s">
        <v>613</v>
      </c>
      <c r="H454" s="48" t="s">
        <v>27</v>
      </c>
      <c r="I454" s="48" t="s">
        <v>1556</v>
      </c>
      <c r="J454" s="48" t="s">
        <v>72</v>
      </c>
      <c r="K454" s="48" t="s">
        <v>613</v>
      </c>
      <c r="L454" s="48" t="s">
        <v>1135</v>
      </c>
      <c r="M454" s="48" t="s">
        <v>26</v>
      </c>
      <c r="N454" s="48" t="s">
        <v>20</v>
      </c>
      <c r="O454" s="48" t="s">
        <v>378</v>
      </c>
      <c r="P454" s="50">
        <v>450632</v>
      </c>
      <c r="Q454" s="50">
        <v>1</v>
      </c>
      <c r="R454" s="50">
        <v>450632</v>
      </c>
      <c r="S454" s="74">
        <v>45960</v>
      </c>
      <c r="T454" s="48" t="s">
        <v>425</v>
      </c>
      <c r="U454" s="48" t="s">
        <v>22</v>
      </c>
      <c r="V454" s="48" t="s">
        <v>378</v>
      </c>
      <c r="W454" s="48"/>
    </row>
    <row r="455" spans="1:23" ht="15.75" x14ac:dyDescent="0.25">
      <c r="A455" s="48" t="s">
        <v>1808</v>
      </c>
      <c r="B455" s="49">
        <v>45935</v>
      </c>
      <c r="C455" s="48" t="s">
        <v>916</v>
      </c>
      <c r="D455" s="48" t="s">
        <v>1181</v>
      </c>
      <c r="E455" s="48" t="s">
        <v>858</v>
      </c>
      <c r="F455" s="48" t="s">
        <v>366</v>
      </c>
      <c r="G455" s="48" t="s">
        <v>710</v>
      </c>
      <c r="H455" s="48" t="s">
        <v>27</v>
      </c>
      <c r="I455" s="48" t="s">
        <v>1754</v>
      </c>
      <c r="J455" s="48" t="s">
        <v>1791</v>
      </c>
      <c r="K455" s="48" t="s">
        <v>81</v>
      </c>
      <c r="L455" s="48" t="s">
        <v>1139</v>
      </c>
      <c r="M455" s="48" t="s">
        <v>26</v>
      </c>
      <c r="N455" s="48" t="s">
        <v>20</v>
      </c>
      <c r="O455" s="48" t="s">
        <v>857</v>
      </c>
      <c r="P455" s="50">
        <v>699367</v>
      </c>
      <c r="Q455" s="50">
        <v>1</v>
      </c>
      <c r="R455" s="50">
        <v>699367</v>
      </c>
      <c r="S455" s="74">
        <v>45960</v>
      </c>
      <c r="T455" s="48" t="s">
        <v>1755</v>
      </c>
      <c r="U455" s="48" t="s">
        <v>377</v>
      </c>
      <c r="V455" s="48" t="s">
        <v>857</v>
      </c>
      <c r="W455" s="48"/>
    </row>
    <row r="456" spans="1:23" ht="15.75" x14ac:dyDescent="0.25">
      <c r="A456" s="48" t="s">
        <v>1417</v>
      </c>
      <c r="B456" s="49">
        <v>45928</v>
      </c>
      <c r="C456" s="48" t="s">
        <v>916</v>
      </c>
      <c r="D456" s="48" t="s">
        <v>441</v>
      </c>
      <c r="E456" s="48" t="s">
        <v>856</v>
      </c>
      <c r="F456" s="48" t="s">
        <v>95</v>
      </c>
      <c r="G456" s="48" t="s">
        <v>96</v>
      </c>
      <c r="H456" s="48" t="s">
        <v>27</v>
      </c>
      <c r="I456" s="48" t="s">
        <v>1329</v>
      </c>
      <c r="J456" s="48" t="s">
        <v>24</v>
      </c>
      <c r="K456" s="48" t="s">
        <v>22</v>
      </c>
      <c r="L456" s="48" t="s">
        <v>1132</v>
      </c>
      <c r="M456" s="48" t="s">
        <v>26</v>
      </c>
      <c r="N456" s="48" t="s">
        <v>20</v>
      </c>
      <c r="O456" s="48" t="s">
        <v>378</v>
      </c>
      <c r="P456" s="50">
        <v>524263.78</v>
      </c>
      <c r="Q456" s="50">
        <v>1</v>
      </c>
      <c r="R456" s="50">
        <v>524263.78</v>
      </c>
      <c r="S456" s="74">
        <v>45960</v>
      </c>
      <c r="T456" s="48" t="s">
        <v>621</v>
      </c>
      <c r="U456" s="48" t="s">
        <v>22</v>
      </c>
      <c r="V456" s="48" t="s">
        <v>857</v>
      </c>
      <c r="W456" s="48"/>
    </row>
    <row r="457" spans="1:23" ht="15.75" x14ac:dyDescent="0.25">
      <c r="A457" s="48" t="s">
        <v>689</v>
      </c>
      <c r="B457" s="49">
        <v>45937</v>
      </c>
      <c r="C457" s="48" t="s">
        <v>922</v>
      </c>
      <c r="D457" s="48" t="s">
        <v>1119</v>
      </c>
      <c r="E457" s="48" t="s">
        <v>858</v>
      </c>
      <c r="F457" s="48" t="s">
        <v>366</v>
      </c>
      <c r="G457" s="48" t="s">
        <v>367</v>
      </c>
      <c r="H457" s="48" t="s">
        <v>27</v>
      </c>
      <c r="I457" s="48" t="s">
        <v>690</v>
      </c>
      <c r="J457" s="48" t="s">
        <v>72</v>
      </c>
      <c r="K457" s="48" t="s">
        <v>367</v>
      </c>
      <c r="L457" s="48" t="s">
        <v>1136</v>
      </c>
      <c r="M457" s="48" t="s">
        <v>26</v>
      </c>
      <c r="N457" s="48" t="s">
        <v>20</v>
      </c>
      <c r="O457" s="48" t="s">
        <v>857</v>
      </c>
      <c r="P457" s="50">
        <v>1367465.33</v>
      </c>
      <c r="Q457" s="50">
        <v>1</v>
      </c>
      <c r="R457" s="50">
        <v>1367465.33</v>
      </c>
      <c r="S457" s="74">
        <v>45959</v>
      </c>
      <c r="T457" s="48" t="s">
        <v>311</v>
      </c>
      <c r="U457" s="48" t="s">
        <v>367</v>
      </c>
      <c r="V457" s="48" t="s">
        <v>857</v>
      </c>
      <c r="W457" s="48"/>
    </row>
    <row r="458" spans="1:23" ht="15.75" x14ac:dyDescent="0.25">
      <c r="A458" s="48" t="s">
        <v>1229</v>
      </c>
      <c r="B458" s="49">
        <v>45958</v>
      </c>
      <c r="C458" s="48" t="s">
        <v>930</v>
      </c>
      <c r="D458" s="48" t="s">
        <v>1878</v>
      </c>
      <c r="E458" s="48" t="s">
        <v>858</v>
      </c>
      <c r="F458" s="48" t="s">
        <v>366</v>
      </c>
      <c r="G458" s="48" t="s">
        <v>367</v>
      </c>
      <c r="H458" s="48" t="s">
        <v>27</v>
      </c>
      <c r="I458" s="48" t="s">
        <v>1192</v>
      </c>
      <c r="J458" s="48" t="s">
        <v>3220</v>
      </c>
      <c r="K458" s="48" t="s">
        <v>367</v>
      </c>
      <c r="L458" s="48" t="s">
        <v>1136</v>
      </c>
      <c r="M458" s="48" t="s">
        <v>191</v>
      </c>
      <c r="N458" s="48" t="s">
        <v>20</v>
      </c>
      <c r="O458" s="48" t="s">
        <v>857</v>
      </c>
      <c r="P458" s="50">
        <v>906400</v>
      </c>
      <c r="Q458" s="50">
        <v>1.0259</v>
      </c>
      <c r="R458" s="50">
        <v>929875.76</v>
      </c>
      <c r="S458" s="74">
        <v>45959</v>
      </c>
      <c r="T458" s="48" t="s">
        <v>208</v>
      </c>
      <c r="U458" s="48" t="s">
        <v>367</v>
      </c>
      <c r="V458" s="48" t="s">
        <v>857</v>
      </c>
      <c r="W458" s="48"/>
    </row>
    <row r="459" spans="1:23" ht="15.75" x14ac:dyDescent="0.25">
      <c r="A459" s="48" t="s">
        <v>1444</v>
      </c>
      <c r="B459" s="49">
        <v>45866</v>
      </c>
      <c r="C459" s="48" t="s">
        <v>916</v>
      </c>
      <c r="D459" s="48" t="s">
        <v>441</v>
      </c>
      <c r="E459" s="48" t="s">
        <v>858</v>
      </c>
      <c r="F459" s="48" t="s">
        <v>366</v>
      </c>
      <c r="G459" s="48" t="s">
        <v>710</v>
      </c>
      <c r="H459" s="48" t="s">
        <v>27</v>
      </c>
      <c r="I459" s="48" t="s">
        <v>1383</v>
      </c>
      <c r="J459" s="48" t="s">
        <v>24</v>
      </c>
      <c r="K459" s="48" t="s">
        <v>710</v>
      </c>
      <c r="L459" s="48" t="s">
        <v>1209</v>
      </c>
      <c r="M459" s="48" t="s">
        <v>26</v>
      </c>
      <c r="N459" s="48" t="s">
        <v>20</v>
      </c>
      <c r="O459" s="48" t="s">
        <v>857</v>
      </c>
      <c r="P459" s="50">
        <v>305986.77</v>
      </c>
      <c r="Q459" s="50">
        <v>1</v>
      </c>
      <c r="R459" s="50">
        <v>305986.77</v>
      </c>
      <c r="S459" s="74">
        <v>45959</v>
      </c>
      <c r="T459" s="48" t="s">
        <v>621</v>
      </c>
      <c r="U459" s="48" t="s">
        <v>710</v>
      </c>
      <c r="V459" s="48" t="s">
        <v>857</v>
      </c>
      <c r="W459" s="48"/>
    </row>
    <row r="460" spans="1:23" ht="15.75" x14ac:dyDescent="0.25">
      <c r="A460" s="48" t="s">
        <v>1424</v>
      </c>
      <c r="B460" s="49">
        <v>45924</v>
      </c>
      <c r="C460" s="48" t="s">
        <v>916</v>
      </c>
      <c r="D460" s="48" t="s">
        <v>441</v>
      </c>
      <c r="E460" s="48" t="s">
        <v>858</v>
      </c>
      <c r="F460" s="48" t="s">
        <v>95</v>
      </c>
      <c r="G460" s="48" t="s">
        <v>96</v>
      </c>
      <c r="H460" s="48" t="s">
        <v>27</v>
      </c>
      <c r="I460" s="48" t="s">
        <v>773</v>
      </c>
      <c r="J460" s="48" t="s">
        <v>24</v>
      </c>
      <c r="K460" s="48" t="s">
        <v>22</v>
      </c>
      <c r="L460" s="48" t="s">
        <v>1132</v>
      </c>
      <c r="M460" s="48" t="s">
        <v>26</v>
      </c>
      <c r="N460" s="48" t="s">
        <v>20</v>
      </c>
      <c r="O460" s="48" t="s">
        <v>378</v>
      </c>
      <c r="P460" s="50">
        <v>734118.99</v>
      </c>
      <c r="Q460" s="50">
        <v>1</v>
      </c>
      <c r="R460" s="50">
        <v>734118.99</v>
      </c>
      <c r="S460" s="74">
        <v>45959</v>
      </c>
      <c r="T460" s="48" t="s">
        <v>621</v>
      </c>
      <c r="U460" s="48" t="s">
        <v>22</v>
      </c>
      <c r="V460" s="48" t="s">
        <v>857</v>
      </c>
      <c r="W460" s="48"/>
    </row>
    <row r="461" spans="1:23" ht="15.75" x14ac:dyDescent="0.25">
      <c r="A461" s="48" t="s">
        <v>1426</v>
      </c>
      <c r="B461" s="49">
        <v>45924</v>
      </c>
      <c r="C461" s="48" t="s">
        <v>916</v>
      </c>
      <c r="D461" s="48" t="s">
        <v>441</v>
      </c>
      <c r="E461" s="48" t="s">
        <v>858</v>
      </c>
      <c r="F461" s="48" t="s">
        <v>95</v>
      </c>
      <c r="G461" s="48" t="s">
        <v>96</v>
      </c>
      <c r="H461" s="48" t="s">
        <v>27</v>
      </c>
      <c r="I461" s="48" t="s">
        <v>1320</v>
      </c>
      <c r="J461" s="48" t="s">
        <v>24</v>
      </c>
      <c r="K461" s="48" t="s">
        <v>22</v>
      </c>
      <c r="L461" s="48" t="s">
        <v>1132</v>
      </c>
      <c r="M461" s="48" t="s">
        <v>26</v>
      </c>
      <c r="N461" s="48" t="s">
        <v>20</v>
      </c>
      <c r="O461" s="48" t="s">
        <v>378</v>
      </c>
      <c r="P461" s="50">
        <v>1000000</v>
      </c>
      <c r="Q461" s="50">
        <v>1</v>
      </c>
      <c r="R461" s="50">
        <v>1000000</v>
      </c>
      <c r="S461" s="74">
        <v>45959</v>
      </c>
      <c r="T461" s="48" t="s">
        <v>621</v>
      </c>
      <c r="U461" s="48" t="s">
        <v>22</v>
      </c>
      <c r="V461" s="48" t="s">
        <v>857</v>
      </c>
      <c r="W461" s="48"/>
    </row>
    <row r="462" spans="1:23" ht="15.75" x14ac:dyDescent="0.25">
      <c r="A462" s="48" t="s">
        <v>1486</v>
      </c>
      <c r="B462" s="49">
        <v>45900</v>
      </c>
      <c r="C462" s="48" t="s">
        <v>916</v>
      </c>
      <c r="D462" s="48" t="s">
        <v>1878</v>
      </c>
      <c r="E462" s="48" t="s">
        <v>858</v>
      </c>
      <c r="F462" s="48" t="s">
        <v>366</v>
      </c>
      <c r="G462" s="48" t="s">
        <v>367</v>
      </c>
      <c r="H462" s="48" t="s">
        <v>27</v>
      </c>
      <c r="I462" s="48" t="s">
        <v>1478</v>
      </c>
      <c r="J462" s="48" t="s">
        <v>3220</v>
      </c>
      <c r="K462" s="48" t="s">
        <v>367</v>
      </c>
      <c r="L462" s="48" t="s">
        <v>1136</v>
      </c>
      <c r="M462" s="48" t="s">
        <v>26</v>
      </c>
      <c r="N462" s="48" t="s">
        <v>20</v>
      </c>
      <c r="O462" s="48" t="s">
        <v>857</v>
      </c>
      <c r="P462" s="50">
        <v>575000</v>
      </c>
      <c r="Q462" s="50">
        <v>1</v>
      </c>
      <c r="R462" s="50">
        <v>575000</v>
      </c>
      <c r="S462" s="74">
        <v>45959</v>
      </c>
      <c r="T462" s="48" t="s">
        <v>311</v>
      </c>
      <c r="U462" s="48" t="s">
        <v>367</v>
      </c>
      <c r="V462" s="48" t="s">
        <v>857</v>
      </c>
      <c r="W462" s="48"/>
    </row>
    <row r="463" spans="1:23" ht="15.75" x14ac:dyDescent="0.25">
      <c r="A463" s="48" t="s">
        <v>1767</v>
      </c>
      <c r="B463" s="49">
        <v>45957</v>
      </c>
      <c r="C463" s="48" t="s">
        <v>916</v>
      </c>
      <c r="D463" s="48" t="s">
        <v>509</v>
      </c>
      <c r="E463" s="48" t="s">
        <v>856</v>
      </c>
      <c r="F463" s="48" t="s">
        <v>21</v>
      </c>
      <c r="G463" s="48" t="s">
        <v>22</v>
      </c>
      <c r="H463" s="48" t="s">
        <v>27</v>
      </c>
      <c r="I463" s="48" t="s">
        <v>1337</v>
      </c>
      <c r="J463" s="48" t="s">
        <v>72</v>
      </c>
      <c r="K463" s="48" t="s">
        <v>511</v>
      </c>
      <c r="L463" s="48" t="s">
        <v>1236</v>
      </c>
      <c r="M463" s="48" t="s">
        <v>26</v>
      </c>
      <c r="N463" s="48" t="s">
        <v>20</v>
      </c>
      <c r="O463" s="48" t="s">
        <v>857</v>
      </c>
      <c r="P463" s="50">
        <v>183895.49</v>
      </c>
      <c r="Q463" s="50">
        <v>1</v>
      </c>
      <c r="R463" s="50">
        <v>183895.49</v>
      </c>
      <c r="S463" s="74">
        <v>45959</v>
      </c>
      <c r="T463" s="48" t="s">
        <v>1338</v>
      </c>
      <c r="U463" s="48" t="s">
        <v>22</v>
      </c>
      <c r="V463" s="48" t="s">
        <v>378</v>
      </c>
      <c r="W463" s="48"/>
    </row>
    <row r="464" spans="1:23" ht="15.75" x14ac:dyDescent="0.25">
      <c r="A464" s="48" t="s">
        <v>1569</v>
      </c>
      <c r="B464" s="49">
        <v>45911</v>
      </c>
      <c r="C464" s="48" t="s">
        <v>916</v>
      </c>
      <c r="D464" s="48" t="s">
        <v>441</v>
      </c>
      <c r="E464" s="48" t="s">
        <v>856</v>
      </c>
      <c r="F464" s="48" t="s">
        <v>612</v>
      </c>
      <c r="G464" s="48" t="s">
        <v>613</v>
      </c>
      <c r="H464" s="48" t="s">
        <v>27</v>
      </c>
      <c r="I464" s="48" t="s">
        <v>177</v>
      </c>
      <c r="J464" s="48" t="s">
        <v>24</v>
      </c>
      <c r="K464" s="48" t="s">
        <v>613</v>
      </c>
      <c r="L464" s="48" t="s">
        <v>1135</v>
      </c>
      <c r="M464" s="48" t="s">
        <v>26</v>
      </c>
      <c r="N464" s="48" t="s">
        <v>20</v>
      </c>
      <c r="O464" s="48" t="s">
        <v>378</v>
      </c>
      <c r="P464" s="50">
        <v>2595590.6</v>
      </c>
      <c r="Q464" s="50">
        <v>1</v>
      </c>
      <c r="R464" s="50">
        <v>2595590.6</v>
      </c>
      <c r="S464" s="74">
        <v>45958</v>
      </c>
      <c r="T464" s="48" t="s">
        <v>311</v>
      </c>
      <c r="U464" s="48" t="s">
        <v>22</v>
      </c>
      <c r="V464" s="48" t="s">
        <v>378</v>
      </c>
      <c r="W464" s="48"/>
    </row>
    <row r="465" spans="1:23" ht="15.75" x14ac:dyDescent="0.25">
      <c r="A465" s="48" t="s">
        <v>1127</v>
      </c>
      <c r="B465" s="49">
        <v>45953</v>
      </c>
      <c r="C465" s="48" t="s">
        <v>922</v>
      </c>
      <c r="D465" s="48" t="s">
        <v>1878</v>
      </c>
      <c r="E465" s="48" t="s">
        <v>858</v>
      </c>
      <c r="F465" s="48" t="s">
        <v>366</v>
      </c>
      <c r="G465" s="48" t="s">
        <v>367</v>
      </c>
      <c r="H465" s="48" t="s">
        <v>27</v>
      </c>
      <c r="I465" s="48" t="s">
        <v>729</v>
      </c>
      <c r="J465" s="48" t="s">
        <v>3220</v>
      </c>
      <c r="K465" s="48" t="s">
        <v>367</v>
      </c>
      <c r="L465" s="48" t="s">
        <v>1136</v>
      </c>
      <c r="M465" s="48" t="s">
        <v>191</v>
      </c>
      <c r="N465" s="48" t="s">
        <v>20</v>
      </c>
      <c r="O465" s="48" t="s">
        <v>857</v>
      </c>
      <c r="P465" s="50">
        <v>537863.22</v>
      </c>
      <c r="Q465" s="50">
        <v>1.0262</v>
      </c>
      <c r="R465" s="50">
        <v>551955.23636400001</v>
      </c>
      <c r="S465" s="74">
        <v>45958</v>
      </c>
      <c r="T465" s="48" t="s">
        <v>425</v>
      </c>
      <c r="U465" s="48" t="s">
        <v>367</v>
      </c>
      <c r="V465" s="48" t="s">
        <v>857</v>
      </c>
      <c r="W465" s="48"/>
    </row>
    <row r="466" spans="1:23" ht="15.75" x14ac:dyDescent="0.25">
      <c r="A466" s="48" t="s">
        <v>1346</v>
      </c>
      <c r="B466" s="49">
        <v>45848</v>
      </c>
      <c r="C466" s="48" t="s">
        <v>916</v>
      </c>
      <c r="D466" s="48" t="s">
        <v>441</v>
      </c>
      <c r="E466" s="48" t="s">
        <v>858</v>
      </c>
      <c r="F466" s="48" t="s">
        <v>21</v>
      </c>
      <c r="G466" s="48" t="s">
        <v>22</v>
      </c>
      <c r="H466" s="48" t="s">
        <v>27</v>
      </c>
      <c r="I466" s="48" t="s">
        <v>395</v>
      </c>
      <c r="J466" s="48" t="s">
        <v>24</v>
      </c>
      <c r="K466" s="48" t="s">
        <v>22</v>
      </c>
      <c r="L466" s="48" t="s">
        <v>1132</v>
      </c>
      <c r="M466" s="48" t="s">
        <v>26</v>
      </c>
      <c r="N466" s="48" t="s">
        <v>20</v>
      </c>
      <c r="O466" s="48" t="s">
        <v>857</v>
      </c>
      <c r="P466" s="50">
        <v>391554.28</v>
      </c>
      <c r="Q466" s="50">
        <v>1</v>
      </c>
      <c r="R466" s="50">
        <v>391554.28</v>
      </c>
      <c r="S466" s="74">
        <v>45957</v>
      </c>
      <c r="T466" s="48" t="s">
        <v>621</v>
      </c>
      <c r="U466" s="48" t="s">
        <v>22</v>
      </c>
      <c r="V466" s="48" t="s">
        <v>857</v>
      </c>
      <c r="W466" s="48"/>
    </row>
    <row r="467" spans="1:23" ht="15.75" x14ac:dyDescent="0.25">
      <c r="A467" s="48" t="s">
        <v>1344</v>
      </c>
      <c r="B467" s="49">
        <v>45859</v>
      </c>
      <c r="C467" s="48" t="s">
        <v>916</v>
      </c>
      <c r="D467" s="48" t="s">
        <v>441</v>
      </c>
      <c r="E467" s="48" t="s">
        <v>858</v>
      </c>
      <c r="F467" s="48" t="s">
        <v>21</v>
      </c>
      <c r="G467" s="48" t="s">
        <v>22</v>
      </c>
      <c r="H467" s="48" t="s">
        <v>27</v>
      </c>
      <c r="I467" s="48" t="s">
        <v>1318</v>
      </c>
      <c r="J467" s="48" t="s">
        <v>24</v>
      </c>
      <c r="K467" s="48" t="s">
        <v>22</v>
      </c>
      <c r="L467" s="48" t="s">
        <v>1132</v>
      </c>
      <c r="M467" s="48" t="s">
        <v>26</v>
      </c>
      <c r="N467" s="48" t="s">
        <v>20</v>
      </c>
      <c r="O467" s="48" t="s">
        <v>857</v>
      </c>
      <c r="P467" s="50">
        <v>613577</v>
      </c>
      <c r="Q467" s="50">
        <v>1</v>
      </c>
      <c r="R467" s="50">
        <v>613577</v>
      </c>
      <c r="S467" s="74">
        <v>45957</v>
      </c>
      <c r="T467" s="48" t="s">
        <v>621</v>
      </c>
      <c r="U467" s="48" t="s">
        <v>22</v>
      </c>
      <c r="V467" s="48" t="s">
        <v>857</v>
      </c>
      <c r="W467" s="48"/>
    </row>
    <row r="468" spans="1:23" ht="15.75" x14ac:dyDescent="0.25">
      <c r="A468" s="48" t="s">
        <v>1341</v>
      </c>
      <c r="B468" s="49">
        <v>45851</v>
      </c>
      <c r="C468" s="48" t="s">
        <v>916</v>
      </c>
      <c r="D468" s="48" t="s">
        <v>441</v>
      </c>
      <c r="E468" s="48" t="s">
        <v>856</v>
      </c>
      <c r="F468" s="48" t="s">
        <v>21</v>
      </c>
      <c r="G468" s="48" t="s">
        <v>22</v>
      </c>
      <c r="H468" s="48" t="s">
        <v>27</v>
      </c>
      <c r="I468" s="48" t="s">
        <v>766</v>
      </c>
      <c r="J468" s="48" t="s">
        <v>24</v>
      </c>
      <c r="K468" s="48" t="s">
        <v>22</v>
      </c>
      <c r="L468" s="48" t="s">
        <v>1132</v>
      </c>
      <c r="M468" s="48" t="s">
        <v>26</v>
      </c>
      <c r="N468" s="48" t="s">
        <v>20</v>
      </c>
      <c r="O468" s="48" t="s">
        <v>857</v>
      </c>
      <c r="P468" s="50">
        <v>535185.18000000005</v>
      </c>
      <c r="Q468" s="50">
        <v>1</v>
      </c>
      <c r="R468" s="50">
        <v>535185.18000000005</v>
      </c>
      <c r="S468" s="74">
        <v>45957</v>
      </c>
      <c r="T468" s="48" t="s">
        <v>621</v>
      </c>
      <c r="U468" s="48" t="s">
        <v>22</v>
      </c>
      <c r="V468" s="48" t="s">
        <v>857</v>
      </c>
      <c r="W468" s="48"/>
    </row>
    <row r="469" spans="1:23" ht="15.75" x14ac:dyDescent="0.25">
      <c r="A469" s="48" t="s">
        <v>1420</v>
      </c>
      <c r="B469" s="49">
        <v>45922</v>
      </c>
      <c r="C469" s="48" t="s">
        <v>918</v>
      </c>
      <c r="D469" s="48" t="s">
        <v>441</v>
      </c>
      <c r="E469" s="48" t="s">
        <v>858</v>
      </c>
      <c r="F469" s="48" t="s">
        <v>95</v>
      </c>
      <c r="G469" s="48" t="s">
        <v>96</v>
      </c>
      <c r="H469" s="48" t="s">
        <v>27</v>
      </c>
      <c r="I469" s="48" t="s">
        <v>177</v>
      </c>
      <c r="J469" s="48" t="s">
        <v>24</v>
      </c>
      <c r="K469" s="48" t="s">
        <v>22</v>
      </c>
      <c r="L469" s="48" t="s">
        <v>1132</v>
      </c>
      <c r="M469" s="48" t="s">
        <v>26</v>
      </c>
      <c r="N469" s="48" t="s">
        <v>20</v>
      </c>
      <c r="O469" s="48" t="s">
        <v>378</v>
      </c>
      <c r="P469" s="50">
        <v>134784.6</v>
      </c>
      <c r="Q469" s="50">
        <v>1</v>
      </c>
      <c r="R469" s="50">
        <v>134784.6</v>
      </c>
      <c r="S469" s="74">
        <v>45957</v>
      </c>
      <c r="T469" s="48" t="s">
        <v>621</v>
      </c>
      <c r="U469" s="48" t="s">
        <v>22</v>
      </c>
      <c r="V469" s="48" t="s">
        <v>857</v>
      </c>
      <c r="W469" s="48"/>
    </row>
    <row r="470" spans="1:23" ht="15.75" x14ac:dyDescent="0.25">
      <c r="A470" s="48" t="s">
        <v>736</v>
      </c>
      <c r="B470" s="49">
        <v>45806</v>
      </c>
      <c r="C470" s="48" t="s">
        <v>918</v>
      </c>
      <c r="D470" s="48" t="s">
        <v>1119</v>
      </c>
      <c r="E470" s="48" t="s">
        <v>856</v>
      </c>
      <c r="F470" s="48" t="s">
        <v>366</v>
      </c>
      <c r="G470" s="48" t="s">
        <v>367</v>
      </c>
      <c r="H470" s="48" t="s">
        <v>27</v>
      </c>
      <c r="I470" s="48" t="s">
        <v>737</v>
      </c>
      <c r="J470" s="48" t="s">
        <v>72</v>
      </c>
      <c r="K470" s="48" t="s">
        <v>367</v>
      </c>
      <c r="L470" s="48" t="s">
        <v>1136</v>
      </c>
      <c r="M470" s="48" t="s">
        <v>26</v>
      </c>
      <c r="N470" s="48" t="s">
        <v>20</v>
      </c>
      <c r="O470" s="48" t="s">
        <v>857</v>
      </c>
      <c r="P470" s="50">
        <v>2879293.46</v>
      </c>
      <c r="Q470" s="50">
        <v>1</v>
      </c>
      <c r="R470" s="50">
        <v>2879293.46</v>
      </c>
      <c r="S470" s="74">
        <v>45957</v>
      </c>
      <c r="T470" s="48" t="s">
        <v>738</v>
      </c>
      <c r="U470" s="48" t="s">
        <v>367</v>
      </c>
      <c r="V470" s="48" t="s">
        <v>857</v>
      </c>
      <c r="W470" s="48"/>
    </row>
    <row r="471" spans="1:23" ht="15.75" x14ac:dyDescent="0.25">
      <c r="A471" s="48" t="s">
        <v>1746</v>
      </c>
      <c r="B471" s="49">
        <v>45956</v>
      </c>
      <c r="C471" s="48" t="s">
        <v>916</v>
      </c>
      <c r="D471" s="48" t="s">
        <v>1727</v>
      </c>
      <c r="E471" s="48" t="s">
        <v>858</v>
      </c>
      <c r="F471" s="48" t="s">
        <v>62</v>
      </c>
      <c r="G471" s="48" t="s">
        <v>70</v>
      </c>
      <c r="H471" s="48" t="s">
        <v>70</v>
      </c>
      <c r="I471" s="48" t="s">
        <v>1705</v>
      </c>
      <c r="J471" s="48" t="s">
        <v>869</v>
      </c>
      <c r="K471" s="48" t="s">
        <v>1762</v>
      </c>
      <c r="L471" s="48" t="s">
        <v>917</v>
      </c>
      <c r="M471" s="48" t="s">
        <v>26</v>
      </c>
      <c r="N471" s="48" t="s">
        <v>20</v>
      </c>
      <c r="O471" s="48" t="s">
        <v>857</v>
      </c>
      <c r="P471" s="50">
        <v>83778</v>
      </c>
      <c r="Q471" s="50">
        <v>1</v>
      </c>
      <c r="R471" s="50">
        <v>83778</v>
      </c>
      <c r="S471" s="74">
        <v>45957</v>
      </c>
      <c r="T471" s="48" t="s">
        <v>208</v>
      </c>
      <c r="U471" s="48" t="s">
        <v>70</v>
      </c>
      <c r="V471" s="48" t="s">
        <v>857</v>
      </c>
      <c r="W471" s="48"/>
    </row>
    <row r="472" spans="1:23" ht="15.75" x14ac:dyDescent="0.25">
      <c r="A472" s="48" t="s">
        <v>1497</v>
      </c>
      <c r="B472" s="49">
        <v>45882</v>
      </c>
      <c r="C472" s="48" t="s">
        <v>916</v>
      </c>
      <c r="D472" s="48" t="s">
        <v>441</v>
      </c>
      <c r="E472" s="48" t="s">
        <v>858</v>
      </c>
      <c r="F472" s="48" t="s">
        <v>21</v>
      </c>
      <c r="G472" s="48" t="s">
        <v>22</v>
      </c>
      <c r="H472" s="48" t="s">
        <v>27</v>
      </c>
      <c r="I472" s="48" t="s">
        <v>473</v>
      </c>
      <c r="J472" s="48" t="s">
        <v>24</v>
      </c>
      <c r="K472" s="48" t="s">
        <v>407</v>
      </c>
      <c r="L472" s="48" t="s">
        <v>1131</v>
      </c>
      <c r="M472" s="48" t="s">
        <v>26</v>
      </c>
      <c r="N472" s="48" t="s">
        <v>20</v>
      </c>
      <c r="O472" s="48" t="s">
        <v>857</v>
      </c>
      <c r="P472" s="50">
        <v>300000</v>
      </c>
      <c r="Q472" s="50">
        <v>1</v>
      </c>
      <c r="R472" s="50">
        <v>300000</v>
      </c>
      <c r="S472" s="74">
        <v>45956</v>
      </c>
      <c r="T472" s="48" t="s">
        <v>621</v>
      </c>
      <c r="U472" s="48" t="s">
        <v>304</v>
      </c>
      <c r="V472" s="48" t="s">
        <v>378</v>
      </c>
      <c r="W472" s="48"/>
    </row>
    <row r="473" spans="1:23" ht="15.75" x14ac:dyDescent="0.25">
      <c r="A473" s="48" t="s">
        <v>1530</v>
      </c>
      <c r="B473" s="49">
        <v>45886</v>
      </c>
      <c r="C473" s="48" t="s">
        <v>916</v>
      </c>
      <c r="D473" s="48" t="s">
        <v>1878</v>
      </c>
      <c r="E473" s="48" t="s">
        <v>856</v>
      </c>
      <c r="F473" s="48" t="s">
        <v>366</v>
      </c>
      <c r="G473" s="48" t="s">
        <v>367</v>
      </c>
      <c r="H473" s="48" t="s">
        <v>27</v>
      </c>
      <c r="I473" s="48" t="s">
        <v>1513</v>
      </c>
      <c r="J473" s="48" t="s">
        <v>3220</v>
      </c>
      <c r="K473" s="48" t="s">
        <v>367</v>
      </c>
      <c r="L473" s="48" t="s">
        <v>1136</v>
      </c>
      <c r="M473" s="48" t="s">
        <v>26</v>
      </c>
      <c r="N473" s="48" t="s">
        <v>20</v>
      </c>
      <c r="O473" s="48" t="s">
        <v>857</v>
      </c>
      <c r="P473" s="50">
        <v>627519.39</v>
      </c>
      <c r="Q473" s="50">
        <v>1</v>
      </c>
      <c r="R473" s="50">
        <v>627519.39</v>
      </c>
      <c r="S473" s="74">
        <v>45956</v>
      </c>
      <c r="T473" s="48" t="s">
        <v>311</v>
      </c>
      <c r="U473" s="48" t="s">
        <v>367</v>
      </c>
      <c r="V473" s="48" t="s">
        <v>857</v>
      </c>
      <c r="W473" s="48"/>
    </row>
    <row r="474" spans="1:23" ht="15.75" x14ac:dyDescent="0.25">
      <c r="A474" s="48" t="s">
        <v>702</v>
      </c>
      <c r="B474" s="49">
        <v>45881</v>
      </c>
      <c r="C474" s="48" t="s">
        <v>920</v>
      </c>
      <c r="D474" s="48" t="s">
        <v>1119</v>
      </c>
      <c r="E474" s="48" t="s">
        <v>856</v>
      </c>
      <c r="F474" s="48" t="s">
        <v>95</v>
      </c>
      <c r="G474" s="48" t="s">
        <v>96</v>
      </c>
      <c r="H474" s="48" t="s">
        <v>27</v>
      </c>
      <c r="I474" s="48" t="s">
        <v>703</v>
      </c>
      <c r="J474" s="48" t="s">
        <v>704</v>
      </c>
      <c r="K474" s="48" t="s">
        <v>367</v>
      </c>
      <c r="L474" s="48" t="s">
        <v>1136</v>
      </c>
      <c r="M474" s="48" t="s">
        <v>78</v>
      </c>
      <c r="N474" s="48" t="s">
        <v>20</v>
      </c>
      <c r="O474" s="48" t="s">
        <v>857</v>
      </c>
      <c r="P474" s="50">
        <v>254774.28</v>
      </c>
      <c r="Q474" s="50">
        <v>3.75</v>
      </c>
      <c r="R474" s="50">
        <v>955403.55</v>
      </c>
      <c r="S474" s="74">
        <v>45956</v>
      </c>
      <c r="T474" s="48" t="s">
        <v>705</v>
      </c>
      <c r="U474" s="48" t="s">
        <v>367</v>
      </c>
      <c r="V474" s="48" t="s">
        <v>857</v>
      </c>
      <c r="W474" s="48"/>
    </row>
    <row r="475" spans="1:23" ht="15.75" x14ac:dyDescent="0.25">
      <c r="A475" s="48" t="s">
        <v>1310</v>
      </c>
      <c r="B475" s="49">
        <v>45846</v>
      </c>
      <c r="C475" s="48" t="s">
        <v>916</v>
      </c>
      <c r="D475" s="48" t="s">
        <v>441</v>
      </c>
      <c r="E475" s="48" t="s">
        <v>858</v>
      </c>
      <c r="F475" s="48" t="s">
        <v>21</v>
      </c>
      <c r="G475" s="48" t="s">
        <v>22</v>
      </c>
      <c r="H475" s="48" t="s">
        <v>27</v>
      </c>
      <c r="I475" s="48" t="s">
        <v>1266</v>
      </c>
      <c r="J475" s="48" t="s">
        <v>24</v>
      </c>
      <c r="K475" s="48" t="s">
        <v>22</v>
      </c>
      <c r="L475" s="48" t="s">
        <v>1132</v>
      </c>
      <c r="M475" s="48" t="s">
        <v>26</v>
      </c>
      <c r="N475" s="48" t="s">
        <v>20</v>
      </c>
      <c r="O475" s="48" t="s">
        <v>857</v>
      </c>
      <c r="P475" s="50">
        <v>300000</v>
      </c>
      <c r="Q475" s="50">
        <v>1</v>
      </c>
      <c r="R475" s="50">
        <v>300000</v>
      </c>
      <c r="S475" s="74">
        <v>45956</v>
      </c>
      <c r="T475" s="48" t="s">
        <v>621</v>
      </c>
      <c r="U475" s="48" t="s">
        <v>22</v>
      </c>
      <c r="V475" s="48" t="s">
        <v>857</v>
      </c>
      <c r="W475" s="48"/>
    </row>
    <row r="476" spans="1:23" ht="15.75" x14ac:dyDescent="0.25">
      <c r="A476" s="48" t="s">
        <v>1275</v>
      </c>
      <c r="B476" s="49">
        <v>45903</v>
      </c>
      <c r="C476" s="48" t="s">
        <v>916</v>
      </c>
      <c r="D476" s="48" t="s">
        <v>441</v>
      </c>
      <c r="E476" s="48" t="s">
        <v>858</v>
      </c>
      <c r="F476" s="48" t="s">
        <v>373</v>
      </c>
      <c r="G476" s="48" t="s">
        <v>70</v>
      </c>
      <c r="H476" s="48" t="s">
        <v>70</v>
      </c>
      <c r="I476" s="48" t="s">
        <v>1245</v>
      </c>
      <c r="J476" s="48" t="s">
        <v>24</v>
      </c>
      <c r="K476" s="48" t="s">
        <v>407</v>
      </c>
      <c r="L476" s="48" t="s">
        <v>1131</v>
      </c>
      <c r="M476" s="48" t="s">
        <v>26</v>
      </c>
      <c r="N476" s="48" t="s">
        <v>20</v>
      </c>
      <c r="O476" s="48" t="s">
        <v>857</v>
      </c>
      <c r="P476" s="50">
        <v>200000</v>
      </c>
      <c r="Q476" s="50">
        <v>1</v>
      </c>
      <c r="R476" s="50">
        <v>200000</v>
      </c>
      <c r="S476" s="74">
        <v>45956</v>
      </c>
      <c r="T476" s="48" t="s">
        <v>621</v>
      </c>
      <c r="U476" s="48" t="s">
        <v>1849</v>
      </c>
      <c r="V476" s="48" t="s">
        <v>378</v>
      </c>
      <c r="W476" s="48"/>
    </row>
    <row r="477" spans="1:23" ht="15.75" x14ac:dyDescent="0.25">
      <c r="A477" s="48" t="s">
        <v>1551</v>
      </c>
      <c r="B477" s="49">
        <v>45952</v>
      </c>
      <c r="C477" s="48" t="s">
        <v>916</v>
      </c>
      <c r="D477" s="48" t="s">
        <v>1539</v>
      </c>
      <c r="E477" s="48" t="s">
        <v>856</v>
      </c>
      <c r="F477" s="48" t="s">
        <v>21</v>
      </c>
      <c r="G477" s="48" t="s">
        <v>22</v>
      </c>
      <c r="H477" s="48" t="s">
        <v>27</v>
      </c>
      <c r="I477" s="48" t="s">
        <v>3623</v>
      </c>
      <c r="J477" s="48" t="s">
        <v>1791</v>
      </c>
      <c r="K477" s="48" t="s">
        <v>22</v>
      </c>
      <c r="L477" s="48" t="s">
        <v>1132</v>
      </c>
      <c r="M477" s="48" t="s">
        <v>67</v>
      </c>
      <c r="N477" s="48" t="s">
        <v>20</v>
      </c>
      <c r="O477" s="48" t="s">
        <v>857</v>
      </c>
      <c r="P477" s="50">
        <v>87487.54</v>
      </c>
      <c r="Q477" s="50">
        <v>4.3594999999999997</v>
      </c>
      <c r="R477" s="50">
        <v>381401.93062999996</v>
      </c>
      <c r="S477" s="74">
        <v>45953</v>
      </c>
      <c r="T477" s="48" t="s">
        <v>705</v>
      </c>
      <c r="U477" s="48" t="s">
        <v>22</v>
      </c>
      <c r="V477" s="48" t="s">
        <v>857</v>
      </c>
      <c r="W477" s="48" t="s">
        <v>2310</v>
      </c>
    </row>
    <row r="478" spans="1:23" ht="15.75" x14ac:dyDescent="0.25">
      <c r="A478" s="48" t="s">
        <v>1743</v>
      </c>
      <c r="B478" s="49">
        <v>45952</v>
      </c>
      <c r="C478" s="48" t="s">
        <v>916</v>
      </c>
      <c r="D478" s="48" t="s">
        <v>1727</v>
      </c>
      <c r="E478" s="48" t="s">
        <v>858</v>
      </c>
      <c r="F478" s="48" t="s">
        <v>62</v>
      </c>
      <c r="G478" s="48" t="s">
        <v>70</v>
      </c>
      <c r="H478" s="48" t="s">
        <v>70</v>
      </c>
      <c r="I478" s="48" t="s">
        <v>1725</v>
      </c>
      <c r="J478" s="48" t="s">
        <v>869</v>
      </c>
      <c r="K478" s="48" t="s">
        <v>1762</v>
      </c>
      <c r="L478" s="48" t="s">
        <v>917</v>
      </c>
      <c r="M478" s="48" t="s">
        <v>26</v>
      </c>
      <c r="N478" s="48" t="s">
        <v>20</v>
      </c>
      <c r="O478" s="48" t="s">
        <v>857</v>
      </c>
      <c r="P478" s="50">
        <v>86185.85</v>
      </c>
      <c r="Q478" s="50">
        <v>1</v>
      </c>
      <c r="R478" s="50">
        <v>86185.85</v>
      </c>
      <c r="S478" s="74">
        <v>45953</v>
      </c>
      <c r="T478" s="48" t="s">
        <v>208</v>
      </c>
      <c r="U478" s="48" t="s">
        <v>70</v>
      </c>
      <c r="V478" s="48" t="s">
        <v>857</v>
      </c>
      <c r="W478" s="48"/>
    </row>
    <row r="479" spans="1:23" ht="15.75" x14ac:dyDescent="0.25">
      <c r="A479" s="48" t="s">
        <v>689</v>
      </c>
      <c r="B479" s="49">
        <v>45914</v>
      </c>
      <c r="C479" s="48" t="s">
        <v>924</v>
      </c>
      <c r="D479" s="48" t="s">
        <v>1119</v>
      </c>
      <c r="E479" s="48" t="s">
        <v>858</v>
      </c>
      <c r="F479" s="48" t="s">
        <v>366</v>
      </c>
      <c r="G479" s="48" t="s">
        <v>367</v>
      </c>
      <c r="H479" s="48" t="s">
        <v>27</v>
      </c>
      <c r="I479" s="48" t="s">
        <v>690</v>
      </c>
      <c r="J479" s="48" t="s">
        <v>72</v>
      </c>
      <c r="K479" s="48" t="s">
        <v>367</v>
      </c>
      <c r="L479" s="48" t="s">
        <v>1136</v>
      </c>
      <c r="M479" s="48" t="s">
        <v>26</v>
      </c>
      <c r="N479" s="48" t="s">
        <v>20</v>
      </c>
      <c r="O479" s="48" t="s">
        <v>857</v>
      </c>
      <c r="P479" s="50">
        <v>2660497.44</v>
      </c>
      <c r="Q479" s="50">
        <v>1</v>
      </c>
      <c r="R479" s="50">
        <v>2660497.44</v>
      </c>
      <c r="S479" s="74">
        <v>45953</v>
      </c>
      <c r="T479" s="48" t="s">
        <v>311</v>
      </c>
      <c r="U479" s="48" t="s">
        <v>367</v>
      </c>
      <c r="V479" s="48" t="s">
        <v>857</v>
      </c>
      <c r="W479" s="48"/>
    </row>
    <row r="480" spans="1:23" ht="15.75" x14ac:dyDescent="0.25">
      <c r="A480" s="48" t="s">
        <v>1407</v>
      </c>
      <c r="B480" s="49">
        <v>45846</v>
      </c>
      <c r="C480" s="48" t="s">
        <v>916</v>
      </c>
      <c r="D480" s="48" t="s">
        <v>441</v>
      </c>
      <c r="E480" s="48" t="s">
        <v>858</v>
      </c>
      <c r="F480" s="48" t="s">
        <v>21</v>
      </c>
      <c r="G480" s="48" t="s">
        <v>22</v>
      </c>
      <c r="H480" s="48" t="s">
        <v>27</v>
      </c>
      <c r="I480" s="48" t="s">
        <v>1365</v>
      </c>
      <c r="J480" s="48" t="s">
        <v>24</v>
      </c>
      <c r="K480" s="48" t="s">
        <v>22</v>
      </c>
      <c r="L480" s="48" t="s">
        <v>1132</v>
      </c>
      <c r="M480" s="48" t="s">
        <v>26</v>
      </c>
      <c r="N480" s="48" t="s">
        <v>20</v>
      </c>
      <c r="O480" s="48" t="s">
        <v>857</v>
      </c>
      <c r="P480" s="50">
        <v>150000</v>
      </c>
      <c r="Q480" s="50">
        <v>1</v>
      </c>
      <c r="R480" s="50">
        <v>150000</v>
      </c>
      <c r="S480" s="74">
        <v>45953</v>
      </c>
      <c r="T480" s="48" t="s">
        <v>621</v>
      </c>
      <c r="U480" s="48" t="s">
        <v>22</v>
      </c>
      <c r="V480" s="48" t="s">
        <v>857</v>
      </c>
      <c r="W480" s="48"/>
    </row>
    <row r="481" spans="1:23" ht="15.75" x14ac:dyDescent="0.25">
      <c r="A481" s="48" t="s">
        <v>1810</v>
      </c>
      <c r="B481" s="49">
        <v>45938</v>
      </c>
      <c r="C481" s="48" t="s">
        <v>916</v>
      </c>
      <c r="D481" s="48" t="s">
        <v>3566</v>
      </c>
      <c r="E481" s="48" t="s">
        <v>858</v>
      </c>
      <c r="F481" s="48" t="s">
        <v>612</v>
      </c>
      <c r="G481" s="48" t="s">
        <v>613</v>
      </c>
      <c r="H481" s="48" t="s">
        <v>27</v>
      </c>
      <c r="I481" s="48" t="s">
        <v>1549</v>
      </c>
      <c r="J481" s="48" t="s">
        <v>72</v>
      </c>
      <c r="K481" s="48" t="s">
        <v>613</v>
      </c>
      <c r="L481" s="48" t="s">
        <v>1135</v>
      </c>
      <c r="M481" s="48" t="s">
        <v>26</v>
      </c>
      <c r="N481" s="48" t="s">
        <v>20</v>
      </c>
      <c r="O481" s="48" t="s">
        <v>857</v>
      </c>
      <c r="P481" s="50">
        <v>1210253.1000000001</v>
      </c>
      <c r="Q481" s="50">
        <v>1</v>
      </c>
      <c r="R481" s="50">
        <v>1210253.1000000001</v>
      </c>
      <c r="S481" s="74">
        <v>45952</v>
      </c>
      <c r="T481" s="48" t="s">
        <v>425</v>
      </c>
      <c r="U481" s="48" t="s">
        <v>613</v>
      </c>
      <c r="V481" s="48" t="s">
        <v>857</v>
      </c>
      <c r="W481" s="48"/>
    </row>
    <row r="482" spans="1:23" ht="15.75" x14ac:dyDescent="0.25">
      <c r="A482" s="48" t="s">
        <v>1851</v>
      </c>
      <c r="B482" s="49">
        <v>45936</v>
      </c>
      <c r="C482" s="48" t="s">
        <v>916</v>
      </c>
      <c r="D482" s="48" t="s">
        <v>1878</v>
      </c>
      <c r="E482" s="48" t="s">
        <v>858</v>
      </c>
      <c r="F482" s="48" t="s">
        <v>366</v>
      </c>
      <c r="G482" s="48" t="s">
        <v>367</v>
      </c>
      <c r="H482" s="48" t="s">
        <v>27</v>
      </c>
      <c r="I482" s="48" t="s">
        <v>1826</v>
      </c>
      <c r="J482" s="48" t="s">
        <v>3220</v>
      </c>
      <c r="K482" s="48" t="s">
        <v>367</v>
      </c>
      <c r="L482" s="48" t="s">
        <v>1136</v>
      </c>
      <c r="M482" s="48" t="s">
        <v>26</v>
      </c>
      <c r="N482" s="48" t="s">
        <v>20</v>
      </c>
      <c r="O482" s="48" t="s">
        <v>857</v>
      </c>
      <c r="P482" s="50">
        <v>1000000</v>
      </c>
      <c r="Q482" s="50">
        <v>1</v>
      </c>
      <c r="R482" s="50">
        <v>1000000</v>
      </c>
      <c r="S482" s="74">
        <v>45952</v>
      </c>
      <c r="T482" s="48" t="s">
        <v>1827</v>
      </c>
      <c r="U482" s="48" t="s">
        <v>367</v>
      </c>
      <c r="V482" s="48" t="s">
        <v>857</v>
      </c>
      <c r="W482" s="48"/>
    </row>
    <row r="483" spans="1:23" ht="15.75" x14ac:dyDescent="0.25">
      <c r="A483" s="48" t="s">
        <v>1753</v>
      </c>
      <c r="B483" s="49">
        <v>45951</v>
      </c>
      <c r="C483" s="48" t="s">
        <v>916</v>
      </c>
      <c r="D483" s="48" t="s">
        <v>1727</v>
      </c>
      <c r="E483" s="48" t="s">
        <v>858</v>
      </c>
      <c r="F483" s="48" t="s">
        <v>62</v>
      </c>
      <c r="G483" s="48" t="s">
        <v>70</v>
      </c>
      <c r="H483" s="48" t="s">
        <v>70</v>
      </c>
      <c r="I483" s="48" t="s">
        <v>1719</v>
      </c>
      <c r="J483" s="48" t="s">
        <v>869</v>
      </c>
      <c r="K483" s="48" t="s">
        <v>1762</v>
      </c>
      <c r="L483" s="48" t="s">
        <v>917</v>
      </c>
      <c r="M483" s="48" t="s">
        <v>26</v>
      </c>
      <c r="N483" s="48" t="s">
        <v>20</v>
      </c>
      <c r="O483" s="48" t="s">
        <v>857</v>
      </c>
      <c r="P483" s="50">
        <v>500000</v>
      </c>
      <c r="Q483" s="50">
        <v>1</v>
      </c>
      <c r="R483" s="50">
        <v>500000</v>
      </c>
      <c r="S483" s="74">
        <v>45952</v>
      </c>
      <c r="T483" s="48" t="s">
        <v>208</v>
      </c>
      <c r="U483" s="48" t="s">
        <v>70</v>
      </c>
      <c r="V483" s="48" t="s">
        <v>857</v>
      </c>
      <c r="W483" s="48"/>
    </row>
    <row r="484" spans="1:23" ht="15.75" x14ac:dyDescent="0.25">
      <c r="A484" s="48" t="s">
        <v>1340</v>
      </c>
      <c r="B484" s="49">
        <v>45855</v>
      </c>
      <c r="C484" s="48" t="s">
        <v>916</v>
      </c>
      <c r="D484" s="48" t="s">
        <v>441</v>
      </c>
      <c r="E484" s="48" t="s">
        <v>858</v>
      </c>
      <c r="F484" s="48" t="s">
        <v>21</v>
      </c>
      <c r="G484" s="48" t="s">
        <v>22</v>
      </c>
      <c r="H484" s="48" t="s">
        <v>27</v>
      </c>
      <c r="I484" s="48" t="s">
        <v>1321</v>
      </c>
      <c r="J484" s="48" t="s">
        <v>24</v>
      </c>
      <c r="K484" s="48" t="s">
        <v>22</v>
      </c>
      <c r="L484" s="48" t="s">
        <v>1132</v>
      </c>
      <c r="M484" s="48" t="s">
        <v>26</v>
      </c>
      <c r="N484" s="48" t="s">
        <v>20</v>
      </c>
      <c r="O484" s="48" t="s">
        <v>857</v>
      </c>
      <c r="P484" s="50">
        <v>167967.5</v>
      </c>
      <c r="Q484" s="50">
        <v>1</v>
      </c>
      <c r="R484" s="50">
        <v>167967.5</v>
      </c>
      <c r="S484" s="74">
        <v>45952</v>
      </c>
      <c r="T484" s="48" t="s">
        <v>621</v>
      </c>
      <c r="U484" s="48" t="s">
        <v>22</v>
      </c>
      <c r="V484" s="48" t="s">
        <v>857</v>
      </c>
      <c r="W484" s="48"/>
    </row>
    <row r="485" spans="1:23" ht="15.75" x14ac:dyDescent="0.25">
      <c r="A485" s="48" t="s">
        <v>1406</v>
      </c>
      <c r="B485" s="49">
        <v>45848</v>
      </c>
      <c r="C485" s="48" t="s">
        <v>916</v>
      </c>
      <c r="D485" s="48" t="s">
        <v>441</v>
      </c>
      <c r="E485" s="48" t="s">
        <v>858</v>
      </c>
      <c r="F485" s="48" t="s">
        <v>21</v>
      </c>
      <c r="G485" s="48" t="s">
        <v>22</v>
      </c>
      <c r="H485" s="48" t="s">
        <v>27</v>
      </c>
      <c r="I485" s="48" t="s">
        <v>1364</v>
      </c>
      <c r="J485" s="48" t="s">
        <v>24</v>
      </c>
      <c r="K485" s="48" t="s">
        <v>22</v>
      </c>
      <c r="L485" s="48" t="s">
        <v>1132</v>
      </c>
      <c r="M485" s="48" t="s">
        <v>26</v>
      </c>
      <c r="N485" s="48" t="s">
        <v>20</v>
      </c>
      <c r="O485" s="48" t="s">
        <v>857</v>
      </c>
      <c r="P485" s="50">
        <v>200000</v>
      </c>
      <c r="Q485" s="50">
        <v>1</v>
      </c>
      <c r="R485" s="50">
        <v>200000</v>
      </c>
      <c r="S485" s="74">
        <v>45952</v>
      </c>
      <c r="T485" s="48" t="s">
        <v>621</v>
      </c>
      <c r="U485" s="48" t="s">
        <v>22</v>
      </c>
      <c r="V485" s="48" t="s">
        <v>857</v>
      </c>
      <c r="W485" s="48"/>
    </row>
    <row r="486" spans="1:23" ht="15.75" x14ac:dyDescent="0.25">
      <c r="A486" s="48" t="s">
        <v>1229</v>
      </c>
      <c r="B486" s="49">
        <v>45950</v>
      </c>
      <c r="C486" s="48" t="s">
        <v>929</v>
      </c>
      <c r="D486" s="48" t="s">
        <v>1878</v>
      </c>
      <c r="E486" s="48" t="s">
        <v>856</v>
      </c>
      <c r="F486" s="48" t="s">
        <v>366</v>
      </c>
      <c r="G486" s="48" t="s">
        <v>367</v>
      </c>
      <c r="H486" s="48" t="s">
        <v>27</v>
      </c>
      <c r="I486" s="48" t="s">
        <v>1192</v>
      </c>
      <c r="J486" s="48" t="s">
        <v>3220</v>
      </c>
      <c r="K486" s="48" t="s">
        <v>367</v>
      </c>
      <c r="L486" s="48" t="s">
        <v>1136</v>
      </c>
      <c r="M486" s="48" t="s">
        <v>191</v>
      </c>
      <c r="N486" s="48" t="s">
        <v>20</v>
      </c>
      <c r="O486" s="48" t="s">
        <v>857</v>
      </c>
      <c r="P486" s="50">
        <v>532000</v>
      </c>
      <c r="Q486" s="50">
        <v>1.0259</v>
      </c>
      <c r="R486" s="50">
        <v>545778.80000000005</v>
      </c>
      <c r="S486" s="74">
        <v>45952</v>
      </c>
      <c r="T486" s="48" t="s">
        <v>208</v>
      </c>
      <c r="U486" s="48" t="s">
        <v>367</v>
      </c>
      <c r="V486" s="48" t="s">
        <v>857</v>
      </c>
      <c r="W486" s="48"/>
    </row>
    <row r="487" spans="1:23" ht="15.75" x14ac:dyDescent="0.25">
      <c r="A487" s="48" t="s">
        <v>1314</v>
      </c>
      <c r="B487" s="49">
        <v>45855</v>
      </c>
      <c r="C487" s="48" t="s">
        <v>916</v>
      </c>
      <c r="D487" s="48" t="s">
        <v>441</v>
      </c>
      <c r="E487" s="48" t="s">
        <v>858</v>
      </c>
      <c r="F487" s="48" t="s">
        <v>21</v>
      </c>
      <c r="G487" s="48" t="s">
        <v>22</v>
      </c>
      <c r="H487" s="48" t="s">
        <v>27</v>
      </c>
      <c r="I487" s="48" t="s">
        <v>1263</v>
      </c>
      <c r="J487" s="48" t="s">
        <v>24</v>
      </c>
      <c r="K487" s="48" t="s">
        <v>22</v>
      </c>
      <c r="L487" s="48" t="s">
        <v>1132</v>
      </c>
      <c r="M487" s="48" t="s">
        <v>26</v>
      </c>
      <c r="N487" s="48" t="s">
        <v>20</v>
      </c>
      <c r="O487" s="48" t="s">
        <v>857</v>
      </c>
      <c r="P487" s="50">
        <v>780320.25</v>
      </c>
      <c r="Q487" s="50">
        <v>1</v>
      </c>
      <c r="R487" s="50">
        <v>780320.25</v>
      </c>
      <c r="S487" s="74">
        <v>45952</v>
      </c>
      <c r="T487" s="48" t="s">
        <v>621</v>
      </c>
      <c r="U487" s="48" t="s">
        <v>22</v>
      </c>
      <c r="V487" s="48" t="s">
        <v>857</v>
      </c>
      <c r="W487" s="48"/>
    </row>
    <row r="488" spans="1:23" ht="15.75" x14ac:dyDescent="0.25">
      <c r="A488" s="48" t="s">
        <v>1349</v>
      </c>
      <c r="B488" s="49">
        <v>45853</v>
      </c>
      <c r="C488" s="48" t="s">
        <v>916</v>
      </c>
      <c r="D488" s="48" t="s">
        <v>441</v>
      </c>
      <c r="E488" s="48" t="s">
        <v>856</v>
      </c>
      <c r="F488" s="48" t="s">
        <v>21</v>
      </c>
      <c r="G488" s="48" t="s">
        <v>22</v>
      </c>
      <c r="H488" s="48" t="s">
        <v>27</v>
      </c>
      <c r="I488" s="48" t="s">
        <v>758</v>
      </c>
      <c r="J488" s="48" t="s">
        <v>24</v>
      </c>
      <c r="K488" s="48" t="s">
        <v>22</v>
      </c>
      <c r="L488" s="48" t="s">
        <v>1132</v>
      </c>
      <c r="M488" s="48" t="s">
        <v>26</v>
      </c>
      <c r="N488" s="48" t="s">
        <v>20</v>
      </c>
      <c r="O488" s="48" t="s">
        <v>857</v>
      </c>
      <c r="P488" s="50">
        <v>124712.48</v>
      </c>
      <c r="Q488" s="50">
        <v>1</v>
      </c>
      <c r="R488" s="50">
        <v>124712.48</v>
      </c>
      <c r="S488" s="74">
        <v>45952</v>
      </c>
      <c r="T488" s="48" t="s">
        <v>621</v>
      </c>
      <c r="U488" s="48" t="s">
        <v>22</v>
      </c>
      <c r="V488" s="48" t="s">
        <v>857</v>
      </c>
      <c r="W488" s="48"/>
    </row>
    <row r="489" spans="1:23" ht="15.75" x14ac:dyDescent="0.25">
      <c r="A489" s="48" t="s">
        <v>1351</v>
      </c>
      <c r="B489" s="49">
        <v>45855</v>
      </c>
      <c r="C489" s="48" t="s">
        <v>916</v>
      </c>
      <c r="D489" s="48" t="s">
        <v>441</v>
      </c>
      <c r="E489" s="48" t="s">
        <v>858</v>
      </c>
      <c r="F489" s="48" t="s">
        <v>21</v>
      </c>
      <c r="G489" s="48" t="s">
        <v>22</v>
      </c>
      <c r="H489" s="48" t="s">
        <v>27</v>
      </c>
      <c r="I489" s="48" t="s">
        <v>1789</v>
      </c>
      <c r="J489" s="48" t="s">
        <v>24</v>
      </c>
      <c r="K489" s="48" t="s">
        <v>22</v>
      </c>
      <c r="L489" s="48" t="s">
        <v>1132</v>
      </c>
      <c r="M489" s="48" t="s">
        <v>26</v>
      </c>
      <c r="N489" s="48" t="s">
        <v>20</v>
      </c>
      <c r="O489" s="48" t="s">
        <v>857</v>
      </c>
      <c r="P489" s="50">
        <v>335475.96000000002</v>
      </c>
      <c r="Q489" s="50">
        <v>1</v>
      </c>
      <c r="R489" s="50">
        <v>335475.96000000002</v>
      </c>
      <c r="S489" s="74">
        <v>45952</v>
      </c>
      <c r="T489" s="48" t="s">
        <v>621</v>
      </c>
      <c r="U489" s="48" t="s">
        <v>22</v>
      </c>
      <c r="V489" s="48" t="s">
        <v>857</v>
      </c>
      <c r="W489" s="48"/>
    </row>
    <row r="490" spans="1:23" ht="15.75" x14ac:dyDescent="0.25">
      <c r="A490" s="48" t="s">
        <v>1294</v>
      </c>
      <c r="B490" s="49">
        <v>45925</v>
      </c>
      <c r="C490" s="48" t="s">
        <v>916</v>
      </c>
      <c r="D490" s="48" t="s">
        <v>509</v>
      </c>
      <c r="E490" s="48" t="s">
        <v>858</v>
      </c>
      <c r="F490" s="48" t="s">
        <v>373</v>
      </c>
      <c r="G490" s="48" t="s">
        <v>70</v>
      </c>
      <c r="H490" s="48" t="s">
        <v>70</v>
      </c>
      <c r="I490" s="48" t="s">
        <v>1252</v>
      </c>
      <c r="J490" s="48" t="s">
        <v>72</v>
      </c>
      <c r="K490" s="48" t="s">
        <v>511</v>
      </c>
      <c r="L490" s="48" t="s">
        <v>1236</v>
      </c>
      <c r="M490" s="48" t="s">
        <v>26</v>
      </c>
      <c r="N490" s="48" t="s">
        <v>20</v>
      </c>
      <c r="O490" s="48" t="s">
        <v>857</v>
      </c>
      <c r="P490" s="50">
        <v>1233769.43</v>
      </c>
      <c r="Q490" s="50">
        <v>1</v>
      </c>
      <c r="R490" s="50">
        <v>1233769.43</v>
      </c>
      <c r="S490" s="74">
        <v>45950</v>
      </c>
      <c r="T490" s="48" t="s">
        <v>621</v>
      </c>
      <c r="U490" s="48" t="s">
        <v>1849</v>
      </c>
      <c r="V490" s="48" t="s">
        <v>378</v>
      </c>
      <c r="W490" s="48"/>
    </row>
    <row r="491" spans="1:23" ht="15.75" x14ac:dyDescent="0.25">
      <c r="A491" s="48" t="s">
        <v>1738</v>
      </c>
      <c r="B491" s="49">
        <v>45949</v>
      </c>
      <c r="C491" s="48" t="s">
        <v>916</v>
      </c>
      <c r="D491" s="48" t="s">
        <v>1727</v>
      </c>
      <c r="E491" s="48" t="s">
        <v>858</v>
      </c>
      <c r="F491" s="48" t="s">
        <v>62</v>
      </c>
      <c r="G491" s="48" t="s">
        <v>70</v>
      </c>
      <c r="H491" s="48" t="s">
        <v>70</v>
      </c>
      <c r="I491" s="48" t="s">
        <v>1717</v>
      </c>
      <c r="J491" s="48" t="s">
        <v>869</v>
      </c>
      <c r="K491" s="48" t="s">
        <v>1762</v>
      </c>
      <c r="L491" s="48" t="s">
        <v>917</v>
      </c>
      <c r="M491" s="48" t="s">
        <v>26</v>
      </c>
      <c r="N491" s="48" t="s">
        <v>20</v>
      </c>
      <c r="O491" s="48" t="s">
        <v>857</v>
      </c>
      <c r="P491" s="50">
        <v>303062.95</v>
      </c>
      <c r="Q491" s="50">
        <v>1</v>
      </c>
      <c r="R491" s="50">
        <v>303062.95</v>
      </c>
      <c r="S491" s="74">
        <v>45950</v>
      </c>
      <c r="T491" s="48" t="s">
        <v>208</v>
      </c>
      <c r="U491" s="48" t="s">
        <v>70</v>
      </c>
      <c r="V491" s="48" t="s">
        <v>857</v>
      </c>
      <c r="W491" s="48" t="s">
        <v>2256</v>
      </c>
    </row>
    <row r="492" spans="1:23" ht="15.75" x14ac:dyDescent="0.25">
      <c r="A492" s="48" t="s">
        <v>580</v>
      </c>
      <c r="B492" s="49">
        <v>45909</v>
      </c>
      <c r="C492" s="48" t="s">
        <v>918</v>
      </c>
      <c r="D492" s="48" t="s">
        <v>441</v>
      </c>
      <c r="E492" s="48" t="s">
        <v>856</v>
      </c>
      <c r="F492" s="48" t="s">
        <v>373</v>
      </c>
      <c r="G492" s="48" t="s">
        <v>70</v>
      </c>
      <c r="H492" s="48" t="s">
        <v>70</v>
      </c>
      <c r="I492" s="48" t="s">
        <v>177</v>
      </c>
      <c r="J492" s="48" t="s">
        <v>24</v>
      </c>
      <c r="K492" s="48" t="s">
        <v>22</v>
      </c>
      <c r="L492" s="48" t="s">
        <v>1132</v>
      </c>
      <c r="M492" s="48" t="s">
        <v>26</v>
      </c>
      <c r="N492" s="48" t="s">
        <v>20</v>
      </c>
      <c r="O492" s="48" t="s">
        <v>857</v>
      </c>
      <c r="P492" s="50">
        <v>150129.60999999999</v>
      </c>
      <c r="Q492" s="50">
        <v>1</v>
      </c>
      <c r="R492" s="50">
        <v>150129.60999999999</v>
      </c>
      <c r="S492" s="74">
        <v>45950</v>
      </c>
      <c r="T492" s="48" t="s">
        <v>311</v>
      </c>
      <c r="U492" s="48" t="s">
        <v>1849</v>
      </c>
      <c r="V492" s="48" t="s">
        <v>378</v>
      </c>
      <c r="W492" s="48"/>
    </row>
    <row r="493" spans="1:23" ht="15.75" x14ac:dyDescent="0.25">
      <c r="A493" s="48" t="s">
        <v>834</v>
      </c>
      <c r="B493" s="49">
        <v>45889</v>
      </c>
      <c r="C493" s="48" t="s">
        <v>918</v>
      </c>
      <c r="D493" s="48" t="s">
        <v>441</v>
      </c>
      <c r="E493" s="48" t="s">
        <v>856</v>
      </c>
      <c r="F493" s="48" t="s">
        <v>612</v>
      </c>
      <c r="G493" s="48" t="s">
        <v>613</v>
      </c>
      <c r="H493" s="48" t="s">
        <v>27</v>
      </c>
      <c r="I493" s="48" t="s">
        <v>155</v>
      </c>
      <c r="J493" s="48" t="s">
        <v>24</v>
      </c>
      <c r="K493" s="48" t="s">
        <v>613</v>
      </c>
      <c r="L493" s="48" t="s">
        <v>1135</v>
      </c>
      <c r="M493" s="48" t="s">
        <v>26</v>
      </c>
      <c r="N493" s="48" t="s">
        <v>20</v>
      </c>
      <c r="O493" s="48" t="s">
        <v>857</v>
      </c>
      <c r="P493" s="50">
        <v>55597.26</v>
      </c>
      <c r="Q493" s="50">
        <v>1</v>
      </c>
      <c r="R493" s="50">
        <v>55597.26</v>
      </c>
      <c r="S493" s="74">
        <v>45950</v>
      </c>
      <c r="T493" s="48" t="s">
        <v>425</v>
      </c>
      <c r="U493" s="48" t="s">
        <v>613</v>
      </c>
      <c r="V493" s="48" t="s">
        <v>857</v>
      </c>
      <c r="W493" s="48"/>
    </row>
    <row r="494" spans="1:23" ht="15.75" x14ac:dyDescent="0.25">
      <c r="A494" s="48" t="s">
        <v>1778</v>
      </c>
      <c r="B494" s="49">
        <v>45945</v>
      </c>
      <c r="C494" s="48" t="s">
        <v>916</v>
      </c>
      <c r="D494" s="48" t="s">
        <v>1727</v>
      </c>
      <c r="E494" s="48" t="s">
        <v>858</v>
      </c>
      <c r="F494" s="48" t="s">
        <v>62</v>
      </c>
      <c r="G494" s="48" t="s">
        <v>70</v>
      </c>
      <c r="H494" s="48" t="s">
        <v>70</v>
      </c>
      <c r="I494" s="48" t="s">
        <v>1720</v>
      </c>
      <c r="J494" s="48" t="s">
        <v>869</v>
      </c>
      <c r="K494" s="48" t="s">
        <v>1762</v>
      </c>
      <c r="L494" s="48" t="s">
        <v>917</v>
      </c>
      <c r="M494" s="48" t="s">
        <v>26</v>
      </c>
      <c r="N494" s="48" t="s">
        <v>20</v>
      </c>
      <c r="O494" s="48" t="s">
        <v>857</v>
      </c>
      <c r="P494" s="50">
        <v>711169</v>
      </c>
      <c r="Q494" s="50">
        <v>1</v>
      </c>
      <c r="R494" s="50">
        <v>711169</v>
      </c>
      <c r="S494" s="74">
        <v>45949</v>
      </c>
      <c r="T494" s="48" t="s">
        <v>208</v>
      </c>
      <c r="U494" s="48" t="s">
        <v>70</v>
      </c>
      <c r="V494" s="48" t="s">
        <v>857</v>
      </c>
      <c r="W494" s="48"/>
    </row>
    <row r="495" spans="1:23" ht="15.75" x14ac:dyDescent="0.25">
      <c r="A495" s="48" t="s">
        <v>632</v>
      </c>
      <c r="B495" s="49">
        <v>45893</v>
      </c>
      <c r="C495" s="48" t="s">
        <v>916</v>
      </c>
      <c r="D495" s="48" t="s">
        <v>441</v>
      </c>
      <c r="E495" s="48" t="s">
        <v>858</v>
      </c>
      <c r="F495" s="48" t="s">
        <v>95</v>
      </c>
      <c r="G495" s="48" t="s">
        <v>96</v>
      </c>
      <c r="H495" s="48" t="s">
        <v>27</v>
      </c>
      <c r="I495" s="48" t="s">
        <v>582</v>
      </c>
      <c r="J495" s="48" t="s">
        <v>24</v>
      </c>
      <c r="K495" s="48" t="s">
        <v>22</v>
      </c>
      <c r="L495" s="48" t="s">
        <v>1132</v>
      </c>
      <c r="M495" s="48" t="s">
        <v>26</v>
      </c>
      <c r="N495" s="48" t="s">
        <v>20</v>
      </c>
      <c r="O495" s="48" t="s">
        <v>378</v>
      </c>
      <c r="P495" s="50">
        <v>712597.7</v>
      </c>
      <c r="Q495" s="50">
        <v>1</v>
      </c>
      <c r="R495" s="50">
        <v>712597.7</v>
      </c>
      <c r="S495" s="74">
        <v>45949</v>
      </c>
      <c r="T495" s="48" t="s">
        <v>311</v>
      </c>
      <c r="U495" s="48" t="s">
        <v>22</v>
      </c>
      <c r="V495" s="48" t="s">
        <v>857</v>
      </c>
      <c r="W495" s="48"/>
    </row>
    <row r="496" spans="1:23" ht="15.75" x14ac:dyDescent="0.25">
      <c r="A496" s="48" t="s">
        <v>1280</v>
      </c>
      <c r="B496" s="49">
        <v>45876</v>
      </c>
      <c r="C496" s="48" t="s">
        <v>916</v>
      </c>
      <c r="D496" s="48" t="s">
        <v>441</v>
      </c>
      <c r="E496" s="48" t="s">
        <v>858</v>
      </c>
      <c r="F496" s="48" t="s">
        <v>373</v>
      </c>
      <c r="G496" s="48" t="s">
        <v>70</v>
      </c>
      <c r="H496" s="48" t="s">
        <v>70</v>
      </c>
      <c r="I496" s="48" t="s">
        <v>1239</v>
      </c>
      <c r="J496" s="48" t="s">
        <v>24</v>
      </c>
      <c r="K496" s="48" t="s">
        <v>407</v>
      </c>
      <c r="L496" s="48" t="s">
        <v>1131</v>
      </c>
      <c r="M496" s="48" t="s">
        <v>26</v>
      </c>
      <c r="N496" s="48" t="s">
        <v>20</v>
      </c>
      <c r="O496" s="48" t="s">
        <v>857</v>
      </c>
      <c r="P496" s="50">
        <v>292258.94</v>
      </c>
      <c r="Q496" s="50">
        <v>1</v>
      </c>
      <c r="R496" s="50">
        <v>292258.94</v>
      </c>
      <c r="S496" s="74">
        <v>45949</v>
      </c>
      <c r="T496" s="48" t="s">
        <v>621</v>
      </c>
      <c r="U496" s="48" t="s">
        <v>1849</v>
      </c>
      <c r="V496" s="48" t="s">
        <v>378</v>
      </c>
      <c r="W496" s="48"/>
    </row>
    <row r="497" spans="1:23" ht="15.75" x14ac:dyDescent="0.25">
      <c r="A497" s="48" t="s">
        <v>1435</v>
      </c>
      <c r="B497" s="49">
        <v>45861</v>
      </c>
      <c r="C497" s="48" t="s">
        <v>916</v>
      </c>
      <c r="D497" s="48" t="s">
        <v>441</v>
      </c>
      <c r="E497" s="48" t="s">
        <v>858</v>
      </c>
      <c r="F497" s="48" t="s">
        <v>366</v>
      </c>
      <c r="G497" s="48" t="s">
        <v>710</v>
      </c>
      <c r="H497" s="48" t="s">
        <v>27</v>
      </c>
      <c r="I497" s="48" t="s">
        <v>1384</v>
      </c>
      <c r="J497" s="48" t="s">
        <v>24</v>
      </c>
      <c r="K497" s="48" t="s">
        <v>710</v>
      </c>
      <c r="L497" s="48" t="s">
        <v>1209</v>
      </c>
      <c r="M497" s="48" t="s">
        <v>26</v>
      </c>
      <c r="N497" s="48" t="s">
        <v>20</v>
      </c>
      <c r="O497" s="48" t="s">
        <v>857</v>
      </c>
      <c r="P497" s="50">
        <v>894240</v>
      </c>
      <c r="Q497" s="50">
        <v>1</v>
      </c>
      <c r="R497" s="50">
        <v>894240</v>
      </c>
      <c r="S497" s="74">
        <v>45949</v>
      </c>
      <c r="T497" s="48" t="s">
        <v>621</v>
      </c>
      <c r="U497" s="48" t="s">
        <v>367</v>
      </c>
      <c r="V497" s="48" t="s">
        <v>378</v>
      </c>
      <c r="W497" s="48"/>
    </row>
    <row r="498" spans="1:23" ht="15.75" x14ac:dyDescent="0.25">
      <c r="A498" s="48" t="s">
        <v>723</v>
      </c>
      <c r="B498" s="49">
        <v>45876</v>
      </c>
      <c r="C498" s="48" t="s">
        <v>916</v>
      </c>
      <c r="D498" s="48" t="s">
        <v>441</v>
      </c>
      <c r="E498" s="48" t="s">
        <v>858</v>
      </c>
      <c r="F498" s="48" t="s">
        <v>612</v>
      </c>
      <c r="G498" s="48" t="s">
        <v>613</v>
      </c>
      <c r="H498" s="48" t="s">
        <v>27</v>
      </c>
      <c r="I498" s="48" t="s">
        <v>724</v>
      </c>
      <c r="J498" s="48" t="s">
        <v>24</v>
      </c>
      <c r="K498" s="48" t="s">
        <v>613</v>
      </c>
      <c r="L498" s="48" t="s">
        <v>1135</v>
      </c>
      <c r="M498" s="48" t="s">
        <v>26</v>
      </c>
      <c r="N498" s="48" t="s">
        <v>20</v>
      </c>
      <c r="O498" s="48" t="s">
        <v>378</v>
      </c>
      <c r="P498" s="50">
        <v>502268.01</v>
      </c>
      <c r="Q498" s="50">
        <v>1</v>
      </c>
      <c r="R498" s="50">
        <v>502268.01</v>
      </c>
      <c r="S498" s="74">
        <v>45949</v>
      </c>
      <c r="T498" s="48" t="s">
        <v>311</v>
      </c>
      <c r="U498" s="48" t="s">
        <v>613</v>
      </c>
      <c r="V498" s="48" t="s">
        <v>857</v>
      </c>
      <c r="W498" s="48"/>
    </row>
    <row r="499" spans="1:23" ht="15.75" x14ac:dyDescent="0.25">
      <c r="A499" s="48" t="s">
        <v>1409</v>
      </c>
      <c r="B499" s="49">
        <v>45853</v>
      </c>
      <c r="C499" s="48" t="s">
        <v>916</v>
      </c>
      <c r="D499" s="48" t="s">
        <v>441</v>
      </c>
      <c r="E499" s="48" t="s">
        <v>858</v>
      </c>
      <c r="F499" s="48" t="s">
        <v>21</v>
      </c>
      <c r="G499" s="48" t="s">
        <v>22</v>
      </c>
      <c r="H499" s="48" t="s">
        <v>27</v>
      </c>
      <c r="I499" s="48" t="s">
        <v>1359</v>
      </c>
      <c r="J499" s="48" t="s">
        <v>24</v>
      </c>
      <c r="K499" s="48" t="s">
        <v>22</v>
      </c>
      <c r="L499" s="48" t="s">
        <v>1132</v>
      </c>
      <c r="M499" s="48" t="s">
        <v>26</v>
      </c>
      <c r="N499" s="48" t="s">
        <v>20</v>
      </c>
      <c r="O499" s="48" t="s">
        <v>857</v>
      </c>
      <c r="P499" s="50">
        <v>300000</v>
      </c>
      <c r="Q499" s="50">
        <v>1</v>
      </c>
      <c r="R499" s="50">
        <v>300000</v>
      </c>
      <c r="S499" s="74">
        <v>45946</v>
      </c>
      <c r="T499" s="48" t="s">
        <v>621</v>
      </c>
      <c r="U499" s="48" t="s">
        <v>22</v>
      </c>
      <c r="V499" s="48" t="s">
        <v>857</v>
      </c>
      <c r="W499" s="48"/>
    </row>
    <row r="500" spans="1:23" ht="15.75" x14ac:dyDescent="0.25">
      <c r="A500" s="48" t="s">
        <v>1739</v>
      </c>
      <c r="B500" s="49">
        <v>45943</v>
      </c>
      <c r="C500" s="48" t="s">
        <v>916</v>
      </c>
      <c r="D500" s="48" t="s">
        <v>1727</v>
      </c>
      <c r="E500" s="48" t="s">
        <v>858</v>
      </c>
      <c r="F500" s="48" t="s">
        <v>62</v>
      </c>
      <c r="G500" s="48" t="s">
        <v>70</v>
      </c>
      <c r="H500" s="48" t="s">
        <v>70</v>
      </c>
      <c r="I500" s="48" t="s">
        <v>1718</v>
      </c>
      <c r="J500" s="48" t="s">
        <v>869</v>
      </c>
      <c r="K500" s="48" t="s">
        <v>1762</v>
      </c>
      <c r="L500" s="48" t="s">
        <v>917</v>
      </c>
      <c r="M500" s="48" t="s">
        <v>26</v>
      </c>
      <c r="N500" s="48" t="s">
        <v>20</v>
      </c>
      <c r="O500" s="48" t="s">
        <v>857</v>
      </c>
      <c r="P500" s="50">
        <v>345402.56</v>
      </c>
      <c r="Q500" s="50">
        <v>1</v>
      </c>
      <c r="R500" s="50">
        <v>345402.56</v>
      </c>
      <c r="S500" s="74">
        <v>45945</v>
      </c>
      <c r="T500" s="48" t="s">
        <v>208</v>
      </c>
      <c r="U500" s="48" t="s">
        <v>70</v>
      </c>
      <c r="V500" s="48" t="s">
        <v>857</v>
      </c>
      <c r="W500" s="48"/>
    </row>
    <row r="501" spans="1:23" ht="15.75" x14ac:dyDescent="0.25">
      <c r="A501" s="48" t="s">
        <v>778</v>
      </c>
      <c r="B501" s="49">
        <v>45910</v>
      </c>
      <c r="C501" s="48" t="s">
        <v>918</v>
      </c>
      <c r="D501" s="48" t="s">
        <v>441</v>
      </c>
      <c r="E501" s="48" t="s">
        <v>856</v>
      </c>
      <c r="F501" s="48" t="s">
        <v>366</v>
      </c>
      <c r="G501" s="48" t="s">
        <v>710</v>
      </c>
      <c r="H501" s="48" t="s">
        <v>27</v>
      </c>
      <c r="I501" s="48" t="s">
        <v>779</v>
      </c>
      <c r="J501" s="48" t="s">
        <v>24</v>
      </c>
      <c r="K501" s="48" t="s">
        <v>710</v>
      </c>
      <c r="L501" s="48" t="s">
        <v>1209</v>
      </c>
      <c r="M501" s="48" t="s">
        <v>26</v>
      </c>
      <c r="N501" s="48" t="s">
        <v>20</v>
      </c>
      <c r="O501" s="48" t="s">
        <v>857</v>
      </c>
      <c r="P501" s="50">
        <v>1627247.7</v>
      </c>
      <c r="Q501" s="50">
        <v>1</v>
      </c>
      <c r="R501" s="50">
        <v>1627247.7</v>
      </c>
      <c r="S501" s="74">
        <v>45945</v>
      </c>
      <c r="T501" s="48" t="s">
        <v>311</v>
      </c>
      <c r="U501" s="48" t="s">
        <v>710</v>
      </c>
      <c r="V501" s="48" t="s">
        <v>857</v>
      </c>
      <c r="W501" s="48"/>
    </row>
    <row r="502" spans="1:23" ht="15.75" x14ac:dyDescent="0.25">
      <c r="A502" s="48" t="s">
        <v>1750</v>
      </c>
      <c r="B502" s="49">
        <v>45943</v>
      </c>
      <c r="C502" s="48" t="s">
        <v>916</v>
      </c>
      <c r="D502" s="48" t="s">
        <v>1727</v>
      </c>
      <c r="E502" s="48" t="s">
        <v>858</v>
      </c>
      <c r="F502" s="48" t="s">
        <v>62</v>
      </c>
      <c r="G502" s="48" t="s">
        <v>70</v>
      </c>
      <c r="H502" s="48" t="s">
        <v>70</v>
      </c>
      <c r="I502" s="48" t="s">
        <v>1713</v>
      </c>
      <c r="J502" s="48" t="s">
        <v>869</v>
      </c>
      <c r="K502" s="48" t="s">
        <v>1762</v>
      </c>
      <c r="L502" s="48" t="s">
        <v>917</v>
      </c>
      <c r="M502" s="48" t="s">
        <v>26</v>
      </c>
      <c r="N502" s="48" t="s">
        <v>20</v>
      </c>
      <c r="O502" s="48" t="s">
        <v>857</v>
      </c>
      <c r="P502" s="50">
        <v>351509.38</v>
      </c>
      <c r="Q502" s="50">
        <v>1</v>
      </c>
      <c r="R502" s="50">
        <v>351509.38</v>
      </c>
      <c r="S502" s="74">
        <v>45945</v>
      </c>
      <c r="T502" s="48" t="s">
        <v>208</v>
      </c>
      <c r="U502" s="48" t="s">
        <v>70</v>
      </c>
      <c r="V502" s="48" t="s">
        <v>857</v>
      </c>
      <c r="W502" s="48"/>
    </row>
    <row r="503" spans="1:23" ht="15.75" x14ac:dyDescent="0.25">
      <c r="A503" s="48" t="s">
        <v>1749</v>
      </c>
      <c r="B503" s="49">
        <v>45943</v>
      </c>
      <c r="C503" s="48" t="s">
        <v>916</v>
      </c>
      <c r="D503" s="48" t="s">
        <v>1727</v>
      </c>
      <c r="E503" s="48" t="s">
        <v>858</v>
      </c>
      <c r="F503" s="48" t="s">
        <v>62</v>
      </c>
      <c r="G503" s="48" t="s">
        <v>70</v>
      </c>
      <c r="H503" s="48" t="s">
        <v>70</v>
      </c>
      <c r="I503" s="48" t="s">
        <v>1716</v>
      </c>
      <c r="J503" s="48" t="s">
        <v>869</v>
      </c>
      <c r="K503" s="48" t="s">
        <v>1762</v>
      </c>
      <c r="L503" s="48" t="s">
        <v>917</v>
      </c>
      <c r="M503" s="48" t="s">
        <v>26</v>
      </c>
      <c r="N503" s="48" t="s">
        <v>20</v>
      </c>
      <c r="O503" s="48" t="s">
        <v>857</v>
      </c>
      <c r="P503" s="50">
        <v>349170.7</v>
      </c>
      <c r="Q503" s="50">
        <v>1</v>
      </c>
      <c r="R503" s="50">
        <v>349170.7</v>
      </c>
      <c r="S503" s="74">
        <v>45945</v>
      </c>
      <c r="T503" s="48" t="s">
        <v>208</v>
      </c>
      <c r="U503" s="48" t="s">
        <v>70</v>
      </c>
      <c r="V503" s="48" t="s">
        <v>857</v>
      </c>
      <c r="W503" s="48"/>
    </row>
    <row r="504" spans="1:23" ht="15.75" x14ac:dyDescent="0.25">
      <c r="A504" s="48" t="s">
        <v>1496</v>
      </c>
      <c r="B504" s="49">
        <v>45860</v>
      </c>
      <c r="C504" s="48" t="s">
        <v>916</v>
      </c>
      <c r="D504" s="48" t="s">
        <v>441</v>
      </c>
      <c r="E504" s="48" t="s">
        <v>856</v>
      </c>
      <c r="F504" s="48" t="s">
        <v>21</v>
      </c>
      <c r="G504" s="48" t="s">
        <v>22</v>
      </c>
      <c r="H504" s="48" t="s">
        <v>27</v>
      </c>
      <c r="I504" s="48" t="s">
        <v>1246</v>
      </c>
      <c r="J504" s="48" t="s">
        <v>24</v>
      </c>
      <c r="K504" s="48" t="s">
        <v>407</v>
      </c>
      <c r="L504" s="48" t="s">
        <v>1131</v>
      </c>
      <c r="M504" s="48" t="s">
        <v>26</v>
      </c>
      <c r="N504" s="48" t="s">
        <v>20</v>
      </c>
      <c r="O504" s="48" t="s">
        <v>857</v>
      </c>
      <c r="P504" s="50">
        <v>309487</v>
      </c>
      <c r="Q504" s="50">
        <v>1</v>
      </c>
      <c r="R504" s="50">
        <v>309487</v>
      </c>
      <c r="S504" s="74">
        <v>45945</v>
      </c>
      <c r="T504" s="48" t="s">
        <v>621</v>
      </c>
      <c r="U504" s="48" t="s">
        <v>304</v>
      </c>
      <c r="V504" s="48" t="s">
        <v>378</v>
      </c>
      <c r="W504" s="48"/>
    </row>
    <row r="505" spans="1:23" ht="15.75" x14ac:dyDescent="0.25">
      <c r="A505" s="48" t="s">
        <v>1285</v>
      </c>
      <c r="B505" s="49">
        <v>45868</v>
      </c>
      <c r="C505" s="48" t="s">
        <v>916</v>
      </c>
      <c r="D505" s="48" t="s">
        <v>831</v>
      </c>
      <c r="E505" s="48" t="s">
        <v>856</v>
      </c>
      <c r="F505" s="48" t="s">
        <v>21</v>
      </c>
      <c r="G505" s="48" t="s">
        <v>22</v>
      </c>
      <c r="H505" s="48" t="s">
        <v>27</v>
      </c>
      <c r="I505" s="48" t="s">
        <v>833</v>
      </c>
      <c r="J505" s="48" t="s">
        <v>1791</v>
      </c>
      <c r="K505" s="48" t="s">
        <v>22</v>
      </c>
      <c r="L505" s="48" t="s">
        <v>1132</v>
      </c>
      <c r="M505" s="48" t="s">
        <v>78</v>
      </c>
      <c r="N505" s="48" t="s">
        <v>20</v>
      </c>
      <c r="O505" s="48" t="s">
        <v>857</v>
      </c>
      <c r="P505" s="50">
        <v>272816.34000000003</v>
      </c>
      <c r="Q505" s="50">
        <v>3.75</v>
      </c>
      <c r="R505" s="50">
        <v>1023061.2750000001</v>
      </c>
      <c r="S505" s="74">
        <v>45945</v>
      </c>
      <c r="T505" s="48" t="s">
        <v>311</v>
      </c>
      <c r="U505" s="48" t="s">
        <v>22</v>
      </c>
      <c r="V505" s="48" t="s">
        <v>857</v>
      </c>
      <c r="W505" s="48"/>
    </row>
    <row r="506" spans="1:23" ht="15.75" x14ac:dyDescent="0.25">
      <c r="A506" s="48" t="s">
        <v>1493</v>
      </c>
      <c r="B506" s="49">
        <v>45881</v>
      </c>
      <c r="C506" s="48" t="s">
        <v>916</v>
      </c>
      <c r="D506" s="48" t="s">
        <v>441</v>
      </c>
      <c r="E506" s="48" t="s">
        <v>856</v>
      </c>
      <c r="F506" s="48" t="s">
        <v>21</v>
      </c>
      <c r="G506" s="48" t="s">
        <v>22</v>
      </c>
      <c r="H506" s="48" t="s">
        <v>27</v>
      </c>
      <c r="I506" s="48" t="s">
        <v>1374</v>
      </c>
      <c r="J506" s="48" t="s">
        <v>24</v>
      </c>
      <c r="K506" s="48" t="s">
        <v>407</v>
      </c>
      <c r="L506" s="48" t="s">
        <v>1131</v>
      </c>
      <c r="M506" s="48" t="s">
        <v>26</v>
      </c>
      <c r="N506" s="48" t="s">
        <v>20</v>
      </c>
      <c r="O506" s="48" t="s">
        <v>857</v>
      </c>
      <c r="P506" s="50">
        <v>500000</v>
      </c>
      <c r="Q506" s="50">
        <v>1</v>
      </c>
      <c r="R506" s="50">
        <v>500000</v>
      </c>
      <c r="S506" s="74">
        <v>45945</v>
      </c>
      <c r="T506" s="48" t="s">
        <v>621</v>
      </c>
      <c r="U506" s="48" t="s">
        <v>304</v>
      </c>
      <c r="V506" s="48" t="s">
        <v>378</v>
      </c>
      <c r="W506" s="48"/>
    </row>
    <row r="507" spans="1:23" ht="15.75" x14ac:dyDescent="0.25">
      <c r="A507" s="48" t="s">
        <v>1751</v>
      </c>
      <c r="B507" s="49">
        <v>45942</v>
      </c>
      <c r="C507" s="48" t="s">
        <v>916</v>
      </c>
      <c r="D507" s="48" t="s">
        <v>1727</v>
      </c>
      <c r="E507" s="48" t="s">
        <v>858</v>
      </c>
      <c r="F507" s="48" t="s">
        <v>62</v>
      </c>
      <c r="G507" s="48" t="s">
        <v>70</v>
      </c>
      <c r="H507" s="48" t="s">
        <v>70</v>
      </c>
      <c r="I507" s="48" t="s">
        <v>1722</v>
      </c>
      <c r="J507" s="48" t="s">
        <v>869</v>
      </c>
      <c r="K507" s="48" t="s">
        <v>1762</v>
      </c>
      <c r="L507" s="48" t="s">
        <v>917</v>
      </c>
      <c r="M507" s="48" t="s">
        <v>26</v>
      </c>
      <c r="N507" s="48" t="s">
        <v>20</v>
      </c>
      <c r="O507" s="48" t="s">
        <v>857</v>
      </c>
      <c r="P507" s="50">
        <v>435085.25</v>
      </c>
      <c r="Q507" s="50">
        <v>1</v>
      </c>
      <c r="R507" s="50">
        <v>435085.25</v>
      </c>
      <c r="S507" s="74">
        <v>45944</v>
      </c>
      <c r="T507" s="48" t="s">
        <v>208</v>
      </c>
      <c r="U507" s="48" t="s">
        <v>70</v>
      </c>
      <c r="V507" s="48" t="s">
        <v>857</v>
      </c>
      <c r="W507" s="48"/>
    </row>
    <row r="508" spans="1:23" ht="15.75" x14ac:dyDescent="0.25">
      <c r="A508" s="48" t="s">
        <v>1500</v>
      </c>
      <c r="B508" s="49">
        <v>45862</v>
      </c>
      <c r="C508" s="48" t="s">
        <v>916</v>
      </c>
      <c r="D508" s="48" t="s">
        <v>441</v>
      </c>
      <c r="E508" s="48" t="s">
        <v>858</v>
      </c>
      <c r="F508" s="48" t="s">
        <v>21</v>
      </c>
      <c r="G508" s="48" t="s">
        <v>22</v>
      </c>
      <c r="H508" s="48" t="s">
        <v>27</v>
      </c>
      <c r="I508" s="48" t="s">
        <v>760</v>
      </c>
      <c r="J508" s="48" t="s">
        <v>24</v>
      </c>
      <c r="K508" s="48" t="s">
        <v>407</v>
      </c>
      <c r="L508" s="48" t="s">
        <v>1131</v>
      </c>
      <c r="M508" s="48" t="s">
        <v>26</v>
      </c>
      <c r="N508" s="48" t="s">
        <v>20</v>
      </c>
      <c r="O508" s="48" t="s">
        <v>857</v>
      </c>
      <c r="P508" s="50">
        <v>340841.26</v>
      </c>
      <c r="Q508" s="50">
        <v>1</v>
      </c>
      <c r="R508" s="50">
        <v>340841.26</v>
      </c>
      <c r="S508" s="74">
        <v>45944</v>
      </c>
      <c r="T508" s="48" t="s">
        <v>621</v>
      </c>
      <c r="U508" s="48" t="s">
        <v>304</v>
      </c>
      <c r="V508" s="48" t="s">
        <v>378</v>
      </c>
      <c r="W508" s="48"/>
    </row>
    <row r="509" spans="1:23" ht="15.75" x14ac:dyDescent="0.25">
      <c r="A509" s="48" t="s">
        <v>770</v>
      </c>
      <c r="B509" s="49">
        <v>45866</v>
      </c>
      <c r="C509" s="48" t="s">
        <v>916</v>
      </c>
      <c r="D509" s="48" t="s">
        <v>509</v>
      </c>
      <c r="E509" s="48" t="s">
        <v>856</v>
      </c>
      <c r="F509" s="48" t="s">
        <v>21</v>
      </c>
      <c r="G509" s="48" t="s">
        <v>22</v>
      </c>
      <c r="H509" s="48" t="s">
        <v>27</v>
      </c>
      <c r="I509" s="48" t="s">
        <v>585</v>
      </c>
      <c r="J509" s="48" t="s">
        <v>24</v>
      </c>
      <c r="K509" s="48" t="s">
        <v>407</v>
      </c>
      <c r="L509" s="48" t="s">
        <v>1131</v>
      </c>
      <c r="M509" s="48" t="s">
        <v>26</v>
      </c>
      <c r="N509" s="48" t="s">
        <v>20</v>
      </c>
      <c r="O509" s="48" t="s">
        <v>857</v>
      </c>
      <c r="P509" s="50">
        <v>400000</v>
      </c>
      <c r="Q509" s="50">
        <v>1</v>
      </c>
      <c r="R509" s="50">
        <v>400000</v>
      </c>
      <c r="S509" s="74">
        <v>45944</v>
      </c>
      <c r="T509" s="48" t="s">
        <v>311</v>
      </c>
      <c r="U509" s="48" t="s">
        <v>304</v>
      </c>
      <c r="V509" s="48" t="s">
        <v>378</v>
      </c>
      <c r="W509" s="48"/>
    </row>
    <row r="510" spans="1:23" ht="15.75" x14ac:dyDescent="0.25">
      <c r="A510" s="48" t="s">
        <v>820</v>
      </c>
      <c r="B510" s="49">
        <v>45881</v>
      </c>
      <c r="C510" s="48" t="s">
        <v>916</v>
      </c>
      <c r="D510" s="48" t="s">
        <v>441</v>
      </c>
      <c r="E510" s="48" t="s">
        <v>858</v>
      </c>
      <c r="F510" s="48" t="s">
        <v>21</v>
      </c>
      <c r="G510" s="48" t="s">
        <v>22</v>
      </c>
      <c r="H510" s="48" t="s">
        <v>27</v>
      </c>
      <c r="I510" s="48" t="s">
        <v>821</v>
      </c>
      <c r="J510" s="48" t="s">
        <v>24</v>
      </c>
      <c r="K510" s="48" t="s">
        <v>22</v>
      </c>
      <c r="L510" s="48" t="s">
        <v>1132</v>
      </c>
      <c r="M510" s="48" t="s">
        <v>26</v>
      </c>
      <c r="N510" s="48" t="s">
        <v>20</v>
      </c>
      <c r="O510" s="48" t="s">
        <v>857</v>
      </c>
      <c r="P510" s="50">
        <v>413173.15</v>
      </c>
      <c r="Q510" s="50">
        <v>1</v>
      </c>
      <c r="R510" s="50">
        <v>413173.15</v>
      </c>
      <c r="S510" s="74">
        <v>45944</v>
      </c>
      <c r="T510" s="48" t="s">
        <v>311</v>
      </c>
      <c r="U510" s="48" t="s">
        <v>22</v>
      </c>
      <c r="V510" s="48" t="s">
        <v>857</v>
      </c>
      <c r="W510" s="48"/>
    </row>
    <row r="511" spans="1:23" ht="15.75" x14ac:dyDescent="0.25">
      <c r="A511" s="48" t="s">
        <v>1235</v>
      </c>
      <c r="B511" s="49">
        <v>45880</v>
      </c>
      <c r="C511" s="48" t="s">
        <v>916</v>
      </c>
      <c r="D511" s="48" t="s">
        <v>441</v>
      </c>
      <c r="E511" s="48" t="s">
        <v>856</v>
      </c>
      <c r="F511" s="48" t="s">
        <v>612</v>
      </c>
      <c r="G511" s="48" t="s">
        <v>613</v>
      </c>
      <c r="H511" s="48" t="s">
        <v>27</v>
      </c>
      <c r="I511" s="48" t="s">
        <v>1205</v>
      </c>
      <c r="J511" s="48" t="s">
        <v>24</v>
      </c>
      <c r="K511" s="48" t="s">
        <v>613</v>
      </c>
      <c r="L511" s="48" t="s">
        <v>1135</v>
      </c>
      <c r="M511" s="48" t="s">
        <v>26</v>
      </c>
      <c r="N511" s="48" t="s">
        <v>20</v>
      </c>
      <c r="O511" s="48" t="s">
        <v>857</v>
      </c>
      <c r="P511" s="50">
        <v>153844.13</v>
      </c>
      <c r="Q511" s="50">
        <v>1</v>
      </c>
      <c r="R511" s="50">
        <v>153844.13</v>
      </c>
      <c r="S511" s="74">
        <v>45944</v>
      </c>
      <c r="T511" s="48" t="s">
        <v>311</v>
      </c>
      <c r="U511" s="48" t="s">
        <v>22</v>
      </c>
      <c r="V511" s="48" t="s">
        <v>378</v>
      </c>
      <c r="W511" s="48"/>
    </row>
    <row r="512" spans="1:23" ht="15.75" x14ac:dyDescent="0.25">
      <c r="A512" s="48" t="s">
        <v>1396</v>
      </c>
      <c r="B512" s="49">
        <v>45882</v>
      </c>
      <c r="C512" s="48" t="s">
        <v>916</v>
      </c>
      <c r="D512" s="48" t="s">
        <v>441</v>
      </c>
      <c r="E512" s="48" t="s">
        <v>856</v>
      </c>
      <c r="F512" s="48" t="s">
        <v>612</v>
      </c>
      <c r="G512" s="48" t="s">
        <v>613</v>
      </c>
      <c r="H512" s="48" t="s">
        <v>27</v>
      </c>
      <c r="I512" s="48" t="s">
        <v>1390</v>
      </c>
      <c r="J512" s="48" t="s">
        <v>24</v>
      </c>
      <c r="K512" s="48" t="s">
        <v>613</v>
      </c>
      <c r="L512" s="48" t="s">
        <v>1135</v>
      </c>
      <c r="M512" s="48" t="s">
        <v>26</v>
      </c>
      <c r="N512" s="48" t="s">
        <v>20</v>
      </c>
      <c r="O512" s="48" t="s">
        <v>378</v>
      </c>
      <c r="P512" s="50">
        <v>125131.5</v>
      </c>
      <c r="Q512" s="50">
        <v>1</v>
      </c>
      <c r="R512" s="50">
        <v>125131.5</v>
      </c>
      <c r="S512" s="74">
        <v>45943</v>
      </c>
      <c r="T512" s="48" t="s">
        <v>311</v>
      </c>
      <c r="U512" s="48" t="s">
        <v>22</v>
      </c>
      <c r="V512" s="48" t="s">
        <v>378</v>
      </c>
      <c r="W512" s="48"/>
    </row>
    <row r="513" spans="1:23" ht="15.75" x14ac:dyDescent="0.25">
      <c r="A513" s="48" t="s">
        <v>1610</v>
      </c>
      <c r="B513" s="49">
        <v>45939</v>
      </c>
      <c r="C513" s="48" t="s">
        <v>918</v>
      </c>
      <c r="D513" s="48" t="s">
        <v>3566</v>
      </c>
      <c r="E513" s="48" t="s">
        <v>856</v>
      </c>
      <c r="F513" s="48" t="s">
        <v>612</v>
      </c>
      <c r="G513" s="48" t="s">
        <v>613</v>
      </c>
      <c r="H513" s="48" t="s">
        <v>27</v>
      </c>
      <c r="I513" s="48" t="s">
        <v>1556</v>
      </c>
      <c r="J513" s="48" t="s">
        <v>72</v>
      </c>
      <c r="K513" s="48" t="s">
        <v>613</v>
      </c>
      <c r="L513" s="48" t="s">
        <v>1135</v>
      </c>
      <c r="M513" s="48" t="s">
        <v>26</v>
      </c>
      <c r="N513" s="48" t="s">
        <v>20</v>
      </c>
      <c r="O513" s="48" t="s">
        <v>378</v>
      </c>
      <c r="P513" s="50">
        <v>359031.77</v>
      </c>
      <c r="Q513" s="50">
        <v>1</v>
      </c>
      <c r="R513" s="50">
        <v>359031.77</v>
      </c>
      <c r="S513" s="74">
        <v>45943</v>
      </c>
      <c r="T513" s="48" t="s">
        <v>425</v>
      </c>
      <c r="U513" s="48" t="s">
        <v>22</v>
      </c>
      <c r="V513" s="48" t="s">
        <v>378</v>
      </c>
      <c r="W513" s="48"/>
    </row>
    <row r="514" spans="1:23" ht="15.75" x14ac:dyDescent="0.25">
      <c r="A514" s="48" t="s">
        <v>1345</v>
      </c>
      <c r="B514" s="49">
        <v>45838</v>
      </c>
      <c r="C514" s="48" t="s">
        <v>916</v>
      </c>
      <c r="D514" s="48" t="s">
        <v>441</v>
      </c>
      <c r="E514" s="48" t="s">
        <v>858</v>
      </c>
      <c r="F514" s="48" t="s">
        <v>21</v>
      </c>
      <c r="G514" s="48" t="s">
        <v>22</v>
      </c>
      <c r="H514" s="48" t="s">
        <v>27</v>
      </c>
      <c r="I514" s="48" t="s">
        <v>1325</v>
      </c>
      <c r="J514" s="48" t="s">
        <v>24</v>
      </c>
      <c r="K514" s="48" t="s">
        <v>22</v>
      </c>
      <c r="L514" s="48" t="s">
        <v>1132</v>
      </c>
      <c r="M514" s="48" t="s">
        <v>26</v>
      </c>
      <c r="N514" s="48" t="s">
        <v>20</v>
      </c>
      <c r="O514" s="48" t="s">
        <v>857</v>
      </c>
      <c r="P514" s="50">
        <v>365762.69</v>
      </c>
      <c r="Q514" s="50">
        <v>1</v>
      </c>
      <c r="R514" s="50">
        <v>365762.69</v>
      </c>
      <c r="S514" s="74">
        <v>45943</v>
      </c>
      <c r="T514" s="48" t="s">
        <v>621</v>
      </c>
      <c r="U514" s="48" t="s">
        <v>22</v>
      </c>
      <c r="V514" s="48" t="s">
        <v>857</v>
      </c>
      <c r="W514" s="48"/>
    </row>
    <row r="515" spans="1:23" ht="15.75" x14ac:dyDescent="0.25">
      <c r="A515" s="48" t="s">
        <v>1776</v>
      </c>
      <c r="B515" s="49">
        <v>45924</v>
      </c>
      <c r="C515" s="48" t="s">
        <v>916</v>
      </c>
      <c r="D515" s="48" t="s">
        <v>1727</v>
      </c>
      <c r="E515" s="48" t="s">
        <v>858</v>
      </c>
      <c r="F515" s="48" t="s">
        <v>62</v>
      </c>
      <c r="G515" s="48" t="s">
        <v>70</v>
      </c>
      <c r="H515" s="48" t="s">
        <v>70</v>
      </c>
      <c r="I515" s="48" t="s">
        <v>1710</v>
      </c>
      <c r="J515" s="48" t="s">
        <v>869</v>
      </c>
      <c r="K515" s="48" t="s">
        <v>1762</v>
      </c>
      <c r="L515" s="48" t="s">
        <v>917</v>
      </c>
      <c r="M515" s="48" t="s">
        <v>26</v>
      </c>
      <c r="N515" s="48" t="s">
        <v>20</v>
      </c>
      <c r="O515" s="48" t="s">
        <v>857</v>
      </c>
      <c r="P515" s="50">
        <v>510271</v>
      </c>
      <c r="Q515" s="50">
        <v>1</v>
      </c>
      <c r="R515" s="50">
        <v>510271</v>
      </c>
      <c r="S515" s="74">
        <v>45943</v>
      </c>
      <c r="T515" s="48" t="s">
        <v>208</v>
      </c>
      <c r="U515" s="48" t="s">
        <v>70</v>
      </c>
      <c r="V515" s="48" t="s">
        <v>857</v>
      </c>
      <c r="W515" s="48" t="s">
        <v>1942</v>
      </c>
    </row>
    <row r="516" spans="1:23" ht="15.75" x14ac:dyDescent="0.25">
      <c r="A516" s="48" t="s">
        <v>1419</v>
      </c>
      <c r="B516" s="49">
        <v>45881</v>
      </c>
      <c r="C516" s="48" t="s">
        <v>916</v>
      </c>
      <c r="D516" s="48" t="s">
        <v>441</v>
      </c>
      <c r="E516" s="48" t="s">
        <v>856</v>
      </c>
      <c r="F516" s="48" t="s">
        <v>95</v>
      </c>
      <c r="G516" s="48" t="s">
        <v>96</v>
      </c>
      <c r="H516" s="48" t="s">
        <v>27</v>
      </c>
      <c r="I516" s="48" t="s">
        <v>270</v>
      </c>
      <c r="J516" s="48" t="s">
        <v>24</v>
      </c>
      <c r="K516" s="48" t="s">
        <v>22</v>
      </c>
      <c r="L516" s="48" t="s">
        <v>1132</v>
      </c>
      <c r="M516" s="48" t="s">
        <v>26</v>
      </c>
      <c r="N516" s="48" t="s">
        <v>20</v>
      </c>
      <c r="O516" s="48" t="s">
        <v>378</v>
      </c>
      <c r="P516" s="50">
        <v>1500000</v>
      </c>
      <c r="Q516" s="50">
        <v>1</v>
      </c>
      <c r="R516" s="50">
        <v>1500000</v>
      </c>
      <c r="S516" s="74">
        <v>45943</v>
      </c>
      <c r="T516" s="48" t="s">
        <v>621</v>
      </c>
      <c r="U516" s="48" t="s">
        <v>22</v>
      </c>
      <c r="V516" s="48" t="s">
        <v>857</v>
      </c>
      <c r="W516" s="48"/>
    </row>
    <row r="517" spans="1:23" ht="15.75" x14ac:dyDescent="0.25">
      <c r="A517" s="48" t="s">
        <v>1834</v>
      </c>
      <c r="B517" s="49">
        <v>45942</v>
      </c>
      <c r="C517" s="48" t="s">
        <v>916</v>
      </c>
      <c r="D517" s="48" t="s">
        <v>1537</v>
      </c>
      <c r="E517" s="48" t="s">
        <v>856</v>
      </c>
      <c r="F517" s="48" t="s">
        <v>62</v>
      </c>
      <c r="G517" s="48" t="s">
        <v>483</v>
      </c>
      <c r="H517" s="48" t="s">
        <v>27</v>
      </c>
      <c r="I517" s="48" t="s">
        <v>1647</v>
      </c>
      <c r="J517" s="48" t="s">
        <v>72</v>
      </c>
      <c r="K517" s="48" t="s">
        <v>483</v>
      </c>
      <c r="L517" s="48" t="s">
        <v>1646</v>
      </c>
      <c r="M517" s="48" t="s">
        <v>78</v>
      </c>
      <c r="N517" s="48" t="s">
        <v>20</v>
      </c>
      <c r="O517" s="48" t="s">
        <v>857</v>
      </c>
      <c r="P517" s="50">
        <v>351822.69</v>
      </c>
      <c r="Q517" s="50">
        <v>3.753809</v>
      </c>
      <c r="R517" s="50">
        <v>1320675.18012621</v>
      </c>
      <c r="S517" s="74">
        <v>45943</v>
      </c>
      <c r="T517" s="48" t="s">
        <v>1937</v>
      </c>
      <c r="U517" s="48" t="s">
        <v>483</v>
      </c>
      <c r="V517" s="48" t="s">
        <v>857</v>
      </c>
      <c r="W517" s="48"/>
    </row>
    <row r="518" spans="1:23" ht="15.75" x14ac:dyDescent="0.25">
      <c r="A518" s="48" t="s">
        <v>1779</v>
      </c>
      <c r="B518" s="49">
        <v>45925</v>
      </c>
      <c r="C518" s="48" t="s">
        <v>916</v>
      </c>
      <c r="D518" s="48" t="s">
        <v>1727</v>
      </c>
      <c r="E518" s="48" t="s">
        <v>858</v>
      </c>
      <c r="F518" s="48" t="s">
        <v>62</v>
      </c>
      <c r="G518" s="48" t="s">
        <v>70</v>
      </c>
      <c r="H518" s="48" t="s">
        <v>70</v>
      </c>
      <c r="I518" s="48" t="s">
        <v>1724</v>
      </c>
      <c r="J518" s="48" t="s">
        <v>869</v>
      </c>
      <c r="K518" s="48" t="s">
        <v>1762</v>
      </c>
      <c r="L518" s="48" t="s">
        <v>917</v>
      </c>
      <c r="M518" s="48" t="s">
        <v>26</v>
      </c>
      <c r="N518" s="48" t="s">
        <v>20</v>
      </c>
      <c r="O518" s="48" t="s">
        <v>378</v>
      </c>
      <c r="P518" s="50">
        <v>313581.86</v>
      </c>
      <c r="Q518" s="50">
        <v>1</v>
      </c>
      <c r="R518" s="50">
        <v>313581.86</v>
      </c>
      <c r="S518" s="74">
        <v>45943</v>
      </c>
      <c r="T518" s="48" t="s">
        <v>208</v>
      </c>
      <c r="U518" s="48" t="s">
        <v>70</v>
      </c>
      <c r="V518" s="48" t="s">
        <v>857</v>
      </c>
      <c r="W518" s="48" t="s">
        <v>1943</v>
      </c>
    </row>
    <row r="519" spans="1:23" ht="15.75" x14ac:dyDescent="0.25">
      <c r="A519" s="48" t="s">
        <v>717</v>
      </c>
      <c r="B519" s="49">
        <v>45886</v>
      </c>
      <c r="C519" s="48" t="s">
        <v>916</v>
      </c>
      <c r="D519" s="48" t="s">
        <v>441</v>
      </c>
      <c r="E519" s="48" t="s">
        <v>856</v>
      </c>
      <c r="F519" s="48" t="s">
        <v>612</v>
      </c>
      <c r="G519" s="48" t="s">
        <v>613</v>
      </c>
      <c r="H519" s="48" t="s">
        <v>27</v>
      </c>
      <c r="I519" s="48" t="s">
        <v>718</v>
      </c>
      <c r="J519" s="48" t="s">
        <v>24</v>
      </c>
      <c r="K519" s="48" t="s">
        <v>613</v>
      </c>
      <c r="L519" s="48" t="s">
        <v>1135</v>
      </c>
      <c r="M519" s="48" t="s">
        <v>26</v>
      </c>
      <c r="N519" s="48" t="s">
        <v>20</v>
      </c>
      <c r="O519" s="48" t="s">
        <v>378</v>
      </c>
      <c r="P519" s="50">
        <v>646875</v>
      </c>
      <c r="Q519" s="50">
        <v>1</v>
      </c>
      <c r="R519" s="50">
        <v>646875</v>
      </c>
      <c r="S519" s="74">
        <v>45943</v>
      </c>
      <c r="T519" s="48" t="s">
        <v>311</v>
      </c>
      <c r="U519" s="48" t="s">
        <v>22</v>
      </c>
      <c r="V519" s="48" t="s">
        <v>378</v>
      </c>
      <c r="W519" s="48"/>
    </row>
    <row r="520" spans="1:23" ht="15.75" x14ac:dyDescent="0.25">
      <c r="A520" s="48" t="s">
        <v>692</v>
      </c>
      <c r="B520" s="49">
        <v>45918</v>
      </c>
      <c r="C520" s="48" t="s">
        <v>918</v>
      </c>
      <c r="D520" s="48" t="s">
        <v>441</v>
      </c>
      <c r="E520" s="48" t="s">
        <v>856</v>
      </c>
      <c r="F520" s="48" t="s">
        <v>612</v>
      </c>
      <c r="G520" s="48" t="s">
        <v>613</v>
      </c>
      <c r="H520" s="48" t="s">
        <v>27</v>
      </c>
      <c r="I520" s="48" t="s">
        <v>693</v>
      </c>
      <c r="J520" s="48" t="s">
        <v>24</v>
      </c>
      <c r="K520" s="48" t="s">
        <v>613</v>
      </c>
      <c r="L520" s="48" t="s">
        <v>1135</v>
      </c>
      <c r="M520" s="48" t="s">
        <v>26</v>
      </c>
      <c r="N520" s="48" t="s">
        <v>20</v>
      </c>
      <c r="O520" s="48" t="s">
        <v>857</v>
      </c>
      <c r="P520" s="50">
        <v>84210.02</v>
      </c>
      <c r="Q520" s="50">
        <v>1</v>
      </c>
      <c r="R520" s="50">
        <v>84210.02</v>
      </c>
      <c r="S520" s="74">
        <v>45942</v>
      </c>
      <c r="T520" s="48" t="s">
        <v>311</v>
      </c>
      <c r="U520" s="48" t="s">
        <v>22</v>
      </c>
      <c r="V520" s="48" t="s">
        <v>378</v>
      </c>
      <c r="W520" s="48"/>
    </row>
    <row r="521" spans="1:23" ht="15.75" x14ac:dyDescent="0.25">
      <c r="A521" s="48" t="s">
        <v>1566</v>
      </c>
      <c r="B521" s="49">
        <v>45918</v>
      </c>
      <c r="C521" s="48" t="s">
        <v>916</v>
      </c>
      <c r="D521" s="48" t="s">
        <v>441</v>
      </c>
      <c r="E521" s="48" t="s">
        <v>856</v>
      </c>
      <c r="F521" s="48" t="s">
        <v>612</v>
      </c>
      <c r="G521" s="48" t="s">
        <v>613</v>
      </c>
      <c r="H521" s="48" t="s">
        <v>27</v>
      </c>
      <c r="I521" s="48" t="s">
        <v>693</v>
      </c>
      <c r="J521" s="48" t="s">
        <v>24</v>
      </c>
      <c r="K521" s="48" t="s">
        <v>613</v>
      </c>
      <c r="L521" s="48" t="s">
        <v>1135</v>
      </c>
      <c r="M521" s="48" t="s">
        <v>26</v>
      </c>
      <c r="N521" s="48" t="s">
        <v>20</v>
      </c>
      <c r="O521" s="48" t="s">
        <v>857</v>
      </c>
      <c r="P521" s="50">
        <v>154977.42000000001</v>
      </c>
      <c r="Q521" s="50">
        <v>1</v>
      </c>
      <c r="R521" s="50">
        <v>154977.42000000001</v>
      </c>
      <c r="S521" s="74">
        <v>45942</v>
      </c>
      <c r="T521" s="48" t="s">
        <v>311</v>
      </c>
      <c r="U521" s="48" t="s">
        <v>22</v>
      </c>
      <c r="V521" s="48" t="s">
        <v>378</v>
      </c>
      <c r="W521" s="48"/>
    </row>
    <row r="522" spans="1:23" ht="15.75" x14ac:dyDescent="0.25">
      <c r="A522" s="48" t="s">
        <v>1741</v>
      </c>
      <c r="B522" s="49">
        <v>45939</v>
      </c>
      <c r="C522" s="48" t="s">
        <v>916</v>
      </c>
      <c r="D522" s="48" t="s">
        <v>1727</v>
      </c>
      <c r="E522" s="48" t="s">
        <v>858</v>
      </c>
      <c r="F522" s="48" t="s">
        <v>62</v>
      </c>
      <c r="G522" s="48" t="s">
        <v>70</v>
      </c>
      <c r="H522" s="48" t="s">
        <v>70</v>
      </c>
      <c r="I522" s="48" t="s">
        <v>1711</v>
      </c>
      <c r="J522" s="48" t="s">
        <v>869</v>
      </c>
      <c r="K522" s="48" t="s">
        <v>1762</v>
      </c>
      <c r="L522" s="48" t="s">
        <v>917</v>
      </c>
      <c r="M522" s="48" t="s">
        <v>26</v>
      </c>
      <c r="N522" s="48" t="s">
        <v>20</v>
      </c>
      <c r="O522" s="48" t="s">
        <v>857</v>
      </c>
      <c r="P522" s="50">
        <v>408291.9</v>
      </c>
      <c r="Q522" s="50">
        <v>1</v>
      </c>
      <c r="R522" s="50">
        <v>408291.9</v>
      </c>
      <c r="S522" s="74">
        <v>45942</v>
      </c>
      <c r="T522" s="48" t="s">
        <v>208</v>
      </c>
      <c r="U522" s="48" t="s">
        <v>70</v>
      </c>
      <c r="V522" s="48" t="s">
        <v>857</v>
      </c>
      <c r="W522" s="48"/>
    </row>
    <row r="523" spans="1:23" ht="15.75" x14ac:dyDescent="0.25">
      <c r="A523" s="48" t="s">
        <v>776</v>
      </c>
      <c r="B523" s="49">
        <v>45917</v>
      </c>
      <c r="C523" s="48" t="s">
        <v>916</v>
      </c>
      <c r="D523" s="48" t="s">
        <v>441</v>
      </c>
      <c r="E523" s="48" t="s">
        <v>856</v>
      </c>
      <c r="F523" s="48" t="s">
        <v>366</v>
      </c>
      <c r="G523" s="48" t="s">
        <v>710</v>
      </c>
      <c r="H523" s="48" t="s">
        <v>27</v>
      </c>
      <c r="I523" s="48" t="s">
        <v>777</v>
      </c>
      <c r="J523" s="48" t="s">
        <v>24</v>
      </c>
      <c r="K523" s="48" t="s">
        <v>710</v>
      </c>
      <c r="L523" s="48" t="s">
        <v>1209</v>
      </c>
      <c r="M523" s="48" t="s">
        <v>26</v>
      </c>
      <c r="N523" s="48" t="s">
        <v>20</v>
      </c>
      <c r="O523" s="48" t="s">
        <v>857</v>
      </c>
      <c r="P523" s="50">
        <v>500000</v>
      </c>
      <c r="Q523" s="50">
        <v>1</v>
      </c>
      <c r="R523" s="50">
        <v>500000</v>
      </c>
      <c r="S523" s="74">
        <v>45942</v>
      </c>
      <c r="T523" s="48" t="s">
        <v>311</v>
      </c>
      <c r="U523" s="48" t="s">
        <v>710</v>
      </c>
      <c r="V523" s="48" t="s">
        <v>857</v>
      </c>
      <c r="W523" s="48"/>
    </row>
    <row r="524" spans="1:23" ht="15.75" x14ac:dyDescent="0.25">
      <c r="A524" s="48" t="s">
        <v>1495</v>
      </c>
      <c r="B524" s="49">
        <v>45862</v>
      </c>
      <c r="C524" s="48" t="s">
        <v>916</v>
      </c>
      <c r="D524" s="48" t="s">
        <v>441</v>
      </c>
      <c r="E524" s="48" t="s">
        <v>858</v>
      </c>
      <c r="F524" s="48" t="s">
        <v>21</v>
      </c>
      <c r="G524" s="48" t="s">
        <v>22</v>
      </c>
      <c r="H524" s="48" t="s">
        <v>27</v>
      </c>
      <c r="I524" s="48" t="s">
        <v>1109</v>
      </c>
      <c r="J524" s="48" t="s">
        <v>24</v>
      </c>
      <c r="K524" s="48" t="s">
        <v>407</v>
      </c>
      <c r="L524" s="48" t="s">
        <v>1131</v>
      </c>
      <c r="M524" s="48" t="s">
        <v>26</v>
      </c>
      <c r="N524" s="48" t="s">
        <v>20</v>
      </c>
      <c r="O524" s="48" t="s">
        <v>857</v>
      </c>
      <c r="P524" s="50">
        <v>362250</v>
      </c>
      <c r="Q524" s="50">
        <v>1</v>
      </c>
      <c r="R524" s="50">
        <v>362250</v>
      </c>
      <c r="S524" s="74">
        <v>45942</v>
      </c>
      <c r="T524" s="48" t="s">
        <v>621</v>
      </c>
      <c r="U524" s="48" t="s">
        <v>304</v>
      </c>
      <c r="V524" s="48" t="s">
        <v>378</v>
      </c>
      <c r="W524" s="48"/>
    </row>
    <row r="525" spans="1:23" ht="15.75" x14ac:dyDescent="0.25">
      <c r="A525" s="48" t="s">
        <v>1233</v>
      </c>
      <c r="B525" s="49">
        <v>45916</v>
      </c>
      <c r="C525" s="48" t="s">
        <v>918</v>
      </c>
      <c r="D525" s="48" t="s">
        <v>441</v>
      </c>
      <c r="E525" s="48" t="s">
        <v>856</v>
      </c>
      <c r="F525" s="48" t="s">
        <v>612</v>
      </c>
      <c r="G525" s="48" t="s">
        <v>613</v>
      </c>
      <c r="H525" s="48" t="s">
        <v>27</v>
      </c>
      <c r="I525" s="48" t="s">
        <v>1207</v>
      </c>
      <c r="J525" s="48" t="s">
        <v>24</v>
      </c>
      <c r="K525" s="48" t="s">
        <v>613</v>
      </c>
      <c r="L525" s="48" t="s">
        <v>1135</v>
      </c>
      <c r="M525" s="48" t="s">
        <v>26</v>
      </c>
      <c r="N525" s="48" t="s">
        <v>20</v>
      </c>
      <c r="O525" s="48" t="s">
        <v>378</v>
      </c>
      <c r="P525" s="50">
        <v>456166</v>
      </c>
      <c r="Q525" s="50">
        <v>1</v>
      </c>
      <c r="R525" s="50">
        <v>456166</v>
      </c>
      <c r="S525" s="74">
        <v>45942</v>
      </c>
      <c r="T525" s="48" t="s">
        <v>311</v>
      </c>
      <c r="U525" s="48" t="s">
        <v>22</v>
      </c>
      <c r="V525" s="48" t="s">
        <v>378</v>
      </c>
      <c r="W525" s="48"/>
    </row>
    <row r="526" spans="1:23" ht="15.75" x14ac:dyDescent="0.25">
      <c r="A526" s="48" t="s">
        <v>1745</v>
      </c>
      <c r="B526" s="49">
        <v>45938</v>
      </c>
      <c r="C526" s="48" t="s">
        <v>916</v>
      </c>
      <c r="D526" s="48" t="s">
        <v>1727</v>
      </c>
      <c r="E526" s="48" t="s">
        <v>858</v>
      </c>
      <c r="F526" s="48" t="s">
        <v>62</v>
      </c>
      <c r="G526" s="48" t="s">
        <v>70</v>
      </c>
      <c r="H526" s="48" t="s">
        <v>70</v>
      </c>
      <c r="I526" s="48" t="s">
        <v>1712</v>
      </c>
      <c r="J526" s="48" t="s">
        <v>869</v>
      </c>
      <c r="K526" s="48" t="s">
        <v>1762</v>
      </c>
      <c r="L526" s="48" t="s">
        <v>917</v>
      </c>
      <c r="M526" s="48" t="s">
        <v>26</v>
      </c>
      <c r="N526" s="48" t="s">
        <v>20</v>
      </c>
      <c r="O526" s="48" t="s">
        <v>857</v>
      </c>
      <c r="P526" s="50">
        <v>205442.15</v>
      </c>
      <c r="Q526" s="50">
        <v>1</v>
      </c>
      <c r="R526" s="50">
        <v>205442.15</v>
      </c>
      <c r="S526" s="74">
        <v>45939</v>
      </c>
      <c r="T526" s="48" t="s">
        <v>208</v>
      </c>
      <c r="U526" s="48" t="s">
        <v>70</v>
      </c>
      <c r="V526" s="48" t="s">
        <v>857</v>
      </c>
      <c r="W526" s="48"/>
    </row>
    <row r="527" spans="1:23" ht="15.75" x14ac:dyDescent="0.25">
      <c r="A527" s="48" t="s">
        <v>1744</v>
      </c>
      <c r="B527" s="49">
        <v>45938</v>
      </c>
      <c r="C527" s="48" t="s">
        <v>916</v>
      </c>
      <c r="D527" s="48" t="s">
        <v>1727</v>
      </c>
      <c r="E527" s="48" t="s">
        <v>856</v>
      </c>
      <c r="F527" s="48" t="s">
        <v>62</v>
      </c>
      <c r="G527" s="48" t="s">
        <v>70</v>
      </c>
      <c r="H527" s="48" t="s">
        <v>70</v>
      </c>
      <c r="I527" s="48" t="s">
        <v>1721</v>
      </c>
      <c r="J527" s="48" t="s">
        <v>869</v>
      </c>
      <c r="K527" s="48" t="s">
        <v>1762</v>
      </c>
      <c r="L527" s="48" t="s">
        <v>917</v>
      </c>
      <c r="M527" s="48" t="s">
        <v>26</v>
      </c>
      <c r="N527" s="48" t="s">
        <v>20</v>
      </c>
      <c r="O527" s="48" t="s">
        <v>857</v>
      </c>
      <c r="P527" s="50">
        <v>567886.03</v>
      </c>
      <c r="Q527" s="50">
        <v>1</v>
      </c>
      <c r="R527" s="50">
        <v>567886.03</v>
      </c>
      <c r="S527" s="74">
        <v>45939</v>
      </c>
      <c r="T527" s="48" t="s">
        <v>208</v>
      </c>
      <c r="U527" s="48" t="s">
        <v>70</v>
      </c>
      <c r="V527" s="48" t="s">
        <v>857</v>
      </c>
      <c r="W527" s="48"/>
    </row>
    <row r="528" spans="1:23" ht="15.75" x14ac:dyDescent="0.25">
      <c r="A528" s="48" t="s">
        <v>1742</v>
      </c>
      <c r="B528" s="49">
        <v>45938</v>
      </c>
      <c r="C528" s="48" t="s">
        <v>916</v>
      </c>
      <c r="D528" s="48" t="s">
        <v>1727</v>
      </c>
      <c r="E528" s="48" t="s">
        <v>856</v>
      </c>
      <c r="F528" s="48" t="s">
        <v>62</v>
      </c>
      <c r="G528" s="48" t="s">
        <v>70</v>
      </c>
      <c r="H528" s="48" t="s">
        <v>70</v>
      </c>
      <c r="I528" s="48" t="s">
        <v>1707</v>
      </c>
      <c r="J528" s="48" t="s">
        <v>869</v>
      </c>
      <c r="K528" s="48" t="s">
        <v>1762</v>
      </c>
      <c r="L528" s="48" t="s">
        <v>917</v>
      </c>
      <c r="M528" s="48" t="s">
        <v>26</v>
      </c>
      <c r="N528" s="48" t="s">
        <v>20</v>
      </c>
      <c r="O528" s="48" t="s">
        <v>378</v>
      </c>
      <c r="P528" s="50">
        <v>397922</v>
      </c>
      <c r="Q528" s="50">
        <v>1</v>
      </c>
      <c r="R528" s="50">
        <v>397922</v>
      </c>
      <c r="S528" s="74">
        <v>45939</v>
      </c>
      <c r="T528" s="48" t="s">
        <v>208</v>
      </c>
      <c r="U528" s="48" t="s">
        <v>70</v>
      </c>
      <c r="V528" s="48" t="s">
        <v>857</v>
      </c>
      <c r="W528" s="48"/>
    </row>
    <row r="529" spans="1:23" ht="15.75" x14ac:dyDescent="0.25">
      <c r="A529" s="48" t="s">
        <v>1276</v>
      </c>
      <c r="B529" s="49">
        <v>45848</v>
      </c>
      <c r="C529" s="48" t="s">
        <v>916</v>
      </c>
      <c r="D529" s="48" t="s">
        <v>441</v>
      </c>
      <c r="E529" s="48" t="s">
        <v>858</v>
      </c>
      <c r="F529" s="48" t="s">
        <v>373</v>
      </c>
      <c r="G529" s="48" t="s">
        <v>70</v>
      </c>
      <c r="H529" s="48" t="s">
        <v>70</v>
      </c>
      <c r="I529" s="48" t="s">
        <v>1250</v>
      </c>
      <c r="J529" s="48" t="s">
        <v>24</v>
      </c>
      <c r="K529" s="48" t="s">
        <v>407</v>
      </c>
      <c r="L529" s="48" t="s">
        <v>1131</v>
      </c>
      <c r="M529" s="48" t="s">
        <v>26</v>
      </c>
      <c r="N529" s="48" t="s">
        <v>20</v>
      </c>
      <c r="O529" s="48" t="s">
        <v>857</v>
      </c>
      <c r="P529" s="50">
        <v>500000</v>
      </c>
      <c r="Q529" s="50">
        <v>1</v>
      </c>
      <c r="R529" s="50">
        <v>500000</v>
      </c>
      <c r="S529" s="74">
        <v>45938</v>
      </c>
      <c r="T529" s="48" t="s">
        <v>621</v>
      </c>
      <c r="U529" s="48" t="s">
        <v>1849</v>
      </c>
      <c r="V529" s="48" t="s">
        <v>378</v>
      </c>
      <c r="W529" s="48"/>
    </row>
    <row r="530" spans="1:23" ht="15.75" x14ac:dyDescent="0.25">
      <c r="A530" s="48" t="s">
        <v>1129</v>
      </c>
      <c r="B530" s="49">
        <v>45931</v>
      </c>
      <c r="C530" s="48" t="s">
        <v>928</v>
      </c>
      <c r="D530" s="48" t="s">
        <v>1878</v>
      </c>
      <c r="E530" s="48" t="s">
        <v>858</v>
      </c>
      <c r="F530" s="48" t="s">
        <v>366</v>
      </c>
      <c r="G530" s="48" t="s">
        <v>367</v>
      </c>
      <c r="H530" s="48" t="s">
        <v>27</v>
      </c>
      <c r="I530" s="48" t="s">
        <v>1130</v>
      </c>
      <c r="J530" s="48" t="s">
        <v>3220</v>
      </c>
      <c r="K530" s="48" t="s">
        <v>367</v>
      </c>
      <c r="L530" s="48" t="s">
        <v>1136</v>
      </c>
      <c r="M530" s="48" t="s">
        <v>26</v>
      </c>
      <c r="N530" s="48" t="s">
        <v>20</v>
      </c>
      <c r="O530" s="48" t="s">
        <v>857</v>
      </c>
      <c r="P530" s="50">
        <v>600000</v>
      </c>
      <c r="Q530" s="50">
        <v>1</v>
      </c>
      <c r="R530" s="50">
        <v>600000</v>
      </c>
      <c r="S530" s="74">
        <v>45938</v>
      </c>
      <c r="T530" s="48" t="s">
        <v>461</v>
      </c>
      <c r="U530" s="48" t="s">
        <v>367</v>
      </c>
      <c r="V530" s="48" t="s">
        <v>857</v>
      </c>
      <c r="W530" s="48"/>
    </row>
    <row r="531" spans="1:23" ht="15.75" x14ac:dyDescent="0.25">
      <c r="A531" s="48" t="s">
        <v>1440</v>
      </c>
      <c r="B531" s="49">
        <v>45886</v>
      </c>
      <c r="C531" s="48" t="s">
        <v>916</v>
      </c>
      <c r="D531" s="48" t="s">
        <v>441</v>
      </c>
      <c r="E531" s="48" t="s">
        <v>858</v>
      </c>
      <c r="F531" s="48" t="s">
        <v>366</v>
      </c>
      <c r="G531" s="48" t="s">
        <v>710</v>
      </c>
      <c r="H531" s="48" t="s">
        <v>27</v>
      </c>
      <c r="I531" s="48" t="s">
        <v>1789</v>
      </c>
      <c r="J531" s="48" t="s">
        <v>24</v>
      </c>
      <c r="K531" s="48" t="s">
        <v>710</v>
      </c>
      <c r="L531" s="48" t="s">
        <v>1209</v>
      </c>
      <c r="M531" s="48" t="s">
        <v>26</v>
      </c>
      <c r="N531" s="48" t="s">
        <v>20</v>
      </c>
      <c r="O531" s="48" t="s">
        <v>857</v>
      </c>
      <c r="P531" s="50">
        <v>150000</v>
      </c>
      <c r="Q531" s="50">
        <v>1</v>
      </c>
      <c r="R531" s="50">
        <v>150000</v>
      </c>
      <c r="S531" s="74">
        <v>45938</v>
      </c>
      <c r="T531" s="48" t="s">
        <v>621</v>
      </c>
      <c r="U531" s="48" t="s">
        <v>1926</v>
      </c>
      <c r="V531" s="48" t="s">
        <v>378</v>
      </c>
      <c r="W531" s="48"/>
    </row>
    <row r="532" spans="1:23" ht="15.75" x14ac:dyDescent="0.25">
      <c r="A532" s="48" t="s">
        <v>1442</v>
      </c>
      <c r="B532" s="49">
        <v>45841</v>
      </c>
      <c r="C532" s="48" t="s">
        <v>916</v>
      </c>
      <c r="D532" s="48" t="s">
        <v>441</v>
      </c>
      <c r="E532" s="48" t="s">
        <v>856</v>
      </c>
      <c r="F532" s="48" t="s">
        <v>366</v>
      </c>
      <c r="G532" s="48" t="s">
        <v>710</v>
      </c>
      <c r="H532" s="48" t="s">
        <v>27</v>
      </c>
      <c r="I532" s="48" t="s">
        <v>477</v>
      </c>
      <c r="J532" s="48" t="s">
        <v>24</v>
      </c>
      <c r="K532" s="48" t="s">
        <v>710</v>
      </c>
      <c r="L532" s="48" t="s">
        <v>1209</v>
      </c>
      <c r="M532" s="48" t="s">
        <v>26</v>
      </c>
      <c r="N532" s="48" t="s">
        <v>20</v>
      </c>
      <c r="O532" s="48" t="s">
        <v>857</v>
      </c>
      <c r="P532" s="50">
        <v>800000</v>
      </c>
      <c r="Q532" s="50">
        <v>1</v>
      </c>
      <c r="R532" s="50">
        <v>800000</v>
      </c>
      <c r="S532" s="74">
        <v>45938</v>
      </c>
      <c r="T532" s="48" t="s">
        <v>621</v>
      </c>
      <c r="U532" s="48" t="s">
        <v>367</v>
      </c>
      <c r="V532" s="48" t="s">
        <v>378</v>
      </c>
      <c r="W532" s="48"/>
    </row>
    <row r="533" spans="1:23" ht="15.75" x14ac:dyDescent="0.25">
      <c r="A533" s="48" t="s">
        <v>321</v>
      </c>
      <c r="B533" s="49">
        <v>45932</v>
      </c>
      <c r="C533" s="48" t="s">
        <v>930</v>
      </c>
      <c r="D533" s="48" t="s">
        <v>1118</v>
      </c>
      <c r="E533" s="48" t="s">
        <v>858</v>
      </c>
      <c r="F533" s="48" t="s">
        <v>62</v>
      </c>
      <c r="G533" s="48" t="s">
        <v>70</v>
      </c>
      <c r="H533" s="48" t="s">
        <v>70</v>
      </c>
      <c r="I533" s="48" t="s">
        <v>322</v>
      </c>
      <c r="J533" s="48" t="s">
        <v>72</v>
      </c>
      <c r="K533" s="48" t="s">
        <v>213</v>
      </c>
      <c r="L533" s="48" t="s">
        <v>1134</v>
      </c>
      <c r="M533" s="48" t="s">
        <v>26</v>
      </c>
      <c r="N533" s="48" t="s">
        <v>20</v>
      </c>
      <c r="O533" s="48" t="s">
        <v>857</v>
      </c>
      <c r="P533" s="50">
        <v>1039300.19</v>
      </c>
      <c r="Q533" s="50">
        <v>1</v>
      </c>
      <c r="R533" s="50">
        <v>1039300.19</v>
      </c>
      <c r="S533" s="74">
        <v>45937</v>
      </c>
      <c r="T533" s="48" t="s">
        <v>127</v>
      </c>
      <c r="U533" s="48" t="s">
        <v>213</v>
      </c>
      <c r="V533" s="48" t="s">
        <v>857</v>
      </c>
      <c r="W533" s="48"/>
    </row>
    <row r="534" spans="1:23" ht="15.75" x14ac:dyDescent="0.25">
      <c r="A534" s="48" t="s">
        <v>721</v>
      </c>
      <c r="B534" s="49">
        <v>45937</v>
      </c>
      <c r="C534" s="48" t="s">
        <v>918</v>
      </c>
      <c r="D534" s="48" t="s">
        <v>441</v>
      </c>
      <c r="E534" s="48" t="s">
        <v>856</v>
      </c>
      <c r="F534" s="48" t="s">
        <v>612</v>
      </c>
      <c r="G534" s="48" t="s">
        <v>613</v>
      </c>
      <c r="H534" s="48" t="s">
        <v>27</v>
      </c>
      <c r="I534" s="48" t="s">
        <v>177</v>
      </c>
      <c r="J534" s="48" t="s">
        <v>24</v>
      </c>
      <c r="K534" s="48" t="s">
        <v>613</v>
      </c>
      <c r="L534" s="48" t="s">
        <v>1135</v>
      </c>
      <c r="M534" s="48" t="s">
        <v>26</v>
      </c>
      <c r="N534" s="48" t="s">
        <v>20</v>
      </c>
      <c r="O534" s="48" t="s">
        <v>857</v>
      </c>
      <c r="P534" s="50">
        <v>452640</v>
      </c>
      <c r="Q534" s="50">
        <v>1</v>
      </c>
      <c r="R534" s="50">
        <v>452640</v>
      </c>
      <c r="S534" s="74">
        <v>45937</v>
      </c>
      <c r="T534" s="48" t="s">
        <v>311</v>
      </c>
      <c r="U534" s="48" t="s">
        <v>613</v>
      </c>
      <c r="V534" s="48" t="s">
        <v>857</v>
      </c>
      <c r="W534" s="48"/>
    </row>
    <row r="535" spans="1:23" ht="15.75" x14ac:dyDescent="0.25">
      <c r="A535" s="48" t="s">
        <v>1404</v>
      </c>
      <c r="B535" s="49">
        <v>45902</v>
      </c>
      <c r="C535" s="48" t="s">
        <v>918</v>
      </c>
      <c r="D535" s="48" t="s">
        <v>441</v>
      </c>
      <c r="E535" s="48" t="s">
        <v>858</v>
      </c>
      <c r="F535" s="48" t="s">
        <v>21</v>
      </c>
      <c r="G535" s="48" t="s">
        <v>22</v>
      </c>
      <c r="H535" s="48" t="s">
        <v>27</v>
      </c>
      <c r="I535" s="48" t="s">
        <v>1331</v>
      </c>
      <c r="J535" s="48" t="s">
        <v>24</v>
      </c>
      <c r="K535" s="48" t="s">
        <v>22</v>
      </c>
      <c r="L535" s="48" t="s">
        <v>1132</v>
      </c>
      <c r="M535" s="48" t="s">
        <v>26</v>
      </c>
      <c r="N535" s="48" t="s">
        <v>20</v>
      </c>
      <c r="O535" s="48" t="s">
        <v>857</v>
      </c>
      <c r="P535" s="50">
        <v>197000</v>
      </c>
      <c r="Q535" s="50">
        <v>1</v>
      </c>
      <c r="R535" s="50">
        <v>197000</v>
      </c>
      <c r="S535" s="74">
        <v>45937</v>
      </c>
      <c r="T535" s="48" t="s">
        <v>621</v>
      </c>
      <c r="U535" s="48" t="s">
        <v>22</v>
      </c>
      <c r="V535" s="48" t="s">
        <v>857</v>
      </c>
      <c r="W535" s="48"/>
    </row>
    <row r="536" spans="1:23" ht="15.75" x14ac:dyDescent="0.25">
      <c r="A536" s="48" t="s">
        <v>1777</v>
      </c>
      <c r="B536" s="49">
        <v>45936</v>
      </c>
      <c r="C536" s="48" t="s">
        <v>916</v>
      </c>
      <c r="D536" s="48" t="s">
        <v>1727</v>
      </c>
      <c r="E536" s="48" t="s">
        <v>856</v>
      </c>
      <c r="F536" s="48" t="s">
        <v>62</v>
      </c>
      <c r="G536" s="48" t="s">
        <v>70</v>
      </c>
      <c r="H536" s="48" t="s">
        <v>70</v>
      </c>
      <c r="I536" s="48" t="s">
        <v>1726</v>
      </c>
      <c r="J536" s="48" t="s">
        <v>869</v>
      </c>
      <c r="K536" s="48" t="s">
        <v>1762</v>
      </c>
      <c r="L536" s="48" t="s">
        <v>917</v>
      </c>
      <c r="M536" s="48" t="s">
        <v>26</v>
      </c>
      <c r="N536" s="48" t="s">
        <v>20</v>
      </c>
      <c r="O536" s="48" t="s">
        <v>857</v>
      </c>
      <c r="P536" s="50">
        <v>1000000</v>
      </c>
      <c r="Q536" s="50">
        <v>1</v>
      </c>
      <c r="R536" s="50">
        <v>1000000</v>
      </c>
      <c r="S536" s="74">
        <v>45937</v>
      </c>
      <c r="T536" s="48" t="s">
        <v>208</v>
      </c>
      <c r="U536" s="48" t="s">
        <v>70</v>
      </c>
      <c r="V536" s="48" t="s">
        <v>857</v>
      </c>
      <c r="W536" s="48"/>
    </row>
    <row r="537" spans="1:23" ht="15.75" x14ac:dyDescent="0.25">
      <c r="A537" s="48" t="s">
        <v>736</v>
      </c>
      <c r="B537" s="49">
        <v>45778</v>
      </c>
      <c r="C537" s="48" t="s">
        <v>916</v>
      </c>
      <c r="D537" s="48" t="s">
        <v>1119</v>
      </c>
      <c r="E537" s="48" t="s">
        <v>856</v>
      </c>
      <c r="F537" s="48" t="s">
        <v>366</v>
      </c>
      <c r="G537" s="48" t="s">
        <v>367</v>
      </c>
      <c r="H537" s="48" t="s">
        <v>27</v>
      </c>
      <c r="I537" s="48" t="s">
        <v>737</v>
      </c>
      <c r="J537" s="48" t="s">
        <v>72</v>
      </c>
      <c r="K537" s="48" t="s">
        <v>367</v>
      </c>
      <c r="L537" s="48" t="s">
        <v>1136</v>
      </c>
      <c r="M537" s="48" t="s">
        <v>26</v>
      </c>
      <c r="N537" s="48" t="s">
        <v>20</v>
      </c>
      <c r="O537" s="48" t="s">
        <v>857</v>
      </c>
      <c r="P537" s="50">
        <v>1481071.75</v>
      </c>
      <c r="Q537" s="50">
        <v>1</v>
      </c>
      <c r="R537" s="50">
        <v>1481071.75</v>
      </c>
      <c r="S537" s="74">
        <v>45937</v>
      </c>
      <c r="T537" s="48" t="s">
        <v>738</v>
      </c>
      <c r="U537" s="48" t="s">
        <v>367</v>
      </c>
      <c r="V537" s="48" t="s">
        <v>857</v>
      </c>
      <c r="W537" s="48"/>
    </row>
    <row r="538" spans="1:23" ht="15.75" x14ac:dyDescent="0.25">
      <c r="A538" s="48" t="s">
        <v>1752</v>
      </c>
      <c r="B538" s="49">
        <v>45936</v>
      </c>
      <c r="C538" s="48" t="s">
        <v>916</v>
      </c>
      <c r="D538" s="48" t="s">
        <v>1727</v>
      </c>
      <c r="E538" s="48" t="s">
        <v>856</v>
      </c>
      <c r="F538" s="48" t="s">
        <v>62</v>
      </c>
      <c r="G538" s="48" t="s">
        <v>70</v>
      </c>
      <c r="H538" s="48" t="s">
        <v>70</v>
      </c>
      <c r="I538" s="48" t="s">
        <v>1714</v>
      </c>
      <c r="J538" s="48" t="s">
        <v>869</v>
      </c>
      <c r="K538" s="48" t="s">
        <v>1762</v>
      </c>
      <c r="L538" s="48" t="s">
        <v>917</v>
      </c>
      <c r="M538" s="48" t="s">
        <v>26</v>
      </c>
      <c r="N538" s="48" t="s">
        <v>20</v>
      </c>
      <c r="O538" s="48" t="s">
        <v>857</v>
      </c>
      <c r="P538" s="50">
        <v>500339.7</v>
      </c>
      <c r="Q538" s="50">
        <v>1</v>
      </c>
      <c r="R538" s="50">
        <v>500339.7</v>
      </c>
      <c r="S538" s="74">
        <v>45937</v>
      </c>
      <c r="T538" s="48" t="s">
        <v>208</v>
      </c>
      <c r="U538" s="48" t="s">
        <v>70</v>
      </c>
      <c r="V538" s="48" t="s">
        <v>857</v>
      </c>
      <c r="W538" s="48"/>
    </row>
    <row r="539" spans="1:23" ht="15.75" x14ac:dyDescent="0.25">
      <c r="A539" s="48" t="s">
        <v>1781</v>
      </c>
      <c r="B539" s="49">
        <v>45935</v>
      </c>
      <c r="C539" s="48" t="s">
        <v>916</v>
      </c>
      <c r="D539" s="48" t="s">
        <v>1727</v>
      </c>
      <c r="E539" s="48" t="s">
        <v>856</v>
      </c>
      <c r="F539" s="48" t="s">
        <v>62</v>
      </c>
      <c r="G539" s="48" t="s">
        <v>70</v>
      </c>
      <c r="H539" s="48" t="s">
        <v>70</v>
      </c>
      <c r="I539" s="48" t="s">
        <v>1723</v>
      </c>
      <c r="J539" s="48" t="s">
        <v>869</v>
      </c>
      <c r="K539" s="48" t="s">
        <v>1762</v>
      </c>
      <c r="L539" s="48" t="s">
        <v>917</v>
      </c>
      <c r="M539" s="48" t="s">
        <v>26</v>
      </c>
      <c r="N539" s="48" t="s">
        <v>20</v>
      </c>
      <c r="O539" s="48" t="s">
        <v>857</v>
      </c>
      <c r="P539" s="50">
        <v>355517.15</v>
      </c>
      <c r="Q539" s="50">
        <v>1</v>
      </c>
      <c r="R539" s="50">
        <v>355517.15</v>
      </c>
      <c r="S539" s="74">
        <v>45936</v>
      </c>
      <c r="T539" s="48" t="s">
        <v>208</v>
      </c>
      <c r="U539" s="48" t="s">
        <v>70</v>
      </c>
      <c r="V539" s="48" t="s">
        <v>857</v>
      </c>
      <c r="W539" s="48"/>
    </row>
    <row r="540" spans="1:23" ht="15.75" x14ac:dyDescent="0.25">
      <c r="A540" s="48" t="s">
        <v>700</v>
      </c>
      <c r="B540" s="49">
        <v>45869</v>
      </c>
      <c r="C540" s="48" t="s">
        <v>924</v>
      </c>
      <c r="D540" s="48" t="s">
        <v>1119</v>
      </c>
      <c r="E540" s="48" t="s">
        <v>858</v>
      </c>
      <c r="F540" s="48" t="s">
        <v>366</v>
      </c>
      <c r="G540" s="48" t="s">
        <v>367</v>
      </c>
      <c r="H540" s="48" t="s">
        <v>27</v>
      </c>
      <c r="I540" s="48" t="s">
        <v>701</v>
      </c>
      <c r="J540" s="48" t="s">
        <v>72</v>
      </c>
      <c r="K540" s="48" t="s">
        <v>367</v>
      </c>
      <c r="L540" s="48" t="s">
        <v>1136</v>
      </c>
      <c r="M540" s="48" t="s">
        <v>26</v>
      </c>
      <c r="N540" s="48" t="s">
        <v>20</v>
      </c>
      <c r="O540" s="48" t="s">
        <v>857</v>
      </c>
      <c r="P540" s="50">
        <v>496480.71</v>
      </c>
      <c r="Q540" s="50">
        <v>1</v>
      </c>
      <c r="R540" s="50">
        <v>496480.71</v>
      </c>
      <c r="S540" s="74">
        <v>45936</v>
      </c>
      <c r="T540" s="48" t="s">
        <v>311</v>
      </c>
      <c r="U540" s="48" t="s">
        <v>367</v>
      </c>
      <c r="V540" s="48" t="s">
        <v>857</v>
      </c>
      <c r="W540" s="48"/>
    </row>
    <row r="541" spans="1:23" ht="15.75" x14ac:dyDescent="0.25">
      <c r="A541" s="48" t="s">
        <v>1316</v>
      </c>
      <c r="B541" s="49">
        <v>45846</v>
      </c>
      <c r="C541" s="48" t="s">
        <v>916</v>
      </c>
      <c r="D541" s="48" t="s">
        <v>441</v>
      </c>
      <c r="E541" s="48" t="s">
        <v>856</v>
      </c>
      <c r="F541" s="48" t="s">
        <v>21</v>
      </c>
      <c r="G541" s="48" t="s">
        <v>22</v>
      </c>
      <c r="H541" s="48" t="s">
        <v>27</v>
      </c>
      <c r="I541" s="48" t="s">
        <v>766</v>
      </c>
      <c r="J541" s="48" t="s">
        <v>24</v>
      </c>
      <c r="K541" s="48" t="s">
        <v>22</v>
      </c>
      <c r="L541" s="48" t="s">
        <v>1132</v>
      </c>
      <c r="M541" s="48" t="s">
        <v>26</v>
      </c>
      <c r="N541" s="48" t="s">
        <v>20</v>
      </c>
      <c r="O541" s="48" t="s">
        <v>857</v>
      </c>
      <c r="P541" s="50">
        <v>1161954.08</v>
      </c>
      <c r="Q541" s="50">
        <v>1</v>
      </c>
      <c r="R541" s="50">
        <v>1161954.08</v>
      </c>
      <c r="S541" s="74">
        <v>45936</v>
      </c>
      <c r="T541" s="48" t="s">
        <v>621</v>
      </c>
      <c r="U541" s="48" t="s">
        <v>22</v>
      </c>
      <c r="V541" s="48" t="s">
        <v>857</v>
      </c>
      <c r="W541" s="48"/>
    </row>
    <row r="542" spans="1:23" ht="15.75" x14ac:dyDescent="0.25">
      <c r="A542" s="48" t="s">
        <v>1201</v>
      </c>
      <c r="B542" s="49">
        <v>45866</v>
      </c>
      <c r="C542" s="48" t="s">
        <v>928</v>
      </c>
      <c r="D542" s="48" t="s">
        <v>441</v>
      </c>
      <c r="E542" s="48" t="s">
        <v>856</v>
      </c>
      <c r="F542" s="48" t="s">
        <v>95</v>
      </c>
      <c r="G542" s="48" t="s">
        <v>96</v>
      </c>
      <c r="H542" s="48" t="s">
        <v>27</v>
      </c>
      <c r="I542" s="48" t="s">
        <v>177</v>
      </c>
      <c r="J542" s="48" t="s">
        <v>24</v>
      </c>
      <c r="K542" s="48" t="s">
        <v>22</v>
      </c>
      <c r="L542" s="48" t="s">
        <v>1132</v>
      </c>
      <c r="M542" s="48" t="s">
        <v>26</v>
      </c>
      <c r="N542" s="48" t="s">
        <v>20</v>
      </c>
      <c r="O542" s="48" t="s">
        <v>378</v>
      </c>
      <c r="P542" s="50">
        <v>76520.850000000006</v>
      </c>
      <c r="Q542" s="50">
        <v>1</v>
      </c>
      <c r="R542" s="50">
        <v>76520.850000000006</v>
      </c>
      <c r="S542" s="74">
        <v>45935</v>
      </c>
      <c r="T542" s="48" t="s">
        <v>311</v>
      </c>
      <c r="U542" s="48" t="s">
        <v>22</v>
      </c>
      <c r="V542" s="48" t="s">
        <v>857</v>
      </c>
      <c r="W542" s="48"/>
    </row>
    <row r="543" spans="1:23" ht="15.75" x14ac:dyDescent="0.25">
      <c r="A543" s="48" t="s">
        <v>1783</v>
      </c>
      <c r="B543" s="49">
        <v>45932</v>
      </c>
      <c r="C543" s="48" t="s">
        <v>916</v>
      </c>
      <c r="D543" s="48" t="s">
        <v>1727</v>
      </c>
      <c r="E543" s="48" t="s">
        <v>856</v>
      </c>
      <c r="F543" s="48" t="s">
        <v>62</v>
      </c>
      <c r="G543" s="48" t="s">
        <v>70</v>
      </c>
      <c r="H543" s="48" t="s">
        <v>70</v>
      </c>
      <c r="I543" s="48" t="s">
        <v>1709</v>
      </c>
      <c r="J543" s="48" t="s">
        <v>869</v>
      </c>
      <c r="K543" s="48" t="s">
        <v>1762</v>
      </c>
      <c r="L543" s="48" t="s">
        <v>917</v>
      </c>
      <c r="M543" s="48" t="s">
        <v>26</v>
      </c>
      <c r="N543" s="48" t="s">
        <v>20</v>
      </c>
      <c r="O543" s="48" t="s">
        <v>857</v>
      </c>
      <c r="P543" s="50">
        <v>295901.15999999997</v>
      </c>
      <c r="Q543" s="50">
        <v>1</v>
      </c>
      <c r="R543" s="50">
        <v>295901.15999999997</v>
      </c>
      <c r="S543" s="74">
        <v>45935</v>
      </c>
      <c r="T543" s="48" t="s">
        <v>208</v>
      </c>
      <c r="U543" s="48" t="s">
        <v>70</v>
      </c>
      <c r="V543" s="48" t="s">
        <v>857</v>
      </c>
      <c r="W543" s="48"/>
    </row>
    <row r="544" spans="1:23" ht="15.75" x14ac:dyDescent="0.25">
      <c r="A544" s="48" t="s">
        <v>1502</v>
      </c>
      <c r="B544" s="49">
        <v>45889</v>
      </c>
      <c r="C544" s="48" t="s">
        <v>916</v>
      </c>
      <c r="D544" s="48" t="s">
        <v>441</v>
      </c>
      <c r="E544" s="48" t="s">
        <v>858</v>
      </c>
      <c r="F544" s="48" t="s">
        <v>21</v>
      </c>
      <c r="G544" s="48" t="s">
        <v>22</v>
      </c>
      <c r="H544" s="48" t="s">
        <v>27</v>
      </c>
      <c r="I544" s="48" t="s">
        <v>1789</v>
      </c>
      <c r="J544" s="48" t="s">
        <v>24</v>
      </c>
      <c r="K544" s="48" t="s">
        <v>407</v>
      </c>
      <c r="L544" s="48" t="s">
        <v>1131</v>
      </c>
      <c r="M544" s="48" t="s">
        <v>26</v>
      </c>
      <c r="N544" s="48" t="s">
        <v>20</v>
      </c>
      <c r="O544" s="48" t="s">
        <v>857</v>
      </c>
      <c r="P544" s="50">
        <v>400000</v>
      </c>
      <c r="Q544" s="50">
        <v>1</v>
      </c>
      <c r="R544" s="50">
        <v>400000</v>
      </c>
      <c r="S544" s="74">
        <v>45935</v>
      </c>
      <c r="T544" s="48" t="s">
        <v>621</v>
      </c>
      <c r="U544" s="48" t="s">
        <v>304</v>
      </c>
      <c r="V544" s="48" t="s">
        <v>378</v>
      </c>
      <c r="W544" s="48"/>
    </row>
    <row r="545" spans="1:23" ht="15.75" x14ac:dyDescent="0.25">
      <c r="A545" s="48" t="s">
        <v>629</v>
      </c>
      <c r="B545" s="49">
        <v>45853</v>
      </c>
      <c r="C545" s="48" t="s">
        <v>916</v>
      </c>
      <c r="D545" s="48" t="s">
        <v>441</v>
      </c>
      <c r="E545" s="48" t="s">
        <v>856</v>
      </c>
      <c r="F545" s="48" t="s">
        <v>21</v>
      </c>
      <c r="G545" s="48" t="s">
        <v>22</v>
      </c>
      <c r="H545" s="48" t="s">
        <v>27</v>
      </c>
      <c r="I545" s="48" t="s">
        <v>593</v>
      </c>
      <c r="J545" s="48" t="s">
        <v>24</v>
      </c>
      <c r="K545" s="48" t="s">
        <v>22</v>
      </c>
      <c r="L545" s="48" t="s">
        <v>1132</v>
      </c>
      <c r="M545" s="48" t="s">
        <v>26</v>
      </c>
      <c r="N545" s="48" t="s">
        <v>20</v>
      </c>
      <c r="O545" s="48" t="s">
        <v>857</v>
      </c>
      <c r="P545" s="50">
        <v>899345.63</v>
      </c>
      <c r="Q545" s="50">
        <v>1</v>
      </c>
      <c r="R545" s="50">
        <v>899345.63</v>
      </c>
      <c r="S545" s="74">
        <v>45935</v>
      </c>
      <c r="T545" s="48" t="s">
        <v>311</v>
      </c>
      <c r="U545" s="48" t="s">
        <v>22</v>
      </c>
      <c r="V545" s="48" t="s">
        <v>857</v>
      </c>
      <c r="W545" s="48"/>
    </row>
    <row r="546" spans="1:23" ht="15.75" x14ac:dyDescent="0.25">
      <c r="A546" s="48" t="s">
        <v>719</v>
      </c>
      <c r="B546" s="49">
        <v>45925</v>
      </c>
      <c r="C546" s="48" t="s">
        <v>916</v>
      </c>
      <c r="D546" s="48" t="s">
        <v>441</v>
      </c>
      <c r="E546" s="48" t="s">
        <v>858</v>
      </c>
      <c r="F546" s="48" t="s">
        <v>612</v>
      </c>
      <c r="G546" s="48" t="s">
        <v>613</v>
      </c>
      <c r="H546" s="48" t="s">
        <v>27</v>
      </c>
      <c r="I546" s="48" t="s">
        <v>720</v>
      </c>
      <c r="J546" s="48" t="s">
        <v>24</v>
      </c>
      <c r="K546" s="48" t="s">
        <v>613</v>
      </c>
      <c r="L546" s="48" t="s">
        <v>1135</v>
      </c>
      <c r="M546" s="48" t="s">
        <v>26</v>
      </c>
      <c r="N546" s="48" t="s">
        <v>20</v>
      </c>
      <c r="O546" s="48" t="s">
        <v>857</v>
      </c>
      <c r="P546" s="50">
        <v>231336.88</v>
      </c>
      <c r="Q546" s="50">
        <v>1</v>
      </c>
      <c r="R546" s="50">
        <v>231336.88</v>
      </c>
      <c r="S546" s="74">
        <v>45935</v>
      </c>
      <c r="T546" s="48" t="s">
        <v>311</v>
      </c>
      <c r="U546" s="48" t="s">
        <v>613</v>
      </c>
      <c r="V546" s="48" t="s">
        <v>857</v>
      </c>
      <c r="W546" s="48"/>
    </row>
    <row r="547" spans="1:23" ht="15.75" x14ac:dyDescent="0.25">
      <c r="A547" s="48" t="s">
        <v>1328</v>
      </c>
      <c r="B547" s="49">
        <v>45848</v>
      </c>
      <c r="C547" s="48" t="s">
        <v>916</v>
      </c>
      <c r="D547" s="48" t="s">
        <v>441</v>
      </c>
      <c r="E547" s="48" t="s">
        <v>856</v>
      </c>
      <c r="F547" s="48" t="s">
        <v>373</v>
      </c>
      <c r="G547" s="48" t="s">
        <v>70</v>
      </c>
      <c r="H547" s="48" t="s">
        <v>70</v>
      </c>
      <c r="I547" s="48" t="s">
        <v>521</v>
      </c>
      <c r="J547" s="48" t="s">
        <v>24</v>
      </c>
      <c r="K547" s="48" t="s">
        <v>22</v>
      </c>
      <c r="L547" s="48" t="s">
        <v>1132</v>
      </c>
      <c r="M547" s="48" t="s">
        <v>26</v>
      </c>
      <c r="N547" s="48" t="s">
        <v>20</v>
      </c>
      <c r="O547" s="48" t="s">
        <v>857</v>
      </c>
      <c r="P547" s="50">
        <v>2255915</v>
      </c>
      <c r="Q547" s="50">
        <v>1</v>
      </c>
      <c r="R547" s="50">
        <v>2255915</v>
      </c>
      <c r="S547" s="74">
        <v>45935</v>
      </c>
      <c r="T547" s="48" t="s">
        <v>311</v>
      </c>
      <c r="U547" s="48" t="s">
        <v>1849</v>
      </c>
      <c r="V547" s="48" t="s">
        <v>378</v>
      </c>
      <c r="W547" s="48"/>
    </row>
    <row r="548" spans="1:23" ht="15.75" x14ac:dyDescent="0.25">
      <c r="A548" s="48" t="s">
        <v>798</v>
      </c>
      <c r="B548" s="49">
        <v>45853</v>
      </c>
      <c r="C548" s="48" t="s">
        <v>916</v>
      </c>
      <c r="D548" s="48" t="s">
        <v>441</v>
      </c>
      <c r="E548" s="48" t="s">
        <v>856</v>
      </c>
      <c r="F548" s="48" t="s">
        <v>21</v>
      </c>
      <c r="G548" s="48" t="s">
        <v>22</v>
      </c>
      <c r="H548" s="48" t="s">
        <v>27</v>
      </c>
      <c r="I548" s="48" t="s">
        <v>560</v>
      </c>
      <c r="J548" s="48" t="s">
        <v>24</v>
      </c>
      <c r="K548" s="48" t="s">
        <v>22</v>
      </c>
      <c r="L548" s="48" t="s">
        <v>1132</v>
      </c>
      <c r="M548" s="48" t="s">
        <v>26</v>
      </c>
      <c r="N548" s="48" t="s">
        <v>20</v>
      </c>
      <c r="O548" s="48" t="s">
        <v>857</v>
      </c>
      <c r="P548" s="50">
        <v>800000</v>
      </c>
      <c r="Q548" s="50">
        <v>1</v>
      </c>
      <c r="R548" s="50">
        <v>800000</v>
      </c>
      <c r="S548" s="74">
        <v>45935</v>
      </c>
      <c r="T548" s="48" t="s">
        <v>311</v>
      </c>
      <c r="U548" s="48" t="s">
        <v>22</v>
      </c>
      <c r="V548" s="48" t="s">
        <v>857</v>
      </c>
      <c r="W548" s="48"/>
    </row>
    <row r="549" spans="1:23" ht="15.75" x14ac:dyDescent="0.25">
      <c r="A549" s="48" t="s">
        <v>799</v>
      </c>
      <c r="B549" s="49">
        <v>45858</v>
      </c>
      <c r="C549" s="48" t="s">
        <v>916</v>
      </c>
      <c r="D549" s="48" t="s">
        <v>441</v>
      </c>
      <c r="E549" s="48" t="s">
        <v>858</v>
      </c>
      <c r="F549" s="48" t="s">
        <v>21</v>
      </c>
      <c r="G549" s="48" t="s">
        <v>22</v>
      </c>
      <c r="H549" s="48" t="s">
        <v>27</v>
      </c>
      <c r="I549" s="48" t="s">
        <v>800</v>
      </c>
      <c r="J549" s="48" t="s">
        <v>24</v>
      </c>
      <c r="K549" s="48" t="s">
        <v>22</v>
      </c>
      <c r="L549" s="48" t="s">
        <v>1132</v>
      </c>
      <c r="M549" s="48" t="s">
        <v>26</v>
      </c>
      <c r="N549" s="48" t="s">
        <v>20</v>
      </c>
      <c r="O549" s="48" t="s">
        <v>857</v>
      </c>
      <c r="P549" s="50">
        <v>274309.5</v>
      </c>
      <c r="Q549" s="50">
        <v>1</v>
      </c>
      <c r="R549" s="50">
        <v>274309.5</v>
      </c>
      <c r="S549" s="74">
        <v>45935</v>
      </c>
      <c r="T549" s="48" t="s">
        <v>311</v>
      </c>
      <c r="U549" s="48" t="s">
        <v>22</v>
      </c>
      <c r="V549" s="48" t="s">
        <v>857</v>
      </c>
      <c r="W549" s="48"/>
    </row>
    <row r="550" spans="1:23" ht="15.75" x14ac:dyDescent="0.25">
      <c r="A550" s="48" t="s">
        <v>1408</v>
      </c>
      <c r="B550" s="49">
        <v>45848</v>
      </c>
      <c r="C550" s="48" t="s">
        <v>916</v>
      </c>
      <c r="D550" s="48" t="s">
        <v>441</v>
      </c>
      <c r="E550" s="48" t="s">
        <v>858</v>
      </c>
      <c r="F550" s="48" t="s">
        <v>21</v>
      </c>
      <c r="G550" s="48" t="s">
        <v>22</v>
      </c>
      <c r="H550" s="48" t="s">
        <v>27</v>
      </c>
      <c r="I550" s="48" t="s">
        <v>1330</v>
      </c>
      <c r="J550" s="48" t="s">
        <v>24</v>
      </c>
      <c r="K550" s="48" t="s">
        <v>22</v>
      </c>
      <c r="L550" s="48" t="s">
        <v>1132</v>
      </c>
      <c r="M550" s="48" t="s">
        <v>26</v>
      </c>
      <c r="N550" s="48" t="s">
        <v>20</v>
      </c>
      <c r="O550" s="48" t="s">
        <v>857</v>
      </c>
      <c r="P550" s="50">
        <v>300000</v>
      </c>
      <c r="Q550" s="50">
        <v>1</v>
      </c>
      <c r="R550" s="50">
        <v>300000</v>
      </c>
      <c r="S550" s="74">
        <v>45932</v>
      </c>
      <c r="T550" s="48" t="s">
        <v>621</v>
      </c>
      <c r="U550" s="48" t="s">
        <v>22</v>
      </c>
      <c r="V550" s="48" t="s">
        <v>857</v>
      </c>
      <c r="W550" s="48"/>
    </row>
    <row r="551" spans="1:23" ht="15.75" x14ac:dyDescent="0.25">
      <c r="A551" s="48" t="s">
        <v>1194</v>
      </c>
      <c r="B551" s="49">
        <v>45862</v>
      </c>
      <c r="C551" s="48" t="s">
        <v>918</v>
      </c>
      <c r="D551" s="48" t="s">
        <v>509</v>
      </c>
      <c r="E551" s="48" t="s">
        <v>858</v>
      </c>
      <c r="F551" s="48" t="s">
        <v>21</v>
      </c>
      <c r="G551" s="48" t="s">
        <v>22</v>
      </c>
      <c r="H551" s="48" t="s">
        <v>27</v>
      </c>
      <c r="I551" s="48" t="s">
        <v>769</v>
      </c>
      <c r="J551" s="48" t="s">
        <v>24</v>
      </c>
      <c r="K551" s="48" t="s">
        <v>407</v>
      </c>
      <c r="L551" s="48" t="s">
        <v>1131</v>
      </c>
      <c r="M551" s="48" t="s">
        <v>26</v>
      </c>
      <c r="N551" s="48" t="s">
        <v>20</v>
      </c>
      <c r="O551" s="48" t="s">
        <v>857</v>
      </c>
      <c r="P551" s="50">
        <v>295697.42</v>
      </c>
      <c r="Q551" s="50">
        <v>1</v>
      </c>
      <c r="R551" s="50">
        <v>295697.42</v>
      </c>
      <c r="S551" s="74">
        <v>45932</v>
      </c>
      <c r="T551" s="48" t="s">
        <v>311</v>
      </c>
      <c r="U551" s="48" t="s">
        <v>304</v>
      </c>
      <c r="V551" s="48" t="s">
        <v>378</v>
      </c>
      <c r="W551" s="48"/>
    </row>
    <row r="552" spans="1:23" ht="15.75" x14ac:dyDescent="0.25">
      <c r="A552" s="48" t="s">
        <v>1229</v>
      </c>
      <c r="B552" s="49">
        <v>45931</v>
      </c>
      <c r="C552" s="48" t="s">
        <v>922</v>
      </c>
      <c r="D552" s="48" t="s">
        <v>1878</v>
      </c>
      <c r="E552" s="48" t="s">
        <v>856</v>
      </c>
      <c r="F552" s="48" t="s">
        <v>366</v>
      </c>
      <c r="G552" s="48" t="s">
        <v>367</v>
      </c>
      <c r="H552" s="48" t="s">
        <v>27</v>
      </c>
      <c r="I552" s="48" t="s">
        <v>1192</v>
      </c>
      <c r="J552" s="48" t="s">
        <v>3220</v>
      </c>
      <c r="K552" s="48" t="s">
        <v>367</v>
      </c>
      <c r="L552" s="48" t="s">
        <v>1136</v>
      </c>
      <c r="M552" s="48" t="s">
        <v>191</v>
      </c>
      <c r="N552" s="48" t="s">
        <v>20</v>
      </c>
      <c r="O552" s="48" t="s">
        <v>857</v>
      </c>
      <c r="P552" s="50">
        <v>760000</v>
      </c>
      <c r="Q552" s="50">
        <v>1.026</v>
      </c>
      <c r="R552" s="50">
        <v>779760</v>
      </c>
      <c r="S552" s="74">
        <v>45932</v>
      </c>
      <c r="T552" s="48" t="s">
        <v>208</v>
      </c>
      <c r="U552" s="48" t="s">
        <v>367</v>
      </c>
      <c r="V552" s="48" t="s">
        <v>857</v>
      </c>
      <c r="W552" s="48"/>
    </row>
    <row r="553" spans="1:23" ht="15.75" x14ac:dyDescent="0.25">
      <c r="A553" s="48" t="s">
        <v>1127</v>
      </c>
      <c r="B553" s="49">
        <v>45929</v>
      </c>
      <c r="C553" s="48" t="s">
        <v>928</v>
      </c>
      <c r="D553" s="48" t="s">
        <v>1878</v>
      </c>
      <c r="E553" s="48" t="s">
        <v>858</v>
      </c>
      <c r="F553" s="48" t="s">
        <v>366</v>
      </c>
      <c r="G553" s="48" t="s">
        <v>367</v>
      </c>
      <c r="H553" s="48" t="s">
        <v>27</v>
      </c>
      <c r="I553" s="48" t="s">
        <v>729</v>
      </c>
      <c r="J553" s="48" t="s">
        <v>3220</v>
      </c>
      <c r="K553" s="48" t="s">
        <v>367</v>
      </c>
      <c r="L553" s="48" t="s">
        <v>1136</v>
      </c>
      <c r="M553" s="48" t="s">
        <v>191</v>
      </c>
      <c r="N553" s="48" t="s">
        <v>20</v>
      </c>
      <c r="O553" s="48" t="s">
        <v>857</v>
      </c>
      <c r="P553" s="50">
        <v>309771.8</v>
      </c>
      <c r="Q553" s="50">
        <v>1.0262</v>
      </c>
      <c r="R553" s="50">
        <v>317887.82115999999</v>
      </c>
      <c r="S553" s="74">
        <v>45931</v>
      </c>
      <c r="T553" s="48" t="s">
        <v>425</v>
      </c>
      <c r="U553" s="48" t="s">
        <v>367</v>
      </c>
      <c r="V553" s="48" t="s">
        <v>857</v>
      </c>
      <c r="W553" s="48"/>
    </row>
    <row r="554" spans="1:23" ht="15.75" x14ac:dyDescent="0.25">
      <c r="A554" s="48" t="s">
        <v>1433</v>
      </c>
      <c r="B554" s="49">
        <v>45873</v>
      </c>
      <c r="C554" s="48" t="s">
        <v>916</v>
      </c>
      <c r="D554" s="48" t="s">
        <v>441</v>
      </c>
      <c r="E554" s="48" t="s">
        <v>858</v>
      </c>
      <c r="F554" s="48" t="s">
        <v>366</v>
      </c>
      <c r="G554" s="48" t="s">
        <v>710</v>
      </c>
      <c r="H554" s="48" t="s">
        <v>27</v>
      </c>
      <c r="I554" s="48" t="s">
        <v>1322</v>
      </c>
      <c r="J554" s="48" t="s">
        <v>24</v>
      </c>
      <c r="K554" s="48" t="s">
        <v>710</v>
      </c>
      <c r="L554" s="48" t="s">
        <v>1209</v>
      </c>
      <c r="M554" s="48" t="s">
        <v>26</v>
      </c>
      <c r="N554" s="48" t="s">
        <v>20</v>
      </c>
      <c r="O554" s="48" t="s">
        <v>857</v>
      </c>
      <c r="P554" s="50">
        <v>650000</v>
      </c>
      <c r="Q554" s="50">
        <v>1</v>
      </c>
      <c r="R554" s="50">
        <v>650000</v>
      </c>
      <c r="S554" s="74">
        <v>45930</v>
      </c>
      <c r="T554" s="48" t="s">
        <v>621</v>
      </c>
      <c r="U554" s="48" t="s">
        <v>710</v>
      </c>
      <c r="V554" s="48" t="s">
        <v>857</v>
      </c>
      <c r="W554" s="48"/>
    </row>
    <row r="555" spans="1:23" ht="15.75" x14ac:dyDescent="0.25">
      <c r="A555" s="48" t="s">
        <v>1422</v>
      </c>
      <c r="B555" s="49">
        <v>45830</v>
      </c>
      <c r="C555" s="48" t="s">
        <v>916</v>
      </c>
      <c r="D555" s="48" t="s">
        <v>441</v>
      </c>
      <c r="E555" s="48" t="s">
        <v>856</v>
      </c>
      <c r="F555" s="48" t="s">
        <v>95</v>
      </c>
      <c r="G555" s="48" t="s">
        <v>96</v>
      </c>
      <c r="H555" s="48" t="s">
        <v>27</v>
      </c>
      <c r="I555" s="48" t="s">
        <v>355</v>
      </c>
      <c r="J555" s="48" t="s">
        <v>24</v>
      </c>
      <c r="K555" s="48" t="s">
        <v>22</v>
      </c>
      <c r="L555" s="48" t="s">
        <v>1132</v>
      </c>
      <c r="M555" s="48" t="s">
        <v>26</v>
      </c>
      <c r="N555" s="48" t="s">
        <v>20</v>
      </c>
      <c r="O555" s="48" t="s">
        <v>378</v>
      </c>
      <c r="P555" s="50">
        <v>2000000</v>
      </c>
      <c r="Q555" s="50">
        <v>1</v>
      </c>
      <c r="R555" s="50">
        <v>2000000</v>
      </c>
      <c r="S555" s="74">
        <v>45930</v>
      </c>
      <c r="T555" s="48" t="s">
        <v>621</v>
      </c>
      <c r="U555" s="48" t="s">
        <v>22</v>
      </c>
      <c r="V555" s="48" t="s">
        <v>857</v>
      </c>
      <c r="W555" s="48"/>
    </row>
    <row r="556" spans="1:23" ht="15.75" x14ac:dyDescent="0.25">
      <c r="A556" s="48" t="s">
        <v>1747</v>
      </c>
      <c r="B556" s="49">
        <v>45929</v>
      </c>
      <c r="C556" s="48" t="s">
        <v>916</v>
      </c>
      <c r="D556" s="48" t="s">
        <v>1727</v>
      </c>
      <c r="E556" s="48" t="s">
        <v>856</v>
      </c>
      <c r="F556" s="48" t="s">
        <v>62</v>
      </c>
      <c r="G556" s="48" t="s">
        <v>70</v>
      </c>
      <c r="H556" s="48" t="s">
        <v>70</v>
      </c>
      <c r="I556" s="48" t="s">
        <v>1708</v>
      </c>
      <c r="J556" s="48" t="s">
        <v>869</v>
      </c>
      <c r="K556" s="48" t="s">
        <v>1762</v>
      </c>
      <c r="L556" s="48" t="s">
        <v>917</v>
      </c>
      <c r="M556" s="48" t="s">
        <v>26</v>
      </c>
      <c r="N556" s="48" t="s">
        <v>20</v>
      </c>
      <c r="O556" s="48" t="s">
        <v>857</v>
      </c>
      <c r="P556" s="50">
        <v>500575.54</v>
      </c>
      <c r="Q556" s="50">
        <v>1</v>
      </c>
      <c r="R556" s="50">
        <v>500575.54</v>
      </c>
      <c r="S556" s="74">
        <v>45930</v>
      </c>
      <c r="T556" s="48" t="s">
        <v>208</v>
      </c>
      <c r="U556" s="48" t="s">
        <v>70</v>
      </c>
      <c r="V556" s="48" t="s">
        <v>857</v>
      </c>
      <c r="W556" s="48"/>
    </row>
    <row r="557" spans="1:23" ht="15.75" x14ac:dyDescent="0.25">
      <c r="A557" s="48" t="s">
        <v>1748</v>
      </c>
      <c r="B557" s="49">
        <v>45929</v>
      </c>
      <c r="C557" s="48" t="s">
        <v>916</v>
      </c>
      <c r="D557" s="48" t="s">
        <v>1727</v>
      </c>
      <c r="E557" s="48" t="s">
        <v>856</v>
      </c>
      <c r="F557" s="48" t="s">
        <v>62</v>
      </c>
      <c r="G557" s="48" t="s">
        <v>70</v>
      </c>
      <c r="H557" s="48" t="s">
        <v>70</v>
      </c>
      <c r="I557" s="48" t="s">
        <v>1715</v>
      </c>
      <c r="J557" s="48" t="s">
        <v>869</v>
      </c>
      <c r="K557" s="48" t="s">
        <v>1762</v>
      </c>
      <c r="L557" s="48" t="s">
        <v>917</v>
      </c>
      <c r="M557" s="48" t="s">
        <v>26</v>
      </c>
      <c r="N557" s="48" t="s">
        <v>20</v>
      </c>
      <c r="O557" s="48" t="s">
        <v>857</v>
      </c>
      <c r="P557" s="50">
        <v>425000</v>
      </c>
      <c r="Q557" s="50">
        <v>1</v>
      </c>
      <c r="R557" s="50">
        <v>425000</v>
      </c>
      <c r="S557" s="74">
        <v>45930</v>
      </c>
      <c r="T557" s="48" t="s">
        <v>208</v>
      </c>
      <c r="U557" s="48" t="s">
        <v>70</v>
      </c>
      <c r="V557" s="48" t="s">
        <v>857</v>
      </c>
      <c r="W557" s="48"/>
    </row>
    <row r="558" spans="1:23" ht="15.75" x14ac:dyDescent="0.25">
      <c r="A558" s="48" t="s">
        <v>1421</v>
      </c>
      <c r="B558" s="49">
        <v>45859</v>
      </c>
      <c r="C558" s="48" t="s">
        <v>916</v>
      </c>
      <c r="D558" s="48" t="s">
        <v>441</v>
      </c>
      <c r="E558" s="48" t="s">
        <v>856</v>
      </c>
      <c r="F558" s="48" t="s">
        <v>95</v>
      </c>
      <c r="G558" s="48" t="s">
        <v>96</v>
      </c>
      <c r="H558" s="48" t="s">
        <v>27</v>
      </c>
      <c r="I558" s="48" t="s">
        <v>1324</v>
      </c>
      <c r="J558" s="48" t="s">
        <v>24</v>
      </c>
      <c r="K558" s="48" t="s">
        <v>22</v>
      </c>
      <c r="L558" s="48" t="s">
        <v>1132</v>
      </c>
      <c r="M558" s="48" t="s">
        <v>26</v>
      </c>
      <c r="N558" s="48" t="s">
        <v>20</v>
      </c>
      <c r="O558" s="48" t="s">
        <v>378</v>
      </c>
      <c r="P558" s="50">
        <v>783377.8</v>
      </c>
      <c r="Q558" s="50">
        <v>1</v>
      </c>
      <c r="R558" s="50">
        <v>783377.8</v>
      </c>
      <c r="S558" s="74">
        <v>45929</v>
      </c>
      <c r="T558" s="48" t="s">
        <v>621</v>
      </c>
      <c r="U558" s="48" t="s">
        <v>22</v>
      </c>
      <c r="V558" s="48" t="s">
        <v>857</v>
      </c>
      <c r="W558" s="48"/>
    </row>
    <row r="559" spans="1:23" ht="15.75" x14ac:dyDescent="0.25">
      <c r="A559" s="48" t="s">
        <v>1780</v>
      </c>
      <c r="B559" s="49">
        <v>45928</v>
      </c>
      <c r="C559" s="48" t="s">
        <v>916</v>
      </c>
      <c r="D559" s="48" t="s">
        <v>1727</v>
      </c>
      <c r="E559" s="48" t="s">
        <v>856</v>
      </c>
      <c r="F559" s="48" t="s">
        <v>62</v>
      </c>
      <c r="G559" s="48" t="s">
        <v>70</v>
      </c>
      <c r="H559" s="48" t="s">
        <v>70</v>
      </c>
      <c r="I559" s="48" t="s">
        <v>1706</v>
      </c>
      <c r="J559" s="48" t="s">
        <v>869</v>
      </c>
      <c r="K559" s="48" t="s">
        <v>1762</v>
      </c>
      <c r="L559" s="48" t="s">
        <v>917</v>
      </c>
      <c r="M559" s="48" t="s">
        <v>26</v>
      </c>
      <c r="N559" s="48" t="s">
        <v>20</v>
      </c>
      <c r="O559" s="48" t="s">
        <v>857</v>
      </c>
      <c r="P559" s="50">
        <v>2395477.52</v>
      </c>
      <c r="Q559" s="50">
        <v>1</v>
      </c>
      <c r="R559" s="50">
        <v>2395477.52</v>
      </c>
      <c r="S559" s="74">
        <v>45929</v>
      </c>
      <c r="T559" s="48" t="s">
        <v>208</v>
      </c>
      <c r="U559" s="48" t="s">
        <v>70</v>
      </c>
      <c r="V559" s="48" t="s">
        <v>857</v>
      </c>
      <c r="W559" s="48"/>
    </row>
    <row r="560" spans="1:23" ht="15.75" x14ac:dyDescent="0.25">
      <c r="A560" s="48" t="s">
        <v>1317</v>
      </c>
      <c r="B560" s="49">
        <v>45824</v>
      </c>
      <c r="C560" s="48" t="s">
        <v>916</v>
      </c>
      <c r="D560" s="48" t="s">
        <v>441</v>
      </c>
      <c r="E560" s="48" t="s">
        <v>856</v>
      </c>
      <c r="F560" s="48" t="s">
        <v>21</v>
      </c>
      <c r="G560" s="48" t="s">
        <v>22</v>
      </c>
      <c r="H560" s="48" t="s">
        <v>27</v>
      </c>
      <c r="I560" s="48" t="s">
        <v>1267</v>
      </c>
      <c r="J560" s="48" t="s">
        <v>24</v>
      </c>
      <c r="K560" s="48" t="s">
        <v>22</v>
      </c>
      <c r="L560" s="48" t="s">
        <v>1132</v>
      </c>
      <c r="M560" s="48" t="s">
        <v>26</v>
      </c>
      <c r="N560" s="48" t="s">
        <v>20</v>
      </c>
      <c r="O560" s="48" t="s">
        <v>857</v>
      </c>
      <c r="P560" s="50">
        <v>304087.03999999998</v>
      </c>
      <c r="Q560" s="50">
        <v>1</v>
      </c>
      <c r="R560" s="50">
        <v>304087.03999999998</v>
      </c>
      <c r="S560" s="74">
        <v>45929</v>
      </c>
      <c r="T560" s="48" t="s">
        <v>621</v>
      </c>
      <c r="U560" s="48" t="s">
        <v>22</v>
      </c>
      <c r="V560" s="48" t="s">
        <v>857</v>
      </c>
      <c r="W560" s="48"/>
    </row>
    <row r="561" spans="1:23" ht="15.75" x14ac:dyDescent="0.25">
      <c r="A561" s="48" t="s">
        <v>1281</v>
      </c>
      <c r="B561" s="49">
        <v>45837</v>
      </c>
      <c r="C561" s="48" t="s">
        <v>916</v>
      </c>
      <c r="D561" s="48" t="s">
        <v>441</v>
      </c>
      <c r="E561" s="48" t="s">
        <v>858</v>
      </c>
      <c r="F561" s="48" t="s">
        <v>373</v>
      </c>
      <c r="G561" s="48" t="s">
        <v>70</v>
      </c>
      <c r="H561" s="48" t="s">
        <v>70</v>
      </c>
      <c r="I561" s="48" t="s">
        <v>1240</v>
      </c>
      <c r="J561" s="48" t="s">
        <v>24</v>
      </c>
      <c r="K561" s="48" t="s">
        <v>407</v>
      </c>
      <c r="L561" s="48" t="s">
        <v>1131</v>
      </c>
      <c r="M561" s="48" t="s">
        <v>26</v>
      </c>
      <c r="N561" s="48" t="s">
        <v>20</v>
      </c>
      <c r="O561" s="48" t="s">
        <v>857</v>
      </c>
      <c r="P561" s="50">
        <v>200000</v>
      </c>
      <c r="Q561" s="50">
        <v>1</v>
      </c>
      <c r="R561" s="50">
        <v>200000</v>
      </c>
      <c r="S561" s="74">
        <v>45929</v>
      </c>
      <c r="T561" s="48" t="s">
        <v>621</v>
      </c>
      <c r="U561" s="48" t="s">
        <v>1849</v>
      </c>
      <c r="V561" s="48" t="s">
        <v>378</v>
      </c>
      <c r="W561" s="48"/>
    </row>
    <row r="562" spans="1:23" ht="15.75" x14ac:dyDescent="0.25">
      <c r="A562" s="48" t="s">
        <v>1352</v>
      </c>
      <c r="B562" s="49">
        <v>45820</v>
      </c>
      <c r="C562" s="48" t="s">
        <v>916</v>
      </c>
      <c r="D562" s="48" t="s">
        <v>441</v>
      </c>
      <c r="E562" s="48" t="s">
        <v>856</v>
      </c>
      <c r="F562" s="48" t="s">
        <v>21</v>
      </c>
      <c r="G562" s="48" t="s">
        <v>22</v>
      </c>
      <c r="H562" s="48" t="s">
        <v>27</v>
      </c>
      <c r="I562" s="48" t="s">
        <v>764</v>
      </c>
      <c r="J562" s="48" t="s">
        <v>24</v>
      </c>
      <c r="K562" s="48" t="s">
        <v>22</v>
      </c>
      <c r="L562" s="48" t="s">
        <v>1132</v>
      </c>
      <c r="M562" s="48" t="s">
        <v>26</v>
      </c>
      <c r="N562" s="48" t="s">
        <v>20</v>
      </c>
      <c r="O562" s="48" t="s">
        <v>857</v>
      </c>
      <c r="P562" s="50">
        <v>382850</v>
      </c>
      <c r="Q562" s="50">
        <v>1</v>
      </c>
      <c r="R562" s="50">
        <v>382850</v>
      </c>
      <c r="S562" s="74">
        <v>45929</v>
      </c>
      <c r="T562" s="48" t="s">
        <v>621</v>
      </c>
      <c r="U562" s="48" t="s">
        <v>22</v>
      </c>
      <c r="V562" s="48" t="s">
        <v>857</v>
      </c>
      <c r="W562" s="48"/>
    </row>
    <row r="563" spans="1:23" ht="15.75" x14ac:dyDescent="0.25">
      <c r="A563" s="48" t="s">
        <v>700</v>
      </c>
      <c r="B563" s="49">
        <v>45869</v>
      </c>
      <c r="C563" s="48" t="s">
        <v>928</v>
      </c>
      <c r="D563" s="48" t="s">
        <v>1119</v>
      </c>
      <c r="E563" s="48" t="s">
        <v>858</v>
      </c>
      <c r="F563" s="48" t="s">
        <v>366</v>
      </c>
      <c r="G563" s="48" t="s">
        <v>367</v>
      </c>
      <c r="H563" s="48" t="s">
        <v>27</v>
      </c>
      <c r="I563" s="48" t="s">
        <v>701</v>
      </c>
      <c r="J563" s="48" t="s">
        <v>72</v>
      </c>
      <c r="K563" s="48" t="s">
        <v>367</v>
      </c>
      <c r="L563" s="48" t="s">
        <v>1136</v>
      </c>
      <c r="M563" s="48" t="s">
        <v>26</v>
      </c>
      <c r="N563" s="48" t="s">
        <v>20</v>
      </c>
      <c r="O563" s="48" t="s">
        <v>857</v>
      </c>
      <c r="P563" s="50">
        <v>602181.22</v>
      </c>
      <c r="Q563" s="50">
        <v>1</v>
      </c>
      <c r="R563" s="50">
        <v>602181.22</v>
      </c>
      <c r="S563" s="74">
        <v>45929</v>
      </c>
      <c r="T563" s="48" t="s">
        <v>311</v>
      </c>
      <c r="U563" s="48" t="s">
        <v>367</v>
      </c>
      <c r="V563" s="48" t="s">
        <v>857</v>
      </c>
      <c r="W563" s="48"/>
    </row>
    <row r="564" spans="1:23" ht="15.75" x14ac:dyDescent="0.25">
      <c r="A564" s="48" t="s">
        <v>1637</v>
      </c>
      <c r="B564" s="49">
        <v>45888</v>
      </c>
      <c r="C564" s="48" t="s">
        <v>916</v>
      </c>
      <c r="D564" s="48" t="s">
        <v>1119</v>
      </c>
      <c r="E564" s="48" t="s">
        <v>858</v>
      </c>
      <c r="F564" s="48" t="s">
        <v>366</v>
      </c>
      <c r="G564" s="48" t="s">
        <v>367</v>
      </c>
      <c r="H564" s="48" t="s">
        <v>27</v>
      </c>
      <c r="I564" s="48" t="s">
        <v>4277</v>
      </c>
      <c r="J564" s="48" t="s">
        <v>24</v>
      </c>
      <c r="K564" s="48" t="s">
        <v>367</v>
      </c>
      <c r="L564" s="48" t="s">
        <v>1136</v>
      </c>
      <c r="M564" s="48" t="s">
        <v>26</v>
      </c>
      <c r="N564" s="48" t="s">
        <v>20</v>
      </c>
      <c r="O564" s="48" t="s">
        <v>857</v>
      </c>
      <c r="P564" s="50">
        <v>25000000</v>
      </c>
      <c r="Q564" s="50">
        <v>1</v>
      </c>
      <c r="R564" s="50">
        <v>25000000</v>
      </c>
      <c r="S564" s="74">
        <v>45928</v>
      </c>
      <c r="T564" s="48" t="s">
        <v>425</v>
      </c>
      <c r="U564" s="48" t="s">
        <v>367</v>
      </c>
      <c r="V564" s="48" t="s">
        <v>857</v>
      </c>
      <c r="W564" s="48"/>
    </row>
    <row r="565" spans="1:23" ht="15.75" x14ac:dyDescent="0.25">
      <c r="A565" s="48" t="s">
        <v>1188</v>
      </c>
      <c r="B565" s="49">
        <v>45869</v>
      </c>
      <c r="C565" s="48" t="s">
        <v>916</v>
      </c>
      <c r="D565" s="48" t="s">
        <v>441</v>
      </c>
      <c r="E565" s="48" t="s">
        <v>858</v>
      </c>
      <c r="F565" s="48" t="s">
        <v>366</v>
      </c>
      <c r="G565" s="48" t="s">
        <v>710</v>
      </c>
      <c r="H565" s="48" t="s">
        <v>27</v>
      </c>
      <c r="I565" s="48" t="s">
        <v>836</v>
      </c>
      <c r="J565" s="48" t="s">
        <v>24</v>
      </c>
      <c r="K565" s="48" t="s">
        <v>710</v>
      </c>
      <c r="L565" s="48" t="s">
        <v>1209</v>
      </c>
      <c r="M565" s="48" t="s">
        <v>26</v>
      </c>
      <c r="N565" s="48" t="s">
        <v>20</v>
      </c>
      <c r="O565" s="48" t="s">
        <v>857</v>
      </c>
      <c r="P565" s="50">
        <v>1736499.95</v>
      </c>
      <c r="Q565" s="50">
        <v>1</v>
      </c>
      <c r="R565" s="50">
        <v>1736499.95</v>
      </c>
      <c r="S565" s="74">
        <v>45928</v>
      </c>
      <c r="T565" s="48" t="s">
        <v>311</v>
      </c>
      <c r="U565" s="48" t="s">
        <v>367</v>
      </c>
      <c r="V565" s="48" t="s">
        <v>378</v>
      </c>
      <c r="W565" s="48"/>
    </row>
    <row r="566" spans="1:23" ht="15.75" x14ac:dyDescent="0.25">
      <c r="A566" s="48" t="s">
        <v>1295</v>
      </c>
      <c r="B566" s="49">
        <v>45838</v>
      </c>
      <c r="C566" s="48" t="s">
        <v>916</v>
      </c>
      <c r="D566" s="48" t="s">
        <v>441</v>
      </c>
      <c r="E566" s="48" t="s">
        <v>858</v>
      </c>
      <c r="F566" s="48" t="s">
        <v>373</v>
      </c>
      <c r="G566" s="48" t="s">
        <v>70</v>
      </c>
      <c r="H566" s="48" t="s">
        <v>70</v>
      </c>
      <c r="I566" s="48" t="s">
        <v>760</v>
      </c>
      <c r="J566" s="48" t="s">
        <v>24</v>
      </c>
      <c r="K566" s="48" t="s">
        <v>407</v>
      </c>
      <c r="L566" s="48" t="s">
        <v>1131</v>
      </c>
      <c r="M566" s="48" t="s">
        <v>26</v>
      </c>
      <c r="N566" s="48" t="s">
        <v>20</v>
      </c>
      <c r="O566" s="48" t="s">
        <v>857</v>
      </c>
      <c r="P566" s="50">
        <v>250000</v>
      </c>
      <c r="Q566" s="50">
        <v>1</v>
      </c>
      <c r="R566" s="50">
        <v>250000</v>
      </c>
      <c r="S566" s="74">
        <v>45928</v>
      </c>
      <c r="T566" s="48" t="s">
        <v>621</v>
      </c>
      <c r="U566" s="48" t="s">
        <v>1849</v>
      </c>
      <c r="V566" s="48" t="s">
        <v>378</v>
      </c>
      <c r="W566" s="48"/>
    </row>
    <row r="567" spans="1:23" ht="15.75" x14ac:dyDescent="0.25">
      <c r="A567" s="48" t="s">
        <v>1201</v>
      </c>
      <c r="B567" s="49">
        <v>45853</v>
      </c>
      <c r="C567" s="48" t="s">
        <v>924</v>
      </c>
      <c r="D567" s="48" t="s">
        <v>441</v>
      </c>
      <c r="E567" s="48" t="s">
        <v>856</v>
      </c>
      <c r="F567" s="48" t="s">
        <v>95</v>
      </c>
      <c r="G567" s="48" t="s">
        <v>96</v>
      </c>
      <c r="H567" s="48" t="s">
        <v>27</v>
      </c>
      <c r="I567" s="48" t="s">
        <v>177</v>
      </c>
      <c r="J567" s="48" t="s">
        <v>24</v>
      </c>
      <c r="K567" s="48" t="s">
        <v>22</v>
      </c>
      <c r="L567" s="48" t="s">
        <v>1132</v>
      </c>
      <c r="M567" s="48" t="s">
        <v>26</v>
      </c>
      <c r="N567" s="48" t="s">
        <v>20</v>
      </c>
      <c r="O567" s="48" t="s">
        <v>378</v>
      </c>
      <c r="P567" s="50">
        <v>79154.070000000007</v>
      </c>
      <c r="Q567" s="50">
        <v>1</v>
      </c>
      <c r="R567" s="50">
        <v>79154.070000000007</v>
      </c>
      <c r="S567" s="74">
        <v>45928</v>
      </c>
      <c r="T567" s="48" t="s">
        <v>311</v>
      </c>
      <c r="U567" s="48" t="s">
        <v>22</v>
      </c>
      <c r="V567" s="48" t="s">
        <v>857</v>
      </c>
      <c r="W567" s="48"/>
    </row>
    <row r="568" spans="1:23" ht="15.75" x14ac:dyDescent="0.25">
      <c r="A568" s="48" t="s">
        <v>1447</v>
      </c>
      <c r="B568" s="49">
        <v>45866</v>
      </c>
      <c r="C568" s="48" t="s">
        <v>916</v>
      </c>
      <c r="D568" s="48" t="s">
        <v>441</v>
      </c>
      <c r="E568" s="48" t="s">
        <v>856</v>
      </c>
      <c r="F568" s="48" t="s">
        <v>612</v>
      </c>
      <c r="G568" s="48" t="s">
        <v>613</v>
      </c>
      <c r="H568" s="48" t="s">
        <v>27</v>
      </c>
      <c r="I568" s="48" t="s">
        <v>1416</v>
      </c>
      <c r="J568" s="48" t="s">
        <v>24</v>
      </c>
      <c r="K568" s="48" t="s">
        <v>613</v>
      </c>
      <c r="L568" s="48" t="s">
        <v>1135</v>
      </c>
      <c r="M568" s="48" t="s">
        <v>26</v>
      </c>
      <c r="N568" s="48" t="s">
        <v>20</v>
      </c>
      <c r="O568" s="48" t="s">
        <v>857</v>
      </c>
      <c r="P568" s="50">
        <v>413914</v>
      </c>
      <c r="Q568" s="50">
        <v>1</v>
      </c>
      <c r="R568" s="50">
        <v>413914</v>
      </c>
      <c r="S568" s="74">
        <v>45928</v>
      </c>
      <c r="T568" s="48" t="s">
        <v>311</v>
      </c>
      <c r="U568" s="48" t="s">
        <v>613</v>
      </c>
      <c r="V568" s="48" t="s">
        <v>857</v>
      </c>
      <c r="W568" s="48"/>
    </row>
    <row r="569" spans="1:23" ht="15.75" x14ac:dyDescent="0.25">
      <c r="A569" s="48" t="s">
        <v>702</v>
      </c>
      <c r="B569" s="49">
        <v>45848</v>
      </c>
      <c r="C569" s="48" t="s">
        <v>921</v>
      </c>
      <c r="D569" s="48" t="s">
        <v>1119</v>
      </c>
      <c r="E569" s="48" t="s">
        <v>856</v>
      </c>
      <c r="F569" s="48" t="s">
        <v>95</v>
      </c>
      <c r="G569" s="48" t="s">
        <v>96</v>
      </c>
      <c r="H569" s="48" t="s">
        <v>27</v>
      </c>
      <c r="I569" s="48" t="s">
        <v>703</v>
      </c>
      <c r="J569" s="48" t="s">
        <v>704</v>
      </c>
      <c r="K569" s="48" t="s">
        <v>367</v>
      </c>
      <c r="L569" s="48" t="s">
        <v>1136</v>
      </c>
      <c r="M569" s="48" t="s">
        <v>78</v>
      </c>
      <c r="N569" s="48" t="s">
        <v>20</v>
      </c>
      <c r="O569" s="48" t="s">
        <v>857</v>
      </c>
      <c r="P569" s="50">
        <v>86738.11</v>
      </c>
      <c r="Q569" s="50">
        <v>3.75</v>
      </c>
      <c r="R569" s="50">
        <v>325267.91249999998</v>
      </c>
      <c r="S569" s="74">
        <v>45925</v>
      </c>
      <c r="T569" s="48" t="s">
        <v>705</v>
      </c>
      <c r="U569" s="48" t="s">
        <v>367</v>
      </c>
      <c r="V569" s="48" t="s">
        <v>857</v>
      </c>
      <c r="W569" s="48"/>
    </row>
    <row r="570" spans="1:23" ht="15.75" x14ac:dyDescent="0.25">
      <c r="A570" s="48" t="s">
        <v>1793</v>
      </c>
      <c r="B570" s="49">
        <v>45915</v>
      </c>
      <c r="C570" s="48" t="s">
        <v>916</v>
      </c>
      <c r="D570" s="48" t="s">
        <v>441</v>
      </c>
      <c r="E570" s="48" t="s">
        <v>858</v>
      </c>
      <c r="F570" s="48" t="s">
        <v>21</v>
      </c>
      <c r="G570" s="48" t="s">
        <v>22</v>
      </c>
      <c r="H570" s="48" t="s">
        <v>27</v>
      </c>
      <c r="I570" s="48" t="s">
        <v>1587</v>
      </c>
      <c r="J570" s="48" t="s">
        <v>24</v>
      </c>
      <c r="K570" s="48" t="s">
        <v>22</v>
      </c>
      <c r="L570" s="48" t="s">
        <v>1132</v>
      </c>
      <c r="M570" s="48" t="s">
        <v>26</v>
      </c>
      <c r="N570" s="48" t="s">
        <v>20</v>
      </c>
      <c r="O570" s="48" t="s">
        <v>857</v>
      </c>
      <c r="P570" s="50">
        <v>245149.44</v>
      </c>
      <c r="Q570" s="50">
        <v>1</v>
      </c>
      <c r="R570" s="50">
        <v>245149.44</v>
      </c>
      <c r="S570" s="74">
        <v>45925</v>
      </c>
      <c r="T570" s="48" t="s">
        <v>621</v>
      </c>
      <c r="U570" s="48" t="s">
        <v>22</v>
      </c>
      <c r="V570" s="48" t="s">
        <v>857</v>
      </c>
      <c r="W570" s="48"/>
    </row>
    <row r="571" spans="1:23" ht="15.75" x14ac:dyDescent="0.25">
      <c r="A571" s="48" t="s">
        <v>1231</v>
      </c>
      <c r="B571" s="49">
        <v>45862</v>
      </c>
      <c r="C571" s="48" t="s">
        <v>916</v>
      </c>
      <c r="D571" s="48" t="s">
        <v>441</v>
      </c>
      <c r="E571" s="48" t="s">
        <v>856</v>
      </c>
      <c r="F571" s="48" t="s">
        <v>612</v>
      </c>
      <c r="G571" s="48" t="s">
        <v>613</v>
      </c>
      <c r="H571" s="48" t="s">
        <v>27</v>
      </c>
      <c r="I571" s="48" t="s">
        <v>155</v>
      </c>
      <c r="J571" s="48" t="s">
        <v>24</v>
      </c>
      <c r="K571" s="48" t="s">
        <v>613</v>
      </c>
      <c r="L571" s="48" t="s">
        <v>1135</v>
      </c>
      <c r="M571" s="48" t="s">
        <v>26</v>
      </c>
      <c r="N571" s="48" t="s">
        <v>20</v>
      </c>
      <c r="O571" s="48" t="s">
        <v>857</v>
      </c>
      <c r="P571" s="50">
        <v>111315.33</v>
      </c>
      <c r="Q571" s="50">
        <v>1</v>
      </c>
      <c r="R571" s="50">
        <v>111315.33</v>
      </c>
      <c r="S571" s="74">
        <v>45925</v>
      </c>
      <c r="T571" s="48" t="s">
        <v>311</v>
      </c>
      <c r="U571" s="48" t="s">
        <v>613</v>
      </c>
      <c r="V571" s="48" t="s">
        <v>857</v>
      </c>
      <c r="W571" s="48"/>
    </row>
    <row r="572" spans="1:23" ht="15.75" x14ac:dyDescent="0.25">
      <c r="A572" s="48" t="s">
        <v>810</v>
      </c>
      <c r="B572" s="49">
        <v>45915</v>
      </c>
      <c r="C572" s="48" t="s">
        <v>916</v>
      </c>
      <c r="D572" s="48" t="s">
        <v>441</v>
      </c>
      <c r="E572" s="48" t="s">
        <v>858</v>
      </c>
      <c r="F572" s="48" t="s">
        <v>21</v>
      </c>
      <c r="G572" s="48" t="s">
        <v>22</v>
      </c>
      <c r="H572" s="48" t="s">
        <v>27</v>
      </c>
      <c r="I572" s="48" t="s">
        <v>811</v>
      </c>
      <c r="J572" s="48" t="s">
        <v>24</v>
      </c>
      <c r="K572" s="48" t="s">
        <v>22</v>
      </c>
      <c r="L572" s="48" t="s">
        <v>1132</v>
      </c>
      <c r="M572" s="48" t="s">
        <v>26</v>
      </c>
      <c r="N572" s="48" t="s">
        <v>20</v>
      </c>
      <c r="O572" s="48" t="s">
        <v>857</v>
      </c>
      <c r="P572" s="50">
        <v>450163.23</v>
      </c>
      <c r="Q572" s="50">
        <v>1</v>
      </c>
      <c r="R572" s="50">
        <v>450163.23</v>
      </c>
      <c r="S572" s="74">
        <v>45924</v>
      </c>
      <c r="T572" s="48" t="s">
        <v>311</v>
      </c>
      <c r="U572" s="48" t="s">
        <v>22</v>
      </c>
      <c r="V572" s="48" t="s">
        <v>857</v>
      </c>
      <c r="W572" s="48"/>
    </row>
    <row r="573" spans="1:23" ht="15.75" x14ac:dyDescent="0.25">
      <c r="A573" s="48" t="s">
        <v>482</v>
      </c>
      <c r="B573" s="49">
        <v>45911</v>
      </c>
      <c r="C573" s="48" t="s">
        <v>916</v>
      </c>
      <c r="D573" s="48" t="s">
        <v>509</v>
      </c>
      <c r="E573" s="48" t="s">
        <v>858</v>
      </c>
      <c r="F573" s="48" t="s">
        <v>373</v>
      </c>
      <c r="G573" s="48" t="s">
        <v>70</v>
      </c>
      <c r="H573" s="48" t="s">
        <v>70</v>
      </c>
      <c r="I573" s="48" t="s">
        <v>484</v>
      </c>
      <c r="J573" s="48" t="s">
        <v>72</v>
      </c>
      <c r="K573" s="48" t="s">
        <v>407</v>
      </c>
      <c r="L573" s="48" t="s">
        <v>1131</v>
      </c>
      <c r="M573" s="48" t="s">
        <v>67</v>
      </c>
      <c r="N573" s="48" t="s">
        <v>20</v>
      </c>
      <c r="O573" s="48" t="s">
        <v>857</v>
      </c>
      <c r="P573" s="50">
        <v>965046.86</v>
      </c>
      <c r="Q573" s="50">
        <v>4.6084506699999999</v>
      </c>
      <c r="R573" s="50">
        <v>4447370.8485483956</v>
      </c>
      <c r="S573" s="74">
        <v>45924</v>
      </c>
      <c r="T573" s="48" t="s">
        <v>208</v>
      </c>
      <c r="U573" s="48" t="s">
        <v>1849</v>
      </c>
      <c r="V573" s="48" t="s">
        <v>378</v>
      </c>
      <c r="W573" s="48"/>
    </row>
    <row r="574" spans="1:23" ht="15.75" x14ac:dyDescent="0.25">
      <c r="A574" s="48" t="s">
        <v>1370</v>
      </c>
      <c r="B574" s="49">
        <v>45839</v>
      </c>
      <c r="C574" s="48" t="s">
        <v>916</v>
      </c>
      <c r="D574" s="48" t="s">
        <v>1864</v>
      </c>
      <c r="E574" s="48" t="s">
        <v>858</v>
      </c>
      <c r="F574" s="48" t="s">
        <v>366</v>
      </c>
      <c r="G574" s="48" t="s">
        <v>710</v>
      </c>
      <c r="H574" s="48" t="s">
        <v>27</v>
      </c>
      <c r="I574" s="48" t="s">
        <v>1296</v>
      </c>
      <c r="J574" s="48" t="s">
        <v>3221</v>
      </c>
      <c r="K574" s="48" t="s">
        <v>81</v>
      </c>
      <c r="L574" s="48" t="s">
        <v>1139</v>
      </c>
      <c r="M574" s="48" t="s">
        <v>26</v>
      </c>
      <c r="N574" s="48" t="s">
        <v>20</v>
      </c>
      <c r="O574" s="48" t="s">
        <v>857</v>
      </c>
      <c r="P574" s="50">
        <v>3000000</v>
      </c>
      <c r="Q574" s="50">
        <v>1</v>
      </c>
      <c r="R574" s="50">
        <v>3000000</v>
      </c>
      <c r="S574" s="74">
        <v>45924</v>
      </c>
      <c r="T574" s="48" t="s">
        <v>621</v>
      </c>
      <c r="U574" s="48" t="s">
        <v>377</v>
      </c>
      <c r="V574" s="48" t="s">
        <v>857</v>
      </c>
      <c r="W574" s="48"/>
    </row>
    <row r="575" spans="1:23" ht="15.75" x14ac:dyDescent="0.25">
      <c r="A575" s="48" t="s">
        <v>1251</v>
      </c>
      <c r="B575" s="49">
        <v>45921</v>
      </c>
      <c r="C575" s="48" t="s">
        <v>918</v>
      </c>
      <c r="D575" s="48" t="s">
        <v>509</v>
      </c>
      <c r="E575" s="48" t="s">
        <v>856</v>
      </c>
      <c r="F575" s="48" t="s">
        <v>95</v>
      </c>
      <c r="G575" s="48" t="s">
        <v>96</v>
      </c>
      <c r="H575" s="48" t="s">
        <v>27</v>
      </c>
      <c r="I575" s="48" t="s">
        <v>1200</v>
      </c>
      <c r="J575" s="48" t="s">
        <v>72</v>
      </c>
      <c r="K575" s="48" t="s">
        <v>511</v>
      </c>
      <c r="L575" s="48" t="s">
        <v>1236</v>
      </c>
      <c r="M575" s="48" t="s">
        <v>26</v>
      </c>
      <c r="N575" s="48" t="s">
        <v>20</v>
      </c>
      <c r="O575" s="48" t="s">
        <v>378</v>
      </c>
      <c r="P575" s="50">
        <v>407201.89</v>
      </c>
      <c r="Q575" s="50">
        <v>1</v>
      </c>
      <c r="R575" s="50">
        <v>407201.89</v>
      </c>
      <c r="S575" s="74">
        <v>45921</v>
      </c>
      <c r="T575" s="48" t="s">
        <v>305</v>
      </c>
      <c r="U575" s="48" t="s">
        <v>1884</v>
      </c>
      <c r="V575" s="48" t="s">
        <v>378</v>
      </c>
      <c r="W575" s="48"/>
    </row>
    <row r="576" spans="1:23" ht="15.75" x14ac:dyDescent="0.25">
      <c r="A576" s="48" t="s">
        <v>1540</v>
      </c>
      <c r="B576" s="49">
        <v>45869</v>
      </c>
      <c r="C576" s="48" t="s">
        <v>916</v>
      </c>
      <c r="D576" s="48" t="s">
        <v>1394</v>
      </c>
      <c r="E576" s="48" t="s">
        <v>856</v>
      </c>
      <c r="F576" s="48" t="s">
        <v>21</v>
      </c>
      <c r="G576" s="48" t="s">
        <v>22</v>
      </c>
      <c r="H576" s="48" t="s">
        <v>27</v>
      </c>
      <c r="I576" s="48" t="s">
        <v>1483</v>
      </c>
      <c r="J576" s="48" t="s">
        <v>1791</v>
      </c>
      <c r="K576" s="48" t="s">
        <v>90</v>
      </c>
      <c r="L576" s="48" t="s">
        <v>1141</v>
      </c>
      <c r="M576" s="48" t="s">
        <v>26</v>
      </c>
      <c r="N576" s="48" t="s">
        <v>20</v>
      </c>
      <c r="O576" s="48" t="s">
        <v>378</v>
      </c>
      <c r="P576" s="50">
        <v>1904115</v>
      </c>
      <c r="Q576" s="50">
        <v>1</v>
      </c>
      <c r="R576" s="50">
        <v>1904115</v>
      </c>
      <c r="S576" s="74">
        <v>45921</v>
      </c>
      <c r="T576" s="48" t="s">
        <v>425</v>
      </c>
      <c r="U576" s="48" t="s">
        <v>22</v>
      </c>
      <c r="V576" s="48" t="s">
        <v>378</v>
      </c>
      <c r="W576" s="48"/>
    </row>
    <row r="577" spans="1:23" ht="15.75" x14ac:dyDescent="0.25">
      <c r="A577" s="48" t="s">
        <v>1284</v>
      </c>
      <c r="B577" s="49">
        <v>45805</v>
      </c>
      <c r="C577" s="48" t="s">
        <v>916</v>
      </c>
      <c r="D577" s="48" t="s">
        <v>441</v>
      </c>
      <c r="E577" s="48" t="s">
        <v>858</v>
      </c>
      <c r="F577" s="48" t="s">
        <v>373</v>
      </c>
      <c r="G577" s="48" t="s">
        <v>70</v>
      </c>
      <c r="H577" s="48" t="s">
        <v>70</v>
      </c>
      <c r="I577" s="48" t="s">
        <v>1246</v>
      </c>
      <c r="J577" s="48" t="s">
        <v>24</v>
      </c>
      <c r="K577" s="48" t="s">
        <v>407</v>
      </c>
      <c r="L577" s="48" t="s">
        <v>1131</v>
      </c>
      <c r="M577" s="48" t="s">
        <v>26</v>
      </c>
      <c r="N577" s="48" t="s">
        <v>20</v>
      </c>
      <c r="O577" s="48" t="s">
        <v>857</v>
      </c>
      <c r="P577" s="50">
        <v>606049</v>
      </c>
      <c r="Q577" s="50">
        <v>1</v>
      </c>
      <c r="R577" s="50">
        <v>606049</v>
      </c>
      <c r="S577" s="74">
        <v>45921</v>
      </c>
      <c r="T577" s="48" t="s">
        <v>621</v>
      </c>
      <c r="U577" s="48" t="s">
        <v>1849</v>
      </c>
      <c r="V577" s="48" t="s">
        <v>378</v>
      </c>
      <c r="W577" s="48"/>
    </row>
    <row r="578" spans="1:23" ht="15.75" x14ac:dyDescent="0.25">
      <c r="A578" s="48" t="s">
        <v>1152</v>
      </c>
      <c r="B578" s="49">
        <v>45859</v>
      </c>
      <c r="C578" s="48" t="s">
        <v>918</v>
      </c>
      <c r="D578" s="48" t="s">
        <v>441</v>
      </c>
      <c r="E578" s="48" t="s">
        <v>856</v>
      </c>
      <c r="F578" s="48" t="s">
        <v>612</v>
      </c>
      <c r="G578" s="48" t="s">
        <v>613</v>
      </c>
      <c r="H578" s="48" t="s">
        <v>27</v>
      </c>
      <c r="I578" s="48" t="s">
        <v>840</v>
      </c>
      <c r="J578" s="48" t="s">
        <v>24</v>
      </c>
      <c r="K578" s="48" t="s">
        <v>613</v>
      </c>
      <c r="L578" s="48" t="s">
        <v>1135</v>
      </c>
      <c r="M578" s="48" t="s">
        <v>26</v>
      </c>
      <c r="N578" s="48" t="s">
        <v>20</v>
      </c>
      <c r="O578" s="48" t="s">
        <v>857</v>
      </c>
      <c r="P578" s="50">
        <v>568403</v>
      </c>
      <c r="Q578" s="50">
        <v>1</v>
      </c>
      <c r="R578" s="50">
        <v>568403</v>
      </c>
      <c r="S578" s="74">
        <v>45921</v>
      </c>
      <c r="T578" s="48" t="s">
        <v>311</v>
      </c>
      <c r="U578" s="48" t="s">
        <v>613</v>
      </c>
      <c r="V578" s="48" t="s">
        <v>857</v>
      </c>
      <c r="W578" s="48"/>
    </row>
    <row r="579" spans="1:23" ht="15.75" x14ac:dyDescent="0.25">
      <c r="A579" s="48" t="s">
        <v>1278</v>
      </c>
      <c r="B579" s="49">
        <v>45823</v>
      </c>
      <c r="C579" s="48" t="s">
        <v>916</v>
      </c>
      <c r="D579" s="48" t="s">
        <v>441</v>
      </c>
      <c r="E579" s="48" t="s">
        <v>856</v>
      </c>
      <c r="F579" s="48" t="s">
        <v>373</v>
      </c>
      <c r="G579" s="48" t="s">
        <v>70</v>
      </c>
      <c r="H579" s="48" t="s">
        <v>70</v>
      </c>
      <c r="I579" s="48" t="s">
        <v>569</v>
      </c>
      <c r="J579" s="48" t="s">
        <v>24</v>
      </c>
      <c r="K579" s="48" t="s">
        <v>407</v>
      </c>
      <c r="L579" s="48" t="s">
        <v>1131</v>
      </c>
      <c r="M579" s="48" t="s">
        <v>26</v>
      </c>
      <c r="N579" s="48" t="s">
        <v>20</v>
      </c>
      <c r="O579" s="48" t="s">
        <v>857</v>
      </c>
      <c r="P579" s="50">
        <v>200000</v>
      </c>
      <c r="Q579" s="50">
        <v>1</v>
      </c>
      <c r="R579" s="50">
        <v>200000</v>
      </c>
      <c r="S579" s="74">
        <v>45921</v>
      </c>
      <c r="T579" s="48" t="s">
        <v>621</v>
      </c>
      <c r="U579" s="48" t="s">
        <v>1849</v>
      </c>
      <c r="V579" s="48" t="s">
        <v>378</v>
      </c>
      <c r="W579" s="48"/>
    </row>
    <row r="580" spans="1:23" ht="15.75" x14ac:dyDescent="0.25">
      <c r="A580" s="48" t="s">
        <v>1234</v>
      </c>
      <c r="B580" s="49">
        <v>45886</v>
      </c>
      <c r="C580" s="48" t="s">
        <v>916</v>
      </c>
      <c r="D580" s="48" t="s">
        <v>441</v>
      </c>
      <c r="E580" s="48" t="s">
        <v>856</v>
      </c>
      <c r="F580" s="48" t="s">
        <v>612</v>
      </c>
      <c r="G580" s="48" t="s">
        <v>613</v>
      </c>
      <c r="H580" s="48" t="s">
        <v>27</v>
      </c>
      <c r="I580" s="48" t="s">
        <v>840</v>
      </c>
      <c r="J580" s="48" t="s">
        <v>24</v>
      </c>
      <c r="K580" s="48" t="s">
        <v>613</v>
      </c>
      <c r="L580" s="48" t="s">
        <v>1135</v>
      </c>
      <c r="M580" s="48" t="s">
        <v>26</v>
      </c>
      <c r="N580" s="48" t="s">
        <v>20</v>
      </c>
      <c r="O580" s="48" t="s">
        <v>857</v>
      </c>
      <c r="P580" s="50">
        <v>499955.6</v>
      </c>
      <c r="Q580" s="50">
        <v>1</v>
      </c>
      <c r="R580" s="50">
        <v>499955.6</v>
      </c>
      <c r="S580" s="74">
        <v>45921</v>
      </c>
      <c r="T580" s="48" t="s">
        <v>311</v>
      </c>
      <c r="U580" s="48" t="s">
        <v>613</v>
      </c>
      <c r="V580" s="48" t="s">
        <v>857</v>
      </c>
      <c r="W580" s="48"/>
    </row>
    <row r="581" spans="1:23" ht="15.75" x14ac:dyDescent="0.25">
      <c r="A581" s="48" t="s">
        <v>1290</v>
      </c>
      <c r="B581" s="49">
        <v>45846</v>
      </c>
      <c r="C581" s="48" t="s">
        <v>916</v>
      </c>
      <c r="D581" s="48" t="s">
        <v>441</v>
      </c>
      <c r="E581" s="48" t="s">
        <v>858</v>
      </c>
      <c r="F581" s="48" t="s">
        <v>373</v>
      </c>
      <c r="G581" s="48" t="s">
        <v>70</v>
      </c>
      <c r="H581" s="48" t="s">
        <v>70</v>
      </c>
      <c r="I581" s="48" t="s">
        <v>349</v>
      </c>
      <c r="J581" s="48" t="s">
        <v>24</v>
      </c>
      <c r="K581" s="48" t="s">
        <v>407</v>
      </c>
      <c r="L581" s="48" t="s">
        <v>1131</v>
      </c>
      <c r="M581" s="48" t="s">
        <v>26</v>
      </c>
      <c r="N581" s="48" t="s">
        <v>20</v>
      </c>
      <c r="O581" s="48" t="s">
        <v>857</v>
      </c>
      <c r="P581" s="50">
        <v>200000</v>
      </c>
      <c r="Q581" s="50">
        <v>1</v>
      </c>
      <c r="R581" s="50">
        <v>200000</v>
      </c>
      <c r="S581" s="74">
        <v>45917</v>
      </c>
      <c r="T581" s="48" t="s">
        <v>621</v>
      </c>
      <c r="U581" s="48" t="s">
        <v>1849</v>
      </c>
      <c r="V581" s="48" t="s">
        <v>378</v>
      </c>
      <c r="W581" s="48"/>
    </row>
    <row r="582" spans="1:23" ht="15.75" x14ac:dyDescent="0.25">
      <c r="A582" s="48" t="s">
        <v>493</v>
      </c>
      <c r="B582" s="49">
        <v>45915</v>
      </c>
      <c r="C582" s="48" t="s">
        <v>918</v>
      </c>
      <c r="D582" s="48" t="s">
        <v>509</v>
      </c>
      <c r="E582" s="48" t="s">
        <v>856</v>
      </c>
      <c r="F582" s="48" t="s">
        <v>21</v>
      </c>
      <c r="G582" s="48" t="s">
        <v>22</v>
      </c>
      <c r="H582" s="48" t="s">
        <v>27</v>
      </c>
      <c r="I582" s="48" t="s">
        <v>494</v>
      </c>
      <c r="J582" s="48" t="s">
        <v>72</v>
      </c>
      <c r="K582" s="48" t="s">
        <v>487</v>
      </c>
      <c r="L582" s="48" t="s">
        <v>1140</v>
      </c>
      <c r="M582" s="48" t="s">
        <v>26</v>
      </c>
      <c r="N582" s="48" t="s">
        <v>20</v>
      </c>
      <c r="O582" s="48" t="s">
        <v>857</v>
      </c>
      <c r="P582" s="50">
        <v>125350</v>
      </c>
      <c r="Q582" s="50">
        <v>1</v>
      </c>
      <c r="R582" s="50">
        <v>125350</v>
      </c>
      <c r="S582" s="74">
        <v>45916</v>
      </c>
      <c r="T582" s="48" t="s">
        <v>305</v>
      </c>
      <c r="U582" s="48" t="s">
        <v>487</v>
      </c>
      <c r="V582" s="48" t="s">
        <v>857</v>
      </c>
      <c r="W582" s="48"/>
    </row>
    <row r="583" spans="1:23" ht="15.75" x14ac:dyDescent="0.25">
      <c r="A583" s="48" t="s">
        <v>493</v>
      </c>
      <c r="B583" s="49">
        <v>45915</v>
      </c>
      <c r="C583" s="48" t="s">
        <v>924</v>
      </c>
      <c r="D583" s="48" t="s">
        <v>509</v>
      </c>
      <c r="E583" s="48" t="s">
        <v>856</v>
      </c>
      <c r="F583" s="48" t="s">
        <v>21</v>
      </c>
      <c r="G583" s="48" t="s">
        <v>22</v>
      </c>
      <c r="H583" s="48" t="s">
        <v>27</v>
      </c>
      <c r="I583" s="48" t="s">
        <v>494</v>
      </c>
      <c r="J583" s="48" t="s">
        <v>72</v>
      </c>
      <c r="K583" s="48" t="s">
        <v>487</v>
      </c>
      <c r="L583" s="48" t="s">
        <v>1140</v>
      </c>
      <c r="M583" s="48" t="s">
        <v>26</v>
      </c>
      <c r="N583" s="48" t="s">
        <v>20</v>
      </c>
      <c r="O583" s="48" t="s">
        <v>857</v>
      </c>
      <c r="P583" s="50">
        <v>764635</v>
      </c>
      <c r="Q583" s="50">
        <v>1</v>
      </c>
      <c r="R583" s="50">
        <v>764635</v>
      </c>
      <c r="S583" s="74">
        <v>45916</v>
      </c>
      <c r="T583" s="48" t="s">
        <v>305</v>
      </c>
      <c r="U583" s="48" t="s">
        <v>487</v>
      </c>
      <c r="V583" s="48" t="s">
        <v>857</v>
      </c>
      <c r="W583" s="48"/>
    </row>
    <row r="584" spans="1:23" ht="15.75" x14ac:dyDescent="0.25">
      <c r="A584" s="48" t="s">
        <v>694</v>
      </c>
      <c r="B584" s="49">
        <v>45866</v>
      </c>
      <c r="C584" s="48" t="s">
        <v>924</v>
      </c>
      <c r="D584" s="48" t="s">
        <v>441</v>
      </c>
      <c r="E584" s="48" t="s">
        <v>856</v>
      </c>
      <c r="F584" s="48" t="s">
        <v>612</v>
      </c>
      <c r="G584" s="48" t="s">
        <v>613</v>
      </c>
      <c r="H584" s="48" t="s">
        <v>27</v>
      </c>
      <c r="I584" s="48" t="s">
        <v>695</v>
      </c>
      <c r="J584" s="48" t="s">
        <v>24</v>
      </c>
      <c r="K584" s="48" t="s">
        <v>613</v>
      </c>
      <c r="L584" s="48" t="s">
        <v>1135</v>
      </c>
      <c r="M584" s="48" t="s">
        <v>26</v>
      </c>
      <c r="N584" s="48" t="s">
        <v>20</v>
      </c>
      <c r="O584" s="48" t="s">
        <v>857</v>
      </c>
      <c r="P584" s="50">
        <v>661871.99</v>
      </c>
      <c r="Q584" s="50">
        <v>1</v>
      </c>
      <c r="R584" s="50">
        <v>661871.99</v>
      </c>
      <c r="S584" s="74">
        <v>45916</v>
      </c>
      <c r="T584" s="48" t="s">
        <v>311</v>
      </c>
      <c r="U584" s="48" t="s">
        <v>613</v>
      </c>
      <c r="V584" s="48" t="s">
        <v>857</v>
      </c>
      <c r="W584" s="48"/>
    </row>
    <row r="585" spans="1:23" ht="15.75" x14ac:dyDescent="0.25">
      <c r="A585" s="48" t="s">
        <v>702</v>
      </c>
      <c r="B585" s="49">
        <v>45844</v>
      </c>
      <c r="C585" s="48" t="s">
        <v>926</v>
      </c>
      <c r="D585" s="48" t="s">
        <v>1119</v>
      </c>
      <c r="E585" s="48" t="s">
        <v>856</v>
      </c>
      <c r="F585" s="48" t="s">
        <v>95</v>
      </c>
      <c r="G585" s="48" t="s">
        <v>96</v>
      </c>
      <c r="H585" s="48" t="s">
        <v>27</v>
      </c>
      <c r="I585" s="48" t="s">
        <v>703</v>
      </c>
      <c r="J585" s="48" t="s">
        <v>704</v>
      </c>
      <c r="K585" s="48" t="s">
        <v>367</v>
      </c>
      <c r="L585" s="48" t="s">
        <v>1136</v>
      </c>
      <c r="M585" s="48" t="s">
        <v>78</v>
      </c>
      <c r="N585" s="48" t="s">
        <v>20</v>
      </c>
      <c r="O585" s="48" t="s">
        <v>857</v>
      </c>
      <c r="P585" s="50">
        <v>73924.929999999993</v>
      </c>
      <c r="Q585" s="50">
        <v>3.75</v>
      </c>
      <c r="R585" s="50">
        <v>277218.48749999999</v>
      </c>
      <c r="S585" s="74">
        <v>45915</v>
      </c>
      <c r="T585" s="48" t="s">
        <v>705</v>
      </c>
      <c r="U585" s="48" t="s">
        <v>367</v>
      </c>
      <c r="V585" s="48" t="s">
        <v>857</v>
      </c>
      <c r="W585" s="48"/>
    </row>
    <row r="586" spans="1:23" ht="15.75" x14ac:dyDescent="0.25">
      <c r="A586" s="48" t="s">
        <v>596</v>
      </c>
      <c r="B586" s="49">
        <v>45845</v>
      </c>
      <c r="C586" s="48" t="s">
        <v>918</v>
      </c>
      <c r="D586" s="48" t="s">
        <v>441</v>
      </c>
      <c r="E586" s="48" t="s">
        <v>858</v>
      </c>
      <c r="F586" s="48" t="s">
        <v>373</v>
      </c>
      <c r="G586" s="48" t="s">
        <v>70</v>
      </c>
      <c r="H586" s="48" t="s">
        <v>70</v>
      </c>
      <c r="I586" s="48" t="s">
        <v>155</v>
      </c>
      <c r="J586" s="48" t="s">
        <v>24</v>
      </c>
      <c r="K586" s="48" t="s">
        <v>22</v>
      </c>
      <c r="L586" s="48" t="s">
        <v>1132</v>
      </c>
      <c r="M586" s="48" t="s">
        <v>26</v>
      </c>
      <c r="N586" s="48" t="s">
        <v>20</v>
      </c>
      <c r="O586" s="48" t="s">
        <v>857</v>
      </c>
      <c r="P586" s="50">
        <v>64094.5</v>
      </c>
      <c r="Q586" s="50">
        <v>1</v>
      </c>
      <c r="R586" s="50">
        <v>64094.5</v>
      </c>
      <c r="S586" s="74">
        <v>45914</v>
      </c>
      <c r="T586" s="48" t="s">
        <v>311</v>
      </c>
      <c r="U586" s="48" t="s">
        <v>1849</v>
      </c>
      <c r="V586" s="48" t="s">
        <v>378</v>
      </c>
      <c r="W586" s="48"/>
    </row>
    <row r="587" spans="1:23" ht="15.75" x14ac:dyDescent="0.25">
      <c r="A587" s="48" t="s">
        <v>1286</v>
      </c>
      <c r="B587" s="49">
        <v>45810</v>
      </c>
      <c r="C587" s="48" t="s">
        <v>916</v>
      </c>
      <c r="D587" s="48" t="s">
        <v>831</v>
      </c>
      <c r="E587" s="48" t="s">
        <v>858</v>
      </c>
      <c r="F587" s="48" t="s">
        <v>21</v>
      </c>
      <c r="G587" s="48" t="s">
        <v>22</v>
      </c>
      <c r="H587" s="48" t="s">
        <v>27</v>
      </c>
      <c r="I587" s="48" t="s">
        <v>832</v>
      </c>
      <c r="J587" s="48" t="s">
        <v>1791</v>
      </c>
      <c r="K587" s="48" t="s">
        <v>22</v>
      </c>
      <c r="L587" s="48" t="s">
        <v>1132</v>
      </c>
      <c r="M587" s="48" t="s">
        <v>26</v>
      </c>
      <c r="N587" s="48" t="s">
        <v>20</v>
      </c>
      <c r="O587" s="48" t="s">
        <v>857</v>
      </c>
      <c r="P587" s="50">
        <v>2118694.4500000002</v>
      </c>
      <c r="Q587" s="50">
        <v>1</v>
      </c>
      <c r="R587" s="50">
        <v>2118694.4500000002</v>
      </c>
      <c r="S587" s="74">
        <v>45914</v>
      </c>
      <c r="T587" s="48" t="s">
        <v>621</v>
      </c>
      <c r="U587" s="48" t="s">
        <v>22</v>
      </c>
      <c r="V587" s="48" t="s">
        <v>857</v>
      </c>
      <c r="W587" s="48"/>
    </row>
    <row r="588" spans="1:23" ht="15.75" x14ac:dyDescent="0.25">
      <c r="A588" s="48" t="s">
        <v>834</v>
      </c>
      <c r="B588" s="49">
        <v>45858</v>
      </c>
      <c r="C588" s="48" t="s">
        <v>916</v>
      </c>
      <c r="D588" s="48" t="s">
        <v>441</v>
      </c>
      <c r="E588" s="48" t="s">
        <v>856</v>
      </c>
      <c r="F588" s="48" t="s">
        <v>612</v>
      </c>
      <c r="G588" s="48" t="s">
        <v>613</v>
      </c>
      <c r="H588" s="48" t="s">
        <v>27</v>
      </c>
      <c r="I588" s="48" t="s">
        <v>155</v>
      </c>
      <c r="J588" s="48" t="s">
        <v>24</v>
      </c>
      <c r="K588" s="48" t="s">
        <v>613</v>
      </c>
      <c r="L588" s="48" t="s">
        <v>1135</v>
      </c>
      <c r="M588" s="48" t="s">
        <v>26</v>
      </c>
      <c r="N588" s="48" t="s">
        <v>20</v>
      </c>
      <c r="O588" s="48" t="s">
        <v>857</v>
      </c>
      <c r="P588" s="50">
        <v>135179.32999999999</v>
      </c>
      <c r="Q588" s="50">
        <v>1</v>
      </c>
      <c r="R588" s="50">
        <v>135179.32999999999</v>
      </c>
      <c r="S588" s="74">
        <v>45914</v>
      </c>
      <c r="T588" s="48" t="s">
        <v>425</v>
      </c>
      <c r="U588" s="48" t="s">
        <v>613</v>
      </c>
      <c r="V588" s="48" t="s">
        <v>857</v>
      </c>
      <c r="W588" s="48"/>
    </row>
    <row r="589" spans="1:23" ht="15.75" x14ac:dyDescent="0.25">
      <c r="A589" s="48" t="s">
        <v>713</v>
      </c>
      <c r="B589" s="49">
        <v>45909</v>
      </c>
      <c r="C589" s="48" t="s">
        <v>918</v>
      </c>
      <c r="D589" s="48" t="s">
        <v>441</v>
      </c>
      <c r="E589" s="48" t="s">
        <v>858</v>
      </c>
      <c r="F589" s="48" t="s">
        <v>366</v>
      </c>
      <c r="G589" s="48" t="s">
        <v>710</v>
      </c>
      <c r="H589" s="48" t="s">
        <v>27</v>
      </c>
      <c r="I589" s="48" t="s">
        <v>714</v>
      </c>
      <c r="J589" s="48" t="s">
        <v>24</v>
      </c>
      <c r="K589" s="48" t="s">
        <v>710</v>
      </c>
      <c r="L589" s="48" t="s">
        <v>1209</v>
      </c>
      <c r="M589" s="48" t="s">
        <v>26</v>
      </c>
      <c r="N589" s="48" t="s">
        <v>20</v>
      </c>
      <c r="O589" s="48" t="s">
        <v>857</v>
      </c>
      <c r="P589" s="50">
        <v>129604</v>
      </c>
      <c r="Q589" s="50">
        <v>1</v>
      </c>
      <c r="R589" s="50">
        <v>129604</v>
      </c>
      <c r="S589" s="74">
        <v>45911</v>
      </c>
      <c r="T589" s="48" t="s">
        <v>311</v>
      </c>
      <c r="U589" s="48" t="s">
        <v>410</v>
      </c>
      <c r="V589" s="48" t="s">
        <v>378</v>
      </c>
      <c r="W589" s="48"/>
    </row>
    <row r="590" spans="1:23" ht="15.75" x14ac:dyDescent="0.25">
      <c r="A590" s="48" t="s">
        <v>1283</v>
      </c>
      <c r="B590" s="49">
        <v>45805</v>
      </c>
      <c r="C590" s="48" t="s">
        <v>916</v>
      </c>
      <c r="D590" s="48" t="s">
        <v>1259</v>
      </c>
      <c r="E590" s="48" t="s">
        <v>856</v>
      </c>
      <c r="F590" s="48" t="s">
        <v>373</v>
      </c>
      <c r="G590" s="48" t="s">
        <v>70</v>
      </c>
      <c r="H590" s="48" t="s">
        <v>70</v>
      </c>
      <c r="I590" s="48" t="s">
        <v>1260</v>
      </c>
      <c r="J590" s="48" t="s">
        <v>72</v>
      </c>
      <c r="K590" s="48" t="s">
        <v>483</v>
      </c>
      <c r="L590" s="48" t="s">
        <v>1646</v>
      </c>
      <c r="M590" s="48" t="s">
        <v>26</v>
      </c>
      <c r="N590" s="48" t="s">
        <v>20</v>
      </c>
      <c r="O590" s="48" t="s">
        <v>857</v>
      </c>
      <c r="P590" s="50">
        <v>10893375</v>
      </c>
      <c r="Q590" s="50">
        <v>1</v>
      </c>
      <c r="R590" s="50">
        <v>10893375</v>
      </c>
      <c r="S590" s="74">
        <v>45911</v>
      </c>
      <c r="T590" s="48" t="s">
        <v>621</v>
      </c>
      <c r="U590" s="48" t="s">
        <v>1849</v>
      </c>
      <c r="V590" s="48" t="s">
        <v>378</v>
      </c>
      <c r="W590" s="48"/>
    </row>
    <row r="591" spans="1:23" ht="15.75" x14ac:dyDescent="0.25">
      <c r="A591" s="48" t="s">
        <v>1289</v>
      </c>
      <c r="B591" s="49">
        <v>45862</v>
      </c>
      <c r="C591" s="48" t="s">
        <v>916</v>
      </c>
      <c r="D591" s="48" t="s">
        <v>441</v>
      </c>
      <c r="E591" s="48" t="s">
        <v>858</v>
      </c>
      <c r="F591" s="48" t="s">
        <v>373</v>
      </c>
      <c r="G591" s="48" t="s">
        <v>70</v>
      </c>
      <c r="H591" s="48" t="s">
        <v>70</v>
      </c>
      <c r="I591" s="48" t="s">
        <v>1241</v>
      </c>
      <c r="J591" s="48" t="s">
        <v>24</v>
      </c>
      <c r="K591" s="48" t="s">
        <v>407</v>
      </c>
      <c r="L591" s="48" t="s">
        <v>1131</v>
      </c>
      <c r="M591" s="48" t="s">
        <v>26</v>
      </c>
      <c r="N591" s="48" t="s">
        <v>20</v>
      </c>
      <c r="O591" s="48" t="s">
        <v>857</v>
      </c>
      <c r="P591" s="50">
        <v>350000</v>
      </c>
      <c r="Q591" s="50">
        <v>1</v>
      </c>
      <c r="R591" s="50">
        <v>350000</v>
      </c>
      <c r="S591" s="74">
        <v>45910</v>
      </c>
      <c r="T591" s="48" t="s">
        <v>621</v>
      </c>
      <c r="U591" s="48" t="s">
        <v>1849</v>
      </c>
      <c r="V591" s="48" t="s">
        <v>378</v>
      </c>
      <c r="W591" s="48"/>
    </row>
    <row r="592" spans="1:23" ht="15.75" x14ac:dyDescent="0.25">
      <c r="A592" s="48" t="s">
        <v>1287</v>
      </c>
      <c r="B592" s="49">
        <v>45822</v>
      </c>
      <c r="C592" s="48" t="s">
        <v>916</v>
      </c>
      <c r="D592" s="48" t="s">
        <v>1259</v>
      </c>
      <c r="E592" s="48" t="s">
        <v>858</v>
      </c>
      <c r="F592" s="48" t="s">
        <v>373</v>
      </c>
      <c r="G592" s="48" t="s">
        <v>70</v>
      </c>
      <c r="H592" s="48" t="s">
        <v>70</v>
      </c>
      <c r="I592" s="48" t="s">
        <v>1261</v>
      </c>
      <c r="J592" s="48" t="s">
        <v>72</v>
      </c>
      <c r="K592" s="48" t="s">
        <v>328</v>
      </c>
      <c r="L592" s="48" t="s">
        <v>1142</v>
      </c>
      <c r="M592" s="48" t="s">
        <v>26</v>
      </c>
      <c r="N592" s="48" t="s">
        <v>20</v>
      </c>
      <c r="O592" s="48" t="s">
        <v>857</v>
      </c>
      <c r="P592" s="50">
        <v>6439356</v>
      </c>
      <c r="Q592" s="50">
        <v>1</v>
      </c>
      <c r="R592" s="50">
        <v>6439356</v>
      </c>
      <c r="S592" s="74">
        <v>45910</v>
      </c>
      <c r="T592" s="48" t="s">
        <v>621</v>
      </c>
      <c r="U592" s="48" t="s">
        <v>1849</v>
      </c>
      <c r="V592" s="48" t="s">
        <v>378</v>
      </c>
      <c r="W592" s="48"/>
    </row>
    <row r="593" spans="1:23" ht="15.75" x14ac:dyDescent="0.25">
      <c r="A593" s="48" t="s">
        <v>692</v>
      </c>
      <c r="B593" s="49">
        <v>45867</v>
      </c>
      <c r="C593" s="48" t="s">
        <v>916</v>
      </c>
      <c r="D593" s="48" t="s">
        <v>441</v>
      </c>
      <c r="E593" s="48" t="s">
        <v>856</v>
      </c>
      <c r="F593" s="48" t="s">
        <v>612</v>
      </c>
      <c r="G593" s="48" t="s">
        <v>613</v>
      </c>
      <c r="H593" s="48" t="s">
        <v>27</v>
      </c>
      <c r="I593" s="48" t="s">
        <v>693</v>
      </c>
      <c r="J593" s="48" t="s">
        <v>24</v>
      </c>
      <c r="K593" s="48" t="s">
        <v>613</v>
      </c>
      <c r="L593" s="48" t="s">
        <v>1135</v>
      </c>
      <c r="M593" s="48" t="s">
        <v>26</v>
      </c>
      <c r="N593" s="48" t="s">
        <v>20</v>
      </c>
      <c r="O593" s="48" t="s">
        <v>857</v>
      </c>
      <c r="P593" s="50">
        <v>715041.88</v>
      </c>
      <c r="Q593" s="50">
        <v>1</v>
      </c>
      <c r="R593" s="50">
        <v>715041.88</v>
      </c>
      <c r="S593" s="74">
        <v>45910</v>
      </c>
      <c r="T593" s="48" t="s">
        <v>311</v>
      </c>
      <c r="U593" s="48" t="s">
        <v>613</v>
      </c>
      <c r="V593" s="48" t="s">
        <v>857</v>
      </c>
      <c r="W593" s="48"/>
    </row>
    <row r="594" spans="1:23" ht="15.75" x14ac:dyDescent="0.25">
      <c r="A594" s="48" t="s">
        <v>1279</v>
      </c>
      <c r="B594" s="49">
        <v>45831</v>
      </c>
      <c r="C594" s="48" t="s">
        <v>916</v>
      </c>
      <c r="D594" s="48" t="s">
        <v>441</v>
      </c>
      <c r="E594" s="48" t="s">
        <v>858</v>
      </c>
      <c r="F594" s="48" t="s">
        <v>373</v>
      </c>
      <c r="G594" s="48" t="s">
        <v>70</v>
      </c>
      <c r="H594" s="48" t="s">
        <v>70</v>
      </c>
      <c r="I594" s="48" t="s">
        <v>1242</v>
      </c>
      <c r="J594" s="48" t="s">
        <v>24</v>
      </c>
      <c r="K594" s="48" t="s">
        <v>407</v>
      </c>
      <c r="L594" s="48" t="s">
        <v>1131</v>
      </c>
      <c r="M594" s="48" t="s">
        <v>26</v>
      </c>
      <c r="N594" s="48" t="s">
        <v>20</v>
      </c>
      <c r="O594" s="48" t="s">
        <v>857</v>
      </c>
      <c r="P594" s="50">
        <v>270000</v>
      </c>
      <c r="Q594" s="50">
        <v>1</v>
      </c>
      <c r="R594" s="50">
        <v>270000</v>
      </c>
      <c r="S594" s="74">
        <v>45909</v>
      </c>
      <c r="T594" s="48" t="s">
        <v>621</v>
      </c>
      <c r="U594" s="48" t="s">
        <v>1849</v>
      </c>
      <c r="V594" s="48" t="s">
        <v>378</v>
      </c>
      <c r="W594" s="48"/>
    </row>
    <row r="595" spans="1:23" ht="15.75" x14ac:dyDescent="0.25">
      <c r="A595" s="48" t="s">
        <v>1274</v>
      </c>
      <c r="B595" s="49">
        <v>45837</v>
      </c>
      <c r="C595" s="48" t="s">
        <v>916</v>
      </c>
      <c r="D595" s="48" t="s">
        <v>441</v>
      </c>
      <c r="E595" s="48" t="s">
        <v>858</v>
      </c>
      <c r="F595" s="48" t="s">
        <v>373</v>
      </c>
      <c r="G595" s="48" t="s">
        <v>70</v>
      </c>
      <c r="H595" s="48" t="s">
        <v>70</v>
      </c>
      <c r="I595" s="48" t="s">
        <v>201</v>
      </c>
      <c r="J595" s="48" t="s">
        <v>24</v>
      </c>
      <c r="K595" s="48" t="s">
        <v>407</v>
      </c>
      <c r="L595" s="48" t="s">
        <v>1131</v>
      </c>
      <c r="M595" s="48" t="s">
        <v>26</v>
      </c>
      <c r="N595" s="48" t="s">
        <v>20</v>
      </c>
      <c r="O595" s="48" t="s">
        <v>857</v>
      </c>
      <c r="P595" s="50">
        <v>200000</v>
      </c>
      <c r="Q595" s="50">
        <v>1</v>
      </c>
      <c r="R595" s="50">
        <v>200000</v>
      </c>
      <c r="S595" s="74">
        <v>45909</v>
      </c>
      <c r="T595" s="48" t="s">
        <v>621</v>
      </c>
      <c r="U595" s="48" t="s">
        <v>1849</v>
      </c>
      <c r="V595" s="48" t="s">
        <v>378</v>
      </c>
      <c r="W595" s="48"/>
    </row>
    <row r="596" spans="1:23" ht="15.75" x14ac:dyDescent="0.25">
      <c r="A596" s="48" t="s">
        <v>306</v>
      </c>
      <c r="B596" s="49">
        <v>45882</v>
      </c>
      <c r="C596" s="48" t="s">
        <v>1850</v>
      </c>
      <c r="D596" s="48" t="s">
        <v>1118</v>
      </c>
      <c r="E596" s="48" t="s">
        <v>858</v>
      </c>
      <c r="F596" s="48" t="s">
        <v>62</v>
      </c>
      <c r="G596" s="48" t="s">
        <v>70</v>
      </c>
      <c r="H596" s="48" t="s">
        <v>70</v>
      </c>
      <c r="I596" s="48" t="s">
        <v>307</v>
      </c>
      <c r="J596" s="48" t="s">
        <v>72</v>
      </c>
      <c r="K596" s="48" t="s">
        <v>213</v>
      </c>
      <c r="L596" s="48" t="s">
        <v>1134</v>
      </c>
      <c r="M596" s="48" t="s">
        <v>67</v>
      </c>
      <c r="N596" s="48" t="s">
        <v>20</v>
      </c>
      <c r="O596" s="48" t="s">
        <v>857</v>
      </c>
      <c r="P596" s="50">
        <v>1966.91</v>
      </c>
      <c r="Q596" s="50">
        <v>4.5700921750359704</v>
      </c>
      <c r="R596" s="50">
        <v>8988.9600000000009</v>
      </c>
      <c r="S596" s="74">
        <v>45909</v>
      </c>
      <c r="T596" s="48" t="s">
        <v>308</v>
      </c>
      <c r="U596" s="48" t="s">
        <v>213</v>
      </c>
      <c r="V596" s="48" t="s">
        <v>857</v>
      </c>
      <c r="W596" s="48"/>
    </row>
    <row r="597" spans="1:23" ht="15.75" x14ac:dyDescent="0.25">
      <c r="A597" s="48" t="s">
        <v>1151</v>
      </c>
      <c r="B597" s="49">
        <v>45861</v>
      </c>
      <c r="C597" s="48" t="s">
        <v>916</v>
      </c>
      <c r="D597" s="48" t="s">
        <v>441</v>
      </c>
      <c r="E597" s="48" t="s">
        <v>856</v>
      </c>
      <c r="F597" s="48" t="s">
        <v>612</v>
      </c>
      <c r="G597" s="48" t="s">
        <v>613</v>
      </c>
      <c r="H597" s="48" t="s">
        <v>27</v>
      </c>
      <c r="I597" s="48" t="s">
        <v>1104</v>
      </c>
      <c r="J597" s="48" t="s">
        <v>24</v>
      </c>
      <c r="K597" s="48" t="s">
        <v>613</v>
      </c>
      <c r="L597" s="48" t="s">
        <v>1135</v>
      </c>
      <c r="M597" s="48" t="s">
        <v>26</v>
      </c>
      <c r="N597" s="48" t="s">
        <v>20</v>
      </c>
      <c r="O597" s="48" t="s">
        <v>857</v>
      </c>
      <c r="P597" s="50">
        <v>325907.7</v>
      </c>
      <c r="Q597" s="50">
        <v>1</v>
      </c>
      <c r="R597" s="50">
        <v>325907.7</v>
      </c>
      <c r="S597" s="74">
        <v>45909</v>
      </c>
      <c r="T597" s="48" t="s">
        <v>311</v>
      </c>
      <c r="U597" s="48" t="s">
        <v>613</v>
      </c>
      <c r="V597" s="48" t="s">
        <v>857</v>
      </c>
      <c r="W597" s="48"/>
    </row>
    <row r="598" spans="1:23" ht="15.75" x14ac:dyDescent="0.25">
      <c r="A598" s="48" t="s">
        <v>1292</v>
      </c>
      <c r="B598" s="49">
        <v>45834</v>
      </c>
      <c r="C598" s="48" t="s">
        <v>916</v>
      </c>
      <c r="D598" s="48" t="s">
        <v>441</v>
      </c>
      <c r="E598" s="48" t="s">
        <v>858</v>
      </c>
      <c r="F598" s="48" t="s">
        <v>373</v>
      </c>
      <c r="G598" s="48" t="s">
        <v>70</v>
      </c>
      <c r="H598" s="48" t="s">
        <v>70</v>
      </c>
      <c r="I598" s="48" t="s">
        <v>1243</v>
      </c>
      <c r="J598" s="48" t="s">
        <v>24</v>
      </c>
      <c r="K598" s="48" t="s">
        <v>407</v>
      </c>
      <c r="L598" s="48" t="s">
        <v>1131</v>
      </c>
      <c r="M598" s="48" t="s">
        <v>26</v>
      </c>
      <c r="N598" s="48" t="s">
        <v>20</v>
      </c>
      <c r="O598" s="48" t="s">
        <v>857</v>
      </c>
      <c r="P598" s="50">
        <v>200000</v>
      </c>
      <c r="Q598" s="50">
        <v>1</v>
      </c>
      <c r="R598" s="50">
        <v>200000</v>
      </c>
      <c r="S598" s="74">
        <v>45908</v>
      </c>
      <c r="T598" s="48" t="s">
        <v>621</v>
      </c>
      <c r="U598" s="48" t="s">
        <v>1849</v>
      </c>
      <c r="V598" s="48" t="s">
        <v>378</v>
      </c>
      <c r="W598" s="48"/>
    </row>
    <row r="599" spans="1:23" ht="15.75" x14ac:dyDescent="0.25">
      <c r="A599" s="48" t="s">
        <v>1277</v>
      </c>
      <c r="B599" s="49">
        <v>45825</v>
      </c>
      <c r="C599" s="48" t="s">
        <v>916</v>
      </c>
      <c r="D599" s="48" t="s">
        <v>441</v>
      </c>
      <c r="E599" s="48" t="s">
        <v>858</v>
      </c>
      <c r="F599" s="48" t="s">
        <v>373</v>
      </c>
      <c r="G599" s="48" t="s">
        <v>70</v>
      </c>
      <c r="H599" s="48" t="s">
        <v>70</v>
      </c>
      <c r="I599" s="48" t="s">
        <v>1248</v>
      </c>
      <c r="J599" s="48" t="s">
        <v>24</v>
      </c>
      <c r="K599" s="48" t="s">
        <v>407</v>
      </c>
      <c r="L599" s="48" t="s">
        <v>1131</v>
      </c>
      <c r="M599" s="48" t="s">
        <v>26</v>
      </c>
      <c r="N599" s="48" t="s">
        <v>20</v>
      </c>
      <c r="O599" s="48" t="s">
        <v>857</v>
      </c>
      <c r="P599" s="50">
        <v>500000</v>
      </c>
      <c r="Q599" s="50">
        <v>1</v>
      </c>
      <c r="R599" s="50">
        <v>500000</v>
      </c>
      <c r="S599" s="74">
        <v>45908</v>
      </c>
      <c r="T599" s="48" t="s">
        <v>621</v>
      </c>
      <c r="U599" s="48" t="s">
        <v>1849</v>
      </c>
      <c r="V599" s="48" t="s">
        <v>378</v>
      </c>
      <c r="W599" s="48" t="s">
        <v>1835</v>
      </c>
    </row>
    <row r="600" spans="1:23" ht="15.75" x14ac:dyDescent="0.25">
      <c r="A600" s="48" t="s">
        <v>1288</v>
      </c>
      <c r="B600" s="49">
        <v>45832</v>
      </c>
      <c r="C600" s="48" t="s">
        <v>916</v>
      </c>
      <c r="D600" s="48" t="s">
        <v>441</v>
      </c>
      <c r="E600" s="48" t="s">
        <v>858</v>
      </c>
      <c r="F600" s="48" t="s">
        <v>373</v>
      </c>
      <c r="G600" s="48" t="s">
        <v>70</v>
      </c>
      <c r="H600" s="48" t="s">
        <v>70</v>
      </c>
      <c r="I600" s="48" t="s">
        <v>1247</v>
      </c>
      <c r="J600" s="48" t="s">
        <v>24</v>
      </c>
      <c r="K600" s="48" t="s">
        <v>407</v>
      </c>
      <c r="L600" s="48" t="s">
        <v>1131</v>
      </c>
      <c r="M600" s="48" t="s">
        <v>26</v>
      </c>
      <c r="N600" s="48" t="s">
        <v>20</v>
      </c>
      <c r="O600" s="48" t="s">
        <v>857</v>
      </c>
      <c r="P600" s="50">
        <v>250000</v>
      </c>
      <c r="Q600" s="50">
        <v>1</v>
      </c>
      <c r="R600" s="50">
        <v>250000</v>
      </c>
      <c r="S600" s="74">
        <v>45908</v>
      </c>
      <c r="T600" s="48" t="s">
        <v>621</v>
      </c>
      <c r="U600" s="48" t="s">
        <v>1849</v>
      </c>
      <c r="V600" s="48" t="s">
        <v>378</v>
      </c>
      <c r="W600" s="48"/>
    </row>
    <row r="601" spans="1:23" ht="15.75" x14ac:dyDescent="0.25">
      <c r="A601" s="48" t="s">
        <v>1272</v>
      </c>
      <c r="B601" s="49">
        <v>45811</v>
      </c>
      <c r="C601" s="48" t="s">
        <v>916</v>
      </c>
      <c r="D601" s="48" t="s">
        <v>441</v>
      </c>
      <c r="E601" s="48" t="s">
        <v>858</v>
      </c>
      <c r="F601" s="48" t="s">
        <v>373</v>
      </c>
      <c r="G601" s="48" t="s">
        <v>70</v>
      </c>
      <c r="H601" s="48" t="s">
        <v>70</v>
      </c>
      <c r="I601" s="48" t="s">
        <v>1238</v>
      </c>
      <c r="J601" s="48" t="s">
        <v>24</v>
      </c>
      <c r="K601" s="48" t="s">
        <v>407</v>
      </c>
      <c r="L601" s="48" t="s">
        <v>1131</v>
      </c>
      <c r="M601" s="48" t="s">
        <v>26</v>
      </c>
      <c r="N601" s="48" t="s">
        <v>20</v>
      </c>
      <c r="O601" s="48" t="s">
        <v>857</v>
      </c>
      <c r="P601" s="50">
        <v>200000</v>
      </c>
      <c r="Q601" s="50">
        <v>1</v>
      </c>
      <c r="R601" s="50">
        <v>200000</v>
      </c>
      <c r="S601" s="74">
        <v>45908</v>
      </c>
      <c r="T601" s="48" t="s">
        <v>621</v>
      </c>
      <c r="U601" s="48" t="s">
        <v>1849</v>
      </c>
      <c r="V601" s="48" t="s">
        <v>378</v>
      </c>
      <c r="W601" s="48"/>
    </row>
    <row r="602" spans="1:23" ht="15.75" x14ac:dyDescent="0.25">
      <c r="A602" s="48" t="s">
        <v>1297</v>
      </c>
      <c r="B602" s="49">
        <v>45837</v>
      </c>
      <c r="C602" s="48" t="s">
        <v>916</v>
      </c>
      <c r="D602" s="48" t="s">
        <v>441</v>
      </c>
      <c r="E602" s="48" t="s">
        <v>858</v>
      </c>
      <c r="F602" s="48" t="s">
        <v>373</v>
      </c>
      <c r="G602" s="48" t="s">
        <v>70</v>
      </c>
      <c r="H602" s="48" t="s">
        <v>70</v>
      </c>
      <c r="I602" s="48" t="s">
        <v>1532</v>
      </c>
      <c r="J602" s="48" t="s">
        <v>24</v>
      </c>
      <c r="K602" s="48" t="s">
        <v>407</v>
      </c>
      <c r="L602" s="48" t="s">
        <v>1131</v>
      </c>
      <c r="M602" s="48" t="s">
        <v>26</v>
      </c>
      <c r="N602" s="48" t="s">
        <v>20</v>
      </c>
      <c r="O602" s="48" t="s">
        <v>857</v>
      </c>
      <c r="P602" s="50">
        <v>400000</v>
      </c>
      <c r="Q602" s="50">
        <v>1</v>
      </c>
      <c r="R602" s="50">
        <v>400000</v>
      </c>
      <c r="S602" s="74">
        <v>45908</v>
      </c>
      <c r="T602" s="48" t="s">
        <v>621</v>
      </c>
      <c r="U602" s="48" t="s">
        <v>1849</v>
      </c>
      <c r="V602" s="48" t="s">
        <v>378</v>
      </c>
      <c r="W602" s="48"/>
    </row>
    <row r="603" spans="1:23" ht="15.75" x14ac:dyDescent="0.25">
      <c r="A603" s="48" t="s">
        <v>733</v>
      </c>
      <c r="B603" s="49">
        <v>45886</v>
      </c>
      <c r="C603" s="48" t="s">
        <v>928</v>
      </c>
      <c r="D603" s="48" t="s">
        <v>441</v>
      </c>
      <c r="E603" s="48" t="s">
        <v>856</v>
      </c>
      <c r="F603" s="48" t="s">
        <v>612</v>
      </c>
      <c r="G603" s="48" t="s">
        <v>613</v>
      </c>
      <c r="H603" s="48" t="s">
        <v>27</v>
      </c>
      <c r="I603" s="48" t="s">
        <v>177</v>
      </c>
      <c r="J603" s="48" t="s">
        <v>24</v>
      </c>
      <c r="K603" s="48" t="s">
        <v>613</v>
      </c>
      <c r="L603" s="48" t="s">
        <v>1135</v>
      </c>
      <c r="M603" s="48" t="s">
        <v>26</v>
      </c>
      <c r="N603" s="48" t="s">
        <v>20</v>
      </c>
      <c r="O603" s="48" t="s">
        <v>857</v>
      </c>
      <c r="P603" s="50">
        <v>1517946.44</v>
      </c>
      <c r="Q603" s="50">
        <v>1</v>
      </c>
      <c r="R603" s="50">
        <v>1517946.44</v>
      </c>
      <c r="S603" s="74">
        <v>45907</v>
      </c>
      <c r="T603" s="48" t="s">
        <v>311</v>
      </c>
      <c r="U603" s="48" t="s">
        <v>613</v>
      </c>
      <c r="V603" s="48" t="s">
        <v>857</v>
      </c>
      <c r="W603" s="48"/>
    </row>
    <row r="604" spans="1:23" ht="15.75" x14ac:dyDescent="0.25">
      <c r="A604" s="48" t="s">
        <v>1454</v>
      </c>
      <c r="B604" s="49">
        <v>45896</v>
      </c>
      <c r="C604" s="48" t="s">
        <v>924</v>
      </c>
      <c r="D604" s="48" t="s">
        <v>509</v>
      </c>
      <c r="E604" s="48" t="s">
        <v>856</v>
      </c>
      <c r="F604" s="48" t="s">
        <v>95</v>
      </c>
      <c r="G604" s="48" t="s">
        <v>96</v>
      </c>
      <c r="H604" s="48" t="s">
        <v>27</v>
      </c>
      <c r="I604" s="48" t="s">
        <v>609</v>
      </c>
      <c r="J604" s="48" t="s">
        <v>72</v>
      </c>
      <c r="K604" s="48" t="s">
        <v>304</v>
      </c>
      <c r="L604" s="48" t="s">
        <v>1133</v>
      </c>
      <c r="M604" s="48" t="s">
        <v>26</v>
      </c>
      <c r="N604" s="48" t="s">
        <v>20</v>
      </c>
      <c r="O604" s="48" t="s">
        <v>378</v>
      </c>
      <c r="P604" s="50">
        <v>139725</v>
      </c>
      <c r="Q604" s="50">
        <v>1</v>
      </c>
      <c r="R604" s="50">
        <v>139725</v>
      </c>
      <c r="S604" s="74">
        <v>45903</v>
      </c>
      <c r="T604" s="48" t="s">
        <v>305</v>
      </c>
      <c r="U604" s="48" t="s">
        <v>304</v>
      </c>
      <c r="V604" s="48" t="s">
        <v>378</v>
      </c>
      <c r="W604" s="48"/>
    </row>
    <row r="605" spans="1:23" ht="15.75" x14ac:dyDescent="0.25">
      <c r="A605" s="48" t="s">
        <v>702</v>
      </c>
      <c r="B605" s="49">
        <v>45830</v>
      </c>
      <c r="C605" s="48" t="s">
        <v>927</v>
      </c>
      <c r="D605" s="48" t="s">
        <v>1119</v>
      </c>
      <c r="E605" s="48" t="s">
        <v>856</v>
      </c>
      <c r="F605" s="48" t="s">
        <v>95</v>
      </c>
      <c r="G605" s="48" t="s">
        <v>96</v>
      </c>
      <c r="H605" s="48" t="s">
        <v>27</v>
      </c>
      <c r="I605" s="48" t="s">
        <v>703</v>
      </c>
      <c r="J605" s="48" t="s">
        <v>704</v>
      </c>
      <c r="K605" s="48" t="s">
        <v>367</v>
      </c>
      <c r="L605" s="48" t="s">
        <v>1136</v>
      </c>
      <c r="M605" s="48" t="s">
        <v>78</v>
      </c>
      <c r="N605" s="48" t="s">
        <v>20</v>
      </c>
      <c r="O605" s="48" t="s">
        <v>857</v>
      </c>
      <c r="P605" s="50">
        <v>329529.8</v>
      </c>
      <c r="Q605" s="50">
        <v>3.75</v>
      </c>
      <c r="R605" s="50">
        <v>1235736.75</v>
      </c>
      <c r="S605" s="74">
        <v>45902</v>
      </c>
      <c r="T605" s="48" t="s">
        <v>705</v>
      </c>
      <c r="U605" s="48" t="s">
        <v>367</v>
      </c>
      <c r="V605" s="48" t="s">
        <v>857</v>
      </c>
      <c r="W605" s="48"/>
    </row>
    <row r="606" spans="1:23" ht="15.75" x14ac:dyDescent="0.25">
      <c r="A606" s="48" t="s">
        <v>1129</v>
      </c>
      <c r="B606" s="49">
        <v>45890</v>
      </c>
      <c r="C606" s="48" t="s">
        <v>924</v>
      </c>
      <c r="D606" s="48" t="s">
        <v>1878</v>
      </c>
      <c r="E606" s="48" t="s">
        <v>858</v>
      </c>
      <c r="F606" s="48" t="s">
        <v>366</v>
      </c>
      <c r="G606" s="48" t="s">
        <v>367</v>
      </c>
      <c r="H606" s="48" t="s">
        <v>27</v>
      </c>
      <c r="I606" s="48" t="s">
        <v>1130</v>
      </c>
      <c r="J606" s="48" t="s">
        <v>3220</v>
      </c>
      <c r="K606" s="48" t="s">
        <v>367</v>
      </c>
      <c r="L606" s="48" t="s">
        <v>1136</v>
      </c>
      <c r="M606" s="48" t="s">
        <v>26</v>
      </c>
      <c r="N606" s="48" t="s">
        <v>20</v>
      </c>
      <c r="O606" s="48" t="s">
        <v>857</v>
      </c>
      <c r="P606" s="50">
        <v>945000</v>
      </c>
      <c r="Q606" s="50">
        <v>1</v>
      </c>
      <c r="R606" s="50">
        <v>945000</v>
      </c>
      <c r="S606" s="74">
        <v>45902</v>
      </c>
      <c r="T606" s="48" t="s">
        <v>461</v>
      </c>
      <c r="U606" s="48" t="s">
        <v>367</v>
      </c>
      <c r="V606" s="48" t="s">
        <v>857</v>
      </c>
      <c r="W606" s="48"/>
    </row>
    <row r="607" spans="1:23" ht="15.75" x14ac:dyDescent="0.25">
      <c r="A607" s="48" t="s">
        <v>1194</v>
      </c>
      <c r="B607" s="49">
        <v>45832</v>
      </c>
      <c r="C607" s="48" t="s">
        <v>916</v>
      </c>
      <c r="D607" s="48" t="s">
        <v>509</v>
      </c>
      <c r="E607" s="48" t="s">
        <v>856</v>
      </c>
      <c r="F607" s="48" t="s">
        <v>21</v>
      </c>
      <c r="G607" s="48" t="s">
        <v>22</v>
      </c>
      <c r="H607" s="48" t="s">
        <v>27</v>
      </c>
      <c r="I607" s="48" t="s">
        <v>769</v>
      </c>
      <c r="J607" s="48" t="s">
        <v>24</v>
      </c>
      <c r="K607" s="48" t="s">
        <v>407</v>
      </c>
      <c r="L607" s="48" t="s">
        <v>1131</v>
      </c>
      <c r="M607" s="48" t="s">
        <v>26</v>
      </c>
      <c r="N607" s="48" t="s">
        <v>20</v>
      </c>
      <c r="O607" s="48" t="s">
        <v>857</v>
      </c>
      <c r="P607" s="50">
        <v>155888.54999999999</v>
      </c>
      <c r="Q607" s="50">
        <v>1</v>
      </c>
      <c r="R607" s="50">
        <v>155888.54999999999</v>
      </c>
      <c r="S607" s="74">
        <v>45901</v>
      </c>
      <c r="T607" s="48" t="s">
        <v>311</v>
      </c>
      <c r="U607" s="48" t="s">
        <v>304</v>
      </c>
      <c r="V607" s="48" t="s">
        <v>378</v>
      </c>
      <c r="W607" s="48"/>
    </row>
    <row r="608" spans="1:23" ht="15.75" x14ac:dyDescent="0.25">
      <c r="A608" s="48" t="s">
        <v>1127</v>
      </c>
      <c r="B608" s="49">
        <v>45888</v>
      </c>
      <c r="C608" s="48" t="s">
        <v>924</v>
      </c>
      <c r="D608" s="48" t="s">
        <v>1878</v>
      </c>
      <c r="E608" s="48" t="s">
        <v>858</v>
      </c>
      <c r="F608" s="48" t="s">
        <v>366</v>
      </c>
      <c r="G608" s="48" t="s">
        <v>367</v>
      </c>
      <c r="H608" s="48" t="s">
        <v>27</v>
      </c>
      <c r="I608" s="48" t="s">
        <v>729</v>
      </c>
      <c r="J608" s="48" t="s">
        <v>3220</v>
      </c>
      <c r="K608" s="48" t="s">
        <v>367</v>
      </c>
      <c r="L608" s="48" t="s">
        <v>1136</v>
      </c>
      <c r="M608" s="48" t="s">
        <v>191</v>
      </c>
      <c r="N608" s="48" t="s">
        <v>20</v>
      </c>
      <c r="O608" s="48" t="s">
        <v>857</v>
      </c>
      <c r="P608" s="50">
        <v>576949.91</v>
      </c>
      <c r="Q608" s="50">
        <v>1.026</v>
      </c>
      <c r="R608" s="50">
        <v>591950.6076600001</v>
      </c>
      <c r="S608" s="74">
        <v>45901</v>
      </c>
      <c r="T608" s="48" t="s">
        <v>425</v>
      </c>
      <c r="U608" s="48" t="s">
        <v>367</v>
      </c>
      <c r="V608" s="48" t="s">
        <v>857</v>
      </c>
      <c r="W608" s="48"/>
    </row>
    <row r="609" spans="1:23" ht="15.75" x14ac:dyDescent="0.25">
      <c r="A609" s="48" t="s">
        <v>702</v>
      </c>
      <c r="B609" s="49">
        <v>45826</v>
      </c>
      <c r="C609" s="48" t="s">
        <v>929</v>
      </c>
      <c r="D609" s="48" t="s">
        <v>1119</v>
      </c>
      <c r="E609" s="48" t="s">
        <v>856</v>
      </c>
      <c r="F609" s="48" t="s">
        <v>95</v>
      </c>
      <c r="G609" s="48" t="s">
        <v>96</v>
      </c>
      <c r="H609" s="48" t="s">
        <v>27</v>
      </c>
      <c r="I609" s="48" t="s">
        <v>703</v>
      </c>
      <c r="J609" s="48" t="s">
        <v>704</v>
      </c>
      <c r="K609" s="48" t="s">
        <v>367</v>
      </c>
      <c r="L609" s="48" t="s">
        <v>1136</v>
      </c>
      <c r="M609" s="48" t="s">
        <v>78</v>
      </c>
      <c r="N609" s="48" t="s">
        <v>20</v>
      </c>
      <c r="O609" s="48" t="s">
        <v>857</v>
      </c>
      <c r="P609" s="50">
        <v>249497.49</v>
      </c>
      <c r="Q609" s="50">
        <v>3.75</v>
      </c>
      <c r="R609" s="50">
        <v>935615.58749999991</v>
      </c>
      <c r="S609" s="74">
        <v>45901</v>
      </c>
      <c r="T609" s="48" t="s">
        <v>705</v>
      </c>
      <c r="U609" s="48" t="s">
        <v>367</v>
      </c>
      <c r="V609" s="48" t="s">
        <v>857</v>
      </c>
      <c r="W609" s="48"/>
    </row>
    <row r="610" spans="1:23" ht="15.75" x14ac:dyDescent="0.25">
      <c r="A610" s="48" t="s">
        <v>1210</v>
      </c>
      <c r="B610" s="49">
        <v>45827</v>
      </c>
      <c r="C610" s="48" t="s">
        <v>916</v>
      </c>
      <c r="D610" s="48" t="s">
        <v>509</v>
      </c>
      <c r="E610" s="48" t="s">
        <v>856</v>
      </c>
      <c r="F610" s="48" t="s">
        <v>21</v>
      </c>
      <c r="G610" s="48" t="s">
        <v>22</v>
      </c>
      <c r="H610" s="48" t="s">
        <v>27</v>
      </c>
      <c r="I610" s="48" t="s">
        <v>773</v>
      </c>
      <c r="J610" s="48" t="s">
        <v>24</v>
      </c>
      <c r="K610" s="48" t="s">
        <v>407</v>
      </c>
      <c r="L610" s="48" t="s">
        <v>1131</v>
      </c>
      <c r="M610" s="48" t="s">
        <v>26</v>
      </c>
      <c r="N610" s="48" t="s">
        <v>20</v>
      </c>
      <c r="O610" s="48" t="s">
        <v>857</v>
      </c>
      <c r="P610" s="50">
        <v>400000</v>
      </c>
      <c r="Q610" s="50">
        <v>1</v>
      </c>
      <c r="R610" s="50">
        <v>400000</v>
      </c>
      <c r="S610" s="74">
        <v>45901</v>
      </c>
      <c r="T610" s="48" t="s">
        <v>311</v>
      </c>
      <c r="U610" s="48" t="s">
        <v>304</v>
      </c>
      <c r="V610" s="48" t="s">
        <v>378</v>
      </c>
      <c r="W610" s="48"/>
    </row>
    <row r="611" spans="1:23" ht="15.75" x14ac:dyDescent="0.25">
      <c r="A611" s="48" t="s">
        <v>794</v>
      </c>
      <c r="B611" s="49">
        <v>45826</v>
      </c>
      <c r="C611" s="48" t="s">
        <v>933</v>
      </c>
      <c r="D611" s="48" t="s">
        <v>441</v>
      </c>
      <c r="E611" s="48" t="s">
        <v>856</v>
      </c>
      <c r="F611" s="48" t="s">
        <v>21</v>
      </c>
      <c r="G611" s="48" t="s">
        <v>22</v>
      </c>
      <c r="H611" s="48" t="s">
        <v>27</v>
      </c>
      <c r="I611" s="48" t="s">
        <v>795</v>
      </c>
      <c r="J611" s="48" t="s">
        <v>24</v>
      </c>
      <c r="K611" s="48" t="s">
        <v>22</v>
      </c>
      <c r="L611" s="48" t="s">
        <v>1132</v>
      </c>
      <c r="M611" s="48" t="s">
        <v>26</v>
      </c>
      <c r="N611" s="48" t="s">
        <v>20</v>
      </c>
      <c r="O611" s="48" t="s">
        <v>857</v>
      </c>
      <c r="P611" s="50">
        <v>749450</v>
      </c>
      <c r="Q611" s="50">
        <v>1</v>
      </c>
      <c r="R611" s="50">
        <v>749450</v>
      </c>
      <c r="S611" s="74">
        <v>45901</v>
      </c>
      <c r="T611" s="48" t="s">
        <v>311</v>
      </c>
      <c r="U611" s="48" t="s">
        <v>613</v>
      </c>
      <c r="V611" s="48" t="s">
        <v>378</v>
      </c>
      <c r="W611" s="48"/>
    </row>
    <row r="612" spans="1:23" ht="15.75" x14ac:dyDescent="0.25">
      <c r="A612" s="48" t="s">
        <v>1193</v>
      </c>
      <c r="B612" s="49">
        <v>45824</v>
      </c>
      <c r="C612" s="48" t="s">
        <v>916</v>
      </c>
      <c r="D612" s="48" t="s">
        <v>509</v>
      </c>
      <c r="E612" s="48" t="s">
        <v>858</v>
      </c>
      <c r="F612" s="48" t="s">
        <v>21</v>
      </c>
      <c r="G612" s="48" t="s">
        <v>22</v>
      </c>
      <c r="H612" s="48" t="s">
        <v>27</v>
      </c>
      <c r="I612" s="48" t="s">
        <v>774</v>
      </c>
      <c r="J612" s="48" t="s">
        <v>24</v>
      </c>
      <c r="K612" s="48" t="s">
        <v>407</v>
      </c>
      <c r="L612" s="48" t="s">
        <v>1131</v>
      </c>
      <c r="M612" s="48" t="s">
        <v>26</v>
      </c>
      <c r="N612" s="48" t="s">
        <v>20</v>
      </c>
      <c r="O612" s="48" t="s">
        <v>857</v>
      </c>
      <c r="P612" s="50">
        <v>625975.29</v>
      </c>
      <c r="Q612" s="50">
        <v>1</v>
      </c>
      <c r="R612" s="50">
        <v>625975.29</v>
      </c>
      <c r="S612" s="74">
        <v>45901</v>
      </c>
      <c r="T612" s="48" t="s">
        <v>311</v>
      </c>
      <c r="U612" s="48" t="s">
        <v>304</v>
      </c>
      <c r="V612" s="48" t="s">
        <v>378</v>
      </c>
      <c r="W612" s="48"/>
    </row>
    <row r="613" spans="1:23" ht="15.75" x14ac:dyDescent="0.25">
      <c r="A613" s="48" t="s">
        <v>611</v>
      </c>
      <c r="B613" s="49">
        <v>45866</v>
      </c>
      <c r="C613" s="48" t="s">
        <v>916</v>
      </c>
      <c r="D613" s="48" t="s">
        <v>441</v>
      </c>
      <c r="E613" s="48" t="s">
        <v>856</v>
      </c>
      <c r="F613" s="48" t="s">
        <v>612</v>
      </c>
      <c r="G613" s="48" t="s">
        <v>613</v>
      </c>
      <c r="H613" s="48" t="s">
        <v>27</v>
      </c>
      <c r="I613" s="48" t="s">
        <v>614</v>
      </c>
      <c r="J613" s="48" t="s">
        <v>24</v>
      </c>
      <c r="K613" s="48" t="s">
        <v>613</v>
      </c>
      <c r="L613" s="48" t="s">
        <v>1135</v>
      </c>
      <c r="M613" s="48" t="s">
        <v>26</v>
      </c>
      <c r="N613" s="48" t="s">
        <v>20</v>
      </c>
      <c r="O613" s="48" t="s">
        <v>857</v>
      </c>
      <c r="P613" s="50">
        <v>500000</v>
      </c>
      <c r="Q613" s="50">
        <v>1</v>
      </c>
      <c r="R613" s="50">
        <v>500000</v>
      </c>
      <c r="S613" s="74">
        <v>45900</v>
      </c>
      <c r="T613" s="48" t="s">
        <v>311</v>
      </c>
      <c r="U613" s="48" t="s">
        <v>613</v>
      </c>
      <c r="V613" s="48" t="s">
        <v>857</v>
      </c>
      <c r="W613" s="48"/>
    </row>
    <row r="614" spans="1:23" ht="15.75" x14ac:dyDescent="0.25">
      <c r="A614" s="48" t="s">
        <v>689</v>
      </c>
      <c r="B614" s="49">
        <v>45859</v>
      </c>
      <c r="C614" s="48" t="s">
        <v>916</v>
      </c>
      <c r="D614" s="48" t="s">
        <v>1119</v>
      </c>
      <c r="E614" s="48" t="s">
        <v>856</v>
      </c>
      <c r="F614" s="48" t="s">
        <v>366</v>
      </c>
      <c r="G614" s="48" t="s">
        <v>367</v>
      </c>
      <c r="H614" s="48" t="s">
        <v>27</v>
      </c>
      <c r="I614" s="48" t="s">
        <v>690</v>
      </c>
      <c r="J614" s="48" t="s">
        <v>72</v>
      </c>
      <c r="K614" s="48" t="s">
        <v>367</v>
      </c>
      <c r="L614" s="48" t="s">
        <v>1136</v>
      </c>
      <c r="M614" s="48" t="s">
        <v>26</v>
      </c>
      <c r="N614" s="48" t="s">
        <v>20</v>
      </c>
      <c r="O614" s="48" t="s">
        <v>857</v>
      </c>
      <c r="P614" s="50">
        <v>1802929.12</v>
      </c>
      <c r="Q614" s="50">
        <v>1</v>
      </c>
      <c r="R614" s="50">
        <v>1802929.12</v>
      </c>
      <c r="S614" s="74">
        <v>45900</v>
      </c>
      <c r="T614" s="48" t="s">
        <v>311</v>
      </c>
      <c r="U614" s="48" t="s">
        <v>367</v>
      </c>
      <c r="V614" s="48" t="s">
        <v>857</v>
      </c>
      <c r="W614" s="48"/>
    </row>
    <row r="615" spans="1:23" ht="15.75" x14ac:dyDescent="0.25">
      <c r="A615" s="48" t="s">
        <v>1470</v>
      </c>
      <c r="B615" s="49">
        <v>45868</v>
      </c>
      <c r="C615" s="48" t="s">
        <v>916</v>
      </c>
      <c r="D615" s="48" t="s">
        <v>1181</v>
      </c>
      <c r="E615" s="48" t="s">
        <v>858</v>
      </c>
      <c r="F615" s="48" t="s">
        <v>366</v>
      </c>
      <c r="G615" s="48" t="s">
        <v>710</v>
      </c>
      <c r="H615" s="48" t="s">
        <v>27</v>
      </c>
      <c r="I615" s="48" t="s">
        <v>750</v>
      </c>
      <c r="J615" s="48" t="s">
        <v>72</v>
      </c>
      <c r="K615" s="48" t="s">
        <v>81</v>
      </c>
      <c r="L615" s="48" t="s">
        <v>1139</v>
      </c>
      <c r="M615" s="48" t="s">
        <v>26</v>
      </c>
      <c r="N615" s="48" t="s">
        <v>20</v>
      </c>
      <c r="O615" s="48" t="s">
        <v>378</v>
      </c>
      <c r="P615" s="50">
        <v>1900870.95</v>
      </c>
      <c r="Q615" s="50">
        <v>1</v>
      </c>
      <c r="R615" s="50">
        <v>1900870.95</v>
      </c>
      <c r="S615" s="74">
        <v>45900</v>
      </c>
      <c r="T615" s="48" t="s">
        <v>425</v>
      </c>
      <c r="U615" s="48" t="s">
        <v>1831</v>
      </c>
      <c r="V615" s="48" t="s">
        <v>378</v>
      </c>
      <c r="W615" s="48"/>
    </row>
    <row r="616" spans="1:23" ht="15.75" x14ac:dyDescent="0.25">
      <c r="A616" s="48" t="s">
        <v>1203</v>
      </c>
      <c r="B616" s="49">
        <v>45811</v>
      </c>
      <c r="C616" s="48" t="s">
        <v>916</v>
      </c>
      <c r="D616" s="48" t="s">
        <v>441</v>
      </c>
      <c r="E616" s="48" t="s">
        <v>856</v>
      </c>
      <c r="F616" s="48" t="s">
        <v>95</v>
      </c>
      <c r="G616" s="48" t="s">
        <v>96</v>
      </c>
      <c r="H616" s="48" t="s">
        <v>27</v>
      </c>
      <c r="I616" s="48" t="s">
        <v>263</v>
      </c>
      <c r="J616" s="48" t="s">
        <v>24</v>
      </c>
      <c r="K616" s="48" t="s">
        <v>22</v>
      </c>
      <c r="L616" s="48" t="s">
        <v>1132</v>
      </c>
      <c r="M616" s="48" t="s">
        <v>26</v>
      </c>
      <c r="N616" s="48" t="s">
        <v>20</v>
      </c>
      <c r="O616" s="48" t="s">
        <v>378</v>
      </c>
      <c r="P616" s="50">
        <v>1000000</v>
      </c>
      <c r="Q616" s="50">
        <v>1</v>
      </c>
      <c r="R616" s="50">
        <v>1000000</v>
      </c>
      <c r="S616" s="74">
        <v>45897</v>
      </c>
      <c r="T616" s="48" t="s">
        <v>311</v>
      </c>
      <c r="U616" s="48" t="s">
        <v>613</v>
      </c>
      <c r="V616" s="48" t="s">
        <v>378</v>
      </c>
      <c r="W616" s="48"/>
    </row>
    <row r="617" spans="1:23" ht="15.75" x14ac:dyDescent="0.25">
      <c r="A617" s="48" t="s">
        <v>733</v>
      </c>
      <c r="B617" s="49">
        <v>45866</v>
      </c>
      <c r="C617" s="48" t="s">
        <v>924</v>
      </c>
      <c r="D617" s="48" t="s">
        <v>441</v>
      </c>
      <c r="E617" s="48" t="s">
        <v>856</v>
      </c>
      <c r="F617" s="48" t="s">
        <v>612</v>
      </c>
      <c r="G617" s="48" t="s">
        <v>613</v>
      </c>
      <c r="H617" s="48" t="s">
        <v>27</v>
      </c>
      <c r="I617" s="48" t="s">
        <v>177</v>
      </c>
      <c r="J617" s="48" t="s">
        <v>24</v>
      </c>
      <c r="K617" s="48" t="s">
        <v>613</v>
      </c>
      <c r="L617" s="48" t="s">
        <v>1135</v>
      </c>
      <c r="M617" s="48" t="s">
        <v>26</v>
      </c>
      <c r="N617" s="48" t="s">
        <v>20</v>
      </c>
      <c r="O617" s="48" t="s">
        <v>857</v>
      </c>
      <c r="P617" s="50">
        <v>3029188.92</v>
      </c>
      <c r="Q617" s="50">
        <v>1</v>
      </c>
      <c r="R617" s="50">
        <v>3029188.92</v>
      </c>
      <c r="S617" s="74">
        <v>45897</v>
      </c>
      <c r="T617" s="48" t="s">
        <v>311</v>
      </c>
      <c r="U617" s="48" t="s">
        <v>613</v>
      </c>
      <c r="V617" s="48" t="s">
        <v>857</v>
      </c>
      <c r="W617" s="48"/>
    </row>
    <row r="618" spans="1:23" ht="15.75" x14ac:dyDescent="0.25">
      <c r="A618" s="48" t="s">
        <v>1398</v>
      </c>
      <c r="B618" s="49">
        <v>45886</v>
      </c>
      <c r="C618" s="48" t="s">
        <v>916</v>
      </c>
      <c r="D618" s="48" t="s">
        <v>441</v>
      </c>
      <c r="E618" s="48" t="s">
        <v>856</v>
      </c>
      <c r="F618" s="48" t="s">
        <v>612</v>
      </c>
      <c r="G618" s="48" t="s">
        <v>613</v>
      </c>
      <c r="H618" s="48" t="s">
        <v>27</v>
      </c>
      <c r="I618" s="48" t="s">
        <v>1389</v>
      </c>
      <c r="J618" s="48" t="s">
        <v>24</v>
      </c>
      <c r="K618" s="48" t="s">
        <v>613</v>
      </c>
      <c r="L618" s="48" t="s">
        <v>1135</v>
      </c>
      <c r="M618" s="48" t="s">
        <v>26</v>
      </c>
      <c r="N618" s="48" t="s">
        <v>20</v>
      </c>
      <c r="O618" s="48" t="s">
        <v>857</v>
      </c>
      <c r="P618" s="50">
        <v>108757.8</v>
      </c>
      <c r="Q618" s="50">
        <v>1</v>
      </c>
      <c r="R618" s="50">
        <v>108757.8</v>
      </c>
      <c r="S618" s="74">
        <v>45895</v>
      </c>
      <c r="T618" s="48" t="s">
        <v>311</v>
      </c>
      <c r="U618" s="48" t="s">
        <v>1156</v>
      </c>
      <c r="V618" s="48" t="s">
        <v>378</v>
      </c>
      <c r="W618" s="48"/>
    </row>
    <row r="619" spans="1:23" ht="15.75" x14ac:dyDescent="0.25">
      <c r="A619" s="48" t="s">
        <v>700</v>
      </c>
      <c r="B619" s="49">
        <v>45845</v>
      </c>
      <c r="C619" s="48" t="s">
        <v>918</v>
      </c>
      <c r="D619" s="48" t="s">
        <v>1119</v>
      </c>
      <c r="E619" s="48" t="s">
        <v>858</v>
      </c>
      <c r="F619" s="48" t="s">
        <v>366</v>
      </c>
      <c r="G619" s="48" t="s">
        <v>367</v>
      </c>
      <c r="H619" s="48" t="s">
        <v>27</v>
      </c>
      <c r="I619" s="48" t="s">
        <v>701</v>
      </c>
      <c r="J619" s="48" t="s">
        <v>72</v>
      </c>
      <c r="K619" s="48" t="s">
        <v>367</v>
      </c>
      <c r="L619" s="48" t="s">
        <v>1136</v>
      </c>
      <c r="M619" s="48" t="s">
        <v>26</v>
      </c>
      <c r="N619" s="48" t="s">
        <v>20</v>
      </c>
      <c r="O619" s="48" t="s">
        <v>857</v>
      </c>
      <c r="P619" s="50">
        <v>1611241.63</v>
      </c>
      <c r="Q619" s="50">
        <v>1</v>
      </c>
      <c r="R619" s="50">
        <v>1611241.63</v>
      </c>
      <c r="S619" s="74">
        <v>45895</v>
      </c>
      <c r="T619" s="48" t="s">
        <v>311</v>
      </c>
      <c r="U619" s="48" t="s">
        <v>367</v>
      </c>
      <c r="V619" s="48" t="s">
        <v>857</v>
      </c>
      <c r="W619" s="48"/>
    </row>
    <row r="620" spans="1:23" ht="15.75" x14ac:dyDescent="0.25">
      <c r="A620" s="48" t="s">
        <v>702</v>
      </c>
      <c r="B620" s="49">
        <v>45826</v>
      </c>
      <c r="C620" s="48" t="s">
        <v>931</v>
      </c>
      <c r="D620" s="48" t="s">
        <v>1119</v>
      </c>
      <c r="E620" s="48" t="s">
        <v>856</v>
      </c>
      <c r="F620" s="48" t="s">
        <v>95</v>
      </c>
      <c r="G620" s="48" t="s">
        <v>96</v>
      </c>
      <c r="H620" s="48" t="s">
        <v>27</v>
      </c>
      <c r="I620" s="48" t="s">
        <v>703</v>
      </c>
      <c r="J620" s="48" t="s">
        <v>704</v>
      </c>
      <c r="K620" s="48" t="s">
        <v>367</v>
      </c>
      <c r="L620" s="48" t="s">
        <v>1136</v>
      </c>
      <c r="M620" s="48" t="s">
        <v>78</v>
      </c>
      <c r="N620" s="48" t="s">
        <v>20</v>
      </c>
      <c r="O620" s="48" t="s">
        <v>857</v>
      </c>
      <c r="P620" s="50">
        <v>82392.479999999996</v>
      </c>
      <c r="Q620" s="50">
        <v>3.75</v>
      </c>
      <c r="R620" s="50">
        <v>308971.8</v>
      </c>
      <c r="S620" s="74">
        <v>45894</v>
      </c>
      <c r="T620" s="48" t="s">
        <v>705</v>
      </c>
      <c r="U620" s="48" t="s">
        <v>367</v>
      </c>
      <c r="V620" s="48" t="s">
        <v>857</v>
      </c>
      <c r="W620" s="48"/>
    </row>
    <row r="621" spans="1:23" ht="15.75" x14ac:dyDescent="0.25">
      <c r="A621" s="48" t="s">
        <v>1449</v>
      </c>
      <c r="B621" s="49">
        <v>45861</v>
      </c>
      <c r="C621" s="48" t="s">
        <v>916</v>
      </c>
      <c r="D621" s="48" t="s">
        <v>509</v>
      </c>
      <c r="E621" s="48" t="s">
        <v>858</v>
      </c>
      <c r="F621" s="48" t="s">
        <v>95</v>
      </c>
      <c r="G621" s="48" t="s">
        <v>96</v>
      </c>
      <c r="H621" s="48" t="s">
        <v>27</v>
      </c>
      <c r="I621" s="48" t="s">
        <v>1254</v>
      </c>
      <c r="J621" s="48" t="s">
        <v>72</v>
      </c>
      <c r="K621" s="48" t="s">
        <v>511</v>
      </c>
      <c r="L621" s="48" t="s">
        <v>1236</v>
      </c>
      <c r="M621" s="48" t="s">
        <v>26</v>
      </c>
      <c r="N621" s="48" t="s">
        <v>20</v>
      </c>
      <c r="O621" s="48" t="s">
        <v>378</v>
      </c>
      <c r="P621" s="50">
        <v>1315561.82</v>
      </c>
      <c r="Q621" s="50">
        <v>1</v>
      </c>
      <c r="R621" s="50">
        <v>1315561.82</v>
      </c>
      <c r="S621" s="74">
        <v>45894</v>
      </c>
      <c r="T621" s="48" t="s">
        <v>425</v>
      </c>
      <c r="U621" s="48" t="s">
        <v>511</v>
      </c>
      <c r="V621" s="48" t="s">
        <v>857</v>
      </c>
      <c r="W621" s="48"/>
    </row>
    <row r="622" spans="1:23" ht="15.75" x14ac:dyDescent="0.25">
      <c r="A622" s="48" t="s">
        <v>689</v>
      </c>
      <c r="B622" s="49">
        <v>45876</v>
      </c>
      <c r="C622" s="48" t="s">
        <v>918</v>
      </c>
      <c r="D622" s="48" t="s">
        <v>1119</v>
      </c>
      <c r="E622" s="48" t="s">
        <v>856</v>
      </c>
      <c r="F622" s="48" t="s">
        <v>366</v>
      </c>
      <c r="G622" s="48" t="s">
        <v>367</v>
      </c>
      <c r="H622" s="48" t="s">
        <v>27</v>
      </c>
      <c r="I622" s="48" t="s">
        <v>690</v>
      </c>
      <c r="J622" s="48" t="s">
        <v>72</v>
      </c>
      <c r="K622" s="48" t="s">
        <v>367</v>
      </c>
      <c r="L622" s="48" t="s">
        <v>1136</v>
      </c>
      <c r="M622" s="48" t="s">
        <v>26</v>
      </c>
      <c r="N622" s="48" t="s">
        <v>20</v>
      </c>
      <c r="O622" s="48" t="s">
        <v>857</v>
      </c>
      <c r="P622" s="50">
        <v>4852096.79</v>
      </c>
      <c r="Q622" s="50">
        <v>1</v>
      </c>
      <c r="R622" s="50">
        <v>4852096.79</v>
      </c>
      <c r="S622" s="74">
        <v>45894</v>
      </c>
      <c r="T622" s="48" t="s">
        <v>311</v>
      </c>
      <c r="U622" s="48" t="s">
        <v>367</v>
      </c>
      <c r="V622" s="48" t="s">
        <v>857</v>
      </c>
      <c r="W622" s="48"/>
    </row>
    <row r="623" spans="1:23" ht="15.75" x14ac:dyDescent="0.25">
      <c r="A623" s="48" t="s">
        <v>1233</v>
      </c>
      <c r="B623" s="49">
        <v>45893</v>
      </c>
      <c r="C623" s="48" t="s">
        <v>916</v>
      </c>
      <c r="D623" s="48" t="s">
        <v>441</v>
      </c>
      <c r="E623" s="48" t="s">
        <v>856</v>
      </c>
      <c r="F623" s="48" t="s">
        <v>612</v>
      </c>
      <c r="G623" s="48" t="s">
        <v>613</v>
      </c>
      <c r="H623" s="48" t="s">
        <v>27</v>
      </c>
      <c r="I623" s="48" t="s">
        <v>1207</v>
      </c>
      <c r="J623" s="48" t="s">
        <v>24</v>
      </c>
      <c r="K623" s="48" t="s">
        <v>613</v>
      </c>
      <c r="L623" s="48" t="s">
        <v>1135</v>
      </c>
      <c r="M623" s="48" t="s">
        <v>26</v>
      </c>
      <c r="N623" s="48" t="s">
        <v>20</v>
      </c>
      <c r="O623" s="48" t="s">
        <v>378</v>
      </c>
      <c r="P623" s="50">
        <v>543834</v>
      </c>
      <c r="Q623" s="50">
        <v>1</v>
      </c>
      <c r="R623" s="50">
        <v>543834</v>
      </c>
      <c r="S623" s="74">
        <v>45893</v>
      </c>
      <c r="T623" s="48" t="s">
        <v>311</v>
      </c>
      <c r="U623" s="48" t="s">
        <v>1772</v>
      </c>
      <c r="V623" s="48" t="s">
        <v>378</v>
      </c>
      <c r="W623" s="48"/>
    </row>
    <row r="624" spans="1:23" ht="15.75" x14ac:dyDescent="0.25">
      <c r="A624" s="48" t="s">
        <v>1511</v>
      </c>
      <c r="B624" s="49">
        <v>45889</v>
      </c>
      <c r="C624" s="48" t="s">
        <v>916</v>
      </c>
      <c r="D624" s="48" t="s">
        <v>509</v>
      </c>
      <c r="E624" s="48" t="s">
        <v>856</v>
      </c>
      <c r="F624" s="48" t="s">
        <v>612</v>
      </c>
      <c r="G624" s="48" t="s">
        <v>613</v>
      </c>
      <c r="H624" s="48" t="s">
        <v>27</v>
      </c>
      <c r="I624" s="48" t="s">
        <v>532</v>
      </c>
      <c r="J624" s="48" t="s">
        <v>72</v>
      </c>
      <c r="K624" s="48" t="s">
        <v>304</v>
      </c>
      <c r="L624" s="48" t="s">
        <v>1133</v>
      </c>
      <c r="M624" s="48" t="s">
        <v>26</v>
      </c>
      <c r="N624" s="48" t="s">
        <v>20</v>
      </c>
      <c r="O624" s="48" t="s">
        <v>857</v>
      </c>
      <c r="P624" s="50">
        <v>14000000</v>
      </c>
      <c r="Q624" s="50">
        <v>1</v>
      </c>
      <c r="R624" s="50">
        <v>14000000</v>
      </c>
      <c r="S624" s="74">
        <v>45893</v>
      </c>
      <c r="T624" s="48" t="s">
        <v>461</v>
      </c>
      <c r="U624" s="48" t="s">
        <v>1156</v>
      </c>
      <c r="V624" s="48" t="s">
        <v>378</v>
      </c>
      <c r="W624" s="48"/>
    </row>
    <row r="625" spans="1:23" ht="15.75" x14ac:dyDescent="0.25">
      <c r="A625" s="48" t="s">
        <v>715</v>
      </c>
      <c r="B625" s="49">
        <v>45830</v>
      </c>
      <c r="C625" s="48" t="s">
        <v>918</v>
      </c>
      <c r="D625" s="48" t="s">
        <v>441</v>
      </c>
      <c r="E625" s="48" t="s">
        <v>858</v>
      </c>
      <c r="F625" s="48" t="s">
        <v>366</v>
      </c>
      <c r="G625" s="48" t="s">
        <v>710</v>
      </c>
      <c r="H625" s="48" t="s">
        <v>27</v>
      </c>
      <c r="I625" s="48" t="s">
        <v>716</v>
      </c>
      <c r="J625" s="48" t="s">
        <v>24</v>
      </c>
      <c r="K625" s="48" t="s">
        <v>710</v>
      </c>
      <c r="L625" s="48" t="s">
        <v>1209</v>
      </c>
      <c r="M625" s="48" t="s">
        <v>26</v>
      </c>
      <c r="N625" s="48" t="s">
        <v>20</v>
      </c>
      <c r="O625" s="48" t="s">
        <v>857</v>
      </c>
      <c r="P625" s="50">
        <v>2754572.98</v>
      </c>
      <c r="Q625" s="50">
        <v>1</v>
      </c>
      <c r="R625" s="50">
        <v>2754572.98</v>
      </c>
      <c r="S625" s="74">
        <v>45893</v>
      </c>
      <c r="T625" s="48" t="s">
        <v>311</v>
      </c>
      <c r="U625" s="48" t="s">
        <v>367</v>
      </c>
      <c r="V625" s="48" t="s">
        <v>378</v>
      </c>
      <c r="W625" s="48"/>
    </row>
    <row r="626" spans="1:23" ht="15.75" x14ac:dyDescent="0.25">
      <c r="A626" s="48" t="s">
        <v>1127</v>
      </c>
      <c r="B626" s="49">
        <v>45888</v>
      </c>
      <c r="C626" s="48" t="s">
        <v>918</v>
      </c>
      <c r="D626" s="48" t="s">
        <v>1878</v>
      </c>
      <c r="E626" s="48" t="s">
        <v>858</v>
      </c>
      <c r="F626" s="48" t="s">
        <v>366</v>
      </c>
      <c r="G626" s="48" t="s">
        <v>367</v>
      </c>
      <c r="H626" s="48" t="s">
        <v>27</v>
      </c>
      <c r="I626" s="48" t="s">
        <v>729</v>
      </c>
      <c r="J626" s="48" t="s">
        <v>3220</v>
      </c>
      <c r="K626" s="48" t="s">
        <v>367</v>
      </c>
      <c r="L626" s="48" t="s">
        <v>1136</v>
      </c>
      <c r="M626" s="48" t="s">
        <v>191</v>
      </c>
      <c r="N626" s="48" t="s">
        <v>20</v>
      </c>
      <c r="O626" s="48" t="s">
        <v>857</v>
      </c>
      <c r="P626" s="50">
        <v>1233679.24</v>
      </c>
      <c r="Q626" s="50">
        <v>1.0265</v>
      </c>
      <c r="R626" s="50">
        <v>1266371.7398599999</v>
      </c>
      <c r="S626" s="74">
        <v>45893</v>
      </c>
      <c r="T626" s="48" t="s">
        <v>425</v>
      </c>
      <c r="U626" s="48" t="s">
        <v>367</v>
      </c>
      <c r="V626" s="48" t="s">
        <v>857</v>
      </c>
      <c r="W626" s="48"/>
    </row>
    <row r="627" spans="1:23" ht="15.75" x14ac:dyDescent="0.25">
      <c r="A627" s="48" t="s">
        <v>1229</v>
      </c>
      <c r="B627" s="49">
        <v>45888</v>
      </c>
      <c r="C627" s="48" t="s">
        <v>933</v>
      </c>
      <c r="D627" s="48" t="s">
        <v>1878</v>
      </c>
      <c r="E627" s="48" t="s">
        <v>856</v>
      </c>
      <c r="F627" s="48" t="s">
        <v>366</v>
      </c>
      <c r="G627" s="48" t="s">
        <v>367</v>
      </c>
      <c r="H627" s="48" t="s">
        <v>27</v>
      </c>
      <c r="I627" s="48" t="s">
        <v>1192</v>
      </c>
      <c r="J627" s="48" t="s">
        <v>3220</v>
      </c>
      <c r="K627" s="48" t="s">
        <v>367</v>
      </c>
      <c r="L627" s="48" t="s">
        <v>1136</v>
      </c>
      <c r="M627" s="48" t="s">
        <v>191</v>
      </c>
      <c r="N627" s="48" t="s">
        <v>20</v>
      </c>
      <c r="O627" s="48" t="s">
        <v>857</v>
      </c>
      <c r="P627" s="50">
        <v>1064000</v>
      </c>
      <c r="Q627" s="50">
        <v>1.03</v>
      </c>
      <c r="R627" s="50">
        <v>1095920</v>
      </c>
      <c r="S627" s="74">
        <v>45890</v>
      </c>
      <c r="T627" s="48" t="s">
        <v>208</v>
      </c>
      <c r="U627" s="48" t="s">
        <v>367</v>
      </c>
      <c r="V627" s="48" t="s">
        <v>857</v>
      </c>
      <c r="W627" s="48"/>
    </row>
    <row r="628" spans="1:23" ht="15.75" x14ac:dyDescent="0.25">
      <c r="A628" s="48" t="s">
        <v>1229</v>
      </c>
      <c r="B628" s="49">
        <v>45888</v>
      </c>
      <c r="C628" s="48" t="s">
        <v>928</v>
      </c>
      <c r="D628" s="48" t="s">
        <v>1878</v>
      </c>
      <c r="E628" s="48" t="s">
        <v>856</v>
      </c>
      <c r="F628" s="48" t="s">
        <v>366</v>
      </c>
      <c r="G628" s="48" t="s">
        <v>367</v>
      </c>
      <c r="H628" s="48" t="s">
        <v>27</v>
      </c>
      <c r="I628" s="48" t="s">
        <v>1192</v>
      </c>
      <c r="J628" s="48" t="s">
        <v>3220</v>
      </c>
      <c r="K628" s="48" t="s">
        <v>367</v>
      </c>
      <c r="L628" s="48" t="s">
        <v>1136</v>
      </c>
      <c r="M628" s="48" t="s">
        <v>191</v>
      </c>
      <c r="N628" s="48" t="s">
        <v>20</v>
      </c>
      <c r="O628" s="48" t="s">
        <v>857</v>
      </c>
      <c r="P628" s="50">
        <v>805600</v>
      </c>
      <c r="Q628" s="50">
        <v>1.03</v>
      </c>
      <c r="R628" s="50">
        <v>829768</v>
      </c>
      <c r="S628" s="74">
        <v>45890</v>
      </c>
      <c r="T628" s="48" t="s">
        <v>208</v>
      </c>
      <c r="U628" s="48" t="s">
        <v>367</v>
      </c>
      <c r="V628" s="48" t="s">
        <v>857</v>
      </c>
      <c r="W628" s="48"/>
    </row>
    <row r="629" spans="1:23" ht="15.75" x14ac:dyDescent="0.25">
      <c r="A629" s="48" t="s">
        <v>1449</v>
      </c>
      <c r="B629" s="49">
        <v>45881</v>
      </c>
      <c r="C629" s="48" t="s">
        <v>918</v>
      </c>
      <c r="D629" s="48" t="s">
        <v>509</v>
      </c>
      <c r="E629" s="48" t="s">
        <v>856</v>
      </c>
      <c r="F629" s="48" t="s">
        <v>95</v>
      </c>
      <c r="G629" s="48" t="s">
        <v>96</v>
      </c>
      <c r="H629" s="48" t="s">
        <v>27</v>
      </c>
      <c r="I629" s="48" t="s">
        <v>1254</v>
      </c>
      <c r="J629" s="48" t="s">
        <v>72</v>
      </c>
      <c r="K629" s="48" t="s">
        <v>511</v>
      </c>
      <c r="L629" s="48" t="s">
        <v>1236</v>
      </c>
      <c r="M629" s="48" t="s">
        <v>26</v>
      </c>
      <c r="N629" s="48" t="s">
        <v>20</v>
      </c>
      <c r="O629" s="48" t="s">
        <v>378</v>
      </c>
      <c r="P629" s="50">
        <v>458740.58</v>
      </c>
      <c r="Q629" s="50">
        <v>1</v>
      </c>
      <c r="R629" s="50">
        <v>458740.58</v>
      </c>
      <c r="S629" s="74">
        <v>45890</v>
      </c>
      <c r="T629" s="48" t="s">
        <v>425</v>
      </c>
      <c r="U629" s="48" t="s">
        <v>511</v>
      </c>
      <c r="V629" s="48" t="s">
        <v>857</v>
      </c>
      <c r="W629" s="48"/>
    </row>
    <row r="630" spans="1:23" ht="15.75" x14ac:dyDescent="0.25">
      <c r="A630" s="48" t="s">
        <v>825</v>
      </c>
      <c r="B630" s="49">
        <v>45812</v>
      </c>
      <c r="C630" s="48" t="s">
        <v>916</v>
      </c>
      <c r="D630" s="48" t="s">
        <v>441</v>
      </c>
      <c r="E630" s="48" t="s">
        <v>858</v>
      </c>
      <c r="F630" s="48" t="s">
        <v>21</v>
      </c>
      <c r="G630" s="48" t="s">
        <v>22</v>
      </c>
      <c r="H630" s="48" t="s">
        <v>27</v>
      </c>
      <c r="I630" s="48" t="s">
        <v>826</v>
      </c>
      <c r="J630" s="48" t="s">
        <v>24</v>
      </c>
      <c r="K630" s="48" t="s">
        <v>22</v>
      </c>
      <c r="L630" s="48" t="s">
        <v>1132</v>
      </c>
      <c r="M630" s="48" t="s">
        <v>26</v>
      </c>
      <c r="N630" s="48" t="s">
        <v>20</v>
      </c>
      <c r="O630" s="48" t="s">
        <v>857</v>
      </c>
      <c r="P630" s="50">
        <v>112626.99</v>
      </c>
      <c r="Q630" s="50">
        <v>1</v>
      </c>
      <c r="R630" s="50">
        <v>112626.99</v>
      </c>
      <c r="S630" s="74">
        <v>45889</v>
      </c>
      <c r="T630" s="48" t="s">
        <v>311</v>
      </c>
      <c r="U630" s="48" t="s">
        <v>73</v>
      </c>
      <c r="V630" s="48" t="s">
        <v>857</v>
      </c>
      <c r="W630" s="48"/>
    </row>
    <row r="631" spans="1:23" ht="15.75" x14ac:dyDescent="0.25">
      <c r="A631" s="48" t="s">
        <v>804</v>
      </c>
      <c r="B631" s="49">
        <v>45806</v>
      </c>
      <c r="C631" s="48" t="s">
        <v>916</v>
      </c>
      <c r="D631" s="48" t="s">
        <v>441</v>
      </c>
      <c r="E631" s="48" t="s">
        <v>858</v>
      </c>
      <c r="F631" s="48" t="s">
        <v>21</v>
      </c>
      <c r="G631" s="48" t="s">
        <v>22</v>
      </c>
      <c r="H631" s="48" t="s">
        <v>27</v>
      </c>
      <c r="I631" s="48" t="s">
        <v>805</v>
      </c>
      <c r="J631" s="48" t="s">
        <v>24</v>
      </c>
      <c r="K631" s="48" t="s">
        <v>22</v>
      </c>
      <c r="L631" s="48" t="s">
        <v>1132</v>
      </c>
      <c r="M631" s="48" t="s">
        <v>26</v>
      </c>
      <c r="N631" s="48" t="s">
        <v>20</v>
      </c>
      <c r="O631" s="48" t="s">
        <v>857</v>
      </c>
      <c r="P631" s="50">
        <v>300000</v>
      </c>
      <c r="Q631" s="50">
        <v>1</v>
      </c>
      <c r="R631" s="50">
        <v>300000</v>
      </c>
      <c r="S631" s="74">
        <v>45889</v>
      </c>
      <c r="T631" s="48" t="s">
        <v>311</v>
      </c>
      <c r="U631" s="48" t="s">
        <v>73</v>
      </c>
      <c r="V631" s="48" t="s">
        <v>857</v>
      </c>
      <c r="W631" s="48"/>
    </row>
    <row r="632" spans="1:23" ht="15.75" x14ac:dyDescent="0.25">
      <c r="A632" s="48" t="s">
        <v>1454</v>
      </c>
      <c r="B632" s="49">
        <v>45861</v>
      </c>
      <c r="C632" s="48" t="s">
        <v>916</v>
      </c>
      <c r="D632" s="48" t="s">
        <v>509</v>
      </c>
      <c r="E632" s="48" t="s">
        <v>856</v>
      </c>
      <c r="F632" s="48" t="s">
        <v>95</v>
      </c>
      <c r="G632" s="48" t="s">
        <v>96</v>
      </c>
      <c r="H632" s="48" t="s">
        <v>27</v>
      </c>
      <c r="I632" s="48" t="s">
        <v>609</v>
      </c>
      <c r="J632" s="48" t="s">
        <v>72</v>
      </c>
      <c r="K632" s="48" t="s">
        <v>304</v>
      </c>
      <c r="L632" s="48" t="s">
        <v>1133</v>
      </c>
      <c r="M632" s="48" t="s">
        <v>26</v>
      </c>
      <c r="N632" s="48" t="s">
        <v>20</v>
      </c>
      <c r="O632" s="48" t="s">
        <v>378</v>
      </c>
      <c r="P632" s="50">
        <v>3621879</v>
      </c>
      <c r="Q632" s="50">
        <v>1</v>
      </c>
      <c r="R632" s="50">
        <v>3621879</v>
      </c>
      <c r="S632" s="74">
        <v>45888</v>
      </c>
      <c r="T632" s="48" t="s">
        <v>305</v>
      </c>
      <c r="U632" s="48" t="s">
        <v>304</v>
      </c>
      <c r="V632" s="48" t="s">
        <v>857</v>
      </c>
      <c r="W632" s="48"/>
    </row>
    <row r="633" spans="1:23" ht="15.75" x14ac:dyDescent="0.25">
      <c r="A633" s="48" t="s">
        <v>1454</v>
      </c>
      <c r="B633" s="49">
        <v>45861</v>
      </c>
      <c r="C633" s="48" t="s">
        <v>918</v>
      </c>
      <c r="D633" s="48" t="s">
        <v>509</v>
      </c>
      <c r="E633" s="48" t="s">
        <v>856</v>
      </c>
      <c r="F633" s="48" t="s">
        <v>95</v>
      </c>
      <c r="G633" s="48" t="s">
        <v>96</v>
      </c>
      <c r="H633" s="48" t="s">
        <v>27</v>
      </c>
      <c r="I633" s="48" t="s">
        <v>609</v>
      </c>
      <c r="J633" s="48" t="s">
        <v>72</v>
      </c>
      <c r="K633" s="48" t="s">
        <v>304</v>
      </c>
      <c r="L633" s="48" t="s">
        <v>1133</v>
      </c>
      <c r="M633" s="48" t="s">
        <v>26</v>
      </c>
      <c r="N633" s="48" t="s">
        <v>20</v>
      </c>
      <c r="O633" s="48" t="s">
        <v>378</v>
      </c>
      <c r="P633" s="50">
        <v>3185730</v>
      </c>
      <c r="Q633" s="50">
        <v>1</v>
      </c>
      <c r="R633" s="50">
        <v>3185730</v>
      </c>
      <c r="S633" s="74">
        <v>45888</v>
      </c>
      <c r="T633" s="48" t="s">
        <v>305</v>
      </c>
      <c r="U633" s="48" t="s">
        <v>304</v>
      </c>
      <c r="V633" s="48" t="s">
        <v>857</v>
      </c>
      <c r="W633" s="48"/>
    </row>
    <row r="634" spans="1:23" ht="15.75" x14ac:dyDescent="0.25">
      <c r="A634" s="48" t="s">
        <v>712</v>
      </c>
      <c r="B634" s="49">
        <v>45833</v>
      </c>
      <c r="C634" s="48" t="s">
        <v>918</v>
      </c>
      <c r="D634" s="48" t="s">
        <v>441</v>
      </c>
      <c r="E634" s="48" t="s">
        <v>858</v>
      </c>
      <c r="F634" s="48" t="s">
        <v>366</v>
      </c>
      <c r="G634" s="48" t="s">
        <v>710</v>
      </c>
      <c r="H634" s="48" t="s">
        <v>27</v>
      </c>
      <c r="I634" s="48" t="s">
        <v>155</v>
      </c>
      <c r="J634" s="48" t="s">
        <v>24</v>
      </c>
      <c r="K634" s="48" t="s">
        <v>710</v>
      </c>
      <c r="L634" s="48" t="s">
        <v>1209</v>
      </c>
      <c r="M634" s="48" t="s">
        <v>26</v>
      </c>
      <c r="N634" s="48" t="s">
        <v>20</v>
      </c>
      <c r="O634" s="48" t="s">
        <v>857</v>
      </c>
      <c r="P634" s="50">
        <v>914095.57</v>
      </c>
      <c r="Q634" s="50">
        <v>1</v>
      </c>
      <c r="R634" s="50">
        <v>914095.57</v>
      </c>
      <c r="S634" s="74">
        <v>45888</v>
      </c>
      <c r="T634" s="48" t="s">
        <v>311</v>
      </c>
      <c r="U634" s="48" t="s">
        <v>367</v>
      </c>
      <c r="V634" s="48" t="s">
        <v>378</v>
      </c>
      <c r="W634" s="48"/>
    </row>
    <row r="635" spans="1:23" ht="15.75" x14ac:dyDescent="0.25">
      <c r="A635" s="48" t="s">
        <v>1418</v>
      </c>
      <c r="B635" s="49">
        <v>45859</v>
      </c>
      <c r="C635" s="48" t="s">
        <v>916</v>
      </c>
      <c r="D635" s="48" t="s">
        <v>509</v>
      </c>
      <c r="E635" s="48" t="s">
        <v>858</v>
      </c>
      <c r="F635" s="48" t="s">
        <v>95</v>
      </c>
      <c r="G635" s="48" t="s">
        <v>96</v>
      </c>
      <c r="H635" s="48" t="s">
        <v>27</v>
      </c>
      <c r="I635" s="48" t="s">
        <v>1208</v>
      </c>
      <c r="J635" s="48" t="s">
        <v>72</v>
      </c>
      <c r="K635" s="48" t="s">
        <v>407</v>
      </c>
      <c r="L635" s="48" t="s">
        <v>1131</v>
      </c>
      <c r="M635" s="48" t="s">
        <v>26</v>
      </c>
      <c r="N635" s="48" t="s">
        <v>20</v>
      </c>
      <c r="O635" s="48" t="s">
        <v>378</v>
      </c>
      <c r="P635" s="50">
        <v>5000000</v>
      </c>
      <c r="Q635" s="50">
        <v>1</v>
      </c>
      <c r="R635" s="50">
        <v>5000000</v>
      </c>
      <c r="S635" s="74">
        <v>45887</v>
      </c>
      <c r="T635" s="48" t="s">
        <v>425</v>
      </c>
      <c r="U635" s="48" t="s">
        <v>304</v>
      </c>
      <c r="V635" s="48" t="s">
        <v>378</v>
      </c>
      <c r="W635" s="48"/>
    </row>
    <row r="636" spans="1:23" ht="15.75" x14ac:dyDescent="0.25">
      <c r="A636" s="48" t="s">
        <v>1201</v>
      </c>
      <c r="B636" s="49">
        <v>45839</v>
      </c>
      <c r="C636" s="48" t="s">
        <v>918</v>
      </c>
      <c r="D636" s="48" t="s">
        <v>441</v>
      </c>
      <c r="E636" s="48" t="s">
        <v>856</v>
      </c>
      <c r="F636" s="48" t="s">
        <v>95</v>
      </c>
      <c r="G636" s="48" t="s">
        <v>96</v>
      </c>
      <c r="H636" s="48" t="s">
        <v>27</v>
      </c>
      <c r="I636" s="48" t="s">
        <v>177</v>
      </c>
      <c r="J636" s="48" t="s">
        <v>24</v>
      </c>
      <c r="K636" s="48" t="s">
        <v>22</v>
      </c>
      <c r="L636" s="48" t="s">
        <v>1132</v>
      </c>
      <c r="M636" s="48" t="s">
        <v>26</v>
      </c>
      <c r="N636" s="48" t="s">
        <v>20</v>
      </c>
      <c r="O636" s="48" t="s">
        <v>378</v>
      </c>
      <c r="P636" s="50">
        <v>941825.08</v>
      </c>
      <c r="Q636" s="50">
        <v>1</v>
      </c>
      <c r="R636" s="50">
        <v>941825.08</v>
      </c>
      <c r="S636" s="74">
        <v>45887</v>
      </c>
      <c r="T636" s="48" t="s">
        <v>311</v>
      </c>
      <c r="U636" s="48" t="s">
        <v>1772</v>
      </c>
      <c r="V636" s="48" t="s">
        <v>857</v>
      </c>
      <c r="W636" s="48"/>
    </row>
    <row r="637" spans="1:23" ht="15.75" x14ac:dyDescent="0.25">
      <c r="A637" s="48" t="s">
        <v>794</v>
      </c>
      <c r="B637" s="49">
        <v>45805</v>
      </c>
      <c r="C637" s="48" t="s">
        <v>924</v>
      </c>
      <c r="D637" s="48" t="s">
        <v>441</v>
      </c>
      <c r="E637" s="48" t="s">
        <v>856</v>
      </c>
      <c r="F637" s="48" t="s">
        <v>21</v>
      </c>
      <c r="G637" s="48" t="s">
        <v>22</v>
      </c>
      <c r="H637" s="48" t="s">
        <v>27</v>
      </c>
      <c r="I637" s="48" t="s">
        <v>795</v>
      </c>
      <c r="J637" s="48" t="s">
        <v>24</v>
      </c>
      <c r="K637" s="48" t="s">
        <v>22</v>
      </c>
      <c r="L637" s="48" t="s">
        <v>1132</v>
      </c>
      <c r="M637" s="48" t="s">
        <v>26</v>
      </c>
      <c r="N637" s="48" t="s">
        <v>20</v>
      </c>
      <c r="O637" s="48" t="s">
        <v>857</v>
      </c>
      <c r="P637" s="50">
        <v>500000</v>
      </c>
      <c r="Q637" s="50">
        <v>1</v>
      </c>
      <c r="R637" s="50">
        <v>500000</v>
      </c>
      <c r="S637" s="74">
        <v>45887</v>
      </c>
      <c r="T637" s="48" t="s">
        <v>311</v>
      </c>
      <c r="U637" s="48" t="s">
        <v>1772</v>
      </c>
      <c r="V637" s="48" t="s">
        <v>857</v>
      </c>
      <c r="W637" s="48"/>
    </row>
    <row r="638" spans="1:23" ht="15.75" x14ac:dyDescent="0.25">
      <c r="A638" s="48" t="s">
        <v>733</v>
      </c>
      <c r="B638" s="49">
        <v>45886</v>
      </c>
      <c r="C638" s="48" t="s">
        <v>933</v>
      </c>
      <c r="D638" s="48" t="s">
        <v>441</v>
      </c>
      <c r="E638" s="48" t="s">
        <v>856</v>
      </c>
      <c r="F638" s="48" t="s">
        <v>612</v>
      </c>
      <c r="G638" s="48" t="s">
        <v>613</v>
      </c>
      <c r="H638" s="48" t="s">
        <v>27</v>
      </c>
      <c r="I638" s="48" t="s">
        <v>177</v>
      </c>
      <c r="J638" s="48" t="s">
        <v>24</v>
      </c>
      <c r="K638" s="48" t="s">
        <v>613</v>
      </c>
      <c r="L638" s="48" t="s">
        <v>1135</v>
      </c>
      <c r="M638" s="48" t="s">
        <v>26</v>
      </c>
      <c r="N638" s="48" t="s">
        <v>20</v>
      </c>
      <c r="O638" s="48" t="s">
        <v>857</v>
      </c>
      <c r="P638" s="50">
        <v>531277.57999999996</v>
      </c>
      <c r="Q638" s="50">
        <v>1</v>
      </c>
      <c r="R638" s="50">
        <v>531277.57999999996</v>
      </c>
      <c r="S638" s="74">
        <v>45886</v>
      </c>
      <c r="T638" s="48" t="s">
        <v>311</v>
      </c>
      <c r="U638" s="48" t="s">
        <v>1772</v>
      </c>
      <c r="V638" s="48" t="s">
        <v>378</v>
      </c>
      <c r="W638" s="48"/>
    </row>
    <row r="639" spans="1:23" ht="15.75" x14ac:dyDescent="0.25">
      <c r="A639" s="48" t="s">
        <v>1622</v>
      </c>
      <c r="B639" s="49">
        <v>45881</v>
      </c>
      <c r="C639" s="48" t="s">
        <v>924</v>
      </c>
      <c r="D639" s="48" t="s">
        <v>1119</v>
      </c>
      <c r="E639" s="48" t="s">
        <v>856</v>
      </c>
      <c r="F639" s="48" t="s">
        <v>366</v>
      </c>
      <c r="G639" s="48" t="s">
        <v>367</v>
      </c>
      <c r="H639" s="48" t="s">
        <v>27</v>
      </c>
      <c r="I639" s="48" t="s">
        <v>469</v>
      </c>
      <c r="J639" s="48" t="s">
        <v>72</v>
      </c>
      <c r="K639" s="48" t="s">
        <v>367</v>
      </c>
      <c r="L639" s="48" t="s">
        <v>1136</v>
      </c>
      <c r="M639" s="48" t="s">
        <v>191</v>
      </c>
      <c r="N639" s="48" t="s">
        <v>20</v>
      </c>
      <c r="O639" s="48" t="s">
        <v>857</v>
      </c>
      <c r="P639" s="50">
        <v>437478.03</v>
      </c>
      <c r="Q639" s="50">
        <v>1.03</v>
      </c>
      <c r="R639" s="50">
        <v>450602.37090000004</v>
      </c>
      <c r="S639" s="74">
        <v>45883</v>
      </c>
      <c r="T639" s="48" t="s">
        <v>208</v>
      </c>
      <c r="U639" s="48" t="s">
        <v>367</v>
      </c>
      <c r="V639" s="48" t="s">
        <v>857</v>
      </c>
      <c r="W639" s="48"/>
    </row>
    <row r="640" spans="1:23" ht="15.75" x14ac:dyDescent="0.25">
      <c r="A640" s="48" t="s">
        <v>751</v>
      </c>
      <c r="B640" s="49">
        <v>45802</v>
      </c>
      <c r="C640" s="48" t="s">
        <v>916</v>
      </c>
      <c r="D640" s="48" t="s">
        <v>509</v>
      </c>
      <c r="E640" s="48" t="s">
        <v>856</v>
      </c>
      <c r="F640" s="48" t="s">
        <v>21</v>
      </c>
      <c r="G640" s="48" t="s">
        <v>22</v>
      </c>
      <c r="H640" s="48" t="s">
        <v>27</v>
      </c>
      <c r="I640" s="48" t="s">
        <v>752</v>
      </c>
      <c r="J640" s="48" t="s">
        <v>24</v>
      </c>
      <c r="K640" s="48" t="s">
        <v>407</v>
      </c>
      <c r="L640" s="48" t="s">
        <v>1131</v>
      </c>
      <c r="M640" s="48" t="s">
        <v>26</v>
      </c>
      <c r="N640" s="48" t="s">
        <v>20</v>
      </c>
      <c r="O640" s="48" t="s">
        <v>857</v>
      </c>
      <c r="P640" s="50">
        <v>1250000</v>
      </c>
      <c r="Q640" s="50">
        <v>1</v>
      </c>
      <c r="R640" s="50">
        <v>1250000</v>
      </c>
      <c r="S640" s="74">
        <v>45882</v>
      </c>
      <c r="T640" s="48" t="s">
        <v>311</v>
      </c>
      <c r="U640" s="48" t="s">
        <v>304</v>
      </c>
      <c r="V640" s="48" t="s">
        <v>378</v>
      </c>
      <c r="W640" s="48"/>
    </row>
    <row r="641" spans="1:23" ht="15.75" x14ac:dyDescent="0.25">
      <c r="A641" s="48" t="s">
        <v>1622</v>
      </c>
      <c r="B641" s="49">
        <v>45880</v>
      </c>
      <c r="C641" s="48" t="s">
        <v>916</v>
      </c>
      <c r="D641" s="48" t="s">
        <v>1119</v>
      </c>
      <c r="E641" s="48" t="s">
        <v>856</v>
      </c>
      <c r="F641" s="48" t="s">
        <v>366</v>
      </c>
      <c r="G641" s="48" t="s">
        <v>367</v>
      </c>
      <c r="H641" s="48" t="s">
        <v>27</v>
      </c>
      <c r="I641" s="48" t="s">
        <v>469</v>
      </c>
      <c r="J641" s="48" t="s">
        <v>72</v>
      </c>
      <c r="K641" s="48" t="s">
        <v>367</v>
      </c>
      <c r="L641" s="48" t="s">
        <v>1136</v>
      </c>
      <c r="M641" s="48" t="s">
        <v>191</v>
      </c>
      <c r="N641" s="48" t="s">
        <v>20</v>
      </c>
      <c r="O641" s="48" t="s">
        <v>857</v>
      </c>
      <c r="P641" s="50">
        <v>351542.15</v>
      </c>
      <c r="Q641" s="50">
        <v>1.03</v>
      </c>
      <c r="R641" s="50">
        <v>362088.41450000001</v>
      </c>
      <c r="S641" s="74">
        <v>45882</v>
      </c>
      <c r="T641" s="48" t="s">
        <v>208</v>
      </c>
      <c r="U641" s="48" t="s">
        <v>367</v>
      </c>
      <c r="V641" s="48" t="s">
        <v>857</v>
      </c>
      <c r="W641" s="48"/>
    </row>
    <row r="642" spans="1:23" ht="15.75" x14ac:dyDescent="0.25">
      <c r="A642" s="48" t="s">
        <v>794</v>
      </c>
      <c r="B642" s="49">
        <v>45805</v>
      </c>
      <c r="C642" s="48" t="s">
        <v>928</v>
      </c>
      <c r="D642" s="48" t="s">
        <v>441</v>
      </c>
      <c r="E642" s="48" t="s">
        <v>856</v>
      </c>
      <c r="F642" s="48" t="s">
        <v>21</v>
      </c>
      <c r="G642" s="48" t="s">
        <v>22</v>
      </c>
      <c r="H642" s="48" t="s">
        <v>27</v>
      </c>
      <c r="I642" s="48" t="s">
        <v>795</v>
      </c>
      <c r="J642" s="48" t="s">
        <v>24</v>
      </c>
      <c r="K642" s="48" t="s">
        <v>22</v>
      </c>
      <c r="L642" s="48" t="s">
        <v>1132</v>
      </c>
      <c r="M642" s="48" t="s">
        <v>26</v>
      </c>
      <c r="N642" s="48" t="s">
        <v>20</v>
      </c>
      <c r="O642" s="48" t="s">
        <v>857</v>
      </c>
      <c r="P642" s="50">
        <v>650000</v>
      </c>
      <c r="Q642" s="50">
        <v>1</v>
      </c>
      <c r="R642" s="50">
        <v>650000</v>
      </c>
      <c r="S642" s="74">
        <v>45882</v>
      </c>
      <c r="T642" s="48" t="s">
        <v>311</v>
      </c>
      <c r="U642" s="48" t="s">
        <v>22</v>
      </c>
      <c r="V642" s="48" t="s">
        <v>857</v>
      </c>
      <c r="W642" s="48"/>
    </row>
    <row r="643" spans="1:23" ht="15.75" x14ac:dyDescent="0.25">
      <c r="A643" s="48" t="s">
        <v>1291</v>
      </c>
      <c r="B643" s="49">
        <v>45858</v>
      </c>
      <c r="C643" s="48" t="s">
        <v>916</v>
      </c>
      <c r="D643" s="48" t="s">
        <v>509</v>
      </c>
      <c r="E643" s="48" t="s">
        <v>858</v>
      </c>
      <c r="F643" s="48" t="s">
        <v>373</v>
      </c>
      <c r="G643" s="48" t="s">
        <v>70</v>
      </c>
      <c r="H643" s="48" t="s">
        <v>70</v>
      </c>
      <c r="I643" s="48" t="s">
        <v>1208</v>
      </c>
      <c r="J643" s="48" t="s">
        <v>72</v>
      </c>
      <c r="K643" s="48" t="s">
        <v>407</v>
      </c>
      <c r="L643" s="48" t="s">
        <v>1131</v>
      </c>
      <c r="M643" s="48" t="s">
        <v>26</v>
      </c>
      <c r="N643" s="48" t="s">
        <v>20</v>
      </c>
      <c r="O643" s="48" t="s">
        <v>857</v>
      </c>
      <c r="P643" s="50">
        <v>5000000</v>
      </c>
      <c r="Q643" s="50">
        <v>1</v>
      </c>
      <c r="R643" s="50">
        <v>5000000</v>
      </c>
      <c r="S643" s="74">
        <v>45881</v>
      </c>
      <c r="T643" s="48" t="s">
        <v>425</v>
      </c>
      <c r="U643" s="48" t="s">
        <v>1849</v>
      </c>
      <c r="V643" s="48" t="s">
        <v>378</v>
      </c>
      <c r="W643" s="48"/>
    </row>
    <row r="644" spans="1:23" ht="15.75" x14ac:dyDescent="0.25">
      <c r="A644" s="48" t="s">
        <v>1622</v>
      </c>
      <c r="B644" s="49">
        <v>45880</v>
      </c>
      <c r="C644" s="48" t="s">
        <v>918</v>
      </c>
      <c r="D644" s="48" t="s">
        <v>1119</v>
      </c>
      <c r="E644" s="48" t="s">
        <v>856</v>
      </c>
      <c r="F644" s="48" t="s">
        <v>366</v>
      </c>
      <c r="G644" s="48" t="s">
        <v>367</v>
      </c>
      <c r="H644" s="48" t="s">
        <v>27</v>
      </c>
      <c r="I644" s="48" t="s">
        <v>469</v>
      </c>
      <c r="J644" s="48" t="s">
        <v>72</v>
      </c>
      <c r="K644" s="48" t="s">
        <v>367</v>
      </c>
      <c r="L644" s="48" t="s">
        <v>1136</v>
      </c>
      <c r="M644" s="48" t="s">
        <v>191</v>
      </c>
      <c r="N644" s="48" t="s">
        <v>20</v>
      </c>
      <c r="O644" s="48" t="s">
        <v>857</v>
      </c>
      <c r="P644" s="50">
        <v>408136.93</v>
      </c>
      <c r="Q644" s="50">
        <v>1.03</v>
      </c>
      <c r="R644" s="50">
        <v>420381.0379</v>
      </c>
      <c r="S644" s="74">
        <v>45881</v>
      </c>
      <c r="T644" s="48" t="s">
        <v>208</v>
      </c>
      <c r="U644" s="48" t="s">
        <v>367</v>
      </c>
      <c r="V644" s="48" t="s">
        <v>857</v>
      </c>
      <c r="W644" s="48"/>
    </row>
    <row r="645" spans="1:23" ht="15.75" x14ac:dyDescent="0.25">
      <c r="A645" s="48" t="s">
        <v>1230</v>
      </c>
      <c r="B645" s="49">
        <v>45840</v>
      </c>
      <c r="C645" s="48" t="s">
        <v>916</v>
      </c>
      <c r="D645" s="48" t="s">
        <v>441</v>
      </c>
      <c r="E645" s="48" t="s">
        <v>856</v>
      </c>
      <c r="F645" s="48" t="s">
        <v>612</v>
      </c>
      <c r="G645" s="48" t="s">
        <v>613</v>
      </c>
      <c r="H645" s="48" t="s">
        <v>27</v>
      </c>
      <c r="I645" s="48" t="s">
        <v>1204</v>
      </c>
      <c r="J645" s="48" t="s">
        <v>72</v>
      </c>
      <c r="K645" s="48" t="s">
        <v>613</v>
      </c>
      <c r="L645" s="48" t="s">
        <v>1135</v>
      </c>
      <c r="M645" s="48" t="s">
        <v>26</v>
      </c>
      <c r="N645" s="48" t="s">
        <v>20</v>
      </c>
      <c r="O645" s="48" t="s">
        <v>857</v>
      </c>
      <c r="P645" s="50">
        <v>11042622</v>
      </c>
      <c r="Q645" s="50">
        <v>1</v>
      </c>
      <c r="R645" s="50">
        <v>11042622</v>
      </c>
      <c r="S645" s="74">
        <v>45881</v>
      </c>
      <c r="T645" s="48" t="s">
        <v>311</v>
      </c>
      <c r="U645" s="48" t="s">
        <v>1732</v>
      </c>
      <c r="V645" s="48" t="s">
        <v>378</v>
      </c>
      <c r="W645" s="48"/>
    </row>
    <row r="646" spans="1:23" ht="15.75" x14ac:dyDescent="0.25">
      <c r="A646" s="48" t="s">
        <v>784</v>
      </c>
      <c r="B646" s="49">
        <v>45804</v>
      </c>
      <c r="C646" s="48" t="s">
        <v>916</v>
      </c>
      <c r="D646" s="48" t="s">
        <v>1864</v>
      </c>
      <c r="E646" s="48" t="s">
        <v>858</v>
      </c>
      <c r="F646" s="48" t="s">
        <v>366</v>
      </c>
      <c r="G646" s="48" t="s">
        <v>710</v>
      </c>
      <c r="H646" s="48" t="s">
        <v>27</v>
      </c>
      <c r="I646" s="48" t="s">
        <v>785</v>
      </c>
      <c r="J646" s="48" t="s">
        <v>3221</v>
      </c>
      <c r="K646" s="48" t="s">
        <v>81</v>
      </c>
      <c r="L646" s="48" t="s">
        <v>1139</v>
      </c>
      <c r="M646" s="48" t="s">
        <v>26</v>
      </c>
      <c r="N646" s="48" t="s">
        <v>20</v>
      </c>
      <c r="O646" s="48" t="s">
        <v>857</v>
      </c>
      <c r="P646" s="50">
        <v>1548105.39</v>
      </c>
      <c r="Q646" s="50">
        <v>1</v>
      </c>
      <c r="R646" s="50">
        <v>1548105.39</v>
      </c>
      <c r="S646" s="74">
        <v>45880</v>
      </c>
      <c r="T646" s="48" t="s">
        <v>621</v>
      </c>
      <c r="U646" s="48" t="s">
        <v>367</v>
      </c>
      <c r="V646" s="48" t="s">
        <v>378</v>
      </c>
      <c r="W646" s="48"/>
    </row>
    <row r="647" spans="1:23" ht="15.75" x14ac:dyDescent="0.25">
      <c r="A647" s="48" t="s">
        <v>778</v>
      </c>
      <c r="B647" s="49">
        <v>45833</v>
      </c>
      <c r="C647" s="48" t="s">
        <v>916</v>
      </c>
      <c r="D647" s="48" t="s">
        <v>441</v>
      </c>
      <c r="E647" s="48" t="s">
        <v>858</v>
      </c>
      <c r="F647" s="48" t="s">
        <v>366</v>
      </c>
      <c r="G647" s="48" t="s">
        <v>710</v>
      </c>
      <c r="H647" s="48" t="s">
        <v>27</v>
      </c>
      <c r="I647" s="48" t="s">
        <v>779</v>
      </c>
      <c r="J647" s="48" t="s">
        <v>24</v>
      </c>
      <c r="K647" s="48" t="s">
        <v>710</v>
      </c>
      <c r="L647" s="48" t="s">
        <v>1209</v>
      </c>
      <c r="M647" s="48" t="s">
        <v>26</v>
      </c>
      <c r="N647" s="48" t="s">
        <v>20</v>
      </c>
      <c r="O647" s="48" t="s">
        <v>857</v>
      </c>
      <c r="P647" s="50">
        <v>1105519.29</v>
      </c>
      <c r="Q647" s="50">
        <v>1</v>
      </c>
      <c r="R647" s="50">
        <v>1105519.29</v>
      </c>
      <c r="S647" s="74">
        <v>45879</v>
      </c>
      <c r="T647" s="48" t="s">
        <v>311</v>
      </c>
      <c r="U647" s="48" t="s">
        <v>710</v>
      </c>
      <c r="V647" s="48" t="s">
        <v>857</v>
      </c>
      <c r="W647" s="48"/>
    </row>
    <row r="648" spans="1:23" ht="15.75" x14ac:dyDescent="0.25">
      <c r="A648" s="48" t="s">
        <v>1129</v>
      </c>
      <c r="B648" s="49">
        <v>45876</v>
      </c>
      <c r="C648" s="48" t="s">
        <v>918</v>
      </c>
      <c r="D648" s="48" t="s">
        <v>1878</v>
      </c>
      <c r="E648" s="48" t="s">
        <v>858</v>
      </c>
      <c r="F648" s="48" t="s">
        <v>366</v>
      </c>
      <c r="G648" s="48" t="s">
        <v>367</v>
      </c>
      <c r="H648" s="48" t="s">
        <v>27</v>
      </c>
      <c r="I648" s="48" t="s">
        <v>1130</v>
      </c>
      <c r="J648" s="48" t="s">
        <v>3220</v>
      </c>
      <c r="K648" s="48" t="s">
        <v>367</v>
      </c>
      <c r="L648" s="48" t="s">
        <v>1136</v>
      </c>
      <c r="M648" s="48" t="s">
        <v>26</v>
      </c>
      <c r="N648" s="48" t="s">
        <v>20</v>
      </c>
      <c r="O648" s="48" t="s">
        <v>857</v>
      </c>
      <c r="P648" s="50">
        <v>525000</v>
      </c>
      <c r="Q648" s="50">
        <v>1</v>
      </c>
      <c r="R648" s="50">
        <v>525000</v>
      </c>
      <c r="S648" s="74">
        <v>45879</v>
      </c>
      <c r="T648" s="48" t="s">
        <v>461</v>
      </c>
      <c r="U648" s="48" t="s">
        <v>367</v>
      </c>
      <c r="V648" s="48" t="s">
        <v>857</v>
      </c>
      <c r="W648" s="48"/>
    </row>
    <row r="649" spans="1:23" ht="15.75" x14ac:dyDescent="0.25">
      <c r="A649" s="48" t="s">
        <v>790</v>
      </c>
      <c r="B649" s="49">
        <v>45858</v>
      </c>
      <c r="C649" s="48" t="s">
        <v>916</v>
      </c>
      <c r="D649" s="48" t="s">
        <v>1864</v>
      </c>
      <c r="E649" s="48" t="s">
        <v>858</v>
      </c>
      <c r="F649" s="48" t="s">
        <v>366</v>
      </c>
      <c r="G649" s="48" t="s">
        <v>710</v>
      </c>
      <c r="H649" s="48" t="s">
        <v>27</v>
      </c>
      <c r="I649" s="48" t="s">
        <v>791</v>
      </c>
      <c r="J649" s="48" t="s">
        <v>3221</v>
      </c>
      <c r="K649" s="48" t="s">
        <v>81</v>
      </c>
      <c r="L649" s="48" t="s">
        <v>1139</v>
      </c>
      <c r="M649" s="48" t="s">
        <v>191</v>
      </c>
      <c r="N649" s="48" t="s">
        <v>20</v>
      </c>
      <c r="O649" s="48" t="s">
        <v>857</v>
      </c>
      <c r="P649" s="50">
        <v>850000</v>
      </c>
      <c r="Q649" s="50">
        <v>1.0264</v>
      </c>
      <c r="R649" s="50">
        <v>872440</v>
      </c>
      <c r="S649" s="74">
        <v>45879</v>
      </c>
      <c r="T649" s="48" t="s">
        <v>621</v>
      </c>
      <c r="U649" s="48" t="s">
        <v>710</v>
      </c>
      <c r="V649" s="48" t="s">
        <v>378</v>
      </c>
      <c r="W649" s="48" t="s">
        <v>1693</v>
      </c>
    </row>
    <row r="650" spans="1:23" ht="15.75" x14ac:dyDescent="0.25">
      <c r="A650" s="48" t="s">
        <v>1229</v>
      </c>
      <c r="B650" s="49">
        <v>45874</v>
      </c>
      <c r="C650" s="48" t="s">
        <v>924</v>
      </c>
      <c r="D650" s="48" t="s">
        <v>1878</v>
      </c>
      <c r="E650" s="48" t="s">
        <v>856</v>
      </c>
      <c r="F650" s="48" t="s">
        <v>366</v>
      </c>
      <c r="G650" s="48" t="s">
        <v>367</v>
      </c>
      <c r="H650" s="48" t="s">
        <v>27</v>
      </c>
      <c r="I650" s="48" t="s">
        <v>1192</v>
      </c>
      <c r="J650" s="48" t="s">
        <v>3220</v>
      </c>
      <c r="K650" s="48" t="s">
        <v>367</v>
      </c>
      <c r="L650" s="48" t="s">
        <v>1136</v>
      </c>
      <c r="M650" s="48" t="s">
        <v>191</v>
      </c>
      <c r="N650" s="48" t="s">
        <v>20</v>
      </c>
      <c r="O650" s="48" t="s">
        <v>857</v>
      </c>
      <c r="P650" s="50">
        <v>760000</v>
      </c>
      <c r="Q650" s="50">
        <v>1.03</v>
      </c>
      <c r="R650" s="50">
        <v>782800</v>
      </c>
      <c r="S650" s="74">
        <v>45876</v>
      </c>
      <c r="T650" s="48" t="s">
        <v>208</v>
      </c>
      <c r="U650" s="48" t="s">
        <v>367</v>
      </c>
      <c r="V650" s="48" t="s">
        <v>857</v>
      </c>
      <c r="W650" s="48"/>
    </row>
    <row r="651" spans="1:23" ht="15.75" x14ac:dyDescent="0.25">
      <c r="A651" s="48" t="s">
        <v>782</v>
      </c>
      <c r="B651" s="49">
        <v>45788</v>
      </c>
      <c r="C651" s="48" t="s">
        <v>916</v>
      </c>
      <c r="D651" s="48" t="s">
        <v>1864</v>
      </c>
      <c r="E651" s="48" t="s">
        <v>858</v>
      </c>
      <c r="F651" s="48" t="s">
        <v>366</v>
      </c>
      <c r="G651" s="48" t="s">
        <v>710</v>
      </c>
      <c r="H651" s="48" t="s">
        <v>27</v>
      </c>
      <c r="I651" s="48" t="s">
        <v>783</v>
      </c>
      <c r="J651" s="48" t="s">
        <v>3221</v>
      </c>
      <c r="K651" s="48" t="s">
        <v>81</v>
      </c>
      <c r="L651" s="48" t="s">
        <v>1139</v>
      </c>
      <c r="M651" s="48" t="s">
        <v>26</v>
      </c>
      <c r="N651" s="48" t="s">
        <v>20</v>
      </c>
      <c r="O651" s="48" t="s">
        <v>857</v>
      </c>
      <c r="P651" s="50">
        <v>1926250</v>
      </c>
      <c r="Q651" s="50">
        <v>1</v>
      </c>
      <c r="R651" s="50">
        <v>1926250</v>
      </c>
      <c r="S651" s="74">
        <v>45875</v>
      </c>
      <c r="T651" s="48" t="s">
        <v>621</v>
      </c>
      <c r="U651" s="48" t="s">
        <v>710</v>
      </c>
      <c r="V651" s="48" t="s">
        <v>378</v>
      </c>
      <c r="W651" s="48"/>
    </row>
    <row r="652" spans="1:23" ht="15.75" x14ac:dyDescent="0.25">
      <c r="A652" s="48" t="s">
        <v>700</v>
      </c>
      <c r="B652" s="49">
        <v>45826</v>
      </c>
      <c r="C652" s="48" t="s">
        <v>916</v>
      </c>
      <c r="D652" s="48" t="s">
        <v>1119</v>
      </c>
      <c r="E652" s="48" t="s">
        <v>858</v>
      </c>
      <c r="F652" s="48" t="s">
        <v>366</v>
      </c>
      <c r="G652" s="48" t="s">
        <v>367</v>
      </c>
      <c r="H652" s="48" t="s">
        <v>27</v>
      </c>
      <c r="I652" s="48" t="s">
        <v>701</v>
      </c>
      <c r="J652" s="48" t="s">
        <v>72</v>
      </c>
      <c r="K652" s="48" t="s">
        <v>367</v>
      </c>
      <c r="L652" s="48" t="s">
        <v>1136</v>
      </c>
      <c r="M652" s="48" t="s">
        <v>26</v>
      </c>
      <c r="N652" s="48" t="s">
        <v>20</v>
      </c>
      <c r="O652" s="48" t="s">
        <v>857</v>
      </c>
      <c r="P652" s="50">
        <v>622796.43000000005</v>
      </c>
      <c r="Q652" s="50">
        <v>1</v>
      </c>
      <c r="R652" s="50">
        <v>622796.43000000005</v>
      </c>
      <c r="S652" s="74">
        <v>45873</v>
      </c>
      <c r="T652" s="48" t="s">
        <v>311</v>
      </c>
      <c r="U652" s="48" t="s">
        <v>367</v>
      </c>
      <c r="V652" s="48" t="s">
        <v>857</v>
      </c>
      <c r="W652" s="48"/>
    </row>
    <row r="653" spans="1:23" ht="15.75" x14ac:dyDescent="0.25">
      <c r="A653" s="48" t="s">
        <v>702</v>
      </c>
      <c r="B653" s="49">
        <v>45809</v>
      </c>
      <c r="C653" s="48" t="s">
        <v>933</v>
      </c>
      <c r="D653" s="48" t="s">
        <v>1119</v>
      </c>
      <c r="E653" s="48" t="s">
        <v>858</v>
      </c>
      <c r="F653" s="48" t="s">
        <v>95</v>
      </c>
      <c r="G653" s="48" t="s">
        <v>96</v>
      </c>
      <c r="H653" s="48" t="s">
        <v>27</v>
      </c>
      <c r="I653" s="48" t="s">
        <v>703</v>
      </c>
      <c r="J653" s="48" t="s">
        <v>704</v>
      </c>
      <c r="K653" s="48" t="s">
        <v>367</v>
      </c>
      <c r="L653" s="48" t="s">
        <v>1136</v>
      </c>
      <c r="M653" s="48" t="s">
        <v>78</v>
      </c>
      <c r="N653" s="48" t="s">
        <v>20</v>
      </c>
      <c r="O653" s="48" t="s">
        <v>857</v>
      </c>
      <c r="P653" s="50">
        <v>83959.74</v>
      </c>
      <c r="Q653" s="50">
        <v>3.75</v>
      </c>
      <c r="R653" s="50">
        <v>314849.02500000002</v>
      </c>
      <c r="S653" s="74">
        <v>45869</v>
      </c>
      <c r="T653" s="48" t="s">
        <v>705</v>
      </c>
      <c r="U653" s="48" t="s">
        <v>367</v>
      </c>
      <c r="V653" s="48" t="s">
        <v>857</v>
      </c>
      <c r="W653" s="48"/>
    </row>
    <row r="654" spans="1:23" ht="15.75" x14ac:dyDescent="0.25">
      <c r="A654" s="48" t="s">
        <v>816</v>
      </c>
      <c r="B654" s="49">
        <v>45806</v>
      </c>
      <c r="C654" s="48" t="s">
        <v>916</v>
      </c>
      <c r="D654" s="48" t="s">
        <v>441</v>
      </c>
      <c r="E654" s="48" t="s">
        <v>856</v>
      </c>
      <c r="F654" s="48" t="s">
        <v>21</v>
      </c>
      <c r="G654" s="48" t="s">
        <v>22</v>
      </c>
      <c r="H654" s="48" t="s">
        <v>27</v>
      </c>
      <c r="I654" s="48" t="s">
        <v>817</v>
      </c>
      <c r="J654" s="48" t="s">
        <v>24</v>
      </c>
      <c r="K654" s="48" t="s">
        <v>22</v>
      </c>
      <c r="L654" s="48" t="s">
        <v>1132</v>
      </c>
      <c r="M654" s="48" t="s">
        <v>26</v>
      </c>
      <c r="N654" s="48" t="s">
        <v>20</v>
      </c>
      <c r="O654" s="48" t="s">
        <v>857</v>
      </c>
      <c r="P654" s="50">
        <v>517624.02</v>
      </c>
      <c r="Q654" s="50">
        <v>1</v>
      </c>
      <c r="R654" s="50">
        <v>517624.02</v>
      </c>
      <c r="S654" s="74">
        <v>45869</v>
      </c>
      <c r="T654" s="48" t="s">
        <v>311</v>
      </c>
      <c r="U654" s="48" t="s">
        <v>22</v>
      </c>
      <c r="V654" s="48" t="s">
        <v>857</v>
      </c>
      <c r="W654" s="48"/>
    </row>
    <row r="655" spans="1:23" ht="15.75" x14ac:dyDescent="0.25">
      <c r="A655" s="48" t="s">
        <v>761</v>
      </c>
      <c r="B655" s="49">
        <v>45790</v>
      </c>
      <c r="C655" s="48" t="s">
        <v>916</v>
      </c>
      <c r="D655" s="48" t="s">
        <v>509</v>
      </c>
      <c r="E655" s="48" t="s">
        <v>856</v>
      </c>
      <c r="F655" s="48" t="s">
        <v>21</v>
      </c>
      <c r="G655" s="48" t="s">
        <v>22</v>
      </c>
      <c r="H655" s="48" t="s">
        <v>27</v>
      </c>
      <c r="I655" s="48" t="s">
        <v>1642</v>
      </c>
      <c r="J655" s="48" t="s">
        <v>24</v>
      </c>
      <c r="K655" s="48" t="s">
        <v>407</v>
      </c>
      <c r="L655" s="48" t="s">
        <v>1131</v>
      </c>
      <c r="M655" s="48" t="s">
        <v>26</v>
      </c>
      <c r="N655" s="48" t="s">
        <v>20</v>
      </c>
      <c r="O655" s="48" t="s">
        <v>857</v>
      </c>
      <c r="P655" s="50">
        <v>400000</v>
      </c>
      <c r="Q655" s="50">
        <v>1</v>
      </c>
      <c r="R655" s="50">
        <v>400000</v>
      </c>
      <c r="S655" s="74">
        <v>45869</v>
      </c>
      <c r="T655" s="48" t="s">
        <v>311</v>
      </c>
      <c r="U655" s="48" t="s">
        <v>511</v>
      </c>
      <c r="V655" s="48" t="s">
        <v>378</v>
      </c>
      <c r="W655" s="48"/>
    </row>
    <row r="656" spans="1:23" ht="15.75" x14ac:dyDescent="0.25">
      <c r="A656" s="48" t="s">
        <v>1196</v>
      </c>
      <c r="B656" s="49">
        <v>45796</v>
      </c>
      <c r="C656" s="48" t="s">
        <v>916</v>
      </c>
      <c r="D656" s="48" t="s">
        <v>509</v>
      </c>
      <c r="E656" s="48" t="s">
        <v>858</v>
      </c>
      <c r="F656" s="48" t="s">
        <v>21</v>
      </c>
      <c r="G656" s="48" t="s">
        <v>22</v>
      </c>
      <c r="H656" s="48" t="s">
        <v>27</v>
      </c>
      <c r="I656" s="48" t="s">
        <v>1109</v>
      </c>
      <c r="J656" s="48" t="s">
        <v>24</v>
      </c>
      <c r="K656" s="48" t="s">
        <v>407</v>
      </c>
      <c r="L656" s="48" t="s">
        <v>1131</v>
      </c>
      <c r="M656" s="48" t="s">
        <v>26</v>
      </c>
      <c r="N656" s="48" t="s">
        <v>20</v>
      </c>
      <c r="O656" s="48" t="s">
        <v>857</v>
      </c>
      <c r="P656" s="50">
        <v>150000</v>
      </c>
      <c r="Q656" s="50">
        <v>1</v>
      </c>
      <c r="R656" s="50">
        <v>150000</v>
      </c>
      <c r="S656" s="74">
        <v>45869</v>
      </c>
      <c r="T656" s="48" t="s">
        <v>311</v>
      </c>
      <c r="U656" s="48" t="s">
        <v>511</v>
      </c>
      <c r="V656" s="48" t="s">
        <v>378</v>
      </c>
      <c r="W656" s="48"/>
    </row>
    <row r="657" spans="1:23" ht="15.75" x14ac:dyDescent="0.25">
      <c r="A657" s="48" t="s">
        <v>757</v>
      </c>
      <c r="B657" s="49">
        <v>45784</v>
      </c>
      <c r="C657" s="48" t="s">
        <v>916</v>
      </c>
      <c r="D657" s="48" t="s">
        <v>509</v>
      </c>
      <c r="E657" s="48" t="s">
        <v>856</v>
      </c>
      <c r="F657" s="48" t="s">
        <v>21</v>
      </c>
      <c r="G657" s="48" t="s">
        <v>22</v>
      </c>
      <c r="H657" s="48" t="s">
        <v>27</v>
      </c>
      <c r="I657" s="48" t="s">
        <v>758</v>
      </c>
      <c r="J657" s="48" t="s">
        <v>24</v>
      </c>
      <c r="K657" s="48" t="s">
        <v>407</v>
      </c>
      <c r="L657" s="48" t="s">
        <v>1131</v>
      </c>
      <c r="M657" s="48" t="s">
        <v>26</v>
      </c>
      <c r="N657" s="48" t="s">
        <v>20</v>
      </c>
      <c r="O657" s="48" t="s">
        <v>857</v>
      </c>
      <c r="P657" s="50">
        <v>250000</v>
      </c>
      <c r="Q657" s="50">
        <v>1</v>
      </c>
      <c r="R657" s="50">
        <v>250000</v>
      </c>
      <c r="S657" s="74">
        <v>45867</v>
      </c>
      <c r="T657" s="48" t="s">
        <v>311</v>
      </c>
      <c r="U657" s="48" t="s">
        <v>511</v>
      </c>
      <c r="V657" s="48" t="s">
        <v>378</v>
      </c>
      <c r="W657" s="48"/>
    </row>
    <row r="658" spans="1:23" ht="15.75" x14ac:dyDescent="0.25">
      <c r="A658" s="48" t="s">
        <v>815</v>
      </c>
      <c r="B658" s="49">
        <v>45790</v>
      </c>
      <c r="C658" s="48" t="s">
        <v>916</v>
      </c>
      <c r="D658" s="48" t="s">
        <v>441</v>
      </c>
      <c r="E658" s="48" t="s">
        <v>858</v>
      </c>
      <c r="F658" s="48" t="s">
        <v>21</v>
      </c>
      <c r="G658" s="48" t="s">
        <v>22</v>
      </c>
      <c r="H658" s="48" t="s">
        <v>27</v>
      </c>
      <c r="I658" s="48" t="s">
        <v>644</v>
      </c>
      <c r="J658" s="48" t="s">
        <v>24</v>
      </c>
      <c r="K658" s="48" t="s">
        <v>22</v>
      </c>
      <c r="L658" s="48" t="s">
        <v>1132</v>
      </c>
      <c r="M658" s="48" t="s">
        <v>26</v>
      </c>
      <c r="N658" s="48" t="s">
        <v>20</v>
      </c>
      <c r="O658" s="48" t="s">
        <v>857</v>
      </c>
      <c r="P658" s="50">
        <v>316440.59999999998</v>
      </c>
      <c r="Q658" s="50">
        <v>1</v>
      </c>
      <c r="R658" s="50">
        <v>316440.59999999998</v>
      </c>
      <c r="S658" s="74">
        <v>45867</v>
      </c>
      <c r="T658" s="48" t="s">
        <v>311</v>
      </c>
      <c r="U658" s="48" t="s">
        <v>22</v>
      </c>
      <c r="V658" s="48" t="s">
        <v>857</v>
      </c>
      <c r="W658" s="48"/>
    </row>
    <row r="659" spans="1:23" ht="15.75" x14ac:dyDescent="0.25">
      <c r="A659" s="48" t="s">
        <v>822</v>
      </c>
      <c r="B659" s="49">
        <v>45797</v>
      </c>
      <c r="C659" s="48" t="s">
        <v>916</v>
      </c>
      <c r="D659" s="48" t="s">
        <v>441</v>
      </c>
      <c r="E659" s="48" t="s">
        <v>858</v>
      </c>
      <c r="F659" s="48" t="s">
        <v>21</v>
      </c>
      <c r="G659" s="48" t="s">
        <v>22</v>
      </c>
      <c r="H659" s="48" t="s">
        <v>27</v>
      </c>
      <c r="I659" s="48" t="s">
        <v>823</v>
      </c>
      <c r="J659" s="48" t="s">
        <v>24</v>
      </c>
      <c r="K659" s="48" t="s">
        <v>22</v>
      </c>
      <c r="L659" s="48" t="s">
        <v>1132</v>
      </c>
      <c r="M659" s="48" t="s">
        <v>26</v>
      </c>
      <c r="N659" s="48" t="s">
        <v>20</v>
      </c>
      <c r="O659" s="48" t="s">
        <v>857</v>
      </c>
      <c r="P659" s="50">
        <v>400000</v>
      </c>
      <c r="Q659" s="50">
        <v>1</v>
      </c>
      <c r="R659" s="50">
        <v>400000</v>
      </c>
      <c r="S659" s="74">
        <v>45867</v>
      </c>
      <c r="T659" s="48" t="s">
        <v>311</v>
      </c>
      <c r="U659" s="48" t="s">
        <v>22</v>
      </c>
      <c r="V659" s="48" t="s">
        <v>857</v>
      </c>
      <c r="W659" s="48"/>
    </row>
    <row r="660" spans="1:23" ht="15.75" x14ac:dyDescent="0.25">
      <c r="A660" s="48" t="s">
        <v>794</v>
      </c>
      <c r="B660" s="49">
        <v>45797</v>
      </c>
      <c r="C660" s="48" t="s">
        <v>918</v>
      </c>
      <c r="D660" s="48" t="s">
        <v>441</v>
      </c>
      <c r="E660" s="48" t="s">
        <v>856</v>
      </c>
      <c r="F660" s="48" t="s">
        <v>21</v>
      </c>
      <c r="G660" s="48" t="s">
        <v>22</v>
      </c>
      <c r="H660" s="48" t="s">
        <v>27</v>
      </c>
      <c r="I660" s="48" t="s">
        <v>795</v>
      </c>
      <c r="J660" s="48" t="s">
        <v>24</v>
      </c>
      <c r="K660" s="48" t="s">
        <v>22</v>
      </c>
      <c r="L660" s="48" t="s">
        <v>1132</v>
      </c>
      <c r="M660" s="48" t="s">
        <v>26</v>
      </c>
      <c r="N660" s="48" t="s">
        <v>20</v>
      </c>
      <c r="O660" s="48" t="s">
        <v>857</v>
      </c>
      <c r="P660" s="50">
        <v>200000</v>
      </c>
      <c r="Q660" s="50">
        <v>1</v>
      </c>
      <c r="R660" s="50">
        <v>200000</v>
      </c>
      <c r="S660" s="74">
        <v>45867</v>
      </c>
      <c r="T660" s="48" t="s">
        <v>311</v>
      </c>
      <c r="U660" s="48" t="s">
        <v>22</v>
      </c>
      <c r="V660" s="48" t="s">
        <v>857</v>
      </c>
      <c r="W660" s="48"/>
    </row>
    <row r="661" spans="1:23" ht="15.75" x14ac:dyDescent="0.25">
      <c r="A661" s="48" t="s">
        <v>481</v>
      </c>
      <c r="B661" s="49">
        <v>45803</v>
      </c>
      <c r="C661" s="48" t="s">
        <v>916</v>
      </c>
      <c r="D661" s="48" t="s">
        <v>509</v>
      </c>
      <c r="E661" s="48" t="s">
        <v>858</v>
      </c>
      <c r="F661" s="48" t="s">
        <v>21</v>
      </c>
      <c r="G661" s="48" t="s">
        <v>22</v>
      </c>
      <c r="H661" s="48" t="s">
        <v>27</v>
      </c>
      <c r="I661" s="48" t="s">
        <v>449</v>
      </c>
      <c r="J661" s="48" t="s">
        <v>24</v>
      </c>
      <c r="K661" s="48" t="s">
        <v>407</v>
      </c>
      <c r="L661" s="48" t="s">
        <v>1131</v>
      </c>
      <c r="M661" s="48" t="s">
        <v>26</v>
      </c>
      <c r="N661" s="48" t="s">
        <v>20</v>
      </c>
      <c r="O661" s="48" t="s">
        <v>857</v>
      </c>
      <c r="P661" s="50">
        <v>840873.63</v>
      </c>
      <c r="Q661" s="50">
        <v>1</v>
      </c>
      <c r="R661" s="50">
        <v>840873.63</v>
      </c>
      <c r="S661" s="74">
        <v>45867</v>
      </c>
      <c r="T661" s="48" t="s">
        <v>311</v>
      </c>
      <c r="U661" s="48" t="s">
        <v>511</v>
      </c>
      <c r="V661" s="48" t="s">
        <v>378</v>
      </c>
      <c r="W661" s="48"/>
    </row>
    <row r="662" spans="1:23" ht="15.75" x14ac:dyDescent="0.25">
      <c r="A662" s="48" t="s">
        <v>1201</v>
      </c>
      <c r="B662" s="49">
        <v>45831</v>
      </c>
      <c r="C662" s="48" t="s">
        <v>916</v>
      </c>
      <c r="D662" s="48" t="s">
        <v>441</v>
      </c>
      <c r="E662" s="48" t="s">
        <v>856</v>
      </c>
      <c r="F662" s="48" t="s">
        <v>95</v>
      </c>
      <c r="G662" s="48" t="s">
        <v>96</v>
      </c>
      <c r="H662" s="48" t="s">
        <v>27</v>
      </c>
      <c r="I662" s="48" t="s">
        <v>177</v>
      </c>
      <c r="J662" s="48" t="s">
        <v>24</v>
      </c>
      <c r="K662" s="48" t="s">
        <v>22</v>
      </c>
      <c r="L662" s="48" t="s">
        <v>1132</v>
      </c>
      <c r="M662" s="48" t="s">
        <v>26</v>
      </c>
      <c r="N662" s="48" t="s">
        <v>20</v>
      </c>
      <c r="O662" s="48" t="s">
        <v>378</v>
      </c>
      <c r="P662" s="50">
        <v>1232500.01</v>
      </c>
      <c r="Q662" s="50">
        <v>1</v>
      </c>
      <c r="R662" s="50">
        <v>1232500.01</v>
      </c>
      <c r="S662" s="74">
        <v>45866</v>
      </c>
      <c r="T662" s="48" t="s">
        <v>311</v>
      </c>
      <c r="U662" s="48" t="s">
        <v>22</v>
      </c>
      <c r="V662" s="48" t="s">
        <v>857</v>
      </c>
      <c r="W662" s="48"/>
    </row>
    <row r="663" spans="1:23" ht="15.75" x14ac:dyDescent="0.25">
      <c r="A663" s="48" t="s">
        <v>721</v>
      </c>
      <c r="B663" s="49">
        <v>45806</v>
      </c>
      <c r="C663" s="48" t="s">
        <v>916</v>
      </c>
      <c r="D663" s="48" t="s">
        <v>441</v>
      </c>
      <c r="E663" s="48" t="s">
        <v>856</v>
      </c>
      <c r="F663" s="48" t="s">
        <v>612</v>
      </c>
      <c r="G663" s="48" t="s">
        <v>613</v>
      </c>
      <c r="H663" s="48" t="s">
        <v>27</v>
      </c>
      <c r="I663" s="48" t="s">
        <v>177</v>
      </c>
      <c r="J663" s="48" t="s">
        <v>24</v>
      </c>
      <c r="K663" s="48" t="s">
        <v>613</v>
      </c>
      <c r="L663" s="48" t="s">
        <v>1135</v>
      </c>
      <c r="M663" s="48" t="s">
        <v>26</v>
      </c>
      <c r="N663" s="48" t="s">
        <v>20</v>
      </c>
      <c r="O663" s="48" t="s">
        <v>857</v>
      </c>
      <c r="P663" s="50">
        <v>578105</v>
      </c>
      <c r="Q663" s="50">
        <v>1</v>
      </c>
      <c r="R663" s="50">
        <v>578105</v>
      </c>
      <c r="S663" s="74">
        <v>45866</v>
      </c>
      <c r="T663" s="48" t="s">
        <v>311</v>
      </c>
      <c r="U663" s="48" t="s">
        <v>613</v>
      </c>
      <c r="V663" s="48" t="s">
        <v>857</v>
      </c>
      <c r="W663" s="48"/>
    </row>
    <row r="664" spans="1:23" ht="15.75" x14ac:dyDescent="0.25">
      <c r="A664" s="48" t="s">
        <v>1171</v>
      </c>
      <c r="B664" s="49">
        <v>45841</v>
      </c>
      <c r="C664" s="48" t="s">
        <v>916</v>
      </c>
      <c r="D664" s="48" t="s">
        <v>441</v>
      </c>
      <c r="E664" s="48" t="s">
        <v>858</v>
      </c>
      <c r="F664" s="48" t="s">
        <v>366</v>
      </c>
      <c r="G664" s="48" t="s">
        <v>710</v>
      </c>
      <c r="H664" s="48" t="s">
        <v>27</v>
      </c>
      <c r="I664" s="48" t="s">
        <v>838</v>
      </c>
      <c r="J664" s="48" t="s">
        <v>24</v>
      </c>
      <c r="K664" s="48" t="s">
        <v>710</v>
      </c>
      <c r="L664" s="48" t="s">
        <v>1209</v>
      </c>
      <c r="M664" s="48" t="s">
        <v>26</v>
      </c>
      <c r="N664" s="48" t="s">
        <v>20</v>
      </c>
      <c r="O664" s="48" t="s">
        <v>857</v>
      </c>
      <c r="P664" s="50">
        <v>540000</v>
      </c>
      <c r="Q664" s="50">
        <v>1</v>
      </c>
      <c r="R664" s="50">
        <v>540000</v>
      </c>
      <c r="S664" s="74">
        <v>45866</v>
      </c>
      <c r="T664" s="48" t="s">
        <v>311</v>
      </c>
      <c r="U664" s="48" t="s">
        <v>710</v>
      </c>
      <c r="V664" s="48" t="s">
        <v>857</v>
      </c>
      <c r="W664" s="48"/>
    </row>
    <row r="665" spans="1:23" ht="15.75" x14ac:dyDescent="0.25">
      <c r="A665" s="48" t="s">
        <v>696</v>
      </c>
      <c r="B665" s="49">
        <v>45810</v>
      </c>
      <c r="C665" s="48" t="s">
        <v>918</v>
      </c>
      <c r="D665" s="48" t="s">
        <v>441</v>
      </c>
      <c r="E665" s="48" t="s">
        <v>858</v>
      </c>
      <c r="F665" s="48" t="s">
        <v>612</v>
      </c>
      <c r="G665" s="48" t="s">
        <v>613</v>
      </c>
      <c r="H665" s="48" t="s">
        <v>27</v>
      </c>
      <c r="I665" s="48" t="s">
        <v>697</v>
      </c>
      <c r="J665" s="48" t="s">
        <v>24</v>
      </c>
      <c r="K665" s="48" t="s">
        <v>613</v>
      </c>
      <c r="L665" s="48" t="s">
        <v>1135</v>
      </c>
      <c r="M665" s="48" t="s">
        <v>26</v>
      </c>
      <c r="N665" s="48" t="s">
        <v>20</v>
      </c>
      <c r="O665" s="48" t="s">
        <v>857</v>
      </c>
      <c r="P665" s="50">
        <v>513032</v>
      </c>
      <c r="Q665" s="50">
        <v>1</v>
      </c>
      <c r="R665" s="50">
        <v>513032</v>
      </c>
      <c r="S665" s="74">
        <v>45865</v>
      </c>
      <c r="T665" s="48" t="s">
        <v>311</v>
      </c>
      <c r="U665" s="48" t="s">
        <v>613</v>
      </c>
      <c r="V665" s="48" t="s">
        <v>857</v>
      </c>
      <c r="W665" s="48"/>
    </row>
    <row r="666" spans="1:23" ht="15.75" x14ac:dyDescent="0.25">
      <c r="A666" s="48" t="s">
        <v>1257</v>
      </c>
      <c r="B666" s="49">
        <v>45811</v>
      </c>
      <c r="C666" s="48" t="s">
        <v>916</v>
      </c>
      <c r="D666" s="48" t="s">
        <v>441</v>
      </c>
      <c r="E666" s="48" t="s">
        <v>856</v>
      </c>
      <c r="F666" s="48" t="s">
        <v>95</v>
      </c>
      <c r="G666" s="48" t="s">
        <v>96</v>
      </c>
      <c r="H666" s="48" t="s">
        <v>27</v>
      </c>
      <c r="I666" s="48" t="s">
        <v>1190</v>
      </c>
      <c r="J666" s="48" t="s">
        <v>24</v>
      </c>
      <c r="K666" s="48" t="s">
        <v>22</v>
      </c>
      <c r="L666" s="48" t="s">
        <v>1132</v>
      </c>
      <c r="M666" s="48" t="s">
        <v>26</v>
      </c>
      <c r="N666" s="48" t="s">
        <v>20</v>
      </c>
      <c r="O666" s="48" t="s">
        <v>378</v>
      </c>
      <c r="P666" s="50">
        <v>5113228.88</v>
      </c>
      <c r="Q666" s="50">
        <v>1</v>
      </c>
      <c r="R666" s="50">
        <v>5113228.88</v>
      </c>
      <c r="S666" s="74">
        <v>45865</v>
      </c>
      <c r="T666" s="48" t="s">
        <v>311</v>
      </c>
      <c r="U666" s="48" t="s">
        <v>22</v>
      </c>
      <c r="V666" s="48" t="s">
        <v>857</v>
      </c>
      <c r="W666" s="48"/>
    </row>
    <row r="667" spans="1:23" ht="15.75" x14ac:dyDescent="0.25">
      <c r="A667" s="48" t="s">
        <v>1232</v>
      </c>
      <c r="B667" s="49">
        <v>45837</v>
      </c>
      <c r="C667" s="48" t="s">
        <v>916</v>
      </c>
      <c r="D667" s="48" t="s">
        <v>441</v>
      </c>
      <c r="E667" s="48" t="s">
        <v>856</v>
      </c>
      <c r="F667" s="48" t="s">
        <v>612</v>
      </c>
      <c r="G667" s="48" t="s">
        <v>613</v>
      </c>
      <c r="H667" s="48" t="s">
        <v>27</v>
      </c>
      <c r="I667" s="48" t="s">
        <v>1206</v>
      </c>
      <c r="J667" s="48" t="s">
        <v>24</v>
      </c>
      <c r="K667" s="48" t="s">
        <v>613</v>
      </c>
      <c r="L667" s="48" t="s">
        <v>1135</v>
      </c>
      <c r="M667" s="48" t="s">
        <v>26</v>
      </c>
      <c r="N667" s="48" t="s">
        <v>20</v>
      </c>
      <c r="O667" s="48" t="s">
        <v>857</v>
      </c>
      <c r="P667" s="50">
        <v>1918775</v>
      </c>
      <c r="Q667" s="50">
        <v>1</v>
      </c>
      <c r="R667" s="50">
        <v>1918775</v>
      </c>
      <c r="S667" s="74">
        <v>45865</v>
      </c>
      <c r="T667" s="48" t="s">
        <v>311</v>
      </c>
      <c r="U667" s="48" t="s">
        <v>613</v>
      </c>
      <c r="V667" s="48" t="s">
        <v>857</v>
      </c>
      <c r="W667" s="48"/>
    </row>
    <row r="668" spans="1:23" ht="15.75" x14ac:dyDescent="0.25">
      <c r="A668" s="48" t="s">
        <v>1446</v>
      </c>
      <c r="B668" s="49">
        <v>45852</v>
      </c>
      <c r="C668" s="48" t="s">
        <v>916</v>
      </c>
      <c r="D668" s="48" t="s">
        <v>509</v>
      </c>
      <c r="E668" s="48" t="s">
        <v>858</v>
      </c>
      <c r="F668" s="48" t="s">
        <v>95</v>
      </c>
      <c r="G668" s="48" t="s">
        <v>96</v>
      </c>
      <c r="H668" s="48" t="s">
        <v>27</v>
      </c>
      <c r="I668" s="48" t="s">
        <v>1337</v>
      </c>
      <c r="J668" s="48" t="s">
        <v>72</v>
      </c>
      <c r="K668" s="48" t="s">
        <v>511</v>
      </c>
      <c r="L668" s="48" t="s">
        <v>1236</v>
      </c>
      <c r="M668" s="48" t="s">
        <v>26</v>
      </c>
      <c r="N668" s="48" t="s">
        <v>20</v>
      </c>
      <c r="O668" s="48" t="s">
        <v>378</v>
      </c>
      <c r="P668" s="50">
        <v>216257.5</v>
      </c>
      <c r="Q668" s="50">
        <v>1</v>
      </c>
      <c r="R668" s="50">
        <v>216257.5</v>
      </c>
      <c r="S668" s="74">
        <v>45865</v>
      </c>
      <c r="T668" s="48" t="s">
        <v>1338</v>
      </c>
      <c r="U668" s="48" t="s">
        <v>1145</v>
      </c>
      <c r="V668" s="48" t="s">
        <v>378</v>
      </c>
      <c r="W668" s="48"/>
    </row>
    <row r="669" spans="1:23" ht="15.75" x14ac:dyDescent="0.25">
      <c r="A669" s="48" t="s">
        <v>702</v>
      </c>
      <c r="B669" s="49">
        <v>45809</v>
      </c>
      <c r="C669" s="48" t="s">
        <v>928</v>
      </c>
      <c r="D669" s="48" t="s">
        <v>1119</v>
      </c>
      <c r="E669" s="48" t="s">
        <v>858</v>
      </c>
      <c r="F669" s="48" t="s">
        <v>95</v>
      </c>
      <c r="G669" s="48" t="s">
        <v>96</v>
      </c>
      <c r="H669" s="48" t="s">
        <v>27</v>
      </c>
      <c r="I669" s="48" t="s">
        <v>703</v>
      </c>
      <c r="J669" s="48" t="s">
        <v>704</v>
      </c>
      <c r="K669" s="48" t="s">
        <v>367</v>
      </c>
      <c r="L669" s="48" t="s">
        <v>1136</v>
      </c>
      <c r="M669" s="48" t="s">
        <v>78</v>
      </c>
      <c r="N669" s="48" t="s">
        <v>20</v>
      </c>
      <c r="O669" s="48" t="s">
        <v>857</v>
      </c>
      <c r="P669" s="50">
        <v>82392.479999999996</v>
      </c>
      <c r="Q669" s="50">
        <v>3.75</v>
      </c>
      <c r="R669" s="50">
        <v>308971.8</v>
      </c>
      <c r="S669" s="74">
        <v>45862</v>
      </c>
      <c r="T669" s="48" t="s">
        <v>705</v>
      </c>
      <c r="U669" s="48" t="s">
        <v>367</v>
      </c>
      <c r="V669" s="48" t="s">
        <v>857</v>
      </c>
      <c r="W669" s="48"/>
    </row>
    <row r="670" spans="1:23" ht="15.75" x14ac:dyDescent="0.25">
      <c r="A670" s="48" t="s">
        <v>829</v>
      </c>
      <c r="B670" s="49">
        <v>45796</v>
      </c>
      <c r="C670" s="48" t="s">
        <v>916</v>
      </c>
      <c r="D670" s="48" t="s">
        <v>441</v>
      </c>
      <c r="E670" s="48" t="s">
        <v>858</v>
      </c>
      <c r="F670" s="48" t="s">
        <v>21</v>
      </c>
      <c r="G670" s="48" t="s">
        <v>22</v>
      </c>
      <c r="H670" s="48" t="s">
        <v>27</v>
      </c>
      <c r="I670" s="48" t="s">
        <v>393</v>
      </c>
      <c r="J670" s="48" t="s">
        <v>24</v>
      </c>
      <c r="K670" s="48" t="s">
        <v>22</v>
      </c>
      <c r="L670" s="48" t="s">
        <v>1132</v>
      </c>
      <c r="M670" s="48" t="s">
        <v>26</v>
      </c>
      <c r="N670" s="48" t="s">
        <v>20</v>
      </c>
      <c r="O670" s="48" t="s">
        <v>857</v>
      </c>
      <c r="P670" s="50">
        <v>300597.8</v>
      </c>
      <c r="Q670" s="50">
        <v>1</v>
      </c>
      <c r="R670" s="50">
        <v>300597.8</v>
      </c>
      <c r="S670" s="74">
        <v>45861</v>
      </c>
      <c r="T670" s="48" t="s">
        <v>311</v>
      </c>
      <c r="U670" s="48" t="s">
        <v>22</v>
      </c>
      <c r="V670" s="48" t="s">
        <v>857</v>
      </c>
      <c r="W670" s="48"/>
    </row>
    <row r="671" spans="1:23" ht="15.75" x14ac:dyDescent="0.25">
      <c r="A671" s="48" t="s">
        <v>794</v>
      </c>
      <c r="B671" s="49">
        <v>45797</v>
      </c>
      <c r="C671" s="48" t="s">
        <v>916</v>
      </c>
      <c r="D671" s="48" t="s">
        <v>441</v>
      </c>
      <c r="E671" s="48" t="s">
        <v>856</v>
      </c>
      <c r="F671" s="48" t="s">
        <v>21</v>
      </c>
      <c r="G671" s="48" t="s">
        <v>22</v>
      </c>
      <c r="H671" s="48" t="s">
        <v>27</v>
      </c>
      <c r="I671" s="48" t="s">
        <v>795</v>
      </c>
      <c r="J671" s="48" t="s">
        <v>24</v>
      </c>
      <c r="K671" s="48" t="s">
        <v>22</v>
      </c>
      <c r="L671" s="48" t="s">
        <v>1132</v>
      </c>
      <c r="M671" s="48" t="s">
        <v>26</v>
      </c>
      <c r="N671" s="48" t="s">
        <v>20</v>
      </c>
      <c r="O671" s="48" t="s">
        <v>857</v>
      </c>
      <c r="P671" s="50">
        <v>527299.98</v>
      </c>
      <c r="Q671" s="50">
        <v>1</v>
      </c>
      <c r="R671" s="50">
        <v>527299.98</v>
      </c>
      <c r="S671" s="74">
        <v>45861</v>
      </c>
      <c r="T671" s="48" t="s">
        <v>311</v>
      </c>
      <c r="U671" s="48" t="s">
        <v>22</v>
      </c>
      <c r="V671" s="48" t="s">
        <v>857</v>
      </c>
      <c r="W671" s="48"/>
    </row>
    <row r="672" spans="1:23" ht="15.75" x14ac:dyDescent="0.25">
      <c r="A672" s="48" t="s">
        <v>803</v>
      </c>
      <c r="B672" s="49">
        <v>45785</v>
      </c>
      <c r="C672" s="48" t="s">
        <v>916</v>
      </c>
      <c r="D672" s="48" t="s">
        <v>441</v>
      </c>
      <c r="E672" s="48" t="s">
        <v>858</v>
      </c>
      <c r="F672" s="48" t="s">
        <v>21</v>
      </c>
      <c r="G672" s="48" t="s">
        <v>22</v>
      </c>
      <c r="H672" s="48" t="s">
        <v>27</v>
      </c>
      <c r="I672" s="48" t="s">
        <v>557</v>
      </c>
      <c r="J672" s="48" t="s">
        <v>24</v>
      </c>
      <c r="K672" s="48" t="s">
        <v>22</v>
      </c>
      <c r="L672" s="48" t="s">
        <v>1132</v>
      </c>
      <c r="M672" s="48" t="s">
        <v>26</v>
      </c>
      <c r="N672" s="48" t="s">
        <v>20</v>
      </c>
      <c r="O672" s="48" t="s">
        <v>857</v>
      </c>
      <c r="P672" s="50">
        <v>300000</v>
      </c>
      <c r="Q672" s="50">
        <v>1</v>
      </c>
      <c r="R672" s="50">
        <v>300000</v>
      </c>
      <c r="S672" s="74">
        <v>45861</v>
      </c>
      <c r="T672" s="48" t="s">
        <v>311</v>
      </c>
      <c r="U672" s="48" t="s">
        <v>22</v>
      </c>
      <c r="V672" s="48" t="s">
        <v>857</v>
      </c>
      <c r="W672" s="48"/>
    </row>
    <row r="673" spans="1:23" ht="15.75" x14ac:dyDescent="0.25">
      <c r="A673" s="48" t="s">
        <v>812</v>
      </c>
      <c r="B673" s="49">
        <v>45797</v>
      </c>
      <c r="C673" s="48" t="s">
        <v>916</v>
      </c>
      <c r="D673" s="48" t="s">
        <v>441</v>
      </c>
      <c r="E673" s="48" t="s">
        <v>858</v>
      </c>
      <c r="F673" s="48" t="s">
        <v>21</v>
      </c>
      <c r="G673" s="48" t="s">
        <v>22</v>
      </c>
      <c r="H673" s="48" t="s">
        <v>27</v>
      </c>
      <c r="I673" s="48" t="s">
        <v>813</v>
      </c>
      <c r="J673" s="48" t="s">
        <v>24</v>
      </c>
      <c r="K673" s="48" t="s">
        <v>22</v>
      </c>
      <c r="L673" s="48" t="s">
        <v>1132</v>
      </c>
      <c r="M673" s="48" t="s">
        <v>26</v>
      </c>
      <c r="N673" s="48" t="s">
        <v>20</v>
      </c>
      <c r="O673" s="48" t="s">
        <v>857</v>
      </c>
      <c r="P673" s="50">
        <v>332775</v>
      </c>
      <c r="Q673" s="50">
        <v>1</v>
      </c>
      <c r="R673" s="50">
        <v>332775</v>
      </c>
      <c r="S673" s="74">
        <v>45861</v>
      </c>
      <c r="T673" s="48" t="s">
        <v>311</v>
      </c>
      <c r="U673" s="48" t="s">
        <v>22</v>
      </c>
      <c r="V673" s="48" t="s">
        <v>857</v>
      </c>
      <c r="W673" s="48"/>
    </row>
    <row r="674" spans="1:23" ht="15.75" x14ac:dyDescent="0.25">
      <c r="A674" s="48" t="s">
        <v>317</v>
      </c>
      <c r="B674" s="49">
        <v>45859</v>
      </c>
      <c r="C674" s="48" t="s">
        <v>924</v>
      </c>
      <c r="D674" s="48" t="s">
        <v>1118</v>
      </c>
      <c r="E674" s="48" t="s">
        <v>858</v>
      </c>
      <c r="F674" s="48" t="s">
        <v>62</v>
      </c>
      <c r="G674" s="48" t="s">
        <v>70</v>
      </c>
      <c r="H674" s="48" t="s">
        <v>70</v>
      </c>
      <c r="I674" s="48" t="s">
        <v>318</v>
      </c>
      <c r="J674" s="48" t="s">
        <v>72</v>
      </c>
      <c r="K674" s="48" t="s">
        <v>213</v>
      </c>
      <c r="L674" s="48" t="s">
        <v>1134</v>
      </c>
      <c r="M674" s="48" t="s">
        <v>67</v>
      </c>
      <c r="N674" s="48" t="s">
        <v>20</v>
      </c>
      <c r="O674" s="48" t="s">
        <v>857</v>
      </c>
      <c r="P674" s="50">
        <v>15437.95</v>
      </c>
      <c r="Q674" s="50">
        <v>4.6375999999999999</v>
      </c>
      <c r="R674" s="50">
        <v>71595.036919999999</v>
      </c>
      <c r="S674" s="74">
        <v>45861</v>
      </c>
      <c r="T674" s="48" t="s">
        <v>208</v>
      </c>
      <c r="U674" s="48" t="s">
        <v>213</v>
      </c>
      <c r="V674" s="48" t="s">
        <v>857</v>
      </c>
      <c r="W674" s="48" t="s">
        <v>3811</v>
      </c>
    </row>
    <row r="675" spans="1:23" ht="15.75" x14ac:dyDescent="0.25">
      <c r="A675" s="48" t="s">
        <v>755</v>
      </c>
      <c r="B675" s="49">
        <v>45777</v>
      </c>
      <c r="C675" s="48" t="s">
        <v>916</v>
      </c>
      <c r="D675" s="48" t="s">
        <v>509</v>
      </c>
      <c r="E675" s="48" t="s">
        <v>858</v>
      </c>
      <c r="F675" s="48" t="s">
        <v>21</v>
      </c>
      <c r="G675" s="48" t="s">
        <v>22</v>
      </c>
      <c r="H675" s="48" t="s">
        <v>27</v>
      </c>
      <c r="I675" s="48" t="s">
        <v>756</v>
      </c>
      <c r="J675" s="48" t="s">
        <v>24</v>
      </c>
      <c r="K675" s="48" t="s">
        <v>407</v>
      </c>
      <c r="L675" s="48" t="s">
        <v>1131</v>
      </c>
      <c r="M675" s="48" t="s">
        <v>26</v>
      </c>
      <c r="N675" s="48" t="s">
        <v>20</v>
      </c>
      <c r="O675" s="48" t="s">
        <v>857</v>
      </c>
      <c r="P675" s="50">
        <v>500000</v>
      </c>
      <c r="Q675" s="50">
        <v>1</v>
      </c>
      <c r="R675" s="50">
        <v>500000</v>
      </c>
      <c r="S675" s="74">
        <v>45860</v>
      </c>
      <c r="T675" s="48" t="s">
        <v>311</v>
      </c>
      <c r="U675" s="48" t="s">
        <v>304</v>
      </c>
      <c r="V675" s="48" t="s">
        <v>378</v>
      </c>
      <c r="W675" s="48"/>
    </row>
    <row r="676" spans="1:23" ht="15.75" x14ac:dyDescent="0.25">
      <c r="A676" s="48" t="s">
        <v>762</v>
      </c>
      <c r="B676" s="49">
        <v>45789</v>
      </c>
      <c r="C676" s="48" t="s">
        <v>916</v>
      </c>
      <c r="D676" s="48" t="s">
        <v>509</v>
      </c>
      <c r="E676" s="48" t="s">
        <v>858</v>
      </c>
      <c r="F676" s="48" t="s">
        <v>21</v>
      </c>
      <c r="G676" s="48" t="s">
        <v>22</v>
      </c>
      <c r="H676" s="48" t="s">
        <v>27</v>
      </c>
      <c r="I676" s="48" t="s">
        <v>601</v>
      </c>
      <c r="J676" s="48" t="s">
        <v>24</v>
      </c>
      <c r="K676" s="48" t="s">
        <v>407</v>
      </c>
      <c r="L676" s="48" t="s">
        <v>1131</v>
      </c>
      <c r="M676" s="48" t="s">
        <v>26</v>
      </c>
      <c r="N676" s="48" t="s">
        <v>20</v>
      </c>
      <c r="O676" s="48" t="s">
        <v>857</v>
      </c>
      <c r="P676" s="50">
        <v>300000</v>
      </c>
      <c r="Q676" s="50">
        <v>1</v>
      </c>
      <c r="R676" s="50">
        <v>300000</v>
      </c>
      <c r="S676" s="74">
        <v>45860</v>
      </c>
      <c r="T676" s="48" t="s">
        <v>311</v>
      </c>
      <c r="U676" s="48" t="s">
        <v>304</v>
      </c>
      <c r="V676" s="48" t="s">
        <v>378</v>
      </c>
      <c r="W676" s="48"/>
    </row>
    <row r="677" spans="1:23" ht="15.75" x14ac:dyDescent="0.25">
      <c r="A677" s="48" t="s">
        <v>767</v>
      </c>
      <c r="B677" s="49">
        <v>45776</v>
      </c>
      <c r="C677" s="48" t="s">
        <v>916</v>
      </c>
      <c r="D677" s="48" t="s">
        <v>509</v>
      </c>
      <c r="E677" s="48" t="s">
        <v>856</v>
      </c>
      <c r="F677" s="48" t="s">
        <v>21</v>
      </c>
      <c r="G677" s="48" t="s">
        <v>22</v>
      </c>
      <c r="H677" s="48" t="s">
        <v>27</v>
      </c>
      <c r="I677" s="48" t="s">
        <v>768</v>
      </c>
      <c r="J677" s="48" t="s">
        <v>24</v>
      </c>
      <c r="K677" s="48" t="s">
        <v>407</v>
      </c>
      <c r="L677" s="48" t="s">
        <v>1131</v>
      </c>
      <c r="M677" s="48" t="s">
        <v>26</v>
      </c>
      <c r="N677" s="48" t="s">
        <v>20</v>
      </c>
      <c r="O677" s="48" t="s">
        <v>857</v>
      </c>
      <c r="P677" s="50">
        <v>500000</v>
      </c>
      <c r="Q677" s="50">
        <v>1</v>
      </c>
      <c r="R677" s="50">
        <v>500000</v>
      </c>
      <c r="S677" s="74">
        <v>45860</v>
      </c>
      <c r="T677" s="48" t="s">
        <v>311</v>
      </c>
      <c r="U677" s="48" t="s">
        <v>304</v>
      </c>
      <c r="V677" s="48" t="s">
        <v>378</v>
      </c>
      <c r="W677" s="48"/>
    </row>
    <row r="678" spans="1:23" ht="15.75" x14ac:dyDescent="0.25">
      <c r="A678" s="48" t="s">
        <v>818</v>
      </c>
      <c r="B678" s="49">
        <v>45771</v>
      </c>
      <c r="C678" s="48" t="s">
        <v>916</v>
      </c>
      <c r="D678" s="48" t="s">
        <v>441</v>
      </c>
      <c r="E678" s="48" t="s">
        <v>856</v>
      </c>
      <c r="F678" s="48" t="s">
        <v>21</v>
      </c>
      <c r="G678" s="48" t="s">
        <v>22</v>
      </c>
      <c r="H678" s="48" t="s">
        <v>27</v>
      </c>
      <c r="I678" s="48" t="s">
        <v>819</v>
      </c>
      <c r="J678" s="48" t="s">
        <v>24</v>
      </c>
      <c r="K678" s="48" t="s">
        <v>22</v>
      </c>
      <c r="L678" s="48" t="s">
        <v>1132</v>
      </c>
      <c r="M678" s="48" t="s">
        <v>26</v>
      </c>
      <c r="N678" s="48" t="s">
        <v>20</v>
      </c>
      <c r="O678" s="48" t="s">
        <v>857</v>
      </c>
      <c r="P678" s="50">
        <v>234893.88</v>
      </c>
      <c r="Q678" s="50">
        <v>1</v>
      </c>
      <c r="R678" s="50">
        <v>234893.88</v>
      </c>
      <c r="S678" s="74">
        <v>45860</v>
      </c>
      <c r="T678" s="48" t="s">
        <v>311</v>
      </c>
      <c r="U678" s="48" t="s">
        <v>22</v>
      </c>
      <c r="V678" s="48" t="s">
        <v>857</v>
      </c>
      <c r="W678" s="48"/>
    </row>
    <row r="679" spans="1:23" ht="15.75" x14ac:dyDescent="0.25">
      <c r="A679" s="48" t="s">
        <v>631</v>
      </c>
      <c r="B679" s="49">
        <v>45778</v>
      </c>
      <c r="C679" s="48" t="s">
        <v>916</v>
      </c>
      <c r="D679" s="48" t="s">
        <v>441</v>
      </c>
      <c r="E679" s="48" t="s">
        <v>856</v>
      </c>
      <c r="F679" s="48" t="s">
        <v>21</v>
      </c>
      <c r="G679" s="48" t="s">
        <v>22</v>
      </c>
      <c r="H679" s="48" t="s">
        <v>27</v>
      </c>
      <c r="I679" s="48" t="s">
        <v>587</v>
      </c>
      <c r="J679" s="48" t="s">
        <v>24</v>
      </c>
      <c r="K679" s="48" t="s">
        <v>22</v>
      </c>
      <c r="L679" s="48" t="s">
        <v>1132</v>
      </c>
      <c r="M679" s="48" t="s">
        <v>26</v>
      </c>
      <c r="N679" s="48" t="s">
        <v>20</v>
      </c>
      <c r="O679" s="48" t="s">
        <v>857</v>
      </c>
      <c r="P679" s="50">
        <v>650000</v>
      </c>
      <c r="Q679" s="50">
        <v>1</v>
      </c>
      <c r="R679" s="50">
        <v>650000</v>
      </c>
      <c r="S679" s="74">
        <v>45860</v>
      </c>
      <c r="T679" s="48" t="s">
        <v>311</v>
      </c>
      <c r="U679" s="48" t="s">
        <v>22</v>
      </c>
      <c r="V679" s="48" t="s">
        <v>857</v>
      </c>
      <c r="W679" s="48"/>
    </row>
    <row r="680" spans="1:23" ht="15.75" x14ac:dyDescent="0.25">
      <c r="A680" s="48" t="s">
        <v>702</v>
      </c>
      <c r="B680" s="49">
        <v>45826</v>
      </c>
      <c r="C680" s="48" t="s">
        <v>930</v>
      </c>
      <c r="D680" s="48" t="s">
        <v>1119</v>
      </c>
      <c r="E680" s="48" t="s">
        <v>858</v>
      </c>
      <c r="F680" s="48" t="s">
        <v>95</v>
      </c>
      <c r="G680" s="48" t="s">
        <v>96</v>
      </c>
      <c r="H680" s="48" t="s">
        <v>27</v>
      </c>
      <c r="I680" s="48" t="s">
        <v>703</v>
      </c>
      <c r="J680" s="48" t="s">
        <v>704</v>
      </c>
      <c r="K680" s="48" t="s">
        <v>367</v>
      </c>
      <c r="L680" s="48" t="s">
        <v>1136</v>
      </c>
      <c r="M680" s="48" t="s">
        <v>78</v>
      </c>
      <c r="N680" s="48" t="s">
        <v>20</v>
      </c>
      <c r="O680" s="48" t="s">
        <v>857</v>
      </c>
      <c r="P680" s="50">
        <v>85119.21</v>
      </c>
      <c r="Q680" s="50">
        <v>3.75</v>
      </c>
      <c r="R680" s="50">
        <v>319197.03750000003</v>
      </c>
      <c r="S680" s="74">
        <v>45860</v>
      </c>
      <c r="T680" s="48" t="s">
        <v>705</v>
      </c>
      <c r="U680" s="48" t="s">
        <v>367</v>
      </c>
      <c r="V680" s="48" t="s">
        <v>857</v>
      </c>
      <c r="W680" s="48"/>
    </row>
    <row r="681" spans="1:23" ht="15.75" x14ac:dyDescent="0.25">
      <c r="A681" s="48" t="s">
        <v>814</v>
      </c>
      <c r="B681" s="49">
        <v>45785</v>
      </c>
      <c r="C681" s="48" t="s">
        <v>916</v>
      </c>
      <c r="D681" s="48" t="s">
        <v>441</v>
      </c>
      <c r="E681" s="48" t="s">
        <v>858</v>
      </c>
      <c r="F681" s="48" t="s">
        <v>21</v>
      </c>
      <c r="G681" s="48" t="s">
        <v>22</v>
      </c>
      <c r="H681" s="48" t="s">
        <v>27</v>
      </c>
      <c r="I681" s="48" t="s">
        <v>1789</v>
      </c>
      <c r="J681" s="48" t="s">
        <v>24</v>
      </c>
      <c r="K681" s="48" t="s">
        <v>22</v>
      </c>
      <c r="L681" s="48" t="s">
        <v>1132</v>
      </c>
      <c r="M681" s="48" t="s">
        <v>26</v>
      </c>
      <c r="N681" s="48" t="s">
        <v>20</v>
      </c>
      <c r="O681" s="48" t="s">
        <v>857</v>
      </c>
      <c r="P681" s="50">
        <v>200422.65</v>
      </c>
      <c r="Q681" s="50">
        <v>1</v>
      </c>
      <c r="R681" s="50">
        <v>200422.65</v>
      </c>
      <c r="S681" s="74">
        <v>45860</v>
      </c>
      <c r="T681" s="48" t="s">
        <v>311</v>
      </c>
      <c r="U681" s="48" t="s">
        <v>22</v>
      </c>
      <c r="V681" s="48" t="s">
        <v>857</v>
      </c>
      <c r="W681" s="48"/>
    </row>
    <row r="682" spans="1:23" ht="15.75" x14ac:dyDescent="0.25">
      <c r="A682" s="48" t="s">
        <v>796</v>
      </c>
      <c r="B682" s="49">
        <v>45784</v>
      </c>
      <c r="C682" s="48" t="s">
        <v>916</v>
      </c>
      <c r="D682" s="48" t="s">
        <v>441</v>
      </c>
      <c r="E682" s="48" t="s">
        <v>856</v>
      </c>
      <c r="F682" s="48" t="s">
        <v>21</v>
      </c>
      <c r="G682" s="48" t="s">
        <v>22</v>
      </c>
      <c r="H682" s="48" t="s">
        <v>27</v>
      </c>
      <c r="I682" s="48" t="s">
        <v>431</v>
      </c>
      <c r="J682" s="48" t="s">
        <v>24</v>
      </c>
      <c r="K682" s="48" t="s">
        <v>22</v>
      </c>
      <c r="L682" s="48" t="s">
        <v>1132</v>
      </c>
      <c r="M682" s="48" t="s">
        <v>26</v>
      </c>
      <c r="N682" s="48" t="s">
        <v>20</v>
      </c>
      <c r="O682" s="48" t="s">
        <v>857</v>
      </c>
      <c r="P682" s="50">
        <v>1499834.16</v>
      </c>
      <c r="Q682" s="50">
        <v>1</v>
      </c>
      <c r="R682" s="50">
        <v>1499834.16</v>
      </c>
      <c r="S682" s="74">
        <v>45860</v>
      </c>
      <c r="T682" s="48" t="s">
        <v>311</v>
      </c>
      <c r="U682" s="48" t="s">
        <v>22</v>
      </c>
      <c r="V682" s="48" t="s">
        <v>857</v>
      </c>
      <c r="W682" s="48"/>
    </row>
    <row r="683" spans="1:23" ht="15.75" x14ac:dyDescent="0.25">
      <c r="A683" s="48" t="s">
        <v>753</v>
      </c>
      <c r="B683" s="49">
        <v>45784</v>
      </c>
      <c r="C683" s="48" t="s">
        <v>916</v>
      </c>
      <c r="D683" s="48" t="s">
        <v>509</v>
      </c>
      <c r="E683" s="48" t="s">
        <v>858</v>
      </c>
      <c r="F683" s="48" t="s">
        <v>21</v>
      </c>
      <c r="G683" s="48" t="s">
        <v>22</v>
      </c>
      <c r="H683" s="48" t="s">
        <v>27</v>
      </c>
      <c r="I683" s="48" t="s">
        <v>754</v>
      </c>
      <c r="J683" s="48" t="s">
        <v>24</v>
      </c>
      <c r="K683" s="48" t="s">
        <v>407</v>
      </c>
      <c r="L683" s="48" t="s">
        <v>1131</v>
      </c>
      <c r="M683" s="48" t="s">
        <v>26</v>
      </c>
      <c r="N683" s="48" t="s">
        <v>20</v>
      </c>
      <c r="O683" s="48" t="s">
        <v>857</v>
      </c>
      <c r="P683" s="50">
        <v>500000</v>
      </c>
      <c r="Q683" s="50">
        <v>1</v>
      </c>
      <c r="R683" s="50">
        <v>500000</v>
      </c>
      <c r="S683" s="74">
        <v>45860</v>
      </c>
      <c r="T683" s="48" t="s">
        <v>311</v>
      </c>
      <c r="U683" s="48" t="s">
        <v>304</v>
      </c>
      <c r="V683" s="48" t="s">
        <v>378</v>
      </c>
      <c r="W683" s="48"/>
    </row>
    <row r="684" spans="1:23" ht="15.75" x14ac:dyDescent="0.25">
      <c r="A684" s="48" t="s">
        <v>824</v>
      </c>
      <c r="B684" s="49">
        <v>45782</v>
      </c>
      <c r="C684" s="48" t="s">
        <v>916</v>
      </c>
      <c r="D684" s="48" t="s">
        <v>441</v>
      </c>
      <c r="E684" s="48" t="s">
        <v>856</v>
      </c>
      <c r="F684" s="48" t="s">
        <v>21</v>
      </c>
      <c r="G684" s="48" t="s">
        <v>22</v>
      </c>
      <c r="H684" s="48" t="s">
        <v>27</v>
      </c>
      <c r="I684" s="48" t="s">
        <v>338</v>
      </c>
      <c r="J684" s="48" t="s">
        <v>24</v>
      </c>
      <c r="K684" s="48" t="s">
        <v>22</v>
      </c>
      <c r="L684" s="48" t="s">
        <v>1132</v>
      </c>
      <c r="M684" s="48" t="s">
        <v>26</v>
      </c>
      <c r="N684" s="48" t="s">
        <v>20</v>
      </c>
      <c r="O684" s="48" t="s">
        <v>857</v>
      </c>
      <c r="P684" s="50">
        <v>500000</v>
      </c>
      <c r="Q684" s="50">
        <v>1</v>
      </c>
      <c r="R684" s="50">
        <v>500000</v>
      </c>
      <c r="S684" s="74">
        <v>45860</v>
      </c>
      <c r="T684" s="48" t="s">
        <v>311</v>
      </c>
      <c r="U684" s="48" t="s">
        <v>22</v>
      </c>
      <c r="V684" s="48" t="s">
        <v>857</v>
      </c>
      <c r="W684" s="48"/>
    </row>
    <row r="685" spans="1:23" ht="15.75" x14ac:dyDescent="0.25">
      <c r="A685" s="48" t="s">
        <v>797</v>
      </c>
      <c r="B685" s="49">
        <v>45777</v>
      </c>
      <c r="C685" s="48" t="s">
        <v>916</v>
      </c>
      <c r="D685" s="48" t="s">
        <v>441</v>
      </c>
      <c r="E685" s="48" t="s">
        <v>856</v>
      </c>
      <c r="F685" s="48" t="s">
        <v>21</v>
      </c>
      <c r="G685" s="48" t="s">
        <v>22</v>
      </c>
      <c r="H685" s="48" t="s">
        <v>27</v>
      </c>
      <c r="I685" s="48" t="s">
        <v>773</v>
      </c>
      <c r="J685" s="48" t="s">
        <v>24</v>
      </c>
      <c r="K685" s="48" t="s">
        <v>22</v>
      </c>
      <c r="L685" s="48" t="s">
        <v>1132</v>
      </c>
      <c r="M685" s="48" t="s">
        <v>26</v>
      </c>
      <c r="N685" s="48" t="s">
        <v>20</v>
      </c>
      <c r="O685" s="48" t="s">
        <v>857</v>
      </c>
      <c r="P685" s="50">
        <v>404174.93</v>
      </c>
      <c r="Q685" s="50">
        <v>1</v>
      </c>
      <c r="R685" s="50">
        <v>404174.93</v>
      </c>
      <c r="S685" s="74">
        <v>45860</v>
      </c>
      <c r="T685" s="48" t="s">
        <v>311</v>
      </c>
      <c r="U685" s="48" t="s">
        <v>22</v>
      </c>
      <c r="V685" s="48" t="s">
        <v>857</v>
      </c>
      <c r="W685" s="48"/>
    </row>
    <row r="686" spans="1:23" ht="15.75" x14ac:dyDescent="0.25">
      <c r="A686" s="48" t="s">
        <v>808</v>
      </c>
      <c r="B686" s="49">
        <v>45782</v>
      </c>
      <c r="C686" s="48" t="s">
        <v>916</v>
      </c>
      <c r="D686" s="48" t="s">
        <v>441</v>
      </c>
      <c r="E686" s="48" t="s">
        <v>858</v>
      </c>
      <c r="F686" s="48" t="s">
        <v>21</v>
      </c>
      <c r="G686" s="48" t="s">
        <v>22</v>
      </c>
      <c r="H686" s="48" t="s">
        <v>27</v>
      </c>
      <c r="I686" s="48" t="s">
        <v>809</v>
      </c>
      <c r="J686" s="48" t="s">
        <v>24</v>
      </c>
      <c r="K686" s="48" t="s">
        <v>22</v>
      </c>
      <c r="L686" s="48" t="s">
        <v>1132</v>
      </c>
      <c r="M686" s="48" t="s">
        <v>26</v>
      </c>
      <c r="N686" s="48" t="s">
        <v>20</v>
      </c>
      <c r="O686" s="48" t="s">
        <v>857</v>
      </c>
      <c r="P686" s="50">
        <v>450975.3</v>
      </c>
      <c r="Q686" s="50">
        <v>1</v>
      </c>
      <c r="R686" s="50">
        <v>450975.3</v>
      </c>
      <c r="S686" s="74">
        <v>45860</v>
      </c>
      <c r="T686" s="48" t="s">
        <v>311</v>
      </c>
      <c r="U686" s="48" t="s">
        <v>22</v>
      </c>
      <c r="V686" s="48" t="s">
        <v>857</v>
      </c>
      <c r="W686" s="48"/>
    </row>
    <row r="687" spans="1:23" ht="15.75" x14ac:dyDescent="0.25">
      <c r="A687" s="48" t="s">
        <v>741</v>
      </c>
      <c r="B687" s="49">
        <v>45771</v>
      </c>
      <c r="C687" s="48" t="s">
        <v>916</v>
      </c>
      <c r="D687" s="48" t="s">
        <v>441</v>
      </c>
      <c r="E687" s="48" t="s">
        <v>856</v>
      </c>
      <c r="F687" s="48" t="s">
        <v>21</v>
      </c>
      <c r="G687" s="48" t="s">
        <v>22</v>
      </c>
      <c r="H687" s="48" t="s">
        <v>27</v>
      </c>
      <c r="I687" s="48" t="s">
        <v>742</v>
      </c>
      <c r="J687" s="48" t="s">
        <v>24</v>
      </c>
      <c r="K687" s="48" t="s">
        <v>413</v>
      </c>
      <c r="L687" s="48" t="s">
        <v>917</v>
      </c>
      <c r="M687" s="48" t="s">
        <v>26</v>
      </c>
      <c r="N687" s="48" t="s">
        <v>20</v>
      </c>
      <c r="O687" s="48" t="s">
        <v>857</v>
      </c>
      <c r="P687" s="50">
        <v>2500000</v>
      </c>
      <c r="Q687" s="50">
        <v>1</v>
      </c>
      <c r="R687" s="50">
        <v>2500000</v>
      </c>
      <c r="S687" s="74">
        <v>45860</v>
      </c>
      <c r="T687" s="48" t="s">
        <v>311</v>
      </c>
      <c r="U687" s="48" t="s">
        <v>22</v>
      </c>
      <c r="V687" s="48" t="s">
        <v>378</v>
      </c>
      <c r="W687" s="48"/>
    </row>
    <row r="688" spans="1:23" ht="15.75" x14ac:dyDescent="0.25">
      <c r="A688" s="48" t="s">
        <v>763</v>
      </c>
      <c r="B688" s="49">
        <v>45781</v>
      </c>
      <c r="C688" s="48" t="s">
        <v>916</v>
      </c>
      <c r="D688" s="48" t="s">
        <v>509</v>
      </c>
      <c r="E688" s="48" t="s">
        <v>858</v>
      </c>
      <c r="F688" s="48" t="s">
        <v>21</v>
      </c>
      <c r="G688" s="48" t="s">
        <v>22</v>
      </c>
      <c r="H688" s="48" t="s">
        <v>27</v>
      </c>
      <c r="I688" s="48" t="s">
        <v>764</v>
      </c>
      <c r="J688" s="48" t="s">
        <v>24</v>
      </c>
      <c r="K688" s="48" t="s">
        <v>407</v>
      </c>
      <c r="L688" s="48" t="s">
        <v>1131</v>
      </c>
      <c r="M688" s="48" t="s">
        <v>26</v>
      </c>
      <c r="N688" s="48" t="s">
        <v>20</v>
      </c>
      <c r="O688" s="48" t="s">
        <v>857</v>
      </c>
      <c r="P688" s="50">
        <v>500000</v>
      </c>
      <c r="Q688" s="50">
        <v>1</v>
      </c>
      <c r="R688" s="50">
        <v>500000</v>
      </c>
      <c r="S688" s="74">
        <v>45860</v>
      </c>
      <c r="T688" s="48" t="s">
        <v>311</v>
      </c>
      <c r="U688" s="48" t="s">
        <v>304</v>
      </c>
      <c r="V688" s="48" t="s">
        <v>378</v>
      </c>
      <c r="W688" s="48"/>
    </row>
    <row r="689" spans="1:23" ht="15.75" x14ac:dyDescent="0.25">
      <c r="A689" s="48" t="s">
        <v>765</v>
      </c>
      <c r="B689" s="49">
        <v>45774</v>
      </c>
      <c r="C689" s="48" t="s">
        <v>916</v>
      </c>
      <c r="D689" s="48" t="s">
        <v>509</v>
      </c>
      <c r="E689" s="48" t="s">
        <v>856</v>
      </c>
      <c r="F689" s="48" t="s">
        <v>21</v>
      </c>
      <c r="G689" s="48" t="s">
        <v>22</v>
      </c>
      <c r="H689" s="48" t="s">
        <v>27</v>
      </c>
      <c r="I689" s="48" t="s">
        <v>766</v>
      </c>
      <c r="J689" s="48" t="s">
        <v>24</v>
      </c>
      <c r="K689" s="48" t="s">
        <v>407</v>
      </c>
      <c r="L689" s="48" t="s">
        <v>1131</v>
      </c>
      <c r="M689" s="48" t="s">
        <v>26</v>
      </c>
      <c r="N689" s="48" t="s">
        <v>20</v>
      </c>
      <c r="O689" s="48" t="s">
        <v>857</v>
      </c>
      <c r="P689" s="50">
        <v>500000</v>
      </c>
      <c r="Q689" s="50">
        <v>1</v>
      </c>
      <c r="R689" s="50">
        <v>500000</v>
      </c>
      <c r="S689" s="74">
        <v>45859</v>
      </c>
      <c r="T689" s="48" t="s">
        <v>311</v>
      </c>
      <c r="U689" s="48" t="s">
        <v>304</v>
      </c>
      <c r="V689" s="48" t="s">
        <v>378</v>
      </c>
      <c r="W689" s="48"/>
    </row>
    <row r="690" spans="1:23" ht="15.75" x14ac:dyDescent="0.25">
      <c r="A690" s="48" t="s">
        <v>712</v>
      </c>
      <c r="B690" s="49">
        <v>45797</v>
      </c>
      <c r="C690" s="48" t="s">
        <v>916</v>
      </c>
      <c r="D690" s="48" t="s">
        <v>441</v>
      </c>
      <c r="E690" s="48" t="s">
        <v>858</v>
      </c>
      <c r="F690" s="48" t="s">
        <v>366</v>
      </c>
      <c r="G690" s="48" t="s">
        <v>710</v>
      </c>
      <c r="H690" s="48" t="s">
        <v>27</v>
      </c>
      <c r="I690" s="48" t="s">
        <v>155</v>
      </c>
      <c r="J690" s="48" t="s">
        <v>24</v>
      </c>
      <c r="K690" s="48" t="s">
        <v>710</v>
      </c>
      <c r="L690" s="48" t="s">
        <v>1209</v>
      </c>
      <c r="M690" s="48" t="s">
        <v>26</v>
      </c>
      <c r="N690" s="48" t="s">
        <v>20</v>
      </c>
      <c r="O690" s="48" t="s">
        <v>857</v>
      </c>
      <c r="P690" s="50">
        <v>4038079.43</v>
      </c>
      <c r="Q690" s="50">
        <v>1</v>
      </c>
      <c r="R690" s="50">
        <v>4038079.43</v>
      </c>
      <c r="S690" s="74">
        <v>45859</v>
      </c>
      <c r="T690" s="48" t="s">
        <v>311</v>
      </c>
      <c r="U690" s="48" t="s">
        <v>710</v>
      </c>
      <c r="V690" s="48" t="s">
        <v>857</v>
      </c>
      <c r="W690" s="48"/>
    </row>
    <row r="691" spans="1:23" ht="15.75" x14ac:dyDescent="0.25">
      <c r="A691" s="48" t="s">
        <v>1336</v>
      </c>
      <c r="B691" s="49">
        <v>45859</v>
      </c>
      <c r="C691" s="48" t="s">
        <v>916</v>
      </c>
      <c r="D691" s="48" t="s">
        <v>509</v>
      </c>
      <c r="E691" s="48" t="s">
        <v>856</v>
      </c>
      <c r="F691" s="48" t="s">
        <v>95</v>
      </c>
      <c r="G691" s="48" t="s">
        <v>96</v>
      </c>
      <c r="H691" s="48" t="s">
        <v>27</v>
      </c>
      <c r="I691" s="48" t="s">
        <v>532</v>
      </c>
      <c r="J691" s="48" t="s">
        <v>72</v>
      </c>
      <c r="K691" s="48" t="s">
        <v>304</v>
      </c>
      <c r="L691" s="48" t="s">
        <v>1133</v>
      </c>
      <c r="M691" s="48" t="s">
        <v>26</v>
      </c>
      <c r="N691" s="48" t="s">
        <v>20</v>
      </c>
      <c r="O691" s="48" t="s">
        <v>378</v>
      </c>
      <c r="P691" s="50">
        <v>4623922.5</v>
      </c>
      <c r="Q691" s="50">
        <v>1</v>
      </c>
      <c r="R691" s="50">
        <v>4623922.5</v>
      </c>
      <c r="S691" s="74">
        <v>45859</v>
      </c>
      <c r="T691" s="48" t="s">
        <v>461</v>
      </c>
      <c r="U691" s="48" t="s">
        <v>1590</v>
      </c>
      <c r="V691" s="48" t="s">
        <v>378</v>
      </c>
      <c r="W691" s="48"/>
    </row>
    <row r="692" spans="1:23" ht="15.75" x14ac:dyDescent="0.25">
      <c r="A692" s="48" t="s">
        <v>1336</v>
      </c>
      <c r="B692" s="49">
        <v>45859</v>
      </c>
      <c r="C692" s="48" t="s">
        <v>1591</v>
      </c>
      <c r="D692" s="48" t="s">
        <v>509</v>
      </c>
      <c r="E692" s="48" t="s">
        <v>856</v>
      </c>
      <c r="F692" s="48" t="s">
        <v>95</v>
      </c>
      <c r="G692" s="48" t="s">
        <v>96</v>
      </c>
      <c r="H692" s="48" t="s">
        <v>27</v>
      </c>
      <c r="I692" s="48" t="s">
        <v>532</v>
      </c>
      <c r="J692" s="48" t="s">
        <v>72</v>
      </c>
      <c r="K692" s="48" t="s">
        <v>304</v>
      </c>
      <c r="L692" s="48" t="s">
        <v>1133</v>
      </c>
      <c r="M692" s="48" t="s">
        <v>26</v>
      </c>
      <c r="N692" s="48" t="s">
        <v>20</v>
      </c>
      <c r="O692" s="48" t="s">
        <v>378</v>
      </c>
      <c r="P692" s="50">
        <v>13376077.5</v>
      </c>
      <c r="Q692" s="50">
        <v>1</v>
      </c>
      <c r="R692" s="50">
        <v>13376077.5</v>
      </c>
      <c r="S692" s="74">
        <v>45859</v>
      </c>
      <c r="T692" s="48" t="s">
        <v>461</v>
      </c>
      <c r="U692" s="48" t="s">
        <v>1590</v>
      </c>
      <c r="V692" s="48" t="s">
        <v>378</v>
      </c>
      <c r="W692" s="48"/>
    </row>
    <row r="693" spans="1:23" ht="15.75" x14ac:dyDescent="0.25">
      <c r="A693" s="48" t="s">
        <v>1336</v>
      </c>
      <c r="B693" s="49">
        <v>45859</v>
      </c>
      <c r="C693" s="48" t="s">
        <v>1302</v>
      </c>
      <c r="D693" s="48" t="s">
        <v>509</v>
      </c>
      <c r="E693" s="48" t="s">
        <v>856</v>
      </c>
      <c r="F693" s="48" t="s">
        <v>95</v>
      </c>
      <c r="G693" s="48" t="s">
        <v>96</v>
      </c>
      <c r="H693" s="48" t="s">
        <v>27</v>
      </c>
      <c r="I693" s="48" t="s">
        <v>532</v>
      </c>
      <c r="J693" s="48" t="s">
        <v>72</v>
      </c>
      <c r="K693" s="48" t="s">
        <v>304</v>
      </c>
      <c r="L693" s="48" t="s">
        <v>1133</v>
      </c>
      <c r="M693" s="48" t="s">
        <v>26</v>
      </c>
      <c r="N693" s="48" t="s">
        <v>20</v>
      </c>
      <c r="O693" s="48" t="s">
        <v>378</v>
      </c>
      <c r="P693" s="50">
        <v>5391922.5</v>
      </c>
      <c r="Q693" s="50">
        <v>1</v>
      </c>
      <c r="R693" s="50">
        <v>5391922.5</v>
      </c>
      <c r="S693" s="74">
        <v>45859</v>
      </c>
      <c r="T693" s="48" t="s">
        <v>461</v>
      </c>
      <c r="U693" s="48" t="s">
        <v>304</v>
      </c>
      <c r="V693" s="48" t="s">
        <v>857</v>
      </c>
      <c r="W693" s="48"/>
    </row>
    <row r="694" spans="1:23" ht="15.75" x14ac:dyDescent="0.25">
      <c r="A694" s="48" t="s">
        <v>1191</v>
      </c>
      <c r="B694" s="49">
        <v>45831</v>
      </c>
      <c r="C694" s="48" t="s">
        <v>918</v>
      </c>
      <c r="D694" s="48" t="s">
        <v>509</v>
      </c>
      <c r="E694" s="48" t="s">
        <v>858</v>
      </c>
      <c r="F694" s="48" t="s">
        <v>21</v>
      </c>
      <c r="G694" s="48" t="s">
        <v>22</v>
      </c>
      <c r="H694" s="48" t="s">
        <v>27</v>
      </c>
      <c r="I694" s="48" t="s">
        <v>781</v>
      </c>
      <c r="J694" s="48" t="s">
        <v>72</v>
      </c>
      <c r="K694" s="48" t="s">
        <v>511</v>
      </c>
      <c r="L694" s="48" t="s">
        <v>1236</v>
      </c>
      <c r="M694" s="48" t="s">
        <v>26</v>
      </c>
      <c r="N694" s="48" t="s">
        <v>20</v>
      </c>
      <c r="O694" s="48" t="s">
        <v>857</v>
      </c>
      <c r="P694" s="50">
        <v>401551.7</v>
      </c>
      <c r="Q694" s="50">
        <v>1</v>
      </c>
      <c r="R694" s="50">
        <v>401551.7</v>
      </c>
      <c r="S694" s="74">
        <v>45859</v>
      </c>
      <c r="T694" s="48" t="s">
        <v>1886</v>
      </c>
      <c r="U694" s="48" t="s">
        <v>304</v>
      </c>
      <c r="V694" s="48" t="s">
        <v>378</v>
      </c>
      <c r="W694" s="48"/>
    </row>
    <row r="695" spans="1:23" ht="15.75" x14ac:dyDescent="0.25">
      <c r="A695" s="48" t="s">
        <v>806</v>
      </c>
      <c r="B695" s="49">
        <v>45789</v>
      </c>
      <c r="C695" s="48" t="s">
        <v>916</v>
      </c>
      <c r="D695" s="48" t="s">
        <v>441</v>
      </c>
      <c r="E695" s="48" t="s">
        <v>858</v>
      </c>
      <c r="F695" s="48" t="s">
        <v>21</v>
      </c>
      <c r="G695" s="48" t="s">
        <v>22</v>
      </c>
      <c r="H695" s="48" t="s">
        <v>27</v>
      </c>
      <c r="I695" s="48" t="s">
        <v>807</v>
      </c>
      <c r="J695" s="48" t="s">
        <v>24</v>
      </c>
      <c r="K695" s="48" t="s">
        <v>22</v>
      </c>
      <c r="L695" s="48" t="s">
        <v>1132</v>
      </c>
      <c r="M695" s="48" t="s">
        <v>26</v>
      </c>
      <c r="N695" s="48" t="s">
        <v>20</v>
      </c>
      <c r="O695" s="48" t="s">
        <v>857</v>
      </c>
      <c r="P695" s="50">
        <v>464036.5</v>
      </c>
      <c r="Q695" s="50">
        <v>1</v>
      </c>
      <c r="R695" s="50">
        <v>464036.5</v>
      </c>
      <c r="S695" s="74">
        <v>45859</v>
      </c>
      <c r="T695" s="48" t="s">
        <v>311</v>
      </c>
      <c r="U695" s="48" t="s">
        <v>22</v>
      </c>
      <c r="V695" s="48" t="s">
        <v>857</v>
      </c>
      <c r="W695" s="48"/>
    </row>
    <row r="696" spans="1:23" ht="15.75" x14ac:dyDescent="0.25">
      <c r="A696" s="48" t="s">
        <v>827</v>
      </c>
      <c r="B696" s="49">
        <v>45784</v>
      </c>
      <c r="C696" s="48" t="s">
        <v>916</v>
      </c>
      <c r="D696" s="48" t="s">
        <v>441</v>
      </c>
      <c r="E696" s="48" t="s">
        <v>858</v>
      </c>
      <c r="F696" s="48" t="s">
        <v>21</v>
      </c>
      <c r="G696" s="48" t="s">
        <v>22</v>
      </c>
      <c r="H696" s="48" t="s">
        <v>27</v>
      </c>
      <c r="I696" s="48" t="s">
        <v>828</v>
      </c>
      <c r="J696" s="48" t="s">
        <v>24</v>
      </c>
      <c r="K696" s="48" t="s">
        <v>22</v>
      </c>
      <c r="L696" s="48" t="s">
        <v>1132</v>
      </c>
      <c r="M696" s="48" t="s">
        <v>26</v>
      </c>
      <c r="N696" s="48" t="s">
        <v>20</v>
      </c>
      <c r="O696" s="48" t="s">
        <v>857</v>
      </c>
      <c r="P696" s="50">
        <v>200000</v>
      </c>
      <c r="Q696" s="50">
        <v>1</v>
      </c>
      <c r="R696" s="50">
        <v>200000</v>
      </c>
      <c r="S696" s="74">
        <v>45859</v>
      </c>
      <c r="T696" s="48" t="s">
        <v>311</v>
      </c>
      <c r="U696" s="48" t="s">
        <v>22</v>
      </c>
      <c r="V696" s="48" t="s">
        <v>857</v>
      </c>
      <c r="W696" s="48"/>
    </row>
    <row r="697" spans="1:23" ht="15.75" x14ac:dyDescent="0.25">
      <c r="A697" s="48" t="s">
        <v>801</v>
      </c>
      <c r="B697" s="49">
        <v>45781</v>
      </c>
      <c r="C697" s="48" t="s">
        <v>916</v>
      </c>
      <c r="D697" s="48" t="s">
        <v>441</v>
      </c>
      <c r="E697" s="48" t="s">
        <v>858</v>
      </c>
      <c r="F697" s="48" t="s">
        <v>21</v>
      </c>
      <c r="G697" s="48" t="s">
        <v>22</v>
      </c>
      <c r="H697" s="48" t="s">
        <v>27</v>
      </c>
      <c r="I697" s="48" t="s">
        <v>802</v>
      </c>
      <c r="J697" s="48" t="s">
        <v>24</v>
      </c>
      <c r="K697" s="48" t="s">
        <v>22</v>
      </c>
      <c r="L697" s="48" t="s">
        <v>1132</v>
      </c>
      <c r="M697" s="48" t="s">
        <v>26</v>
      </c>
      <c r="N697" s="48" t="s">
        <v>20</v>
      </c>
      <c r="O697" s="48" t="s">
        <v>857</v>
      </c>
      <c r="P697" s="50">
        <v>176690.77</v>
      </c>
      <c r="Q697" s="50">
        <v>1</v>
      </c>
      <c r="R697" s="50">
        <v>176690.77</v>
      </c>
      <c r="S697" s="74">
        <v>45859</v>
      </c>
      <c r="T697" s="48" t="s">
        <v>311</v>
      </c>
      <c r="U697" s="48" t="s">
        <v>22</v>
      </c>
      <c r="V697" s="48" t="s">
        <v>857</v>
      </c>
      <c r="W697" s="48"/>
    </row>
    <row r="698" spans="1:23" ht="15.75" x14ac:dyDescent="0.25">
      <c r="A698" s="48" t="s">
        <v>645</v>
      </c>
      <c r="B698" s="49">
        <v>45776</v>
      </c>
      <c r="C698" s="48" t="s">
        <v>916</v>
      </c>
      <c r="D698" s="48" t="s">
        <v>441</v>
      </c>
      <c r="E698" s="48" t="s">
        <v>858</v>
      </c>
      <c r="F698" s="48" t="s">
        <v>21</v>
      </c>
      <c r="G698" s="48" t="s">
        <v>22</v>
      </c>
      <c r="H698" s="48" t="s">
        <v>27</v>
      </c>
      <c r="I698" s="48" t="s">
        <v>646</v>
      </c>
      <c r="J698" s="48" t="s">
        <v>24</v>
      </c>
      <c r="K698" s="48" t="s">
        <v>22</v>
      </c>
      <c r="L698" s="48" t="s">
        <v>1132</v>
      </c>
      <c r="M698" s="48" t="s">
        <v>26</v>
      </c>
      <c r="N698" s="48" t="s">
        <v>20</v>
      </c>
      <c r="O698" s="48" t="s">
        <v>857</v>
      </c>
      <c r="P698" s="50">
        <v>413369.1</v>
      </c>
      <c r="Q698" s="50">
        <v>1</v>
      </c>
      <c r="R698" s="50">
        <v>413369.1</v>
      </c>
      <c r="S698" s="74">
        <v>45859</v>
      </c>
      <c r="T698" s="48" t="s">
        <v>311</v>
      </c>
      <c r="U698" s="48" t="s">
        <v>22</v>
      </c>
      <c r="V698" s="48" t="s">
        <v>857</v>
      </c>
      <c r="W698" s="48"/>
    </row>
    <row r="699" spans="1:23" ht="15.75" x14ac:dyDescent="0.25">
      <c r="A699" s="48" t="s">
        <v>651</v>
      </c>
      <c r="B699" s="49">
        <v>45839</v>
      </c>
      <c r="C699" s="48" t="s">
        <v>918</v>
      </c>
      <c r="D699" s="48" t="s">
        <v>441</v>
      </c>
      <c r="E699" s="48" t="s">
        <v>856</v>
      </c>
      <c r="F699" s="48" t="s">
        <v>21</v>
      </c>
      <c r="G699" s="48" t="s">
        <v>22</v>
      </c>
      <c r="H699" s="48" t="s">
        <v>27</v>
      </c>
      <c r="I699" s="48" t="s">
        <v>442</v>
      </c>
      <c r="J699" s="48" t="s">
        <v>24</v>
      </c>
      <c r="K699" s="48" t="s">
        <v>22</v>
      </c>
      <c r="L699" s="48" t="s">
        <v>1132</v>
      </c>
      <c r="M699" s="48" t="s">
        <v>26</v>
      </c>
      <c r="N699" s="48" t="s">
        <v>20</v>
      </c>
      <c r="O699" s="48" t="s">
        <v>857</v>
      </c>
      <c r="P699" s="50">
        <v>112790.85</v>
      </c>
      <c r="Q699" s="50">
        <v>1</v>
      </c>
      <c r="R699" s="50">
        <v>112790.85</v>
      </c>
      <c r="S699" s="74">
        <v>45859</v>
      </c>
      <c r="T699" s="48" t="s">
        <v>311</v>
      </c>
      <c r="U699" s="48" t="s">
        <v>22</v>
      </c>
      <c r="V699" s="48" t="s">
        <v>857</v>
      </c>
      <c r="W699" s="48"/>
    </row>
    <row r="700" spans="1:23" ht="15.75" x14ac:dyDescent="0.25">
      <c r="A700" s="48" t="s">
        <v>652</v>
      </c>
      <c r="B700" s="49">
        <v>45777</v>
      </c>
      <c r="C700" s="48" t="s">
        <v>918</v>
      </c>
      <c r="D700" s="48" t="s">
        <v>441</v>
      </c>
      <c r="E700" s="48" t="s">
        <v>856</v>
      </c>
      <c r="F700" s="48" t="s">
        <v>21</v>
      </c>
      <c r="G700" s="48" t="s">
        <v>22</v>
      </c>
      <c r="H700" s="48" t="s">
        <v>27</v>
      </c>
      <c r="I700" s="48" t="s">
        <v>585</v>
      </c>
      <c r="J700" s="48" t="s">
        <v>24</v>
      </c>
      <c r="K700" s="48" t="s">
        <v>22</v>
      </c>
      <c r="L700" s="48" t="s">
        <v>1132</v>
      </c>
      <c r="M700" s="48" t="s">
        <v>26</v>
      </c>
      <c r="N700" s="48" t="s">
        <v>20</v>
      </c>
      <c r="O700" s="48" t="s">
        <v>857</v>
      </c>
      <c r="P700" s="50">
        <v>1177628.78</v>
      </c>
      <c r="Q700" s="50">
        <v>1</v>
      </c>
      <c r="R700" s="50">
        <v>1177628.78</v>
      </c>
      <c r="S700" s="74">
        <v>45859</v>
      </c>
      <c r="T700" s="48" t="s">
        <v>311</v>
      </c>
      <c r="U700" s="48" t="s">
        <v>22</v>
      </c>
      <c r="V700" s="48" t="s">
        <v>857</v>
      </c>
      <c r="W700" s="48"/>
    </row>
    <row r="701" spans="1:23" ht="15.75" x14ac:dyDescent="0.25">
      <c r="A701" s="48" t="s">
        <v>775</v>
      </c>
      <c r="B701" s="49">
        <v>45775</v>
      </c>
      <c r="C701" s="48" t="s">
        <v>916</v>
      </c>
      <c r="D701" s="48" t="s">
        <v>441</v>
      </c>
      <c r="E701" s="48" t="s">
        <v>856</v>
      </c>
      <c r="F701" s="48" t="s">
        <v>366</v>
      </c>
      <c r="G701" s="48" t="s">
        <v>710</v>
      </c>
      <c r="H701" s="48" t="s">
        <v>27</v>
      </c>
      <c r="I701" s="48" t="s">
        <v>479</v>
      </c>
      <c r="J701" s="48" t="s">
        <v>24</v>
      </c>
      <c r="K701" s="48" t="s">
        <v>710</v>
      </c>
      <c r="L701" s="48" t="s">
        <v>1209</v>
      </c>
      <c r="M701" s="48" t="s">
        <v>26</v>
      </c>
      <c r="N701" s="48" t="s">
        <v>20</v>
      </c>
      <c r="O701" s="48" t="s">
        <v>857</v>
      </c>
      <c r="P701" s="50">
        <v>1000000</v>
      </c>
      <c r="Q701" s="50">
        <v>1</v>
      </c>
      <c r="R701" s="50">
        <v>1000000</v>
      </c>
      <c r="S701" s="74">
        <v>45858</v>
      </c>
      <c r="T701" s="48" t="s">
        <v>311</v>
      </c>
      <c r="U701" s="48" t="s">
        <v>710</v>
      </c>
      <c r="V701" s="48" t="s">
        <v>857</v>
      </c>
      <c r="W701" s="48"/>
    </row>
    <row r="702" spans="1:23" ht="15.75" x14ac:dyDescent="0.25">
      <c r="A702" s="48" t="s">
        <v>1178</v>
      </c>
      <c r="B702" s="49">
        <v>45832</v>
      </c>
      <c r="C702" s="48" t="s">
        <v>916</v>
      </c>
      <c r="D702" s="48" t="s">
        <v>441</v>
      </c>
      <c r="E702" s="48" t="s">
        <v>858</v>
      </c>
      <c r="F702" s="48" t="s">
        <v>366</v>
      </c>
      <c r="G702" s="48" t="s">
        <v>710</v>
      </c>
      <c r="H702" s="48" t="s">
        <v>27</v>
      </c>
      <c r="I702" s="48" t="s">
        <v>839</v>
      </c>
      <c r="J702" s="48" t="s">
        <v>24</v>
      </c>
      <c r="K702" s="48" t="s">
        <v>710</v>
      </c>
      <c r="L702" s="48" t="s">
        <v>1209</v>
      </c>
      <c r="M702" s="48" t="s">
        <v>26</v>
      </c>
      <c r="N702" s="48" t="s">
        <v>20</v>
      </c>
      <c r="O702" s="48" t="s">
        <v>857</v>
      </c>
      <c r="P702" s="50">
        <v>168705.07</v>
      </c>
      <c r="Q702" s="50">
        <v>1</v>
      </c>
      <c r="R702" s="50">
        <v>168705.07</v>
      </c>
      <c r="S702" s="74">
        <v>45858</v>
      </c>
      <c r="T702" s="48" t="s">
        <v>311</v>
      </c>
      <c r="U702" s="48" t="s">
        <v>710</v>
      </c>
      <c r="V702" s="48" t="s">
        <v>857</v>
      </c>
      <c r="W702" s="48"/>
    </row>
    <row r="703" spans="1:23" ht="15.75" x14ac:dyDescent="0.25">
      <c r="A703" s="48" t="s">
        <v>733</v>
      </c>
      <c r="B703" s="49">
        <v>45837</v>
      </c>
      <c r="C703" s="48" t="s">
        <v>918</v>
      </c>
      <c r="D703" s="48" t="s">
        <v>441</v>
      </c>
      <c r="E703" s="48" t="s">
        <v>856</v>
      </c>
      <c r="F703" s="48" t="s">
        <v>612</v>
      </c>
      <c r="G703" s="48" t="s">
        <v>613</v>
      </c>
      <c r="H703" s="48" t="s">
        <v>27</v>
      </c>
      <c r="I703" s="48" t="s">
        <v>177</v>
      </c>
      <c r="J703" s="48" t="s">
        <v>24</v>
      </c>
      <c r="K703" s="48" t="s">
        <v>613</v>
      </c>
      <c r="L703" s="48" t="s">
        <v>1135</v>
      </c>
      <c r="M703" s="48" t="s">
        <v>26</v>
      </c>
      <c r="N703" s="48" t="s">
        <v>20</v>
      </c>
      <c r="O703" s="48" t="s">
        <v>857</v>
      </c>
      <c r="P703" s="50">
        <v>256677.93</v>
      </c>
      <c r="Q703" s="50">
        <v>1</v>
      </c>
      <c r="R703" s="50">
        <v>256677.93</v>
      </c>
      <c r="S703" s="74">
        <v>45858</v>
      </c>
      <c r="T703" s="48" t="s">
        <v>311</v>
      </c>
      <c r="U703" s="48" t="s">
        <v>613</v>
      </c>
      <c r="V703" s="48" t="s">
        <v>857</v>
      </c>
      <c r="W703" s="48"/>
    </row>
    <row r="704" spans="1:23" ht="15.75" x14ac:dyDescent="0.25">
      <c r="A704" s="48" t="s">
        <v>1229</v>
      </c>
      <c r="B704" s="49">
        <v>45852</v>
      </c>
      <c r="C704" s="48" t="s">
        <v>918</v>
      </c>
      <c r="D704" s="48" t="s">
        <v>1878</v>
      </c>
      <c r="E704" s="48" t="s">
        <v>858</v>
      </c>
      <c r="F704" s="48" t="s">
        <v>366</v>
      </c>
      <c r="G704" s="48" t="s">
        <v>367</v>
      </c>
      <c r="H704" s="48" t="s">
        <v>27</v>
      </c>
      <c r="I704" s="48" t="s">
        <v>1192</v>
      </c>
      <c r="J704" s="48" t="s">
        <v>3220</v>
      </c>
      <c r="K704" s="48" t="s">
        <v>367</v>
      </c>
      <c r="L704" s="48" t="s">
        <v>1136</v>
      </c>
      <c r="M704" s="48" t="s">
        <v>191</v>
      </c>
      <c r="N704" s="48" t="s">
        <v>20</v>
      </c>
      <c r="O704" s="48" t="s">
        <v>857</v>
      </c>
      <c r="P704" s="50">
        <v>760000</v>
      </c>
      <c r="Q704" s="50">
        <v>1.026</v>
      </c>
      <c r="R704" s="50">
        <v>779760</v>
      </c>
      <c r="S704" s="74">
        <v>45855</v>
      </c>
      <c r="T704" s="48" t="s">
        <v>208</v>
      </c>
      <c r="U704" s="48" t="s">
        <v>367</v>
      </c>
      <c r="V704" s="48" t="s">
        <v>857</v>
      </c>
      <c r="W704" s="48"/>
    </row>
    <row r="705" spans="1:23" ht="15.75" x14ac:dyDescent="0.25">
      <c r="A705" s="48" t="s">
        <v>702</v>
      </c>
      <c r="B705" s="49">
        <v>45809</v>
      </c>
      <c r="C705" s="48" t="s">
        <v>924</v>
      </c>
      <c r="D705" s="48" t="s">
        <v>1119</v>
      </c>
      <c r="E705" s="48" t="s">
        <v>858</v>
      </c>
      <c r="F705" s="48" t="s">
        <v>95</v>
      </c>
      <c r="G705" s="48" t="s">
        <v>96</v>
      </c>
      <c r="H705" s="48" t="s">
        <v>27</v>
      </c>
      <c r="I705" s="48" t="s">
        <v>703</v>
      </c>
      <c r="J705" s="48" t="s">
        <v>704</v>
      </c>
      <c r="K705" s="48" t="s">
        <v>367</v>
      </c>
      <c r="L705" s="48" t="s">
        <v>1136</v>
      </c>
      <c r="M705" s="48" t="s">
        <v>78</v>
      </c>
      <c r="N705" s="48" t="s">
        <v>20</v>
      </c>
      <c r="O705" s="48" t="s">
        <v>857</v>
      </c>
      <c r="P705" s="50">
        <v>81191.28</v>
      </c>
      <c r="Q705" s="50">
        <v>3.75</v>
      </c>
      <c r="R705" s="50">
        <v>304467.3</v>
      </c>
      <c r="S705" s="74">
        <v>45855</v>
      </c>
      <c r="T705" s="48" t="s">
        <v>705</v>
      </c>
      <c r="U705" s="48" t="s">
        <v>367</v>
      </c>
      <c r="V705" s="48" t="s">
        <v>857</v>
      </c>
      <c r="W705" s="48"/>
    </row>
    <row r="706" spans="1:23" ht="15.75" x14ac:dyDescent="0.25">
      <c r="A706" s="48" t="s">
        <v>702</v>
      </c>
      <c r="B706" s="49">
        <v>45809</v>
      </c>
      <c r="C706" s="48" t="s">
        <v>922</v>
      </c>
      <c r="D706" s="48" t="s">
        <v>1119</v>
      </c>
      <c r="E706" s="48" t="s">
        <v>858</v>
      </c>
      <c r="F706" s="48" t="s">
        <v>95</v>
      </c>
      <c r="G706" s="48" t="s">
        <v>96</v>
      </c>
      <c r="H706" s="48" t="s">
        <v>27</v>
      </c>
      <c r="I706" s="48" t="s">
        <v>703</v>
      </c>
      <c r="J706" s="48" t="s">
        <v>704</v>
      </c>
      <c r="K706" s="48" t="s">
        <v>367</v>
      </c>
      <c r="L706" s="48" t="s">
        <v>1136</v>
      </c>
      <c r="M706" s="48" t="s">
        <v>78</v>
      </c>
      <c r="N706" s="48" t="s">
        <v>20</v>
      </c>
      <c r="O706" s="48" t="s">
        <v>857</v>
      </c>
      <c r="P706" s="50">
        <v>170237.56</v>
      </c>
      <c r="Q706" s="50">
        <v>3.75</v>
      </c>
      <c r="R706" s="50">
        <v>638390.85</v>
      </c>
      <c r="S706" s="74">
        <v>45855</v>
      </c>
      <c r="T706" s="48" t="s">
        <v>705</v>
      </c>
      <c r="U706" s="48" t="s">
        <v>367</v>
      </c>
      <c r="V706" s="48" t="s">
        <v>857</v>
      </c>
      <c r="W706" s="48"/>
    </row>
    <row r="707" spans="1:23" ht="15.75" x14ac:dyDescent="0.25">
      <c r="A707" s="48" t="s">
        <v>1255</v>
      </c>
      <c r="B707" s="49">
        <v>45796</v>
      </c>
      <c r="C707" s="48" t="s">
        <v>916</v>
      </c>
      <c r="D707" s="48" t="s">
        <v>441</v>
      </c>
      <c r="E707" s="48" t="s">
        <v>858</v>
      </c>
      <c r="F707" s="48" t="s">
        <v>366</v>
      </c>
      <c r="G707" s="48" t="s">
        <v>710</v>
      </c>
      <c r="H707" s="48" t="s">
        <v>27</v>
      </c>
      <c r="I707" s="48" t="s">
        <v>837</v>
      </c>
      <c r="J707" s="48" t="s">
        <v>24</v>
      </c>
      <c r="K707" s="48" t="s">
        <v>710</v>
      </c>
      <c r="L707" s="48" t="s">
        <v>1209</v>
      </c>
      <c r="M707" s="48" t="s">
        <v>26</v>
      </c>
      <c r="N707" s="48" t="s">
        <v>20</v>
      </c>
      <c r="O707" s="48" t="s">
        <v>857</v>
      </c>
      <c r="P707" s="50">
        <v>475009.52</v>
      </c>
      <c r="Q707" s="50">
        <v>1</v>
      </c>
      <c r="R707" s="50">
        <v>475009.52</v>
      </c>
      <c r="S707" s="74">
        <v>45854</v>
      </c>
      <c r="T707" s="48" t="s">
        <v>311</v>
      </c>
      <c r="U707" s="48" t="s">
        <v>96</v>
      </c>
      <c r="V707" s="48" t="s">
        <v>378</v>
      </c>
      <c r="W707" s="48"/>
    </row>
    <row r="708" spans="1:23" ht="15.75" x14ac:dyDescent="0.25">
      <c r="A708" s="48" t="s">
        <v>702</v>
      </c>
      <c r="B708" s="49">
        <v>45799</v>
      </c>
      <c r="C708" s="48" t="s">
        <v>918</v>
      </c>
      <c r="D708" s="48" t="s">
        <v>1119</v>
      </c>
      <c r="E708" s="48" t="s">
        <v>858</v>
      </c>
      <c r="F708" s="48" t="s">
        <v>95</v>
      </c>
      <c r="G708" s="48" t="s">
        <v>96</v>
      </c>
      <c r="H708" s="48" t="s">
        <v>27</v>
      </c>
      <c r="I708" s="48" t="s">
        <v>703</v>
      </c>
      <c r="J708" s="48" t="s">
        <v>704</v>
      </c>
      <c r="K708" s="48" t="s">
        <v>367</v>
      </c>
      <c r="L708" s="48" t="s">
        <v>1136</v>
      </c>
      <c r="M708" s="48" t="s">
        <v>78</v>
      </c>
      <c r="N708" s="48" t="s">
        <v>20</v>
      </c>
      <c r="O708" s="48" t="s">
        <v>857</v>
      </c>
      <c r="P708" s="50">
        <v>87893.84</v>
      </c>
      <c r="Q708" s="50">
        <v>3.75</v>
      </c>
      <c r="R708" s="50">
        <v>329601.89999999997</v>
      </c>
      <c r="S708" s="74">
        <v>45854</v>
      </c>
      <c r="T708" s="48" t="s">
        <v>705</v>
      </c>
      <c r="U708" s="48" t="s">
        <v>367</v>
      </c>
      <c r="V708" s="48" t="s">
        <v>857</v>
      </c>
      <c r="W708" s="48"/>
    </row>
    <row r="709" spans="1:23" ht="15.75" x14ac:dyDescent="0.25">
      <c r="A709" s="48" t="s">
        <v>1152</v>
      </c>
      <c r="B709" s="49">
        <v>45806</v>
      </c>
      <c r="C709" s="48" t="s">
        <v>916</v>
      </c>
      <c r="D709" s="48" t="s">
        <v>441</v>
      </c>
      <c r="E709" s="48" t="s">
        <v>856</v>
      </c>
      <c r="F709" s="48" t="s">
        <v>612</v>
      </c>
      <c r="G709" s="48" t="s">
        <v>613</v>
      </c>
      <c r="H709" s="48" t="s">
        <v>27</v>
      </c>
      <c r="I709" s="48" t="s">
        <v>840</v>
      </c>
      <c r="J709" s="48" t="s">
        <v>24</v>
      </c>
      <c r="K709" s="48" t="s">
        <v>613</v>
      </c>
      <c r="L709" s="48" t="s">
        <v>1135</v>
      </c>
      <c r="M709" s="48" t="s">
        <v>26</v>
      </c>
      <c r="N709" s="48" t="s">
        <v>20</v>
      </c>
      <c r="O709" s="48" t="s">
        <v>857</v>
      </c>
      <c r="P709" s="50">
        <v>1570596.4</v>
      </c>
      <c r="Q709" s="50">
        <v>1</v>
      </c>
      <c r="R709" s="50">
        <v>1570596.4</v>
      </c>
      <c r="S709" s="74">
        <v>45853</v>
      </c>
      <c r="T709" s="48" t="s">
        <v>311</v>
      </c>
      <c r="U709" s="48" t="s">
        <v>613</v>
      </c>
      <c r="V709" s="48" t="s">
        <v>857</v>
      </c>
      <c r="W709" s="48"/>
    </row>
    <row r="710" spans="1:23" ht="15.75" x14ac:dyDescent="0.25">
      <c r="A710" s="48" t="s">
        <v>306</v>
      </c>
      <c r="B710" s="49">
        <v>45839</v>
      </c>
      <c r="C710" s="48" t="s">
        <v>1546</v>
      </c>
      <c r="D710" s="48" t="s">
        <v>1118</v>
      </c>
      <c r="E710" s="48" t="s">
        <v>858</v>
      </c>
      <c r="F710" s="48" t="s">
        <v>62</v>
      </c>
      <c r="G710" s="48" t="s">
        <v>70</v>
      </c>
      <c r="H710" s="48" t="s">
        <v>70</v>
      </c>
      <c r="I710" s="48" t="s">
        <v>307</v>
      </c>
      <c r="J710" s="48" t="s">
        <v>72</v>
      </c>
      <c r="K710" s="48" t="s">
        <v>213</v>
      </c>
      <c r="L710" s="48" t="s">
        <v>1134</v>
      </c>
      <c r="M710" s="48" t="s">
        <v>67</v>
      </c>
      <c r="N710" s="48" t="s">
        <v>20</v>
      </c>
      <c r="O710" s="48" t="s">
        <v>857</v>
      </c>
      <c r="P710" s="50">
        <v>1000000</v>
      </c>
      <c r="Q710" s="50">
        <v>4.5700901448959899</v>
      </c>
      <c r="R710" s="50">
        <v>4570090.1448959894</v>
      </c>
      <c r="S710" s="74">
        <v>45853</v>
      </c>
      <c r="T710" s="48" t="s">
        <v>308</v>
      </c>
      <c r="U710" s="48" t="s">
        <v>213</v>
      </c>
      <c r="V710" s="48" t="s">
        <v>857</v>
      </c>
      <c r="W710" s="48"/>
    </row>
    <row r="711" spans="1:23" ht="15.75" x14ac:dyDescent="0.25">
      <c r="A711" s="48" t="s">
        <v>1172</v>
      </c>
      <c r="B711" s="49">
        <v>45782</v>
      </c>
      <c r="C711" s="48" t="s">
        <v>916</v>
      </c>
      <c r="D711" s="48" t="s">
        <v>441</v>
      </c>
      <c r="E711" s="48" t="s">
        <v>858</v>
      </c>
      <c r="F711" s="48" t="s">
        <v>366</v>
      </c>
      <c r="G711" s="48" t="s">
        <v>710</v>
      </c>
      <c r="H711" s="48" t="s">
        <v>27</v>
      </c>
      <c r="I711" s="48" t="s">
        <v>764</v>
      </c>
      <c r="J711" s="48" t="s">
        <v>24</v>
      </c>
      <c r="K711" s="48" t="s">
        <v>710</v>
      </c>
      <c r="L711" s="48" t="s">
        <v>1209</v>
      </c>
      <c r="M711" s="48" t="s">
        <v>26</v>
      </c>
      <c r="N711" s="48" t="s">
        <v>20</v>
      </c>
      <c r="O711" s="48" t="s">
        <v>857</v>
      </c>
      <c r="P711" s="50">
        <v>600000</v>
      </c>
      <c r="Q711" s="50">
        <v>1</v>
      </c>
      <c r="R711" s="50">
        <v>600000</v>
      </c>
      <c r="S711" s="74">
        <v>45851</v>
      </c>
      <c r="T711" s="48" t="s">
        <v>311</v>
      </c>
      <c r="U711" s="48" t="s">
        <v>96</v>
      </c>
      <c r="V711" s="48" t="s">
        <v>378</v>
      </c>
      <c r="W711" s="48"/>
    </row>
    <row r="712" spans="1:23" ht="15.75" x14ac:dyDescent="0.25">
      <c r="A712" s="48" t="s">
        <v>792</v>
      </c>
      <c r="B712" s="49">
        <v>45763</v>
      </c>
      <c r="C712" s="48" t="s">
        <v>916</v>
      </c>
      <c r="D712" s="48" t="s">
        <v>441</v>
      </c>
      <c r="E712" s="48" t="s">
        <v>858</v>
      </c>
      <c r="F712" s="48" t="s">
        <v>21</v>
      </c>
      <c r="G712" s="48" t="s">
        <v>22</v>
      </c>
      <c r="H712" s="48" t="s">
        <v>27</v>
      </c>
      <c r="I712" s="48" t="s">
        <v>437</v>
      </c>
      <c r="J712" s="48" t="s">
        <v>24</v>
      </c>
      <c r="K712" s="48" t="s">
        <v>22</v>
      </c>
      <c r="L712" s="48" t="s">
        <v>1132</v>
      </c>
      <c r="M712" s="48" t="s">
        <v>26</v>
      </c>
      <c r="N712" s="48" t="s">
        <v>20</v>
      </c>
      <c r="O712" s="48" t="s">
        <v>857</v>
      </c>
      <c r="P712" s="50">
        <v>3000000</v>
      </c>
      <c r="Q712" s="50">
        <v>1</v>
      </c>
      <c r="R712" s="50">
        <v>3000000</v>
      </c>
      <c r="S712" s="74">
        <v>45851</v>
      </c>
      <c r="T712" s="48" t="s">
        <v>311</v>
      </c>
      <c r="U712" s="48" t="s">
        <v>90</v>
      </c>
      <c r="V712" s="48" t="s">
        <v>378</v>
      </c>
      <c r="W712" s="48"/>
    </row>
    <row r="713" spans="1:23" ht="15.75" x14ac:dyDescent="0.25">
      <c r="A713" s="48" t="s">
        <v>1170</v>
      </c>
      <c r="B713" s="49">
        <v>45833</v>
      </c>
      <c r="C713" s="48" t="s">
        <v>916</v>
      </c>
      <c r="D713" s="48" t="s">
        <v>441</v>
      </c>
      <c r="E713" s="48" t="s">
        <v>856</v>
      </c>
      <c r="F713" s="48" t="s">
        <v>366</v>
      </c>
      <c r="G713" s="48" t="s">
        <v>710</v>
      </c>
      <c r="H713" s="48" t="s">
        <v>27</v>
      </c>
      <c r="I713" s="48" t="s">
        <v>585</v>
      </c>
      <c r="J713" s="48" t="s">
        <v>24</v>
      </c>
      <c r="K713" s="48" t="s">
        <v>710</v>
      </c>
      <c r="L713" s="48" t="s">
        <v>1209</v>
      </c>
      <c r="M713" s="48" t="s">
        <v>26</v>
      </c>
      <c r="N713" s="48" t="s">
        <v>20</v>
      </c>
      <c r="O713" s="48" t="s">
        <v>857</v>
      </c>
      <c r="P713" s="50">
        <v>1095964</v>
      </c>
      <c r="Q713" s="50">
        <v>1</v>
      </c>
      <c r="R713" s="50">
        <v>1095964</v>
      </c>
      <c r="S713" s="74">
        <v>45851</v>
      </c>
      <c r="T713" s="48" t="s">
        <v>425</v>
      </c>
      <c r="U713" s="48" t="s">
        <v>96</v>
      </c>
      <c r="V713" s="48" t="s">
        <v>378</v>
      </c>
      <c r="W713" s="48"/>
    </row>
    <row r="714" spans="1:23" ht="15.75" x14ac:dyDescent="0.25">
      <c r="A714" s="48" t="s">
        <v>624</v>
      </c>
      <c r="B714" s="49">
        <v>45804</v>
      </c>
      <c r="C714" s="48" t="s">
        <v>918</v>
      </c>
      <c r="D714" s="48" t="s">
        <v>441</v>
      </c>
      <c r="E714" s="48" t="s">
        <v>858</v>
      </c>
      <c r="F714" s="48" t="s">
        <v>95</v>
      </c>
      <c r="G714" s="48" t="s">
        <v>96</v>
      </c>
      <c r="H714" s="48" t="s">
        <v>27</v>
      </c>
      <c r="I714" s="48" t="s">
        <v>589</v>
      </c>
      <c r="J714" s="48" t="s">
        <v>24</v>
      </c>
      <c r="K714" s="48" t="s">
        <v>22</v>
      </c>
      <c r="L714" s="48" t="s">
        <v>1132</v>
      </c>
      <c r="M714" s="48" t="s">
        <v>26</v>
      </c>
      <c r="N714" s="48" t="s">
        <v>20</v>
      </c>
      <c r="O714" s="48" t="s">
        <v>378</v>
      </c>
      <c r="P714" s="50">
        <v>292823</v>
      </c>
      <c r="Q714" s="50">
        <v>1</v>
      </c>
      <c r="R714" s="50">
        <v>292823</v>
      </c>
      <c r="S714" s="74">
        <v>45848</v>
      </c>
      <c r="T714" s="48" t="s">
        <v>311</v>
      </c>
      <c r="U714" s="48" t="s">
        <v>90</v>
      </c>
      <c r="V714" s="48" t="s">
        <v>378</v>
      </c>
      <c r="W714" s="48"/>
    </row>
    <row r="715" spans="1:23" ht="15.75" x14ac:dyDescent="0.25">
      <c r="A715" s="48" t="s">
        <v>759</v>
      </c>
      <c r="B715" s="49">
        <v>45789</v>
      </c>
      <c r="C715" s="48" t="s">
        <v>916</v>
      </c>
      <c r="D715" s="48" t="s">
        <v>509</v>
      </c>
      <c r="E715" s="48" t="s">
        <v>858</v>
      </c>
      <c r="F715" s="48" t="s">
        <v>21</v>
      </c>
      <c r="G715" s="48" t="s">
        <v>22</v>
      </c>
      <c r="H715" s="48" t="s">
        <v>27</v>
      </c>
      <c r="I715" s="48" t="s">
        <v>760</v>
      </c>
      <c r="J715" s="48" t="s">
        <v>24</v>
      </c>
      <c r="K715" s="48" t="s">
        <v>407</v>
      </c>
      <c r="L715" s="48" t="s">
        <v>1131</v>
      </c>
      <c r="M715" s="48" t="s">
        <v>26</v>
      </c>
      <c r="N715" s="48" t="s">
        <v>20</v>
      </c>
      <c r="O715" s="48" t="s">
        <v>857</v>
      </c>
      <c r="P715" s="50">
        <v>700000</v>
      </c>
      <c r="Q715" s="50">
        <v>1</v>
      </c>
      <c r="R715" s="50">
        <v>700000</v>
      </c>
      <c r="S715" s="74">
        <v>45847</v>
      </c>
      <c r="T715" s="48" t="s">
        <v>311</v>
      </c>
      <c r="U715" s="48" t="s">
        <v>882</v>
      </c>
      <c r="V715" s="48" t="s">
        <v>378</v>
      </c>
      <c r="W715" s="48"/>
    </row>
    <row r="716" spans="1:23" ht="15.75" x14ac:dyDescent="0.25">
      <c r="A716" s="48" t="s">
        <v>696</v>
      </c>
      <c r="B716" s="49">
        <v>45796</v>
      </c>
      <c r="C716" s="48" t="s">
        <v>916</v>
      </c>
      <c r="D716" s="48" t="s">
        <v>441</v>
      </c>
      <c r="E716" s="48" t="s">
        <v>858</v>
      </c>
      <c r="F716" s="48" t="s">
        <v>612</v>
      </c>
      <c r="G716" s="48" t="s">
        <v>613</v>
      </c>
      <c r="H716" s="48" t="s">
        <v>27</v>
      </c>
      <c r="I716" s="48" t="s">
        <v>697</v>
      </c>
      <c r="J716" s="48" t="s">
        <v>24</v>
      </c>
      <c r="K716" s="48" t="s">
        <v>613</v>
      </c>
      <c r="L716" s="48" t="s">
        <v>1135</v>
      </c>
      <c r="M716" s="48" t="s">
        <v>26</v>
      </c>
      <c r="N716" s="48" t="s">
        <v>20</v>
      </c>
      <c r="O716" s="48" t="s">
        <v>857</v>
      </c>
      <c r="P716" s="50">
        <v>1000000</v>
      </c>
      <c r="Q716" s="50">
        <v>1</v>
      </c>
      <c r="R716" s="50">
        <v>1000000</v>
      </c>
      <c r="S716" s="74">
        <v>45847</v>
      </c>
      <c r="T716" s="48" t="s">
        <v>311</v>
      </c>
      <c r="U716" s="48" t="s">
        <v>613</v>
      </c>
      <c r="V716" s="48" t="s">
        <v>857</v>
      </c>
      <c r="W716" s="48"/>
    </row>
    <row r="717" spans="1:23" ht="15.75" x14ac:dyDescent="0.25">
      <c r="A717" s="48" t="s">
        <v>698</v>
      </c>
      <c r="B717" s="49">
        <v>45795</v>
      </c>
      <c r="C717" s="48" t="s">
        <v>916</v>
      </c>
      <c r="D717" s="48" t="s">
        <v>441</v>
      </c>
      <c r="E717" s="48" t="s">
        <v>858</v>
      </c>
      <c r="F717" s="48" t="s">
        <v>612</v>
      </c>
      <c r="G717" s="48" t="s">
        <v>613</v>
      </c>
      <c r="H717" s="48" t="s">
        <v>27</v>
      </c>
      <c r="I717" s="48" t="s">
        <v>699</v>
      </c>
      <c r="J717" s="48" t="s">
        <v>24</v>
      </c>
      <c r="K717" s="48" t="s">
        <v>613</v>
      </c>
      <c r="L717" s="48" t="s">
        <v>1135</v>
      </c>
      <c r="M717" s="48" t="s">
        <v>26</v>
      </c>
      <c r="N717" s="48" t="s">
        <v>20</v>
      </c>
      <c r="O717" s="48" t="s">
        <v>857</v>
      </c>
      <c r="P717" s="50">
        <v>622981.28</v>
      </c>
      <c r="Q717" s="50">
        <v>1</v>
      </c>
      <c r="R717" s="50">
        <v>622981.28</v>
      </c>
      <c r="S717" s="74">
        <v>45847</v>
      </c>
      <c r="T717" s="48" t="s">
        <v>311</v>
      </c>
      <c r="U717" s="48" t="s">
        <v>613</v>
      </c>
      <c r="V717" s="48" t="s">
        <v>857</v>
      </c>
      <c r="W717" s="48"/>
    </row>
    <row r="718" spans="1:23" ht="15.75" x14ac:dyDescent="0.25">
      <c r="A718" s="48" t="s">
        <v>677</v>
      </c>
      <c r="B718" s="49">
        <v>45792</v>
      </c>
      <c r="C718" s="48" t="s">
        <v>918</v>
      </c>
      <c r="D718" s="48" t="s">
        <v>509</v>
      </c>
      <c r="E718" s="48" t="s">
        <v>858</v>
      </c>
      <c r="F718" s="48" t="s">
        <v>95</v>
      </c>
      <c r="G718" s="48" t="s">
        <v>96</v>
      </c>
      <c r="H718" s="48" t="s">
        <v>27</v>
      </c>
      <c r="I718" s="48" t="s">
        <v>1789</v>
      </c>
      <c r="J718" s="48" t="s">
        <v>24</v>
      </c>
      <c r="K718" s="48" t="s">
        <v>407</v>
      </c>
      <c r="L718" s="48" t="s">
        <v>1131</v>
      </c>
      <c r="M718" s="48" t="s">
        <v>26</v>
      </c>
      <c r="N718" s="48" t="s">
        <v>20</v>
      </c>
      <c r="O718" s="48" t="s">
        <v>378</v>
      </c>
      <c r="P718" s="50">
        <v>47988.62</v>
      </c>
      <c r="Q718" s="50">
        <v>1</v>
      </c>
      <c r="R718" s="50">
        <v>47988.62</v>
      </c>
      <c r="S718" s="74">
        <v>45844</v>
      </c>
      <c r="T718" s="48" t="s">
        <v>311</v>
      </c>
      <c r="U718" s="48" t="s">
        <v>1547</v>
      </c>
      <c r="V718" s="48" t="s">
        <v>378</v>
      </c>
      <c r="W718" s="48"/>
    </row>
    <row r="719" spans="1:23" ht="15.75" x14ac:dyDescent="0.25">
      <c r="A719" s="48" t="s">
        <v>715</v>
      </c>
      <c r="B719" s="49">
        <v>45799</v>
      </c>
      <c r="C719" s="48" t="s">
        <v>916</v>
      </c>
      <c r="D719" s="48" t="s">
        <v>441</v>
      </c>
      <c r="E719" s="48" t="s">
        <v>856</v>
      </c>
      <c r="F719" s="48" t="s">
        <v>366</v>
      </c>
      <c r="G719" s="48" t="s">
        <v>710</v>
      </c>
      <c r="H719" s="48" t="s">
        <v>27</v>
      </c>
      <c r="I719" s="48" t="s">
        <v>716</v>
      </c>
      <c r="J719" s="48" t="s">
        <v>24</v>
      </c>
      <c r="K719" s="48" t="s">
        <v>710</v>
      </c>
      <c r="L719" s="48" t="s">
        <v>1209</v>
      </c>
      <c r="M719" s="48" t="s">
        <v>26</v>
      </c>
      <c r="N719" s="48" t="s">
        <v>20</v>
      </c>
      <c r="O719" s="48" t="s">
        <v>857</v>
      </c>
      <c r="P719" s="50">
        <v>1245427.02</v>
      </c>
      <c r="Q719" s="50">
        <v>1</v>
      </c>
      <c r="R719" s="50">
        <v>1245427.02</v>
      </c>
      <c r="S719" s="74">
        <v>45844</v>
      </c>
      <c r="T719" s="48" t="s">
        <v>311</v>
      </c>
      <c r="U719" s="48" t="s">
        <v>710</v>
      </c>
      <c r="V719" s="48" t="s">
        <v>857</v>
      </c>
      <c r="W719" s="48"/>
    </row>
    <row r="720" spans="1:23" ht="15.75" x14ac:dyDescent="0.25">
      <c r="A720" s="48" t="s">
        <v>694</v>
      </c>
      <c r="B720" s="49">
        <v>45782</v>
      </c>
      <c r="C720" s="48" t="s">
        <v>916</v>
      </c>
      <c r="D720" s="48" t="s">
        <v>441</v>
      </c>
      <c r="E720" s="48" t="s">
        <v>858</v>
      </c>
      <c r="F720" s="48" t="s">
        <v>612</v>
      </c>
      <c r="G720" s="48" t="s">
        <v>613</v>
      </c>
      <c r="H720" s="48" t="s">
        <v>27</v>
      </c>
      <c r="I720" s="48" t="s">
        <v>695</v>
      </c>
      <c r="J720" s="48" t="s">
        <v>24</v>
      </c>
      <c r="K720" s="48" t="s">
        <v>613</v>
      </c>
      <c r="L720" s="48" t="s">
        <v>1135</v>
      </c>
      <c r="M720" s="48" t="s">
        <v>26</v>
      </c>
      <c r="N720" s="48" t="s">
        <v>20</v>
      </c>
      <c r="O720" s="48" t="s">
        <v>857</v>
      </c>
      <c r="P720" s="50">
        <v>136238.91</v>
      </c>
      <c r="Q720" s="50">
        <v>1</v>
      </c>
      <c r="R720" s="50">
        <v>136238.91</v>
      </c>
      <c r="S720" s="74">
        <v>45844</v>
      </c>
      <c r="T720" s="48" t="s">
        <v>311</v>
      </c>
      <c r="U720" s="48" t="s">
        <v>96</v>
      </c>
      <c r="V720" s="48" t="s">
        <v>378</v>
      </c>
      <c r="W720" s="48"/>
    </row>
    <row r="721" spans="1:23" ht="15.75" x14ac:dyDescent="0.25">
      <c r="A721" s="48" t="s">
        <v>694</v>
      </c>
      <c r="B721" s="49">
        <v>45782</v>
      </c>
      <c r="C721" s="48" t="s">
        <v>918</v>
      </c>
      <c r="D721" s="48" t="s">
        <v>441</v>
      </c>
      <c r="E721" s="48" t="s">
        <v>858</v>
      </c>
      <c r="F721" s="48" t="s">
        <v>612</v>
      </c>
      <c r="G721" s="48" t="s">
        <v>613</v>
      </c>
      <c r="H721" s="48" t="s">
        <v>27</v>
      </c>
      <c r="I721" s="48" t="s">
        <v>695</v>
      </c>
      <c r="J721" s="48" t="s">
        <v>24</v>
      </c>
      <c r="K721" s="48" t="s">
        <v>613</v>
      </c>
      <c r="L721" s="48" t="s">
        <v>1135</v>
      </c>
      <c r="M721" s="48" t="s">
        <v>26</v>
      </c>
      <c r="N721" s="48" t="s">
        <v>20</v>
      </c>
      <c r="O721" s="48" t="s">
        <v>857</v>
      </c>
      <c r="P721" s="50">
        <v>194501.99</v>
      </c>
      <c r="Q721" s="50">
        <v>1</v>
      </c>
      <c r="R721" s="50">
        <v>194501.99</v>
      </c>
      <c r="S721" s="74">
        <v>45844</v>
      </c>
      <c r="T721" s="48" t="s">
        <v>311</v>
      </c>
      <c r="U721" s="48" t="s">
        <v>96</v>
      </c>
      <c r="V721" s="48" t="s">
        <v>378</v>
      </c>
      <c r="W721" s="48"/>
    </row>
    <row r="722" spans="1:23" ht="15.75" x14ac:dyDescent="0.25">
      <c r="A722" s="48" t="s">
        <v>1167</v>
      </c>
      <c r="B722" s="49">
        <v>45792</v>
      </c>
      <c r="C722" s="48" t="s">
        <v>916</v>
      </c>
      <c r="D722" s="48" t="s">
        <v>441</v>
      </c>
      <c r="E722" s="48" t="s">
        <v>858</v>
      </c>
      <c r="F722" s="48" t="s">
        <v>366</v>
      </c>
      <c r="G722" s="48" t="s">
        <v>710</v>
      </c>
      <c r="H722" s="48" t="s">
        <v>27</v>
      </c>
      <c r="I722" s="48" t="s">
        <v>835</v>
      </c>
      <c r="J722" s="48" t="s">
        <v>24</v>
      </c>
      <c r="K722" s="48" t="s">
        <v>710</v>
      </c>
      <c r="L722" s="48" t="s">
        <v>1209</v>
      </c>
      <c r="M722" s="48" t="s">
        <v>26</v>
      </c>
      <c r="N722" s="48" t="s">
        <v>20</v>
      </c>
      <c r="O722" s="48" t="s">
        <v>857</v>
      </c>
      <c r="P722" s="50">
        <v>4581071.46</v>
      </c>
      <c r="Q722" s="50">
        <v>1</v>
      </c>
      <c r="R722" s="50">
        <v>4581071.46</v>
      </c>
      <c r="S722" s="74">
        <v>45841</v>
      </c>
      <c r="T722" s="48" t="s">
        <v>425</v>
      </c>
      <c r="U722" s="48" t="s">
        <v>710</v>
      </c>
      <c r="V722" s="48" t="s">
        <v>857</v>
      </c>
      <c r="W722" s="48"/>
    </row>
    <row r="723" spans="1:23" ht="15.75" x14ac:dyDescent="0.25">
      <c r="A723" s="48" t="s">
        <v>682</v>
      </c>
      <c r="B723" s="49">
        <v>45799</v>
      </c>
      <c r="C723" s="48" t="s">
        <v>916</v>
      </c>
      <c r="D723" s="48" t="s">
        <v>509</v>
      </c>
      <c r="E723" s="48" t="s">
        <v>858</v>
      </c>
      <c r="F723" s="48" t="s">
        <v>95</v>
      </c>
      <c r="G723" s="48" t="s">
        <v>96</v>
      </c>
      <c r="H723" s="48" t="s">
        <v>27</v>
      </c>
      <c r="I723" s="48" t="s">
        <v>155</v>
      </c>
      <c r="J723" s="48" t="s">
        <v>24</v>
      </c>
      <c r="K723" s="48" t="s">
        <v>407</v>
      </c>
      <c r="L723" s="48" t="s">
        <v>1131</v>
      </c>
      <c r="M723" s="48" t="s">
        <v>26</v>
      </c>
      <c r="N723" s="48" t="s">
        <v>20</v>
      </c>
      <c r="O723" s="48" t="s">
        <v>378</v>
      </c>
      <c r="P723" s="50">
        <v>800000</v>
      </c>
      <c r="Q723" s="50">
        <v>1</v>
      </c>
      <c r="R723" s="50">
        <v>800000</v>
      </c>
      <c r="S723" s="74">
        <v>45841</v>
      </c>
      <c r="T723" s="48" t="s">
        <v>311</v>
      </c>
      <c r="U723" s="48" t="s">
        <v>407</v>
      </c>
      <c r="V723" s="48" t="s">
        <v>857</v>
      </c>
      <c r="W723" s="48"/>
    </row>
    <row r="724" spans="1:23" ht="15.75" x14ac:dyDescent="0.25">
      <c r="A724" s="48" t="s">
        <v>727</v>
      </c>
      <c r="B724" s="49">
        <v>45832</v>
      </c>
      <c r="C724" s="48" t="s">
        <v>916</v>
      </c>
      <c r="D724" s="48" t="s">
        <v>509</v>
      </c>
      <c r="E724" s="48" t="s">
        <v>858</v>
      </c>
      <c r="F724" s="48" t="s">
        <v>373</v>
      </c>
      <c r="G724" s="48" t="s">
        <v>483</v>
      </c>
      <c r="H724" s="48" t="s">
        <v>27</v>
      </c>
      <c r="I724" s="48" t="s">
        <v>303</v>
      </c>
      <c r="J724" s="48" t="s">
        <v>72</v>
      </c>
      <c r="K724" s="48" t="s">
        <v>304</v>
      </c>
      <c r="L724" s="48" t="s">
        <v>1133</v>
      </c>
      <c r="M724" s="48" t="s">
        <v>26</v>
      </c>
      <c r="N724" s="48" t="s">
        <v>20</v>
      </c>
      <c r="O724" s="48" t="s">
        <v>857</v>
      </c>
      <c r="P724" s="50">
        <v>1958341.32</v>
      </c>
      <c r="Q724" s="50">
        <v>1</v>
      </c>
      <c r="R724" s="50">
        <v>1958341.32</v>
      </c>
      <c r="S724" s="74">
        <v>45841</v>
      </c>
      <c r="T724" s="48" t="s">
        <v>305</v>
      </c>
      <c r="U724" s="48" t="s">
        <v>407</v>
      </c>
      <c r="V724" s="48" t="s">
        <v>378</v>
      </c>
      <c r="W724" s="48"/>
    </row>
    <row r="725" spans="1:23" ht="15.75" x14ac:dyDescent="0.25">
      <c r="A725" s="48" t="s">
        <v>702</v>
      </c>
      <c r="B725" s="49">
        <v>45790</v>
      </c>
      <c r="C725" s="48" t="s">
        <v>916</v>
      </c>
      <c r="D725" s="48" t="s">
        <v>1119</v>
      </c>
      <c r="E725" s="48" t="s">
        <v>858</v>
      </c>
      <c r="F725" s="48" t="s">
        <v>95</v>
      </c>
      <c r="G725" s="48" t="s">
        <v>96</v>
      </c>
      <c r="H725" s="48" t="s">
        <v>27</v>
      </c>
      <c r="I725" s="48" t="s">
        <v>703</v>
      </c>
      <c r="J725" s="48" t="s">
        <v>704</v>
      </c>
      <c r="K725" s="48" t="s">
        <v>367</v>
      </c>
      <c r="L725" s="48" t="s">
        <v>1136</v>
      </c>
      <c r="M725" s="48" t="s">
        <v>78</v>
      </c>
      <c r="N725" s="48" t="s">
        <v>20</v>
      </c>
      <c r="O725" s="48" t="s">
        <v>857</v>
      </c>
      <c r="P725" s="50">
        <v>163729.79999999999</v>
      </c>
      <c r="Q725" s="50">
        <v>3.75</v>
      </c>
      <c r="R725" s="50">
        <v>613986.75</v>
      </c>
      <c r="S725" s="74">
        <v>45838</v>
      </c>
      <c r="T725" s="48" t="s">
        <v>705</v>
      </c>
      <c r="U725" s="48" t="s">
        <v>367</v>
      </c>
      <c r="V725" s="48" t="s">
        <v>857</v>
      </c>
      <c r="W725" s="48"/>
    </row>
    <row r="726" spans="1:23" ht="15.75" x14ac:dyDescent="0.25">
      <c r="A726" s="48" t="s">
        <v>1251</v>
      </c>
      <c r="B726" s="49">
        <v>45837</v>
      </c>
      <c r="C726" s="48" t="s">
        <v>916</v>
      </c>
      <c r="D726" s="48" t="s">
        <v>509</v>
      </c>
      <c r="E726" s="48" t="s">
        <v>856</v>
      </c>
      <c r="F726" s="48" t="s">
        <v>95</v>
      </c>
      <c r="G726" s="48" t="s">
        <v>96</v>
      </c>
      <c r="H726" s="48" t="s">
        <v>27</v>
      </c>
      <c r="I726" s="48" t="s">
        <v>1200</v>
      </c>
      <c r="J726" s="48" t="s">
        <v>72</v>
      </c>
      <c r="K726" s="48" t="s">
        <v>511</v>
      </c>
      <c r="L726" s="48" t="s">
        <v>1236</v>
      </c>
      <c r="M726" s="48" t="s">
        <v>26</v>
      </c>
      <c r="N726" s="48" t="s">
        <v>20</v>
      </c>
      <c r="O726" s="48" t="s">
        <v>378</v>
      </c>
      <c r="P726" s="50">
        <v>766481.6</v>
      </c>
      <c r="Q726" s="50">
        <v>1</v>
      </c>
      <c r="R726" s="50">
        <v>766481.6</v>
      </c>
      <c r="S726" s="74">
        <v>45837</v>
      </c>
      <c r="T726" s="48" t="s">
        <v>305</v>
      </c>
      <c r="U726" s="48" t="s">
        <v>882</v>
      </c>
      <c r="V726" s="48" t="s">
        <v>378</v>
      </c>
      <c r="W726" s="48"/>
    </row>
    <row r="727" spans="1:23" ht="15.75" x14ac:dyDescent="0.25">
      <c r="A727" s="48" t="s">
        <v>1129</v>
      </c>
      <c r="B727" s="49">
        <v>45824</v>
      </c>
      <c r="C727" s="48" t="s">
        <v>916</v>
      </c>
      <c r="D727" s="48" t="s">
        <v>1878</v>
      </c>
      <c r="E727" s="48" t="s">
        <v>858</v>
      </c>
      <c r="F727" s="48" t="s">
        <v>366</v>
      </c>
      <c r="G727" s="48" t="s">
        <v>367</v>
      </c>
      <c r="H727" s="48" t="s">
        <v>27</v>
      </c>
      <c r="I727" s="48" t="s">
        <v>1130</v>
      </c>
      <c r="J727" s="48" t="s">
        <v>3220</v>
      </c>
      <c r="K727" s="48" t="s">
        <v>367</v>
      </c>
      <c r="L727" s="48" t="s">
        <v>1136</v>
      </c>
      <c r="M727" s="48" t="s">
        <v>26</v>
      </c>
      <c r="N727" s="48" t="s">
        <v>20</v>
      </c>
      <c r="O727" s="48" t="s">
        <v>857</v>
      </c>
      <c r="P727" s="50">
        <v>700000</v>
      </c>
      <c r="Q727" s="50">
        <v>1</v>
      </c>
      <c r="R727" s="50">
        <v>700000</v>
      </c>
      <c r="S727" s="74">
        <v>45837</v>
      </c>
      <c r="T727" s="48" t="s">
        <v>461</v>
      </c>
      <c r="U727" s="48" t="s">
        <v>367</v>
      </c>
      <c r="V727" s="48" t="s">
        <v>857</v>
      </c>
      <c r="W727" s="48"/>
    </row>
    <row r="728" spans="1:23" ht="15.75" x14ac:dyDescent="0.25">
      <c r="A728" s="48" t="s">
        <v>684</v>
      </c>
      <c r="B728" s="49">
        <v>45799</v>
      </c>
      <c r="C728" s="48" t="s">
        <v>916</v>
      </c>
      <c r="D728" s="48" t="s">
        <v>509</v>
      </c>
      <c r="E728" s="48" t="s">
        <v>858</v>
      </c>
      <c r="F728" s="48" t="s">
        <v>95</v>
      </c>
      <c r="G728" s="48" t="s">
        <v>96</v>
      </c>
      <c r="H728" s="48" t="s">
        <v>27</v>
      </c>
      <c r="I728" s="48" t="s">
        <v>685</v>
      </c>
      <c r="J728" s="48" t="s">
        <v>24</v>
      </c>
      <c r="K728" s="48" t="s">
        <v>407</v>
      </c>
      <c r="L728" s="48" t="s">
        <v>1131</v>
      </c>
      <c r="M728" s="48" t="s">
        <v>26</v>
      </c>
      <c r="N728" s="48" t="s">
        <v>20</v>
      </c>
      <c r="O728" s="48" t="s">
        <v>378</v>
      </c>
      <c r="P728" s="50">
        <v>400000</v>
      </c>
      <c r="Q728" s="50">
        <v>1</v>
      </c>
      <c r="R728" s="50">
        <v>400000</v>
      </c>
      <c r="S728" s="74">
        <v>45834</v>
      </c>
      <c r="T728" s="48" t="s">
        <v>311</v>
      </c>
      <c r="U728" s="48" t="s">
        <v>882</v>
      </c>
      <c r="V728" s="48" t="s">
        <v>378</v>
      </c>
      <c r="W728" s="48"/>
    </row>
    <row r="729" spans="1:23" ht="15.75" x14ac:dyDescent="0.25">
      <c r="A729" s="48" t="s">
        <v>597</v>
      </c>
      <c r="B729" s="49">
        <v>45760</v>
      </c>
      <c r="C729" s="48" t="s">
        <v>916</v>
      </c>
      <c r="D729" s="48" t="s">
        <v>441</v>
      </c>
      <c r="E729" s="48" t="s">
        <v>858</v>
      </c>
      <c r="F729" s="48" t="s">
        <v>21</v>
      </c>
      <c r="G729" s="48" t="s">
        <v>22</v>
      </c>
      <c r="H729" s="48" t="s">
        <v>27</v>
      </c>
      <c r="I729" s="48" t="s">
        <v>37</v>
      </c>
      <c r="J729" s="48" t="s">
        <v>24</v>
      </c>
      <c r="K729" s="48" t="s">
        <v>22</v>
      </c>
      <c r="L729" s="48" t="s">
        <v>1132</v>
      </c>
      <c r="M729" s="48" t="s">
        <v>26</v>
      </c>
      <c r="N729" s="48" t="s">
        <v>20</v>
      </c>
      <c r="O729" s="48" t="s">
        <v>857</v>
      </c>
      <c r="P729" s="50">
        <v>500000</v>
      </c>
      <c r="Q729" s="50">
        <v>1</v>
      </c>
      <c r="R729" s="50">
        <v>500000</v>
      </c>
      <c r="S729" s="74">
        <v>45834</v>
      </c>
      <c r="T729" s="48" t="s">
        <v>311</v>
      </c>
      <c r="U729" s="48" t="s">
        <v>213</v>
      </c>
      <c r="V729" s="48" t="s">
        <v>378</v>
      </c>
      <c r="W729" s="48"/>
    </row>
    <row r="730" spans="1:23" ht="15.75" x14ac:dyDescent="0.25">
      <c r="A730" s="48" t="s">
        <v>590</v>
      </c>
      <c r="B730" s="49">
        <v>45753</v>
      </c>
      <c r="C730" s="48" t="s">
        <v>916</v>
      </c>
      <c r="D730" s="48" t="s">
        <v>441</v>
      </c>
      <c r="E730" s="48" t="s">
        <v>856</v>
      </c>
      <c r="F730" s="48" t="s">
        <v>21</v>
      </c>
      <c r="G730" s="48" t="s">
        <v>22</v>
      </c>
      <c r="H730" s="48" t="s">
        <v>27</v>
      </c>
      <c r="I730" s="48" t="s">
        <v>591</v>
      </c>
      <c r="J730" s="48" t="s">
        <v>24</v>
      </c>
      <c r="K730" s="48" t="s">
        <v>22</v>
      </c>
      <c r="L730" s="48" t="s">
        <v>1132</v>
      </c>
      <c r="M730" s="48" t="s">
        <v>26</v>
      </c>
      <c r="N730" s="48" t="s">
        <v>20</v>
      </c>
      <c r="O730" s="48" t="s">
        <v>857</v>
      </c>
      <c r="P730" s="50">
        <v>3000000</v>
      </c>
      <c r="Q730" s="50">
        <v>1</v>
      </c>
      <c r="R730" s="50">
        <v>3000000</v>
      </c>
      <c r="S730" s="74">
        <v>45833</v>
      </c>
      <c r="T730" s="48" t="s">
        <v>311</v>
      </c>
      <c r="U730" s="48" t="s">
        <v>1271</v>
      </c>
      <c r="V730" s="48" t="s">
        <v>378</v>
      </c>
      <c r="W730" s="48"/>
    </row>
    <row r="731" spans="1:23" ht="15.75" x14ac:dyDescent="0.25">
      <c r="A731" s="48" t="s">
        <v>627</v>
      </c>
      <c r="B731" s="49">
        <v>45803</v>
      </c>
      <c r="C731" s="48" t="s">
        <v>916</v>
      </c>
      <c r="D731" s="48" t="s">
        <v>441</v>
      </c>
      <c r="E731" s="48" t="s">
        <v>858</v>
      </c>
      <c r="F731" s="48" t="s">
        <v>21</v>
      </c>
      <c r="G731" s="48" t="s">
        <v>22</v>
      </c>
      <c r="H731" s="48" t="s">
        <v>27</v>
      </c>
      <c r="I731" s="48" t="s">
        <v>591</v>
      </c>
      <c r="J731" s="48" t="s">
        <v>24</v>
      </c>
      <c r="K731" s="48" t="s">
        <v>22</v>
      </c>
      <c r="L731" s="48" t="s">
        <v>1132</v>
      </c>
      <c r="M731" s="48" t="s">
        <v>26</v>
      </c>
      <c r="N731" s="48" t="s">
        <v>20</v>
      </c>
      <c r="O731" s="48" t="s">
        <v>857</v>
      </c>
      <c r="P731" s="50">
        <v>3000000</v>
      </c>
      <c r="Q731" s="50">
        <v>1</v>
      </c>
      <c r="R731" s="50">
        <v>3000000</v>
      </c>
      <c r="S731" s="74">
        <v>45833</v>
      </c>
      <c r="T731" s="48" t="s">
        <v>311</v>
      </c>
      <c r="U731" s="48" t="s">
        <v>22</v>
      </c>
      <c r="V731" s="48" t="s">
        <v>857</v>
      </c>
      <c r="W731" s="48"/>
    </row>
    <row r="732" spans="1:23" ht="15.75" x14ac:dyDescent="0.25">
      <c r="A732" s="48" t="s">
        <v>730</v>
      </c>
      <c r="B732" s="49">
        <v>45825</v>
      </c>
      <c r="C732" s="48" t="s">
        <v>924</v>
      </c>
      <c r="D732" s="48" t="s">
        <v>509</v>
      </c>
      <c r="E732" s="48" t="s">
        <v>858</v>
      </c>
      <c r="F732" s="48" t="s">
        <v>373</v>
      </c>
      <c r="G732" s="48" t="s">
        <v>483</v>
      </c>
      <c r="H732" s="48" t="s">
        <v>27</v>
      </c>
      <c r="I732" s="48" t="s">
        <v>532</v>
      </c>
      <c r="J732" s="48" t="s">
        <v>72</v>
      </c>
      <c r="K732" s="48" t="s">
        <v>304</v>
      </c>
      <c r="L732" s="48" t="s">
        <v>1133</v>
      </c>
      <c r="M732" s="48" t="s">
        <v>26</v>
      </c>
      <c r="N732" s="48" t="s">
        <v>20</v>
      </c>
      <c r="O732" s="48" t="s">
        <v>857</v>
      </c>
      <c r="P732" s="50">
        <v>4109605.5</v>
      </c>
      <c r="Q732" s="50">
        <v>1</v>
      </c>
      <c r="R732" s="50">
        <v>4109605.5</v>
      </c>
      <c r="S732" s="74">
        <v>45832</v>
      </c>
      <c r="T732" s="48" t="s">
        <v>461</v>
      </c>
      <c r="U732" s="48" t="s">
        <v>304</v>
      </c>
      <c r="V732" s="48" t="s">
        <v>857</v>
      </c>
      <c r="W732" s="48"/>
    </row>
    <row r="733" spans="1:23" ht="15.75" x14ac:dyDescent="0.25">
      <c r="A733" s="48" t="s">
        <v>306</v>
      </c>
      <c r="B733" s="49">
        <v>45824</v>
      </c>
      <c r="C733" s="48" t="s">
        <v>1506</v>
      </c>
      <c r="D733" s="48" t="s">
        <v>1118</v>
      </c>
      <c r="E733" s="48" t="s">
        <v>858</v>
      </c>
      <c r="F733" s="48" t="s">
        <v>62</v>
      </c>
      <c r="G733" s="48" t="s">
        <v>70</v>
      </c>
      <c r="H733" s="48" t="s">
        <v>70</v>
      </c>
      <c r="I733" s="48" t="s">
        <v>307</v>
      </c>
      <c r="J733" s="48" t="s">
        <v>72</v>
      </c>
      <c r="K733" s="48" t="s">
        <v>213</v>
      </c>
      <c r="L733" s="48" t="s">
        <v>1134</v>
      </c>
      <c r="M733" s="48" t="s">
        <v>67</v>
      </c>
      <c r="N733" s="48" t="s">
        <v>20</v>
      </c>
      <c r="O733" s="48" t="s">
        <v>857</v>
      </c>
      <c r="P733" s="50">
        <v>174067.4</v>
      </c>
      <c r="Q733" s="50">
        <v>4.5700901448959899</v>
      </c>
      <c r="R733" s="50">
        <v>795503.70928766823</v>
      </c>
      <c r="S733" s="74">
        <v>45832</v>
      </c>
      <c r="T733" s="48" t="s">
        <v>308</v>
      </c>
      <c r="U733" s="48" t="s">
        <v>213</v>
      </c>
      <c r="V733" s="48" t="s">
        <v>857</v>
      </c>
      <c r="W733" s="48"/>
    </row>
    <row r="734" spans="1:23" ht="15.75" x14ac:dyDescent="0.25">
      <c r="A734" s="48" t="s">
        <v>730</v>
      </c>
      <c r="B734" s="49">
        <v>45825</v>
      </c>
      <c r="C734" s="48" t="s">
        <v>918</v>
      </c>
      <c r="D734" s="48" t="s">
        <v>509</v>
      </c>
      <c r="E734" s="48" t="s">
        <v>858</v>
      </c>
      <c r="F734" s="48" t="s">
        <v>373</v>
      </c>
      <c r="G734" s="48" t="s">
        <v>483</v>
      </c>
      <c r="H734" s="48" t="s">
        <v>27</v>
      </c>
      <c r="I734" s="48" t="s">
        <v>532</v>
      </c>
      <c r="J734" s="48" t="s">
        <v>72</v>
      </c>
      <c r="K734" s="48" t="s">
        <v>304</v>
      </c>
      <c r="L734" s="48" t="s">
        <v>1133</v>
      </c>
      <c r="M734" s="48" t="s">
        <v>26</v>
      </c>
      <c r="N734" s="48" t="s">
        <v>20</v>
      </c>
      <c r="O734" s="48" t="s">
        <v>857</v>
      </c>
      <c r="P734" s="50">
        <v>5890394.5</v>
      </c>
      <c r="Q734" s="50">
        <v>1</v>
      </c>
      <c r="R734" s="50">
        <v>5890394.5</v>
      </c>
      <c r="S734" s="74">
        <v>45832</v>
      </c>
      <c r="T734" s="48" t="s">
        <v>461</v>
      </c>
      <c r="U734" s="48" t="s">
        <v>304</v>
      </c>
      <c r="V734" s="48" t="s">
        <v>857</v>
      </c>
      <c r="W734" s="48" t="s">
        <v>1505</v>
      </c>
    </row>
    <row r="735" spans="1:23" ht="15.75" x14ac:dyDescent="0.25">
      <c r="A735" s="48" t="s">
        <v>446</v>
      </c>
      <c r="B735" s="49">
        <v>45790</v>
      </c>
      <c r="C735" s="48" t="s">
        <v>916</v>
      </c>
      <c r="D735" s="48" t="s">
        <v>441</v>
      </c>
      <c r="E735" s="48" t="s">
        <v>858</v>
      </c>
      <c r="F735" s="48" t="s">
        <v>95</v>
      </c>
      <c r="G735" s="48" t="s">
        <v>96</v>
      </c>
      <c r="H735" s="48" t="s">
        <v>27</v>
      </c>
      <c r="I735" s="48" t="s">
        <v>447</v>
      </c>
      <c r="J735" s="48" t="s">
        <v>24</v>
      </c>
      <c r="K735" s="48" t="s">
        <v>22</v>
      </c>
      <c r="L735" s="48" t="s">
        <v>1132</v>
      </c>
      <c r="M735" s="48" t="s">
        <v>26</v>
      </c>
      <c r="N735" s="48" t="s">
        <v>20</v>
      </c>
      <c r="O735" s="48" t="s">
        <v>378</v>
      </c>
      <c r="P735" s="50">
        <v>499521.42</v>
      </c>
      <c r="Q735" s="50">
        <v>1</v>
      </c>
      <c r="R735" s="50">
        <v>499521.42</v>
      </c>
      <c r="S735" s="74">
        <v>45832</v>
      </c>
      <c r="T735" s="48" t="s">
        <v>311</v>
      </c>
      <c r="U735" s="48" t="s">
        <v>1448</v>
      </c>
      <c r="V735" s="48" t="s">
        <v>378</v>
      </c>
      <c r="W735" s="48"/>
    </row>
    <row r="736" spans="1:23" ht="15.75" x14ac:dyDescent="0.25">
      <c r="A736" s="48" t="s">
        <v>713</v>
      </c>
      <c r="B736" s="49">
        <v>45784</v>
      </c>
      <c r="C736" s="48" t="s">
        <v>916</v>
      </c>
      <c r="D736" s="48" t="s">
        <v>441</v>
      </c>
      <c r="E736" s="48" t="s">
        <v>858</v>
      </c>
      <c r="F736" s="48" t="s">
        <v>366</v>
      </c>
      <c r="G736" s="48" t="s">
        <v>710</v>
      </c>
      <c r="H736" s="48" t="s">
        <v>27</v>
      </c>
      <c r="I736" s="48" t="s">
        <v>714</v>
      </c>
      <c r="J736" s="48" t="s">
        <v>24</v>
      </c>
      <c r="K736" s="48" t="s">
        <v>710</v>
      </c>
      <c r="L736" s="48" t="s">
        <v>1209</v>
      </c>
      <c r="M736" s="48" t="s">
        <v>26</v>
      </c>
      <c r="N736" s="48" t="s">
        <v>20</v>
      </c>
      <c r="O736" s="48" t="s">
        <v>857</v>
      </c>
      <c r="P736" s="50">
        <v>525035.56000000006</v>
      </c>
      <c r="Q736" s="50">
        <v>1</v>
      </c>
      <c r="R736" s="50">
        <v>525035.56000000006</v>
      </c>
      <c r="S736" s="74">
        <v>45832</v>
      </c>
      <c r="T736" s="48" t="s">
        <v>311</v>
      </c>
      <c r="U736" s="48" t="s">
        <v>710</v>
      </c>
      <c r="V736" s="48" t="s">
        <v>857</v>
      </c>
      <c r="W736" s="48"/>
    </row>
    <row r="737" spans="1:23" ht="15.75" x14ac:dyDescent="0.25">
      <c r="A737" s="48" t="s">
        <v>653</v>
      </c>
      <c r="B737" s="49">
        <v>45790</v>
      </c>
      <c r="C737" s="48" t="s">
        <v>918</v>
      </c>
      <c r="D737" s="48" t="s">
        <v>441</v>
      </c>
      <c r="E737" s="48" t="s">
        <v>858</v>
      </c>
      <c r="F737" s="48" t="s">
        <v>95</v>
      </c>
      <c r="G737" s="48" t="s">
        <v>96</v>
      </c>
      <c r="H737" s="48" t="s">
        <v>27</v>
      </c>
      <c r="I737" s="48" t="s">
        <v>263</v>
      </c>
      <c r="J737" s="48" t="s">
        <v>24</v>
      </c>
      <c r="K737" s="48" t="s">
        <v>22</v>
      </c>
      <c r="L737" s="48" t="s">
        <v>1132</v>
      </c>
      <c r="M737" s="48" t="s">
        <v>26</v>
      </c>
      <c r="N737" s="48" t="s">
        <v>20</v>
      </c>
      <c r="O737" s="48" t="s">
        <v>378</v>
      </c>
      <c r="P737" s="50">
        <v>64823.55</v>
      </c>
      <c r="Q737" s="50">
        <v>1</v>
      </c>
      <c r="R737" s="50">
        <v>64823.55</v>
      </c>
      <c r="S737" s="74">
        <v>45830</v>
      </c>
      <c r="T737" s="48" t="s">
        <v>311</v>
      </c>
      <c r="U737" s="48" t="s">
        <v>1448</v>
      </c>
      <c r="V737" s="48" t="s">
        <v>378</v>
      </c>
      <c r="W737" s="48"/>
    </row>
    <row r="738" spans="1:23" ht="15.75" x14ac:dyDescent="0.25">
      <c r="A738" s="48" t="s">
        <v>676</v>
      </c>
      <c r="B738" s="49">
        <v>45767</v>
      </c>
      <c r="C738" s="48" t="s">
        <v>916</v>
      </c>
      <c r="D738" s="48" t="s">
        <v>509</v>
      </c>
      <c r="E738" s="48" t="s">
        <v>856</v>
      </c>
      <c r="F738" s="48" t="s">
        <v>95</v>
      </c>
      <c r="G738" s="48" t="s">
        <v>96</v>
      </c>
      <c r="H738" s="48" t="s">
        <v>27</v>
      </c>
      <c r="I738" s="48" t="s">
        <v>538</v>
      </c>
      <c r="J738" s="48" t="s">
        <v>24</v>
      </c>
      <c r="K738" s="48" t="s">
        <v>407</v>
      </c>
      <c r="L738" s="48" t="s">
        <v>1131</v>
      </c>
      <c r="M738" s="48" t="s">
        <v>26</v>
      </c>
      <c r="N738" s="48" t="s">
        <v>20</v>
      </c>
      <c r="O738" s="48" t="s">
        <v>378</v>
      </c>
      <c r="P738" s="50">
        <v>900000</v>
      </c>
      <c r="Q738" s="50">
        <v>1</v>
      </c>
      <c r="R738" s="50">
        <v>900000</v>
      </c>
      <c r="S738" s="74">
        <v>45830</v>
      </c>
      <c r="T738" s="48" t="s">
        <v>311</v>
      </c>
      <c r="U738" s="48" t="s">
        <v>511</v>
      </c>
      <c r="V738" s="48" t="s">
        <v>378</v>
      </c>
      <c r="W738" s="48"/>
    </row>
    <row r="739" spans="1:23" ht="15.75" x14ac:dyDescent="0.25">
      <c r="A739" s="48" t="s">
        <v>581</v>
      </c>
      <c r="B739" s="49">
        <v>45812</v>
      </c>
      <c r="C739" s="48" t="s">
        <v>916</v>
      </c>
      <c r="D739" s="48" t="s">
        <v>441</v>
      </c>
      <c r="E739" s="48" t="s">
        <v>858</v>
      </c>
      <c r="F739" s="48" t="s">
        <v>373</v>
      </c>
      <c r="G739" s="48" t="s">
        <v>483</v>
      </c>
      <c r="H739" s="48" t="s">
        <v>27</v>
      </c>
      <c r="I739" s="48" t="s">
        <v>582</v>
      </c>
      <c r="J739" s="48" t="s">
        <v>24</v>
      </c>
      <c r="K739" s="48" t="s">
        <v>22</v>
      </c>
      <c r="L739" s="48" t="s">
        <v>1132</v>
      </c>
      <c r="M739" s="48" t="s">
        <v>26</v>
      </c>
      <c r="N739" s="48" t="s">
        <v>20</v>
      </c>
      <c r="O739" s="48" t="s">
        <v>857</v>
      </c>
      <c r="P739" s="50">
        <v>1584497.6</v>
      </c>
      <c r="Q739" s="50">
        <v>1</v>
      </c>
      <c r="R739" s="50">
        <v>1584497.6</v>
      </c>
      <c r="S739" s="74">
        <v>45830</v>
      </c>
      <c r="T739" s="48" t="s">
        <v>311</v>
      </c>
      <c r="U739" s="48" t="s">
        <v>304</v>
      </c>
      <c r="V739" s="48" t="s">
        <v>378</v>
      </c>
      <c r="W739" s="48"/>
    </row>
    <row r="740" spans="1:23" ht="15.75" x14ac:dyDescent="0.25">
      <c r="A740" s="48" t="s">
        <v>647</v>
      </c>
      <c r="B740" s="49">
        <v>45781</v>
      </c>
      <c r="C740" s="48" t="s">
        <v>918</v>
      </c>
      <c r="D740" s="48" t="s">
        <v>441</v>
      </c>
      <c r="E740" s="48" t="s">
        <v>858</v>
      </c>
      <c r="F740" s="48" t="s">
        <v>21</v>
      </c>
      <c r="G740" s="48" t="s">
        <v>22</v>
      </c>
      <c r="H740" s="48" t="s">
        <v>27</v>
      </c>
      <c r="I740" s="48" t="s">
        <v>648</v>
      </c>
      <c r="J740" s="48" t="s">
        <v>24</v>
      </c>
      <c r="K740" s="48" t="s">
        <v>22</v>
      </c>
      <c r="L740" s="48" t="s">
        <v>1132</v>
      </c>
      <c r="M740" s="48" t="s">
        <v>26</v>
      </c>
      <c r="N740" s="48" t="s">
        <v>20</v>
      </c>
      <c r="O740" s="48" t="s">
        <v>857</v>
      </c>
      <c r="P740" s="50">
        <v>250000</v>
      </c>
      <c r="Q740" s="50">
        <v>1</v>
      </c>
      <c r="R740" s="50">
        <v>250000</v>
      </c>
      <c r="S740" s="74">
        <v>45827</v>
      </c>
      <c r="T740" s="48" t="s">
        <v>311</v>
      </c>
      <c r="U740" s="48" t="s">
        <v>22</v>
      </c>
      <c r="V740" s="48" t="s">
        <v>857</v>
      </c>
      <c r="W740" s="48"/>
    </row>
    <row r="741" spans="1:23" ht="15.75" x14ac:dyDescent="0.25">
      <c r="A741" s="48" t="s">
        <v>739</v>
      </c>
      <c r="B741" s="49">
        <v>45823</v>
      </c>
      <c r="C741" s="48" t="s">
        <v>918</v>
      </c>
      <c r="D741" s="48" t="s">
        <v>509</v>
      </c>
      <c r="E741" s="48" t="s">
        <v>858</v>
      </c>
      <c r="F741" s="48" t="s">
        <v>373</v>
      </c>
      <c r="G741" s="48" t="s">
        <v>63</v>
      </c>
      <c r="H741" s="48" t="s">
        <v>27</v>
      </c>
      <c r="I741" s="48" t="s">
        <v>740</v>
      </c>
      <c r="J741" s="48" t="s">
        <v>72</v>
      </c>
      <c r="K741" s="48" t="s">
        <v>304</v>
      </c>
      <c r="L741" s="48" t="s">
        <v>1133</v>
      </c>
      <c r="M741" s="48" t="s">
        <v>26</v>
      </c>
      <c r="N741" s="48" t="s">
        <v>20</v>
      </c>
      <c r="O741" s="48" t="s">
        <v>857</v>
      </c>
      <c r="P741" s="50">
        <v>3746690.83</v>
      </c>
      <c r="Q741" s="50">
        <v>1</v>
      </c>
      <c r="R741" s="50">
        <v>3746690.83</v>
      </c>
      <c r="S741" s="74">
        <v>45827</v>
      </c>
      <c r="T741" s="48" t="s">
        <v>461</v>
      </c>
      <c r="U741" s="48" t="s">
        <v>304</v>
      </c>
      <c r="V741" s="48" t="s">
        <v>857</v>
      </c>
      <c r="W741" s="48"/>
    </row>
    <row r="742" spans="1:23" ht="15.75" x14ac:dyDescent="0.25">
      <c r="A742" s="48" t="s">
        <v>739</v>
      </c>
      <c r="B742" s="49">
        <v>45809</v>
      </c>
      <c r="C742" s="48" t="s">
        <v>916</v>
      </c>
      <c r="D742" s="48" t="s">
        <v>509</v>
      </c>
      <c r="E742" s="48" t="s">
        <v>858</v>
      </c>
      <c r="F742" s="48" t="s">
        <v>373</v>
      </c>
      <c r="G742" s="48" t="s">
        <v>63</v>
      </c>
      <c r="H742" s="48" t="s">
        <v>27</v>
      </c>
      <c r="I742" s="48" t="s">
        <v>740</v>
      </c>
      <c r="J742" s="48" t="s">
        <v>72</v>
      </c>
      <c r="K742" s="48" t="s">
        <v>304</v>
      </c>
      <c r="L742" s="48" t="s">
        <v>1133</v>
      </c>
      <c r="M742" s="48" t="s">
        <v>26</v>
      </c>
      <c r="N742" s="48" t="s">
        <v>20</v>
      </c>
      <c r="O742" s="48" t="s">
        <v>857</v>
      </c>
      <c r="P742" s="50">
        <v>3819679</v>
      </c>
      <c r="Q742" s="50">
        <v>1</v>
      </c>
      <c r="R742" s="50">
        <v>3819679</v>
      </c>
      <c r="S742" s="74">
        <v>45827</v>
      </c>
      <c r="T742" s="48" t="s">
        <v>461</v>
      </c>
      <c r="U742" s="48" t="s">
        <v>304</v>
      </c>
      <c r="V742" s="48" t="s">
        <v>857</v>
      </c>
      <c r="W742" s="48"/>
    </row>
    <row r="743" spans="1:23" ht="15.75" x14ac:dyDescent="0.25">
      <c r="A743" s="48" t="s">
        <v>584</v>
      </c>
      <c r="B743" s="49">
        <v>45767</v>
      </c>
      <c r="C743" s="48" t="s">
        <v>918</v>
      </c>
      <c r="D743" s="48" t="s">
        <v>441</v>
      </c>
      <c r="E743" s="48" t="s">
        <v>858</v>
      </c>
      <c r="F743" s="48" t="s">
        <v>21</v>
      </c>
      <c r="G743" s="48" t="s">
        <v>22</v>
      </c>
      <c r="H743" s="48" t="s">
        <v>27</v>
      </c>
      <c r="I743" s="48" t="s">
        <v>585</v>
      </c>
      <c r="J743" s="48" t="s">
        <v>24</v>
      </c>
      <c r="K743" s="48" t="s">
        <v>22</v>
      </c>
      <c r="L743" s="48" t="s">
        <v>1132</v>
      </c>
      <c r="M743" s="48" t="s">
        <v>26</v>
      </c>
      <c r="N743" s="48" t="s">
        <v>20</v>
      </c>
      <c r="O743" s="48" t="s">
        <v>857</v>
      </c>
      <c r="P743" s="50">
        <v>54536.47</v>
      </c>
      <c r="Q743" s="50">
        <v>1</v>
      </c>
      <c r="R743" s="50">
        <v>54536.47</v>
      </c>
      <c r="S743" s="74">
        <v>45825</v>
      </c>
      <c r="T743" s="48" t="s">
        <v>311</v>
      </c>
      <c r="U743" s="48" t="s">
        <v>22</v>
      </c>
      <c r="V743" s="48" t="s">
        <v>857</v>
      </c>
      <c r="W743" s="48"/>
    </row>
    <row r="744" spans="1:23" ht="15.75" x14ac:dyDescent="0.25">
      <c r="A744" s="48" t="s">
        <v>588</v>
      </c>
      <c r="B744" s="49">
        <v>45764</v>
      </c>
      <c r="C744" s="48" t="s">
        <v>918</v>
      </c>
      <c r="D744" s="48" t="s">
        <v>441</v>
      </c>
      <c r="E744" s="48" t="s">
        <v>858</v>
      </c>
      <c r="F744" s="48" t="s">
        <v>21</v>
      </c>
      <c r="G744" s="48" t="s">
        <v>22</v>
      </c>
      <c r="H744" s="48" t="s">
        <v>27</v>
      </c>
      <c r="I744" s="48" t="s">
        <v>589</v>
      </c>
      <c r="J744" s="48" t="s">
        <v>24</v>
      </c>
      <c r="K744" s="48" t="s">
        <v>22</v>
      </c>
      <c r="L744" s="48" t="s">
        <v>1132</v>
      </c>
      <c r="M744" s="48" t="s">
        <v>26</v>
      </c>
      <c r="N744" s="48" t="s">
        <v>20</v>
      </c>
      <c r="O744" s="48" t="s">
        <v>857</v>
      </c>
      <c r="P744" s="50">
        <v>262166</v>
      </c>
      <c r="Q744" s="50">
        <v>1</v>
      </c>
      <c r="R744" s="50">
        <v>262166</v>
      </c>
      <c r="S744" s="74">
        <v>45825</v>
      </c>
      <c r="T744" s="48" t="s">
        <v>311</v>
      </c>
      <c r="U744" s="48" t="s">
        <v>22</v>
      </c>
      <c r="V744" s="48" t="s">
        <v>857</v>
      </c>
      <c r="W744" s="48"/>
    </row>
    <row r="745" spans="1:23" ht="15.75" x14ac:dyDescent="0.25">
      <c r="A745" s="48" t="s">
        <v>652</v>
      </c>
      <c r="B745" s="49">
        <v>45756</v>
      </c>
      <c r="C745" s="48" t="s">
        <v>916</v>
      </c>
      <c r="D745" s="48" t="s">
        <v>441</v>
      </c>
      <c r="E745" s="48" t="s">
        <v>856</v>
      </c>
      <c r="F745" s="48" t="s">
        <v>21</v>
      </c>
      <c r="G745" s="48" t="s">
        <v>22</v>
      </c>
      <c r="H745" s="48" t="s">
        <v>27</v>
      </c>
      <c r="I745" s="48" t="s">
        <v>585</v>
      </c>
      <c r="J745" s="48" t="s">
        <v>24</v>
      </c>
      <c r="K745" s="48" t="s">
        <v>22</v>
      </c>
      <c r="L745" s="48" t="s">
        <v>1132</v>
      </c>
      <c r="M745" s="48" t="s">
        <v>26</v>
      </c>
      <c r="N745" s="48" t="s">
        <v>20</v>
      </c>
      <c r="O745" s="48" t="s">
        <v>857</v>
      </c>
      <c r="P745" s="50">
        <v>280239.99</v>
      </c>
      <c r="Q745" s="50">
        <v>1</v>
      </c>
      <c r="R745" s="50">
        <v>280239.99</v>
      </c>
      <c r="S745" s="74">
        <v>45825</v>
      </c>
      <c r="T745" s="48" t="s">
        <v>311</v>
      </c>
      <c r="U745" s="48" t="s">
        <v>22</v>
      </c>
      <c r="V745" s="48" t="s">
        <v>857</v>
      </c>
      <c r="W745" s="48"/>
    </row>
    <row r="746" spans="1:23" ht="15.75" x14ac:dyDescent="0.25">
      <c r="A746" s="48" t="s">
        <v>626</v>
      </c>
      <c r="B746" s="49">
        <v>45743</v>
      </c>
      <c r="C746" s="48" t="s">
        <v>916</v>
      </c>
      <c r="D746" s="48" t="s">
        <v>441</v>
      </c>
      <c r="E746" s="48" t="s">
        <v>856</v>
      </c>
      <c r="F746" s="48" t="s">
        <v>21</v>
      </c>
      <c r="G746" s="48" t="s">
        <v>22</v>
      </c>
      <c r="H746" s="48" t="s">
        <v>27</v>
      </c>
      <c r="I746" s="48" t="s">
        <v>479</v>
      </c>
      <c r="J746" s="48" t="s">
        <v>24</v>
      </c>
      <c r="K746" s="48" t="s">
        <v>22</v>
      </c>
      <c r="L746" s="48" t="s">
        <v>1132</v>
      </c>
      <c r="M746" s="48" t="s">
        <v>26</v>
      </c>
      <c r="N746" s="48" t="s">
        <v>20</v>
      </c>
      <c r="O746" s="48" t="s">
        <v>857</v>
      </c>
      <c r="P746" s="50">
        <v>2000000</v>
      </c>
      <c r="Q746" s="50">
        <v>1</v>
      </c>
      <c r="R746" s="50">
        <v>2000000</v>
      </c>
      <c r="S746" s="74">
        <v>45825</v>
      </c>
      <c r="T746" s="48" t="s">
        <v>311</v>
      </c>
      <c r="U746" s="48" t="s">
        <v>22</v>
      </c>
      <c r="V746" s="48" t="s">
        <v>857</v>
      </c>
      <c r="W746" s="48"/>
    </row>
    <row r="747" spans="1:23" ht="15.75" x14ac:dyDescent="0.25">
      <c r="A747" s="48" t="s">
        <v>656</v>
      </c>
      <c r="B747" s="49">
        <v>45742</v>
      </c>
      <c r="C747" s="48" t="s">
        <v>916</v>
      </c>
      <c r="D747" s="48" t="s">
        <v>441</v>
      </c>
      <c r="E747" s="48" t="s">
        <v>856</v>
      </c>
      <c r="F747" s="48" t="s">
        <v>21</v>
      </c>
      <c r="G747" s="48" t="s">
        <v>22</v>
      </c>
      <c r="H747" s="48" t="s">
        <v>27</v>
      </c>
      <c r="I747" s="48" t="s">
        <v>521</v>
      </c>
      <c r="J747" s="48" t="s">
        <v>24</v>
      </c>
      <c r="K747" s="48" t="s">
        <v>22</v>
      </c>
      <c r="L747" s="48" t="s">
        <v>1132</v>
      </c>
      <c r="M747" s="48" t="s">
        <v>26</v>
      </c>
      <c r="N747" s="48" t="s">
        <v>20</v>
      </c>
      <c r="O747" s="48" t="s">
        <v>857</v>
      </c>
      <c r="P747" s="50">
        <v>400000</v>
      </c>
      <c r="Q747" s="50">
        <v>1</v>
      </c>
      <c r="R747" s="50">
        <v>400000</v>
      </c>
      <c r="S747" s="74">
        <v>45825</v>
      </c>
      <c r="T747" s="48" t="s">
        <v>311</v>
      </c>
      <c r="U747" s="48" t="s">
        <v>22</v>
      </c>
      <c r="V747" s="48" t="s">
        <v>857</v>
      </c>
      <c r="W747" s="48"/>
    </row>
    <row r="748" spans="1:23" ht="15.75" x14ac:dyDescent="0.25">
      <c r="A748" s="48" t="s">
        <v>1127</v>
      </c>
      <c r="B748" s="49">
        <v>45798</v>
      </c>
      <c r="C748" s="48" t="s">
        <v>916</v>
      </c>
      <c r="D748" s="48" t="s">
        <v>1878</v>
      </c>
      <c r="E748" s="48" t="s">
        <v>858</v>
      </c>
      <c r="F748" s="48" t="s">
        <v>366</v>
      </c>
      <c r="G748" s="48" t="s">
        <v>367</v>
      </c>
      <c r="H748" s="48" t="s">
        <v>27</v>
      </c>
      <c r="I748" s="48" t="s">
        <v>729</v>
      </c>
      <c r="J748" s="48" t="s">
        <v>3220</v>
      </c>
      <c r="K748" s="48" t="s">
        <v>367</v>
      </c>
      <c r="L748" s="48" t="s">
        <v>1136</v>
      </c>
      <c r="M748" s="48" t="s">
        <v>191</v>
      </c>
      <c r="N748" s="48" t="s">
        <v>20</v>
      </c>
      <c r="O748" s="48" t="s">
        <v>857</v>
      </c>
      <c r="P748" s="50">
        <v>1142444.58</v>
      </c>
      <c r="Q748" s="50">
        <v>1.0265</v>
      </c>
      <c r="R748" s="50">
        <v>1172719.3613700001</v>
      </c>
      <c r="S748" s="74">
        <v>45824</v>
      </c>
      <c r="T748" s="48" t="s">
        <v>425</v>
      </c>
      <c r="U748" s="48" t="s">
        <v>367</v>
      </c>
      <c r="V748" s="48" t="s">
        <v>857</v>
      </c>
      <c r="W748" s="48"/>
    </row>
    <row r="749" spans="1:23" ht="15.75" x14ac:dyDescent="0.25">
      <c r="A749" s="48" t="s">
        <v>306</v>
      </c>
      <c r="B749" s="49">
        <v>45799</v>
      </c>
      <c r="C749" s="48" t="s">
        <v>1477</v>
      </c>
      <c r="D749" s="48" t="s">
        <v>1118</v>
      </c>
      <c r="E749" s="48" t="s">
        <v>858</v>
      </c>
      <c r="F749" s="48" t="s">
        <v>62</v>
      </c>
      <c r="G749" s="48" t="s">
        <v>70</v>
      </c>
      <c r="H749" s="48" t="s">
        <v>70</v>
      </c>
      <c r="I749" s="48" t="s">
        <v>307</v>
      </c>
      <c r="J749" s="48" t="s">
        <v>72</v>
      </c>
      <c r="K749" s="48" t="s">
        <v>213</v>
      </c>
      <c r="L749" s="48" t="s">
        <v>1134</v>
      </c>
      <c r="M749" s="48" t="s">
        <v>67</v>
      </c>
      <c r="N749" s="48" t="s">
        <v>20</v>
      </c>
      <c r="O749" s="48" t="s">
        <v>857</v>
      </c>
      <c r="P749" s="50">
        <v>119401.88</v>
      </c>
      <c r="Q749" s="50">
        <v>4.5700901448959899</v>
      </c>
      <c r="R749" s="50">
        <v>545677.3550700536</v>
      </c>
      <c r="S749" s="74">
        <v>45824</v>
      </c>
      <c r="T749" s="48" t="s">
        <v>308</v>
      </c>
      <c r="U749" s="48" t="s">
        <v>213</v>
      </c>
      <c r="V749" s="48" t="s">
        <v>857</v>
      </c>
      <c r="W749" s="48"/>
    </row>
    <row r="750" spans="1:23" ht="15.75" x14ac:dyDescent="0.25">
      <c r="A750" s="48" t="s">
        <v>1189</v>
      </c>
      <c r="B750" s="49">
        <v>45805</v>
      </c>
      <c r="C750" s="48" t="s">
        <v>916</v>
      </c>
      <c r="D750" s="48" t="s">
        <v>441</v>
      </c>
      <c r="E750" s="48" t="s">
        <v>858</v>
      </c>
      <c r="F750" s="48" t="s">
        <v>366</v>
      </c>
      <c r="G750" s="48" t="s">
        <v>710</v>
      </c>
      <c r="H750" s="48" t="s">
        <v>27</v>
      </c>
      <c r="I750" s="48" t="s">
        <v>1122</v>
      </c>
      <c r="J750" s="48" t="s">
        <v>24</v>
      </c>
      <c r="K750" s="48" t="s">
        <v>710</v>
      </c>
      <c r="L750" s="48" t="s">
        <v>1209</v>
      </c>
      <c r="M750" s="48" t="s">
        <v>26</v>
      </c>
      <c r="N750" s="48" t="s">
        <v>20</v>
      </c>
      <c r="O750" s="48" t="s">
        <v>857</v>
      </c>
      <c r="P750" s="50">
        <v>543801.07999999996</v>
      </c>
      <c r="Q750" s="50">
        <v>1</v>
      </c>
      <c r="R750" s="50">
        <v>543801.07999999996</v>
      </c>
      <c r="S750" s="74">
        <v>45823</v>
      </c>
      <c r="T750" s="48" t="s">
        <v>425</v>
      </c>
      <c r="U750" s="48" t="s">
        <v>710</v>
      </c>
      <c r="V750" s="48" t="s">
        <v>857</v>
      </c>
      <c r="W750" s="48"/>
    </row>
    <row r="751" spans="1:23" ht="15.75" x14ac:dyDescent="0.25">
      <c r="A751" s="48" t="s">
        <v>506</v>
      </c>
      <c r="B751" s="49">
        <v>45768</v>
      </c>
      <c r="C751" s="48" t="s">
        <v>928</v>
      </c>
      <c r="D751" s="48" t="s">
        <v>509</v>
      </c>
      <c r="E751" s="48" t="s">
        <v>858</v>
      </c>
      <c r="F751" s="48" t="s">
        <v>373</v>
      </c>
      <c r="G751" s="48" t="s">
        <v>483</v>
      </c>
      <c r="H751" s="48" t="s">
        <v>27</v>
      </c>
      <c r="I751" s="48" t="s">
        <v>507</v>
      </c>
      <c r="J751" s="48" t="s">
        <v>72</v>
      </c>
      <c r="K751" s="48" t="s">
        <v>407</v>
      </c>
      <c r="L751" s="48" t="s">
        <v>1131</v>
      </c>
      <c r="M751" s="48" t="s">
        <v>26</v>
      </c>
      <c r="N751" s="48" t="s">
        <v>20</v>
      </c>
      <c r="O751" s="48" t="s">
        <v>857</v>
      </c>
      <c r="P751" s="50">
        <v>1013681.9</v>
      </c>
      <c r="Q751" s="50">
        <v>1</v>
      </c>
      <c r="R751" s="50">
        <v>1013681.9</v>
      </c>
      <c r="S751" s="74">
        <v>45823</v>
      </c>
      <c r="T751" s="48" t="s">
        <v>425</v>
      </c>
      <c r="U751" s="48" t="s">
        <v>304</v>
      </c>
      <c r="V751" s="48" t="s">
        <v>378</v>
      </c>
      <c r="W751" s="48"/>
    </row>
    <row r="752" spans="1:23" ht="15.75" x14ac:dyDescent="0.25">
      <c r="A752" s="48" t="s">
        <v>1191</v>
      </c>
      <c r="B752" s="49">
        <v>45784</v>
      </c>
      <c r="C752" s="48" t="s">
        <v>916</v>
      </c>
      <c r="D752" s="48" t="s">
        <v>509</v>
      </c>
      <c r="E752" s="48" t="s">
        <v>858</v>
      </c>
      <c r="F752" s="48" t="s">
        <v>21</v>
      </c>
      <c r="G752" s="48" t="s">
        <v>22</v>
      </c>
      <c r="H752" s="48" t="s">
        <v>27</v>
      </c>
      <c r="I752" s="48" t="s">
        <v>781</v>
      </c>
      <c r="J752" s="48" t="s">
        <v>72</v>
      </c>
      <c r="K752" s="48" t="s">
        <v>511</v>
      </c>
      <c r="L752" s="48" t="s">
        <v>1236</v>
      </c>
      <c r="M752" s="48" t="s">
        <v>26</v>
      </c>
      <c r="N752" s="48" t="s">
        <v>20</v>
      </c>
      <c r="O752" s="48" t="s">
        <v>857</v>
      </c>
      <c r="P752" s="50">
        <v>689500</v>
      </c>
      <c r="Q752" s="50">
        <v>1</v>
      </c>
      <c r="R752" s="50">
        <v>689500</v>
      </c>
      <c r="S752" s="74">
        <v>45823</v>
      </c>
      <c r="T752" s="48" t="s">
        <v>1886</v>
      </c>
      <c r="U752" s="48" t="s">
        <v>511</v>
      </c>
      <c r="V752" s="48" t="s">
        <v>857</v>
      </c>
      <c r="W752" s="48"/>
    </row>
    <row r="753" spans="1:23" ht="15.75" x14ac:dyDescent="0.25">
      <c r="A753" s="48" t="s">
        <v>672</v>
      </c>
      <c r="B753" s="49">
        <v>45812</v>
      </c>
      <c r="C753" s="48" t="s">
        <v>1016</v>
      </c>
      <c r="D753" s="48" t="s">
        <v>1119</v>
      </c>
      <c r="E753" s="48" t="s">
        <v>856</v>
      </c>
      <c r="F753" s="48" t="s">
        <v>366</v>
      </c>
      <c r="G753" s="48" t="s">
        <v>367</v>
      </c>
      <c r="H753" s="48" t="s">
        <v>27</v>
      </c>
      <c r="I753" s="48" t="s">
        <v>469</v>
      </c>
      <c r="J753" s="48" t="s">
        <v>72</v>
      </c>
      <c r="K753" s="48" t="s">
        <v>367</v>
      </c>
      <c r="L753" s="48" t="s">
        <v>1136</v>
      </c>
      <c r="M753" s="48" t="s">
        <v>191</v>
      </c>
      <c r="N753" s="48" t="s">
        <v>20</v>
      </c>
      <c r="O753" s="48" t="s">
        <v>857</v>
      </c>
      <c r="P753" s="50">
        <v>125254.86</v>
      </c>
      <c r="Q753" s="50">
        <v>1.0261</v>
      </c>
      <c r="R753" s="50">
        <v>128524.01184600001</v>
      </c>
      <c r="S753" s="74">
        <v>45819</v>
      </c>
      <c r="T753" s="48" t="s">
        <v>208</v>
      </c>
      <c r="U753" s="48" t="s">
        <v>367</v>
      </c>
      <c r="V753" s="48" t="s">
        <v>857</v>
      </c>
      <c r="W753" s="48"/>
    </row>
    <row r="754" spans="1:23" ht="15.75" x14ac:dyDescent="0.25">
      <c r="A754" s="48" t="s">
        <v>1229</v>
      </c>
      <c r="B754" s="49">
        <v>45811</v>
      </c>
      <c r="C754" s="48" t="s">
        <v>916</v>
      </c>
      <c r="D754" s="48" t="s">
        <v>1878</v>
      </c>
      <c r="E754" s="48" t="s">
        <v>856</v>
      </c>
      <c r="F754" s="48" t="s">
        <v>366</v>
      </c>
      <c r="G754" s="48" t="s">
        <v>367</v>
      </c>
      <c r="H754" s="48" t="s">
        <v>27</v>
      </c>
      <c r="I754" s="48" t="s">
        <v>1192</v>
      </c>
      <c r="J754" s="48" t="s">
        <v>3220</v>
      </c>
      <c r="K754" s="48" t="s">
        <v>367</v>
      </c>
      <c r="L754" s="48" t="s">
        <v>1136</v>
      </c>
      <c r="M754" s="48" t="s">
        <v>191</v>
      </c>
      <c r="N754" s="48" t="s">
        <v>20</v>
      </c>
      <c r="O754" s="48" t="s">
        <v>857</v>
      </c>
      <c r="P754" s="50">
        <v>912000</v>
      </c>
      <c r="Q754" s="50">
        <v>1.0261</v>
      </c>
      <c r="R754" s="50">
        <v>935803.2</v>
      </c>
      <c r="S754" s="74">
        <v>45819</v>
      </c>
      <c r="T754" s="48" t="s">
        <v>208</v>
      </c>
      <c r="U754" s="48" t="s">
        <v>367</v>
      </c>
      <c r="V754" s="48" t="s">
        <v>857</v>
      </c>
      <c r="W754" s="48"/>
    </row>
    <row r="755" spans="1:23" ht="15.75" x14ac:dyDescent="0.25">
      <c r="A755" s="48" t="s">
        <v>780</v>
      </c>
      <c r="B755" s="49">
        <v>45762</v>
      </c>
      <c r="C755" s="48" t="s">
        <v>916</v>
      </c>
      <c r="D755" s="48" t="s">
        <v>441</v>
      </c>
      <c r="E755" s="48" t="s">
        <v>858</v>
      </c>
      <c r="F755" s="48" t="s">
        <v>366</v>
      </c>
      <c r="G755" s="48" t="s">
        <v>710</v>
      </c>
      <c r="H755" s="48" t="s">
        <v>27</v>
      </c>
      <c r="I755" s="48" t="s">
        <v>1789</v>
      </c>
      <c r="J755" s="48" t="s">
        <v>24</v>
      </c>
      <c r="K755" s="48" t="s">
        <v>710</v>
      </c>
      <c r="L755" s="48" t="s">
        <v>1209</v>
      </c>
      <c r="M755" s="48" t="s">
        <v>26</v>
      </c>
      <c r="N755" s="48" t="s">
        <v>20</v>
      </c>
      <c r="O755" s="48" t="s">
        <v>857</v>
      </c>
      <c r="P755" s="50">
        <v>500000</v>
      </c>
      <c r="Q755" s="50">
        <v>1</v>
      </c>
      <c r="R755" s="50">
        <v>500000</v>
      </c>
      <c r="S755" s="74">
        <v>45818</v>
      </c>
      <c r="T755" s="48" t="s">
        <v>311</v>
      </c>
      <c r="U755" s="48" t="s">
        <v>710</v>
      </c>
      <c r="V755" s="48" t="s">
        <v>857</v>
      </c>
      <c r="W755" s="48"/>
    </row>
    <row r="756" spans="1:23" ht="15.75" x14ac:dyDescent="0.25">
      <c r="A756" s="48" t="s">
        <v>673</v>
      </c>
      <c r="B756" s="49">
        <v>45740</v>
      </c>
      <c r="C756" s="48" t="s">
        <v>916</v>
      </c>
      <c r="D756" s="48" t="s">
        <v>509</v>
      </c>
      <c r="E756" s="48" t="s">
        <v>856</v>
      </c>
      <c r="F756" s="48" t="s">
        <v>95</v>
      </c>
      <c r="G756" s="48" t="s">
        <v>96</v>
      </c>
      <c r="H756" s="48" t="s">
        <v>27</v>
      </c>
      <c r="I756" s="48" t="s">
        <v>406</v>
      </c>
      <c r="J756" s="48" t="s">
        <v>24</v>
      </c>
      <c r="K756" s="48" t="s">
        <v>407</v>
      </c>
      <c r="L756" s="48" t="s">
        <v>1131</v>
      </c>
      <c r="M756" s="48" t="s">
        <v>26</v>
      </c>
      <c r="N756" s="48" t="s">
        <v>20</v>
      </c>
      <c r="O756" s="48" t="s">
        <v>378</v>
      </c>
      <c r="P756" s="50">
        <v>900000</v>
      </c>
      <c r="Q756" s="50">
        <v>1</v>
      </c>
      <c r="R756" s="50">
        <v>900000</v>
      </c>
      <c r="S756" s="74">
        <v>45816</v>
      </c>
      <c r="T756" s="48" t="s">
        <v>311</v>
      </c>
      <c r="U756" s="48" t="s">
        <v>407</v>
      </c>
      <c r="V756" s="48" t="s">
        <v>857</v>
      </c>
      <c r="W756" s="48"/>
    </row>
    <row r="757" spans="1:23" ht="15.75" x14ac:dyDescent="0.25">
      <c r="A757" s="48" t="s">
        <v>653</v>
      </c>
      <c r="B757" s="49">
        <v>45755</v>
      </c>
      <c r="C757" s="48" t="s">
        <v>916</v>
      </c>
      <c r="D757" s="48" t="s">
        <v>441</v>
      </c>
      <c r="E757" s="48" t="s">
        <v>856</v>
      </c>
      <c r="F757" s="48" t="s">
        <v>95</v>
      </c>
      <c r="G757" s="48" t="s">
        <v>96</v>
      </c>
      <c r="H757" s="48" t="s">
        <v>27</v>
      </c>
      <c r="I757" s="48" t="s">
        <v>263</v>
      </c>
      <c r="J757" s="48" t="s">
        <v>24</v>
      </c>
      <c r="K757" s="48" t="s">
        <v>22</v>
      </c>
      <c r="L757" s="48" t="s">
        <v>1132</v>
      </c>
      <c r="M757" s="48" t="s">
        <v>26</v>
      </c>
      <c r="N757" s="48" t="s">
        <v>20</v>
      </c>
      <c r="O757" s="48" t="s">
        <v>378</v>
      </c>
      <c r="P757" s="50">
        <v>525809.39</v>
      </c>
      <c r="Q757" s="50">
        <v>1</v>
      </c>
      <c r="R757" s="50">
        <v>525809.39</v>
      </c>
      <c r="S757" s="74">
        <v>45813</v>
      </c>
      <c r="T757" s="48" t="s">
        <v>311</v>
      </c>
      <c r="U757" s="48" t="s">
        <v>22</v>
      </c>
      <c r="V757" s="48" t="s">
        <v>857</v>
      </c>
      <c r="W757" s="48"/>
    </row>
    <row r="758" spans="1:23" ht="15.75" x14ac:dyDescent="0.25">
      <c r="A758" s="48" t="s">
        <v>706</v>
      </c>
      <c r="B758" s="49">
        <v>45806</v>
      </c>
      <c r="C758" s="48" t="s">
        <v>928</v>
      </c>
      <c r="D758" s="48" t="s">
        <v>509</v>
      </c>
      <c r="E758" s="48" t="s">
        <v>858</v>
      </c>
      <c r="F758" s="48" t="s">
        <v>373</v>
      </c>
      <c r="G758" s="48" t="s">
        <v>483</v>
      </c>
      <c r="H758" s="48" t="s">
        <v>27</v>
      </c>
      <c r="I758" s="48" t="s">
        <v>609</v>
      </c>
      <c r="J758" s="48" t="s">
        <v>72</v>
      </c>
      <c r="K758" s="48" t="s">
        <v>304</v>
      </c>
      <c r="L758" s="48" t="s">
        <v>1133</v>
      </c>
      <c r="M758" s="48" t="s">
        <v>26</v>
      </c>
      <c r="N758" s="48" t="s">
        <v>20</v>
      </c>
      <c r="O758" s="48" t="s">
        <v>857</v>
      </c>
      <c r="P758" s="50">
        <v>710700</v>
      </c>
      <c r="Q758" s="50">
        <v>1</v>
      </c>
      <c r="R758" s="50">
        <v>710700</v>
      </c>
      <c r="S758" s="74">
        <v>45812</v>
      </c>
      <c r="T758" s="48" t="s">
        <v>305</v>
      </c>
      <c r="U758" s="48" t="s">
        <v>304</v>
      </c>
      <c r="V758" s="48" t="s">
        <v>857</v>
      </c>
      <c r="W758" s="48"/>
    </row>
    <row r="759" spans="1:23" ht="15.75" x14ac:dyDescent="0.25">
      <c r="A759" s="48" t="s">
        <v>672</v>
      </c>
      <c r="B759" s="49">
        <v>45810</v>
      </c>
      <c r="C759" s="48" t="s">
        <v>1015</v>
      </c>
      <c r="D759" s="48" t="s">
        <v>1119</v>
      </c>
      <c r="E759" s="48" t="s">
        <v>856</v>
      </c>
      <c r="F759" s="48" t="s">
        <v>366</v>
      </c>
      <c r="G759" s="48" t="s">
        <v>367</v>
      </c>
      <c r="H759" s="48" t="s">
        <v>27</v>
      </c>
      <c r="I759" s="48" t="s">
        <v>469</v>
      </c>
      <c r="J759" s="48" t="s">
        <v>72</v>
      </c>
      <c r="K759" s="48" t="s">
        <v>367</v>
      </c>
      <c r="L759" s="48" t="s">
        <v>1136</v>
      </c>
      <c r="M759" s="48" t="s">
        <v>191</v>
      </c>
      <c r="N759" s="48" t="s">
        <v>20</v>
      </c>
      <c r="O759" s="48" t="s">
        <v>857</v>
      </c>
      <c r="P759" s="50">
        <v>479537.33</v>
      </c>
      <c r="Q759" s="50">
        <v>1.026</v>
      </c>
      <c r="R759" s="50">
        <v>492005.30058000004</v>
      </c>
      <c r="S759" s="74">
        <v>45812</v>
      </c>
      <c r="T759" s="48" t="s">
        <v>208</v>
      </c>
      <c r="U759" s="48" t="s">
        <v>367</v>
      </c>
      <c r="V759" s="48" t="s">
        <v>857</v>
      </c>
      <c r="W759" s="48"/>
    </row>
    <row r="760" spans="1:23" ht="15.75" x14ac:dyDescent="0.25">
      <c r="A760" s="48" t="s">
        <v>706</v>
      </c>
      <c r="B760" s="49">
        <v>45806</v>
      </c>
      <c r="C760" s="48" t="s">
        <v>933</v>
      </c>
      <c r="D760" s="48" t="s">
        <v>509</v>
      </c>
      <c r="E760" s="48" t="s">
        <v>858</v>
      </c>
      <c r="F760" s="48" t="s">
        <v>373</v>
      </c>
      <c r="G760" s="48" t="s">
        <v>483</v>
      </c>
      <c r="H760" s="48" t="s">
        <v>27</v>
      </c>
      <c r="I760" s="48" t="s">
        <v>609</v>
      </c>
      <c r="J760" s="48" t="s">
        <v>72</v>
      </c>
      <c r="K760" s="48" t="s">
        <v>304</v>
      </c>
      <c r="L760" s="48" t="s">
        <v>1133</v>
      </c>
      <c r="M760" s="48" t="s">
        <v>26</v>
      </c>
      <c r="N760" s="48" t="s">
        <v>20</v>
      </c>
      <c r="O760" s="48" t="s">
        <v>857</v>
      </c>
      <c r="P760" s="50">
        <v>1326525</v>
      </c>
      <c r="Q760" s="50">
        <v>1</v>
      </c>
      <c r="R760" s="50">
        <v>1326525</v>
      </c>
      <c r="S760" s="74">
        <v>45812</v>
      </c>
      <c r="T760" s="48" t="s">
        <v>305</v>
      </c>
      <c r="U760" s="48" t="s">
        <v>304</v>
      </c>
      <c r="V760" s="48" t="s">
        <v>857</v>
      </c>
      <c r="W760" s="48"/>
    </row>
    <row r="761" spans="1:23" ht="15.75" x14ac:dyDescent="0.25">
      <c r="A761" s="48" t="s">
        <v>733</v>
      </c>
      <c r="B761" s="49">
        <v>45778</v>
      </c>
      <c r="C761" s="48" t="s">
        <v>916</v>
      </c>
      <c r="D761" s="48" t="s">
        <v>441</v>
      </c>
      <c r="E761" s="48" t="s">
        <v>856</v>
      </c>
      <c r="F761" s="48" t="s">
        <v>612</v>
      </c>
      <c r="G761" s="48" t="s">
        <v>613</v>
      </c>
      <c r="H761" s="48" t="s">
        <v>27</v>
      </c>
      <c r="I761" s="48" t="s">
        <v>177</v>
      </c>
      <c r="J761" s="48" t="s">
        <v>24</v>
      </c>
      <c r="K761" s="48" t="s">
        <v>613</v>
      </c>
      <c r="L761" s="48" t="s">
        <v>1135</v>
      </c>
      <c r="M761" s="48" t="s">
        <v>26</v>
      </c>
      <c r="N761" s="48" t="s">
        <v>20</v>
      </c>
      <c r="O761" s="48" t="s">
        <v>857</v>
      </c>
      <c r="P761" s="50">
        <v>2667545.56</v>
      </c>
      <c r="Q761" s="50">
        <v>1</v>
      </c>
      <c r="R761" s="50">
        <v>2667545.56</v>
      </c>
      <c r="S761" s="74">
        <v>45811</v>
      </c>
      <c r="T761" s="48" t="s">
        <v>311</v>
      </c>
      <c r="U761" s="48" t="s">
        <v>1450</v>
      </c>
      <c r="V761" s="48" t="s">
        <v>378</v>
      </c>
      <c r="W761" s="48"/>
    </row>
    <row r="762" spans="1:23" ht="15.75" x14ac:dyDescent="0.25">
      <c r="A762" s="48" t="s">
        <v>680</v>
      </c>
      <c r="B762" s="49">
        <v>45790</v>
      </c>
      <c r="C762" s="48" t="s">
        <v>916</v>
      </c>
      <c r="D762" s="48" t="s">
        <v>509</v>
      </c>
      <c r="E762" s="48" t="s">
        <v>858</v>
      </c>
      <c r="F762" s="48" t="s">
        <v>95</v>
      </c>
      <c r="G762" s="48" t="s">
        <v>96</v>
      </c>
      <c r="H762" s="48" t="s">
        <v>27</v>
      </c>
      <c r="I762" s="48" t="s">
        <v>540</v>
      </c>
      <c r="J762" s="48" t="s">
        <v>24</v>
      </c>
      <c r="K762" s="48" t="s">
        <v>407</v>
      </c>
      <c r="L762" s="48" t="s">
        <v>1131</v>
      </c>
      <c r="M762" s="48" t="s">
        <v>26</v>
      </c>
      <c r="N762" s="48" t="s">
        <v>20</v>
      </c>
      <c r="O762" s="48" t="s">
        <v>378</v>
      </c>
      <c r="P762" s="50">
        <v>350000</v>
      </c>
      <c r="Q762" s="50">
        <v>1</v>
      </c>
      <c r="R762" s="50">
        <v>350000</v>
      </c>
      <c r="S762" s="74">
        <v>45811</v>
      </c>
      <c r="T762" s="48" t="s">
        <v>311</v>
      </c>
      <c r="U762" s="48" t="s">
        <v>1448</v>
      </c>
      <c r="V762" s="48" t="s">
        <v>378</v>
      </c>
      <c r="W762" s="48"/>
    </row>
    <row r="763" spans="1:23" ht="15.75" x14ac:dyDescent="0.25">
      <c r="A763" s="48" t="s">
        <v>661</v>
      </c>
      <c r="B763" s="49">
        <v>45734</v>
      </c>
      <c r="C763" s="48" t="s">
        <v>916</v>
      </c>
      <c r="D763" s="48" t="s">
        <v>441</v>
      </c>
      <c r="E763" s="48" t="s">
        <v>858</v>
      </c>
      <c r="F763" s="48" t="s">
        <v>95</v>
      </c>
      <c r="G763" s="48" t="s">
        <v>96</v>
      </c>
      <c r="H763" s="48" t="s">
        <v>27</v>
      </c>
      <c r="I763" s="48" t="s">
        <v>662</v>
      </c>
      <c r="J763" s="48" t="s">
        <v>24</v>
      </c>
      <c r="K763" s="48" t="s">
        <v>22</v>
      </c>
      <c r="L763" s="48" t="s">
        <v>1132</v>
      </c>
      <c r="M763" s="48" t="s">
        <v>26</v>
      </c>
      <c r="N763" s="48" t="s">
        <v>20</v>
      </c>
      <c r="O763" s="48" t="s">
        <v>378</v>
      </c>
      <c r="P763" s="50">
        <v>1000000</v>
      </c>
      <c r="Q763" s="50">
        <v>1</v>
      </c>
      <c r="R763" s="50">
        <v>1000000</v>
      </c>
      <c r="S763" s="74">
        <v>45811</v>
      </c>
      <c r="T763" s="48" t="s">
        <v>311</v>
      </c>
      <c r="U763" s="48" t="s">
        <v>22</v>
      </c>
      <c r="V763" s="48" t="s">
        <v>857</v>
      </c>
      <c r="W763" s="48"/>
    </row>
    <row r="764" spans="1:23" ht="15.75" x14ac:dyDescent="0.25">
      <c r="A764" s="48" t="s">
        <v>730</v>
      </c>
      <c r="B764" s="49">
        <v>45806</v>
      </c>
      <c r="C764" s="48" t="s">
        <v>916</v>
      </c>
      <c r="D764" s="48" t="s">
        <v>509</v>
      </c>
      <c r="E764" s="48" t="s">
        <v>858</v>
      </c>
      <c r="F764" s="48" t="s">
        <v>373</v>
      </c>
      <c r="G764" s="48" t="s">
        <v>483</v>
      </c>
      <c r="H764" s="48" t="s">
        <v>27</v>
      </c>
      <c r="I764" s="48" t="s">
        <v>532</v>
      </c>
      <c r="J764" s="48" t="s">
        <v>72</v>
      </c>
      <c r="K764" s="48" t="s">
        <v>304</v>
      </c>
      <c r="L764" s="48" t="s">
        <v>1133</v>
      </c>
      <c r="M764" s="48" t="s">
        <v>26</v>
      </c>
      <c r="N764" s="48" t="s">
        <v>20</v>
      </c>
      <c r="O764" s="48" t="s">
        <v>857</v>
      </c>
      <c r="P764" s="50">
        <v>20000000</v>
      </c>
      <c r="Q764" s="50">
        <v>1</v>
      </c>
      <c r="R764" s="50">
        <v>20000000</v>
      </c>
      <c r="S764" s="74">
        <v>45810</v>
      </c>
      <c r="T764" s="48" t="s">
        <v>461</v>
      </c>
      <c r="U764" s="48" t="s">
        <v>304</v>
      </c>
      <c r="V764" s="48" t="s">
        <v>857</v>
      </c>
      <c r="W764" s="48"/>
    </row>
    <row r="765" spans="1:23" ht="15.75" x14ac:dyDescent="0.25">
      <c r="A765" s="48" t="s">
        <v>672</v>
      </c>
      <c r="B765" s="49">
        <v>45806</v>
      </c>
      <c r="C765" s="48" t="s">
        <v>1021</v>
      </c>
      <c r="D765" s="48" t="s">
        <v>1119</v>
      </c>
      <c r="E765" s="48" t="s">
        <v>856</v>
      </c>
      <c r="F765" s="48" t="s">
        <v>366</v>
      </c>
      <c r="G765" s="48" t="s">
        <v>367</v>
      </c>
      <c r="H765" s="48" t="s">
        <v>27</v>
      </c>
      <c r="I765" s="48" t="s">
        <v>469</v>
      </c>
      <c r="J765" s="48" t="s">
        <v>72</v>
      </c>
      <c r="K765" s="48" t="s">
        <v>367</v>
      </c>
      <c r="L765" s="48" t="s">
        <v>1136</v>
      </c>
      <c r="M765" s="48" t="s">
        <v>191</v>
      </c>
      <c r="N765" s="48" t="s">
        <v>20</v>
      </c>
      <c r="O765" s="48" t="s">
        <v>857</v>
      </c>
      <c r="P765" s="50">
        <v>225479.8</v>
      </c>
      <c r="Q765" s="50">
        <v>1.0262</v>
      </c>
      <c r="R765" s="50">
        <v>231387.37075999999</v>
      </c>
      <c r="S765" s="74">
        <v>45810</v>
      </c>
      <c r="T765" s="48" t="s">
        <v>208</v>
      </c>
      <c r="U765" s="48" t="s">
        <v>367</v>
      </c>
      <c r="V765" s="48" t="s">
        <v>857</v>
      </c>
      <c r="W765" s="48"/>
    </row>
    <row r="766" spans="1:23" ht="15.75" x14ac:dyDescent="0.25">
      <c r="A766" s="48" t="s">
        <v>363</v>
      </c>
      <c r="B766" s="49">
        <v>45803</v>
      </c>
      <c r="C766" s="48" t="s">
        <v>916</v>
      </c>
      <c r="D766" s="48" t="s">
        <v>441</v>
      </c>
      <c r="E766" s="48" t="s">
        <v>858</v>
      </c>
      <c r="F766" s="48" t="s">
        <v>95</v>
      </c>
      <c r="G766" s="48" t="s">
        <v>96</v>
      </c>
      <c r="H766" s="48" t="s">
        <v>27</v>
      </c>
      <c r="I766" s="48" t="s">
        <v>364</v>
      </c>
      <c r="J766" s="48" t="s">
        <v>24</v>
      </c>
      <c r="K766" s="48" t="s">
        <v>22</v>
      </c>
      <c r="L766" s="48" t="s">
        <v>1132</v>
      </c>
      <c r="M766" s="48" t="s">
        <v>191</v>
      </c>
      <c r="N766" s="48" t="s">
        <v>20</v>
      </c>
      <c r="O766" s="48" t="s">
        <v>378</v>
      </c>
      <c r="P766" s="50">
        <v>1063657</v>
      </c>
      <c r="Q766" s="50">
        <v>1.0327</v>
      </c>
      <c r="R766" s="50">
        <v>1098438.5839</v>
      </c>
      <c r="S766" s="74">
        <v>45809</v>
      </c>
      <c r="T766" s="48" t="s">
        <v>311</v>
      </c>
      <c r="U766" s="48" t="s">
        <v>1427</v>
      </c>
      <c r="V766" s="48" t="s">
        <v>378</v>
      </c>
      <c r="W766" s="48"/>
    </row>
    <row r="767" spans="1:23" ht="15.75" x14ac:dyDescent="0.25">
      <c r="A767" s="48" t="s">
        <v>474</v>
      </c>
      <c r="B767" s="49">
        <v>45734</v>
      </c>
      <c r="C767" s="48" t="s">
        <v>916</v>
      </c>
      <c r="D767" s="48" t="s">
        <v>509</v>
      </c>
      <c r="E767" s="48" t="s">
        <v>856</v>
      </c>
      <c r="F767" s="48" t="s">
        <v>95</v>
      </c>
      <c r="G767" s="48" t="s">
        <v>96</v>
      </c>
      <c r="H767" s="48" t="s">
        <v>27</v>
      </c>
      <c r="I767" s="48" t="s">
        <v>475</v>
      </c>
      <c r="J767" s="48" t="s">
        <v>24</v>
      </c>
      <c r="K767" s="48" t="s">
        <v>407</v>
      </c>
      <c r="L767" s="48" t="s">
        <v>1131</v>
      </c>
      <c r="M767" s="48" t="s">
        <v>26</v>
      </c>
      <c r="N767" s="48" t="s">
        <v>20</v>
      </c>
      <c r="O767" s="48" t="s">
        <v>378</v>
      </c>
      <c r="P767" s="50">
        <v>600000</v>
      </c>
      <c r="Q767" s="50">
        <v>1</v>
      </c>
      <c r="R767" s="50">
        <v>600000</v>
      </c>
      <c r="S767" s="74">
        <v>45809</v>
      </c>
      <c r="T767" s="48" t="s">
        <v>311</v>
      </c>
      <c r="U767" s="48" t="s">
        <v>1460</v>
      </c>
      <c r="V767" s="48" t="s">
        <v>378</v>
      </c>
      <c r="W767" s="48"/>
    </row>
    <row r="768" spans="1:23" ht="15.75" x14ac:dyDescent="0.25">
      <c r="A768" s="48" t="s">
        <v>668</v>
      </c>
      <c r="B768" s="49">
        <v>45783</v>
      </c>
      <c r="C768" s="48" t="s">
        <v>916</v>
      </c>
      <c r="D768" s="48" t="s">
        <v>441</v>
      </c>
      <c r="E768" s="48" t="s">
        <v>858</v>
      </c>
      <c r="F768" s="48" t="s">
        <v>95</v>
      </c>
      <c r="G768" s="48" t="s">
        <v>96</v>
      </c>
      <c r="H768" s="48" t="s">
        <v>27</v>
      </c>
      <c r="I768" s="48" t="s">
        <v>669</v>
      </c>
      <c r="J768" s="48" t="s">
        <v>24</v>
      </c>
      <c r="K768" s="48" t="s">
        <v>22</v>
      </c>
      <c r="L768" s="48" t="s">
        <v>1132</v>
      </c>
      <c r="M768" s="48" t="s">
        <v>26</v>
      </c>
      <c r="N768" s="48" t="s">
        <v>20</v>
      </c>
      <c r="O768" s="48" t="s">
        <v>378</v>
      </c>
      <c r="P768" s="50">
        <v>700000</v>
      </c>
      <c r="Q768" s="50">
        <v>1</v>
      </c>
      <c r="R768" s="50">
        <v>700000</v>
      </c>
      <c r="S768" s="74">
        <v>45809</v>
      </c>
      <c r="T768" s="48" t="s">
        <v>311</v>
      </c>
      <c r="U768" s="48" t="s">
        <v>1427</v>
      </c>
      <c r="V768" s="48" t="s">
        <v>378</v>
      </c>
      <c r="W768" s="48"/>
    </row>
    <row r="769" spans="1:23" ht="15.75" x14ac:dyDescent="0.25">
      <c r="A769" s="48" t="s">
        <v>541</v>
      </c>
      <c r="B769" s="49">
        <v>45777</v>
      </c>
      <c r="C769" s="48" t="s">
        <v>916</v>
      </c>
      <c r="D769" s="48" t="s">
        <v>509</v>
      </c>
      <c r="E769" s="48" t="s">
        <v>858</v>
      </c>
      <c r="F769" s="48" t="s">
        <v>95</v>
      </c>
      <c r="G769" s="48" t="s">
        <v>96</v>
      </c>
      <c r="H769" s="48" t="s">
        <v>27</v>
      </c>
      <c r="I769" s="48" t="s">
        <v>542</v>
      </c>
      <c r="J769" s="48" t="s">
        <v>24</v>
      </c>
      <c r="K769" s="48" t="s">
        <v>407</v>
      </c>
      <c r="L769" s="48" t="s">
        <v>1131</v>
      </c>
      <c r="M769" s="48" t="s">
        <v>26</v>
      </c>
      <c r="N769" s="48" t="s">
        <v>20</v>
      </c>
      <c r="O769" s="48" t="s">
        <v>378</v>
      </c>
      <c r="P769" s="50">
        <v>800000</v>
      </c>
      <c r="Q769" s="50">
        <v>1</v>
      </c>
      <c r="R769" s="50">
        <v>800000</v>
      </c>
      <c r="S769" s="74">
        <v>45809</v>
      </c>
      <c r="T769" s="48" t="s">
        <v>311</v>
      </c>
      <c r="U769" s="48" t="s">
        <v>1460</v>
      </c>
      <c r="V769" s="48" t="s">
        <v>378</v>
      </c>
      <c r="W769" s="48"/>
    </row>
    <row r="770" spans="1:23" ht="15.75" x14ac:dyDescent="0.25">
      <c r="A770" s="48" t="s">
        <v>665</v>
      </c>
      <c r="B770" s="49">
        <v>45739</v>
      </c>
      <c r="C770" s="48" t="s">
        <v>916</v>
      </c>
      <c r="D770" s="48" t="s">
        <v>441</v>
      </c>
      <c r="E770" s="48" t="s">
        <v>858</v>
      </c>
      <c r="F770" s="48" t="s">
        <v>21</v>
      </c>
      <c r="G770" s="48" t="s">
        <v>22</v>
      </c>
      <c r="H770" s="48" t="s">
        <v>27</v>
      </c>
      <c r="I770" s="48" t="s">
        <v>666</v>
      </c>
      <c r="J770" s="48" t="s">
        <v>24</v>
      </c>
      <c r="K770" s="48" t="s">
        <v>22</v>
      </c>
      <c r="L770" s="48" t="s">
        <v>1132</v>
      </c>
      <c r="M770" s="48" t="s">
        <v>26</v>
      </c>
      <c r="N770" s="48" t="s">
        <v>20</v>
      </c>
      <c r="O770" s="48" t="s">
        <v>857</v>
      </c>
      <c r="P770" s="50">
        <v>400000</v>
      </c>
      <c r="Q770" s="50">
        <v>1</v>
      </c>
      <c r="R770" s="50">
        <v>400000</v>
      </c>
      <c r="S770" s="74">
        <v>45809</v>
      </c>
      <c r="T770" s="48" t="s">
        <v>311</v>
      </c>
      <c r="U770" s="48" t="s">
        <v>22</v>
      </c>
      <c r="V770" s="48" t="s">
        <v>857</v>
      </c>
      <c r="W770" s="48"/>
    </row>
    <row r="771" spans="1:23" ht="15.75" x14ac:dyDescent="0.25">
      <c r="A771" s="48" t="s">
        <v>683</v>
      </c>
      <c r="B771" s="49">
        <v>45733</v>
      </c>
      <c r="C771" s="48" t="s">
        <v>916</v>
      </c>
      <c r="D771" s="48" t="s">
        <v>509</v>
      </c>
      <c r="E771" s="48" t="s">
        <v>858</v>
      </c>
      <c r="F771" s="48" t="s">
        <v>95</v>
      </c>
      <c r="G771" s="48" t="s">
        <v>96</v>
      </c>
      <c r="H771" s="48" t="s">
        <v>27</v>
      </c>
      <c r="I771" s="48" t="s">
        <v>473</v>
      </c>
      <c r="J771" s="48" t="s">
        <v>24</v>
      </c>
      <c r="K771" s="48" t="s">
        <v>407</v>
      </c>
      <c r="L771" s="48" t="s">
        <v>1131</v>
      </c>
      <c r="M771" s="48" t="s">
        <v>26</v>
      </c>
      <c r="N771" s="48" t="s">
        <v>20</v>
      </c>
      <c r="O771" s="48" t="s">
        <v>378</v>
      </c>
      <c r="P771" s="50">
        <v>500000</v>
      </c>
      <c r="Q771" s="50">
        <v>1</v>
      </c>
      <c r="R771" s="50">
        <v>500000</v>
      </c>
      <c r="S771" s="74">
        <v>45809</v>
      </c>
      <c r="T771" s="48" t="s">
        <v>311</v>
      </c>
      <c r="U771" s="48" t="s">
        <v>1460</v>
      </c>
      <c r="V771" s="48" t="s">
        <v>378</v>
      </c>
      <c r="W771" s="48"/>
    </row>
    <row r="772" spans="1:23" ht="15.75" x14ac:dyDescent="0.25">
      <c r="A772" s="48" t="s">
        <v>448</v>
      </c>
      <c r="B772" s="49">
        <v>45790</v>
      </c>
      <c r="C772" s="48" t="s">
        <v>916</v>
      </c>
      <c r="D772" s="48" t="s">
        <v>441</v>
      </c>
      <c r="E772" s="48" t="s">
        <v>858</v>
      </c>
      <c r="F772" s="48" t="s">
        <v>95</v>
      </c>
      <c r="G772" s="48" t="s">
        <v>96</v>
      </c>
      <c r="H772" s="48" t="s">
        <v>27</v>
      </c>
      <c r="I772" s="48" t="s">
        <v>449</v>
      </c>
      <c r="J772" s="48" t="s">
        <v>24</v>
      </c>
      <c r="K772" s="48" t="s">
        <v>22</v>
      </c>
      <c r="L772" s="48" t="s">
        <v>1132</v>
      </c>
      <c r="M772" s="48" t="s">
        <v>26</v>
      </c>
      <c r="N772" s="48" t="s">
        <v>20</v>
      </c>
      <c r="O772" s="48" t="s">
        <v>378</v>
      </c>
      <c r="P772" s="50">
        <v>526225.02</v>
      </c>
      <c r="Q772" s="50">
        <v>1</v>
      </c>
      <c r="R772" s="50">
        <v>526225.02</v>
      </c>
      <c r="S772" s="74">
        <v>45809</v>
      </c>
      <c r="T772" s="48" t="s">
        <v>311</v>
      </c>
      <c r="U772" s="48" t="s">
        <v>1427</v>
      </c>
      <c r="V772" s="48" t="s">
        <v>378</v>
      </c>
      <c r="W772" s="48"/>
    </row>
    <row r="773" spans="1:23" ht="15.75" x14ac:dyDescent="0.25">
      <c r="A773" s="48" t="s">
        <v>624</v>
      </c>
      <c r="B773" s="49">
        <v>45763</v>
      </c>
      <c r="C773" s="48" t="s">
        <v>916</v>
      </c>
      <c r="D773" s="48" t="s">
        <v>441</v>
      </c>
      <c r="E773" s="48" t="s">
        <v>858</v>
      </c>
      <c r="F773" s="48" t="s">
        <v>95</v>
      </c>
      <c r="G773" s="48" t="s">
        <v>96</v>
      </c>
      <c r="H773" s="48" t="s">
        <v>27</v>
      </c>
      <c r="I773" s="48" t="s">
        <v>589</v>
      </c>
      <c r="J773" s="48" t="s">
        <v>24</v>
      </c>
      <c r="K773" s="48" t="s">
        <v>22</v>
      </c>
      <c r="L773" s="48" t="s">
        <v>1132</v>
      </c>
      <c r="M773" s="48" t="s">
        <v>26</v>
      </c>
      <c r="N773" s="48" t="s">
        <v>20</v>
      </c>
      <c r="O773" s="48" t="s">
        <v>378</v>
      </c>
      <c r="P773" s="50">
        <v>207176.82</v>
      </c>
      <c r="Q773" s="50">
        <v>1</v>
      </c>
      <c r="R773" s="50">
        <v>207176.82</v>
      </c>
      <c r="S773" s="74">
        <v>45809</v>
      </c>
      <c r="T773" s="48" t="s">
        <v>311</v>
      </c>
      <c r="U773" s="48" t="s">
        <v>1427</v>
      </c>
      <c r="V773" s="48" t="s">
        <v>378</v>
      </c>
      <c r="W773" s="48"/>
    </row>
    <row r="774" spans="1:23" ht="15.75" x14ac:dyDescent="0.25">
      <c r="A774" s="48" t="s">
        <v>643</v>
      </c>
      <c r="B774" s="49">
        <v>45754</v>
      </c>
      <c r="C774" s="48" t="s">
        <v>916</v>
      </c>
      <c r="D774" s="48" t="s">
        <v>441</v>
      </c>
      <c r="E774" s="48" t="s">
        <v>856</v>
      </c>
      <c r="F774" s="48" t="s">
        <v>95</v>
      </c>
      <c r="G774" s="48" t="s">
        <v>96</v>
      </c>
      <c r="H774" s="48" t="s">
        <v>27</v>
      </c>
      <c r="I774" s="48" t="s">
        <v>644</v>
      </c>
      <c r="J774" s="48" t="s">
        <v>24</v>
      </c>
      <c r="K774" s="48" t="s">
        <v>22</v>
      </c>
      <c r="L774" s="48" t="s">
        <v>1132</v>
      </c>
      <c r="M774" s="48" t="s">
        <v>26</v>
      </c>
      <c r="N774" s="48" t="s">
        <v>20</v>
      </c>
      <c r="O774" s="48" t="s">
        <v>378</v>
      </c>
      <c r="P774" s="50">
        <v>476785.75</v>
      </c>
      <c r="Q774" s="50">
        <v>1</v>
      </c>
      <c r="R774" s="50">
        <v>476785.75</v>
      </c>
      <c r="S774" s="74">
        <v>45809</v>
      </c>
      <c r="T774" s="48" t="s">
        <v>311</v>
      </c>
      <c r="U774" s="48" t="s">
        <v>1427</v>
      </c>
      <c r="V774" s="48" t="s">
        <v>378</v>
      </c>
      <c r="W774" s="48"/>
    </row>
    <row r="775" spans="1:23" ht="15.75" x14ac:dyDescent="0.25">
      <c r="A775" s="48" t="s">
        <v>663</v>
      </c>
      <c r="B775" s="49">
        <v>45733</v>
      </c>
      <c r="C775" s="48" t="s">
        <v>916</v>
      </c>
      <c r="D775" s="48" t="s">
        <v>441</v>
      </c>
      <c r="E775" s="48" t="s">
        <v>858</v>
      </c>
      <c r="F775" s="48" t="s">
        <v>21</v>
      </c>
      <c r="G775" s="48" t="s">
        <v>22</v>
      </c>
      <c r="H775" s="48" t="s">
        <v>27</v>
      </c>
      <c r="I775" s="48" t="s">
        <v>664</v>
      </c>
      <c r="J775" s="48" t="s">
        <v>24</v>
      </c>
      <c r="K775" s="48" t="s">
        <v>22</v>
      </c>
      <c r="L775" s="48" t="s">
        <v>1132</v>
      </c>
      <c r="M775" s="48" t="s">
        <v>26</v>
      </c>
      <c r="N775" s="48" t="s">
        <v>20</v>
      </c>
      <c r="O775" s="48" t="s">
        <v>857</v>
      </c>
      <c r="P775" s="50">
        <v>900400</v>
      </c>
      <c r="Q775" s="50">
        <v>1</v>
      </c>
      <c r="R775" s="50">
        <v>900400</v>
      </c>
      <c r="S775" s="74">
        <v>45809</v>
      </c>
      <c r="T775" s="48" t="s">
        <v>311</v>
      </c>
      <c r="U775" s="48" t="s">
        <v>22</v>
      </c>
      <c r="V775" s="48" t="s">
        <v>857</v>
      </c>
      <c r="W775" s="48"/>
    </row>
    <row r="776" spans="1:23" ht="15.75" x14ac:dyDescent="0.25">
      <c r="A776" s="48" t="s">
        <v>633</v>
      </c>
      <c r="B776" s="49">
        <v>45727</v>
      </c>
      <c r="C776" s="48" t="s">
        <v>916</v>
      </c>
      <c r="D776" s="48" t="s">
        <v>441</v>
      </c>
      <c r="E776" s="48" t="s">
        <v>856</v>
      </c>
      <c r="F776" s="48" t="s">
        <v>21</v>
      </c>
      <c r="G776" s="48" t="s">
        <v>22</v>
      </c>
      <c r="H776" s="48" t="s">
        <v>27</v>
      </c>
      <c r="I776" s="48" t="s">
        <v>37</v>
      </c>
      <c r="J776" s="48" t="s">
        <v>24</v>
      </c>
      <c r="K776" s="48" t="s">
        <v>22</v>
      </c>
      <c r="L776" s="48" t="s">
        <v>1132</v>
      </c>
      <c r="M776" s="48" t="s">
        <v>26</v>
      </c>
      <c r="N776" s="48" t="s">
        <v>20</v>
      </c>
      <c r="O776" s="48" t="s">
        <v>857</v>
      </c>
      <c r="P776" s="50">
        <v>350000</v>
      </c>
      <c r="Q776" s="50">
        <v>1</v>
      </c>
      <c r="R776" s="50">
        <v>350000</v>
      </c>
      <c r="S776" s="74">
        <v>45809</v>
      </c>
      <c r="T776" s="48" t="s">
        <v>311</v>
      </c>
      <c r="U776" s="48" t="s">
        <v>22</v>
      </c>
      <c r="V776" s="48" t="s">
        <v>857</v>
      </c>
      <c r="W776" s="48"/>
    </row>
    <row r="777" spans="1:23" ht="15.75" x14ac:dyDescent="0.25">
      <c r="A777" s="48" t="s">
        <v>460</v>
      </c>
      <c r="B777" s="49">
        <v>45803</v>
      </c>
      <c r="C777" s="48" t="s">
        <v>918</v>
      </c>
      <c r="D777" s="48" t="s">
        <v>441</v>
      </c>
      <c r="E777" s="48" t="s">
        <v>856</v>
      </c>
      <c r="F777" s="48" t="s">
        <v>373</v>
      </c>
      <c r="G777" s="48" t="s">
        <v>63</v>
      </c>
      <c r="H777" s="48" t="s">
        <v>27</v>
      </c>
      <c r="I777" s="48" t="s">
        <v>1541</v>
      </c>
      <c r="J777" s="48" t="s">
        <v>72</v>
      </c>
      <c r="K777" s="48" t="s">
        <v>22</v>
      </c>
      <c r="L777" s="48" t="s">
        <v>1132</v>
      </c>
      <c r="M777" s="48" t="s">
        <v>26</v>
      </c>
      <c r="N777" s="48" t="s">
        <v>20</v>
      </c>
      <c r="O777" s="48" t="s">
        <v>857</v>
      </c>
      <c r="P777" s="50">
        <v>5550546.6100000003</v>
      </c>
      <c r="Q777" s="50">
        <v>1</v>
      </c>
      <c r="R777" s="50">
        <v>5550546.6100000003</v>
      </c>
      <c r="S777" s="74">
        <v>45806</v>
      </c>
      <c r="T777" s="48" t="s">
        <v>461</v>
      </c>
      <c r="U777" s="48" t="s">
        <v>304</v>
      </c>
      <c r="V777" s="48" t="s">
        <v>378</v>
      </c>
      <c r="W777" s="48"/>
    </row>
    <row r="778" spans="1:23" ht="15.75" x14ac:dyDescent="0.25">
      <c r="A778" s="48" t="s">
        <v>709</v>
      </c>
      <c r="B778" s="49">
        <v>45774</v>
      </c>
      <c r="C778" s="48" t="s">
        <v>916</v>
      </c>
      <c r="D778" s="48" t="s">
        <v>441</v>
      </c>
      <c r="E778" s="48" t="s">
        <v>858</v>
      </c>
      <c r="F778" s="48" t="s">
        <v>366</v>
      </c>
      <c r="G778" s="48" t="s">
        <v>710</v>
      </c>
      <c r="H778" s="48" t="s">
        <v>27</v>
      </c>
      <c r="I778" s="48" t="s">
        <v>711</v>
      </c>
      <c r="J778" s="48" t="s">
        <v>24</v>
      </c>
      <c r="K778" s="48" t="s">
        <v>710</v>
      </c>
      <c r="L778" s="48" t="s">
        <v>1209</v>
      </c>
      <c r="M778" s="48" t="s">
        <v>26</v>
      </c>
      <c r="N778" s="48" t="s">
        <v>20</v>
      </c>
      <c r="O778" s="48" t="s">
        <v>857</v>
      </c>
      <c r="P778" s="50">
        <v>6322470</v>
      </c>
      <c r="Q778" s="50">
        <v>1</v>
      </c>
      <c r="R778" s="50">
        <v>6322470</v>
      </c>
      <c r="S778" s="74">
        <v>45806</v>
      </c>
      <c r="T778" s="48" t="s">
        <v>311</v>
      </c>
      <c r="U778" s="48" t="s">
        <v>710</v>
      </c>
      <c r="V778" s="48" t="s">
        <v>857</v>
      </c>
      <c r="W778" s="48"/>
    </row>
    <row r="779" spans="1:23" ht="15.75" x14ac:dyDescent="0.25">
      <c r="A779" s="48" t="s">
        <v>672</v>
      </c>
      <c r="B779" s="49">
        <v>45804</v>
      </c>
      <c r="C779" s="48" t="s">
        <v>1014</v>
      </c>
      <c r="D779" s="48" t="s">
        <v>1119</v>
      </c>
      <c r="E779" s="48" t="s">
        <v>856</v>
      </c>
      <c r="F779" s="48" t="s">
        <v>366</v>
      </c>
      <c r="G779" s="48" t="s">
        <v>367</v>
      </c>
      <c r="H779" s="48" t="s">
        <v>27</v>
      </c>
      <c r="I779" s="48" t="s">
        <v>469</v>
      </c>
      <c r="J779" s="48" t="s">
        <v>72</v>
      </c>
      <c r="K779" s="48" t="s">
        <v>367</v>
      </c>
      <c r="L779" s="48" t="s">
        <v>1136</v>
      </c>
      <c r="M779" s="48" t="s">
        <v>191</v>
      </c>
      <c r="N779" s="48" t="s">
        <v>20</v>
      </c>
      <c r="O779" s="48" t="s">
        <v>857</v>
      </c>
      <c r="P779" s="50">
        <v>222104.35</v>
      </c>
      <c r="Q779" s="50">
        <v>1.0261</v>
      </c>
      <c r="R779" s="50">
        <v>227901.27353500001</v>
      </c>
      <c r="S779" s="74">
        <v>45806</v>
      </c>
      <c r="T779" s="48" t="s">
        <v>208</v>
      </c>
      <c r="U779" s="48" t="s">
        <v>367</v>
      </c>
      <c r="V779" s="48" t="s">
        <v>857</v>
      </c>
      <c r="W779" s="48"/>
    </row>
    <row r="780" spans="1:23" ht="15.75" x14ac:dyDescent="0.25">
      <c r="A780" s="48" t="s">
        <v>672</v>
      </c>
      <c r="B780" s="49">
        <v>45804</v>
      </c>
      <c r="C780" s="48" t="s">
        <v>1013</v>
      </c>
      <c r="D780" s="48" t="s">
        <v>1119</v>
      </c>
      <c r="E780" s="48" t="s">
        <v>856</v>
      </c>
      <c r="F780" s="48" t="s">
        <v>366</v>
      </c>
      <c r="G780" s="48" t="s">
        <v>367</v>
      </c>
      <c r="H780" s="48" t="s">
        <v>27</v>
      </c>
      <c r="I780" s="48" t="s">
        <v>469</v>
      </c>
      <c r="J780" s="48" t="s">
        <v>72</v>
      </c>
      <c r="K780" s="48" t="s">
        <v>367</v>
      </c>
      <c r="L780" s="48" t="s">
        <v>1136</v>
      </c>
      <c r="M780" s="48" t="s">
        <v>191</v>
      </c>
      <c r="N780" s="48" t="s">
        <v>20</v>
      </c>
      <c r="O780" s="48" t="s">
        <v>857</v>
      </c>
      <c r="P780" s="50">
        <v>326763.67</v>
      </c>
      <c r="Q780" s="50">
        <v>1.026</v>
      </c>
      <c r="R780" s="50">
        <v>335259.52541999996</v>
      </c>
      <c r="S780" s="74">
        <v>45806</v>
      </c>
      <c r="T780" s="48" t="s">
        <v>208</v>
      </c>
      <c r="U780" s="48" t="s">
        <v>367</v>
      </c>
      <c r="V780" s="48" t="s">
        <v>857</v>
      </c>
      <c r="W780" s="48"/>
    </row>
    <row r="781" spans="1:23" ht="15.75" x14ac:dyDescent="0.25">
      <c r="A781" s="48" t="s">
        <v>672</v>
      </c>
      <c r="B781" s="49">
        <v>45802</v>
      </c>
      <c r="C781" s="48" t="s">
        <v>1011</v>
      </c>
      <c r="D781" s="48" t="s">
        <v>1119</v>
      </c>
      <c r="E781" s="48" t="s">
        <v>856</v>
      </c>
      <c r="F781" s="48" t="s">
        <v>366</v>
      </c>
      <c r="G781" s="48" t="s">
        <v>367</v>
      </c>
      <c r="H781" s="48" t="s">
        <v>27</v>
      </c>
      <c r="I781" s="48" t="s">
        <v>469</v>
      </c>
      <c r="J781" s="48" t="s">
        <v>72</v>
      </c>
      <c r="K781" s="48" t="s">
        <v>367</v>
      </c>
      <c r="L781" s="48" t="s">
        <v>1136</v>
      </c>
      <c r="M781" s="48" t="s">
        <v>191</v>
      </c>
      <c r="N781" s="48" t="s">
        <v>20</v>
      </c>
      <c r="O781" s="48" t="s">
        <v>857</v>
      </c>
      <c r="P781" s="50">
        <v>562272.69999999995</v>
      </c>
      <c r="Q781" s="50">
        <v>1.0262</v>
      </c>
      <c r="R781" s="50">
        <v>577004.24473999999</v>
      </c>
      <c r="S781" s="74">
        <v>45805</v>
      </c>
      <c r="T781" s="48" t="s">
        <v>208</v>
      </c>
      <c r="U781" s="48" t="s">
        <v>367</v>
      </c>
      <c r="V781" s="48" t="s">
        <v>857</v>
      </c>
      <c r="W781" s="48"/>
    </row>
    <row r="782" spans="1:23" ht="15.75" x14ac:dyDescent="0.25">
      <c r="A782" s="48" t="s">
        <v>306</v>
      </c>
      <c r="B782" s="49">
        <v>45714</v>
      </c>
      <c r="C782" s="48" t="s">
        <v>1388</v>
      </c>
      <c r="D782" s="48" t="s">
        <v>1118</v>
      </c>
      <c r="E782" s="48" t="s">
        <v>858</v>
      </c>
      <c r="F782" s="48" t="s">
        <v>62</v>
      </c>
      <c r="G782" s="48" t="s">
        <v>70</v>
      </c>
      <c r="H782" s="48" t="s">
        <v>70</v>
      </c>
      <c r="I782" s="48" t="s">
        <v>307</v>
      </c>
      <c r="J782" s="48" t="s">
        <v>72</v>
      </c>
      <c r="K782" s="48" t="s">
        <v>213</v>
      </c>
      <c r="L782" s="48" t="s">
        <v>1134</v>
      </c>
      <c r="M782" s="48" t="s">
        <v>67</v>
      </c>
      <c r="N782" s="48" t="s">
        <v>20</v>
      </c>
      <c r="O782" s="48" t="s">
        <v>857</v>
      </c>
      <c r="P782" s="50">
        <v>192533.75</v>
      </c>
      <c r="Q782" s="50">
        <v>4.5700901448959899</v>
      </c>
      <c r="R782" s="50">
        <v>879896.59343486826</v>
      </c>
      <c r="S782" s="74">
        <v>45804</v>
      </c>
      <c r="T782" s="48" t="s">
        <v>308</v>
      </c>
      <c r="U782" s="48" t="s">
        <v>213</v>
      </c>
      <c r="V782" s="48" t="s">
        <v>857</v>
      </c>
      <c r="W782" s="48"/>
    </row>
    <row r="783" spans="1:23" ht="15.75" x14ac:dyDescent="0.25">
      <c r="A783" s="48" t="s">
        <v>672</v>
      </c>
      <c r="B783" s="49">
        <v>45802</v>
      </c>
      <c r="C783" s="48" t="s">
        <v>1010</v>
      </c>
      <c r="D783" s="48" t="s">
        <v>1119</v>
      </c>
      <c r="E783" s="48" t="s">
        <v>856</v>
      </c>
      <c r="F783" s="48" t="s">
        <v>366</v>
      </c>
      <c r="G783" s="48" t="s">
        <v>367</v>
      </c>
      <c r="H783" s="48" t="s">
        <v>27</v>
      </c>
      <c r="I783" s="48" t="s">
        <v>469</v>
      </c>
      <c r="J783" s="48" t="s">
        <v>72</v>
      </c>
      <c r="K783" s="48" t="s">
        <v>367</v>
      </c>
      <c r="L783" s="48" t="s">
        <v>1136</v>
      </c>
      <c r="M783" s="48" t="s">
        <v>191</v>
      </c>
      <c r="N783" s="48" t="s">
        <v>20</v>
      </c>
      <c r="O783" s="48" t="s">
        <v>857</v>
      </c>
      <c r="P783" s="50">
        <v>440511.11</v>
      </c>
      <c r="Q783" s="50">
        <v>1.026</v>
      </c>
      <c r="R783" s="50">
        <v>451964.39886000002</v>
      </c>
      <c r="S783" s="74">
        <v>45804</v>
      </c>
      <c r="T783" s="48" t="s">
        <v>208</v>
      </c>
      <c r="U783" s="48" t="s">
        <v>367</v>
      </c>
      <c r="V783" s="48" t="s">
        <v>857</v>
      </c>
      <c r="W783" s="48"/>
    </row>
    <row r="784" spans="1:23" ht="15.75" x14ac:dyDescent="0.25">
      <c r="A784" s="48" t="s">
        <v>674</v>
      </c>
      <c r="B784" s="49">
        <v>45769</v>
      </c>
      <c r="C784" s="48" t="s">
        <v>916</v>
      </c>
      <c r="D784" s="48" t="s">
        <v>509</v>
      </c>
      <c r="E784" s="48" t="s">
        <v>856</v>
      </c>
      <c r="F784" s="48" t="s">
        <v>95</v>
      </c>
      <c r="G784" s="48" t="s">
        <v>96</v>
      </c>
      <c r="H784" s="48" t="s">
        <v>27</v>
      </c>
      <c r="I784" s="48" t="s">
        <v>675</v>
      </c>
      <c r="J784" s="48" t="s">
        <v>24</v>
      </c>
      <c r="K784" s="48" t="s">
        <v>407</v>
      </c>
      <c r="L784" s="48" t="s">
        <v>1131</v>
      </c>
      <c r="M784" s="48" t="s">
        <v>26</v>
      </c>
      <c r="N784" s="48" t="s">
        <v>20</v>
      </c>
      <c r="O784" s="48" t="s">
        <v>378</v>
      </c>
      <c r="P784" s="50">
        <v>781791.28</v>
      </c>
      <c r="Q784" s="50">
        <v>1</v>
      </c>
      <c r="R784" s="50">
        <v>781791.28</v>
      </c>
      <c r="S784" s="74">
        <v>45804</v>
      </c>
      <c r="T784" s="48" t="s">
        <v>311</v>
      </c>
      <c r="U784" s="48" t="s">
        <v>1393</v>
      </c>
      <c r="V784" s="48" t="s">
        <v>378</v>
      </c>
      <c r="W784" s="48"/>
    </row>
    <row r="785" spans="1:23" ht="15.75" x14ac:dyDescent="0.25">
      <c r="A785" s="48" t="s">
        <v>706</v>
      </c>
      <c r="B785" s="49">
        <v>45782</v>
      </c>
      <c r="C785" s="48" t="s">
        <v>924</v>
      </c>
      <c r="D785" s="48" t="s">
        <v>509</v>
      </c>
      <c r="E785" s="48" t="s">
        <v>858</v>
      </c>
      <c r="F785" s="48" t="s">
        <v>373</v>
      </c>
      <c r="G785" s="48" t="s">
        <v>483</v>
      </c>
      <c r="H785" s="48" t="s">
        <v>27</v>
      </c>
      <c r="I785" s="48" t="s">
        <v>609</v>
      </c>
      <c r="J785" s="48" t="s">
        <v>72</v>
      </c>
      <c r="K785" s="48" t="s">
        <v>304</v>
      </c>
      <c r="L785" s="48" t="s">
        <v>1133</v>
      </c>
      <c r="M785" s="48" t="s">
        <v>26</v>
      </c>
      <c r="N785" s="48" t="s">
        <v>20</v>
      </c>
      <c r="O785" s="48" t="s">
        <v>857</v>
      </c>
      <c r="P785" s="50">
        <v>5982300</v>
      </c>
      <c r="Q785" s="50">
        <v>1</v>
      </c>
      <c r="R785" s="50">
        <v>5982300</v>
      </c>
      <c r="S785" s="74">
        <v>45804</v>
      </c>
      <c r="T785" s="48" t="s">
        <v>305</v>
      </c>
      <c r="U785" s="48" t="s">
        <v>304</v>
      </c>
      <c r="V785" s="48" t="s">
        <v>857</v>
      </c>
      <c r="W785" s="48"/>
    </row>
    <row r="786" spans="1:23" ht="15.75" x14ac:dyDescent="0.25">
      <c r="A786" s="48" t="s">
        <v>544</v>
      </c>
      <c r="B786" s="49">
        <v>45778</v>
      </c>
      <c r="C786" s="48" t="s">
        <v>918</v>
      </c>
      <c r="D786" s="48" t="s">
        <v>509</v>
      </c>
      <c r="E786" s="48" t="s">
        <v>858</v>
      </c>
      <c r="F786" s="48" t="s">
        <v>95</v>
      </c>
      <c r="G786" s="48" t="s">
        <v>96</v>
      </c>
      <c r="H786" s="48" t="s">
        <v>27</v>
      </c>
      <c r="I786" s="48" t="s">
        <v>545</v>
      </c>
      <c r="J786" s="48" t="s">
        <v>24</v>
      </c>
      <c r="K786" s="48" t="s">
        <v>407</v>
      </c>
      <c r="L786" s="48" t="s">
        <v>1131</v>
      </c>
      <c r="M786" s="48" t="s">
        <v>26</v>
      </c>
      <c r="N786" s="48" t="s">
        <v>20</v>
      </c>
      <c r="O786" s="48" t="s">
        <v>857</v>
      </c>
      <c r="P786" s="50">
        <v>149393.4</v>
      </c>
      <c r="Q786" s="50">
        <v>1</v>
      </c>
      <c r="R786" s="50">
        <v>149393.4</v>
      </c>
      <c r="S786" s="74">
        <v>45803</v>
      </c>
      <c r="T786" s="48" t="s">
        <v>311</v>
      </c>
      <c r="U786" s="48" t="s">
        <v>407</v>
      </c>
      <c r="V786" s="48" t="s">
        <v>857</v>
      </c>
      <c r="W786" s="48"/>
    </row>
    <row r="787" spans="1:23" ht="15.75" x14ac:dyDescent="0.25">
      <c r="A787" s="48" t="s">
        <v>672</v>
      </c>
      <c r="B787" s="49">
        <v>45798</v>
      </c>
      <c r="C787" s="48" t="s">
        <v>1008</v>
      </c>
      <c r="D787" s="48" t="s">
        <v>1119</v>
      </c>
      <c r="E787" s="48" t="s">
        <v>856</v>
      </c>
      <c r="F787" s="48" t="s">
        <v>366</v>
      </c>
      <c r="G787" s="48" t="s">
        <v>367</v>
      </c>
      <c r="H787" s="48" t="s">
        <v>27</v>
      </c>
      <c r="I787" s="48" t="s">
        <v>469</v>
      </c>
      <c r="J787" s="48" t="s">
        <v>72</v>
      </c>
      <c r="K787" s="48" t="s">
        <v>367</v>
      </c>
      <c r="L787" s="48" t="s">
        <v>1136</v>
      </c>
      <c r="M787" s="48" t="s">
        <v>191</v>
      </c>
      <c r="N787" s="48" t="s">
        <v>20</v>
      </c>
      <c r="O787" s="48" t="s">
        <v>857</v>
      </c>
      <c r="P787" s="50">
        <v>454425.29</v>
      </c>
      <c r="Q787" s="50">
        <v>1.026</v>
      </c>
      <c r="R787" s="50">
        <v>466240.34753999999</v>
      </c>
      <c r="S787" s="74">
        <v>45803</v>
      </c>
      <c r="T787" s="48" t="s">
        <v>208</v>
      </c>
      <c r="U787" s="48" t="s">
        <v>367</v>
      </c>
      <c r="V787" s="48" t="s">
        <v>857</v>
      </c>
      <c r="W787" s="48"/>
    </row>
    <row r="788" spans="1:23" ht="15.75" x14ac:dyDescent="0.25">
      <c r="A788" s="48" t="s">
        <v>677</v>
      </c>
      <c r="B788" s="49">
        <v>45755</v>
      </c>
      <c r="C788" s="48" t="s">
        <v>916</v>
      </c>
      <c r="D788" s="48" t="s">
        <v>509</v>
      </c>
      <c r="E788" s="48" t="s">
        <v>856</v>
      </c>
      <c r="F788" s="48" t="s">
        <v>95</v>
      </c>
      <c r="G788" s="48" t="s">
        <v>96</v>
      </c>
      <c r="H788" s="48" t="s">
        <v>27</v>
      </c>
      <c r="I788" s="48" t="s">
        <v>1789</v>
      </c>
      <c r="J788" s="48" t="s">
        <v>24</v>
      </c>
      <c r="K788" s="48" t="s">
        <v>407</v>
      </c>
      <c r="L788" s="48" t="s">
        <v>1131</v>
      </c>
      <c r="M788" s="48" t="s">
        <v>26</v>
      </c>
      <c r="N788" s="48" t="s">
        <v>20</v>
      </c>
      <c r="O788" s="48" t="s">
        <v>378</v>
      </c>
      <c r="P788" s="50">
        <v>302011.38</v>
      </c>
      <c r="Q788" s="50">
        <v>1</v>
      </c>
      <c r="R788" s="50">
        <v>302011.38</v>
      </c>
      <c r="S788" s="74">
        <v>45802</v>
      </c>
      <c r="T788" s="48" t="s">
        <v>311</v>
      </c>
      <c r="U788" s="48" t="s">
        <v>1393</v>
      </c>
      <c r="V788" s="48" t="s">
        <v>378</v>
      </c>
      <c r="W788" s="48"/>
    </row>
    <row r="789" spans="1:23" ht="15.75" x14ac:dyDescent="0.25">
      <c r="A789" s="48" t="s">
        <v>672</v>
      </c>
      <c r="B789" s="49">
        <v>45798</v>
      </c>
      <c r="C789" s="48" t="s">
        <v>1007</v>
      </c>
      <c r="D789" s="48" t="s">
        <v>1119</v>
      </c>
      <c r="E789" s="48" t="s">
        <v>856</v>
      </c>
      <c r="F789" s="48" t="s">
        <v>366</v>
      </c>
      <c r="G789" s="48" t="s">
        <v>367</v>
      </c>
      <c r="H789" s="48" t="s">
        <v>27</v>
      </c>
      <c r="I789" s="48" t="s">
        <v>469</v>
      </c>
      <c r="J789" s="48" t="s">
        <v>72</v>
      </c>
      <c r="K789" s="48" t="s">
        <v>367</v>
      </c>
      <c r="L789" s="48" t="s">
        <v>1136</v>
      </c>
      <c r="M789" s="48" t="s">
        <v>191</v>
      </c>
      <c r="N789" s="48" t="s">
        <v>20</v>
      </c>
      <c r="O789" s="48" t="s">
        <v>857</v>
      </c>
      <c r="P789" s="50">
        <v>596223.76</v>
      </c>
      <c r="Q789" s="50">
        <v>1.026</v>
      </c>
      <c r="R789" s="50">
        <v>611725.57776000001</v>
      </c>
      <c r="S789" s="74">
        <v>45799</v>
      </c>
      <c r="T789" s="48" t="s">
        <v>208</v>
      </c>
      <c r="U789" s="48" t="s">
        <v>367</v>
      </c>
      <c r="V789" s="48" t="s">
        <v>857</v>
      </c>
      <c r="W789" s="48"/>
    </row>
    <row r="790" spans="1:23" ht="15.75" x14ac:dyDescent="0.25">
      <c r="A790" s="48" t="s">
        <v>533</v>
      </c>
      <c r="B790" s="49">
        <v>45781</v>
      </c>
      <c r="C790" s="48" t="s">
        <v>916</v>
      </c>
      <c r="D790" s="48" t="s">
        <v>534</v>
      </c>
      <c r="E790" s="48" t="s">
        <v>856</v>
      </c>
      <c r="F790" s="48" t="s">
        <v>21</v>
      </c>
      <c r="G790" s="48" t="s">
        <v>22</v>
      </c>
      <c r="H790" s="48" t="s">
        <v>27</v>
      </c>
      <c r="I790" s="48" t="s">
        <v>535</v>
      </c>
      <c r="J790" s="48" t="s">
        <v>1791</v>
      </c>
      <c r="K790" s="48" t="s">
        <v>22</v>
      </c>
      <c r="L790" s="48" t="s">
        <v>1132</v>
      </c>
      <c r="M790" s="48" t="s">
        <v>31</v>
      </c>
      <c r="N790" s="48" t="s">
        <v>20</v>
      </c>
      <c r="O790" s="48" t="s">
        <v>857</v>
      </c>
      <c r="P790" s="50">
        <v>87471.26</v>
      </c>
      <c r="Q790" s="50">
        <v>5.08</v>
      </c>
      <c r="R790" s="50">
        <v>444354.00079999998</v>
      </c>
      <c r="S790" s="74">
        <v>45799</v>
      </c>
      <c r="T790" s="48" t="s">
        <v>32</v>
      </c>
      <c r="U790" s="48" t="s">
        <v>613</v>
      </c>
      <c r="V790" s="48" t="s">
        <v>378</v>
      </c>
      <c r="W790" s="48"/>
    </row>
    <row r="791" spans="1:23" ht="15.75" x14ac:dyDescent="0.25">
      <c r="A791" s="48" t="s">
        <v>672</v>
      </c>
      <c r="B791" s="49">
        <v>45798</v>
      </c>
      <c r="C791" s="48" t="s">
        <v>1009</v>
      </c>
      <c r="D791" s="48" t="s">
        <v>1119</v>
      </c>
      <c r="E791" s="48" t="s">
        <v>856</v>
      </c>
      <c r="F791" s="48" t="s">
        <v>366</v>
      </c>
      <c r="G791" s="48" t="s">
        <v>367</v>
      </c>
      <c r="H791" s="48" t="s">
        <v>27</v>
      </c>
      <c r="I791" s="48" t="s">
        <v>469</v>
      </c>
      <c r="J791" s="48" t="s">
        <v>72</v>
      </c>
      <c r="K791" s="48" t="s">
        <v>367</v>
      </c>
      <c r="L791" s="48" t="s">
        <v>1136</v>
      </c>
      <c r="M791" s="48" t="s">
        <v>191</v>
      </c>
      <c r="N791" s="48" t="s">
        <v>20</v>
      </c>
      <c r="O791" s="48" t="s">
        <v>857</v>
      </c>
      <c r="P791" s="50">
        <v>470876</v>
      </c>
      <c r="Q791" s="50">
        <v>1.026</v>
      </c>
      <c r="R791" s="50">
        <v>483118.77600000001</v>
      </c>
      <c r="S791" s="74">
        <v>45799</v>
      </c>
      <c r="T791" s="48" t="s">
        <v>208</v>
      </c>
      <c r="U791" s="48" t="s">
        <v>367</v>
      </c>
      <c r="V791" s="48" t="s">
        <v>857</v>
      </c>
      <c r="W791" s="48"/>
    </row>
    <row r="792" spans="1:23" ht="15.75" x14ac:dyDescent="0.25">
      <c r="A792" s="48" t="s">
        <v>672</v>
      </c>
      <c r="B792" s="49">
        <v>45796</v>
      </c>
      <c r="C792" s="48" t="s">
        <v>941</v>
      </c>
      <c r="D792" s="48" t="s">
        <v>1119</v>
      </c>
      <c r="E792" s="48" t="s">
        <v>856</v>
      </c>
      <c r="F792" s="48" t="s">
        <v>366</v>
      </c>
      <c r="G792" s="48" t="s">
        <v>367</v>
      </c>
      <c r="H792" s="48" t="s">
        <v>27</v>
      </c>
      <c r="I792" s="48" t="s">
        <v>469</v>
      </c>
      <c r="J792" s="48" t="s">
        <v>72</v>
      </c>
      <c r="K792" s="48" t="s">
        <v>367</v>
      </c>
      <c r="L792" s="48" t="s">
        <v>1136</v>
      </c>
      <c r="M792" s="48" t="s">
        <v>191</v>
      </c>
      <c r="N792" s="48" t="s">
        <v>20</v>
      </c>
      <c r="O792" s="48" t="s">
        <v>857</v>
      </c>
      <c r="P792" s="50">
        <v>472428.57</v>
      </c>
      <c r="Q792" s="50">
        <v>1.0261</v>
      </c>
      <c r="R792" s="50">
        <v>484758.95567699999</v>
      </c>
      <c r="S792" s="74">
        <v>45797</v>
      </c>
      <c r="T792" s="48" t="s">
        <v>208</v>
      </c>
      <c r="U792" s="48" t="s">
        <v>367</v>
      </c>
      <c r="V792" s="48" t="s">
        <v>857</v>
      </c>
      <c r="W792" s="48"/>
    </row>
    <row r="793" spans="1:23" ht="15.75" x14ac:dyDescent="0.25">
      <c r="A793" s="48" t="s">
        <v>672</v>
      </c>
      <c r="B793" s="49">
        <v>45796</v>
      </c>
      <c r="C793" s="48" t="s">
        <v>1022</v>
      </c>
      <c r="D793" s="48" t="s">
        <v>1119</v>
      </c>
      <c r="E793" s="48" t="s">
        <v>856</v>
      </c>
      <c r="F793" s="48" t="s">
        <v>366</v>
      </c>
      <c r="G793" s="48" t="s">
        <v>367</v>
      </c>
      <c r="H793" s="48" t="s">
        <v>27</v>
      </c>
      <c r="I793" s="48" t="s">
        <v>469</v>
      </c>
      <c r="J793" s="48" t="s">
        <v>72</v>
      </c>
      <c r="K793" s="48" t="s">
        <v>367</v>
      </c>
      <c r="L793" s="48" t="s">
        <v>1136</v>
      </c>
      <c r="M793" s="48" t="s">
        <v>191</v>
      </c>
      <c r="N793" s="48" t="s">
        <v>20</v>
      </c>
      <c r="O793" s="48" t="s">
        <v>857</v>
      </c>
      <c r="P793" s="50">
        <v>475804.57</v>
      </c>
      <c r="Q793" s="50">
        <v>1.0261</v>
      </c>
      <c r="R793" s="50">
        <v>488223.06927700003</v>
      </c>
      <c r="S793" s="74">
        <v>45797</v>
      </c>
      <c r="T793" s="48" t="s">
        <v>208</v>
      </c>
      <c r="U793" s="48" t="s">
        <v>367</v>
      </c>
      <c r="V793" s="48" t="s">
        <v>857</v>
      </c>
      <c r="W793" s="48"/>
    </row>
    <row r="794" spans="1:23" ht="15.75" x14ac:dyDescent="0.25">
      <c r="A794" s="48" t="s">
        <v>672</v>
      </c>
      <c r="B794" s="49">
        <v>45796</v>
      </c>
      <c r="C794" s="48" t="s">
        <v>1012</v>
      </c>
      <c r="D794" s="48" t="s">
        <v>1119</v>
      </c>
      <c r="E794" s="48" t="s">
        <v>856</v>
      </c>
      <c r="F794" s="48" t="s">
        <v>366</v>
      </c>
      <c r="G794" s="48" t="s">
        <v>367</v>
      </c>
      <c r="H794" s="48" t="s">
        <v>27</v>
      </c>
      <c r="I794" s="48" t="s">
        <v>469</v>
      </c>
      <c r="J794" s="48" t="s">
        <v>72</v>
      </c>
      <c r="K794" s="48" t="s">
        <v>367</v>
      </c>
      <c r="L794" s="48" t="s">
        <v>1136</v>
      </c>
      <c r="M794" s="48" t="s">
        <v>191</v>
      </c>
      <c r="N794" s="48" t="s">
        <v>20</v>
      </c>
      <c r="O794" s="48" t="s">
        <v>857</v>
      </c>
      <c r="P794" s="50">
        <v>489128.4</v>
      </c>
      <c r="Q794" s="50">
        <v>1.0261</v>
      </c>
      <c r="R794" s="50">
        <v>501894.65124000004</v>
      </c>
      <c r="S794" s="74">
        <v>45797</v>
      </c>
      <c r="T794" s="48" t="s">
        <v>208</v>
      </c>
      <c r="U794" s="48" t="s">
        <v>367</v>
      </c>
      <c r="V794" s="48" t="s">
        <v>857</v>
      </c>
      <c r="W794" s="48"/>
    </row>
    <row r="795" spans="1:23" ht="15.75" x14ac:dyDescent="0.25">
      <c r="A795" s="48" t="s">
        <v>678</v>
      </c>
      <c r="B795" s="49">
        <v>45797</v>
      </c>
      <c r="C795" s="48" t="s">
        <v>918</v>
      </c>
      <c r="D795" s="48" t="s">
        <v>509</v>
      </c>
      <c r="E795" s="48" t="s">
        <v>856</v>
      </c>
      <c r="F795" s="48" t="s">
        <v>95</v>
      </c>
      <c r="G795" s="48" t="s">
        <v>96</v>
      </c>
      <c r="H795" s="48" t="s">
        <v>27</v>
      </c>
      <c r="I795" s="48" t="s">
        <v>679</v>
      </c>
      <c r="J795" s="48" t="s">
        <v>24</v>
      </c>
      <c r="K795" s="48" t="s">
        <v>407</v>
      </c>
      <c r="L795" s="48" t="s">
        <v>1131</v>
      </c>
      <c r="M795" s="48" t="s">
        <v>26</v>
      </c>
      <c r="N795" s="48" t="s">
        <v>20</v>
      </c>
      <c r="O795" s="48" t="s">
        <v>378</v>
      </c>
      <c r="P795" s="50">
        <v>53771.4</v>
      </c>
      <c r="Q795" s="50">
        <v>1</v>
      </c>
      <c r="R795" s="50">
        <v>53771.4</v>
      </c>
      <c r="S795" s="74">
        <v>45797</v>
      </c>
      <c r="T795" s="48" t="s">
        <v>311</v>
      </c>
      <c r="U795" s="48" t="s">
        <v>1371</v>
      </c>
      <c r="V795" s="48" t="s">
        <v>378</v>
      </c>
      <c r="W795" s="48"/>
    </row>
    <row r="796" spans="1:23" ht="15.75" x14ac:dyDescent="0.25">
      <c r="A796" s="48" t="s">
        <v>506</v>
      </c>
      <c r="B796" s="49">
        <v>45763</v>
      </c>
      <c r="C796" s="48" t="s">
        <v>924</v>
      </c>
      <c r="D796" s="48" t="s">
        <v>509</v>
      </c>
      <c r="E796" s="48" t="s">
        <v>858</v>
      </c>
      <c r="F796" s="48" t="s">
        <v>373</v>
      </c>
      <c r="G796" s="48" t="s">
        <v>483</v>
      </c>
      <c r="H796" s="48" t="s">
        <v>27</v>
      </c>
      <c r="I796" s="48" t="s">
        <v>507</v>
      </c>
      <c r="J796" s="48" t="s">
        <v>72</v>
      </c>
      <c r="K796" s="48" t="s">
        <v>407</v>
      </c>
      <c r="L796" s="48" t="s">
        <v>1131</v>
      </c>
      <c r="M796" s="48" t="s">
        <v>26</v>
      </c>
      <c r="N796" s="48" t="s">
        <v>20</v>
      </c>
      <c r="O796" s="48" t="s">
        <v>378</v>
      </c>
      <c r="P796" s="50">
        <v>930474.94</v>
      </c>
      <c r="Q796" s="50">
        <v>1</v>
      </c>
      <c r="R796" s="50">
        <v>930474.94</v>
      </c>
      <c r="S796" s="74">
        <v>45797</v>
      </c>
      <c r="T796" s="48" t="s">
        <v>425</v>
      </c>
      <c r="U796" s="48" t="s">
        <v>410</v>
      </c>
      <c r="V796" s="48" t="s">
        <v>378</v>
      </c>
      <c r="W796" s="48"/>
    </row>
    <row r="797" spans="1:23" ht="15.75" x14ac:dyDescent="0.25">
      <c r="A797" s="48" t="s">
        <v>584</v>
      </c>
      <c r="B797" s="49">
        <v>45721</v>
      </c>
      <c r="C797" s="48" t="s">
        <v>916</v>
      </c>
      <c r="D797" s="48" t="s">
        <v>441</v>
      </c>
      <c r="E797" s="48" t="s">
        <v>856</v>
      </c>
      <c r="F797" s="48" t="s">
        <v>21</v>
      </c>
      <c r="G797" s="48" t="s">
        <v>22</v>
      </c>
      <c r="H797" s="48" t="s">
        <v>27</v>
      </c>
      <c r="I797" s="48" t="s">
        <v>585</v>
      </c>
      <c r="J797" s="48" t="s">
        <v>24</v>
      </c>
      <c r="K797" s="48" t="s">
        <v>22</v>
      </c>
      <c r="L797" s="48" t="s">
        <v>1132</v>
      </c>
      <c r="M797" s="48" t="s">
        <v>26</v>
      </c>
      <c r="N797" s="48" t="s">
        <v>20</v>
      </c>
      <c r="O797" s="48" t="s">
        <v>857</v>
      </c>
      <c r="P797" s="50">
        <v>2945463.53</v>
      </c>
      <c r="Q797" s="50">
        <v>1</v>
      </c>
      <c r="R797" s="50">
        <v>2945463.53</v>
      </c>
      <c r="S797" s="74">
        <v>45797</v>
      </c>
      <c r="T797" s="48" t="s">
        <v>311</v>
      </c>
      <c r="U797" s="48" t="s">
        <v>613</v>
      </c>
      <c r="V797" s="48" t="s">
        <v>378</v>
      </c>
      <c r="W797" s="48"/>
    </row>
    <row r="798" spans="1:23" ht="15.75" x14ac:dyDescent="0.25">
      <c r="A798" s="48" t="s">
        <v>649</v>
      </c>
      <c r="B798" s="49">
        <v>45728</v>
      </c>
      <c r="C798" s="48" t="s">
        <v>916</v>
      </c>
      <c r="D798" s="48" t="s">
        <v>441</v>
      </c>
      <c r="E798" s="48" t="s">
        <v>856</v>
      </c>
      <c r="F798" s="48" t="s">
        <v>21</v>
      </c>
      <c r="G798" s="48" t="s">
        <v>22</v>
      </c>
      <c r="H798" s="48" t="s">
        <v>27</v>
      </c>
      <c r="I798" s="48" t="s">
        <v>650</v>
      </c>
      <c r="J798" s="48" t="s">
        <v>24</v>
      </c>
      <c r="K798" s="48" t="s">
        <v>22</v>
      </c>
      <c r="L798" s="48" t="s">
        <v>1132</v>
      </c>
      <c r="M798" s="48" t="s">
        <v>26</v>
      </c>
      <c r="N798" s="48" t="s">
        <v>20</v>
      </c>
      <c r="O798" s="48" t="s">
        <v>857</v>
      </c>
      <c r="P798" s="50">
        <v>407334.49</v>
      </c>
      <c r="Q798" s="50">
        <v>1</v>
      </c>
      <c r="R798" s="50">
        <v>407334.49</v>
      </c>
      <c r="S798" s="74">
        <v>45796</v>
      </c>
      <c r="T798" s="48" t="s">
        <v>311</v>
      </c>
      <c r="U798" s="48" t="s">
        <v>613</v>
      </c>
      <c r="V798" s="48" t="s">
        <v>378</v>
      </c>
      <c r="W798" s="48"/>
    </row>
    <row r="799" spans="1:23" ht="15.75" x14ac:dyDescent="0.25">
      <c r="A799" s="48" t="s">
        <v>651</v>
      </c>
      <c r="B799" s="49">
        <v>45728</v>
      </c>
      <c r="C799" s="48" t="s">
        <v>916</v>
      </c>
      <c r="D799" s="48" t="s">
        <v>441</v>
      </c>
      <c r="E799" s="48" t="s">
        <v>856</v>
      </c>
      <c r="F799" s="48" t="s">
        <v>21</v>
      </c>
      <c r="G799" s="48" t="s">
        <v>22</v>
      </c>
      <c r="H799" s="48" t="s">
        <v>27</v>
      </c>
      <c r="I799" s="48" t="s">
        <v>442</v>
      </c>
      <c r="J799" s="48" t="s">
        <v>24</v>
      </c>
      <c r="K799" s="48" t="s">
        <v>22</v>
      </c>
      <c r="L799" s="48" t="s">
        <v>1132</v>
      </c>
      <c r="M799" s="48" t="s">
        <v>26</v>
      </c>
      <c r="N799" s="48" t="s">
        <v>20</v>
      </c>
      <c r="O799" s="48" t="s">
        <v>857</v>
      </c>
      <c r="P799" s="50">
        <v>272314.83</v>
      </c>
      <c r="Q799" s="50">
        <v>1</v>
      </c>
      <c r="R799" s="50">
        <v>272314.83</v>
      </c>
      <c r="S799" s="74">
        <v>45796</v>
      </c>
      <c r="T799" s="48" t="s">
        <v>311</v>
      </c>
      <c r="U799" s="48" t="s">
        <v>613</v>
      </c>
      <c r="V799" s="48" t="s">
        <v>378</v>
      </c>
      <c r="W799" s="48"/>
    </row>
    <row r="800" spans="1:23" ht="15.75" x14ac:dyDescent="0.25">
      <c r="A800" s="48" t="s">
        <v>527</v>
      </c>
      <c r="B800" s="49">
        <v>45722</v>
      </c>
      <c r="C800" s="48" t="s">
        <v>918</v>
      </c>
      <c r="D800" s="48" t="s">
        <v>441</v>
      </c>
      <c r="E800" s="48" t="s">
        <v>856</v>
      </c>
      <c r="F800" s="48" t="s">
        <v>21</v>
      </c>
      <c r="G800" s="48" t="s">
        <v>22</v>
      </c>
      <c r="H800" s="48" t="s">
        <v>27</v>
      </c>
      <c r="I800" s="48" t="s">
        <v>528</v>
      </c>
      <c r="J800" s="48" t="s">
        <v>24</v>
      </c>
      <c r="K800" s="48" t="s">
        <v>22</v>
      </c>
      <c r="L800" s="48" t="s">
        <v>1132</v>
      </c>
      <c r="M800" s="48" t="s">
        <v>26</v>
      </c>
      <c r="N800" s="48" t="s">
        <v>20</v>
      </c>
      <c r="O800" s="48" t="s">
        <v>857</v>
      </c>
      <c r="P800" s="50">
        <v>55877.8</v>
      </c>
      <c r="Q800" s="50">
        <v>1</v>
      </c>
      <c r="R800" s="50">
        <v>55877.8</v>
      </c>
      <c r="S800" s="74">
        <v>45796</v>
      </c>
      <c r="T800" s="48" t="s">
        <v>311</v>
      </c>
      <c r="U800" s="48" t="s">
        <v>613</v>
      </c>
      <c r="V800" s="48" t="s">
        <v>378</v>
      </c>
      <c r="W800" s="48"/>
    </row>
    <row r="801" spans="1:23" ht="15.75" x14ac:dyDescent="0.25">
      <c r="A801" s="48" t="s">
        <v>641</v>
      </c>
      <c r="B801" s="49">
        <v>45712</v>
      </c>
      <c r="C801" s="48" t="s">
        <v>916</v>
      </c>
      <c r="D801" s="48" t="s">
        <v>441</v>
      </c>
      <c r="E801" s="48" t="s">
        <v>856</v>
      </c>
      <c r="F801" s="48" t="s">
        <v>21</v>
      </c>
      <c r="G801" s="48" t="s">
        <v>22</v>
      </c>
      <c r="H801" s="48" t="s">
        <v>27</v>
      </c>
      <c r="I801" s="48" t="s">
        <v>642</v>
      </c>
      <c r="J801" s="48" t="s">
        <v>24</v>
      </c>
      <c r="K801" s="48" t="s">
        <v>22</v>
      </c>
      <c r="L801" s="48" t="s">
        <v>1132</v>
      </c>
      <c r="M801" s="48" t="s">
        <v>26</v>
      </c>
      <c r="N801" s="48" t="s">
        <v>20</v>
      </c>
      <c r="O801" s="48" t="s">
        <v>857</v>
      </c>
      <c r="P801" s="50">
        <v>1458479.28</v>
      </c>
      <c r="Q801" s="50">
        <v>1</v>
      </c>
      <c r="R801" s="50">
        <v>1458479.28</v>
      </c>
      <c r="S801" s="74">
        <v>45796</v>
      </c>
      <c r="T801" s="48" t="s">
        <v>311</v>
      </c>
      <c r="U801" s="48" t="s">
        <v>613</v>
      </c>
      <c r="V801" s="48" t="s">
        <v>378</v>
      </c>
      <c r="W801" s="48"/>
    </row>
    <row r="802" spans="1:23" ht="15.75" x14ac:dyDescent="0.25">
      <c r="A802" s="48" t="s">
        <v>254</v>
      </c>
      <c r="B802" s="49">
        <v>45790</v>
      </c>
      <c r="C802" s="48" t="s">
        <v>1007</v>
      </c>
      <c r="D802" s="48" t="s">
        <v>1184</v>
      </c>
      <c r="E802" s="48" t="s">
        <v>856</v>
      </c>
      <c r="F802" s="48" t="s">
        <v>21</v>
      </c>
      <c r="G802" s="48" t="s">
        <v>22</v>
      </c>
      <c r="H802" s="48" t="s">
        <v>27</v>
      </c>
      <c r="I802" s="48" t="s">
        <v>3623</v>
      </c>
      <c r="J802" s="48" t="s">
        <v>1791</v>
      </c>
      <c r="K802" s="48" t="s">
        <v>22</v>
      </c>
      <c r="L802" s="48" t="s">
        <v>1132</v>
      </c>
      <c r="M802" s="48" t="s">
        <v>67</v>
      </c>
      <c r="N802" s="48" t="s">
        <v>20</v>
      </c>
      <c r="O802" s="48" t="s">
        <v>857</v>
      </c>
      <c r="P802" s="50">
        <v>87820</v>
      </c>
      <c r="Q802" s="50">
        <v>4.32</v>
      </c>
      <c r="R802" s="50">
        <v>379382.4</v>
      </c>
      <c r="S802" s="74">
        <v>45796</v>
      </c>
      <c r="T802" s="48" t="s">
        <v>255</v>
      </c>
      <c r="U802" s="48" t="s">
        <v>1367</v>
      </c>
      <c r="V802" s="48" t="s">
        <v>857</v>
      </c>
      <c r="W802" s="48" t="s">
        <v>1366</v>
      </c>
    </row>
    <row r="803" spans="1:23" ht="15.75" x14ac:dyDescent="0.25">
      <c r="A803" s="48" t="s">
        <v>619</v>
      </c>
      <c r="B803" s="49">
        <v>45764</v>
      </c>
      <c r="C803" s="48" t="s">
        <v>918</v>
      </c>
      <c r="D803" s="48" t="s">
        <v>441</v>
      </c>
      <c r="E803" s="48" t="s">
        <v>856</v>
      </c>
      <c r="F803" s="48" t="s">
        <v>612</v>
      </c>
      <c r="G803" s="48" t="s">
        <v>613</v>
      </c>
      <c r="H803" s="48" t="s">
        <v>27</v>
      </c>
      <c r="I803" s="48" t="s">
        <v>620</v>
      </c>
      <c r="J803" s="48" t="s">
        <v>24</v>
      </c>
      <c r="K803" s="48" t="s">
        <v>613</v>
      </c>
      <c r="L803" s="48" t="s">
        <v>1135</v>
      </c>
      <c r="M803" s="48" t="s">
        <v>26</v>
      </c>
      <c r="N803" s="48" t="s">
        <v>20</v>
      </c>
      <c r="O803" s="48" t="s">
        <v>857</v>
      </c>
      <c r="P803" s="50">
        <v>1087275.04</v>
      </c>
      <c r="Q803" s="50">
        <v>1</v>
      </c>
      <c r="R803" s="50">
        <v>1087275.04</v>
      </c>
      <c r="S803" s="74">
        <v>45796</v>
      </c>
      <c r="T803" s="48" t="s">
        <v>621</v>
      </c>
      <c r="U803" s="48" t="s">
        <v>613</v>
      </c>
      <c r="V803" s="48" t="s">
        <v>857</v>
      </c>
      <c r="W803" s="48"/>
    </row>
    <row r="804" spans="1:23" ht="15.75" x14ac:dyDescent="0.25">
      <c r="A804" s="48" t="s">
        <v>747</v>
      </c>
      <c r="B804" s="49">
        <v>45784</v>
      </c>
      <c r="C804" s="48" t="s">
        <v>916</v>
      </c>
      <c r="D804" s="48" t="s">
        <v>1864</v>
      </c>
      <c r="E804" s="48" t="s">
        <v>858</v>
      </c>
      <c r="F804" s="48" t="s">
        <v>366</v>
      </c>
      <c r="G804" s="48" t="s">
        <v>710</v>
      </c>
      <c r="H804" s="48" t="s">
        <v>27</v>
      </c>
      <c r="I804" s="48" t="s">
        <v>748</v>
      </c>
      <c r="J804" s="48" t="s">
        <v>3221</v>
      </c>
      <c r="K804" s="48" t="s">
        <v>81</v>
      </c>
      <c r="L804" s="48" t="s">
        <v>1139</v>
      </c>
      <c r="M804" s="48" t="s">
        <v>26</v>
      </c>
      <c r="N804" s="48" t="s">
        <v>20</v>
      </c>
      <c r="O804" s="48" t="s">
        <v>857</v>
      </c>
      <c r="P804" s="50">
        <v>1000000</v>
      </c>
      <c r="Q804" s="50">
        <v>1</v>
      </c>
      <c r="R804" s="50">
        <v>1000000</v>
      </c>
      <c r="S804" s="74">
        <v>45792</v>
      </c>
      <c r="T804" s="48" t="s">
        <v>621</v>
      </c>
      <c r="U804" s="48" t="s">
        <v>377</v>
      </c>
      <c r="V804" s="48" t="s">
        <v>857</v>
      </c>
      <c r="W804" s="48"/>
    </row>
    <row r="805" spans="1:23" ht="15.75" x14ac:dyDescent="0.25">
      <c r="A805" s="48" t="s">
        <v>306</v>
      </c>
      <c r="B805" s="49">
        <v>45790</v>
      </c>
      <c r="C805" s="48" t="s">
        <v>1356</v>
      </c>
      <c r="D805" s="48" t="s">
        <v>1118</v>
      </c>
      <c r="E805" s="48" t="s">
        <v>858</v>
      </c>
      <c r="F805" s="48" t="s">
        <v>62</v>
      </c>
      <c r="G805" s="48" t="s">
        <v>70</v>
      </c>
      <c r="H805" s="48" t="s">
        <v>70</v>
      </c>
      <c r="I805" s="48" t="s">
        <v>307</v>
      </c>
      <c r="J805" s="48" t="s">
        <v>72</v>
      </c>
      <c r="K805" s="48" t="s">
        <v>213</v>
      </c>
      <c r="L805" s="48" t="s">
        <v>1134</v>
      </c>
      <c r="M805" s="48" t="s">
        <v>67</v>
      </c>
      <c r="N805" s="48" t="s">
        <v>20</v>
      </c>
      <c r="O805" s="48" t="s">
        <v>857</v>
      </c>
      <c r="P805" s="50">
        <v>4232.75</v>
      </c>
      <c r="Q805" s="50">
        <v>4.5700901448959899</v>
      </c>
      <c r="R805" s="50">
        <v>19344.049060808502</v>
      </c>
      <c r="S805" s="74">
        <v>45792</v>
      </c>
      <c r="T805" s="48" t="s">
        <v>308</v>
      </c>
      <c r="U805" s="48" t="s">
        <v>213</v>
      </c>
      <c r="V805" s="48" t="s">
        <v>857</v>
      </c>
      <c r="W805" s="48"/>
    </row>
    <row r="806" spans="1:23" ht="15.75" x14ac:dyDescent="0.25">
      <c r="A806" s="48" t="s">
        <v>306</v>
      </c>
      <c r="B806" s="49">
        <v>45713</v>
      </c>
      <c r="C806" s="48" t="s">
        <v>1355</v>
      </c>
      <c r="D806" s="48" t="s">
        <v>1118</v>
      </c>
      <c r="E806" s="48" t="s">
        <v>858</v>
      </c>
      <c r="F806" s="48" t="s">
        <v>62</v>
      </c>
      <c r="G806" s="48" t="s">
        <v>70</v>
      </c>
      <c r="H806" s="48" t="s">
        <v>70</v>
      </c>
      <c r="I806" s="48" t="s">
        <v>307</v>
      </c>
      <c r="J806" s="48" t="s">
        <v>72</v>
      </c>
      <c r="K806" s="48" t="s">
        <v>213</v>
      </c>
      <c r="L806" s="48" t="s">
        <v>1134</v>
      </c>
      <c r="M806" s="48" t="s">
        <v>67</v>
      </c>
      <c r="N806" s="48" t="s">
        <v>20</v>
      </c>
      <c r="O806" s="48" t="s">
        <v>857</v>
      </c>
      <c r="P806" s="50">
        <v>4698.32</v>
      </c>
      <c r="Q806" s="50">
        <v>4.5700910112550899</v>
      </c>
      <c r="R806" s="50">
        <v>21471.750000000011</v>
      </c>
      <c r="S806" s="74">
        <v>45792</v>
      </c>
      <c r="T806" s="48" t="s">
        <v>308</v>
      </c>
      <c r="U806" s="48" t="s">
        <v>213</v>
      </c>
      <c r="V806" s="48" t="s">
        <v>857</v>
      </c>
      <c r="W806" s="48" t="s">
        <v>903</v>
      </c>
    </row>
    <row r="807" spans="1:23" ht="15.75" x14ac:dyDescent="0.25">
      <c r="A807" s="48" t="s">
        <v>672</v>
      </c>
      <c r="B807" s="49">
        <v>45790</v>
      </c>
      <c r="C807" s="48" t="s">
        <v>940</v>
      </c>
      <c r="D807" s="48" t="s">
        <v>1119</v>
      </c>
      <c r="E807" s="48" t="s">
        <v>856</v>
      </c>
      <c r="F807" s="48" t="s">
        <v>366</v>
      </c>
      <c r="G807" s="48" t="s">
        <v>367</v>
      </c>
      <c r="H807" s="48" t="s">
        <v>27</v>
      </c>
      <c r="I807" s="48" t="s">
        <v>469</v>
      </c>
      <c r="J807" s="48" t="s">
        <v>72</v>
      </c>
      <c r="K807" s="48" t="s">
        <v>367</v>
      </c>
      <c r="L807" s="48" t="s">
        <v>1136</v>
      </c>
      <c r="M807" s="48" t="s">
        <v>191</v>
      </c>
      <c r="N807" s="48" t="s">
        <v>20</v>
      </c>
      <c r="O807" s="48" t="s">
        <v>857</v>
      </c>
      <c r="P807" s="50">
        <v>324230.21999999997</v>
      </c>
      <c r="Q807" s="50">
        <v>1.026</v>
      </c>
      <c r="R807" s="50">
        <v>332660.20571999997</v>
      </c>
      <c r="S807" s="74">
        <v>45792</v>
      </c>
      <c r="T807" s="48" t="s">
        <v>208</v>
      </c>
      <c r="U807" s="48" t="s">
        <v>367</v>
      </c>
      <c r="V807" s="48" t="s">
        <v>857</v>
      </c>
      <c r="W807" s="48"/>
    </row>
    <row r="808" spans="1:23" ht="15.75" x14ac:dyDescent="0.25">
      <c r="A808" s="48" t="s">
        <v>657</v>
      </c>
      <c r="B808" s="49">
        <v>45753</v>
      </c>
      <c r="C808" s="48" t="s">
        <v>916</v>
      </c>
      <c r="D808" s="48" t="s">
        <v>441</v>
      </c>
      <c r="E808" s="48" t="s">
        <v>856</v>
      </c>
      <c r="F808" s="48" t="s">
        <v>95</v>
      </c>
      <c r="G808" s="48" t="s">
        <v>96</v>
      </c>
      <c r="H808" s="48" t="s">
        <v>27</v>
      </c>
      <c r="I808" s="48" t="s">
        <v>658</v>
      </c>
      <c r="J808" s="48" t="s">
        <v>24</v>
      </c>
      <c r="K808" s="48" t="s">
        <v>22</v>
      </c>
      <c r="L808" s="48" t="s">
        <v>1132</v>
      </c>
      <c r="M808" s="48" t="s">
        <v>26</v>
      </c>
      <c r="N808" s="48" t="s">
        <v>20</v>
      </c>
      <c r="O808" s="48" t="s">
        <v>378</v>
      </c>
      <c r="P808" s="50">
        <v>649056.68999999994</v>
      </c>
      <c r="Q808" s="50">
        <v>1</v>
      </c>
      <c r="R808" s="50">
        <v>649056.68999999994</v>
      </c>
      <c r="S808" s="74">
        <v>45792</v>
      </c>
      <c r="T808" s="48" t="s">
        <v>311</v>
      </c>
      <c r="U808" s="48" t="s">
        <v>882</v>
      </c>
      <c r="V808" s="48" t="s">
        <v>378</v>
      </c>
      <c r="W808" s="48"/>
    </row>
    <row r="809" spans="1:23" ht="15.75" x14ac:dyDescent="0.25">
      <c r="A809" s="48" t="s">
        <v>659</v>
      </c>
      <c r="B809" s="49">
        <v>45739</v>
      </c>
      <c r="C809" s="48" t="s">
        <v>916</v>
      </c>
      <c r="D809" s="48" t="s">
        <v>441</v>
      </c>
      <c r="E809" s="48" t="s">
        <v>858</v>
      </c>
      <c r="F809" s="48" t="s">
        <v>95</v>
      </c>
      <c r="G809" s="48" t="s">
        <v>96</v>
      </c>
      <c r="H809" s="48" t="s">
        <v>27</v>
      </c>
      <c r="I809" s="48" t="s">
        <v>660</v>
      </c>
      <c r="J809" s="48" t="s">
        <v>24</v>
      </c>
      <c r="K809" s="48" t="s">
        <v>22</v>
      </c>
      <c r="L809" s="48" t="s">
        <v>1132</v>
      </c>
      <c r="M809" s="48" t="s">
        <v>26</v>
      </c>
      <c r="N809" s="48" t="s">
        <v>20</v>
      </c>
      <c r="O809" s="48" t="s">
        <v>378</v>
      </c>
      <c r="P809" s="50">
        <v>1000000</v>
      </c>
      <c r="Q809" s="50">
        <v>1</v>
      </c>
      <c r="R809" s="50">
        <v>1000000</v>
      </c>
      <c r="S809" s="74">
        <v>45790</v>
      </c>
      <c r="T809" s="48" t="s">
        <v>311</v>
      </c>
      <c r="U809" s="48" t="s">
        <v>882</v>
      </c>
      <c r="V809" s="48" t="s">
        <v>378</v>
      </c>
      <c r="W809" s="48"/>
    </row>
    <row r="810" spans="1:23" ht="15.75" x14ac:dyDescent="0.25">
      <c r="A810" s="48" t="s">
        <v>672</v>
      </c>
      <c r="B810" s="49">
        <v>45788</v>
      </c>
      <c r="C810" s="48" t="s">
        <v>1023</v>
      </c>
      <c r="D810" s="48" t="s">
        <v>1119</v>
      </c>
      <c r="E810" s="48" t="s">
        <v>856</v>
      </c>
      <c r="F810" s="48" t="s">
        <v>366</v>
      </c>
      <c r="G810" s="48" t="s">
        <v>367</v>
      </c>
      <c r="H810" s="48" t="s">
        <v>27</v>
      </c>
      <c r="I810" s="48" t="s">
        <v>469</v>
      </c>
      <c r="J810" s="48" t="s">
        <v>72</v>
      </c>
      <c r="K810" s="48" t="s">
        <v>367</v>
      </c>
      <c r="L810" s="48" t="s">
        <v>1136</v>
      </c>
      <c r="M810" s="48" t="s">
        <v>191</v>
      </c>
      <c r="N810" s="48" t="s">
        <v>20</v>
      </c>
      <c r="O810" s="48" t="s">
        <v>857</v>
      </c>
      <c r="P810" s="50">
        <v>501046.75</v>
      </c>
      <c r="Q810" s="50">
        <v>1.0261</v>
      </c>
      <c r="R810" s="50">
        <v>514124.070175</v>
      </c>
      <c r="S810" s="74">
        <v>45790</v>
      </c>
      <c r="T810" s="48" t="s">
        <v>208</v>
      </c>
      <c r="U810" s="48" t="s">
        <v>367</v>
      </c>
      <c r="V810" s="48" t="s">
        <v>857</v>
      </c>
      <c r="W810" s="48"/>
    </row>
    <row r="811" spans="1:23" ht="15.75" x14ac:dyDescent="0.25">
      <c r="A811" s="48" t="s">
        <v>672</v>
      </c>
      <c r="B811" s="49">
        <v>45785</v>
      </c>
      <c r="C811" s="48" t="s">
        <v>934</v>
      </c>
      <c r="D811" s="48" t="s">
        <v>1119</v>
      </c>
      <c r="E811" s="48" t="s">
        <v>856</v>
      </c>
      <c r="F811" s="48" t="s">
        <v>366</v>
      </c>
      <c r="G811" s="48" t="s">
        <v>367</v>
      </c>
      <c r="H811" s="48" t="s">
        <v>27</v>
      </c>
      <c r="I811" s="48" t="s">
        <v>469</v>
      </c>
      <c r="J811" s="48" t="s">
        <v>72</v>
      </c>
      <c r="K811" s="48" t="s">
        <v>367</v>
      </c>
      <c r="L811" s="48" t="s">
        <v>1136</v>
      </c>
      <c r="M811" s="48" t="s">
        <v>191</v>
      </c>
      <c r="N811" s="48" t="s">
        <v>20</v>
      </c>
      <c r="O811" s="48" t="s">
        <v>857</v>
      </c>
      <c r="P811" s="50">
        <v>493635.45</v>
      </c>
      <c r="Q811" s="50">
        <v>1.026</v>
      </c>
      <c r="R811" s="50">
        <v>506469.97169999999</v>
      </c>
      <c r="S811" s="74">
        <v>45789</v>
      </c>
      <c r="T811" s="48" t="s">
        <v>208</v>
      </c>
      <c r="U811" s="48" t="s">
        <v>367</v>
      </c>
      <c r="V811" s="48" t="s">
        <v>857</v>
      </c>
      <c r="W811" s="48"/>
    </row>
    <row r="812" spans="1:23" ht="15.75" x14ac:dyDescent="0.25">
      <c r="A812" s="48" t="s">
        <v>672</v>
      </c>
      <c r="B812" s="49">
        <v>45785</v>
      </c>
      <c r="C812" s="48" t="s">
        <v>925</v>
      </c>
      <c r="D812" s="48" t="s">
        <v>1119</v>
      </c>
      <c r="E812" s="48" t="s">
        <v>856</v>
      </c>
      <c r="F812" s="48" t="s">
        <v>366</v>
      </c>
      <c r="G812" s="48" t="s">
        <v>367</v>
      </c>
      <c r="H812" s="48" t="s">
        <v>27</v>
      </c>
      <c r="I812" s="48" t="s">
        <v>469</v>
      </c>
      <c r="J812" s="48" t="s">
        <v>72</v>
      </c>
      <c r="K812" s="48" t="s">
        <v>367</v>
      </c>
      <c r="L812" s="48" t="s">
        <v>1136</v>
      </c>
      <c r="M812" s="48" t="s">
        <v>191</v>
      </c>
      <c r="N812" s="48" t="s">
        <v>20</v>
      </c>
      <c r="O812" s="48" t="s">
        <v>857</v>
      </c>
      <c r="P812" s="50">
        <v>456528.2</v>
      </c>
      <c r="Q812" s="50">
        <v>1.026</v>
      </c>
      <c r="R812" s="50">
        <v>468397.93320000003</v>
      </c>
      <c r="S812" s="74">
        <v>45789</v>
      </c>
      <c r="T812" s="48" t="s">
        <v>208</v>
      </c>
      <c r="U812" s="48" t="s">
        <v>367</v>
      </c>
      <c r="V812" s="48" t="s">
        <v>857</v>
      </c>
      <c r="W812" s="48"/>
    </row>
    <row r="813" spans="1:23" ht="15.75" x14ac:dyDescent="0.25">
      <c r="A813" s="48" t="s">
        <v>639</v>
      </c>
      <c r="B813" s="49">
        <v>45712</v>
      </c>
      <c r="C813" s="48" t="s">
        <v>916</v>
      </c>
      <c r="D813" s="48" t="s">
        <v>441</v>
      </c>
      <c r="E813" s="48" t="s">
        <v>856</v>
      </c>
      <c r="F813" s="48" t="s">
        <v>21</v>
      </c>
      <c r="G813" s="48" t="s">
        <v>22</v>
      </c>
      <c r="H813" s="48" t="s">
        <v>27</v>
      </c>
      <c r="I813" s="48" t="s">
        <v>640</v>
      </c>
      <c r="J813" s="48" t="s">
        <v>24</v>
      </c>
      <c r="K813" s="48" t="s">
        <v>22</v>
      </c>
      <c r="L813" s="48" t="s">
        <v>1132</v>
      </c>
      <c r="M813" s="48" t="s">
        <v>26</v>
      </c>
      <c r="N813" s="48" t="s">
        <v>20</v>
      </c>
      <c r="O813" s="48" t="s">
        <v>857</v>
      </c>
      <c r="P813" s="50">
        <v>493685.89</v>
      </c>
      <c r="Q813" s="50">
        <v>1</v>
      </c>
      <c r="R813" s="50">
        <v>493685.89</v>
      </c>
      <c r="S813" s="74">
        <v>45789</v>
      </c>
      <c r="T813" s="48" t="s">
        <v>311</v>
      </c>
      <c r="U813" s="48" t="s">
        <v>22</v>
      </c>
      <c r="V813" s="48" t="s">
        <v>857</v>
      </c>
      <c r="W813" s="48"/>
    </row>
    <row r="814" spans="1:23" ht="15.75" x14ac:dyDescent="0.25">
      <c r="A814" s="48" t="s">
        <v>654</v>
      </c>
      <c r="B814" s="49">
        <v>45708</v>
      </c>
      <c r="C814" s="48" t="s">
        <v>916</v>
      </c>
      <c r="D814" s="48" t="s">
        <v>441</v>
      </c>
      <c r="E814" s="48" t="s">
        <v>856</v>
      </c>
      <c r="F814" s="48" t="s">
        <v>21</v>
      </c>
      <c r="G814" s="48" t="s">
        <v>22</v>
      </c>
      <c r="H814" s="48" t="s">
        <v>27</v>
      </c>
      <c r="I814" s="48" t="s">
        <v>655</v>
      </c>
      <c r="J814" s="48" t="s">
        <v>24</v>
      </c>
      <c r="K814" s="48" t="s">
        <v>22</v>
      </c>
      <c r="L814" s="48" t="s">
        <v>1132</v>
      </c>
      <c r="M814" s="48" t="s">
        <v>26</v>
      </c>
      <c r="N814" s="48" t="s">
        <v>20</v>
      </c>
      <c r="O814" s="48" t="s">
        <v>857</v>
      </c>
      <c r="P814" s="50">
        <v>500000</v>
      </c>
      <c r="Q814" s="50">
        <v>1</v>
      </c>
      <c r="R814" s="50">
        <v>500000</v>
      </c>
      <c r="S814" s="74">
        <v>45789</v>
      </c>
      <c r="T814" s="48" t="s">
        <v>311</v>
      </c>
      <c r="U814" s="48" t="s">
        <v>1333</v>
      </c>
      <c r="V814" s="48" t="s">
        <v>378</v>
      </c>
      <c r="W814" s="48"/>
    </row>
    <row r="815" spans="1:23" ht="15.75" x14ac:dyDescent="0.25">
      <c r="A815" s="48" t="s">
        <v>647</v>
      </c>
      <c r="B815" s="49">
        <v>45715</v>
      </c>
      <c r="C815" s="48" t="s">
        <v>916</v>
      </c>
      <c r="D815" s="48" t="s">
        <v>441</v>
      </c>
      <c r="E815" s="48" t="s">
        <v>856</v>
      </c>
      <c r="F815" s="48" t="s">
        <v>21</v>
      </c>
      <c r="G815" s="48" t="s">
        <v>22</v>
      </c>
      <c r="H815" s="48" t="s">
        <v>27</v>
      </c>
      <c r="I815" s="48" t="s">
        <v>648</v>
      </c>
      <c r="J815" s="48" t="s">
        <v>24</v>
      </c>
      <c r="K815" s="48" t="s">
        <v>22</v>
      </c>
      <c r="L815" s="48" t="s">
        <v>1132</v>
      </c>
      <c r="M815" s="48" t="s">
        <v>26</v>
      </c>
      <c r="N815" s="48" t="s">
        <v>20</v>
      </c>
      <c r="O815" s="48" t="s">
        <v>857</v>
      </c>
      <c r="P815" s="50">
        <v>150000</v>
      </c>
      <c r="Q815" s="50">
        <v>1</v>
      </c>
      <c r="R815" s="50">
        <v>150000</v>
      </c>
      <c r="S815" s="74">
        <v>45789</v>
      </c>
      <c r="T815" s="48" t="s">
        <v>311</v>
      </c>
      <c r="U815" s="48" t="s">
        <v>22</v>
      </c>
      <c r="V815" s="48" t="s">
        <v>857</v>
      </c>
      <c r="W815" s="48"/>
    </row>
    <row r="816" spans="1:23" ht="15.75" x14ac:dyDescent="0.25">
      <c r="A816" s="48" t="s">
        <v>670</v>
      </c>
      <c r="B816" s="49">
        <v>45740</v>
      </c>
      <c r="C816" s="48" t="s">
        <v>916</v>
      </c>
      <c r="D816" s="48" t="s">
        <v>441</v>
      </c>
      <c r="E816" s="48" t="s">
        <v>856</v>
      </c>
      <c r="F816" s="48" t="s">
        <v>95</v>
      </c>
      <c r="G816" s="48" t="s">
        <v>96</v>
      </c>
      <c r="H816" s="48" t="s">
        <v>27</v>
      </c>
      <c r="I816" s="48" t="s">
        <v>671</v>
      </c>
      <c r="J816" s="48" t="s">
        <v>24</v>
      </c>
      <c r="K816" s="48" t="s">
        <v>22</v>
      </c>
      <c r="L816" s="48" t="s">
        <v>1132</v>
      </c>
      <c r="M816" s="48" t="s">
        <v>26</v>
      </c>
      <c r="N816" s="48" t="s">
        <v>20</v>
      </c>
      <c r="O816" s="48" t="s">
        <v>378</v>
      </c>
      <c r="P816" s="50">
        <v>2622000</v>
      </c>
      <c r="Q816" s="50">
        <v>1</v>
      </c>
      <c r="R816" s="50">
        <v>2622000</v>
      </c>
      <c r="S816" s="74">
        <v>45788</v>
      </c>
      <c r="T816" s="48" t="s">
        <v>311</v>
      </c>
      <c r="U816" s="48" t="s">
        <v>1271</v>
      </c>
      <c r="V816" s="48" t="s">
        <v>378</v>
      </c>
      <c r="W816" s="48"/>
    </row>
    <row r="817" spans="1:23" ht="15.75" x14ac:dyDescent="0.25">
      <c r="A817" s="48" t="s">
        <v>630</v>
      </c>
      <c r="B817" s="49">
        <v>45725</v>
      </c>
      <c r="C817" s="48" t="s">
        <v>1300</v>
      </c>
      <c r="D817" s="48" t="s">
        <v>441</v>
      </c>
      <c r="E817" s="48" t="s">
        <v>856</v>
      </c>
      <c r="F817" s="48" t="s">
        <v>95</v>
      </c>
      <c r="G817" s="48" t="s">
        <v>96</v>
      </c>
      <c r="H817" s="48" t="s">
        <v>27</v>
      </c>
      <c r="I817" s="48" t="s">
        <v>519</v>
      </c>
      <c r="J817" s="48" t="s">
        <v>24</v>
      </c>
      <c r="K817" s="48" t="s">
        <v>22</v>
      </c>
      <c r="L817" s="48" t="s">
        <v>1132</v>
      </c>
      <c r="M817" s="48" t="s">
        <v>26</v>
      </c>
      <c r="N817" s="48" t="s">
        <v>20</v>
      </c>
      <c r="O817" s="48" t="s">
        <v>378</v>
      </c>
      <c r="P817" s="50">
        <v>1000000</v>
      </c>
      <c r="Q817" s="50">
        <v>1</v>
      </c>
      <c r="R817" s="50">
        <v>1000000</v>
      </c>
      <c r="S817" s="74">
        <v>45788</v>
      </c>
      <c r="T817" s="48" t="s">
        <v>311</v>
      </c>
      <c r="U817" s="48" t="s">
        <v>483</v>
      </c>
      <c r="V817" s="48" t="s">
        <v>857</v>
      </c>
      <c r="W817" s="48"/>
    </row>
    <row r="818" spans="1:23" ht="15.75" x14ac:dyDescent="0.25">
      <c r="A818" s="48" t="s">
        <v>630</v>
      </c>
      <c r="B818" s="49">
        <v>45725</v>
      </c>
      <c r="C818" s="48" t="s">
        <v>1299</v>
      </c>
      <c r="D818" s="48" t="s">
        <v>441</v>
      </c>
      <c r="E818" s="48" t="s">
        <v>856</v>
      </c>
      <c r="F818" s="48" t="s">
        <v>95</v>
      </c>
      <c r="G818" s="48" t="s">
        <v>96</v>
      </c>
      <c r="H818" s="48" t="s">
        <v>27</v>
      </c>
      <c r="I818" s="48" t="s">
        <v>519</v>
      </c>
      <c r="J818" s="48" t="s">
        <v>24</v>
      </c>
      <c r="K818" s="48" t="s">
        <v>22</v>
      </c>
      <c r="L818" s="48" t="s">
        <v>1132</v>
      </c>
      <c r="M818" s="48" t="s">
        <v>26</v>
      </c>
      <c r="N818" s="48" t="s">
        <v>20</v>
      </c>
      <c r="O818" s="48" t="s">
        <v>378</v>
      </c>
      <c r="P818" s="50">
        <v>2000000</v>
      </c>
      <c r="Q818" s="50">
        <v>1</v>
      </c>
      <c r="R818" s="50">
        <v>2000000</v>
      </c>
      <c r="S818" s="74">
        <v>45788</v>
      </c>
      <c r="T818" s="48" t="s">
        <v>311</v>
      </c>
      <c r="U818" s="48" t="s">
        <v>1271</v>
      </c>
      <c r="V818" s="48" t="s">
        <v>378</v>
      </c>
      <c r="W818" s="48"/>
    </row>
    <row r="819" spans="1:23" ht="15.75" x14ac:dyDescent="0.25">
      <c r="A819" s="48" t="s">
        <v>667</v>
      </c>
      <c r="B819" s="49">
        <v>45714</v>
      </c>
      <c r="C819" s="48" t="s">
        <v>916</v>
      </c>
      <c r="D819" s="48" t="s">
        <v>441</v>
      </c>
      <c r="E819" s="48" t="s">
        <v>858</v>
      </c>
      <c r="F819" s="48" t="s">
        <v>95</v>
      </c>
      <c r="G819" s="48" t="s">
        <v>96</v>
      </c>
      <c r="H819" s="48" t="s">
        <v>27</v>
      </c>
      <c r="I819" s="48" t="s">
        <v>415</v>
      </c>
      <c r="J819" s="48" t="s">
        <v>24</v>
      </c>
      <c r="K819" s="48" t="s">
        <v>22</v>
      </c>
      <c r="L819" s="48" t="s">
        <v>1132</v>
      </c>
      <c r="M819" s="48" t="s">
        <v>26</v>
      </c>
      <c r="N819" s="48" t="s">
        <v>20</v>
      </c>
      <c r="O819" s="48" t="s">
        <v>378</v>
      </c>
      <c r="P819" s="50">
        <v>1000000</v>
      </c>
      <c r="Q819" s="50">
        <v>1</v>
      </c>
      <c r="R819" s="50">
        <v>1000000</v>
      </c>
      <c r="S819" s="74">
        <v>45785</v>
      </c>
      <c r="T819" s="48" t="s">
        <v>311</v>
      </c>
      <c r="U819" s="48" t="s">
        <v>90</v>
      </c>
      <c r="V819" s="48" t="s">
        <v>378</v>
      </c>
      <c r="W819" s="48"/>
    </row>
    <row r="820" spans="1:23" ht="15.75" x14ac:dyDescent="0.25">
      <c r="A820" s="48" t="s">
        <v>634</v>
      </c>
      <c r="B820" s="49">
        <v>45734</v>
      </c>
      <c r="C820" s="48" t="s">
        <v>916</v>
      </c>
      <c r="D820" s="48" t="s">
        <v>441</v>
      </c>
      <c r="E820" s="48" t="s">
        <v>858</v>
      </c>
      <c r="F820" s="48" t="s">
        <v>95</v>
      </c>
      <c r="G820" s="48" t="s">
        <v>96</v>
      </c>
      <c r="H820" s="48" t="s">
        <v>27</v>
      </c>
      <c r="I820" s="48" t="s">
        <v>635</v>
      </c>
      <c r="J820" s="48" t="s">
        <v>24</v>
      </c>
      <c r="K820" s="48" t="s">
        <v>22</v>
      </c>
      <c r="L820" s="48" t="s">
        <v>1132</v>
      </c>
      <c r="M820" s="48" t="s">
        <v>26</v>
      </c>
      <c r="N820" s="48" t="s">
        <v>20</v>
      </c>
      <c r="O820" s="48" t="s">
        <v>378</v>
      </c>
      <c r="P820" s="50">
        <v>500000</v>
      </c>
      <c r="Q820" s="50">
        <v>1</v>
      </c>
      <c r="R820" s="50">
        <v>500000</v>
      </c>
      <c r="S820" s="74">
        <v>45785</v>
      </c>
      <c r="T820" s="48" t="s">
        <v>311</v>
      </c>
      <c r="U820" s="48" t="s">
        <v>90</v>
      </c>
      <c r="V820" s="48" t="s">
        <v>378</v>
      </c>
      <c r="W820" s="48"/>
    </row>
    <row r="821" spans="1:23" ht="15.75" x14ac:dyDescent="0.25">
      <c r="A821" s="48" t="s">
        <v>615</v>
      </c>
      <c r="B821" s="49">
        <v>45741</v>
      </c>
      <c r="C821" s="48" t="s">
        <v>916</v>
      </c>
      <c r="D821" s="48" t="s">
        <v>441</v>
      </c>
      <c r="E821" s="48" t="s">
        <v>858</v>
      </c>
      <c r="F821" s="48" t="s">
        <v>612</v>
      </c>
      <c r="G821" s="48" t="s">
        <v>613</v>
      </c>
      <c r="H821" s="48" t="s">
        <v>27</v>
      </c>
      <c r="I821" s="48" t="s">
        <v>616</v>
      </c>
      <c r="J821" s="48" t="s">
        <v>24</v>
      </c>
      <c r="K821" s="48" t="s">
        <v>613</v>
      </c>
      <c r="L821" s="48" t="s">
        <v>1135</v>
      </c>
      <c r="M821" s="48" t="s">
        <v>26</v>
      </c>
      <c r="N821" s="48" t="s">
        <v>20</v>
      </c>
      <c r="O821" s="48" t="s">
        <v>857</v>
      </c>
      <c r="P821" s="50">
        <v>2103975.9500000002</v>
      </c>
      <c r="Q821" s="50">
        <v>1</v>
      </c>
      <c r="R821" s="50">
        <v>2103975.9500000002</v>
      </c>
      <c r="S821" s="74">
        <v>45785</v>
      </c>
      <c r="T821" s="48" t="s">
        <v>311</v>
      </c>
      <c r="U821" s="48" t="s">
        <v>613</v>
      </c>
      <c r="V821" s="48" t="s">
        <v>857</v>
      </c>
      <c r="W821" s="48"/>
    </row>
    <row r="822" spans="1:23" ht="15.75" x14ac:dyDescent="0.25">
      <c r="A822" s="48" t="s">
        <v>306</v>
      </c>
      <c r="B822" s="49">
        <v>45774</v>
      </c>
      <c r="C822" s="48" t="s">
        <v>1282</v>
      </c>
      <c r="D822" s="48" t="s">
        <v>1118</v>
      </c>
      <c r="E822" s="48" t="s">
        <v>858</v>
      </c>
      <c r="F822" s="48" t="s">
        <v>62</v>
      </c>
      <c r="G822" s="48" t="s">
        <v>70</v>
      </c>
      <c r="H822" s="48" t="s">
        <v>70</v>
      </c>
      <c r="I822" s="48" t="s">
        <v>307</v>
      </c>
      <c r="J822" s="48" t="s">
        <v>72</v>
      </c>
      <c r="K822" s="48" t="s">
        <v>213</v>
      </c>
      <c r="L822" s="48" t="s">
        <v>1134</v>
      </c>
      <c r="M822" s="48" t="s">
        <v>67</v>
      </c>
      <c r="N822" s="48" t="s">
        <v>20</v>
      </c>
      <c r="O822" s="48" t="s">
        <v>857</v>
      </c>
      <c r="P822" s="50">
        <v>63140.39</v>
      </c>
      <c r="Q822" s="50">
        <v>4.5700901448959899</v>
      </c>
      <c r="R822" s="50">
        <v>288557.27408388932</v>
      </c>
      <c r="S822" s="74">
        <v>45784</v>
      </c>
      <c r="T822" s="48" t="s">
        <v>308</v>
      </c>
      <c r="U822" s="48" t="s">
        <v>213</v>
      </c>
      <c r="V822" s="48" t="s">
        <v>857</v>
      </c>
      <c r="W822" s="48"/>
    </row>
    <row r="823" spans="1:23" ht="15.75" x14ac:dyDescent="0.25">
      <c r="A823" s="48" t="s">
        <v>637</v>
      </c>
      <c r="B823" s="49">
        <v>45708</v>
      </c>
      <c r="C823" s="48" t="s">
        <v>916</v>
      </c>
      <c r="D823" s="48" t="s">
        <v>441</v>
      </c>
      <c r="E823" s="48" t="s">
        <v>856</v>
      </c>
      <c r="F823" s="48" t="s">
        <v>21</v>
      </c>
      <c r="G823" s="48" t="s">
        <v>22</v>
      </c>
      <c r="H823" s="48" t="s">
        <v>27</v>
      </c>
      <c r="I823" s="48" t="s">
        <v>638</v>
      </c>
      <c r="J823" s="48" t="s">
        <v>24</v>
      </c>
      <c r="K823" s="48" t="s">
        <v>22</v>
      </c>
      <c r="L823" s="48" t="s">
        <v>1132</v>
      </c>
      <c r="M823" s="48" t="s">
        <v>26</v>
      </c>
      <c r="N823" s="48" t="s">
        <v>20</v>
      </c>
      <c r="O823" s="48" t="s">
        <v>857</v>
      </c>
      <c r="P823" s="50">
        <v>1500000</v>
      </c>
      <c r="Q823" s="50">
        <v>1</v>
      </c>
      <c r="R823" s="50">
        <v>1500000</v>
      </c>
      <c r="S823" s="74">
        <v>45784</v>
      </c>
      <c r="T823" s="48" t="s">
        <v>311</v>
      </c>
      <c r="U823" s="48" t="s">
        <v>1271</v>
      </c>
      <c r="V823" s="48" t="s">
        <v>378</v>
      </c>
      <c r="W823" s="48"/>
    </row>
    <row r="824" spans="1:23" ht="15.75" x14ac:dyDescent="0.25">
      <c r="A824" s="48" t="s">
        <v>588</v>
      </c>
      <c r="B824" s="49">
        <v>45712</v>
      </c>
      <c r="C824" s="48" t="s">
        <v>916</v>
      </c>
      <c r="D824" s="48" t="s">
        <v>441</v>
      </c>
      <c r="E824" s="48" t="s">
        <v>856</v>
      </c>
      <c r="F824" s="48" t="s">
        <v>21</v>
      </c>
      <c r="G824" s="48" t="s">
        <v>22</v>
      </c>
      <c r="H824" s="48" t="s">
        <v>27</v>
      </c>
      <c r="I824" s="48" t="s">
        <v>589</v>
      </c>
      <c r="J824" s="48" t="s">
        <v>24</v>
      </c>
      <c r="K824" s="48" t="s">
        <v>22</v>
      </c>
      <c r="L824" s="48" t="s">
        <v>1132</v>
      </c>
      <c r="M824" s="48" t="s">
        <v>26</v>
      </c>
      <c r="N824" s="48" t="s">
        <v>20</v>
      </c>
      <c r="O824" s="48" t="s">
        <v>857</v>
      </c>
      <c r="P824" s="50">
        <v>1737834</v>
      </c>
      <c r="Q824" s="50">
        <v>1</v>
      </c>
      <c r="R824" s="50">
        <v>1737834</v>
      </c>
      <c r="S824" s="74">
        <v>45784</v>
      </c>
      <c r="T824" s="48" t="s">
        <v>311</v>
      </c>
      <c r="U824" s="48" t="s">
        <v>1271</v>
      </c>
      <c r="V824" s="48" t="s">
        <v>378</v>
      </c>
      <c r="W824" s="48"/>
    </row>
    <row r="825" spans="1:23" ht="15.75" x14ac:dyDescent="0.25">
      <c r="A825" s="48" t="s">
        <v>628</v>
      </c>
      <c r="B825" s="49">
        <v>45713</v>
      </c>
      <c r="C825" s="48" t="s">
        <v>916</v>
      </c>
      <c r="D825" s="48" t="s">
        <v>441</v>
      </c>
      <c r="E825" s="48" t="s">
        <v>856</v>
      </c>
      <c r="F825" s="48" t="s">
        <v>21</v>
      </c>
      <c r="G825" s="48" t="s">
        <v>22</v>
      </c>
      <c r="H825" s="48" t="s">
        <v>27</v>
      </c>
      <c r="I825" s="48" t="s">
        <v>523</v>
      </c>
      <c r="J825" s="48" t="s">
        <v>24</v>
      </c>
      <c r="K825" s="48" t="s">
        <v>22</v>
      </c>
      <c r="L825" s="48" t="s">
        <v>1132</v>
      </c>
      <c r="M825" s="48" t="s">
        <v>26</v>
      </c>
      <c r="N825" s="48" t="s">
        <v>20</v>
      </c>
      <c r="O825" s="48" t="s">
        <v>857</v>
      </c>
      <c r="P825" s="50">
        <v>2000000</v>
      </c>
      <c r="Q825" s="50">
        <v>1</v>
      </c>
      <c r="R825" s="50">
        <v>2000000</v>
      </c>
      <c r="S825" s="74">
        <v>45784</v>
      </c>
      <c r="T825" s="48" t="s">
        <v>311</v>
      </c>
      <c r="U825" s="48" t="s">
        <v>1271</v>
      </c>
      <c r="V825" s="48" t="s">
        <v>378</v>
      </c>
      <c r="W825" s="48"/>
    </row>
    <row r="826" spans="1:23" ht="15.75" x14ac:dyDescent="0.25">
      <c r="A826" s="48" t="s">
        <v>586</v>
      </c>
      <c r="B826" s="49">
        <v>45713</v>
      </c>
      <c r="C826" s="48" t="s">
        <v>916</v>
      </c>
      <c r="D826" s="48" t="s">
        <v>441</v>
      </c>
      <c r="E826" s="48" t="s">
        <v>856</v>
      </c>
      <c r="F826" s="48" t="s">
        <v>21</v>
      </c>
      <c r="G826" s="48" t="s">
        <v>22</v>
      </c>
      <c r="H826" s="48" t="s">
        <v>27</v>
      </c>
      <c r="I826" s="48" t="s">
        <v>587</v>
      </c>
      <c r="J826" s="48" t="s">
        <v>24</v>
      </c>
      <c r="K826" s="48" t="s">
        <v>22</v>
      </c>
      <c r="L826" s="48" t="s">
        <v>1132</v>
      </c>
      <c r="M826" s="48" t="s">
        <v>26</v>
      </c>
      <c r="N826" s="48" t="s">
        <v>20</v>
      </c>
      <c r="O826" s="48" t="s">
        <v>857</v>
      </c>
      <c r="P826" s="50">
        <v>1500000</v>
      </c>
      <c r="Q826" s="50">
        <v>1</v>
      </c>
      <c r="R826" s="50">
        <v>1500000</v>
      </c>
      <c r="S826" s="74">
        <v>45784</v>
      </c>
      <c r="T826" s="48" t="s">
        <v>311</v>
      </c>
      <c r="U826" s="48" t="s">
        <v>1271</v>
      </c>
      <c r="V826" s="48" t="s">
        <v>378</v>
      </c>
      <c r="W826" s="48"/>
    </row>
    <row r="827" spans="1:23" ht="15.75" x14ac:dyDescent="0.25">
      <c r="A827" s="48" t="s">
        <v>788</v>
      </c>
      <c r="B827" s="49">
        <v>45778</v>
      </c>
      <c r="C827" s="48" t="s">
        <v>916</v>
      </c>
      <c r="D827" s="48" t="s">
        <v>1864</v>
      </c>
      <c r="E827" s="48" t="s">
        <v>858</v>
      </c>
      <c r="F827" s="48" t="s">
        <v>366</v>
      </c>
      <c r="G827" s="48" t="s">
        <v>710</v>
      </c>
      <c r="H827" s="48" t="s">
        <v>27</v>
      </c>
      <c r="I827" s="48" t="s">
        <v>789</v>
      </c>
      <c r="J827" s="48" t="s">
        <v>3221</v>
      </c>
      <c r="K827" s="48" t="s">
        <v>81</v>
      </c>
      <c r="L827" s="48" t="s">
        <v>1139</v>
      </c>
      <c r="M827" s="48" t="s">
        <v>26</v>
      </c>
      <c r="N827" s="48" t="s">
        <v>20</v>
      </c>
      <c r="O827" s="48" t="s">
        <v>857</v>
      </c>
      <c r="P827" s="50">
        <v>4000000</v>
      </c>
      <c r="Q827" s="50">
        <v>1</v>
      </c>
      <c r="R827" s="50">
        <v>4000000</v>
      </c>
      <c r="S827" s="74">
        <v>45783</v>
      </c>
      <c r="T827" s="48" t="s">
        <v>208</v>
      </c>
      <c r="U827" s="48" t="s">
        <v>377</v>
      </c>
      <c r="V827" s="48" t="s">
        <v>857</v>
      </c>
      <c r="W827" s="48"/>
    </row>
    <row r="828" spans="1:23" ht="15.75" x14ac:dyDescent="0.25">
      <c r="A828" s="48" t="s">
        <v>681</v>
      </c>
      <c r="B828" s="49">
        <v>45722</v>
      </c>
      <c r="C828" s="48" t="s">
        <v>916</v>
      </c>
      <c r="D828" s="48" t="s">
        <v>509</v>
      </c>
      <c r="E828" s="48" t="s">
        <v>858</v>
      </c>
      <c r="F828" s="48" t="s">
        <v>95</v>
      </c>
      <c r="G828" s="48" t="s">
        <v>96</v>
      </c>
      <c r="H828" s="48" t="s">
        <v>27</v>
      </c>
      <c r="I828" s="48" t="s">
        <v>542</v>
      </c>
      <c r="J828" s="48" t="s">
        <v>24</v>
      </c>
      <c r="K828" s="48" t="s">
        <v>407</v>
      </c>
      <c r="L828" s="48" t="s">
        <v>1131</v>
      </c>
      <c r="M828" s="48" t="s">
        <v>26</v>
      </c>
      <c r="N828" s="48" t="s">
        <v>20</v>
      </c>
      <c r="O828" s="48" t="s">
        <v>378</v>
      </c>
      <c r="P828" s="50">
        <v>400000</v>
      </c>
      <c r="Q828" s="50">
        <v>1</v>
      </c>
      <c r="R828" s="50">
        <v>400000</v>
      </c>
      <c r="S828" s="74">
        <v>45783</v>
      </c>
      <c r="T828" s="48" t="s">
        <v>311</v>
      </c>
      <c r="U828" s="48" t="s">
        <v>304</v>
      </c>
      <c r="V828" s="48" t="s">
        <v>378</v>
      </c>
      <c r="W828" s="48"/>
    </row>
    <row r="829" spans="1:23" ht="15.75" x14ac:dyDescent="0.25">
      <c r="A829" s="48" t="s">
        <v>678</v>
      </c>
      <c r="B829" s="49">
        <v>45762</v>
      </c>
      <c r="C829" s="48" t="s">
        <v>916</v>
      </c>
      <c r="D829" s="48" t="s">
        <v>509</v>
      </c>
      <c r="E829" s="48" t="s">
        <v>856</v>
      </c>
      <c r="F829" s="48" t="s">
        <v>95</v>
      </c>
      <c r="G829" s="48" t="s">
        <v>96</v>
      </c>
      <c r="H829" s="48" t="s">
        <v>27</v>
      </c>
      <c r="I829" s="48" t="s">
        <v>679</v>
      </c>
      <c r="J829" s="48" t="s">
        <v>24</v>
      </c>
      <c r="K829" s="48" t="s">
        <v>407</v>
      </c>
      <c r="L829" s="48" t="s">
        <v>1131</v>
      </c>
      <c r="M829" s="48" t="s">
        <v>26</v>
      </c>
      <c r="N829" s="48" t="s">
        <v>20</v>
      </c>
      <c r="O829" s="48" t="s">
        <v>378</v>
      </c>
      <c r="P829" s="50">
        <v>446228.6</v>
      </c>
      <c r="Q829" s="50">
        <v>1</v>
      </c>
      <c r="R829" s="50">
        <v>446228.6</v>
      </c>
      <c r="S829" s="74">
        <v>45783</v>
      </c>
      <c r="T829" s="48" t="s">
        <v>311</v>
      </c>
      <c r="U829" s="48" t="s">
        <v>304</v>
      </c>
      <c r="V829" s="48" t="s">
        <v>378</v>
      </c>
      <c r="W829" s="48"/>
    </row>
    <row r="830" spans="1:23" ht="15.75" x14ac:dyDescent="0.25">
      <c r="A830" s="48" t="s">
        <v>743</v>
      </c>
      <c r="B830" s="49">
        <v>45778</v>
      </c>
      <c r="C830" s="48" t="s">
        <v>916</v>
      </c>
      <c r="D830" s="48" t="s">
        <v>1864</v>
      </c>
      <c r="E830" s="48" t="s">
        <v>858</v>
      </c>
      <c r="F830" s="48" t="s">
        <v>366</v>
      </c>
      <c r="G830" s="48" t="s">
        <v>710</v>
      </c>
      <c r="H830" s="48" t="s">
        <v>27</v>
      </c>
      <c r="I830" s="48" t="s">
        <v>744</v>
      </c>
      <c r="J830" s="48" t="s">
        <v>3221</v>
      </c>
      <c r="K830" s="48" t="s">
        <v>81</v>
      </c>
      <c r="L830" s="48" t="s">
        <v>1139</v>
      </c>
      <c r="M830" s="48" t="s">
        <v>26</v>
      </c>
      <c r="N830" s="48" t="s">
        <v>20</v>
      </c>
      <c r="O830" s="48" t="s">
        <v>857</v>
      </c>
      <c r="P830" s="50">
        <v>1500000</v>
      </c>
      <c r="Q830" s="50">
        <v>1</v>
      </c>
      <c r="R830" s="50">
        <v>1500000</v>
      </c>
      <c r="S830" s="74">
        <v>45782</v>
      </c>
      <c r="T830" s="48" t="s">
        <v>208</v>
      </c>
      <c r="U830" s="48" t="s">
        <v>377</v>
      </c>
      <c r="V830" s="48" t="s">
        <v>857</v>
      </c>
      <c r="W830" s="48"/>
    </row>
    <row r="831" spans="1:23" ht="15.75" x14ac:dyDescent="0.25">
      <c r="A831" s="48" t="s">
        <v>296</v>
      </c>
      <c r="B831" s="49">
        <v>45713</v>
      </c>
      <c r="C831" s="48" t="s">
        <v>916</v>
      </c>
      <c r="D831" s="48" t="s">
        <v>441</v>
      </c>
      <c r="E831" s="48" t="s">
        <v>856</v>
      </c>
      <c r="F831" s="48" t="s">
        <v>21</v>
      </c>
      <c r="G831" s="48" t="s">
        <v>22</v>
      </c>
      <c r="H831" s="48" t="s">
        <v>27</v>
      </c>
      <c r="I831" s="48" t="s">
        <v>297</v>
      </c>
      <c r="J831" s="48" t="s">
        <v>24</v>
      </c>
      <c r="K831" s="48" t="s">
        <v>22</v>
      </c>
      <c r="L831" s="48" t="s">
        <v>1132</v>
      </c>
      <c r="M831" s="48" t="s">
        <v>191</v>
      </c>
      <c r="N831" s="48" t="s">
        <v>20</v>
      </c>
      <c r="O831" s="48" t="s">
        <v>857</v>
      </c>
      <c r="P831" s="50">
        <v>750000</v>
      </c>
      <c r="Q831" s="50">
        <v>1.0269999999999999</v>
      </c>
      <c r="R831" s="50">
        <v>770249.99999999988</v>
      </c>
      <c r="S831" s="74">
        <v>45782</v>
      </c>
      <c r="T831" s="48" t="s">
        <v>295</v>
      </c>
      <c r="U831" s="48" t="s">
        <v>613</v>
      </c>
      <c r="V831" s="48" t="s">
        <v>378</v>
      </c>
      <c r="W831" s="48"/>
    </row>
    <row r="832" spans="1:23" ht="15.75" x14ac:dyDescent="0.25">
      <c r="A832" s="48" t="s">
        <v>600</v>
      </c>
      <c r="B832" s="49">
        <v>45720</v>
      </c>
      <c r="C832" s="48" t="s">
        <v>916</v>
      </c>
      <c r="D832" s="48" t="s">
        <v>441</v>
      </c>
      <c r="E832" s="48" t="s">
        <v>858</v>
      </c>
      <c r="F832" s="48" t="s">
        <v>373</v>
      </c>
      <c r="G832" s="48" t="s">
        <v>63</v>
      </c>
      <c r="H832" s="48" t="s">
        <v>27</v>
      </c>
      <c r="I832" s="48" t="s">
        <v>601</v>
      </c>
      <c r="J832" s="48" t="s">
        <v>24</v>
      </c>
      <c r="K832" s="48" t="s">
        <v>22</v>
      </c>
      <c r="L832" s="48" t="s">
        <v>1132</v>
      </c>
      <c r="M832" s="48" t="s">
        <v>26</v>
      </c>
      <c r="N832" s="48" t="s">
        <v>20</v>
      </c>
      <c r="O832" s="48" t="s">
        <v>857</v>
      </c>
      <c r="P832" s="50">
        <v>576618.84</v>
      </c>
      <c r="Q832" s="50">
        <v>1</v>
      </c>
      <c r="R832" s="50">
        <v>576618.84</v>
      </c>
      <c r="S832" s="74">
        <v>45781</v>
      </c>
      <c r="T832" s="48" t="s">
        <v>311</v>
      </c>
      <c r="U832" s="48" t="s">
        <v>304</v>
      </c>
      <c r="V832" s="48" t="s">
        <v>378</v>
      </c>
      <c r="W832" s="48"/>
    </row>
    <row r="833" spans="1:23" ht="15.75" x14ac:dyDescent="0.25">
      <c r="A833" s="48" t="s">
        <v>508</v>
      </c>
      <c r="B833" s="49">
        <v>45771</v>
      </c>
      <c r="C833" s="48" t="s">
        <v>916</v>
      </c>
      <c r="D833" s="48" t="s">
        <v>509</v>
      </c>
      <c r="E833" s="48" t="s">
        <v>856</v>
      </c>
      <c r="F833" s="48" t="s">
        <v>373</v>
      </c>
      <c r="G833" s="48" t="s">
        <v>63</v>
      </c>
      <c r="H833" s="48" t="s">
        <v>27</v>
      </c>
      <c r="I833" s="48" t="s">
        <v>510</v>
      </c>
      <c r="J833" s="48" t="s">
        <v>72</v>
      </c>
      <c r="K833" s="48" t="s">
        <v>511</v>
      </c>
      <c r="L833" s="48" t="s">
        <v>1236</v>
      </c>
      <c r="M833" s="48" t="s">
        <v>26</v>
      </c>
      <c r="N833" s="48" t="s">
        <v>20</v>
      </c>
      <c r="O833" s="48" t="s">
        <v>378</v>
      </c>
      <c r="P833" s="50">
        <v>4262444.8</v>
      </c>
      <c r="Q833" s="50">
        <v>1</v>
      </c>
      <c r="R833" s="50">
        <v>4262444.8</v>
      </c>
      <c r="S833" s="74">
        <v>45777</v>
      </c>
      <c r="T833" s="48" t="s">
        <v>512</v>
      </c>
      <c r="U833" s="48" t="s">
        <v>304</v>
      </c>
      <c r="V833" s="48" t="s">
        <v>378</v>
      </c>
      <c r="W833" s="48" t="s">
        <v>1258</v>
      </c>
    </row>
    <row r="834" spans="1:23" ht="15.75" x14ac:dyDescent="0.25">
      <c r="A834" s="48" t="s">
        <v>786</v>
      </c>
      <c r="B834" s="49">
        <v>45776</v>
      </c>
      <c r="C834" s="48" t="s">
        <v>916</v>
      </c>
      <c r="D834" s="48" t="s">
        <v>1864</v>
      </c>
      <c r="E834" s="48" t="s">
        <v>858</v>
      </c>
      <c r="F834" s="48" t="s">
        <v>366</v>
      </c>
      <c r="G834" s="48" t="s">
        <v>710</v>
      </c>
      <c r="H834" s="48" t="s">
        <v>27</v>
      </c>
      <c r="I834" s="48" t="s">
        <v>787</v>
      </c>
      <c r="J834" s="48" t="s">
        <v>3221</v>
      </c>
      <c r="K834" s="48" t="s">
        <v>81</v>
      </c>
      <c r="L834" s="48" t="s">
        <v>1139</v>
      </c>
      <c r="M834" s="48" t="s">
        <v>26</v>
      </c>
      <c r="N834" s="48" t="s">
        <v>20</v>
      </c>
      <c r="O834" s="48" t="s">
        <v>857</v>
      </c>
      <c r="P834" s="50">
        <v>1200000</v>
      </c>
      <c r="Q834" s="50">
        <v>1</v>
      </c>
      <c r="R834" s="50">
        <v>1200000</v>
      </c>
      <c r="S834" s="74">
        <v>45777</v>
      </c>
      <c r="T834" s="48" t="s">
        <v>208</v>
      </c>
      <c r="U834" s="48" t="s">
        <v>377</v>
      </c>
      <c r="V834" s="48" t="s">
        <v>857</v>
      </c>
      <c r="W834" s="48"/>
    </row>
    <row r="835" spans="1:23" ht="15.75" x14ac:dyDescent="0.25">
      <c r="A835" s="48" t="s">
        <v>749</v>
      </c>
      <c r="B835" s="49">
        <v>45774</v>
      </c>
      <c r="C835" s="48" t="s">
        <v>916</v>
      </c>
      <c r="D835" s="48" t="s">
        <v>1864</v>
      </c>
      <c r="E835" s="48" t="s">
        <v>856</v>
      </c>
      <c r="F835" s="48" t="s">
        <v>366</v>
      </c>
      <c r="G835" s="48" t="s">
        <v>710</v>
      </c>
      <c r="H835" s="48" t="s">
        <v>27</v>
      </c>
      <c r="I835" s="48" t="s">
        <v>750</v>
      </c>
      <c r="J835" s="48" t="s">
        <v>3221</v>
      </c>
      <c r="K835" s="48" t="s">
        <v>81</v>
      </c>
      <c r="L835" s="48" t="s">
        <v>1139</v>
      </c>
      <c r="M835" s="48" t="s">
        <v>26</v>
      </c>
      <c r="N835" s="48" t="s">
        <v>20</v>
      </c>
      <c r="O835" s="48" t="s">
        <v>857</v>
      </c>
      <c r="P835" s="50">
        <v>1000000</v>
      </c>
      <c r="Q835" s="50">
        <v>1</v>
      </c>
      <c r="R835" s="50">
        <v>1000000</v>
      </c>
      <c r="S835" s="74">
        <v>45776</v>
      </c>
      <c r="T835" s="48" t="s">
        <v>208</v>
      </c>
      <c r="U835" s="48" t="s">
        <v>377</v>
      </c>
      <c r="V835" s="48" t="s">
        <v>857</v>
      </c>
      <c r="W835" s="48"/>
    </row>
    <row r="836" spans="1:23" ht="15.75" x14ac:dyDescent="0.25">
      <c r="A836" s="48" t="s">
        <v>745</v>
      </c>
      <c r="B836" s="49">
        <v>45774</v>
      </c>
      <c r="C836" s="48" t="s">
        <v>916</v>
      </c>
      <c r="D836" s="48" t="s">
        <v>1864</v>
      </c>
      <c r="E836" s="48" t="s">
        <v>858</v>
      </c>
      <c r="F836" s="48" t="s">
        <v>366</v>
      </c>
      <c r="G836" s="48" t="s">
        <v>710</v>
      </c>
      <c r="H836" s="48" t="s">
        <v>27</v>
      </c>
      <c r="I836" s="48" t="s">
        <v>746</v>
      </c>
      <c r="J836" s="48" t="s">
        <v>3221</v>
      </c>
      <c r="K836" s="48" t="s">
        <v>81</v>
      </c>
      <c r="L836" s="48" t="s">
        <v>1139</v>
      </c>
      <c r="M836" s="48" t="s">
        <v>26</v>
      </c>
      <c r="N836" s="48" t="s">
        <v>20</v>
      </c>
      <c r="O836" s="48" t="s">
        <v>857</v>
      </c>
      <c r="P836" s="50">
        <v>3262947</v>
      </c>
      <c r="Q836" s="50">
        <v>1</v>
      </c>
      <c r="R836" s="50">
        <v>3262947</v>
      </c>
      <c r="S836" s="74">
        <v>45776</v>
      </c>
      <c r="T836" s="48" t="s">
        <v>208</v>
      </c>
      <c r="U836" s="48" t="s">
        <v>377</v>
      </c>
      <c r="V836" s="48" t="s">
        <v>857</v>
      </c>
      <c r="W836" s="48"/>
    </row>
    <row r="837" spans="1:23" ht="15.75" x14ac:dyDescent="0.25">
      <c r="A837" s="48" t="s">
        <v>536</v>
      </c>
      <c r="B837" s="49">
        <v>45733</v>
      </c>
      <c r="C837" s="48" t="s">
        <v>916</v>
      </c>
      <c r="D837" s="48" t="s">
        <v>534</v>
      </c>
      <c r="E837" s="48" t="s">
        <v>856</v>
      </c>
      <c r="F837" s="48" t="s">
        <v>21</v>
      </c>
      <c r="G837" s="48" t="s">
        <v>22</v>
      </c>
      <c r="H837" s="48" t="s">
        <v>27</v>
      </c>
      <c r="I837" s="48" t="s">
        <v>535</v>
      </c>
      <c r="J837" s="48" t="s">
        <v>1791</v>
      </c>
      <c r="K837" s="48" t="s">
        <v>22</v>
      </c>
      <c r="L837" s="48" t="s">
        <v>1132</v>
      </c>
      <c r="M837" s="48" t="s">
        <v>31</v>
      </c>
      <c r="N837" s="48" t="s">
        <v>20</v>
      </c>
      <c r="O837" s="48" t="s">
        <v>857</v>
      </c>
      <c r="P837" s="50">
        <v>250880.36</v>
      </c>
      <c r="Q837" s="50">
        <v>5.0599999999999996</v>
      </c>
      <c r="R837" s="50">
        <v>1269454.6215999997</v>
      </c>
      <c r="S837" s="74">
        <v>45775</v>
      </c>
      <c r="T837" s="48" t="s">
        <v>32</v>
      </c>
      <c r="U837" s="48" t="s">
        <v>90</v>
      </c>
      <c r="V837" s="48" t="s">
        <v>378</v>
      </c>
      <c r="W837" s="48"/>
    </row>
    <row r="838" spans="1:23" ht="15.75" x14ac:dyDescent="0.25">
      <c r="A838" s="48" t="s">
        <v>577</v>
      </c>
      <c r="B838" s="49">
        <v>45732</v>
      </c>
      <c r="C838" s="48" t="s">
        <v>916</v>
      </c>
      <c r="D838" s="48" t="s">
        <v>441</v>
      </c>
      <c r="E838" s="48" t="s">
        <v>858</v>
      </c>
      <c r="F838" s="48" t="s">
        <v>373</v>
      </c>
      <c r="G838" s="48" t="s">
        <v>483</v>
      </c>
      <c r="H838" s="48" t="s">
        <v>27</v>
      </c>
      <c r="I838" s="48" t="s">
        <v>578</v>
      </c>
      <c r="J838" s="48" t="s">
        <v>24</v>
      </c>
      <c r="K838" s="48" t="s">
        <v>22</v>
      </c>
      <c r="L838" s="48" t="s">
        <v>1132</v>
      </c>
      <c r="M838" s="48" t="s">
        <v>26</v>
      </c>
      <c r="N838" s="48" t="s">
        <v>20</v>
      </c>
      <c r="O838" s="48" t="s">
        <v>857</v>
      </c>
      <c r="P838" s="50">
        <v>500000</v>
      </c>
      <c r="Q838" s="50">
        <v>1</v>
      </c>
      <c r="R838" s="50">
        <v>500000</v>
      </c>
      <c r="S838" s="74">
        <v>45775</v>
      </c>
      <c r="T838" s="48" t="s">
        <v>311</v>
      </c>
      <c r="U838" s="48" t="s">
        <v>304</v>
      </c>
      <c r="V838" s="48" t="s">
        <v>378</v>
      </c>
      <c r="W838" s="48"/>
    </row>
    <row r="839" spans="1:23" ht="15.75" x14ac:dyDescent="0.25">
      <c r="A839" s="48" t="s">
        <v>622</v>
      </c>
      <c r="B839" s="49">
        <v>45697</v>
      </c>
      <c r="C839" s="48" t="s">
        <v>916</v>
      </c>
      <c r="D839" s="48" t="s">
        <v>441</v>
      </c>
      <c r="E839" s="48" t="s">
        <v>856</v>
      </c>
      <c r="F839" s="48" t="s">
        <v>21</v>
      </c>
      <c r="G839" s="48" t="s">
        <v>22</v>
      </c>
      <c r="H839" s="48" t="s">
        <v>27</v>
      </c>
      <c r="I839" s="48" t="s">
        <v>623</v>
      </c>
      <c r="J839" s="48" t="s">
        <v>24</v>
      </c>
      <c r="K839" s="48" t="s">
        <v>22</v>
      </c>
      <c r="L839" s="48" t="s">
        <v>1132</v>
      </c>
      <c r="M839" s="48" t="s">
        <v>26</v>
      </c>
      <c r="N839" s="48" t="s">
        <v>20</v>
      </c>
      <c r="O839" s="48" t="s">
        <v>857</v>
      </c>
      <c r="P839" s="50">
        <v>1420509.01</v>
      </c>
      <c r="Q839" s="50">
        <v>1</v>
      </c>
      <c r="R839" s="50">
        <v>1420509.01</v>
      </c>
      <c r="S839" s="74">
        <v>45775</v>
      </c>
      <c r="T839" s="48" t="s">
        <v>311</v>
      </c>
      <c r="U839" s="48" t="s">
        <v>90</v>
      </c>
      <c r="V839" s="48" t="s">
        <v>378</v>
      </c>
      <c r="W839" s="48"/>
    </row>
    <row r="840" spans="1:23" ht="15.75" x14ac:dyDescent="0.25">
      <c r="A840" s="48" t="s">
        <v>610</v>
      </c>
      <c r="B840" s="49">
        <v>45739</v>
      </c>
      <c r="C840" s="48" t="s">
        <v>924</v>
      </c>
      <c r="D840" s="48" t="s">
        <v>509</v>
      </c>
      <c r="E840" s="48" t="s">
        <v>858</v>
      </c>
      <c r="F840" s="48" t="s">
        <v>95</v>
      </c>
      <c r="G840" s="48" t="s">
        <v>96</v>
      </c>
      <c r="H840" s="48" t="s">
        <v>27</v>
      </c>
      <c r="I840" s="48" t="s">
        <v>532</v>
      </c>
      <c r="J840" s="48" t="s">
        <v>72</v>
      </c>
      <c r="K840" s="48" t="s">
        <v>304</v>
      </c>
      <c r="L840" s="48" t="s">
        <v>1133</v>
      </c>
      <c r="M840" s="48" t="s">
        <v>26</v>
      </c>
      <c r="N840" s="48" t="s">
        <v>20</v>
      </c>
      <c r="O840" s="48" t="s">
        <v>378</v>
      </c>
      <c r="P840" s="50">
        <v>2211691.5</v>
      </c>
      <c r="Q840" s="50">
        <v>1</v>
      </c>
      <c r="R840" s="50">
        <v>2211691.5</v>
      </c>
      <c r="S840" s="74">
        <v>45775</v>
      </c>
      <c r="T840" s="48" t="s">
        <v>461</v>
      </c>
      <c r="U840" s="48" t="s">
        <v>304</v>
      </c>
      <c r="V840" s="48" t="s">
        <v>857</v>
      </c>
      <c r="W840" s="48"/>
    </row>
    <row r="841" spans="1:23" ht="15.75" x14ac:dyDescent="0.25">
      <c r="A841" s="48" t="s">
        <v>610</v>
      </c>
      <c r="B841" s="49">
        <v>45761</v>
      </c>
      <c r="C841" s="48" t="s">
        <v>933</v>
      </c>
      <c r="D841" s="48" t="s">
        <v>509</v>
      </c>
      <c r="E841" s="48" t="s">
        <v>858</v>
      </c>
      <c r="F841" s="48" t="s">
        <v>95</v>
      </c>
      <c r="G841" s="48" t="s">
        <v>96</v>
      </c>
      <c r="H841" s="48" t="s">
        <v>27</v>
      </c>
      <c r="I841" s="48" t="s">
        <v>532</v>
      </c>
      <c r="J841" s="48" t="s">
        <v>72</v>
      </c>
      <c r="K841" s="48" t="s">
        <v>304</v>
      </c>
      <c r="L841" s="48" t="s">
        <v>1133</v>
      </c>
      <c r="M841" s="48" t="s">
        <v>26</v>
      </c>
      <c r="N841" s="48" t="s">
        <v>20</v>
      </c>
      <c r="O841" s="48" t="s">
        <v>378</v>
      </c>
      <c r="P841" s="50">
        <v>4185264</v>
      </c>
      <c r="Q841" s="50">
        <v>1</v>
      </c>
      <c r="R841" s="50">
        <v>4185264</v>
      </c>
      <c r="S841" s="74">
        <v>45775</v>
      </c>
      <c r="T841" s="48" t="s">
        <v>461</v>
      </c>
      <c r="U841" s="48" t="s">
        <v>304</v>
      </c>
      <c r="V841" s="48" t="s">
        <v>857</v>
      </c>
      <c r="W841" s="48"/>
    </row>
    <row r="842" spans="1:23" ht="15.75" x14ac:dyDescent="0.25">
      <c r="A842" s="48" t="s">
        <v>610</v>
      </c>
      <c r="B842" s="49">
        <v>45761</v>
      </c>
      <c r="C842" s="48" t="s">
        <v>928</v>
      </c>
      <c r="D842" s="48" t="s">
        <v>509</v>
      </c>
      <c r="E842" s="48" t="s">
        <v>858</v>
      </c>
      <c r="F842" s="48" t="s">
        <v>95</v>
      </c>
      <c r="G842" s="48" t="s">
        <v>96</v>
      </c>
      <c r="H842" s="48" t="s">
        <v>27</v>
      </c>
      <c r="I842" s="48" t="s">
        <v>532</v>
      </c>
      <c r="J842" s="48" t="s">
        <v>72</v>
      </c>
      <c r="K842" s="48" t="s">
        <v>304</v>
      </c>
      <c r="L842" s="48" t="s">
        <v>1133</v>
      </c>
      <c r="M842" s="48" t="s">
        <v>26</v>
      </c>
      <c r="N842" s="48" t="s">
        <v>20</v>
      </c>
      <c r="O842" s="48" t="s">
        <v>378</v>
      </c>
      <c r="P842" s="50">
        <v>7780509</v>
      </c>
      <c r="Q842" s="50">
        <v>1</v>
      </c>
      <c r="R842" s="50">
        <v>7780509</v>
      </c>
      <c r="S842" s="74">
        <v>45775</v>
      </c>
      <c r="T842" s="48" t="s">
        <v>461</v>
      </c>
      <c r="U842" s="48" t="s">
        <v>304</v>
      </c>
      <c r="V842" s="48" t="s">
        <v>857</v>
      </c>
      <c r="W842" s="48"/>
    </row>
    <row r="843" spans="1:23" ht="15.75" x14ac:dyDescent="0.25">
      <c r="A843" s="48" t="s">
        <v>619</v>
      </c>
      <c r="B843" s="49">
        <v>45753</v>
      </c>
      <c r="C843" s="48" t="s">
        <v>916</v>
      </c>
      <c r="D843" s="48" t="s">
        <v>441</v>
      </c>
      <c r="E843" s="48" t="s">
        <v>856</v>
      </c>
      <c r="F843" s="48" t="s">
        <v>612</v>
      </c>
      <c r="G843" s="48" t="s">
        <v>613</v>
      </c>
      <c r="H843" s="48" t="s">
        <v>27</v>
      </c>
      <c r="I843" s="48" t="s">
        <v>620</v>
      </c>
      <c r="J843" s="48" t="s">
        <v>24</v>
      </c>
      <c r="K843" s="48" t="s">
        <v>613</v>
      </c>
      <c r="L843" s="48" t="s">
        <v>1135</v>
      </c>
      <c r="M843" s="48" t="s">
        <v>26</v>
      </c>
      <c r="N843" s="48" t="s">
        <v>20</v>
      </c>
      <c r="O843" s="48" t="s">
        <v>857</v>
      </c>
      <c r="P843" s="50">
        <v>3282724.96</v>
      </c>
      <c r="Q843" s="50">
        <v>1</v>
      </c>
      <c r="R843" s="50">
        <v>3282724.96</v>
      </c>
      <c r="S843" s="74">
        <v>45774</v>
      </c>
      <c r="T843" s="48" t="s">
        <v>621</v>
      </c>
      <c r="U843" s="48" t="s">
        <v>613</v>
      </c>
      <c r="V843" s="48" t="s">
        <v>857</v>
      </c>
      <c r="W843" s="48"/>
    </row>
    <row r="844" spans="1:23" ht="15.75" x14ac:dyDescent="0.25">
      <c r="A844" s="48" t="s">
        <v>321</v>
      </c>
      <c r="B844" s="49">
        <v>45770</v>
      </c>
      <c r="C844" s="48" t="s">
        <v>929</v>
      </c>
      <c r="D844" s="48" t="s">
        <v>1118</v>
      </c>
      <c r="E844" s="48" t="s">
        <v>858</v>
      </c>
      <c r="F844" s="48" t="s">
        <v>62</v>
      </c>
      <c r="G844" s="48" t="s">
        <v>70</v>
      </c>
      <c r="H844" s="48" t="s">
        <v>70</v>
      </c>
      <c r="I844" s="48" t="s">
        <v>322</v>
      </c>
      <c r="J844" s="48" t="s">
        <v>72</v>
      </c>
      <c r="K844" s="48" t="s">
        <v>213</v>
      </c>
      <c r="L844" s="48" t="s">
        <v>1134</v>
      </c>
      <c r="M844" s="48" t="s">
        <v>26</v>
      </c>
      <c r="N844" s="48" t="s">
        <v>20</v>
      </c>
      <c r="O844" s="48" t="s">
        <v>857</v>
      </c>
      <c r="P844" s="50">
        <v>5787900.1399999997</v>
      </c>
      <c r="Q844" s="50">
        <v>1</v>
      </c>
      <c r="R844" s="50">
        <v>5787900.1399999997</v>
      </c>
      <c r="S844" s="74">
        <v>45771</v>
      </c>
      <c r="T844" s="48" t="s">
        <v>127</v>
      </c>
      <c r="U844" s="48" t="s">
        <v>213</v>
      </c>
      <c r="V844" s="48" t="s">
        <v>857</v>
      </c>
      <c r="W844" s="48"/>
    </row>
    <row r="845" spans="1:23" ht="15.75" x14ac:dyDescent="0.25">
      <c r="A845" s="48" t="s">
        <v>306</v>
      </c>
      <c r="B845" s="49">
        <v>45726</v>
      </c>
      <c r="C845" s="48" t="s">
        <v>1211</v>
      </c>
      <c r="D845" s="48" t="s">
        <v>1118</v>
      </c>
      <c r="E845" s="48" t="s">
        <v>858</v>
      </c>
      <c r="F845" s="48" t="s">
        <v>62</v>
      </c>
      <c r="G845" s="48" t="s">
        <v>70</v>
      </c>
      <c r="H845" s="48" t="s">
        <v>70</v>
      </c>
      <c r="I845" s="48" t="s">
        <v>307</v>
      </c>
      <c r="J845" s="48" t="s">
        <v>72</v>
      </c>
      <c r="K845" s="48" t="s">
        <v>213</v>
      </c>
      <c r="L845" s="48" t="s">
        <v>1134</v>
      </c>
      <c r="M845" s="48" t="s">
        <v>67</v>
      </c>
      <c r="N845" s="48" t="s">
        <v>20</v>
      </c>
      <c r="O845" s="48" t="s">
        <v>857</v>
      </c>
      <c r="P845" s="50">
        <v>206671.5</v>
      </c>
      <c r="Q845" s="50">
        <v>4.5700901448959899</v>
      </c>
      <c r="R845" s="50">
        <v>944507.38538087159</v>
      </c>
      <c r="S845" s="74">
        <v>45771</v>
      </c>
      <c r="T845" s="48" t="s">
        <v>308</v>
      </c>
      <c r="U845" s="48" t="s">
        <v>213</v>
      </c>
      <c r="V845" s="48" t="s">
        <v>857</v>
      </c>
      <c r="W845" s="48"/>
    </row>
    <row r="846" spans="1:23" ht="15.75" x14ac:dyDescent="0.25">
      <c r="A846" s="48" t="s">
        <v>604</v>
      </c>
      <c r="B846" s="49">
        <v>45707</v>
      </c>
      <c r="C846" s="48" t="s">
        <v>916</v>
      </c>
      <c r="D846" s="48" t="s">
        <v>441</v>
      </c>
      <c r="E846" s="48" t="s">
        <v>856</v>
      </c>
      <c r="F846" s="48" t="s">
        <v>373</v>
      </c>
      <c r="G846" s="48" t="s">
        <v>63</v>
      </c>
      <c r="H846" s="48" t="s">
        <v>27</v>
      </c>
      <c r="I846" s="48" t="s">
        <v>605</v>
      </c>
      <c r="J846" s="48" t="s">
        <v>24</v>
      </c>
      <c r="K846" s="48" t="s">
        <v>22</v>
      </c>
      <c r="L846" s="48" t="s">
        <v>1132</v>
      </c>
      <c r="M846" s="48" t="s">
        <v>26</v>
      </c>
      <c r="N846" s="48" t="s">
        <v>20</v>
      </c>
      <c r="O846" s="48" t="s">
        <v>857</v>
      </c>
      <c r="P846" s="50">
        <v>431393.05</v>
      </c>
      <c r="Q846" s="50">
        <v>1</v>
      </c>
      <c r="R846" s="50">
        <v>431393.05</v>
      </c>
      <c r="S846" s="74">
        <v>45770</v>
      </c>
      <c r="T846" s="48" t="s">
        <v>311</v>
      </c>
      <c r="U846" s="48" t="s">
        <v>304</v>
      </c>
      <c r="V846" s="48" t="s">
        <v>378</v>
      </c>
      <c r="W846" s="48"/>
    </row>
    <row r="847" spans="1:23" ht="15.75" x14ac:dyDescent="0.25">
      <c r="A847" s="48" t="s">
        <v>254</v>
      </c>
      <c r="B847" s="49">
        <v>45753</v>
      </c>
      <c r="C847" s="48" t="s">
        <v>1008</v>
      </c>
      <c r="D847" s="48" t="s">
        <v>1184</v>
      </c>
      <c r="E847" s="48" t="s">
        <v>856</v>
      </c>
      <c r="F847" s="48" t="s">
        <v>21</v>
      </c>
      <c r="G847" s="48" t="s">
        <v>22</v>
      </c>
      <c r="H847" s="48" t="s">
        <v>27</v>
      </c>
      <c r="I847" s="48" t="s">
        <v>3623</v>
      </c>
      <c r="J847" s="48" t="s">
        <v>1791</v>
      </c>
      <c r="K847" s="48" t="s">
        <v>22</v>
      </c>
      <c r="L847" s="48" t="s">
        <v>1132</v>
      </c>
      <c r="M847" s="48" t="s">
        <v>67</v>
      </c>
      <c r="N847" s="48" t="s">
        <v>20</v>
      </c>
      <c r="O847" s="48" t="s">
        <v>857</v>
      </c>
      <c r="P847" s="50">
        <v>233049.53</v>
      </c>
      <c r="Q847" s="50">
        <v>4.4000000000000004</v>
      </c>
      <c r="R847" s="50">
        <v>1025417.932</v>
      </c>
      <c r="S847" s="74">
        <v>45768</v>
      </c>
      <c r="T847" s="48" t="s">
        <v>255</v>
      </c>
      <c r="U847" s="48" t="s">
        <v>613</v>
      </c>
      <c r="V847" s="48" t="s">
        <v>378</v>
      </c>
      <c r="W847" s="48" t="s">
        <v>1105</v>
      </c>
    </row>
    <row r="848" spans="1:23" ht="15.75" x14ac:dyDescent="0.25">
      <c r="A848" s="48" t="s">
        <v>254</v>
      </c>
      <c r="B848" s="49">
        <v>45742</v>
      </c>
      <c r="C848" s="48" t="s">
        <v>1306</v>
      </c>
      <c r="D848" s="48" t="s">
        <v>1184</v>
      </c>
      <c r="E848" s="48" t="s">
        <v>856</v>
      </c>
      <c r="F848" s="48" t="s">
        <v>21</v>
      </c>
      <c r="G848" s="48" t="s">
        <v>22</v>
      </c>
      <c r="H848" s="48" t="s">
        <v>27</v>
      </c>
      <c r="I848" s="48" t="s">
        <v>3623</v>
      </c>
      <c r="J848" s="48" t="s">
        <v>1791</v>
      </c>
      <c r="K848" s="48" t="s">
        <v>22</v>
      </c>
      <c r="L848" s="48" t="s">
        <v>1132</v>
      </c>
      <c r="M848" s="48" t="s">
        <v>67</v>
      </c>
      <c r="N848" s="48" t="s">
        <v>20</v>
      </c>
      <c r="O848" s="48" t="s">
        <v>857</v>
      </c>
      <c r="P848" s="50">
        <v>74768.52</v>
      </c>
      <c r="Q848" s="50">
        <v>4.4000000000000004</v>
      </c>
      <c r="R848" s="50">
        <v>328981.48800000007</v>
      </c>
      <c r="S848" s="74">
        <v>45768</v>
      </c>
      <c r="T848" s="48" t="s">
        <v>255</v>
      </c>
      <c r="U848" s="48" t="s">
        <v>871</v>
      </c>
      <c r="V848" s="48" t="s">
        <v>378</v>
      </c>
      <c r="W848" s="48"/>
    </row>
    <row r="849" spans="1:23" ht="15.75" x14ac:dyDescent="0.25">
      <c r="A849" s="48" t="s">
        <v>254</v>
      </c>
      <c r="B849" s="49">
        <v>45742</v>
      </c>
      <c r="C849" s="48" t="s">
        <v>1307</v>
      </c>
      <c r="D849" s="48" t="s">
        <v>1184</v>
      </c>
      <c r="E849" s="48" t="s">
        <v>856</v>
      </c>
      <c r="F849" s="48" t="s">
        <v>21</v>
      </c>
      <c r="G849" s="48" t="s">
        <v>22</v>
      </c>
      <c r="H849" s="48" t="s">
        <v>27</v>
      </c>
      <c r="I849" s="48" t="s">
        <v>3623</v>
      </c>
      <c r="J849" s="48" t="s">
        <v>1791</v>
      </c>
      <c r="K849" s="48" t="s">
        <v>22</v>
      </c>
      <c r="L849" s="48" t="s">
        <v>1132</v>
      </c>
      <c r="M849" s="48" t="s">
        <v>67</v>
      </c>
      <c r="N849" s="48" t="s">
        <v>20</v>
      </c>
      <c r="O849" s="48" t="s">
        <v>857</v>
      </c>
      <c r="P849" s="50">
        <v>38018.010000000009</v>
      </c>
      <c r="Q849" s="50">
        <v>4.4000000000000004</v>
      </c>
      <c r="R849" s="50">
        <v>167279.24400000006</v>
      </c>
      <c r="S849" s="74">
        <v>45768</v>
      </c>
      <c r="T849" s="48" t="s">
        <v>255</v>
      </c>
      <c r="U849" s="48" t="s">
        <v>511</v>
      </c>
      <c r="V849" s="48" t="s">
        <v>378</v>
      </c>
      <c r="W849" s="48" t="s">
        <v>906</v>
      </c>
    </row>
    <row r="850" spans="1:23" ht="15.75" x14ac:dyDescent="0.25">
      <c r="A850" s="48" t="s">
        <v>254</v>
      </c>
      <c r="B850" s="49">
        <v>45742</v>
      </c>
      <c r="C850" s="48" t="s">
        <v>1305</v>
      </c>
      <c r="D850" s="48" t="s">
        <v>1184</v>
      </c>
      <c r="E850" s="48" t="s">
        <v>856</v>
      </c>
      <c r="F850" s="48" t="s">
        <v>21</v>
      </c>
      <c r="G850" s="48" t="s">
        <v>22</v>
      </c>
      <c r="H850" s="48" t="s">
        <v>27</v>
      </c>
      <c r="I850" s="48" t="s">
        <v>3623</v>
      </c>
      <c r="J850" s="48" t="s">
        <v>1791</v>
      </c>
      <c r="K850" s="48" t="s">
        <v>22</v>
      </c>
      <c r="L850" s="48" t="s">
        <v>1132</v>
      </c>
      <c r="M850" s="48" t="s">
        <v>67</v>
      </c>
      <c r="N850" s="48" t="s">
        <v>20</v>
      </c>
      <c r="O850" s="48" t="s">
        <v>857</v>
      </c>
      <c r="P850" s="50">
        <v>67695.200000000012</v>
      </c>
      <c r="Q850" s="50">
        <v>4.4000000000000004</v>
      </c>
      <c r="R850" s="50">
        <v>297858.88000000006</v>
      </c>
      <c r="S850" s="74">
        <v>45768</v>
      </c>
      <c r="T850" s="48" t="s">
        <v>255</v>
      </c>
      <c r="U850" s="48" t="s">
        <v>613</v>
      </c>
      <c r="V850" s="48" t="s">
        <v>378</v>
      </c>
      <c r="W850" s="48"/>
    </row>
    <row r="851" spans="1:23" ht="15.75" x14ac:dyDescent="0.25">
      <c r="A851" s="48" t="s">
        <v>539</v>
      </c>
      <c r="B851" s="49">
        <v>45761</v>
      </c>
      <c r="C851" s="48" t="s">
        <v>916</v>
      </c>
      <c r="D851" s="48" t="s">
        <v>509</v>
      </c>
      <c r="E851" s="48" t="s">
        <v>856</v>
      </c>
      <c r="F851" s="48" t="s">
        <v>95</v>
      </c>
      <c r="G851" s="48" t="s">
        <v>96</v>
      </c>
      <c r="H851" s="48" t="s">
        <v>27</v>
      </c>
      <c r="I851" s="48" t="s">
        <v>540</v>
      </c>
      <c r="J851" s="48" t="s">
        <v>24</v>
      </c>
      <c r="K851" s="48" t="s">
        <v>407</v>
      </c>
      <c r="L851" s="48" t="s">
        <v>1131</v>
      </c>
      <c r="M851" s="48" t="s">
        <v>26</v>
      </c>
      <c r="N851" s="48" t="s">
        <v>20</v>
      </c>
      <c r="O851" s="48" t="s">
        <v>378</v>
      </c>
      <c r="P851" s="50">
        <v>700000</v>
      </c>
      <c r="Q851" s="50">
        <v>1</v>
      </c>
      <c r="R851" s="50">
        <v>700000</v>
      </c>
      <c r="S851" s="74">
        <v>45767</v>
      </c>
      <c r="T851" s="48" t="s">
        <v>311</v>
      </c>
      <c r="U851" s="48" t="s">
        <v>407</v>
      </c>
      <c r="V851" s="48" t="s">
        <v>857</v>
      </c>
      <c r="W851" s="48"/>
    </row>
    <row r="852" spans="1:23" ht="15.75" x14ac:dyDescent="0.25">
      <c r="A852" s="48" t="s">
        <v>686</v>
      </c>
      <c r="B852" s="49">
        <v>45753</v>
      </c>
      <c r="C852" s="48" t="s">
        <v>928</v>
      </c>
      <c r="D852" s="48" t="s">
        <v>509</v>
      </c>
      <c r="E852" s="48" t="s">
        <v>856</v>
      </c>
      <c r="F852" s="48" t="s">
        <v>95</v>
      </c>
      <c r="G852" s="48" t="s">
        <v>96</v>
      </c>
      <c r="H852" s="48" t="s">
        <v>27</v>
      </c>
      <c r="I852" s="48" t="s">
        <v>609</v>
      </c>
      <c r="J852" s="48" t="s">
        <v>72</v>
      </c>
      <c r="K852" s="48" t="s">
        <v>304</v>
      </c>
      <c r="L852" s="48" t="s">
        <v>1133</v>
      </c>
      <c r="M852" s="48" t="s">
        <v>26</v>
      </c>
      <c r="N852" s="48" t="s">
        <v>20</v>
      </c>
      <c r="O852" s="48" t="s">
        <v>378</v>
      </c>
      <c r="P852" s="50">
        <v>1170400.8899999999</v>
      </c>
      <c r="Q852" s="50">
        <v>1</v>
      </c>
      <c r="R852" s="50">
        <v>1170400.8899999999</v>
      </c>
      <c r="S852" s="74">
        <v>45767</v>
      </c>
      <c r="T852" s="48" t="s">
        <v>305</v>
      </c>
      <c r="U852" s="48" t="s">
        <v>407</v>
      </c>
      <c r="V852" s="48" t="s">
        <v>378</v>
      </c>
      <c r="W852" s="48"/>
    </row>
    <row r="853" spans="1:23" ht="15.75" x14ac:dyDescent="0.25">
      <c r="A853" s="48" t="s">
        <v>488</v>
      </c>
      <c r="B853" s="49">
        <v>45732</v>
      </c>
      <c r="C853" s="48" t="s">
        <v>918</v>
      </c>
      <c r="D853" s="48" t="s">
        <v>509</v>
      </c>
      <c r="E853" s="48" t="s">
        <v>856</v>
      </c>
      <c r="F853" s="48" t="s">
        <v>21</v>
      </c>
      <c r="G853" s="48" t="s">
        <v>22</v>
      </c>
      <c r="H853" s="48" t="s">
        <v>27</v>
      </c>
      <c r="I853" s="48" t="s">
        <v>449</v>
      </c>
      <c r="J853" s="48" t="s">
        <v>72</v>
      </c>
      <c r="K853" s="48" t="s">
        <v>487</v>
      </c>
      <c r="L853" s="48" t="s">
        <v>1140</v>
      </c>
      <c r="M853" s="48" t="s">
        <v>26</v>
      </c>
      <c r="N853" s="48" t="s">
        <v>20</v>
      </c>
      <c r="O853" s="48" t="s">
        <v>857</v>
      </c>
      <c r="P853" s="50">
        <v>577489.63</v>
      </c>
      <c r="Q853" s="50">
        <v>1</v>
      </c>
      <c r="R853" s="50">
        <v>577489.63</v>
      </c>
      <c r="S853" s="74">
        <v>45767</v>
      </c>
      <c r="T853" s="48" t="s">
        <v>305</v>
      </c>
      <c r="U853" s="48" t="s">
        <v>613</v>
      </c>
      <c r="V853" s="48" t="s">
        <v>378</v>
      </c>
      <c r="W853" s="48"/>
    </row>
    <row r="854" spans="1:23" ht="15.75" x14ac:dyDescent="0.25">
      <c r="A854" s="48" t="s">
        <v>706</v>
      </c>
      <c r="B854" s="49">
        <v>45742</v>
      </c>
      <c r="C854" s="48" t="s">
        <v>918</v>
      </c>
      <c r="D854" s="48" t="s">
        <v>509</v>
      </c>
      <c r="E854" s="48" t="s">
        <v>858</v>
      </c>
      <c r="F854" s="48" t="s">
        <v>373</v>
      </c>
      <c r="G854" s="48" t="s">
        <v>483</v>
      </c>
      <c r="H854" s="48" t="s">
        <v>27</v>
      </c>
      <c r="I854" s="48" t="s">
        <v>609</v>
      </c>
      <c r="J854" s="48" t="s">
        <v>72</v>
      </c>
      <c r="K854" s="48" t="s">
        <v>304</v>
      </c>
      <c r="L854" s="48" t="s">
        <v>1133</v>
      </c>
      <c r="M854" s="48" t="s">
        <v>26</v>
      </c>
      <c r="N854" s="48" t="s">
        <v>20</v>
      </c>
      <c r="O854" s="48" t="s">
        <v>857</v>
      </c>
      <c r="P854" s="50">
        <v>3784535</v>
      </c>
      <c r="Q854" s="50">
        <v>1</v>
      </c>
      <c r="R854" s="50">
        <v>3784535</v>
      </c>
      <c r="S854" s="74">
        <v>45763</v>
      </c>
      <c r="T854" s="48" t="s">
        <v>305</v>
      </c>
      <c r="U854" s="48" t="s">
        <v>483</v>
      </c>
      <c r="V854" s="48" t="s">
        <v>378</v>
      </c>
      <c r="W854" s="48"/>
    </row>
    <row r="855" spans="1:23" ht="15.75" x14ac:dyDescent="0.25">
      <c r="A855" s="48" t="s">
        <v>254</v>
      </c>
      <c r="B855" s="49">
        <v>45740</v>
      </c>
      <c r="C855" s="48" t="s">
        <v>1022</v>
      </c>
      <c r="D855" s="48" t="s">
        <v>1184</v>
      </c>
      <c r="E855" s="48" t="s">
        <v>856</v>
      </c>
      <c r="F855" s="48" t="s">
        <v>21</v>
      </c>
      <c r="G855" s="48" t="s">
        <v>22</v>
      </c>
      <c r="H855" s="48" t="s">
        <v>27</v>
      </c>
      <c r="I855" s="48" t="s">
        <v>3623</v>
      </c>
      <c r="J855" s="48" t="s">
        <v>1791</v>
      </c>
      <c r="K855" s="48" t="s">
        <v>22</v>
      </c>
      <c r="L855" s="48" t="s">
        <v>1132</v>
      </c>
      <c r="M855" s="48" t="s">
        <v>67</v>
      </c>
      <c r="N855" s="48" t="s">
        <v>20</v>
      </c>
      <c r="O855" s="48" t="s">
        <v>857</v>
      </c>
      <c r="P855" s="50">
        <v>94620.88</v>
      </c>
      <c r="Q855" s="50">
        <v>4.32</v>
      </c>
      <c r="R855" s="50">
        <v>408762.20160000003</v>
      </c>
      <c r="S855" s="74">
        <v>45763</v>
      </c>
      <c r="T855" s="48" t="s">
        <v>255</v>
      </c>
      <c r="U855" s="48" t="s">
        <v>511</v>
      </c>
      <c r="V855" s="48" t="s">
        <v>378</v>
      </c>
      <c r="W855" s="48" t="s">
        <v>905</v>
      </c>
    </row>
    <row r="856" spans="1:23" ht="15.75" x14ac:dyDescent="0.25">
      <c r="A856" s="48" t="s">
        <v>579</v>
      </c>
      <c r="B856" s="49">
        <v>45757</v>
      </c>
      <c r="C856" s="48" t="s">
        <v>1591</v>
      </c>
      <c r="D856" s="48" t="s">
        <v>509</v>
      </c>
      <c r="E856" s="48" t="s">
        <v>856</v>
      </c>
      <c r="F856" s="48" t="s">
        <v>373</v>
      </c>
      <c r="G856" s="48" t="s">
        <v>483</v>
      </c>
      <c r="H856" s="48" t="s">
        <v>27</v>
      </c>
      <c r="I856" s="48" t="s">
        <v>303</v>
      </c>
      <c r="J856" s="48" t="s">
        <v>72</v>
      </c>
      <c r="K856" s="48" t="s">
        <v>304</v>
      </c>
      <c r="L856" s="48" t="s">
        <v>1133</v>
      </c>
      <c r="M856" s="48" t="s">
        <v>26</v>
      </c>
      <c r="N856" s="48" t="s">
        <v>20</v>
      </c>
      <c r="O856" s="48" t="s">
        <v>857</v>
      </c>
      <c r="P856" s="50">
        <v>1334388.24</v>
      </c>
      <c r="Q856" s="50">
        <v>1</v>
      </c>
      <c r="R856" s="50">
        <v>1334388.24</v>
      </c>
      <c r="S856" s="74">
        <v>45762</v>
      </c>
      <c r="T856" s="48" t="s">
        <v>305</v>
      </c>
      <c r="U856" s="48" t="s">
        <v>1108</v>
      </c>
      <c r="V856" s="48" t="s">
        <v>378</v>
      </c>
      <c r="W856" s="48"/>
    </row>
    <row r="857" spans="1:23" ht="15.75" x14ac:dyDescent="0.25">
      <c r="A857" s="48" t="s">
        <v>522</v>
      </c>
      <c r="B857" s="49">
        <v>45680</v>
      </c>
      <c r="C857" s="48" t="s">
        <v>1301</v>
      </c>
      <c r="D857" s="48" t="s">
        <v>441</v>
      </c>
      <c r="E857" s="48" t="s">
        <v>856</v>
      </c>
      <c r="F857" s="48" t="s">
        <v>21</v>
      </c>
      <c r="G857" s="48" t="s">
        <v>22</v>
      </c>
      <c r="H857" s="48" t="s">
        <v>27</v>
      </c>
      <c r="I857" s="48" t="s">
        <v>523</v>
      </c>
      <c r="J857" s="48" t="s">
        <v>24</v>
      </c>
      <c r="K857" s="48" t="s">
        <v>22</v>
      </c>
      <c r="L857" s="48" t="s">
        <v>1132</v>
      </c>
      <c r="M857" s="48" t="s">
        <v>26</v>
      </c>
      <c r="N857" s="48" t="s">
        <v>20</v>
      </c>
      <c r="O857" s="48" t="s">
        <v>857</v>
      </c>
      <c r="P857" s="50">
        <v>654000</v>
      </c>
      <c r="Q857" s="50">
        <v>1</v>
      </c>
      <c r="R857" s="50">
        <v>654000</v>
      </c>
      <c r="S857" s="74">
        <v>45762</v>
      </c>
      <c r="T857" s="48" t="s">
        <v>311</v>
      </c>
      <c r="U857" s="48" t="s">
        <v>1145</v>
      </c>
      <c r="V857" s="48" t="s">
        <v>378</v>
      </c>
      <c r="W857" s="48"/>
    </row>
    <row r="858" spans="1:23" ht="15.75" x14ac:dyDescent="0.25">
      <c r="A858" s="48" t="s">
        <v>522</v>
      </c>
      <c r="B858" s="49">
        <v>45680</v>
      </c>
      <c r="C858" s="48" t="s">
        <v>1300</v>
      </c>
      <c r="D858" s="48" t="s">
        <v>441</v>
      </c>
      <c r="E858" s="48" t="s">
        <v>856</v>
      </c>
      <c r="F858" s="48" t="s">
        <v>21</v>
      </c>
      <c r="G858" s="48" t="s">
        <v>22</v>
      </c>
      <c r="H858" s="48" t="s">
        <v>27</v>
      </c>
      <c r="I858" s="48" t="s">
        <v>523</v>
      </c>
      <c r="J858" s="48" t="s">
        <v>24</v>
      </c>
      <c r="K858" s="48" t="s">
        <v>22</v>
      </c>
      <c r="L858" s="48" t="s">
        <v>1132</v>
      </c>
      <c r="M858" s="48" t="s">
        <v>26</v>
      </c>
      <c r="N858" s="48" t="s">
        <v>20</v>
      </c>
      <c r="O858" s="48" t="s">
        <v>857</v>
      </c>
      <c r="P858" s="50">
        <v>163000</v>
      </c>
      <c r="Q858" s="50">
        <v>1</v>
      </c>
      <c r="R858" s="50">
        <v>163000</v>
      </c>
      <c r="S858" s="74">
        <v>45762</v>
      </c>
      <c r="T858" s="48" t="s">
        <v>311</v>
      </c>
      <c r="U858" s="48" t="s">
        <v>871</v>
      </c>
      <c r="V858" s="48" t="s">
        <v>378</v>
      </c>
      <c r="W858" s="48"/>
    </row>
    <row r="859" spans="1:23" ht="15.75" x14ac:dyDescent="0.25">
      <c r="A859" s="48" t="s">
        <v>522</v>
      </c>
      <c r="B859" s="49">
        <v>45680</v>
      </c>
      <c r="C859" s="48" t="s">
        <v>1299</v>
      </c>
      <c r="D859" s="48" t="s">
        <v>441</v>
      </c>
      <c r="E859" s="48" t="s">
        <v>856</v>
      </c>
      <c r="F859" s="48" t="s">
        <v>21</v>
      </c>
      <c r="G859" s="48" t="s">
        <v>22</v>
      </c>
      <c r="H859" s="48" t="s">
        <v>27</v>
      </c>
      <c r="I859" s="48" t="s">
        <v>523</v>
      </c>
      <c r="J859" s="48" t="s">
        <v>24</v>
      </c>
      <c r="K859" s="48" t="s">
        <v>22</v>
      </c>
      <c r="L859" s="48" t="s">
        <v>1132</v>
      </c>
      <c r="M859" s="48" t="s">
        <v>26</v>
      </c>
      <c r="N859" s="48" t="s">
        <v>20</v>
      </c>
      <c r="O859" s="48" t="s">
        <v>857</v>
      </c>
      <c r="P859" s="50">
        <v>1683000</v>
      </c>
      <c r="Q859" s="50">
        <v>1</v>
      </c>
      <c r="R859" s="50">
        <v>1683000</v>
      </c>
      <c r="S859" s="74">
        <v>45762</v>
      </c>
      <c r="T859" s="48" t="s">
        <v>311</v>
      </c>
      <c r="U859" s="48" t="s">
        <v>487</v>
      </c>
      <c r="V859" s="48" t="s">
        <v>378</v>
      </c>
      <c r="W859" s="48"/>
    </row>
    <row r="860" spans="1:23" ht="15.75" x14ac:dyDescent="0.25">
      <c r="A860" s="48" t="s">
        <v>579</v>
      </c>
      <c r="B860" s="49">
        <v>45757</v>
      </c>
      <c r="C860" s="48" t="s">
        <v>1302</v>
      </c>
      <c r="D860" s="48" t="s">
        <v>509</v>
      </c>
      <c r="E860" s="48" t="s">
        <v>856</v>
      </c>
      <c r="F860" s="48" t="s">
        <v>373</v>
      </c>
      <c r="G860" s="48" t="s">
        <v>483</v>
      </c>
      <c r="H860" s="48" t="s">
        <v>27</v>
      </c>
      <c r="I860" s="48" t="s">
        <v>303</v>
      </c>
      <c r="J860" s="48" t="s">
        <v>72</v>
      </c>
      <c r="K860" s="48" t="s">
        <v>304</v>
      </c>
      <c r="L860" s="48" t="s">
        <v>1133</v>
      </c>
      <c r="M860" s="48" t="s">
        <v>26</v>
      </c>
      <c r="N860" s="48" t="s">
        <v>20</v>
      </c>
      <c r="O860" s="48" t="s">
        <v>857</v>
      </c>
      <c r="P860" s="50">
        <v>203423.30000000005</v>
      </c>
      <c r="Q860" s="50">
        <v>1</v>
      </c>
      <c r="R860" s="50">
        <v>203423.30000000005</v>
      </c>
      <c r="S860" s="74">
        <v>45762</v>
      </c>
      <c r="T860" s="48" t="s">
        <v>305</v>
      </c>
      <c r="U860" s="48" t="s">
        <v>90</v>
      </c>
      <c r="V860" s="48" t="s">
        <v>378</v>
      </c>
      <c r="W860" s="48"/>
    </row>
    <row r="861" spans="1:23" ht="15.75" x14ac:dyDescent="0.25">
      <c r="A861" s="48" t="s">
        <v>546</v>
      </c>
      <c r="B861" s="49">
        <v>45761</v>
      </c>
      <c r="C861" s="48" t="s">
        <v>916</v>
      </c>
      <c r="D861" s="48" t="s">
        <v>509</v>
      </c>
      <c r="E861" s="48" t="s">
        <v>856</v>
      </c>
      <c r="F861" s="48" t="s">
        <v>95</v>
      </c>
      <c r="G861" s="48" t="s">
        <v>96</v>
      </c>
      <c r="H861" s="48" t="s">
        <v>27</v>
      </c>
      <c r="I861" s="48" t="s">
        <v>155</v>
      </c>
      <c r="J861" s="48" t="s">
        <v>24</v>
      </c>
      <c r="K861" s="48" t="s">
        <v>407</v>
      </c>
      <c r="L861" s="48" t="s">
        <v>1131</v>
      </c>
      <c r="M861" s="48" t="s">
        <v>26</v>
      </c>
      <c r="N861" s="48" t="s">
        <v>20</v>
      </c>
      <c r="O861" s="48" t="s">
        <v>378</v>
      </c>
      <c r="P861" s="50">
        <v>522850</v>
      </c>
      <c r="Q861" s="50">
        <v>1</v>
      </c>
      <c r="R861" s="50">
        <v>522850</v>
      </c>
      <c r="S861" s="74">
        <v>45761</v>
      </c>
      <c r="T861" s="48" t="s">
        <v>311</v>
      </c>
      <c r="U861" s="48" t="s">
        <v>1197</v>
      </c>
      <c r="V861" s="48" t="s">
        <v>378</v>
      </c>
      <c r="W861" s="48"/>
    </row>
    <row r="862" spans="1:23" ht="15.75" x14ac:dyDescent="0.25">
      <c r="A862" s="48" t="s">
        <v>398</v>
      </c>
      <c r="B862" s="49">
        <v>45698</v>
      </c>
      <c r="C862" s="48" t="s">
        <v>918</v>
      </c>
      <c r="D862" s="48" t="s">
        <v>441</v>
      </c>
      <c r="E862" s="48" t="s">
        <v>858</v>
      </c>
      <c r="F862" s="48" t="s">
        <v>95</v>
      </c>
      <c r="G862" s="48" t="s">
        <v>96</v>
      </c>
      <c r="H862" s="48" t="s">
        <v>27</v>
      </c>
      <c r="I862" s="48" t="s">
        <v>399</v>
      </c>
      <c r="J862" s="48" t="s">
        <v>24</v>
      </c>
      <c r="K862" s="48" t="s">
        <v>22</v>
      </c>
      <c r="L862" s="48" t="s">
        <v>1132</v>
      </c>
      <c r="M862" s="48" t="s">
        <v>26</v>
      </c>
      <c r="N862" s="48" t="s">
        <v>20</v>
      </c>
      <c r="O862" s="48" t="s">
        <v>378</v>
      </c>
      <c r="P862" s="50">
        <v>252814.24</v>
      </c>
      <c r="Q862" s="50">
        <v>1</v>
      </c>
      <c r="R862" s="50">
        <v>252814.24</v>
      </c>
      <c r="S862" s="74">
        <v>45761</v>
      </c>
      <c r="T862" s="48" t="s">
        <v>311</v>
      </c>
      <c r="U862" s="48" t="s">
        <v>1197</v>
      </c>
      <c r="V862" s="48" t="s">
        <v>378</v>
      </c>
      <c r="W862" s="48"/>
    </row>
    <row r="863" spans="1:23" ht="15.75" x14ac:dyDescent="0.25">
      <c r="A863" s="48" t="s">
        <v>567</v>
      </c>
      <c r="B863" s="49">
        <v>45728</v>
      </c>
      <c r="C863" s="48" t="s">
        <v>916</v>
      </c>
      <c r="D863" s="48" t="s">
        <v>441</v>
      </c>
      <c r="E863" s="48" t="s">
        <v>858</v>
      </c>
      <c r="F863" s="48" t="s">
        <v>373</v>
      </c>
      <c r="G863" s="48" t="s">
        <v>483</v>
      </c>
      <c r="H863" s="48" t="s">
        <v>27</v>
      </c>
      <c r="I863" s="48" t="s">
        <v>447</v>
      </c>
      <c r="J863" s="48" t="s">
        <v>24</v>
      </c>
      <c r="K863" s="48" t="s">
        <v>22</v>
      </c>
      <c r="L863" s="48" t="s">
        <v>1132</v>
      </c>
      <c r="M863" s="48" t="s">
        <v>26</v>
      </c>
      <c r="N863" s="48" t="s">
        <v>20</v>
      </c>
      <c r="O863" s="48" t="s">
        <v>378</v>
      </c>
      <c r="P863" s="50">
        <v>400000</v>
      </c>
      <c r="Q863" s="50">
        <v>1</v>
      </c>
      <c r="R863" s="50">
        <v>400000</v>
      </c>
      <c r="S863" s="74">
        <v>45761</v>
      </c>
      <c r="T863" s="48" t="s">
        <v>311</v>
      </c>
      <c r="U863" s="48" t="s">
        <v>367</v>
      </c>
      <c r="V863" s="48" t="s">
        <v>378</v>
      </c>
      <c r="W863" s="48"/>
    </row>
    <row r="864" spans="1:23" ht="15.75" x14ac:dyDescent="0.25">
      <c r="A864" s="48" t="s">
        <v>1867</v>
      </c>
      <c r="B864" s="49">
        <v>45718</v>
      </c>
      <c r="C864" s="48" t="s">
        <v>916</v>
      </c>
      <c r="D864" s="48" t="s">
        <v>441</v>
      </c>
      <c r="E864" s="48" t="s">
        <v>858</v>
      </c>
      <c r="F864" s="48" t="s">
        <v>373</v>
      </c>
      <c r="G864" s="48" t="s">
        <v>63</v>
      </c>
      <c r="H864" s="48" t="s">
        <v>27</v>
      </c>
      <c r="I864" s="48" t="s">
        <v>155</v>
      </c>
      <c r="J864" s="48" t="s">
        <v>24</v>
      </c>
      <c r="K864" s="48" t="s">
        <v>22</v>
      </c>
      <c r="L864" s="48" t="s">
        <v>1132</v>
      </c>
      <c r="M864" s="48" t="s">
        <v>26</v>
      </c>
      <c r="N864" s="48" t="s">
        <v>20</v>
      </c>
      <c r="O864" s="48" t="s">
        <v>857</v>
      </c>
      <c r="P864" s="50">
        <v>665985.36</v>
      </c>
      <c r="Q864" s="50">
        <v>1</v>
      </c>
      <c r="R864" s="50">
        <v>665985.36</v>
      </c>
      <c r="S864" s="74">
        <v>45760</v>
      </c>
      <c r="T864" s="48" t="s">
        <v>311</v>
      </c>
      <c r="U864" s="48" t="s">
        <v>367</v>
      </c>
      <c r="V864" s="48" t="s">
        <v>378</v>
      </c>
      <c r="W864" s="48"/>
    </row>
    <row r="865" spans="1:23" ht="15.75" x14ac:dyDescent="0.25">
      <c r="A865" s="48" t="s">
        <v>598</v>
      </c>
      <c r="B865" s="49">
        <v>45739</v>
      </c>
      <c r="C865" s="48" t="s">
        <v>916</v>
      </c>
      <c r="D865" s="48" t="s">
        <v>441</v>
      </c>
      <c r="E865" s="48" t="s">
        <v>858</v>
      </c>
      <c r="F865" s="48" t="s">
        <v>373</v>
      </c>
      <c r="G865" s="48" t="s">
        <v>63</v>
      </c>
      <c r="H865" s="48" t="s">
        <v>27</v>
      </c>
      <c r="I865" s="48" t="s">
        <v>599</v>
      </c>
      <c r="J865" s="48" t="s">
        <v>24</v>
      </c>
      <c r="K865" s="48" t="s">
        <v>22</v>
      </c>
      <c r="L865" s="48" t="s">
        <v>1132</v>
      </c>
      <c r="M865" s="48" t="s">
        <v>26</v>
      </c>
      <c r="N865" s="48" t="s">
        <v>20</v>
      </c>
      <c r="O865" s="48" t="s">
        <v>857</v>
      </c>
      <c r="P865" s="50">
        <v>451362.57</v>
      </c>
      <c r="Q865" s="50">
        <v>1</v>
      </c>
      <c r="R865" s="50">
        <v>451362.57</v>
      </c>
      <c r="S865" s="74">
        <v>45760</v>
      </c>
      <c r="T865" s="48" t="s">
        <v>311</v>
      </c>
      <c r="U865" s="48" t="s">
        <v>367</v>
      </c>
      <c r="V865" s="48" t="s">
        <v>378</v>
      </c>
      <c r="W865" s="48"/>
    </row>
    <row r="866" spans="1:23" ht="15.75" x14ac:dyDescent="0.25">
      <c r="A866" s="48" t="s">
        <v>583</v>
      </c>
      <c r="B866" s="49">
        <v>45698</v>
      </c>
      <c r="C866" s="48" t="s">
        <v>916</v>
      </c>
      <c r="D866" s="48" t="s">
        <v>441</v>
      </c>
      <c r="E866" s="48" t="s">
        <v>858</v>
      </c>
      <c r="F866" s="48" t="s">
        <v>373</v>
      </c>
      <c r="G866" s="48" t="s">
        <v>63</v>
      </c>
      <c r="H866" s="48" t="s">
        <v>27</v>
      </c>
      <c r="I866" s="48" t="s">
        <v>523</v>
      </c>
      <c r="J866" s="48" t="s">
        <v>24</v>
      </c>
      <c r="K866" s="48" t="s">
        <v>22</v>
      </c>
      <c r="L866" s="48" t="s">
        <v>1132</v>
      </c>
      <c r="M866" s="48" t="s">
        <v>26</v>
      </c>
      <c r="N866" s="48" t="s">
        <v>20</v>
      </c>
      <c r="O866" s="48" t="s">
        <v>857</v>
      </c>
      <c r="P866" s="50">
        <v>6700000</v>
      </c>
      <c r="Q866" s="50">
        <v>1</v>
      </c>
      <c r="R866" s="50">
        <v>6700000</v>
      </c>
      <c r="S866" s="74">
        <v>45760</v>
      </c>
      <c r="T866" s="48" t="s">
        <v>311</v>
      </c>
      <c r="U866" s="48" t="s">
        <v>367</v>
      </c>
      <c r="V866" s="48" t="s">
        <v>378</v>
      </c>
      <c r="W866" s="48"/>
    </row>
    <row r="867" spans="1:23" ht="15.75" x14ac:dyDescent="0.25">
      <c r="A867" s="48" t="s">
        <v>549</v>
      </c>
      <c r="B867" s="49">
        <v>45705</v>
      </c>
      <c r="C867" s="48" t="s">
        <v>916</v>
      </c>
      <c r="D867" s="48" t="s">
        <v>509</v>
      </c>
      <c r="E867" s="48" t="s">
        <v>858</v>
      </c>
      <c r="F867" s="48" t="s">
        <v>95</v>
      </c>
      <c r="G867" s="48" t="s">
        <v>96</v>
      </c>
      <c r="H867" s="48" t="s">
        <v>27</v>
      </c>
      <c r="I867" s="48" t="s">
        <v>550</v>
      </c>
      <c r="J867" s="48" t="s">
        <v>24</v>
      </c>
      <c r="K867" s="48" t="s">
        <v>407</v>
      </c>
      <c r="L867" s="48" t="s">
        <v>1131</v>
      </c>
      <c r="M867" s="48" t="s">
        <v>26</v>
      </c>
      <c r="N867" s="48" t="s">
        <v>20</v>
      </c>
      <c r="O867" s="48" t="s">
        <v>378</v>
      </c>
      <c r="P867" s="50">
        <v>300000</v>
      </c>
      <c r="Q867" s="50">
        <v>1</v>
      </c>
      <c r="R867" s="50">
        <v>300000</v>
      </c>
      <c r="S867" s="74">
        <v>45757</v>
      </c>
      <c r="T867" s="48" t="s">
        <v>311</v>
      </c>
      <c r="U867" s="48" t="s">
        <v>1198</v>
      </c>
      <c r="V867" s="48" t="s">
        <v>378</v>
      </c>
      <c r="W867" s="48"/>
    </row>
    <row r="868" spans="1:23" ht="15.75" x14ac:dyDescent="0.25">
      <c r="A868" s="48" t="s">
        <v>516</v>
      </c>
      <c r="B868" s="49">
        <v>45678</v>
      </c>
      <c r="C868" s="48" t="s">
        <v>1300</v>
      </c>
      <c r="D868" s="48" t="s">
        <v>441</v>
      </c>
      <c r="E868" s="48" t="s">
        <v>856</v>
      </c>
      <c r="F868" s="48" t="s">
        <v>21</v>
      </c>
      <c r="G868" s="48" t="s">
        <v>22</v>
      </c>
      <c r="H868" s="48" t="s">
        <v>27</v>
      </c>
      <c r="I868" s="48" t="s">
        <v>517</v>
      </c>
      <c r="J868" s="48" t="s">
        <v>24</v>
      </c>
      <c r="K868" s="48" t="s">
        <v>22</v>
      </c>
      <c r="L868" s="48" t="s">
        <v>1132</v>
      </c>
      <c r="M868" s="48" t="s">
        <v>26</v>
      </c>
      <c r="N868" s="48" t="s">
        <v>20</v>
      </c>
      <c r="O868" s="48" t="s">
        <v>857</v>
      </c>
      <c r="P868" s="50">
        <v>500000</v>
      </c>
      <c r="Q868" s="50">
        <v>1</v>
      </c>
      <c r="R868" s="50">
        <v>500000</v>
      </c>
      <c r="S868" s="74">
        <v>45757</v>
      </c>
      <c r="T868" s="48" t="s">
        <v>311</v>
      </c>
      <c r="U868" s="48" t="s">
        <v>90</v>
      </c>
      <c r="V868" s="48" t="s">
        <v>378</v>
      </c>
      <c r="W868" s="48"/>
    </row>
    <row r="869" spans="1:23" ht="15.75" x14ac:dyDescent="0.25">
      <c r="A869" s="48" t="s">
        <v>564</v>
      </c>
      <c r="B869" s="49">
        <v>45680</v>
      </c>
      <c r="C869" s="48" t="s">
        <v>916</v>
      </c>
      <c r="D869" s="48" t="s">
        <v>441</v>
      </c>
      <c r="E869" s="48" t="s">
        <v>856</v>
      </c>
      <c r="F869" s="48" t="s">
        <v>373</v>
      </c>
      <c r="G869" s="48" t="s">
        <v>483</v>
      </c>
      <c r="H869" s="48" t="s">
        <v>27</v>
      </c>
      <c r="I869" s="48" t="s">
        <v>427</v>
      </c>
      <c r="J869" s="48" t="s">
        <v>24</v>
      </c>
      <c r="K869" s="48" t="s">
        <v>22</v>
      </c>
      <c r="L869" s="48" t="s">
        <v>1132</v>
      </c>
      <c r="M869" s="48" t="s">
        <v>26</v>
      </c>
      <c r="N869" s="48" t="s">
        <v>20</v>
      </c>
      <c r="O869" s="48" t="s">
        <v>857</v>
      </c>
      <c r="P869" s="50">
        <v>2000000</v>
      </c>
      <c r="Q869" s="50">
        <v>1</v>
      </c>
      <c r="R869" s="50">
        <v>2000000</v>
      </c>
      <c r="S869" s="74">
        <v>45757</v>
      </c>
      <c r="T869" s="48" t="s">
        <v>311</v>
      </c>
      <c r="U869" s="48" t="s">
        <v>367</v>
      </c>
      <c r="V869" s="48" t="s">
        <v>378</v>
      </c>
      <c r="W869" s="48"/>
    </row>
    <row r="870" spans="1:23" ht="15.75" x14ac:dyDescent="0.25">
      <c r="A870" s="48" t="s">
        <v>592</v>
      </c>
      <c r="B870" s="49">
        <v>45692</v>
      </c>
      <c r="C870" s="48" t="s">
        <v>916</v>
      </c>
      <c r="D870" s="48" t="s">
        <v>441</v>
      </c>
      <c r="E870" s="48" t="s">
        <v>858</v>
      </c>
      <c r="F870" s="48" t="s">
        <v>373</v>
      </c>
      <c r="G870" s="48" t="s">
        <v>63</v>
      </c>
      <c r="H870" s="48" t="s">
        <v>27</v>
      </c>
      <c r="I870" s="48" t="s">
        <v>593</v>
      </c>
      <c r="J870" s="48" t="s">
        <v>24</v>
      </c>
      <c r="K870" s="48" t="s">
        <v>22</v>
      </c>
      <c r="L870" s="48" t="s">
        <v>1132</v>
      </c>
      <c r="M870" s="48" t="s">
        <v>26</v>
      </c>
      <c r="N870" s="48" t="s">
        <v>20</v>
      </c>
      <c r="O870" s="48" t="s">
        <v>857</v>
      </c>
      <c r="P870" s="50">
        <v>3000000</v>
      </c>
      <c r="Q870" s="50">
        <v>1</v>
      </c>
      <c r="R870" s="50">
        <v>3000000</v>
      </c>
      <c r="S870" s="74">
        <v>45757</v>
      </c>
      <c r="T870" s="48" t="s">
        <v>311</v>
      </c>
      <c r="U870" s="48" t="s">
        <v>367</v>
      </c>
      <c r="V870" s="48" t="s">
        <v>378</v>
      </c>
      <c r="W870" s="48"/>
    </row>
    <row r="871" spans="1:23" ht="15.75" x14ac:dyDescent="0.25">
      <c r="A871" s="48" t="s">
        <v>547</v>
      </c>
      <c r="B871" s="49">
        <v>45727</v>
      </c>
      <c r="C871" s="48" t="s">
        <v>916</v>
      </c>
      <c r="D871" s="48" t="s">
        <v>509</v>
      </c>
      <c r="E871" s="48" t="s">
        <v>858</v>
      </c>
      <c r="F871" s="48" t="s">
        <v>95</v>
      </c>
      <c r="G871" s="48" t="s">
        <v>96</v>
      </c>
      <c r="H871" s="48" t="s">
        <v>27</v>
      </c>
      <c r="I871" s="48" t="s">
        <v>548</v>
      </c>
      <c r="J871" s="48" t="s">
        <v>24</v>
      </c>
      <c r="K871" s="48" t="s">
        <v>407</v>
      </c>
      <c r="L871" s="48" t="s">
        <v>1131</v>
      </c>
      <c r="M871" s="48" t="s">
        <v>26</v>
      </c>
      <c r="N871" s="48" t="s">
        <v>20</v>
      </c>
      <c r="O871" s="48" t="s">
        <v>378</v>
      </c>
      <c r="P871" s="50">
        <v>169050</v>
      </c>
      <c r="Q871" s="50">
        <v>1</v>
      </c>
      <c r="R871" s="50">
        <v>169050</v>
      </c>
      <c r="S871" s="74">
        <v>45757</v>
      </c>
      <c r="T871" s="48" t="s">
        <v>311</v>
      </c>
      <c r="U871" s="48" t="s">
        <v>871</v>
      </c>
      <c r="V871" s="48" t="s">
        <v>378</v>
      </c>
      <c r="W871" s="48"/>
    </row>
    <row r="872" spans="1:23" ht="15.75" x14ac:dyDescent="0.25">
      <c r="A872" s="48" t="s">
        <v>516</v>
      </c>
      <c r="B872" s="49">
        <v>45678</v>
      </c>
      <c r="C872" s="48" t="s">
        <v>1299</v>
      </c>
      <c r="D872" s="48" t="s">
        <v>441</v>
      </c>
      <c r="E872" s="48" t="s">
        <v>856</v>
      </c>
      <c r="F872" s="48" t="s">
        <v>21</v>
      </c>
      <c r="G872" s="48" t="s">
        <v>22</v>
      </c>
      <c r="H872" s="48" t="s">
        <v>27</v>
      </c>
      <c r="I872" s="48" t="s">
        <v>517</v>
      </c>
      <c r="J872" s="48" t="s">
        <v>24</v>
      </c>
      <c r="K872" s="48" t="s">
        <v>22</v>
      </c>
      <c r="L872" s="48" t="s">
        <v>1132</v>
      </c>
      <c r="M872" s="48" t="s">
        <v>26</v>
      </c>
      <c r="N872" s="48" t="s">
        <v>20</v>
      </c>
      <c r="O872" s="48" t="s">
        <v>857</v>
      </c>
      <c r="P872" s="50">
        <v>1000000</v>
      </c>
      <c r="Q872" s="50">
        <v>1</v>
      </c>
      <c r="R872" s="50">
        <v>1000000</v>
      </c>
      <c r="S872" s="74">
        <v>45757</v>
      </c>
      <c r="T872" s="48" t="s">
        <v>311</v>
      </c>
      <c r="U872" s="48" t="s">
        <v>1145</v>
      </c>
      <c r="V872" s="48" t="s">
        <v>378</v>
      </c>
      <c r="W872" s="48"/>
    </row>
    <row r="873" spans="1:23" ht="15.75" x14ac:dyDescent="0.25">
      <c r="A873" s="48" t="s">
        <v>594</v>
      </c>
      <c r="B873" s="49">
        <v>45678</v>
      </c>
      <c r="C873" s="48" t="s">
        <v>916</v>
      </c>
      <c r="D873" s="48" t="s">
        <v>441</v>
      </c>
      <c r="E873" s="48" t="s">
        <v>858</v>
      </c>
      <c r="F873" s="48" t="s">
        <v>373</v>
      </c>
      <c r="G873" s="48" t="s">
        <v>63</v>
      </c>
      <c r="H873" s="48" t="s">
        <v>27</v>
      </c>
      <c r="I873" s="48" t="s">
        <v>595</v>
      </c>
      <c r="J873" s="48" t="s">
        <v>24</v>
      </c>
      <c r="K873" s="48" t="s">
        <v>22</v>
      </c>
      <c r="L873" s="48" t="s">
        <v>1132</v>
      </c>
      <c r="M873" s="48" t="s">
        <v>26</v>
      </c>
      <c r="N873" s="48" t="s">
        <v>20</v>
      </c>
      <c r="O873" s="48" t="s">
        <v>857</v>
      </c>
      <c r="P873" s="50">
        <v>3000000</v>
      </c>
      <c r="Q873" s="50">
        <v>1</v>
      </c>
      <c r="R873" s="50">
        <v>3000000</v>
      </c>
      <c r="S873" s="74">
        <v>45755</v>
      </c>
      <c r="T873" s="48" t="s">
        <v>311</v>
      </c>
      <c r="U873" s="48" t="s">
        <v>1107</v>
      </c>
      <c r="V873" s="48" t="s">
        <v>378</v>
      </c>
      <c r="W873" s="48"/>
    </row>
    <row r="874" spans="1:23" ht="15.75" x14ac:dyDescent="0.25">
      <c r="A874" s="48" t="s">
        <v>726</v>
      </c>
      <c r="B874" s="49">
        <v>45706</v>
      </c>
      <c r="C874" s="48" t="s">
        <v>928</v>
      </c>
      <c r="D874" s="48" t="s">
        <v>1181</v>
      </c>
      <c r="E874" s="48" t="s">
        <v>856</v>
      </c>
      <c r="F874" s="48" t="s">
        <v>62</v>
      </c>
      <c r="G874" s="48" t="s">
        <v>70</v>
      </c>
      <c r="H874" s="48" t="s">
        <v>70</v>
      </c>
      <c r="I874" s="48" t="s">
        <v>310</v>
      </c>
      <c r="J874" s="48" t="s">
        <v>80</v>
      </c>
      <c r="K874" s="48" t="s">
        <v>81</v>
      </c>
      <c r="L874" s="48" t="s">
        <v>1139</v>
      </c>
      <c r="M874" s="48" t="s">
        <v>26</v>
      </c>
      <c r="N874" s="48" t="s">
        <v>20</v>
      </c>
      <c r="O874" s="48" t="s">
        <v>857</v>
      </c>
      <c r="P874" s="50">
        <v>41719</v>
      </c>
      <c r="Q874" s="50">
        <v>1</v>
      </c>
      <c r="R874" s="50">
        <v>41719</v>
      </c>
      <c r="S874" s="74">
        <v>45755</v>
      </c>
      <c r="T874" s="48" t="s">
        <v>311</v>
      </c>
      <c r="U874" s="48" t="s">
        <v>377</v>
      </c>
      <c r="V874" s="48" t="s">
        <v>857</v>
      </c>
      <c r="W874" s="48"/>
    </row>
    <row r="875" spans="1:23" ht="15.75" x14ac:dyDescent="0.25">
      <c r="A875" s="48" t="s">
        <v>608</v>
      </c>
      <c r="B875" s="49">
        <v>45700</v>
      </c>
      <c r="C875" s="48" t="s">
        <v>924</v>
      </c>
      <c r="D875" s="48" t="s">
        <v>509</v>
      </c>
      <c r="E875" s="48" t="s">
        <v>858</v>
      </c>
      <c r="F875" s="48" t="s">
        <v>95</v>
      </c>
      <c r="G875" s="48" t="s">
        <v>96</v>
      </c>
      <c r="H875" s="48" t="s">
        <v>27</v>
      </c>
      <c r="I875" s="48" t="s">
        <v>609</v>
      </c>
      <c r="J875" s="48" t="s">
        <v>72</v>
      </c>
      <c r="K875" s="48" t="s">
        <v>304</v>
      </c>
      <c r="L875" s="48" t="s">
        <v>1133</v>
      </c>
      <c r="M875" s="48" t="s">
        <v>26</v>
      </c>
      <c r="N875" s="48" t="s">
        <v>20</v>
      </c>
      <c r="O875" s="48" t="s">
        <v>378</v>
      </c>
      <c r="P875" s="50">
        <v>3140190</v>
      </c>
      <c r="Q875" s="50">
        <v>1</v>
      </c>
      <c r="R875" s="50">
        <v>3140190</v>
      </c>
      <c r="S875" s="74">
        <v>45755</v>
      </c>
      <c r="T875" s="48" t="s">
        <v>305</v>
      </c>
      <c r="U875" s="48" t="s">
        <v>1145</v>
      </c>
      <c r="V875" s="48" t="s">
        <v>378</v>
      </c>
      <c r="W875" s="48"/>
    </row>
    <row r="876" spans="1:23" ht="15.75" x14ac:dyDescent="0.25">
      <c r="A876" s="48" t="s">
        <v>606</v>
      </c>
      <c r="B876" s="49">
        <v>45685</v>
      </c>
      <c r="C876" s="48" t="s">
        <v>916</v>
      </c>
      <c r="D876" s="48" t="s">
        <v>441</v>
      </c>
      <c r="E876" s="48" t="s">
        <v>858</v>
      </c>
      <c r="F876" s="48" t="s">
        <v>373</v>
      </c>
      <c r="G876" s="48" t="s">
        <v>63</v>
      </c>
      <c r="H876" s="48" t="s">
        <v>27</v>
      </c>
      <c r="I876" s="48" t="s">
        <v>607</v>
      </c>
      <c r="J876" s="48" t="s">
        <v>24</v>
      </c>
      <c r="K876" s="48" t="s">
        <v>22</v>
      </c>
      <c r="L876" s="48" t="s">
        <v>1132</v>
      </c>
      <c r="M876" s="48" t="s">
        <v>26</v>
      </c>
      <c r="N876" s="48" t="s">
        <v>20</v>
      </c>
      <c r="O876" s="48" t="s">
        <v>857</v>
      </c>
      <c r="P876" s="50">
        <v>436052.14</v>
      </c>
      <c r="Q876" s="50">
        <v>1</v>
      </c>
      <c r="R876" s="50">
        <v>436052.14</v>
      </c>
      <c r="S876" s="74">
        <v>45755</v>
      </c>
      <c r="T876" s="48" t="s">
        <v>311</v>
      </c>
      <c r="U876" s="48" t="s">
        <v>1107</v>
      </c>
      <c r="V876" s="48" t="s">
        <v>378</v>
      </c>
      <c r="W876" s="48"/>
    </row>
    <row r="877" spans="1:23" ht="15.75" x14ac:dyDescent="0.25">
      <c r="A877" s="48" t="s">
        <v>306</v>
      </c>
      <c r="B877" s="49">
        <v>45726</v>
      </c>
      <c r="C877" s="48" t="s">
        <v>1128</v>
      </c>
      <c r="D877" s="48" t="s">
        <v>1118</v>
      </c>
      <c r="E877" s="48" t="s">
        <v>858</v>
      </c>
      <c r="F877" s="48" t="s">
        <v>62</v>
      </c>
      <c r="G877" s="48" t="s">
        <v>70</v>
      </c>
      <c r="H877" s="48" t="s">
        <v>70</v>
      </c>
      <c r="I877" s="48" t="s">
        <v>307</v>
      </c>
      <c r="J877" s="48" t="s">
        <v>72</v>
      </c>
      <c r="K877" s="48" t="s">
        <v>213</v>
      </c>
      <c r="L877" s="48" t="s">
        <v>1134</v>
      </c>
      <c r="M877" s="48" t="s">
        <v>67</v>
      </c>
      <c r="N877" s="48" t="s">
        <v>20</v>
      </c>
      <c r="O877" s="48" t="s">
        <v>857</v>
      </c>
      <c r="P877" s="50">
        <v>150538</v>
      </c>
      <c r="Q877" s="50">
        <v>4.5700901448959899</v>
      </c>
      <c r="R877" s="50">
        <v>687972.23023235251</v>
      </c>
      <c r="S877" s="74">
        <v>45754</v>
      </c>
      <c r="T877" s="48" t="s">
        <v>308</v>
      </c>
      <c r="U877" s="48" t="s">
        <v>213</v>
      </c>
      <c r="V877" s="48" t="s">
        <v>857</v>
      </c>
      <c r="W877" s="48"/>
    </row>
    <row r="878" spans="1:23" ht="15.75" x14ac:dyDescent="0.25">
      <c r="A878" s="48" t="s">
        <v>506</v>
      </c>
      <c r="B878" s="49">
        <v>45722</v>
      </c>
      <c r="C878" s="48" t="s">
        <v>918</v>
      </c>
      <c r="D878" s="48" t="s">
        <v>509</v>
      </c>
      <c r="E878" s="48" t="s">
        <v>858</v>
      </c>
      <c r="F878" s="48" t="s">
        <v>373</v>
      </c>
      <c r="G878" s="48" t="s">
        <v>483</v>
      </c>
      <c r="H878" s="48" t="s">
        <v>27</v>
      </c>
      <c r="I878" s="48" t="s">
        <v>507</v>
      </c>
      <c r="J878" s="48" t="s">
        <v>72</v>
      </c>
      <c r="K878" s="48" t="s">
        <v>407</v>
      </c>
      <c r="L878" s="48" t="s">
        <v>1131</v>
      </c>
      <c r="M878" s="48" t="s">
        <v>26</v>
      </c>
      <c r="N878" s="48" t="s">
        <v>20</v>
      </c>
      <c r="O878" s="48" t="s">
        <v>857</v>
      </c>
      <c r="P878" s="50">
        <v>2343337.11</v>
      </c>
      <c r="Q878" s="50">
        <v>1</v>
      </c>
      <c r="R878" s="50">
        <v>2343337.11</v>
      </c>
      <c r="S878" s="74">
        <v>45754</v>
      </c>
      <c r="T878" s="48" t="s">
        <v>425</v>
      </c>
      <c r="U878" s="48" t="s">
        <v>90</v>
      </c>
      <c r="V878" s="48" t="s">
        <v>378</v>
      </c>
      <c r="W878" s="48" t="s">
        <v>1120</v>
      </c>
    </row>
    <row r="879" spans="1:23" ht="15.75" x14ac:dyDescent="0.25">
      <c r="A879" s="48" t="s">
        <v>602</v>
      </c>
      <c r="B879" s="49">
        <v>45718</v>
      </c>
      <c r="C879" s="48" t="s">
        <v>916</v>
      </c>
      <c r="D879" s="48" t="s">
        <v>441</v>
      </c>
      <c r="E879" s="48" t="s">
        <v>858</v>
      </c>
      <c r="F879" s="48" t="s">
        <v>373</v>
      </c>
      <c r="G879" s="48" t="s">
        <v>63</v>
      </c>
      <c r="H879" s="48" t="s">
        <v>27</v>
      </c>
      <c r="I879" s="48" t="s">
        <v>603</v>
      </c>
      <c r="J879" s="48" t="s">
        <v>24</v>
      </c>
      <c r="K879" s="48" t="s">
        <v>22</v>
      </c>
      <c r="L879" s="48" t="s">
        <v>1132</v>
      </c>
      <c r="M879" s="48" t="s">
        <v>26</v>
      </c>
      <c r="N879" s="48" t="s">
        <v>20</v>
      </c>
      <c r="O879" s="48" t="s">
        <v>857</v>
      </c>
      <c r="P879" s="50">
        <v>507379.57</v>
      </c>
      <c r="Q879" s="50">
        <v>1</v>
      </c>
      <c r="R879" s="50">
        <v>507379.57</v>
      </c>
      <c r="S879" s="74">
        <v>45754</v>
      </c>
      <c r="T879" s="48" t="s">
        <v>311</v>
      </c>
      <c r="U879" s="48" t="s">
        <v>90</v>
      </c>
      <c r="V879" s="48" t="s">
        <v>378</v>
      </c>
      <c r="W879" s="48" t="s">
        <v>904</v>
      </c>
    </row>
    <row r="880" spans="1:23" ht="15.75" x14ac:dyDescent="0.25">
      <c r="A880" s="48" t="s">
        <v>302</v>
      </c>
      <c r="B880" s="49">
        <v>45726</v>
      </c>
      <c r="C880" s="48" t="s">
        <v>918</v>
      </c>
      <c r="D880" s="48" t="s">
        <v>509</v>
      </c>
      <c r="E880" s="48" t="s">
        <v>856</v>
      </c>
      <c r="F880" s="48" t="s">
        <v>21</v>
      </c>
      <c r="G880" s="48" t="s">
        <v>22</v>
      </c>
      <c r="H880" s="48" t="s">
        <v>27</v>
      </c>
      <c r="I880" s="48" t="s">
        <v>303</v>
      </c>
      <c r="J880" s="48" t="s">
        <v>72</v>
      </c>
      <c r="K880" s="48" t="s">
        <v>304</v>
      </c>
      <c r="L880" s="48" t="s">
        <v>1133</v>
      </c>
      <c r="M880" s="48" t="s">
        <v>26</v>
      </c>
      <c r="N880" s="48" t="s">
        <v>20</v>
      </c>
      <c r="O880" s="48" t="s">
        <v>857</v>
      </c>
      <c r="P880" s="50">
        <v>1089072.28</v>
      </c>
      <c r="Q880" s="50">
        <v>1</v>
      </c>
      <c r="R880" s="50">
        <v>1089072.28</v>
      </c>
      <c r="S880" s="74">
        <v>45754</v>
      </c>
      <c r="T880" s="48" t="s">
        <v>305</v>
      </c>
      <c r="U880" s="48" t="s">
        <v>511</v>
      </c>
      <c r="V880" s="48" t="s">
        <v>378</v>
      </c>
      <c r="W880" s="48"/>
    </row>
    <row r="881" spans="1:23" ht="15.75" x14ac:dyDescent="0.25">
      <c r="A881" s="48" t="s">
        <v>691</v>
      </c>
      <c r="B881" s="49">
        <v>45734</v>
      </c>
      <c r="C881" s="48" t="s">
        <v>918</v>
      </c>
      <c r="D881" s="48" t="s">
        <v>509</v>
      </c>
      <c r="E881" s="48" t="s">
        <v>856</v>
      </c>
      <c r="F881" s="48" t="s">
        <v>95</v>
      </c>
      <c r="G881" s="48" t="s">
        <v>96</v>
      </c>
      <c r="H881" s="48" t="s">
        <v>27</v>
      </c>
      <c r="I881" s="48" t="s">
        <v>465</v>
      </c>
      <c r="J881" s="48" t="s">
        <v>72</v>
      </c>
      <c r="K881" s="48" t="s">
        <v>304</v>
      </c>
      <c r="L881" s="48" t="s">
        <v>1133</v>
      </c>
      <c r="M881" s="48" t="s">
        <v>26</v>
      </c>
      <c r="N881" s="48" t="s">
        <v>20</v>
      </c>
      <c r="O881" s="48" t="s">
        <v>378</v>
      </c>
      <c r="P881" s="50">
        <v>6622620</v>
      </c>
      <c r="Q881" s="50">
        <v>1</v>
      </c>
      <c r="R881" s="50">
        <v>6622620</v>
      </c>
      <c r="S881" s="74">
        <v>45753</v>
      </c>
      <c r="T881" s="48" t="s">
        <v>305</v>
      </c>
      <c r="U881" s="48" t="s">
        <v>304</v>
      </c>
      <c r="V881" s="48" t="s">
        <v>857</v>
      </c>
      <c r="W881" s="48"/>
    </row>
    <row r="882" spans="1:23" ht="15.75" x14ac:dyDescent="0.25">
      <c r="A882" s="48" t="s">
        <v>551</v>
      </c>
      <c r="B882" s="49">
        <v>45655</v>
      </c>
      <c r="C882" s="48" t="s">
        <v>916</v>
      </c>
      <c r="D882" s="48" t="s">
        <v>509</v>
      </c>
      <c r="E882" s="48" t="s">
        <v>858</v>
      </c>
      <c r="F882" s="48" t="s">
        <v>95</v>
      </c>
      <c r="G882" s="48" t="s">
        <v>96</v>
      </c>
      <c r="H882" s="48" t="s">
        <v>27</v>
      </c>
      <c r="I882" s="48" t="s">
        <v>552</v>
      </c>
      <c r="J882" s="48" t="s">
        <v>24</v>
      </c>
      <c r="K882" s="48" t="s">
        <v>407</v>
      </c>
      <c r="L882" s="48" t="s">
        <v>1131</v>
      </c>
      <c r="M882" s="48" t="s">
        <v>26</v>
      </c>
      <c r="N882" s="48" t="s">
        <v>20</v>
      </c>
      <c r="O882" s="48" t="s">
        <v>378</v>
      </c>
      <c r="P882" s="50">
        <v>108100</v>
      </c>
      <c r="Q882" s="50">
        <v>1</v>
      </c>
      <c r="R882" s="50">
        <v>108100</v>
      </c>
      <c r="S882" s="74">
        <v>45753</v>
      </c>
      <c r="T882" s="48" t="s">
        <v>311</v>
      </c>
      <c r="U882" s="48" t="s">
        <v>304</v>
      </c>
      <c r="V882" s="48" t="s">
        <v>378</v>
      </c>
      <c r="W882" s="48"/>
    </row>
    <row r="883" spans="1:23" ht="15.75" x14ac:dyDescent="0.25">
      <c r="A883" s="48" t="s">
        <v>617</v>
      </c>
      <c r="B883" s="49">
        <v>45729</v>
      </c>
      <c r="C883" s="48" t="s">
        <v>916</v>
      </c>
      <c r="D883" s="48" t="s">
        <v>441</v>
      </c>
      <c r="E883" s="48" t="s">
        <v>856</v>
      </c>
      <c r="F883" s="48" t="s">
        <v>612</v>
      </c>
      <c r="G883" s="48" t="s">
        <v>613</v>
      </c>
      <c r="H883" s="48" t="s">
        <v>27</v>
      </c>
      <c r="I883" s="48" t="s">
        <v>618</v>
      </c>
      <c r="J883" s="48" t="s">
        <v>24</v>
      </c>
      <c r="K883" s="48" t="s">
        <v>613</v>
      </c>
      <c r="L883" s="48" t="s">
        <v>1135</v>
      </c>
      <c r="M883" s="48" t="s">
        <v>26</v>
      </c>
      <c r="N883" s="48" t="s">
        <v>20</v>
      </c>
      <c r="O883" s="48" t="s">
        <v>857</v>
      </c>
      <c r="P883" s="50">
        <v>715921</v>
      </c>
      <c r="Q883" s="50">
        <v>1</v>
      </c>
      <c r="R883" s="50">
        <v>715921</v>
      </c>
      <c r="S883" s="74">
        <v>45753</v>
      </c>
      <c r="T883" s="48" t="s">
        <v>425</v>
      </c>
      <c r="U883" s="48" t="s">
        <v>613</v>
      </c>
      <c r="V883" s="48" t="s">
        <v>857</v>
      </c>
      <c r="W883" s="48"/>
    </row>
    <row r="884" spans="1:23" ht="15.75" x14ac:dyDescent="0.25">
      <c r="A884" s="48" t="s">
        <v>568</v>
      </c>
      <c r="B884" s="49">
        <v>45666</v>
      </c>
      <c r="C884" s="48" t="s">
        <v>916</v>
      </c>
      <c r="D884" s="48" t="s">
        <v>441</v>
      </c>
      <c r="E884" s="48" t="s">
        <v>858</v>
      </c>
      <c r="F884" s="48" t="s">
        <v>373</v>
      </c>
      <c r="G884" s="48" t="s">
        <v>483</v>
      </c>
      <c r="H884" s="48" t="s">
        <v>27</v>
      </c>
      <c r="I884" s="48" t="s">
        <v>569</v>
      </c>
      <c r="J884" s="48" t="s">
        <v>24</v>
      </c>
      <c r="K884" s="48" t="s">
        <v>22</v>
      </c>
      <c r="L884" s="48" t="s">
        <v>1132</v>
      </c>
      <c r="M884" s="48" t="s">
        <v>26</v>
      </c>
      <c r="N884" s="48" t="s">
        <v>20</v>
      </c>
      <c r="O884" s="48" t="s">
        <v>857</v>
      </c>
      <c r="P884" s="50">
        <v>1500000</v>
      </c>
      <c r="Q884" s="50">
        <v>1</v>
      </c>
      <c r="R884" s="50">
        <v>1500000</v>
      </c>
      <c r="S884" s="74">
        <v>45746</v>
      </c>
      <c r="T884" s="48" t="s">
        <v>311</v>
      </c>
      <c r="U884" s="48" t="s">
        <v>1108</v>
      </c>
      <c r="V884" s="48" t="s">
        <v>378</v>
      </c>
      <c r="W884" s="48"/>
    </row>
    <row r="885" spans="1:23" ht="15.75" x14ac:dyDescent="0.25">
      <c r="A885" s="48" t="s">
        <v>440</v>
      </c>
      <c r="B885" s="49">
        <v>45753</v>
      </c>
      <c r="C885" s="48" t="s">
        <v>928</v>
      </c>
      <c r="D885" s="48" t="s">
        <v>441</v>
      </c>
      <c r="E885" s="48" t="s">
        <v>856</v>
      </c>
      <c r="F885" s="48" t="s">
        <v>95</v>
      </c>
      <c r="G885" s="48" t="s">
        <v>96</v>
      </c>
      <c r="H885" s="48" t="s">
        <v>27</v>
      </c>
      <c r="I885" s="48" t="s">
        <v>442</v>
      </c>
      <c r="J885" s="48" t="s">
        <v>24</v>
      </c>
      <c r="K885" s="48" t="s">
        <v>22</v>
      </c>
      <c r="L885" s="48" t="s">
        <v>1132</v>
      </c>
      <c r="M885" s="48" t="s">
        <v>26</v>
      </c>
      <c r="N885" s="48" t="s">
        <v>20</v>
      </c>
      <c r="O885" s="48" t="s">
        <v>378</v>
      </c>
      <c r="P885" s="50">
        <v>304995.88</v>
      </c>
      <c r="Q885" s="50">
        <v>1</v>
      </c>
      <c r="R885" s="50">
        <v>304995.88</v>
      </c>
      <c r="S885" s="74">
        <v>45746</v>
      </c>
      <c r="T885" s="48" t="s">
        <v>311</v>
      </c>
      <c r="U885" s="48" t="s">
        <v>1107</v>
      </c>
      <c r="V885" s="48" t="s">
        <v>378</v>
      </c>
      <c r="W885" s="48"/>
    </row>
    <row r="886" spans="1:23" ht="15.75" x14ac:dyDescent="0.25">
      <c r="A886" s="48" t="s">
        <v>575</v>
      </c>
      <c r="B886" s="49">
        <v>45679</v>
      </c>
      <c r="C886" s="48" t="s">
        <v>916</v>
      </c>
      <c r="D886" s="48" t="s">
        <v>441</v>
      </c>
      <c r="E886" s="48" t="s">
        <v>858</v>
      </c>
      <c r="F886" s="48" t="s">
        <v>373</v>
      </c>
      <c r="G886" s="48" t="s">
        <v>483</v>
      </c>
      <c r="H886" s="48" t="s">
        <v>27</v>
      </c>
      <c r="I886" s="48" t="s">
        <v>576</v>
      </c>
      <c r="J886" s="48" t="s">
        <v>24</v>
      </c>
      <c r="K886" s="48" t="s">
        <v>22</v>
      </c>
      <c r="L886" s="48" t="s">
        <v>1132</v>
      </c>
      <c r="M886" s="48" t="s">
        <v>26</v>
      </c>
      <c r="N886" s="48" t="s">
        <v>20</v>
      </c>
      <c r="O886" s="48" t="s">
        <v>857</v>
      </c>
      <c r="P886" s="50">
        <v>1000475.48</v>
      </c>
      <c r="Q886" s="50">
        <v>1</v>
      </c>
      <c r="R886" s="50">
        <v>1000475.48</v>
      </c>
      <c r="S886" s="74">
        <v>45745</v>
      </c>
      <c r="T886" s="48" t="s">
        <v>311</v>
      </c>
      <c r="U886" s="48" t="s">
        <v>1108</v>
      </c>
      <c r="V886" s="48" t="s">
        <v>378</v>
      </c>
      <c r="W886" s="48"/>
    </row>
    <row r="887" spans="1:23" ht="15.75" x14ac:dyDescent="0.25">
      <c r="A887" s="48" t="s">
        <v>480</v>
      </c>
      <c r="B887" s="49">
        <v>45658</v>
      </c>
      <c r="C887" s="48" t="s">
        <v>916</v>
      </c>
      <c r="D887" s="48" t="s">
        <v>509</v>
      </c>
      <c r="E887" s="48" t="s">
        <v>856</v>
      </c>
      <c r="F887" s="48" t="s">
        <v>21</v>
      </c>
      <c r="G887" s="48" t="s">
        <v>22</v>
      </c>
      <c r="H887" s="48" t="s">
        <v>27</v>
      </c>
      <c r="I887" s="48" t="s">
        <v>406</v>
      </c>
      <c r="J887" s="48" t="s">
        <v>24</v>
      </c>
      <c r="K887" s="48" t="s">
        <v>407</v>
      </c>
      <c r="L887" s="48" t="s">
        <v>1131</v>
      </c>
      <c r="M887" s="48" t="s">
        <v>26</v>
      </c>
      <c r="N887" s="48" t="s">
        <v>20</v>
      </c>
      <c r="O887" s="48" t="s">
        <v>857</v>
      </c>
      <c r="P887" s="50">
        <v>1400000</v>
      </c>
      <c r="Q887" s="50">
        <v>1</v>
      </c>
      <c r="R887" s="50">
        <v>1400000</v>
      </c>
      <c r="S887" s="74">
        <v>45743</v>
      </c>
      <c r="T887" s="48" t="s">
        <v>311</v>
      </c>
      <c r="U887" s="48" t="s">
        <v>1108</v>
      </c>
      <c r="V887" s="48" t="s">
        <v>378</v>
      </c>
      <c r="W887" s="48"/>
    </row>
    <row r="888" spans="1:23" ht="15.75" x14ac:dyDescent="0.25">
      <c r="A888" s="48" t="s">
        <v>686</v>
      </c>
      <c r="B888" s="49">
        <v>45727</v>
      </c>
      <c r="C888" s="48" t="s">
        <v>918</v>
      </c>
      <c r="D888" s="48" t="s">
        <v>509</v>
      </c>
      <c r="E888" s="48" t="s">
        <v>856</v>
      </c>
      <c r="F888" s="48" t="s">
        <v>95</v>
      </c>
      <c r="G888" s="48" t="s">
        <v>96</v>
      </c>
      <c r="H888" s="48" t="s">
        <v>27</v>
      </c>
      <c r="I888" s="48" t="s">
        <v>609</v>
      </c>
      <c r="J888" s="48" t="s">
        <v>72</v>
      </c>
      <c r="K888" s="48" t="s">
        <v>304</v>
      </c>
      <c r="L888" s="48" t="s">
        <v>1133</v>
      </c>
      <c r="M888" s="48" t="s">
        <v>26</v>
      </c>
      <c r="N888" s="48" t="s">
        <v>20</v>
      </c>
      <c r="O888" s="48" t="s">
        <v>378</v>
      </c>
      <c r="P888" s="50">
        <v>875326.61</v>
      </c>
      <c r="Q888" s="50">
        <v>1</v>
      </c>
      <c r="R888" s="50">
        <v>875326.61</v>
      </c>
      <c r="S888" s="74">
        <v>45743</v>
      </c>
      <c r="T888" s="48" t="s">
        <v>305</v>
      </c>
      <c r="U888" s="48" t="s">
        <v>304</v>
      </c>
      <c r="V888" s="48" t="s">
        <v>857</v>
      </c>
      <c r="W888" s="48"/>
    </row>
    <row r="889" spans="1:23" ht="15.75" x14ac:dyDescent="0.25">
      <c r="A889" s="48" t="s">
        <v>572</v>
      </c>
      <c r="B889" s="49">
        <v>45691</v>
      </c>
      <c r="C889" s="48" t="s">
        <v>916</v>
      </c>
      <c r="D889" s="48" t="s">
        <v>441</v>
      </c>
      <c r="E889" s="48" t="s">
        <v>856</v>
      </c>
      <c r="F889" s="48" t="s">
        <v>373</v>
      </c>
      <c r="G889" s="48" t="s">
        <v>483</v>
      </c>
      <c r="H889" s="48" t="s">
        <v>27</v>
      </c>
      <c r="I889" s="48" t="s">
        <v>431</v>
      </c>
      <c r="J889" s="48" t="s">
        <v>24</v>
      </c>
      <c r="K889" s="48" t="s">
        <v>22</v>
      </c>
      <c r="L889" s="48" t="s">
        <v>1132</v>
      </c>
      <c r="M889" s="48" t="s">
        <v>26</v>
      </c>
      <c r="N889" s="48" t="s">
        <v>20</v>
      </c>
      <c r="O889" s="48" t="s">
        <v>857</v>
      </c>
      <c r="P889" s="50">
        <v>297263.39</v>
      </c>
      <c r="Q889" s="50">
        <v>1</v>
      </c>
      <c r="R889" s="50">
        <v>297263.39</v>
      </c>
      <c r="S889" s="74">
        <v>45743</v>
      </c>
      <c r="T889" s="48" t="s">
        <v>311</v>
      </c>
      <c r="U889" s="48" t="s">
        <v>90</v>
      </c>
      <c r="V889" s="48" t="s">
        <v>378</v>
      </c>
      <c r="W889" s="48"/>
    </row>
    <row r="890" spans="1:23" ht="15.75" x14ac:dyDescent="0.25">
      <c r="A890" s="48" t="s">
        <v>672</v>
      </c>
      <c r="B890" s="49">
        <v>45740</v>
      </c>
      <c r="C890" s="48" t="s">
        <v>921</v>
      </c>
      <c r="D890" s="48" t="s">
        <v>1119</v>
      </c>
      <c r="E890" s="48" t="s">
        <v>856</v>
      </c>
      <c r="F890" s="48" t="s">
        <v>366</v>
      </c>
      <c r="G890" s="48" t="s">
        <v>367</v>
      </c>
      <c r="H890" s="48" t="s">
        <v>27</v>
      </c>
      <c r="I890" s="48" t="s">
        <v>469</v>
      </c>
      <c r="J890" s="48" t="s">
        <v>72</v>
      </c>
      <c r="K890" s="48" t="s">
        <v>367</v>
      </c>
      <c r="L890" s="48" t="s">
        <v>1136</v>
      </c>
      <c r="M890" s="48" t="s">
        <v>191</v>
      </c>
      <c r="N890" s="48" t="s">
        <v>20</v>
      </c>
      <c r="O890" s="48" t="s">
        <v>857</v>
      </c>
      <c r="P890" s="50">
        <v>220414.46</v>
      </c>
      <c r="Q890" s="50">
        <v>1.0259</v>
      </c>
      <c r="R890" s="50">
        <v>226123.194514</v>
      </c>
      <c r="S890" s="74">
        <v>45742</v>
      </c>
      <c r="T890" s="48" t="s">
        <v>208</v>
      </c>
      <c r="U890" s="48" t="s">
        <v>367</v>
      </c>
      <c r="V890" s="48" t="s">
        <v>857</v>
      </c>
      <c r="W890" s="48"/>
    </row>
    <row r="891" spans="1:23" ht="15.75" x14ac:dyDescent="0.25">
      <c r="A891" s="48" t="s">
        <v>672</v>
      </c>
      <c r="B891" s="49">
        <v>45740</v>
      </c>
      <c r="C891" s="48" t="s">
        <v>920</v>
      </c>
      <c r="D891" s="48" t="s">
        <v>1119</v>
      </c>
      <c r="E891" s="48" t="s">
        <v>856</v>
      </c>
      <c r="F891" s="48" t="s">
        <v>366</v>
      </c>
      <c r="G891" s="48" t="s">
        <v>367</v>
      </c>
      <c r="H891" s="48" t="s">
        <v>27</v>
      </c>
      <c r="I891" s="48" t="s">
        <v>469</v>
      </c>
      <c r="J891" s="48" t="s">
        <v>72</v>
      </c>
      <c r="K891" s="48" t="s">
        <v>367</v>
      </c>
      <c r="L891" s="48" t="s">
        <v>1136</v>
      </c>
      <c r="M891" s="48" t="s">
        <v>191</v>
      </c>
      <c r="N891" s="48" t="s">
        <v>20</v>
      </c>
      <c r="O891" s="48" t="s">
        <v>857</v>
      </c>
      <c r="P891" s="50">
        <v>211892.73</v>
      </c>
      <c r="Q891" s="50">
        <v>1.0259</v>
      </c>
      <c r="R891" s="50">
        <v>217380.75170700002</v>
      </c>
      <c r="S891" s="74">
        <v>45742</v>
      </c>
      <c r="T891" s="48" t="s">
        <v>208</v>
      </c>
      <c r="U891" s="48" t="s">
        <v>367</v>
      </c>
      <c r="V891" s="48" t="s">
        <v>857</v>
      </c>
      <c r="W891" s="48"/>
    </row>
    <row r="892" spans="1:23" ht="15.75" x14ac:dyDescent="0.25">
      <c r="A892" s="48" t="s">
        <v>672</v>
      </c>
      <c r="B892" s="49">
        <v>45740</v>
      </c>
      <c r="C892" s="48" t="s">
        <v>919</v>
      </c>
      <c r="D892" s="48" t="s">
        <v>1119</v>
      </c>
      <c r="E892" s="48" t="s">
        <v>856</v>
      </c>
      <c r="F892" s="48" t="s">
        <v>366</v>
      </c>
      <c r="G892" s="48" t="s">
        <v>367</v>
      </c>
      <c r="H892" s="48" t="s">
        <v>27</v>
      </c>
      <c r="I892" s="48" t="s">
        <v>469</v>
      </c>
      <c r="J892" s="48" t="s">
        <v>72</v>
      </c>
      <c r="K892" s="48" t="s">
        <v>367</v>
      </c>
      <c r="L892" s="48" t="s">
        <v>1136</v>
      </c>
      <c r="M892" s="48" t="s">
        <v>191</v>
      </c>
      <c r="N892" s="48" t="s">
        <v>20</v>
      </c>
      <c r="O892" s="48" t="s">
        <v>378</v>
      </c>
      <c r="P892" s="50">
        <v>105946.36</v>
      </c>
      <c r="Q892" s="50">
        <v>1.0259</v>
      </c>
      <c r="R892" s="50">
        <v>108690.37072400001</v>
      </c>
      <c r="S892" s="74">
        <v>45742</v>
      </c>
      <c r="T892" s="48" t="s">
        <v>208</v>
      </c>
      <c r="U892" s="48" t="s">
        <v>367</v>
      </c>
      <c r="V892" s="48" t="s">
        <v>857</v>
      </c>
      <c r="W892" s="48"/>
    </row>
    <row r="893" spans="1:23" ht="15.75" x14ac:dyDescent="0.25">
      <c r="A893" s="48" t="s">
        <v>572</v>
      </c>
      <c r="B893" s="49">
        <v>45741</v>
      </c>
      <c r="C893" s="48" t="s">
        <v>918</v>
      </c>
      <c r="D893" s="48" t="s">
        <v>441</v>
      </c>
      <c r="E893" s="48" t="s">
        <v>856</v>
      </c>
      <c r="F893" s="48" t="s">
        <v>373</v>
      </c>
      <c r="G893" s="48" t="s">
        <v>483</v>
      </c>
      <c r="H893" s="48" t="s">
        <v>27</v>
      </c>
      <c r="I893" s="48" t="s">
        <v>431</v>
      </c>
      <c r="J893" s="48" t="s">
        <v>24</v>
      </c>
      <c r="K893" s="48" t="s">
        <v>22</v>
      </c>
      <c r="L893" s="48" t="s">
        <v>1132</v>
      </c>
      <c r="M893" s="48" t="s">
        <v>26</v>
      </c>
      <c r="N893" s="48" t="s">
        <v>20</v>
      </c>
      <c r="O893" s="48" t="s">
        <v>857</v>
      </c>
      <c r="P893" s="50">
        <v>194791.52</v>
      </c>
      <c r="Q893" s="50">
        <v>1</v>
      </c>
      <c r="R893" s="50">
        <v>194791.52</v>
      </c>
      <c r="S893" s="74">
        <v>45742</v>
      </c>
      <c r="T893" s="48" t="s">
        <v>311</v>
      </c>
      <c r="U893" s="48" t="s">
        <v>90</v>
      </c>
      <c r="V893" s="48" t="s">
        <v>378</v>
      </c>
      <c r="W893" s="48"/>
    </row>
    <row r="894" spans="1:23" ht="15.75" x14ac:dyDescent="0.25">
      <c r="A894" s="48" t="s">
        <v>544</v>
      </c>
      <c r="B894" s="49">
        <v>45693</v>
      </c>
      <c r="C894" s="48" t="s">
        <v>916</v>
      </c>
      <c r="D894" s="48" t="s">
        <v>509</v>
      </c>
      <c r="E894" s="48" t="s">
        <v>858</v>
      </c>
      <c r="F894" s="48" t="s">
        <v>95</v>
      </c>
      <c r="G894" s="48" t="s">
        <v>96</v>
      </c>
      <c r="H894" s="48" t="s">
        <v>27</v>
      </c>
      <c r="I894" s="48" t="s">
        <v>545</v>
      </c>
      <c r="J894" s="48" t="s">
        <v>24</v>
      </c>
      <c r="K894" s="48" t="s">
        <v>407</v>
      </c>
      <c r="L894" s="48" t="s">
        <v>1131</v>
      </c>
      <c r="M894" s="48" t="s">
        <v>26</v>
      </c>
      <c r="N894" s="48" t="s">
        <v>20</v>
      </c>
      <c r="O894" s="48" t="s">
        <v>378</v>
      </c>
      <c r="P894" s="50">
        <v>250606.6</v>
      </c>
      <c r="Q894" s="50">
        <v>1</v>
      </c>
      <c r="R894" s="50">
        <v>250606.6</v>
      </c>
      <c r="S894" s="74">
        <v>45741</v>
      </c>
      <c r="T894" s="48" t="s">
        <v>311</v>
      </c>
      <c r="U894" s="48" t="s">
        <v>1106</v>
      </c>
      <c r="V894" s="48" t="s">
        <v>378</v>
      </c>
      <c r="W894" s="48"/>
    </row>
    <row r="895" spans="1:23" ht="15.75" x14ac:dyDescent="0.25">
      <c r="A895" s="48" t="s">
        <v>537</v>
      </c>
      <c r="B895" s="49">
        <v>45658</v>
      </c>
      <c r="C895" s="48" t="s">
        <v>916</v>
      </c>
      <c r="D895" s="48" t="s">
        <v>509</v>
      </c>
      <c r="E895" s="48" t="s">
        <v>856</v>
      </c>
      <c r="F895" s="48" t="s">
        <v>95</v>
      </c>
      <c r="G895" s="48" t="s">
        <v>96</v>
      </c>
      <c r="H895" s="48" t="s">
        <v>27</v>
      </c>
      <c r="I895" s="48" t="s">
        <v>538</v>
      </c>
      <c r="J895" s="48" t="s">
        <v>24</v>
      </c>
      <c r="K895" s="48" t="s">
        <v>407</v>
      </c>
      <c r="L895" s="48" t="s">
        <v>1131</v>
      </c>
      <c r="M895" s="48" t="s">
        <v>26</v>
      </c>
      <c r="N895" s="48" t="s">
        <v>20</v>
      </c>
      <c r="O895" s="48" t="s">
        <v>378</v>
      </c>
      <c r="P895" s="50">
        <v>2000000</v>
      </c>
      <c r="Q895" s="50">
        <v>1</v>
      </c>
      <c r="R895" s="50">
        <v>2000000</v>
      </c>
      <c r="S895" s="74">
        <v>45741</v>
      </c>
      <c r="T895" s="48" t="s">
        <v>311</v>
      </c>
      <c r="U895" s="48" t="s">
        <v>1106</v>
      </c>
      <c r="V895" s="48" t="s">
        <v>378</v>
      </c>
      <c r="W895" s="48"/>
    </row>
    <row r="896" spans="1:23" ht="15.75" x14ac:dyDescent="0.25">
      <c r="A896" s="48" t="s">
        <v>691</v>
      </c>
      <c r="B896" s="49">
        <v>45732</v>
      </c>
      <c r="C896" s="48" t="s">
        <v>1300</v>
      </c>
      <c r="D896" s="48" t="s">
        <v>509</v>
      </c>
      <c r="E896" s="48" t="s">
        <v>856</v>
      </c>
      <c r="F896" s="48" t="s">
        <v>95</v>
      </c>
      <c r="G896" s="48" t="s">
        <v>96</v>
      </c>
      <c r="H896" s="48" t="s">
        <v>27</v>
      </c>
      <c r="I896" s="48" t="s">
        <v>465</v>
      </c>
      <c r="J896" s="48" t="s">
        <v>72</v>
      </c>
      <c r="K896" s="48" t="s">
        <v>304</v>
      </c>
      <c r="L896" s="48" t="s">
        <v>1133</v>
      </c>
      <c r="M896" s="48" t="s">
        <v>26</v>
      </c>
      <c r="N896" s="48" t="s">
        <v>20</v>
      </c>
      <c r="O896" s="48" t="s">
        <v>378</v>
      </c>
      <c r="P896" s="50">
        <v>1000000</v>
      </c>
      <c r="Q896" s="50">
        <v>1</v>
      </c>
      <c r="R896" s="50">
        <v>1000000</v>
      </c>
      <c r="S896" s="74">
        <v>45741</v>
      </c>
      <c r="T896" s="48" t="s">
        <v>305</v>
      </c>
      <c r="U896" s="48" t="s">
        <v>1156</v>
      </c>
      <c r="V896" s="48" t="s">
        <v>857</v>
      </c>
      <c r="W896" s="48" t="s">
        <v>1376</v>
      </c>
    </row>
    <row r="897" spans="1:23" ht="15.75" x14ac:dyDescent="0.25">
      <c r="A897" s="48" t="s">
        <v>691</v>
      </c>
      <c r="B897" s="49">
        <v>45732</v>
      </c>
      <c r="C897" s="48" t="s">
        <v>1299</v>
      </c>
      <c r="D897" s="48" t="s">
        <v>509</v>
      </c>
      <c r="E897" s="48" t="s">
        <v>856</v>
      </c>
      <c r="F897" s="48" t="s">
        <v>95</v>
      </c>
      <c r="G897" s="48" t="s">
        <v>96</v>
      </c>
      <c r="H897" s="48" t="s">
        <v>27</v>
      </c>
      <c r="I897" s="48" t="s">
        <v>465</v>
      </c>
      <c r="J897" s="48" t="s">
        <v>72</v>
      </c>
      <c r="K897" s="48" t="s">
        <v>304</v>
      </c>
      <c r="L897" s="48" t="s">
        <v>1133</v>
      </c>
      <c r="M897" s="48" t="s">
        <v>26</v>
      </c>
      <c r="N897" s="48" t="s">
        <v>20</v>
      </c>
      <c r="O897" s="48" t="s">
        <v>378</v>
      </c>
      <c r="P897" s="50">
        <v>5646080</v>
      </c>
      <c r="Q897" s="50">
        <v>1</v>
      </c>
      <c r="R897" s="50">
        <v>5646080</v>
      </c>
      <c r="S897" s="74">
        <v>45741</v>
      </c>
      <c r="T897" s="48" t="s">
        <v>305</v>
      </c>
      <c r="U897" s="48" t="s">
        <v>1156</v>
      </c>
      <c r="V897" s="48" t="s">
        <v>378</v>
      </c>
      <c r="W897" s="48"/>
    </row>
    <row r="898" spans="1:23" ht="15.75" x14ac:dyDescent="0.25">
      <c r="A898" s="48" t="s">
        <v>686</v>
      </c>
      <c r="B898" s="49">
        <v>45727</v>
      </c>
      <c r="C898" s="48" t="s">
        <v>916</v>
      </c>
      <c r="D898" s="48" t="s">
        <v>509</v>
      </c>
      <c r="E898" s="48" t="s">
        <v>856</v>
      </c>
      <c r="F898" s="48" t="s">
        <v>95</v>
      </c>
      <c r="G898" s="48" t="s">
        <v>96</v>
      </c>
      <c r="H898" s="48" t="s">
        <v>27</v>
      </c>
      <c r="I898" s="48" t="s">
        <v>609</v>
      </c>
      <c r="J898" s="48" t="s">
        <v>72</v>
      </c>
      <c r="K898" s="48" t="s">
        <v>304</v>
      </c>
      <c r="L898" s="48" t="s">
        <v>1133</v>
      </c>
      <c r="M898" s="48" t="s">
        <v>26</v>
      </c>
      <c r="N898" s="48" t="s">
        <v>20</v>
      </c>
      <c r="O898" s="48" t="s">
        <v>378</v>
      </c>
      <c r="P898" s="50">
        <v>1054571.18</v>
      </c>
      <c r="Q898" s="50">
        <v>1</v>
      </c>
      <c r="R898" s="50">
        <v>1054571.18</v>
      </c>
      <c r="S898" s="74">
        <v>45741</v>
      </c>
      <c r="T898" s="48" t="s">
        <v>305</v>
      </c>
      <c r="U898" s="48" t="s">
        <v>1106</v>
      </c>
      <c r="V898" s="48" t="s">
        <v>378</v>
      </c>
      <c r="W898" s="48"/>
    </row>
    <row r="899" spans="1:23" ht="15.75" x14ac:dyDescent="0.25">
      <c r="A899" s="48" t="s">
        <v>321</v>
      </c>
      <c r="B899" s="49">
        <v>45736</v>
      </c>
      <c r="C899" s="48" t="s">
        <v>922</v>
      </c>
      <c r="D899" s="48" t="s">
        <v>1118</v>
      </c>
      <c r="E899" s="48" t="s">
        <v>856</v>
      </c>
      <c r="F899" s="48" t="s">
        <v>62</v>
      </c>
      <c r="G899" s="48" t="s">
        <v>70</v>
      </c>
      <c r="H899" s="48" t="s">
        <v>70</v>
      </c>
      <c r="I899" s="48" t="s">
        <v>322</v>
      </c>
      <c r="J899" s="48" t="s">
        <v>72</v>
      </c>
      <c r="K899" s="48" t="s">
        <v>213</v>
      </c>
      <c r="L899" s="48" t="s">
        <v>1134</v>
      </c>
      <c r="M899" s="48" t="s">
        <v>26</v>
      </c>
      <c r="N899" s="48" t="s">
        <v>20</v>
      </c>
      <c r="O899" s="48" t="s">
        <v>857</v>
      </c>
      <c r="P899" s="50">
        <v>489204.03</v>
      </c>
      <c r="Q899" s="50">
        <v>1</v>
      </c>
      <c r="R899" s="50">
        <v>489204.03</v>
      </c>
      <c r="S899" s="74">
        <v>45741</v>
      </c>
      <c r="T899" s="48" t="s">
        <v>127</v>
      </c>
      <c r="U899" s="48" t="s">
        <v>213</v>
      </c>
      <c r="V899" s="48" t="s">
        <v>857</v>
      </c>
      <c r="W899" s="48"/>
    </row>
    <row r="900" spans="1:23" ht="15.75" x14ac:dyDescent="0.25">
      <c r="A900" s="48" t="s">
        <v>430</v>
      </c>
      <c r="B900" s="49">
        <v>45666</v>
      </c>
      <c r="C900" s="48" t="s">
        <v>916</v>
      </c>
      <c r="D900" s="48" t="s">
        <v>441</v>
      </c>
      <c r="E900" s="48" t="s">
        <v>856</v>
      </c>
      <c r="F900" s="48" t="s">
        <v>95</v>
      </c>
      <c r="G900" s="48" t="s">
        <v>96</v>
      </c>
      <c r="H900" s="48" t="s">
        <v>27</v>
      </c>
      <c r="I900" s="48" t="s">
        <v>431</v>
      </c>
      <c r="J900" s="48" t="s">
        <v>24</v>
      </c>
      <c r="K900" s="48" t="s">
        <v>22</v>
      </c>
      <c r="L900" s="48" t="s">
        <v>1132</v>
      </c>
      <c r="M900" s="48" t="s">
        <v>26</v>
      </c>
      <c r="N900" s="48" t="s">
        <v>20</v>
      </c>
      <c r="O900" s="48" t="s">
        <v>378</v>
      </c>
      <c r="P900" s="50">
        <v>522689.46</v>
      </c>
      <c r="Q900" s="50">
        <v>1</v>
      </c>
      <c r="R900" s="50">
        <v>522689.46</v>
      </c>
      <c r="S900" s="74">
        <v>45741</v>
      </c>
      <c r="T900" s="48" t="s">
        <v>311</v>
      </c>
      <c r="U900" s="48" t="s">
        <v>1106</v>
      </c>
      <c r="V900" s="48" t="s">
        <v>378</v>
      </c>
      <c r="W900" s="48"/>
    </row>
    <row r="901" spans="1:23" ht="15.75" x14ac:dyDescent="0.25">
      <c r="A901" s="48" t="s">
        <v>306</v>
      </c>
      <c r="B901" s="49">
        <v>45713</v>
      </c>
      <c r="C901" s="48" t="s">
        <v>923</v>
      </c>
      <c r="D901" s="48" t="s">
        <v>1118</v>
      </c>
      <c r="E901" s="48" t="s">
        <v>858</v>
      </c>
      <c r="F901" s="48" t="s">
        <v>62</v>
      </c>
      <c r="G901" s="48" t="s">
        <v>70</v>
      </c>
      <c r="H901" s="48" t="s">
        <v>70</v>
      </c>
      <c r="I901" s="48" t="s">
        <v>307</v>
      </c>
      <c r="J901" s="48" t="s">
        <v>72</v>
      </c>
      <c r="K901" s="48" t="s">
        <v>213</v>
      </c>
      <c r="L901" s="48" t="s">
        <v>1134</v>
      </c>
      <c r="M901" s="48" t="s">
        <v>67</v>
      </c>
      <c r="N901" s="48" t="s">
        <v>20</v>
      </c>
      <c r="O901" s="48" t="s">
        <v>857</v>
      </c>
      <c r="P901" s="50">
        <v>66414.710000000006</v>
      </c>
      <c r="Q901" s="50">
        <v>4.5700901448959899</v>
      </c>
      <c r="R901" s="50">
        <v>303521.21164712519</v>
      </c>
      <c r="S901" s="74">
        <v>45740</v>
      </c>
      <c r="T901" s="48" t="s">
        <v>308</v>
      </c>
      <c r="U901" s="48" t="s">
        <v>213</v>
      </c>
      <c r="V901" s="48" t="s">
        <v>857</v>
      </c>
      <c r="W901" s="48"/>
    </row>
    <row r="902" spans="1:23" ht="15.75" x14ac:dyDescent="0.25">
      <c r="A902" s="48" t="s">
        <v>610</v>
      </c>
      <c r="B902" s="49">
        <v>45740</v>
      </c>
      <c r="C902" s="48" t="s">
        <v>918</v>
      </c>
      <c r="D902" s="48" t="s">
        <v>509</v>
      </c>
      <c r="E902" s="48" t="s">
        <v>856</v>
      </c>
      <c r="F902" s="48" t="s">
        <v>95</v>
      </c>
      <c r="G902" s="48" t="s">
        <v>96</v>
      </c>
      <c r="H902" s="48" t="s">
        <v>27</v>
      </c>
      <c r="I902" s="48" t="s">
        <v>532</v>
      </c>
      <c r="J902" s="48" t="s">
        <v>72</v>
      </c>
      <c r="K902" s="48" t="s">
        <v>304</v>
      </c>
      <c r="L902" s="48" t="s">
        <v>1133</v>
      </c>
      <c r="M902" s="48" t="s">
        <v>26</v>
      </c>
      <c r="N902" s="48" t="s">
        <v>20</v>
      </c>
      <c r="O902" s="48" t="s">
        <v>378</v>
      </c>
      <c r="P902" s="50">
        <v>2425764</v>
      </c>
      <c r="Q902" s="50">
        <v>1</v>
      </c>
      <c r="R902" s="50">
        <v>2425764</v>
      </c>
      <c r="S902" s="74">
        <v>45740</v>
      </c>
      <c r="T902" s="48" t="s">
        <v>461</v>
      </c>
      <c r="U902" s="48" t="s">
        <v>899</v>
      </c>
      <c r="V902" s="48" t="s">
        <v>378</v>
      </c>
      <c r="W902" s="48"/>
    </row>
    <row r="903" spans="1:23" ht="15.75" x14ac:dyDescent="0.25">
      <c r="A903" s="48" t="s">
        <v>1868</v>
      </c>
      <c r="B903" s="49">
        <v>45680</v>
      </c>
      <c r="C903" s="48" t="s">
        <v>916</v>
      </c>
      <c r="D903" s="48" t="s">
        <v>441</v>
      </c>
      <c r="E903" s="48" t="s">
        <v>856</v>
      </c>
      <c r="F903" s="48" t="s">
        <v>373</v>
      </c>
      <c r="G903" s="48" t="s">
        <v>483</v>
      </c>
      <c r="H903" s="48" t="s">
        <v>27</v>
      </c>
      <c r="I903" s="48" t="s">
        <v>177</v>
      </c>
      <c r="J903" s="48" t="s">
        <v>24</v>
      </c>
      <c r="K903" s="48" t="s">
        <v>22</v>
      </c>
      <c r="L903" s="48" t="s">
        <v>1132</v>
      </c>
      <c r="M903" s="48" t="s">
        <v>26</v>
      </c>
      <c r="N903" s="48" t="s">
        <v>20</v>
      </c>
      <c r="O903" s="48" t="s">
        <v>857</v>
      </c>
      <c r="P903" s="50">
        <v>988870.39</v>
      </c>
      <c r="Q903" s="50">
        <v>1</v>
      </c>
      <c r="R903" s="50">
        <v>988870.39</v>
      </c>
      <c r="S903" s="74">
        <v>45740</v>
      </c>
      <c r="T903" s="48" t="s">
        <v>311</v>
      </c>
      <c r="U903" s="48" t="s">
        <v>483</v>
      </c>
      <c r="V903" s="48" t="s">
        <v>378</v>
      </c>
      <c r="W903" s="48"/>
    </row>
    <row r="904" spans="1:23" ht="15.75" x14ac:dyDescent="0.25">
      <c r="A904" s="48" t="s">
        <v>543</v>
      </c>
      <c r="B904" s="49">
        <v>45694</v>
      </c>
      <c r="C904" s="48" t="s">
        <v>916</v>
      </c>
      <c r="D904" s="48" t="s">
        <v>509</v>
      </c>
      <c r="E904" s="48" t="s">
        <v>858</v>
      </c>
      <c r="F904" s="48" t="s">
        <v>95</v>
      </c>
      <c r="G904" s="48" t="s">
        <v>96</v>
      </c>
      <c r="H904" s="48" t="s">
        <v>27</v>
      </c>
      <c r="I904" s="48" t="s">
        <v>1789</v>
      </c>
      <c r="J904" s="48" t="s">
        <v>24</v>
      </c>
      <c r="K904" s="48" t="s">
        <v>407</v>
      </c>
      <c r="L904" s="48" t="s">
        <v>1131</v>
      </c>
      <c r="M904" s="48" t="s">
        <v>26</v>
      </c>
      <c r="N904" s="48" t="s">
        <v>20</v>
      </c>
      <c r="O904" s="48" t="s">
        <v>378</v>
      </c>
      <c r="P904" s="50">
        <v>650808.41</v>
      </c>
      <c r="Q904" s="50">
        <v>1</v>
      </c>
      <c r="R904" s="50">
        <v>650808.41</v>
      </c>
      <c r="S904" s="74">
        <v>45740</v>
      </c>
      <c r="T904" s="48" t="s">
        <v>311</v>
      </c>
      <c r="U904" s="48" t="s">
        <v>899</v>
      </c>
      <c r="V904" s="48" t="s">
        <v>378</v>
      </c>
      <c r="W904" s="48" t="s">
        <v>900</v>
      </c>
    </row>
    <row r="905" spans="1:23" ht="15.75" x14ac:dyDescent="0.25">
      <c r="A905" s="48" t="s">
        <v>527</v>
      </c>
      <c r="B905" s="49">
        <v>45679</v>
      </c>
      <c r="C905" s="48" t="s">
        <v>916</v>
      </c>
      <c r="D905" s="48" t="s">
        <v>441</v>
      </c>
      <c r="E905" s="48" t="s">
        <v>856</v>
      </c>
      <c r="F905" s="48" t="s">
        <v>21</v>
      </c>
      <c r="G905" s="48" t="s">
        <v>22</v>
      </c>
      <c r="H905" s="48" t="s">
        <v>27</v>
      </c>
      <c r="I905" s="48" t="s">
        <v>528</v>
      </c>
      <c r="J905" s="48" t="s">
        <v>24</v>
      </c>
      <c r="K905" s="48" t="s">
        <v>22</v>
      </c>
      <c r="L905" s="48" t="s">
        <v>1132</v>
      </c>
      <c r="M905" s="48" t="s">
        <v>26</v>
      </c>
      <c r="N905" s="48" t="s">
        <v>20</v>
      </c>
      <c r="O905" s="48" t="s">
        <v>857</v>
      </c>
      <c r="P905" s="50">
        <v>245883.8</v>
      </c>
      <c r="Q905" s="50">
        <v>1</v>
      </c>
      <c r="R905" s="50">
        <v>245883.8</v>
      </c>
      <c r="S905" s="74">
        <v>45740</v>
      </c>
      <c r="T905" s="48" t="s">
        <v>311</v>
      </c>
      <c r="U905" s="48" t="s">
        <v>22</v>
      </c>
      <c r="V905" s="48" t="s">
        <v>857</v>
      </c>
      <c r="W905" s="48"/>
    </row>
    <row r="906" spans="1:23" ht="15.75" x14ac:dyDescent="0.25">
      <c r="A906" s="48" t="s">
        <v>573</v>
      </c>
      <c r="B906" s="49">
        <v>45666</v>
      </c>
      <c r="C906" s="48" t="s">
        <v>916</v>
      </c>
      <c r="D906" s="48" t="s">
        <v>441</v>
      </c>
      <c r="E906" s="48" t="s">
        <v>858</v>
      </c>
      <c r="F906" s="48" t="s">
        <v>373</v>
      </c>
      <c r="G906" s="48" t="s">
        <v>483</v>
      </c>
      <c r="H906" s="48" t="s">
        <v>27</v>
      </c>
      <c r="I906" s="48" t="s">
        <v>574</v>
      </c>
      <c r="J906" s="48" t="s">
        <v>24</v>
      </c>
      <c r="K906" s="48" t="s">
        <v>22</v>
      </c>
      <c r="L906" s="48" t="s">
        <v>1132</v>
      </c>
      <c r="M906" s="48" t="s">
        <v>26</v>
      </c>
      <c r="N906" s="48" t="s">
        <v>20</v>
      </c>
      <c r="O906" s="48" t="s">
        <v>857</v>
      </c>
      <c r="P906" s="50">
        <v>128535.5</v>
      </c>
      <c r="Q906" s="50">
        <v>1</v>
      </c>
      <c r="R906" s="50">
        <v>128535.5</v>
      </c>
      <c r="S906" s="74">
        <v>45739</v>
      </c>
      <c r="T906" s="48" t="s">
        <v>311</v>
      </c>
      <c r="U906" s="48" t="s">
        <v>304</v>
      </c>
      <c r="V906" s="48" t="s">
        <v>378</v>
      </c>
      <c r="W906" s="48"/>
    </row>
    <row r="907" spans="1:23" ht="15.75" x14ac:dyDescent="0.25">
      <c r="A907" s="48" t="s">
        <v>556</v>
      </c>
      <c r="B907" s="49">
        <v>45664</v>
      </c>
      <c r="C907" s="48" t="s">
        <v>916</v>
      </c>
      <c r="D907" s="48" t="s">
        <v>441</v>
      </c>
      <c r="E907" s="48" t="s">
        <v>858</v>
      </c>
      <c r="F907" s="48" t="s">
        <v>373</v>
      </c>
      <c r="G907" s="48" t="s">
        <v>483</v>
      </c>
      <c r="H907" s="48" t="s">
        <v>27</v>
      </c>
      <c r="I907" s="48" t="s">
        <v>557</v>
      </c>
      <c r="J907" s="48" t="s">
        <v>24</v>
      </c>
      <c r="K907" s="48" t="s">
        <v>22</v>
      </c>
      <c r="L907" s="48" t="s">
        <v>1132</v>
      </c>
      <c r="M907" s="48" t="s">
        <v>26</v>
      </c>
      <c r="N907" s="48" t="s">
        <v>20</v>
      </c>
      <c r="O907" s="48" t="s">
        <v>857</v>
      </c>
      <c r="P907" s="50">
        <v>1500000</v>
      </c>
      <c r="Q907" s="50">
        <v>1</v>
      </c>
      <c r="R907" s="50">
        <v>1500000</v>
      </c>
      <c r="S907" s="74">
        <v>45739</v>
      </c>
      <c r="T907" s="48" t="s">
        <v>311</v>
      </c>
      <c r="U907" s="48" t="s">
        <v>483</v>
      </c>
      <c r="V907" s="48" t="s">
        <v>378</v>
      </c>
      <c r="W907" s="48"/>
    </row>
    <row r="908" spans="1:23" ht="15.75" x14ac:dyDescent="0.25">
      <c r="A908" s="48" t="s">
        <v>565</v>
      </c>
      <c r="B908" s="49">
        <v>45678</v>
      </c>
      <c r="C908" s="48" t="s">
        <v>916</v>
      </c>
      <c r="D908" s="48" t="s">
        <v>441</v>
      </c>
      <c r="E908" s="48" t="s">
        <v>858</v>
      </c>
      <c r="F908" s="48" t="s">
        <v>373</v>
      </c>
      <c r="G908" s="48" t="s">
        <v>483</v>
      </c>
      <c r="H908" s="48" t="s">
        <v>27</v>
      </c>
      <c r="I908" s="48" t="s">
        <v>566</v>
      </c>
      <c r="J908" s="48" t="s">
        <v>24</v>
      </c>
      <c r="K908" s="48" t="s">
        <v>22</v>
      </c>
      <c r="L908" s="48" t="s">
        <v>1132</v>
      </c>
      <c r="M908" s="48" t="s">
        <v>26</v>
      </c>
      <c r="N908" s="48" t="s">
        <v>20</v>
      </c>
      <c r="O908" s="48" t="s">
        <v>857</v>
      </c>
      <c r="P908" s="50">
        <v>500000</v>
      </c>
      <c r="Q908" s="50">
        <v>1</v>
      </c>
      <c r="R908" s="50">
        <v>500000</v>
      </c>
      <c r="S908" s="74">
        <v>45739</v>
      </c>
      <c r="T908" s="48" t="s">
        <v>311</v>
      </c>
      <c r="U908" s="48" t="s">
        <v>304</v>
      </c>
      <c r="V908" s="48" t="s">
        <v>378</v>
      </c>
      <c r="W908" s="48" t="s">
        <v>894</v>
      </c>
    </row>
    <row r="909" spans="1:23" ht="15.75" x14ac:dyDescent="0.25">
      <c r="A909" s="48" t="s">
        <v>520</v>
      </c>
      <c r="B909" s="49">
        <v>45651</v>
      </c>
      <c r="C909" s="48" t="s">
        <v>916</v>
      </c>
      <c r="D909" s="48" t="s">
        <v>441</v>
      </c>
      <c r="E909" s="48" t="s">
        <v>856</v>
      </c>
      <c r="F909" s="48" t="s">
        <v>21</v>
      </c>
      <c r="G909" s="48" t="s">
        <v>22</v>
      </c>
      <c r="H909" s="48" t="s">
        <v>27</v>
      </c>
      <c r="I909" s="48" t="s">
        <v>521</v>
      </c>
      <c r="J909" s="48" t="s">
        <v>24</v>
      </c>
      <c r="K909" s="48" t="s">
        <v>22</v>
      </c>
      <c r="L909" s="48" t="s">
        <v>1132</v>
      </c>
      <c r="M909" s="48" t="s">
        <v>26</v>
      </c>
      <c r="N909" s="48" t="s">
        <v>20</v>
      </c>
      <c r="O909" s="48" t="s">
        <v>857</v>
      </c>
      <c r="P909" s="50">
        <v>1000000</v>
      </c>
      <c r="Q909" s="50">
        <v>1</v>
      </c>
      <c r="R909" s="50">
        <v>1000000</v>
      </c>
      <c r="S909" s="74">
        <v>45739</v>
      </c>
      <c r="T909" s="48" t="s">
        <v>311</v>
      </c>
      <c r="U909" s="48" t="s">
        <v>22</v>
      </c>
      <c r="V909" s="48" t="s">
        <v>857</v>
      </c>
      <c r="W909" s="48"/>
    </row>
    <row r="910" spans="1:23" ht="15.75" x14ac:dyDescent="0.25">
      <c r="A910" s="48" t="s">
        <v>610</v>
      </c>
      <c r="B910" s="49">
        <v>45722</v>
      </c>
      <c r="C910" s="48" t="s">
        <v>916</v>
      </c>
      <c r="D910" s="48" t="s">
        <v>509</v>
      </c>
      <c r="E910" s="48" t="s">
        <v>858</v>
      </c>
      <c r="F910" s="48" t="s">
        <v>95</v>
      </c>
      <c r="G910" s="48" t="s">
        <v>96</v>
      </c>
      <c r="H910" s="48" t="s">
        <v>27</v>
      </c>
      <c r="I910" s="48" t="s">
        <v>532</v>
      </c>
      <c r="J910" s="48" t="s">
        <v>72</v>
      </c>
      <c r="K910" s="48" t="s">
        <v>304</v>
      </c>
      <c r="L910" s="48" t="s">
        <v>1133</v>
      </c>
      <c r="M910" s="48" t="s">
        <v>26</v>
      </c>
      <c r="N910" s="48" t="s">
        <v>20</v>
      </c>
      <c r="O910" s="48" t="s">
        <v>378</v>
      </c>
      <c r="P910" s="50">
        <v>2203480.5</v>
      </c>
      <c r="Q910" s="50">
        <v>1</v>
      </c>
      <c r="R910" s="50">
        <v>2203480.5</v>
      </c>
      <c r="S910" s="74">
        <v>45736</v>
      </c>
      <c r="T910" s="48" t="s">
        <v>461</v>
      </c>
      <c r="U910" s="48" t="s">
        <v>899</v>
      </c>
      <c r="V910" s="48" t="s">
        <v>378</v>
      </c>
      <c r="W910" s="48" t="s">
        <v>903</v>
      </c>
    </row>
    <row r="911" spans="1:23" ht="15.75" x14ac:dyDescent="0.25">
      <c r="A911" s="48" t="s">
        <v>686</v>
      </c>
      <c r="B911" s="49">
        <v>45732</v>
      </c>
      <c r="C911" s="48" t="s">
        <v>924</v>
      </c>
      <c r="D911" s="48" t="s">
        <v>509</v>
      </c>
      <c r="E911" s="48" t="s">
        <v>856</v>
      </c>
      <c r="F911" s="48" t="s">
        <v>95</v>
      </c>
      <c r="G911" s="48" t="s">
        <v>96</v>
      </c>
      <c r="H911" s="48" t="s">
        <v>27</v>
      </c>
      <c r="I911" s="48" t="s">
        <v>609</v>
      </c>
      <c r="J911" s="48" t="s">
        <v>72</v>
      </c>
      <c r="K911" s="48" t="s">
        <v>304</v>
      </c>
      <c r="L911" s="48" t="s">
        <v>1133</v>
      </c>
      <c r="M911" s="48" t="s">
        <v>26</v>
      </c>
      <c r="N911" s="48" t="s">
        <v>20</v>
      </c>
      <c r="O911" s="48" t="s">
        <v>378</v>
      </c>
      <c r="P911" s="50">
        <v>1810890.66</v>
      </c>
      <c r="Q911" s="50">
        <v>1</v>
      </c>
      <c r="R911" s="50">
        <v>1810890.66</v>
      </c>
      <c r="S911" s="74">
        <v>45736</v>
      </c>
      <c r="T911" s="48" t="s">
        <v>305</v>
      </c>
      <c r="U911" s="48" t="s">
        <v>899</v>
      </c>
      <c r="V911" s="48" t="s">
        <v>378</v>
      </c>
      <c r="W911" s="48"/>
    </row>
    <row r="912" spans="1:23" ht="15.75" x14ac:dyDescent="0.25">
      <c r="A912" s="48" t="s">
        <v>409</v>
      </c>
      <c r="B912" s="49">
        <v>45728</v>
      </c>
      <c r="C912" s="48" t="s">
        <v>924</v>
      </c>
      <c r="D912" s="48" t="s">
        <v>509</v>
      </c>
      <c r="E912" s="48" t="s">
        <v>858</v>
      </c>
      <c r="F912" s="48" t="s">
        <v>95</v>
      </c>
      <c r="G912" s="48" t="s">
        <v>96</v>
      </c>
      <c r="H912" s="48" t="s">
        <v>27</v>
      </c>
      <c r="I912" s="48" t="s">
        <v>221</v>
      </c>
      <c r="J912" s="48" t="s">
        <v>66</v>
      </c>
      <c r="K912" s="48" t="s">
        <v>410</v>
      </c>
      <c r="L912" s="48" t="s">
        <v>1137</v>
      </c>
      <c r="M912" s="48" t="s">
        <v>191</v>
      </c>
      <c r="N912" s="48" t="s">
        <v>20</v>
      </c>
      <c r="O912" s="48" t="s">
        <v>378</v>
      </c>
      <c r="P912" s="50">
        <v>653635.06999999995</v>
      </c>
      <c r="Q912" s="50">
        <v>1.0301</v>
      </c>
      <c r="R912" s="50">
        <v>673309.48560699995</v>
      </c>
      <c r="S912" s="74">
        <v>45736</v>
      </c>
      <c r="T912" s="48" t="s">
        <v>208</v>
      </c>
      <c r="U912" s="48" t="s">
        <v>899</v>
      </c>
      <c r="V912" s="48" t="s">
        <v>378</v>
      </c>
      <c r="W912" s="48" t="s">
        <v>901</v>
      </c>
    </row>
    <row r="913" spans="1:23" ht="15.75" x14ac:dyDescent="0.25">
      <c r="A913" s="48" t="s">
        <v>570</v>
      </c>
      <c r="B913" s="49">
        <v>45673</v>
      </c>
      <c r="C913" s="48" t="s">
        <v>1299</v>
      </c>
      <c r="D913" s="48" t="s">
        <v>441</v>
      </c>
      <c r="E913" s="48" t="s">
        <v>858</v>
      </c>
      <c r="F913" s="48" t="s">
        <v>373</v>
      </c>
      <c r="G913" s="48" t="s">
        <v>483</v>
      </c>
      <c r="H913" s="48" t="s">
        <v>27</v>
      </c>
      <c r="I913" s="48" t="s">
        <v>571</v>
      </c>
      <c r="J913" s="48" t="s">
        <v>24</v>
      </c>
      <c r="K913" s="48" t="s">
        <v>22</v>
      </c>
      <c r="L913" s="48" t="s">
        <v>1132</v>
      </c>
      <c r="M913" s="48" t="s">
        <v>26</v>
      </c>
      <c r="N913" s="48" t="s">
        <v>20</v>
      </c>
      <c r="O913" s="48" t="s">
        <v>857</v>
      </c>
      <c r="P913" s="50">
        <v>285215.10000000003</v>
      </c>
      <c r="Q913" s="50">
        <v>1</v>
      </c>
      <c r="R913" s="50">
        <v>285215.10000000003</v>
      </c>
      <c r="S913" s="74">
        <v>45735</v>
      </c>
      <c r="T913" s="48" t="s">
        <v>311</v>
      </c>
      <c r="U913" s="48" t="s">
        <v>891</v>
      </c>
      <c r="V913" s="48" t="s">
        <v>378</v>
      </c>
      <c r="W913" s="48"/>
    </row>
    <row r="914" spans="1:23" ht="15.75" x14ac:dyDescent="0.25">
      <c r="A914" s="48" t="s">
        <v>570</v>
      </c>
      <c r="B914" s="49">
        <v>45673</v>
      </c>
      <c r="C914" s="48" t="s">
        <v>1300</v>
      </c>
      <c r="D914" s="48" t="s">
        <v>441</v>
      </c>
      <c r="E914" s="48" t="s">
        <v>858</v>
      </c>
      <c r="F914" s="48" t="s">
        <v>373</v>
      </c>
      <c r="G914" s="48" t="s">
        <v>483</v>
      </c>
      <c r="H914" s="48" t="s">
        <v>27</v>
      </c>
      <c r="I914" s="48" t="s">
        <v>571</v>
      </c>
      <c r="J914" s="48" t="s">
        <v>24</v>
      </c>
      <c r="K914" s="48" t="s">
        <v>22</v>
      </c>
      <c r="L914" s="48" t="s">
        <v>1132</v>
      </c>
      <c r="M914" s="48" t="s">
        <v>26</v>
      </c>
      <c r="N914" s="48" t="s">
        <v>20</v>
      </c>
      <c r="O914" s="48" t="s">
        <v>857</v>
      </c>
      <c r="P914" s="50">
        <v>519537.08000000007</v>
      </c>
      <c r="Q914" s="50">
        <v>1</v>
      </c>
      <c r="R914" s="50">
        <v>519537.08000000007</v>
      </c>
      <c r="S914" s="74">
        <v>45735</v>
      </c>
      <c r="T914" s="48" t="s">
        <v>311</v>
      </c>
      <c r="U914" s="48" t="s">
        <v>304</v>
      </c>
      <c r="V914" s="48" t="s">
        <v>378</v>
      </c>
      <c r="W914" s="48"/>
    </row>
    <row r="915" spans="1:23" ht="15.75" x14ac:dyDescent="0.25">
      <c r="A915" s="48" t="s">
        <v>561</v>
      </c>
      <c r="B915" s="49">
        <v>45677</v>
      </c>
      <c r="C915" s="48" t="s">
        <v>916</v>
      </c>
      <c r="D915" s="48" t="s">
        <v>441</v>
      </c>
      <c r="E915" s="48" t="s">
        <v>856</v>
      </c>
      <c r="F915" s="48" t="s">
        <v>373</v>
      </c>
      <c r="G915" s="48" t="s">
        <v>483</v>
      </c>
      <c r="H915" s="48" t="s">
        <v>27</v>
      </c>
      <c r="I915" s="48" t="s">
        <v>540</v>
      </c>
      <c r="J915" s="48" t="s">
        <v>24</v>
      </c>
      <c r="K915" s="48" t="s">
        <v>22</v>
      </c>
      <c r="L915" s="48" t="s">
        <v>1132</v>
      </c>
      <c r="M915" s="48" t="s">
        <v>26</v>
      </c>
      <c r="N915" s="48" t="s">
        <v>20</v>
      </c>
      <c r="O915" s="48" t="s">
        <v>857</v>
      </c>
      <c r="P915" s="50">
        <v>530482.57999999996</v>
      </c>
      <c r="Q915" s="50">
        <v>1</v>
      </c>
      <c r="R915" s="50">
        <v>530482.57999999996</v>
      </c>
      <c r="S915" s="74">
        <v>45734</v>
      </c>
      <c r="T915" s="48" t="s">
        <v>311</v>
      </c>
      <c r="U915" s="48" t="s">
        <v>483</v>
      </c>
      <c r="V915" s="48" t="s">
        <v>378</v>
      </c>
      <c r="W915" s="48"/>
    </row>
    <row r="916" spans="1:23" ht="15.75" x14ac:dyDescent="0.25">
      <c r="A916" s="48" t="s">
        <v>365</v>
      </c>
      <c r="B916" s="49">
        <v>45726</v>
      </c>
      <c r="C916" s="48" t="s">
        <v>925</v>
      </c>
      <c r="D916" s="48" t="s">
        <v>1119</v>
      </c>
      <c r="E916" s="48" t="s">
        <v>856</v>
      </c>
      <c r="F916" s="48" t="s">
        <v>366</v>
      </c>
      <c r="G916" s="48" t="s">
        <v>367</v>
      </c>
      <c r="H916" s="48" t="s">
        <v>27</v>
      </c>
      <c r="I916" s="48" t="s">
        <v>368</v>
      </c>
      <c r="J916" s="48" t="s">
        <v>72</v>
      </c>
      <c r="K916" s="48" t="s">
        <v>367</v>
      </c>
      <c r="L916" s="48" t="s">
        <v>1136</v>
      </c>
      <c r="M916" s="48" t="s">
        <v>26</v>
      </c>
      <c r="N916" s="48" t="s">
        <v>20</v>
      </c>
      <c r="O916" s="48" t="s">
        <v>857</v>
      </c>
      <c r="P916" s="50">
        <v>42768800</v>
      </c>
      <c r="Q916" s="50">
        <v>1</v>
      </c>
      <c r="R916" s="50">
        <v>42768800</v>
      </c>
      <c r="S916" s="74">
        <v>45734</v>
      </c>
      <c r="T916" s="48" t="s">
        <v>369</v>
      </c>
      <c r="U916" s="48" t="s">
        <v>367</v>
      </c>
      <c r="V916" s="48" t="s">
        <v>857</v>
      </c>
      <c r="W916" s="48"/>
    </row>
    <row r="917" spans="1:23" ht="15.75" x14ac:dyDescent="0.25">
      <c r="A917" s="48" t="s">
        <v>531</v>
      </c>
      <c r="B917" s="49">
        <v>45718</v>
      </c>
      <c r="C917" s="48" t="s">
        <v>922</v>
      </c>
      <c r="D917" s="48" t="s">
        <v>509</v>
      </c>
      <c r="E917" s="48" t="s">
        <v>858</v>
      </c>
      <c r="F917" s="48" t="s">
        <v>373</v>
      </c>
      <c r="G917" s="48" t="s">
        <v>483</v>
      </c>
      <c r="H917" s="48" t="s">
        <v>27</v>
      </c>
      <c r="I917" s="48" t="s">
        <v>532</v>
      </c>
      <c r="J917" s="48" t="s">
        <v>72</v>
      </c>
      <c r="K917" s="48" t="s">
        <v>304</v>
      </c>
      <c r="L917" s="48" t="s">
        <v>1133</v>
      </c>
      <c r="M917" s="48" t="s">
        <v>26</v>
      </c>
      <c r="N917" s="48" t="s">
        <v>20</v>
      </c>
      <c r="O917" s="48" t="s">
        <v>857</v>
      </c>
      <c r="P917" s="50">
        <v>1479739.5</v>
      </c>
      <c r="Q917" s="50">
        <v>1</v>
      </c>
      <c r="R917" s="50">
        <v>1479739.5</v>
      </c>
      <c r="S917" s="74">
        <v>45733</v>
      </c>
      <c r="T917" s="48" t="s">
        <v>461</v>
      </c>
      <c r="U917" s="48" t="s">
        <v>899</v>
      </c>
      <c r="V917" s="48" t="s">
        <v>378</v>
      </c>
      <c r="W917" s="48"/>
    </row>
    <row r="918" spans="1:23" ht="15.75" x14ac:dyDescent="0.25">
      <c r="A918" s="48" t="s">
        <v>558</v>
      </c>
      <c r="B918" s="49">
        <v>45659</v>
      </c>
      <c r="C918" s="48" t="s">
        <v>916</v>
      </c>
      <c r="D918" s="48" t="s">
        <v>441</v>
      </c>
      <c r="E918" s="48" t="s">
        <v>858</v>
      </c>
      <c r="F918" s="48" t="s">
        <v>373</v>
      </c>
      <c r="G918" s="48" t="s">
        <v>483</v>
      </c>
      <c r="H918" s="48" t="s">
        <v>27</v>
      </c>
      <c r="I918" s="48" t="s">
        <v>435</v>
      </c>
      <c r="J918" s="48" t="s">
        <v>24</v>
      </c>
      <c r="K918" s="48" t="s">
        <v>22</v>
      </c>
      <c r="L918" s="48" t="s">
        <v>1132</v>
      </c>
      <c r="M918" s="48" t="s">
        <v>26</v>
      </c>
      <c r="N918" s="48" t="s">
        <v>20</v>
      </c>
      <c r="O918" s="48" t="s">
        <v>857</v>
      </c>
      <c r="P918" s="50">
        <v>2003904.69</v>
      </c>
      <c r="Q918" s="50">
        <v>1</v>
      </c>
      <c r="R918" s="50">
        <v>2003904.69</v>
      </c>
      <c r="S918" s="74">
        <v>45733</v>
      </c>
      <c r="T918" s="48" t="s">
        <v>311</v>
      </c>
      <c r="U918" s="48" t="s">
        <v>887</v>
      </c>
      <c r="V918" s="48" t="s">
        <v>378</v>
      </c>
      <c r="W918" s="48"/>
    </row>
    <row r="919" spans="1:23" ht="15.75" x14ac:dyDescent="0.25">
      <c r="A919" s="48" t="s">
        <v>559</v>
      </c>
      <c r="B919" s="49">
        <v>45693</v>
      </c>
      <c r="C919" s="48" t="s">
        <v>916</v>
      </c>
      <c r="D919" s="48" t="s">
        <v>441</v>
      </c>
      <c r="E919" s="48" t="s">
        <v>856</v>
      </c>
      <c r="F919" s="48" t="s">
        <v>373</v>
      </c>
      <c r="G919" s="48" t="s">
        <v>483</v>
      </c>
      <c r="H919" s="48" t="s">
        <v>27</v>
      </c>
      <c r="I919" s="48" t="s">
        <v>560</v>
      </c>
      <c r="J919" s="48" t="s">
        <v>24</v>
      </c>
      <c r="K919" s="48" t="s">
        <v>22</v>
      </c>
      <c r="L919" s="48" t="s">
        <v>1132</v>
      </c>
      <c r="M919" s="48" t="s">
        <v>26</v>
      </c>
      <c r="N919" s="48" t="s">
        <v>20</v>
      </c>
      <c r="O919" s="48" t="s">
        <v>857</v>
      </c>
      <c r="P919" s="50">
        <v>3582817.67</v>
      </c>
      <c r="Q919" s="50">
        <v>1</v>
      </c>
      <c r="R919" s="50">
        <v>3582817.67</v>
      </c>
      <c r="S919" s="74">
        <v>45733</v>
      </c>
      <c r="T919" s="48" t="s">
        <v>311</v>
      </c>
      <c r="U919" s="48" t="s">
        <v>887</v>
      </c>
      <c r="V919" s="48" t="s">
        <v>378</v>
      </c>
      <c r="W919" s="48"/>
    </row>
    <row r="920" spans="1:23" ht="15.75" x14ac:dyDescent="0.25">
      <c r="A920" s="48" t="s">
        <v>553</v>
      </c>
      <c r="B920" s="49">
        <v>45734</v>
      </c>
      <c r="C920" s="48" t="s">
        <v>916</v>
      </c>
      <c r="D920" s="48" t="s">
        <v>509</v>
      </c>
      <c r="E920" s="48" t="s">
        <v>856</v>
      </c>
      <c r="F920" s="48" t="s">
        <v>95</v>
      </c>
      <c r="G920" s="48" t="s">
        <v>96</v>
      </c>
      <c r="H920" s="48" t="s">
        <v>27</v>
      </c>
      <c r="I920" s="48" t="s">
        <v>554</v>
      </c>
      <c r="J920" s="48" t="s">
        <v>24</v>
      </c>
      <c r="K920" s="48" t="s">
        <v>407</v>
      </c>
      <c r="L920" s="48" t="s">
        <v>1131</v>
      </c>
      <c r="M920" s="48" t="s">
        <v>26</v>
      </c>
      <c r="N920" s="48" t="s">
        <v>20</v>
      </c>
      <c r="O920" s="48" t="s">
        <v>378</v>
      </c>
      <c r="P920" s="50">
        <v>300000</v>
      </c>
      <c r="Q920" s="50">
        <v>1</v>
      </c>
      <c r="R920" s="50">
        <v>300000</v>
      </c>
      <c r="S920" s="74">
        <v>45732</v>
      </c>
      <c r="T920" s="48" t="s">
        <v>311</v>
      </c>
      <c r="U920" s="48" t="s">
        <v>407</v>
      </c>
      <c r="V920" s="48" t="s">
        <v>857</v>
      </c>
      <c r="W920" s="48"/>
    </row>
    <row r="921" spans="1:23" ht="15.75" x14ac:dyDescent="0.25">
      <c r="A921" s="48" t="s">
        <v>525</v>
      </c>
      <c r="B921" s="49">
        <v>45651</v>
      </c>
      <c r="C921" s="48" t="s">
        <v>916</v>
      </c>
      <c r="D921" s="48" t="s">
        <v>441</v>
      </c>
      <c r="E921" s="48" t="s">
        <v>856</v>
      </c>
      <c r="F921" s="48" t="s">
        <v>21</v>
      </c>
      <c r="G921" s="48" t="s">
        <v>22</v>
      </c>
      <c r="H921" s="48" t="s">
        <v>27</v>
      </c>
      <c r="I921" s="48" t="s">
        <v>526</v>
      </c>
      <c r="J921" s="48" t="s">
        <v>24</v>
      </c>
      <c r="K921" s="48" t="s">
        <v>22</v>
      </c>
      <c r="L921" s="48" t="s">
        <v>1132</v>
      </c>
      <c r="M921" s="48" t="s">
        <v>26</v>
      </c>
      <c r="N921" s="48" t="s">
        <v>20</v>
      </c>
      <c r="O921" s="48" t="s">
        <v>857</v>
      </c>
      <c r="P921" s="50">
        <v>809055.91</v>
      </c>
      <c r="Q921" s="50">
        <v>1</v>
      </c>
      <c r="R921" s="50">
        <v>809055.91</v>
      </c>
      <c r="S921" s="74">
        <v>45732</v>
      </c>
      <c r="T921" s="48" t="s">
        <v>311</v>
      </c>
      <c r="U921" s="48" t="s">
        <v>22</v>
      </c>
      <c r="V921" s="48" t="s">
        <v>857</v>
      </c>
      <c r="W921" s="48"/>
    </row>
    <row r="922" spans="1:23" ht="15.75" x14ac:dyDescent="0.25">
      <c r="A922" s="48" t="s">
        <v>672</v>
      </c>
      <c r="B922" s="49">
        <v>45727</v>
      </c>
      <c r="C922" s="48" t="s">
        <v>926</v>
      </c>
      <c r="D922" s="48" t="s">
        <v>1119</v>
      </c>
      <c r="E922" s="48" t="s">
        <v>856</v>
      </c>
      <c r="F922" s="48" t="s">
        <v>366</v>
      </c>
      <c r="G922" s="48" t="s">
        <v>367</v>
      </c>
      <c r="H922" s="48" t="s">
        <v>27</v>
      </c>
      <c r="I922" s="48" t="s">
        <v>469</v>
      </c>
      <c r="J922" s="48" t="s">
        <v>72</v>
      </c>
      <c r="K922" s="48" t="s">
        <v>367</v>
      </c>
      <c r="L922" s="48" t="s">
        <v>1136</v>
      </c>
      <c r="M922" s="48" t="s">
        <v>191</v>
      </c>
      <c r="N922" s="48" t="s">
        <v>20</v>
      </c>
      <c r="O922" s="48" t="s">
        <v>857</v>
      </c>
      <c r="P922" s="50">
        <v>185714.68</v>
      </c>
      <c r="Q922" s="50">
        <v>1.026</v>
      </c>
      <c r="R922" s="50">
        <v>190543.26168</v>
      </c>
      <c r="S922" s="74">
        <v>45729</v>
      </c>
      <c r="T922" s="48" t="s">
        <v>208</v>
      </c>
      <c r="U922" s="48" t="s">
        <v>367</v>
      </c>
      <c r="V922" s="48" t="s">
        <v>857</v>
      </c>
      <c r="W922" s="48"/>
    </row>
    <row r="923" spans="1:23" ht="15.75" x14ac:dyDescent="0.25">
      <c r="A923" s="48" t="s">
        <v>504</v>
      </c>
      <c r="B923" s="49">
        <v>45670</v>
      </c>
      <c r="C923" s="48" t="s">
        <v>916</v>
      </c>
      <c r="D923" s="48" t="s">
        <v>441</v>
      </c>
      <c r="E923" s="48" t="s">
        <v>858</v>
      </c>
      <c r="F923" s="48" t="s">
        <v>95</v>
      </c>
      <c r="G923" s="48" t="s">
        <v>96</v>
      </c>
      <c r="H923" s="48" t="s">
        <v>27</v>
      </c>
      <c r="I923" s="48" t="s">
        <v>505</v>
      </c>
      <c r="J923" s="48" t="s">
        <v>24</v>
      </c>
      <c r="K923" s="48" t="s">
        <v>25</v>
      </c>
      <c r="L923" s="48" t="s">
        <v>1138</v>
      </c>
      <c r="M923" s="48" t="s">
        <v>26</v>
      </c>
      <c r="N923" s="48" t="s">
        <v>20</v>
      </c>
      <c r="O923" s="48" t="s">
        <v>378</v>
      </c>
      <c r="P923" s="50">
        <v>4626403.66</v>
      </c>
      <c r="Q923" s="50">
        <v>1</v>
      </c>
      <c r="R923" s="50">
        <v>4626403.66</v>
      </c>
      <c r="S923" s="74">
        <v>45728</v>
      </c>
      <c r="T923" s="48" t="s">
        <v>311</v>
      </c>
      <c r="U923" s="48" t="s">
        <v>890</v>
      </c>
      <c r="V923" s="48" t="s">
        <v>378</v>
      </c>
      <c r="W923" s="48"/>
    </row>
    <row r="924" spans="1:23" ht="15.75" x14ac:dyDescent="0.25">
      <c r="A924" s="48" t="s">
        <v>672</v>
      </c>
      <c r="B924" s="49">
        <v>45725</v>
      </c>
      <c r="C924" s="48" t="s">
        <v>930</v>
      </c>
      <c r="D924" s="48" t="s">
        <v>1119</v>
      </c>
      <c r="E924" s="48" t="s">
        <v>856</v>
      </c>
      <c r="F924" s="48" t="s">
        <v>366</v>
      </c>
      <c r="G924" s="48" t="s">
        <v>367</v>
      </c>
      <c r="H924" s="48" t="s">
        <v>27</v>
      </c>
      <c r="I924" s="48" t="s">
        <v>469</v>
      </c>
      <c r="J924" s="48" t="s">
        <v>72</v>
      </c>
      <c r="K924" s="48" t="s">
        <v>367</v>
      </c>
      <c r="L924" s="48" t="s">
        <v>1136</v>
      </c>
      <c r="M924" s="48" t="s">
        <v>191</v>
      </c>
      <c r="N924" s="48" t="s">
        <v>20</v>
      </c>
      <c r="O924" s="48" t="s">
        <v>857</v>
      </c>
      <c r="P924" s="50">
        <v>412826.79</v>
      </c>
      <c r="Q924" s="50">
        <v>1.0261</v>
      </c>
      <c r="R924" s="50">
        <v>423601.569219</v>
      </c>
      <c r="S924" s="74">
        <v>45727</v>
      </c>
      <c r="T924" s="48" t="s">
        <v>208</v>
      </c>
      <c r="U924" s="48" t="s">
        <v>367</v>
      </c>
      <c r="V924" s="48" t="s">
        <v>857</v>
      </c>
      <c r="W924" s="48"/>
    </row>
    <row r="925" spans="1:23" ht="15.75" x14ac:dyDescent="0.25">
      <c r="A925" s="48" t="s">
        <v>672</v>
      </c>
      <c r="B925" s="49">
        <v>45725</v>
      </c>
      <c r="C925" s="48" t="s">
        <v>929</v>
      </c>
      <c r="D925" s="48" t="s">
        <v>1119</v>
      </c>
      <c r="E925" s="48" t="s">
        <v>856</v>
      </c>
      <c r="F925" s="48" t="s">
        <v>366</v>
      </c>
      <c r="G925" s="48" t="s">
        <v>367</v>
      </c>
      <c r="H925" s="48" t="s">
        <v>27</v>
      </c>
      <c r="I925" s="48" t="s">
        <v>469</v>
      </c>
      <c r="J925" s="48" t="s">
        <v>72</v>
      </c>
      <c r="K925" s="48" t="s">
        <v>367</v>
      </c>
      <c r="L925" s="48" t="s">
        <v>1136</v>
      </c>
      <c r="M925" s="48" t="s">
        <v>191</v>
      </c>
      <c r="N925" s="48" t="s">
        <v>20</v>
      </c>
      <c r="O925" s="48" t="s">
        <v>857</v>
      </c>
      <c r="P925" s="50">
        <v>184188.9</v>
      </c>
      <c r="Q925" s="50">
        <v>1.0261</v>
      </c>
      <c r="R925" s="50">
        <v>188996.23029000001</v>
      </c>
      <c r="S925" s="74">
        <v>45727</v>
      </c>
      <c r="T925" s="48" t="s">
        <v>208</v>
      </c>
      <c r="U925" s="48" t="s">
        <v>367</v>
      </c>
      <c r="V925" s="48" t="s">
        <v>857</v>
      </c>
      <c r="W925" s="48"/>
    </row>
    <row r="926" spans="1:23" ht="15.75" x14ac:dyDescent="0.25">
      <c r="A926" s="48" t="s">
        <v>672</v>
      </c>
      <c r="B926" s="49">
        <v>45725</v>
      </c>
      <c r="C926" s="48" t="s">
        <v>931</v>
      </c>
      <c r="D926" s="48" t="s">
        <v>1119</v>
      </c>
      <c r="E926" s="48" t="s">
        <v>856</v>
      </c>
      <c r="F926" s="48" t="s">
        <v>366</v>
      </c>
      <c r="G926" s="48" t="s">
        <v>367</v>
      </c>
      <c r="H926" s="48" t="s">
        <v>27</v>
      </c>
      <c r="I926" s="48" t="s">
        <v>469</v>
      </c>
      <c r="J926" s="48" t="s">
        <v>72</v>
      </c>
      <c r="K926" s="48" t="s">
        <v>367</v>
      </c>
      <c r="L926" s="48" t="s">
        <v>1136</v>
      </c>
      <c r="M926" s="48" t="s">
        <v>191</v>
      </c>
      <c r="N926" s="48" t="s">
        <v>20</v>
      </c>
      <c r="O926" s="48" t="s">
        <v>857</v>
      </c>
      <c r="P926" s="50">
        <v>206434.46</v>
      </c>
      <c r="Q926" s="50">
        <v>1.0261</v>
      </c>
      <c r="R926" s="50">
        <v>211822.39940599998</v>
      </c>
      <c r="S926" s="74">
        <v>45727</v>
      </c>
      <c r="T926" s="48" t="s">
        <v>208</v>
      </c>
      <c r="U926" s="48" t="s">
        <v>367</v>
      </c>
      <c r="V926" s="48" t="s">
        <v>857</v>
      </c>
      <c r="W926" s="48"/>
    </row>
    <row r="927" spans="1:23" ht="15.75" x14ac:dyDescent="0.25">
      <c r="A927" s="48" t="s">
        <v>672</v>
      </c>
      <c r="B927" s="49">
        <v>45725</v>
      </c>
      <c r="C927" s="48" t="s">
        <v>927</v>
      </c>
      <c r="D927" s="48" t="s">
        <v>1119</v>
      </c>
      <c r="E927" s="48" t="s">
        <v>856</v>
      </c>
      <c r="F927" s="48" t="s">
        <v>366</v>
      </c>
      <c r="G927" s="48" t="s">
        <v>367</v>
      </c>
      <c r="H927" s="48" t="s">
        <v>27</v>
      </c>
      <c r="I927" s="48" t="s">
        <v>469</v>
      </c>
      <c r="J927" s="48" t="s">
        <v>72</v>
      </c>
      <c r="K927" s="48" t="s">
        <v>367</v>
      </c>
      <c r="L927" s="48" t="s">
        <v>1136</v>
      </c>
      <c r="M927" s="48" t="s">
        <v>191</v>
      </c>
      <c r="N927" s="48" t="s">
        <v>20</v>
      </c>
      <c r="O927" s="48" t="s">
        <v>857</v>
      </c>
      <c r="P927" s="50">
        <v>213531.69</v>
      </c>
      <c r="Q927" s="50">
        <v>1.0261</v>
      </c>
      <c r="R927" s="50">
        <v>219104.86710900001</v>
      </c>
      <c r="S927" s="74">
        <v>45727</v>
      </c>
      <c r="T927" s="48" t="s">
        <v>208</v>
      </c>
      <c r="U927" s="48" t="s">
        <v>367</v>
      </c>
      <c r="V927" s="48" t="s">
        <v>857</v>
      </c>
      <c r="W927" s="48"/>
    </row>
    <row r="928" spans="1:23" ht="15.75" x14ac:dyDescent="0.25">
      <c r="A928" s="48" t="s">
        <v>524</v>
      </c>
      <c r="B928" s="49">
        <v>45650</v>
      </c>
      <c r="C928" s="48" t="s">
        <v>916</v>
      </c>
      <c r="D928" s="48" t="s">
        <v>441</v>
      </c>
      <c r="E928" s="48" t="s">
        <v>856</v>
      </c>
      <c r="F928" s="48" t="s">
        <v>21</v>
      </c>
      <c r="G928" s="48" t="s">
        <v>22</v>
      </c>
      <c r="H928" s="48" t="s">
        <v>27</v>
      </c>
      <c r="I928" s="48" t="s">
        <v>479</v>
      </c>
      <c r="J928" s="48" t="s">
        <v>24</v>
      </c>
      <c r="K928" s="48" t="s">
        <v>22</v>
      </c>
      <c r="L928" s="48" t="s">
        <v>1132</v>
      </c>
      <c r="M928" s="48" t="s">
        <v>26</v>
      </c>
      <c r="N928" s="48" t="s">
        <v>20</v>
      </c>
      <c r="O928" s="48" t="s">
        <v>857</v>
      </c>
      <c r="P928" s="50">
        <v>2500000</v>
      </c>
      <c r="Q928" s="50">
        <v>1</v>
      </c>
      <c r="R928" s="50">
        <v>2500000</v>
      </c>
      <c r="S928" s="74">
        <v>45727</v>
      </c>
      <c r="T928" s="48" t="s">
        <v>311</v>
      </c>
      <c r="U928" s="48" t="s">
        <v>22</v>
      </c>
      <c r="V928" s="48" t="s">
        <v>857</v>
      </c>
      <c r="W928" s="48"/>
    </row>
    <row r="929" spans="1:23" ht="15.75" x14ac:dyDescent="0.25">
      <c r="A929" s="48" t="s">
        <v>608</v>
      </c>
      <c r="B929" s="49">
        <v>45701</v>
      </c>
      <c r="C929" s="48" t="s">
        <v>928</v>
      </c>
      <c r="D929" s="48" t="s">
        <v>509</v>
      </c>
      <c r="E929" s="48" t="s">
        <v>856</v>
      </c>
      <c r="F929" s="48" t="s">
        <v>95</v>
      </c>
      <c r="G929" s="48" t="s">
        <v>96</v>
      </c>
      <c r="H929" s="48" t="s">
        <v>27</v>
      </c>
      <c r="I929" s="48" t="s">
        <v>609</v>
      </c>
      <c r="J929" s="48" t="s">
        <v>72</v>
      </c>
      <c r="K929" s="48" t="s">
        <v>304</v>
      </c>
      <c r="L929" s="48" t="s">
        <v>1133</v>
      </c>
      <c r="M929" s="48" t="s">
        <v>26</v>
      </c>
      <c r="N929" s="48" t="s">
        <v>20</v>
      </c>
      <c r="O929" s="48" t="s">
        <v>378</v>
      </c>
      <c r="P929" s="50">
        <v>2257542</v>
      </c>
      <c r="Q929" s="50">
        <v>1</v>
      </c>
      <c r="R929" s="50">
        <v>2257542</v>
      </c>
      <c r="S929" s="74">
        <v>45727</v>
      </c>
      <c r="T929" s="48" t="s">
        <v>305</v>
      </c>
      <c r="U929" s="48" t="s">
        <v>890</v>
      </c>
      <c r="V929" s="48" t="s">
        <v>378</v>
      </c>
      <c r="W929" s="48"/>
    </row>
    <row r="930" spans="1:23" ht="15.75" x14ac:dyDescent="0.25">
      <c r="A930" s="48" t="s">
        <v>608</v>
      </c>
      <c r="B930" s="49">
        <v>45698</v>
      </c>
      <c r="C930" s="48" t="s">
        <v>918</v>
      </c>
      <c r="D930" s="48" t="s">
        <v>509</v>
      </c>
      <c r="E930" s="48" t="s">
        <v>856</v>
      </c>
      <c r="F930" s="48" t="s">
        <v>95</v>
      </c>
      <c r="G930" s="48" t="s">
        <v>96</v>
      </c>
      <c r="H930" s="48" t="s">
        <v>27</v>
      </c>
      <c r="I930" s="48" t="s">
        <v>609</v>
      </c>
      <c r="J930" s="48" t="s">
        <v>72</v>
      </c>
      <c r="K930" s="48" t="s">
        <v>304</v>
      </c>
      <c r="L930" s="48" t="s">
        <v>1133</v>
      </c>
      <c r="M930" s="48" t="s">
        <v>26</v>
      </c>
      <c r="N930" s="48" t="s">
        <v>20</v>
      </c>
      <c r="O930" s="48" t="s">
        <v>378</v>
      </c>
      <c r="P930" s="50">
        <v>2367873</v>
      </c>
      <c r="Q930" s="50">
        <v>1</v>
      </c>
      <c r="R930" s="50">
        <v>2367873</v>
      </c>
      <c r="S930" s="74">
        <v>45727</v>
      </c>
      <c r="T930" s="48" t="s">
        <v>305</v>
      </c>
      <c r="U930" s="48" t="s">
        <v>899</v>
      </c>
      <c r="V930" s="48" t="s">
        <v>378</v>
      </c>
      <c r="W930" s="48"/>
    </row>
    <row r="931" spans="1:23" ht="15.75" x14ac:dyDescent="0.25">
      <c r="A931" s="48" t="s">
        <v>506</v>
      </c>
      <c r="B931" s="49">
        <v>45687</v>
      </c>
      <c r="C931" s="48" t="s">
        <v>916</v>
      </c>
      <c r="D931" s="48" t="s">
        <v>509</v>
      </c>
      <c r="E931" s="48" t="s">
        <v>858</v>
      </c>
      <c r="F931" s="48" t="s">
        <v>373</v>
      </c>
      <c r="G931" s="48" t="s">
        <v>483</v>
      </c>
      <c r="H931" s="48" t="s">
        <v>27</v>
      </c>
      <c r="I931" s="48" t="s">
        <v>507</v>
      </c>
      <c r="J931" s="48" t="s">
        <v>72</v>
      </c>
      <c r="K931" s="48" t="s">
        <v>407</v>
      </c>
      <c r="L931" s="48" t="s">
        <v>1131</v>
      </c>
      <c r="M931" s="48" t="s">
        <v>26</v>
      </c>
      <c r="N931" s="48" t="s">
        <v>20</v>
      </c>
      <c r="O931" s="48" t="s">
        <v>857</v>
      </c>
      <c r="P931" s="50">
        <v>4314108.34</v>
      </c>
      <c r="Q931" s="50">
        <v>1</v>
      </c>
      <c r="R931" s="50">
        <v>4314108.34</v>
      </c>
      <c r="S931" s="74">
        <v>45725</v>
      </c>
      <c r="T931" s="48" t="s">
        <v>425</v>
      </c>
      <c r="U931" s="48" t="s">
        <v>304</v>
      </c>
      <c r="V931" s="48" t="s">
        <v>378</v>
      </c>
      <c r="W931" s="48"/>
    </row>
    <row r="932" spans="1:23" ht="15.75" x14ac:dyDescent="0.25">
      <c r="A932" s="48" t="s">
        <v>471</v>
      </c>
      <c r="B932" s="49">
        <v>45672</v>
      </c>
      <c r="C932" s="48" t="s">
        <v>916</v>
      </c>
      <c r="D932" s="48" t="s">
        <v>509</v>
      </c>
      <c r="E932" s="48" t="s">
        <v>858</v>
      </c>
      <c r="F932" s="48" t="s">
        <v>373</v>
      </c>
      <c r="G932" s="48" t="s">
        <v>63</v>
      </c>
      <c r="H932" s="48" t="s">
        <v>27</v>
      </c>
      <c r="I932" s="48" t="s">
        <v>155</v>
      </c>
      <c r="J932" s="48" t="s">
        <v>24</v>
      </c>
      <c r="K932" s="48" t="s">
        <v>407</v>
      </c>
      <c r="L932" s="48" t="s">
        <v>1131</v>
      </c>
      <c r="M932" s="48" t="s">
        <v>26</v>
      </c>
      <c r="N932" s="48" t="s">
        <v>20</v>
      </c>
      <c r="O932" s="48" t="s">
        <v>857</v>
      </c>
      <c r="P932" s="50">
        <v>2154117.0299999998</v>
      </c>
      <c r="Q932" s="50">
        <v>1</v>
      </c>
      <c r="R932" s="50">
        <v>2154117.0299999998</v>
      </c>
      <c r="S932" s="74">
        <v>45722</v>
      </c>
      <c r="T932" s="48" t="s">
        <v>311</v>
      </c>
      <c r="U932" s="48" t="s">
        <v>304</v>
      </c>
      <c r="V932" s="48" t="s">
        <v>378</v>
      </c>
      <c r="W932" s="48"/>
    </row>
    <row r="933" spans="1:23" ht="15.75" x14ac:dyDescent="0.25">
      <c r="A933" s="48" t="s">
        <v>529</v>
      </c>
      <c r="B933" s="49">
        <v>45664</v>
      </c>
      <c r="C933" s="48" t="s">
        <v>916</v>
      </c>
      <c r="D933" s="48" t="s">
        <v>441</v>
      </c>
      <c r="E933" s="48" t="s">
        <v>856</v>
      </c>
      <c r="F933" s="48" t="s">
        <v>21</v>
      </c>
      <c r="G933" s="48" t="s">
        <v>22</v>
      </c>
      <c r="H933" s="48" t="s">
        <v>27</v>
      </c>
      <c r="I933" s="48" t="s">
        <v>530</v>
      </c>
      <c r="J933" s="48" t="s">
        <v>24</v>
      </c>
      <c r="K933" s="48" t="s">
        <v>22</v>
      </c>
      <c r="L933" s="48" t="s">
        <v>1132</v>
      </c>
      <c r="M933" s="48" t="s">
        <v>26</v>
      </c>
      <c r="N933" s="48" t="s">
        <v>20</v>
      </c>
      <c r="O933" s="48" t="s">
        <v>857</v>
      </c>
      <c r="P933" s="50">
        <v>359810.57</v>
      </c>
      <c r="Q933" s="50">
        <v>1</v>
      </c>
      <c r="R933" s="50">
        <v>359810.57</v>
      </c>
      <c r="S933" s="74">
        <v>45722</v>
      </c>
      <c r="T933" s="48" t="s">
        <v>311</v>
      </c>
      <c r="U933" s="48" t="s">
        <v>22</v>
      </c>
      <c r="V933" s="48" t="s">
        <v>857</v>
      </c>
      <c r="W933" s="48"/>
    </row>
    <row r="934" spans="1:23" ht="15.75" x14ac:dyDescent="0.25">
      <c r="A934" s="48" t="s">
        <v>426</v>
      </c>
      <c r="B934" s="49">
        <v>45685</v>
      </c>
      <c r="C934" s="48" t="s">
        <v>918</v>
      </c>
      <c r="D934" s="48" t="s">
        <v>441</v>
      </c>
      <c r="E934" s="48" t="s">
        <v>856</v>
      </c>
      <c r="F934" s="48" t="s">
        <v>95</v>
      </c>
      <c r="G934" s="48" t="s">
        <v>96</v>
      </c>
      <c r="H934" s="48" t="s">
        <v>27</v>
      </c>
      <c r="I934" s="48" t="s">
        <v>427</v>
      </c>
      <c r="J934" s="48" t="s">
        <v>24</v>
      </c>
      <c r="K934" s="48" t="s">
        <v>22</v>
      </c>
      <c r="L934" s="48" t="s">
        <v>1132</v>
      </c>
      <c r="M934" s="48" t="s">
        <v>26</v>
      </c>
      <c r="N934" s="48" t="s">
        <v>20</v>
      </c>
      <c r="O934" s="48" t="s">
        <v>378</v>
      </c>
      <c r="P934" s="50">
        <v>34499.910000000003</v>
      </c>
      <c r="Q934" s="50">
        <v>1</v>
      </c>
      <c r="R934" s="50">
        <v>34499.910000000003</v>
      </c>
      <c r="S934" s="74">
        <v>45721</v>
      </c>
      <c r="T934" s="48" t="s">
        <v>311</v>
      </c>
      <c r="U934" s="48" t="s">
        <v>884</v>
      </c>
      <c r="V934" s="48" t="s">
        <v>378</v>
      </c>
      <c r="W934" s="48"/>
    </row>
    <row r="935" spans="1:23" ht="15.75" x14ac:dyDescent="0.25">
      <c r="A935" s="48" t="s">
        <v>440</v>
      </c>
      <c r="B935" s="49">
        <v>45683</v>
      </c>
      <c r="C935" s="48" t="s">
        <v>924</v>
      </c>
      <c r="D935" s="48" t="s">
        <v>441</v>
      </c>
      <c r="E935" s="48" t="s">
        <v>856</v>
      </c>
      <c r="F935" s="48" t="s">
        <v>95</v>
      </c>
      <c r="G935" s="48" t="s">
        <v>96</v>
      </c>
      <c r="H935" s="48" t="s">
        <v>27</v>
      </c>
      <c r="I935" s="48" t="s">
        <v>442</v>
      </c>
      <c r="J935" s="48" t="s">
        <v>24</v>
      </c>
      <c r="K935" s="48" t="s">
        <v>22</v>
      </c>
      <c r="L935" s="48" t="s">
        <v>1132</v>
      </c>
      <c r="M935" s="48" t="s">
        <v>26</v>
      </c>
      <c r="N935" s="48" t="s">
        <v>20</v>
      </c>
      <c r="O935" s="48" t="s">
        <v>378</v>
      </c>
      <c r="P935" s="50">
        <v>182832.65</v>
      </c>
      <c r="Q935" s="50">
        <v>1</v>
      </c>
      <c r="R935" s="50">
        <v>182832.65</v>
      </c>
      <c r="S935" s="74">
        <v>45721</v>
      </c>
      <c r="T935" s="48" t="s">
        <v>311</v>
      </c>
      <c r="U935" s="48" t="s">
        <v>884</v>
      </c>
      <c r="V935" s="48" t="s">
        <v>378</v>
      </c>
      <c r="W935" s="48"/>
    </row>
    <row r="936" spans="1:23" ht="15.75" x14ac:dyDescent="0.25">
      <c r="A936" s="48" t="s">
        <v>493</v>
      </c>
      <c r="B936" s="49">
        <v>45705</v>
      </c>
      <c r="C936" s="48" t="s">
        <v>916</v>
      </c>
      <c r="D936" s="48" t="s">
        <v>509</v>
      </c>
      <c r="E936" s="48" t="s">
        <v>858</v>
      </c>
      <c r="F936" s="48" t="s">
        <v>21</v>
      </c>
      <c r="G936" s="48" t="s">
        <v>22</v>
      </c>
      <c r="H936" s="48" t="s">
        <v>27</v>
      </c>
      <c r="I936" s="48" t="s">
        <v>494</v>
      </c>
      <c r="J936" s="48" t="s">
        <v>72</v>
      </c>
      <c r="K936" s="48" t="s">
        <v>487</v>
      </c>
      <c r="L936" s="48" t="s">
        <v>1140</v>
      </c>
      <c r="M936" s="48" t="s">
        <v>26</v>
      </c>
      <c r="N936" s="48" t="s">
        <v>20</v>
      </c>
      <c r="O936" s="48" t="s">
        <v>857</v>
      </c>
      <c r="P936" s="50">
        <v>363515</v>
      </c>
      <c r="Q936" s="50">
        <v>1</v>
      </c>
      <c r="R936" s="50">
        <v>363515</v>
      </c>
      <c r="S936" s="74">
        <v>45721</v>
      </c>
      <c r="T936" s="48" t="s">
        <v>305</v>
      </c>
      <c r="U936" s="48" t="s">
        <v>885</v>
      </c>
      <c r="V936" s="48" t="s">
        <v>378</v>
      </c>
      <c r="W936" s="48"/>
    </row>
    <row r="937" spans="1:23" ht="15.75" x14ac:dyDescent="0.25">
      <c r="A937" s="48" t="s">
        <v>420</v>
      </c>
      <c r="B937" s="49">
        <v>45658</v>
      </c>
      <c r="C937" s="48" t="s">
        <v>924</v>
      </c>
      <c r="D937" s="48" t="s">
        <v>1181</v>
      </c>
      <c r="E937" s="48" t="s">
        <v>856</v>
      </c>
      <c r="F937" s="48" t="s">
        <v>95</v>
      </c>
      <c r="G937" s="48" t="s">
        <v>96</v>
      </c>
      <c r="H937" s="48" t="s">
        <v>27</v>
      </c>
      <c r="I937" s="48" t="s">
        <v>39</v>
      </c>
      <c r="J937" s="48" t="s">
        <v>80</v>
      </c>
      <c r="K937" s="48" t="s">
        <v>81</v>
      </c>
      <c r="L937" s="48" t="s">
        <v>1139</v>
      </c>
      <c r="M937" s="48" t="s">
        <v>26</v>
      </c>
      <c r="N937" s="48" t="s">
        <v>20</v>
      </c>
      <c r="O937" s="48" t="s">
        <v>378</v>
      </c>
      <c r="P937" s="50">
        <v>212095.59</v>
      </c>
      <c r="Q937" s="50">
        <v>1</v>
      </c>
      <c r="R937" s="50">
        <v>212095.59</v>
      </c>
      <c r="S937" s="74">
        <v>45721</v>
      </c>
      <c r="T937" s="48" t="s">
        <v>408</v>
      </c>
      <c r="U937" s="48" t="s">
        <v>884</v>
      </c>
      <c r="V937" s="48" t="s">
        <v>857</v>
      </c>
      <c r="W937" s="48"/>
    </row>
    <row r="938" spans="1:23" ht="15.75" x14ac:dyDescent="0.25">
      <c r="A938" s="48" t="s">
        <v>432</v>
      </c>
      <c r="B938" s="49">
        <v>45642</v>
      </c>
      <c r="C938" s="48" t="s">
        <v>916</v>
      </c>
      <c r="D938" s="48" t="s">
        <v>441</v>
      </c>
      <c r="E938" s="48" t="s">
        <v>856</v>
      </c>
      <c r="F938" s="48" t="s">
        <v>95</v>
      </c>
      <c r="G938" s="48" t="s">
        <v>96</v>
      </c>
      <c r="H938" s="48" t="s">
        <v>27</v>
      </c>
      <c r="I938" s="48" t="s">
        <v>433</v>
      </c>
      <c r="J938" s="48" t="s">
        <v>24</v>
      </c>
      <c r="K938" s="48" t="s">
        <v>22</v>
      </c>
      <c r="L938" s="48" t="s">
        <v>1132</v>
      </c>
      <c r="M938" s="48" t="s">
        <v>26</v>
      </c>
      <c r="N938" s="48" t="s">
        <v>20</v>
      </c>
      <c r="O938" s="48" t="s">
        <v>378</v>
      </c>
      <c r="P938" s="50">
        <v>800000</v>
      </c>
      <c r="Q938" s="50">
        <v>1</v>
      </c>
      <c r="R938" s="50">
        <v>800000</v>
      </c>
      <c r="S938" s="74">
        <v>45721</v>
      </c>
      <c r="T938" s="48" t="s">
        <v>311</v>
      </c>
      <c r="U938" s="48" t="s">
        <v>884</v>
      </c>
      <c r="V938" s="48" t="s">
        <v>378</v>
      </c>
      <c r="W938" s="48"/>
    </row>
    <row r="939" spans="1:23" ht="15.75" x14ac:dyDescent="0.25">
      <c r="A939" s="48" t="s">
        <v>306</v>
      </c>
      <c r="B939" s="49">
        <v>45698</v>
      </c>
      <c r="C939" s="48" t="s">
        <v>932</v>
      </c>
      <c r="D939" s="48" t="s">
        <v>1118</v>
      </c>
      <c r="E939" s="48" t="s">
        <v>858</v>
      </c>
      <c r="F939" s="48" t="s">
        <v>62</v>
      </c>
      <c r="G939" s="48" t="s">
        <v>70</v>
      </c>
      <c r="H939" s="48" t="s">
        <v>70</v>
      </c>
      <c r="I939" s="48" t="s">
        <v>307</v>
      </c>
      <c r="J939" s="48" t="s">
        <v>72</v>
      </c>
      <c r="K939" s="48" t="s">
        <v>213</v>
      </c>
      <c r="L939" s="48" t="s">
        <v>1134</v>
      </c>
      <c r="M939" s="48" t="s">
        <v>67</v>
      </c>
      <c r="N939" s="48" t="s">
        <v>20</v>
      </c>
      <c r="O939" s="48" t="s">
        <v>857</v>
      </c>
      <c r="P939" s="50">
        <v>69795.19</v>
      </c>
      <c r="Q939" s="50">
        <v>4.5700901448959899</v>
      </c>
      <c r="R939" s="50">
        <v>318970.30998014315</v>
      </c>
      <c r="S939" s="74">
        <v>45721</v>
      </c>
      <c r="T939" s="48" t="s">
        <v>308</v>
      </c>
      <c r="U939" s="48" t="s">
        <v>213</v>
      </c>
      <c r="V939" s="48" t="s">
        <v>857</v>
      </c>
      <c r="W939" s="48"/>
    </row>
    <row r="940" spans="1:23" ht="15.75" x14ac:dyDescent="0.25">
      <c r="A940" s="48" t="s">
        <v>518</v>
      </c>
      <c r="B940" s="49">
        <v>45638</v>
      </c>
      <c r="C940" s="48" t="s">
        <v>916</v>
      </c>
      <c r="D940" s="48" t="s">
        <v>441</v>
      </c>
      <c r="E940" s="48" t="s">
        <v>858</v>
      </c>
      <c r="F940" s="48" t="s">
        <v>21</v>
      </c>
      <c r="G940" s="48" t="s">
        <v>22</v>
      </c>
      <c r="H940" s="48" t="s">
        <v>27</v>
      </c>
      <c r="I940" s="48" t="s">
        <v>519</v>
      </c>
      <c r="J940" s="48" t="s">
        <v>24</v>
      </c>
      <c r="K940" s="48" t="s">
        <v>22</v>
      </c>
      <c r="L940" s="48" t="s">
        <v>1132</v>
      </c>
      <c r="M940" s="48" t="s">
        <v>26</v>
      </c>
      <c r="N940" s="48" t="s">
        <v>20</v>
      </c>
      <c r="O940" s="48" t="s">
        <v>857</v>
      </c>
      <c r="P940" s="50">
        <v>1000000</v>
      </c>
      <c r="Q940" s="50">
        <v>1</v>
      </c>
      <c r="R940" s="50">
        <v>1000000</v>
      </c>
      <c r="S940" s="74">
        <v>45721</v>
      </c>
      <c r="T940" s="48" t="s">
        <v>311</v>
      </c>
      <c r="U940" s="48" t="s">
        <v>885</v>
      </c>
      <c r="V940" s="48" t="s">
        <v>378</v>
      </c>
      <c r="W940" s="48"/>
    </row>
    <row r="941" spans="1:23" ht="15.75" x14ac:dyDescent="0.25">
      <c r="A941" s="48" t="s">
        <v>672</v>
      </c>
      <c r="B941" s="49">
        <v>45718</v>
      </c>
      <c r="C941" s="48" t="s">
        <v>922</v>
      </c>
      <c r="D941" s="48" t="s">
        <v>1119</v>
      </c>
      <c r="E941" s="48" t="s">
        <v>856</v>
      </c>
      <c r="F941" s="48" t="s">
        <v>366</v>
      </c>
      <c r="G941" s="48" t="s">
        <v>367</v>
      </c>
      <c r="H941" s="48" t="s">
        <v>27</v>
      </c>
      <c r="I941" s="48" t="s">
        <v>469</v>
      </c>
      <c r="J941" s="48" t="s">
        <v>72</v>
      </c>
      <c r="K941" s="48" t="s">
        <v>367</v>
      </c>
      <c r="L941" s="48" t="s">
        <v>1136</v>
      </c>
      <c r="M941" s="48" t="s">
        <v>191</v>
      </c>
      <c r="N941" s="48" t="s">
        <v>20</v>
      </c>
      <c r="O941" s="48" t="s">
        <v>857</v>
      </c>
      <c r="P941" s="50">
        <v>539791.30000000005</v>
      </c>
      <c r="Q941" s="50">
        <v>1.026</v>
      </c>
      <c r="R941" s="50">
        <v>553825.87380000006</v>
      </c>
      <c r="S941" s="74">
        <v>45720</v>
      </c>
      <c r="T941" s="48" t="s">
        <v>208</v>
      </c>
      <c r="U941" s="48" t="s">
        <v>367</v>
      </c>
      <c r="V941" s="48" t="s">
        <v>857</v>
      </c>
      <c r="W941" s="48"/>
    </row>
    <row r="942" spans="1:23" ht="15.75" x14ac:dyDescent="0.25">
      <c r="A942" s="48" t="s">
        <v>672</v>
      </c>
      <c r="B942" s="49">
        <v>45715</v>
      </c>
      <c r="C942" s="48" t="s">
        <v>928</v>
      </c>
      <c r="D942" s="48" t="s">
        <v>1119</v>
      </c>
      <c r="E942" s="48" t="s">
        <v>856</v>
      </c>
      <c r="F942" s="48" t="s">
        <v>366</v>
      </c>
      <c r="G942" s="48" t="s">
        <v>367</v>
      </c>
      <c r="H942" s="48" t="s">
        <v>27</v>
      </c>
      <c r="I942" s="48" t="s">
        <v>469</v>
      </c>
      <c r="J942" s="48" t="s">
        <v>72</v>
      </c>
      <c r="K942" s="48" t="s">
        <v>367</v>
      </c>
      <c r="L942" s="48" t="s">
        <v>1136</v>
      </c>
      <c r="M942" s="48" t="s">
        <v>191</v>
      </c>
      <c r="N942" s="48" t="s">
        <v>20</v>
      </c>
      <c r="O942" s="48" t="s">
        <v>857</v>
      </c>
      <c r="P942" s="50">
        <v>457458.56</v>
      </c>
      <c r="Q942" s="50">
        <v>1.0261</v>
      </c>
      <c r="R942" s="50">
        <v>469398.22841600003</v>
      </c>
      <c r="S942" s="74">
        <v>45720</v>
      </c>
      <c r="T942" s="48" t="s">
        <v>208</v>
      </c>
      <c r="U942" s="48" t="s">
        <v>367</v>
      </c>
      <c r="V942" s="48" t="s">
        <v>857</v>
      </c>
      <c r="W942" s="48"/>
    </row>
    <row r="943" spans="1:23" ht="15.75" x14ac:dyDescent="0.25">
      <c r="A943" s="48" t="s">
        <v>472</v>
      </c>
      <c r="B943" s="49">
        <v>45636</v>
      </c>
      <c r="C943" s="48" t="s">
        <v>916</v>
      </c>
      <c r="D943" s="48" t="s">
        <v>509</v>
      </c>
      <c r="E943" s="48" t="s">
        <v>856</v>
      </c>
      <c r="F943" s="48" t="s">
        <v>21</v>
      </c>
      <c r="G943" s="48" t="s">
        <v>22</v>
      </c>
      <c r="H943" s="48" t="s">
        <v>27</v>
      </c>
      <c r="I943" s="48" t="s">
        <v>473</v>
      </c>
      <c r="J943" s="48" t="s">
        <v>24</v>
      </c>
      <c r="K943" s="48" t="s">
        <v>407</v>
      </c>
      <c r="L943" s="48" t="s">
        <v>1131</v>
      </c>
      <c r="M943" s="48" t="s">
        <v>26</v>
      </c>
      <c r="N943" s="48" t="s">
        <v>20</v>
      </c>
      <c r="O943" s="48" t="s">
        <v>857</v>
      </c>
      <c r="P943" s="50">
        <v>500000</v>
      </c>
      <c r="Q943" s="50">
        <v>1</v>
      </c>
      <c r="R943" s="50">
        <v>500000</v>
      </c>
      <c r="S943" s="74">
        <v>45720</v>
      </c>
      <c r="T943" s="48" t="s">
        <v>311</v>
      </c>
      <c r="U943" s="48" t="s">
        <v>885</v>
      </c>
      <c r="V943" s="48" t="s">
        <v>378</v>
      </c>
      <c r="W943" s="48"/>
    </row>
    <row r="944" spans="1:23" ht="15.75" x14ac:dyDescent="0.25">
      <c r="A944" s="48" t="s">
        <v>672</v>
      </c>
      <c r="B944" s="49">
        <v>45715</v>
      </c>
      <c r="C944" s="48" t="s">
        <v>933</v>
      </c>
      <c r="D944" s="48" t="s">
        <v>1119</v>
      </c>
      <c r="E944" s="48" t="s">
        <v>856</v>
      </c>
      <c r="F944" s="48" t="s">
        <v>366</v>
      </c>
      <c r="G944" s="48" t="s">
        <v>367</v>
      </c>
      <c r="H944" s="48" t="s">
        <v>27</v>
      </c>
      <c r="I944" s="48" t="s">
        <v>469</v>
      </c>
      <c r="J944" s="48" t="s">
        <v>72</v>
      </c>
      <c r="K944" s="48" t="s">
        <v>367</v>
      </c>
      <c r="L944" s="48" t="s">
        <v>1136</v>
      </c>
      <c r="M944" s="48" t="s">
        <v>191</v>
      </c>
      <c r="N944" s="48" t="s">
        <v>20</v>
      </c>
      <c r="O944" s="48" t="s">
        <v>857</v>
      </c>
      <c r="P944" s="50">
        <v>463687.32</v>
      </c>
      <c r="Q944" s="50">
        <v>1.026</v>
      </c>
      <c r="R944" s="50">
        <v>475743.19031999999</v>
      </c>
      <c r="S944" s="74">
        <v>45720</v>
      </c>
      <c r="T944" s="48" t="s">
        <v>208</v>
      </c>
      <c r="U944" s="48" t="s">
        <v>367</v>
      </c>
      <c r="V944" s="48" t="s">
        <v>857</v>
      </c>
      <c r="W944" s="48"/>
    </row>
    <row r="945" spans="1:23" ht="15.75" x14ac:dyDescent="0.25">
      <c r="A945" s="48" t="s">
        <v>672</v>
      </c>
      <c r="B945" s="49">
        <v>45714</v>
      </c>
      <c r="C945" s="48" t="s">
        <v>924</v>
      </c>
      <c r="D945" s="48" t="s">
        <v>1119</v>
      </c>
      <c r="E945" s="48" t="s">
        <v>856</v>
      </c>
      <c r="F945" s="48" t="s">
        <v>366</v>
      </c>
      <c r="G945" s="48" t="s">
        <v>367</v>
      </c>
      <c r="H945" s="48" t="s">
        <v>27</v>
      </c>
      <c r="I945" s="48" t="s">
        <v>469</v>
      </c>
      <c r="J945" s="48" t="s">
        <v>72</v>
      </c>
      <c r="K945" s="48" t="s">
        <v>367</v>
      </c>
      <c r="L945" s="48" t="s">
        <v>1136</v>
      </c>
      <c r="M945" s="48" t="s">
        <v>191</v>
      </c>
      <c r="N945" s="48" t="s">
        <v>20</v>
      </c>
      <c r="O945" s="48" t="s">
        <v>857</v>
      </c>
      <c r="P945" s="50">
        <v>408647.06</v>
      </c>
      <c r="Q945" s="50">
        <v>1.026</v>
      </c>
      <c r="R945" s="50">
        <v>419271.88355999999</v>
      </c>
      <c r="S945" s="74">
        <v>45719</v>
      </c>
      <c r="T945" s="48" t="s">
        <v>208</v>
      </c>
      <c r="U945" s="48" t="s">
        <v>367</v>
      </c>
      <c r="V945" s="48" t="s">
        <v>857</v>
      </c>
      <c r="W945" s="48"/>
    </row>
    <row r="946" spans="1:23" ht="15.75" x14ac:dyDescent="0.25">
      <c r="A946" s="48" t="s">
        <v>365</v>
      </c>
      <c r="B946" s="49">
        <v>45706</v>
      </c>
      <c r="C946" s="48" t="s">
        <v>934</v>
      </c>
      <c r="D946" s="48" t="s">
        <v>1119</v>
      </c>
      <c r="E946" s="48" t="s">
        <v>856</v>
      </c>
      <c r="F946" s="48" t="s">
        <v>366</v>
      </c>
      <c r="G946" s="48" t="s">
        <v>367</v>
      </c>
      <c r="H946" s="48" t="s">
        <v>27</v>
      </c>
      <c r="I946" s="48" t="s">
        <v>368</v>
      </c>
      <c r="J946" s="48" t="s">
        <v>72</v>
      </c>
      <c r="K946" s="48" t="s">
        <v>367</v>
      </c>
      <c r="L946" s="48" t="s">
        <v>1136</v>
      </c>
      <c r="M946" s="48" t="s">
        <v>26</v>
      </c>
      <c r="N946" s="48" t="s">
        <v>20</v>
      </c>
      <c r="O946" s="48" t="s">
        <v>857</v>
      </c>
      <c r="P946" s="50">
        <v>57913989.060000002</v>
      </c>
      <c r="Q946" s="50">
        <v>1</v>
      </c>
      <c r="R946" s="50">
        <v>57913989.060000002</v>
      </c>
      <c r="S946" s="74">
        <v>45718</v>
      </c>
      <c r="T946" s="48" t="s">
        <v>369</v>
      </c>
      <c r="U946" s="48" t="s">
        <v>367</v>
      </c>
      <c r="V946" s="48" t="s">
        <v>857</v>
      </c>
      <c r="W946" s="48"/>
    </row>
    <row r="947" spans="1:23" ht="15.75" x14ac:dyDescent="0.25">
      <c r="A947" s="48" t="s">
        <v>672</v>
      </c>
      <c r="B947" s="49">
        <v>45713</v>
      </c>
      <c r="C947" s="48" t="s">
        <v>918</v>
      </c>
      <c r="D947" s="48" t="s">
        <v>1119</v>
      </c>
      <c r="E947" s="48" t="s">
        <v>856</v>
      </c>
      <c r="F947" s="48" t="s">
        <v>366</v>
      </c>
      <c r="G947" s="48" t="s">
        <v>367</v>
      </c>
      <c r="H947" s="48" t="s">
        <v>27</v>
      </c>
      <c r="I947" s="48" t="s">
        <v>469</v>
      </c>
      <c r="J947" s="48" t="s">
        <v>72</v>
      </c>
      <c r="K947" s="48" t="s">
        <v>367</v>
      </c>
      <c r="L947" s="48" t="s">
        <v>1136</v>
      </c>
      <c r="M947" s="48" t="s">
        <v>191</v>
      </c>
      <c r="N947" s="48" t="s">
        <v>20</v>
      </c>
      <c r="O947" s="48" t="s">
        <v>857</v>
      </c>
      <c r="P947" s="50">
        <v>493975.53</v>
      </c>
      <c r="Q947" s="50">
        <v>1.03</v>
      </c>
      <c r="R947" s="50">
        <v>508794.79590000003</v>
      </c>
      <c r="S947" s="74">
        <v>45715</v>
      </c>
      <c r="T947" s="48" t="s">
        <v>208</v>
      </c>
      <c r="U947" s="48" t="s">
        <v>367</v>
      </c>
      <c r="V947" s="48" t="s">
        <v>857</v>
      </c>
      <c r="W947" s="48"/>
    </row>
    <row r="948" spans="1:23" ht="15.75" x14ac:dyDescent="0.25">
      <c r="A948" s="48" t="s">
        <v>608</v>
      </c>
      <c r="B948" s="49">
        <v>45683</v>
      </c>
      <c r="C948" s="48" t="s">
        <v>916</v>
      </c>
      <c r="D948" s="48" t="s">
        <v>509</v>
      </c>
      <c r="E948" s="48" t="s">
        <v>856</v>
      </c>
      <c r="F948" s="48" t="s">
        <v>95</v>
      </c>
      <c r="G948" s="48" t="s">
        <v>96</v>
      </c>
      <c r="H948" s="48" t="s">
        <v>27</v>
      </c>
      <c r="I948" s="48" t="s">
        <v>609</v>
      </c>
      <c r="J948" s="48" t="s">
        <v>72</v>
      </c>
      <c r="K948" s="48" t="s">
        <v>304</v>
      </c>
      <c r="L948" s="48" t="s">
        <v>1133</v>
      </c>
      <c r="M948" s="48" t="s">
        <v>26</v>
      </c>
      <c r="N948" s="48" t="s">
        <v>20</v>
      </c>
      <c r="O948" s="48" t="s">
        <v>378</v>
      </c>
      <c r="P948" s="50">
        <v>4837590</v>
      </c>
      <c r="Q948" s="50">
        <v>1</v>
      </c>
      <c r="R948" s="50">
        <v>4837590</v>
      </c>
      <c r="S948" s="74">
        <v>45714</v>
      </c>
      <c r="T948" s="48" t="s">
        <v>305</v>
      </c>
      <c r="U948" s="48" t="s">
        <v>885</v>
      </c>
      <c r="V948" s="48" t="s">
        <v>378</v>
      </c>
      <c r="W948" s="48"/>
    </row>
    <row r="949" spans="1:23" ht="15.75" x14ac:dyDescent="0.25">
      <c r="A949" s="48" t="s">
        <v>531</v>
      </c>
      <c r="B949" s="49">
        <v>45706</v>
      </c>
      <c r="C949" s="48" t="s">
        <v>933</v>
      </c>
      <c r="D949" s="48" t="s">
        <v>509</v>
      </c>
      <c r="E949" s="48" t="s">
        <v>858</v>
      </c>
      <c r="F949" s="48" t="s">
        <v>373</v>
      </c>
      <c r="G949" s="48" t="s">
        <v>483</v>
      </c>
      <c r="H949" s="48" t="s">
        <v>27</v>
      </c>
      <c r="I949" s="48" t="s">
        <v>532</v>
      </c>
      <c r="J949" s="48" t="s">
        <v>72</v>
      </c>
      <c r="K949" s="48" t="s">
        <v>304</v>
      </c>
      <c r="L949" s="48" t="s">
        <v>1133</v>
      </c>
      <c r="M949" s="48" t="s">
        <v>26</v>
      </c>
      <c r="N949" s="48" t="s">
        <v>20</v>
      </c>
      <c r="O949" s="48" t="s">
        <v>857</v>
      </c>
      <c r="P949" s="50">
        <v>1180038</v>
      </c>
      <c r="Q949" s="50">
        <v>1</v>
      </c>
      <c r="R949" s="50">
        <v>1180038</v>
      </c>
      <c r="S949" s="74">
        <v>45714</v>
      </c>
      <c r="T949" s="48" t="s">
        <v>461</v>
      </c>
      <c r="U949" s="48" t="s">
        <v>304</v>
      </c>
      <c r="V949" s="48" t="s">
        <v>857</v>
      </c>
      <c r="W949" s="48" t="s">
        <v>903</v>
      </c>
    </row>
    <row r="950" spans="1:23" ht="15.75" x14ac:dyDescent="0.25">
      <c r="A950" s="48" t="s">
        <v>531</v>
      </c>
      <c r="B950" s="49">
        <v>45706</v>
      </c>
      <c r="C950" s="48" t="s">
        <v>928</v>
      </c>
      <c r="D950" s="48" t="s">
        <v>509</v>
      </c>
      <c r="E950" s="48" t="s">
        <v>858</v>
      </c>
      <c r="F950" s="48" t="s">
        <v>373</v>
      </c>
      <c r="G950" s="48" t="s">
        <v>483</v>
      </c>
      <c r="H950" s="48" t="s">
        <v>27</v>
      </c>
      <c r="I950" s="48" t="s">
        <v>532</v>
      </c>
      <c r="J950" s="48" t="s">
        <v>72</v>
      </c>
      <c r="K950" s="48" t="s">
        <v>304</v>
      </c>
      <c r="L950" s="48" t="s">
        <v>1133</v>
      </c>
      <c r="M950" s="48" t="s">
        <v>26</v>
      </c>
      <c r="N950" s="48" t="s">
        <v>20</v>
      </c>
      <c r="O950" s="48" t="s">
        <v>857</v>
      </c>
      <c r="P950" s="50">
        <v>3411670.5</v>
      </c>
      <c r="Q950" s="50">
        <v>1</v>
      </c>
      <c r="R950" s="50">
        <v>3411670.5</v>
      </c>
      <c r="S950" s="74">
        <v>45714</v>
      </c>
      <c r="T950" s="48" t="s">
        <v>461</v>
      </c>
      <c r="U950" s="48" t="s">
        <v>304</v>
      </c>
      <c r="V950" s="48" t="s">
        <v>857</v>
      </c>
      <c r="W950" s="48" t="s">
        <v>903</v>
      </c>
    </row>
    <row r="951" spans="1:23" ht="15.75" x14ac:dyDescent="0.25">
      <c r="A951" s="48" t="s">
        <v>306</v>
      </c>
      <c r="B951" s="49">
        <v>45698</v>
      </c>
      <c r="C951" s="48" t="s">
        <v>935</v>
      </c>
      <c r="D951" s="48" t="s">
        <v>1118</v>
      </c>
      <c r="E951" s="48" t="s">
        <v>858</v>
      </c>
      <c r="F951" s="48" t="s">
        <v>62</v>
      </c>
      <c r="G951" s="48" t="s">
        <v>70</v>
      </c>
      <c r="H951" s="48" t="s">
        <v>70</v>
      </c>
      <c r="I951" s="48" t="s">
        <v>307</v>
      </c>
      <c r="J951" s="48" t="s">
        <v>72</v>
      </c>
      <c r="K951" s="48" t="s">
        <v>213</v>
      </c>
      <c r="L951" s="48" t="s">
        <v>1134</v>
      </c>
      <c r="M951" s="48" t="s">
        <v>67</v>
      </c>
      <c r="N951" s="48" t="s">
        <v>20</v>
      </c>
      <c r="O951" s="48" t="s">
        <v>857</v>
      </c>
      <c r="P951" s="50">
        <v>28905.48</v>
      </c>
      <c r="Q951" s="50">
        <v>4.5700901448959899</v>
      </c>
      <c r="R951" s="50">
        <v>132100.64928148815</v>
      </c>
      <c r="S951" s="74">
        <v>45712</v>
      </c>
      <c r="T951" s="48" t="s">
        <v>308</v>
      </c>
      <c r="U951" s="48" t="s">
        <v>213</v>
      </c>
      <c r="V951" s="48" t="s">
        <v>857</v>
      </c>
      <c r="W951" s="48"/>
    </row>
    <row r="952" spans="1:23" ht="15.75" x14ac:dyDescent="0.25">
      <c r="A952" s="48" t="s">
        <v>476</v>
      </c>
      <c r="B952" s="49">
        <v>45665</v>
      </c>
      <c r="C952" s="48" t="s">
        <v>924</v>
      </c>
      <c r="D952" s="48" t="s">
        <v>509</v>
      </c>
      <c r="E952" s="48" t="s">
        <v>856</v>
      </c>
      <c r="F952" s="48" t="s">
        <v>373</v>
      </c>
      <c r="G952" s="48" t="s">
        <v>63</v>
      </c>
      <c r="H952" s="48" t="s">
        <v>27</v>
      </c>
      <c r="I952" s="48" t="s">
        <v>477</v>
      </c>
      <c r="J952" s="48" t="s">
        <v>24</v>
      </c>
      <c r="K952" s="48" t="s">
        <v>407</v>
      </c>
      <c r="L952" s="48" t="s">
        <v>1131</v>
      </c>
      <c r="M952" s="48" t="s">
        <v>26</v>
      </c>
      <c r="N952" s="48" t="s">
        <v>20</v>
      </c>
      <c r="O952" s="48" t="s">
        <v>857</v>
      </c>
      <c r="P952" s="50">
        <v>284050</v>
      </c>
      <c r="Q952" s="50">
        <v>1</v>
      </c>
      <c r="R952" s="50">
        <v>284050</v>
      </c>
      <c r="S952" s="74">
        <v>45712</v>
      </c>
      <c r="T952" s="48" t="s">
        <v>311</v>
      </c>
      <c r="U952" s="48" t="s">
        <v>483</v>
      </c>
      <c r="V952" s="48" t="s">
        <v>378</v>
      </c>
      <c r="W952" s="48"/>
    </row>
    <row r="953" spans="1:23" ht="15.75" x14ac:dyDescent="0.25">
      <c r="A953" s="48" t="s">
        <v>555</v>
      </c>
      <c r="B953" s="49">
        <v>45690</v>
      </c>
      <c r="C953" s="48" t="s">
        <v>922</v>
      </c>
      <c r="D953" s="48" t="s">
        <v>509</v>
      </c>
      <c r="E953" s="48" t="s">
        <v>858</v>
      </c>
      <c r="F953" s="48" t="s">
        <v>373</v>
      </c>
      <c r="G953" s="48" t="s">
        <v>483</v>
      </c>
      <c r="H953" s="48" t="s">
        <v>27</v>
      </c>
      <c r="I953" s="48" t="s">
        <v>465</v>
      </c>
      <c r="J953" s="48" t="s">
        <v>72</v>
      </c>
      <c r="K953" s="48" t="s">
        <v>304</v>
      </c>
      <c r="L953" s="48" t="s">
        <v>1133</v>
      </c>
      <c r="M953" s="48" t="s">
        <v>26</v>
      </c>
      <c r="N953" s="48" t="s">
        <v>20</v>
      </c>
      <c r="O953" s="48" t="s">
        <v>857</v>
      </c>
      <c r="P953" s="50">
        <v>3135188</v>
      </c>
      <c r="Q953" s="50">
        <v>1</v>
      </c>
      <c r="R953" s="50">
        <v>3135188</v>
      </c>
      <c r="S953" s="74">
        <v>45712</v>
      </c>
      <c r="T953" s="48" t="s">
        <v>305</v>
      </c>
      <c r="U953" s="48" t="s">
        <v>483</v>
      </c>
      <c r="V953" s="48" t="s">
        <v>378</v>
      </c>
      <c r="W953" s="48"/>
    </row>
    <row r="954" spans="1:23" ht="15.75" x14ac:dyDescent="0.25">
      <c r="A954" s="48" t="s">
        <v>375</v>
      </c>
      <c r="B954" s="49">
        <v>45699</v>
      </c>
      <c r="C954" s="48" t="s">
        <v>918</v>
      </c>
      <c r="D954" s="48" t="s">
        <v>509</v>
      </c>
      <c r="E954" s="48" t="s">
        <v>856</v>
      </c>
      <c r="F954" s="48" t="s">
        <v>62</v>
      </c>
      <c r="G954" s="48" t="s">
        <v>70</v>
      </c>
      <c r="H954" s="48" t="s">
        <v>70</v>
      </c>
      <c r="I954" s="48" t="s">
        <v>376</v>
      </c>
      <c r="J954" s="48" t="s">
        <v>72</v>
      </c>
      <c r="K954" s="48" t="s">
        <v>304</v>
      </c>
      <c r="L954" s="48" t="s">
        <v>1133</v>
      </c>
      <c r="M954" s="48" t="s">
        <v>26</v>
      </c>
      <c r="N954" s="48" t="s">
        <v>20</v>
      </c>
      <c r="O954" s="48" t="s">
        <v>857</v>
      </c>
      <c r="P954" s="50">
        <v>419175</v>
      </c>
      <c r="Q954" s="50">
        <v>1</v>
      </c>
      <c r="R954" s="50">
        <v>419175</v>
      </c>
      <c r="S954" s="74">
        <v>45712</v>
      </c>
      <c r="T954" s="48" t="s">
        <v>379</v>
      </c>
      <c r="U954" s="48" t="s">
        <v>304</v>
      </c>
      <c r="V954" s="48" t="s">
        <v>857</v>
      </c>
      <c r="W954" s="48"/>
    </row>
    <row r="955" spans="1:23" ht="15.75" x14ac:dyDescent="0.25">
      <c r="A955" s="48" t="s">
        <v>485</v>
      </c>
      <c r="B955" s="49">
        <v>45686</v>
      </c>
      <c r="C955" s="48" t="s">
        <v>1301</v>
      </c>
      <c r="D955" s="48" t="s">
        <v>509</v>
      </c>
      <c r="E955" s="48" t="s">
        <v>856</v>
      </c>
      <c r="F955" s="48" t="s">
        <v>21</v>
      </c>
      <c r="G955" s="48" t="s">
        <v>22</v>
      </c>
      <c r="H955" s="48" t="s">
        <v>27</v>
      </c>
      <c r="I955" s="48" t="s">
        <v>486</v>
      </c>
      <c r="J955" s="48" t="s">
        <v>72</v>
      </c>
      <c r="K955" s="48" t="s">
        <v>487</v>
      </c>
      <c r="L955" s="48" t="s">
        <v>1140</v>
      </c>
      <c r="M955" s="48" t="s">
        <v>26</v>
      </c>
      <c r="N955" s="48" t="s">
        <v>20</v>
      </c>
      <c r="O955" s="48" t="s">
        <v>857</v>
      </c>
      <c r="P955" s="50">
        <v>800000</v>
      </c>
      <c r="Q955" s="50">
        <v>1</v>
      </c>
      <c r="R955" s="50">
        <v>800000</v>
      </c>
      <c r="S955" s="74">
        <v>45708</v>
      </c>
      <c r="T955" s="48" t="s">
        <v>305</v>
      </c>
      <c r="U955" s="48" t="s">
        <v>407</v>
      </c>
      <c r="V955" s="48" t="s">
        <v>378</v>
      </c>
      <c r="W955" s="48"/>
    </row>
    <row r="956" spans="1:23" ht="15.75" x14ac:dyDescent="0.25">
      <c r="A956" s="48" t="s">
        <v>485</v>
      </c>
      <c r="B956" s="49">
        <v>45686</v>
      </c>
      <c r="C956" s="48" t="s">
        <v>1300</v>
      </c>
      <c r="D956" s="48" t="s">
        <v>509</v>
      </c>
      <c r="E956" s="48" t="s">
        <v>856</v>
      </c>
      <c r="F956" s="48" t="s">
        <v>21</v>
      </c>
      <c r="G956" s="48" t="s">
        <v>22</v>
      </c>
      <c r="H956" s="48" t="s">
        <v>27</v>
      </c>
      <c r="I956" s="48" t="s">
        <v>486</v>
      </c>
      <c r="J956" s="48" t="s">
        <v>72</v>
      </c>
      <c r="K956" s="48" t="s">
        <v>487</v>
      </c>
      <c r="L956" s="48" t="s">
        <v>1140</v>
      </c>
      <c r="M956" s="48" t="s">
        <v>26</v>
      </c>
      <c r="N956" s="48" t="s">
        <v>20</v>
      </c>
      <c r="O956" s="48" t="s">
        <v>857</v>
      </c>
      <c r="P956" s="50">
        <v>517737.08999999985</v>
      </c>
      <c r="Q956" s="50">
        <v>1</v>
      </c>
      <c r="R956" s="50">
        <v>517737.08999999985</v>
      </c>
      <c r="S956" s="74">
        <v>45708</v>
      </c>
      <c r="T956" s="48" t="s">
        <v>305</v>
      </c>
      <c r="U956" s="48" t="s">
        <v>90</v>
      </c>
      <c r="V956" s="48" t="s">
        <v>378</v>
      </c>
      <c r="W956" s="48"/>
    </row>
    <row r="957" spans="1:23" ht="15.75" x14ac:dyDescent="0.25">
      <c r="A957" s="48" t="s">
        <v>306</v>
      </c>
      <c r="B957" s="49">
        <v>45706</v>
      </c>
      <c r="C957" s="48" t="s">
        <v>936</v>
      </c>
      <c r="D957" s="48" t="s">
        <v>1118</v>
      </c>
      <c r="E957" s="48" t="s">
        <v>858</v>
      </c>
      <c r="F957" s="48" t="s">
        <v>62</v>
      </c>
      <c r="G957" s="48" t="s">
        <v>70</v>
      </c>
      <c r="H957" s="48" t="s">
        <v>70</v>
      </c>
      <c r="I957" s="48" t="s">
        <v>307</v>
      </c>
      <c r="J957" s="48" t="s">
        <v>72</v>
      </c>
      <c r="K957" s="48" t="s">
        <v>213</v>
      </c>
      <c r="L957" s="48" t="s">
        <v>1134</v>
      </c>
      <c r="M957" s="48" t="s">
        <v>67</v>
      </c>
      <c r="N957" s="48" t="s">
        <v>20</v>
      </c>
      <c r="O957" s="48" t="s">
        <v>857</v>
      </c>
      <c r="P957" s="50">
        <v>146331.69</v>
      </c>
      <c r="Q957" s="50">
        <v>4.5700901448959899</v>
      </c>
      <c r="R957" s="50">
        <v>668749.01435497508</v>
      </c>
      <c r="S957" s="74">
        <v>45708</v>
      </c>
      <c r="T957" s="48" t="s">
        <v>308</v>
      </c>
      <c r="U957" s="48" t="s">
        <v>213</v>
      </c>
      <c r="V957" s="48" t="s">
        <v>857</v>
      </c>
      <c r="W957" s="48"/>
    </row>
    <row r="958" spans="1:23" ht="15.75" x14ac:dyDescent="0.25">
      <c r="A958" s="48" t="s">
        <v>488</v>
      </c>
      <c r="B958" s="49">
        <v>45680</v>
      </c>
      <c r="C958" s="48" t="s">
        <v>916</v>
      </c>
      <c r="D958" s="48" t="s">
        <v>509</v>
      </c>
      <c r="E958" s="48" t="s">
        <v>856</v>
      </c>
      <c r="F958" s="48" t="s">
        <v>21</v>
      </c>
      <c r="G958" s="48" t="s">
        <v>22</v>
      </c>
      <c r="H958" s="48" t="s">
        <v>27</v>
      </c>
      <c r="I958" s="48" t="s">
        <v>449</v>
      </c>
      <c r="J958" s="48" t="s">
        <v>72</v>
      </c>
      <c r="K958" s="48" t="s">
        <v>487</v>
      </c>
      <c r="L958" s="48" t="s">
        <v>1140</v>
      </c>
      <c r="M958" s="48" t="s">
        <v>26</v>
      </c>
      <c r="N958" s="48" t="s">
        <v>20</v>
      </c>
      <c r="O958" s="48" t="s">
        <v>857</v>
      </c>
      <c r="P958" s="50">
        <v>2506565.4</v>
      </c>
      <c r="Q958" s="50">
        <v>1</v>
      </c>
      <c r="R958" s="50">
        <v>2506565.4</v>
      </c>
      <c r="S958" s="74">
        <v>45708</v>
      </c>
      <c r="T958" s="48" t="s">
        <v>305</v>
      </c>
      <c r="U958" s="48" t="s">
        <v>90</v>
      </c>
      <c r="V958" s="48" t="s">
        <v>378</v>
      </c>
      <c r="W958" s="48"/>
    </row>
    <row r="959" spans="1:23" ht="15.75" x14ac:dyDescent="0.25">
      <c r="A959" s="48" t="s">
        <v>485</v>
      </c>
      <c r="B959" s="49">
        <v>45686</v>
      </c>
      <c r="C959" s="48" t="s">
        <v>1299</v>
      </c>
      <c r="D959" s="48" t="s">
        <v>509</v>
      </c>
      <c r="E959" s="48" t="s">
        <v>856</v>
      </c>
      <c r="F959" s="48" t="s">
        <v>21</v>
      </c>
      <c r="G959" s="48" t="s">
        <v>22</v>
      </c>
      <c r="H959" s="48" t="s">
        <v>27</v>
      </c>
      <c r="I959" s="48" t="s">
        <v>486</v>
      </c>
      <c r="J959" s="48" t="s">
        <v>72</v>
      </c>
      <c r="K959" s="48" t="s">
        <v>487</v>
      </c>
      <c r="L959" s="48" t="s">
        <v>1140</v>
      </c>
      <c r="M959" s="48" t="s">
        <v>26</v>
      </c>
      <c r="N959" s="48" t="s">
        <v>20</v>
      </c>
      <c r="O959" s="48" t="s">
        <v>857</v>
      </c>
      <c r="P959" s="50">
        <v>708854.90999999992</v>
      </c>
      <c r="Q959" s="50">
        <v>1</v>
      </c>
      <c r="R959" s="50">
        <v>708854.90999999992</v>
      </c>
      <c r="S959" s="74">
        <v>45708</v>
      </c>
      <c r="T959" s="48" t="s">
        <v>305</v>
      </c>
      <c r="U959" s="48" t="s">
        <v>304</v>
      </c>
      <c r="V959" s="48" t="s">
        <v>378</v>
      </c>
      <c r="W959" s="48"/>
    </row>
    <row r="960" spans="1:23" ht="15.75" x14ac:dyDescent="0.25">
      <c r="A960" s="48" t="s">
        <v>495</v>
      </c>
      <c r="B960" s="49">
        <v>45701</v>
      </c>
      <c r="C960" s="48" t="s">
        <v>916</v>
      </c>
      <c r="D960" s="48" t="s">
        <v>509</v>
      </c>
      <c r="E960" s="48" t="s">
        <v>858</v>
      </c>
      <c r="F960" s="48" t="s">
        <v>21</v>
      </c>
      <c r="G960" s="48" t="s">
        <v>22</v>
      </c>
      <c r="H960" s="48" t="s">
        <v>27</v>
      </c>
      <c r="I960" s="48" t="s">
        <v>496</v>
      </c>
      <c r="J960" s="48" t="s">
        <v>72</v>
      </c>
      <c r="K960" s="48" t="s">
        <v>487</v>
      </c>
      <c r="L960" s="48" t="s">
        <v>1140</v>
      </c>
      <c r="M960" s="48" t="s">
        <v>26</v>
      </c>
      <c r="N960" s="48" t="s">
        <v>20</v>
      </c>
      <c r="O960" s="48" t="s">
        <v>857</v>
      </c>
      <c r="P960" s="50">
        <v>91145.09</v>
      </c>
      <c r="Q960" s="50">
        <v>1</v>
      </c>
      <c r="R960" s="50">
        <v>91145.09</v>
      </c>
      <c r="S960" s="74">
        <v>45706</v>
      </c>
      <c r="T960" s="48" t="s">
        <v>305</v>
      </c>
      <c r="U960" s="48" t="s">
        <v>304</v>
      </c>
      <c r="V960" s="48" t="s">
        <v>378</v>
      </c>
      <c r="W960" s="48" t="s">
        <v>902</v>
      </c>
    </row>
    <row r="961" spans="1:23" ht="15.75" x14ac:dyDescent="0.25">
      <c r="A961" s="48" t="s">
        <v>420</v>
      </c>
      <c r="B961" s="49">
        <v>45615</v>
      </c>
      <c r="C961" s="48" t="s">
        <v>918</v>
      </c>
      <c r="D961" s="48" t="s">
        <v>1181</v>
      </c>
      <c r="E961" s="48" t="s">
        <v>856</v>
      </c>
      <c r="F961" s="48" t="s">
        <v>95</v>
      </c>
      <c r="G961" s="48" t="s">
        <v>96</v>
      </c>
      <c r="H961" s="48" t="s">
        <v>27</v>
      </c>
      <c r="I961" s="48" t="s">
        <v>39</v>
      </c>
      <c r="J961" s="48" t="s">
        <v>80</v>
      </c>
      <c r="K961" s="48" t="s">
        <v>81</v>
      </c>
      <c r="L961" s="48" t="s">
        <v>1139</v>
      </c>
      <c r="M961" s="48" t="s">
        <v>26</v>
      </c>
      <c r="N961" s="48" t="s">
        <v>20</v>
      </c>
      <c r="O961" s="48" t="s">
        <v>378</v>
      </c>
      <c r="P961" s="50">
        <v>1454735.93</v>
      </c>
      <c r="Q961" s="50">
        <v>1</v>
      </c>
      <c r="R961" s="50">
        <v>1454735.93</v>
      </c>
      <c r="S961" s="74">
        <v>45706</v>
      </c>
      <c r="T961" s="48" t="s">
        <v>408</v>
      </c>
      <c r="U961" s="48" t="s">
        <v>377</v>
      </c>
      <c r="V961" s="48" t="s">
        <v>857</v>
      </c>
      <c r="W961" s="48"/>
    </row>
    <row r="962" spans="1:23" ht="15.75" x14ac:dyDescent="0.25">
      <c r="A962" s="48" t="s">
        <v>450</v>
      </c>
      <c r="B962" s="49">
        <v>45678</v>
      </c>
      <c r="C962" s="48" t="s">
        <v>916</v>
      </c>
      <c r="D962" s="48" t="s">
        <v>441</v>
      </c>
      <c r="E962" s="48" t="s">
        <v>858</v>
      </c>
      <c r="F962" s="48" t="s">
        <v>95</v>
      </c>
      <c r="G962" s="48" t="s">
        <v>96</v>
      </c>
      <c r="H962" s="48" t="s">
        <v>27</v>
      </c>
      <c r="I962" s="48" t="s">
        <v>451</v>
      </c>
      <c r="J962" s="48" t="s">
        <v>24</v>
      </c>
      <c r="K962" s="48" t="s">
        <v>22</v>
      </c>
      <c r="L962" s="48" t="s">
        <v>1132</v>
      </c>
      <c r="M962" s="48" t="s">
        <v>26</v>
      </c>
      <c r="N962" s="48" t="s">
        <v>20</v>
      </c>
      <c r="O962" s="48" t="s">
        <v>378</v>
      </c>
      <c r="P962" s="50">
        <v>491845.29</v>
      </c>
      <c r="Q962" s="50">
        <v>1</v>
      </c>
      <c r="R962" s="50">
        <v>491845.29</v>
      </c>
      <c r="S962" s="74">
        <v>45706</v>
      </c>
      <c r="T962" s="48" t="s">
        <v>311</v>
      </c>
      <c r="U962" s="48" t="s">
        <v>90</v>
      </c>
      <c r="V962" s="48" t="s">
        <v>378</v>
      </c>
      <c r="W962" s="48"/>
    </row>
    <row r="963" spans="1:23" ht="15.75" x14ac:dyDescent="0.25">
      <c r="A963" s="48" t="s">
        <v>476</v>
      </c>
      <c r="B963" s="49">
        <v>45665</v>
      </c>
      <c r="C963" s="48" t="s">
        <v>918</v>
      </c>
      <c r="D963" s="48" t="s">
        <v>509</v>
      </c>
      <c r="E963" s="48" t="s">
        <v>856</v>
      </c>
      <c r="F963" s="48" t="s">
        <v>373</v>
      </c>
      <c r="G963" s="48" t="s">
        <v>63</v>
      </c>
      <c r="H963" s="48" t="s">
        <v>27</v>
      </c>
      <c r="I963" s="48" t="s">
        <v>477</v>
      </c>
      <c r="J963" s="48" t="s">
        <v>24</v>
      </c>
      <c r="K963" s="48" t="s">
        <v>407</v>
      </c>
      <c r="L963" s="48" t="s">
        <v>1131</v>
      </c>
      <c r="M963" s="48" t="s">
        <v>26</v>
      </c>
      <c r="N963" s="48" t="s">
        <v>20</v>
      </c>
      <c r="O963" s="48" t="s">
        <v>857</v>
      </c>
      <c r="P963" s="50">
        <v>609500</v>
      </c>
      <c r="Q963" s="50">
        <v>1</v>
      </c>
      <c r="R963" s="50">
        <v>609500</v>
      </c>
      <c r="S963" s="74">
        <v>45706</v>
      </c>
      <c r="T963" s="48" t="s">
        <v>311</v>
      </c>
      <c r="U963" s="48" t="s">
        <v>304</v>
      </c>
      <c r="V963" s="48" t="s">
        <v>378</v>
      </c>
      <c r="W963" s="48"/>
    </row>
    <row r="964" spans="1:23" ht="15.75" x14ac:dyDescent="0.25">
      <c r="A964" s="48" t="s">
        <v>476</v>
      </c>
      <c r="B964" s="49">
        <v>45665</v>
      </c>
      <c r="C964" s="48" t="s">
        <v>916</v>
      </c>
      <c r="D964" s="48" t="s">
        <v>509</v>
      </c>
      <c r="E964" s="48" t="s">
        <v>856</v>
      </c>
      <c r="F964" s="48" t="s">
        <v>373</v>
      </c>
      <c r="G964" s="48" t="s">
        <v>63</v>
      </c>
      <c r="H964" s="48" t="s">
        <v>27</v>
      </c>
      <c r="I964" s="48" t="s">
        <v>477</v>
      </c>
      <c r="J964" s="48" t="s">
        <v>24</v>
      </c>
      <c r="K964" s="48" t="s">
        <v>407</v>
      </c>
      <c r="L964" s="48" t="s">
        <v>1131</v>
      </c>
      <c r="M964" s="48" t="s">
        <v>26</v>
      </c>
      <c r="N964" s="48" t="s">
        <v>20</v>
      </c>
      <c r="O964" s="48" t="s">
        <v>857</v>
      </c>
      <c r="P964" s="50">
        <v>1000000</v>
      </c>
      <c r="Q964" s="50">
        <v>1</v>
      </c>
      <c r="R964" s="50">
        <v>1000000</v>
      </c>
      <c r="S964" s="74">
        <v>45706</v>
      </c>
      <c r="T964" s="48" t="s">
        <v>311</v>
      </c>
      <c r="U964" s="48" t="s">
        <v>304</v>
      </c>
      <c r="V964" s="48" t="s">
        <v>378</v>
      </c>
      <c r="W964" s="48"/>
    </row>
    <row r="965" spans="1:23" ht="15.75" x14ac:dyDescent="0.25">
      <c r="A965" s="48" t="s">
        <v>444</v>
      </c>
      <c r="B965" s="49">
        <v>45665</v>
      </c>
      <c r="C965" s="48" t="s">
        <v>916</v>
      </c>
      <c r="D965" s="48" t="s">
        <v>441</v>
      </c>
      <c r="E965" s="48" t="s">
        <v>856</v>
      </c>
      <c r="F965" s="48" t="s">
        <v>95</v>
      </c>
      <c r="G965" s="48" t="s">
        <v>96</v>
      </c>
      <c r="H965" s="48" t="s">
        <v>27</v>
      </c>
      <c r="I965" s="48" t="s">
        <v>445</v>
      </c>
      <c r="J965" s="48" t="s">
        <v>24</v>
      </c>
      <c r="K965" s="48" t="s">
        <v>22</v>
      </c>
      <c r="L965" s="48" t="s">
        <v>1132</v>
      </c>
      <c r="M965" s="48" t="s">
        <v>26</v>
      </c>
      <c r="N965" s="48" t="s">
        <v>20</v>
      </c>
      <c r="O965" s="48" t="s">
        <v>378</v>
      </c>
      <c r="P965" s="50">
        <v>754128.94</v>
      </c>
      <c r="Q965" s="50">
        <v>1</v>
      </c>
      <c r="R965" s="50">
        <v>754128.94</v>
      </c>
      <c r="S965" s="74">
        <v>45706</v>
      </c>
      <c r="T965" s="48" t="s">
        <v>311</v>
      </c>
      <c r="U965" s="48" t="s">
        <v>90</v>
      </c>
      <c r="V965" s="48" t="s">
        <v>378</v>
      </c>
      <c r="W965" s="48"/>
    </row>
    <row r="966" spans="1:23" ht="15.75" x14ac:dyDescent="0.25">
      <c r="A966" s="48" t="s">
        <v>478</v>
      </c>
      <c r="B966" s="49">
        <v>45622</v>
      </c>
      <c r="C966" s="48" t="s">
        <v>916</v>
      </c>
      <c r="D966" s="48" t="s">
        <v>509</v>
      </c>
      <c r="E966" s="48" t="s">
        <v>856</v>
      </c>
      <c r="F966" s="48" t="s">
        <v>21</v>
      </c>
      <c r="G966" s="48" t="s">
        <v>22</v>
      </c>
      <c r="H966" s="48" t="s">
        <v>27</v>
      </c>
      <c r="I966" s="48" t="s">
        <v>479</v>
      </c>
      <c r="J966" s="48" t="s">
        <v>24</v>
      </c>
      <c r="K966" s="48" t="s">
        <v>407</v>
      </c>
      <c r="L966" s="48" t="s">
        <v>1131</v>
      </c>
      <c r="M966" s="48" t="s">
        <v>26</v>
      </c>
      <c r="N966" s="48" t="s">
        <v>20</v>
      </c>
      <c r="O966" s="48" t="s">
        <v>857</v>
      </c>
      <c r="P966" s="50">
        <v>2200000</v>
      </c>
      <c r="Q966" s="50">
        <v>1</v>
      </c>
      <c r="R966" s="50">
        <v>2200000</v>
      </c>
      <c r="S966" s="74">
        <v>45705</v>
      </c>
      <c r="T966" s="48" t="s">
        <v>311</v>
      </c>
      <c r="U966" s="48" t="s">
        <v>304</v>
      </c>
      <c r="V966" s="48" t="s">
        <v>378</v>
      </c>
      <c r="W966" s="48"/>
    </row>
    <row r="967" spans="1:23" ht="15.75" x14ac:dyDescent="0.25">
      <c r="A967" s="48" t="s">
        <v>725</v>
      </c>
      <c r="B967" s="49">
        <v>45645</v>
      </c>
      <c r="C967" s="48" t="s">
        <v>918</v>
      </c>
      <c r="D967" s="48" t="s">
        <v>1182</v>
      </c>
      <c r="E967" s="48" t="s">
        <v>858</v>
      </c>
      <c r="F967" s="48" t="s">
        <v>62</v>
      </c>
      <c r="G967" s="48" t="s">
        <v>70</v>
      </c>
      <c r="H967" s="48" t="s">
        <v>70</v>
      </c>
      <c r="I967" s="48" t="s">
        <v>89</v>
      </c>
      <c r="J967" s="48" t="s">
        <v>80</v>
      </c>
      <c r="K967" s="48" t="s">
        <v>90</v>
      </c>
      <c r="L967" s="48" t="s">
        <v>1141</v>
      </c>
      <c r="M967" s="48" t="s">
        <v>26</v>
      </c>
      <c r="N967" s="48" t="s">
        <v>20</v>
      </c>
      <c r="O967" s="48" t="s">
        <v>857</v>
      </c>
      <c r="P967" s="50">
        <v>1630501.23</v>
      </c>
      <c r="Q967" s="50">
        <v>1</v>
      </c>
      <c r="R967" s="50">
        <v>1630501.23</v>
      </c>
      <c r="S967" s="74">
        <v>45704</v>
      </c>
      <c r="T967" s="48" t="s">
        <v>917</v>
      </c>
      <c r="U967" s="48" t="s">
        <v>90</v>
      </c>
      <c r="V967" s="48" t="s">
        <v>857</v>
      </c>
      <c r="W967" s="48"/>
    </row>
    <row r="968" spans="1:23" ht="15.75" x14ac:dyDescent="0.25">
      <c r="A968" s="48" t="s">
        <v>306</v>
      </c>
      <c r="B968" s="49">
        <v>45685</v>
      </c>
      <c r="C968" s="48" t="s">
        <v>938</v>
      </c>
      <c r="D968" s="48" t="s">
        <v>1118</v>
      </c>
      <c r="E968" s="48" t="s">
        <v>858</v>
      </c>
      <c r="F968" s="48" t="s">
        <v>62</v>
      </c>
      <c r="G968" s="48" t="s">
        <v>70</v>
      </c>
      <c r="H968" s="48" t="s">
        <v>70</v>
      </c>
      <c r="I968" s="48" t="s">
        <v>307</v>
      </c>
      <c r="J968" s="48" t="s">
        <v>72</v>
      </c>
      <c r="K968" s="48" t="s">
        <v>213</v>
      </c>
      <c r="L968" s="48" t="s">
        <v>1134</v>
      </c>
      <c r="M968" s="48" t="s">
        <v>67</v>
      </c>
      <c r="N968" s="48" t="s">
        <v>20</v>
      </c>
      <c r="O968" s="48" t="s">
        <v>857</v>
      </c>
      <c r="P968" s="50">
        <v>1661167.91</v>
      </c>
      <c r="Q968" s="50">
        <v>4.5700901448959899</v>
      </c>
      <c r="R968" s="50">
        <v>7591687.0945084682</v>
      </c>
      <c r="S968" s="74">
        <v>45701</v>
      </c>
      <c r="T968" s="48" t="s">
        <v>308</v>
      </c>
      <c r="U968" s="48" t="s">
        <v>213</v>
      </c>
      <c r="V968" s="48" t="s">
        <v>857</v>
      </c>
      <c r="W968" s="48"/>
    </row>
    <row r="969" spans="1:23" ht="15.75" x14ac:dyDescent="0.25">
      <c r="A969" s="48" t="s">
        <v>306</v>
      </c>
      <c r="B969" s="49">
        <v>45698</v>
      </c>
      <c r="C969" s="48" t="s">
        <v>937</v>
      </c>
      <c r="D969" s="48" t="s">
        <v>1118</v>
      </c>
      <c r="E969" s="48" t="s">
        <v>858</v>
      </c>
      <c r="F969" s="48" t="s">
        <v>62</v>
      </c>
      <c r="G969" s="48" t="s">
        <v>70</v>
      </c>
      <c r="H969" s="48" t="s">
        <v>70</v>
      </c>
      <c r="I969" s="48" t="s">
        <v>307</v>
      </c>
      <c r="J969" s="48" t="s">
        <v>72</v>
      </c>
      <c r="K969" s="48" t="s">
        <v>213</v>
      </c>
      <c r="L969" s="48" t="s">
        <v>1134</v>
      </c>
      <c r="M969" s="48" t="s">
        <v>67</v>
      </c>
      <c r="N969" s="48" t="s">
        <v>20</v>
      </c>
      <c r="O969" s="48" t="s">
        <v>857</v>
      </c>
      <c r="P969" s="50">
        <v>90775</v>
      </c>
      <c r="Q969" s="50">
        <v>4.5700901448959899</v>
      </c>
      <c r="R969" s="50">
        <v>414849.93290293351</v>
      </c>
      <c r="S969" s="74">
        <v>45701</v>
      </c>
      <c r="T969" s="48" t="s">
        <v>308</v>
      </c>
      <c r="U969" s="48" t="s">
        <v>213</v>
      </c>
      <c r="V969" s="48" t="s">
        <v>857</v>
      </c>
      <c r="W969" s="48"/>
    </row>
    <row r="970" spans="1:23" ht="15.75" x14ac:dyDescent="0.25">
      <c r="A970" s="48" t="s">
        <v>672</v>
      </c>
      <c r="B970" s="49">
        <v>45698</v>
      </c>
      <c r="C970" s="48" t="s">
        <v>916</v>
      </c>
      <c r="D970" s="48" t="s">
        <v>1119</v>
      </c>
      <c r="E970" s="48" t="s">
        <v>856</v>
      </c>
      <c r="F970" s="48" t="s">
        <v>366</v>
      </c>
      <c r="G970" s="48" t="s">
        <v>367</v>
      </c>
      <c r="H970" s="48" t="s">
        <v>27</v>
      </c>
      <c r="I970" s="48" t="s">
        <v>469</v>
      </c>
      <c r="J970" s="48" t="s">
        <v>72</v>
      </c>
      <c r="K970" s="48" t="s">
        <v>367</v>
      </c>
      <c r="L970" s="48" t="s">
        <v>1136</v>
      </c>
      <c r="M970" s="48" t="s">
        <v>191</v>
      </c>
      <c r="N970" s="48" t="s">
        <v>20</v>
      </c>
      <c r="O970" s="48" t="s">
        <v>857</v>
      </c>
      <c r="P970" s="50">
        <v>436294.9</v>
      </c>
      <c r="Q970" s="50">
        <v>1.026</v>
      </c>
      <c r="R970" s="50">
        <v>447638.56740000006</v>
      </c>
      <c r="S970" s="74">
        <v>45700</v>
      </c>
      <c r="T970" s="48" t="s">
        <v>208</v>
      </c>
      <c r="U970" s="48" t="s">
        <v>367</v>
      </c>
      <c r="V970" s="48" t="s">
        <v>857</v>
      </c>
      <c r="W970" s="48"/>
    </row>
    <row r="971" spans="1:23" ht="15.75" x14ac:dyDescent="0.25">
      <c r="A971" s="48" t="s">
        <v>555</v>
      </c>
      <c r="B971" s="49">
        <v>45671</v>
      </c>
      <c r="C971" s="48" t="s">
        <v>928</v>
      </c>
      <c r="D971" s="48" t="s">
        <v>509</v>
      </c>
      <c r="E971" s="48" t="s">
        <v>858</v>
      </c>
      <c r="F971" s="48" t="s">
        <v>373</v>
      </c>
      <c r="G971" s="48" t="s">
        <v>483</v>
      </c>
      <c r="H971" s="48" t="s">
        <v>27</v>
      </c>
      <c r="I971" s="48" t="s">
        <v>465</v>
      </c>
      <c r="J971" s="48" t="s">
        <v>72</v>
      </c>
      <c r="K971" s="48" t="s">
        <v>304</v>
      </c>
      <c r="L971" s="48" t="s">
        <v>1133</v>
      </c>
      <c r="M971" s="48" t="s">
        <v>26</v>
      </c>
      <c r="N971" s="48" t="s">
        <v>20</v>
      </c>
      <c r="O971" s="48" t="s">
        <v>857</v>
      </c>
      <c r="P971" s="50">
        <v>5669040</v>
      </c>
      <c r="Q971" s="50">
        <v>1</v>
      </c>
      <c r="R971" s="50">
        <v>5669040</v>
      </c>
      <c r="S971" s="74">
        <v>45700</v>
      </c>
      <c r="T971" s="48" t="s">
        <v>305</v>
      </c>
      <c r="U971" s="48" t="s">
        <v>304</v>
      </c>
      <c r="V971" s="48" t="s">
        <v>857</v>
      </c>
      <c r="W971" s="48"/>
    </row>
    <row r="972" spans="1:23" ht="15.75" x14ac:dyDescent="0.25">
      <c r="A972" s="48" t="s">
        <v>254</v>
      </c>
      <c r="B972" s="49">
        <v>45677</v>
      </c>
      <c r="C972" s="48" t="s">
        <v>1308</v>
      </c>
      <c r="D972" s="48" t="s">
        <v>1184</v>
      </c>
      <c r="E972" s="48" t="s">
        <v>856</v>
      </c>
      <c r="F972" s="48" t="s">
        <v>21</v>
      </c>
      <c r="G972" s="48" t="s">
        <v>22</v>
      </c>
      <c r="H972" s="48" t="s">
        <v>27</v>
      </c>
      <c r="I972" s="48" t="s">
        <v>3623</v>
      </c>
      <c r="J972" s="48" t="s">
        <v>1791</v>
      </c>
      <c r="K972" s="48" t="s">
        <v>22</v>
      </c>
      <c r="L972" s="48" t="s">
        <v>1132</v>
      </c>
      <c r="M972" s="48" t="s">
        <v>67</v>
      </c>
      <c r="N972" s="48" t="s">
        <v>20</v>
      </c>
      <c r="O972" s="48" t="s">
        <v>857</v>
      </c>
      <c r="P972" s="50">
        <v>36395.400000000023</v>
      </c>
      <c r="Q972" s="50">
        <v>3.9550000000000001</v>
      </c>
      <c r="R972" s="50">
        <v>143943.80700000009</v>
      </c>
      <c r="S972" s="74">
        <v>45699</v>
      </c>
      <c r="T972" s="48" t="s">
        <v>255</v>
      </c>
      <c r="U972" s="48" t="s">
        <v>22</v>
      </c>
      <c r="V972" s="48" t="s">
        <v>857</v>
      </c>
      <c r="W972" s="48"/>
    </row>
    <row r="973" spans="1:23" ht="15.75" x14ac:dyDescent="0.25">
      <c r="A973" s="48" t="s">
        <v>426</v>
      </c>
      <c r="B973" s="49">
        <v>45631</v>
      </c>
      <c r="C973" s="48" t="s">
        <v>916</v>
      </c>
      <c r="D973" s="48" t="s">
        <v>441</v>
      </c>
      <c r="E973" s="48" t="s">
        <v>856</v>
      </c>
      <c r="F973" s="48" t="s">
        <v>95</v>
      </c>
      <c r="G973" s="48" t="s">
        <v>96</v>
      </c>
      <c r="H973" s="48" t="s">
        <v>27</v>
      </c>
      <c r="I973" s="48" t="s">
        <v>427</v>
      </c>
      <c r="J973" s="48" t="s">
        <v>24</v>
      </c>
      <c r="K973" s="48" t="s">
        <v>22</v>
      </c>
      <c r="L973" s="48" t="s">
        <v>1132</v>
      </c>
      <c r="M973" s="48" t="s">
        <v>26</v>
      </c>
      <c r="N973" s="48" t="s">
        <v>20</v>
      </c>
      <c r="O973" s="48" t="s">
        <v>378</v>
      </c>
      <c r="P973" s="50">
        <v>931500.09</v>
      </c>
      <c r="Q973" s="50">
        <v>1</v>
      </c>
      <c r="R973" s="50">
        <v>931500.09</v>
      </c>
      <c r="S973" s="74">
        <v>45699</v>
      </c>
      <c r="T973" s="48" t="s">
        <v>311</v>
      </c>
      <c r="U973" s="48" t="s">
        <v>90</v>
      </c>
      <c r="V973" s="48" t="s">
        <v>378</v>
      </c>
      <c r="W973" s="48"/>
    </row>
    <row r="974" spans="1:23" ht="15.75" x14ac:dyDescent="0.25">
      <c r="A974" s="48" t="s">
        <v>405</v>
      </c>
      <c r="B974" s="49">
        <v>45614</v>
      </c>
      <c r="C974" s="48" t="s">
        <v>916</v>
      </c>
      <c r="D974" s="48" t="s">
        <v>509</v>
      </c>
      <c r="E974" s="48" t="s">
        <v>856</v>
      </c>
      <c r="F974" s="48" t="s">
        <v>95</v>
      </c>
      <c r="G974" s="48" t="s">
        <v>96</v>
      </c>
      <c r="H974" s="48" t="s">
        <v>27</v>
      </c>
      <c r="I974" s="48" t="s">
        <v>406</v>
      </c>
      <c r="J974" s="48" t="s">
        <v>24</v>
      </c>
      <c r="K974" s="48" t="s">
        <v>407</v>
      </c>
      <c r="L974" s="48" t="s">
        <v>1131</v>
      </c>
      <c r="M974" s="48" t="s">
        <v>26</v>
      </c>
      <c r="N974" s="48" t="s">
        <v>20</v>
      </c>
      <c r="O974" s="48" t="s">
        <v>378</v>
      </c>
      <c r="P974" s="50">
        <v>6000000</v>
      </c>
      <c r="Q974" s="50">
        <v>1</v>
      </c>
      <c r="R974" s="50">
        <v>6000000</v>
      </c>
      <c r="S974" s="74">
        <v>45699</v>
      </c>
      <c r="T974" s="48" t="s">
        <v>408</v>
      </c>
      <c r="U974" s="48" t="s">
        <v>882</v>
      </c>
      <c r="V974" s="48" t="s">
        <v>378</v>
      </c>
      <c r="W974" s="48"/>
    </row>
    <row r="975" spans="1:23" ht="15.75" x14ac:dyDescent="0.25">
      <c r="A975" s="48" t="s">
        <v>254</v>
      </c>
      <c r="B975" s="49">
        <v>45677</v>
      </c>
      <c r="C975" s="48" t="s">
        <v>1309</v>
      </c>
      <c r="D975" s="48" t="s">
        <v>1184</v>
      </c>
      <c r="E975" s="48" t="s">
        <v>856</v>
      </c>
      <c r="F975" s="48" t="s">
        <v>21</v>
      </c>
      <c r="G975" s="48" t="s">
        <v>22</v>
      </c>
      <c r="H975" s="48" t="s">
        <v>27</v>
      </c>
      <c r="I975" s="48" t="s">
        <v>3623</v>
      </c>
      <c r="J975" s="48" t="s">
        <v>1791</v>
      </c>
      <c r="K975" s="48" t="s">
        <v>22</v>
      </c>
      <c r="L975" s="48" t="s">
        <v>1132</v>
      </c>
      <c r="M975" s="48" t="s">
        <v>67</v>
      </c>
      <c r="N975" s="48" t="s">
        <v>20</v>
      </c>
      <c r="O975" s="48" t="s">
        <v>857</v>
      </c>
      <c r="P975" s="50">
        <v>505689</v>
      </c>
      <c r="Q975" s="50">
        <v>3.9550000000000001</v>
      </c>
      <c r="R975" s="50">
        <v>1999999.9950000001</v>
      </c>
      <c r="S975" s="74">
        <v>45699</v>
      </c>
      <c r="T975" s="48" t="s">
        <v>255</v>
      </c>
      <c r="U975" s="48" t="s">
        <v>90</v>
      </c>
      <c r="V975" s="48" t="s">
        <v>378</v>
      </c>
      <c r="W975" s="48" t="s">
        <v>893</v>
      </c>
    </row>
    <row r="976" spans="1:23" ht="15.75" x14ac:dyDescent="0.25">
      <c r="A976" s="48" t="s">
        <v>726</v>
      </c>
      <c r="B976" s="49">
        <v>45634</v>
      </c>
      <c r="C976" s="48" t="s">
        <v>924</v>
      </c>
      <c r="D976" s="48" t="s">
        <v>1181</v>
      </c>
      <c r="E976" s="48" t="s">
        <v>856</v>
      </c>
      <c r="F976" s="48" t="s">
        <v>62</v>
      </c>
      <c r="G976" s="48" t="s">
        <v>70</v>
      </c>
      <c r="H976" s="48" t="s">
        <v>70</v>
      </c>
      <c r="I976" s="48" t="s">
        <v>310</v>
      </c>
      <c r="J976" s="48" t="s">
        <v>80</v>
      </c>
      <c r="K976" s="48" t="s">
        <v>81</v>
      </c>
      <c r="L976" s="48" t="s">
        <v>1139</v>
      </c>
      <c r="M976" s="48" t="s">
        <v>26</v>
      </c>
      <c r="N976" s="48" t="s">
        <v>20</v>
      </c>
      <c r="O976" s="48" t="s">
        <v>857</v>
      </c>
      <c r="P976" s="50">
        <v>1285240</v>
      </c>
      <c r="Q976" s="50">
        <v>1</v>
      </c>
      <c r="R976" s="50">
        <v>1285240</v>
      </c>
      <c r="S976" s="74">
        <v>45699</v>
      </c>
      <c r="T976" s="48" t="s">
        <v>311</v>
      </c>
      <c r="U976" s="48" t="s">
        <v>377</v>
      </c>
      <c r="V976" s="48" t="s">
        <v>857</v>
      </c>
      <c r="W976" s="48"/>
    </row>
    <row r="977" spans="1:23" ht="15.75" x14ac:dyDescent="0.25">
      <c r="A977" s="48" t="s">
        <v>562</v>
      </c>
      <c r="B977" s="49">
        <v>45670</v>
      </c>
      <c r="C977" s="48" t="s">
        <v>916</v>
      </c>
      <c r="D977" s="48" t="s">
        <v>441</v>
      </c>
      <c r="E977" s="48" t="s">
        <v>858</v>
      </c>
      <c r="F977" s="48" t="s">
        <v>373</v>
      </c>
      <c r="G977" s="48" t="s">
        <v>483</v>
      </c>
      <c r="H977" s="48" t="s">
        <v>27</v>
      </c>
      <c r="I977" s="48" t="s">
        <v>563</v>
      </c>
      <c r="J977" s="48" t="s">
        <v>24</v>
      </c>
      <c r="K977" s="48" t="s">
        <v>22</v>
      </c>
      <c r="L977" s="48" t="s">
        <v>1132</v>
      </c>
      <c r="M977" s="48" t="s">
        <v>26</v>
      </c>
      <c r="N977" s="48" t="s">
        <v>20</v>
      </c>
      <c r="O977" s="48" t="s">
        <v>857</v>
      </c>
      <c r="P977" s="50">
        <v>593400</v>
      </c>
      <c r="Q977" s="50">
        <v>1</v>
      </c>
      <c r="R977" s="50">
        <v>593400</v>
      </c>
      <c r="S977" s="74">
        <v>45698</v>
      </c>
      <c r="T977" s="48" t="s">
        <v>425</v>
      </c>
      <c r="U977" s="48" t="s">
        <v>90</v>
      </c>
      <c r="V977" s="48" t="s">
        <v>378</v>
      </c>
      <c r="W977" s="48"/>
    </row>
    <row r="978" spans="1:23" ht="15.75" x14ac:dyDescent="0.25">
      <c r="A978" s="48" t="s">
        <v>320</v>
      </c>
      <c r="B978" s="49">
        <v>45693</v>
      </c>
      <c r="C978" s="48" t="s">
        <v>933</v>
      </c>
      <c r="D978" s="48" t="s">
        <v>1118</v>
      </c>
      <c r="E978" s="48" t="s">
        <v>858</v>
      </c>
      <c r="F978" s="48" t="s">
        <v>62</v>
      </c>
      <c r="G978" s="48" t="s">
        <v>70</v>
      </c>
      <c r="H978" s="48" t="s">
        <v>70</v>
      </c>
      <c r="I978" s="48" t="s">
        <v>316</v>
      </c>
      <c r="J978" s="48" t="s">
        <v>72</v>
      </c>
      <c r="K978" s="48" t="s">
        <v>213</v>
      </c>
      <c r="L978" s="48" t="s">
        <v>1134</v>
      </c>
      <c r="M978" s="48" t="s">
        <v>191</v>
      </c>
      <c r="N978" s="48" t="s">
        <v>20</v>
      </c>
      <c r="O978" s="48" t="s">
        <v>857</v>
      </c>
      <c r="P978" s="50">
        <v>4163276.81</v>
      </c>
      <c r="Q978" s="50">
        <v>1.0337000000000001</v>
      </c>
      <c r="R978" s="50">
        <v>4303579.2384970002</v>
      </c>
      <c r="S978" s="74">
        <v>45698</v>
      </c>
      <c r="T978" s="48" t="s">
        <v>208</v>
      </c>
      <c r="U978" s="48" t="s">
        <v>213</v>
      </c>
      <c r="V978" s="48" t="s">
        <v>857</v>
      </c>
      <c r="W978" s="48"/>
    </row>
    <row r="979" spans="1:23" ht="15.75" x14ac:dyDescent="0.25">
      <c r="A979" s="48" t="s">
        <v>306</v>
      </c>
      <c r="B979" s="49">
        <v>45685</v>
      </c>
      <c r="C979" s="48" t="s">
        <v>939</v>
      </c>
      <c r="D979" s="48" t="s">
        <v>1118</v>
      </c>
      <c r="E979" s="48" t="s">
        <v>858</v>
      </c>
      <c r="F979" s="48" t="s">
        <v>62</v>
      </c>
      <c r="G979" s="48" t="s">
        <v>70</v>
      </c>
      <c r="H979" s="48" t="s">
        <v>70</v>
      </c>
      <c r="I979" s="48" t="s">
        <v>307</v>
      </c>
      <c r="J979" s="48" t="s">
        <v>72</v>
      </c>
      <c r="K979" s="48" t="s">
        <v>213</v>
      </c>
      <c r="L979" s="48" t="s">
        <v>1134</v>
      </c>
      <c r="M979" s="48" t="s">
        <v>67</v>
      </c>
      <c r="N979" s="48" t="s">
        <v>20</v>
      </c>
      <c r="O979" s="48" t="s">
        <v>857</v>
      </c>
      <c r="P979" s="50">
        <v>4783.42</v>
      </c>
      <c r="Q979" s="50">
        <v>4.5700901448959899</v>
      </c>
      <c r="R979" s="50">
        <v>21860.660600898376</v>
      </c>
      <c r="S979" s="74">
        <v>45698</v>
      </c>
      <c r="T979" s="48" t="s">
        <v>308</v>
      </c>
      <c r="U979" s="48" t="s">
        <v>213</v>
      </c>
      <c r="V979" s="48" t="s">
        <v>857</v>
      </c>
      <c r="W979" s="48"/>
    </row>
    <row r="980" spans="1:23" ht="15.75" x14ac:dyDescent="0.25">
      <c r="A980" s="48" t="s">
        <v>440</v>
      </c>
      <c r="B980" s="49">
        <v>45650</v>
      </c>
      <c r="C980" s="48" t="s">
        <v>918</v>
      </c>
      <c r="D980" s="48" t="s">
        <v>441</v>
      </c>
      <c r="E980" s="48" t="s">
        <v>856</v>
      </c>
      <c r="F980" s="48" t="s">
        <v>95</v>
      </c>
      <c r="G980" s="48" t="s">
        <v>96</v>
      </c>
      <c r="H980" s="48" t="s">
        <v>27</v>
      </c>
      <c r="I980" s="48" t="s">
        <v>442</v>
      </c>
      <c r="J980" s="48" t="s">
        <v>24</v>
      </c>
      <c r="K980" s="48" t="s">
        <v>22</v>
      </c>
      <c r="L980" s="48" t="s">
        <v>1132</v>
      </c>
      <c r="M980" s="48" t="s">
        <v>26</v>
      </c>
      <c r="N980" s="48" t="s">
        <v>20</v>
      </c>
      <c r="O980" s="48" t="s">
        <v>378</v>
      </c>
      <c r="P980" s="50">
        <v>298416.84000000003</v>
      </c>
      <c r="Q980" s="50">
        <v>1</v>
      </c>
      <c r="R980" s="50">
        <v>298416.84000000003</v>
      </c>
      <c r="S980" s="74">
        <v>45697</v>
      </c>
      <c r="T980" s="48" t="s">
        <v>311</v>
      </c>
      <c r="U980" s="48" t="s">
        <v>90</v>
      </c>
      <c r="V980" s="48" t="s">
        <v>378</v>
      </c>
      <c r="W980" s="48"/>
    </row>
    <row r="981" spans="1:23" ht="15.75" x14ac:dyDescent="0.25">
      <c r="A981" s="48" t="s">
        <v>555</v>
      </c>
      <c r="B981" s="49">
        <v>45671</v>
      </c>
      <c r="C981" s="48" t="s">
        <v>924</v>
      </c>
      <c r="D981" s="48" t="s">
        <v>509</v>
      </c>
      <c r="E981" s="48" t="s">
        <v>858</v>
      </c>
      <c r="F981" s="48" t="s">
        <v>373</v>
      </c>
      <c r="G981" s="48" t="s">
        <v>483</v>
      </c>
      <c r="H981" s="48" t="s">
        <v>27</v>
      </c>
      <c r="I981" s="48" t="s">
        <v>465</v>
      </c>
      <c r="J981" s="48" t="s">
        <v>72</v>
      </c>
      <c r="K981" s="48" t="s">
        <v>304</v>
      </c>
      <c r="L981" s="48" t="s">
        <v>1133</v>
      </c>
      <c r="M981" s="48" t="s">
        <v>26</v>
      </c>
      <c r="N981" s="48" t="s">
        <v>20</v>
      </c>
      <c r="O981" s="48" t="s">
        <v>857</v>
      </c>
      <c r="P981" s="50">
        <v>5686980</v>
      </c>
      <c r="Q981" s="50">
        <v>1</v>
      </c>
      <c r="R981" s="50">
        <v>5686980</v>
      </c>
      <c r="S981" s="74">
        <v>45694</v>
      </c>
      <c r="T981" s="48" t="s">
        <v>305</v>
      </c>
      <c r="U981" s="48" t="s">
        <v>304</v>
      </c>
      <c r="V981" s="48" t="s">
        <v>857</v>
      </c>
      <c r="W981" s="48"/>
    </row>
    <row r="982" spans="1:23" ht="15.75" x14ac:dyDescent="0.25">
      <c r="A982" s="48" t="s">
        <v>454</v>
      </c>
      <c r="B982" s="49">
        <v>45645</v>
      </c>
      <c r="C982" s="48" t="s">
        <v>918</v>
      </c>
      <c r="D982" s="48" t="s">
        <v>441</v>
      </c>
      <c r="E982" s="48" t="s">
        <v>856</v>
      </c>
      <c r="F982" s="48" t="s">
        <v>95</v>
      </c>
      <c r="G982" s="48" t="s">
        <v>96</v>
      </c>
      <c r="H982" s="48" t="s">
        <v>27</v>
      </c>
      <c r="I982" s="48" t="s">
        <v>455</v>
      </c>
      <c r="J982" s="48" t="s">
        <v>24</v>
      </c>
      <c r="K982" s="48" t="s">
        <v>413</v>
      </c>
      <c r="L982" s="48" t="s">
        <v>917</v>
      </c>
      <c r="M982" s="48" t="s">
        <v>26</v>
      </c>
      <c r="N982" s="48" t="s">
        <v>20</v>
      </c>
      <c r="O982" s="48" t="s">
        <v>378</v>
      </c>
      <c r="P982" s="50">
        <v>2500000</v>
      </c>
      <c r="Q982" s="50">
        <v>1</v>
      </c>
      <c r="R982" s="50">
        <v>2500000</v>
      </c>
      <c r="S982" s="74">
        <v>45694</v>
      </c>
      <c r="T982" s="48" t="s">
        <v>311</v>
      </c>
      <c r="U982" s="48" t="s">
        <v>90</v>
      </c>
      <c r="V982" s="48" t="s">
        <v>378</v>
      </c>
      <c r="W982" s="48" t="s">
        <v>886</v>
      </c>
    </row>
    <row r="983" spans="1:23" ht="15.75" x14ac:dyDescent="0.25">
      <c r="A983" s="48" t="s">
        <v>398</v>
      </c>
      <c r="B983" s="49">
        <v>45631</v>
      </c>
      <c r="C983" s="48" t="s">
        <v>916</v>
      </c>
      <c r="D983" s="48" t="s">
        <v>441</v>
      </c>
      <c r="E983" s="48" t="s">
        <v>856</v>
      </c>
      <c r="F983" s="48" t="s">
        <v>95</v>
      </c>
      <c r="G983" s="48" t="s">
        <v>96</v>
      </c>
      <c r="H983" s="48" t="s">
        <v>27</v>
      </c>
      <c r="I983" s="48" t="s">
        <v>399</v>
      </c>
      <c r="J983" s="48" t="s">
        <v>24</v>
      </c>
      <c r="K983" s="48" t="s">
        <v>22</v>
      </c>
      <c r="L983" s="48" t="s">
        <v>1132</v>
      </c>
      <c r="M983" s="48" t="s">
        <v>26</v>
      </c>
      <c r="N983" s="48" t="s">
        <v>20</v>
      </c>
      <c r="O983" s="48" t="s">
        <v>378</v>
      </c>
      <c r="P983" s="50">
        <v>229198.19</v>
      </c>
      <c r="Q983" s="50">
        <v>1</v>
      </c>
      <c r="R983" s="50">
        <v>229198.19</v>
      </c>
      <c r="S983" s="74">
        <v>45694</v>
      </c>
      <c r="T983" s="48" t="s">
        <v>311</v>
      </c>
      <c r="U983" s="48" t="s">
        <v>90</v>
      </c>
      <c r="V983" s="48" t="s">
        <v>378</v>
      </c>
      <c r="W983" s="48"/>
    </row>
    <row r="984" spans="1:23" ht="15.75" x14ac:dyDescent="0.25">
      <c r="A984" s="48" t="s">
        <v>514</v>
      </c>
      <c r="B984" s="49">
        <v>45672</v>
      </c>
      <c r="C984" s="48" t="s">
        <v>916</v>
      </c>
      <c r="D984" s="48" t="s">
        <v>509</v>
      </c>
      <c r="E984" s="48" t="s">
        <v>856</v>
      </c>
      <c r="F984" s="48" t="s">
        <v>95</v>
      </c>
      <c r="G984" s="48" t="s">
        <v>96</v>
      </c>
      <c r="H984" s="48" t="s">
        <v>27</v>
      </c>
      <c r="I984" s="48" t="s">
        <v>515</v>
      </c>
      <c r="J984" s="48" t="s">
        <v>72</v>
      </c>
      <c r="K984" s="48" t="s">
        <v>487</v>
      </c>
      <c r="L984" s="48" t="s">
        <v>1140</v>
      </c>
      <c r="M984" s="48" t="s">
        <v>26</v>
      </c>
      <c r="N984" s="48" t="s">
        <v>20</v>
      </c>
      <c r="O984" s="48" t="s">
        <v>378</v>
      </c>
      <c r="P984" s="50">
        <v>999349.72</v>
      </c>
      <c r="Q984" s="50">
        <v>1</v>
      </c>
      <c r="R984" s="50">
        <v>999349.72</v>
      </c>
      <c r="S984" s="74">
        <v>45694</v>
      </c>
      <c r="T984" s="48" t="s">
        <v>305</v>
      </c>
      <c r="U984" s="48" t="s">
        <v>90</v>
      </c>
      <c r="V984" s="48" t="s">
        <v>857</v>
      </c>
      <c r="W984" s="48"/>
    </row>
    <row r="985" spans="1:23" ht="15.75" x14ac:dyDescent="0.25">
      <c r="A985" s="48" t="s">
        <v>254</v>
      </c>
      <c r="B985" s="49">
        <v>45692</v>
      </c>
      <c r="C985" s="48" t="s">
        <v>940</v>
      </c>
      <c r="D985" s="48" t="s">
        <v>1184</v>
      </c>
      <c r="E985" s="48" t="s">
        <v>856</v>
      </c>
      <c r="F985" s="48" t="s">
        <v>21</v>
      </c>
      <c r="G985" s="48" t="s">
        <v>22</v>
      </c>
      <c r="H985" s="48" t="s">
        <v>27</v>
      </c>
      <c r="I985" s="48" t="s">
        <v>3623</v>
      </c>
      <c r="J985" s="48" t="s">
        <v>1791</v>
      </c>
      <c r="K985" s="48" t="s">
        <v>22</v>
      </c>
      <c r="L985" s="48" t="s">
        <v>1132</v>
      </c>
      <c r="M985" s="48" t="s">
        <v>67</v>
      </c>
      <c r="N985" s="48" t="s">
        <v>20</v>
      </c>
      <c r="O985" s="48" t="s">
        <v>857</v>
      </c>
      <c r="P985" s="50">
        <v>644669.77</v>
      </c>
      <c r="Q985" s="50">
        <v>3.94</v>
      </c>
      <c r="R985" s="50">
        <v>2539998.8938000002</v>
      </c>
      <c r="S985" s="74">
        <v>45692</v>
      </c>
      <c r="T985" s="48" t="s">
        <v>255</v>
      </c>
      <c r="U985" s="48" t="s">
        <v>22</v>
      </c>
      <c r="V985" s="48" t="s">
        <v>857</v>
      </c>
      <c r="W985" s="48" t="s">
        <v>897</v>
      </c>
    </row>
    <row r="986" spans="1:23" ht="15.75" x14ac:dyDescent="0.25">
      <c r="A986" s="48" t="s">
        <v>254</v>
      </c>
      <c r="B986" s="49">
        <v>45692</v>
      </c>
      <c r="C986" s="48" t="s">
        <v>941</v>
      </c>
      <c r="D986" s="48" t="s">
        <v>1184</v>
      </c>
      <c r="E986" s="48" t="s">
        <v>856</v>
      </c>
      <c r="F986" s="48" t="s">
        <v>21</v>
      </c>
      <c r="G986" s="48" t="s">
        <v>22</v>
      </c>
      <c r="H986" s="48" t="s">
        <v>27</v>
      </c>
      <c r="I986" s="48" t="s">
        <v>3623</v>
      </c>
      <c r="J986" s="48" t="s">
        <v>1791</v>
      </c>
      <c r="K986" s="48" t="s">
        <v>22</v>
      </c>
      <c r="L986" s="48" t="s">
        <v>1132</v>
      </c>
      <c r="M986" s="48" t="s">
        <v>67</v>
      </c>
      <c r="N986" s="48" t="s">
        <v>20</v>
      </c>
      <c r="O986" s="48" t="s">
        <v>857</v>
      </c>
      <c r="P986" s="50">
        <v>337492.19</v>
      </c>
      <c r="Q986" s="50">
        <v>3.94</v>
      </c>
      <c r="R986" s="50">
        <v>1329719.2286</v>
      </c>
      <c r="S986" s="74">
        <v>45692</v>
      </c>
      <c r="T986" s="48" t="s">
        <v>255</v>
      </c>
      <c r="U986" s="48" t="s">
        <v>22</v>
      </c>
      <c r="V986" s="48" t="s">
        <v>857</v>
      </c>
      <c r="W986" s="48" t="s">
        <v>898</v>
      </c>
    </row>
    <row r="987" spans="1:23" ht="15.75" x14ac:dyDescent="0.25">
      <c r="A987" s="48" t="s">
        <v>330</v>
      </c>
      <c r="B987" s="49">
        <v>45629</v>
      </c>
      <c r="C987" s="48" t="s">
        <v>918</v>
      </c>
      <c r="D987" s="48" t="s">
        <v>441</v>
      </c>
      <c r="E987" s="48" t="s">
        <v>858</v>
      </c>
      <c r="F987" s="48" t="s">
        <v>95</v>
      </c>
      <c r="G987" s="48" t="s">
        <v>96</v>
      </c>
      <c r="H987" s="48" t="s">
        <v>27</v>
      </c>
      <c r="I987" s="48" t="s">
        <v>201</v>
      </c>
      <c r="J987" s="48" t="s">
        <v>24</v>
      </c>
      <c r="K987" s="48" t="s">
        <v>22</v>
      </c>
      <c r="L987" s="48" t="s">
        <v>1132</v>
      </c>
      <c r="M987" s="48" t="s">
        <v>26</v>
      </c>
      <c r="N987" s="48" t="s">
        <v>20</v>
      </c>
      <c r="O987" s="48" t="s">
        <v>378</v>
      </c>
      <c r="P987" s="50">
        <v>42681.8</v>
      </c>
      <c r="Q987" s="50">
        <v>1</v>
      </c>
      <c r="R987" s="50">
        <v>42681.8</v>
      </c>
      <c r="S987" s="74">
        <v>45691</v>
      </c>
      <c r="T987" s="48" t="s">
        <v>311</v>
      </c>
      <c r="U987" s="48" t="s">
        <v>884</v>
      </c>
      <c r="V987" s="48" t="s">
        <v>378</v>
      </c>
      <c r="W987" s="48"/>
    </row>
    <row r="988" spans="1:23" ht="15.75" x14ac:dyDescent="0.25">
      <c r="A988" s="48" t="s">
        <v>254</v>
      </c>
      <c r="B988" s="49">
        <v>45677</v>
      </c>
      <c r="C988" s="48" t="s">
        <v>925</v>
      </c>
      <c r="D988" s="48" t="s">
        <v>1184</v>
      </c>
      <c r="E988" s="48" t="s">
        <v>856</v>
      </c>
      <c r="F988" s="48" t="s">
        <v>21</v>
      </c>
      <c r="G988" s="48" t="s">
        <v>22</v>
      </c>
      <c r="H988" s="48" t="s">
        <v>27</v>
      </c>
      <c r="I988" s="48" t="s">
        <v>3623</v>
      </c>
      <c r="J988" s="48" t="s">
        <v>1791</v>
      </c>
      <c r="K988" s="48" t="s">
        <v>22</v>
      </c>
      <c r="L988" s="48" t="s">
        <v>1132</v>
      </c>
      <c r="M988" s="48" t="s">
        <v>67</v>
      </c>
      <c r="N988" s="48" t="s">
        <v>20</v>
      </c>
      <c r="O988" s="48" t="s">
        <v>857</v>
      </c>
      <c r="P988" s="50">
        <v>399403.95</v>
      </c>
      <c r="Q988" s="50">
        <v>3.92</v>
      </c>
      <c r="R988" s="50">
        <v>1565663.4839999999</v>
      </c>
      <c r="S988" s="74">
        <v>45691</v>
      </c>
      <c r="T988" s="48" t="s">
        <v>255</v>
      </c>
      <c r="U988" s="48" t="s">
        <v>22</v>
      </c>
      <c r="V988" s="48" t="s">
        <v>857</v>
      </c>
      <c r="W988" s="48" t="s">
        <v>892</v>
      </c>
    </row>
    <row r="989" spans="1:23" ht="15.75" x14ac:dyDescent="0.25">
      <c r="A989" s="48" t="s">
        <v>409</v>
      </c>
      <c r="B989" s="49">
        <v>45690</v>
      </c>
      <c r="C989" s="48" t="s">
        <v>918</v>
      </c>
      <c r="D989" s="48" t="s">
        <v>509</v>
      </c>
      <c r="E989" s="48" t="s">
        <v>856</v>
      </c>
      <c r="F989" s="48" t="s">
        <v>95</v>
      </c>
      <c r="G989" s="48" t="s">
        <v>96</v>
      </c>
      <c r="H989" s="48" t="s">
        <v>27</v>
      </c>
      <c r="I989" s="48" t="s">
        <v>221</v>
      </c>
      <c r="J989" s="48" t="s">
        <v>66</v>
      </c>
      <c r="K989" s="48" t="s">
        <v>410</v>
      </c>
      <c r="L989" s="48" t="s">
        <v>1137</v>
      </c>
      <c r="M989" s="48" t="s">
        <v>191</v>
      </c>
      <c r="N989" s="48" t="s">
        <v>20</v>
      </c>
      <c r="O989" s="48" t="s">
        <v>378</v>
      </c>
      <c r="P989" s="50">
        <v>1720780.84</v>
      </c>
      <c r="Q989" s="50">
        <v>1.0315234</v>
      </c>
      <c r="R989" s="50">
        <v>1775025.7027316561</v>
      </c>
      <c r="S989" s="74">
        <v>45690</v>
      </c>
      <c r="T989" s="48" t="s">
        <v>208</v>
      </c>
      <c r="U989" s="48" t="s">
        <v>882</v>
      </c>
      <c r="V989" s="48" t="s">
        <v>378</v>
      </c>
      <c r="W989" s="48"/>
    </row>
    <row r="990" spans="1:23" ht="15.75" x14ac:dyDescent="0.25">
      <c r="A990" s="48" t="s">
        <v>434</v>
      </c>
      <c r="B990" s="49">
        <v>45629</v>
      </c>
      <c r="C990" s="48" t="s">
        <v>916</v>
      </c>
      <c r="D990" s="48" t="s">
        <v>441</v>
      </c>
      <c r="E990" s="48" t="s">
        <v>858</v>
      </c>
      <c r="F990" s="48" t="s">
        <v>95</v>
      </c>
      <c r="G990" s="48" t="s">
        <v>96</v>
      </c>
      <c r="H990" s="48" t="s">
        <v>27</v>
      </c>
      <c r="I990" s="48" t="s">
        <v>435</v>
      </c>
      <c r="J990" s="48" t="s">
        <v>24</v>
      </c>
      <c r="K990" s="48" t="s">
        <v>22</v>
      </c>
      <c r="L990" s="48" t="s">
        <v>1132</v>
      </c>
      <c r="M990" s="48" t="s">
        <v>26</v>
      </c>
      <c r="N990" s="48" t="s">
        <v>20</v>
      </c>
      <c r="O990" s="48" t="s">
        <v>378</v>
      </c>
      <c r="P990" s="50">
        <v>1500000</v>
      </c>
      <c r="Q990" s="50">
        <v>1</v>
      </c>
      <c r="R990" s="50">
        <v>1500000</v>
      </c>
      <c r="S990" s="74">
        <v>45690</v>
      </c>
      <c r="T990" s="48" t="s">
        <v>311</v>
      </c>
      <c r="U990" s="48" t="s">
        <v>90</v>
      </c>
      <c r="V990" s="48" t="s">
        <v>378</v>
      </c>
      <c r="W990" s="48"/>
    </row>
    <row r="991" spans="1:23" ht="15.75" x14ac:dyDescent="0.25">
      <c r="A991" s="48" t="s">
        <v>254</v>
      </c>
      <c r="B991" s="49">
        <v>45662</v>
      </c>
      <c r="C991" s="48" t="s">
        <v>919</v>
      </c>
      <c r="D991" s="48" t="s">
        <v>1184</v>
      </c>
      <c r="E991" s="48" t="s">
        <v>856</v>
      </c>
      <c r="F991" s="48" t="s">
        <v>21</v>
      </c>
      <c r="G991" s="48" t="s">
        <v>22</v>
      </c>
      <c r="H991" s="48" t="s">
        <v>27</v>
      </c>
      <c r="I991" s="48" t="s">
        <v>3623</v>
      </c>
      <c r="J991" s="48" t="s">
        <v>1791</v>
      </c>
      <c r="K991" s="48" t="s">
        <v>22</v>
      </c>
      <c r="L991" s="48" t="s">
        <v>1132</v>
      </c>
      <c r="M991" s="48" t="s">
        <v>67</v>
      </c>
      <c r="N991" s="48" t="s">
        <v>20</v>
      </c>
      <c r="O991" s="48" t="s">
        <v>857</v>
      </c>
      <c r="P991" s="50">
        <v>127579.68</v>
      </c>
      <c r="Q991" s="50">
        <v>4</v>
      </c>
      <c r="R991" s="50">
        <v>510318.72</v>
      </c>
      <c r="S991" s="74">
        <v>45687</v>
      </c>
      <c r="T991" s="48" t="s">
        <v>255</v>
      </c>
      <c r="U991" s="48" t="s">
        <v>22</v>
      </c>
      <c r="V991" s="48" t="s">
        <v>857</v>
      </c>
      <c r="W991" s="48" t="s">
        <v>888</v>
      </c>
    </row>
    <row r="992" spans="1:23" ht="15.75" x14ac:dyDescent="0.25">
      <c r="A992" s="48" t="s">
        <v>555</v>
      </c>
      <c r="B992" s="49">
        <v>45671</v>
      </c>
      <c r="C992" s="48" t="s">
        <v>933</v>
      </c>
      <c r="D992" s="48" t="s">
        <v>509</v>
      </c>
      <c r="E992" s="48" t="s">
        <v>858</v>
      </c>
      <c r="F992" s="48" t="s">
        <v>373</v>
      </c>
      <c r="G992" s="48" t="s">
        <v>483</v>
      </c>
      <c r="H992" s="48" t="s">
        <v>27</v>
      </c>
      <c r="I992" s="48" t="s">
        <v>465</v>
      </c>
      <c r="J992" s="48" t="s">
        <v>72</v>
      </c>
      <c r="K992" s="48" t="s">
        <v>304</v>
      </c>
      <c r="L992" s="48" t="s">
        <v>1133</v>
      </c>
      <c r="M992" s="48" t="s">
        <v>26</v>
      </c>
      <c r="N992" s="48" t="s">
        <v>20</v>
      </c>
      <c r="O992" s="48" t="s">
        <v>857</v>
      </c>
      <c r="P992" s="50">
        <v>5706415</v>
      </c>
      <c r="Q992" s="50">
        <v>1</v>
      </c>
      <c r="R992" s="50">
        <v>5706415</v>
      </c>
      <c r="S992" s="74">
        <v>45687</v>
      </c>
      <c r="T992" s="48" t="s">
        <v>305</v>
      </c>
      <c r="U992" s="48" t="s">
        <v>304</v>
      </c>
      <c r="V992" s="48" t="s">
        <v>857</v>
      </c>
      <c r="W992" s="48"/>
    </row>
    <row r="993" spans="1:23" ht="15.75" x14ac:dyDescent="0.25">
      <c r="A993" s="48" t="s">
        <v>500</v>
      </c>
      <c r="B993" s="49">
        <v>45678</v>
      </c>
      <c r="C993" s="48" t="s">
        <v>916</v>
      </c>
      <c r="D993" s="48" t="s">
        <v>509</v>
      </c>
      <c r="E993" s="48" t="s">
        <v>856</v>
      </c>
      <c r="F993" s="48" t="s">
        <v>21</v>
      </c>
      <c r="G993" s="48" t="s">
        <v>22</v>
      </c>
      <c r="H993" s="48" t="s">
        <v>27</v>
      </c>
      <c r="I993" s="48" t="s">
        <v>501</v>
      </c>
      <c r="J993" s="48" t="s">
        <v>72</v>
      </c>
      <c r="K993" s="48" t="s">
        <v>487</v>
      </c>
      <c r="L993" s="48" t="s">
        <v>1140</v>
      </c>
      <c r="M993" s="48" t="s">
        <v>26</v>
      </c>
      <c r="N993" s="48" t="s">
        <v>20</v>
      </c>
      <c r="O993" s="48" t="s">
        <v>857</v>
      </c>
      <c r="P993" s="50">
        <v>514797.5</v>
      </c>
      <c r="Q993" s="50">
        <v>1</v>
      </c>
      <c r="R993" s="50">
        <v>514797.5</v>
      </c>
      <c r="S993" s="74">
        <v>45687</v>
      </c>
      <c r="T993" s="48" t="s">
        <v>305</v>
      </c>
      <c r="U993" s="48" t="s">
        <v>22</v>
      </c>
      <c r="V993" s="48" t="s">
        <v>857</v>
      </c>
      <c r="W993" s="48"/>
    </row>
    <row r="994" spans="1:23" ht="15.75" x14ac:dyDescent="0.25">
      <c r="A994" s="48" t="s">
        <v>365</v>
      </c>
      <c r="B994" s="49">
        <v>45677</v>
      </c>
      <c r="C994" s="48" t="s">
        <v>919</v>
      </c>
      <c r="D994" s="48" t="s">
        <v>1119</v>
      </c>
      <c r="E994" s="48" t="s">
        <v>856</v>
      </c>
      <c r="F994" s="48" t="s">
        <v>366</v>
      </c>
      <c r="G994" s="48" t="s">
        <v>367</v>
      </c>
      <c r="H994" s="48" t="s">
        <v>27</v>
      </c>
      <c r="I994" s="48" t="s">
        <v>368</v>
      </c>
      <c r="J994" s="48" t="s">
        <v>72</v>
      </c>
      <c r="K994" s="48" t="s">
        <v>367</v>
      </c>
      <c r="L994" s="48" t="s">
        <v>1136</v>
      </c>
      <c r="M994" s="48" t="s">
        <v>26</v>
      </c>
      <c r="N994" s="48" t="s">
        <v>20</v>
      </c>
      <c r="O994" s="48" t="s">
        <v>857</v>
      </c>
      <c r="P994" s="50">
        <v>3735037.03</v>
      </c>
      <c r="Q994" s="50">
        <v>1</v>
      </c>
      <c r="R994" s="50">
        <v>3735037.03</v>
      </c>
      <c r="S994" s="74">
        <v>45686</v>
      </c>
      <c r="T994" s="48" t="s">
        <v>369</v>
      </c>
      <c r="U994" s="48" t="s">
        <v>367</v>
      </c>
      <c r="V994" s="48" t="s">
        <v>857</v>
      </c>
      <c r="W994" s="48"/>
    </row>
    <row r="995" spans="1:23" ht="15.75" x14ac:dyDescent="0.25">
      <c r="A995" s="48" t="s">
        <v>372</v>
      </c>
      <c r="B995" s="49">
        <v>45685</v>
      </c>
      <c r="C995" s="48" t="s">
        <v>916</v>
      </c>
      <c r="D995" s="48" t="s">
        <v>509</v>
      </c>
      <c r="E995" s="48" t="s">
        <v>895</v>
      </c>
      <c r="F995" s="48" t="s">
        <v>373</v>
      </c>
      <c r="G995" s="48" t="s">
        <v>63</v>
      </c>
      <c r="H995" s="48" t="s">
        <v>27</v>
      </c>
      <c r="I995" s="48" t="s">
        <v>303</v>
      </c>
      <c r="J995" s="48" t="s">
        <v>72</v>
      </c>
      <c r="K995" s="48" t="s">
        <v>304</v>
      </c>
      <c r="L995" s="48" t="s">
        <v>1133</v>
      </c>
      <c r="M995" s="48" t="s">
        <v>26</v>
      </c>
      <c r="N995" s="48" t="s">
        <v>20</v>
      </c>
      <c r="O995" s="48" t="s">
        <v>378</v>
      </c>
      <c r="P995" s="50">
        <v>1793279.73</v>
      </c>
      <c r="Q995" s="50">
        <v>1</v>
      </c>
      <c r="R995" s="50">
        <v>1793279.73</v>
      </c>
      <c r="S995" s="74">
        <v>45685</v>
      </c>
      <c r="T995" s="48" t="s">
        <v>917</v>
      </c>
      <c r="U995" s="48" t="s">
        <v>22</v>
      </c>
      <c r="V995" s="48" t="s">
        <v>378</v>
      </c>
      <c r="W995" s="48" t="s">
        <v>896</v>
      </c>
    </row>
    <row r="996" spans="1:23" ht="15.75" x14ac:dyDescent="0.25">
      <c r="A996" s="48" t="s">
        <v>531</v>
      </c>
      <c r="B996" s="49">
        <v>45678</v>
      </c>
      <c r="C996" s="48" t="s">
        <v>918</v>
      </c>
      <c r="D996" s="48" t="s">
        <v>509</v>
      </c>
      <c r="E996" s="48" t="s">
        <v>858</v>
      </c>
      <c r="F996" s="48" t="s">
        <v>373</v>
      </c>
      <c r="G996" s="48" t="s">
        <v>483</v>
      </c>
      <c r="H996" s="48" t="s">
        <v>27</v>
      </c>
      <c r="I996" s="48" t="s">
        <v>532</v>
      </c>
      <c r="J996" s="48" t="s">
        <v>72</v>
      </c>
      <c r="K996" s="48" t="s">
        <v>304</v>
      </c>
      <c r="L996" s="48" t="s">
        <v>1133</v>
      </c>
      <c r="M996" s="48" t="s">
        <v>26</v>
      </c>
      <c r="N996" s="48" t="s">
        <v>20</v>
      </c>
      <c r="O996" s="48" t="s">
        <v>857</v>
      </c>
      <c r="P996" s="50">
        <v>645736.5</v>
      </c>
      <c r="Q996" s="50">
        <v>1</v>
      </c>
      <c r="R996" s="50">
        <v>645736.5</v>
      </c>
      <c r="S996" s="74">
        <v>45684</v>
      </c>
      <c r="T996" s="48" t="s">
        <v>461</v>
      </c>
      <c r="U996" s="48" t="s">
        <v>882</v>
      </c>
      <c r="V996" s="48" t="s">
        <v>378</v>
      </c>
      <c r="W996" s="48"/>
    </row>
    <row r="997" spans="1:23" ht="15.75" x14ac:dyDescent="0.25">
      <c r="A997" s="48" t="s">
        <v>531</v>
      </c>
      <c r="B997" s="49">
        <v>45678</v>
      </c>
      <c r="C997" s="48" t="s">
        <v>916</v>
      </c>
      <c r="D997" s="48" t="s">
        <v>509</v>
      </c>
      <c r="E997" s="48" t="s">
        <v>858</v>
      </c>
      <c r="F997" s="48" t="s">
        <v>373</v>
      </c>
      <c r="G997" s="48" t="s">
        <v>483</v>
      </c>
      <c r="H997" s="48" t="s">
        <v>27</v>
      </c>
      <c r="I997" s="48" t="s">
        <v>532</v>
      </c>
      <c r="J997" s="48" t="s">
        <v>72</v>
      </c>
      <c r="K997" s="48" t="s">
        <v>304</v>
      </c>
      <c r="L997" s="48" t="s">
        <v>1133</v>
      </c>
      <c r="M997" s="48" t="s">
        <v>26</v>
      </c>
      <c r="N997" s="48" t="s">
        <v>20</v>
      </c>
      <c r="O997" s="48" t="s">
        <v>857</v>
      </c>
      <c r="P997" s="50">
        <v>860982</v>
      </c>
      <c r="Q997" s="50">
        <v>1</v>
      </c>
      <c r="R997" s="50">
        <v>860982</v>
      </c>
      <c r="S997" s="74">
        <v>45684</v>
      </c>
      <c r="T997" s="48" t="s">
        <v>461</v>
      </c>
      <c r="U997" s="48" t="s">
        <v>882</v>
      </c>
      <c r="V997" s="48" t="s">
        <v>378</v>
      </c>
      <c r="W997" s="48"/>
    </row>
    <row r="998" spans="1:23" ht="15.75" x14ac:dyDescent="0.25">
      <c r="A998" s="48" t="s">
        <v>531</v>
      </c>
      <c r="B998" s="49">
        <v>45679</v>
      </c>
      <c r="C998" s="48" t="s">
        <v>1303</v>
      </c>
      <c r="D998" s="48" t="s">
        <v>509</v>
      </c>
      <c r="E998" s="48" t="s">
        <v>858</v>
      </c>
      <c r="F998" s="48" t="s">
        <v>373</v>
      </c>
      <c r="G998" s="48" t="s">
        <v>483</v>
      </c>
      <c r="H998" s="48" t="s">
        <v>27</v>
      </c>
      <c r="I998" s="48" t="s">
        <v>532</v>
      </c>
      <c r="J998" s="48" t="s">
        <v>72</v>
      </c>
      <c r="K998" s="48" t="s">
        <v>304</v>
      </c>
      <c r="L998" s="48" t="s">
        <v>1133</v>
      </c>
      <c r="M998" s="48" t="s">
        <v>26</v>
      </c>
      <c r="N998" s="48" t="s">
        <v>20</v>
      </c>
      <c r="O998" s="48" t="s">
        <v>857</v>
      </c>
      <c r="P998" s="50">
        <v>698738.84000000008</v>
      </c>
      <c r="Q998" s="50">
        <v>1</v>
      </c>
      <c r="R998" s="50">
        <v>698738.84000000008</v>
      </c>
      <c r="S998" s="74">
        <v>45684</v>
      </c>
      <c r="T998" s="48" t="s">
        <v>461</v>
      </c>
      <c r="U998" s="48" t="s">
        <v>304</v>
      </c>
      <c r="V998" s="48" t="s">
        <v>857</v>
      </c>
      <c r="W998" s="48"/>
    </row>
    <row r="999" spans="1:23" ht="15.75" x14ac:dyDescent="0.25">
      <c r="A999" s="48" t="s">
        <v>531</v>
      </c>
      <c r="B999" s="49">
        <v>45679</v>
      </c>
      <c r="C999" s="48" t="s">
        <v>1304</v>
      </c>
      <c r="D999" s="48" t="s">
        <v>509</v>
      </c>
      <c r="E999" s="48" t="s">
        <v>858</v>
      </c>
      <c r="F999" s="48" t="s">
        <v>373</v>
      </c>
      <c r="G999" s="48" t="s">
        <v>483</v>
      </c>
      <c r="H999" s="48" t="s">
        <v>27</v>
      </c>
      <c r="I999" s="48" t="s">
        <v>532</v>
      </c>
      <c r="J999" s="48" t="s">
        <v>72</v>
      </c>
      <c r="K999" s="48" t="s">
        <v>304</v>
      </c>
      <c r="L999" s="48" t="s">
        <v>1133</v>
      </c>
      <c r="M999" s="48" t="s">
        <v>26</v>
      </c>
      <c r="N999" s="48" t="s">
        <v>20</v>
      </c>
      <c r="O999" s="48" t="s">
        <v>857</v>
      </c>
      <c r="P999" s="50">
        <v>375729.16000000003</v>
      </c>
      <c r="Q999" s="50">
        <v>1</v>
      </c>
      <c r="R999" s="50">
        <v>375729.16000000003</v>
      </c>
      <c r="S999" s="74">
        <v>45684</v>
      </c>
      <c r="T999" s="48" t="s">
        <v>461</v>
      </c>
      <c r="U999" s="48" t="s">
        <v>483</v>
      </c>
      <c r="V999" s="48" t="s">
        <v>857</v>
      </c>
      <c r="W999" s="48"/>
    </row>
    <row r="1000" spans="1:23" ht="15.75" x14ac:dyDescent="0.25">
      <c r="A1000" s="48" t="s">
        <v>438</v>
      </c>
      <c r="B1000" s="49">
        <v>45629</v>
      </c>
      <c r="C1000" s="48" t="s">
        <v>916</v>
      </c>
      <c r="D1000" s="48" t="s">
        <v>441</v>
      </c>
      <c r="E1000" s="48" t="s">
        <v>858</v>
      </c>
      <c r="F1000" s="48" t="s">
        <v>95</v>
      </c>
      <c r="G1000" s="48" t="s">
        <v>96</v>
      </c>
      <c r="H1000" s="48" t="s">
        <v>27</v>
      </c>
      <c r="I1000" s="48" t="s">
        <v>439</v>
      </c>
      <c r="J1000" s="48" t="s">
        <v>24</v>
      </c>
      <c r="K1000" s="48" t="s">
        <v>22</v>
      </c>
      <c r="L1000" s="48" t="s">
        <v>1132</v>
      </c>
      <c r="M1000" s="48" t="s">
        <v>26</v>
      </c>
      <c r="N1000" s="48" t="s">
        <v>20</v>
      </c>
      <c r="O1000" s="48" t="s">
        <v>378</v>
      </c>
      <c r="P1000" s="50">
        <v>1000000</v>
      </c>
      <c r="Q1000" s="50">
        <v>1</v>
      </c>
      <c r="R1000" s="50">
        <v>1000000</v>
      </c>
      <c r="S1000" s="74">
        <v>45683</v>
      </c>
      <c r="T1000" s="48" t="s">
        <v>311</v>
      </c>
      <c r="U1000" s="48" t="s">
        <v>22</v>
      </c>
      <c r="V1000" s="48" t="s">
        <v>857</v>
      </c>
      <c r="W1000" s="48"/>
    </row>
    <row r="1001" spans="1:23" ht="15.75" x14ac:dyDescent="0.25">
      <c r="A1001" s="48" t="s">
        <v>555</v>
      </c>
      <c r="B1001" s="49">
        <v>45669</v>
      </c>
      <c r="C1001" s="48" t="s">
        <v>918</v>
      </c>
      <c r="D1001" s="48" t="s">
        <v>509</v>
      </c>
      <c r="E1001" s="48" t="s">
        <v>858</v>
      </c>
      <c r="F1001" s="48" t="s">
        <v>373</v>
      </c>
      <c r="G1001" s="48" t="s">
        <v>483</v>
      </c>
      <c r="H1001" s="48" t="s">
        <v>27</v>
      </c>
      <c r="I1001" s="48" t="s">
        <v>465</v>
      </c>
      <c r="J1001" s="48" t="s">
        <v>72</v>
      </c>
      <c r="K1001" s="48" t="s">
        <v>304</v>
      </c>
      <c r="L1001" s="48" t="s">
        <v>1133</v>
      </c>
      <c r="M1001" s="48" t="s">
        <v>26</v>
      </c>
      <c r="N1001" s="48" t="s">
        <v>20</v>
      </c>
      <c r="O1001" s="48" t="s">
        <v>857</v>
      </c>
      <c r="P1001" s="50">
        <v>4058925</v>
      </c>
      <c r="Q1001" s="50">
        <v>1</v>
      </c>
      <c r="R1001" s="50">
        <v>4058925</v>
      </c>
      <c r="S1001" s="74">
        <v>45680</v>
      </c>
      <c r="T1001" s="48" t="s">
        <v>305</v>
      </c>
      <c r="U1001" s="48" t="s">
        <v>882</v>
      </c>
      <c r="V1001" s="48" t="s">
        <v>378</v>
      </c>
      <c r="W1001" s="48"/>
    </row>
    <row r="1002" spans="1:23" ht="15.75" x14ac:dyDescent="0.25">
      <c r="A1002" s="48" t="s">
        <v>254</v>
      </c>
      <c r="B1002" s="49">
        <v>45670</v>
      </c>
      <c r="C1002" s="48" t="s">
        <v>934</v>
      </c>
      <c r="D1002" s="48" t="s">
        <v>1184</v>
      </c>
      <c r="E1002" s="48" t="s">
        <v>856</v>
      </c>
      <c r="F1002" s="48" t="s">
        <v>21</v>
      </c>
      <c r="G1002" s="48" t="s">
        <v>22</v>
      </c>
      <c r="H1002" s="48" t="s">
        <v>27</v>
      </c>
      <c r="I1002" s="48" t="s">
        <v>3623</v>
      </c>
      <c r="J1002" s="48" t="s">
        <v>1791</v>
      </c>
      <c r="K1002" s="48" t="s">
        <v>22</v>
      </c>
      <c r="L1002" s="48" t="s">
        <v>1132</v>
      </c>
      <c r="M1002" s="48" t="s">
        <v>67</v>
      </c>
      <c r="N1002" s="48" t="s">
        <v>20</v>
      </c>
      <c r="O1002" s="48" t="s">
        <v>857</v>
      </c>
      <c r="P1002" s="50">
        <v>220782.06</v>
      </c>
      <c r="Q1002" s="50">
        <v>3.97</v>
      </c>
      <c r="R1002" s="50">
        <v>876504.77820000006</v>
      </c>
      <c r="S1002" s="74">
        <v>45680</v>
      </c>
      <c r="T1002" s="48" t="s">
        <v>255</v>
      </c>
      <c r="U1002" s="48" t="s">
        <v>22</v>
      </c>
      <c r="V1002" s="48" t="s">
        <v>857</v>
      </c>
      <c r="W1002" s="48" t="s">
        <v>889</v>
      </c>
    </row>
    <row r="1003" spans="1:23" ht="15.75" x14ac:dyDescent="0.25">
      <c r="A1003" s="48" t="s">
        <v>306</v>
      </c>
      <c r="B1003" s="49">
        <v>45678</v>
      </c>
      <c r="C1003" s="48" t="s">
        <v>942</v>
      </c>
      <c r="D1003" s="48" t="s">
        <v>1118</v>
      </c>
      <c r="E1003" s="48" t="s">
        <v>858</v>
      </c>
      <c r="F1003" s="48" t="s">
        <v>62</v>
      </c>
      <c r="G1003" s="48" t="s">
        <v>70</v>
      </c>
      <c r="H1003" s="48" t="s">
        <v>70</v>
      </c>
      <c r="I1003" s="48" t="s">
        <v>307</v>
      </c>
      <c r="J1003" s="48" t="s">
        <v>72</v>
      </c>
      <c r="K1003" s="48" t="s">
        <v>213</v>
      </c>
      <c r="L1003" s="48" t="s">
        <v>1134</v>
      </c>
      <c r="M1003" s="48" t="s">
        <v>67</v>
      </c>
      <c r="N1003" s="48" t="s">
        <v>20</v>
      </c>
      <c r="O1003" s="48" t="s">
        <v>857</v>
      </c>
      <c r="P1003" s="50">
        <v>1351422.59</v>
      </c>
      <c r="Q1003" s="50">
        <v>4.5700901448959899</v>
      </c>
      <c r="R1003" s="50">
        <v>6176123.0601488147</v>
      </c>
      <c r="S1003" s="74">
        <v>45680</v>
      </c>
      <c r="T1003" s="48" t="s">
        <v>308</v>
      </c>
      <c r="U1003" s="48" t="s">
        <v>213</v>
      </c>
      <c r="V1003" s="48" t="s">
        <v>857</v>
      </c>
      <c r="W1003" s="48"/>
    </row>
    <row r="1004" spans="1:23" ht="15.75" x14ac:dyDescent="0.25">
      <c r="A1004" s="48" t="s">
        <v>306</v>
      </c>
      <c r="B1004" s="49">
        <v>45678</v>
      </c>
      <c r="C1004" s="48" t="s">
        <v>944</v>
      </c>
      <c r="D1004" s="48" t="s">
        <v>1118</v>
      </c>
      <c r="E1004" s="48" t="s">
        <v>858</v>
      </c>
      <c r="F1004" s="48" t="s">
        <v>62</v>
      </c>
      <c r="G1004" s="48" t="s">
        <v>70</v>
      </c>
      <c r="H1004" s="48" t="s">
        <v>70</v>
      </c>
      <c r="I1004" s="48" t="s">
        <v>307</v>
      </c>
      <c r="J1004" s="48" t="s">
        <v>72</v>
      </c>
      <c r="K1004" s="48" t="s">
        <v>213</v>
      </c>
      <c r="L1004" s="48" t="s">
        <v>1134</v>
      </c>
      <c r="M1004" s="48" t="s">
        <v>67</v>
      </c>
      <c r="N1004" s="48" t="s">
        <v>20</v>
      </c>
      <c r="O1004" s="48" t="s">
        <v>857</v>
      </c>
      <c r="P1004" s="50">
        <v>412134.26</v>
      </c>
      <c r="Q1004" s="50">
        <v>4.5700901448959899</v>
      </c>
      <c r="R1004" s="50">
        <v>1883490.7200000016</v>
      </c>
      <c r="S1004" s="74">
        <v>45680</v>
      </c>
      <c r="T1004" s="48" t="s">
        <v>308</v>
      </c>
      <c r="U1004" s="48" t="s">
        <v>213</v>
      </c>
      <c r="V1004" s="48" t="s">
        <v>857</v>
      </c>
      <c r="W1004" s="48"/>
    </row>
    <row r="1005" spans="1:23" ht="15.75" x14ac:dyDescent="0.25">
      <c r="A1005" s="48" t="s">
        <v>306</v>
      </c>
      <c r="B1005" s="49">
        <v>45678</v>
      </c>
      <c r="C1005" s="48" t="s">
        <v>943</v>
      </c>
      <c r="D1005" s="48" t="s">
        <v>1118</v>
      </c>
      <c r="E1005" s="48" t="s">
        <v>858</v>
      </c>
      <c r="F1005" s="48" t="s">
        <v>62</v>
      </c>
      <c r="G1005" s="48" t="s">
        <v>70</v>
      </c>
      <c r="H1005" s="48" t="s">
        <v>70</v>
      </c>
      <c r="I1005" s="48" t="s">
        <v>307</v>
      </c>
      <c r="J1005" s="48" t="s">
        <v>72</v>
      </c>
      <c r="K1005" s="48" t="s">
        <v>213</v>
      </c>
      <c r="L1005" s="48" t="s">
        <v>1134</v>
      </c>
      <c r="M1005" s="48" t="s">
        <v>67</v>
      </c>
      <c r="N1005" s="48" t="s">
        <v>20</v>
      </c>
      <c r="O1005" s="48" t="s">
        <v>857</v>
      </c>
      <c r="P1005" s="50">
        <v>474346.2</v>
      </c>
      <c r="Q1005" s="50">
        <v>4.5700901448959899</v>
      </c>
      <c r="R1005" s="50">
        <v>2167804.8938888623</v>
      </c>
      <c r="S1005" s="74">
        <v>45680</v>
      </c>
      <c r="T1005" s="48" t="s">
        <v>308</v>
      </c>
      <c r="U1005" s="48" t="s">
        <v>213</v>
      </c>
      <c r="V1005" s="48" t="s">
        <v>857</v>
      </c>
      <c r="W1005" s="48"/>
    </row>
    <row r="1006" spans="1:23" ht="15.75" x14ac:dyDescent="0.25">
      <c r="A1006" s="48" t="s">
        <v>365</v>
      </c>
      <c r="B1006" s="49">
        <v>45669</v>
      </c>
      <c r="C1006" s="48" t="s">
        <v>920</v>
      </c>
      <c r="D1006" s="48" t="s">
        <v>1119</v>
      </c>
      <c r="E1006" s="48" t="s">
        <v>856</v>
      </c>
      <c r="F1006" s="48" t="s">
        <v>366</v>
      </c>
      <c r="G1006" s="48" t="s">
        <v>367</v>
      </c>
      <c r="H1006" s="48" t="s">
        <v>27</v>
      </c>
      <c r="I1006" s="48" t="s">
        <v>368</v>
      </c>
      <c r="J1006" s="48" t="s">
        <v>72</v>
      </c>
      <c r="K1006" s="48" t="s">
        <v>367</v>
      </c>
      <c r="L1006" s="48" t="s">
        <v>1136</v>
      </c>
      <c r="M1006" s="48" t="s">
        <v>26</v>
      </c>
      <c r="N1006" s="48" t="s">
        <v>20</v>
      </c>
      <c r="O1006" s="48" t="s">
        <v>857</v>
      </c>
      <c r="P1006" s="50">
        <v>10921011.77</v>
      </c>
      <c r="Q1006" s="50">
        <v>1</v>
      </c>
      <c r="R1006" s="50">
        <v>10921011.77</v>
      </c>
      <c r="S1006" s="74">
        <v>45679</v>
      </c>
      <c r="T1006" s="48" t="s">
        <v>369</v>
      </c>
      <c r="U1006" s="48" t="s">
        <v>367</v>
      </c>
      <c r="V1006" s="48" t="s">
        <v>857</v>
      </c>
      <c r="W1006" s="48"/>
    </row>
    <row r="1007" spans="1:23" ht="15.75" x14ac:dyDescent="0.25">
      <c r="A1007" s="48" t="s">
        <v>436</v>
      </c>
      <c r="B1007" s="49">
        <v>45614</v>
      </c>
      <c r="C1007" s="48" t="s">
        <v>916</v>
      </c>
      <c r="D1007" s="48" t="s">
        <v>441</v>
      </c>
      <c r="E1007" s="48" t="s">
        <v>856</v>
      </c>
      <c r="F1007" s="48" t="s">
        <v>95</v>
      </c>
      <c r="G1007" s="48" t="s">
        <v>96</v>
      </c>
      <c r="H1007" s="48" t="s">
        <v>27</v>
      </c>
      <c r="I1007" s="48" t="s">
        <v>437</v>
      </c>
      <c r="J1007" s="48" t="s">
        <v>24</v>
      </c>
      <c r="K1007" s="48" t="s">
        <v>22</v>
      </c>
      <c r="L1007" s="48" t="s">
        <v>1132</v>
      </c>
      <c r="M1007" s="48" t="s">
        <v>26</v>
      </c>
      <c r="N1007" s="48" t="s">
        <v>20</v>
      </c>
      <c r="O1007" s="48" t="s">
        <v>378</v>
      </c>
      <c r="P1007" s="50">
        <v>1000000</v>
      </c>
      <c r="Q1007" s="50">
        <v>1</v>
      </c>
      <c r="R1007" s="50">
        <v>1000000</v>
      </c>
      <c r="S1007" s="74">
        <v>45679</v>
      </c>
      <c r="T1007" s="48" t="s">
        <v>311</v>
      </c>
      <c r="U1007" s="48" t="s">
        <v>22</v>
      </c>
      <c r="V1007" s="48" t="s">
        <v>857</v>
      </c>
      <c r="W1007" s="48"/>
    </row>
    <row r="1008" spans="1:23" ht="15.75" x14ac:dyDescent="0.25">
      <c r="A1008" s="48" t="s">
        <v>428</v>
      </c>
      <c r="B1008" s="49">
        <v>45650</v>
      </c>
      <c r="C1008" s="48" t="s">
        <v>916</v>
      </c>
      <c r="D1008" s="48" t="s">
        <v>441</v>
      </c>
      <c r="E1008" s="48" t="s">
        <v>856</v>
      </c>
      <c r="F1008" s="48" t="s">
        <v>95</v>
      </c>
      <c r="G1008" s="48" t="s">
        <v>96</v>
      </c>
      <c r="H1008" s="48" t="s">
        <v>27</v>
      </c>
      <c r="I1008" s="48" t="s">
        <v>429</v>
      </c>
      <c r="J1008" s="48" t="s">
        <v>24</v>
      </c>
      <c r="K1008" s="48" t="s">
        <v>22</v>
      </c>
      <c r="L1008" s="48" t="s">
        <v>1132</v>
      </c>
      <c r="M1008" s="48" t="s">
        <v>26</v>
      </c>
      <c r="N1008" s="48" t="s">
        <v>20</v>
      </c>
      <c r="O1008" s="48" t="s">
        <v>378</v>
      </c>
      <c r="P1008" s="50">
        <v>916299.21</v>
      </c>
      <c r="Q1008" s="50">
        <v>1</v>
      </c>
      <c r="R1008" s="50">
        <v>916299.21</v>
      </c>
      <c r="S1008" s="74">
        <v>45678</v>
      </c>
      <c r="T1008" s="48" t="s">
        <v>311</v>
      </c>
      <c r="U1008" s="48" t="s">
        <v>22</v>
      </c>
      <c r="V1008" s="48" t="s">
        <v>857</v>
      </c>
      <c r="W1008" s="48"/>
    </row>
    <row r="1009" spans="1:23" ht="15.75" x14ac:dyDescent="0.25">
      <c r="A1009" s="48" t="s">
        <v>321</v>
      </c>
      <c r="B1009" s="49">
        <v>45676</v>
      </c>
      <c r="C1009" s="48" t="s">
        <v>933</v>
      </c>
      <c r="D1009" s="48" t="s">
        <v>1118</v>
      </c>
      <c r="E1009" s="48" t="s">
        <v>858</v>
      </c>
      <c r="F1009" s="48" t="s">
        <v>62</v>
      </c>
      <c r="G1009" s="48" t="s">
        <v>70</v>
      </c>
      <c r="H1009" s="48" t="s">
        <v>70</v>
      </c>
      <c r="I1009" s="48" t="s">
        <v>322</v>
      </c>
      <c r="J1009" s="48" t="s">
        <v>72</v>
      </c>
      <c r="K1009" s="48" t="s">
        <v>213</v>
      </c>
      <c r="L1009" s="48" t="s">
        <v>1134</v>
      </c>
      <c r="M1009" s="48" t="s">
        <v>26</v>
      </c>
      <c r="N1009" s="48" t="s">
        <v>20</v>
      </c>
      <c r="O1009" s="48" t="s">
        <v>857</v>
      </c>
      <c r="P1009" s="50">
        <v>1937929.09</v>
      </c>
      <c r="Q1009" s="50">
        <v>1</v>
      </c>
      <c r="R1009" s="50">
        <v>1937929.09</v>
      </c>
      <c r="S1009" s="74">
        <v>45678</v>
      </c>
      <c r="T1009" s="48" t="s">
        <v>127</v>
      </c>
      <c r="U1009" s="48" t="s">
        <v>213</v>
      </c>
      <c r="V1009" s="48" t="s">
        <v>857</v>
      </c>
      <c r="W1009" s="48"/>
    </row>
    <row r="1010" spans="1:23" ht="15.75" x14ac:dyDescent="0.25">
      <c r="A1010" s="48" t="s">
        <v>555</v>
      </c>
      <c r="B1010" s="49">
        <v>45652</v>
      </c>
      <c r="C1010" s="48" t="s">
        <v>916</v>
      </c>
      <c r="D1010" s="48" t="s">
        <v>509</v>
      </c>
      <c r="E1010" s="48" t="s">
        <v>858</v>
      </c>
      <c r="F1010" s="48" t="s">
        <v>373</v>
      </c>
      <c r="G1010" s="48" t="s">
        <v>483</v>
      </c>
      <c r="H1010" s="48" t="s">
        <v>27</v>
      </c>
      <c r="I1010" s="48" t="s">
        <v>465</v>
      </c>
      <c r="J1010" s="48" t="s">
        <v>72</v>
      </c>
      <c r="K1010" s="48" t="s">
        <v>304</v>
      </c>
      <c r="L1010" s="48" t="s">
        <v>1133</v>
      </c>
      <c r="M1010" s="48" t="s">
        <v>26</v>
      </c>
      <c r="N1010" s="48" t="s">
        <v>20</v>
      </c>
      <c r="O1010" s="48" t="s">
        <v>857</v>
      </c>
      <c r="P1010" s="50">
        <v>5163730</v>
      </c>
      <c r="Q1010" s="50">
        <v>1</v>
      </c>
      <c r="R1010" s="50">
        <v>5163730</v>
      </c>
      <c r="S1010" s="74">
        <v>45677</v>
      </c>
      <c r="T1010" s="48" t="s">
        <v>305</v>
      </c>
      <c r="U1010" s="48" t="s">
        <v>304</v>
      </c>
      <c r="V1010" s="48" t="s">
        <v>857</v>
      </c>
      <c r="W1010" s="48"/>
    </row>
    <row r="1011" spans="1:23" ht="15.75" x14ac:dyDescent="0.25">
      <c r="A1011" s="48" t="s">
        <v>336</v>
      </c>
      <c r="B1011" s="49">
        <v>45609</v>
      </c>
      <c r="C1011" s="48" t="s">
        <v>918</v>
      </c>
      <c r="D1011" s="48" t="s">
        <v>441</v>
      </c>
      <c r="E1011" s="48" t="s">
        <v>858</v>
      </c>
      <c r="F1011" s="48" t="s">
        <v>95</v>
      </c>
      <c r="G1011" s="48" t="s">
        <v>96</v>
      </c>
      <c r="H1011" s="48" t="s">
        <v>27</v>
      </c>
      <c r="I1011" s="48" t="s">
        <v>263</v>
      </c>
      <c r="J1011" s="48" t="s">
        <v>24</v>
      </c>
      <c r="K1011" s="48" t="s">
        <v>22</v>
      </c>
      <c r="L1011" s="48" t="s">
        <v>1132</v>
      </c>
      <c r="M1011" s="48" t="s">
        <v>26</v>
      </c>
      <c r="N1011" s="48" t="s">
        <v>20</v>
      </c>
      <c r="O1011" s="48" t="s">
        <v>378</v>
      </c>
      <c r="P1011" s="50">
        <v>2144034.7000000002</v>
      </c>
      <c r="Q1011" s="50">
        <v>1</v>
      </c>
      <c r="R1011" s="50">
        <v>2144034.7000000002</v>
      </c>
      <c r="S1011" s="74">
        <v>45676</v>
      </c>
      <c r="T1011" s="48" t="s">
        <v>311</v>
      </c>
      <c r="U1011" s="48" t="s">
        <v>22</v>
      </c>
      <c r="V1011" s="48" t="s">
        <v>857</v>
      </c>
      <c r="W1011" s="48"/>
    </row>
    <row r="1012" spans="1:23" ht="15.75" x14ac:dyDescent="0.25">
      <c r="A1012" s="48" t="s">
        <v>258</v>
      </c>
      <c r="B1012" s="49">
        <v>45642</v>
      </c>
      <c r="C1012" s="48" t="s">
        <v>918</v>
      </c>
      <c r="D1012" s="48" t="s">
        <v>441</v>
      </c>
      <c r="E1012" s="48" t="s">
        <v>856</v>
      </c>
      <c r="F1012" s="48" t="s">
        <v>21</v>
      </c>
      <c r="G1012" s="48" t="s">
        <v>22</v>
      </c>
      <c r="H1012" s="48" t="s">
        <v>27</v>
      </c>
      <c r="I1012" s="48" t="s">
        <v>259</v>
      </c>
      <c r="J1012" s="48" t="s">
        <v>24</v>
      </c>
      <c r="K1012" s="48" t="s">
        <v>22</v>
      </c>
      <c r="L1012" s="48" t="s">
        <v>1132</v>
      </c>
      <c r="M1012" s="48" t="s">
        <v>26</v>
      </c>
      <c r="N1012" s="48" t="s">
        <v>20</v>
      </c>
      <c r="O1012" s="48" t="s">
        <v>857</v>
      </c>
      <c r="P1012" s="50">
        <v>1077000</v>
      </c>
      <c r="Q1012" s="50">
        <v>1</v>
      </c>
      <c r="R1012" s="50">
        <v>1077000</v>
      </c>
      <c r="S1012" s="74">
        <v>45676</v>
      </c>
      <c r="T1012" s="48" t="s">
        <v>117</v>
      </c>
      <c r="U1012" s="48" t="s">
        <v>22</v>
      </c>
      <c r="V1012" s="48" t="s">
        <v>857</v>
      </c>
      <c r="W1012" s="48"/>
    </row>
    <row r="1013" spans="1:23" ht="15.75" x14ac:dyDescent="0.25">
      <c r="A1013" s="48" t="s">
        <v>382</v>
      </c>
      <c r="B1013" s="49">
        <v>45614</v>
      </c>
      <c r="C1013" s="48" t="s">
        <v>916</v>
      </c>
      <c r="D1013" s="48" t="s">
        <v>441</v>
      </c>
      <c r="E1013" s="48" t="s">
        <v>856</v>
      </c>
      <c r="F1013" s="48" t="s">
        <v>95</v>
      </c>
      <c r="G1013" s="48" t="s">
        <v>96</v>
      </c>
      <c r="H1013" s="48" t="s">
        <v>27</v>
      </c>
      <c r="I1013" s="48" t="s">
        <v>263</v>
      </c>
      <c r="J1013" s="48" t="s">
        <v>24</v>
      </c>
      <c r="K1013" s="48" t="s">
        <v>22</v>
      </c>
      <c r="L1013" s="48" t="s">
        <v>1132</v>
      </c>
      <c r="M1013" s="48" t="s">
        <v>26</v>
      </c>
      <c r="N1013" s="48" t="s">
        <v>20</v>
      </c>
      <c r="O1013" s="48" t="s">
        <v>378</v>
      </c>
      <c r="P1013" s="50">
        <v>2009087.66</v>
      </c>
      <c r="Q1013" s="50">
        <v>1</v>
      </c>
      <c r="R1013" s="50">
        <v>2009087.66</v>
      </c>
      <c r="S1013" s="74">
        <v>45676</v>
      </c>
      <c r="T1013" s="48" t="s">
        <v>311</v>
      </c>
      <c r="U1013" s="48" t="s">
        <v>22</v>
      </c>
      <c r="V1013" s="48" t="s">
        <v>857</v>
      </c>
      <c r="W1013" s="48"/>
    </row>
    <row r="1014" spans="1:23" ht="15.75" x14ac:dyDescent="0.25">
      <c r="A1014" s="48" t="s">
        <v>489</v>
      </c>
      <c r="B1014" s="49">
        <v>45645</v>
      </c>
      <c r="C1014" s="48" t="s">
        <v>916</v>
      </c>
      <c r="D1014" s="48" t="s">
        <v>509</v>
      </c>
      <c r="E1014" s="48" t="s">
        <v>858</v>
      </c>
      <c r="F1014" s="48" t="s">
        <v>21</v>
      </c>
      <c r="G1014" s="48" t="s">
        <v>22</v>
      </c>
      <c r="H1014" s="48" t="s">
        <v>27</v>
      </c>
      <c r="I1014" s="48" t="s">
        <v>490</v>
      </c>
      <c r="J1014" s="48" t="s">
        <v>72</v>
      </c>
      <c r="K1014" s="48" t="s">
        <v>487</v>
      </c>
      <c r="L1014" s="48" t="s">
        <v>1140</v>
      </c>
      <c r="M1014" s="48" t="s">
        <v>26</v>
      </c>
      <c r="N1014" s="48" t="s">
        <v>20</v>
      </c>
      <c r="O1014" s="48" t="s">
        <v>857</v>
      </c>
      <c r="P1014" s="50">
        <v>858548.04</v>
      </c>
      <c r="Q1014" s="50">
        <v>1</v>
      </c>
      <c r="R1014" s="50">
        <v>858548.04</v>
      </c>
      <c r="S1014" s="74">
        <v>45672</v>
      </c>
      <c r="T1014" s="48" t="s">
        <v>305</v>
      </c>
      <c r="U1014" s="48" t="s">
        <v>22</v>
      </c>
      <c r="V1014" s="48" t="s">
        <v>378</v>
      </c>
      <c r="W1014" s="48"/>
    </row>
    <row r="1015" spans="1:23" ht="15.75" x14ac:dyDescent="0.25">
      <c r="A1015" s="48" t="s">
        <v>440</v>
      </c>
      <c r="B1015" s="49">
        <v>45627</v>
      </c>
      <c r="C1015" s="48" t="s">
        <v>916</v>
      </c>
      <c r="D1015" s="48" t="s">
        <v>441</v>
      </c>
      <c r="E1015" s="48" t="s">
        <v>856</v>
      </c>
      <c r="F1015" s="48" t="s">
        <v>95</v>
      </c>
      <c r="G1015" s="48" t="s">
        <v>96</v>
      </c>
      <c r="H1015" s="48" t="s">
        <v>27</v>
      </c>
      <c r="I1015" s="48" t="s">
        <v>442</v>
      </c>
      <c r="J1015" s="48" t="s">
        <v>24</v>
      </c>
      <c r="K1015" s="48" t="s">
        <v>22</v>
      </c>
      <c r="L1015" s="48" t="s">
        <v>1132</v>
      </c>
      <c r="M1015" s="48" t="s">
        <v>26</v>
      </c>
      <c r="N1015" s="48" t="s">
        <v>20</v>
      </c>
      <c r="O1015" s="48" t="s">
        <v>378</v>
      </c>
      <c r="P1015" s="50">
        <v>209264.52</v>
      </c>
      <c r="Q1015" s="50">
        <v>1</v>
      </c>
      <c r="R1015" s="50">
        <v>209264.52</v>
      </c>
      <c r="S1015" s="74">
        <v>45672</v>
      </c>
      <c r="T1015" s="48" t="s">
        <v>311</v>
      </c>
      <c r="U1015" s="48" t="s">
        <v>22</v>
      </c>
      <c r="V1015" s="48" t="s">
        <v>857</v>
      </c>
      <c r="W1015" s="48"/>
    </row>
    <row r="1016" spans="1:23" ht="15.75" x14ac:dyDescent="0.25">
      <c r="A1016" s="48" t="s">
        <v>306</v>
      </c>
      <c r="B1016" s="49">
        <v>45650</v>
      </c>
      <c r="C1016" s="48" t="s">
        <v>945</v>
      </c>
      <c r="D1016" s="48" t="s">
        <v>1118</v>
      </c>
      <c r="E1016" s="48" t="s">
        <v>858</v>
      </c>
      <c r="F1016" s="48" t="s">
        <v>62</v>
      </c>
      <c r="G1016" s="48" t="s">
        <v>70</v>
      </c>
      <c r="H1016" s="48" t="s">
        <v>70</v>
      </c>
      <c r="I1016" s="48" t="s">
        <v>307</v>
      </c>
      <c r="J1016" s="48" t="s">
        <v>72</v>
      </c>
      <c r="K1016" s="48" t="s">
        <v>213</v>
      </c>
      <c r="L1016" s="48" t="s">
        <v>1134</v>
      </c>
      <c r="M1016" s="48" t="s">
        <v>67</v>
      </c>
      <c r="N1016" s="48" t="s">
        <v>20</v>
      </c>
      <c r="O1016" s="48" t="s">
        <v>857</v>
      </c>
      <c r="P1016" s="50">
        <v>196366.79</v>
      </c>
      <c r="Q1016" s="50">
        <v>4.5848000061517498</v>
      </c>
      <c r="R1016" s="50">
        <v>900302.45999999938</v>
      </c>
      <c r="S1016" s="74">
        <v>45672</v>
      </c>
      <c r="T1016" s="48" t="s">
        <v>308</v>
      </c>
      <c r="U1016" s="48" t="s">
        <v>213</v>
      </c>
      <c r="V1016" s="48" t="s">
        <v>857</v>
      </c>
      <c r="W1016" s="48"/>
    </row>
    <row r="1017" spans="1:23" ht="15.75" x14ac:dyDescent="0.25">
      <c r="A1017" s="48" t="s">
        <v>365</v>
      </c>
      <c r="B1017" s="49">
        <v>45663</v>
      </c>
      <c r="C1017" s="48" t="s">
        <v>921</v>
      </c>
      <c r="D1017" s="48" t="s">
        <v>1119</v>
      </c>
      <c r="E1017" s="48" t="s">
        <v>856</v>
      </c>
      <c r="F1017" s="48" t="s">
        <v>366</v>
      </c>
      <c r="G1017" s="48" t="s">
        <v>367</v>
      </c>
      <c r="H1017" s="48" t="s">
        <v>27</v>
      </c>
      <c r="I1017" s="48" t="s">
        <v>368</v>
      </c>
      <c r="J1017" s="48" t="s">
        <v>72</v>
      </c>
      <c r="K1017" s="48" t="s">
        <v>367</v>
      </c>
      <c r="L1017" s="48" t="s">
        <v>1136</v>
      </c>
      <c r="M1017" s="48" t="s">
        <v>26</v>
      </c>
      <c r="N1017" s="48" t="s">
        <v>20</v>
      </c>
      <c r="O1017" s="48" t="s">
        <v>857</v>
      </c>
      <c r="P1017" s="50">
        <v>73154896.200000003</v>
      </c>
      <c r="Q1017" s="50">
        <v>1</v>
      </c>
      <c r="R1017" s="50">
        <v>73154896.200000003</v>
      </c>
      <c r="S1017" s="74">
        <v>45669</v>
      </c>
      <c r="T1017" s="48" t="s">
        <v>369</v>
      </c>
      <c r="U1017" s="48" t="s">
        <v>367</v>
      </c>
      <c r="V1017" s="48" t="s">
        <v>857</v>
      </c>
      <c r="W1017" s="48"/>
    </row>
    <row r="1018" spans="1:23" ht="15.75" x14ac:dyDescent="0.25">
      <c r="A1018" s="48" t="s">
        <v>302</v>
      </c>
      <c r="B1018" s="49">
        <v>45631</v>
      </c>
      <c r="C1018" s="48" t="s">
        <v>916</v>
      </c>
      <c r="D1018" s="48" t="s">
        <v>509</v>
      </c>
      <c r="E1018" s="48" t="s">
        <v>856</v>
      </c>
      <c r="F1018" s="48" t="s">
        <v>21</v>
      </c>
      <c r="G1018" s="48" t="s">
        <v>22</v>
      </c>
      <c r="H1018" s="48" t="s">
        <v>27</v>
      </c>
      <c r="I1018" s="48" t="s">
        <v>303</v>
      </c>
      <c r="J1018" s="48" t="s">
        <v>72</v>
      </c>
      <c r="K1018" s="48" t="s">
        <v>304</v>
      </c>
      <c r="L1018" s="48" t="s">
        <v>1133</v>
      </c>
      <c r="M1018" s="48" t="s">
        <v>26</v>
      </c>
      <c r="N1018" s="48" t="s">
        <v>20</v>
      </c>
      <c r="O1018" s="48" t="s">
        <v>857</v>
      </c>
      <c r="P1018" s="50">
        <v>1970061.04</v>
      </c>
      <c r="Q1018" s="50">
        <v>1</v>
      </c>
      <c r="R1018" s="50">
        <v>1970061.04</v>
      </c>
      <c r="S1018" s="74">
        <v>45667</v>
      </c>
      <c r="T1018" s="48" t="s">
        <v>305</v>
      </c>
      <c r="U1018" s="48" t="s">
        <v>22</v>
      </c>
      <c r="V1018" s="48" t="s">
        <v>378</v>
      </c>
      <c r="W1018" s="48"/>
    </row>
    <row r="1019" spans="1:23" ht="15.75" x14ac:dyDescent="0.25">
      <c r="A1019" s="48" t="s">
        <v>416</v>
      </c>
      <c r="B1019" s="49">
        <v>45606</v>
      </c>
      <c r="C1019" s="48" t="s">
        <v>916</v>
      </c>
      <c r="D1019" s="48">
        <v>0</v>
      </c>
      <c r="E1019" s="48" t="s">
        <v>858</v>
      </c>
      <c r="F1019" s="48" t="s">
        <v>95</v>
      </c>
      <c r="G1019" s="48" t="s">
        <v>96</v>
      </c>
      <c r="H1019" s="48" t="s">
        <v>27</v>
      </c>
      <c r="I1019" s="48" t="s">
        <v>417</v>
      </c>
      <c r="J1019" s="48" t="s">
        <v>24</v>
      </c>
      <c r="K1019" s="48" t="s">
        <v>413</v>
      </c>
      <c r="L1019" s="48" t="s">
        <v>917</v>
      </c>
      <c r="M1019" s="48" t="s">
        <v>26</v>
      </c>
      <c r="N1019" s="48" t="s">
        <v>20</v>
      </c>
      <c r="O1019" s="48" t="s">
        <v>378</v>
      </c>
      <c r="P1019" s="50">
        <v>5000000</v>
      </c>
      <c r="Q1019" s="50">
        <v>1</v>
      </c>
      <c r="R1019" s="50">
        <v>5000000</v>
      </c>
      <c r="S1019" s="74">
        <v>45666</v>
      </c>
      <c r="T1019" s="48" t="s">
        <v>311</v>
      </c>
      <c r="U1019" s="48" t="s">
        <v>878</v>
      </c>
      <c r="V1019" s="48" t="s">
        <v>378</v>
      </c>
      <c r="W1019" s="48" t="s">
        <v>880</v>
      </c>
    </row>
    <row r="1020" spans="1:23" ht="15.75" x14ac:dyDescent="0.25">
      <c r="A1020" s="48" t="s">
        <v>418</v>
      </c>
      <c r="B1020" s="49">
        <v>45601</v>
      </c>
      <c r="C1020" s="48" t="s">
        <v>916</v>
      </c>
      <c r="D1020" s="48">
        <v>0</v>
      </c>
      <c r="E1020" s="48" t="s">
        <v>856</v>
      </c>
      <c r="F1020" s="48" t="s">
        <v>95</v>
      </c>
      <c r="G1020" s="48" t="s">
        <v>96</v>
      </c>
      <c r="H1020" s="48" t="s">
        <v>27</v>
      </c>
      <c r="I1020" s="48" t="s">
        <v>419</v>
      </c>
      <c r="J1020" s="48" t="s">
        <v>24</v>
      </c>
      <c r="K1020" s="48" t="s">
        <v>413</v>
      </c>
      <c r="L1020" s="48" t="s">
        <v>917</v>
      </c>
      <c r="M1020" s="48" t="s">
        <v>26</v>
      </c>
      <c r="N1020" s="48" t="s">
        <v>20</v>
      </c>
      <c r="O1020" s="48" t="s">
        <v>378</v>
      </c>
      <c r="P1020" s="50">
        <v>2120837</v>
      </c>
      <c r="Q1020" s="50">
        <v>1</v>
      </c>
      <c r="R1020" s="50">
        <v>2120837</v>
      </c>
      <c r="S1020" s="74">
        <v>45666</v>
      </c>
      <c r="T1020" s="48" t="s">
        <v>311</v>
      </c>
      <c r="U1020" s="48" t="s">
        <v>213</v>
      </c>
      <c r="V1020" s="48" t="s">
        <v>378</v>
      </c>
      <c r="W1020" s="48" t="s">
        <v>876</v>
      </c>
    </row>
    <row r="1021" spans="1:23" ht="15.75" x14ac:dyDescent="0.25">
      <c r="A1021" s="48" t="s">
        <v>420</v>
      </c>
      <c r="B1021" s="49">
        <v>45587</v>
      </c>
      <c r="C1021" s="48" t="s">
        <v>916</v>
      </c>
      <c r="D1021" s="48" t="s">
        <v>1181</v>
      </c>
      <c r="E1021" s="48" t="s">
        <v>856</v>
      </c>
      <c r="F1021" s="48" t="s">
        <v>95</v>
      </c>
      <c r="G1021" s="48" t="s">
        <v>96</v>
      </c>
      <c r="H1021" s="48" t="s">
        <v>27</v>
      </c>
      <c r="I1021" s="48" t="s">
        <v>39</v>
      </c>
      <c r="J1021" s="48" t="s">
        <v>80</v>
      </c>
      <c r="K1021" s="48" t="s">
        <v>81</v>
      </c>
      <c r="L1021" s="48" t="s">
        <v>1139</v>
      </c>
      <c r="M1021" s="48" t="s">
        <v>26</v>
      </c>
      <c r="N1021" s="48" t="s">
        <v>20</v>
      </c>
      <c r="O1021" s="48" t="s">
        <v>378</v>
      </c>
      <c r="P1021" s="50">
        <v>1876828.68</v>
      </c>
      <c r="Q1021" s="50">
        <v>1</v>
      </c>
      <c r="R1021" s="50">
        <v>1876828.68</v>
      </c>
      <c r="S1021" s="74">
        <v>45666</v>
      </c>
      <c r="T1021" s="48" t="s">
        <v>408</v>
      </c>
      <c r="U1021" s="48" t="s">
        <v>377</v>
      </c>
      <c r="V1021" s="48" t="s">
        <v>857</v>
      </c>
      <c r="W1021" s="48"/>
    </row>
    <row r="1022" spans="1:23" ht="15.75" x14ac:dyDescent="0.25">
      <c r="A1022" s="48" t="s">
        <v>319</v>
      </c>
      <c r="B1022" s="49">
        <v>45663</v>
      </c>
      <c r="C1022" s="48" t="s">
        <v>918</v>
      </c>
      <c r="D1022" s="48" t="s">
        <v>1118</v>
      </c>
      <c r="E1022" s="48" t="s">
        <v>858</v>
      </c>
      <c r="F1022" s="48" t="s">
        <v>62</v>
      </c>
      <c r="G1022" s="48" t="s">
        <v>70</v>
      </c>
      <c r="H1022" s="48" t="s">
        <v>70</v>
      </c>
      <c r="I1022" s="48" t="s">
        <v>71</v>
      </c>
      <c r="J1022" s="48" t="s">
        <v>72</v>
      </c>
      <c r="K1022" s="48" t="s">
        <v>213</v>
      </c>
      <c r="L1022" s="48" t="s">
        <v>1134</v>
      </c>
      <c r="M1022" s="48" t="s">
        <v>67</v>
      </c>
      <c r="N1022" s="48" t="s">
        <v>20</v>
      </c>
      <c r="O1022" s="48" t="s">
        <v>857</v>
      </c>
      <c r="P1022" s="50">
        <v>233918.41</v>
      </c>
      <c r="Q1022" s="50">
        <v>3.89</v>
      </c>
      <c r="R1022" s="50">
        <v>909942.61490000004</v>
      </c>
      <c r="S1022" s="74">
        <v>45665</v>
      </c>
      <c r="T1022" s="48" t="s">
        <v>917</v>
      </c>
      <c r="U1022" s="48" t="s">
        <v>213</v>
      </c>
      <c r="V1022" s="48" t="s">
        <v>857</v>
      </c>
      <c r="W1022" s="48"/>
    </row>
    <row r="1023" spans="1:23" ht="15.75" x14ac:dyDescent="0.25">
      <c r="A1023" s="48" t="s">
        <v>464</v>
      </c>
      <c r="B1023" s="49">
        <v>45637</v>
      </c>
      <c r="C1023" s="48" t="s">
        <v>918</v>
      </c>
      <c r="D1023" s="48" t="s">
        <v>509</v>
      </c>
      <c r="E1023" s="48" t="s">
        <v>858</v>
      </c>
      <c r="F1023" s="48" t="s">
        <v>373</v>
      </c>
      <c r="G1023" s="48" t="s">
        <v>63</v>
      </c>
      <c r="H1023" s="48" t="s">
        <v>27</v>
      </c>
      <c r="I1023" s="48" t="s">
        <v>465</v>
      </c>
      <c r="J1023" s="48" t="s">
        <v>72</v>
      </c>
      <c r="K1023" s="48" t="s">
        <v>304</v>
      </c>
      <c r="L1023" s="48" t="s">
        <v>1133</v>
      </c>
      <c r="M1023" s="48" t="s">
        <v>26</v>
      </c>
      <c r="N1023" s="48" t="s">
        <v>20</v>
      </c>
      <c r="O1023" s="48" t="s">
        <v>857</v>
      </c>
      <c r="P1023" s="50">
        <v>4103775</v>
      </c>
      <c r="Q1023" s="50">
        <v>1</v>
      </c>
      <c r="R1023" s="50">
        <v>4103775</v>
      </c>
      <c r="S1023" s="74">
        <v>45665</v>
      </c>
      <c r="T1023" s="48" t="s">
        <v>305</v>
      </c>
      <c r="U1023" s="48" t="s">
        <v>304</v>
      </c>
      <c r="V1023" s="48" t="s">
        <v>857</v>
      </c>
      <c r="W1023" s="48"/>
    </row>
    <row r="1024" spans="1:23" ht="15.75" x14ac:dyDescent="0.25">
      <c r="A1024" s="48" t="s">
        <v>411</v>
      </c>
      <c r="B1024" s="49">
        <v>45601</v>
      </c>
      <c r="C1024" s="48" t="s">
        <v>916</v>
      </c>
      <c r="D1024" s="48">
        <v>0</v>
      </c>
      <c r="E1024" s="48" t="s">
        <v>858</v>
      </c>
      <c r="F1024" s="48" t="s">
        <v>95</v>
      </c>
      <c r="G1024" s="48" t="s">
        <v>96</v>
      </c>
      <c r="H1024" s="48" t="s">
        <v>27</v>
      </c>
      <c r="I1024" s="48" t="s">
        <v>412</v>
      </c>
      <c r="J1024" s="48" t="s">
        <v>24</v>
      </c>
      <c r="K1024" s="48" t="s">
        <v>413</v>
      </c>
      <c r="L1024" s="48" t="s">
        <v>917</v>
      </c>
      <c r="M1024" s="48" t="s">
        <v>26</v>
      </c>
      <c r="N1024" s="48" t="s">
        <v>20</v>
      </c>
      <c r="O1024" s="48" t="s">
        <v>378</v>
      </c>
      <c r="P1024" s="50">
        <v>1978910.18</v>
      </c>
      <c r="Q1024" s="50">
        <v>1</v>
      </c>
      <c r="R1024" s="50">
        <v>1978910.18</v>
      </c>
      <c r="S1024" s="74">
        <v>45665</v>
      </c>
      <c r="T1024" s="48" t="s">
        <v>311</v>
      </c>
      <c r="U1024" s="48" t="s">
        <v>213</v>
      </c>
      <c r="V1024" s="48" t="s">
        <v>378</v>
      </c>
      <c r="W1024" s="48" t="s">
        <v>877</v>
      </c>
    </row>
    <row r="1025" spans="1:23" ht="15.75" x14ac:dyDescent="0.25">
      <c r="A1025" s="48" t="s">
        <v>454</v>
      </c>
      <c r="B1025" s="49">
        <v>45587</v>
      </c>
      <c r="C1025" s="48" t="s">
        <v>916</v>
      </c>
      <c r="D1025" s="48" t="s">
        <v>441</v>
      </c>
      <c r="E1025" s="48" t="s">
        <v>856</v>
      </c>
      <c r="F1025" s="48" t="s">
        <v>95</v>
      </c>
      <c r="G1025" s="48" t="s">
        <v>96</v>
      </c>
      <c r="H1025" s="48" t="s">
        <v>27</v>
      </c>
      <c r="I1025" s="48" t="s">
        <v>455</v>
      </c>
      <c r="J1025" s="48" t="s">
        <v>24</v>
      </c>
      <c r="K1025" s="48" t="s">
        <v>413</v>
      </c>
      <c r="L1025" s="48" t="s">
        <v>917</v>
      </c>
      <c r="M1025" s="48" t="s">
        <v>26</v>
      </c>
      <c r="N1025" s="48" t="s">
        <v>20</v>
      </c>
      <c r="O1025" s="48" t="s">
        <v>378</v>
      </c>
      <c r="P1025" s="50">
        <v>2500000</v>
      </c>
      <c r="Q1025" s="50">
        <v>1</v>
      </c>
      <c r="R1025" s="50">
        <v>2500000</v>
      </c>
      <c r="S1025" s="74">
        <v>45664</v>
      </c>
      <c r="T1025" s="48" t="s">
        <v>311</v>
      </c>
      <c r="U1025" s="48" t="s">
        <v>213</v>
      </c>
      <c r="V1025" s="48" t="s">
        <v>378</v>
      </c>
      <c r="W1025" s="48" t="s">
        <v>874</v>
      </c>
    </row>
    <row r="1026" spans="1:23" ht="15.75" x14ac:dyDescent="0.25">
      <c r="A1026" s="48" t="s">
        <v>470</v>
      </c>
      <c r="B1026" s="49">
        <v>45659</v>
      </c>
      <c r="C1026" s="48" t="s">
        <v>918</v>
      </c>
      <c r="D1026" s="48" t="s">
        <v>1119</v>
      </c>
      <c r="E1026" s="48" t="s">
        <v>858</v>
      </c>
      <c r="F1026" s="48" t="s">
        <v>366</v>
      </c>
      <c r="G1026" s="48" t="s">
        <v>367</v>
      </c>
      <c r="H1026" s="48" t="s">
        <v>27</v>
      </c>
      <c r="I1026" s="48" t="s">
        <v>453</v>
      </c>
      <c r="J1026" s="48" t="s">
        <v>72</v>
      </c>
      <c r="K1026" s="48" t="s">
        <v>367</v>
      </c>
      <c r="L1026" s="48" t="s">
        <v>1136</v>
      </c>
      <c r="M1026" s="48" t="s">
        <v>191</v>
      </c>
      <c r="N1026" s="48" t="s">
        <v>20</v>
      </c>
      <c r="O1026" s="48" t="s">
        <v>857</v>
      </c>
      <c r="P1026" s="50">
        <v>1240958</v>
      </c>
      <c r="Q1026" s="50">
        <v>1.0245</v>
      </c>
      <c r="R1026" s="50">
        <v>1271361.4709999999</v>
      </c>
      <c r="S1026" s="74">
        <v>45664</v>
      </c>
      <c r="T1026" s="48" t="s">
        <v>208</v>
      </c>
      <c r="U1026" s="48" t="s">
        <v>367</v>
      </c>
      <c r="V1026" s="48" t="s">
        <v>857</v>
      </c>
      <c r="W1026" s="48"/>
    </row>
    <row r="1027" spans="1:23" ht="15.75" x14ac:dyDescent="0.25">
      <c r="A1027" s="48" t="s">
        <v>470</v>
      </c>
      <c r="B1027" s="49">
        <v>45659</v>
      </c>
      <c r="C1027" s="48" t="s">
        <v>916</v>
      </c>
      <c r="D1027" s="48" t="s">
        <v>1119</v>
      </c>
      <c r="E1027" s="48" t="s">
        <v>858</v>
      </c>
      <c r="F1027" s="48" t="s">
        <v>366</v>
      </c>
      <c r="G1027" s="48" t="s">
        <v>367</v>
      </c>
      <c r="H1027" s="48" t="s">
        <v>27</v>
      </c>
      <c r="I1027" s="48" t="s">
        <v>453</v>
      </c>
      <c r="J1027" s="48" t="s">
        <v>72</v>
      </c>
      <c r="K1027" s="48" t="s">
        <v>367</v>
      </c>
      <c r="L1027" s="48" t="s">
        <v>1136</v>
      </c>
      <c r="M1027" s="48" t="s">
        <v>191</v>
      </c>
      <c r="N1027" s="48" t="s">
        <v>20</v>
      </c>
      <c r="O1027" s="48" t="s">
        <v>857</v>
      </c>
      <c r="P1027" s="50">
        <v>1193426.48</v>
      </c>
      <c r="Q1027" s="50">
        <v>1.0245</v>
      </c>
      <c r="R1027" s="50">
        <v>1222665.42876</v>
      </c>
      <c r="S1027" s="74">
        <v>45664</v>
      </c>
      <c r="T1027" s="48" t="s">
        <v>208</v>
      </c>
      <c r="U1027" s="48" t="s">
        <v>367</v>
      </c>
      <c r="V1027" s="48" t="s">
        <v>857</v>
      </c>
      <c r="W1027" s="48"/>
    </row>
    <row r="1028" spans="1:23" ht="15.75" x14ac:dyDescent="0.25">
      <c r="A1028" s="48" t="s">
        <v>414</v>
      </c>
      <c r="B1028" s="49">
        <v>45606</v>
      </c>
      <c r="C1028" s="48" t="s">
        <v>916</v>
      </c>
      <c r="D1028" s="48">
        <v>0</v>
      </c>
      <c r="E1028" s="48" t="s">
        <v>858</v>
      </c>
      <c r="F1028" s="48" t="s">
        <v>95</v>
      </c>
      <c r="G1028" s="48" t="s">
        <v>96</v>
      </c>
      <c r="H1028" s="48" t="s">
        <v>27</v>
      </c>
      <c r="I1028" s="48" t="s">
        <v>415</v>
      </c>
      <c r="J1028" s="48" t="s">
        <v>24</v>
      </c>
      <c r="K1028" s="48" t="s">
        <v>413</v>
      </c>
      <c r="L1028" s="48" t="s">
        <v>917</v>
      </c>
      <c r="M1028" s="48" t="s">
        <v>26</v>
      </c>
      <c r="N1028" s="48" t="s">
        <v>20</v>
      </c>
      <c r="O1028" s="48" t="s">
        <v>378</v>
      </c>
      <c r="P1028" s="50">
        <v>3055634</v>
      </c>
      <c r="Q1028" s="50">
        <v>1</v>
      </c>
      <c r="R1028" s="50">
        <v>3055634</v>
      </c>
      <c r="S1028" s="74">
        <v>45664</v>
      </c>
      <c r="T1028" s="48" t="s">
        <v>311</v>
      </c>
      <c r="U1028" s="48" t="s">
        <v>878</v>
      </c>
      <c r="V1028" s="48" t="s">
        <v>378</v>
      </c>
      <c r="W1028" s="48" t="s">
        <v>879</v>
      </c>
    </row>
    <row r="1029" spans="1:23" ht="15.75" x14ac:dyDescent="0.25">
      <c r="A1029" s="48" t="s">
        <v>468</v>
      </c>
      <c r="B1029" s="49">
        <v>45659</v>
      </c>
      <c r="C1029" s="48" t="s">
        <v>930</v>
      </c>
      <c r="D1029" s="48" t="s">
        <v>1119</v>
      </c>
      <c r="E1029" s="48" t="s">
        <v>856</v>
      </c>
      <c r="F1029" s="48" t="s">
        <v>366</v>
      </c>
      <c r="G1029" s="48" t="s">
        <v>367</v>
      </c>
      <c r="H1029" s="48" t="s">
        <v>27</v>
      </c>
      <c r="I1029" s="48" t="s">
        <v>469</v>
      </c>
      <c r="J1029" s="48" t="s">
        <v>72</v>
      </c>
      <c r="K1029" s="48" t="s">
        <v>367</v>
      </c>
      <c r="L1029" s="48" t="s">
        <v>1136</v>
      </c>
      <c r="M1029" s="48" t="s">
        <v>191</v>
      </c>
      <c r="N1029" s="48" t="s">
        <v>20</v>
      </c>
      <c r="O1029" s="48" t="s">
        <v>857</v>
      </c>
      <c r="P1029" s="50">
        <v>101319.7</v>
      </c>
      <c r="Q1029" s="50">
        <v>1.026</v>
      </c>
      <c r="R1029" s="50">
        <v>103954.0122</v>
      </c>
      <c r="S1029" s="74">
        <v>45663</v>
      </c>
      <c r="T1029" s="48" t="s">
        <v>208</v>
      </c>
      <c r="U1029" s="48" t="s">
        <v>367</v>
      </c>
      <c r="V1029" s="48" t="s">
        <v>857</v>
      </c>
      <c r="W1029" s="48"/>
    </row>
    <row r="1030" spans="1:23" ht="15.75" x14ac:dyDescent="0.25">
      <c r="A1030" s="48" t="s">
        <v>468</v>
      </c>
      <c r="B1030" s="49">
        <v>45659</v>
      </c>
      <c r="C1030" s="48" t="s">
        <v>929</v>
      </c>
      <c r="D1030" s="48" t="s">
        <v>1119</v>
      </c>
      <c r="E1030" s="48" t="s">
        <v>856</v>
      </c>
      <c r="F1030" s="48" t="s">
        <v>366</v>
      </c>
      <c r="G1030" s="48" t="s">
        <v>367</v>
      </c>
      <c r="H1030" s="48" t="s">
        <v>27</v>
      </c>
      <c r="I1030" s="48" t="s">
        <v>469</v>
      </c>
      <c r="J1030" s="48" t="s">
        <v>72</v>
      </c>
      <c r="K1030" s="48" t="s">
        <v>367</v>
      </c>
      <c r="L1030" s="48" t="s">
        <v>1136</v>
      </c>
      <c r="M1030" s="48" t="s">
        <v>191</v>
      </c>
      <c r="N1030" s="48" t="s">
        <v>20</v>
      </c>
      <c r="O1030" s="48" t="s">
        <v>857</v>
      </c>
      <c r="P1030" s="50">
        <v>395807.8</v>
      </c>
      <c r="Q1030" s="50">
        <v>1.026</v>
      </c>
      <c r="R1030" s="50">
        <v>406098.8028</v>
      </c>
      <c r="S1030" s="74">
        <v>45663</v>
      </c>
      <c r="T1030" s="48" t="s">
        <v>208</v>
      </c>
      <c r="U1030" s="48" t="s">
        <v>367</v>
      </c>
      <c r="V1030" s="48" t="s">
        <v>857</v>
      </c>
      <c r="W1030" s="48"/>
    </row>
    <row r="1031" spans="1:23" ht="15.75" x14ac:dyDescent="0.25">
      <c r="A1031" s="48" t="s">
        <v>388</v>
      </c>
      <c r="B1031" s="49">
        <v>45581</v>
      </c>
      <c r="C1031" s="48" t="s">
        <v>916</v>
      </c>
      <c r="D1031" s="48" t="s">
        <v>441</v>
      </c>
      <c r="E1031" s="48" t="s">
        <v>856</v>
      </c>
      <c r="F1031" s="48" t="s">
        <v>95</v>
      </c>
      <c r="G1031" s="48" t="s">
        <v>96</v>
      </c>
      <c r="H1031" s="48" t="s">
        <v>27</v>
      </c>
      <c r="I1031" s="48" t="s">
        <v>338</v>
      </c>
      <c r="J1031" s="48" t="s">
        <v>24</v>
      </c>
      <c r="K1031" s="48" t="s">
        <v>22</v>
      </c>
      <c r="L1031" s="48" t="s">
        <v>1132</v>
      </c>
      <c r="M1031" s="48" t="s">
        <v>26</v>
      </c>
      <c r="N1031" s="48" t="s">
        <v>20</v>
      </c>
      <c r="O1031" s="48" t="s">
        <v>378</v>
      </c>
      <c r="P1031" s="50">
        <v>1508807.25</v>
      </c>
      <c r="Q1031" s="50">
        <v>1</v>
      </c>
      <c r="R1031" s="50">
        <v>1508807.25</v>
      </c>
      <c r="S1031" s="74">
        <v>45662</v>
      </c>
      <c r="T1031" s="48" t="s">
        <v>311</v>
      </c>
      <c r="U1031" s="48" t="s">
        <v>22</v>
      </c>
      <c r="V1031" s="48" t="s">
        <v>857</v>
      </c>
      <c r="W1031" s="48"/>
    </row>
    <row r="1032" spans="1:23" ht="15.75" x14ac:dyDescent="0.25">
      <c r="A1032" s="48" t="s">
        <v>357</v>
      </c>
      <c r="B1032" s="49">
        <v>45582</v>
      </c>
      <c r="C1032" s="48" t="s">
        <v>916</v>
      </c>
      <c r="D1032" s="48" t="s">
        <v>441</v>
      </c>
      <c r="E1032" s="48" t="s">
        <v>856</v>
      </c>
      <c r="F1032" s="48" t="s">
        <v>95</v>
      </c>
      <c r="G1032" s="48" t="s">
        <v>96</v>
      </c>
      <c r="H1032" s="48" t="s">
        <v>27</v>
      </c>
      <c r="I1032" s="48" t="s">
        <v>358</v>
      </c>
      <c r="J1032" s="48" t="s">
        <v>24</v>
      </c>
      <c r="K1032" s="48" t="s">
        <v>22</v>
      </c>
      <c r="L1032" s="48" t="s">
        <v>1132</v>
      </c>
      <c r="M1032" s="48" t="s">
        <v>26</v>
      </c>
      <c r="N1032" s="48" t="s">
        <v>20</v>
      </c>
      <c r="O1032" s="48" t="s">
        <v>378</v>
      </c>
      <c r="P1032" s="50">
        <v>2000000</v>
      </c>
      <c r="Q1032" s="50">
        <v>1</v>
      </c>
      <c r="R1032" s="50">
        <v>2000000</v>
      </c>
      <c r="S1032" s="74">
        <v>45662</v>
      </c>
      <c r="T1032" s="48" t="s">
        <v>311</v>
      </c>
      <c r="U1032" s="48" t="s">
        <v>22</v>
      </c>
      <c r="V1032" s="48" t="s">
        <v>857</v>
      </c>
      <c r="W1032" s="48"/>
    </row>
    <row r="1033" spans="1:23" ht="15.75" x14ac:dyDescent="0.25">
      <c r="A1033" s="48" t="s">
        <v>320</v>
      </c>
      <c r="B1033" s="49">
        <v>45655</v>
      </c>
      <c r="C1033" s="48" t="s">
        <v>928</v>
      </c>
      <c r="D1033" s="48" t="s">
        <v>1118</v>
      </c>
      <c r="E1033" s="48" t="s">
        <v>858</v>
      </c>
      <c r="F1033" s="48" t="s">
        <v>62</v>
      </c>
      <c r="G1033" s="48" t="s">
        <v>70</v>
      </c>
      <c r="H1033" s="48" t="s">
        <v>70</v>
      </c>
      <c r="I1033" s="48" t="s">
        <v>316</v>
      </c>
      <c r="J1033" s="48" t="s">
        <v>72</v>
      </c>
      <c r="K1033" s="48" t="s">
        <v>213</v>
      </c>
      <c r="L1033" s="48" t="s">
        <v>1134</v>
      </c>
      <c r="M1033" s="48" t="s">
        <v>191</v>
      </c>
      <c r="N1033" s="48" t="s">
        <v>20</v>
      </c>
      <c r="O1033" s="48" t="s">
        <v>857</v>
      </c>
      <c r="P1033" s="50">
        <v>3002828.61</v>
      </c>
      <c r="Q1033" s="50">
        <v>1.0276000000000001</v>
      </c>
      <c r="R1033" s="50">
        <v>3085706.6796360002</v>
      </c>
      <c r="S1033" s="74">
        <v>45662</v>
      </c>
      <c r="T1033" s="48" t="s">
        <v>208</v>
      </c>
      <c r="U1033" s="48" t="s">
        <v>213</v>
      </c>
      <c r="V1033" s="48" t="s">
        <v>857</v>
      </c>
      <c r="W1033" s="48"/>
    </row>
    <row r="1034" spans="1:23" ht="15.75" x14ac:dyDescent="0.25">
      <c r="A1034" s="48" t="s">
        <v>460</v>
      </c>
      <c r="B1034" s="49">
        <v>45656</v>
      </c>
      <c r="C1034" s="48" t="s">
        <v>916</v>
      </c>
      <c r="D1034" s="48" t="s">
        <v>441</v>
      </c>
      <c r="E1034" s="48" t="s">
        <v>856</v>
      </c>
      <c r="F1034" s="48" t="s">
        <v>373</v>
      </c>
      <c r="G1034" s="48" t="s">
        <v>63</v>
      </c>
      <c r="H1034" s="48" t="s">
        <v>27</v>
      </c>
      <c r="I1034" s="48" t="s">
        <v>1541</v>
      </c>
      <c r="J1034" s="48" t="s">
        <v>72</v>
      </c>
      <c r="K1034" s="48" t="s">
        <v>22</v>
      </c>
      <c r="L1034" s="48" t="s">
        <v>1132</v>
      </c>
      <c r="M1034" s="48" t="s">
        <v>26</v>
      </c>
      <c r="N1034" s="48" t="s">
        <v>20</v>
      </c>
      <c r="O1034" s="48" t="s">
        <v>857</v>
      </c>
      <c r="P1034" s="50">
        <v>2354265.0499999998</v>
      </c>
      <c r="Q1034" s="50">
        <v>1</v>
      </c>
      <c r="R1034" s="50">
        <v>2354265.0499999998</v>
      </c>
      <c r="S1034" s="74">
        <v>45659</v>
      </c>
      <c r="T1034" s="48" t="s">
        <v>461</v>
      </c>
      <c r="U1034" s="48" t="s">
        <v>22</v>
      </c>
      <c r="V1034" s="48" t="s">
        <v>857</v>
      </c>
      <c r="W1034" s="48"/>
    </row>
    <row r="1035" spans="1:23" ht="15.75" x14ac:dyDescent="0.25">
      <c r="A1035" s="48" t="s">
        <v>396</v>
      </c>
      <c r="B1035" s="49">
        <v>45606</v>
      </c>
      <c r="C1035" s="48" t="s">
        <v>916</v>
      </c>
      <c r="D1035" s="48" t="s">
        <v>441</v>
      </c>
      <c r="E1035" s="48" t="s">
        <v>856</v>
      </c>
      <c r="F1035" s="48" t="s">
        <v>95</v>
      </c>
      <c r="G1035" s="48" t="s">
        <v>96</v>
      </c>
      <c r="H1035" s="48" t="s">
        <v>27</v>
      </c>
      <c r="I1035" s="48" t="s">
        <v>397</v>
      </c>
      <c r="J1035" s="48" t="s">
        <v>24</v>
      </c>
      <c r="K1035" s="48" t="s">
        <v>22</v>
      </c>
      <c r="L1035" s="48" t="s">
        <v>1132</v>
      </c>
      <c r="M1035" s="48" t="s">
        <v>26</v>
      </c>
      <c r="N1035" s="48" t="s">
        <v>20</v>
      </c>
      <c r="O1035" s="48" t="s">
        <v>378</v>
      </c>
      <c r="P1035" s="50">
        <v>897119.6</v>
      </c>
      <c r="Q1035" s="50">
        <v>1</v>
      </c>
      <c r="R1035" s="50">
        <v>897119.6</v>
      </c>
      <c r="S1035" s="74">
        <v>45657</v>
      </c>
      <c r="T1035" s="48" t="s">
        <v>311</v>
      </c>
      <c r="U1035" s="48" t="s">
        <v>22</v>
      </c>
      <c r="V1035" s="48" t="s">
        <v>857</v>
      </c>
      <c r="W1035" s="48"/>
    </row>
    <row r="1036" spans="1:23" ht="15.75" x14ac:dyDescent="0.25">
      <c r="A1036" s="48" t="s">
        <v>464</v>
      </c>
      <c r="B1036" s="49">
        <v>45637</v>
      </c>
      <c r="C1036" s="48" t="s">
        <v>916</v>
      </c>
      <c r="D1036" s="48" t="s">
        <v>509</v>
      </c>
      <c r="E1036" s="48" t="s">
        <v>858</v>
      </c>
      <c r="F1036" s="48" t="s">
        <v>373</v>
      </c>
      <c r="G1036" s="48" t="s">
        <v>63</v>
      </c>
      <c r="H1036" s="48" t="s">
        <v>27</v>
      </c>
      <c r="I1036" s="48" t="s">
        <v>465</v>
      </c>
      <c r="J1036" s="48" t="s">
        <v>72</v>
      </c>
      <c r="K1036" s="48" t="s">
        <v>304</v>
      </c>
      <c r="L1036" s="48" t="s">
        <v>1133</v>
      </c>
      <c r="M1036" s="48" t="s">
        <v>26</v>
      </c>
      <c r="N1036" s="48" t="s">
        <v>20</v>
      </c>
      <c r="O1036" s="48" t="s">
        <v>857</v>
      </c>
      <c r="P1036" s="50">
        <v>3402303.75</v>
      </c>
      <c r="Q1036" s="50">
        <v>1</v>
      </c>
      <c r="R1036" s="50">
        <v>3402303.75</v>
      </c>
      <c r="S1036" s="74">
        <v>45657</v>
      </c>
      <c r="T1036" s="48" t="s">
        <v>305</v>
      </c>
      <c r="U1036" s="48" t="s">
        <v>304</v>
      </c>
      <c r="V1036" s="48" t="s">
        <v>857</v>
      </c>
      <c r="W1036" s="48"/>
    </row>
    <row r="1037" spans="1:23" ht="15.75" x14ac:dyDescent="0.25">
      <c r="A1037" s="48" t="s">
        <v>375</v>
      </c>
      <c r="B1037" s="49">
        <v>45636</v>
      </c>
      <c r="C1037" s="48" t="s">
        <v>916</v>
      </c>
      <c r="D1037" s="48" t="s">
        <v>509</v>
      </c>
      <c r="E1037" s="48" t="s">
        <v>856</v>
      </c>
      <c r="F1037" s="48" t="s">
        <v>62</v>
      </c>
      <c r="G1037" s="48" t="s">
        <v>70</v>
      </c>
      <c r="H1037" s="48" t="s">
        <v>70</v>
      </c>
      <c r="I1037" s="48" t="s">
        <v>376</v>
      </c>
      <c r="J1037" s="48" t="s">
        <v>72</v>
      </c>
      <c r="K1037" s="48" t="s">
        <v>304</v>
      </c>
      <c r="L1037" s="48" t="s">
        <v>1133</v>
      </c>
      <c r="M1037" s="48" t="s">
        <v>26</v>
      </c>
      <c r="N1037" s="48" t="s">
        <v>20</v>
      </c>
      <c r="O1037" s="48" t="s">
        <v>857</v>
      </c>
      <c r="P1037" s="50">
        <v>7828481.25</v>
      </c>
      <c r="Q1037" s="50">
        <v>1</v>
      </c>
      <c r="R1037" s="50">
        <v>7828481.25</v>
      </c>
      <c r="S1037" s="74">
        <v>45657</v>
      </c>
      <c r="T1037" s="48" t="s">
        <v>379</v>
      </c>
      <c r="U1037" s="48" t="s">
        <v>304</v>
      </c>
      <c r="V1037" s="48" t="s">
        <v>857</v>
      </c>
      <c r="W1037" s="48"/>
    </row>
    <row r="1038" spans="1:23" ht="15.75" x14ac:dyDescent="0.25">
      <c r="A1038" s="48" t="s">
        <v>293</v>
      </c>
      <c r="B1038" s="49">
        <v>45582</v>
      </c>
      <c r="C1038" s="48" t="s">
        <v>916</v>
      </c>
      <c r="D1038" s="48" t="s">
        <v>441</v>
      </c>
      <c r="E1038" s="48" t="s">
        <v>856</v>
      </c>
      <c r="F1038" s="48" t="s">
        <v>21</v>
      </c>
      <c r="G1038" s="48" t="s">
        <v>22</v>
      </c>
      <c r="H1038" s="48" t="s">
        <v>27</v>
      </c>
      <c r="I1038" s="48" t="s">
        <v>294</v>
      </c>
      <c r="J1038" s="48" t="s">
        <v>24</v>
      </c>
      <c r="K1038" s="48" t="s">
        <v>22</v>
      </c>
      <c r="L1038" s="48" t="s">
        <v>1132</v>
      </c>
      <c r="M1038" s="48" t="s">
        <v>26</v>
      </c>
      <c r="N1038" s="48" t="s">
        <v>20</v>
      </c>
      <c r="O1038" s="48" t="s">
        <v>857</v>
      </c>
      <c r="P1038" s="50">
        <v>2575000</v>
      </c>
      <c r="Q1038" s="50">
        <v>1</v>
      </c>
      <c r="R1038" s="50">
        <v>2575000</v>
      </c>
      <c r="S1038" s="74">
        <v>45657</v>
      </c>
      <c r="T1038" s="48" t="s">
        <v>295</v>
      </c>
      <c r="U1038" s="48" t="s">
        <v>22</v>
      </c>
      <c r="V1038" s="48" t="s">
        <v>857</v>
      </c>
      <c r="W1038" s="48"/>
    </row>
    <row r="1039" spans="1:23" ht="15.75" x14ac:dyDescent="0.25">
      <c r="A1039" s="48" t="s">
        <v>365</v>
      </c>
      <c r="B1039" s="49">
        <v>45649</v>
      </c>
      <c r="C1039" s="48" t="s">
        <v>927</v>
      </c>
      <c r="D1039" s="48" t="s">
        <v>1119</v>
      </c>
      <c r="E1039" s="48" t="s">
        <v>856</v>
      </c>
      <c r="F1039" s="48" t="s">
        <v>366</v>
      </c>
      <c r="G1039" s="48" t="s">
        <v>367</v>
      </c>
      <c r="H1039" s="48" t="s">
        <v>27</v>
      </c>
      <c r="I1039" s="48" t="s">
        <v>368</v>
      </c>
      <c r="J1039" s="48" t="s">
        <v>72</v>
      </c>
      <c r="K1039" s="48" t="s">
        <v>367</v>
      </c>
      <c r="L1039" s="48" t="s">
        <v>1136</v>
      </c>
      <c r="M1039" s="48" t="s">
        <v>26</v>
      </c>
      <c r="N1039" s="48" t="s">
        <v>20</v>
      </c>
      <c r="O1039" s="48" t="s">
        <v>857</v>
      </c>
      <c r="P1039" s="50">
        <v>10121074.289999999</v>
      </c>
      <c r="Q1039" s="50">
        <v>1</v>
      </c>
      <c r="R1039" s="50">
        <v>10121074.289999999</v>
      </c>
      <c r="S1039" s="74">
        <v>45656</v>
      </c>
      <c r="T1039" s="48" t="s">
        <v>369</v>
      </c>
      <c r="U1039" s="48" t="s">
        <v>367</v>
      </c>
      <c r="V1039" s="48" t="s">
        <v>857</v>
      </c>
      <c r="W1039" s="48"/>
    </row>
    <row r="1040" spans="1:23" ht="15.75" x14ac:dyDescent="0.25">
      <c r="A1040" s="48" t="s">
        <v>306</v>
      </c>
      <c r="B1040" s="49">
        <v>45636</v>
      </c>
      <c r="C1040" s="48" t="s">
        <v>946</v>
      </c>
      <c r="D1040" s="48" t="s">
        <v>1118</v>
      </c>
      <c r="E1040" s="48" t="s">
        <v>858</v>
      </c>
      <c r="F1040" s="48" t="s">
        <v>62</v>
      </c>
      <c r="G1040" s="48" t="s">
        <v>70</v>
      </c>
      <c r="H1040" s="48" t="s">
        <v>70</v>
      </c>
      <c r="I1040" s="48" t="s">
        <v>307</v>
      </c>
      <c r="J1040" s="48" t="s">
        <v>72</v>
      </c>
      <c r="K1040" s="48" t="s">
        <v>213</v>
      </c>
      <c r="L1040" s="48" t="s">
        <v>1134</v>
      </c>
      <c r="M1040" s="48" t="s">
        <v>67</v>
      </c>
      <c r="N1040" s="48" t="s">
        <v>20</v>
      </c>
      <c r="O1040" s="48" t="s">
        <v>857</v>
      </c>
      <c r="P1040" s="50">
        <v>193251.49</v>
      </c>
      <c r="Q1040" s="50">
        <v>4.5848000064688499</v>
      </c>
      <c r="R1040" s="50">
        <v>886019.43260211486</v>
      </c>
      <c r="S1040" s="74">
        <v>45656</v>
      </c>
      <c r="T1040" s="48" t="s">
        <v>308</v>
      </c>
      <c r="U1040" s="48" t="s">
        <v>213</v>
      </c>
      <c r="V1040" s="48" t="s">
        <v>857</v>
      </c>
      <c r="W1040" s="48"/>
    </row>
    <row r="1041" spans="1:23" ht="15.75" x14ac:dyDescent="0.25">
      <c r="A1041" s="48" t="s">
        <v>365</v>
      </c>
      <c r="B1041" s="49">
        <v>45649</v>
      </c>
      <c r="C1041" s="48" t="s">
        <v>926</v>
      </c>
      <c r="D1041" s="48" t="s">
        <v>1119</v>
      </c>
      <c r="E1041" s="48" t="s">
        <v>856</v>
      </c>
      <c r="F1041" s="48" t="s">
        <v>366</v>
      </c>
      <c r="G1041" s="48" t="s">
        <v>367</v>
      </c>
      <c r="H1041" s="48" t="s">
        <v>27</v>
      </c>
      <c r="I1041" s="48" t="s">
        <v>368</v>
      </c>
      <c r="J1041" s="48" t="s">
        <v>72</v>
      </c>
      <c r="K1041" s="48" t="s">
        <v>367</v>
      </c>
      <c r="L1041" s="48" t="s">
        <v>1136</v>
      </c>
      <c r="M1041" s="48" t="s">
        <v>26</v>
      </c>
      <c r="N1041" s="48" t="s">
        <v>20</v>
      </c>
      <c r="O1041" s="48" t="s">
        <v>857</v>
      </c>
      <c r="P1041" s="50">
        <v>22410222.18</v>
      </c>
      <c r="Q1041" s="50">
        <v>1</v>
      </c>
      <c r="R1041" s="50">
        <v>22410222.18</v>
      </c>
      <c r="S1041" s="74">
        <v>45656</v>
      </c>
      <c r="T1041" s="48" t="s">
        <v>369</v>
      </c>
      <c r="U1041" s="48" t="s">
        <v>367</v>
      </c>
      <c r="V1041" s="48" t="s">
        <v>857</v>
      </c>
      <c r="W1041" s="48"/>
    </row>
    <row r="1042" spans="1:23" ht="15.75" x14ac:dyDescent="0.25">
      <c r="A1042" s="48" t="s">
        <v>336</v>
      </c>
      <c r="B1042" s="49">
        <v>45581</v>
      </c>
      <c r="C1042" s="48" t="s">
        <v>916</v>
      </c>
      <c r="D1042" s="48" t="s">
        <v>441</v>
      </c>
      <c r="E1042" s="48" t="s">
        <v>858</v>
      </c>
      <c r="F1042" s="48" t="s">
        <v>95</v>
      </c>
      <c r="G1042" s="48" t="s">
        <v>96</v>
      </c>
      <c r="H1042" s="48" t="s">
        <v>27</v>
      </c>
      <c r="I1042" s="48" t="s">
        <v>263</v>
      </c>
      <c r="J1042" s="48" t="s">
        <v>24</v>
      </c>
      <c r="K1042" s="48" t="s">
        <v>22</v>
      </c>
      <c r="L1042" s="48" t="s">
        <v>1132</v>
      </c>
      <c r="M1042" s="48" t="s">
        <v>26</v>
      </c>
      <c r="N1042" s="48" t="s">
        <v>20</v>
      </c>
      <c r="O1042" s="48" t="s">
        <v>378</v>
      </c>
      <c r="P1042" s="50">
        <v>416865.1</v>
      </c>
      <c r="Q1042" s="50">
        <v>1</v>
      </c>
      <c r="R1042" s="50">
        <v>416865.1</v>
      </c>
      <c r="S1042" s="74">
        <v>45655</v>
      </c>
      <c r="T1042" s="48" t="s">
        <v>311</v>
      </c>
      <c r="U1042" s="48" t="s">
        <v>869</v>
      </c>
      <c r="V1042" s="48" t="s">
        <v>857</v>
      </c>
      <c r="W1042" s="48"/>
    </row>
    <row r="1043" spans="1:23" ht="15.75" x14ac:dyDescent="0.25">
      <c r="A1043" s="48" t="s">
        <v>331</v>
      </c>
      <c r="B1043" s="49">
        <v>45573</v>
      </c>
      <c r="C1043" s="48" t="s">
        <v>916</v>
      </c>
      <c r="D1043" s="48" t="s">
        <v>441</v>
      </c>
      <c r="E1043" s="48" t="s">
        <v>856</v>
      </c>
      <c r="F1043" s="48" t="s">
        <v>95</v>
      </c>
      <c r="G1043" s="48" t="s">
        <v>96</v>
      </c>
      <c r="H1043" s="48" t="s">
        <v>27</v>
      </c>
      <c r="I1043" s="48" t="s">
        <v>332</v>
      </c>
      <c r="J1043" s="48" t="s">
        <v>24</v>
      </c>
      <c r="K1043" s="48" t="s">
        <v>22</v>
      </c>
      <c r="L1043" s="48" t="s">
        <v>1132</v>
      </c>
      <c r="M1043" s="48" t="s">
        <v>26</v>
      </c>
      <c r="N1043" s="48" t="s">
        <v>20</v>
      </c>
      <c r="O1043" s="48" t="s">
        <v>378</v>
      </c>
      <c r="P1043" s="50">
        <v>1238238.98</v>
      </c>
      <c r="Q1043" s="50">
        <v>1</v>
      </c>
      <c r="R1043" s="50">
        <v>1238238.98</v>
      </c>
      <c r="S1043" s="74">
        <v>45655</v>
      </c>
      <c r="T1043" s="48" t="s">
        <v>311</v>
      </c>
      <c r="U1043" s="48" t="s">
        <v>869</v>
      </c>
      <c r="V1043" s="48" t="s">
        <v>857</v>
      </c>
      <c r="W1043" s="48"/>
    </row>
    <row r="1044" spans="1:23" ht="15.75" x14ac:dyDescent="0.25">
      <c r="A1044" s="48" t="s">
        <v>331</v>
      </c>
      <c r="B1044" s="49">
        <v>45574</v>
      </c>
      <c r="C1044" s="48" t="s">
        <v>918</v>
      </c>
      <c r="D1044" s="48" t="s">
        <v>441</v>
      </c>
      <c r="E1044" s="48" t="s">
        <v>856</v>
      </c>
      <c r="F1044" s="48" t="s">
        <v>95</v>
      </c>
      <c r="G1044" s="48" t="s">
        <v>96</v>
      </c>
      <c r="H1044" s="48" t="s">
        <v>27</v>
      </c>
      <c r="I1044" s="48" t="s">
        <v>332</v>
      </c>
      <c r="J1044" s="48" t="s">
        <v>24</v>
      </c>
      <c r="K1044" s="48" t="s">
        <v>22</v>
      </c>
      <c r="L1044" s="48" t="s">
        <v>1132</v>
      </c>
      <c r="M1044" s="48" t="s">
        <v>26</v>
      </c>
      <c r="N1044" s="48" t="s">
        <v>20</v>
      </c>
      <c r="O1044" s="48" t="s">
        <v>378</v>
      </c>
      <c r="P1044" s="50">
        <v>1000000</v>
      </c>
      <c r="Q1044" s="50">
        <v>1</v>
      </c>
      <c r="R1044" s="50">
        <v>1000000</v>
      </c>
      <c r="S1044" s="74">
        <v>45655</v>
      </c>
      <c r="T1044" s="48" t="s">
        <v>311</v>
      </c>
      <c r="U1044" s="48" t="s">
        <v>869</v>
      </c>
      <c r="V1044" s="48" t="s">
        <v>857</v>
      </c>
      <c r="W1044" s="48"/>
    </row>
    <row r="1045" spans="1:23" ht="15.75" x14ac:dyDescent="0.25">
      <c r="A1045" s="48" t="s">
        <v>306</v>
      </c>
      <c r="B1045" s="49">
        <v>45645</v>
      </c>
      <c r="C1045" s="48" t="s">
        <v>947</v>
      </c>
      <c r="D1045" s="48" t="s">
        <v>1118</v>
      </c>
      <c r="E1045" s="48" t="s">
        <v>858</v>
      </c>
      <c r="F1045" s="48" t="s">
        <v>62</v>
      </c>
      <c r="G1045" s="48" t="s">
        <v>70</v>
      </c>
      <c r="H1045" s="48" t="s">
        <v>70</v>
      </c>
      <c r="I1045" s="48" t="s">
        <v>307</v>
      </c>
      <c r="J1045" s="48" t="s">
        <v>72</v>
      </c>
      <c r="K1045" s="48" t="s">
        <v>213</v>
      </c>
      <c r="L1045" s="48" t="s">
        <v>1134</v>
      </c>
      <c r="M1045" s="48" t="s">
        <v>67</v>
      </c>
      <c r="N1045" s="48" t="s">
        <v>20</v>
      </c>
      <c r="O1045" s="48" t="s">
        <v>857</v>
      </c>
      <c r="P1045" s="50">
        <v>45392.800000000003</v>
      </c>
      <c r="Q1045" s="50">
        <v>4.5848000064688499</v>
      </c>
      <c r="R1045" s="50">
        <v>208116.90973363922</v>
      </c>
      <c r="S1045" s="74">
        <v>45652</v>
      </c>
      <c r="T1045" s="48" t="s">
        <v>308</v>
      </c>
      <c r="U1045" s="48" t="s">
        <v>213</v>
      </c>
      <c r="V1045" s="48" t="s">
        <v>857</v>
      </c>
      <c r="W1045" s="48"/>
    </row>
    <row r="1046" spans="1:23" ht="15.75" x14ac:dyDescent="0.25">
      <c r="A1046" s="48" t="s">
        <v>320</v>
      </c>
      <c r="B1046" s="49">
        <v>45650</v>
      </c>
      <c r="C1046" s="48" t="s">
        <v>924</v>
      </c>
      <c r="D1046" s="48" t="s">
        <v>1118</v>
      </c>
      <c r="E1046" s="48" t="s">
        <v>858</v>
      </c>
      <c r="F1046" s="48" t="s">
        <v>62</v>
      </c>
      <c r="G1046" s="48" t="s">
        <v>70</v>
      </c>
      <c r="H1046" s="48" t="s">
        <v>70</v>
      </c>
      <c r="I1046" s="48" t="s">
        <v>316</v>
      </c>
      <c r="J1046" s="48" t="s">
        <v>72</v>
      </c>
      <c r="K1046" s="48" t="s">
        <v>213</v>
      </c>
      <c r="L1046" s="48" t="s">
        <v>1134</v>
      </c>
      <c r="M1046" s="48" t="s">
        <v>191</v>
      </c>
      <c r="N1046" s="48" t="s">
        <v>20</v>
      </c>
      <c r="O1046" s="48" t="s">
        <v>857</v>
      </c>
      <c r="P1046" s="50">
        <v>1454024.34</v>
      </c>
      <c r="Q1046" s="50">
        <v>1.0276000000000001</v>
      </c>
      <c r="R1046" s="50">
        <v>1494155.4117840002</v>
      </c>
      <c r="S1046" s="74">
        <v>45652</v>
      </c>
      <c r="T1046" s="48" t="s">
        <v>208</v>
      </c>
      <c r="U1046" s="48" t="s">
        <v>213</v>
      </c>
      <c r="V1046" s="48" t="s">
        <v>857</v>
      </c>
      <c r="W1046" s="48"/>
    </row>
    <row r="1047" spans="1:23" ht="15.75" x14ac:dyDescent="0.25">
      <c r="A1047" s="48" t="s">
        <v>257</v>
      </c>
      <c r="B1047" s="49">
        <v>45613</v>
      </c>
      <c r="C1047" s="48" t="s">
        <v>924</v>
      </c>
      <c r="D1047" s="48" t="s">
        <v>441</v>
      </c>
      <c r="E1047" s="48" t="s">
        <v>856</v>
      </c>
      <c r="F1047" s="48" t="s">
        <v>21</v>
      </c>
      <c r="G1047" s="48" t="s">
        <v>22</v>
      </c>
      <c r="H1047" s="48" t="s">
        <v>27</v>
      </c>
      <c r="I1047" s="48" t="s">
        <v>23</v>
      </c>
      <c r="J1047" s="48" t="s">
        <v>24</v>
      </c>
      <c r="K1047" s="48" t="s">
        <v>22</v>
      </c>
      <c r="L1047" s="48" t="s">
        <v>1132</v>
      </c>
      <c r="M1047" s="48" t="s">
        <v>26</v>
      </c>
      <c r="N1047" s="48" t="s">
        <v>20</v>
      </c>
      <c r="O1047" s="48" t="s">
        <v>857</v>
      </c>
      <c r="P1047" s="50">
        <v>1725000</v>
      </c>
      <c r="Q1047" s="50">
        <v>1</v>
      </c>
      <c r="R1047" s="50">
        <v>1725000</v>
      </c>
      <c r="S1047" s="74">
        <v>45652</v>
      </c>
      <c r="T1047" s="48" t="s">
        <v>117</v>
      </c>
      <c r="U1047" s="48" t="s">
        <v>407</v>
      </c>
      <c r="V1047" s="48" t="s">
        <v>857</v>
      </c>
      <c r="W1047" s="48"/>
    </row>
    <row r="1048" spans="1:23" ht="15.75" x14ac:dyDescent="0.25">
      <c r="A1048" s="48" t="s">
        <v>468</v>
      </c>
      <c r="B1048" s="49">
        <v>45650</v>
      </c>
      <c r="C1048" s="48" t="s">
        <v>922</v>
      </c>
      <c r="D1048" s="48" t="s">
        <v>1119</v>
      </c>
      <c r="E1048" s="48" t="s">
        <v>856</v>
      </c>
      <c r="F1048" s="48" t="s">
        <v>366</v>
      </c>
      <c r="G1048" s="48" t="s">
        <v>367</v>
      </c>
      <c r="H1048" s="48" t="s">
        <v>27</v>
      </c>
      <c r="I1048" s="48" t="s">
        <v>469</v>
      </c>
      <c r="J1048" s="48" t="s">
        <v>72</v>
      </c>
      <c r="K1048" s="48" t="s">
        <v>367</v>
      </c>
      <c r="L1048" s="48" t="s">
        <v>1136</v>
      </c>
      <c r="M1048" s="48" t="s">
        <v>191</v>
      </c>
      <c r="N1048" s="48" t="s">
        <v>20</v>
      </c>
      <c r="O1048" s="48" t="s">
        <v>857</v>
      </c>
      <c r="P1048" s="50">
        <v>455535.63</v>
      </c>
      <c r="Q1048" s="50">
        <v>1.0265</v>
      </c>
      <c r="R1048" s="50">
        <v>467607.32419499999</v>
      </c>
      <c r="S1048" s="74">
        <v>45652</v>
      </c>
      <c r="T1048" s="48" t="s">
        <v>208</v>
      </c>
      <c r="U1048" s="48" t="s">
        <v>367</v>
      </c>
      <c r="V1048" s="48" t="s">
        <v>857</v>
      </c>
      <c r="W1048" s="48"/>
    </row>
    <row r="1049" spans="1:23" ht="15.75" x14ac:dyDescent="0.25">
      <c r="A1049" s="48" t="s">
        <v>340</v>
      </c>
      <c r="B1049" s="49">
        <v>45581</v>
      </c>
      <c r="C1049" s="48" t="s">
        <v>916</v>
      </c>
      <c r="D1049" s="48" t="s">
        <v>441</v>
      </c>
      <c r="E1049" s="48" t="s">
        <v>856</v>
      </c>
      <c r="F1049" s="48" t="s">
        <v>95</v>
      </c>
      <c r="G1049" s="48" t="s">
        <v>96</v>
      </c>
      <c r="H1049" s="48" t="s">
        <v>27</v>
      </c>
      <c r="I1049" s="48" t="s">
        <v>341</v>
      </c>
      <c r="J1049" s="48" t="s">
        <v>24</v>
      </c>
      <c r="K1049" s="48" t="s">
        <v>22</v>
      </c>
      <c r="L1049" s="48" t="s">
        <v>1132</v>
      </c>
      <c r="M1049" s="48" t="s">
        <v>26</v>
      </c>
      <c r="N1049" s="48" t="s">
        <v>20</v>
      </c>
      <c r="O1049" s="48" t="s">
        <v>378</v>
      </c>
      <c r="P1049" s="50">
        <v>1261625</v>
      </c>
      <c r="Q1049" s="50">
        <v>1</v>
      </c>
      <c r="R1049" s="50">
        <v>1261625</v>
      </c>
      <c r="S1049" s="74">
        <v>45652</v>
      </c>
      <c r="T1049" s="48" t="s">
        <v>311</v>
      </c>
      <c r="U1049" s="48" t="s">
        <v>96</v>
      </c>
      <c r="V1049" s="48" t="s">
        <v>857</v>
      </c>
      <c r="W1049" s="48"/>
    </row>
    <row r="1050" spans="1:23" ht="15.75" x14ac:dyDescent="0.25">
      <c r="A1050" s="48" t="s">
        <v>337</v>
      </c>
      <c r="B1050" s="49">
        <v>45578</v>
      </c>
      <c r="C1050" s="48" t="s">
        <v>916</v>
      </c>
      <c r="D1050" s="48" t="s">
        <v>441</v>
      </c>
      <c r="E1050" s="48" t="s">
        <v>856</v>
      </c>
      <c r="F1050" s="48" t="s">
        <v>95</v>
      </c>
      <c r="G1050" s="48" t="s">
        <v>96</v>
      </c>
      <c r="H1050" s="48" t="s">
        <v>27</v>
      </c>
      <c r="I1050" s="48" t="s">
        <v>338</v>
      </c>
      <c r="J1050" s="48" t="s">
        <v>24</v>
      </c>
      <c r="K1050" s="48" t="s">
        <v>22</v>
      </c>
      <c r="L1050" s="48" t="s">
        <v>1132</v>
      </c>
      <c r="M1050" s="48" t="s">
        <v>26</v>
      </c>
      <c r="N1050" s="48" t="s">
        <v>20</v>
      </c>
      <c r="O1050" s="48" t="s">
        <v>378</v>
      </c>
      <c r="P1050" s="50">
        <v>500000</v>
      </c>
      <c r="Q1050" s="50">
        <v>1</v>
      </c>
      <c r="R1050" s="50">
        <v>500000</v>
      </c>
      <c r="S1050" s="74">
        <v>45652</v>
      </c>
      <c r="T1050" s="48" t="s">
        <v>311</v>
      </c>
      <c r="U1050" s="48" t="s">
        <v>96</v>
      </c>
      <c r="V1050" s="48" t="s">
        <v>857</v>
      </c>
      <c r="W1050" s="48"/>
    </row>
    <row r="1051" spans="1:23" ht="15.75" x14ac:dyDescent="0.25">
      <c r="A1051" s="48" t="s">
        <v>347</v>
      </c>
      <c r="B1051" s="49">
        <v>45629</v>
      </c>
      <c r="C1051" s="48" t="s">
        <v>916</v>
      </c>
      <c r="D1051" s="48" t="s">
        <v>441</v>
      </c>
      <c r="E1051" s="48" t="s">
        <v>856</v>
      </c>
      <c r="F1051" s="48" t="s">
        <v>95</v>
      </c>
      <c r="G1051" s="48" t="s">
        <v>96</v>
      </c>
      <c r="H1051" s="48" t="s">
        <v>27</v>
      </c>
      <c r="I1051" s="48" t="s">
        <v>177</v>
      </c>
      <c r="J1051" s="48" t="s">
        <v>24</v>
      </c>
      <c r="K1051" s="48" t="s">
        <v>22</v>
      </c>
      <c r="L1051" s="48" t="s">
        <v>1132</v>
      </c>
      <c r="M1051" s="48" t="s">
        <v>26</v>
      </c>
      <c r="N1051" s="48" t="s">
        <v>20</v>
      </c>
      <c r="O1051" s="48" t="s">
        <v>378</v>
      </c>
      <c r="P1051" s="50">
        <v>1650702.09</v>
      </c>
      <c r="Q1051" s="50">
        <v>1</v>
      </c>
      <c r="R1051" s="50">
        <v>1650702.09</v>
      </c>
      <c r="S1051" s="74">
        <v>45650</v>
      </c>
      <c r="T1051" s="48" t="s">
        <v>311</v>
      </c>
      <c r="U1051" s="48" t="s">
        <v>96</v>
      </c>
      <c r="V1051" s="48" t="s">
        <v>857</v>
      </c>
      <c r="W1051" s="48"/>
    </row>
    <row r="1052" spans="1:23" ht="15.75" x14ac:dyDescent="0.25">
      <c r="A1052" s="48" t="s">
        <v>390</v>
      </c>
      <c r="B1052" s="49">
        <v>45586</v>
      </c>
      <c r="C1052" s="48" t="s">
        <v>916</v>
      </c>
      <c r="D1052" s="48" t="s">
        <v>441</v>
      </c>
      <c r="E1052" s="48" t="s">
        <v>858</v>
      </c>
      <c r="F1052" s="48" t="s">
        <v>95</v>
      </c>
      <c r="G1052" s="48" t="s">
        <v>96</v>
      </c>
      <c r="H1052" s="48" t="s">
        <v>27</v>
      </c>
      <c r="I1052" s="48" t="s">
        <v>391</v>
      </c>
      <c r="J1052" s="48" t="s">
        <v>24</v>
      </c>
      <c r="K1052" s="48" t="s">
        <v>22</v>
      </c>
      <c r="L1052" s="48" t="s">
        <v>1132</v>
      </c>
      <c r="M1052" s="48" t="s">
        <v>26</v>
      </c>
      <c r="N1052" s="48" t="s">
        <v>20</v>
      </c>
      <c r="O1052" s="48" t="s">
        <v>378</v>
      </c>
      <c r="P1052" s="50">
        <v>769558.85</v>
      </c>
      <c r="Q1052" s="50">
        <v>1</v>
      </c>
      <c r="R1052" s="50">
        <v>769558.85</v>
      </c>
      <c r="S1052" s="74">
        <v>45650</v>
      </c>
      <c r="T1052" s="48" t="s">
        <v>311</v>
      </c>
      <c r="U1052" s="48" t="s">
        <v>96</v>
      </c>
      <c r="V1052" s="48" t="s">
        <v>857</v>
      </c>
      <c r="W1052" s="48"/>
    </row>
    <row r="1053" spans="1:23" ht="15.75" x14ac:dyDescent="0.25">
      <c r="A1053" s="48" t="s">
        <v>385</v>
      </c>
      <c r="B1053" s="49">
        <v>45582</v>
      </c>
      <c r="C1053" s="48" t="s">
        <v>916</v>
      </c>
      <c r="D1053" s="48" t="s">
        <v>441</v>
      </c>
      <c r="E1053" s="48" t="s">
        <v>856</v>
      </c>
      <c r="F1053" s="48" t="s">
        <v>95</v>
      </c>
      <c r="G1053" s="48" t="s">
        <v>96</v>
      </c>
      <c r="H1053" s="48" t="s">
        <v>27</v>
      </c>
      <c r="I1053" s="48" t="s">
        <v>386</v>
      </c>
      <c r="J1053" s="48" t="s">
        <v>24</v>
      </c>
      <c r="K1053" s="48" t="s">
        <v>22</v>
      </c>
      <c r="L1053" s="48" t="s">
        <v>1132</v>
      </c>
      <c r="M1053" s="48" t="s">
        <v>26</v>
      </c>
      <c r="N1053" s="48" t="s">
        <v>20</v>
      </c>
      <c r="O1053" s="48" t="s">
        <v>378</v>
      </c>
      <c r="P1053" s="50">
        <v>1083501.1399999999</v>
      </c>
      <c r="Q1053" s="50">
        <v>1</v>
      </c>
      <c r="R1053" s="50">
        <v>1083501.1399999999</v>
      </c>
      <c r="S1053" s="74">
        <v>45650</v>
      </c>
      <c r="T1053" s="48" t="s">
        <v>311</v>
      </c>
      <c r="U1053" s="48" t="s">
        <v>96</v>
      </c>
      <c r="V1053" s="48" t="s">
        <v>857</v>
      </c>
      <c r="W1053" s="48"/>
    </row>
    <row r="1054" spans="1:23" ht="15.75" x14ac:dyDescent="0.25">
      <c r="A1054" s="48" t="s">
        <v>468</v>
      </c>
      <c r="B1054" s="49">
        <v>45648</v>
      </c>
      <c r="C1054" s="48" t="s">
        <v>928</v>
      </c>
      <c r="D1054" s="48" t="s">
        <v>1119</v>
      </c>
      <c r="E1054" s="48" t="s">
        <v>856</v>
      </c>
      <c r="F1054" s="48" t="s">
        <v>366</v>
      </c>
      <c r="G1054" s="48" t="s">
        <v>367</v>
      </c>
      <c r="H1054" s="48" t="s">
        <v>27</v>
      </c>
      <c r="I1054" s="48" t="s">
        <v>469</v>
      </c>
      <c r="J1054" s="48" t="s">
        <v>72</v>
      </c>
      <c r="K1054" s="48" t="s">
        <v>367</v>
      </c>
      <c r="L1054" s="48" t="s">
        <v>1136</v>
      </c>
      <c r="M1054" s="48" t="s">
        <v>191</v>
      </c>
      <c r="N1054" s="48" t="s">
        <v>20</v>
      </c>
      <c r="O1054" s="48" t="s">
        <v>857</v>
      </c>
      <c r="P1054" s="50">
        <v>361545.99</v>
      </c>
      <c r="Q1054" s="50">
        <v>1.0261</v>
      </c>
      <c r="R1054" s="50">
        <v>370982.34033899999</v>
      </c>
      <c r="S1054" s="74">
        <v>45650</v>
      </c>
      <c r="T1054" s="48" t="s">
        <v>208</v>
      </c>
      <c r="U1054" s="48" t="s">
        <v>367</v>
      </c>
      <c r="V1054" s="48" t="s">
        <v>857</v>
      </c>
      <c r="W1054" s="48"/>
    </row>
    <row r="1055" spans="1:23" ht="15.75" x14ac:dyDescent="0.25">
      <c r="A1055" s="48" t="s">
        <v>421</v>
      </c>
      <c r="B1055" s="49">
        <v>45601</v>
      </c>
      <c r="C1055" s="48" t="s">
        <v>916</v>
      </c>
      <c r="D1055" s="48">
        <v>0</v>
      </c>
      <c r="E1055" s="48" t="s">
        <v>858</v>
      </c>
      <c r="F1055" s="48" t="s">
        <v>95</v>
      </c>
      <c r="G1055" s="48" t="s">
        <v>96</v>
      </c>
      <c r="H1055" s="48" t="s">
        <v>27</v>
      </c>
      <c r="I1055" s="48" t="s">
        <v>422</v>
      </c>
      <c r="J1055" s="48" t="s">
        <v>24</v>
      </c>
      <c r="K1055" s="48" t="s">
        <v>413</v>
      </c>
      <c r="L1055" s="48" t="s">
        <v>917</v>
      </c>
      <c r="M1055" s="48" t="s">
        <v>26</v>
      </c>
      <c r="N1055" s="48" t="s">
        <v>20</v>
      </c>
      <c r="O1055" s="48" t="s">
        <v>378</v>
      </c>
      <c r="P1055" s="50">
        <v>5000000</v>
      </c>
      <c r="Q1055" s="50">
        <v>1</v>
      </c>
      <c r="R1055" s="50">
        <v>5000000</v>
      </c>
      <c r="S1055" s="74">
        <v>45650</v>
      </c>
      <c r="T1055" s="48" t="s">
        <v>311</v>
      </c>
      <c r="U1055" s="48" t="s">
        <v>96</v>
      </c>
      <c r="V1055" s="48" t="s">
        <v>857</v>
      </c>
      <c r="W1055" s="48" t="s">
        <v>881</v>
      </c>
    </row>
    <row r="1056" spans="1:23" ht="15.75" x14ac:dyDescent="0.25">
      <c r="A1056" s="48" t="s">
        <v>342</v>
      </c>
      <c r="B1056" s="49">
        <v>45596</v>
      </c>
      <c r="C1056" s="48" t="s">
        <v>916</v>
      </c>
      <c r="D1056" s="48" t="s">
        <v>441</v>
      </c>
      <c r="E1056" s="48" t="s">
        <v>856</v>
      </c>
      <c r="F1056" s="48" t="s">
        <v>95</v>
      </c>
      <c r="G1056" s="48" t="s">
        <v>96</v>
      </c>
      <c r="H1056" s="48" t="s">
        <v>27</v>
      </c>
      <c r="I1056" s="48" t="s">
        <v>177</v>
      </c>
      <c r="J1056" s="48" t="s">
        <v>24</v>
      </c>
      <c r="K1056" s="48" t="s">
        <v>22</v>
      </c>
      <c r="L1056" s="48" t="s">
        <v>1132</v>
      </c>
      <c r="M1056" s="48" t="s">
        <v>26</v>
      </c>
      <c r="N1056" s="48" t="s">
        <v>20</v>
      </c>
      <c r="O1056" s="48" t="s">
        <v>378</v>
      </c>
      <c r="P1056" s="50">
        <v>1795147.53</v>
      </c>
      <c r="Q1056" s="50">
        <v>1</v>
      </c>
      <c r="R1056" s="50">
        <v>1795147.53</v>
      </c>
      <c r="S1056" s="74">
        <v>45650</v>
      </c>
      <c r="T1056" s="48" t="s">
        <v>311</v>
      </c>
      <c r="U1056" s="48" t="s">
        <v>96</v>
      </c>
      <c r="V1056" s="48" t="s">
        <v>857</v>
      </c>
      <c r="W1056" s="48"/>
    </row>
    <row r="1057" spans="1:23" ht="15.75" x14ac:dyDescent="0.25">
      <c r="A1057" s="48" t="s">
        <v>468</v>
      </c>
      <c r="B1057" s="49">
        <v>45649</v>
      </c>
      <c r="C1057" s="48" t="s">
        <v>924</v>
      </c>
      <c r="D1057" s="48" t="s">
        <v>1119</v>
      </c>
      <c r="E1057" s="48" t="s">
        <v>856</v>
      </c>
      <c r="F1057" s="48" t="s">
        <v>366</v>
      </c>
      <c r="G1057" s="48" t="s">
        <v>367</v>
      </c>
      <c r="H1057" s="48" t="s">
        <v>27</v>
      </c>
      <c r="I1057" s="48" t="s">
        <v>469</v>
      </c>
      <c r="J1057" s="48" t="s">
        <v>72</v>
      </c>
      <c r="K1057" s="48" t="s">
        <v>367</v>
      </c>
      <c r="L1057" s="48" t="s">
        <v>1136</v>
      </c>
      <c r="M1057" s="48" t="s">
        <v>191</v>
      </c>
      <c r="N1057" s="48" t="s">
        <v>20</v>
      </c>
      <c r="O1057" s="48" t="s">
        <v>857</v>
      </c>
      <c r="P1057" s="50">
        <v>373107.6</v>
      </c>
      <c r="Q1057" s="50">
        <v>1.0259</v>
      </c>
      <c r="R1057" s="50">
        <v>382771.08684</v>
      </c>
      <c r="S1057" s="74">
        <v>45649</v>
      </c>
      <c r="T1057" s="48" t="s">
        <v>208</v>
      </c>
      <c r="U1057" s="48" t="s">
        <v>367</v>
      </c>
      <c r="V1057" s="48" t="s">
        <v>857</v>
      </c>
      <c r="W1057" s="48"/>
    </row>
    <row r="1058" spans="1:23" ht="15.75" x14ac:dyDescent="0.25">
      <c r="A1058" s="48" t="s">
        <v>254</v>
      </c>
      <c r="B1058" s="49">
        <v>45532</v>
      </c>
      <c r="C1058" s="48" t="s">
        <v>921</v>
      </c>
      <c r="D1058" s="48" t="s">
        <v>1184</v>
      </c>
      <c r="E1058" s="48" t="s">
        <v>856</v>
      </c>
      <c r="F1058" s="48" t="s">
        <v>21</v>
      </c>
      <c r="G1058" s="48" t="s">
        <v>22</v>
      </c>
      <c r="H1058" s="48" t="s">
        <v>27</v>
      </c>
      <c r="I1058" s="48" t="s">
        <v>3623</v>
      </c>
      <c r="J1058" s="48" t="s">
        <v>1791</v>
      </c>
      <c r="K1058" s="48" t="s">
        <v>22</v>
      </c>
      <c r="L1058" s="48" t="s">
        <v>1132</v>
      </c>
      <c r="M1058" s="48" t="s">
        <v>67</v>
      </c>
      <c r="N1058" s="48" t="s">
        <v>20</v>
      </c>
      <c r="O1058" s="48" t="s">
        <v>857</v>
      </c>
      <c r="P1058" s="50">
        <v>320841.24</v>
      </c>
      <c r="Q1058" s="50">
        <v>3.9670000000000001</v>
      </c>
      <c r="R1058" s="50">
        <v>1272777.1990799999</v>
      </c>
      <c r="S1058" s="74">
        <v>45649</v>
      </c>
      <c r="T1058" s="48" t="s">
        <v>255</v>
      </c>
      <c r="U1058" s="48" t="s">
        <v>96</v>
      </c>
      <c r="V1058" s="48" t="s">
        <v>857</v>
      </c>
      <c r="W1058" s="48" t="s">
        <v>883</v>
      </c>
    </row>
    <row r="1059" spans="1:23" ht="15.75" x14ac:dyDescent="0.25">
      <c r="A1059" s="48" t="s">
        <v>468</v>
      </c>
      <c r="B1059" s="49">
        <v>45649</v>
      </c>
      <c r="C1059" s="48" t="s">
        <v>933</v>
      </c>
      <c r="D1059" s="48" t="s">
        <v>1119</v>
      </c>
      <c r="E1059" s="48" t="s">
        <v>856</v>
      </c>
      <c r="F1059" s="48" t="s">
        <v>366</v>
      </c>
      <c r="G1059" s="48" t="s">
        <v>367</v>
      </c>
      <c r="H1059" s="48" t="s">
        <v>27</v>
      </c>
      <c r="I1059" s="48" t="s">
        <v>469</v>
      </c>
      <c r="J1059" s="48" t="s">
        <v>72</v>
      </c>
      <c r="K1059" s="48" t="s">
        <v>367</v>
      </c>
      <c r="L1059" s="48" t="s">
        <v>1136</v>
      </c>
      <c r="M1059" s="48" t="s">
        <v>191</v>
      </c>
      <c r="N1059" s="48" t="s">
        <v>20</v>
      </c>
      <c r="O1059" s="48" t="s">
        <v>857</v>
      </c>
      <c r="P1059" s="50">
        <v>419607.88</v>
      </c>
      <c r="Q1059" s="50">
        <v>1.026</v>
      </c>
      <c r="R1059" s="50">
        <v>430517.68488000002</v>
      </c>
      <c r="S1059" s="74">
        <v>45649</v>
      </c>
      <c r="T1059" s="48" t="s">
        <v>208</v>
      </c>
      <c r="U1059" s="48" t="s">
        <v>367</v>
      </c>
      <c r="V1059" s="48" t="s">
        <v>857</v>
      </c>
      <c r="W1059" s="48"/>
    </row>
    <row r="1060" spans="1:23" ht="15.75" x14ac:dyDescent="0.25">
      <c r="A1060" s="48" t="s">
        <v>380</v>
      </c>
      <c r="B1060" s="49">
        <v>45606</v>
      </c>
      <c r="C1060" s="48" t="s">
        <v>916</v>
      </c>
      <c r="D1060" s="48" t="s">
        <v>441</v>
      </c>
      <c r="E1060" s="48" t="s">
        <v>856</v>
      </c>
      <c r="F1060" s="48" t="s">
        <v>95</v>
      </c>
      <c r="G1060" s="48" t="s">
        <v>96</v>
      </c>
      <c r="H1060" s="48" t="s">
        <v>27</v>
      </c>
      <c r="I1060" s="48" t="s">
        <v>381</v>
      </c>
      <c r="J1060" s="48" t="s">
        <v>24</v>
      </c>
      <c r="K1060" s="48" t="s">
        <v>22</v>
      </c>
      <c r="L1060" s="48" t="s">
        <v>1132</v>
      </c>
      <c r="M1060" s="48" t="s">
        <v>26</v>
      </c>
      <c r="N1060" s="48" t="s">
        <v>20</v>
      </c>
      <c r="O1060" s="48" t="s">
        <v>378</v>
      </c>
      <c r="P1060" s="50">
        <v>500000</v>
      </c>
      <c r="Q1060" s="50">
        <v>1</v>
      </c>
      <c r="R1060" s="50">
        <v>500000</v>
      </c>
      <c r="S1060" s="74">
        <v>45648</v>
      </c>
      <c r="T1060" s="48" t="s">
        <v>311</v>
      </c>
      <c r="U1060" s="48" t="s">
        <v>870</v>
      </c>
      <c r="V1060" s="48" t="s">
        <v>857</v>
      </c>
      <c r="W1060" s="48"/>
    </row>
    <row r="1061" spans="1:23" ht="15.75" x14ac:dyDescent="0.25">
      <c r="A1061" s="48" t="s">
        <v>452</v>
      </c>
      <c r="B1061" s="49">
        <v>45638</v>
      </c>
      <c r="C1061" s="48" t="s">
        <v>916</v>
      </c>
      <c r="D1061" s="48" t="s">
        <v>1119</v>
      </c>
      <c r="E1061" s="48" t="s">
        <v>858</v>
      </c>
      <c r="F1061" s="48" t="s">
        <v>366</v>
      </c>
      <c r="G1061" s="48" t="s">
        <v>367</v>
      </c>
      <c r="H1061" s="48" t="s">
        <v>27</v>
      </c>
      <c r="I1061" s="48" t="s">
        <v>453</v>
      </c>
      <c r="J1061" s="48" t="s">
        <v>72</v>
      </c>
      <c r="K1061" s="48" t="s">
        <v>367</v>
      </c>
      <c r="L1061" s="48" t="s">
        <v>1136</v>
      </c>
      <c r="M1061" s="48" t="s">
        <v>191</v>
      </c>
      <c r="N1061" s="48" t="s">
        <v>20</v>
      </c>
      <c r="O1061" s="48" t="s">
        <v>857</v>
      </c>
      <c r="P1061" s="50">
        <v>1680000</v>
      </c>
      <c r="Q1061" s="50">
        <v>1.026</v>
      </c>
      <c r="R1061" s="50">
        <v>1723680</v>
      </c>
      <c r="S1061" s="74">
        <v>45645</v>
      </c>
      <c r="T1061" s="48" t="s">
        <v>208</v>
      </c>
      <c r="U1061" s="48" t="s">
        <v>367</v>
      </c>
      <c r="V1061" s="48" t="s">
        <v>857</v>
      </c>
      <c r="W1061" s="48"/>
    </row>
    <row r="1062" spans="1:23" ht="15.75" x14ac:dyDescent="0.25">
      <c r="A1062" s="48" t="s">
        <v>384</v>
      </c>
      <c r="B1062" s="49">
        <v>45586</v>
      </c>
      <c r="C1062" s="48" t="s">
        <v>916</v>
      </c>
      <c r="D1062" s="48" t="s">
        <v>441</v>
      </c>
      <c r="E1062" s="48" t="s">
        <v>858</v>
      </c>
      <c r="F1062" s="48" t="s">
        <v>95</v>
      </c>
      <c r="G1062" s="48" t="s">
        <v>96</v>
      </c>
      <c r="H1062" s="48" t="s">
        <v>27</v>
      </c>
      <c r="I1062" s="48" t="s">
        <v>109</v>
      </c>
      <c r="J1062" s="48" t="s">
        <v>24</v>
      </c>
      <c r="K1062" s="48" t="s">
        <v>22</v>
      </c>
      <c r="L1062" s="48" t="s">
        <v>1132</v>
      </c>
      <c r="M1062" s="48" t="s">
        <v>26</v>
      </c>
      <c r="N1062" s="48" t="s">
        <v>20</v>
      </c>
      <c r="O1062" s="48" t="s">
        <v>378</v>
      </c>
      <c r="P1062" s="50">
        <v>1500000</v>
      </c>
      <c r="Q1062" s="50">
        <v>1</v>
      </c>
      <c r="R1062" s="50">
        <v>1500000</v>
      </c>
      <c r="S1062" s="74">
        <v>45643</v>
      </c>
      <c r="T1062" s="48" t="s">
        <v>311</v>
      </c>
      <c r="U1062" s="48" t="s">
        <v>870</v>
      </c>
      <c r="V1062" s="48" t="s">
        <v>857</v>
      </c>
      <c r="W1062" s="48"/>
    </row>
    <row r="1063" spans="1:23" ht="15.75" x14ac:dyDescent="0.25">
      <c r="A1063" s="48" t="s">
        <v>394</v>
      </c>
      <c r="B1063" s="49">
        <v>45612</v>
      </c>
      <c r="C1063" s="48" t="s">
        <v>916</v>
      </c>
      <c r="D1063" s="48" t="s">
        <v>441</v>
      </c>
      <c r="E1063" s="48" t="s">
        <v>858</v>
      </c>
      <c r="F1063" s="48" t="s">
        <v>95</v>
      </c>
      <c r="G1063" s="48" t="s">
        <v>96</v>
      </c>
      <c r="H1063" s="48" t="s">
        <v>27</v>
      </c>
      <c r="I1063" s="48" t="s">
        <v>395</v>
      </c>
      <c r="J1063" s="48" t="s">
        <v>24</v>
      </c>
      <c r="K1063" s="48" t="s">
        <v>22</v>
      </c>
      <c r="L1063" s="48" t="s">
        <v>1132</v>
      </c>
      <c r="M1063" s="48" t="s">
        <v>26</v>
      </c>
      <c r="N1063" s="48" t="s">
        <v>20</v>
      </c>
      <c r="O1063" s="48" t="s">
        <v>378</v>
      </c>
      <c r="P1063" s="50">
        <v>686893.71</v>
      </c>
      <c r="Q1063" s="50">
        <v>1</v>
      </c>
      <c r="R1063" s="50">
        <v>686893.71</v>
      </c>
      <c r="S1063" s="74">
        <v>45643</v>
      </c>
      <c r="T1063" s="48" t="s">
        <v>311</v>
      </c>
      <c r="U1063" s="48" t="s">
        <v>870</v>
      </c>
      <c r="V1063" s="48" t="s">
        <v>857</v>
      </c>
      <c r="W1063" s="48"/>
    </row>
    <row r="1064" spans="1:23" ht="15.75" x14ac:dyDescent="0.25">
      <c r="A1064" s="48" t="s">
        <v>401</v>
      </c>
      <c r="B1064" s="49">
        <v>45587</v>
      </c>
      <c r="C1064" s="48" t="s">
        <v>916</v>
      </c>
      <c r="D1064" s="48" t="s">
        <v>441</v>
      </c>
      <c r="E1064" s="48" t="s">
        <v>856</v>
      </c>
      <c r="F1064" s="48" t="s">
        <v>95</v>
      </c>
      <c r="G1064" s="48" t="s">
        <v>96</v>
      </c>
      <c r="H1064" s="48" t="s">
        <v>27</v>
      </c>
      <c r="I1064" s="48" t="s">
        <v>402</v>
      </c>
      <c r="J1064" s="48" t="s">
        <v>24</v>
      </c>
      <c r="K1064" s="48" t="s">
        <v>22</v>
      </c>
      <c r="L1064" s="48" t="s">
        <v>1132</v>
      </c>
      <c r="M1064" s="48" t="s">
        <v>26</v>
      </c>
      <c r="N1064" s="48" t="s">
        <v>20</v>
      </c>
      <c r="O1064" s="48" t="s">
        <v>378</v>
      </c>
      <c r="P1064" s="50">
        <v>405299.47</v>
      </c>
      <c r="Q1064" s="50">
        <v>1</v>
      </c>
      <c r="R1064" s="50">
        <v>405299.47</v>
      </c>
      <c r="S1064" s="74">
        <v>45643</v>
      </c>
      <c r="T1064" s="48" t="s">
        <v>311</v>
      </c>
      <c r="U1064" s="48" t="s">
        <v>870</v>
      </c>
      <c r="V1064" s="48" t="s">
        <v>857</v>
      </c>
      <c r="W1064" s="48"/>
    </row>
    <row r="1065" spans="1:23" ht="15.75" x14ac:dyDescent="0.25">
      <c r="A1065" s="48" t="s">
        <v>392</v>
      </c>
      <c r="B1065" s="49">
        <v>45585</v>
      </c>
      <c r="C1065" s="48" t="s">
        <v>916</v>
      </c>
      <c r="D1065" s="48" t="s">
        <v>441</v>
      </c>
      <c r="E1065" s="48" t="s">
        <v>858</v>
      </c>
      <c r="F1065" s="48" t="s">
        <v>95</v>
      </c>
      <c r="G1065" s="48" t="s">
        <v>96</v>
      </c>
      <c r="H1065" s="48" t="s">
        <v>27</v>
      </c>
      <c r="I1065" s="48" t="s">
        <v>393</v>
      </c>
      <c r="J1065" s="48" t="s">
        <v>24</v>
      </c>
      <c r="K1065" s="48" t="s">
        <v>22</v>
      </c>
      <c r="L1065" s="48" t="s">
        <v>1132</v>
      </c>
      <c r="M1065" s="48" t="s">
        <v>26</v>
      </c>
      <c r="N1065" s="48" t="s">
        <v>20</v>
      </c>
      <c r="O1065" s="48" t="s">
        <v>378</v>
      </c>
      <c r="P1065" s="50">
        <v>670471.5</v>
      </c>
      <c r="Q1065" s="50">
        <v>1</v>
      </c>
      <c r="R1065" s="50">
        <v>670471.5</v>
      </c>
      <c r="S1065" s="74">
        <v>45643</v>
      </c>
      <c r="T1065" s="48" t="s">
        <v>311</v>
      </c>
      <c r="U1065" s="48" t="s">
        <v>870</v>
      </c>
      <c r="V1065" s="48" t="s">
        <v>857</v>
      </c>
      <c r="W1065" s="48"/>
    </row>
    <row r="1066" spans="1:23" ht="15.75" x14ac:dyDescent="0.25">
      <c r="A1066" s="48" t="s">
        <v>254</v>
      </c>
      <c r="B1066" s="49">
        <v>45627</v>
      </c>
      <c r="C1066" s="48" t="s">
        <v>920</v>
      </c>
      <c r="D1066" s="48" t="s">
        <v>1184</v>
      </c>
      <c r="E1066" s="48" t="s">
        <v>856</v>
      </c>
      <c r="F1066" s="48" t="s">
        <v>21</v>
      </c>
      <c r="G1066" s="48" t="s">
        <v>22</v>
      </c>
      <c r="H1066" s="48" t="s">
        <v>27</v>
      </c>
      <c r="I1066" s="48" t="s">
        <v>3623</v>
      </c>
      <c r="J1066" s="48" t="s">
        <v>1791</v>
      </c>
      <c r="K1066" s="48" t="s">
        <v>22</v>
      </c>
      <c r="L1066" s="48" t="s">
        <v>1132</v>
      </c>
      <c r="M1066" s="48" t="s">
        <v>67</v>
      </c>
      <c r="N1066" s="48" t="s">
        <v>20</v>
      </c>
      <c r="O1066" s="48" t="s">
        <v>857</v>
      </c>
      <c r="P1066" s="50">
        <v>796757.66</v>
      </c>
      <c r="Q1066" s="50">
        <v>4</v>
      </c>
      <c r="R1066" s="50">
        <v>3187030.64</v>
      </c>
      <c r="S1066" s="74">
        <v>45643</v>
      </c>
      <c r="T1066" s="48" t="s">
        <v>255</v>
      </c>
      <c r="U1066" s="48" t="s">
        <v>90</v>
      </c>
      <c r="V1066" s="48" t="s">
        <v>857</v>
      </c>
      <c r="W1066" s="48"/>
    </row>
    <row r="1067" spans="1:23" ht="15.75" x14ac:dyDescent="0.25">
      <c r="A1067" s="48" t="s">
        <v>466</v>
      </c>
      <c r="B1067" s="49">
        <v>45621</v>
      </c>
      <c r="C1067" s="48" t="s">
        <v>916</v>
      </c>
      <c r="D1067" s="48" t="s">
        <v>441</v>
      </c>
      <c r="E1067" s="48" t="s">
        <v>856</v>
      </c>
      <c r="F1067" s="48" t="s">
        <v>95</v>
      </c>
      <c r="G1067" s="48" t="s">
        <v>96</v>
      </c>
      <c r="H1067" s="48" t="s">
        <v>27</v>
      </c>
      <c r="I1067" s="48" t="s">
        <v>467</v>
      </c>
      <c r="J1067" s="48" t="s">
        <v>72</v>
      </c>
      <c r="K1067" s="48" t="s">
        <v>325</v>
      </c>
      <c r="L1067" s="48" t="s">
        <v>1157</v>
      </c>
      <c r="M1067" s="48" t="s">
        <v>26</v>
      </c>
      <c r="N1067" s="48" t="s">
        <v>20</v>
      </c>
      <c r="O1067" s="48" t="s">
        <v>378</v>
      </c>
      <c r="P1067" s="50">
        <v>12000000</v>
      </c>
      <c r="Q1067" s="50">
        <v>1</v>
      </c>
      <c r="R1067" s="50">
        <v>12000000</v>
      </c>
      <c r="S1067" s="74">
        <v>45643</v>
      </c>
      <c r="T1067" s="48" t="s">
        <v>461</v>
      </c>
      <c r="U1067" s="48" t="s">
        <v>870</v>
      </c>
      <c r="V1067" s="48" t="s">
        <v>857</v>
      </c>
      <c r="W1067" s="48"/>
    </row>
    <row r="1068" spans="1:23" ht="15.75" x14ac:dyDescent="0.25">
      <c r="A1068" s="48" t="s">
        <v>389</v>
      </c>
      <c r="B1068" s="49">
        <v>45586</v>
      </c>
      <c r="C1068" s="48" t="s">
        <v>916</v>
      </c>
      <c r="D1068" s="48" t="s">
        <v>441</v>
      </c>
      <c r="E1068" s="48" t="s">
        <v>858</v>
      </c>
      <c r="F1068" s="48" t="s">
        <v>95</v>
      </c>
      <c r="G1068" s="48" t="s">
        <v>96</v>
      </c>
      <c r="H1068" s="48" t="s">
        <v>27</v>
      </c>
      <c r="I1068" s="48" t="s">
        <v>270</v>
      </c>
      <c r="J1068" s="48" t="s">
        <v>24</v>
      </c>
      <c r="K1068" s="48" t="s">
        <v>22</v>
      </c>
      <c r="L1068" s="48" t="s">
        <v>1132</v>
      </c>
      <c r="M1068" s="48" t="s">
        <v>26</v>
      </c>
      <c r="N1068" s="48" t="s">
        <v>20</v>
      </c>
      <c r="O1068" s="48" t="s">
        <v>378</v>
      </c>
      <c r="P1068" s="50">
        <v>1050000</v>
      </c>
      <c r="Q1068" s="50">
        <v>1</v>
      </c>
      <c r="R1068" s="50">
        <v>1050000</v>
      </c>
      <c r="S1068" s="74">
        <v>45642</v>
      </c>
      <c r="T1068" s="48" t="s">
        <v>311</v>
      </c>
      <c r="U1068" s="48" t="s">
        <v>870</v>
      </c>
      <c r="V1068" s="48" t="s">
        <v>857</v>
      </c>
      <c r="W1068" s="48"/>
    </row>
    <row r="1069" spans="1:23" ht="15.75" x14ac:dyDescent="0.25">
      <c r="A1069" s="48" t="s">
        <v>306</v>
      </c>
      <c r="B1069" s="49">
        <v>45636</v>
      </c>
      <c r="C1069" s="48" t="s">
        <v>948</v>
      </c>
      <c r="D1069" s="48" t="s">
        <v>1118</v>
      </c>
      <c r="E1069" s="48" t="s">
        <v>858</v>
      </c>
      <c r="F1069" s="48" t="s">
        <v>62</v>
      </c>
      <c r="G1069" s="48" t="s">
        <v>70</v>
      </c>
      <c r="H1069" s="48" t="s">
        <v>70</v>
      </c>
      <c r="I1069" s="48" t="s">
        <v>307</v>
      </c>
      <c r="J1069" s="48" t="s">
        <v>72</v>
      </c>
      <c r="K1069" s="48" t="s">
        <v>213</v>
      </c>
      <c r="L1069" s="48" t="s">
        <v>1134</v>
      </c>
      <c r="M1069" s="48" t="s">
        <v>67</v>
      </c>
      <c r="N1069" s="48" t="s">
        <v>20</v>
      </c>
      <c r="O1069" s="48" t="s">
        <v>857</v>
      </c>
      <c r="P1069" s="50">
        <v>674567.06</v>
      </c>
      <c r="Q1069" s="50">
        <v>4.5848000064688499</v>
      </c>
      <c r="R1069" s="50">
        <v>3092755.0610516733</v>
      </c>
      <c r="S1069" s="74">
        <v>45642</v>
      </c>
      <c r="T1069" s="48" t="s">
        <v>308</v>
      </c>
      <c r="U1069" s="48" t="s">
        <v>213</v>
      </c>
      <c r="V1069" s="48" t="s">
        <v>857</v>
      </c>
      <c r="W1069" s="48"/>
    </row>
    <row r="1070" spans="1:23" ht="15.75" x14ac:dyDescent="0.25">
      <c r="A1070" s="48" t="s">
        <v>403</v>
      </c>
      <c r="B1070" s="49">
        <v>45600</v>
      </c>
      <c r="C1070" s="48" t="s">
        <v>916</v>
      </c>
      <c r="D1070" s="48" t="s">
        <v>441</v>
      </c>
      <c r="E1070" s="48" t="s">
        <v>856</v>
      </c>
      <c r="F1070" s="48" t="s">
        <v>95</v>
      </c>
      <c r="G1070" s="48" t="s">
        <v>96</v>
      </c>
      <c r="H1070" s="48" t="s">
        <v>27</v>
      </c>
      <c r="I1070" s="48" t="s">
        <v>404</v>
      </c>
      <c r="J1070" s="48" t="s">
        <v>24</v>
      </c>
      <c r="K1070" s="48" t="s">
        <v>22</v>
      </c>
      <c r="L1070" s="48" t="s">
        <v>1132</v>
      </c>
      <c r="M1070" s="48" t="s">
        <v>26</v>
      </c>
      <c r="N1070" s="48" t="s">
        <v>20</v>
      </c>
      <c r="O1070" s="48" t="s">
        <v>378</v>
      </c>
      <c r="P1070" s="50">
        <v>500000</v>
      </c>
      <c r="Q1070" s="50">
        <v>1</v>
      </c>
      <c r="R1070" s="50">
        <v>500000</v>
      </c>
      <c r="S1070" s="74">
        <v>45642</v>
      </c>
      <c r="T1070" s="48" t="s">
        <v>311</v>
      </c>
      <c r="U1070" s="48" t="s">
        <v>870</v>
      </c>
      <c r="V1070" s="48" t="s">
        <v>857</v>
      </c>
      <c r="W1070" s="48"/>
    </row>
    <row r="1071" spans="1:23" ht="15.75" x14ac:dyDescent="0.25">
      <c r="A1071" s="48" t="s">
        <v>383</v>
      </c>
      <c r="B1071" s="49">
        <v>45585</v>
      </c>
      <c r="C1071" s="48" t="s">
        <v>916</v>
      </c>
      <c r="D1071" s="48" t="s">
        <v>441</v>
      </c>
      <c r="E1071" s="48" t="s">
        <v>856</v>
      </c>
      <c r="F1071" s="48" t="s">
        <v>95</v>
      </c>
      <c r="G1071" s="48" t="s">
        <v>96</v>
      </c>
      <c r="H1071" s="48" t="s">
        <v>27</v>
      </c>
      <c r="I1071" s="48" t="s">
        <v>355</v>
      </c>
      <c r="J1071" s="48" t="s">
        <v>24</v>
      </c>
      <c r="K1071" s="48" t="s">
        <v>22</v>
      </c>
      <c r="L1071" s="48" t="s">
        <v>1132</v>
      </c>
      <c r="M1071" s="48" t="s">
        <v>26</v>
      </c>
      <c r="N1071" s="48" t="s">
        <v>20</v>
      </c>
      <c r="O1071" s="48" t="s">
        <v>378</v>
      </c>
      <c r="P1071" s="50">
        <v>2000000</v>
      </c>
      <c r="Q1071" s="50">
        <v>1</v>
      </c>
      <c r="R1071" s="50">
        <v>2000000</v>
      </c>
      <c r="S1071" s="74">
        <v>45642</v>
      </c>
      <c r="T1071" s="48" t="s">
        <v>311</v>
      </c>
      <c r="U1071" s="48" t="s">
        <v>870</v>
      </c>
      <c r="V1071" s="48" t="s">
        <v>857</v>
      </c>
      <c r="W1071" s="48"/>
    </row>
    <row r="1072" spans="1:23" ht="15.75" x14ac:dyDescent="0.25">
      <c r="A1072" s="48" t="s">
        <v>365</v>
      </c>
      <c r="B1072" s="49">
        <v>45643</v>
      </c>
      <c r="C1072" s="48" t="s">
        <v>931</v>
      </c>
      <c r="D1072" s="48" t="s">
        <v>1119</v>
      </c>
      <c r="E1072" s="48" t="s">
        <v>856</v>
      </c>
      <c r="F1072" s="48" t="s">
        <v>366</v>
      </c>
      <c r="G1072" s="48" t="s">
        <v>367</v>
      </c>
      <c r="H1072" s="48" t="s">
        <v>27</v>
      </c>
      <c r="I1072" s="48" t="s">
        <v>368</v>
      </c>
      <c r="J1072" s="48" t="s">
        <v>72</v>
      </c>
      <c r="K1072" s="48" t="s">
        <v>367</v>
      </c>
      <c r="L1072" s="48" t="s">
        <v>1136</v>
      </c>
      <c r="M1072" s="48" t="s">
        <v>26</v>
      </c>
      <c r="N1072" s="48" t="s">
        <v>20</v>
      </c>
      <c r="O1072" s="48" t="s">
        <v>857</v>
      </c>
      <c r="P1072" s="50">
        <v>14454426.59</v>
      </c>
      <c r="Q1072" s="50">
        <v>1</v>
      </c>
      <c r="R1072" s="50">
        <v>14454426.59</v>
      </c>
      <c r="S1072" s="74">
        <v>45642</v>
      </c>
      <c r="T1072" s="48" t="s">
        <v>369</v>
      </c>
      <c r="U1072" s="48" t="s">
        <v>367</v>
      </c>
      <c r="V1072" s="48" t="s">
        <v>857</v>
      </c>
      <c r="W1072" s="48"/>
    </row>
    <row r="1073" spans="1:23" ht="15.75" x14ac:dyDescent="0.25">
      <c r="A1073" s="48" t="s">
        <v>365</v>
      </c>
      <c r="B1073" s="49">
        <v>45643</v>
      </c>
      <c r="C1073" s="48" t="s">
        <v>930</v>
      </c>
      <c r="D1073" s="48" t="s">
        <v>1119</v>
      </c>
      <c r="E1073" s="48" t="s">
        <v>856</v>
      </c>
      <c r="F1073" s="48" t="s">
        <v>366</v>
      </c>
      <c r="G1073" s="48" t="s">
        <v>367</v>
      </c>
      <c r="H1073" s="48" t="s">
        <v>27</v>
      </c>
      <c r="I1073" s="48" t="s">
        <v>368</v>
      </c>
      <c r="J1073" s="48" t="s">
        <v>72</v>
      </c>
      <c r="K1073" s="48" t="s">
        <v>367</v>
      </c>
      <c r="L1073" s="48" t="s">
        <v>1136</v>
      </c>
      <c r="M1073" s="48" t="s">
        <v>26</v>
      </c>
      <c r="N1073" s="48" t="s">
        <v>20</v>
      </c>
      <c r="O1073" s="48" t="s">
        <v>857</v>
      </c>
      <c r="P1073" s="50">
        <v>65526070.590000004</v>
      </c>
      <c r="Q1073" s="50">
        <v>1</v>
      </c>
      <c r="R1073" s="50">
        <v>65526070.590000004</v>
      </c>
      <c r="S1073" s="74">
        <v>45642</v>
      </c>
      <c r="T1073" s="48" t="s">
        <v>369</v>
      </c>
      <c r="U1073" s="48" t="s">
        <v>367</v>
      </c>
      <c r="V1073" s="48" t="s">
        <v>857</v>
      </c>
      <c r="W1073" s="48"/>
    </row>
    <row r="1074" spans="1:23" ht="15.75" x14ac:dyDescent="0.25">
      <c r="A1074" s="48" t="s">
        <v>387</v>
      </c>
      <c r="B1074" s="49">
        <v>45579</v>
      </c>
      <c r="C1074" s="48" t="s">
        <v>916</v>
      </c>
      <c r="D1074" s="48" t="s">
        <v>441</v>
      </c>
      <c r="E1074" s="48" t="s">
        <v>858</v>
      </c>
      <c r="F1074" s="48" t="s">
        <v>95</v>
      </c>
      <c r="G1074" s="48" t="s">
        <v>96</v>
      </c>
      <c r="H1074" s="48" t="s">
        <v>27</v>
      </c>
      <c r="I1074" s="48" t="s">
        <v>188</v>
      </c>
      <c r="J1074" s="48" t="s">
        <v>24</v>
      </c>
      <c r="K1074" s="48" t="s">
        <v>22</v>
      </c>
      <c r="L1074" s="48" t="s">
        <v>1132</v>
      </c>
      <c r="M1074" s="48" t="s">
        <v>26</v>
      </c>
      <c r="N1074" s="48" t="s">
        <v>20</v>
      </c>
      <c r="O1074" s="48" t="s">
        <v>378</v>
      </c>
      <c r="P1074" s="50">
        <v>1000000</v>
      </c>
      <c r="Q1074" s="50">
        <v>1</v>
      </c>
      <c r="R1074" s="50">
        <v>1000000</v>
      </c>
      <c r="S1074" s="74">
        <v>45641</v>
      </c>
      <c r="T1074" s="48" t="s">
        <v>311</v>
      </c>
      <c r="U1074" s="48" t="s">
        <v>870</v>
      </c>
      <c r="V1074" s="48" t="s">
        <v>857</v>
      </c>
      <c r="W1074" s="48"/>
    </row>
    <row r="1075" spans="1:23" ht="15.75" x14ac:dyDescent="0.25">
      <c r="A1075" s="48" t="s">
        <v>291</v>
      </c>
      <c r="B1075" s="49">
        <v>45559</v>
      </c>
      <c r="C1075" s="48" t="s">
        <v>916</v>
      </c>
      <c r="D1075" s="48" t="s">
        <v>441</v>
      </c>
      <c r="E1075" s="48" t="s">
        <v>856</v>
      </c>
      <c r="F1075" s="48" t="s">
        <v>21</v>
      </c>
      <c r="G1075" s="48" t="s">
        <v>22</v>
      </c>
      <c r="H1075" s="48" t="s">
        <v>27</v>
      </c>
      <c r="I1075" s="48" t="s">
        <v>292</v>
      </c>
      <c r="J1075" s="48" t="s">
        <v>24</v>
      </c>
      <c r="K1075" s="48" t="s">
        <v>22</v>
      </c>
      <c r="L1075" s="48" t="s">
        <v>1132</v>
      </c>
      <c r="M1075" s="48" t="s">
        <v>26</v>
      </c>
      <c r="N1075" s="48" t="s">
        <v>20</v>
      </c>
      <c r="O1075" s="48" t="s">
        <v>857</v>
      </c>
      <c r="P1075" s="50">
        <v>1000000</v>
      </c>
      <c r="Q1075" s="50">
        <v>1</v>
      </c>
      <c r="R1075" s="50">
        <v>1000000</v>
      </c>
      <c r="S1075" s="74">
        <v>45641</v>
      </c>
      <c r="T1075" s="48" t="s">
        <v>917</v>
      </c>
      <c r="U1075" s="48" t="s">
        <v>90</v>
      </c>
      <c r="V1075" s="48" t="s">
        <v>857</v>
      </c>
      <c r="W1075" s="48"/>
    </row>
    <row r="1076" spans="1:23" ht="15.75" x14ac:dyDescent="0.25">
      <c r="A1076" s="48" t="s">
        <v>468</v>
      </c>
      <c r="B1076" s="49">
        <v>45638</v>
      </c>
      <c r="C1076" s="48" t="s">
        <v>918</v>
      </c>
      <c r="D1076" s="48" t="s">
        <v>1119</v>
      </c>
      <c r="E1076" s="48" t="s">
        <v>856</v>
      </c>
      <c r="F1076" s="48" t="s">
        <v>366</v>
      </c>
      <c r="G1076" s="48" t="s">
        <v>367</v>
      </c>
      <c r="H1076" s="48" t="s">
        <v>27</v>
      </c>
      <c r="I1076" s="48" t="s">
        <v>469</v>
      </c>
      <c r="J1076" s="48" t="s">
        <v>72</v>
      </c>
      <c r="K1076" s="48" t="s">
        <v>367</v>
      </c>
      <c r="L1076" s="48" t="s">
        <v>1136</v>
      </c>
      <c r="M1076" s="48" t="s">
        <v>191</v>
      </c>
      <c r="N1076" s="48" t="s">
        <v>20</v>
      </c>
      <c r="O1076" s="48" t="s">
        <v>857</v>
      </c>
      <c r="P1076" s="50">
        <v>1065900.51</v>
      </c>
      <c r="Q1076" s="50">
        <v>1.026</v>
      </c>
      <c r="R1076" s="50">
        <v>1093613.9232600001</v>
      </c>
      <c r="S1076" s="74">
        <v>45638</v>
      </c>
      <c r="T1076" s="48" t="s">
        <v>208</v>
      </c>
      <c r="U1076" s="48" t="s">
        <v>367</v>
      </c>
      <c r="V1076" s="48" t="s">
        <v>857</v>
      </c>
      <c r="W1076" s="48"/>
    </row>
    <row r="1077" spans="1:23" ht="15.75" x14ac:dyDescent="0.25">
      <c r="A1077" s="48" t="s">
        <v>409</v>
      </c>
      <c r="B1077" s="49">
        <v>45637</v>
      </c>
      <c r="C1077" s="48" t="s">
        <v>916</v>
      </c>
      <c r="D1077" s="48" t="s">
        <v>509</v>
      </c>
      <c r="E1077" s="48" t="s">
        <v>858</v>
      </c>
      <c r="F1077" s="48" t="s">
        <v>95</v>
      </c>
      <c r="G1077" s="48" t="s">
        <v>96</v>
      </c>
      <c r="H1077" s="48" t="s">
        <v>27</v>
      </c>
      <c r="I1077" s="48" t="s">
        <v>221</v>
      </c>
      <c r="J1077" s="48" t="s">
        <v>66</v>
      </c>
      <c r="K1077" s="48" t="s">
        <v>410</v>
      </c>
      <c r="L1077" s="48" t="s">
        <v>1137</v>
      </c>
      <c r="M1077" s="48" t="s">
        <v>191</v>
      </c>
      <c r="N1077" s="48" t="s">
        <v>20</v>
      </c>
      <c r="O1077" s="48" t="s">
        <v>378</v>
      </c>
      <c r="P1077" s="50">
        <v>525728.6</v>
      </c>
      <c r="Q1077" s="50">
        <v>1.0307770000000001</v>
      </c>
      <c r="R1077" s="50">
        <v>541908.94912220002</v>
      </c>
      <c r="S1077" s="74">
        <v>45638</v>
      </c>
      <c r="T1077" s="48" t="s">
        <v>208</v>
      </c>
      <c r="U1077" s="48" t="s">
        <v>871</v>
      </c>
      <c r="V1077" s="48" t="s">
        <v>378</v>
      </c>
      <c r="W1077" s="48"/>
    </row>
    <row r="1078" spans="1:23" ht="15.75" x14ac:dyDescent="0.25">
      <c r="A1078" s="48" t="s">
        <v>300</v>
      </c>
      <c r="B1078" s="49">
        <v>45559</v>
      </c>
      <c r="C1078" s="48" t="s">
        <v>916</v>
      </c>
      <c r="D1078" s="48" t="s">
        <v>441</v>
      </c>
      <c r="E1078" s="48" t="s">
        <v>856</v>
      </c>
      <c r="F1078" s="48" t="s">
        <v>21</v>
      </c>
      <c r="G1078" s="48" t="s">
        <v>22</v>
      </c>
      <c r="H1078" s="48" t="s">
        <v>27</v>
      </c>
      <c r="I1078" s="48" t="s">
        <v>301</v>
      </c>
      <c r="J1078" s="48" t="s">
        <v>24</v>
      </c>
      <c r="K1078" s="48" t="s">
        <v>22</v>
      </c>
      <c r="L1078" s="48" t="s">
        <v>1132</v>
      </c>
      <c r="M1078" s="48" t="s">
        <v>26</v>
      </c>
      <c r="N1078" s="48" t="s">
        <v>20</v>
      </c>
      <c r="O1078" s="48" t="s">
        <v>857</v>
      </c>
      <c r="P1078" s="50">
        <v>2000000</v>
      </c>
      <c r="Q1078" s="50">
        <v>1</v>
      </c>
      <c r="R1078" s="50">
        <v>2000000</v>
      </c>
      <c r="S1078" s="74">
        <v>45637</v>
      </c>
      <c r="T1078" s="48" t="s">
        <v>917</v>
      </c>
      <c r="U1078" s="48" t="s">
        <v>90</v>
      </c>
      <c r="V1078" s="48" t="s">
        <v>857</v>
      </c>
      <c r="W1078" s="48"/>
    </row>
    <row r="1079" spans="1:23" ht="15.75" x14ac:dyDescent="0.25">
      <c r="A1079" s="48" t="s">
        <v>462</v>
      </c>
      <c r="B1079" s="49">
        <v>45636</v>
      </c>
      <c r="C1079" s="48" t="s">
        <v>916</v>
      </c>
      <c r="D1079" s="48" t="s">
        <v>441</v>
      </c>
      <c r="E1079" s="48" t="s">
        <v>858</v>
      </c>
      <c r="F1079" s="48" t="s">
        <v>95</v>
      </c>
      <c r="G1079" s="48" t="s">
        <v>96</v>
      </c>
      <c r="H1079" s="48" t="s">
        <v>27</v>
      </c>
      <c r="I1079" s="48" t="s">
        <v>463</v>
      </c>
      <c r="J1079" s="48" t="s">
        <v>72</v>
      </c>
      <c r="K1079" s="48" t="s">
        <v>325</v>
      </c>
      <c r="L1079" s="48" t="s">
        <v>1157</v>
      </c>
      <c r="M1079" s="48" t="s">
        <v>26</v>
      </c>
      <c r="N1079" s="48" t="s">
        <v>20</v>
      </c>
      <c r="O1079" s="48" t="s">
        <v>378</v>
      </c>
      <c r="P1079" s="50">
        <v>10000000</v>
      </c>
      <c r="Q1079" s="50">
        <v>1</v>
      </c>
      <c r="R1079" s="50">
        <v>10000000</v>
      </c>
      <c r="S1079" s="74">
        <v>45637</v>
      </c>
      <c r="T1079" s="48" t="s">
        <v>208</v>
      </c>
      <c r="U1079" s="48" t="s">
        <v>90</v>
      </c>
      <c r="V1079" s="48" t="s">
        <v>857</v>
      </c>
      <c r="W1079" s="48"/>
    </row>
    <row r="1080" spans="1:23" ht="15.75" x14ac:dyDescent="0.25">
      <c r="A1080" s="48" t="s">
        <v>468</v>
      </c>
      <c r="B1080" s="49">
        <v>45636</v>
      </c>
      <c r="C1080" s="48" t="s">
        <v>916</v>
      </c>
      <c r="D1080" s="48" t="s">
        <v>1119</v>
      </c>
      <c r="E1080" s="48" t="s">
        <v>856</v>
      </c>
      <c r="F1080" s="48" t="s">
        <v>366</v>
      </c>
      <c r="G1080" s="48" t="s">
        <v>367</v>
      </c>
      <c r="H1080" s="48" t="s">
        <v>27</v>
      </c>
      <c r="I1080" s="48" t="s">
        <v>469</v>
      </c>
      <c r="J1080" s="48" t="s">
        <v>72</v>
      </c>
      <c r="K1080" s="48" t="s">
        <v>367</v>
      </c>
      <c r="L1080" s="48" t="s">
        <v>1136</v>
      </c>
      <c r="M1080" s="48" t="s">
        <v>191</v>
      </c>
      <c r="N1080" s="48" t="s">
        <v>20</v>
      </c>
      <c r="O1080" s="48" t="s">
        <v>857</v>
      </c>
      <c r="P1080" s="50">
        <v>662144.34</v>
      </c>
      <c r="Q1080" s="50">
        <v>1.026</v>
      </c>
      <c r="R1080" s="50">
        <v>679360.09283999994</v>
      </c>
      <c r="S1080" s="74">
        <v>45636</v>
      </c>
      <c r="T1080" s="48" t="s">
        <v>208</v>
      </c>
      <c r="U1080" s="48" t="s">
        <v>367</v>
      </c>
      <c r="V1080" s="48" t="s">
        <v>857</v>
      </c>
      <c r="W1080" s="48"/>
    </row>
    <row r="1081" spans="1:23" ht="15.75" x14ac:dyDescent="0.25">
      <c r="A1081" s="48" t="s">
        <v>321</v>
      </c>
      <c r="B1081" s="49">
        <v>45634</v>
      </c>
      <c r="C1081" s="48" t="s">
        <v>924</v>
      </c>
      <c r="D1081" s="48" t="s">
        <v>1118</v>
      </c>
      <c r="E1081" s="48" t="s">
        <v>858</v>
      </c>
      <c r="F1081" s="48" t="s">
        <v>62</v>
      </c>
      <c r="G1081" s="48" t="s">
        <v>70</v>
      </c>
      <c r="H1081" s="48" t="s">
        <v>70</v>
      </c>
      <c r="I1081" s="48" t="s">
        <v>322</v>
      </c>
      <c r="J1081" s="48" t="s">
        <v>72</v>
      </c>
      <c r="K1081" s="48" t="s">
        <v>213</v>
      </c>
      <c r="L1081" s="48" t="s">
        <v>1134</v>
      </c>
      <c r="M1081" s="48" t="s">
        <v>26</v>
      </c>
      <c r="N1081" s="48" t="s">
        <v>20</v>
      </c>
      <c r="O1081" s="48" t="s">
        <v>857</v>
      </c>
      <c r="P1081" s="50">
        <v>3958594.13</v>
      </c>
      <c r="Q1081" s="50">
        <v>1</v>
      </c>
      <c r="R1081" s="50">
        <v>3958594.13</v>
      </c>
      <c r="S1081" s="74">
        <v>45635</v>
      </c>
      <c r="T1081" s="48" t="s">
        <v>127</v>
      </c>
      <c r="U1081" s="48" t="s">
        <v>213</v>
      </c>
      <c r="V1081" s="48" t="s">
        <v>857</v>
      </c>
      <c r="W1081" s="48"/>
    </row>
    <row r="1082" spans="1:23" ht="15.75" x14ac:dyDescent="0.25">
      <c r="A1082" s="48" t="s">
        <v>321</v>
      </c>
      <c r="B1082" s="49">
        <v>45634</v>
      </c>
      <c r="C1082" s="48" t="s">
        <v>928</v>
      </c>
      <c r="D1082" s="48" t="s">
        <v>1118</v>
      </c>
      <c r="E1082" s="48" t="s">
        <v>858</v>
      </c>
      <c r="F1082" s="48" t="s">
        <v>62</v>
      </c>
      <c r="G1082" s="48" t="s">
        <v>70</v>
      </c>
      <c r="H1082" s="48" t="s">
        <v>70</v>
      </c>
      <c r="I1082" s="48" t="s">
        <v>322</v>
      </c>
      <c r="J1082" s="48" t="s">
        <v>72</v>
      </c>
      <c r="K1082" s="48" t="s">
        <v>213</v>
      </c>
      <c r="L1082" s="48" t="s">
        <v>1134</v>
      </c>
      <c r="M1082" s="48" t="s">
        <v>26</v>
      </c>
      <c r="N1082" s="48" t="s">
        <v>20</v>
      </c>
      <c r="O1082" s="48" t="s">
        <v>857</v>
      </c>
      <c r="P1082" s="50">
        <v>1733887.85</v>
      </c>
      <c r="Q1082" s="50">
        <v>1</v>
      </c>
      <c r="R1082" s="50">
        <v>1733887.85</v>
      </c>
      <c r="S1082" s="74">
        <v>45635</v>
      </c>
      <c r="T1082" s="48" t="s">
        <v>127</v>
      </c>
      <c r="U1082" s="48" t="s">
        <v>213</v>
      </c>
      <c r="V1082" s="48" t="s">
        <v>857</v>
      </c>
      <c r="W1082" s="48"/>
    </row>
    <row r="1083" spans="1:23" ht="15.75" x14ac:dyDescent="0.25">
      <c r="A1083" s="48" t="s">
        <v>359</v>
      </c>
      <c r="B1083" s="49">
        <v>45586</v>
      </c>
      <c r="C1083" s="48" t="s">
        <v>916</v>
      </c>
      <c r="D1083" s="48" t="s">
        <v>441</v>
      </c>
      <c r="E1083" s="48" t="s">
        <v>856</v>
      </c>
      <c r="F1083" s="48" t="s">
        <v>95</v>
      </c>
      <c r="G1083" s="48" t="s">
        <v>96</v>
      </c>
      <c r="H1083" s="48" t="s">
        <v>27</v>
      </c>
      <c r="I1083" s="48" t="s">
        <v>360</v>
      </c>
      <c r="J1083" s="48" t="s">
        <v>24</v>
      </c>
      <c r="K1083" s="48" t="s">
        <v>22</v>
      </c>
      <c r="L1083" s="48" t="s">
        <v>1132</v>
      </c>
      <c r="M1083" s="48" t="s">
        <v>26</v>
      </c>
      <c r="N1083" s="48" t="s">
        <v>20</v>
      </c>
      <c r="O1083" s="48" t="s">
        <v>378</v>
      </c>
      <c r="P1083" s="50">
        <v>507987.99</v>
      </c>
      <c r="Q1083" s="50">
        <v>1</v>
      </c>
      <c r="R1083" s="50">
        <v>507987.99</v>
      </c>
      <c r="S1083" s="74">
        <v>45635</v>
      </c>
      <c r="T1083" s="48" t="s">
        <v>311</v>
      </c>
      <c r="U1083" s="48" t="s">
        <v>871</v>
      </c>
      <c r="V1083" s="48" t="s">
        <v>857</v>
      </c>
      <c r="W1083" s="48"/>
    </row>
    <row r="1084" spans="1:23" ht="15.75" x14ac:dyDescent="0.25">
      <c r="A1084" s="48" t="s">
        <v>321</v>
      </c>
      <c r="B1084" s="49">
        <v>45634</v>
      </c>
      <c r="C1084" s="48" t="s">
        <v>918</v>
      </c>
      <c r="D1084" s="48" t="s">
        <v>1118</v>
      </c>
      <c r="E1084" s="48" t="s">
        <v>858</v>
      </c>
      <c r="F1084" s="48" t="s">
        <v>62</v>
      </c>
      <c r="G1084" s="48" t="s">
        <v>70</v>
      </c>
      <c r="H1084" s="48" t="s">
        <v>70</v>
      </c>
      <c r="I1084" s="48" t="s">
        <v>322</v>
      </c>
      <c r="J1084" s="48" t="s">
        <v>72</v>
      </c>
      <c r="K1084" s="48" t="s">
        <v>213</v>
      </c>
      <c r="L1084" s="48" t="s">
        <v>1134</v>
      </c>
      <c r="M1084" s="48" t="s">
        <v>26</v>
      </c>
      <c r="N1084" s="48" t="s">
        <v>20</v>
      </c>
      <c r="O1084" s="48" t="s">
        <v>857</v>
      </c>
      <c r="P1084" s="50">
        <v>430953.83</v>
      </c>
      <c r="Q1084" s="50">
        <v>1</v>
      </c>
      <c r="R1084" s="50">
        <v>430953.83</v>
      </c>
      <c r="S1084" s="74">
        <v>45635</v>
      </c>
      <c r="T1084" s="48" t="s">
        <v>127</v>
      </c>
      <c r="U1084" s="48" t="s">
        <v>213</v>
      </c>
      <c r="V1084" s="48" t="s">
        <v>857</v>
      </c>
      <c r="W1084" s="48"/>
    </row>
    <row r="1085" spans="1:23" ht="15.75" x14ac:dyDescent="0.25">
      <c r="A1085" s="48" t="s">
        <v>330</v>
      </c>
      <c r="B1085" s="49">
        <v>45606</v>
      </c>
      <c r="C1085" s="48" t="s">
        <v>916</v>
      </c>
      <c r="D1085" s="48" t="s">
        <v>441</v>
      </c>
      <c r="E1085" s="48" t="s">
        <v>858</v>
      </c>
      <c r="F1085" s="48" t="s">
        <v>95</v>
      </c>
      <c r="G1085" s="48" t="s">
        <v>96</v>
      </c>
      <c r="H1085" s="48" t="s">
        <v>27</v>
      </c>
      <c r="I1085" s="48" t="s">
        <v>201</v>
      </c>
      <c r="J1085" s="48" t="s">
        <v>24</v>
      </c>
      <c r="K1085" s="48" t="s">
        <v>22</v>
      </c>
      <c r="L1085" s="48" t="s">
        <v>1132</v>
      </c>
      <c r="M1085" s="48" t="s">
        <v>26</v>
      </c>
      <c r="N1085" s="48" t="s">
        <v>20</v>
      </c>
      <c r="O1085" s="48" t="s">
        <v>378</v>
      </c>
      <c r="P1085" s="50">
        <v>457318.2</v>
      </c>
      <c r="Q1085" s="50">
        <v>1</v>
      </c>
      <c r="R1085" s="50">
        <v>457318.2</v>
      </c>
      <c r="S1085" s="74">
        <v>45634</v>
      </c>
      <c r="T1085" s="48" t="s">
        <v>311</v>
      </c>
      <c r="U1085" s="48" t="s">
        <v>90</v>
      </c>
      <c r="V1085" s="48" t="s">
        <v>857</v>
      </c>
      <c r="W1085" s="48"/>
    </row>
    <row r="1086" spans="1:23" ht="15.75" x14ac:dyDescent="0.25">
      <c r="A1086" s="48" t="s">
        <v>298</v>
      </c>
      <c r="B1086" s="49">
        <v>45546</v>
      </c>
      <c r="C1086" s="48" t="s">
        <v>916</v>
      </c>
      <c r="D1086" s="48" t="s">
        <v>441</v>
      </c>
      <c r="E1086" s="48" t="s">
        <v>856</v>
      </c>
      <c r="F1086" s="48" t="s">
        <v>21</v>
      </c>
      <c r="G1086" s="48" t="s">
        <v>22</v>
      </c>
      <c r="H1086" s="48" t="s">
        <v>27</v>
      </c>
      <c r="I1086" s="48" t="s">
        <v>299</v>
      </c>
      <c r="J1086" s="48" t="s">
        <v>24</v>
      </c>
      <c r="K1086" s="48" t="s">
        <v>22</v>
      </c>
      <c r="L1086" s="48" t="s">
        <v>1132</v>
      </c>
      <c r="M1086" s="48" t="s">
        <v>26</v>
      </c>
      <c r="N1086" s="48" t="s">
        <v>20</v>
      </c>
      <c r="O1086" s="48" t="s">
        <v>857</v>
      </c>
      <c r="P1086" s="50">
        <v>900000</v>
      </c>
      <c r="Q1086" s="50">
        <v>1</v>
      </c>
      <c r="R1086" s="50">
        <v>900000</v>
      </c>
      <c r="S1086" s="74">
        <v>45634</v>
      </c>
      <c r="T1086" s="48" t="s">
        <v>917</v>
      </c>
      <c r="U1086" s="48" t="s">
        <v>22</v>
      </c>
      <c r="V1086" s="48" t="s">
        <v>857</v>
      </c>
      <c r="W1086" s="48"/>
    </row>
    <row r="1087" spans="1:23" ht="15.75" x14ac:dyDescent="0.25">
      <c r="A1087" s="48" t="s">
        <v>345</v>
      </c>
      <c r="B1087" s="49">
        <v>45580</v>
      </c>
      <c r="C1087" s="48" t="s">
        <v>916</v>
      </c>
      <c r="D1087" s="48" t="s">
        <v>441</v>
      </c>
      <c r="E1087" s="48" t="s">
        <v>858</v>
      </c>
      <c r="F1087" s="48" t="s">
        <v>95</v>
      </c>
      <c r="G1087" s="48" t="s">
        <v>96</v>
      </c>
      <c r="H1087" s="48" t="s">
        <v>27</v>
      </c>
      <c r="I1087" s="48" t="s">
        <v>346</v>
      </c>
      <c r="J1087" s="48" t="s">
        <v>24</v>
      </c>
      <c r="K1087" s="48" t="s">
        <v>22</v>
      </c>
      <c r="L1087" s="48" t="s">
        <v>1132</v>
      </c>
      <c r="M1087" s="48" t="s">
        <v>26</v>
      </c>
      <c r="N1087" s="48" t="s">
        <v>20</v>
      </c>
      <c r="O1087" s="48" t="s">
        <v>378</v>
      </c>
      <c r="P1087" s="50">
        <v>700000</v>
      </c>
      <c r="Q1087" s="50">
        <v>1</v>
      </c>
      <c r="R1087" s="50">
        <v>700000</v>
      </c>
      <c r="S1087" s="74">
        <v>45631</v>
      </c>
      <c r="T1087" s="48" t="s">
        <v>311</v>
      </c>
      <c r="U1087" s="48" t="s">
        <v>22</v>
      </c>
      <c r="V1087" s="48" t="s">
        <v>857</v>
      </c>
      <c r="W1087" s="48"/>
    </row>
    <row r="1088" spans="1:23" ht="15.75" x14ac:dyDescent="0.25">
      <c r="A1088" s="48" t="s">
        <v>365</v>
      </c>
      <c r="B1088" s="49">
        <v>45630</v>
      </c>
      <c r="C1088" s="48" t="s">
        <v>929</v>
      </c>
      <c r="D1088" s="48" t="s">
        <v>1119</v>
      </c>
      <c r="E1088" s="48" t="s">
        <v>856</v>
      </c>
      <c r="F1088" s="48" t="s">
        <v>366</v>
      </c>
      <c r="G1088" s="48" t="s">
        <v>367</v>
      </c>
      <c r="H1088" s="48" t="s">
        <v>27</v>
      </c>
      <c r="I1088" s="48" t="s">
        <v>368</v>
      </c>
      <c r="J1088" s="48" t="s">
        <v>72</v>
      </c>
      <c r="K1088" s="48" t="s">
        <v>367</v>
      </c>
      <c r="L1088" s="48" t="s">
        <v>1136</v>
      </c>
      <c r="M1088" s="48" t="s">
        <v>26</v>
      </c>
      <c r="N1088" s="48" t="s">
        <v>20</v>
      </c>
      <c r="O1088" s="48" t="s">
        <v>857</v>
      </c>
      <c r="P1088" s="50">
        <v>38801107.390000001</v>
      </c>
      <c r="Q1088" s="50">
        <v>1</v>
      </c>
      <c r="R1088" s="50">
        <v>38801107.390000001</v>
      </c>
      <c r="S1088" s="74">
        <v>45631</v>
      </c>
      <c r="T1088" s="48" t="s">
        <v>369</v>
      </c>
      <c r="U1088" s="48" t="s">
        <v>367</v>
      </c>
      <c r="V1088" s="48" t="s">
        <v>857</v>
      </c>
      <c r="W1088" s="48"/>
    </row>
    <row r="1089" spans="1:23" ht="15.75" x14ac:dyDescent="0.25">
      <c r="A1089" s="48" t="s">
        <v>365</v>
      </c>
      <c r="B1089" s="49">
        <v>45630</v>
      </c>
      <c r="C1089" s="48" t="s">
        <v>922</v>
      </c>
      <c r="D1089" s="48" t="s">
        <v>1119</v>
      </c>
      <c r="E1089" s="48" t="s">
        <v>856</v>
      </c>
      <c r="F1089" s="48" t="s">
        <v>366</v>
      </c>
      <c r="G1089" s="48" t="s">
        <v>367</v>
      </c>
      <c r="H1089" s="48" t="s">
        <v>27</v>
      </c>
      <c r="I1089" s="48" t="s">
        <v>368</v>
      </c>
      <c r="J1089" s="48" t="s">
        <v>72</v>
      </c>
      <c r="K1089" s="48" t="s">
        <v>367</v>
      </c>
      <c r="L1089" s="48" t="s">
        <v>1136</v>
      </c>
      <c r="M1089" s="48" t="s">
        <v>26</v>
      </c>
      <c r="N1089" s="48" t="s">
        <v>20</v>
      </c>
      <c r="O1089" s="48" t="s">
        <v>857</v>
      </c>
      <c r="P1089" s="50">
        <v>21927843.989999998</v>
      </c>
      <c r="Q1089" s="50">
        <v>1</v>
      </c>
      <c r="R1089" s="50">
        <v>21927843.989999998</v>
      </c>
      <c r="S1089" s="74">
        <v>45631</v>
      </c>
      <c r="T1089" s="48" t="s">
        <v>369</v>
      </c>
      <c r="U1089" s="48" t="s">
        <v>367</v>
      </c>
      <c r="V1089" s="48" t="s">
        <v>857</v>
      </c>
      <c r="W1089" s="48"/>
    </row>
    <row r="1090" spans="1:23" ht="15.75" x14ac:dyDescent="0.25">
      <c r="A1090" s="48" t="s">
        <v>348</v>
      </c>
      <c r="B1090" s="49">
        <v>45601</v>
      </c>
      <c r="C1090" s="48" t="s">
        <v>916</v>
      </c>
      <c r="D1090" s="48" t="s">
        <v>441</v>
      </c>
      <c r="E1090" s="48" t="s">
        <v>858</v>
      </c>
      <c r="F1090" s="48" t="s">
        <v>95</v>
      </c>
      <c r="G1090" s="48" t="s">
        <v>96</v>
      </c>
      <c r="H1090" s="48" t="s">
        <v>27</v>
      </c>
      <c r="I1090" s="48" t="s">
        <v>349</v>
      </c>
      <c r="J1090" s="48" t="s">
        <v>24</v>
      </c>
      <c r="K1090" s="48" t="s">
        <v>22</v>
      </c>
      <c r="L1090" s="48" t="s">
        <v>1132</v>
      </c>
      <c r="M1090" s="48" t="s">
        <v>26</v>
      </c>
      <c r="N1090" s="48" t="s">
        <v>20</v>
      </c>
      <c r="O1090" s="48" t="s">
        <v>378</v>
      </c>
      <c r="P1090" s="50">
        <v>593580.02</v>
      </c>
      <c r="Q1090" s="50">
        <v>1</v>
      </c>
      <c r="R1090" s="50">
        <v>593580.02</v>
      </c>
      <c r="S1090" s="74">
        <v>45631</v>
      </c>
      <c r="T1090" s="48" t="s">
        <v>311</v>
      </c>
      <c r="U1090" s="48" t="s">
        <v>90</v>
      </c>
      <c r="V1090" s="48" t="s">
        <v>857</v>
      </c>
      <c r="W1090" s="48"/>
    </row>
    <row r="1091" spans="1:23" ht="15.75" x14ac:dyDescent="0.25">
      <c r="A1091" s="48" t="s">
        <v>362</v>
      </c>
      <c r="B1091" s="49">
        <v>45560</v>
      </c>
      <c r="C1091" s="48" t="s">
        <v>918</v>
      </c>
      <c r="D1091" s="48" t="s">
        <v>441</v>
      </c>
      <c r="E1091" s="48" t="s">
        <v>858</v>
      </c>
      <c r="F1091" s="48" t="s">
        <v>95</v>
      </c>
      <c r="G1091" s="48" t="s">
        <v>96</v>
      </c>
      <c r="H1091" s="48" t="s">
        <v>27</v>
      </c>
      <c r="I1091" s="48" t="s">
        <v>109</v>
      </c>
      <c r="J1091" s="48" t="s">
        <v>24</v>
      </c>
      <c r="K1091" s="48" t="s">
        <v>22</v>
      </c>
      <c r="L1091" s="48" t="s">
        <v>1132</v>
      </c>
      <c r="M1091" s="48" t="s">
        <v>26</v>
      </c>
      <c r="N1091" s="48" t="s">
        <v>20</v>
      </c>
      <c r="O1091" s="48" t="s">
        <v>857</v>
      </c>
      <c r="P1091" s="50">
        <v>1512015.94</v>
      </c>
      <c r="Q1091" s="50">
        <v>1</v>
      </c>
      <c r="R1091" s="50">
        <v>1512015.94</v>
      </c>
      <c r="S1091" s="74">
        <v>45630</v>
      </c>
      <c r="T1091" s="48" t="s">
        <v>917</v>
      </c>
      <c r="U1091" s="48" t="s">
        <v>22</v>
      </c>
      <c r="V1091" s="48" t="s">
        <v>857</v>
      </c>
      <c r="W1091" s="48"/>
    </row>
    <row r="1092" spans="1:23" ht="15.75" x14ac:dyDescent="0.25">
      <c r="A1092" s="48" t="s">
        <v>275</v>
      </c>
      <c r="B1092" s="49">
        <v>45546</v>
      </c>
      <c r="C1092" s="48" t="s">
        <v>916</v>
      </c>
      <c r="D1092" s="48" t="s">
        <v>441</v>
      </c>
      <c r="E1092" s="48" t="s">
        <v>856</v>
      </c>
      <c r="F1092" s="48" t="s">
        <v>21</v>
      </c>
      <c r="G1092" s="48" t="s">
        <v>22</v>
      </c>
      <c r="H1092" s="48" t="s">
        <v>27</v>
      </c>
      <c r="I1092" s="48" t="s">
        <v>276</v>
      </c>
      <c r="J1092" s="48" t="s">
        <v>24</v>
      </c>
      <c r="K1092" s="48" t="s">
        <v>22</v>
      </c>
      <c r="L1092" s="48" t="s">
        <v>1132</v>
      </c>
      <c r="M1092" s="48" t="s">
        <v>26</v>
      </c>
      <c r="N1092" s="48" t="s">
        <v>20</v>
      </c>
      <c r="O1092" s="48" t="s">
        <v>857</v>
      </c>
      <c r="P1092" s="50">
        <v>9787326</v>
      </c>
      <c r="Q1092" s="50">
        <v>1</v>
      </c>
      <c r="R1092" s="50">
        <v>9787326</v>
      </c>
      <c r="S1092" s="74">
        <v>45629</v>
      </c>
      <c r="T1092" s="48" t="s">
        <v>917</v>
      </c>
      <c r="U1092" s="48" t="s">
        <v>22</v>
      </c>
      <c r="V1092" s="48" t="s">
        <v>857</v>
      </c>
      <c r="W1092" s="48"/>
    </row>
    <row r="1093" spans="1:23" ht="15.75" x14ac:dyDescent="0.25">
      <c r="A1093" s="48" t="s">
        <v>279</v>
      </c>
      <c r="B1093" s="49">
        <v>45551</v>
      </c>
      <c r="C1093" s="48" t="s">
        <v>916</v>
      </c>
      <c r="D1093" s="48" t="s">
        <v>441</v>
      </c>
      <c r="E1093" s="48" t="s">
        <v>856</v>
      </c>
      <c r="F1093" s="48" t="s">
        <v>21</v>
      </c>
      <c r="G1093" s="48" t="s">
        <v>22</v>
      </c>
      <c r="H1093" s="48" t="s">
        <v>27</v>
      </c>
      <c r="I1093" s="48" t="s">
        <v>280</v>
      </c>
      <c r="J1093" s="48" t="s">
        <v>24</v>
      </c>
      <c r="K1093" s="48" t="s">
        <v>22</v>
      </c>
      <c r="L1093" s="48" t="s">
        <v>1132</v>
      </c>
      <c r="M1093" s="48" t="s">
        <v>26</v>
      </c>
      <c r="N1093" s="48" t="s">
        <v>20</v>
      </c>
      <c r="O1093" s="48" t="s">
        <v>857</v>
      </c>
      <c r="P1093" s="50">
        <v>1989919.86</v>
      </c>
      <c r="Q1093" s="50">
        <v>1</v>
      </c>
      <c r="R1093" s="50">
        <v>1989919.86</v>
      </c>
      <c r="S1093" s="74">
        <v>45629</v>
      </c>
      <c r="T1093" s="48" t="s">
        <v>917</v>
      </c>
      <c r="U1093" s="48" t="s">
        <v>22</v>
      </c>
      <c r="V1093" s="48" t="s">
        <v>857</v>
      </c>
      <c r="W1093" s="48"/>
    </row>
    <row r="1094" spans="1:23" ht="15.75" x14ac:dyDescent="0.25">
      <c r="A1094" s="48" t="s">
        <v>288</v>
      </c>
      <c r="B1094" s="49">
        <v>45546</v>
      </c>
      <c r="C1094" s="48" t="s">
        <v>916</v>
      </c>
      <c r="D1094" s="48" t="s">
        <v>441</v>
      </c>
      <c r="E1094" s="48" t="s">
        <v>856</v>
      </c>
      <c r="F1094" s="48" t="s">
        <v>21</v>
      </c>
      <c r="G1094" s="48" t="s">
        <v>22</v>
      </c>
      <c r="H1094" s="48" t="s">
        <v>27</v>
      </c>
      <c r="I1094" s="48" t="s">
        <v>289</v>
      </c>
      <c r="J1094" s="48" t="s">
        <v>24</v>
      </c>
      <c r="K1094" s="48" t="s">
        <v>22</v>
      </c>
      <c r="L1094" s="48" t="s">
        <v>1132</v>
      </c>
      <c r="M1094" s="48" t="s">
        <v>26</v>
      </c>
      <c r="N1094" s="48" t="s">
        <v>20</v>
      </c>
      <c r="O1094" s="48" t="s">
        <v>857</v>
      </c>
      <c r="P1094" s="50">
        <v>539552.68999999994</v>
      </c>
      <c r="Q1094" s="50">
        <v>1</v>
      </c>
      <c r="R1094" s="50">
        <v>539552.68999999994</v>
      </c>
      <c r="S1094" s="74">
        <v>45628</v>
      </c>
      <c r="T1094" s="48" t="s">
        <v>917</v>
      </c>
      <c r="U1094" s="48" t="s">
        <v>22</v>
      </c>
      <c r="V1094" s="48" t="s">
        <v>857</v>
      </c>
      <c r="W1094" s="48"/>
    </row>
    <row r="1095" spans="1:23" ht="15.75" x14ac:dyDescent="0.25">
      <c r="A1095" s="48" t="s">
        <v>306</v>
      </c>
      <c r="B1095" s="49">
        <v>45608</v>
      </c>
      <c r="C1095" s="48" t="s">
        <v>949</v>
      </c>
      <c r="D1095" s="48" t="s">
        <v>1118</v>
      </c>
      <c r="E1095" s="48" t="s">
        <v>858</v>
      </c>
      <c r="F1095" s="48" t="s">
        <v>62</v>
      </c>
      <c r="G1095" s="48" t="s">
        <v>70</v>
      </c>
      <c r="H1095" s="48" t="s">
        <v>70</v>
      </c>
      <c r="I1095" s="48" t="s">
        <v>307</v>
      </c>
      <c r="J1095" s="48" t="s">
        <v>72</v>
      </c>
      <c r="K1095" s="48" t="s">
        <v>213</v>
      </c>
      <c r="L1095" s="48" t="s">
        <v>1134</v>
      </c>
      <c r="M1095" s="48" t="s">
        <v>67</v>
      </c>
      <c r="N1095" s="48" t="s">
        <v>20</v>
      </c>
      <c r="O1095" s="48" t="s">
        <v>857</v>
      </c>
      <c r="P1095" s="50">
        <v>200820.89</v>
      </c>
      <c r="Q1095" s="50">
        <v>4.5848000064688499</v>
      </c>
      <c r="R1095" s="50">
        <v>920723.61777108023</v>
      </c>
      <c r="S1095" s="74">
        <v>45628</v>
      </c>
      <c r="T1095" s="48" t="s">
        <v>308</v>
      </c>
      <c r="U1095" s="48" t="s">
        <v>213</v>
      </c>
      <c r="V1095" s="48" t="s">
        <v>857</v>
      </c>
      <c r="W1095" s="48"/>
    </row>
    <row r="1096" spans="1:23" ht="15.75" x14ac:dyDescent="0.25">
      <c r="A1096" s="48" t="s">
        <v>352</v>
      </c>
      <c r="B1096" s="49">
        <v>45586</v>
      </c>
      <c r="C1096" s="48" t="s">
        <v>916</v>
      </c>
      <c r="D1096" s="48" t="s">
        <v>441</v>
      </c>
      <c r="E1096" s="48" t="s">
        <v>858</v>
      </c>
      <c r="F1096" s="48" t="s">
        <v>95</v>
      </c>
      <c r="G1096" s="48" t="s">
        <v>96</v>
      </c>
      <c r="H1096" s="48" t="s">
        <v>27</v>
      </c>
      <c r="I1096" s="48" t="s">
        <v>353</v>
      </c>
      <c r="J1096" s="48" t="s">
        <v>24</v>
      </c>
      <c r="K1096" s="48" t="s">
        <v>22</v>
      </c>
      <c r="L1096" s="48" t="s">
        <v>1132</v>
      </c>
      <c r="M1096" s="48" t="s">
        <v>26</v>
      </c>
      <c r="N1096" s="48" t="s">
        <v>20</v>
      </c>
      <c r="O1096" s="48" t="s">
        <v>378</v>
      </c>
      <c r="P1096" s="50">
        <v>375576.84</v>
      </c>
      <c r="Q1096" s="50">
        <v>1</v>
      </c>
      <c r="R1096" s="50">
        <v>375576.84</v>
      </c>
      <c r="S1096" s="74">
        <v>45627</v>
      </c>
      <c r="T1096" s="48" t="s">
        <v>311</v>
      </c>
      <c r="U1096" s="48" t="s">
        <v>22</v>
      </c>
      <c r="V1096" s="48" t="s">
        <v>857</v>
      </c>
      <c r="W1096" s="48"/>
    </row>
    <row r="1097" spans="1:23" ht="15.75" x14ac:dyDescent="0.25">
      <c r="A1097" s="48" t="s">
        <v>362</v>
      </c>
      <c r="B1097" s="49">
        <v>45560</v>
      </c>
      <c r="C1097" s="48" t="s">
        <v>916</v>
      </c>
      <c r="D1097" s="48" t="s">
        <v>441</v>
      </c>
      <c r="E1097" s="48" t="s">
        <v>858</v>
      </c>
      <c r="F1097" s="48" t="s">
        <v>95</v>
      </c>
      <c r="G1097" s="48" t="s">
        <v>96</v>
      </c>
      <c r="H1097" s="48" t="s">
        <v>27</v>
      </c>
      <c r="I1097" s="48" t="s">
        <v>109</v>
      </c>
      <c r="J1097" s="48" t="s">
        <v>24</v>
      </c>
      <c r="K1097" s="48" t="s">
        <v>22</v>
      </c>
      <c r="L1097" s="48" t="s">
        <v>1132</v>
      </c>
      <c r="M1097" s="48" t="s">
        <v>26</v>
      </c>
      <c r="N1097" s="48" t="s">
        <v>20</v>
      </c>
      <c r="O1097" s="48" t="s">
        <v>857</v>
      </c>
      <c r="P1097" s="50">
        <v>487984.06</v>
      </c>
      <c r="Q1097" s="50">
        <v>1</v>
      </c>
      <c r="R1097" s="50">
        <v>487984.06</v>
      </c>
      <c r="S1097" s="74">
        <v>45627</v>
      </c>
      <c r="T1097" s="48" t="s">
        <v>917</v>
      </c>
      <c r="U1097" s="48" t="s">
        <v>22</v>
      </c>
      <c r="V1097" s="48" t="s">
        <v>857</v>
      </c>
      <c r="W1097" s="48"/>
    </row>
    <row r="1098" spans="1:23" ht="15.75" x14ac:dyDescent="0.25">
      <c r="A1098" s="48" t="s">
        <v>343</v>
      </c>
      <c r="B1098" s="49">
        <v>45567</v>
      </c>
      <c r="C1098" s="48" t="s">
        <v>916</v>
      </c>
      <c r="D1098" s="48" t="s">
        <v>441</v>
      </c>
      <c r="E1098" s="48" t="s">
        <v>858</v>
      </c>
      <c r="F1098" s="48" t="s">
        <v>95</v>
      </c>
      <c r="G1098" s="48" t="s">
        <v>96</v>
      </c>
      <c r="H1098" s="48" t="s">
        <v>27</v>
      </c>
      <c r="I1098" s="48" t="s">
        <v>344</v>
      </c>
      <c r="J1098" s="48" t="s">
        <v>24</v>
      </c>
      <c r="K1098" s="48" t="s">
        <v>22</v>
      </c>
      <c r="L1098" s="48" t="s">
        <v>1132</v>
      </c>
      <c r="M1098" s="48" t="s">
        <v>26</v>
      </c>
      <c r="N1098" s="48" t="s">
        <v>20</v>
      </c>
      <c r="O1098" s="48" t="s">
        <v>857</v>
      </c>
      <c r="P1098" s="50">
        <v>883722.5</v>
      </c>
      <c r="Q1098" s="50">
        <v>1</v>
      </c>
      <c r="R1098" s="50">
        <v>883722.5</v>
      </c>
      <c r="S1098" s="74">
        <v>45627</v>
      </c>
      <c r="T1098" s="48" t="s">
        <v>917</v>
      </c>
      <c r="U1098" s="48" t="s">
        <v>22</v>
      </c>
      <c r="V1098" s="48" t="s">
        <v>857</v>
      </c>
      <c r="W1098" s="48"/>
    </row>
    <row r="1099" spans="1:23" ht="15.75" x14ac:dyDescent="0.25">
      <c r="A1099" s="48" t="s">
        <v>361</v>
      </c>
      <c r="B1099" s="49">
        <v>45574</v>
      </c>
      <c r="C1099" s="48" t="s">
        <v>916</v>
      </c>
      <c r="D1099" s="48" t="s">
        <v>441</v>
      </c>
      <c r="E1099" s="48" t="s">
        <v>858</v>
      </c>
      <c r="F1099" s="48" t="s">
        <v>95</v>
      </c>
      <c r="G1099" s="48" t="s">
        <v>96</v>
      </c>
      <c r="H1099" s="48" t="s">
        <v>27</v>
      </c>
      <c r="I1099" s="48" t="s">
        <v>1789</v>
      </c>
      <c r="J1099" s="48" t="s">
        <v>24</v>
      </c>
      <c r="K1099" s="48" t="s">
        <v>22</v>
      </c>
      <c r="L1099" s="48" t="s">
        <v>1132</v>
      </c>
      <c r="M1099" s="48" t="s">
        <v>26</v>
      </c>
      <c r="N1099" s="48" t="s">
        <v>20</v>
      </c>
      <c r="O1099" s="48" t="s">
        <v>857</v>
      </c>
      <c r="P1099" s="50">
        <v>1053268.1599999999</v>
      </c>
      <c r="Q1099" s="50">
        <v>1</v>
      </c>
      <c r="R1099" s="50">
        <v>1053268.1599999999</v>
      </c>
      <c r="S1099" s="74">
        <v>45627</v>
      </c>
      <c r="T1099" s="48" t="s">
        <v>311</v>
      </c>
      <c r="U1099" s="48" t="s">
        <v>22</v>
      </c>
      <c r="V1099" s="48" t="s">
        <v>857</v>
      </c>
      <c r="W1099" s="48"/>
    </row>
    <row r="1100" spans="1:23" ht="15.75" x14ac:dyDescent="0.25">
      <c r="A1100" s="48" t="s">
        <v>354</v>
      </c>
      <c r="B1100" s="49">
        <v>45560</v>
      </c>
      <c r="C1100" s="48" t="s">
        <v>916</v>
      </c>
      <c r="D1100" s="48" t="s">
        <v>441</v>
      </c>
      <c r="E1100" s="48" t="s">
        <v>858</v>
      </c>
      <c r="F1100" s="48" t="s">
        <v>95</v>
      </c>
      <c r="G1100" s="48" t="s">
        <v>96</v>
      </c>
      <c r="H1100" s="48" t="s">
        <v>27</v>
      </c>
      <c r="I1100" s="48" t="s">
        <v>355</v>
      </c>
      <c r="J1100" s="48" t="s">
        <v>24</v>
      </c>
      <c r="K1100" s="48" t="s">
        <v>22</v>
      </c>
      <c r="L1100" s="48" t="s">
        <v>1132</v>
      </c>
      <c r="M1100" s="48" t="s">
        <v>26</v>
      </c>
      <c r="N1100" s="48" t="s">
        <v>20</v>
      </c>
      <c r="O1100" s="48" t="s">
        <v>857</v>
      </c>
      <c r="P1100" s="50">
        <v>1000000</v>
      </c>
      <c r="Q1100" s="50">
        <v>1</v>
      </c>
      <c r="R1100" s="50">
        <v>1000000</v>
      </c>
      <c r="S1100" s="74">
        <v>45627</v>
      </c>
      <c r="T1100" s="48" t="s">
        <v>917</v>
      </c>
      <c r="U1100" s="48" t="s">
        <v>22</v>
      </c>
      <c r="V1100" s="48" t="s">
        <v>857</v>
      </c>
      <c r="W1100" s="48"/>
    </row>
    <row r="1101" spans="1:23" ht="15.75" x14ac:dyDescent="0.25">
      <c r="A1101" s="48" t="s">
        <v>423</v>
      </c>
      <c r="B1101" s="49">
        <v>45614</v>
      </c>
      <c r="C1101" s="48" t="s">
        <v>916</v>
      </c>
      <c r="D1101" s="48" t="s">
        <v>1182</v>
      </c>
      <c r="E1101" s="48" t="s">
        <v>856</v>
      </c>
      <c r="F1101" s="48" t="s">
        <v>95</v>
      </c>
      <c r="G1101" s="48" t="s">
        <v>96</v>
      </c>
      <c r="H1101" s="48" t="s">
        <v>27</v>
      </c>
      <c r="I1101" s="48" t="s">
        <v>424</v>
      </c>
      <c r="J1101" s="48" t="s">
        <v>24</v>
      </c>
      <c r="K1101" s="48" t="s">
        <v>25</v>
      </c>
      <c r="L1101" s="48" t="s">
        <v>1138</v>
      </c>
      <c r="M1101" s="48" t="s">
        <v>26</v>
      </c>
      <c r="N1101" s="48" t="s">
        <v>20</v>
      </c>
      <c r="O1101" s="48" t="s">
        <v>378</v>
      </c>
      <c r="P1101" s="50">
        <v>1000000</v>
      </c>
      <c r="Q1101" s="50">
        <v>1</v>
      </c>
      <c r="R1101" s="50">
        <v>1000000</v>
      </c>
      <c r="S1101" s="74">
        <v>45627</v>
      </c>
      <c r="T1101" s="48" t="s">
        <v>425</v>
      </c>
      <c r="U1101" s="48" t="s">
        <v>22</v>
      </c>
      <c r="V1101" s="48" t="s">
        <v>378</v>
      </c>
      <c r="W1101" s="48"/>
    </row>
    <row r="1102" spans="1:23" ht="15.75" x14ac:dyDescent="0.25">
      <c r="A1102" s="48" t="s">
        <v>456</v>
      </c>
      <c r="B1102" s="49">
        <v>45613</v>
      </c>
      <c r="C1102" s="48" t="s">
        <v>916</v>
      </c>
      <c r="D1102" s="48" t="s">
        <v>1181</v>
      </c>
      <c r="E1102" s="48" t="s">
        <v>858</v>
      </c>
      <c r="F1102" s="48" t="s">
        <v>373</v>
      </c>
      <c r="G1102" s="48" t="s">
        <v>63</v>
      </c>
      <c r="H1102" s="48" t="s">
        <v>27</v>
      </c>
      <c r="I1102" s="48" t="s">
        <v>457</v>
      </c>
      <c r="J1102" s="48" t="s">
        <v>72</v>
      </c>
      <c r="K1102" s="48" t="s">
        <v>81</v>
      </c>
      <c r="L1102" s="48" t="s">
        <v>1139</v>
      </c>
      <c r="M1102" s="48" t="s">
        <v>26</v>
      </c>
      <c r="N1102" s="48" t="s">
        <v>20</v>
      </c>
      <c r="O1102" s="48" t="s">
        <v>857</v>
      </c>
      <c r="P1102" s="50">
        <v>127650</v>
      </c>
      <c r="Q1102" s="50">
        <v>1</v>
      </c>
      <c r="R1102" s="50">
        <v>127650</v>
      </c>
      <c r="S1102" s="74">
        <v>45623</v>
      </c>
      <c r="T1102" s="48" t="s">
        <v>208</v>
      </c>
      <c r="U1102" s="48" t="s">
        <v>483</v>
      </c>
      <c r="V1102" s="48" t="s">
        <v>378</v>
      </c>
      <c r="W1102" s="48"/>
    </row>
    <row r="1103" spans="1:23" ht="15.75" x14ac:dyDescent="0.25">
      <c r="A1103" s="48" t="s">
        <v>356</v>
      </c>
      <c r="B1103" s="49">
        <v>45608</v>
      </c>
      <c r="C1103" s="48" t="s">
        <v>916</v>
      </c>
      <c r="D1103" s="48" t="s">
        <v>441</v>
      </c>
      <c r="E1103" s="48" t="s">
        <v>858</v>
      </c>
      <c r="F1103" s="48" t="s">
        <v>95</v>
      </c>
      <c r="G1103" s="48" t="s">
        <v>96</v>
      </c>
      <c r="H1103" s="48" t="s">
        <v>27</v>
      </c>
      <c r="I1103" s="48" t="s">
        <v>119</v>
      </c>
      <c r="J1103" s="48" t="s">
        <v>24</v>
      </c>
      <c r="K1103" s="48" t="s">
        <v>22</v>
      </c>
      <c r="L1103" s="48" t="s">
        <v>1132</v>
      </c>
      <c r="M1103" s="48" t="s">
        <v>26</v>
      </c>
      <c r="N1103" s="48" t="s">
        <v>20</v>
      </c>
      <c r="O1103" s="48" t="s">
        <v>378</v>
      </c>
      <c r="P1103" s="50">
        <v>3500000</v>
      </c>
      <c r="Q1103" s="50">
        <v>1</v>
      </c>
      <c r="R1103" s="50">
        <v>3500000</v>
      </c>
      <c r="S1103" s="74">
        <v>45623</v>
      </c>
      <c r="T1103" s="48" t="s">
        <v>311</v>
      </c>
      <c r="U1103" s="48" t="s">
        <v>90</v>
      </c>
      <c r="V1103" s="48" t="s">
        <v>857</v>
      </c>
      <c r="W1103" s="48"/>
    </row>
    <row r="1104" spans="1:23" ht="15.75" x14ac:dyDescent="0.25">
      <c r="A1104" s="48" t="s">
        <v>350</v>
      </c>
      <c r="B1104" s="49">
        <v>45573</v>
      </c>
      <c r="C1104" s="48" t="s">
        <v>916</v>
      </c>
      <c r="D1104" s="48" t="s">
        <v>441</v>
      </c>
      <c r="E1104" s="48" t="s">
        <v>856</v>
      </c>
      <c r="F1104" s="48" t="s">
        <v>95</v>
      </c>
      <c r="G1104" s="48" t="s">
        <v>96</v>
      </c>
      <c r="H1104" s="48" t="s">
        <v>27</v>
      </c>
      <c r="I1104" s="48" t="s">
        <v>351</v>
      </c>
      <c r="J1104" s="48" t="s">
        <v>24</v>
      </c>
      <c r="K1104" s="48" t="s">
        <v>22</v>
      </c>
      <c r="L1104" s="48" t="s">
        <v>1132</v>
      </c>
      <c r="M1104" s="48" t="s">
        <v>26</v>
      </c>
      <c r="N1104" s="48" t="s">
        <v>20</v>
      </c>
      <c r="O1104" s="48" t="s">
        <v>378</v>
      </c>
      <c r="P1104" s="50">
        <v>458485.39</v>
      </c>
      <c r="Q1104" s="50">
        <v>1</v>
      </c>
      <c r="R1104" s="50">
        <v>458485.39</v>
      </c>
      <c r="S1104" s="74">
        <v>45623</v>
      </c>
      <c r="T1104" s="48" t="s">
        <v>311</v>
      </c>
      <c r="U1104" s="48" t="s">
        <v>90</v>
      </c>
      <c r="V1104" s="48" t="s">
        <v>857</v>
      </c>
      <c r="W1104" s="48"/>
    </row>
    <row r="1105" spans="1:23" ht="15.75" x14ac:dyDescent="0.25">
      <c r="A1105" s="48" t="s">
        <v>285</v>
      </c>
      <c r="B1105" s="49">
        <v>45540</v>
      </c>
      <c r="C1105" s="48" t="s">
        <v>916</v>
      </c>
      <c r="D1105" s="48" t="s">
        <v>441</v>
      </c>
      <c r="E1105" s="48" t="s">
        <v>856</v>
      </c>
      <c r="F1105" s="48" t="s">
        <v>21</v>
      </c>
      <c r="G1105" s="48" t="s">
        <v>22</v>
      </c>
      <c r="H1105" s="48" t="s">
        <v>27</v>
      </c>
      <c r="I1105" s="48" t="s">
        <v>286</v>
      </c>
      <c r="J1105" s="48" t="s">
        <v>24</v>
      </c>
      <c r="K1105" s="48" t="s">
        <v>22</v>
      </c>
      <c r="L1105" s="48" t="s">
        <v>1132</v>
      </c>
      <c r="M1105" s="48" t="s">
        <v>26</v>
      </c>
      <c r="N1105" s="48" t="s">
        <v>20</v>
      </c>
      <c r="O1105" s="48" t="s">
        <v>857</v>
      </c>
      <c r="P1105" s="50">
        <v>300000</v>
      </c>
      <c r="Q1105" s="50">
        <v>1</v>
      </c>
      <c r="R1105" s="50">
        <v>300000</v>
      </c>
      <c r="S1105" s="74">
        <v>45623</v>
      </c>
      <c r="T1105" s="48" t="s">
        <v>917</v>
      </c>
      <c r="U1105" s="48" t="s">
        <v>22</v>
      </c>
      <c r="V1105" s="48" t="s">
        <v>857</v>
      </c>
      <c r="W1105" s="48"/>
    </row>
    <row r="1106" spans="1:23" ht="15.75" x14ac:dyDescent="0.25">
      <c r="A1106" s="48" t="s">
        <v>334</v>
      </c>
      <c r="B1106" s="49">
        <v>45553</v>
      </c>
      <c r="C1106" s="48" t="s">
        <v>916</v>
      </c>
      <c r="D1106" s="48" t="s">
        <v>441</v>
      </c>
      <c r="E1106" s="48" t="s">
        <v>856</v>
      </c>
      <c r="F1106" s="48" t="s">
        <v>95</v>
      </c>
      <c r="G1106" s="48" t="s">
        <v>96</v>
      </c>
      <c r="H1106" s="48" t="s">
        <v>27</v>
      </c>
      <c r="I1106" s="48" t="s">
        <v>335</v>
      </c>
      <c r="J1106" s="48" t="s">
        <v>24</v>
      </c>
      <c r="K1106" s="48" t="s">
        <v>22</v>
      </c>
      <c r="L1106" s="48" t="s">
        <v>1132</v>
      </c>
      <c r="M1106" s="48" t="s">
        <v>26</v>
      </c>
      <c r="N1106" s="48" t="s">
        <v>20</v>
      </c>
      <c r="O1106" s="48" t="s">
        <v>857</v>
      </c>
      <c r="P1106" s="50">
        <v>2754688.47</v>
      </c>
      <c r="Q1106" s="50">
        <v>1</v>
      </c>
      <c r="R1106" s="50">
        <v>2754688.47</v>
      </c>
      <c r="S1106" s="74">
        <v>45622</v>
      </c>
      <c r="T1106" s="48" t="s">
        <v>917</v>
      </c>
      <c r="U1106" s="48" t="s">
        <v>90</v>
      </c>
      <c r="V1106" s="48" t="s">
        <v>857</v>
      </c>
      <c r="W1106" s="48"/>
    </row>
    <row r="1107" spans="1:23" ht="15.75" x14ac:dyDescent="0.25">
      <c r="A1107" s="48" t="s">
        <v>287</v>
      </c>
      <c r="B1107" s="49">
        <v>45538</v>
      </c>
      <c r="C1107" s="48" t="s">
        <v>916</v>
      </c>
      <c r="D1107" s="48" t="s">
        <v>441</v>
      </c>
      <c r="E1107" s="48" t="s">
        <v>858</v>
      </c>
      <c r="F1107" s="48" t="s">
        <v>21</v>
      </c>
      <c r="G1107" s="48" t="s">
        <v>22</v>
      </c>
      <c r="H1107" s="48" t="s">
        <v>27</v>
      </c>
      <c r="I1107" s="48" t="s">
        <v>45</v>
      </c>
      <c r="J1107" s="48" t="s">
        <v>24</v>
      </c>
      <c r="K1107" s="48" t="s">
        <v>22</v>
      </c>
      <c r="L1107" s="48" t="s">
        <v>1132</v>
      </c>
      <c r="M1107" s="48" t="s">
        <v>26</v>
      </c>
      <c r="N1107" s="48" t="s">
        <v>20</v>
      </c>
      <c r="O1107" s="48" t="s">
        <v>857</v>
      </c>
      <c r="P1107" s="50">
        <v>1000000</v>
      </c>
      <c r="Q1107" s="50">
        <v>1</v>
      </c>
      <c r="R1107" s="50">
        <v>1000000</v>
      </c>
      <c r="S1107" s="74">
        <v>45622</v>
      </c>
      <c r="T1107" s="48" t="s">
        <v>917</v>
      </c>
      <c r="U1107" s="48" t="s">
        <v>22</v>
      </c>
      <c r="V1107" s="48" t="s">
        <v>857</v>
      </c>
      <c r="W1107" s="48"/>
    </row>
    <row r="1108" spans="1:23" ht="15.75" x14ac:dyDescent="0.25">
      <c r="A1108" s="48" t="s">
        <v>290</v>
      </c>
      <c r="B1108" s="49">
        <v>45552</v>
      </c>
      <c r="C1108" s="48" t="s">
        <v>916</v>
      </c>
      <c r="D1108" s="48" t="s">
        <v>441</v>
      </c>
      <c r="E1108" s="48" t="s">
        <v>856</v>
      </c>
      <c r="F1108" s="48" t="s">
        <v>21</v>
      </c>
      <c r="G1108" s="48" t="s">
        <v>22</v>
      </c>
      <c r="H1108" s="48" t="s">
        <v>27</v>
      </c>
      <c r="I1108" s="48" t="s">
        <v>43</v>
      </c>
      <c r="J1108" s="48" t="s">
        <v>24</v>
      </c>
      <c r="K1108" s="48" t="s">
        <v>22</v>
      </c>
      <c r="L1108" s="48" t="s">
        <v>1132</v>
      </c>
      <c r="M1108" s="48" t="s">
        <v>26</v>
      </c>
      <c r="N1108" s="48" t="s">
        <v>20</v>
      </c>
      <c r="O1108" s="48" t="s">
        <v>857</v>
      </c>
      <c r="P1108" s="50">
        <v>327750</v>
      </c>
      <c r="Q1108" s="50">
        <v>1</v>
      </c>
      <c r="R1108" s="50">
        <v>327750</v>
      </c>
      <c r="S1108" s="74">
        <v>45622</v>
      </c>
      <c r="T1108" s="48" t="s">
        <v>917</v>
      </c>
      <c r="U1108" s="48" t="s">
        <v>22</v>
      </c>
      <c r="V1108" s="48" t="s">
        <v>857</v>
      </c>
      <c r="W1108" s="48"/>
    </row>
    <row r="1109" spans="1:23" ht="15.75" x14ac:dyDescent="0.25">
      <c r="A1109" s="48" t="s">
        <v>339</v>
      </c>
      <c r="B1109" s="49">
        <v>45599</v>
      </c>
      <c r="C1109" s="48" t="s">
        <v>916</v>
      </c>
      <c r="D1109" s="48" t="s">
        <v>441</v>
      </c>
      <c r="E1109" s="48" t="s">
        <v>858</v>
      </c>
      <c r="F1109" s="48" t="s">
        <v>95</v>
      </c>
      <c r="G1109" s="48" t="s">
        <v>96</v>
      </c>
      <c r="H1109" s="48" t="s">
        <v>27</v>
      </c>
      <c r="I1109" s="48" t="s">
        <v>276</v>
      </c>
      <c r="J1109" s="48" t="s">
        <v>24</v>
      </c>
      <c r="K1109" s="48" t="s">
        <v>22</v>
      </c>
      <c r="L1109" s="48" t="s">
        <v>1132</v>
      </c>
      <c r="M1109" s="48" t="s">
        <v>26</v>
      </c>
      <c r="N1109" s="48" t="s">
        <v>20</v>
      </c>
      <c r="O1109" s="48" t="s">
        <v>378</v>
      </c>
      <c r="P1109" s="50">
        <v>1749851.86</v>
      </c>
      <c r="Q1109" s="50">
        <v>1</v>
      </c>
      <c r="R1109" s="50">
        <v>1749851.86</v>
      </c>
      <c r="S1109" s="74">
        <v>45620</v>
      </c>
      <c r="T1109" s="48" t="s">
        <v>311</v>
      </c>
      <c r="U1109" s="48" t="s">
        <v>90</v>
      </c>
      <c r="V1109" s="48" t="s">
        <v>857</v>
      </c>
      <c r="W1109" s="48"/>
    </row>
    <row r="1110" spans="1:23" ht="15.75" x14ac:dyDescent="0.25">
      <c r="A1110" s="48" t="s">
        <v>513</v>
      </c>
      <c r="B1110" s="49">
        <v>45596</v>
      </c>
      <c r="C1110" s="48" t="s">
        <v>924</v>
      </c>
      <c r="D1110" s="48" t="s">
        <v>1182</v>
      </c>
      <c r="E1110" s="48" t="s">
        <v>856</v>
      </c>
      <c r="F1110" s="48" t="s">
        <v>62</v>
      </c>
      <c r="G1110" s="48" t="s">
        <v>63</v>
      </c>
      <c r="H1110" s="48" t="s">
        <v>27</v>
      </c>
      <c r="I1110" s="48" t="s">
        <v>314</v>
      </c>
      <c r="J1110" s="48" t="s">
        <v>80</v>
      </c>
      <c r="K1110" s="48" t="s">
        <v>90</v>
      </c>
      <c r="L1110" s="48" t="s">
        <v>1141</v>
      </c>
      <c r="M1110" s="48" t="s">
        <v>26</v>
      </c>
      <c r="N1110" s="48" t="s">
        <v>20</v>
      </c>
      <c r="O1110" s="48" t="s">
        <v>857</v>
      </c>
      <c r="P1110" s="50">
        <v>752343.75</v>
      </c>
      <c r="Q1110" s="50">
        <v>1</v>
      </c>
      <c r="R1110" s="50">
        <v>752343.75</v>
      </c>
      <c r="S1110" s="74">
        <v>45620</v>
      </c>
      <c r="T1110" s="48" t="s">
        <v>917</v>
      </c>
      <c r="U1110" s="48" t="s">
        <v>377</v>
      </c>
      <c r="V1110" s="48" t="s">
        <v>378</v>
      </c>
      <c r="W1110" s="48" t="s">
        <v>875</v>
      </c>
    </row>
    <row r="1111" spans="1:23" ht="15.75" x14ac:dyDescent="0.25">
      <c r="A1111" s="48" t="s">
        <v>313</v>
      </c>
      <c r="B1111" s="49">
        <v>45596</v>
      </c>
      <c r="C1111" s="48" t="s">
        <v>924</v>
      </c>
      <c r="D1111" s="48" t="s">
        <v>1182</v>
      </c>
      <c r="E1111" s="48" t="s">
        <v>856</v>
      </c>
      <c r="F1111" s="48" t="s">
        <v>62</v>
      </c>
      <c r="G1111" s="48" t="s">
        <v>70</v>
      </c>
      <c r="H1111" s="48" t="s">
        <v>70</v>
      </c>
      <c r="I1111" s="48" t="s">
        <v>314</v>
      </c>
      <c r="J1111" s="48" t="s">
        <v>80</v>
      </c>
      <c r="K1111" s="48" t="s">
        <v>90</v>
      </c>
      <c r="L1111" s="48" t="s">
        <v>1141</v>
      </c>
      <c r="M1111" s="48" t="s">
        <v>26</v>
      </c>
      <c r="N1111" s="48" t="s">
        <v>20</v>
      </c>
      <c r="O1111" s="48" t="s">
        <v>857</v>
      </c>
      <c r="P1111" s="50">
        <v>4219083.67</v>
      </c>
      <c r="Q1111" s="50">
        <v>1</v>
      </c>
      <c r="R1111" s="50">
        <v>4219083.67</v>
      </c>
      <c r="S1111" s="74">
        <v>45620</v>
      </c>
      <c r="T1111" s="48" t="s">
        <v>917</v>
      </c>
      <c r="U1111" s="48" t="s">
        <v>90</v>
      </c>
      <c r="V1111" s="48" t="s">
        <v>857</v>
      </c>
      <c r="W1111" s="48" t="s">
        <v>875</v>
      </c>
    </row>
    <row r="1112" spans="1:23" ht="15.75" x14ac:dyDescent="0.25">
      <c r="A1112" s="48" t="s">
        <v>283</v>
      </c>
      <c r="B1112" s="49">
        <v>45538</v>
      </c>
      <c r="C1112" s="48" t="s">
        <v>916</v>
      </c>
      <c r="D1112" s="48" t="s">
        <v>441</v>
      </c>
      <c r="E1112" s="48" t="s">
        <v>856</v>
      </c>
      <c r="F1112" s="48" t="s">
        <v>21</v>
      </c>
      <c r="G1112" s="48" t="s">
        <v>22</v>
      </c>
      <c r="H1112" s="48" t="s">
        <v>27</v>
      </c>
      <c r="I1112" s="48" t="s">
        <v>284</v>
      </c>
      <c r="J1112" s="48" t="s">
        <v>24</v>
      </c>
      <c r="K1112" s="48" t="s">
        <v>22</v>
      </c>
      <c r="L1112" s="48" t="s">
        <v>1132</v>
      </c>
      <c r="M1112" s="48" t="s">
        <v>26</v>
      </c>
      <c r="N1112" s="48" t="s">
        <v>20</v>
      </c>
      <c r="O1112" s="48" t="s">
        <v>857</v>
      </c>
      <c r="P1112" s="50">
        <v>2920000</v>
      </c>
      <c r="Q1112" s="50">
        <v>1</v>
      </c>
      <c r="R1112" s="50">
        <v>2920000</v>
      </c>
      <c r="S1112" s="74">
        <v>45620</v>
      </c>
      <c r="T1112" s="48" t="s">
        <v>917</v>
      </c>
      <c r="U1112" s="48" t="s">
        <v>22</v>
      </c>
      <c r="V1112" s="48" t="s">
        <v>857</v>
      </c>
      <c r="W1112" s="48"/>
    </row>
    <row r="1113" spans="1:23" ht="15.75" x14ac:dyDescent="0.25">
      <c r="A1113" s="48" t="s">
        <v>306</v>
      </c>
      <c r="B1113" s="49">
        <v>45614</v>
      </c>
      <c r="C1113" s="48" t="s">
        <v>951</v>
      </c>
      <c r="D1113" s="48" t="s">
        <v>1118</v>
      </c>
      <c r="E1113" s="48" t="s">
        <v>858</v>
      </c>
      <c r="F1113" s="48" t="s">
        <v>62</v>
      </c>
      <c r="G1113" s="48" t="s">
        <v>70</v>
      </c>
      <c r="H1113" s="48" t="s">
        <v>70</v>
      </c>
      <c r="I1113" s="48" t="s">
        <v>307</v>
      </c>
      <c r="J1113" s="48" t="s">
        <v>72</v>
      </c>
      <c r="K1113" s="48" t="s">
        <v>213</v>
      </c>
      <c r="L1113" s="48" t="s">
        <v>1134</v>
      </c>
      <c r="M1113" s="48" t="s">
        <v>67</v>
      </c>
      <c r="N1113" s="48" t="s">
        <v>20</v>
      </c>
      <c r="O1113" s="48" t="s">
        <v>857</v>
      </c>
      <c r="P1113" s="50">
        <v>1089051.48</v>
      </c>
      <c r="Q1113" s="50">
        <v>4.5848000064688499</v>
      </c>
      <c r="R1113" s="50">
        <v>4993083.2325489102</v>
      </c>
      <c r="S1113" s="74">
        <v>45617</v>
      </c>
      <c r="T1113" s="48" t="s">
        <v>308</v>
      </c>
      <c r="U1113" s="48" t="s">
        <v>213</v>
      </c>
      <c r="V1113" s="48" t="s">
        <v>857</v>
      </c>
      <c r="W1113" s="48"/>
    </row>
    <row r="1114" spans="1:23" ht="15.75" x14ac:dyDescent="0.25">
      <c r="A1114" s="48" t="s">
        <v>725</v>
      </c>
      <c r="B1114" s="49">
        <v>45645</v>
      </c>
      <c r="C1114" s="48" t="s">
        <v>916</v>
      </c>
      <c r="D1114" s="48" t="s">
        <v>1182</v>
      </c>
      <c r="E1114" s="48" t="s">
        <v>856</v>
      </c>
      <c r="F1114" s="48" t="s">
        <v>62</v>
      </c>
      <c r="G1114" s="48" t="s">
        <v>70</v>
      </c>
      <c r="H1114" s="48" t="s">
        <v>70</v>
      </c>
      <c r="I1114" s="48" t="s">
        <v>89</v>
      </c>
      <c r="J1114" s="48" t="s">
        <v>80</v>
      </c>
      <c r="K1114" s="48" t="s">
        <v>90</v>
      </c>
      <c r="L1114" s="48" t="s">
        <v>1141</v>
      </c>
      <c r="M1114" s="48" t="s">
        <v>26</v>
      </c>
      <c r="N1114" s="48" t="s">
        <v>20</v>
      </c>
      <c r="O1114" s="48" t="s">
        <v>857</v>
      </c>
      <c r="P1114" s="50">
        <v>5540367.0099999998</v>
      </c>
      <c r="Q1114" s="50">
        <v>1</v>
      </c>
      <c r="R1114" s="50">
        <v>5540367.0099999998</v>
      </c>
      <c r="S1114" s="74">
        <v>45617</v>
      </c>
      <c r="T1114" s="48" t="s">
        <v>917</v>
      </c>
      <c r="U1114" s="48" t="s">
        <v>90</v>
      </c>
      <c r="V1114" s="48" t="s">
        <v>857</v>
      </c>
      <c r="W1114" s="48"/>
    </row>
    <row r="1115" spans="1:23" ht="15.75" x14ac:dyDescent="0.25">
      <c r="A1115" s="48" t="s">
        <v>306</v>
      </c>
      <c r="B1115" s="49">
        <v>45587</v>
      </c>
      <c r="C1115" s="48" t="s">
        <v>950</v>
      </c>
      <c r="D1115" s="48" t="s">
        <v>1118</v>
      </c>
      <c r="E1115" s="48" t="s">
        <v>858</v>
      </c>
      <c r="F1115" s="48" t="s">
        <v>62</v>
      </c>
      <c r="G1115" s="48" t="s">
        <v>70</v>
      </c>
      <c r="H1115" s="48" t="s">
        <v>70</v>
      </c>
      <c r="I1115" s="48" t="s">
        <v>307</v>
      </c>
      <c r="J1115" s="48" t="s">
        <v>72</v>
      </c>
      <c r="K1115" s="48" t="s">
        <v>213</v>
      </c>
      <c r="L1115" s="48" t="s">
        <v>1134</v>
      </c>
      <c r="M1115" s="48" t="s">
        <v>67</v>
      </c>
      <c r="N1115" s="48" t="s">
        <v>20</v>
      </c>
      <c r="O1115" s="48" t="s">
        <v>857</v>
      </c>
      <c r="P1115" s="50">
        <v>200820.89</v>
      </c>
      <c r="Q1115" s="50">
        <v>4.5848000064688499</v>
      </c>
      <c r="R1115" s="50">
        <v>920723.61777108023</v>
      </c>
      <c r="S1115" s="74">
        <v>45617</v>
      </c>
      <c r="T1115" s="48" t="s">
        <v>308</v>
      </c>
      <c r="U1115" s="48" t="s">
        <v>213</v>
      </c>
      <c r="V1115" s="48" t="s">
        <v>857</v>
      </c>
      <c r="W1115" s="48"/>
    </row>
    <row r="1116" spans="1:23" ht="15.75" x14ac:dyDescent="0.25">
      <c r="A1116" s="48" t="s">
        <v>333</v>
      </c>
      <c r="B1116" s="49">
        <v>45579</v>
      </c>
      <c r="C1116" s="48" t="s">
        <v>916</v>
      </c>
      <c r="D1116" s="48" t="s">
        <v>441</v>
      </c>
      <c r="E1116" s="48" t="s">
        <v>858</v>
      </c>
      <c r="F1116" s="48" t="s">
        <v>95</v>
      </c>
      <c r="G1116" s="48" t="s">
        <v>96</v>
      </c>
      <c r="H1116" s="48" t="s">
        <v>27</v>
      </c>
      <c r="I1116" s="48" t="s">
        <v>270</v>
      </c>
      <c r="J1116" s="48" t="s">
        <v>24</v>
      </c>
      <c r="K1116" s="48" t="s">
        <v>22</v>
      </c>
      <c r="L1116" s="48" t="s">
        <v>1132</v>
      </c>
      <c r="M1116" s="48" t="s">
        <v>26</v>
      </c>
      <c r="N1116" s="48" t="s">
        <v>20</v>
      </c>
      <c r="O1116" s="48" t="s">
        <v>378</v>
      </c>
      <c r="P1116" s="50">
        <v>580000</v>
      </c>
      <c r="Q1116" s="50">
        <v>1</v>
      </c>
      <c r="R1116" s="50">
        <v>580000</v>
      </c>
      <c r="S1116" s="74">
        <v>45617</v>
      </c>
      <c r="T1116" s="48" t="s">
        <v>311</v>
      </c>
      <c r="U1116" s="48" t="s">
        <v>90</v>
      </c>
      <c r="V1116" s="48" t="s">
        <v>857</v>
      </c>
      <c r="W1116" s="48"/>
    </row>
    <row r="1117" spans="1:23" ht="15.75" x14ac:dyDescent="0.25">
      <c r="A1117" s="48" t="s">
        <v>306</v>
      </c>
      <c r="B1117" s="49">
        <v>45607</v>
      </c>
      <c r="C1117" s="48" t="s">
        <v>952</v>
      </c>
      <c r="D1117" s="48" t="s">
        <v>1118</v>
      </c>
      <c r="E1117" s="48" t="s">
        <v>858</v>
      </c>
      <c r="F1117" s="48" t="s">
        <v>62</v>
      </c>
      <c r="G1117" s="48" t="s">
        <v>70</v>
      </c>
      <c r="H1117" s="48" t="s">
        <v>70</v>
      </c>
      <c r="I1117" s="48" t="s">
        <v>307</v>
      </c>
      <c r="J1117" s="48" t="s">
        <v>72</v>
      </c>
      <c r="K1117" s="48" t="s">
        <v>213</v>
      </c>
      <c r="L1117" s="48" t="s">
        <v>1134</v>
      </c>
      <c r="M1117" s="48" t="s">
        <v>67</v>
      </c>
      <c r="N1117" s="48" t="s">
        <v>20</v>
      </c>
      <c r="O1117" s="48" t="s">
        <v>857</v>
      </c>
      <c r="P1117" s="50">
        <v>67149.66</v>
      </c>
      <c r="Q1117" s="50">
        <v>4.5848000064688499</v>
      </c>
      <c r="R1117" s="50">
        <v>307867.76160238107</v>
      </c>
      <c r="S1117" s="74">
        <v>45616</v>
      </c>
      <c r="T1117" s="48" t="s">
        <v>308</v>
      </c>
      <c r="U1117" s="48" t="s">
        <v>213</v>
      </c>
      <c r="V1117" s="48" t="s">
        <v>857</v>
      </c>
      <c r="W1117" s="48"/>
    </row>
    <row r="1118" spans="1:23" ht="15.75" x14ac:dyDescent="0.25">
      <c r="A1118" s="48" t="s">
        <v>281</v>
      </c>
      <c r="B1118" s="49">
        <v>45532</v>
      </c>
      <c r="C1118" s="48" t="s">
        <v>916</v>
      </c>
      <c r="D1118" s="48" t="s">
        <v>441</v>
      </c>
      <c r="E1118" s="48" t="s">
        <v>856</v>
      </c>
      <c r="F1118" s="48" t="s">
        <v>21</v>
      </c>
      <c r="G1118" s="48" t="s">
        <v>22</v>
      </c>
      <c r="H1118" s="48" t="s">
        <v>27</v>
      </c>
      <c r="I1118" s="48" t="s">
        <v>282</v>
      </c>
      <c r="J1118" s="48" t="s">
        <v>24</v>
      </c>
      <c r="K1118" s="48" t="s">
        <v>22</v>
      </c>
      <c r="L1118" s="48" t="s">
        <v>1132</v>
      </c>
      <c r="M1118" s="48" t="s">
        <v>26</v>
      </c>
      <c r="N1118" s="48" t="s">
        <v>20</v>
      </c>
      <c r="O1118" s="48" t="s">
        <v>857</v>
      </c>
      <c r="P1118" s="50">
        <v>900000</v>
      </c>
      <c r="Q1118" s="50">
        <v>1</v>
      </c>
      <c r="R1118" s="50">
        <v>900000</v>
      </c>
      <c r="S1118" s="74">
        <v>45615</v>
      </c>
      <c r="T1118" s="48" t="s">
        <v>917</v>
      </c>
      <c r="U1118" s="48" t="s">
        <v>22</v>
      </c>
      <c r="V1118" s="48" t="s">
        <v>857</v>
      </c>
      <c r="W1118" s="48" t="s">
        <v>859</v>
      </c>
    </row>
    <row r="1119" spans="1:23" ht="15.75" x14ac:dyDescent="0.25">
      <c r="A1119" s="48" t="s">
        <v>317</v>
      </c>
      <c r="B1119" s="49">
        <v>45606</v>
      </c>
      <c r="C1119" s="48" t="s">
        <v>918</v>
      </c>
      <c r="D1119" s="48" t="s">
        <v>1118</v>
      </c>
      <c r="E1119" s="48" t="s">
        <v>858</v>
      </c>
      <c r="F1119" s="48" t="s">
        <v>62</v>
      </c>
      <c r="G1119" s="48" t="s">
        <v>70</v>
      </c>
      <c r="H1119" s="48" t="s">
        <v>70</v>
      </c>
      <c r="I1119" s="48" t="s">
        <v>318</v>
      </c>
      <c r="J1119" s="48" t="s">
        <v>72</v>
      </c>
      <c r="K1119" s="48" t="s">
        <v>213</v>
      </c>
      <c r="L1119" s="48" t="s">
        <v>1134</v>
      </c>
      <c r="M1119" s="48" t="s">
        <v>67</v>
      </c>
      <c r="N1119" s="48" t="s">
        <v>20</v>
      </c>
      <c r="O1119" s="48" t="s">
        <v>857</v>
      </c>
      <c r="P1119" s="50">
        <v>74755</v>
      </c>
      <c r="Q1119" s="50">
        <v>4.6375999999999999</v>
      </c>
      <c r="R1119" s="50">
        <v>346683.788</v>
      </c>
      <c r="S1119" s="74">
        <v>45614</v>
      </c>
      <c r="T1119" s="48" t="s">
        <v>208</v>
      </c>
      <c r="U1119" s="48" t="s">
        <v>213</v>
      </c>
      <c r="V1119" s="48" t="s">
        <v>857</v>
      </c>
      <c r="W1119" s="48" t="s">
        <v>3811</v>
      </c>
    </row>
    <row r="1120" spans="1:23" ht="15.75" x14ac:dyDescent="0.25">
      <c r="A1120" s="48" t="s">
        <v>256</v>
      </c>
      <c r="B1120" s="49">
        <v>45561</v>
      </c>
      <c r="C1120" s="48" t="s">
        <v>916</v>
      </c>
      <c r="D1120" s="48" t="s">
        <v>441</v>
      </c>
      <c r="E1120" s="48" t="s">
        <v>856</v>
      </c>
      <c r="F1120" s="48" t="s">
        <v>21</v>
      </c>
      <c r="G1120" s="48" t="s">
        <v>22</v>
      </c>
      <c r="H1120" s="48" t="s">
        <v>27</v>
      </c>
      <c r="I1120" s="48" t="s">
        <v>155</v>
      </c>
      <c r="J1120" s="48" t="s">
        <v>24</v>
      </c>
      <c r="K1120" s="48" t="s">
        <v>22</v>
      </c>
      <c r="L1120" s="48" t="s">
        <v>1132</v>
      </c>
      <c r="M1120" s="48" t="s">
        <v>26</v>
      </c>
      <c r="N1120" s="48" t="s">
        <v>20</v>
      </c>
      <c r="O1120" s="48" t="s">
        <v>857</v>
      </c>
      <c r="P1120" s="50">
        <v>1552500</v>
      </c>
      <c r="Q1120" s="50">
        <v>1</v>
      </c>
      <c r="R1120" s="50">
        <v>1552500</v>
      </c>
      <c r="S1120" s="74">
        <v>45613</v>
      </c>
      <c r="T1120" s="48" t="s">
        <v>35</v>
      </c>
      <c r="U1120" s="48" t="s">
        <v>367</v>
      </c>
      <c r="V1120" s="48" t="s">
        <v>857</v>
      </c>
      <c r="W1120" s="48"/>
    </row>
    <row r="1121" spans="1:23" ht="15.75" x14ac:dyDescent="0.25">
      <c r="A1121" s="48" t="s">
        <v>326</v>
      </c>
      <c r="B1121" s="49">
        <v>45566</v>
      </c>
      <c r="C1121" s="48" t="s">
        <v>918</v>
      </c>
      <c r="D1121" s="48" t="s">
        <v>1187</v>
      </c>
      <c r="E1121" s="48" t="s">
        <v>856</v>
      </c>
      <c r="F1121" s="48" t="s">
        <v>95</v>
      </c>
      <c r="G1121" s="48" t="s">
        <v>96</v>
      </c>
      <c r="H1121" s="48" t="s">
        <v>27</v>
      </c>
      <c r="I1121" s="48" t="s">
        <v>327</v>
      </c>
      <c r="J1121" s="48" t="s">
        <v>72</v>
      </c>
      <c r="K1121" s="48" t="s">
        <v>328</v>
      </c>
      <c r="L1121" s="48" t="s">
        <v>1142</v>
      </c>
      <c r="M1121" s="48" t="s">
        <v>67</v>
      </c>
      <c r="N1121" s="48" t="s">
        <v>20</v>
      </c>
      <c r="O1121" s="48" t="s">
        <v>857</v>
      </c>
      <c r="P1121" s="50">
        <v>1394851.99</v>
      </c>
      <c r="Q1121" s="50">
        <v>4.0214999999999996</v>
      </c>
      <c r="R1121" s="50">
        <v>5609397.2777849995</v>
      </c>
      <c r="S1121" s="74">
        <v>45607</v>
      </c>
      <c r="T1121" s="48" t="s">
        <v>329</v>
      </c>
      <c r="U1121" s="48" t="s">
        <v>96</v>
      </c>
      <c r="V1121" s="48" t="s">
        <v>857</v>
      </c>
      <c r="W1121" s="48"/>
    </row>
    <row r="1122" spans="1:23" ht="15.75" x14ac:dyDescent="0.25">
      <c r="A1122" s="48" t="s">
        <v>306</v>
      </c>
      <c r="B1122" s="49">
        <v>45587</v>
      </c>
      <c r="C1122" s="48" t="s">
        <v>953</v>
      </c>
      <c r="D1122" s="48" t="s">
        <v>1118</v>
      </c>
      <c r="E1122" s="48" t="s">
        <v>858</v>
      </c>
      <c r="F1122" s="48" t="s">
        <v>62</v>
      </c>
      <c r="G1122" s="48" t="s">
        <v>70</v>
      </c>
      <c r="H1122" s="48" t="s">
        <v>70</v>
      </c>
      <c r="I1122" s="48" t="s">
        <v>307</v>
      </c>
      <c r="J1122" s="48" t="s">
        <v>72</v>
      </c>
      <c r="K1122" s="48" t="s">
        <v>213</v>
      </c>
      <c r="L1122" s="48" t="s">
        <v>1134</v>
      </c>
      <c r="M1122" s="48" t="s">
        <v>67</v>
      </c>
      <c r="N1122" s="48" t="s">
        <v>20</v>
      </c>
      <c r="O1122" s="48" t="s">
        <v>857</v>
      </c>
      <c r="P1122" s="50">
        <v>2279674.06</v>
      </c>
      <c r="Q1122" s="50">
        <v>4.5847993929358504</v>
      </c>
      <c r="R1122" s="50">
        <v>10451848.246379606</v>
      </c>
      <c r="S1122" s="74">
        <v>45602</v>
      </c>
      <c r="T1122" s="48" t="s">
        <v>308</v>
      </c>
      <c r="U1122" s="48" t="s">
        <v>213</v>
      </c>
      <c r="V1122" s="48" t="s">
        <v>857</v>
      </c>
      <c r="W1122" s="48"/>
    </row>
    <row r="1123" spans="1:23" ht="15.75" x14ac:dyDescent="0.25">
      <c r="A1123" s="48" t="s">
        <v>306</v>
      </c>
      <c r="B1123" s="49">
        <v>45572</v>
      </c>
      <c r="C1123" s="48" t="s">
        <v>954</v>
      </c>
      <c r="D1123" s="48" t="s">
        <v>1118</v>
      </c>
      <c r="E1123" s="48" t="s">
        <v>858</v>
      </c>
      <c r="F1123" s="48" t="s">
        <v>62</v>
      </c>
      <c r="G1123" s="48" t="s">
        <v>70</v>
      </c>
      <c r="H1123" s="48" t="s">
        <v>70</v>
      </c>
      <c r="I1123" s="48" t="s">
        <v>307</v>
      </c>
      <c r="J1123" s="48" t="s">
        <v>72</v>
      </c>
      <c r="K1123" s="48" t="s">
        <v>213</v>
      </c>
      <c r="L1123" s="48" t="s">
        <v>1134</v>
      </c>
      <c r="M1123" s="48" t="s">
        <v>67</v>
      </c>
      <c r="N1123" s="48" t="s">
        <v>20</v>
      </c>
      <c r="O1123" s="48" t="s">
        <v>857</v>
      </c>
      <c r="P1123" s="50">
        <v>83655.08</v>
      </c>
      <c r="Q1123" s="50">
        <v>4.5848000064688499</v>
      </c>
      <c r="R1123" s="50">
        <v>383541.81132515217</v>
      </c>
      <c r="S1123" s="74">
        <v>45601</v>
      </c>
      <c r="T1123" s="48" t="s">
        <v>308</v>
      </c>
      <c r="U1123" s="48" t="s">
        <v>213</v>
      </c>
      <c r="V1123" s="48" t="s">
        <v>857</v>
      </c>
      <c r="W1123" s="48"/>
    </row>
    <row r="1124" spans="1:23" ht="15.75" x14ac:dyDescent="0.25">
      <c r="A1124" s="48" t="s">
        <v>262</v>
      </c>
      <c r="B1124" s="49">
        <v>45497</v>
      </c>
      <c r="C1124" s="48" t="s">
        <v>916</v>
      </c>
      <c r="D1124" s="48" t="s">
        <v>441</v>
      </c>
      <c r="E1124" s="48" t="s">
        <v>856</v>
      </c>
      <c r="F1124" s="48" t="s">
        <v>21</v>
      </c>
      <c r="G1124" s="48" t="s">
        <v>22</v>
      </c>
      <c r="H1124" s="48" t="s">
        <v>70</v>
      </c>
      <c r="I1124" s="48" t="s">
        <v>263</v>
      </c>
      <c r="J1124" s="48" t="s">
        <v>24</v>
      </c>
      <c r="K1124" s="48" t="s">
        <v>22</v>
      </c>
      <c r="L1124" s="48" t="s">
        <v>1132</v>
      </c>
      <c r="M1124" s="48" t="s">
        <v>26</v>
      </c>
      <c r="N1124" s="48" t="s">
        <v>20</v>
      </c>
      <c r="O1124" s="48" t="s">
        <v>857</v>
      </c>
      <c r="P1124" s="50">
        <v>2993950.31</v>
      </c>
      <c r="Q1124" s="50">
        <v>1</v>
      </c>
      <c r="R1124" s="50">
        <v>2993950.31</v>
      </c>
      <c r="S1124" s="74">
        <v>45600</v>
      </c>
      <c r="T1124" s="48" t="s">
        <v>917</v>
      </c>
      <c r="U1124" s="48" t="s">
        <v>22</v>
      </c>
      <c r="V1124" s="48" t="s">
        <v>857</v>
      </c>
      <c r="W1124" s="48"/>
    </row>
    <row r="1125" spans="1:23" ht="15.75" x14ac:dyDescent="0.25">
      <c r="A1125" s="48" t="s">
        <v>365</v>
      </c>
      <c r="B1125" s="49">
        <v>45587</v>
      </c>
      <c r="C1125" s="48" t="s">
        <v>933</v>
      </c>
      <c r="D1125" s="48" t="s">
        <v>1119</v>
      </c>
      <c r="E1125" s="48" t="s">
        <v>858</v>
      </c>
      <c r="F1125" s="48" t="s">
        <v>366</v>
      </c>
      <c r="G1125" s="48" t="s">
        <v>367</v>
      </c>
      <c r="H1125" s="48" t="s">
        <v>27</v>
      </c>
      <c r="I1125" s="48" t="s">
        <v>368</v>
      </c>
      <c r="J1125" s="48" t="s">
        <v>72</v>
      </c>
      <c r="K1125" s="48" t="s">
        <v>367</v>
      </c>
      <c r="L1125" s="48" t="s">
        <v>1136</v>
      </c>
      <c r="M1125" s="48" t="s">
        <v>26</v>
      </c>
      <c r="N1125" s="48" t="s">
        <v>20</v>
      </c>
      <c r="O1125" s="48" t="s">
        <v>857</v>
      </c>
      <c r="P1125" s="50">
        <v>39589744.090000004</v>
      </c>
      <c r="Q1125" s="50">
        <v>1</v>
      </c>
      <c r="R1125" s="50">
        <v>39589744.090000004</v>
      </c>
      <c r="S1125" s="74">
        <v>45596</v>
      </c>
      <c r="T1125" s="48" t="s">
        <v>369</v>
      </c>
      <c r="U1125" s="48" t="s">
        <v>367</v>
      </c>
      <c r="V1125" s="48" t="s">
        <v>857</v>
      </c>
      <c r="W1125" s="48" t="s">
        <v>872</v>
      </c>
    </row>
    <row r="1126" spans="1:23" ht="15.75" x14ac:dyDescent="0.25">
      <c r="A1126" s="48" t="s">
        <v>365</v>
      </c>
      <c r="B1126" s="49">
        <v>45587</v>
      </c>
      <c r="C1126" s="48" t="s">
        <v>928</v>
      </c>
      <c r="D1126" s="48" t="s">
        <v>1119</v>
      </c>
      <c r="E1126" s="48" t="s">
        <v>858</v>
      </c>
      <c r="F1126" s="48" t="s">
        <v>366</v>
      </c>
      <c r="G1126" s="48" t="s">
        <v>367</v>
      </c>
      <c r="H1126" s="48" t="s">
        <v>27</v>
      </c>
      <c r="I1126" s="48" t="s">
        <v>368</v>
      </c>
      <c r="J1126" s="48" t="s">
        <v>72</v>
      </c>
      <c r="K1126" s="48" t="s">
        <v>367</v>
      </c>
      <c r="L1126" s="48" t="s">
        <v>1136</v>
      </c>
      <c r="M1126" s="48" t="s">
        <v>26</v>
      </c>
      <c r="N1126" s="48" t="s">
        <v>20</v>
      </c>
      <c r="O1126" s="48" t="s">
        <v>857</v>
      </c>
      <c r="P1126" s="50">
        <v>47140393.880000003</v>
      </c>
      <c r="Q1126" s="50">
        <v>1</v>
      </c>
      <c r="R1126" s="50">
        <v>47140393.880000003</v>
      </c>
      <c r="S1126" s="74">
        <v>45596</v>
      </c>
      <c r="T1126" s="48" t="s">
        <v>369</v>
      </c>
      <c r="U1126" s="48" t="s">
        <v>367</v>
      </c>
      <c r="V1126" s="48" t="s">
        <v>857</v>
      </c>
      <c r="W1126" s="48" t="s">
        <v>872</v>
      </c>
    </row>
    <row r="1127" spans="1:23" ht="15.75" x14ac:dyDescent="0.25">
      <c r="A1127" s="48" t="s">
        <v>319</v>
      </c>
      <c r="B1127" s="49">
        <v>45593</v>
      </c>
      <c r="C1127" s="48" t="s">
        <v>916</v>
      </c>
      <c r="D1127" s="48" t="s">
        <v>1118</v>
      </c>
      <c r="E1127" s="48" t="s">
        <v>858</v>
      </c>
      <c r="F1127" s="48" t="s">
        <v>62</v>
      </c>
      <c r="G1127" s="48" t="s">
        <v>70</v>
      </c>
      <c r="H1127" s="48" t="s">
        <v>70</v>
      </c>
      <c r="I1127" s="48" t="s">
        <v>71</v>
      </c>
      <c r="J1127" s="48" t="s">
        <v>72</v>
      </c>
      <c r="K1127" s="48" t="s">
        <v>213</v>
      </c>
      <c r="L1127" s="48" t="s">
        <v>1134</v>
      </c>
      <c r="M1127" s="48" t="s">
        <v>67</v>
      </c>
      <c r="N1127" s="48" t="s">
        <v>20</v>
      </c>
      <c r="O1127" s="48" t="s">
        <v>857</v>
      </c>
      <c r="P1127" s="50">
        <v>642829.59</v>
      </c>
      <c r="Q1127" s="50">
        <v>4.0750000000000002</v>
      </c>
      <c r="R1127" s="50">
        <v>2619530.57925</v>
      </c>
      <c r="S1127" s="74">
        <v>45594</v>
      </c>
      <c r="T1127" s="48" t="s">
        <v>917</v>
      </c>
      <c r="U1127" s="48" t="s">
        <v>213</v>
      </c>
      <c r="V1127" s="48" t="s">
        <v>857</v>
      </c>
      <c r="W1127" s="48" t="s">
        <v>873</v>
      </c>
    </row>
    <row r="1128" spans="1:23" ht="15.75" x14ac:dyDescent="0.25">
      <c r="A1128" s="48" t="s">
        <v>326</v>
      </c>
      <c r="B1128" s="49">
        <v>45544</v>
      </c>
      <c r="C1128" s="48" t="s">
        <v>916</v>
      </c>
      <c r="D1128" s="48" t="s">
        <v>1187</v>
      </c>
      <c r="E1128" s="48" t="s">
        <v>858</v>
      </c>
      <c r="F1128" s="48" t="s">
        <v>95</v>
      </c>
      <c r="G1128" s="48" t="s">
        <v>96</v>
      </c>
      <c r="H1128" s="48" t="s">
        <v>27</v>
      </c>
      <c r="I1128" s="48" t="s">
        <v>327</v>
      </c>
      <c r="J1128" s="48" t="s">
        <v>72</v>
      </c>
      <c r="K1128" s="48" t="s">
        <v>328</v>
      </c>
      <c r="L1128" s="48" t="s">
        <v>1142</v>
      </c>
      <c r="M1128" s="48" t="s">
        <v>67</v>
      </c>
      <c r="N1128" s="48" t="s">
        <v>20</v>
      </c>
      <c r="O1128" s="48" t="s">
        <v>857</v>
      </c>
      <c r="P1128" s="50">
        <v>102607.09</v>
      </c>
      <c r="Q1128" s="50">
        <v>4.7</v>
      </c>
      <c r="R1128" s="50">
        <v>482253.32299999997</v>
      </c>
      <c r="S1128" s="74">
        <v>45593</v>
      </c>
      <c r="T1128" s="48" t="s">
        <v>329</v>
      </c>
      <c r="U1128" s="48" t="s">
        <v>96</v>
      </c>
      <c r="V1128" s="48" t="s">
        <v>857</v>
      </c>
      <c r="W1128" s="48"/>
    </row>
    <row r="1129" spans="1:23" ht="15.75" x14ac:dyDescent="0.25">
      <c r="A1129" s="48" t="s">
        <v>250</v>
      </c>
      <c r="B1129" s="49">
        <v>45503</v>
      </c>
      <c r="C1129" s="48" t="s">
        <v>927</v>
      </c>
      <c r="D1129" s="48" t="s">
        <v>1118</v>
      </c>
      <c r="E1129" s="48" t="s">
        <v>856</v>
      </c>
      <c r="F1129" s="48" t="s">
        <v>21</v>
      </c>
      <c r="G1129" s="48" t="s">
        <v>22</v>
      </c>
      <c r="H1129" s="48" t="s">
        <v>27</v>
      </c>
      <c r="I1129" s="48" t="s">
        <v>251</v>
      </c>
      <c r="J1129" s="48" t="s">
        <v>72</v>
      </c>
      <c r="K1129" s="48" t="s">
        <v>213</v>
      </c>
      <c r="L1129" s="48" t="s">
        <v>1134</v>
      </c>
      <c r="M1129" s="48" t="s">
        <v>67</v>
      </c>
      <c r="N1129" s="48" t="s">
        <v>20</v>
      </c>
      <c r="O1129" s="48" t="s">
        <v>857</v>
      </c>
      <c r="P1129" s="50">
        <v>36753.26</v>
      </c>
      <c r="Q1129" s="50">
        <v>4.1200225499999998</v>
      </c>
      <c r="R1129" s="50">
        <v>151424.259986013</v>
      </c>
      <c r="S1129" s="74">
        <v>45591</v>
      </c>
      <c r="T1129" s="48" t="s">
        <v>252</v>
      </c>
      <c r="U1129" s="48" t="s">
        <v>213</v>
      </c>
      <c r="V1129" s="48" t="s">
        <v>857</v>
      </c>
      <c r="W1129" s="48"/>
    </row>
    <row r="1130" spans="1:23" ht="15.75" x14ac:dyDescent="0.25">
      <c r="A1130" s="48" t="s">
        <v>306</v>
      </c>
      <c r="B1130" s="49">
        <v>45565</v>
      </c>
      <c r="C1130" s="48" t="s">
        <v>955</v>
      </c>
      <c r="D1130" s="48" t="s">
        <v>1118</v>
      </c>
      <c r="E1130" s="48" t="s">
        <v>858</v>
      </c>
      <c r="F1130" s="48" t="s">
        <v>62</v>
      </c>
      <c r="G1130" s="48" t="s">
        <v>70</v>
      </c>
      <c r="H1130" s="48" t="s">
        <v>70</v>
      </c>
      <c r="I1130" s="48" t="s">
        <v>307</v>
      </c>
      <c r="J1130" s="48" t="s">
        <v>72</v>
      </c>
      <c r="K1130" s="48" t="s">
        <v>213</v>
      </c>
      <c r="L1130" s="48" t="s">
        <v>1134</v>
      </c>
      <c r="M1130" s="48" t="s">
        <v>67</v>
      </c>
      <c r="N1130" s="48" t="s">
        <v>20</v>
      </c>
      <c r="O1130" s="48" t="s">
        <v>857</v>
      </c>
      <c r="P1130" s="50">
        <v>16335.67</v>
      </c>
      <c r="Q1130" s="50">
        <v>4.5848000064688499</v>
      </c>
      <c r="R1130" s="50">
        <v>74895.779921672991</v>
      </c>
      <c r="S1130" s="74">
        <v>45582</v>
      </c>
      <c r="T1130" s="48" t="s">
        <v>308</v>
      </c>
      <c r="U1130" s="48" t="s">
        <v>213</v>
      </c>
      <c r="V1130" s="48" t="s">
        <v>857</v>
      </c>
      <c r="W1130" s="48"/>
    </row>
    <row r="1131" spans="1:23" ht="15.75" x14ac:dyDescent="0.25">
      <c r="A1131" s="48" t="s">
        <v>88</v>
      </c>
      <c r="B1131" s="49">
        <v>45552</v>
      </c>
      <c r="C1131" s="48" t="s">
        <v>918</v>
      </c>
      <c r="D1131" s="48" t="s">
        <v>1182</v>
      </c>
      <c r="E1131" s="48" t="s">
        <v>858</v>
      </c>
      <c r="F1131" s="48" t="s">
        <v>62</v>
      </c>
      <c r="G1131" s="48" t="s">
        <v>63</v>
      </c>
      <c r="H1131" s="48" t="s">
        <v>27</v>
      </c>
      <c r="I1131" s="48" t="s">
        <v>89</v>
      </c>
      <c r="J1131" s="48" t="s">
        <v>80</v>
      </c>
      <c r="K1131" s="48" t="s">
        <v>90</v>
      </c>
      <c r="L1131" s="48" t="s">
        <v>1141</v>
      </c>
      <c r="M1131" s="48" t="s">
        <v>26</v>
      </c>
      <c r="N1131" s="48" t="s">
        <v>20</v>
      </c>
      <c r="O1131" s="48" t="s">
        <v>857</v>
      </c>
      <c r="P1131" s="50">
        <v>1306358.96</v>
      </c>
      <c r="Q1131" s="50">
        <v>1</v>
      </c>
      <c r="R1131" s="50">
        <v>1306358.96</v>
      </c>
      <c r="S1131" s="74">
        <v>45579</v>
      </c>
      <c r="T1131" s="48" t="s">
        <v>917</v>
      </c>
      <c r="U1131" s="48" t="s">
        <v>90</v>
      </c>
      <c r="V1131" s="48" t="s">
        <v>857</v>
      </c>
      <c r="W1131" s="48" t="s">
        <v>865</v>
      </c>
    </row>
    <row r="1132" spans="1:23" ht="15.75" x14ac:dyDescent="0.25">
      <c r="A1132" s="48" t="s">
        <v>92</v>
      </c>
      <c r="B1132" s="49">
        <v>45517</v>
      </c>
      <c r="C1132" s="48" t="s">
        <v>918</v>
      </c>
      <c r="D1132" s="48" t="s">
        <v>1181</v>
      </c>
      <c r="E1132" s="48" t="s">
        <v>856</v>
      </c>
      <c r="F1132" s="48" t="s">
        <v>62</v>
      </c>
      <c r="G1132" s="48" t="s">
        <v>63</v>
      </c>
      <c r="H1132" s="48" t="s">
        <v>27</v>
      </c>
      <c r="I1132" s="48" t="s">
        <v>93</v>
      </c>
      <c r="J1132" s="48" t="s">
        <v>80</v>
      </c>
      <c r="K1132" s="48" t="s">
        <v>81</v>
      </c>
      <c r="L1132" s="48" t="s">
        <v>1139</v>
      </c>
      <c r="M1132" s="48" t="s">
        <v>26</v>
      </c>
      <c r="N1132" s="48" t="s">
        <v>20</v>
      </c>
      <c r="O1132" s="48" t="s">
        <v>857</v>
      </c>
      <c r="P1132" s="50">
        <v>2023601.87</v>
      </c>
      <c r="Q1132" s="50">
        <v>1</v>
      </c>
      <c r="R1132" s="50">
        <v>2023601.87</v>
      </c>
      <c r="S1132" s="74">
        <v>45579</v>
      </c>
      <c r="T1132" s="48" t="s">
        <v>917</v>
      </c>
      <c r="U1132" s="48" t="s">
        <v>377</v>
      </c>
      <c r="V1132" s="48" t="s">
        <v>857</v>
      </c>
      <c r="W1132" s="48"/>
    </row>
    <row r="1133" spans="1:23" ht="15.75" x14ac:dyDescent="0.25">
      <c r="A1133" s="48" t="s">
        <v>513</v>
      </c>
      <c r="B1133" s="49">
        <v>45560</v>
      </c>
      <c r="C1133" s="48" t="s">
        <v>918</v>
      </c>
      <c r="D1133" s="48" t="s">
        <v>1182</v>
      </c>
      <c r="E1133" s="48" t="s">
        <v>856</v>
      </c>
      <c r="F1133" s="48" t="s">
        <v>62</v>
      </c>
      <c r="G1133" s="48" t="s">
        <v>63</v>
      </c>
      <c r="H1133" s="48" t="s">
        <v>27</v>
      </c>
      <c r="I1133" s="48" t="s">
        <v>314</v>
      </c>
      <c r="J1133" s="48" t="s">
        <v>80</v>
      </c>
      <c r="K1133" s="48" t="s">
        <v>90</v>
      </c>
      <c r="L1133" s="48" t="s">
        <v>1141</v>
      </c>
      <c r="M1133" s="48" t="s">
        <v>26</v>
      </c>
      <c r="N1133" s="48" t="s">
        <v>20</v>
      </c>
      <c r="O1133" s="48" t="s">
        <v>857</v>
      </c>
      <c r="P1133" s="50">
        <v>4644550.7699999996</v>
      </c>
      <c r="Q1133" s="50">
        <v>1</v>
      </c>
      <c r="R1133" s="50">
        <v>4644550.7699999996</v>
      </c>
      <c r="S1133" s="74">
        <v>45579</v>
      </c>
      <c r="T1133" s="48" t="s">
        <v>917</v>
      </c>
      <c r="U1133" s="48" t="s">
        <v>90</v>
      </c>
      <c r="V1133" s="48" t="s">
        <v>857</v>
      </c>
      <c r="W1133" s="48" t="s">
        <v>868</v>
      </c>
    </row>
    <row r="1134" spans="1:23" ht="15.75" x14ac:dyDescent="0.25">
      <c r="A1134" s="48" t="s">
        <v>309</v>
      </c>
      <c r="B1134" s="49">
        <v>45560</v>
      </c>
      <c r="C1134" s="48" t="s">
        <v>918</v>
      </c>
      <c r="D1134" s="48" t="s">
        <v>1181</v>
      </c>
      <c r="E1134" s="48" t="s">
        <v>858</v>
      </c>
      <c r="F1134" s="48" t="s">
        <v>62</v>
      </c>
      <c r="G1134" s="48" t="s">
        <v>63</v>
      </c>
      <c r="H1134" s="48" t="s">
        <v>27</v>
      </c>
      <c r="I1134" s="48" t="s">
        <v>310</v>
      </c>
      <c r="J1134" s="48" t="s">
        <v>80</v>
      </c>
      <c r="K1134" s="48" t="s">
        <v>81</v>
      </c>
      <c r="L1134" s="48" t="s">
        <v>1139</v>
      </c>
      <c r="M1134" s="48" t="s">
        <v>26</v>
      </c>
      <c r="N1134" s="48" t="s">
        <v>20</v>
      </c>
      <c r="O1134" s="48" t="s">
        <v>857</v>
      </c>
      <c r="P1134" s="50">
        <v>1071568.1599999999</v>
      </c>
      <c r="Q1134" s="50">
        <v>1</v>
      </c>
      <c r="R1134" s="50">
        <v>1071568.1599999999</v>
      </c>
      <c r="S1134" s="74">
        <v>45579</v>
      </c>
      <c r="T1134" s="48" t="s">
        <v>311</v>
      </c>
      <c r="U1134" s="48" t="s">
        <v>377</v>
      </c>
      <c r="V1134" s="48" t="s">
        <v>857</v>
      </c>
      <c r="W1134" s="48" t="s">
        <v>867</v>
      </c>
    </row>
    <row r="1135" spans="1:23" ht="15.75" x14ac:dyDescent="0.25">
      <c r="A1135" s="48" t="s">
        <v>312</v>
      </c>
      <c r="B1135" s="49">
        <v>45560</v>
      </c>
      <c r="C1135" s="48" t="s">
        <v>916</v>
      </c>
      <c r="D1135" s="48" t="s">
        <v>1182</v>
      </c>
      <c r="E1135" s="48" t="s">
        <v>856</v>
      </c>
      <c r="F1135" s="48" t="s">
        <v>62</v>
      </c>
      <c r="G1135" s="48" t="s">
        <v>63</v>
      </c>
      <c r="H1135" s="48" t="s">
        <v>27</v>
      </c>
      <c r="I1135" s="48" t="s">
        <v>89</v>
      </c>
      <c r="J1135" s="48" t="s">
        <v>80</v>
      </c>
      <c r="K1135" s="48" t="s">
        <v>90</v>
      </c>
      <c r="L1135" s="48" t="s">
        <v>1141</v>
      </c>
      <c r="M1135" s="48" t="s">
        <v>26</v>
      </c>
      <c r="N1135" s="48" t="s">
        <v>20</v>
      </c>
      <c r="O1135" s="48" t="s">
        <v>857</v>
      </c>
      <c r="P1135" s="50">
        <v>5540367.0099999998</v>
      </c>
      <c r="Q1135" s="50">
        <v>1</v>
      </c>
      <c r="R1135" s="50">
        <v>5540367.0099999998</v>
      </c>
      <c r="S1135" s="74">
        <v>45579</v>
      </c>
      <c r="T1135" s="48" t="s">
        <v>917</v>
      </c>
      <c r="U1135" s="48" t="s">
        <v>90</v>
      </c>
      <c r="V1135" s="48" t="s">
        <v>857</v>
      </c>
      <c r="W1135" s="48" t="s">
        <v>866</v>
      </c>
    </row>
    <row r="1136" spans="1:23" ht="15.75" x14ac:dyDescent="0.25">
      <c r="A1136" s="48" t="s">
        <v>273</v>
      </c>
      <c r="B1136" s="49">
        <v>45502</v>
      </c>
      <c r="C1136" s="48" t="s">
        <v>916</v>
      </c>
      <c r="D1136" s="48" t="s">
        <v>441</v>
      </c>
      <c r="E1136" s="48" t="s">
        <v>856</v>
      </c>
      <c r="F1136" s="48" t="s">
        <v>21</v>
      </c>
      <c r="G1136" s="48" t="s">
        <v>22</v>
      </c>
      <c r="H1136" s="48" t="s">
        <v>27</v>
      </c>
      <c r="I1136" s="48" t="s">
        <v>274</v>
      </c>
      <c r="J1136" s="48" t="s">
        <v>24</v>
      </c>
      <c r="K1136" s="48" t="s">
        <v>22</v>
      </c>
      <c r="L1136" s="48" t="s">
        <v>1132</v>
      </c>
      <c r="M1136" s="48" t="s">
        <v>26</v>
      </c>
      <c r="N1136" s="48" t="s">
        <v>20</v>
      </c>
      <c r="O1136" s="48" t="s">
        <v>857</v>
      </c>
      <c r="P1136" s="50">
        <v>755381.98</v>
      </c>
      <c r="Q1136" s="50">
        <v>1</v>
      </c>
      <c r="R1136" s="50">
        <v>755381.98</v>
      </c>
      <c r="S1136" s="74">
        <v>45578</v>
      </c>
      <c r="T1136" s="48" t="s">
        <v>917</v>
      </c>
      <c r="U1136" s="48" t="s">
        <v>22</v>
      </c>
      <c r="V1136" s="48" t="s">
        <v>857</v>
      </c>
      <c r="W1136" s="48"/>
    </row>
    <row r="1137" spans="1:23" ht="15.75" x14ac:dyDescent="0.25">
      <c r="A1137" s="48" t="s">
        <v>272</v>
      </c>
      <c r="B1137" s="49">
        <v>45497</v>
      </c>
      <c r="C1137" s="48" t="s">
        <v>916</v>
      </c>
      <c r="D1137" s="48" t="s">
        <v>441</v>
      </c>
      <c r="E1137" s="48" t="s">
        <v>856</v>
      </c>
      <c r="F1137" s="48" t="s">
        <v>21</v>
      </c>
      <c r="G1137" s="48" t="s">
        <v>22</v>
      </c>
      <c r="H1137" s="48" t="s">
        <v>27</v>
      </c>
      <c r="I1137" s="48" t="s">
        <v>177</v>
      </c>
      <c r="J1137" s="48" t="s">
        <v>24</v>
      </c>
      <c r="K1137" s="48" t="s">
        <v>22</v>
      </c>
      <c r="L1137" s="48" t="s">
        <v>1132</v>
      </c>
      <c r="M1137" s="48" t="s">
        <v>26</v>
      </c>
      <c r="N1137" s="48" t="s">
        <v>20</v>
      </c>
      <c r="O1137" s="48" t="s">
        <v>857</v>
      </c>
      <c r="P1137" s="50">
        <v>1500000</v>
      </c>
      <c r="Q1137" s="50">
        <v>1</v>
      </c>
      <c r="R1137" s="50">
        <v>1500000</v>
      </c>
      <c r="S1137" s="74">
        <v>45578</v>
      </c>
      <c r="T1137" s="48" t="s">
        <v>917</v>
      </c>
      <c r="U1137" s="48" t="s">
        <v>22</v>
      </c>
      <c r="V1137" s="48" t="s">
        <v>857</v>
      </c>
      <c r="W1137" s="48"/>
    </row>
    <row r="1138" spans="1:23" ht="15.75" x14ac:dyDescent="0.25">
      <c r="A1138" s="48" t="s">
        <v>265</v>
      </c>
      <c r="B1138" s="49">
        <v>45515</v>
      </c>
      <c r="C1138" s="48" t="s">
        <v>916</v>
      </c>
      <c r="D1138" s="48" t="s">
        <v>441</v>
      </c>
      <c r="E1138" s="48" t="s">
        <v>856</v>
      </c>
      <c r="F1138" s="48" t="s">
        <v>21</v>
      </c>
      <c r="G1138" s="48" t="s">
        <v>22</v>
      </c>
      <c r="H1138" s="48" t="s">
        <v>27</v>
      </c>
      <c r="I1138" s="48" t="s">
        <v>266</v>
      </c>
      <c r="J1138" s="48" t="s">
        <v>24</v>
      </c>
      <c r="K1138" s="48" t="s">
        <v>22</v>
      </c>
      <c r="L1138" s="48" t="s">
        <v>1132</v>
      </c>
      <c r="M1138" s="48" t="s">
        <v>26</v>
      </c>
      <c r="N1138" s="48" t="s">
        <v>20</v>
      </c>
      <c r="O1138" s="48" t="s">
        <v>857</v>
      </c>
      <c r="P1138" s="50">
        <v>700000</v>
      </c>
      <c r="Q1138" s="50">
        <v>1</v>
      </c>
      <c r="R1138" s="50">
        <v>700000</v>
      </c>
      <c r="S1138" s="74">
        <v>45578</v>
      </c>
      <c r="T1138" s="48" t="s">
        <v>917</v>
      </c>
      <c r="U1138" s="48" t="s">
        <v>22</v>
      </c>
      <c r="V1138" s="48" t="s">
        <v>857</v>
      </c>
      <c r="W1138" s="48"/>
    </row>
    <row r="1139" spans="1:23" ht="15.75" x14ac:dyDescent="0.25">
      <c r="A1139" s="48" t="s">
        <v>92</v>
      </c>
      <c r="B1139" s="49">
        <v>45481</v>
      </c>
      <c r="C1139" s="48" t="s">
        <v>916</v>
      </c>
      <c r="D1139" s="48" t="s">
        <v>1181</v>
      </c>
      <c r="E1139" s="48" t="s">
        <v>856</v>
      </c>
      <c r="F1139" s="48" t="s">
        <v>62</v>
      </c>
      <c r="G1139" s="48" t="s">
        <v>63</v>
      </c>
      <c r="H1139" s="48" t="s">
        <v>27</v>
      </c>
      <c r="I1139" s="48" t="s">
        <v>93</v>
      </c>
      <c r="J1139" s="48" t="s">
        <v>80</v>
      </c>
      <c r="K1139" s="48" t="s">
        <v>81</v>
      </c>
      <c r="L1139" s="48" t="s">
        <v>1139</v>
      </c>
      <c r="M1139" s="48" t="s">
        <v>26</v>
      </c>
      <c r="N1139" s="48" t="s">
        <v>20</v>
      </c>
      <c r="O1139" s="48" t="s">
        <v>857</v>
      </c>
      <c r="P1139" s="50">
        <v>2759457.05</v>
      </c>
      <c r="Q1139" s="50">
        <v>1</v>
      </c>
      <c r="R1139" s="50">
        <v>2759457.05</v>
      </c>
      <c r="S1139" s="74">
        <v>45574</v>
      </c>
      <c r="T1139" s="48" t="s">
        <v>917</v>
      </c>
      <c r="U1139" s="48" t="s">
        <v>377</v>
      </c>
      <c r="V1139" s="48" t="s">
        <v>857</v>
      </c>
      <c r="W1139" s="48" t="s">
        <v>862</v>
      </c>
    </row>
    <row r="1140" spans="1:23" ht="15.75" x14ac:dyDescent="0.25">
      <c r="A1140" s="48" t="s">
        <v>323</v>
      </c>
      <c r="B1140" s="49">
        <v>45572</v>
      </c>
      <c r="C1140" s="48" t="s">
        <v>928</v>
      </c>
      <c r="D1140" s="48" t="s">
        <v>1185</v>
      </c>
      <c r="E1140" s="48" t="s">
        <v>858</v>
      </c>
      <c r="F1140" s="48" t="s">
        <v>95</v>
      </c>
      <c r="G1140" s="48" t="s">
        <v>96</v>
      </c>
      <c r="H1140" s="48" t="s">
        <v>27</v>
      </c>
      <c r="I1140" s="48" t="s">
        <v>324</v>
      </c>
      <c r="J1140" s="48" t="s">
        <v>72</v>
      </c>
      <c r="K1140" s="48" t="s">
        <v>325</v>
      </c>
      <c r="L1140" s="48" t="s">
        <v>1157</v>
      </c>
      <c r="M1140" s="48" t="s">
        <v>67</v>
      </c>
      <c r="N1140" s="48" t="s">
        <v>20</v>
      </c>
      <c r="O1140" s="48" t="s">
        <v>857</v>
      </c>
      <c r="P1140" s="50">
        <v>3927.32</v>
      </c>
      <c r="Q1140" s="50">
        <v>4.1630000000000003</v>
      </c>
      <c r="R1140" s="50">
        <v>16349.433160000002</v>
      </c>
      <c r="S1140" s="74">
        <v>45574</v>
      </c>
      <c r="T1140" s="48" t="s">
        <v>208</v>
      </c>
      <c r="U1140" s="48" t="s">
        <v>325</v>
      </c>
      <c r="V1140" s="48" t="s">
        <v>857</v>
      </c>
      <c r="W1140" s="48" t="s">
        <v>208</v>
      </c>
    </row>
    <row r="1141" spans="1:23" ht="15.75" x14ac:dyDescent="0.25">
      <c r="A1141" s="48" t="s">
        <v>315</v>
      </c>
      <c r="B1141" s="49">
        <v>45559</v>
      </c>
      <c r="C1141" s="48" t="s">
        <v>929</v>
      </c>
      <c r="D1141" s="48" t="s">
        <v>1118</v>
      </c>
      <c r="E1141" s="48" t="s">
        <v>858</v>
      </c>
      <c r="F1141" s="48" t="s">
        <v>62</v>
      </c>
      <c r="G1141" s="48" t="s">
        <v>63</v>
      </c>
      <c r="H1141" s="48" t="s">
        <v>27</v>
      </c>
      <c r="I1141" s="48" t="s">
        <v>316</v>
      </c>
      <c r="J1141" s="48" t="s">
        <v>72</v>
      </c>
      <c r="K1141" s="48" t="s">
        <v>213</v>
      </c>
      <c r="L1141" s="48" t="s">
        <v>1134</v>
      </c>
      <c r="M1141" s="48" t="s">
        <v>191</v>
      </c>
      <c r="N1141" s="48" t="s">
        <v>20</v>
      </c>
      <c r="O1141" s="48" t="s">
        <v>857</v>
      </c>
      <c r="P1141" s="50">
        <v>2062431.37</v>
      </c>
      <c r="Q1141" s="50">
        <v>1.0276000000000001</v>
      </c>
      <c r="R1141" s="50">
        <v>2119354.4758120002</v>
      </c>
      <c r="S1141" s="74">
        <v>45574</v>
      </c>
      <c r="T1141" s="48" t="s">
        <v>917</v>
      </c>
      <c r="U1141" s="48" t="s">
        <v>213</v>
      </c>
      <c r="V1141" s="48" t="s">
        <v>857</v>
      </c>
      <c r="W1141" s="48" t="s">
        <v>3789</v>
      </c>
    </row>
    <row r="1142" spans="1:23" ht="15.75" x14ac:dyDescent="0.25">
      <c r="A1142" s="48" t="s">
        <v>513</v>
      </c>
      <c r="B1142" s="49">
        <v>45523</v>
      </c>
      <c r="C1142" s="48" t="s">
        <v>916</v>
      </c>
      <c r="D1142" s="48" t="s">
        <v>1182</v>
      </c>
      <c r="E1142" s="48" t="s">
        <v>856</v>
      </c>
      <c r="F1142" s="48" t="s">
        <v>62</v>
      </c>
      <c r="G1142" s="48" t="s">
        <v>63</v>
      </c>
      <c r="H1142" s="48" t="s">
        <v>27</v>
      </c>
      <c r="I1142" s="48" t="s">
        <v>314</v>
      </c>
      <c r="J1142" s="48" t="s">
        <v>80</v>
      </c>
      <c r="K1142" s="48" t="s">
        <v>90</v>
      </c>
      <c r="L1142" s="48" t="s">
        <v>1141</v>
      </c>
      <c r="M1142" s="48" t="s">
        <v>26</v>
      </c>
      <c r="N1142" s="48" t="s">
        <v>20</v>
      </c>
      <c r="O1142" s="48" t="s">
        <v>857</v>
      </c>
      <c r="P1142" s="50">
        <v>2946990.35</v>
      </c>
      <c r="Q1142" s="50">
        <v>1</v>
      </c>
      <c r="R1142" s="50">
        <v>2946990.35</v>
      </c>
      <c r="S1142" s="74">
        <v>45574</v>
      </c>
      <c r="T1142" s="48" t="s">
        <v>917</v>
      </c>
      <c r="U1142" s="48" t="s">
        <v>90</v>
      </c>
      <c r="V1142" s="48" t="s">
        <v>857</v>
      </c>
      <c r="W1142" s="48" t="s">
        <v>861</v>
      </c>
    </row>
    <row r="1143" spans="1:23" ht="15.75" x14ac:dyDescent="0.25">
      <c r="A1143" s="48" t="s">
        <v>309</v>
      </c>
      <c r="B1143" s="49">
        <v>45517</v>
      </c>
      <c r="C1143" s="48" t="s">
        <v>916</v>
      </c>
      <c r="D1143" s="48" t="s">
        <v>1181</v>
      </c>
      <c r="E1143" s="48" t="s">
        <v>856</v>
      </c>
      <c r="F1143" s="48" t="s">
        <v>62</v>
      </c>
      <c r="G1143" s="48" t="s">
        <v>63</v>
      </c>
      <c r="H1143" s="48" t="s">
        <v>27</v>
      </c>
      <c r="I1143" s="48" t="s">
        <v>310</v>
      </c>
      <c r="J1143" s="48" t="s">
        <v>80</v>
      </c>
      <c r="K1143" s="48" t="s">
        <v>81</v>
      </c>
      <c r="L1143" s="48" t="s">
        <v>1139</v>
      </c>
      <c r="M1143" s="48" t="s">
        <v>26</v>
      </c>
      <c r="N1143" s="48" t="s">
        <v>20</v>
      </c>
      <c r="O1143" s="48" t="s">
        <v>857</v>
      </c>
      <c r="P1143" s="50">
        <v>337582.04</v>
      </c>
      <c r="Q1143" s="50">
        <v>1</v>
      </c>
      <c r="R1143" s="50">
        <v>337582.04</v>
      </c>
      <c r="S1143" s="74">
        <v>45573</v>
      </c>
      <c r="T1143" s="48" t="s">
        <v>311</v>
      </c>
      <c r="U1143" s="48" t="s">
        <v>377</v>
      </c>
      <c r="V1143" s="48" t="s">
        <v>857</v>
      </c>
      <c r="W1143" s="48"/>
    </row>
    <row r="1144" spans="1:23" ht="15.75" x14ac:dyDescent="0.25">
      <c r="A1144" s="48" t="s">
        <v>320</v>
      </c>
      <c r="B1144" s="49">
        <v>45567</v>
      </c>
      <c r="C1144" s="48" t="s">
        <v>916</v>
      </c>
      <c r="D1144" s="48" t="s">
        <v>1118</v>
      </c>
      <c r="E1144" s="48" t="s">
        <v>858</v>
      </c>
      <c r="F1144" s="48" t="s">
        <v>62</v>
      </c>
      <c r="G1144" s="48" t="s">
        <v>70</v>
      </c>
      <c r="H1144" s="48" t="s">
        <v>70</v>
      </c>
      <c r="I1144" s="48" t="s">
        <v>316</v>
      </c>
      <c r="J1144" s="48" t="s">
        <v>72</v>
      </c>
      <c r="K1144" s="48" t="s">
        <v>213</v>
      </c>
      <c r="L1144" s="48" t="s">
        <v>1134</v>
      </c>
      <c r="M1144" s="48" t="s">
        <v>191</v>
      </c>
      <c r="N1144" s="48" t="s">
        <v>20</v>
      </c>
      <c r="O1144" s="48" t="s">
        <v>857</v>
      </c>
      <c r="P1144" s="50">
        <v>1514590.9</v>
      </c>
      <c r="Q1144" s="50">
        <v>1.0226999999999999</v>
      </c>
      <c r="R1144" s="50">
        <v>1548972.1134299999</v>
      </c>
      <c r="S1144" s="74">
        <v>45573</v>
      </c>
      <c r="T1144" s="48" t="s">
        <v>208</v>
      </c>
      <c r="U1144" s="48" t="s">
        <v>213</v>
      </c>
      <c r="V1144" s="48" t="s">
        <v>857</v>
      </c>
      <c r="W1144" s="48"/>
    </row>
    <row r="1145" spans="1:23" ht="15.75" x14ac:dyDescent="0.25">
      <c r="A1145" s="48" t="s">
        <v>306</v>
      </c>
      <c r="B1145" s="49">
        <v>45547</v>
      </c>
      <c r="C1145" s="48" t="s">
        <v>957</v>
      </c>
      <c r="D1145" s="48" t="s">
        <v>1118</v>
      </c>
      <c r="E1145" s="48" t="s">
        <v>858</v>
      </c>
      <c r="F1145" s="48" t="s">
        <v>62</v>
      </c>
      <c r="G1145" s="48" t="s">
        <v>70</v>
      </c>
      <c r="H1145" s="48" t="s">
        <v>70</v>
      </c>
      <c r="I1145" s="48" t="s">
        <v>307</v>
      </c>
      <c r="J1145" s="48" t="s">
        <v>72</v>
      </c>
      <c r="K1145" s="48" t="s">
        <v>213</v>
      </c>
      <c r="L1145" s="48" t="s">
        <v>1134</v>
      </c>
      <c r="M1145" s="48" t="s">
        <v>67</v>
      </c>
      <c r="N1145" s="48" t="s">
        <v>20</v>
      </c>
      <c r="O1145" s="48" t="s">
        <v>857</v>
      </c>
      <c r="P1145" s="50">
        <v>200820.9</v>
      </c>
      <c r="Q1145" s="50">
        <v>4.5848000064688499</v>
      </c>
      <c r="R1145" s="50">
        <v>920723.66361908021</v>
      </c>
      <c r="S1145" s="74">
        <v>45565</v>
      </c>
      <c r="T1145" s="48" t="s">
        <v>308</v>
      </c>
      <c r="U1145" s="48" t="s">
        <v>213</v>
      </c>
      <c r="V1145" s="48" t="s">
        <v>857</v>
      </c>
      <c r="W1145" s="48"/>
    </row>
    <row r="1146" spans="1:23" ht="15.75" x14ac:dyDescent="0.25">
      <c r="A1146" s="48" t="s">
        <v>306</v>
      </c>
      <c r="B1146" s="49">
        <v>45551</v>
      </c>
      <c r="C1146" s="48" t="s">
        <v>956</v>
      </c>
      <c r="D1146" s="48" t="s">
        <v>1118</v>
      </c>
      <c r="E1146" s="48" t="s">
        <v>856</v>
      </c>
      <c r="F1146" s="48" t="s">
        <v>62</v>
      </c>
      <c r="G1146" s="48" t="s">
        <v>70</v>
      </c>
      <c r="H1146" s="48" t="s">
        <v>70</v>
      </c>
      <c r="I1146" s="48" t="s">
        <v>307</v>
      </c>
      <c r="J1146" s="48" t="s">
        <v>72</v>
      </c>
      <c r="K1146" s="48" t="s">
        <v>213</v>
      </c>
      <c r="L1146" s="48" t="s">
        <v>1134</v>
      </c>
      <c r="M1146" s="48" t="s">
        <v>67</v>
      </c>
      <c r="N1146" s="48" t="s">
        <v>20</v>
      </c>
      <c r="O1146" s="48" t="s">
        <v>857</v>
      </c>
      <c r="P1146" s="50">
        <v>34952.19</v>
      </c>
      <c r="Q1146" s="50">
        <v>4.5848000064688499</v>
      </c>
      <c r="R1146" s="50">
        <v>160248.80093810047</v>
      </c>
      <c r="S1146" s="74">
        <v>45565</v>
      </c>
      <c r="T1146" s="48" t="s">
        <v>308</v>
      </c>
      <c r="U1146" s="48" t="s">
        <v>213</v>
      </c>
      <c r="V1146" s="48" t="s">
        <v>857</v>
      </c>
      <c r="W1146" s="48"/>
    </row>
    <row r="1147" spans="1:23" ht="15.75" x14ac:dyDescent="0.25">
      <c r="A1147" s="48" t="s">
        <v>323</v>
      </c>
      <c r="B1147" s="49">
        <v>45544</v>
      </c>
      <c r="C1147" s="48" t="s">
        <v>924</v>
      </c>
      <c r="D1147" s="48" t="s">
        <v>1185</v>
      </c>
      <c r="E1147" s="48" t="s">
        <v>858</v>
      </c>
      <c r="F1147" s="48" t="s">
        <v>95</v>
      </c>
      <c r="G1147" s="48" t="s">
        <v>96</v>
      </c>
      <c r="H1147" s="48" t="s">
        <v>27</v>
      </c>
      <c r="I1147" s="48" t="s">
        <v>324</v>
      </c>
      <c r="J1147" s="48" t="s">
        <v>72</v>
      </c>
      <c r="K1147" s="48" t="s">
        <v>325</v>
      </c>
      <c r="L1147" s="48" t="s">
        <v>1157</v>
      </c>
      <c r="M1147" s="48" t="s">
        <v>67</v>
      </c>
      <c r="N1147" s="48" t="s">
        <v>20</v>
      </c>
      <c r="O1147" s="48" t="s">
        <v>857</v>
      </c>
      <c r="P1147" s="50">
        <v>103759.4</v>
      </c>
      <c r="Q1147" s="50">
        <v>4.1630000000000003</v>
      </c>
      <c r="R1147" s="50">
        <v>431950.38219999999</v>
      </c>
      <c r="S1147" s="74">
        <v>45561</v>
      </c>
      <c r="T1147" s="48" t="s">
        <v>208</v>
      </c>
      <c r="U1147" s="48" t="s">
        <v>325</v>
      </c>
      <c r="V1147" s="48" t="s">
        <v>857</v>
      </c>
      <c r="W1147" s="48" t="s">
        <v>863</v>
      </c>
    </row>
    <row r="1148" spans="1:23" ht="15.75" x14ac:dyDescent="0.25">
      <c r="A1148" s="48" t="s">
        <v>48</v>
      </c>
      <c r="B1148" s="49">
        <v>45489</v>
      </c>
      <c r="C1148" s="48" t="s">
        <v>924</v>
      </c>
      <c r="D1148" s="48" t="s">
        <v>441</v>
      </c>
      <c r="E1148" s="48" t="s">
        <v>856</v>
      </c>
      <c r="F1148" s="48" t="s">
        <v>21</v>
      </c>
      <c r="G1148" s="48" t="s">
        <v>22</v>
      </c>
      <c r="H1148" s="48" t="s">
        <v>27</v>
      </c>
      <c r="I1148" s="48" t="s">
        <v>49</v>
      </c>
      <c r="J1148" s="48" t="s">
        <v>24</v>
      </c>
      <c r="K1148" s="48" t="s">
        <v>22</v>
      </c>
      <c r="L1148" s="48" t="s">
        <v>1132</v>
      </c>
      <c r="M1148" s="48" t="s">
        <v>26</v>
      </c>
      <c r="N1148" s="48" t="s">
        <v>20</v>
      </c>
      <c r="O1148" s="48" t="s">
        <v>857</v>
      </c>
      <c r="P1148" s="50">
        <v>350000</v>
      </c>
      <c r="Q1148" s="50">
        <v>1</v>
      </c>
      <c r="R1148" s="50">
        <v>350000</v>
      </c>
      <c r="S1148" s="74">
        <v>45560</v>
      </c>
      <c r="T1148" s="48" t="s">
        <v>28</v>
      </c>
      <c r="U1148" s="48" t="s">
        <v>22</v>
      </c>
      <c r="V1148" s="48" t="s">
        <v>857</v>
      </c>
      <c r="W1148" s="48"/>
    </row>
    <row r="1149" spans="1:23" ht="15.75" x14ac:dyDescent="0.25">
      <c r="A1149" s="48" t="s">
        <v>254</v>
      </c>
      <c r="B1149" s="49">
        <v>45544</v>
      </c>
      <c r="C1149" s="48" t="s">
        <v>926</v>
      </c>
      <c r="D1149" s="48" t="s">
        <v>1184</v>
      </c>
      <c r="E1149" s="48" t="s">
        <v>858</v>
      </c>
      <c r="F1149" s="48" t="s">
        <v>21</v>
      </c>
      <c r="G1149" s="48" t="s">
        <v>22</v>
      </c>
      <c r="H1149" s="48" t="s">
        <v>27</v>
      </c>
      <c r="I1149" s="48" t="s">
        <v>3623</v>
      </c>
      <c r="J1149" s="48" t="s">
        <v>1791</v>
      </c>
      <c r="K1149" s="48" t="s">
        <v>22</v>
      </c>
      <c r="L1149" s="48" t="s">
        <v>1132</v>
      </c>
      <c r="M1149" s="48" t="s">
        <v>67</v>
      </c>
      <c r="N1149" s="48" t="s">
        <v>20</v>
      </c>
      <c r="O1149" s="48" t="s">
        <v>857</v>
      </c>
      <c r="P1149" s="50">
        <v>635579.94999999995</v>
      </c>
      <c r="Q1149" s="50">
        <v>4.2249999999999996</v>
      </c>
      <c r="R1149" s="50">
        <v>2685325.2887499994</v>
      </c>
      <c r="S1149" s="74">
        <v>45559</v>
      </c>
      <c r="T1149" s="48" t="s">
        <v>255</v>
      </c>
      <c r="U1149" s="48" t="s">
        <v>22</v>
      </c>
      <c r="V1149" s="48" t="s">
        <v>857</v>
      </c>
      <c r="W1149" s="48"/>
    </row>
    <row r="1150" spans="1:23" ht="15.75" x14ac:dyDescent="0.25">
      <c r="A1150" s="48" t="s">
        <v>254</v>
      </c>
      <c r="B1150" s="49">
        <v>45529</v>
      </c>
      <c r="C1150" s="48" t="s">
        <v>931</v>
      </c>
      <c r="D1150" s="48" t="s">
        <v>1184</v>
      </c>
      <c r="E1150" s="48" t="s">
        <v>856</v>
      </c>
      <c r="F1150" s="48" t="s">
        <v>21</v>
      </c>
      <c r="G1150" s="48" t="s">
        <v>22</v>
      </c>
      <c r="H1150" s="48" t="s">
        <v>27</v>
      </c>
      <c r="I1150" s="48" t="s">
        <v>3623</v>
      </c>
      <c r="J1150" s="48" t="s">
        <v>1791</v>
      </c>
      <c r="K1150" s="48" t="s">
        <v>22</v>
      </c>
      <c r="L1150" s="48" t="s">
        <v>1132</v>
      </c>
      <c r="M1150" s="48" t="s">
        <v>67</v>
      </c>
      <c r="N1150" s="48" t="s">
        <v>20</v>
      </c>
      <c r="O1150" s="48" t="s">
        <v>857</v>
      </c>
      <c r="P1150" s="50">
        <v>201492.05</v>
      </c>
      <c r="Q1150" s="50">
        <v>4.2161</v>
      </c>
      <c r="R1150" s="50">
        <v>849510.6320049999</v>
      </c>
      <c r="S1150" s="74">
        <v>45554</v>
      </c>
      <c r="T1150" s="48" t="s">
        <v>255</v>
      </c>
      <c r="U1150" s="48" t="s">
        <v>22</v>
      </c>
      <c r="V1150" s="48" t="s">
        <v>857</v>
      </c>
      <c r="W1150" s="48"/>
    </row>
    <row r="1151" spans="1:23" ht="15.75" x14ac:dyDescent="0.25">
      <c r="A1151" s="48" t="s">
        <v>254</v>
      </c>
      <c r="B1151" s="49">
        <v>45532</v>
      </c>
      <c r="C1151" s="48" t="s">
        <v>927</v>
      </c>
      <c r="D1151" s="48" t="s">
        <v>1184</v>
      </c>
      <c r="E1151" s="48" t="s">
        <v>856</v>
      </c>
      <c r="F1151" s="48" t="s">
        <v>21</v>
      </c>
      <c r="G1151" s="48" t="s">
        <v>22</v>
      </c>
      <c r="H1151" s="48" t="s">
        <v>27</v>
      </c>
      <c r="I1151" s="48" t="s">
        <v>3623</v>
      </c>
      <c r="J1151" s="48" t="s">
        <v>1791</v>
      </c>
      <c r="K1151" s="48" t="s">
        <v>22</v>
      </c>
      <c r="L1151" s="48" t="s">
        <v>1132</v>
      </c>
      <c r="M1151" s="48" t="s">
        <v>67</v>
      </c>
      <c r="N1151" s="48" t="s">
        <v>20</v>
      </c>
      <c r="O1151" s="48" t="s">
        <v>857</v>
      </c>
      <c r="P1151" s="50">
        <v>198815.09</v>
      </c>
      <c r="Q1151" s="50">
        <v>4.2</v>
      </c>
      <c r="R1151" s="50">
        <v>835023.37800000003</v>
      </c>
      <c r="S1151" s="74">
        <v>45554</v>
      </c>
      <c r="T1151" s="48" t="s">
        <v>255</v>
      </c>
      <c r="U1151" s="48" t="s">
        <v>22</v>
      </c>
      <c r="V1151" s="48" t="s">
        <v>857</v>
      </c>
      <c r="W1151" s="48"/>
    </row>
    <row r="1152" spans="1:23" ht="15.75" x14ac:dyDescent="0.25">
      <c r="A1152" s="48" t="s">
        <v>315</v>
      </c>
      <c r="B1152" s="49">
        <v>45551</v>
      </c>
      <c r="C1152" s="48" t="s">
        <v>922</v>
      </c>
      <c r="D1152" s="48" t="s">
        <v>1118</v>
      </c>
      <c r="E1152" s="48" t="s">
        <v>858</v>
      </c>
      <c r="F1152" s="48" t="s">
        <v>62</v>
      </c>
      <c r="G1152" s="48" t="s">
        <v>63</v>
      </c>
      <c r="H1152" s="48" t="s">
        <v>27</v>
      </c>
      <c r="I1152" s="48" t="s">
        <v>316</v>
      </c>
      <c r="J1152" s="48" t="s">
        <v>72</v>
      </c>
      <c r="K1152" s="48" t="s">
        <v>213</v>
      </c>
      <c r="L1152" s="48" t="s">
        <v>1134</v>
      </c>
      <c r="M1152" s="48" t="s">
        <v>191</v>
      </c>
      <c r="N1152" s="48" t="s">
        <v>20</v>
      </c>
      <c r="O1152" s="48" t="s">
        <v>857</v>
      </c>
      <c r="P1152" s="50">
        <v>4244967.24</v>
      </c>
      <c r="Q1152" s="50">
        <v>1.0276000000000001</v>
      </c>
      <c r="R1152" s="50">
        <v>4362128.3358240006</v>
      </c>
      <c r="S1152" s="74">
        <v>45554</v>
      </c>
      <c r="T1152" s="48" t="s">
        <v>917</v>
      </c>
      <c r="U1152" s="48" t="s">
        <v>213</v>
      </c>
      <c r="V1152" s="48" t="s">
        <v>857</v>
      </c>
      <c r="W1152" s="48" t="s">
        <v>864</v>
      </c>
    </row>
    <row r="1153" spans="1:23" ht="15.75" x14ac:dyDescent="0.25">
      <c r="A1153" s="48" t="s">
        <v>260</v>
      </c>
      <c r="B1153" s="49">
        <v>45538</v>
      </c>
      <c r="C1153" s="48" t="s">
        <v>928</v>
      </c>
      <c r="D1153" s="48" t="s">
        <v>1181</v>
      </c>
      <c r="E1153" s="48" t="s">
        <v>858</v>
      </c>
      <c r="F1153" s="48" t="s">
        <v>21</v>
      </c>
      <c r="G1153" s="48" t="s">
        <v>22</v>
      </c>
      <c r="H1153" s="48" t="s">
        <v>70</v>
      </c>
      <c r="I1153" s="48" t="s">
        <v>261</v>
      </c>
      <c r="J1153" s="48" t="s">
        <v>80</v>
      </c>
      <c r="K1153" s="48" t="s">
        <v>81</v>
      </c>
      <c r="L1153" s="48" t="s">
        <v>1139</v>
      </c>
      <c r="M1153" s="48" t="s">
        <v>26</v>
      </c>
      <c r="N1153" s="48" t="s">
        <v>20</v>
      </c>
      <c r="O1153" s="48" t="s">
        <v>857</v>
      </c>
      <c r="P1153" s="50">
        <v>8510</v>
      </c>
      <c r="Q1153" s="50">
        <v>1</v>
      </c>
      <c r="R1153" s="50">
        <v>8510</v>
      </c>
      <c r="S1153" s="74">
        <v>45554</v>
      </c>
      <c r="T1153" s="48" t="s">
        <v>917</v>
      </c>
      <c r="U1153" s="48" t="s">
        <v>377</v>
      </c>
      <c r="V1153" s="48" t="s">
        <v>857</v>
      </c>
      <c r="W1153" s="48"/>
    </row>
    <row r="1154" spans="1:23" ht="15.75" x14ac:dyDescent="0.25">
      <c r="A1154" s="48" t="s">
        <v>264</v>
      </c>
      <c r="B1154" s="49">
        <v>45517</v>
      </c>
      <c r="C1154" s="48" t="s">
        <v>918</v>
      </c>
      <c r="D1154" s="48" t="s">
        <v>441</v>
      </c>
      <c r="E1154" s="48" t="s">
        <v>856</v>
      </c>
      <c r="F1154" s="48" t="s">
        <v>21</v>
      </c>
      <c r="G1154" s="48" t="s">
        <v>22</v>
      </c>
      <c r="H1154" s="48" t="s">
        <v>27</v>
      </c>
      <c r="I1154" s="48" t="s">
        <v>109</v>
      </c>
      <c r="J1154" s="48" t="s">
        <v>24</v>
      </c>
      <c r="K1154" s="48" t="s">
        <v>22</v>
      </c>
      <c r="L1154" s="48" t="s">
        <v>1132</v>
      </c>
      <c r="M1154" s="48" t="s">
        <v>26</v>
      </c>
      <c r="N1154" s="48" t="s">
        <v>20</v>
      </c>
      <c r="O1154" s="48" t="s">
        <v>857</v>
      </c>
      <c r="P1154" s="50">
        <v>2022606</v>
      </c>
      <c r="Q1154" s="50">
        <v>1</v>
      </c>
      <c r="R1154" s="50">
        <v>2022606</v>
      </c>
      <c r="S1154" s="74">
        <v>45554</v>
      </c>
      <c r="T1154" s="48" t="s">
        <v>917</v>
      </c>
      <c r="U1154" s="48" t="s">
        <v>22</v>
      </c>
      <c r="V1154" s="48" t="s">
        <v>857</v>
      </c>
      <c r="W1154" s="48"/>
    </row>
    <row r="1155" spans="1:23" ht="15.75" x14ac:dyDescent="0.25">
      <c r="A1155" s="48" t="s">
        <v>317</v>
      </c>
      <c r="B1155" s="49">
        <v>45552</v>
      </c>
      <c r="C1155" s="48" t="s">
        <v>916</v>
      </c>
      <c r="D1155" s="48" t="s">
        <v>1118</v>
      </c>
      <c r="E1155" s="48" t="s">
        <v>858</v>
      </c>
      <c r="F1155" s="48" t="s">
        <v>62</v>
      </c>
      <c r="G1155" s="48" t="s">
        <v>70</v>
      </c>
      <c r="H1155" s="48" t="s">
        <v>70</v>
      </c>
      <c r="I1155" s="48" t="s">
        <v>318</v>
      </c>
      <c r="J1155" s="48" t="s">
        <v>72</v>
      </c>
      <c r="K1155" s="48" t="s">
        <v>213</v>
      </c>
      <c r="L1155" s="48" t="s">
        <v>1134</v>
      </c>
      <c r="M1155" s="48" t="s">
        <v>67</v>
      </c>
      <c r="N1155" s="48" t="s">
        <v>20</v>
      </c>
      <c r="O1155" s="48" t="s">
        <v>857</v>
      </c>
      <c r="P1155" s="50">
        <v>203128.1</v>
      </c>
      <c r="Q1155" s="50">
        <v>4.6375999999999999</v>
      </c>
      <c r="R1155" s="50">
        <v>942026.87656</v>
      </c>
      <c r="S1155" s="74">
        <v>45553</v>
      </c>
      <c r="T1155" s="48" t="s">
        <v>208</v>
      </c>
      <c r="U1155" s="48" t="s">
        <v>213</v>
      </c>
      <c r="V1155" s="48" t="s">
        <v>857</v>
      </c>
      <c r="W1155" s="48" t="s">
        <v>3811</v>
      </c>
    </row>
    <row r="1156" spans="1:23" ht="15.75" x14ac:dyDescent="0.25">
      <c r="A1156" s="48" t="s">
        <v>365</v>
      </c>
      <c r="B1156" s="49">
        <v>45545</v>
      </c>
      <c r="C1156" s="48" t="s">
        <v>924</v>
      </c>
      <c r="D1156" s="48" t="s">
        <v>1119</v>
      </c>
      <c r="E1156" s="48" t="s">
        <v>858</v>
      </c>
      <c r="F1156" s="48" t="s">
        <v>366</v>
      </c>
      <c r="G1156" s="48" t="s">
        <v>367</v>
      </c>
      <c r="H1156" s="48" t="s">
        <v>27</v>
      </c>
      <c r="I1156" s="48" t="s">
        <v>368</v>
      </c>
      <c r="J1156" s="48" t="s">
        <v>72</v>
      </c>
      <c r="K1156" s="48" t="s">
        <v>367</v>
      </c>
      <c r="L1156" s="48" t="s">
        <v>1136</v>
      </c>
      <c r="M1156" s="48" t="s">
        <v>26</v>
      </c>
      <c r="N1156" s="48" t="s">
        <v>20</v>
      </c>
      <c r="O1156" s="48" t="s">
        <v>857</v>
      </c>
      <c r="P1156" s="50">
        <v>128132749.79000001</v>
      </c>
      <c r="Q1156" s="50">
        <v>1</v>
      </c>
      <c r="R1156" s="50">
        <v>128132749.79000001</v>
      </c>
      <c r="S1156" s="74">
        <v>45550</v>
      </c>
      <c r="T1156" s="48" t="s">
        <v>369</v>
      </c>
      <c r="U1156" s="48" t="s">
        <v>367</v>
      </c>
      <c r="V1156" s="48" t="s">
        <v>857</v>
      </c>
      <c r="W1156" s="48"/>
    </row>
    <row r="1157" spans="1:23" ht="15.75" x14ac:dyDescent="0.25">
      <c r="A1157" s="48" t="s">
        <v>75</v>
      </c>
      <c r="B1157" s="49">
        <v>45411</v>
      </c>
      <c r="C1157" s="48" t="s">
        <v>916</v>
      </c>
      <c r="D1157" s="48" t="s">
        <v>509</v>
      </c>
      <c r="E1157" s="48" t="s">
        <v>856</v>
      </c>
      <c r="F1157" s="48" t="s">
        <v>62</v>
      </c>
      <c r="G1157" s="48" t="s">
        <v>63</v>
      </c>
      <c r="H1157" s="48" t="s">
        <v>27</v>
      </c>
      <c r="I1157" s="48" t="s">
        <v>76</v>
      </c>
      <c r="J1157" s="48" t="s">
        <v>72</v>
      </c>
      <c r="K1157" s="48" t="s">
        <v>77</v>
      </c>
      <c r="L1157" s="48" t="s">
        <v>1143</v>
      </c>
      <c r="M1157" s="48" t="s">
        <v>78</v>
      </c>
      <c r="N1157" s="48" t="s">
        <v>20</v>
      </c>
      <c r="O1157" s="48" t="s">
        <v>857</v>
      </c>
      <c r="P1157" s="50">
        <v>6638408.9000000004</v>
      </c>
      <c r="Q1157" s="50">
        <v>3.7513000000000001</v>
      </c>
      <c r="R1157" s="50">
        <v>24902663.306570001</v>
      </c>
      <c r="S1157" s="74">
        <v>45549</v>
      </c>
      <c r="T1157" s="48" t="s">
        <v>74</v>
      </c>
      <c r="U1157" s="48" t="s">
        <v>407</v>
      </c>
      <c r="V1157" s="48" t="s">
        <v>857</v>
      </c>
      <c r="W1157" s="48"/>
    </row>
    <row r="1158" spans="1:23" ht="15.75" x14ac:dyDescent="0.25">
      <c r="A1158" s="48" t="s">
        <v>306</v>
      </c>
      <c r="B1158" s="49">
        <v>45539</v>
      </c>
      <c r="C1158" s="48" t="s">
        <v>960</v>
      </c>
      <c r="D1158" s="48" t="s">
        <v>1118</v>
      </c>
      <c r="E1158" s="48" t="s">
        <v>858</v>
      </c>
      <c r="F1158" s="48" t="s">
        <v>62</v>
      </c>
      <c r="G1158" s="48" t="s">
        <v>70</v>
      </c>
      <c r="H1158" s="48" t="s">
        <v>70</v>
      </c>
      <c r="I1158" s="48" t="s">
        <v>307</v>
      </c>
      <c r="J1158" s="48" t="s">
        <v>72</v>
      </c>
      <c r="K1158" s="48" t="s">
        <v>213</v>
      </c>
      <c r="L1158" s="48" t="s">
        <v>1134</v>
      </c>
      <c r="M1158" s="48" t="s">
        <v>67</v>
      </c>
      <c r="N1158" s="48" t="s">
        <v>20</v>
      </c>
      <c r="O1158" s="48" t="s">
        <v>857</v>
      </c>
      <c r="P1158" s="50">
        <v>395993.9</v>
      </c>
      <c r="Q1158" s="50">
        <v>4.5848000064688499</v>
      </c>
      <c r="R1158" s="50">
        <v>1815552.8352816252</v>
      </c>
      <c r="S1158" s="74">
        <v>45545</v>
      </c>
      <c r="T1158" s="48" t="s">
        <v>308</v>
      </c>
      <c r="U1158" s="48" t="s">
        <v>213</v>
      </c>
      <c r="V1158" s="48" t="s">
        <v>857</v>
      </c>
      <c r="W1158" s="48"/>
    </row>
    <row r="1159" spans="1:23" ht="15.75" x14ac:dyDescent="0.25">
      <c r="A1159" s="48" t="s">
        <v>306</v>
      </c>
      <c r="B1159" s="49">
        <v>45539</v>
      </c>
      <c r="C1159" s="48" t="s">
        <v>959</v>
      </c>
      <c r="D1159" s="48" t="s">
        <v>1118</v>
      </c>
      <c r="E1159" s="48" t="s">
        <v>858</v>
      </c>
      <c r="F1159" s="48" t="s">
        <v>62</v>
      </c>
      <c r="G1159" s="48" t="s">
        <v>70</v>
      </c>
      <c r="H1159" s="48" t="s">
        <v>70</v>
      </c>
      <c r="I1159" s="48" t="s">
        <v>307</v>
      </c>
      <c r="J1159" s="48" t="s">
        <v>72</v>
      </c>
      <c r="K1159" s="48" t="s">
        <v>213</v>
      </c>
      <c r="L1159" s="48" t="s">
        <v>1134</v>
      </c>
      <c r="M1159" s="48" t="s">
        <v>67</v>
      </c>
      <c r="N1159" s="48" t="s">
        <v>20</v>
      </c>
      <c r="O1159" s="48" t="s">
        <v>857</v>
      </c>
      <c r="P1159" s="50">
        <v>1398893.91</v>
      </c>
      <c r="Q1159" s="50">
        <v>4.5848000064688499</v>
      </c>
      <c r="R1159" s="50">
        <v>6413648.8076172341</v>
      </c>
      <c r="S1159" s="74">
        <v>45545</v>
      </c>
      <c r="T1159" s="48" t="s">
        <v>308</v>
      </c>
      <c r="U1159" s="48" t="s">
        <v>213</v>
      </c>
      <c r="V1159" s="48" t="s">
        <v>857</v>
      </c>
      <c r="W1159" s="48"/>
    </row>
    <row r="1160" spans="1:23" ht="15.75" x14ac:dyDescent="0.25">
      <c r="A1160" s="48" t="s">
        <v>306</v>
      </c>
      <c r="B1160" s="49">
        <v>45545</v>
      </c>
      <c r="C1160" s="48" t="s">
        <v>958</v>
      </c>
      <c r="D1160" s="48" t="s">
        <v>1118</v>
      </c>
      <c r="E1160" s="48" t="s">
        <v>858</v>
      </c>
      <c r="F1160" s="48" t="s">
        <v>62</v>
      </c>
      <c r="G1160" s="48" t="s">
        <v>70</v>
      </c>
      <c r="H1160" s="48" t="s">
        <v>70</v>
      </c>
      <c r="I1160" s="48" t="s">
        <v>307</v>
      </c>
      <c r="J1160" s="48" t="s">
        <v>72</v>
      </c>
      <c r="K1160" s="48" t="s">
        <v>213</v>
      </c>
      <c r="L1160" s="48" t="s">
        <v>1134</v>
      </c>
      <c r="M1160" s="48" t="s">
        <v>67</v>
      </c>
      <c r="N1160" s="48" t="s">
        <v>20</v>
      </c>
      <c r="O1160" s="48" t="s">
        <v>857</v>
      </c>
      <c r="P1160" s="50">
        <v>81343.31</v>
      </c>
      <c r="Q1160" s="50">
        <v>4.5848000064688499</v>
      </c>
      <c r="R1160" s="50">
        <v>372942.80821419763</v>
      </c>
      <c r="S1160" s="74">
        <v>45545</v>
      </c>
      <c r="T1160" s="48" t="s">
        <v>308</v>
      </c>
      <c r="U1160" s="48" t="s">
        <v>213</v>
      </c>
      <c r="V1160" s="48" t="s">
        <v>857</v>
      </c>
      <c r="W1160" s="48"/>
    </row>
    <row r="1161" spans="1:23" ht="15.75" x14ac:dyDescent="0.25">
      <c r="A1161" s="48" t="s">
        <v>61</v>
      </c>
      <c r="B1161" s="49">
        <v>45420</v>
      </c>
      <c r="C1161" s="48" t="s">
        <v>933</v>
      </c>
      <c r="D1161" s="48" t="s">
        <v>1186</v>
      </c>
      <c r="E1161" s="48" t="s">
        <v>856</v>
      </c>
      <c r="F1161" s="48" t="s">
        <v>62</v>
      </c>
      <c r="G1161" s="48" t="s">
        <v>63</v>
      </c>
      <c r="H1161" s="48" t="s">
        <v>27</v>
      </c>
      <c r="I1161" s="48" t="s">
        <v>64</v>
      </c>
      <c r="J1161" s="48" t="s">
        <v>65</v>
      </c>
      <c r="K1161" s="48" t="s">
        <v>66</v>
      </c>
      <c r="L1161" s="48" t="s">
        <v>1144</v>
      </c>
      <c r="M1161" s="48" t="s">
        <v>67</v>
      </c>
      <c r="N1161" s="48" t="s">
        <v>20</v>
      </c>
      <c r="O1161" s="48" t="s">
        <v>857</v>
      </c>
      <c r="P1161" s="50">
        <v>3598313.41</v>
      </c>
      <c r="Q1161" s="50">
        <v>4.12</v>
      </c>
      <c r="R1161" s="50">
        <v>14825051.249200001</v>
      </c>
      <c r="S1161" s="74">
        <v>45544</v>
      </c>
      <c r="T1161" s="48" t="s">
        <v>68</v>
      </c>
      <c r="U1161" s="48" t="s">
        <v>66</v>
      </c>
      <c r="V1161" s="48" t="s">
        <v>857</v>
      </c>
      <c r="W1161" s="48"/>
    </row>
    <row r="1162" spans="1:23" ht="15.75" x14ac:dyDescent="0.25">
      <c r="A1162" s="48" t="s">
        <v>267</v>
      </c>
      <c r="B1162" s="49">
        <v>45456</v>
      </c>
      <c r="C1162" s="48" t="s">
        <v>916</v>
      </c>
      <c r="D1162" s="48" t="s">
        <v>441</v>
      </c>
      <c r="E1162" s="48" t="s">
        <v>856</v>
      </c>
      <c r="F1162" s="48" t="s">
        <v>21</v>
      </c>
      <c r="G1162" s="48" t="s">
        <v>22</v>
      </c>
      <c r="H1162" s="48" t="s">
        <v>27</v>
      </c>
      <c r="I1162" s="48" t="s">
        <v>268</v>
      </c>
      <c r="J1162" s="48" t="s">
        <v>24</v>
      </c>
      <c r="K1162" s="48" t="s">
        <v>22</v>
      </c>
      <c r="L1162" s="48" t="s">
        <v>1132</v>
      </c>
      <c r="M1162" s="48" t="s">
        <v>26</v>
      </c>
      <c r="N1162" s="48" t="s">
        <v>20</v>
      </c>
      <c r="O1162" s="48" t="s">
        <v>857</v>
      </c>
      <c r="P1162" s="50">
        <v>3794618.02</v>
      </c>
      <c r="Q1162" s="50">
        <v>1</v>
      </c>
      <c r="R1162" s="50">
        <v>3794618.02</v>
      </c>
      <c r="S1162" s="74">
        <v>45539</v>
      </c>
      <c r="T1162" s="48" t="s">
        <v>917</v>
      </c>
      <c r="U1162" s="48" t="s">
        <v>22</v>
      </c>
      <c r="V1162" s="48" t="s">
        <v>857</v>
      </c>
      <c r="W1162" s="48"/>
    </row>
    <row r="1163" spans="1:23" ht="15.75" x14ac:dyDescent="0.25">
      <c r="A1163" s="48" t="s">
        <v>48</v>
      </c>
      <c r="B1163" s="49">
        <v>45456</v>
      </c>
      <c r="C1163" s="48" t="s">
        <v>918</v>
      </c>
      <c r="D1163" s="48" t="s">
        <v>441</v>
      </c>
      <c r="E1163" s="48" t="s">
        <v>856</v>
      </c>
      <c r="F1163" s="48" t="s">
        <v>21</v>
      </c>
      <c r="G1163" s="48" t="s">
        <v>22</v>
      </c>
      <c r="H1163" s="48" t="s">
        <v>27</v>
      </c>
      <c r="I1163" s="48" t="s">
        <v>49</v>
      </c>
      <c r="J1163" s="48" t="s">
        <v>24</v>
      </c>
      <c r="K1163" s="48" t="s">
        <v>22</v>
      </c>
      <c r="L1163" s="48" t="s">
        <v>1132</v>
      </c>
      <c r="M1163" s="48" t="s">
        <v>26</v>
      </c>
      <c r="N1163" s="48" t="s">
        <v>20</v>
      </c>
      <c r="O1163" s="48" t="s">
        <v>857</v>
      </c>
      <c r="P1163" s="50">
        <v>1150000</v>
      </c>
      <c r="Q1163" s="50">
        <v>1</v>
      </c>
      <c r="R1163" s="50">
        <v>1150000</v>
      </c>
      <c r="S1163" s="74">
        <v>45539</v>
      </c>
      <c r="T1163" s="48" t="s">
        <v>28</v>
      </c>
      <c r="U1163" s="48" t="s">
        <v>22</v>
      </c>
      <c r="V1163" s="48" t="s">
        <v>857</v>
      </c>
      <c r="W1163" s="48"/>
    </row>
    <row r="1164" spans="1:23" ht="15.75" x14ac:dyDescent="0.25">
      <c r="A1164" s="48" t="s">
        <v>264</v>
      </c>
      <c r="B1164" s="49">
        <v>45488</v>
      </c>
      <c r="C1164" s="48" t="s">
        <v>916</v>
      </c>
      <c r="D1164" s="48" t="s">
        <v>441</v>
      </c>
      <c r="E1164" s="48" t="s">
        <v>856</v>
      </c>
      <c r="F1164" s="48" t="s">
        <v>21</v>
      </c>
      <c r="G1164" s="48" t="s">
        <v>22</v>
      </c>
      <c r="H1164" s="48" t="s">
        <v>27</v>
      </c>
      <c r="I1164" s="48" t="s">
        <v>109</v>
      </c>
      <c r="J1164" s="48" t="s">
        <v>24</v>
      </c>
      <c r="K1164" s="48" t="s">
        <v>22</v>
      </c>
      <c r="L1164" s="48" t="s">
        <v>1132</v>
      </c>
      <c r="M1164" s="48" t="s">
        <v>26</v>
      </c>
      <c r="N1164" s="48" t="s">
        <v>20</v>
      </c>
      <c r="O1164" s="48" t="s">
        <v>857</v>
      </c>
      <c r="P1164" s="50">
        <v>977394</v>
      </c>
      <c r="Q1164" s="50">
        <v>1</v>
      </c>
      <c r="R1164" s="50">
        <v>977394</v>
      </c>
      <c r="S1164" s="74">
        <v>45536</v>
      </c>
      <c r="T1164" s="48" t="s">
        <v>917</v>
      </c>
      <c r="U1164" s="48" t="s">
        <v>22</v>
      </c>
      <c r="V1164" s="48" t="s">
        <v>857</v>
      </c>
      <c r="W1164" s="48"/>
    </row>
    <row r="1165" spans="1:23" ht="15.75" x14ac:dyDescent="0.25">
      <c r="A1165" s="48" t="s">
        <v>306</v>
      </c>
      <c r="B1165" s="49">
        <v>45509</v>
      </c>
      <c r="C1165" s="48" t="s">
        <v>961</v>
      </c>
      <c r="D1165" s="48" t="s">
        <v>1118</v>
      </c>
      <c r="E1165" s="48" t="s">
        <v>856</v>
      </c>
      <c r="F1165" s="48" t="s">
        <v>62</v>
      </c>
      <c r="G1165" s="48" t="s">
        <v>70</v>
      </c>
      <c r="H1165" s="48" t="s">
        <v>70</v>
      </c>
      <c r="I1165" s="48" t="s">
        <v>307</v>
      </c>
      <c r="J1165" s="48" t="s">
        <v>72</v>
      </c>
      <c r="K1165" s="48" t="s">
        <v>213</v>
      </c>
      <c r="L1165" s="48" t="s">
        <v>1134</v>
      </c>
      <c r="M1165" s="48" t="s">
        <v>67</v>
      </c>
      <c r="N1165" s="48" t="s">
        <v>20</v>
      </c>
      <c r="O1165" s="48" t="s">
        <v>857</v>
      </c>
      <c r="P1165" s="50">
        <v>420513.81</v>
      </c>
      <c r="Q1165" s="50">
        <v>4.5848000064688499</v>
      </c>
      <c r="R1165" s="50">
        <v>1927971.7188082407</v>
      </c>
      <c r="S1165" s="74">
        <v>45532</v>
      </c>
      <c r="T1165" s="48" t="s">
        <v>308</v>
      </c>
      <c r="U1165" s="48" t="s">
        <v>213</v>
      </c>
      <c r="V1165" s="48" t="s">
        <v>857</v>
      </c>
      <c r="W1165" s="48"/>
    </row>
    <row r="1166" spans="1:23" ht="15.75" x14ac:dyDescent="0.25">
      <c r="A1166" s="48" t="s">
        <v>269</v>
      </c>
      <c r="B1166" s="49">
        <v>45480</v>
      </c>
      <c r="C1166" s="48" t="s">
        <v>916</v>
      </c>
      <c r="D1166" s="48" t="s">
        <v>441</v>
      </c>
      <c r="E1166" s="48" t="s">
        <v>856</v>
      </c>
      <c r="F1166" s="48" t="s">
        <v>21</v>
      </c>
      <c r="G1166" s="48" t="s">
        <v>22</v>
      </c>
      <c r="H1166" s="48" t="s">
        <v>27</v>
      </c>
      <c r="I1166" s="48" t="s">
        <v>270</v>
      </c>
      <c r="J1166" s="48" t="s">
        <v>24</v>
      </c>
      <c r="K1166" s="48" t="s">
        <v>22</v>
      </c>
      <c r="L1166" s="48" t="s">
        <v>1132</v>
      </c>
      <c r="M1166" s="48" t="s">
        <v>26</v>
      </c>
      <c r="N1166" s="48" t="s">
        <v>20</v>
      </c>
      <c r="O1166" s="48" t="s">
        <v>857</v>
      </c>
      <c r="P1166" s="50">
        <v>500000</v>
      </c>
      <c r="Q1166" s="50">
        <v>1</v>
      </c>
      <c r="R1166" s="50">
        <v>500000</v>
      </c>
      <c r="S1166" s="74">
        <v>45532</v>
      </c>
      <c r="T1166" s="48" t="s">
        <v>917</v>
      </c>
      <c r="U1166" s="48" t="s">
        <v>22</v>
      </c>
      <c r="V1166" s="48" t="s">
        <v>857</v>
      </c>
      <c r="W1166" s="48"/>
    </row>
    <row r="1167" spans="1:23" ht="15.75" x14ac:dyDescent="0.25">
      <c r="A1167" s="48" t="s">
        <v>79</v>
      </c>
      <c r="B1167" s="49">
        <v>45448</v>
      </c>
      <c r="C1167" s="48" t="s">
        <v>918</v>
      </c>
      <c r="D1167" s="48" t="s">
        <v>1181</v>
      </c>
      <c r="E1167" s="48" t="s">
        <v>856</v>
      </c>
      <c r="F1167" s="48" t="s">
        <v>62</v>
      </c>
      <c r="G1167" s="48" t="s">
        <v>63</v>
      </c>
      <c r="H1167" s="48" t="s">
        <v>27</v>
      </c>
      <c r="I1167" s="48" t="s">
        <v>39</v>
      </c>
      <c r="J1167" s="48" t="s">
        <v>80</v>
      </c>
      <c r="K1167" s="48" t="s">
        <v>81</v>
      </c>
      <c r="L1167" s="48" t="s">
        <v>1139</v>
      </c>
      <c r="M1167" s="48" t="s">
        <v>26</v>
      </c>
      <c r="N1167" s="48" t="s">
        <v>20</v>
      </c>
      <c r="O1167" s="48" t="s">
        <v>857</v>
      </c>
      <c r="P1167" s="50">
        <v>3088362.42</v>
      </c>
      <c r="Q1167" s="50">
        <v>1</v>
      </c>
      <c r="R1167" s="50">
        <v>3088362.42</v>
      </c>
      <c r="S1167" s="74">
        <v>45531</v>
      </c>
      <c r="T1167" s="48" t="s">
        <v>917</v>
      </c>
      <c r="U1167" s="48" t="s">
        <v>377</v>
      </c>
      <c r="V1167" s="48" t="s">
        <v>857</v>
      </c>
      <c r="W1167" s="48"/>
    </row>
    <row r="1168" spans="1:23" ht="15.75" x14ac:dyDescent="0.25">
      <c r="A1168" s="48" t="s">
        <v>253</v>
      </c>
      <c r="B1168" s="49">
        <v>45481</v>
      </c>
      <c r="C1168" s="48" t="s">
        <v>920</v>
      </c>
      <c r="D1168" s="48" t="s">
        <v>1184</v>
      </c>
      <c r="E1168" s="48" t="s">
        <v>856</v>
      </c>
      <c r="F1168" s="48" t="s">
        <v>21</v>
      </c>
      <c r="G1168" s="48" t="s">
        <v>22</v>
      </c>
      <c r="H1168" s="48" t="s">
        <v>27</v>
      </c>
      <c r="I1168" s="48" t="s">
        <v>30</v>
      </c>
      <c r="J1168" s="48" t="s">
        <v>1791</v>
      </c>
      <c r="K1168" s="48" t="s">
        <v>22</v>
      </c>
      <c r="L1168" s="48" t="s">
        <v>1132</v>
      </c>
      <c r="M1168" s="48" t="s">
        <v>31</v>
      </c>
      <c r="N1168" s="48" t="s">
        <v>20</v>
      </c>
      <c r="O1168" s="48" t="s">
        <v>857</v>
      </c>
      <c r="P1168" s="50">
        <v>42345.86</v>
      </c>
      <c r="Q1168" s="50">
        <v>5.0199999999999996</v>
      </c>
      <c r="R1168" s="50">
        <v>212576.21719999998</v>
      </c>
      <c r="S1168" s="74">
        <v>45531</v>
      </c>
      <c r="T1168" s="48" t="s">
        <v>32</v>
      </c>
      <c r="U1168" s="48" t="s">
        <v>22</v>
      </c>
      <c r="V1168" s="48" t="s">
        <v>857</v>
      </c>
      <c r="W1168" s="48"/>
    </row>
    <row r="1169" spans="1:23" ht="15.75" x14ac:dyDescent="0.25">
      <c r="A1169" s="48" t="s">
        <v>253</v>
      </c>
      <c r="B1169" s="49">
        <v>45497</v>
      </c>
      <c r="C1169" s="48" t="s">
        <v>916</v>
      </c>
      <c r="D1169" s="48" t="s">
        <v>1184</v>
      </c>
      <c r="E1169" s="48" t="s">
        <v>856</v>
      </c>
      <c r="F1169" s="48" t="s">
        <v>21</v>
      </c>
      <c r="G1169" s="48" t="s">
        <v>22</v>
      </c>
      <c r="H1169" s="48" t="s">
        <v>27</v>
      </c>
      <c r="I1169" s="48" t="s">
        <v>30</v>
      </c>
      <c r="J1169" s="48" t="s">
        <v>1791</v>
      </c>
      <c r="K1169" s="48" t="s">
        <v>22</v>
      </c>
      <c r="L1169" s="48" t="s">
        <v>1132</v>
      </c>
      <c r="M1169" s="48" t="s">
        <v>31</v>
      </c>
      <c r="N1169" s="48" t="s">
        <v>20</v>
      </c>
      <c r="O1169" s="48" t="s">
        <v>857</v>
      </c>
      <c r="P1169" s="50">
        <v>76916.05</v>
      </c>
      <c r="Q1169" s="50">
        <v>5.1567999999999996</v>
      </c>
      <c r="R1169" s="50">
        <v>396640.68663999997</v>
      </c>
      <c r="S1169" s="74">
        <v>45531</v>
      </c>
      <c r="T1169" s="48" t="s">
        <v>32</v>
      </c>
      <c r="U1169" s="48" t="s">
        <v>22</v>
      </c>
      <c r="V1169" s="48" t="s">
        <v>857</v>
      </c>
      <c r="W1169" s="48"/>
    </row>
    <row r="1170" spans="1:23" ht="15.75" x14ac:dyDescent="0.25">
      <c r="A1170" s="48" t="s">
        <v>250</v>
      </c>
      <c r="B1170" s="49">
        <v>45487</v>
      </c>
      <c r="C1170" s="48" t="s">
        <v>931</v>
      </c>
      <c r="D1170" s="48" t="s">
        <v>1118</v>
      </c>
      <c r="E1170" s="48" t="s">
        <v>856</v>
      </c>
      <c r="F1170" s="48" t="s">
        <v>21</v>
      </c>
      <c r="G1170" s="48" t="s">
        <v>22</v>
      </c>
      <c r="H1170" s="48" t="s">
        <v>27</v>
      </c>
      <c r="I1170" s="48" t="s">
        <v>251</v>
      </c>
      <c r="J1170" s="48" t="s">
        <v>72</v>
      </c>
      <c r="K1170" s="48" t="s">
        <v>213</v>
      </c>
      <c r="L1170" s="48" t="s">
        <v>1134</v>
      </c>
      <c r="M1170" s="48" t="s">
        <v>67</v>
      </c>
      <c r="N1170" s="48" t="s">
        <v>20</v>
      </c>
      <c r="O1170" s="48" t="s">
        <v>857</v>
      </c>
      <c r="P1170" s="50">
        <v>21140.799999999999</v>
      </c>
      <c r="Q1170" s="50">
        <v>4.2571000000000003</v>
      </c>
      <c r="R1170" s="50">
        <v>89998.499680000008</v>
      </c>
      <c r="S1170" s="74">
        <v>45530</v>
      </c>
      <c r="T1170" s="48" t="s">
        <v>252</v>
      </c>
      <c r="U1170" s="48" t="s">
        <v>213</v>
      </c>
      <c r="V1170" s="48" t="s">
        <v>857</v>
      </c>
      <c r="W1170" s="48"/>
    </row>
    <row r="1171" spans="1:23" ht="15.75" x14ac:dyDescent="0.25">
      <c r="A1171" s="48" t="s">
        <v>271</v>
      </c>
      <c r="B1171" s="49">
        <v>45495</v>
      </c>
      <c r="C1171" s="48" t="s">
        <v>916</v>
      </c>
      <c r="D1171" s="48" t="s">
        <v>441</v>
      </c>
      <c r="E1171" s="48" t="s">
        <v>856</v>
      </c>
      <c r="F1171" s="48" t="s">
        <v>21</v>
      </c>
      <c r="G1171" s="48" t="s">
        <v>22</v>
      </c>
      <c r="H1171" s="48" t="s">
        <v>27</v>
      </c>
      <c r="I1171" s="48" t="s">
        <v>121</v>
      </c>
      <c r="J1171" s="48" t="s">
        <v>24</v>
      </c>
      <c r="K1171" s="48" t="s">
        <v>22</v>
      </c>
      <c r="L1171" s="48" t="s">
        <v>1132</v>
      </c>
      <c r="M1171" s="48" t="s">
        <v>26</v>
      </c>
      <c r="N1171" s="48" t="s">
        <v>20</v>
      </c>
      <c r="O1171" s="48" t="s">
        <v>857</v>
      </c>
      <c r="P1171" s="50">
        <v>700000</v>
      </c>
      <c r="Q1171" s="50">
        <v>1</v>
      </c>
      <c r="R1171" s="50">
        <v>700000</v>
      </c>
      <c r="S1171" s="74">
        <v>45529</v>
      </c>
      <c r="T1171" s="48" t="s">
        <v>917</v>
      </c>
      <c r="U1171" s="48" t="s">
        <v>22</v>
      </c>
      <c r="V1171" s="48" t="s">
        <v>857</v>
      </c>
      <c r="W1171" s="48"/>
    </row>
    <row r="1172" spans="1:23" ht="15.75" x14ac:dyDescent="0.25">
      <c r="A1172" s="48" t="s">
        <v>306</v>
      </c>
      <c r="B1172" s="49">
        <v>45509</v>
      </c>
      <c r="C1172" s="48" t="s">
        <v>962</v>
      </c>
      <c r="D1172" s="48" t="s">
        <v>1118</v>
      </c>
      <c r="E1172" s="48" t="s">
        <v>856</v>
      </c>
      <c r="F1172" s="48" t="s">
        <v>62</v>
      </c>
      <c r="G1172" s="48" t="s">
        <v>70</v>
      </c>
      <c r="H1172" s="48" t="s">
        <v>70</v>
      </c>
      <c r="I1172" s="48" t="s">
        <v>307</v>
      </c>
      <c r="J1172" s="48" t="s">
        <v>72</v>
      </c>
      <c r="K1172" s="48" t="s">
        <v>213</v>
      </c>
      <c r="L1172" s="48" t="s">
        <v>1134</v>
      </c>
      <c r="M1172" s="48" t="s">
        <v>67</v>
      </c>
      <c r="N1172" s="48" t="s">
        <v>20</v>
      </c>
      <c r="O1172" s="48" t="s">
        <v>857</v>
      </c>
      <c r="P1172" s="50">
        <v>516149.49</v>
      </c>
      <c r="Q1172" s="50">
        <v>4.5848000064688499</v>
      </c>
      <c r="R1172" s="50">
        <v>2366442.1850908934</v>
      </c>
      <c r="S1172" s="74">
        <v>45523</v>
      </c>
      <c r="T1172" s="48" t="s">
        <v>308</v>
      </c>
      <c r="U1172" s="48" t="s">
        <v>213</v>
      </c>
      <c r="V1172" s="48" t="s">
        <v>857</v>
      </c>
      <c r="W1172" s="48"/>
    </row>
    <row r="1173" spans="1:23" ht="15.75" x14ac:dyDescent="0.25">
      <c r="A1173" s="48" t="s">
        <v>253</v>
      </c>
      <c r="B1173" s="49">
        <v>45481</v>
      </c>
      <c r="C1173" s="48" t="s">
        <v>919</v>
      </c>
      <c r="D1173" s="48" t="s">
        <v>1184</v>
      </c>
      <c r="E1173" s="48" t="s">
        <v>856</v>
      </c>
      <c r="F1173" s="48" t="s">
        <v>21</v>
      </c>
      <c r="G1173" s="48" t="s">
        <v>22</v>
      </c>
      <c r="H1173" s="48" t="s">
        <v>27</v>
      </c>
      <c r="I1173" s="48" t="s">
        <v>30</v>
      </c>
      <c r="J1173" s="48" t="s">
        <v>1791</v>
      </c>
      <c r="K1173" s="48" t="s">
        <v>22</v>
      </c>
      <c r="L1173" s="48" t="s">
        <v>1132</v>
      </c>
      <c r="M1173" s="48" t="s">
        <v>31</v>
      </c>
      <c r="N1173" s="48" t="s">
        <v>20</v>
      </c>
      <c r="O1173" s="48" t="s">
        <v>857</v>
      </c>
      <c r="P1173" s="50">
        <v>89406.04</v>
      </c>
      <c r="Q1173" s="50">
        <v>4.5</v>
      </c>
      <c r="R1173" s="50">
        <v>402327.18</v>
      </c>
      <c r="S1173" s="74">
        <v>45521</v>
      </c>
      <c r="T1173" s="48" t="s">
        <v>32</v>
      </c>
      <c r="U1173" s="48" t="s">
        <v>22</v>
      </c>
      <c r="V1173" s="48" t="s">
        <v>857</v>
      </c>
      <c r="W1173" s="48"/>
    </row>
    <row r="1174" spans="1:23" ht="15.75" x14ac:dyDescent="0.25">
      <c r="A1174" s="48" t="s">
        <v>254</v>
      </c>
      <c r="B1174" s="49">
        <v>45497</v>
      </c>
      <c r="C1174" s="48" t="s">
        <v>929</v>
      </c>
      <c r="D1174" s="48" t="s">
        <v>1184</v>
      </c>
      <c r="E1174" s="48" t="s">
        <v>856</v>
      </c>
      <c r="F1174" s="48" t="s">
        <v>21</v>
      </c>
      <c r="G1174" s="48" t="s">
        <v>22</v>
      </c>
      <c r="H1174" s="48" t="s">
        <v>27</v>
      </c>
      <c r="I1174" s="48" t="s">
        <v>3623</v>
      </c>
      <c r="J1174" s="48" t="s">
        <v>1791</v>
      </c>
      <c r="K1174" s="48" t="s">
        <v>22</v>
      </c>
      <c r="L1174" s="48" t="s">
        <v>1132</v>
      </c>
      <c r="M1174" s="48" t="s">
        <v>67</v>
      </c>
      <c r="N1174" s="48" t="s">
        <v>20</v>
      </c>
      <c r="O1174" s="48" t="s">
        <v>857</v>
      </c>
      <c r="P1174" s="50">
        <v>209680.87</v>
      </c>
      <c r="Q1174" s="50">
        <v>4.1769999999999996</v>
      </c>
      <c r="R1174" s="50">
        <v>875836.99398999987</v>
      </c>
      <c r="S1174" s="74">
        <v>45520</v>
      </c>
      <c r="T1174" s="48" t="s">
        <v>255</v>
      </c>
      <c r="U1174" s="48" t="s">
        <v>22</v>
      </c>
      <c r="V1174" s="48" t="s">
        <v>857</v>
      </c>
      <c r="W1174" s="48"/>
    </row>
    <row r="1175" spans="1:23" ht="15.75" x14ac:dyDescent="0.25">
      <c r="A1175" s="48" t="s">
        <v>254</v>
      </c>
      <c r="B1175" s="49">
        <v>45508</v>
      </c>
      <c r="C1175" s="48" t="s">
        <v>930</v>
      </c>
      <c r="D1175" s="48" t="s">
        <v>1184</v>
      </c>
      <c r="E1175" s="48" t="s">
        <v>856</v>
      </c>
      <c r="F1175" s="48" t="s">
        <v>21</v>
      </c>
      <c r="G1175" s="48" t="s">
        <v>22</v>
      </c>
      <c r="H1175" s="48" t="s">
        <v>27</v>
      </c>
      <c r="I1175" s="48" t="s">
        <v>3623</v>
      </c>
      <c r="J1175" s="48" t="s">
        <v>1791</v>
      </c>
      <c r="K1175" s="48" t="s">
        <v>22</v>
      </c>
      <c r="L1175" s="48" t="s">
        <v>1132</v>
      </c>
      <c r="M1175" s="48" t="s">
        <v>67</v>
      </c>
      <c r="N1175" s="48" t="s">
        <v>20</v>
      </c>
      <c r="O1175" s="48" t="s">
        <v>857</v>
      </c>
      <c r="P1175" s="50">
        <v>209410.09</v>
      </c>
      <c r="Q1175" s="50">
        <v>4.0552000000000001</v>
      </c>
      <c r="R1175" s="50">
        <v>849199.79696800001</v>
      </c>
      <c r="S1175" s="74">
        <v>45520</v>
      </c>
      <c r="T1175" s="48" t="s">
        <v>255</v>
      </c>
      <c r="U1175" s="48" t="s">
        <v>22</v>
      </c>
      <c r="V1175" s="48" t="s">
        <v>857</v>
      </c>
      <c r="W1175" s="48"/>
    </row>
    <row r="1176" spans="1:23" ht="15.75" x14ac:dyDescent="0.25">
      <c r="A1176" s="48" t="s">
        <v>306</v>
      </c>
      <c r="B1176" s="49">
        <v>45516</v>
      </c>
      <c r="C1176" s="48" t="s">
        <v>963</v>
      </c>
      <c r="D1176" s="48" t="s">
        <v>1118</v>
      </c>
      <c r="E1176" s="48" t="s">
        <v>856</v>
      </c>
      <c r="F1176" s="48" t="s">
        <v>62</v>
      </c>
      <c r="G1176" s="48" t="s">
        <v>70</v>
      </c>
      <c r="H1176" s="48" t="s">
        <v>70</v>
      </c>
      <c r="I1176" s="48" t="s">
        <v>307</v>
      </c>
      <c r="J1176" s="48" t="s">
        <v>72</v>
      </c>
      <c r="K1176" s="48" t="s">
        <v>213</v>
      </c>
      <c r="L1176" s="48" t="s">
        <v>1134</v>
      </c>
      <c r="M1176" s="48" t="s">
        <v>67</v>
      </c>
      <c r="N1176" s="48" t="s">
        <v>20</v>
      </c>
      <c r="O1176" s="48" t="s">
        <v>857</v>
      </c>
      <c r="P1176" s="50">
        <v>5583.09</v>
      </c>
      <c r="Q1176" s="50">
        <v>4.5848000064688499</v>
      </c>
      <c r="R1176" s="50">
        <v>25597.351068116172</v>
      </c>
      <c r="S1176" s="74">
        <v>45519</v>
      </c>
      <c r="T1176" s="48" t="s">
        <v>308</v>
      </c>
      <c r="U1176" s="48" t="s">
        <v>213</v>
      </c>
      <c r="V1176" s="48" t="s">
        <v>857</v>
      </c>
      <c r="W1176" s="48"/>
    </row>
    <row r="1177" spans="1:23" ht="15.75" x14ac:dyDescent="0.25">
      <c r="A1177" s="48" t="s">
        <v>315</v>
      </c>
      <c r="B1177" s="49">
        <v>45515</v>
      </c>
      <c r="C1177" s="48" t="s">
        <v>933</v>
      </c>
      <c r="D1177" s="48" t="s">
        <v>1118</v>
      </c>
      <c r="E1177" s="48" t="s">
        <v>856</v>
      </c>
      <c r="F1177" s="48" t="s">
        <v>62</v>
      </c>
      <c r="G1177" s="48" t="s">
        <v>63</v>
      </c>
      <c r="H1177" s="48" t="s">
        <v>27</v>
      </c>
      <c r="I1177" s="48" t="s">
        <v>316</v>
      </c>
      <c r="J1177" s="48" t="s">
        <v>72</v>
      </c>
      <c r="K1177" s="48" t="s">
        <v>213</v>
      </c>
      <c r="L1177" s="48" t="s">
        <v>1134</v>
      </c>
      <c r="M1177" s="48" t="s">
        <v>191</v>
      </c>
      <c r="N1177" s="48" t="s">
        <v>20</v>
      </c>
      <c r="O1177" s="48" t="s">
        <v>857</v>
      </c>
      <c r="P1177" s="50">
        <v>2031982.52</v>
      </c>
      <c r="Q1177" s="50">
        <v>1.0276000000000001</v>
      </c>
      <c r="R1177" s="50">
        <v>2088065.2375520002</v>
      </c>
      <c r="S1177" s="74">
        <v>45519</v>
      </c>
      <c r="T1177" s="48" t="s">
        <v>917</v>
      </c>
      <c r="U1177" s="48" t="s">
        <v>213</v>
      </c>
      <c r="V1177" s="48" t="s">
        <v>857</v>
      </c>
      <c r="W1177" s="48"/>
    </row>
    <row r="1178" spans="1:23" ht="15.75" x14ac:dyDescent="0.25">
      <c r="A1178" s="48" t="s">
        <v>323</v>
      </c>
      <c r="B1178" s="49">
        <v>45518</v>
      </c>
      <c r="C1178" s="48" t="s">
        <v>918</v>
      </c>
      <c r="D1178" s="48" t="s">
        <v>1185</v>
      </c>
      <c r="E1178" s="48" t="s">
        <v>856</v>
      </c>
      <c r="F1178" s="48" t="s">
        <v>95</v>
      </c>
      <c r="G1178" s="48" t="s">
        <v>96</v>
      </c>
      <c r="H1178" s="48" t="s">
        <v>27</v>
      </c>
      <c r="I1178" s="48" t="s">
        <v>324</v>
      </c>
      <c r="J1178" s="48" t="s">
        <v>72</v>
      </c>
      <c r="K1178" s="48" t="s">
        <v>325</v>
      </c>
      <c r="L1178" s="48" t="s">
        <v>1157</v>
      </c>
      <c r="M1178" s="48" t="s">
        <v>67</v>
      </c>
      <c r="N1178" s="48" t="s">
        <v>20</v>
      </c>
      <c r="O1178" s="48" t="s">
        <v>857</v>
      </c>
      <c r="P1178" s="50">
        <v>103759.4151</v>
      </c>
      <c r="Q1178" s="50">
        <v>4.1500000000000004</v>
      </c>
      <c r="R1178" s="50">
        <v>430601.57266500004</v>
      </c>
      <c r="S1178" s="74">
        <v>45518</v>
      </c>
      <c r="T1178" s="48" t="s">
        <v>208</v>
      </c>
      <c r="U1178" s="48" t="s">
        <v>325</v>
      </c>
      <c r="V1178" s="48" t="s">
        <v>857</v>
      </c>
      <c r="W1178" s="48"/>
    </row>
    <row r="1179" spans="1:23" ht="15.75" x14ac:dyDescent="0.25">
      <c r="A1179" s="48" t="s">
        <v>306</v>
      </c>
      <c r="B1179" s="49">
        <v>45516</v>
      </c>
      <c r="C1179" s="48" t="s">
        <v>964</v>
      </c>
      <c r="D1179" s="48" t="s">
        <v>1118</v>
      </c>
      <c r="E1179" s="48" t="s">
        <v>856</v>
      </c>
      <c r="F1179" s="48" t="s">
        <v>62</v>
      </c>
      <c r="G1179" s="48" t="s">
        <v>70</v>
      </c>
      <c r="H1179" s="48" t="s">
        <v>70</v>
      </c>
      <c r="I1179" s="48" t="s">
        <v>307</v>
      </c>
      <c r="J1179" s="48" t="s">
        <v>72</v>
      </c>
      <c r="K1179" s="48" t="s">
        <v>213</v>
      </c>
      <c r="L1179" s="48" t="s">
        <v>1134</v>
      </c>
      <c r="M1179" s="48" t="s">
        <v>67</v>
      </c>
      <c r="N1179" s="48" t="s">
        <v>20</v>
      </c>
      <c r="O1179" s="48" t="s">
        <v>857</v>
      </c>
      <c r="P1179" s="50">
        <v>223130.76</v>
      </c>
      <c r="Q1179" s="50">
        <v>4.5848000064688499</v>
      </c>
      <c r="R1179" s="50">
        <v>1023009.9098913994</v>
      </c>
      <c r="S1179" s="74">
        <v>45518</v>
      </c>
      <c r="T1179" s="48" t="s">
        <v>308</v>
      </c>
      <c r="U1179" s="48" t="s">
        <v>213</v>
      </c>
      <c r="V1179" s="48" t="s">
        <v>857</v>
      </c>
      <c r="W1179" s="48"/>
    </row>
    <row r="1180" spans="1:23" ht="15.75" x14ac:dyDescent="0.25">
      <c r="A1180" s="48" t="s">
        <v>84</v>
      </c>
      <c r="B1180" s="49">
        <v>45497</v>
      </c>
      <c r="C1180" s="48" t="s">
        <v>918</v>
      </c>
      <c r="D1180" s="48" t="s">
        <v>509</v>
      </c>
      <c r="E1180" s="48" t="s">
        <v>856</v>
      </c>
      <c r="F1180" s="48" t="s">
        <v>62</v>
      </c>
      <c r="G1180" s="48" t="s">
        <v>63</v>
      </c>
      <c r="H1180" s="48" t="s">
        <v>27</v>
      </c>
      <c r="I1180" s="48" t="s">
        <v>85</v>
      </c>
      <c r="J1180" s="48" t="s">
        <v>72</v>
      </c>
      <c r="K1180" s="48" t="s">
        <v>304</v>
      </c>
      <c r="L1180" s="48" t="s">
        <v>1133</v>
      </c>
      <c r="M1180" s="48" t="s">
        <v>26</v>
      </c>
      <c r="N1180" s="48" t="s">
        <v>20</v>
      </c>
      <c r="O1180" s="48" t="s">
        <v>857</v>
      </c>
      <c r="P1180" s="50">
        <v>494270</v>
      </c>
      <c r="Q1180" s="50">
        <v>1</v>
      </c>
      <c r="R1180" s="50">
        <v>494270</v>
      </c>
      <c r="S1180" s="74">
        <v>45512</v>
      </c>
      <c r="T1180" s="48" t="s">
        <v>917</v>
      </c>
      <c r="U1180" s="48" t="s">
        <v>86</v>
      </c>
      <c r="V1180" s="48" t="s">
        <v>857</v>
      </c>
      <c r="W1180" s="48"/>
    </row>
    <row r="1181" spans="1:23" ht="15.75" x14ac:dyDescent="0.25">
      <c r="A1181" s="48" t="s">
        <v>315</v>
      </c>
      <c r="B1181" s="49">
        <v>45515</v>
      </c>
      <c r="C1181" s="48" t="s">
        <v>928</v>
      </c>
      <c r="D1181" s="48" t="s">
        <v>1118</v>
      </c>
      <c r="E1181" s="48" t="s">
        <v>856</v>
      </c>
      <c r="F1181" s="48" t="s">
        <v>62</v>
      </c>
      <c r="G1181" s="48" t="s">
        <v>63</v>
      </c>
      <c r="H1181" s="48" t="s">
        <v>27</v>
      </c>
      <c r="I1181" s="48" t="s">
        <v>316</v>
      </c>
      <c r="J1181" s="48" t="s">
        <v>72</v>
      </c>
      <c r="K1181" s="48" t="s">
        <v>213</v>
      </c>
      <c r="L1181" s="48" t="s">
        <v>1134</v>
      </c>
      <c r="M1181" s="48" t="s">
        <v>191</v>
      </c>
      <c r="N1181" s="48" t="s">
        <v>20</v>
      </c>
      <c r="O1181" s="48" t="s">
        <v>857</v>
      </c>
      <c r="P1181" s="50">
        <v>1793047.62</v>
      </c>
      <c r="Q1181" s="50">
        <v>1.0276000000000001</v>
      </c>
      <c r="R1181" s="50">
        <v>1842535.7343120002</v>
      </c>
      <c r="S1181" s="74">
        <v>45511</v>
      </c>
      <c r="T1181" s="48" t="s">
        <v>917</v>
      </c>
      <c r="U1181" s="48" t="s">
        <v>213</v>
      </c>
      <c r="V1181" s="48" t="s">
        <v>857</v>
      </c>
      <c r="W1181" s="48"/>
    </row>
    <row r="1182" spans="1:23" ht="15.75" x14ac:dyDescent="0.25">
      <c r="A1182" s="48" t="s">
        <v>29</v>
      </c>
      <c r="B1182" s="49">
        <v>45474</v>
      </c>
      <c r="C1182" s="48" t="s">
        <v>919</v>
      </c>
      <c r="D1182" s="48" t="s">
        <v>1184</v>
      </c>
      <c r="E1182" s="48" t="s">
        <v>856</v>
      </c>
      <c r="F1182" s="48" t="s">
        <v>21</v>
      </c>
      <c r="G1182" s="48" t="s">
        <v>22</v>
      </c>
      <c r="H1182" s="48" t="s">
        <v>27</v>
      </c>
      <c r="I1182" s="48" t="s">
        <v>30</v>
      </c>
      <c r="J1182" s="48" t="s">
        <v>1791</v>
      </c>
      <c r="K1182" s="48" t="s">
        <v>22</v>
      </c>
      <c r="L1182" s="48" t="s">
        <v>1132</v>
      </c>
      <c r="M1182" s="48" t="s">
        <v>31</v>
      </c>
      <c r="N1182" s="48" t="s">
        <v>20</v>
      </c>
      <c r="O1182" s="48" t="s">
        <v>857</v>
      </c>
      <c r="P1182" s="50">
        <v>106183.62</v>
      </c>
      <c r="Q1182" s="50">
        <v>4.835</v>
      </c>
      <c r="R1182" s="50">
        <v>513397.8027</v>
      </c>
      <c r="S1182" s="74">
        <v>45509</v>
      </c>
      <c r="T1182" s="48" t="s">
        <v>32</v>
      </c>
      <c r="U1182" s="48" t="s">
        <v>22</v>
      </c>
      <c r="V1182" s="48" t="s">
        <v>857</v>
      </c>
      <c r="W1182" s="48"/>
    </row>
    <row r="1183" spans="1:23" ht="15.75" x14ac:dyDescent="0.25">
      <c r="A1183" s="48" t="s">
        <v>323</v>
      </c>
      <c r="B1183" s="49">
        <v>45509</v>
      </c>
      <c r="C1183" s="48" t="s">
        <v>916</v>
      </c>
      <c r="D1183" s="48" t="s">
        <v>1185</v>
      </c>
      <c r="E1183" s="48" t="s">
        <v>856</v>
      </c>
      <c r="F1183" s="48" t="s">
        <v>95</v>
      </c>
      <c r="G1183" s="48" t="s">
        <v>96</v>
      </c>
      <c r="H1183" s="48" t="s">
        <v>27</v>
      </c>
      <c r="I1183" s="48" t="s">
        <v>324</v>
      </c>
      <c r="J1183" s="48" t="s">
        <v>72</v>
      </c>
      <c r="K1183" s="48" t="s">
        <v>325</v>
      </c>
      <c r="L1183" s="48" t="s">
        <v>1157</v>
      </c>
      <c r="M1183" s="48" t="s">
        <v>67</v>
      </c>
      <c r="N1183" s="48" t="s">
        <v>20</v>
      </c>
      <c r="O1183" s="48" t="s">
        <v>857</v>
      </c>
      <c r="P1183" s="50">
        <v>7911.36</v>
      </c>
      <c r="Q1183" s="50">
        <v>4.8499999999999996</v>
      </c>
      <c r="R1183" s="50">
        <v>38370.095999999998</v>
      </c>
      <c r="S1183" s="74">
        <v>45509</v>
      </c>
      <c r="T1183" s="48" t="s">
        <v>208</v>
      </c>
      <c r="U1183" s="48" t="s">
        <v>325</v>
      </c>
      <c r="V1183" s="48" t="s">
        <v>857</v>
      </c>
      <c r="W1183" s="48"/>
    </row>
    <row r="1184" spans="1:23" ht="15.75" x14ac:dyDescent="0.25">
      <c r="A1184" s="48" t="s">
        <v>79</v>
      </c>
      <c r="B1184" s="49">
        <v>45426</v>
      </c>
      <c r="C1184" s="48" t="s">
        <v>916</v>
      </c>
      <c r="D1184" s="48" t="s">
        <v>1181</v>
      </c>
      <c r="E1184" s="48" t="s">
        <v>856</v>
      </c>
      <c r="F1184" s="48" t="s">
        <v>62</v>
      </c>
      <c r="G1184" s="48" t="s">
        <v>63</v>
      </c>
      <c r="H1184" s="48" t="s">
        <v>27</v>
      </c>
      <c r="I1184" s="48" t="s">
        <v>39</v>
      </c>
      <c r="J1184" s="48" t="s">
        <v>80</v>
      </c>
      <c r="K1184" s="48" t="s">
        <v>81</v>
      </c>
      <c r="L1184" s="48" t="s">
        <v>1139</v>
      </c>
      <c r="M1184" s="48" t="s">
        <v>26</v>
      </c>
      <c r="N1184" s="48" t="s">
        <v>20</v>
      </c>
      <c r="O1184" s="48" t="s">
        <v>857</v>
      </c>
      <c r="P1184" s="50">
        <v>3933398.78</v>
      </c>
      <c r="Q1184" s="50">
        <v>1</v>
      </c>
      <c r="R1184" s="50">
        <v>3933398.78</v>
      </c>
      <c r="S1184" s="74">
        <v>45508</v>
      </c>
      <c r="T1184" s="48" t="s">
        <v>917</v>
      </c>
      <c r="U1184" s="48" t="s">
        <v>377</v>
      </c>
      <c r="V1184" s="48" t="s">
        <v>857</v>
      </c>
      <c r="W1184" s="48"/>
    </row>
    <row r="1185" spans="1:23" ht="15.75" x14ac:dyDescent="0.25">
      <c r="A1185" s="48" t="s">
        <v>58</v>
      </c>
      <c r="B1185" s="49">
        <v>45433</v>
      </c>
      <c r="C1185" s="48" t="s">
        <v>916</v>
      </c>
      <c r="D1185" s="48" t="s">
        <v>441</v>
      </c>
      <c r="E1185" s="48" t="s">
        <v>856</v>
      </c>
      <c r="F1185" s="48" t="s">
        <v>21</v>
      </c>
      <c r="G1185" s="48" t="s">
        <v>22</v>
      </c>
      <c r="H1185" s="48" t="s">
        <v>27</v>
      </c>
      <c r="I1185" s="48" t="s">
        <v>59</v>
      </c>
      <c r="J1185" s="48" t="s">
        <v>24</v>
      </c>
      <c r="K1185" s="48" t="s">
        <v>22</v>
      </c>
      <c r="L1185" s="48" t="s">
        <v>1132</v>
      </c>
      <c r="M1185" s="48" t="s">
        <v>26</v>
      </c>
      <c r="N1185" s="48" t="s">
        <v>20</v>
      </c>
      <c r="O1185" s="48" t="s">
        <v>857</v>
      </c>
      <c r="P1185" s="50">
        <v>376050</v>
      </c>
      <c r="Q1185" s="50">
        <v>1</v>
      </c>
      <c r="R1185" s="50">
        <v>376050</v>
      </c>
      <c r="S1185" s="74">
        <v>45507</v>
      </c>
      <c r="T1185" s="48" t="s">
        <v>28</v>
      </c>
      <c r="U1185" s="48" t="s">
        <v>22</v>
      </c>
      <c r="V1185" s="48" t="s">
        <v>857</v>
      </c>
      <c r="W1185" s="48"/>
    </row>
    <row r="1186" spans="1:23" ht="15.75" x14ac:dyDescent="0.25">
      <c r="A1186" s="48" t="s">
        <v>306</v>
      </c>
      <c r="B1186" s="49">
        <v>45475</v>
      </c>
      <c r="C1186" s="48" t="s">
        <v>965</v>
      </c>
      <c r="D1186" s="48" t="s">
        <v>1118</v>
      </c>
      <c r="E1186" s="48" t="s">
        <v>856</v>
      </c>
      <c r="F1186" s="48" t="s">
        <v>62</v>
      </c>
      <c r="G1186" s="48" t="s">
        <v>70</v>
      </c>
      <c r="H1186" s="48" t="s">
        <v>70</v>
      </c>
      <c r="I1186" s="48" t="s">
        <v>307</v>
      </c>
      <c r="J1186" s="48" t="s">
        <v>72</v>
      </c>
      <c r="K1186" s="48" t="s">
        <v>213</v>
      </c>
      <c r="L1186" s="48" t="s">
        <v>1134</v>
      </c>
      <c r="M1186" s="48" t="s">
        <v>67</v>
      </c>
      <c r="N1186" s="48" t="s">
        <v>20</v>
      </c>
      <c r="O1186" s="48" t="s">
        <v>857</v>
      </c>
      <c r="P1186" s="50">
        <v>918138.43</v>
      </c>
      <c r="Q1186" s="50">
        <v>4.5848000064688499</v>
      </c>
      <c r="R1186" s="50">
        <v>4209481.0798033001</v>
      </c>
      <c r="S1186" s="74">
        <v>45503</v>
      </c>
      <c r="T1186" s="48" t="s">
        <v>308</v>
      </c>
      <c r="U1186" s="48" t="s">
        <v>213</v>
      </c>
      <c r="V1186" s="48" t="s">
        <v>857</v>
      </c>
      <c r="W1186" s="48"/>
    </row>
    <row r="1187" spans="1:23" ht="15.75" x14ac:dyDescent="0.25">
      <c r="A1187" s="48" t="s">
        <v>99</v>
      </c>
      <c r="B1187" s="49">
        <v>45502</v>
      </c>
      <c r="C1187" s="48" t="s">
        <v>916</v>
      </c>
      <c r="D1187" s="48">
        <v>0</v>
      </c>
      <c r="E1187" s="48" t="s">
        <v>856</v>
      </c>
      <c r="F1187" s="48" t="s">
        <v>95</v>
      </c>
      <c r="G1187" s="48" t="s">
        <v>96</v>
      </c>
      <c r="H1187" s="48" t="s">
        <v>27</v>
      </c>
      <c r="I1187" s="48" t="s">
        <v>97</v>
      </c>
      <c r="J1187" s="48" t="s">
        <v>72</v>
      </c>
      <c r="K1187" s="48" t="s">
        <v>98</v>
      </c>
      <c r="L1187" s="48" t="s">
        <v>917</v>
      </c>
      <c r="M1187" s="48" t="s">
        <v>67</v>
      </c>
      <c r="N1187" s="48" t="s">
        <v>20</v>
      </c>
      <c r="O1187" s="48" t="s">
        <v>857</v>
      </c>
      <c r="P1187" s="50">
        <v>1004640</v>
      </c>
      <c r="Q1187" s="50">
        <v>4.2400400640000004</v>
      </c>
      <c r="R1187" s="50">
        <v>4259713.8498969609</v>
      </c>
      <c r="S1187" s="74">
        <v>45502</v>
      </c>
      <c r="T1187" s="48" t="s">
        <v>917</v>
      </c>
      <c r="U1187" s="48" t="s">
        <v>98</v>
      </c>
      <c r="V1187" s="48" t="s">
        <v>857</v>
      </c>
      <c r="W1187" s="48"/>
    </row>
    <row r="1188" spans="1:23" ht="15.75" x14ac:dyDescent="0.25">
      <c r="A1188" s="48" t="s">
        <v>306</v>
      </c>
      <c r="B1188" s="49">
        <v>45494</v>
      </c>
      <c r="C1188" s="48" t="s">
        <v>966</v>
      </c>
      <c r="D1188" s="48" t="s">
        <v>1118</v>
      </c>
      <c r="E1188" s="48" t="s">
        <v>856</v>
      </c>
      <c r="F1188" s="48" t="s">
        <v>62</v>
      </c>
      <c r="G1188" s="48" t="s">
        <v>70</v>
      </c>
      <c r="H1188" s="48" t="s">
        <v>70</v>
      </c>
      <c r="I1188" s="48" t="s">
        <v>307</v>
      </c>
      <c r="J1188" s="48" t="s">
        <v>72</v>
      </c>
      <c r="K1188" s="48" t="s">
        <v>213</v>
      </c>
      <c r="L1188" s="48" t="s">
        <v>1134</v>
      </c>
      <c r="M1188" s="48" t="s">
        <v>67</v>
      </c>
      <c r="N1188" s="48" t="s">
        <v>20</v>
      </c>
      <c r="O1188" s="48" t="s">
        <v>857</v>
      </c>
      <c r="P1188" s="50">
        <v>195201.6</v>
      </c>
      <c r="Q1188" s="50">
        <v>4.5848000064688499</v>
      </c>
      <c r="R1188" s="50">
        <v>894960.29694272985</v>
      </c>
      <c r="S1188" s="74">
        <v>45502</v>
      </c>
      <c r="T1188" s="48" t="s">
        <v>308</v>
      </c>
      <c r="U1188" s="48" t="s">
        <v>213</v>
      </c>
      <c r="V1188" s="48" t="s">
        <v>857</v>
      </c>
      <c r="W1188" s="48"/>
    </row>
    <row r="1189" spans="1:23" ht="15.75" x14ac:dyDescent="0.25">
      <c r="A1189" s="48" t="s">
        <v>254</v>
      </c>
      <c r="B1189" s="49">
        <v>45473</v>
      </c>
      <c r="C1189" s="48" t="s">
        <v>922</v>
      </c>
      <c r="D1189" s="48" t="s">
        <v>1184</v>
      </c>
      <c r="E1189" s="48" t="s">
        <v>856</v>
      </c>
      <c r="F1189" s="48" t="s">
        <v>21</v>
      </c>
      <c r="G1189" s="48" t="s">
        <v>22</v>
      </c>
      <c r="H1189" s="48" t="s">
        <v>27</v>
      </c>
      <c r="I1189" s="48" t="s">
        <v>3623</v>
      </c>
      <c r="J1189" s="48" t="s">
        <v>1791</v>
      </c>
      <c r="K1189" s="48" t="s">
        <v>22</v>
      </c>
      <c r="L1189" s="48" t="s">
        <v>1132</v>
      </c>
      <c r="M1189" s="48" t="s">
        <v>67</v>
      </c>
      <c r="N1189" s="48" t="s">
        <v>20</v>
      </c>
      <c r="O1189" s="48" t="s">
        <v>857</v>
      </c>
      <c r="P1189" s="50">
        <v>235663.31</v>
      </c>
      <c r="Q1189" s="50">
        <v>4.1020000000000003</v>
      </c>
      <c r="R1189" s="50">
        <v>966690.89762000006</v>
      </c>
      <c r="S1189" s="74">
        <v>45502</v>
      </c>
      <c r="T1189" s="48" t="s">
        <v>255</v>
      </c>
      <c r="U1189" s="48" t="s">
        <v>22</v>
      </c>
      <c r="V1189" s="48" t="s">
        <v>857</v>
      </c>
      <c r="W1189" s="48"/>
    </row>
    <row r="1190" spans="1:23" ht="15.75" x14ac:dyDescent="0.25">
      <c r="A1190" s="48" t="s">
        <v>306</v>
      </c>
      <c r="B1190" s="49">
        <v>45470</v>
      </c>
      <c r="C1190" s="48" t="s">
        <v>967</v>
      </c>
      <c r="D1190" s="48" t="s">
        <v>1118</v>
      </c>
      <c r="E1190" s="48" t="s">
        <v>858</v>
      </c>
      <c r="F1190" s="48" t="s">
        <v>62</v>
      </c>
      <c r="G1190" s="48" t="s">
        <v>70</v>
      </c>
      <c r="H1190" s="48" t="s">
        <v>70</v>
      </c>
      <c r="I1190" s="48" t="s">
        <v>307</v>
      </c>
      <c r="J1190" s="48" t="s">
        <v>72</v>
      </c>
      <c r="K1190" s="48" t="s">
        <v>213</v>
      </c>
      <c r="L1190" s="48" t="s">
        <v>1134</v>
      </c>
      <c r="M1190" s="48" t="s">
        <v>67</v>
      </c>
      <c r="N1190" s="48" t="s">
        <v>20</v>
      </c>
      <c r="O1190" s="48" t="s">
        <v>857</v>
      </c>
      <c r="P1190" s="50">
        <v>131091.01999999999</v>
      </c>
      <c r="Q1190" s="50">
        <v>4.5848000064688499</v>
      </c>
      <c r="R1190" s="50">
        <v>601026.10934400803</v>
      </c>
      <c r="S1190" s="74">
        <v>45501</v>
      </c>
      <c r="T1190" s="48" t="s">
        <v>308</v>
      </c>
      <c r="U1190" s="48" t="s">
        <v>213</v>
      </c>
      <c r="V1190" s="48" t="s">
        <v>857</v>
      </c>
      <c r="W1190" s="48"/>
    </row>
    <row r="1191" spans="1:23" ht="15.75" x14ac:dyDescent="0.25">
      <c r="A1191" s="48" t="s">
        <v>250</v>
      </c>
      <c r="B1191" s="49">
        <v>45481</v>
      </c>
      <c r="C1191" s="48" t="s">
        <v>930</v>
      </c>
      <c r="D1191" s="48" t="s">
        <v>1118</v>
      </c>
      <c r="E1191" s="48" t="s">
        <v>856</v>
      </c>
      <c r="F1191" s="48" t="s">
        <v>21</v>
      </c>
      <c r="G1191" s="48" t="s">
        <v>22</v>
      </c>
      <c r="H1191" s="48" t="s">
        <v>27</v>
      </c>
      <c r="I1191" s="48" t="s">
        <v>251</v>
      </c>
      <c r="J1191" s="48" t="s">
        <v>72</v>
      </c>
      <c r="K1191" s="48" t="s">
        <v>213</v>
      </c>
      <c r="L1191" s="48" t="s">
        <v>1134</v>
      </c>
      <c r="M1191" s="48" t="s">
        <v>67</v>
      </c>
      <c r="N1191" s="48" t="s">
        <v>20</v>
      </c>
      <c r="O1191" s="48" t="s">
        <v>857</v>
      </c>
      <c r="P1191" s="50">
        <v>330781.15999999997</v>
      </c>
      <c r="Q1191" s="50">
        <v>4.1020000000000003</v>
      </c>
      <c r="R1191" s="50">
        <v>1356864.3183200001</v>
      </c>
      <c r="S1191" s="74">
        <v>45501</v>
      </c>
      <c r="T1191" s="48" t="s">
        <v>252</v>
      </c>
      <c r="U1191" s="48" t="s">
        <v>213</v>
      </c>
      <c r="V1191" s="48" t="s">
        <v>857</v>
      </c>
      <c r="W1191" s="48"/>
    </row>
    <row r="1192" spans="1:23" ht="15.75" x14ac:dyDescent="0.25">
      <c r="A1192" s="48" t="s">
        <v>60</v>
      </c>
      <c r="B1192" s="49">
        <v>45431</v>
      </c>
      <c r="C1192" s="48" t="s">
        <v>916</v>
      </c>
      <c r="D1192" s="48" t="s">
        <v>441</v>
      </c>
      <c r="E1192" s="48" t="s">
        <v>856</v>
      </c>
      <c r="F1192" s="48" t="s">
        <v>21</v>
      </c>
      <c r="G1192" s="48" t="s">
        <v>22</v>
      </c>
      <c r="H1192" s="48" t="s">
        <v>27</v>
      </c>
      <c r="I1192" s="48" t="s">
        <v>43</v>
      </c>
      <c r="J1192" s="48" t="s">
        <v>24</v>
      </c>
      <c r="K1192" s="48" t="s">
        <v>22</v>
      </c>
      <c r="L1192" s="48" t="s">
        <v>1132</v>
      </c>
      <c r="M1192" s="48" t="s">
        <v>26</v>
      </c>
      <c r="N1192" s="48" t="s">
        <v>20</v>
      </c>
      <c r="O1192" s="48" t="s">
        <v>857</v>
      </c>
      <c r="P1192" s="50">
        <v>499320.68</v>
      </c>
      <c r="Q1192" s="50">
        <v>1</v>
      </c>
      <c r="R1192" s="50">
        <v>499320.68</v>
      </c>
      <c r="S1192" s="74">
        <v>45501</v>
      </c>
      <c r="T1192" s="48" t="s">
        <v>28</v>
      </c>
      <c r="U1192" s="48" t="s">
        <v>22</v>
      </c>
      <c r="V1192" s="48" t="s">
        <v>857</v>
      </c>
      <c r="W1192" s="48"/>
    </row>
    <row r="1193" spans="1:23" ht="15.75" x14ac:dyDescent="0.25">
      <c r="A1193" s="48" t="s">
        <v>42</v>
      </c>
      <c r="B1193" s="49">
        <v>45427</v>
      </c>
      <c r="C1193" s="48" t="s">
        <v>928</v>
      </c>
      <c r="D1193" s="48" t="s">
        <v>441</v>
      </c>
      <c r="E1193" s="48" t="s">
        <v>856</v>
      </c>
      <c r="F1193" s="48" t="s">
        <v>21</v>
      </c>
      <c r="G1193" s="48" t="s">
        <v>22</v>
      </c>
      <c r="H1193" s="48" t="s">
        <v>27</v>
      </c>
      <c r="I1193" s="48" t="s">
        <v>43</v>
      </c>
      <c r="J1193" s="48" t="s">
        <v>24</v>
      </c>
      <c r="K1193" s="48" t="s">
        <v>22</v>
      </c>
      <c r="L1193" s="48" t="s">
        <v>1132</v>
      </c>
      <c r="M1193" s="48" t="s">
        <v>26</v>
      </c>
      <c r="N1193" s="48" t="s">
        <v>20</v>
      </c>
      <c r="O1193" s="48" t="s">
        <v>857</v>
      </c>
      <c r="P1193" s="50">
        <v>225465.76</v>
      </c>
      <c r="Q1193" s="50">
        <v>1</v>
      </c>
      <c r="R1193" s="50">
        <v>225465.76</v>
      </c>
      <c r="S1193" s="74">
        <v>45500</v>
      </c>
      <c r="T1193" s="48" t="s">
        <v>28</v>
      </c>
      <c r="U1193" s="48" t="s">
        <v>22</v>
      </c>
      <c r="V1193" s="48" t="s">
        <v>857</v>
      </c>
      <c r="W1193" s="48"/>
    </row>
    <row r="1194" spans="1:23" ht="15.75" x14ac:dyDescent="0.25">
      <c r="A1194" s="48" t="s">
        <v>91</v>
      </c>
      <c r="B1194" s="49">
        <v>45498</v>
      </c>
      <c r="C1194" s="48" t="s">
        <v>928</v>
      </c>
      <c r="D1194" s="48" t="s">
        <v>1118</v>
      </c>
      <c r="E1194" s="48" t="s">
        <v>856</v>
      </c>
      <c r="F1194" s="48" t="s">
        <v>62</v>
      </c>
      <c r="G1194" s="48" t="s">
        <v>63</v>
      </c>
      <c r="H1194" s="48" t="s">
        <v>27</v>
      </c>
      <c r="I1194" s="48" t="s">
        <v>71</v>
      </c>
      <c r="J1194" s="48" t="s">
        <v>72</v>
      </c>
      <c r="K1194" s="48" t="s">
        <v>213</v>
      </c>
      <c r="L1194" s="48" t="s">
        <v>1134</v>
      </c>
      <c r="M1194" s="48" t="s">
        <v>67</v>
      </c>
      <c r="N1194" s="48" t="s">
        <v>20</v>
      </c>
      <c r="O1194" s="48" t="s">
        <v>857</v>
      </c>
      <c r="P1194" s="50">
        <v>169483.37</v>
      </c>
      <c r="Q1194" s="50">
        <v>4.1020000000000003</v>
      </c>
      <c r="R1194" s="50">
        <v>695220.78373999998</v>
      </c>
      <c r="S1194" s="74">
        <v>45500</v>
      </c>
      <c r="T1194" s="48" t="s">
        <v>917</v>
      </c>
      <c r="U1194" s="48" t="s">
        <v>213</v>
      </c>
      <c r="V1194" s="48" t="s">
        <v>857</v>
      </c>
      <c r="W1194" s="48"/>
    </row>
    <row r="1195" spans="1:23" ht="15.75" x14ac:dyDescent="0.25">
      <c r="A1195" s="48" t="s">
        <v>260</v>
      </c>
      <c r="B1195" s="49">
        <v>45497</v>
      </c>
      <c r="C1195" s="48" t="s">
        <v>924</v>
      </c>
      <c r="D1195" s="48" t="s">
        <v>1181</v>
      </c>
      <c r="E1195" s="48" t="s">
        <v>856</v>
      </c>
      <c r="F1195" s="48" t="s">
        <v>21</v>
      </c>
      <c r="G1195" s="48" t="s">
        <v>22</v>
      </c>
      <c r="H1195" s="48" t="s">
        <v>70</v>
      </c>
      <c r="I1195" s="48" t="s">
        <v>261</v>
      </c>
      <c r="J1195" s="48" t="s">
        <v>80</v>
      </c>
      <c r="K1195" s="48" t="s">
        <v>81</v>
      </c>
      <c r="L1195" s="48" t="s">
        <v>1139</v>
      </c>
      <c r="M1195" s="48" t="s">
        <v>26</v>
      </c>
      <c r="N1195" s="48" t="s">
        <v>20</v>
      </c>
      <c r="O1195" s="48" t="s">
        <v>857</v>
      </c>
      <c r="P1195" s="50">
        <v>275027.8</v>
      </c>
      <c r="Q1195" s="50">
        <v>1</v>
      </c>
      <c r="R1195" s="50">
        <v>275027.8</v>
      </c>
      <c r="S1195" s="74">
        <v>45498</v>
      </c>
      <c r="T1195" s="48" t="s">
        <v>917</v>
      </c>
      <c r="U1195" s="48" t="s">
        <v>377</v>
      </c>
      <c r="V1195" s="48" t="s">
        <v>857</v>
      </c>
      <c r="W1195" s="48"/>
    </row>
    <row r="1196" spans="1:23" ht="15.75" x14ac:dyDescent="0.25">
      <c r="A1196" s="48" t="s">
        <v>306</v>
      </c>
      <c r="B1196" s="49">
        <v>45475</v>
      </c>
      <c r="C1196" s="48" t="s">
        <v>968</v>
      </c>
      <c r="D1196" s="48" t="s">
        <v>1118</v>
      </c>
      <c r="E1196" s="48" t="s">
        <v>856</v>
      </c>
      <c r="F1196" s="48" t="s">
        <v>62</v>
      </c>
      <c r="G1196" s="48" t="s">
        <v>70</v>
      </c>
      <c r="H1196" s="48" t="s">
        <v>70</v>
      </c>
      <c r="I1196" s="48" t="s">
        <v>307</v>
      </c>
      <c r="J1196" s="48" t="s">
        <v>72</v>
      </c>
      <c r="K1196" s="48" t="s">
        <v>213</v>
      </c>
      <c r="L1196" s="48" t="s">
        <v>1134</v>
      </c>
      <c r="M1196" s="48" t="s">
        <v>67</v>
      </c>
      <c r="N1196" s="48" t="s">
        <v>20</v>
      </c>
      <c r="O1196" s="48" t="s">
        <v>857</v>
      </c>
      <c r="P1196" s="50">
        <v>723023.24</v>
      </c>
      <c r="Q1196" s="50">
        <v>4.5848000064688499</v>
      </c>
      <c r="R1196" s="50">
        <v>3314916.9554291288</v>
      </c>
      <c r="S1196" s="74">
        <v>45495</v>
      </c>
      <c r="T1196" s="48" t="s">
        <v>308</v>
      </c>
      <c r="U1196" s="48" t="s">
        <v>213</v>
      </c>
      <c r="V1196" s="48" t="s">
        <v>857</v>
      </c>
      <c r="W1196" s="48"/>
    </row>
    <row r="1197" spans="1:23" ht="15.75" x14ac:dyDescent="0.25">
      <c r="A1197" s="48" t="s">
        <v>84</v>
      </c>
      <c r="B1197" s="49">
        <v>45456</v>
      </c>
      <c r="C1197" s="48" t="s">
        <v>916</v>
      </c>
      <c r="D1197" s="48" t="s">
        <v>509</v>
      </c>
      <c r="E1197" s="48" t="s">
        <v>856</v>
      </c>
      <c r="F1197" s="48" t="s">
        <v>62</v>
      </c>
      <c r="G1197" s="48" t="s">
        <v>63</v>
      </c>
      <c r="H1197" s="48" t="s">
        <v>27</v>
      </c>
      <c r="I1197" s="48" t="s">
        <v>85</v>
      </c>
      <c r="J1197" s="48" t="s">
        <v>72</v>
      </c>
      <c r="K1197" s="48" t="s">
        <v>304</v>
      </c>
      <c r="L1197" s="48" t="s">
        <v>1133</v>
      </c>
      <c r="M1197" s="48" t="s">
        <v>26</v>
      </c>
      <c r="N1197" s="48" t="s">
        <v>20</v>
      </c>
      <c r="O1197" s="48" t="s">
        <v>857</v>
      </c>
      <c r="P1197" s="50">
        <v>2191210</v>
      </c>
      <c r="Q1197" s="50">
        <v>1</v>
      </c>
      <c r="R1197" s="50">
        <v>2191210</v>
      </c>
      <c r="S1197" s="74">
        <v>45487</v>
      </c>
      <c r="T1197" s="48" t="s">
        <v>917</v>
      </c>
      <c r="U1197" s="48" t="s">
        <v>86</v>
      </c>
      <c r="V1197" s="48" t="s">
        <v>857</v>
      </c>
      <c r="W1197" s="48"/>
    </row>
    <row r="1198" spans="1:23" ht="15.75" x14ac:dyDescent="0.25">
      <c r="A1198" s="48" t="s">
        <v>44</v>
      </c>
      <c r="B1198" s="49">
        <v>45439</v>
      </c>
      <c r="C1198" s="48" t="s">
        <v>916</v>
      </c>
      <c r="D1198" s="48" t="s">
        <v>441</v>
      </c>
      <c r="E1198" s="48" t="s">
        <v>856</v>
      </c>
      <c r="F1198" s="48" t="s">
        <v>21</v>
      </c>
      <c r="G1198" s="48" t="s">
        <v>22</v>
      </c>
      <c r="H1198" s="48" t="s">
        <v>27</v>
      </c>
      <c r="I1198" s="48" t="s">
        <v>45</v>
      </c>
      <c r="J1198" s="48" t="s">
        <v>24</v>
      </c>
      <c r="K1198" s="48" t="s">
        <v>22</v>
      </c>
      <c r="L1198" s="48" t="s">
        <v>1132</v>
      </c>
      <c r="M1198" s="48" t="s">
        <v>26</v>
      </c>
      <c r="N1198" s="48" t="s">
        <v>20</v>
      </c>
      <c r="O1198" s="48" t="s">
        <v>857</v>
      </c>
      <c r="P1198" s="50">
        <v>1951487.53</v>
      </c>
      <c r="Q1198" s="50">
        <v>1</v>
      </c>
      <c r="R1198" s="50">
        <v>1951487.53</v>
      </c>
      <c r="S1198" s="74">
        <v>45487</v>
      </c>
      <c r="T1198" s="48" t="s">
        <v>35</v>
      </c>
      <c r="U1198" s="48" t="s">
        <v>22</v>
      </c>
      <c r="V1198" s="48" t="s">
        <v>857</v>
      </c>
      <c r="W1198" s="48"/>
    </row>
    <row r="1199" spans="1:23" ht="15.75" x14ac:dyDescent="0.25">
      <c r="A1199" s="48" t="s">
        <v>315</v>
      </c>
      <c r="B1199" s="49">
        <v>45481</v>
      </c>
      <c r="C1199" s="48" t="s">
        <v>924</v>
      </c>
      <c r="D1199" s="48" t="s">
        <v>1118</v>
      </c>
      <c r="E1199" s="48" t="s">
        <v>856</v>
      </c>
      <c r="F1199" s="48" t="s">
        <v>62</v>
      </c>
      <c r="G1199" s="48" t="s">
        <v>63</v>
      </c>
      <c r="H1199" s="48" t="s">
        <v>27</v>
      </c>
      <c r="I1199" s="48" t="s">
        <v>316</v>
      </c>
      <c r="J1199" s="48" t="s">
        <v>72</v>
      </c>
      <c r="K1199" s="48" t="s">
        <v>213</v>
      </c>
      <c r="L1199" s="48" t="s">
        <v>1134</v>
      </c>
      <c r="M1199" s="48" t="s">
        <v>191</v>
      </c>
      <c r="N1199" s="48" t="s">
        <v>20</v>
      </c>
      <c r="O1199" s="48" t="s">
        <v>857</v>
      </c>
      <c r="P1199" s="50">
        <v>1393590.24</v>
      </c>
      <c r="Q1199" s="50">
        <v>1.0275000000000001</v>
      </c>
      <c r="R1199" s="50">
        <v>1431913.9716</v>
      </c>
      <c r="S1199" s="74">
        <v>45482</v>
      </c>
      <c r="T1199" s="48" t="s">
        <v>917</v>
      </c>
      <c r="U1199" s="48" t="s">
        <v>213</v>
      </c>
      <c r="V1199" s="48" t="s">
        <v>857</v>
      </c>
      <c r="W1199" s="48"/>
    </row>
    <row r="1200" spans="1:23" ht="15.75" x14ac:dyDescent="0.25">
      <c r="A1200" s="48" t="s">
        <v>306</v>
      </c>
      <c r="B1200" s="49">
        <v>45468</v>
      </c>
      <c r="C1200" s="48" t="s">
        <v>970</v>
      </c>
      <c r="D1200" s="48" t="s">
        <v>1118</v>
      </c>
      <c r="E1200" s="48" t="s">
        <v>856</v>
      </c>
      <c r="F1200" s="48" t="s">
        <v>62</v>
      </c>
      <c r="G1200" s="48" t="s">
        <v>70</v>
      </c>
      <c r="H1200" s="48" t="s">
        <v>70</v>
      </c>
      <c r="I1200" s="48" t="s">
        <v>307</v>
      </c>
      <c r="J1200" s="48" t="s">
        <v>72</v>
      </c>
      <c r="K1200" s="48" t="s">
        <v>213</v>
      </c>
      <c r="L1200" s="48" t="s">
        <v>1134</v>
      </c>
      <c r="M1200" s="48" t="s">
        <v>67</v>
      </c>
      <c r="N1200" s="48" t="s">
        <v>20</v>
      </c>
      <c r="O1200" s="48" t="s">
        <v>857</v>
      </c>
      <c r="P1200" s="50">
        <v>318418.49</v>
      </c>
      <c r="Q1200" s="50">
        <v>4.5848000064688499</v>
      </c>
      <c r="R1200" s="50">
        <v>1459885.0950118015</v>
      </c>
      <c r="S1200" s="74">
        <v>45481</v>
      </c>
      <c r="T1200" s="48" t="s">
        <v>308</v>
      </c>
      <c r="U1200" s="48" t="s">
        <v>213</v>
      </c>
      <c r="V1200" s="48" t="s">
        <v>857</v>
      </c>
      <c r="W1200" s="48"/>
    </row>
    <row r="1201" spans="1:23" ht="15.75" x14ac:dyDescent="0.25">
      <c r="A1201" s="48" t="s">
        <v>29</v>
      </c>
      <c r="B1201" s="49">
        <v>45446</v>
      </c>
      <c r="C1201" s="48" t="s">
        <v>920</v>
      </c>
      <c r="D1201" s="48" t="s">
        <v>1184</v>
      </c>
      <c r="E1201" s="48" t="s">
        <v>856</v>
      </c>
      <c r="F1201" s="48" t="s">
        <v>21</v>
      </c>
      <c r="G1201" s="48" t="s">
        <v>22</v>
      </c>
      <c r="H1201" s="48" t="s">
        <v>27</v>
      </c>
      <c r="I1201" s="48" t="s">
        <v>30</v>
      </c>
      <c r="J1201" s="48" t="s">
        <v>1791</v>
      </c>
      <c r="K1201" s="48" t="s">
        <v>22</v>
      </c>
      <c r="L1201" s="48" t="s">
        <v>1132</v>
      </c>
      <c r="M1201" s="48" t="s">
        <v>31</v>
      </c>
      <c r="N1201" s="48" t="s">
        <v>20</v>
      </c>
      <c r="O1201" s="48" t="s">
        <v>857</v>
      </c>
      <c r="P1201" s="50">
        <v>254506.55</v>
      </c>
      <c r="Q1201" s="50">
        <v>4.8499999999999996</v>
      </c>
      <c r="R1201" s="50">
        <v>1234356.7674999998</v>
      </c>
      <c r="S1201" s="74">
        <v>45481</v>
      </c>
      <c r="T1201" s="48" t="s">
        <v>32</v>
      </c>
      <c r="U1201" s="48" t="s">
        <v>22</v>
      </c>
      <c r="V1201" s="48" t="s">
        <v>857</v>
      </c>
      <c r="W1201" s="48"/>
    </row>
    <row r="1202" spans="1:23" ht="15.75" x14ac:dyDescent="0.25">
      <c r="A1202" s="48" t="s">
        <v>306</v>
      </c>
      <c r="B1202" s="49">
        <v>45468</v>
      </c>
      <c r="C1202" s="48" t="s">
        <v>969</v>
      </c>
      <c r="D1202" s="48" t="s">
        <v>1118</v>
      </c>
      <c r="E1202" s="48" t="s">
        <v>856</v>
      </c>
      <c r="F1202" s="48" t="s">
        <v>62</v>
      </c>
      <c r="G1202" s="48" t="s">
        <v>70</v>
      </c>
      <c r="H1202" s="48" t="s">
        <v>70</v>
      </c>
      <c r="I1202" s="48" t="s">
        <v>307</v>
      </c>
      <c r="J1202" s="48" t="s">
        <v>72</v>
      </c>
      <c r="K1202" s="48" t="s">
        <v>213</v>
      </c>
      <c r="L1202" s="48" t="s">
        <v>1134</v>
      </c>
      <c r="M1202" s="48" t="s">
        <v>67</v>
      </c>
      <c r="N1202" s="48" t="s">
        <v>20</v>
      </c>
      <c r="O1202" s="48" t="s">
        <v>857</v>
      </c>
      <c r="P1202" s="50">
        <v>283517.90999999997</v>
      </c>
      <c r="Q1202" s="50">
        <v>4.5848000064688499</v>
      </c>
      <c r="R1202" s="50">
        <v>1299872.9156020347</v>
      </c>
      <c r="S1202" s="74">
        <v>45481</v>
      </c>
      <c r="T1202" s="48" t="s">
        <v>308</v>
      </c>
      <c r="U1202" s="48" t="s">
        <v>213</v>
      </c>
      <c r="V1202" s="48" t="s">
        <v>857</v>
      </c>
      <c r="W1202" s="48"/>
    </row>
    <row r="1203" spans="1:23" ht="15.75" x14ac:dyDescent="0.25">
      <c r="A1203" s="48" t="s">
        <v>253</v>
      </c>
      <c r="B1203" s="49">
        <v>45449</v>
      </c>
      <c r="C1203" s="48" t="s">
        <v>921</v>
      </c>
      <c r="D1203" s="48" t="s">
        <v>1184</v>
      </c>
      <c r="E1203" s="48" t="s">
        <v>856</v>
      </c>
      <c r="F1203" s="48" t="s">
        <v>21</v>
      </c>
      <c r="G1203" s="48" t="s">
        <v>22</v>
      </c>
      <c r="H1203" s="48" t="s">
        <v>27</v>
      </c>
      <c r="I1203" s="48" t="s">
        <v>30</v>
      </c>
      <c r="J1203" s="48" t="s">
        <v>1791</v>
      </c>
      <c r="K1203" s="48" t="s">
        <v>22</v>
      </c>
      <c r="L1203" s="48" t="s">
        <v>1132</v>
      </c>
      <c r="M1203" s="48" t="s">
        <v>31</v>
      </c>
      <c r="N1203" s="48" t="s">
        <v>20</v>
      </c>
      <c r="O1203" s="48" t="s">
        <v>857</v>
      </c>
      <c r="P1203" s="50">
        <v>63953.67</v>
      </c>
      <c r="Q1203" s="50">
        <v>4.8499999999999996</v>
      </c>
      <c r="R1203" s="50">
        <v>310175.29949999996</v>
      </c>
      <c r="S1203" s="74">
        <v>45481</v>
      </c>
      <c r="T1203" s="48" t="s">
        <v>32</v>
      </c>
      <c r="U1203" s="48" t="s">
        <v>22</v>
      </c>
      <c r="V1203" s="48" t="s">
        <v>857</v>
      </c>
      <c r="W1203" s="48"/>
    </row>
    <row r="1204" spans="1:23" ht="15.75" x14ac:dyDescent="0.25">
      <c r="A1204" s="48" t="s">
        <v>56</v>
      </c>
      <c r="B1204" s="49">
        <v>45479</v>
      </c>
      <c r="C1204" s="48" t="s">
        <v>916</v>
      </c>
      <c r="D1204" s="48" t="s">
        <v>441</v>
      </c>
      <c r="E1204" s="48" t="s">
        <v>856</v>
      </c>
      <c r="F1204" s="48" t="s">
        <v>21</v>
      </c>
      <c r="G1204" s="48" t="s">
        <v>22</v>
      </c>
      <c r="H1204" s="48" t="s">
        <v>27</v>
      </c>
      <c r="I1204" s="48" t="s">
        <v>57</v>
      </c>
      <c r="J1204" s="48" t="s">
        <v>24</v>
      </c>
      <c r="K1204" s="48" t="s">
        <v>22</v>
      </c>
      <c r="L1204" s="48" t="s">
        <v>1132</v>
      </c>
      <c r="M1204" s="48" t="s">
        <v>26</v>
      </c>
      <c r="N1204" s="48" t="s">
        <v>20</v>
      </c>
      <c r="O1204" s="48" t="s">
        <v>857</v>
      </c>
      <c r="P1204" s="50">
        <v>4530823.74</v>
      </c>
      <c r="Q1204" s="50">
        <v>1</v>
      </c>
      <c r="R1204" s="50">
        <v>4530823.74</v>
      </c>
      <c r="S1204" s="74">
        <v>45479</v>
      </c>
      <c r="T1204" s="48" t="s">
        <v>28</v>
      </c>
      <c r="U1204" s="48" t="s">
        <v>22</v>
      </c>
      <c r="V1204" s="48" t="s">
        <v>857</v>
      </c>
      <c r="W1204" s="48"/>
    </row>
    <row r="1205" spans="1:23" ht="15.75" x14ac:dyDescent="0.25">
      <c r="A1205" s="48" t="s">
        <v>40</v>
      </c>
      <c r="B1205" s="49">
        <v>45067</v>
      </c>
      <c r="C1205" s="48" t="s">
        <v>928</v>
      </c>
      <c r="D1205" s="48" t="s">
        <v>441</v>
      </c>
      <c r="E1205" s="48" t="s">
        <v>856</v>
      </c>
      <c r="F1205" s="48" t="s">
        <v>21</v>
      </c>
      <c r="G1205" s="48" t="s">
        <v>22</v>
      </c>
      <c r="H1205" s="48" t="s">
        <v>27</v>
      </c>
      <c r="I1205" s="48" t="s">
        <v>41</v>
      </c>
      <c r="J1205" s="48" t="s">
        <v>24</v>
      </c>
      <c r="K1205" s="48" t="s">
        <v>22</v>
      </c>
      <c r="L1205" s="48" t="s">
        <v>1132</v>
      </c>
      <c r="M1205" s="48" t="s">
        <v>26</v>
      </c>
      <c r="N1205" s="48" t="s">
        <v>20</v>
      </c>
      <c r="O1205" s="48" t="s">
        <v>857</v>
      </c>
      <c r="P1205" s="50">
        <v>834302</v>
      </c>
      <c r="Q1205" s="50">
        <v>1</v>
      </c>
      <c r="R1205" s="50">
        <v>834302</v>
      </c>
      <c r="S1205" s="74">
        <v>45472</v>
      </c>
      <c r="T1205" s="48" t="s">
        <v>35</v>
      </c>
      <c r="U1205" s="48" t="s">
        <v>22</v>
      </c>
      <c r="V1205" s="48" t="s">
        <v>857</v>
      </c>
      <c r="W1205" s="48"/>
    </row>
    <row r="1206" spans="1:23" ht="15.75" x14ac:dyDescent="0.25">
      <c r="A1206" s="48" t="s">
        <v>19</v>
      </c>
      <c r="B1206" s="49">
        <v>45406</v>
      </c>
      <c r="C1206" s="48" t="s">
        <v>916</v>
      </c>
      <c r="D1206" s="48" t="s">
        <v>1182</v>
      </c>
      <c r="E1206" s="48" t="s">
        <v>856</v>
      </c>
      <c r="F1206" s="48" t="s">
        <v>21</v>
      </c>
      <c r="G1206" s="48" t="s">
        <v>22</v>
      </c>
      <c r="H1206" s="48" t="s">
        <v>27</v>
      </c>
      <c r="I1206" s="48" t="s">
        <v>23</v>
      </c>
      <c r="J1206" s="48" t="s">
        <v>24</v>
      </c>
      <c r="K1206" s="48" t="s">
        <v>25</v>
      </c>
      <c r="L1206" s="48" t="s">
        <v>1138</v>
      </c>
      <c r="M1206" s="48" t="s">
        <v>26</v>
      </c>
      <c r="N1206" s="48" t="s">
        <v>20</v>
      </c>
      <c r="O1206" s="48" t="s">
        <v>857</v>
      </c>
      <c r="P1206" s="50">
        <v>2765061.47</v>
      </c>
      <c r="Q1206" s="50">
        <v>1</v>
      </c>
      <c r="R1206" s="50">
        <v>2765061.47</v>
      </c>
      <c r="S1206" s="74">
        <v>45472</v>
      </c>
      <c r="T1206" s="48" t="s">
        <v>28</v>
      </c>
      <c r="U1206" s="48" t="s">
        <v>25</v>
      </c>
      <c r="V1206" s="48" t="s">
        <v>857</v>
      </c>
      <c r="W1206" s="48"/>
    </row>
    <row r="1207" spans="1:23" ht="15.75" x14ac:dyDescent="0.25">
      <c r="A1207" s="48" t="s">
        <v>253</v>
      </c>
      <c r="B1207" s="49">
        <v>45426</v>
      </c>
      <c r="C1207" s="48" t="s">
        <v>926</v>
      </c>
      <c r="D1207" s="48" t="s">
        <v>1184</v>
      </c>
      <c r="E1207" s="48" t="s">
        <v>856</v>
      </c>
      <c r="F1207" s="48" t="s">
        <v>21</v>
      </c>
      <c r="G1207" s="48" t="s">
        <v>22</v>
      </c>
      <c r="H1207" s="48" t="s">
        <v>27</v>
      </c>
      <c r="I1207" s="48" t="s">
        <v>30</v>
      </c>
      <c r="J1207" s="48" t="s">
        <v>1791</v>
      </c>
      <c r="K1207" s="48" t="s">
        <v>22</v>
      </c>
      <c r="L1207" s="48" t="s">
        <v>1132</v>
      </c>
      <c r="M1207" s="48" t="s">
        <v>31</v>
      </c>
      <c r="N1207" s="48" t="s">
        <v>20</v>
      </c>
      <c r="O1207" s="48" t="s">
        <v>857</v>
      </c>
      <c r="P1207" s="50">
        <v>472690</v>
      </c>
      <c r="Q1207" s="50">
        <v>4.8100065159999996</v>
      </c>
      <c r="R1207" s="50">
        <v>2273641.9800480399</v>
      </c>
      <c r="S1207" s="74">
        <v>45471</v>
      </c>
      <c r="T1207" s="48" t="s">
        <v>32</v>
      </c>
      <c r="U1207" s="48" t="s">
        <v>22</v>
      </c>
      <c r="V1207" s="48" t="s">
        <v>857</v>
      </c>
      <c r="W1207" s="48"/>
    </row>
    <row r="1208" spans="1:23" ht="15.75" x14ac:dyDescent="0.25">
      <c r="A1208" s="48" t="s">
        <v>260</v>
      </c>
      <c r="B1208" s="49">
        <v>45453</v>
      </c>
      <c r="C1208" s="48" t="s">
        <v>918</v>
      </c>
      <c r="D1208" s="48" t="s">
        <v>1181</v>
      </c>
      <c r="E1208" s="48" t="s">
        <v>856</v>
      </c>
      <c r="F1208" s="48" t="s">
        <v>21</v>
      </c>
      <c r="G1208" s="48" t="s">
        <v>22</v>
      </c>
      <c r="H1208" s="48" t="s">
        <v>70</v>
      </c>
      <c r="I1208" s="48" t="s">
        <v>261</v>
      </c>
      <c r="J1208" s="48" t="s">
        <v>80</v>
      </c>
      <c r="K1208" s="48" t="s">
        <v>81</v>
      </c>
      <c r="L1208" s="48" t="s">
        <v>1139</v>
      </c>
      <c r="M1208" s="48" t="s">
        <v>26</v>
      </c>
      <c r="N1208" s="48" t="s">
        <v>20</v>
      </c>
      <c r="O1208" s="48" t="s">
        <v>857</v>
      </c>
      <c r="P1208" s="50">
        <v>176755.45</v>
      </c>
      <c r="Q1208" s="50">
        <v>1</v>
      </c>
      <c r="R1208" s="50">
        <v>176755.45</v>
      </c>
      <c r="S1208" s="74">
        <v>45470</v>
      </c>
      <c r="T1208" s="48" t="s">
        <v>917</v>
      </c>
      <c r="U1208" s="48" t="s">
        <v>377</v>
      </c>
      <c r="V1208" s="48" t="s">
        <v>857</v>
      </c>
      <c r="W1208" s="48"/>
    </row>
    <row r="1209" spans="1:23" ht="15.75" x14ac:dyDescent="0.25">
      <c r="A1209" s="48" t="s">
        <v>94</v>
      </c>
      <c r="B1209" s="49">
        <v>45468</v>
      </c>
      <c r="C1209" s="48" t="s">
        <v>916</v>
      </c>
      <c r="D1209" s="48">
        <v>0</v>
      </c>
      <c r="E1209" s="48" t="s">
        <v>856</v>
      </c>
      <c r="F1209" s="48" t="s">
        <v>95</v>
      </c>
      <c r="G1209" s="48" t="s">
        <v>96</v>
      </c>
      <c r="H1209" s="48" t="s">
        <v>27</v>
      </c>
      <c r="I1209" s="48" t="s">
        <v>97</v>
      </c>
      <c r="J1209" s="48" t="s">
        <v>72</v>
      </c>
      <c r="K1209" s="48" t="s">
        <v>98</v>
      </c>
      <c r="L1209" s="48" t="s">
        <v>917</v>
      </c>
      <c r="M1209" s="48" t="s">
        <v>67</v>
      </c>
      <c r="N1209" s="48" t="s">
        <v>20</v>
      </c>
      <c r="O1209" s="48" t="s">
        <v>857</v>
      </c>
      <c r="P1209" s="50">
        <v>2009280</v>
      </c>
      <c r="Q1209" s="50">
        <v>4.0294433830000003</v>
      </c>
      <c r="R1209" s="50">
        <v>8096280.0005942406</v>
      </c>
      <c r="S1209" s="74">
        <v>45468</v>
      </c>
      <c r="T1209" s="48" t="s">
        <v>917</v>
      </c>
      <c r="U1209" s="48" t="s">
        <v>98</v>
      </c>
      <c r="V1209" s="48" t="s">
        <v>857</v>
      </c>
      <c r="W1209" s="48"/>
    </row>
    <row r="1210" spans="1:23" ht="15.75" x14ac:dyDescent="0.25">
      <c r="A1210" s="48" t="s">
        <v>250</v>
      </c>
      <c r="B1210" s="49">
        <v>45427</v>
      </c>
      <c r="C1210" s="48" t="s">
        <v>933</v>
      </c>
      <c r="D1210" s="48" t="s">
        <v>1118</v>
      </c>
      <c r="E1210" s="48" t="s">
        <v>856</v>
      </c>
      <c r="F1210" s="48" t="s">
        <v>21</v>
      </c>
      <c r="G1210" s="48" t="s">
        <v>22</v>
      </c>
      <c r="H1210" s="48" t="s">
        <v>27</v>
      </c>
      <c r="I1210" s="48" t="s">
        <v>251</v>
      </c>
      <c r="J1210" s="48" t="s">
        <v>72</v>
      </c>
      <c r="K1210" s="48" t="s">
        <v>213</v>
      </c>
      <c r="L1210" s="48" t="s">
        <v>1134</v>
      </c>
      <c r="M1210" s="48" t="s">
        <v>67</v>
      </c>
      <c r="N1210" s="48" t="s">
        <v>20</v>
      </c>
      <c r="O1210" s="48" t="s">
        <v>857</v>
      </c>
      <c r="P1210" s="50">
        <v>36293.08</v>
      </c>
      <c r="Q1210" s="50">
        <v>4.1050000000000004</v>
      </c>
      <c r="R1210" s="50">
        <v>148983.09340000001</v>
      </c>
      <c r="S1210" s="74">
        <v>45467</v>
      </c>
      <c r="T1210" s="48" t="s">
        <v>252</v>
      </c>
      <c r="U1210" s="48" t="s">
        <v>213</v>
      </c>
      <c r="V1210" s="48" t="s">
        <v>857</v>
      </c>
      <c r="W1210" s="48"/>
    </row>
    <row r="1211" spans="1:23" ht="15.75" x14ac:dyDescent="0.25">
      <c r="A1211" s="48" t="s">
        <v>253</v>
      </c>
      <c r="B1211" s="49">
        <v>45426</v>
      </c>
      <c r="C1211" s="48" t="s">
        <v>927</v>
      </c>
      <c r="D1211" s="48" t="s">
        <v>1184</v>
      </c>
      <c r="E1211" s="48" t="s">
        <v>856</v>
      </c>
      <c r="F1211" s="48" t="s">
        <v>21</v>
      </c>
      <c r="G1211" s="48" t="s">
        <v>22</v>
      </c>
      <c r="H1211" s="48" t="s">
        <v>27</v>
      </c>
      <c r="I1211" s="48" t="s">
        <v>30</v>
      </c>
      <c r="J1211" s="48" t="s">
        <v>1791</v>
      </c>
      <c r="K1211" s="48" t="s">
        <v>22</v>
      </c>
      <c r="L1211" s="48" t="s">
        <v>1132</v>
      </c>
      <c r="M1211" s="48" t="s">
        <v>31</v>
      </c>
      <c r="N1211" s="48" t="s">
        <v>20</v>
      </c>
      <c r="O1211" s="48" t="s">
        <v>857</v>
      </c>
      <c r="P1211" s="50">
        <v>518516.52</v>
      </c>
      <c r="Q1211" s="50">
        <v>4.8</v>
      </c>
      <c r="R1211" s="50">
        <v>2488879.2960000001</v>
      </c>
      <c r="S1211" s="74">
        <v>45465</v>
      </c>
      <c r="T1211" s="48" t="s">
        <v>32</v>
      </c>
      <c r="U1211" s="48" t="s">
        <v>22</v>
      </c>
      <c r="V1211" s="48" t="s">
        <v>857</v>
      </c>
      <c r="W1211" s="48"/>
    </row>
    <row r="1212" spans="1:23" ht="15.75" x14ac:dyDescent="0.25">
      <c r="A1212" s="48" t="s">
        <v>253</v>
      </c>
      <c r="B1212" s="49">
        <v>45426</v>
      </c>
      <c r="C1212" s="48" t="s">
        <v>931</v>
      </c>
      <c r="D1212" s="48" t="s">
        <v>1184</v>
      </c>
      <c r="E1212" s="48" t="s">
        <v>856</v>
      </c>
      <c r="F1212" s="48" t="s">
        <v>21</v>
      </c>
      <c r="G1212" s="48" t="s">
        <v>22</v>
      </c>
      <c r="H1212" s="48" t="s">
        <v>27</v>
      </c>
      <c r="I1212" s="48" t="s">
        <v>30</v>
      </c>
      <c r="J1212" s="48" t="s">
        <v>1791</v>
      </c>
      <c r="K1212" s="48" t="s">
        <v>22</v>
      </c>
      <c r="L1212" s="48" t="s">
        <v>1132</v>
      </c>
      <c r="M1212" s="48" t="s">
        <v>31</v>
      </c>
      <c r="N1212" s="48" t="s">
        <v>20</v>
      </c>
      <c r="O1212" s="48" t="s">
        <v>857</v>
      </c>
      <c r="P1212" s="50">
        <v>2398.66</v>
      </c>
      <c r="Q1212" s="50">
        <v>4.8</v>
      </c>
      <c r="R1212" s="50">
        <v>11513.567999999999</v>
      </c>
      <c r="S1212" s="74">
        <v>45463</v>
      </c>
      <c r="T1212" s="48" t="s">
        <v>32</v>
      </c>
      <c r="U1212" s="48" t="s">
        <v>22</v>
      </c>
      <c r="V1212" s="48" t="s">
        <v>857</v>
      </c>
      <c r="W1212" s="48"/>
    </row>
    <row r="1213" spans="1:23" ht="15.75" x14ac:dyDescent="0.25">
      <c r="A1213" s="48" t="s">
        <v>29</v>
      </c>
      <c r="B1213" s="49">
        <v>45418</v>
      </c>
      <c r="C1213" s="48" t="s">
        <v>926</v>
      </c>
      <c r="D1213" s="48" t="s">
        <v>1184</v>
      </c>
      <c r="E1213" s="48" t="s">
        <v>856</v>
      </c>
      <c r="F1213" s="48" t="s">
        <v>21</v>
      </c>
      <c r="G1213" s="48" t="s">
        <v>22</v>
      </c>
      <c r="H1213" s="48" t="s">
        <v>27</v>
      </c>
      <c r="I1213" s="48" t="s">
        <v>30</v>
      </c>
      <c r="J1213" s="48" t="s">
        <v>1791</v>
      </c>
      <c r="K1213" s="48" t="s">
        <v>22</v>
      </c>
      <c r="L1213" s="48" t="s">
        <v>1132</v>
      </c>
      <c r="M1213" s="48" t="s">
        <v>31</v>
      </c>
      <c r="N1213" s="48" t="s">
        <v>20</v>
      </c>
      <c r="O1213" s="48" t="s">
        <v>857</v>
      </c>
      <c r="P1213" s="50">
        <v>3301.56</v>
      </c>
      <c r="Q1213" s="50">
        <v>4.8</v>
      </c>
      <c r="R1213" s="50">
        <v>15847.487999999999</v>
      </c>
      <c r="S1213" s="74">
        <v>45463</v>
      </c>
      <c r="T1213" s="48" t="s">
        <v>32</v>
      </c>
      <c r="U1213" s="48" t="s">
        <v>22</v>
      </c>
      <c r="V1213" s="48" t="s">
        <v>857</v>
      </c>
      <c r="W1213" s="48"/>
    </row>
    <row r="1214" spans="1:23" ht="15.75" x14ac:dyDescent="0.25">
      <c r="A1214" s="48" t="s">
        <v>306</v>
      </c>
      <c r="B1214" s="49">
        <v>45447</v>
      </c>
      <c r="C1214" s="48" t="s">
        <v>971</v>
      </c>
      <c r="D1214" s="48" t="s">
        <v>1118</v>
      </c>
      <c r="E1214" s="48" t="s">
        <v>856</v>
      </c>
      <c r="F1214" s="48" t="s">
        <v>62</v>
      </c>
      <c r="G1214" s="48" t="s">
        <v>70</v>
      </c>
      <c r="H1214" s="48" t="s">
        <v>70</v>
      </c>
      <c r="I1214" s="48" t="s">
        <v>307</v>
      </c>
      <c r="J1214" s="48" t="s">
        <v>72</v>
      </c>
      <c r="K1214" s="48" t="s">
        <v>213</v>
      </c>
      <c r="L1214" s="48" t="s">
        <v>1134</v>
      </c>
      <c r="M1214" s="48" t="s">
        <v>67</v>
      </c>
      <c r="N1214" s="48" t="s">
        <v>20</v>
      </c>
      <c r="O1214" s="48" t="s">
        <v>857</v>
      </c>
      <c r="P1214" s="50">
        <v>3545690.77</v>
      </c>
      <c r="Q1214" s="50">
        <v>4.5848000064688499</v>
      </c>
      <c r="R1214" s="50">
        <v>16256283.065232541</v>
      </c>
      <c r="S1214" s="74">
        <v>45460</v>
      </c>
      <c r="T1214" s="48" t="s">
        <v>308</v>
      </c>
      <c r="U1214" s="48" t="s">
        <v>213</v>
      </c>
      <c r="V1214" s="48" t="s">
        <v>857</v>
      </c>
      <c r="W1214" s="48"/>
    </row>
    <row r="1215" spans="1:23" ht="15.75" x14ac:dyDescent="0.25">
      <c r="A1215" s="48" t="s">
        <v>29</v>
      </c>
      <c r="B1215" s="49">
        <v>45418</v>
      </c>
      <c r="C1215" s="48" t="s">
        <v>921</v>
      </c>
      <c r="D1215" s="48" t="s">
        <v>1184</v>
      </c>
      <c r="E1215" s="48" t="s">
        <v>856</v>
      </c>
      <c r="F1215" s="48" t="s">
        <v>21</v>
      </c>
      <c r="G1215" s="48" t="s">
        <v>22</v>
      </c>
      <c r="H1215" s="48" t="s">
        <v>27</v>
      </c>
      <c r="I1215" s="48" t="s">
        <v>30</v>
      </c>
      <c r="J1215" s="48" t="s">
        <v>1791</v>
      </c>
      <c r="K1215" s="48" t="s">
        <v>22</v>
      </c>
      <c r="L1215" s="48" t="s">
        <v>1132</v>
      </c>
      <c r="M1215" s="48" t="s">
        <v>31</v>
      </c>
      <c r="N1215" s="48" t="s">
        <v>20</v>
      </c>
      <c r="O1215" s="48" t="s">
        <v>857</v>
      </c>
      <c r="P1215" s="50">
        <v>105787.57</v>
      </c>
      <c r="Q1215" s="50">
        <v>4.8</v>
      </c>
      <c r="R1215" s="50">
        <v>507780.33600000001</v>
      </c>
      <c r="S1215" s="74">
        <v>45460</v>
      </c>
      <c r="T1215" s="48" t="s">
        <v>32</v>
      </c>
      <c r="U1215" s="48" t="s">
        <v>22</v>
      </c>
      <c r="V1215" s="48" t="s">
        <v>857</v>
      </c>
      <c r="W1215" s="48"/>
    </row>
    <row r="1216" spans="1:23" ht="15.75" x14ac:dyDescent="0.25">
      <c r="A1216" s="48" t="s">
        <v>258</v>
      </c>
      <c r="B1216" s="49">
        <v>45364</v>
      </c>
      <c r="C1216" s="48" t="s">
        <v>916</v>
      </c>
      <c r="D1216" s="48" t="s">
        <v>441</v>
      </c>
      <c r="E1216" s="48" t="s">
        <v>856</v>
      </c>
      <c r="F1216" s="48" t="s">
        <v>21</v>
      </c>
      <c r="G1216" s="48" t="s">
        <v>22</v>
      </c>
      <c r="H1216" s="48" t="s">
        <v>27</v>
      </c>
      <c r="I1216" s="48" t="s">
        <v>259</v>
      </c>
      <c r="J1216" s="48" t="s">
        <v>24</v>
      </c>
      <c r="K1216" s="48" t="s">
        <v>22</v>
      </c>
      <c r="L1216" s="48" t="s">
        <v>1132</v>
      </c>
      <c r="M1216" s="48" t="s">
        <v>26</v>
      </c>
      <c r="N1216" s="48" t="s">
        <v>20</v>
      </c>
      <c r="O1216" s="48" t="s">
        <v>857</v>
      </c>
      <c r="P1216" s="50">
        <v>1200000</v>
      </c>
      <c r="Q1216" s="50">
        <v>1</v>
      </c>
      <c r="R1216" s="50">
        <v>1200000</v>
      </c>
      <c r="S1216" s="74">
        <v>45455</v>
      </c>
      <c r="T1216" s="48" t="s">
        <v>117</v>
      </c>
      <c r="U1216" s="48" t="s">
        <v>22</v>
      </c>
      <c r="V1216" s="48" t="s">
        <v>857</v>
      </c>
      <c r="W1216" s="48"/>
    </row>
    <row r="1217" spans="1:23" ht="15.75" x14ac:dyDescent="0.25">
      <c r="A1217" s="48" t="s">
        <v>254</v>
      </c>
      <c r="B1217" s="49">
        <v>45434</v>
      </c>
      <c r="C1217" s="48" t="s">
        <v>933</v>
      </c>
      <c r="D1217" s="48" t="s">
        <v>1184</v>
      </c>
      <c r="E1217" s="48" t="s">
        <v>856</v>
      </c>
      <c r="F1217" s="48" t="s">
        <v>21</v>
      </c>
      <c r="G1217" s="48" t="s">
        <v>22</v>
      </c>
      <c r="H1217" s="48" t="s">
        <v>27</v>
      </c>
      <c r="I1217" s="48" t="s">
        <v>3623</v>
      </c>
      <c r="J1217" s="48" t="s">
        <v>1791</v>
      </c>
      <c r="K1217" s="48" t="s">
        <v>22</v>
      </c>
      <c r="L1217" s="48" t="s">
        <v>1132</v>
      </c>
      <c r="M1217" s="48" t="s">
        <v>67</v>
      </c>
      <c r="N1217" s="48" t="s">
        <v>20</v>
      </c>
      <c r="O1217" s="48" t="s">
        <v>857</v>
      </c>
      <c r="P1217" s="50">
        <v>656828.56999999995</v>
      </c>
      <c r="Q1217" s="50">
        <v>4.1006999999999998</v>
      </c>
      <c r="R1217" s="50">
        <v>2693456.9169989997</v>
      </c>
      <c r="S1217" s="74">
        <v>45455</v>
      </c>
      <c r="T1217" s="48" t="s">
        <v>255</v>
      </c>
      <c r="U1217" s="48" t="s">
        <v>22</v>
      </c>
      <c r="V1217" s="48" t="s">
        <v>857</v>
      </c>
      <c r="W1217" s="48"/>
    </row>
    <row r="1218" spans="1:23" ht="15.75" x14ac:dyDescent="0.25">
      <c r="A1218" s="48" t="s">
        <v>88</v>
      </c>
      <c r="B1218" s="49">
        <v>45454</v>
      </c>
      <c r="C1218" s="48" t="s">
        <v>916</v>
      </c>
      <c r="D1218" s="48" t="s">
        <v>1182</v>
      </c>
      <c r="E1218" s="48" t="s">
        <v>856</v>
      </c>
      <c r="F1218" s="48" t="s">
        <v>62</v>
      </c>
      <c r="G1218" s="48" t="s">
        <v>63</v>
      </c>
      <c r="H1218" s="48" t="s">
        <v>27</v>
      </c>
      <c r="I1218" s="48" t="s">
        <v>89</v>
      </c>
      <c r="J1218" s="48" t="s">
        <v>80</v>
      </c>
      <c r="K1218" s="48" t="s">
        <v>90</v>
      </c>
      <c r="L1218" s="48" t="s">
        <v>1141</v>
      </c>
      <c r="M1218" s="48" t="s">
        <v>26</v>
      </c>
      <c r="N1218" s="48" t="s">
        <v>20</v>
      </c>
      <c r="O1218" s="48" t="s">
        <v>857</v>
      </c>
      <c r="P1218" s="50">
        <v>2815565.86</v>
      </c>
      <c r="Q1218" s="50">
        <v>1</v>
      </c>
      <c r="R1218" s="50">
        <v>2815565.86</v>
      </c>
      <c r="S1218" s="74">
        <v>45454</v>
      </c>
      <c r="T1218" s="48" t="s">
        <v>917</v>
      </c>
      <c r="U1218" s="48" t="s">
        <v>90</v>
      </c>
      <c r="V1218" s="48" t="s">
        <v>857</v>
      </c>
      <c r="W1218" s="48"/>
    </row>
    <row r="1219" spans="1:23" ht="15.75" x14ac:dyDescent="0.25">
      <c r="A1219" s="48" t="s">
        <v>315</v>
      </c>
      <c r="B1219" s="49">
        <v>45438</v>
      </c>
      <c r="C1219" s="48" t="s">
        <v>918</v>
      </c>
      <c r="D1219" s="48" t="s">
        <v>1118</v>
      </c>
      <c r="E1219" s="48" t="s">
        <v>856</v>
      </c>
      <c r="F1219" s="48" t="s">
        <v>62</v>
      </c>
      <c r="G1219" s="48" t="s">
        <v>63</v>
      </c>
      <c r="H1219" s="48" t="s">
        <v>27</v>
      </c>
      <c r="I1219" s="48" t="s">
        <v>316</v>
      </c>
      <c r="J1219" s="48" t="s">
        <v>72</v>
      </c>
      <c r="K1219" s="48" t="s">
        <v>213</v>
      </c>
      <c r="L1219" s="48" t="s">
        <v>1134</v>
      </c>
      <c r="M1219" s="48" t="s">
        <v>191</v>
      </c>
      <c r="N1219" s="48" t="s">
        <v>20</v>
      </c>
      <c r="O1219" s="48" t="s">
        <v>857</v>
      </c>
      <c r="P1219" s="50">
        <v>9578724.6300000008</v>
      </c>
      <c r="Q1219" s="50">
        <v>1.02</v>
      </c>
      <c r="R1219" s="50">
        <v>9770299.1226000004</v>
      </c>
      <c r="S1219" s="74">
        <v>45453</v>
      </c>
      <c r="T1219" s="48" t="s">
        <v>917</v>
      </c>
      <c r="U1219" s="48" t="s">
        <v>213</v>
      </c>
      <c r="V1219" s="48" t="s">
        <v>857</v>
      </c>
      <c r="W1219" s="48"/>
    </row>
    <row r="1220" spans="1:23" ht="15.75" x14ac:dyDescent="0.25">
      <c r="A1220" s="48" t="s">
        <v>306</v>
      </c>
      <c r="B1220" s="49">
        <v>45442</v>
      </c>
      <c r="C1220" s="48" t="s">
        <v>972</v>
      </c>
      <c r="D1220" s="48" t="s">
        <v>1118</v>
      </c>
      <c r="E1220" s="48" t="s">
        <v>856</v>
      </c>
      <c r="F1220" s="48" t="s">
        <v>62</v>
      </c>
      <c r="G1220" s="48" t="s">
        <v>70</v>
      </c>
      <c r="H1220" s="48" t="s">
        <v>70</v>
      </c>
      <c r="I1220" s="48" t="s">
        <v>307</v>
      </c>
      <c r="J1220" s="48" t="s">
        <v>72</v>
      </c>
      <c r="K1220" s="48" t="s">
        <v>213</v>
      </c>
      <c r="L1220" s="48" t="s">
        <v>1134</v>
      </c>
      <c r="M1220" s="48" t="s">
        <v>67</v>
      </c>
      <c r="N1220" s="48" t="s">
        <v>20</v>
      </c>
      <c r="O1220" s="48" t="s">
        <v>857</v>
      </c>
      <c r="P1220" s="50">
        <v>752078.2</v>
      </c>
      <c r="Q1220" s="50">
        <v>4.5848000064688499</v>
      </c>
      <c r="R1220" s="50">
        <v>3448128.1362250806</v>
      </c>
      <c r="S1220" s="74">
        <v>45453</v>
      </c>
      <c r="T1220" s="48" t="s">
        <v>308</v>
      </c>
      <c r="U1220" s="48" t="s">
        <v>213</v>
      </c>
      <c r="V1220" s="48" t="s">
        <v>857</v>
      </c>
      <c r="W1220" s="48"/>
    </row>
    <row r="1221" spans="1:23" ht="15.75" x14ac:dyDescent="0.25">
      <c r="A1221" s="48" t="s">
        <v>82</v>
      </c>
      <c r="B1221" s="49">
        <v>45419</v>
      </c>
      <c r="C1221" s="48" t="s">
        <v>916</v>
      </c>
      <c r="D1221" s="48" t="s">
        <v>1181</v>
      </c>
      <c r="E1221" s="48" t="s">
        <v>856</v>
      </c>
      <c r="F1221" s="48" t="s">
        <v>62</v>
      </c>
      <c r="G1221" s="48" t="s">
        <v>63</v>
      </c>
      <c r="H1221" s="48" t="s">
        <v>27</v>
      </c>
      <c r="I1221" s="48" t="s">
        <v>83</v>
      </c>
      <c r="J1221" s="48" t="s">
        <v>80</v>
      </c>
      <c r="K1221" s="48" t="s">
        <v>81</v>
      </c>
      <c r="L1221" s="48" t="s">
        <v>1139</v>
      </c>
      <c r="M1221" s="48" t="s">
        <v>26</v>
      </c>
      <c r="N1221" s="48" t="s">
        <v>20</v>
      </c>
      <c r="O1221" s="48" t="s">
        <v>857</v>
      </c>
      <c r="P1221" s="50">
        <v>934375</v>
      </c>
      <c r="Q1221" s="50">
        <v>1</v>
      </c>
      <c r="R1221" s="50">
        <v>934375</v>
      </c>
      <c r="S1221" s="74">
        <v>45452</v>
      </c>
      <c r="T1221" s="48" t="s">
        <v>917</v>
      </c>
      <c r="U1221" s="48" t="s">
        <v>377</v>
      </c>
      <c r="V1221" s="48" t="s">
        <v>857</v>
      </c>
      <c r="W1221" s="48"/>
    </row>
    <row r="1222" spans="1:23" ht="15.75" x14ac:dyDescent="0.25">
      <c r="A1222" s="48" t="s">
        <v>306</v>
      </c>
      <c r="B1222" s="49">
        <v>45454</v>
      </c>
      <c r="C1222" s="48" t="s">
        <v>973</v>
      </c>
      <c r="D1222" s="48" t="s">
        <v>1118</v>
      </c>
      <c r="E1222" s="48" t="s">
        <v>856</v>
      </c>
      <c r="F1222" s="48" t="s">
        <v>62</v>
      </c>
      <c r="G1222" s="48" t="s">
        <v>70</v>
      </c>
      <c r="H1222" s="48" t="s">
        <v>70</v>
      </c>
      <c r="I1222" s="48" t="s">
        <v>307</v>
      </c>
      <c r="J1222" s="48" t="s">
        <v>72</v>
      </c>
      <c r="K1222" s="48" t="s">
        <v>213</v>
      </c>
      <c r="L1222" s="48" t="s">
        <v>1134</v>
      </c>
      <c r="M1222" s="48" t="s">
        <v>67</v>
      </c>
      <c r="N1222" s="48" t="s">
        <v>20</v>
      </c>
      <c r="O1222" s="48" t="s">
        <v>857</v>
      </c>
      <c r="P1222" s="50">
        <v>2054.17</v>
      </c>
      <c r="Q1222" s="50">
        <v>4.58480067375144</v>
      </c>
      <c r="R1222" s="50">
        <v>9417.9599999999955</v>
      </c>
      <c r="S1222" s="74">
        <v>45452</v>
      </c>
      <c r="T1222" s="48" t="s">
        <v>308</v>
      </c>
      <c r="U1222" s="48" t="s">
        <v>213</v>
      </c>
      <c r="V1222" s="48" t="s">
        <v>857</v>
      </c>
      <c r="W1222" s="48"/>
    </row>
    <row r="1223" spans="1:23" ht="15.75" x14ac:dyDescent="0.25">
      <c r="A1223" s="48" t="s">
        <v>61</v>
      </c>
      <c r="B1223" s="49">
        <v>45412</v>
      </c>
      <c r="C1223" s="48" t="s">
        <v>928</v>
      </c>
      <c r="D1223" s="48" t="s">
        <v>1186</v>
      </c>
      <c r="E1223" s="48" t="s">
        <v>856</v>
      </c>
      <c r="F1223" s="48" t="s">
        <v>62</v>
      </c>
      <c r="G1223" s="48" t="s">
        <v>63</v>
      </c>
      <c r="H1223" s="48" t="s">
        <v>27</v>
      </c>
      <c r="I1223" s="48" t="s">
        <v>64</v>
      </c>
      <c r="J1223" s="48" t="s">
        <v>65</v>
      </c>
      <c r="K1223" s="48" t="s">
        <v>66</v>
      </c>
      <c r="L1223" s="48" t="s">
        <v>1144</v>
      </c>
      <c r="M1223" s="48" t="s">
        <v>67</v>
      </c>
      <c r="N1223" s="48" t="s">
        <v>20</v>
      </c>
      <c r="O1223" s="48" t="s">
        <v>857</v>
      </c>
      <c r="P1223" s="50">
        <v>7004807.0499999998</v>
      </c>
      <c r="Q1223" s="50">
        <v>4.08</v>
      </c>
      <c r="R1223" s="50">
        <v>28579612.763999999</v>
      </c>
      <c r="S1223" s="74">
        <v>45445</v>
      </c>
      <c r="T1223" s="48" t="s">
        <v>68</v>
      </c>
      <c r="U1223" s="48" t="s">
        <v>66</v>
      </c>
      <c r="V1223" s="48" t="s">
        <v>857</v>
      </c>
      <c r="W1223" s="48"/>
    </row>
    <row r="1224" spans="1:23" ht="15.75" x14ac:dyDescent="0.25">
      <c r="A1224" s="48" t="s">
        <v>306</v>
      </c>
      <c r="B1224" s="49">
        <v>45432</v>
      </c>
      <c r="C1224" s="48" t="s">
        <v>974</v>
      </c>
      <c r="D1224" s="48" t="s">
        <v>1118</v>
      </c>
      <c r="E1224" s="48" t="s">
        <v>856</v>
      </c>
      <c r="F1224" s="48" t="s">
        <v>62</v>
      </c>
      <c r="G1224" s="48" t="s">
        <v>70</v>
      </c>
      <c r="H1224" s="48" t="s">
        <v>70</v>
      </c>
      <c r="I1224" s="48" t="s">
        <v>307</v>
      </c>
      <c r="J1224" s="48" t="s">
        <v>72</v>
      </c>
      <c r="K1224" s="48" t="s">
        <v>213</v>
      </c>
      <c r="L1224" s="48" t="s">
        <v>1134</v>
      </c>
      <c r="M1224" s="48" t="s">
        <v>67</v>
      </c>
      <c r="N1224" s="48" t="s">
        <v>20</v>
      </c>
      <c r="O1224" s="48" t="s">
        <v>857</v>
      </c>
      <c r="P1224" s="50">
        <v>22394.36</v>
      </c>
      <c r="Q1224" s="50">
        <v>4.5848000064688499</v>
      </c>
      <c r="R1224" s="50">
        <v>102673.66187286575</v>
      </c>
      <c r="S1224" s="74">
        <v>45442</v>
      </c>
      <c r="T1224" s="48" t="s">
        <v>308</v>
      </c>
      <c r="U1224" s="48" t="s">
        <v>213</v>
      </c>
      <c r="V1224" s="48" t="s">
        <v>857</v>
      </c>
      <c r="W1224" s="48"/>
    </row>
    <row r="1225" spans="1:23" ht="15.75" x14ac:dyDescent="0.25">
      <c r="A1225" s="48" t="s">
        <v>306</v>
      </c>
      <c r="B1225" s="49">
        <v>45432</v>
      </c>
      <c r="C1225" s="48" t="s">
        <v>975</v>
      </c>
      <c r="D1225" s="48" t="s">
        <v>1118</v>
      </c>
      <c r="E1225" s="48" t="s">
        <v>856</v>
      </c>
      <c r="F1225" s="48" t="s">
        <v>62</v>
      </c>
      <c r="G1225" s="48" t="s">
        <v>70</v>
      </c>
      <c r="H1225" s="48" t="s">
        <v>70</v>
      </c>
      <c r="I1225" s="48" t="s">
        <v>307</v>
      </c>
      <c r="J1225" s="48" t="s">
        <v>72</v>
      </c>
      <c r="K1225" s="48" t="s">
        <v>213</v>
      </c>
      <c r="L1225" s="48" t="s">
        <v>1134</v>
      </c>
      <c r="M1225" s="48" t="s">
        <v>67</v>
      </c>
      <c r="N1225" s="48" t="s">
        <v>20</v>
      </c>
      <c r="O1225" s="48" t="s">
        <v>857</v>
      </c>
      <c r="P1225" s="50">
        <v>718612.74</v>
      </c>
      <c r="Q1225" s="50">
        <v>4.5848000064688499</v>
      </c>
      <c r="R1225" s="50">
        <v>3294695.6950005977</v>
      </c>
      <c r="S1225" s="74">
        <v>45442</v>
      </c>
      <c r="T1225" s="48" t="s">
        <v>308</v>
      </c>
      <c r="U1225" s="48" t="s">
        <v>213</v>
      </c>
      <c r="V1225" s="48" t="s">
        <v>857</v>
      </c>
      <c r="W1225" s="48"/>
    </row>
    <row r="1226" spans="1:23" ht="15.75" x14ac:dyDescent="0.25">
      <c r="A1226" s="48" t="s">
        <v>315</v>
      </c>
      <c r="B1226" s="49">
        <v>45438</v>
      </c>
      <c r="C1226" s="48" t="s">
        <v>916</v>
      </c>
      <c r="D1226" s="48" t="s">
        <v>1118</v>
      </c>
      <c r="E1226" s="48" t="s">
        <v>856</v>
      </c>
      <c r="F1226" s="48" t="s">
        <v>62</v>
      </c>
      <c r="G1226" s="48" t="s">
        <v>63</v>
      </c>
      <c r="H1226" s="48" t="s">
        <v>27</v>
      </c>
      <c r="I1226" s="48" t="s">
        <v>316</v>
      </c>
      <c r="J1226" s="48" t="s">
        <v>72</v>
      </c>
      <c r="K1226" s="48" t="s">
        <v>213</v>
      </c>
      <c r="L1226" s="48" t="s">
        <v>1134</v>
      </c>
      <c r="M1226" s="48" t="s">
        <v>191</v>
      </c>
      <c r="N1226" s="48" t="s">
        <v>20</v>
      </c>
      <c r="O1226" s="48" t="s">
        <v>857</v>
      </c>
      <c r="P1226" s="50">
        <v>3956380.31</v>
      </c>
      <c r="Q1226" s="50">
        <v>1.0275000000000001</v>
      </c>
      <c r="R1226" s="50">
        <v>4065180.7685250002</v>
      </c>
      <c r="S1226" s="74">
        <v>45441</v>
      </c>
      <c r="T1226" s="48" t="s">
        <v>917</v>
      </c>
      <c r="U1226" s="48" t="s">
        <v>213</v>
      </c>
      <c r="V1226" s="48" t="s">
        <v>857</v>
      </c>
      <c r="W1226" s="48"/>
    </row>
    <row r="1227" spans="1:23" ht="15.75" x14ac:dyDescent="0.25">
      <c r="A1227" s="48" t="s">
        <v>306</v>
      </c>
      <c r="B1227" s="49">
        <v>45425</v>
      </c>
      <c r="C1227" s="48" t="s">
        <v>976</v>
      </c>
      <c r="D1227" s="48" t="s">
        <v>1118</v>
      </c>
      <c r="E1227" s="48" t="s">
        <v>856</v>
      </c>
      <c r="F1227" s="48" t="s">
        <v>62</v>
      </c>
      <c r="G1227" s="48" t="s">
        <v>70</v>
      </c>
      <c r="H1227" s="48" t="s">
        <v>70</v>
      </c>
      <c r="I1227" s="48" t="s">
        <v>307</v>
      </c>
      <c r="J1227" s="48" t="s">
        <v>72</v>
      </c>
      <c r="K1227" s="48" t="s">
        <v>213</v>
      </c>
      <c r="L1227" s="48" t="s">
        <v>1134</v>
      </c>
      <c r="M1227" s="48" t="s">
        <v>67</v>
      </c>
      <c r="N1227" s="48" t="s">
        <v>20</v>
      </c>
      <c r="O1227" s="48" t="s">
        <v>857</v>
      </c>
      <c r="P1227" s="50">
        <v>236446.64</v>
      </c>
      <c r="Q1227" s="50">
        <v>4.5848000064688499</v>
      </c>
      <c r="R1227" s="50">
        <v>1084060.5566015379</v>
      </c>
      <c r="S1227" s="74">
        <v>45441</v>
      </c>
      <c r="T1227" s="48" t="s">
        <v>308</v>
      </c>
      <c r="U1227" s="48" t="s">
        <v>213</v>
      </c>
      <c r="V1227" s="48" t="s">
        <v>857</v>
      </c>
      <c r="W1227" s="48"/>
    </row>
    <row r="1228" spans="1:23" ht="15.75" x14ac:dyDescent="0.25">
      <c r="A1228" s="48" t="s">
        <v>250</v>
      </c>
      <c r="B1228" s="49">
        <v>45432</v>
      </c>
      <c r="C1228" s="48" t="s">
        <v>922</v>
      </c>
      <c r="D1228" s="48" t="s">
        <v>1118</v>
      </c>
      <c r="E1228" s="48" t="s">
        <v>856</v>
      </c>
      <c r="F1228" s="48" t="s">
        <v>21</v>
      </c>
      <c r="G1228" s="48" t="s">
        <v>22</v>
      </c>
      <c r="H1228" s="48" t="s">
        <v>27</v>
      </c>
      <c r="I1228" s="48" t="s">
        <v>251</v>
      </c>
      <c r="J1228" s="48" t="s">
        <v>72</v>
      </c>
      <c r="K1228" s="48" t="s">
        <v>213</v>
      </c>
      <c r="L1228" s="48" t="s">
        <v>1134</v>
      </c>
      <c r="M1228" s="48" t="s">
        <v>67</v>
      </c>
      <c r="N1228" s="48" t="s">
        <v>20</v>
      </c>
      <c r="O1228" s="48" t="s">
        <v>857</v>
      </c>
      <c r="P1228" s="50">
        <v>107017.5</v>
      </c>
      <c r="Q1228" s="50">
        <v>4.13</v>
      </c>
      <c r="R1228" s="50">
        <v>441982.27499999997</v>
      </c>
      <c r="S1228" s="74">
        <v>45440</v>
      </c>
      <c r="T1228" s="48" t="s">
        <v>252</v>
      </c>
      <c r="U1228" s="48" t="s">
        <v>213</v>
      </c>
      <c r="V1228" s="48" t="s">
        <v>857</v>
      </c>
      <c r="W1228" s="48"/>
    </row>
    <row r="1229" spans="1:23" ht="15.75" x14ac:dyDescent="0.25">
      <c r="A1229" s="48" t="s">
        <v>306</v>
      </c>
      <c r="B1229" s="49">
        <v>45418</v>
      </c>
      <c r="C1229" s="48" t="s">
        <v>977</v>
      </c>
      <c r="D1229" s="48" t="s">
        <v>1118</v>
      </c>
      <c r="E1229" s="48" t="s">
        <v>856</v>
      </c>
      <c r="F1229" s="48" t="s">
        <v>62</v>
      </c>
      <c r="G1229" s="48" t="s">
        <v>70</v>
      </c>
      <c r="H1229" s="48" t="s">
        <v>70</v>
      </c>
      <c r="I1229" s="48" t="s">
        <v>307</v>
      </c>
      <c r="J1229" s="48" t="s">
        <v>72</v>
      </c>
      <c r="K1229" s="48" t="s">
        <v>213</v>
      </c>
      <c r="L1229" s="48" t="s">
        <v>1134</v>
      </c>
      <c r="M1229" s="48" t="s">
        <v>67</v>
      </c>
      <c r="N1229" s="48" t="s">
        <v>20</v>
      </c>
      <c r="O1229" s="48" t="s">
        <v>857</v>
      </c>
      <c r="P1229" s="50">
        <v>54263.39</v>
      </c>
      <c r="Q1229" s="50">
        <v>4.5848000064688499</v>
      </c>
      <c r="R1229" s="50">
        <v>248786.79082302173</v>
      </c>
      <c r="S1229" s="74">
        <v>45439</v>
      </c>
      <c r="T1229" s="48" t="s">
        <v>308</v>
      </c>
      <c r="U1229" s="48" t="s">
        <v>213</v>
      </c>
      <c r="V1229" s="48" t="s">
        <v>857</v>
      </c>
      <c r="W1229" s="48"/>
    </row>
    <row r="1230" spans="1:23" ht="15.75" x14ac:dyDescent="0.25">
      <c r="A1230" s="48" t="s">
        <v>250</v>
      </c>
      <c r="B1230" s="49">
        <v>45432</v>
      </c>
      <c r="C1230" s="48" t="s">
        <v>929</v>
      </c>
      <c r="D1230" s="48" t="s">
        <v>1118</v>
      </c>
      <c r="E1230" s="48" t="s">
        <v>856</v>
      </c>
      <c r="F1230" s="48" t="s">
        <v>21</v>
      </c>
      <c r="G1230" s="48" t="s">
        <v>22</v>
      </c>
      <c r="H1230" s="48" t="s">
        <v>27</v>
      </c>
      <c r="I1230" s="48" t="s">
        <v>251</v>
      </c>
      <c r="J1230" s="48" t="s">
        <v>72</v>
      </c>
      <c r="K1230" s="48" t="s">
        <v>213</v>
      </c>
      <c r="L1230" s="48" t="s">
        <v>1134</v>
      </c>
      <c r="M1230" s="48" t="s">
        <v>67</v>
      </c>
      <c r="N1230" s="48" t="s">
        <v>20</v>
      </c>
      <c r="O1230" s="48" t="s">
        <v>857</v>
      </c>
      <c r="P1230" s="50">
        <v>190267.2</v>
      </c>
      <c r="Q1230" s="50">
        <v>4.13</v>
      </c>
      <c r="R1230" s="50">
        <v>785803.53600000008</v>
      </c>
      <c r="S1230" s="74">
        <v>45439</v>
      </c>
      <c r="T1230" s="48" t="s">
        <v>252</v>
      </c>
      <c r="U1230" s="48" t="s">
        <v>213</v>
      </c>
      <c r="V1230" s="48" t="s">
        <v>857</v>
      </c>
      <c r="W1230" s="48"/>
    </row>
    <row r="1231" spans="1:23" ht="15.75" x14ac:dyDescent="0.25">
      <c r="A1231" s="48" t="s">
        <v>54</v>
      </c>
      <c r="B1231" s="49">
        <v>45342</v>
      </c>
      <c r="C1231" s="48" t="s">
        <v>918</v>
      </c>
      <c r="D1231" s="48" t="s">
        <v>441</v>
      </c>
      <c r="E1231" s="48" t="s">
        <v>856</v>
      </c>
      <c r="F1231" s="48" t="s">
        <v>21</v>
      </c>
      <c r="G1231" s="48" t="s">
        <v>22</v>
      </c>
      <c r="H1231" s="48" t="s">
        <v>27</v>
      </c>
      <c r="I1231" s="48" t="s">
        <v>55</v>
      </c>
      <c r="J1231" s="48" t="s">
        <v>24</v>
      </c>
      <c r="K1231" s="48" t="s">
        <v>22</v>
      </c>
      <c r="L1231" s="48" t="s">
        <v>1132</v>
      </c>
      <c r="M1231" s="48" t="s">
        <v>26</v>
      </c>
      <c r="N1231" s="48" t="s">
        <v>20</v>
      </c>
      <c r="O1231" s="48" t="s">
        <v>857</v>
      </c>
      <c r="P1231" s="50">
        <v>364821.5</v>
      </c>
      <c r="Q1231" s="50">
        <v>1</v>
      </c>
      <c r="R1231" s="50">
        <v>364821.5</v>
      </c>
      <c r="S1231" s="74">
        <v>45437</v>
      </c>
      <c r="T1231" s="48" t="s">
        <v>28</v>
      </c>
      <c r="U1231" s="48" t="s">
        <v>22</v>
      </c>
      <c r="V1231" s="48" t="s">
        <v>857</v>
      </c>
      <c r="W1231" s="48"/>
    </row>
    <row r="1232" spans="1:23" ht="15.75" x14ac:dyDescent="0.25">
      <c r="A1232" s="48" t="s">
        <v>306</v>
      </c>
      <c r="B1232" s="49">
        <v>45418</v>
      </c>
      <c r="C1232" s="48" t="s">
        <v>978</v>
      </c>
      <c r="D1232" s="48" t="s">
        <v>1118</v>
      </c>
      <c r="E1232" s="48" t="s">
        <v>856</v>
      </c>
      <c r="F1232" s="48" t="s">
        <v>62</v>
      </c>
      <c r="G1232" s="48" t="s">
        <v>70</v>
      </c>
      <c r="H1232" s="48" t="s">
        <v>70</v>
      </c>
      <c r="I1232" s="48" t="s">
        <v>307</v>
      </c>
      <c r="J1232" s="48" t="s">
        <v>72</v>
      </c>
      <c r="K1232" s="48" t="s">
        <v>213</v>
      </c>
      <c r="L1232" s="48" t="s">
        <v>1134</v>
      </c>
      <c r="M1232" s="48" t="s">
        <v>67</v>
      </c>
      <c r="N1232" s="48" t="s">
        <v>20</v>
      </c>
      <c r="O1232" s="48" t="s">
        <v>857</v>
      </c>
      <c r="P1232" s="50">
        <v>252716.15</v>
      </c>
      <c r="Q1232" s="50">
        <v>4.5848000064688499</v>
      </c>
      <c r="R1232" s="50">
        <v>1158653.0061547828</v>
      </c>
      <c r="S1232" s="74">
        <v>45435</v>
      </c>
      <c r="T1232" s="48" t="s">
        <v>308</v>
      </c>
      <c r="U1232" s="48" t="s">
        <v>213</v>
      </c>
      <c r="V1232" s="48" t="s">
        <v>857</v>
      </c>
      <c r="W1232" s="48"/>
    </row>
    <row r="1233" spans="1:23" ht="15.75" x14ac:dyDescent="0.25">
      <c r="A1233" s="48" t="s">
        <v>247</v>
      </c>
      <c r="B1233" s="49">
        <v>44995</v>
      </c>
      <c r="C1233" s="48" t="s">
        <v>916</v>
      </c>
      <c r="D1233" s="48" t="s">
        <v>441</v>
      </c>
      <c r="E1233" s="48" t="s">
        <v>856</v>
      </c>
      <c r="F1233" s="48" t="s">
        <v>21</v>
      </c>
      <c r="G1233" s="48" t="s">
        <v>22</v>
      </c>
      <c r="H1233" s="48" t="s">
        <v>27</v>
      </c>
      <c r="I1233" s="48" t="s">
        <v>248</v>
      </c>
      <c r="J1233" s="48" t="s">
        <v>24</v>
      </c>
      <c r="K1233" s="48" t="s">
        <v>22</v>
      </c>
      <c r="L1233" s="48" t="s">
        <v>1132</v>
      </c>
      <c r="M1233" s="48" t="s">
        <v>26</v>
      </c>
      <c r="N1233" s="48" t="s">
        <v>20</v>
      </c>
      <c r="O1233" s="48" t="s">
        <v>857</v>
      </c>
      <c r="P1233" s="50">
        <v>1360886.92</v>
      </c>
      <c r="Q1233" s="50">
        <v>1</v>
      </c>
      <c r="R1233" s="50">
        <v>1360886.92</v>
      </c>
      <c r="S1233" s="74">
        <v>45430</v>
      </c>
      <c r="T1233" s="48" t="s">
        <v>917</v>
      </c>
      <c r="U1233" s="48" t="s">
        <v>22</v>
      </c>
      <c r="V1233" s="48" t="s">
        <v>857</v>
      </c>
      <c r="W1233" s="48"/>
    </row>
    <row r="1234" spans="1:23" ht="15.75" x14ac:dyDescent="0.25">
      <c r="A1234" s="48" t="s">
        <v>254</v>
      </c>
      <c r="B1234" s="49">
        <v>45414</v>
      </c>
      <c r="C1234" s="48" t="s">
        <v>928</v>
      </c>
      <c r="D1234" s="48" t="s">
        <v>1184</v>
      </c>
      <c r="E1234" s="48" t="s">
        <v>856</v>
      </c>
      <c r="F1234" s="48" t="s">
        <v>21</v>
      </c>
      <c r="G1234" s="48" t="s">
        <v>22</v>
      </c>
      <c r="H1234" s="48" t="s">
        <v>27</v>
      </c>
      <c r="I1234" s="48" t="s">
        <v>3623</v>
      </c>
      <c r="J1234" s="48" t="s">
        <v>1791</v>
      </c>
      <c r="K1234" s="48" t="s">
        <v>22</v>
      </c>
      <c r="L1234" s="48" t="s">
        <v>1132</v>
      </c>
      <c r="M1234" s="48" t="s">
        <v>67</v>
      </c>
      <c r="N1234" s="48" t="s">
        <v>20</v>
      </c>
      <c r="O1234" s="48" t="s">
        <v>857</v>
      </c>
      <c r="P1234" s="50">
        <v>378829.46</v>
      </c>
      <c r="Q1234" s="50">
        <v>4.12</v>
      </c>
      <c r="R1234" s="50">
        <v>1560777.3752000001</v>
      </c>
      <c r="S1234" s="74">
        <v>45428</v>
      </c>
      <c r="T1234" s="48" t="s">
        <v>255</v>
      </c>
      <c r="U1234" s="48" t="s">
        <v>22</v>
      </c>
      <c r="V1234" s="48" t="s">
        <v>857</v>
      </c>
      <c r="W1234" s="48"/>
    </row>
    <row r="1235" spans="1:23" ht="15.75" x14ac:dyDescent="0.25">
      <c r="A1235" s="48" t="s">
        <v>91</v>
      </c>
      <c r="B1235" s="49">
        <v>45418</v>
      </c>
      <c r="C1235" s="48" t="s">
        <v>916</v>
      </c>
      <c r="D1235" s="48" t="s">
        <v>1118</v>
      </c>
      <c r="E1235" s="48" t="s">
        <v>856</v>
      </c>
      <c r="F1235" s="48" t="s">
        <v>62</v>
      </c>
      <c r="G1235" s="48" t="s">
        <v>63</v>
      </c>
      <c r="H1235" s="48" t="s">
        <v>27</v>
      </c>
      <c r="I1235" s="48" t="s">
        <v>71</v>
      </c>
      <c r="J1235" s="48" t="s">
        <v>72</v>
      </c>
      <c r="K1235" s="48" t="s">
        <v>213</v>
      </c>
      <c r="L1235" s="48" t="s">
        <v>1134</v>
      </c>
      <c r="M1235" s="48" t="s">
        <v>67</v>
      </c>
      <c r="N1235" s="48" t="s">
        <v>20</v>
      </c>
      <c r="O1235" s="48" t="s">
        <v>857</v>
      </c>
      <c r="P1235" s="50">
        <v>662624</v>
      </c>
      <c r="Q1235" s="50">
        <v>4.077</v>
      </c>
      <c r="R1235" s="50">
        <v>2701518.048</v>
      </c>
      <c r="S1235" s="74">
        <v>45427</v>
      </c>
      <c r="T1235" s="48" t="s">
        <v>917</v>
      </c>
      <c r="U1235" s="48" t="s">
        <v>213</v>
      </c>
      <c r="V1235" s="48" t="s">
        <v>857</v>
      </c>
      <c r="W1235" s="48"/>
    </row>
    <row r="1236" spans="1:23" ht="15.75" x14ac:dyDescent="0.25">
      <c r="A1236" s="48" t="s">
        <v>91</v>
      </c>
      <c r="B1236" s="49">
        <v>45425</v>
      </c>
      <c r="C1236" s="48" t="s">
        <v>918</v>
      </c>
      <c r="D1236" s="48" t="s">
        <v>1118</v>
      </c>
      <c r="E1236" s="48" t="s">
        <v>856</v>
      </c>
      <c r="F1236" s="48" t="s">
        <v>62</v>
      </c>
      <c r="G1236" s="48" t="s">
        <v>63</v>
      </c>
      <c r="H1236" s="48" t="s">
        <v>27</v>
      </c>
      <c r="I1236" s="48" t="s">
        <v>71</v>
      </c>
      <c r="J1236" s="48" t="s">
        <v>72</v>
      </c>
      <c r="K1236" s="48" t="s">
        <v>213</v>
      </c>
      <c r="L1236" s="48" t="s">
        <v>1134</v>
      </c>
      <c r="M1236" s="48" t="s">
        <v>67</v>
      </c>
      <c r="N1236" s="48" t="s">
        <v>20</v>
      </c>
      <c r="O1236" s="48" t="s">
        <v>857</v>
      </c>
      <c r="P1236" s="50">
        <v>531467.27</v>
      </c>
      <c r="Q1236" s="50">
        <v>4.077</v>
      </c>
      <c r="R1236" s="50">
        <v>2166792.0597899999</v>
      </c>
      <c r="S1236" s="74">
        <v>45427</v>
      </c>
      <c r="T1236" s="48" t="s">
        <v>917</v>
      </c>
      <c r="U1236" s="48" t="s">
        <v>213</v>
      </c>
      <c r="V1236" s="48" t="s">
        <v>857</v>
      </c>
      <c r="W1236" s="48"/>
    </row>
    <row r="1237" spans="1:23" ht="15.75" x14ac:dyDescent="0.25">
      <c r="A1237" s="48" t="s">
        <v>306</v>
      </c>
      <c r="B1237" s="49">
        <v>45412</v>
      </c>
      <c r="C1237" s="48" t="s">
        <v>979</v>
      </c>
      <c r="D1237" s="48" t="s">
        <v>1118</v>
      </c>
      <c r="E1237" s="48" t="s">
        <v>856</v>
      </c>
      <c r="F1237" s="48" t="s">
        <v>62</v>
      </c>
      <c r="G1237" s="48" t="s">
        <v>70</v>
      </c>
      <c r="H1237" s="48" t="s">
        <v>70</v>
      </c>
      <c r="I1237" s="48" t="s">
        <v>307</v>
      </c>
      <c r="J1237" s="48" t="s">
        <v>72</v>
      </c>
      <c r="K1237" s="48" t="s">
        <v>213</v>
      </c>
      <c r="L1237" s="48" t="s">
        <v>1134</v>
      </c>
      <c r="M1237" s="48" t="s">
        <v>67</v>
      </c>
      <c r="N1237" s="48" t="s">
        <v>20</v>
      </c>
      <c r="O1237" s="48" t="s">
        <v>857</v>
      </c>
      <c r="P1237" s="50">
        <v>1817488.61</v>
      </c>
      <c r="Q1237" s="50">
        <v>4.5848000064688499</v>
      </c>
      <c r="R1237" s="50">
        <v>8332821.790885061</v>
      </c>
      <c r="S1237" s="74">
        <v>45421</v>
      </c>
      <c r="T1237" s="48" t="s">
        <v>308</v>
      </c>
      <c r="U1237" s="48" t="s">
        <v>213</v>
      </c>
      <c r="V1237" s="48" t="s">
        <v>857</v>
      </c>
      <c r="W1237" s="48"/>
    </row>
    <row r="1238" spans="1:23" ht="15.75" x14ac:dyDescent="0.25">
      <c r="A1238" s="48" t="s">
        <v>254</v>
      </c>
      <c r="B1238" s="49">
        <v>45400</v>
      </c>
      <c r="C1238" s="48" t="s">
        <v>924</v>
      </c>
      <c r="D1238" s="48" t="s">
        <v>1184</v>
      </c>
      <c r="E1238" s="48" t="s">
        <v>856</v>
      </c>
      <c r="F1238" s="48" t="s">
        <v>21</v>
      </c>
      <c r="G1238" s="48" t="s">
        <v>22</v>
      </c>
      <c r="H1238" s="48" t="s">
        <v>27</v>
      </c>
      <c r="I1238" s="48" t="s">
        <v>3623</v>
      </c>
      <c r="J1238" s="48" t="s">
        <v>1791</v>
      </c>
      <c r="K1238" s="48" t="s">
        <v>22</v>
      </c>
      <c r="L1238" s="48" t="s">
        <v>1132</v>
      </c>
      <c r="M1238" s="48" t="s">
        <v>67</v>
      </c>
      <c r="N1238" s="48" t="s">
        <v>20</v>
      </c>
      <c r="O1238" s="48" t="s">
        <v>857</v>
      </c>
      <c r="P1238" s="50">
        <v>67040.63</v>
      </c>
      <c r="Q1238" s="50">
        <v>4.1100000000000003</v>
      </c>
      <c r="R1238" s="50">
        <v>275536.98930000002</v>
      </c>
      <c r="S1238" s="74">
        <v>45421</v>
      </c>
      <c r="T1238" s="48" t="s">
        <v>255</v>
      </c>
      <c r="U1238" s="48" t="s">
        <v>22</v>
      </c>
      <c r="V1238" s="48" t="s">
        <v>857</v>
      </c>
      <c r="W1238" s="48"/>
    </row>
    <row r="1239" spans="1:23" ht="15.75" x14ac:dyDescent="0.25">
      <c r="A1239" s="48" t="s">
        <v>46</v>
      </c>
      <c r="B1239" s="49">
        <v>45357</v>
      </c>
      <c r="C1239" s="48" t="s">
        <v>916</v>
      </c>
      <c r="D1239" s="48" t="s">
        <v>441</v>
      </c>
      <c r="E1239" s="48" t="s">
        <v>856</v>
      </c>
      <c r="F1239" s="48" t="s">
        <v>21</v>
      </c>
      <c r="G1239" s="48" t="s">
        <v>22</v>
      </c>
      <c r="H1239" s="48" t="s">
        <v>27</v>
      </c>
      <c r="I1239" s="48" t="s">
        <v>47</v>
      </c>
      <c r="J1239" s="48" t="s">
        <v>24</v>
      </c>
      <c r="K1239" s="48" t="s">
        <v>22</v>
      </c>
      <c r="L1239" s="48" t="s">
        <v>1132</v>
      </c>
      <c r="M1239" s="48" t="s">
        <v>26</v>
      </c>
      <c r="N1239" s="48" t="s">
        <v>20</v>
      </c>
      <c r="O1239" s="48" t="s">
        <v>857</v>
      </c>
      <c r="P1239" s="50">
        <v>2161425</v>
      </c>
      <c r="Q1239" s="50">
        <v>1</v>
      </c>
      <c r="R1239" s="50">
        <v>2161425</v>
      </c>
      <c r="S1239" s="74">
        <v>45420</v>
      </c>
      <c r="T1239" s="48" t="s">
        <v>28</v>
      </c>
      <c r="U1239" s="48" t="s">
        <v>22</v>
      </c>
      <c r="V1239" s="48" t="s">
        <v>857</v>
      </c>
      <c r="W1239" s="48"/>
    </row>
    <row r="1240" spans="1:23" ht="15.75" x14ac:dyDescent="0.25">
      <c r="A1240" s="48" t="s">
        <v>42</v>
      </c>
      <c r="B1240" s="49">
        <v>45365</v>
      </c>
      <c r="C1240" s="48" t="s">
        <v>924</v>
      </c>
      <c r="D1240" s="48" t="s">
        <v>441</v>
      </c>
      <c r="E1240" s="48" t="s">
        <v>856</v>
      </c>
      <c r="F1240" s="48" t="s">
        <v>21</v>
      </c>
      <c r="G1240" s="48" t="s">
        <v>22</v>
      </c>
      <c r="H1240" s="48" t="s">
        <v>27</v>
      </c>
      <c r="I1240" s="48" t="s">
        <v>43</v>
      </c>
      <c r="J1240" s="48" t="s">
        <v>24</v>
      </c>
      <c r="K1240" s="48" t="s">
        <v>22</v>
      </c>
      <c r="L1240" s="48" t="s">
        <v>1132</v>
      </c>
      <c r="M1240" s="48" t="s">
        <v>26</v>
      </c>
      <c r="N1240" s="48" t="s">
        <v>20</v>
      </c>
      <c r="O1240" s="48" t="s">
        <v>857</v>
      </c>
      <c r="P1240" s="50">
        <v>551543.52</v>
      </c>
      <c r="Q1240" s="50">
        <v>1</v>
      </c>
      <c r="R1240" s="50">
        <v>551543.52</v>
      </c>
      <c r="S1240" s="74">
        <v>45420</v>
      </c>
      <c r="T1240" s="48" t="s">
        <v>28</v>
      </c>
      <c r="U1240" s="48" t="s">
        <v>22</v>
      </c>
      <c r="V1240" s="48" t="s">
        <v>857</v>
      </c>
      <c r="W1240" s="48"/>
    </row>
    <row r="1241" spans="1:23" ht="15.75" x14ac:dyDescent="0.25">
      <c r="A1241" s="48" t="s">
        <v>87</v>
      </c>
      <c r="B1241" s="49">
        <v>45418</v>
      </c>
      <c r="C1241" s="48" t="s">
        <v>918</v>
      </c>
      <c r="D1241" s="48" t="s">
        <v>509</v>
      </c>
      <c r="E1241" s="48" t="s">
        <v>856</v>
      </c>
      <c r="F1241" s="48" t="s">
        <v>62</v>
      </c>
      <c r="G1241" s="48" t="s">
        <v>63</v>
      </c>
      <c r="H1241" s="48" t="s">
        <v>27</v>
      </c>
      <c r="I1241" s="48" t="s">
        <v>85</v>
      </c>
      <c r="J1241" s="48" t="s">
        <v>72</v>
      </c>
      <c r="K1241" s="48" t="s">
        <v>304</v>
      </c>
      <c r="L1241" s="48" t="s">
        <v>1133</v>
      </c>
      <c r="M1241" s="48" t="s">
        <v>26</v>
      </c>
      <c r="N1241" s="48" t="s">
        <v>20</v>
      </c>
      <c r="O1241" s="48" t="s">
        <v>857</v>
      </c>
      <c r="P1241" s="50">
        <v>9392768.75</v>
      </c>
      <c r="Q1241" s="50">
        <v>1</v>
      </c>
      <c r="R1241" s="50">
        <v>9392768.75</v>
      </c>
      <c r="S1241" s="74">
        <v>45418</v>
      </c>
      <c r="T1241" s="48" t="s">
        <v>917</v>
      </c>
      <c r="U1241" s="48" t="s">
        <v>86</v>
      </c>
      <c r="V1241" s="48" t="s">
        <v>857</v>
      </c>
      <c r="W1241" s="48"/>
    </row>
    <row r="1242" spans="1:23" ht="15.75" x14ac:dyDescent="0.25">
      <c r="A1242" s="48" t="s">
        <v>33</v>
      </c>
      <c r="B1242" s="49">
        <v>45408</v>
      </c>
      <c r="C1242" s="48" t="s">
        <v>933</v>
      </c>
      <c r="D1242" s="48" t="s">
        <v>441</v>
      </c>
      <c r="E1242" s="48" t="s">
        <v>856</v>
      </c>
      <c r="F1242" s="48" t="s">
        <v>21</v>
      </c>
      <c r="G1242" s="48" t="s">
        <v>22</v>
      </c>
      <c r="H1242" s="48" t="s">
        <v>27</v>
      </c>
      <c r="I1242" s="48" t="s">
        <v>34</v>
      </c>
      <c r="J1242" s="48" t="s">
        <v>24</v>
      </c>
      <c r="K1242" s="48" t="s">
        <v>22</v>
      </c>
      <c r="L1242" s="48" t="s">
        <v>1132</v>
      </c>
      <c r="M1242" s="48" t="s">
        <v>26</v>
      </c>
      <c r="N1242" s="48" t="s">
        <v>20</v>
      </c>
      <c r="O1242" s="48" t="s">
        <v>857</v>
      </c>
      <c r="P1242" s="50">
        <v>98463.1</v>
      </c>
      <c r="Q1242" s="50">
        <v>1</v>
      </c>
      <c r="R1242" s="50">
        <v>98463.1</v>
      </c>
      <c r="S1242" s="74">
        <v>45416</v>
      </c>
      <c r="T1242" s="48" t="s">
        <v>35</v>
      </c>
      <c r="U1242" s="48" t="s">
        <v>22</v>
      </c>
      <c r="V1242" s="48" t="s">
        <v>857</v>
      </c>
      <c r="W1242" s="48"/>
    </row>
    <row r="1243" spans="1:23" ht="15.75" x14ac:dyDescent="0.25">
      <c r="A1243" s="48" t="s">
        <v>242</v>
      </c>
      <c r="B1243" s="49">
        <v>45016</v>
      </c>
      <c r="C1243" s="48" t="s">
        <v>916</v>
      </c>
      <c r="D1243" s="48" t="s">
        <v>441</v>
      </c>
      <c r="E1243" s="48" t="s">
        <v>856</v>
      </c>
      <c r="F1243" s="48" t="s">
        <v>21</v>
      </c>
      <c r="G1243" s="48" t="s">
        <v>22</v>
      </c>
      <c r="H1243" s="48" t="s">
        <v>27</v>
      </c>
      <c r="I1243" s="48" t="s">
        <v>243</v>
      </c>
      <c r="J1243" s="48" t="s">
        <v>24</v>
      </c>
      <c r="K1243" s="48" t="s">
        <v>22</v>
      </c>
      <c r="L1243" s="48" t="s">
        <v>1132</v>
      </c>
      <c r="M1243" s="48" t="s">
        <v>26</v>
      </c>
      <c r="N1243" s="48" t="s">
        <v>20</v>
      </c>
      <c r="O1243" s="48" t="s">
        <v>857</v>
      </c>
      <c r="P1243" s="50">
        <v>1001021.99</v>
      </c>
      <c r="Q1243" s="50">
        <v>1</v>
      </c>
      <c r="R1243" s="50">
        <v>1001021.99</v>
      </c>
      <c r="S1243" s="74">
        <v>45416</v>
      </c>
      <c r="T1243" s="48" t="s">
        <v>917</v>
      </c>
      <c r="U1243" s="48" t="s">
        <v>22</v>
      </c>
      <c r="V1243" s="48" t="s">
        <v>857</v>
      </c>
      <c r="W1243" s="48"/>
    </row>
    <row r="1244" spans="1:23" ht="15.75" x14ac:dyDescent="0.25">
      <c r="A1244" s="48" t="s">
        <v>54</v>
      </c>
      <c r="B1244" s="49">
        <v>45342</v>
      </c>
      <c r="C1244" s="48" t="s">
        <v>916</v>
      </c>
      <c r="D1244" s="48" t="s">
        <v>441</v>
      </c>
      <c r="E1244" s="48" t="s">
        <v>856</v>
      </c>
      <c r="F1244" s="48" t="s">
        <v>21</v>
      </c>
      <c r="G1244" s="48" t="s">
        <v>22</v>
      </c>
      <c r="H1244" s="48" t="s">
        <v>27</v>
      </c>
      <c r="I1244" s="48" t="s">
        <v>55</v>
      </c>
      <c r="J1244" s="48" t="s">
        <v>24</v>
      </c>
      <c r="K1244" s="48" t="s">
        <v>22</v>
      </c>
      <c r="L1244" s="48" t="s">
        <v>1132</v>
      </c>
      <c r="M1244" s="48" t="s">
        <v>26</v>
      </c>
      <c r="N1244" s="48" t="s">
        <v>20</v>
      </c>
      <c r="O1244" s="48" t="s">
        <v>857</v>
      </c>
      <c r="P1244" s="50">
        <v>1135178.5</v>
      </c>
      <c r="Q1244" s="50">
        <v>1</v>
      </c>
      <c r="R1244" s="50">
        <v>1135178.5</v>
      </c>
      <c r="S1244" s="74">
        <v>45416</v>
      </c>
      <c r="T1244" s="48" t="s">
        <v>28</v>
      </c>
      <c r="U1244" s="48" t="s">
        <v>22</v>
      </c>
      <c r="V1244" s="48" t="s">
        <v>857</v>
      </c>
      <c r="W1244" s="48"/>
    </row>
    <row r="1245" spans="1:23" ht="15.75" x14ac:dyDescent="0.25">
      <c r="A1245" s="48" t="s">
        <v>52</v>
      </c>
      <c r="B1245" s="49">
        <v>45341</v>
      </c>
      <c r="C1245" s="48" t="s">
        <v>916</v>
      </c>
      <c r="D1245" s="48" t="s">
        <v>441</v>
      </c>
      <c r="E1245" s="48" t="s">
        <v>856</v>
      </c>
      <c r="F1245" s="48" t="s">
        <v>21</v>
      </c>
      <c r="G1245" s="48" t="s">
        <v>22</v>
      </c>
      <c r="H1245" s="48" t="s">
        <v>27</v>
      </c>
      <c r="I1245" s="48" t="s">
        <v>53</v>
      </c>
      <c r="J1245" s="48" t="s">
        <v>24</v>
      </c>
      <c r="K1245" s="48" t="s">
        <v>22</v>
      </c>
      <c r="L1245" s="48" t="s">
        <v>1132</v>
      </c>
      <c r="M1245" s="48" t="s">
        <v>26</v>
      </c>
      <c r="N1245" s="48" t="s">
        <v>20</v>
      </c>
      <c r="O1245" s="48" t="s">
        <v>857</v>
      </c>
      <c r="P1245" s="50">
        <v>2565300.11</v>
      </c>
      <c r="Q1245" s="50">
        <v>1</v>
      </c>
      <c r="R1245" s="50">
        <v>2565300.11</v>
      </c>
      <c r="S1245" s="74">
        <v>45416</v>
      </c>
      <c r="T1245" s="48" t="s">
        <v>28</v>
      </c>
      <c r="U1245" s="48" t="s">
        <v>22</v>
      </c>
      <c r="V1245" s="48" t="s">
        <v>857</v>
      </c>
      <c r="W1245" s="48"/>
    </row>
    <row r="1246" spans="1:23" ht="15.75" x14ac:dyDescent="0.25">
      <c r="A1246" s="48" t="s">
        <v>48</v>
      </c>
      <c r="B1246" s="49">
        <v>45355</v>
      </c>
      <c r="C1246" s="48" t="s">
        <v>916</v>
      </c>
      <c r="D1246" s="48" t="s">
        <v>441</v>
      </c>
      <c r="E1246" s="48" t="s">
        <v>856</v>
      </c>
      <c r="F1246" s="48" t="s">
        <v>21</v>
      </c>
      <c r="G1246" s="48" t="s">
        <v>22</v>
      </c>
      <c r="H1246" s="48" t="s">
        <v>27</v>
      </c>
      <c r="I1246" s="48" t="s">
        <v>49</v>
      </c>
      <c r="J1246" s="48" t="s">
        <v>24</v>
      </c>
      <c r="K1246" s="48" t="s">
        <v>22</v>
      </c>
      <c r="L1246" s="48" t="s">
        <v>1132</v>
      </c>
      <c r="M1246" s="48" t="s">
        <v>26</v>
      </c>
      <c r="N1246" s="48" t="s">
        <v>20</v>
      </c>
      <c r="O1246" s="48" t="s">
        <v>857</v>
      </c>
      <c r="P1246" s="50">
        <v>7500000</v>
      </c>
      <c r="Q1246" s="50">
        <v>1</v>
      </c>
      <c r="R1246" s="50">
        <v>7500000</v>
      </c>
      <c r="S1246" s="74">
        <v>45416</v>
      </c>
      <c r="T1246" s="48" t="s">
        <v>28</v>
      </c>
      <c r="U1246" s="48" t="s">
        <v>22</v>
      </c>
      <c r="V1246" s="48" t="s">
        <v>857</v>
      </c>
      <c r="W1246" s="48"/>
    </row>
    <row r="1247" spans="1:23" ht="15.75" x14ac:dyDescent="0.25">
      <c r="A1247" s="48" t="s">
        <v>250</v>
      </c>
      <c r="B1247" s="49">
        <v>45413</v>
      </c>
      <c r="C1247" s="48" t="s">
        <v>928</v>
      </c>
      <c r="D1247" s="48" t="s">
        <v>1118</v>
      </c>
      <c r="E1247" s="48" t="s">
        <v>856</v>
      </c>
      <c r="F1247" s="48" t="s">
        <v>21</v>
      </c>
      <c r="G1247" s="48" t="s">
        <v>22</v>
      </c>
      <c r="H1247" s="48" t="s">
        <v>27</v>
      </c>
      <c r="I1247" s="48" t="s">
        <v>251</v>
      </c>
      <c r="J1247" s="48" t="s">
        <v>72</v>
      </c>
      <c r="K1247" s="48" t="s">
        <v>213</v>
      </c>
      <c r="L1247" s="48" t="s">
        <v>1134</v>
      </c>
      <c r="M1247" s="48" t="s">
        <v>67</v>
      </c>
      <c r="N1247" s="48" t="s">
        <v>20</v>
      </c>
      <c r="O1247" s="48" t="s">
        <v>857</v>
      </c>
      <c r="P1247" s="50">
        <v>172864.8</v>
      </c>
      <c r="Q1247" s="50">
        <v>4.0221999999999998</v>
      </c>
      <c r="R1247" s="50">
        <v>695296.79855999991</v>
      </c>
      <c r="S1247" s="74">
        <v>45413</v>
      </c>
      <c r="T1247" s="48" t="s">
        <v>252</v>
      </c>
      <c r="U1247" s="48" t="s">
        <v>213</v>
      </c>
      <c r="V1247" s="48" t="s">
        <v>857</v>
      </c>
      <c r="W1247" s="48"/>
    </row>
    <row r="1248" spans="1:23" ht="15.75" x14ac:dyDescent="0.25">
      <c r="A1248" s="48" t="s">
        <v>50</v>
      </c>
      <c r="B1248" s="49">
        <v>45336</v>
      </c>
      <c r="C1248" s="48" t="s">
        <v>916</v>
      </c>
      <c r="D1248" s="48" t="s">
        <v>441</v>
      </c>
      <c r="E1248" s="48" t="s">
        <v>856</v>
      </c>
      <c r="F1248" s="48" t="s">
        <v>21</v>
      </c>
      <c r="G1248" s="48" t="s">
        <v>22</v>
      </c>
      <c r="H1248" s="48" t="s">
        <v>27</v>
      </c>
      <c r="I1248" s="48" t="s">
        <v>51</v>
      </c>
      <c r="J1248" s="48" t="s">
        <v>24</v>
      </c>
      <c r="K1248" s="48" t="s">
        <v>22</v>
      </c>
      <c r="L1248" s="48" t="s">
        <v>1132</v>
      </c>
      <c r="M1248" s="48" t="s">
        <v>26</v>
      </c>
      <c r="N1248" s="48" t="s">
        <v>20</v>
      </c>
      <c r="O1248" s="48" t="s">
        <v>857</v>
      </c>
      <c r="P1248" s="50">
        <v>1133900</v>
      </c>
      <c r="Q1248" s="50">
        <v>1</v>
      </c>
      <c r="R1248" s="50">
        <v>1133900</v>
      </c>
      <c r="S1248" s="74">
        <v>45413</v>
      </c>
      <c r="T1248" s="48" t="s">
        <v>28</v>
      </c>
      <c r="U1248" s="48" t="s">
        <v>22</v>
      </c>
      <c r="V1248" s="48" t="s">
        <v>857</v>
      </c>
      <c r="W1248" s="48"/>
    </row>
    <row r="1249" spans="1:23" ht="15.75" x14ac:dyDescent="0.25">
      <c r="A1249" s="48" t="s">
        <v>253</v>
      </c>
      <c r="B1249" s="49">
        <v>45365</v>
      </c>
      <c r="C1249" s="48" t="s">
        <v>930</v>
      </c>
      <c r="D1249" s="48" t="s">
        <v>1184</v>
      </c>
      <c r="E1249" s="48" t="s">
        <v>856</v>
      </c>
      <c r="F1249" s="48" t="s">
        <v>21</v>
      </c>
      <c r="G1249" s="48" t="s">
        <v>22</v>
      </c>
      <c r="H1249" s="48" t="s">
        <v>27</v>
      </c>
      <c r="I1249" s="48" t="s">
        <v>30</v>
      </c>
      <c r="J1249" s="48" t="s">
        <v>1791</v>
      </c>
      <c r="K1249" s="48" t="s">
        <v>22</v>
      </c>
      <c r="L1249" s="48" t="s">
        <v>1132</v>
      </c>
      <c r="M1249" s="48" t="s">
        <v>31</v>
      </c>
      <c r="N1249" s="48" t="s">
        <v>20</v>
      </c>
      <c r="O1249" s="48" t="s">
        <v>857</v>
      </c>
      <c r="P1249" s="50">
        <v>277420.32</v>
      </c>
      <c r="Q1249" s="50">
        <v>4.74</v>
      </c>
      <c r="R1249" s="50">
        <v>1314972.3168000001</v>
      </c>
      <c r="S1249" s="74">
        <v>45411</v>
      </c>
      <c r="T1249" s="48" t="s">
        <v>32</v>
      </c>
      <c r="U1249" s="48" t="s">
        <v>22</v>
      </c>
      <c r="V1249" s="48" t="s">
        <v>857</v>
      </c>
      <c r="W1249" s="48"/>
    </row>
    <row r="1250" spans="1:23" ht="15.75" x14ac:dyDescent="0.25">
      <c r="A1250" s="48" t="s">
        <v>29</v>
      </c>
      <c r="B1250" s="49">
        <v>45368</v>
      </c>
      <c r="C1250" s="48" t="s">
        <v>927</v>
      </c>
      <c r="D1250" s="48" t="s">
        <v>1184</v>
      </c>
      <c r="E1250" s="48" t="s">
        <v>856</v>
      </c>
      <c r="F1250" s="48" t="s">
        <v>21</v>
      </c>
      <c r="G1250" s="48" t="s">
        <v>22</v>
      </c>
      <c r="H1250" s="48" t="s">
        <v>27</v>
      </c>
      <c r="I1250" s="48" t="s">
        <v>30</v>
      </c>
      <c r="J1250" s="48" t="s">
        <v>1791</v>
      </c>
      <c r="K1250" s="48" t="s">
        <v>22</v>
      </c>
      <c r="L1250" s="48" t="s">
        <v>1132</v>
      </c>
      <c r="M1250" s="48" t="s">
        <v>31</v>
      </c>
      <c r="N1250" s="48" t="s">
        <v>20</v>
      </c>
      <c r="O1250" s="48" t="s">
        <v>857</v>
      </c>
      <c r="P1250" s="50">
        <v>511248.13</v>
      </c>
      <c r="Q1250" s="50">
        <v>4.74</v>
      </c>
      <c r="R1250" s="50">
        <v>2423316.1362000001</v>
      </c>
      <c r="S1250" s="74">
        <v>45411</v>
      </c>
      <c r="T1250" s="48" t="s">
        <v>32</v>
      </c>
      <c r="U1250" s="48" t="s">
        <v>22</v>
      </c>
      <c r="V1250" s="48" t="s">
        <v>857</v>
      </c>
      <c r="W1250" s="48"/>
    </row>
    <row r="1251" spans="1:23" ht="15.75" x14ac:dyDescent="0.25">
      <c r="A1251" s="48" t="s">
        <v>40</v>
      </c>
      <c r="B1251" s="49">
        <v>45010</v>
      </c>
      <c r="C1251" s="48" t="s">
        <v>924</v>
      </c>
      <c r="D1251" s="48" t="s">
        <v>441</v>
      </c>
      <c r="E1251" s="48" t="s">
        <v>856</v>
      </c>
      <c r="F1251" s="48" t="s">
        <v>21</v>
      </c>
      <c r="G1251" s="48" t="s">
        <v>22</v>
      </c>
      <c r="H1251" s="48" t="s">
        <v>27</v>
      </c>
      <c r="I1251" s="48" t="s">
        <v>41</v>
      </c>
      <c r="J1251" s="48" t="s">
        <v>24</v>
      </c>
      <c r="K1251" s="48" t="s">
        <v>22</v>
      </c>
      <c r="L1251" s="48" t="s">
        <v>1132</v>
      </c>
      <c r="M1251" s="48" t="s">
        <v>26</v>
      </c>
      <c r="N1251" s="48" t="s">
        <v>20</v>
      </c>
      <c r="O1251" s="48" t="s">
        <v>857</v>
      </c>
      <c r="P1251" s="50">
        <v>253995.3</v>
      </c>
      <c r="Q1251" s="50">
        <v>1</v>
      </c>
      <c r="R1251" s="50">
        <v>253995.3</v>
      </c>
      <c r="S1251" s="74">
        <v>45410</v>
      </c>
      <c r="T1251" s="48" t="s">
        <v>35</v>
      </c>
      <c r="U1251" s="48" t="s">
        <v>22</v>
      </c>
      <c r="V1251" s="48" t="s">
        <v>857</v>
      </c>
      <c r="W1251" s="48"/>
    </row>
    <row r="1252" spans="1:23" ht="15.75" x14ac:dyDescent="0.25">
      <c r="A1252" s="48" t="s">
        <v>306</v>
      </c>
      <c r="B1252" s="49">
        <v>45398</v>
      </c>
      <c r="C1252" s="48" t="s">
        <v>980</v>
      </c>
      <c r="D1252" s="48" t="s">
        <v>1118</v>
      </c>
      <c r="E1252" s="48" t="s">
        <v>856</v>
      </c>
      <c r="F1252" s="48" t="s">
        <v>62</v>
      </c>
      <c r="G1252" s="48" t="s">
        <v>70</v>
      </c>
      <c r="H1252" s="48" t="s">
        <v>70</v>
      </c>
      <c r="I1252" s="48" t="s">
        <v>307</v>
      </c>
      <c r="J1252" s="48" t="s">
        <v>72</v>
      </c>
      <c r="K1252" s="48" t="s">
        <v>213</v>
      </c>
      <c r="L1252" s="48" t="s">
        <v>1134</v>
      </c>
      <c r="M1252" s="48" t="s">
        <v>67</v>
      </c>
      <c r="N1252" s="48" t="s">
        <v>20</v>
      </c>
      <c r="O1252" s="48" t="s">
        <v>857</v>
      </c>
      <c r="P1252" s="50">
        <v>540720.81000000006</v>
      </c>
      <c r="Q1252" s="50">
        <v>4.5848000064688499</v>
      </c>
      <c r="R1252" s="50">
        <v>2479096.7731858422</v>
      </c>
      <c r="S1252" s="74">
        <v>45410</v>
      </c>
      <c r="T1252" s="48" t="s">
        <v>308</v>
      </c>
      <c r="U1252" s="48" t="s">
        <v>213</v>
      </c>
      <c r="V1252" s="48" t="s">
        <v>857</v>
      </c>
      <c r="W1252" s="48"/>
    </row>
    <row r="1253" spans="1:23" ht="15.75" x14ac:dyDescent="0.25">
      <c r="A1253" s="48" t="s">
        <v>257</v>
      </c>
      <c r="B1253" s="49">
        <v>45377</v>
      </c>
      <c r="C1253" s="48" t="s">
        <v>916</v>
      </c>
      <c r="D1253" s="48" t="s">
        <v>441</v>
      </c>
      <c r="E1253" s="48" t="s">
        <v>856</v>
      </c>
      <c r="F1253" s="48" t="s">
        <v>21</v>
      </c>
      <c r="G1253" s="48" t="s">
        <v>22</v>
      </c>
      <c r="H1253" s="48" t="s">
        <v>27</v>
      </c>
      <c r="I1253" s="48" t="s">
        <v>23</v>
      </c>
      <c r="J1253" s="48" t="s">
        <v>24</v>
      </c>
      <c r="K1253" s="48" t="s">
        <v>22</v>
      </c>
      <c r="L1253" s="48" t="s">
        <v>1132</v>
      </c>
      <c r="M1253" s="48" t="s">
        <v>26</v>
      </c>
      <c r="N1253" s="48" t="s">
        <v>20</v>
      </c>
      <c r="O1253" s="48" t="s">
        <v>857</v>
      </c>
      <c r="P1253" s="50">
        <v>2000000</v>
      </c>
      <c r="Q1253" s="50">
        <v>1</v>
      </c>
      <c r="R1253" s="50">
        <v>2000000</v>
      </c>
      <c r="S1253" s="74">
        <v>45410</v>
      </c>
      <c r="T1253" s="48" t="s">
        <v>117</v>
      </c>
      <c r="U1253" s="48" t="s">
        <v>22</v>
      </c>
      <c r="V1253" s="48" t="s">
        <v>857</v>
      </c>
      <c r="W1253" s="48"/>
    </row>
    <row r="1254" spans="1:23" ht="15.75" x14ac:dyDescent="0.25">
      <c r="A1254" s="48" t="s">
        <v>257</v>
      </c>
      <c r="B1254" s="49">
        <v>45377</v>
      </c>
      <c r="C1254" s="48" t="s">
        <v>918</v>
      </c>
      <c r="D1254" s="48" t="s">
        <v>441</v>
      </c>
      <c r="E1254" s="48" t="s">
        <v>856</v>
      </c>
      <c r="F1254" s="48" t="s">
        <v>21</v>
      </c>
      <c r="G1254" s="48" t="s">
        <v>22</v>
      </c>
      <c r="H1254" s="48" t="s">
        <v>27</v>
      </c>
      <c r="I1254" s="48" t="s">
        <v>23</v>
      </c>
      <c r="J1254" s="48" t="s">
        <v>24</v>
      </c>
      <c r="K1254" s="48" t="s">
        <v>22</v>
      </c>
      <c r="L1254" s="48" t="s">
        <v>1132</v>
      </c>
      <c r="M1254" s="48" t="s">
        <v>26</v>
      </c>
      <c r="N1254" s="48" t="s">
        <v>20</v>
      </c>
      <c r="O1254" s="48" t="s">
        <v>857</v>
      </c>
      <c r="P1254" s="50">
        <v>2000000</v>
      </c>
      <c r="Q1254" s="50">
        <v>1</v>
      </c>
      <c r="R1254" s="50">
        <v>2000000</v>
      </c>
      <c r="S1254" s="74">
        <v>45410</v>
      </c>
      <c r="T1254" s="48" t="s">
        <v>117</v>
      </c>
      <c r="U1254" s="48" t="s">
        <v>22</v>
      </c>
      <c r="V1254" s="48" t="s">
        <v>857</v>
      </c>
      <c r="W1254" s="48"/>
    </row>
    <row r="1255" spans="1:23" ht="15.75" x14ac:dyDescent="0.25">
      <c r="A1255" s="48" t="s">
        <v>42</v>
      </c>
      <c r="B1255" s="49">
        <v>45409</v>
      </c>
      <c r="C1255" s="48" t="s">
        <v>918</v>
      </c>
      <c r="D1255" s="48" t="s">
        <v>441</v>
      </c>
      <c r="E1255" s="48" t="s">
        <v>856</v>
      </c>
      <c r="F1255" s="48" t="s">
        <v>21</v>
      </c>
      <c r="G1255" s="48" t="s">
        <v>22</v>
      </c>
      <c r="H1255" s="48" t="s">
        <v>27</v>
      </c>
      <c r="I1255" s="48" t="s">
        <v>43</v>
      </c>
      <c r="J1255" s="48" t="s">
        <v>24</v>
      </c>
      <c r="K1255" s="48" t="s">
        <v>22</v>
      </c>
      <c r="L1255" s="48" t="s">
        <v>1132</v>
      </c>
      <c r="M1255" s="48" t="s">
        <v>26</v>
      </c>
      <c r="N1255" s="48" t="s">
        <v>20</v>
      </c>
      <c r="O1255" s="48" t="s">
        <v>857</v>
      </c>
      <c r="P1255" s="50">
        <v>440849.56</v>
      </c>
      <c r="Q1255" s="50">
        <v>1</v>
      </c>
      <c r="R1255" s="50">
        <v>440849.56</v>
      </c>
      <c r="S1255" s="74">
        <v>45409</v>
      </c>
      <c r="T1255" s="48" t="s">
        <v>28</v>
      </c>
      <c r="U1255" s="48" t="s">
        <v>22</v>
      </c>
      <c r="V1255" s="48" t="s">
        <v>857</v>
      </c>
      <c r="W1255" s="48"/>
    </row>
    <row r="1256" spans="1:23" ht="15.75" x14ac:dyDescent="0.25">
      <c r="A1256" s="48" t="s">
        <v>240</v>
      </c>
      <c r="B1256" s="49">
        <v>45361</v>
      </c>
      <c r="C1256" s="48" t="s">
        <v>916</v>
      </c>
      <c r="D1256" s="48" t="s">
        <v>441</v>
      </c>
      <c r="E1256" s="48" t="s">
        <v>856</v>
      </c>
      <c r="F1256" s="48" t="s">
        <v>21</v>
      </c>
      <c r="G1256" s="48" t="s">
        <v>22</v>
      </c>
      <c r="H1256" s="48" t="s">
        <v>27</v>
      </c>
      <c r="I1256" s="48" t="s">
        <v>237</v>
      </c>
      <c r="J1256" s="48" t="s">
        <v>24</v>
      </c>
      <c r="K1256" s="48" t="s">
        <v>22</v>
      </c>
      <c r="L1256" s="48" t="s">
        <v>1132</v>
      </c>
      <c r="M1256" s="48" t="s">
        <v>26</v>
      </c>
      <c r="N1256" s="48" t="s">
        <v>20</v>
      </c>
      <c r="O1256" s="48" t="s">
        <v>857</v>
      </c>
      <c r="P1256" s="50">
        <v>1000000</v>
      </c>
      <c r="Q1256" s="50">
        <v>1</v>
      </c>
      <c r="R1256" s="50">
        <v>1000000</v>
      </c>
      <c r="S1256" s="74">
        <v>45407</v>
      </c>
      <c r="T1256" s="48" t="s">
        <v>917</v>
      </c>
      <c r="U1256" s="48" t="s">
        <v>22</v>
      </c>
      <c r="V1256" s="48" t="s">
        <v>857</v>
      </c>
      <c r="W1256" s="48"/>
    </row>
    <row r="1257" spans="1:23" ht="15.75" x14ac:dyDescent="0.25">
      <c r="A1257" s="48" t="s">
        <v>306</v>
      </c>
      <c r="B1257" s="49">
        <v>45406</v>
      </c>
      <c r="C1257" s="48" t="s">
        <v>981</v>
      </c>
      <c r="D1257" s="48" t="s">
        <v>1118</v>
      </c>
      <c r="E1257" s="48" t="s">
        <v>856</v>
      </c>
      <c r="F1257" s="48" t="s">
        <v>62</v>
      </c>
      <c r="G1257" s="48" t="s">
        <v>70</v>
      </c>
      <c r="H1257" s="48" t="s">
        <v>70</v>
      </c>
      <c r="I1257" s="48" t="s">
        <v>307</v>
      </c>
      <c r="J1257" s="48" t="s">
        <v>72</v>
      </c>
      <c r="K1257" s="48" t="s">
        <v>213</v>
      </c>
      <c r="L1257" s="48" t="s">
        <v>1134</v>
      </c>
      <c r="M1257" s="48" t="s">
        <v>67</v>
      </c>
      <c r="N1257" s="48" t="s">
        <v>20</v>
      </c>
      <c r="O1257" s="48" t="s">
        <v>857</v>
      </c>
      <c r="P1257" s="50">
        <v>756730.07</v>
      </c>
      <c r="Q1257" s="50">
        <v>4.5848000064688499</v>
      </c>
      <c r="R1257" s="50">
        <v>3469456.0298311729</v>
      </c>
      <c r="S1257" s="74">
        <v>45407</v>
      </c>
      <c r="T1257" s="48" t="s">
        <v>308</v>
      </c>
      <c r="U1257" s="48" t="s">
        <v>213</v>
      </c>
      <c r="V1257" s="48" t="s">
        <v>857</v>
      </c>
      <c r="W1257" s="48"/>
    </row>
    <row r="1258" spans="1:23" ht="15.75" x14ac:dyDescent="0.25">
      <c r="A1258" s="48" t="s">
        <v>306</v>
      </c>
      <c r="B1258" s="49">
        <v>45398</v>
      </c>
      <c r="C1258" s="48" t="s">
        <v>982</v>
      </c>
      <c r="D1258" s="48" t="s">
        <v>1118</v>
      </c>
      <c r="E1258" s="48" t="s">
        <v>856</v>
      </c>
      <c r="F1258" s="48" t="s">
        <v>62</v>
      </c>
      <c r="G1258" s="48" t="s">
        <v>70</v>
      </c>
      <c r="H1258" s="48" t="s">
        <v>70</v>
      </c>
      <c r="I1258" s="48" t="s">
        <v>307</v>
      </c>
      <c r="J1258" s="48" t="s">
        <v>72</v>
      </c>
      <c r="K1258" s="48" t="s">
        <v>213</v>
      </c>
      <c r="L1258" s="48" t="s">
        <v>1134</v>
      </c>
      <c r="M1258" s="48" t="s">
        <v>67</v>
      </c>
      <c r="N1258" s="48" t="s">
        <v>20</v>
      </c>
      <c r="O1258" s="48" t="s">
        <v>857</v>
      </c>
      <c r="P1258" s="50">
        <v>405615.09</v>
      </c>
      <c r="Q1258" s="50">
        <v>4.5848000064688499</v>
      </c>
      <c r="R1258" s="50">
        <v>1859664.0672558632</v>
      </c>
      <c r="S1258" s="74">
        <v>45406</v>
      </c>
      <c r="T1258" s="48" t="s">
        <v>308</v>
      </c>
      <c r="U1258" s="48" t="s">
        <v>213</v>
      </c>
      <c r="V1258" s="48" t="s">
        <v>857</v>
      </c>
      <c r="W1258" s="48"/>
    </row>
    <row r="1259" spans="1:23" ht="15.75" x14ac:dyDescent="0.25">
      <c r="A1259" s="48" t="s">
        <v>306</v>
      </c>
      <c r="B1259" s="49">
        <v>45393</v>
      </c>
      <c r="C1259" s="48" t="s">
        <v>984</v>
      </c>
      <c r="D1259" s="48" t="s">
        <v>1118</v>
      </c>
      <c r="E1259" s="48" t="s">
        <v>856</v>
      </c>
      <c r="F1259" s="48" t="s">
        <v>62</v>
      </c>
      <c r="G1259" s="48" t="s">
        <v>70</v>
      </c>
      <c r="H1259" s="48" t="s">
        <v>70</v>
      </c>
      <c r="I1259" s="48" t="s">
        <v>307</v>
      </c>
      <c r="J1259" s="48" t="s">
        <v>72</v>
      </c>
      <c r="K1259" s="48" t="s">
        <v>213</v>
      </c>
      <c r="L1259" s="48" t="s">
        <v>1134</v>
      </c>
      <c r="M1259" s="48" t="s">
        <v>67</v>
      </c>
      <c r="N1259" s="48" t="s">
        <v>20</v>
      </c>
      <c r="O1259" s="48" t="s">
        <v>857</v>
      </c>
      <c r="P1259" s="50">
        <v>431495.06</v>
      </c>
      <c r="Q1259" s="50">
        <v>4.5848000064688499</v>
      </c>
      <c r="R1259" s="50">
        <v>1978318.5538792768</v>
      </c>
      <c r="S1259" s="74">
        <v>45404</v>
      </c>
      <c r="T1259" s="48" t="s">
        <v>308</v>
      </c>
      <c r="U1259" s="48" t="s">
        <v>213</v>
      </c>
      <c r="V1259" s="48" t="s">
        <v>857</v>
      </c>
      <c r="W1259" s="48"/>
    </row>
    <row r="1260" spans="1:23" ht="15.75" x14ac:dyDescent="0.25">
      <c r="A1260" s="48" t="s">
        <v>306</v>
      </c>
      <c r="B1260" s="49">
        <v>45393</v>
      </c>
      <c r="C1260" s="48" t="s">
        <v>983</v>
      </c>
      <c r="D1260" s="48" t="s">
        <v>1118</v>
      </c>
      <c r="E1260" s="48" t="s">
        <v>856</v>
      </c>
      <c r="F1260" s="48" t="s">
        <v>62</v>
      </c>
      <c r="G1260" s="48" t="s">
        <v>70</v>
      </c>
      <c r="H1260" s="48" t="s">
        <v>70</v>
      </c>
      <c r="I1260" s="48" t="s">
        <v>307</v>
      </c>
      <c r="J1260" s="48" t="s">
        <v>72</v>
      </c>
      <c r="K1260" s="48" t="s">
        <v>213</v>
      </c>
      <c r="L1260" s="48" t="s">
        <v>1134</v>
      </c>
      <c r="M1260" s="48" t="s">
        <v>67</v>
      </c>
      <c r="N1260" s="48" t="s">
        <v>20</v>
      </c>
      <c r="O1260" s="48" t="s">
        <v>857</v>
      </c>
      <c r="P1260" s="50">
        <v>958027.06</v>
      </c>
      <c r="Q1260" s="50">
        <v>4.5848000064688499</v>
      </c>
      <c r="R1260" s="50">
        <v>4392362.4708853336</v>
      </c>
      <c r="S1260" s="74">
        <v>45404</v>
      </c>
      <c r="T1260" s="48" t="s">
        <v>308</v>
      </c>
      <c r="U1260" s="48" t="s">
        <v>213</v>
      </c>
      <c r="V1260" s="48" t="s">
        <v>857</v>
      </c>
      <c r="W1260" s="48"/>
    </row>
    <row r="1261" spans="1:23" ht="15.75" x14ac:dyDescent="0.25">
      <c r="A1261" s="48" t="s">
        <v>306</v>
      </c>
      <c r="B1261" s="49">
        <v>45384</v>
      </c>
      <c r="C1261" s="48" t="s">
        <v>985</v>
      </c>
      <c r="D1261" s="48" t="s">
        <v>1118</v>
      </c>
      <c r="E1261" s="48" t="s">
        <v>856</v>
      </c>
      <c r="F1261" s="48" t="s">
        <v>62</v>
      </c>
      <c r="G1261" s="48" t="s">
        <v>70</v>
      </c>
      <c r="H1261" s="48" t="s">
        <v>70</v>
      </c>
      <c r="I1261" s="48" t="s">
        <v>307</v>
      </c>
      <c r="J1261" s="48" t="s">
        <v>72</v>
      </c>
      <c r="K1261" s="48" t="s">
        <v>213</v>
      </c>
      <c r="L1261" s="48" t="s">
        <v>1134</v>
      </c>
      <c r="M1261" s="48" t="s">
        <v>67</v>
      </c>
      <c r="N1261" s="48" t="s">
        <v>20</v>
      </c>
      <c r="O1261" s="48" t="s">
        <v>857</v>
      </c>
      <c r="P1261" s="50">
        <v>851617.66</v>
      </c>
      <c r="Q1261" s="50">
        <v>4.5848000064688499</v>
      </c>
      <c r="R1261" s="50">
        <v>3904496.6530769868</v>
      </c>
      <c r="S1261" s="74">
        <v>45398</v>
      </c>
      <c r="T1261" s="48" t="s">
        <v>308</v>
      </c>
      <c r="U1261" s="48" t="s">
        <v>213</v>
      </c>
      <c r="V1261" s="48" t="s">
        <v>857</v>
      </c>
      <c r="W1261" s="48"/>
    </row>
    <row r="1262" spans="1:23" ht="15.75" x14ac:dyDescent="0.25">
      <c r="A1262" s="48" t="s">
        <v>241</v>
      </c>
      <c r="B1262" s="49">
        <v>45361</v>
      </c>
      <c r="C1262" s="48" t="s">
        <v>916</v>
      </c>
      <c r="D1262" s="48" t="s">
        <v>441</v>
      </c>
      <c r="E1262" s="48" t="s">
        <v>856</v>
      </c>
      <c r="F1262" s="48" t="s">
        <v>21</v>
      </c>
      <c r="G1262" s="48" t="s">
        <v>22</v>
      </c>
      <c r="H1262" s="48" t="s">
        <v>27</v>
      </c>
      <c r="I1262" s="48" t="s">
        <v>131</v>
      </c>
      <c r="J1262" s="48" t="s">
        <v>24</v>
      </c>
      <c r="K1262" s="48" t="s">
        <v>22</v>
      </c>
      <c r="L1262" s="48" t="s">
        <v>1132</v>
      </c>
      <c r="M1262" s="48" t="s">
        <v>26</v>
      </c>
      <c r="N1262" s="48" t="s">
        <v>20</v>
      </c>
      <c r="O1262" s="48" t="s">
        <v>857</v>
      </c>
      <c r="P1262" s="50">
        <v>1050000</v>
      </c>
      <c r="Q1262" s="50">
        <v>1</v>
      </c>
      <c r="R1262" s="50">
        <v>1050000</v>
      </c>
      <c r="S1262" s="74">
        <v>45397</v>
      </c>
      <c r="T1262" s="48" t="s">
        <v>917</v>
      </c>
      <c r="U1262" s="48" t="s">
        <v>22</v>
      </c>
      <c r="V1262" s="48" t="s">
        <v>857</v>
      </c>
      <c r="W1262" s="48"/>
    </row>
    <row r="1263" spans="1:23" ht="15.75" x14ac:dyDescent="0.25">
      <c r="A1263" s="48" t="s">
        <v>91</v>
      </c>
      <c r="B1263" s="49">
        <v>45432</v>
      </c>
      <c r="C1263" s="48" t="s">
        <v>924</v>
      </c>
      <c r="D1263" s="48" t="s">
        <v>1118</v>
      </c>
      <c r="E1263" s="48" t="s">
        <v>856</v>
      </c>
      <c r="F1263" s="48" t="s">
        <v>62</v>
      </c>
      <c r="G1263" s="48" t="s">
        <v>63</v>
      </c>
      <c r="H1263" s="48" t="s">
        <v>27</v>
      </c>
      <c r="I1263" s="48" t="s">
        <v>71</v>
      </c>
      <c r="J1263" s="48" t="s">
        <v>72</v>
      </c>
      <c r="K1263" s="48" t="s">
        <v>213</v>
      </c>
      <c r="L1263" s="48" t="s">
        <v>1134</v>
      </c>
      <c r="M1263" s="48" t="s">
        <v>67</v>
      </c>
      <c r="N1263" s="48" t="s">
        <v>20</v>
      </c>
      <c r="O1263" s="48" t="s">
        <v>857</v>
      </c>
      <c r="P1263" s="50">
        <v>76666.710000000006</v>
      </c>
      <c r="Q1263" s="50">
        <v>4.09</v>
      </c>
      <c r="R1263" s="50">
        <v>313566.84390000004</v>
      </c>
      <c r="S1263" s="74">
        <v>45390</v>
      </c>
      <c r="T1263" s="48" t="s">
        <v>917</v>
      </c>
      <c r="U1263" s="48" t="s">
        <v>213</v>
      </c>
      <c r="V1263" s="48" t="s">
        <v>857</v>
      </c>
      <c r="W1263" s="48"/>
    </row>
    <row r="1264" spans="1:23" ht="15.75" x14ac:dyDescent="0.25">
      <c r="A1264" s="48" t="s">
        <v>69</v>
      </c>
      <c r="B1264" s="49">
        <v>45019</v>
      </c>
      <c r="C1264" s="48" t="s">
        <v>933</v>
      </c>
      <c r="D1264" s="48" t="s">
        <v>1118</v>
      </c>
      <c r="E1264" s="48" t="s">
        <v>856</v>
      </c>
      <c r="F1264" s="48" t="s">
        <v>62</v>
      </c>
      <c r="G1264" s="48" t="s">
        <v>70</v>
      </c>
      <c r="H1264" s="48" t="s">
        <v>70</v>
      </c>
      <c r="I1264" s="48" t="s">
        <v>71</v>
      </c>
      <c r="J1264" s="48" t="s">
        <v>72</v>
      </c>
      <c r="K1264" s="48" t="s">
        <v>213</v>
      </c>
      <c r="L1264" s="48" t="s">
        <v>1134</v>
      </c>
      <c r="M1264" s="48" t="s">
        <v>67</v>
      </c>
      <c r="N1264" s="48" t="s">
        <v>20</v>
      </c>
      <c r="O1264" s="48" t="s">
        <v>857</v>
      </c>
      <c r="P1264" s="50">
        <v>1294526.92</v>
      </c>
      <c r="Q1264" s="50">
        <v>4.0119999999999996</v>
      </c>
      <c r="R1264" s="50">
        <v>5193642.0030399989</v>
      </c>
      <c r="S1264" s="74">
        <v>45386</v>
      </c>
      <c r="T1264" s="48" t="s">
        <v>74</v>
      </c>
      <c r="U1264" s="48" t="s">
        <v>213</v>
      </c>
      <c r="V1264" s="48" t="s">
        <v>857</v>
      </c>
      <c r="W1264" s="48" t="s">
        <v>860</v>
      </c>
    </row>
    <row r="1265" spans="1:23" ht="15.75" x14ac:dyDescent="0.25">
      <c r="A1265" s="48" t="s">
        <v>306</v>
      </c>
      <c r="B1265" s="49">
        <v>45371</v>
      </c>
      <c r="C1265" s="48" t="s">
        <v>986</v>
      </c>
      <c r="D1265" s="48" t="s">
        <v>1118</v>
      </c>
      <c r="E1265" s="48" t="s">
        <v>856</v>
      </c>
      <c r="F1265" s="48" t="s">
        <v>62</v>
      </c>
      <c r="G1265" s="48" t="s">
        <v>70</v>
      </c>
      <c r="H1265" s="48" t="s">
        <v>70</v>
      </c>
      <c r="I1265" s="48" t="s">
        <v>307</v>
      </c>
      <c r="J1265" s="48" t="s">
        <v>72</v>
      </c>
      <c r="K1265" s="48" t="s">
        <v>213</v>
      </c>
      <c r="L1265" s="48" t="s">
        <v>1134</v>
      </c>
      <c r="M1265" s="48" t="s">
        <v>67</v>
      </c>
      <c r="N1265" s="48" t="s">
        <v>20</v>
      </c>
      <c r="O1265" s="48" t="s">
        <v>857</v>
      </c>
      <c r="P1265" s="50">
        <v>373181.36</v>
      </c>
      <c r="Q1265" s="50">
        <v>4.5848000064688499</v>
      </c>
      <c r="R1265" s="50">
        <v>1710961.9017420541</v>
      </c>
      <c r="S1265" s="74">
        <v>45386</v>
      </c>
      <c r="T1265" s="48" t="s">
        <v>308</v>
      </c>
      <c r="U1265" s="48" t="s">
        <v>213</v>
      </c>
      <c r="V1265" s="48" t="s">
        <v>857</v>
      </c>
      <c r="W1265" s="48"/>
    </row>
    <row r="1266" spans="1:23" ht="15.75" x14ac:dyDescent="0.25">
      <c r="A1266" s="48" t="s">
        <v>306</v>
      </c>
      <c r="B1266" s="49">
        <v>45365</v>
      </c>
      <c r="C1266" s="48" t="s">
        <v>987</v>
      </c>
      <c r="D1266" s="48" t="s">
        <v>1118</v>
      </c>
      <c r="E1266" s="48" t="s">
        <v>856</v>
      </c>
      <c r="F1266" s="48" t="s">
        <v>62</v>
      </c>
      <c r="G1266" s="48" t="s">
        <v>70</v>
      </c>
      <c r="H1266" s="48" t="s">
        <v>70</v>
      </c>
      <c r="I1266" s="48" t="s">
        <v>307</v>
      </c>
      <c r="J1266" s="48" t="s">
        <v>72</v>
      </c>
      <c r="K1266" s="48" t="s">
        <v>213</v>
      </c>
      <c r="L1266" s="48" t="s">
        <v>1134</v>
      </c>
      <c r="M1266" s="48" t="s">
        <v>67</v>
      </c>
      <c r="N1266" s="48" t="s">
        <v>20</v>
      </c>
      <c r="O1266" s="48" t="s">
        <v>857</v>
      </c>
      <c r="P1266" s="50">
        <v>69591.710000000006</v>
      </c>
      <c r="Q1266" s="50">
        <v>4.5848000064688499</v>
      </c>
      <c r="R1266" s="50">
        <v>319064.07245817833</v>
      </c>
      <c r="S1266" s="74">
        <v>45386</v>
      </c>
      <c r="T1266" s="48" t="s">
        <v>308</v>
      </c>
      <c r="U1266" s="48" t="s">
        <v>213</v>
      </c>
      <c r="V1266" s="48" t="s">
        <v>857</v>
      </c>
      <c r="W1266" s="48"/>
    </row>
    <row r="1267" spans="1:23" ht="15.75" x14ac:dyDescent="0.25">
      <c r="A1267" s="48" t="s">
        <v>253</v>
      </c>
      <c r="B1267" s="49">
        <v>44977</v>
      </c>
      <c r="C1267" s="48" t="s">
        <v>929</v>
      </c>
      <c r="D1267" s="48" t="s">
        <v>1184</v>
      </c>
      <c r="E1267" s="48" t="s">
        <v>856</v>
      </c>
      <c r="F1267" s="48" t="s">
        <v>21</v>
      </c>
      <c r="G1267" s="48" t="s">
        <v>22</v>
      </c>
      <c r="H1267" s="48" t="s">
        <v>27</v>
      </c>
      <c r="I1267" s="48" t="s">
        <v>30</v>
      </c>
      <c r="J1267" s="48" t="s">
        <v>1791</v>
      </c>
      <c r="K1267" s="48" t="s">
        <v>22</v>
      </c>
      <c r="L1267" s="48" t="s">
        <v>1132</v>
      </c>
      <c r="M1267" s="48" t="s">
        <v>31</v>
      </c>
      <c r="N1267" s="48" t="s">
        <v>20</v>
      </c>
      <c r="O1267" s="48" t="s">
        <v>857</v>
      </c>
      <c r="P1267" s="50">
        <v>5195.83</v>
      </c>
      <c r="Q1267" s="50">
        <v>4.7699999999999996</v>
      </c>
      <c r="R1267" s="50">
        <v>24784.109099999998</v>
      </c>
      <c r="S1267" s="74">
        <v>45386</v>
      </c>
      <c r="T1267" s="48" t="s">
        <v>32</v>
      </c>
      <c r="U1267" s="48" t="s">
        <v>22</v>
      </c>
      <c r="V1267" s="48" t="s">
        <v>857</v>
      </c>
      <c r="W1267" s="48"/>
    </row>
    <row r="1268" spans="1:23" ht="15.75" x14ac:dyDescent="0.25">
      <c r="A1268" s="48" t="s">
        <v>29</v>
      </c>
      <c r="B1268" s="49">
        <v>45336</v>
      </c>
      <c r="C1268" s="48" t="s">
        <v>931</v>
      </c>
      <c r="D1268" s="48" t="s">
        <v>1184</v>
      </c>
      <c r="E1268" s="48" t="s">
        <v>856</v>
      </c>
      <c r="F1268" s="48" t="s">
        <v>21</v>
      </c>
      <c r="G1268" s="48" t="s">
        <v>22</v>
      </c>
      <c r="H1268" s="48" t="s">
        <v>27</v>
      </c>
      <c r="I1268" s="48" t="s">
        <v>30</v>
      </c>
      <c r="J1268" s="48" t="s">
        <v>1791</v>
      </c>
      <c r="K1268" s="48" t="s">
        <v>22</v>
      </c>
      <c r="L1268" s="48" t="s">
        <v>1132</v>
      </c>
      <c r="M1268" s="48" t="s">
        <v>31</v>
      </c>
      <c r="N1268" s="48" t="s">
        <v>20</v>
      </c>
      <c r="O1268" s="48" t="s">
        <v>857</v>
      </c>
      <c r="P1268" s="50">
        <v>4684.76</v>
      </c>
      <c r="Q1268" s="50">
        <v>4.7699999999999996</v>
      </c>
      <c r="R1268" s="50">
        <v>22346.305199999999</v>
      </c>
      <c r="S1268" s="74">
        <v>45384</v>
      </c>
      <c r="T1268" s="48" t="s">
        <v>32</v>
      </c>
      <c r="U1268" s="48" t="s">
        <v>22</v>
      </c>
      <c r="V1268" s="48" t="s">
        <v>857</v>
      </c>
      <c r="W1268" s="48"/>
    </row>
    <row r="1269" spans="1:23" ht="15.75" x14ac:dyDescent="0.25">
      <c r="A1269" s="48" t="s">
        <v>250</v>
      </c>
      <c r="B1269" s="49">
        <v>45357</v>
      </c>
      <c r="C1269" s="48" t="s">
        <v>924</v>
      </c>
      <c r="D1269" s="48" t="s">
        <v>1118</v>
      </c>
      <c r="E1269" s="48" t="s">
        <v>856</v>
      </c>
      <c r="F1269" s="48" t="s">
        <v>21</v>
      </c>
      <c r="G1269" s="48" t="s">
        <v>22</v>
      </c>
      <c r="H1269" s="48" t="s">
        <v>27</v>
      </c>
      <c r="I1269" s="48" t="s">
        <v>251</v>
      </c>
      <c r="J1269" s="48" t="s">
        <v>72</v>
      </c>
      <c r="K1269" s="48" t="s">
        <v>213</v>
      </c>
      <c r="L1269" s="48" t="s">
        <v>1134</v>
      </c>
      <c r="M1269" s="48" t="s">
        <v>67</v>
      </c>
      <c r="N1269" s="48" t="s">
        <v>20</v>
      </c>
      <c r="O1269" s="48" t="s">
        <v>857</v>
      </c>
      <c r="P1269" s="50">
        <v>326637.78000000003</v>
      </c>
      <c r="Q1269" s="50">
        <v>4.08</v>
      </c>
      <c r="R1269" s="50">
        <v>1332682.1424000002</v>
      </c>
      <c r="S1269" s="74">
        <v>45377</v>
      </c>
      <c r="T1269" s="48" t="s">
        <v>252</v>
      </c>
      <c r="U1269" s="48" t="s">
        <v>213</v>
      </c>
      <c r="V1269" s="48" t="s">
        <v>857</v>
      </c>
      <c r="W1269" s="48"/>
    </row>
    <row r="1270" spans="1:23" ht="15.75" x14ac:dyDescent="0.25">
      <c r="A1270" s="48" t="s">
        <v>306</v>
      </c>
      <c r="B1270" s="49">
        <v>45375</v>
      </c>
      <c r="C1270" s="48" t="s">
        <v>988</v>
      </c>
      <c r="D1270" s="48" t="s">
        <v>1118</v>
      </c>
      <c r="E1270" s="48" t="s">
        <v>856</v>
      </c>
      <c r="F1270" s="48" t="s">
        <v>62</v>
      </c>
      <c r="G1270" s="48" t="s">
        <v>70</v>
      </c>
      <c r="H1270" s="48" t="s">
        <v>70</v>
      </c>
      <c r="I1270" s="48" t="s">
        <v>307</v>
      </c>
      <c r="J1270" s="48" t="s">
        <v>72</v>
      </c>
      <c r="K1270" s="48" t="s">
        <v>213</v>
      </c>
      <c r="L1270" s="48" t="s">
        <v>1134</v>
      </c>
      <c r="M1270" s="48" t="s">
        <v>67</v>
      </c>
      <c r="N1270" s="48" t="s">
        <v>20</v>
      </c>
      <c r="O1270" s="48" t="s">
        <v>857</v>
      </c>
      <c r="P1270" s="50">
        <v>131670.47</v>
      </c>
      <c r="Q1270" s="50">
        <v>4.5848000064688499</v>
      </c>
      <c r="R1270" s="50">
        <v>603682.77170775656</v>
      </c>
      <c r="S1270" s="74">
        <v>45376</v>
      </c>
      <c r="T1270" s="48" t="s">
        <v>308</v>
      </c>
      <c r="U1270" s="48" t="s">
        <v>213</v>
      </c>
      <c r="V1270" s="48" t="s">
        <v>857</v>
      </c>
      <c r="W1270" s="48"/>
    </row>
    <row r="1271" spans="1:23" ht="15.75" x14ac:dyDescent="0.25">
      <c r="A1271" s="48" t="s">
        <v>306</v>
      </c>
      <c r="B1271" s="49">
        <v>45358</v>
      </c>
      <c r="C1271" s="48" t="s">
        <v>989</v>
      </c>
      <c r="D1271" s="48" t="s">
        <v>1118</v>
      </c>
      <c r="E1271" s="48" t="s">
        <v>856</v>
      </c>
      <c r="F1271" s="48" t="s">
        <v>62</v>
      </c>
      <c r="G1271" s="48" t="s">
        <v>70</v>
      </c>
      <c r="H1271" s="48" t="s">
        <v>70</v>
      </c>
      <c r="I1271" s="48" t="s">
        <v>307</v>
      </c>
      <c r="J1271" s="48" t="s">
        <v>72</v>
      </c>
      <c r="K1271" s="48" t="s">
        <v>213</v>
      </c>
      <c r="L1271" s="48" t="s">
        <v>1134</v>
      </c>
      <c r="M1271" s="48" t="s">
        <v>67</v>
      </c>
      <c r="N1271" s="48" t="s">
        <v>20</v>
      </c>
      <c r="O1271" s="48" t="s">
        <v>857</v>
      </c>
      <c r="P1271" s="50">
        <v>2524963.94</v>
      </c>
      <c r="Q1271" s="50">
        <v>4.5848000064688499</v>
      </c>
      <c r="R1271" s="50">
        <v>11576454.688445613</v>
      </c>
      <c r="S1271" s="74">
        <v>45371</v>
      </c>
      <c r="T1271" s="48" t="s">
        <v>308</v>
      </c>
      <c r="U1271" s="48" t="s">
        <v>213</v>
      </c>
      <c r="V1271" s="48" t="s">
        <v>857</v>
      </c>
      <c r="W1271" s="48"/>
    </row>
    <row r="1272" spans="1:23" ht="15.75" x14ac:dyDescent="0.25">
      <c r="A1272" s="48" t="s">
        <v>306</v>
      </c>
      <c r="B1272" s="49">
        <v>45362</v>
      </c>
      <c r="C1272" s="48" t="s">
        <v>990</v>
      </c>
      <c r="D1272" s="48" t="s">
        <v>1118</v>
      </c>
      <c r="E1272" s="48" t="s">
        <v>856</v>
      </c>
      <c r="F1272" s="48" t="s">
        <v>62</v>
      </c>
      <c r="G1272" s="48" t="s">
        <v>70</v>
      </c>
      <c r="H1272" s="48" t="s">
        <v>70</v>
      </c>
      <c r="I1272" s="48" t="s">
        <v>307</v>
      </c>
      <c r="J1272" s="48" t="s">
        <v>72</v>
      </c>
      <c r="K1272" s="48" t="s">
        <v>213</v>
      </c>
      <c r="L1272" s="48" t="s">
        <v>1134</v>
      </c>
      <c r="M1272" s="48" t="s">
        <v>67</v>
      </c>
      <c r="N1272" s="48" t="s">
        <v>20</v>
      </c>
      <c r="O1272" s="48" t="s">
        <v>857</v>
      </c>
      <c r="P1272" s="50">
        <v>90108.29</v>
      </c>
      <c r="Q1272" s="50">
        <v>4.5848000064688499</v>
      </c>
      <c r="R1272" s="50">
        <v>413128.488574897</v>
      </c>
      <c r="S1272" s="74">
        <v>45371</v>
      </c>
      <c r="T1272" s="48" t="s">
        <v>308</v>
      </c>
      <c r="U1272" s="48" t="s">
        <v>213</v>
      </c>
      <c r="V1272" s="48" t="s">
        <v>857</v>
      </c>
      <c r="W1272" s="48"/>
    </row>
    <row r="1273" spans="1:23" ht="15.75" x14ac:dyDescent="0.25">
      <c r="A1273" s="48" t="s">
        <v>61</v>
      </c>
      <c r="B1273" s="49">
        <v>45341</v>
      </c>
      <c r="C1273" s="48" t="s">
        <v>924</v>
      </c>
      <c r="D1273" s="48" t="s">
        <v>1186</v>
      </c>
      <c r="E1273" s="48" t="s">
        <v>856</v>
      </c>
      <c r="F1273" s="48" t="s">
        <v>62</v>
      </c>
      <c r="G1273" s="48" t="s">
        <v>63</v>
      </c>
      <c r="H1273" s="48" t="s">
        <v>27</v>
      </c>
      <c r="I1273" s="48" t="s">
        <v>64</v>
      </c>
      <c r="J1273" s="48" t="s">
        <v>65</v>
      </c>
      <c r="K1273" s="48" t="s">
        <v>66</v>
      </c>
      <c r="L1273" s="48" t="s">
        <v>1144</v>
      </c>
      <c r="M1273" s="48" t="s">
        <v>67</v>
      </c>
      <c r="N1273" s="48" t="s">
        <v>20</v>
      </c>
      <c r="O1273" s="48" t="s">
        <v>857</v>
      </c>
      <c r="P1273" s="50">
        <v>3909211.63</v>
      </c>
      <c r="Q1273" s="50">
        <v>4.08</v>
      </c>
      <c r="R1273" s="50">
        <v>15949583.4504</v>
      </c>
      <c r="S1273" s="74">
        <v>45370</v>
      </c>
      <c r="T1273" s="48" t="s">
        <v>68</v>
      </c>
      <c r="U1273" s="48" t="s">
        <v>66</v>
      </c>
      <c r="V1273" s="48" t="s">
        <v>857</v>
      </c>
      <c r="W1273" s="48"/>
    </row>
    <row r="1274" spans="1:23" ht="15.75" x14ac:dyDescent="0.25">
      <c r="A1274" s="48" t="s">
        <v>306</v>
      </c>
      <c r="B1274" s="49">
        <v>45343</v>
      </c>
      <c r="C1274" s="48" t="s">
        <v>991</v>
      </c>
      <c r="D1274" s="48" t="s">
        <v>1118</v>
      </c>
      <c r="E1274" s="48" t="s">
        <v>856</v>
      </c>
      <c r="F1274" s="48" t="s">
        <v>62</v>
      </c>
      <c r="G1274" s="48" t="s">
        <v>70</v>
      </c>
      <c r="H1274" s="48" t="s">
        <v>70</v>
      </c>
      <c r="I1274" s="48" t="s">
        <v>307</v>
      </c>
      <c r="J1274" s="48" t="s">
        <v>72</v>
      </c>
      <c r="K1274" s="48" t="s">
        <v>213</v>
      </c>
      <c r="L1274" s="48" t="s">
        <v>1134</v>
      </c>
      <c r="M1274" s="48" t="s">
        <v>67</v>
      </c>
      <c r="N1274" s="48" t="s">
        <v>20</v>
      </c>
      <c r="O1274" s="48" t="s">
        <v>857</v>
      </c>
      <c r="P1274" s="50">
        <v>459332.06</v>
      </c>
      <c r="Q1274" s="50">
        <v>4.5848000064688499</v>
      </c>
      <c r="R1274" s="50">
        <v>2105945.6316593504</v>
      </c>
      <c r="S1274" s="74">
        <v>45370</v>
      </c>
      <c r="T1274" s="48" t="s">
        <v>308</v>
      </c>
      <c r="U1274" s="48" t="s">
        <v>213</v>
      </c>
      <c r="V1274" s="48" t="s">
        <v>857</v>
      </c>
      <c r="W1274" s="48"/>
    </row>
    <row r="1275" spans="1:23" ht="15.75" x14ac:dyDescent="0.25">
      <c r="A1275" s="48" t="s">
        <v>306</v>
      </c>
      <c r="B1275" s="49">
        <v>45358</v>
      </c>
      <c r="C1275" s="48" t="s">
        <v>993</v>
      </c>
      <c r="D1275" s="48" t="s">
        <v>1118</v>
      </c>
      <c r="E1275" s="48" t="s">
        <v>856</v>
      </c>
      <c r="F1275" s="48" t="s">
        <v>62</v>
      </c>
      <c r="G1275" s="48" t="s">
        <v>70</v>
      </c>
      <c r="H1275" s="48" t="s">
        <v>70</v>
      </c>
      <c r="I1275" s="48" t="s">
        <v>307</v>
      </c>
      <c r="J1275" s="48" t="s">
        <v>72</v>
      </c>
      <c r="K1275" s="48" t="s">
        <v>213</v>
      </c>
      <c r="L1275" s="48" t="s">
        <v>1134</v>
      </c>
      <c r="M1275" s="48" t="s">
        <v>67</v>
      </c>
      <c r="N1275" s="48" t="s">
        <v>20</v>
      </c>
      <c r="O1275" s="48" t="s">
        <v>857</v>
      </c>
      <c r="P1275" s="50">
        <v>367471.41</v>
      </c>
      <c r="Q1275" s="50">
        <v>4.5848000064688499</v>
      </c>
      <c r="R1275" s="50">
        <v>1684782.9229451173</v>
      </c>
      <c r="S1275" s="74">
        <v>45369</v>
      </c>
      <c r="T1275" s="48" t="s">
        <v>308</v>
      </c>
      <c r="U1275" s="48" t="s">
        <v>213</v>
      </c>
      <c r="V1275" s="48" t="s">
        <v>857</v>
      </c>
      <c r="W1275" s="48"/>
    </row>
    <row r="1276" spans="1:23" ht="15.75" x14ac:dyDescent="0.25">
      <c r="A1276" s="48" t="s">
        <v>306</v>
      </c>
      <c r="B1276" s="49">
        <v>45358</v>
      </c>
      <c r="C1276" s="48" t="s">
        <v>992</v>
      </c>
      <c r="D1276" s="48" t="s">
        <v>1118</v>
      </c>
      <c r="E1276" s="48" t="s">
        <v>856</v>
      </c>
      <c r="F1276" s="48" t="s">
        <v>62</v>
      </c>
      <c r="G1276" s="48" t="s">
        <v>70</v>
      </c>
      <c r="H1276" s="48" t="s">
        <v>70</v>
      </c>
      <c r="I1276" s="48" t="s">
        <v>307</v>
      </c>
      <c r="J1276" s="48" t="s">
        <v>72</v>
      </c>
      <c r="K1276" s="48" t="s">
        <v>213</v>
      </c>
      <c r="L1276" s="48" t="s">
        <v>1134</v>
      </c>
      <c r="M1276" s="48" t="s">
        <v>67</v>
      </c>
      <c r="N1276" s="48" t="s">
        <v>20</v>
      </c>
      <c r="O1276" s="48" t="s">
        <v>857</v>
      </c>
      <c r="P1276" s="50">
        <v>741236.67</v>
      </c>
      <c r="Q1276" s="50">
        <v>4.5848000064688499</v>
      </c>
      <c r="R1276" s="50">
        <v>3398421.8894109488</v>
      </c>
      <c r="S1276" s="74">
        <v>45369</v>
      </c>
      <c r="T1276" s="48" t="s">
        <v>308</v>
      </c>
      <c r="U1276" s="48" t="s">
        <v>213</v>
      </c>
      <c r="V1276" s="48" t="s">
        <v>857</v>
      </c>
      <c r="W1276" s="48"/>
    </row>
    <row r="1277" spans="1:23" ht="15.75" x14ac:dyDescent="0.25">
      <c r="A1277" s="48" t="s">
        <v>222</v>
      </c>
      <c r="B1277" s="49">
        <v>44963</v>
      </c>
      <c r="C1277" s="48" t="s">
        <v>916</v>
      </c>
      <c r="D1277" s="48" t="s">
        <v>441</v>
      </c>
      <c r="E1277" s="48" t="s">
        <v>856</v>
      </c>
      <c r="F1277" s="48" t="s">
        <v>21</v>
      </c>
      <c r="G1277" s="48" t="s">
        <v>22</v>
      </c>
      <c r="H1277" s="48" t="s">
        <v>27</v>
      </c>
      <c r="I1277" s="48" t="s">
        <v>115</v>
      </c>
      <c r="J1277" s="48" t="s">
        <v>24</v>
      </c>
      <c r="K1277" s="48" t="s">
        <v>22</v>
      </c>
      <c r="L1277" s="48" t="s">
        <v>1132</v>
      </c>
      <c r="M1277" s="48" t="s">
        <v>26</v>
      </c>
      <c r="N1277" s="48" t="s">
        <v>20</v>
      </c>
      <c r="O1277" s="48" t="s">
        <v>857</v>
      </c>
      <c r="P1277" s="50">
        <v>1000000</v>
      </c>
      <c r="Q1277" s="50">
        <v>1</v>
      </c>
      <c r="R1277" s="50">
        <v>1000000</v>
      </c>
      <c r="S1277" s="74">
        <v>45365</v>
      </c>
      <c r="T1277" s="48" t="s">
        <v>917</v>
      </c>
      <c r="U1277" s="48" t="s">
        <v>22</v>
      </c>
      <c r="V1277" s="48" t="s">
        <v>857</v>
      </c>
      <c r="W1277" s="48"/>
    </row>
    <row r="1278" spans="1:23" ht="15.75" x14ac:dyDescent="0.25">
      <c r="A1278" s="48" t="s">
        <v>306</v>
      </c>
      <c r="B1278" s="49">
        <v>45351</v>
      </c>
      <c r="C1278" s="48" t="s">
        <v>994</v>
      </c>
      <c r="D1278" s="48" t="s">
        <v>1118</v>
      </c>
      <c r="E1278" s="48" t="s">
        <v>856</v>
      </c>
      <c r="F1278" s="48" t="s">
        <v>62</v>
      </c>
      <c r="G1278" s="48" t="s">
        <v>70</v>
      </c>
      <c r="H1278" s="48" t="s">
        <v>70</v>
      </c>
      <c r="I1278" s="48" t="s">
        <v>307</v>
      </c>
      <c r="J1278" s="48" t="s">
        <v>72</v>
      </c>
      <c r="K1278" s="48" t="s">
        <v>213</v>
      </c>
      <c r="L1278" s="48" t="s">
        <v>1134</v>
      </c>
      <c r="M1278" s="48" t="s">
        <v>67</v>
      </c>
      <c r="N1278" s="48" t="s">
        <v>20</v>
      </c>
      <c r="O1278" s="48" t="s">
        <v>857</v>
      </c>
      <c r="P1278" s="50">
        <v>87469.72</v>
      </c>
      <c r="Q1278" s="50">
        <v>4.5848000064688499</v>
      </c>
      <c r="R1278" s="50">
        <v>401031.17282182851</v>
      </c>
      <c r="S1278" s="74">
        <v>45364</v>
      </c>
      <c r="T1278" s="48" t="s">
        <v>308</v>
      </c>
      <c r="U1278" s="48" t="s">
        <v>213</v>
      </c>
      <c r="V1278" s="48" t="s">
        <v>857</v>
      </c>
      <c r="W1278" s="48"/>
    </row>
    <row r="1279" spans="1:23" ht="15.75" x14ac:dyDescent="0.25">
      <c r="A1279" s="48" t="s">
        <v>87</v>
      </c>
      <c r="B1279" s="49">
        <v>45364</v>
      </c>
      <c r="C1279" s="48" t="s">
        <v>916</v>
      </c>
      <c r="D1279" s="48" t="s">
        <v>509</v>
      </c>
      <c r="E1279" s="48" t="s">
        <v>856</v>
      </c>
      <c r="F1279" s="48" t="s">
        <v>62</v>
      </c>
      <c r="G1279" s="48" t="s">
        <v>63</v>
      </c>
      <c r="H1279" s="48" t="s">
        <v>27</v>
      </c>
      <c r="I1279" s="48" t="s">
        <v>85</v>
      </c>
      <c r="J1279" s="48" t="s">
        <v>72</v>
      </c>
      <c r="K1279" s="48" t="s">
        <v>304</v>
      </c>
      <c r="L1279" s="48" t="s">
        <v>1133</v>
      </c>
      <c r="M1279" s="48" t="s">
        <v>26</v>
      </c>
      <c r="N1279" s="48" t="s">
        <v>20</v>
      </c>
      <c r="O1279" s="48" t="s">
        <v>857</v>
      </c>
      <c r="P1279" s="50">
        <v>9392768.75</v>
      </c>
      <c r="Q1279" s="50">
        <v>1</v>
      </c>
      <c r="R1279" s="50">
        <v>9392768.75</v>
      </c>
      <c r="S1279" s="74">
        <v>45364</v>
      </c>
      <c r="T1279" s="48" t="s">
        <v>917</v>
      </c>
      <c r="U1279" s="48" t="s">
        <v>86</v>
      </c>
      <c r="V1279" s="48" t="s">
        <v>857</v>
      </c>
      <c r="W1279" s="48"/>
    </row>
    <row r="1280" spans="1:23" ht="15.75" x14ac:dyDescent="0.25">
      <c r="A1280" s="48" t="s">
        <v>306</v>
      </c>
      <c r="B1280" s="49">
        <v>45354</v>
      </c>
      <c r="C1280" s="48" t="s">
        <v>995</v>
      </c>
      <c r="D1280" s="48" t="s">
        <v>1118</v>
      </c>
      <c r="E1280" s="48" t="s">
        <v>856</v>
      </c>
      <c r="F1280" s="48" t="s">
        <v>62</v>
      </c>
      <c r="G1280" s="48" t="s">
        <v>70</v>
      </c>
      <c r="H1280" s="48" t="s">
        <v>70</v>
      </c>
      <c r="I1280" s="48" t="s">
        <v>307</v>
      </c>
      <c r="J1280" s="48" t="s">
        <v>72</v>
      </c>
      <c r="K1280" s="48" t="s">
        <v>213</v>
      </c>
      <c r="L1280" s="48" t="s">
        <v>1134</v>
      </c>
      <c r="M1280" s="48" t="s">
        <v>67</v>
      </c>
      <c r="N1280" s="48" t="s">
        <v>20</v>
      </c>
      <c r="O1280" s="48" t="s">
        <v>857</v>
      </c>
      <c r="P1280" s="50">
        <v>256454.95</v>
      </c>
      <c r="Q1280" s="50">
        <v>4.5848000064688499</v>
      </c>
      <c r="R1280" s="50">
        <v>1175794.6564189687</v>
      </c>
      <c r="S1280" s="74">
        <v>45361</v>
      </c>
      <c r="T1280" s="48" t="s">
        <v>308</v>
      </c>
      <c r="U1280" s="48" t="s">
        <v>213</v>
      </c>
      <c r="V1280" s="48" t="s">
        <v>857</v>
      </c>
      <c r="W1280" s="48"/>
    </row>
    <row r="1281" spans="1:23" ht="15.75" x14ac:dyDescent="0.25">
      <c r="A1281" s="48" t="s">
        <v>42</v>
      </c>
      <c r="B1281" s="49">
        <v>45285</v>
      </c>
      <c r="C1281" s="48" t="s">
        <v>916</v>
      </c>
      <c r="D1281" s="48" t="s">
        <v>441</v>
      </c>
      <c r="E1281" s="48" t="s">
        <v>856</v>
      </c>
      <c r="F1281" s="48" t="s">
        <v>21</v>
      </c>
      <c r="G1281" s="48" t="s">
        <v>22</v>
      </c>
      <c r="H1281" s="48" t="s">
        <v>27</v>
      </c>
      <c r="I1281" s="48" t="s">
        <v>43</v>
      </c>
      <c r="J1281" s="48" t="s">
        <v>24</v>
      </c>
      <c r="K1281" s="48" t="s">
        <v>22</v>
      </c>
      <c r="L1281" s="48" t="s">
        <v>1132</v>
      </c>
      <c r="M1281" s="48" t="s">
        <v>26</v>
      </c>
      <c r="N1281" s="48" t="s">
        <v>20</v>
      </c>
      <c r="O1281" s="48" t="s">
        <v>857</v>
      </c>
      <c r="P1281" s="50">
        <v>781651.92</v>
      </c>
      <c r="Q1281" s="50">
        <v>1</v>
      </c>
      <c r="R1281" s="50">
        <v>781651.92</v>
      </c>
      <c r="S1281" s="74">
        <v>45360</v>
      </c>
      <c r="T1281" s="48" t="s">
        <v>28</v>
      </c>
      <c r="U1281" s="48" t="s">
        <v>22</v>
      </c>
      <c r="V1281" s="48" t="s">
        <v>857</v>
      </c>
      <c r="W1281" s="48"/>
    </row>
    <row r="1282" spans="1:23" ht="15.75" x14ac:dyDescent="0.25">
      <c r="A1282" s="48" t="s">
        <v>306</v>
      </c>
      <c r="B1282" s="49">
        <v>45333</v>
      </c>
      <c r="C1282" s="48" t="s">
        <v>996</v>
      </c>
      <c r="D1282" s="48" t="s">
        <v>1118</v>
      </c>
      <c r="E1282" s="48" t="s">
        <v>856</v>
      </c>
      <c r="F1282" s="48" t="s">
        <v>62</v>
      </c>
      <c r="G1282" s="48" t="s">
        <v>70</v>
      </c>
      <c r="H1282" s="48" t="s">
        <v>70</v>
      </c>
      <c r="I1282" s="48" t="s">
        <v>307</v>
      </c>
      <c r="J1282" s="48" t="s">
        <v>72</v>
      </c>
      <c r="K1282" s="48" t="s">
        <v>213</v>
      </c>
      <c r="L1282" s="48" t="s">
        <v>1134</v>
      </c>
      <c r="M1282" s="48" t="s">
        <v>67</v>
      </c>
      <c r="N1282" s="48" t="s">
        <v>20</v>
      </c>
      <c r="O1282" s="48" t="s">
        <v>857</v>
      </c>
      <c r="P1282" s="50">
        <v>709172.09</v>
      </c>
      <c r="Q1282" s="50">
        <v>4.5848000064688499</v>
      </c>
      <c r="R1282" s="50">
        <v>3251412.2028195276</v>
      </c>
      <c r="S1282" s="74">
        <v>45358</v>
      </c>
      <c r="T1282" s="48" t="s">
        <v>308</v>
      </c>
      <c r="U1282" s="48" t="s">
        <v>213</v>
      </c>
      <c r="V1282" s="48" t="s">
        <v>857</v>
      </c>
      <c r="W1282" s="48"/>
    </row>
    <row r="1283" spans="1:23" ht="15.75" x14ac:dyDescent="0.25">
      <c r="A1283" s="48" t="s">
        <v>250</v>
      </c>
      <c r="B1283" s="49">
        <v>45334</v>
      </c>
      <c r="C1283" s="48" t="s">
        <v>918</v>
      </c>
      <c r="D1283" s="48" t="s">
        <v>1118</v>
      </c>
      <c r="E1283" s="48" t="s">
        <v>856</v>
      </c>
      <c r="F1283" s="48" t="s">
        <v>21</v>
      </c>
      <c r="G1283" s="48" t="s">
        <v>22</v>
      </c>
      <c r="H1283" s="48" t="s">
        <v>27</v>
      </c>
      <c r="I1283" s="48" t="s">
        <v>251</v>
      </c>
      <c r="J1283" s="48" t="s">
        <v>72</v>
      </c>
      <c r="K1283" s="48" t="s">
        <v>213</v>
      </c>
      <c r="L1283" s="48" t="s">
        <v>1134</v>
      </c>
      <c r="M1283" s="48" t="s">
        <v>67</v>
      </c>
      <c r="N1283" s="48" t="s">
        <v>20</v>
      </c>
      <c r="O1283" s="48" t="s">
        <v>857</v>
      </c>
      <c r="P1283" s="50">
        <v>963154.38</v>
      </c>
      <c r="Q1283" s="50">
        <v>4.0999999999999996</v>
      </c>
      <c r="R1283" s="50">
        <v>3948932.9579999996</v>
      </c>
      <c r="S1283" s="74">
        <v>45352</v>
      </c>
      <c r="T1283" s="48" t="s">
        <v>252</v>
      </c>
      <c r="U1283" s="48" t="s">
        <v>213</v>
      </c>
      <c r="V1283" s="48" t="s">
        <v>857</v>
      </c>
      <c r="W1283" s="48"/>
    </row>
    <row r="1284" spans="1:23" ht="15.75" x14ac:dyDescent="0.25">
      <c r="A1284" s="48" t="s">
        <v>236</v>
      </c>
      <c r="B1284" s="49">
        <v>44935</v>
      </c>
      <c r="C1284" s="48" t="s">
        <v>916</v>
      </c>
      <c r="D1284" s="48" t="s">
        <v>441</v>
      </c>
      <c r="E1284" s="48" t="s">
        <v>856</v>
      </c>
      <c r="F1284" s="48" t="s">
        <v>21</v>
      </c>
      <c r="G1284" s="48" t="s">
        <v>22</v>
      </c>
      <c r="H1284" s="48" t="s">
        <v>27</v>
      </c>
      <c r="I1284" s="48" t="s">
        <v>237</v>
      </c>
      <c r="J1284" s="48" t="s">
        <v>24</v>
      </c>
      <c r="K1284" s="48" t="s">
        <v>22</v>
      </c>
      <c r="L1284" s="48" t="s">
        <v>1132</v>
      </c>
      <c r="M1284" s="48" t="s">
        <v>26</v>
      </c>
      <c r="N1284" s="48" t="s">
        <v>20</v>
      </c>
      <c r="O1284" s="48" t="s">
        <v>857</v>
      </c>
      <c r="P1284" s="50">
        <v>2000000</v>
      </c>
      <c r="Q1284" s="50">
        <v>1</v>
      </c>
      <c r="R1284" s="50">
        <v>2000000</v>
      </c>
      <c r="S1284" s="74">
        <v>45348</v>
      </c>
      <c r="T1284" s="48" t="s">
        <v>917</v>
      </c>
      <c r="U1284" s="48" t="s">
        <v>22</v>
      </c>
      <c r="V1284" s="48" t="s">
        <v>857</v>
      </c>
      <c r="W1284" s="48"/>
    </row>
    <row r="1285" spans="1:23" ht="15.75" x14ac:dyDescent="0.25">
      <c r="A1285" s="48" t="s">
        <v>306</v>
      </c>
      <c r="B1285" s="49">
        <v>45330</v>
      </c>
      <c r="C1285" s="48" t="s">
        <v>1000</v>
      </c>
      <c r="D1285" s="48" t="s">
        <v>1118</v>
      </c>
      <c r="E1285" s="48" t="s">
        <v>856</v>
      </c>
      <c r="F1285" s="48" t="s">
        <v>62</v>
      </c>
      <c r="G1285" s="48" t="s">
        <v>70</v>
      </c>
      <c r="H1285" s="48" t="s">
        <v>70</v>
      </c>
      <c r="I1285" s="48" t="s">
        <v>307</v>
      </c>
      <c r="J1285" s="48" t="s">
        <v>72</v>
      </c>
      <c r="K1285" s="48" t="s">
        <v>213</v>
      </c>
      <c r="L1285" s="48" t="s">
        <v>1134</v>
      </c>
      <c r="M1285" s="48" t="s">
        <v>67</v>
      </c>
      <c r="N1285" s="48" t="s">
        <v>20</v>
      </c>
      <c r="O1285" s="48" t="s">
        <v>857</v>
      </c>
      <c r="P1285" s="50">
        <v>192775.97</v>
      </c>
      <c r="Q1285" s="50">
        <v>4.5848000064688499</v>
      </c>
      <c r="R1285" s="50">
        <v>883839.26850303879</v>
      </c>
      <c r="S1285" s="74">
        <v>45347</v>
      </c>
      <c r="T1285" s="48" t="s">
        <v>308</v>
      </c>
      <c r="U1285" s="48" t="s">
        <v>213</v>
      </c>
      <c r="V1285" s="48" t="s">
        <v>857</v>
      </c>
      <c r="W1285" s="48"/>
    </row>
    <row r="1286" spans="1:23" ht="15.75" x14ac:dyDescent="0.25">
      <c r="A1286" s="48" t="s">
        <v>306</v>
      </c>
      <c r="B1286" s="49">
        <v>45333</v>
      </c>
      <c r="C1286" s="48" t="s">
        <v>998</v>
      </c>
      <c r="D1286" s="48" t="s">
        <v>1118</v>
      </c>
      <c r="E1286" s="48" t="s">
        <v>856</v>
      </c>
      <c r="F1286" s="48" t="s">
        <v>62</v>
      </c>
      <c r="G1286" s="48" t="s">
        <v>70</v>
      </c>
      <c r="H1286" s="48" t="s">
        <v>70</v>
      </c>
      <c r="I1286" s="48" t="s">
        <v>307</v>
      </c>
      <c r="J1286" s="48" t="s">
        <v>72</v>
      </c>
      <c r="K1286" s="48" t="s">
        <v>213</v>
      </c>
      <c r="L1286" s="48" t="s">
        <v>1134</v>
      </c>
      <c r="M1286" s="48" t="s">
        <v>67</v>
      </c>
      <c r="N1286" s="48" t="s">
        <v>20</v>
      </c>
      <c r="O1286" s="48" t="s">
        <v>857</v>
      </c>
      <c r="P1286" s="50">
        <v>512942.4</v>
      </c>
      <c r="Q1286" s="50">
        <v>4.5848000064688499</v>
      </c>
      <c r="R1286" s="50">
        <v>2351738.3188381474</v>
      </c>
      <c r="S1286" s="74">
        <v>45347</v>
      </c>
      <c r="T1286" s="48" t="s">
        <v>308</v>
      </c>
      <c r="U1286" s="48" t="s">
        <v>213</v>
      </c>
      <c r="V1286" s="48" t="s">
        <v>857</v>
      </c>
      <c r="W1286" s="48"/>
    </row>
    <row r="1287" spans="1:23" ht="15.75" x14ac:dyDescent="0.25">
      <c r="A1287" s="48" t="s">
        <v>306</v>
      </c>
      <c r="B1287" s="49">
        <v>45333</v>
      </c>
      <c r="C1287" s="48" t="s">
        <v>997</v>
      </c>
      <c r="D1287" s="48" t="s">
        <v>1118</v>
      </c>
      <c r="E1287" s="48" t="s">
        <v>856</v>
      </c>
      <c r="F1287" s="48" t="s">
        <v>62</v>
      </c>
      <c r="G1287" s="48" t="s">
        <v>70</v>
      </c>
      <c r="H1287" s="48" t="s">
        <v>70</v>
      </c>
      <c r="I1287" s="48" t="s">
        <v>307</v>
      </c>
      <c r="J1287" s="48" t="s">
        <v>72</v>
      </c>
      <c r="K1287" s="48" t="s">
        <v>213</v>
      </c>
      <c r="L1287" s="48" t="s">
        <v>1134</v>
      </c>
      <c r="M1287" s="48" t="s">
        <v>67</v>
      </c>
      <c r="N1287" s="48" t="s">
        <v>20</v>
      </c>
      <c r="O1287" s="48" t="s">
        <v>857</v>
      </c>
      <c r="P1287" s="50">
        <v>99851.32</v>
      </c>
      <c r="Q1287" s="50">
        <v>4.5848000064688499</v>
      </c>
      <c r="R1287" s="50">
        <v>457798.33258192323</v>
      </c>
      <c r="S1287" s="74">
        <v>45347</v>
      </c>
      <c r="T1287" s="48" t="s">
        <v>308</v>
      </c>
      <c r="U1287" s="48" t="s">
        <v>213</v>
      </c>
      <c r="V1287" s="48" t="s">
        <v>857</v>
      </c>
      <c r="W1287" s="48"/>
    </row>
    <row r="1288" spans="1:23" ht="15.75" x14ac:dyDescent="0.25">
      <c r="A1288" s="48" t="s">
        <v>306</v>
      </c>
      <c r="B1288" s="49">
        <v>45333</v>
      </c>
      <c r="C1288" s="48" t="s">
        <v>999</v>
      </c>
      <c r="D1288" s="48" t="s">
        <v>1118</v>
      </c>
      <c r="E1288" s="48" t="s">
        <v>856</v>
      </c>
      <c r="F1288" s="48" t="s">
        <v>62</v>
      </c>
      <c r="G1288" s="48" t="s">
        <v>70</v>
      </c>
      <c r="H1288" s="48" t="s">
        <v>70</v>
      </c>
      <c r="I1288" s="48" t="s">
        <v>307</v>
      </c>
      <c r="J1288" s="48" t="s">
        <v>72</v>
      </c>
      <c r="K1288" s="48" t="s">
        <v>213</v>
      </c>
      <c r="L1288" s="48" t="s">
        <v>1134</v>
      </c>
      <c r="M1288" s="48" t="s">
        <v>67</v>
      </c>
      <c r="N1288" s="48" t="s">
        <v>20</v>
      </c>
      <c r="O1288" s="48" t="s">
        <v>857</v>
      </c>
      <c r="P1288" s="50">
        <v>134703.48000000001</v>
      </c>
      <c r="Q1288" s="50">
        <v>4.5848000064688499</v>
      </c>
      <c r="R1288" s="50">
        <v>617588.51597537659</v>
      </c>
      <c r="S1288" s="74">
        <v>45347</v>
      </c>
      <c r="T1288" s="48" t="s">
        <v>308</v>
      </c>
      <c r="U1288" s="48" t="s">
        <v>213</v>
      </c>
      <c r="V1288" s="48" t="s">
        <v>857</v>
      </c>
      <c r="W1288" s="48"/>
    </row>
    <row r="1289" spans="1:23" ht="15.75" x14ac:dyDescent="0.25">
      <c r="A1289" s="48" t="s">
        <v>33</v>
      </c>
      <c r="B1289" s="49">
        <v>45307</v>
      </c>
      <c r="C1289" s="48" t="s">
        <v>928</v>
      </c>
      <c r="D1289" s="48" t="s">
        <v>441</v>
      </c>
      <c r="E1289" s="48" t="s">
        <v>856</v>
      </c>
      <c r="F1289" s="48" t="s">
        <v>21</v>
      </c>
      <c r="G1289" s="48" t="s">
        <v>22</v>
      </c>
      <c r="H1289" s="48" t="s">
        <v>27</v>
      </c>
      <c r="I1289" s="48" t="s">
        <v>34</v>
      </c>
      <c r="J1289" s="48" t="s">
        <v>24</v>
      </c>
      <c r="K1289" s="48" t="s">
        <v>22</v>
      </c>
      <c r="L1289" s="48" t="s">
        <v>1132</v>
      </c>
      <c r="M1289" s="48" t="s">
        <v>26</v>
      </c>
      <c r="N1289" s="48" t="s">
        <v>20</v>
      </c>
      <c r="O1289" s="48" t="s">
        <v>857</v>
      </c>
      <c r="P1289" s="50">
        <v>127188.85</v>
      </c>
      <c r="Q1289" s="50">
        <v>1</v>
      </c>
      <c r="R1289" s="50">
        <v>127188.85</v>
      </c>
      <c r="S1289" s="74">
        <v>45344</v>
      </c>
      <c r="T1289" s="48" t="s">
        <v>35</v>
      </c>
      <c r="U1289" s="48" t="s">
        <v>22</v>
      </c>
      <c r="V1289" s="48" t="s">
        <v>857</v>
      </c>
      <c r="W1289" s="48"/>
    </row>
    <row r="1290" spans="1:23" ht="15.75" x14ac:dyDescent="0.25">
      <c r="A1290" s="48" t="s">
        <v>306</v>
      </c>
      <c r="B1290" s="49">
        <v>45327</v>
      </c>
      <c r="C1290" s="48" t="s">
        <v>1001</v>
      </c>
      <c r="D1290" s="48" t="s">
        <v>1118</v>
      </c>
      <c r="E1290" s="48" t="s">
        <v>856</v>
      </c>
      <c r="F1290" s="48" t="s">
        <v>62</v>
      </c>
      <c r="G1290" s="48" t="s">
        <v>70</v>
      </c>
      <c r="H1290" s="48" t="s">
        <v>70</v>
      </c>
      <c r="I1290" s="48" t="s">
        <v>307</v>
      </c>
      <c r="J1290" s="48" t="s">
        <v>72</v>
      </c>
      <c r="K1290" s="48" t="s">
        <v>213</v>
      </c>
      <c r="L1290" s="48" t="s">
        <v>1134</v>
      </c>
      <c r="M1290" s="48" t="s">
        <v>67</v>
      </c>
      <c r="N1290" s="48" t="s">
        <v>20</v>
      </c>
      <c r="O1290" s="48" t="s">
        <v>857</v>
      </c>
      <c r="P1290" s="50">
        <v>248761.22</v>
      </c>
      <c r="Q1290" s="50">
        <v>4.5848000064688499</v>
      </c>
      <c r="R1290" s="50">
        <v>1140520.4430651991</v>
      </c>
      <c r="S1290" s="74">
        <v>45342</v>
      </c>
      <c r="T1290" s="48" t="s">
        <v>308</v>
      </c>
      <c r="U1290" s="48" t="s">
        <v>213</v>
      </c>
      <c r="V1290" s="48" t="s">
        <v>857</v>
      </c>
      <c r="W1290" s="48"/>
    </row>
    <row r="1291" spans="1:23" ht="15.75" x14ac:dyDescent="0.25">
      <c r="A1291" s="48" t="s">
        <v>61</v>
      </c>
      <c r="B1291" s="49">
        <v>45306</v>
      </c>
      <c r="C1291" s="48" t="s">
        <v>918</v>
      </c>
      <c r="D1291" s="48" t="s">
        <v>1186</v>
      </c>
      <c r="E1291" s="48" t="s">
        <v>856</v>
      </c>
      <c r="F1291" s="48" t="s">
        <v>62</v>
      </c>
      <c r="G1291" s="48" t="s">
        <v>63</v>
      </c>
      <c r="H1291" s="48" t="s">
        <v>27</v>
      </c>
      <c r="I1291" s="48" t="s">
        <v>64</v>
      </c>
      <c r="J1291" s="48" t="s">
        <v>65</v>
      </c>
      <c r="K1291" s="48" t="s">
        <v>66</v>
      </c>
      <c r="L1291" s="48" t="s">
        <v>1144</v>
      </c>
      <c r="M1291" s="48" t="s">
        <v>67</v>
      </c>
      <c r="N1291" s="48" t="s">
        <v>20</v>
      </c>
      <c r="O1291" s="48" t="s">
        <v>857</v>
      </c>
      <c r="P1291" s="50">
        <v>8608388.0199999996</v>
      </c>
      <c r="Q1291" s="50">
        <v>4.0640000000000001</v>
      </c>
      <c r="R1291" s="50">
        <v>34984488.913279995</v>
      </c>
      <c r="S1291" s="74">
        <v>45342</v>
      </c>
      <c r="T1291" s="48" t="s">
        <v>68</v>
      </c>
      <c r="U1291" s="48" t="s">
        <v>66</v>
      </c>
      <c r="V1291" s="48" t="s">
        <v>857</v>
      </c>
      <c r="W1291" s="48"/>
    </row>
    <row r="1292" spans="1:23" ht="15.75" x14ac:dyDescent="0.25">
      <c r="A1292" s="48" t="s">
        <v>230</v>
      </c>
      <c r="B1292" s="49">
        <v>45629</v>
      </c>
      <c r="C1292" s="48" t="s">
        <v>916</v>
      </c>
      <c r="D1292" s="48" t="s">
        <v>441</v>
      </c>
      <c r="E1292" s="48" t="s">
        <v>856</v>
      </c>
      <c r="F1292" s="48" t="s">
        <v>21</v>
      </c>
      <c r="G1292" s="48" t="s">
        <v>22</v>
      </c>
      <c r="H1292" s="48" t="s">
        <v>27</v>
      </c>
      <c r="I1292" s="48" t="s">
        <v>231</v>
      </c>
      <c r="J1292" s="48" t="s">
        <v>24</v>
      </c>
      <c r="K1292" s="48" t="s">
        <v>22</v>
      </c>
      <c r="L1292" s="48" t="s">
        <v>1132</v>
      </c>
      <c r="M1292" s="48" t="s">
        <v>26</v>
      </c>
      <c r="N1292" s="48" t="s">
        <v>20</v>
      </c>
      <c r="O1292" s="48" t="s">
        <v>857</v>
      </c>
      <c r="P1292" s="50">
        <v>950740.65</v>
      </c>
      <c r="Q1292" s="50">
        <v>1</v>
      </c>
      <c r="R1292" s="50">
        <v>950740.65</v>
      </c>
      <c r="S1292" s="74">
        <v>45340</v>
      </c>
      <c r="T1292" s="48" t="s">
        <v>917</v>
      </c>
      <c r="U1292" s="48" t="s">
        <v>22</v>
      </c>
      <c r="V1292" s="48" t="s">
        <v>857</v>
      </c>
      <c r="W1292" s="48"/>
    </row>
    <row r="1293" spans="1:23" ht="15.75" x14ac:dyDescent="0.25">
      <c r="A1293" s="48" t="s">
        <v>228</v>
      </c>
      <c r="B1293" s="49">
        <v>45264</v>
      </c>
      <c r="C1293" s="48" t="s">
        <v>916</v>
      </c>
      <c r="D1293" s="48" t="s">
        <v>441</v>
      </c>
      <c r="E1293" s="48" t="s">
        <v>856</v>
      </c>
      <c r="F1293" s="48" t="s">
        <v>21</v>
      </c>
      <c r="G1293" s="48" t="s">
        <v>22</v>
      </c>
      <c r="H1293" s="48" t="s">
        <v>27</v>
      </c>
      <c r="I1293" s="48" t="s">
        <v>229</v>
      </c>
      <c r="J1293" s="48" t="s">
        <v>24</v>
      </c>
      <c r="K1293" s="48" t="s">
        <v>22</v>
      </c>
      <c r="L1293" s="48" t="s">
        <v>1132</v>
      </c>
      <c r="M1293" s="48" t="s">
        <v>26</v>
      </c>
      <c r="N1293" s="48" t="s">
        <v>20</v>
      </c>
      <c r="O1293" s="48" t="s">
        <v>857</v>
      </c>
      <c r="P1293" s="50">
        <v>4038899.85</v>
      </c>
      <c r="Q1293" s="50">
        <v>1</v>
      </c>
      <c r="R1293" s="50">
        <v>4038899.85</v>
      </c>
      <c r="S1293" s="74">
        <v>45339</v>
      </c>
      <c r="T1293" s="48" t="s">
        <v>917</v>
      </c>
      <c r="U1293" s="48" t="s">
        <v>22</v>
      </c>
      <c r="V1293" s="48" t="s">
        <v>857</v>
      </c>
      <c r="W1293" s="48"/>
    </row>
    <row r="1294" spans="1:23" ht="15.75" x14ac:dyDescent="0.25">
      <c r="A1294" s="48" t="s">
        <v>29</v>
      </c>
      <c r="B1294" s="49">
        <v>45305</v>
      </c>
      <c r="C1294" s="48" t="s">
        <v>930</v>
      </c>
      <c r="D1294" s="48" t="s">
        <v>1184</v>
      </c>
      <c r="E1294" s="48" t="s">
        <v>856</v>
      </c>
      <c r="F1294" s="48" t="s">
        <v>21</v>
      </c>
      <c r="G1294" s="48" t="s">
        <v>22</v>
      </c>
      <c r="H1294" s="48" t="s">
        <v>27</v>
      </c>
      <c r="I1294" s="48" t="s">
        <v>30</v>
      </c>
      <c r="J1294" s="48" t="s">
        <v>1791</v>
      </c>
      <c r="K1294" s="48" t="s">
        <v>22</v>
      </c>
      <c r="L1294" s="48" t="s">
        <v>1132</v>
      </c>
      <c r="M1294" s="48" t="s">
        <v>31</v>
      </c>
      <c r="N1294" s="48" t="s">
        <v>20</v>
      </c>
      <c r="O1294" s="48" t="s">
        <v>857</v>
      </c>
      <c r="P1294" s="50">
        <v>524209.89</v>
      </c>
      <c r="Q1294" s="50">
        <v>4.79</v>
      </c>
      <c r="R1294" s="50">
        <v>2510965.3731</v>
      </c>
      <c r="S1294" s="74">
        <v>45335</v>
      </c>
      <c r="T1294" s="48" t="s">
        <v>32</v>
      </c>
      <c r="U1294" s="48" t="s">
        <v>22</v>
      </c>
      <c r="V1294" s="48" t="s">
        <v>857</v>
      </c>
      <c r="W1294" s="48"/>
    </row>
    <row r="1295" spans="1:23" ht="15.75" x14ac:dyDescent="0.25">
      <c r="A1295" s="48" t="s">
        <v>232</v>
      </c>
      <c r="B1295" s="49">
        <v>45651</v>
      </c>
      <c r="C1295" s="48" t="s">
        <v>916</v>
      </c>
      <c r="D1295" s="48" t="s">
        <v>441</v>
      </c>
      <c r="E1295" s="48" t="s">
        <v>856</v>
      </c>
      <c r="F1295" s="48" t="s">
        <v>21</v>
      </c>
      <c r="G1295" s="48" t="s">
        <v>22</v>
      </c>
      <c r="H1295" s="48" t="s">
        <v>27</v>
      </c>
      <c r="I1295" s="48" t="s">
        <v>233</v>
      </c>
      <c r="J1295" s="48" t="s">
        <v>24</v>
      </c>
      <c r="K1295" s="48" t="s">
        <v>22</v>
      </c>
      <c r="L1295" s="48" t="s">
        <v>1132</v>
      </c>
      <c r="M1295" s="48" t="s">
        <v>26</v>
      </c>
      <c r="N1295" s="48" t="s">
        <v>20</v>
      </c>
      <c r="O1295" s="48" t="s">
        <v>857</v>
      </c>
      <c r="P1295" s="50">
        <v>2000000</v>
      </c>
      <c r="Q1295" s="50">
        <v>1</v>
      </c>
      <c r="R1295" s="50">
        <v>2000000</v>
      </c>
      <c r="S1295" s="74">
        <v>45333</v>
      </c>
      <c r="T1295" s="48" t="s">
        <v>917</v>
      </c>
      <c r="U1295" s="48" t="s">
        <v>22</v>
      </c>
      <c r="V1295" s="48" t="s">
        <v>857</v>
      </c>
      <c r="W1295" s="48"/>
    </row>
    <row r="1296" spans="1:23" ht="15.75" x14ac:dyDescent="0.25">
      <c r="A1296" s="48" t="s">
        <v>40</v>
      </c>
      <c r="B1296" s="49">
        <v>45287</v>
      </c>
      <c r="C1296" s="48" t="s">
        <v>918</v>
      </c>
      <c r="D1296" s="48" t="s">
        <v>441</v>
      </c>
      <c r="E1296" s="48" t="s">
        <v>856</v>
      </c>
      <c r="F1296" s="48" t="s">
        <v>21</v>
      </c>
      <c r="G1296" s="48" t="s">
        <v>22</v>
      </c>
      <c r="H1296" s="48" t="s">
        <v>27</v>
      </c>
      <c r="I1296" s="48" t="s">
        <v>41</v>
      </c>
      <c r="J1296" s="48" t="s">
        <v>24</v>
      </c>
      <c r="K1296" s="48" t="s">
        <v>22</v>
      </c>
      <c r="L1296" s="48" t="s">
        <v>1132</v>
      </c>
      <c r="M1296" s="48" t="s">
        <v>26</v>
      </c>
      <c r="N1296" s="48" t="s">
        <v>20</v>
      </c>
      <c r="O1296" s="48" t="s">
        <v>857</v>
      </c>
      <c r="P1296" s="50">
        <v>379478.51</v>
      </c>
      <c r="Q1296" s="50">
        <v>1</v>
      </c>
      <c r="R1296" s="50">
        <v>379478.51</v>
      </c>
      <c r="S1296" s="74">
        <v>45333</v>
      </c>
      <c r="T1296" s="48" t="s">
        <v>35</v>
      </c>
      <c r="U1296" s="48" t="s">
        <v>22</v>
      </c>
      <c r="V1296" s="48" t="s">
        <v>857</v>
      </c>
      <c r="W1296" s="48"/>
    </row>
    <row r="1297" spans="1:23" ht="15.75" x14ac:dyDescent="0.25">
      <c r="A1297" s="48" t="s">
        <v>306</v>
      </c>
      <c r="B1297" s="49">
        <v>45326</v>
      </c>
      <c r="C1297" s="48" t="s">
        <v>1002</v>
      </c>
      <c r="D1297" s="48" t="s">
        <v>1118</v>
      </c>
      <c r="E1297" s="48" t="s">
        <v>856</v>
      </c>
      <c r="F1297" s="48" t="s">
        <v>62</v>
      </c>
      <c r="G1297" s="48" t="s">
        <v>70</v>
      </c>
      <c r="H1297" s="48" t="s">
        <v>70</v>
      </c>
      <c r="I1297" s="48" t="s">
        <v>307</v>
      </c>
      <c r="J1297" s="48" t="s">
        <v>72</v>
      </c>
      <c r="K1297" s="48" t="s">
        <v>213</v>
      </c>
      <c r="L1297" s="48" t="s">
        <v>1134</v>
      </c>
      <c r="M1297" s="48" t="s">
        <v>67</v>
      </c>
      <c r="N1297" s="48" t="s">
        <v>20</v>
      </c>
      <c r="O1297" s="48" t="s">
        <v>857</v>
      </c>
      <c r="P1297" s="50">
        <v>347922</v>
      </c>
      <c r="Q1297" s="50">
        <v>4.5848000064688499</v>
      </c>
      <c r="R1297" s="50">
        <v>1595152.7878506551</v>
      </c>
      <c r="S1297" s="74">
        <v>45331</v>
      </c>
      <c r="T1297" s="48" t="s">
        <v>308</v>
      </c>
      <c r="U1297" s="48" t="s">
        <v>213</v>
      </c>
      <c r="V1297" s="48" t="s">
        <v>857</v>
      </c>
      <c r="W1297" s="48"/>
    </row>
    <row r="1298" spans="1:23" ht="15.75" x14ac:dyDescent="0.25">
      <c r="A1298" s="48" t="s">
        <v>234</v>
      </c>
      <c r="B1298" s="49">
        <v>45280</v>
      </c>
      <c r="C1298" s="48" t="s">
        <v>916</v>
      </c>
      <c r="D1298" s="48" t="s">
        <v>441</v>
      </c>
      <c r="E1298" s="48" t="s">
        <v>856</v>
      </c>
      <c r="F1298" s="48" t="s">
        <v>21</v>
      </c>
      <c r="G1298" s="48" t="s">
        <v>22</v>
      </c>
      <c r="H1298" s="48" t="s">
        <v>27</v>
      </c>
      <c r="I1298" s="48" t="s">
        <v>235</v>
      </c>
      <c r="J1298" s="48" t="s">
        <v>24</v>
      </c>
      <c r="K1298" s="48" t="s">
        <v>22</v>
      </c>
      <c r="L1298" s="48" t="s">
        <v>1132</v>
      </c>
      <c r="M1298" s="48" t="s">
        <v>26</v>
      </c>
      <c r="N1298" s="48" t="s">
        <v>20</v>
      </c>
      <c r="O1298" s="48" t="s">
        <v>857</v>
      </c>
      <c r="P1298" s="50">
        <v>4000000</v>
      </c>
      <c r="Q1298" s="50">
        <v>1</v>
      </c>
      <c r="R1298" s="50">
        <v>4000000</v>
      </c>
      <c r="S1298" s="74">
        <v>45330</v>
      </c>
      <c r="T1298" s="48" t="s">
        <v>917</v>
      </c>
      <c r="U1298" s="48" t="s">
        <v>22</v>
      </c>
      <c r="V1298" s="48" t="s">
        <v>857</v>
      </c>
      <c r="W1298" s="48"/>
    </row>
    <row r="1299" spans="1:23" ht="15.75" x14ac:dyDescent="0.25">
      <c r="A1299" s="48" t="s">
        <v>254</v>
      </c>
      <c r="B1299" s="49">
        <v>45333</v>
      </c>
      <c r="C1299" s="48" t="s">
        <v>918</v>
      </c>
      <c r="D1299" s="48" t="s">
        <v>1184</v>
      </c>
      <c r="E1299" s="48" t="s">
        <v>856</v>
      </c>
      <c r="F1299" s="48" t="s">
        <v>21</v>
      </c>
      <c r="G1299" s="48" t="s">
        <v>22</v>
      </c>
      <c r="H1299" s="48" t="s">
        <v>27</v>
      </c>
      <c r="I1299" s="48" t="s">
        <v>3623</v>
      </c>
      <c r="J1299" s="48" t="s">
        <v>1791</v>
      </c>
      <c r="K1299" s="48" t="s">
        <v>22</v>
      </c>
      <c r="L1299" s="48" t="s">
        <v>1132</v>
      </c>
      <c r="M1299" s="48" t="s">
        <v>67</v>
      </c>
      <c r="N1299" s="48" t="s">
        <v>20</v>
      </c>
      <c r="O1299" s="48" t="s">
        <v>857</v>
      </c>
      <c r="P1299" s="50">
        <v>372358.62</v>
      </c>
      <c r="Q1299" s="50">
        <v>4.0650000000000004</v>
      </c>
      <c r="R1299" s="50">
        <v>1513637.7903000002</v>
      </c>
      <c r="S1299" s="74">
        <v>45328</v>
      </c>
      <c r="T1299" s="48" t="s">
        <v>255</v>
      </c>
      <c r="U1299" s="48" t="s">
        <v>22</v>
      </c>
      <c r="V1299" s="48" t="s">
        <v>857</v>
      </c>
      <c r="W1299" s="48"/>
    </row>
    <row r="1300" spans="1:23" ht="15.75" x14ac:dyDescent="0.25">
      <c r="A1300" s="48" t="s">
        <v>306</v>
      </c>
      <c r="B1300" s="49">
        <v>45326</v>
      </c>
      <c r="C1300" s="48" t="s">
        <v>1003</v>
      </c>
      <c r="D1300" s="48" t="s">
        <v>1118</v>
      </c>
      <c r="E1300" s="48" t="s">
        <v>856</v>
      </c>
      <c r="F1300" s="48" t="s">
        <v>62</v>
      </c>
      <c r="G1300" s="48" t="s">
        <v>70</v>
      </c>
      <c r="H1300" s="48" t="s">
        <v>70</v>
      </c>
      <c r="I1300" s="48" t="s">
        <v>307</v>
      </c>
      <c r="J1300" s="48" t="s">
        <v>72</v>
      </c>
      <c r="K1300" s="48" t="s">
        <v>213</v>
      </c>
      <c r="L1300" s="48" t="s">
        <v>1134</v>
      </c>
      <c r="M1300" s="48" t="s">
        <v>67</v>
      </c>
      <c r="N1300" s="48" t="s">
        <v>20</v>
      </c>
      <c r="O1300" s="48" t="s">
        <v>857</v>
      </c>
      <c r="P1300" s="50">
        <v>679706.26</v>
      </c>
      <c r="Q1300" s="50">
        <v>4.5848000064688499</v>
      </c>
      <c r="R1300" s="50">
        <v>3116317.2652449179</v>
      </c>
      <c r="S1300" s="74">
        <v>45327</v>
      </c>
      <c r="T1300" s="48" t="s">
        <v>308</v>
      </c>
      <c r="U1300" s="48" t="s">
        <v>213</v>
      </c>
      <c r="V1300" s="48" t="s">
        <v>857</v>
      </c>
      <c r="W1300" s="48"/>
    </row>
    <row r="1301" spans="1:23" ht="15.75" x14ac:dyDescent="0.25">
      <c r="A1301" s="48" t="s">
        <v>306</v>
      </c>
      <c r="B1301" s="49">
        <v>45319</v>
      </c>
      <c r="C1301" s="48" t="s">
        <v>1004</v>
      </c>
      <c r="D1301" s="48" t="s">
        <v>1118</v>
      </c>
      <c r="E1301" s="48" t="s">
        <v>856</v>
      </c>
      <c r="F1301" s="48" t="s">
        <v>62</v>
      </c>
      <c r="G1301" s="48" t="s">
        <v>70</v>
      </c>
      <c r="H1301" s="48" t="s">
        <v>70</v>
      </c>
      <c r="I1301" s="48" t="s">
        <v>307</v>
      </c>
      <c r="J1301" s="48" t="s">
        <v>72</v>
      </c>
      <c r="K1301" s="48" t="s">
        <v>213</v>
      </c>
      <c r="L1301" s="48" t="s">
        <v>1134</v>
      </c>
      <c r="M1301" s="48" t="s">
        <v>67</v>
      </c>
      <c r="N1301" s="48" t="s">
        <v>20</v>
      </c>
      <c r="O1301" s="48" t="s">
        <v>857</v>
      </c>
      <c r="P1301" s="50">
        <v>940492.63</v>
      </c>
      <c r="Q1301" s="50">
        <v>4.5848000064688499</v>
      </c>
      <c r="R1301" s="50">
        <v>4311970.6161079053</v>
      </c>
      <c r="S1301" s="74">
        <v>45326</v>
      </c>
      <c r="T1301" s="48" t="s">
        <v>308</v>
      </c>
      <c r="U1301" s="48" t="s">
        <v>213</v>
      </c>
      <c r="V1301" s="48" t="s">
        <v>857</v>
      </c>
      <c r="W1301" s="48"/>
    </row>
    <row r="1302" spans="1:23" ht="15.75" x14ac:dyDescent="0.25">
      <c r="A1302" s="48" t="s">
        <v>254</v>
      </c>
      <c r="B1302" s="49">
        <v>45309</v>
      </c>
      <c r="C1302" s="48" t="s">
        <v>916</v>
      </c>
      <c r="D1302" s="48" t="s">
        <v>1184</v>
      </c>
      <c r="E1302" s="48" t="s">
        <v>856</v>
      </c>
      <c r="F1302" s="48" t="s">
        <v>21</v>
      </c>
      <c r="G1302" s="48" t="s">
        <v>22</v>
      </c>
      <c r="H1302" s="48" t="s">
        <v>27</v>
      </c>
      <c r="I1302" s="48" t="s">
        <v>3623</v>
      </c>
      <c r="J1302" s="48" t="s">
        <v>1791</v>
      </c>
      <c r="K1302" s="48" t="s">
        <v>22</v>
      </c>
      <c r="L1302" s="48" t="s">
        <v>1132</v>
      </c>
      <c r="M1302" s="48" t="s">
        <v>67</v>
      </c>
      <c r="N1302" s="48" t="s">
        <v>20</v>
      </c>
      <c r="O1302" s="48" t="s">
        <v>857</v>
      </c>
      <c r="P1302" s="50">
        <v>154330.06</v>
      </c>
      <c r="Q1302" s="50">
        <v>4.0999999999999996</v>
      </c>
      <c r="R1302" s="50">
        <v>632753.24599999993</v>
      </c>
      <c r="S1302" s="74">
        <v>45320</v>
      </c>
      <c r="T1302" s="48" t="s">
        <v>255</v>
      </c>
      <c r="U1302" s="48" t="s">
        <v>22</v>
      </c>
      <c r="V1302" s="48" t="s">
        <v>857</v>
      </c>
      <c r="W1302" s="48"/>
    </row>
    <row r="1303" spans="1:23" ht="15.75" x14ac:dyDescent="0.25">
      <c r="A1303" s="48" t="s">
        <v>29</v>
      </c>
      <c r="B1303" s="49">
        <v>45279</v>
      </c>
      <c r="C1303" s="48" t="s">
        <v>929</v>
      </c>
      <c r="D1303" s="48" t="s">
        <v>1184</v>
      </c>
      <c r="E1303" s="48" t="s">
        <v>856</v>
      </c>
      <c r="F1303" s="48" t="s">
        <v>21</v>
      </c>
      <c r="G1303" s="48" t="s">
        <v>22</v>
      </c>
      <c r="H1303" s="48" t="s">
        <v>27</v>
      </c>
      <c r="I1303" s="48" t="s">
        <v>30</v>
      </c>
      <c r="J1303" s="48" t="s">
        <v>1791</v>
      </c>
      <c r="K1303" s="48" t="s">
        <v>22</v>
      </c>
      <c r="L1303" s="48" t="s">
        <v>1132</v>
      </c>
      <c r="M1303" s="48" t="s">
        <v>31</v>
      </c>
      <c r="N1303" s="48" t="s">
        <v>20</v>
      </c>
      <c r="O1303" s="48" t="s">
        <v>857</v>
      </c>
      <c r="P1303" s="50">
        <v>98946.25</v>
      </c>
      <c r="Q1303" s="50">
        <v>4.79</v>
      </c>
      <c r="R1303" s="50">
        <v>473952.53749999998</v>
      </c>
      <c r="S1303" s="74">
        <v>45320</v>
      </c>
      <c r="T1303" s="48" t="s">
        <v>32</v>
      </c>
      <c r="U1303" s="48" t="s">
        <v>22</v>
      </c>
      <c r="V1303" s="48" t="s">
        <v>857</v>
      </c>
      <c r="W1303" s="48"/>
    </row>
    <row r="1304" spans="1:23" ht="15.75" x14ac:dyDescent="0.25">
      <c r="A1304" s="48" t="s">
        <v>306</v>
      </c>
      <c r="B1304" s="49">
        <v>45315</v>
      </c>
      <c r="C1304" s="48" t="s">
        <v>1006</v>
      </c>
      <c r="D1304" s="48" t="s">
        <v>1118</v>
      </c>
      <c r="E1304" s="48" t="s">
        <v>856</v>
      </c>
      <c r="F1304" s="48" t="s">
        <v>62</v>
      </c>
      <c r="G1304" s="48" t="s">
        <v>70</v>
      </c>
      <c r="H1304" s="48" t="s">
        <v>70</v>
      </c>
      <c r="I1304" s="48" t="s">
        <v>307</v>
      </c>
      <c r="J1304" s="48" t="s">
        <v>72</v>
      </c>
      <c r="K1304" s="48" t="s">
        <v>213</v>
      </c>
      <c r="L1304" s="48" t="s">
        <v>1134</v>
      </c>
      <c r="M1304" s="48" t="s">
        <v>67</v>
      </c>
      <c r="N1304" s="48" t="s">
        <v>20</v>
      </c>
      <c r="O1304" s="48" t="s">
        <v>857</v>
      </c>
      <c r="P1304" s="50">
        <v>55016.44</v>
      </c>
      <c r="Q1304" s="50">
        <v>4.5848000064688499</v>
      </c>
      <c r="R1304" s="50">
        <v>252239.3744678931</v>
      </c>
      <c r="S1304" s="74">
        <v>45319</v>
      </c>
      <c r="T1304" s="48" t="s">
        <v>308</v>
      </c>
      <c r="U1304" s="48" t="s">
        <v>213</v>
      </c>
      <c r="V1304" s="48" t="s">
        <v>857</v>
      </c>
      <c r="W1304" s="48"/>
    </row>
    <row r="1305" spans="1:23" ht="15.75" x14ac:dyDescent="0.25">
      <c r="A1305" s="48" t="s">
        <v>193</v>
      </c>
      <c r="B1305" s="49">
        <v>45239</v>
      </c>
      <c r="C1305" s="48" t="s">
        <v>916</v>
      </c>
      <c r="D1305" s="48" t="s">
        <v>441</v>
      </c>
      <c r="E1305" s="48" t="s">
        <v>856</v>
      </c>
      <c r="F1305" s="48" t="s">
        <v>21</v>
      </c>
      <c r="G1305" s="48" t="s">
        <v>22</v>
      </c>
      <c r="H1305" s="48" t="s">
        <v>27</v>
      </c>
      <c r="I1305" s="48" t="s">
        <v>194</v>
      </c>
      <c r="J1305" s="48" t="s">
        <v>24</v>
      </c>
      <c r="K1305" s="48" t="s">
        <v>22</v>
      </c>
      <c r="L1305" s="48" t="s">
        <v>1132</v>
      </c>
      <c r="M1305" s="48" t="s">
        <v>26</v>
      </c>
      <c r="N1305" s="48" t="s">
        <v>20</v>
      </c>
      <c r="O1305" s="48" t="s">
        <v>857</v>
      </c>
      <c r="P1305" s="50">
        <v>3998930.02</v>
      </c>
      <c r="Q1305" s="50">
        <v>1</v>
      </c>
      <c r="R1305" s="50">
        <v>3998930.02</v>
      </c>
      <c r="S1305" s="74">
        <v>45319</v>
      </c>
      <c r="T1305" s="48" t="s">
        <v>28</v>
      </c>
      <c r="U1305" s="48" t="s">
        <v>22</v>
      </c>
      <c r="V1305" s="48" t="s">
        <v>857</v>
      </c>
      <c r="W1305" s="48"/>
    </row>
    <row r="1306" spans="1:23" ht="15.75" x14ac:dyDescent="0.25">
      <c r="A1306" s="48" t="s">
        <v>187</v>
      </c>
      <c r="B1306" s="49">
        <v>45295</v>
      </c>
      <c r="C1306" s="48" t="s">
        <v>916</v>
      </c>
      <c r="D1306" s="48" t="s">
        <v>441</v>
      </c>
      <c r="E1306" s="48" t="s">
        <v>856</v>
      </c>
      <c r="F1306" s="48" t="s">
        <v>21</v>
      </c>
      <c r="G1306" s="48" t="s">
        <v>22</v>
      </c>
      <c r="H1306" s="48" t="s">
        <v>27</v>
      </c>
      <c r="I1306" s="48" t="s">
        <v>188</v>
      </c>
      <c r="J1306" s="48" t="s">
        <v>24</v>
      </c>
      <c r="K1306" s="48" t="s">
        <v>22</v>
      </c>
      <c r="L1306" s="48" t="s">
        <v>1132</v>
      </c>
      <c r="M1306" s="48" t="s">
        <v>26</v>
      </c>
      <c r="N1306" s="48" t="s">
        <v>20</v>
      </c>
      <c r="O1306" s="48" t="s">
        <v>857</v>
      </c>
      <c r="P1306" s="50">
        <v>2000000.0009999999</v>
      </c>
      <c r="Q1306" s="50">
        <v>1</v>
      </c>
      <c r="R1306" s="50">
        <v>2000000.0009999999</v>
      </c>
      <c r="S1306" s="74">
        <v>45319</v>
      </c>
      <c r="T1306" s="48" t="s">
        <v>117</v>
      </c>
      <c r="U1306" s="48" t="s">
        <v>22</v>
      </c>
      <c r="V1306" s="48" t="s">
        <v>857</v>
      </c>
      <c r="W1306" s="48"/>
    </row>
    <row r="1307" spans="1:23" ht="15.75" x14ac:dyDescent="0.25">
      <c r="A1307" s="48" t="s">
        <v>306</v>
      </c>
      <c r="B1307" s="49">
        <v>45315</v>
      </c>
      <c r="C1307" s="48" t="s">
        <v>1005</v>
      </c>
      <c r="D1307" s="48" t="s">
        <v>1118</v>
      </c>
      <c r="E1307" s="48" t="s">
        <v>856</v>
      </c>
      <c r="F1307" s="48" t="s">
        <v>62</v>
      </c>
      <c r="G1307" s="48" t="s">
        <v>70</v>
      </c>
      <c r="H1307" s="48" t="s">
        <v>70</v>
      </c>
      <c r="I1307" s="48" t="s">
        <v>307</v>
      </c>
      <c r="J1307" s="48" t="s">
        <v>72</v>
      </c>
      <c r="K1307" s="48" t="s">
        <v>213</v>
      </c>
      <c r="L1307" s="48" t="s">
        <v>1134</v>
      </c>
      <c r="M1307" s="48" t="s">
        <v>67</v>
      </c>
      <c r="N1307" s="48" t="s">
        <v>20</v>
      </c>
      <c r="O1307" s="48" t="s">
        <v>857</v>
      </c>
      <c r="P1307" s="50">
        <v>118805.64</v>
      </c>
      <c r="Q1307" s="50">
        <v>4.5848000064688499</v>
      </c>
      <c r="R1307" s="50">
        <v>544700.09904053586</v>
      </c>
      <c r="S1307" s="74">
        <v>45319</v>
      </c>
      <c r="T1307" s="48" t="s">
        <v>308</v>
      </c>
      <c r="U1307" s="48" t="s">
        <v>213</v>
      </c>
      <c r="V1307" s="48" t="s">
        <v>857</v>
      </c>
      <c r="W1307" s="48"/>
    </row>
    <row r="1308" spans="1:23" ht="15.75" x14ac:dyDescent="0.25">
      <c r="A1308" s="48" t="s">
        <v>250</v>
      </c>
      <c r="B1308" s="49">
        <v>45299</v>
      </c>
      <c r="C1308" s="48" t="s">
        <v>916</v>
      </c>
      <c r="D1308" s="48" t="s">
        <v>1118</v>
      </c>
      <c r="E1308" s="48" t="s">
        <v>856</v>
      </c>
      <c r="F1308" s="48" t="s">
        <v>21</v>
      </c>
      <c r="G1308" s="48" t="s">
        <v>22</v>
      </c>
      <c r="H1308" s="48" t="s">
        <v>27</v>
      </c>
      <c r="I1308" s="48" t="s">
        <v>251</v>
      </c>
      <c r="J1308" s="48" t="s">
        <v>72</v>
      </c>
      <c r="K1308" s="48" t="s">
        <v>213</v>
      </c>
      <c r="L1308" s="48" t="s">
        <v>1134</v>
      </c>
      <c r="M1308" s="48" t="s">
        <v>67</v>
      </c>
      <c r="N1308" s="48" t="s">
        <v>20</v>
      </c>
      <c r="O1308" s="48" t="s">
        <v>857</v>
      </c>
      <c r="P1308" s="50">
        <v>1555783.16</v>
      </c>
      <c r="Q1308" s="50">
        <v>4.1349999999999998</v>
      </c>
      <c r="R1308" s="50">
        <v>6433163.3665999994</v>
      </c>
      <c r="S1308" s="74">
        <v>45314</v>
      </c>
      <c r="T1308" s="48" t="s">
        <v>252</v>
      </c>
      <c r="U1308" s="48" t="s">
        <v>213</v>
      </c>
      <c r="V1308" s="48" t="s">
        <v>857</v>
      </c>
      <c r="W1308" s="48"/>
    </row>
    <row r="1309" spans="1:23" ht="15.75" x14ac:dyDescent="0.25">
      <c r="A1309" s="48" t="s">
        <v>36</v>
      </c>
      <c r="B1309" s="49">
        <v>45280</v>
      </c>
      <c r="C1309" s="48" t="s">
        <v>924</v>
      </c>
      <c r="D1309" s="48" t="s">
        <v>441</v>
      </c>
      <c r="E1309" s="48" t="s">
        <v>856</v>
      </c>
      <c r="F1309" s="48" t="s">
        <v>21</v>
      </c>
      <c r="G1309" s="48" t="s">
        <v>22</v>
      </c>
      <c r="H1309" s="48" t="s">
        <v>27</v>
      </c>
      <c r="I1309" s="48" t="s">
        <v>37</v>
      </c>
      <c r="J1309" s="48" t="s">
        <v>24</v>
      </c>
      <c r="K1309" s="48" t="s">
        <v>22</v>
      </c>
      <c r="L1309" s="48" t="s">
        <v>1132</v>
      </c>
      <c r="M1309" s="48" t="s">
        <v>26</v>
      </c>
      <c r="N1309" s="48" t="s">
        <v>20</v>
      </c>
      <c r="O1309" s="48" t="s">
        <v>857</v>
      </c>
      <c r="P1309" s="50">
        <v>227876.07</v>
      </c>
      <c r="Q1309" s="50">
        <v>1</v>
      </c>
      <c r="R1309" s="50">
        <v>227876.07</v>
      </c>
      <c r="S1309" s="74">
        <v>45313</v>
      </c>
      <c r="T1309" s="48" t="s">
        <v>35</v>
      </c>
      <c r="U1309" s="48" t="s">
        <v>22</v>
      </c>
      <c r="V1309" s="48" t="s">
        <v>857</v>
      </c>
      <c r="W1309" s="48"/>
    </row>
    <row r="1310" spans="1:23" ht="15.75" x14ac:dyDescent="0.25">
      <c r="A1310" s="48" t="s">
        <v>306</v>
      </c>
      <c r="B1310" s="49">
        <v>45312</v>
      </c>
      <c r="C1310" s="48" t="s">
        <v>1021</v>
      </c>
      <c r="D1310" s="48" t="s">
        <v>1118</v>
      </c>
      <c r="E1310" s="48" t="s">
        <v>856</v>
      </c>
      <c r="F1310" s="48" t="s">
        <v>62</v>
      </c>
      <c r="G1310" s="48" t="s">
        <v>70</v>
      </c>
      <c r="H1310" s="48" t="s">
        <v>70</v>
      </c>
      <c r="I1310" s="48" t="s">
        <v>307</v>
      </c>
      <c r="J1310" s="48" t="s">
        <v>72</v>
      </c>
      <c r="K1310" s="48" t="s">
        <v>213</v>
      </c>
      <c r="L1310" s="48" t="s">
        <v>1134</v>
      </c>
      <c r="M1310" s="48" t="s">
        <v>67</v>
      </c>
      <c r="N1310" s="48" t="s">
        <v>20</v>
      </c>
      <c r="O1310" s="48" t="s">
        <v>857</v>
      </c>
      <c r="P1310" s="50">
        <v>70486.64</v>
      </c>
      <c r="Q1310" s="50">
        <v>4.5848000064688499</v>
      </c>
      <c r="R1310" s="50">
        <v>323167.14752796746</v>
      </c>
      <c r="S1310" s="74">
        <v>45313</v>
      </c>
      <c r="T1310" s="48" t="s">
        <v>308</v>
      </c>
      <c r="U1310" s="48" t="s">
        <v>213</v>
      </c>
      <c r="V1310" s="48" t="s">
        <v>857</v>
      </c>
      <c r="W1310" s="48"/>
    </row>
    <row r="1311" spans="1:23" ht="15.75" x14ac:dyDescent="0.25">
      <c r="A1311" s="48" t="s">
        <v>306</v>
      </c>
      <c r="B1311" s="49">
        <v>45307</v>
      </c>
      <c r="C1311" s="48" t="s">
        <v>1011</v>
      </c>
      <c r="D1311" s="48" t="s">
        <v>1118</v>
      </c>
      <c r="E1311" s="48" t="s">
        <v>856</v>
      </c>
      <c r="F1311" s="48" t="s">
        <v>62</v>
      </c>
      <c r="G1311" s="48" t="s">
        <v>70</v>
      </c>
      <c r="H1311" s="48" t="s">
        <v>70</v>
      </c>
      <c r="I1311" s="48" t="s">
        <v>307</v>
      </c>
      <c r="J1311" s="48" t="s">
        <v>72</v>
      </c>
      <c r="K1311" s="48" t="s">
        <v>213</v>
      </c>
      <c r="L1311" s="48" t="s">
        <v>1134</v>
      </c>
      <c r="M1311" s="48" t="s">
        <v>67</v>
      </c>
      <c r="N1311" s="48" t="s">
        <v>20</v>
      </c>
      <c r="O1311" s="48" t="s">
        <v>857</v>
      </c>
      <c r="P1311" s="50">
        <v>68880.990000000005</v>
      </c>
      <c r="Q1311" s="50">
        <v>4.5848000064688499</v>
      </c>
      <c r="R1311" s="50">
        <v>315805.56339758082</v>
      </c>
      <c r="S1311" s="74">
        <v>45313</v>
      </c>
      <c r="T1311" s="48" t="s">
        <v>308</v>
      </c>
      <c r="U1311" s="48" t="s">
        <v>213</v>
      </c>
      <c r="V1311" s="48" t="s">
        <v>857</v>
      </c>
      <c r="W1311" s="48"/>
    </row>
    <row r="1312" spans="1:23" ht="15.75" x14ac:dyDescent="0.25">
      <c r="A1312" s="48" t="s">
        <v>306</v>
      </c>
      <c r="B1312" s="49">
        <v>45307</v>
      </c>
      <c r="C1312" s="48" t="s">
        <v>1009</v>
      </c>
      <c r="D1312" s="48" t="s">
        <v>1118</v>
      </c>
      <c r="E1312" s="48" t="s">
        <v>856</v>
      </c>
      <c r="F1312" s="48" t="s">
        <v>62</v>
      </c>
      <c r="G1312" s="48" t="s">
        <v>70</v>
      </c>
      <c r="H1312" s="48" t="s">
        <v>70</v>
      </c>
      <c r="I1312" s="48" t="s">
        <v>307</v>
      </c>
      <c r="J1312" s="48" t="s">
        <v>72</v>
      </c>
      <c r="K1312" s="48" t="s">
        <v>213</v>
      </c>
      <c r="L1312" s="48" t="s">
        <v>1134</v>
      </c>
      <c r="M1312" s="48" t="s">
        <v>67</v>
      </c>
      <c r="N1312" s="48" t="s">
        <v>20</v>
      </c>
      <c r="O1312" s="48" t="s">
        <v>857</v>
      </c>
      <c r="P1312" s="50">
        <v>365007.41</v>
      </c>
      <c r="Q1312" s="50">
        <v>4.5848000064688499</v>
      </c>
      <c r="R1312" s="50">
        <v>1673485.9757291779</v>
      </c>
      <c r="S1312" s="74">
        <v>45313</v>
      </c>
      <c r="T1312" s="48" t="s">
        <v>308</v>
      </c>
      <c r="U1312" s="48" t="s">
        <v>213</v>
      </c>
      <c r="V1312" s="48" t="s">
        <v>857</v>
      </c>
      <c r="W1312" s="48"/>
    </row>
    <row r="1313" spans="1:23" ht="15.75" x14ac:dyDescent="0.25">
      <c r="A1313" s="48" t="s">
        <v>306</v>
      </c>
      <c r="B1313" s="49">
        <v>45312</v>
      </c>
      <c r="C1313" s="48" t="s">
        <v>1016</v>
      </c>
      <c r="D1313" s="48" t="s">
        <v>1118</v>
      </c>
      <c r="E1313" s="48" t="s">
        <v>856</v>
      </c>
      <c r="F1313" s="48" t="s">
        <v>62</v>
      </c>
      <c r="G1313" s="48" t="s">
        <v>70</v>
      </c>
      <c r="H1313" s="48" t="s">
        <v>70</v>
      </c>
      <c r="I1313" s="48" t="s">
        <v>307</v>
      </c>
      <c r="J1313" s="48" t="s">
        <v>72</v>
      </c>
      <c r="K1313" s="48" t="s">
        <v>213</v>
      </c>
      <c r="L1313" s="48" t="s">
        <v>1134</v>
      </c>
      <c r="M1313" s="48" t="s">
        <v>67</v>
      </c>
      <c r="N1313" s="48" t="s">
        <v>20</v>
      </c>
      <c r="O1313" s="48" t="s">
        <v>857</v>
      </c>
      <c r="P1313" s="50">
        <v>55443.02</v>
      </c>
      <c r="Q1313" s="50">
        <v>4.5848000064688499</v>
      </c>
      <c r="R1313" s="50">
        <v>254195.15845465256</v>
      </c>
      <c r="S1313" s="74">
        <v>45313</v>
      </c>
      <c r="T1313" s="48" t="s">
        <v>308</v>
      </c>
      <c r="U1313" s="48" t="s">
        <v>213</v>
      </c>
      <c r="V1313" s="48" t="s">
        <v>857</v>
      </c>
      <c r="W1313" s="48"/>
    </row>
    <row r="1314" spans="1:23" ht="15.75" x14ac:dyDescent="0.25">
      <c r="A1314" s="48" t="s">
        <v>306</v>
      </c>
      <c r="B1314" s="49">
        <v>45312</v>
      </c>
      <c r="C1314" s="48" t="s">
        <v>1017</v>
      </c>
      <c r="D1314" s="48" t="s">
        <v>1118</v>
      </c>
      <c r="E1314" s="48" t="s">
        <v>856</v>
      </c>
      <c r="F1314" s="48" t="s">
        <v>62</v>
      </c>
      <c r="G1314" s="48" t="s">
        <v>70</v>
      </c>
      <c r="H1314" s="48" t="s">
        <v>70</v>
      </c>
      <c r="I1314" s="48" t="s">
        <v>307</v>
      </c>
      <c r="J1314" s="48" t="s">
        <v>72</v>
      </c>
      <c r="K1314" s="48" t="s">
        <v>213</v>
      </c>
      <c r="L1314" s="48" t="s">
        <v>1134</v>
      </c>
      <c r="M1314" s="48" t="s">
        <v>67</v>
      </c>
      <c r="N1314" s="48" t="s">
        <v>20</v>
      </c>
      <c r="O1314" s="48" t="s">
        <v>857</v>
      </c>
      <c r="P1314" s="50">
        <v>192110.09</v>
      </c>
      <c r="Q1314" s="50">
        <v>4.5848000064688499</v>
      </c>
      <c r="R1314" s="50">
        <v>880786.34187473136</v>
      </c>
      <c r="S1314" s="74">
        <v>45313</v>
      </c>
      <c r="T1314" s="48" t="s">
        <v>308</v>
      </c>
      <c r="U1314" s="48" t="s">
        <v>213</v>
      </c>
      <c r="V1314" s="48" t="s">
        <v>857</v>
      </c>
      <c r="W1314" s="48"/>
    </row>
    <row r="1315" spans="1:23" ht="15.75" x14ac:dyDescent="0.25">
      <c r="A1315" s="48" t="s">
        <v>306</v>
      </c>
      <c r="B1315" s="49">
        <v>45312</v>
      </c>
      <c r="C1315" s="48" t="s">
        <v>1018</v>
      </c>
      <c r="D1315" s="48" t="s">
        <v>1118</v>
      </c>
      <c r="E1315" s="48" t="s">
        <v>856</v>
      </c>
      <c r="F1315" s="48" t="s">
        <v>62</v>
      </c>
      <c r="G1315" s="48" t="s">
        <v>70</v>
      </c>
      <c r="H1315" s="48" t="s">
        <v>70</v>
      </c>
      <c r="I1315" s="48" t="s">
        <v>307</v>
      </c>
      <c r="J1315" s="48" t="s">
        <v>72</v>
      </c>
      <c r="K1315" s="48" t="s">
        <v>213</v>
      </c>
      <c r="L1315" s="48" t="s">
        <v>1134</v>
      </c>
      <c r="M1315" s="48" t="s">
        <v>67</v>
      </c>
      <c r="N1315" s="48" t="s">
        <v>20</v>
      </c>
      <c r="O1315" s="48" t="s">
        <v>857</v>
      </c>
      <c r="P1315" s="50">
        <v>147073.44</v>
      </c>
      <c r="Q1315" s="50">
        <v>4.5848000064688499</v>
      </c>
      <c r="R1315" s="50">
        <v>674302.30866339605</v>
      </c>
      <c r="S1315" s="74">
        <v>45313</v>
      </c>
      <c r="T1315" s="48" t="s">
        <v>308</v>
      </c>
      <c r="U1315" s="48" t="s">
        <v>213</v>
      </c>
      <c r="V1315" s="48" t="s">
        <v>857</v>
      </c>
      <c r="W1315" s="48"/>
    </row>
    <row r="1316" spans="1:23" ht="15.75" x14ac:dyDescent="0.25">
      <c r="A1316" s="48" t="s">
        <v>306</v>
      </c>
      <c r="B1316" s="49">
        <v>45307</v>
      </c>
      <c r="C1316" s="48" t="s">
        <v>1022</v>
      </c>
      <c r="D1316" s="48" t="s">
        <v>1118</v>
      </c>
      <c r="E1316" s="48" t="s">
        <v>856</v>
      </c>
      <c r="F1316" s="48" t="s">
        <v>62</v>
      </c>
      <c r="G1316" s="48" t="s">
        <v>70</v>
      </c>
      <c r="H1316" s="48" t="s">
        <v>70</v>
      </c>
      <c r="I1316" s="48" t="s">
        <v>307</v>
      </c>
      <c r="J1316" s="48" t="s">
        <v>72</v>
      </c>
      <c r="K1316" s="48" t="s">
        <v>213</v>
      </c>
      <c r="L1316" s="48" t="s">
        <v>1134</v>
      </c>
      <c r="M1316" s="48" t="s">
        <v>67</v>
      </c>
      <c r="N1316" s="48" t="s">
        <v>20</v>
      </c>
      <c r="O1316" s="48" t="s">
        <v>857</v>
      </c>
      <c r="P1316" s="50">
        <v>101731.68</v>
      </c>
      <c r="Q1316" s="50">
        <v>4.5848000064688499</v>
      </c>
      <c r="R1316" s="50">
        <v>466419.40712208691</v>
      </c>
      <c r="S1316" s="74">
        <v>45313</v>
      </c>
      <c r="T1316" s="48" t="s">
        <v>308</v>
      </c>
      <c r="U1316" s="48" t="s">
        <v>213</v>
      </c>
      <c r="V1316" s="48" t="s">
        <v>857</v>
      </c>
      <c r="W1316" s="48"/>
    </row>
    <row r="1317" spans="1:23" ht="15.75" x14ac:dyDescent="0.25">
      <c r="A1317" s="48" t="s">
        <v>306</v>
      </c>
      <c r="B1317" s="49">
        <v>45307</v>
      </c>
      <c r="C1317" s="48" t="s">
        <v>1010</v>
      </c>
      <c r="D1317" s="48" t="s">
        <v>1118</v>
      </c>
      <c r="E1317" s="48" t="s">
        <v>856</v>
      </c>
      <c r="F1317" s="48" t="s">
        <v>62</v>
      </c>
      <c r="G1317" s="48" t="s">
        <v>70</v>
      </c>
      <c r="H1317" s="48" t="s">
        <v>70</v>
      </c>
      <c r="I1317" s="48" t="s">
        <v>307</v>
      </c>
      <c r="J1317" s="48" t="s">
        <v>72</v>
      </c>
      <c r="K1317" s="48" t="s">
        <v>213</v>
      </c>
      <c r="L1317" s="48" t="s">
        <v>1134</v>
      </c>
      <c r="M1317" s="48" t="s">
        <v>67</v>
      </c>
      <c r="N1317" s="48" t="s">
        <v>20</v>
      </c>
      <c r="O1317" s="48" t="s">
        <v>857</v>
      </c>
      <c r="P1317" s="50">
        <v>128625.45</v>
      </c>
      <c r="Q1317" s="50">
        <v>4.5848000064688499</v>
      </c>
      <c r="R1317" s="50">
        <v>589721.96399205877</v>
      </c>
      <c r="S1317" s="74">
        <v>45313</v>
      </c>
      <c r="T1317" s="48" t="s">
        <v>308</v>
      </c>
      <c r="U1317" s="48" t="s">
        <v>213</v>
      </c>
      <c r="V1317" s="48" t="s">
        <v>857</v>
      </c>
      <c r="W1317" s="48"/>
    </row>
    <row r="1318" spans="1:23" ht="15.75" x14ac:dyDescent="0.25">
      <c r="A1318" s="48" t="s">
        <v>306</v>
      </c>
      <c r="B1318" s="49">
        <v>45307</v>
      </c>
      <c r="C1318" s="48" t="s">
        <v>1008</v>
      </c>
      <c r="D1318" s="48" t="s">
        <v>1118</v>
      </c>
      <c r="E1318" s="48" t="s">
        <v>856</v>
      </c>
      <c r="F1318" s="48" t="s">
        <v>62</v>
      </c>
      <c r="G1318" s="48" t="s">
        <v>70</v>
      </c>
      <c r="H1318" s="48" t="s">
        <v>70</v>
      </c>
      <c r="I1318" s="48" t="s">
        <v>307</v>
      </c>
      <c r="J1318" s="48" t="s">
        <v>72</v>
      </c>
      <c r="K1318" s="48" t="s">
        <v>213</v>
      </c>
      <c r="L1318" s="48" t="s">
        <v>1134</v>
      </c>
      <c r="M1318" s="48" t="s">
        <v>67</v>
      </c>
      <c r="N1318" s="48" t="s">
        <v>20</v>
      </c>
      <c r="O1318" s="48" t="s">
        <v>857</v>
      </c>
      <c r="P1318" s="50">
        <v>91605.97</v>
      </c>
      <c r="Q1318" s="50">
        <v>4.5848000064688499</v>
      </c>
      <c r="R1318" s="50">
        <v>419995.05184858525</v>
      </c>
      <c r="S1318" s="74">
        <v>45313</v>
      </c>
      <c r="T1318" s="48" t="s">
        <v>308</v>
      </c>
      <c r="U1318" s="48" t="s">
        <v>213</v>
      </c>
      <c r="V1318" s="48" t="s">
        <v>857</v>
      </c>
      <c r="W1318" s="48"/>
    </row>
    <row r="1319" spans="1:23" ht="15.75" x14ac:dyDescent="0.25">
      <c r="A1319" s="48" t="s">
        <v>306</v>
      </c>
      <c r="B1319" s="49">
        <v>45307</v>
      </c>
      <c r="C1319" s="48" t="s">
        <v>1007</v>
      </c>
      <c r="D1319" s="48" t="s">
        <v>1118</v>
      </c>
      <c r="E1319" s="48" t="s">
        <v>856</v>
      </c>
      <c r="F1319" s="48" t="s">
        <v>62</v>
      </c>
      <c r="G1319" s="48" t="s">
        <v>70</v>
      </c>
      <c r="H1319" s="48" t="s">
        <v>70</v>
      </c>
      <c r="I1319" s="48" t="s">
        <v>307</v>
      </c>
      <c r="J1319" s="48" t="s">
        <v>72</v>
      </c>
      <c r="K1319" s="48" t="s">
        <v>213</v>
      </c>
      <c r="L1319" s="48" t="s">
        <v>1134</v>
      </c>
      <c r="M1319" s="48" t="s">
        <v>67</v>
      </c>
      <c r="N1319" s="48" t="s">
        <v>20</v>
      </c>
      <c r="O1319" s="48" t="s">
        <v>857</v>
      </c>
      <c r="P1319" s="50">
        <v>175254.08</v>
      </c>
      <c r="Q1319" s="50">
        <v>4.5848000064688499</v>
      </c>
      <c r="R1319" s="50">
        <v>803504.90711769229</v>
      </c>
      <c r="S1319" s="74">
        <v>45313</v>
      </c>
      <c r="T1319" s="48" t="s">
        <v>308</v>
      </c>
      <c r="U1319" s="48" t="s">
        <v>213</v>
      </c>
      <c r="V1319" s="48" t="s">
        <v>857</v>
      </c>
      <c r="W1319" s="48"/>
    </row>
    <row r="1320" spans="1:23" ht="15.75" x14ac:dyDescent="0.25">
      <c r="A1320" s="48" t="s">
        <v>306</v>
      </c>
      <c r="B1320" s="49">
        <v>45312</v>
      </c>
      <c r="C1320" s="48" t="s">
        <v>1020</v>
      </c>
      <c r="D1320" s="48" t="s">
        <v>1118</v>
      </c>
      <c r="E1320" s="48" t="s">
        <v>856</v>
      </c>
      <c r="F1320" s="48" t="s">
        <v>62</v>
      </c>
      <c r="G1320" s="48" t="s">
        <v>70</v>
      </c>
      <c r="H1320" s="48" t="s">
        <v>70</v>
      </c>
      <c r="I1320" s="48" t="s">
        <v>307</v>
      </c>
      <c r="J1320" s="48" t="s">
        <v>72</v>
      </c>
      <c r="K1320" s="48" t="s">
        <v>213</v>
      </c>
      <c r="L1320" s="48" t="s">
        <v>1134</v>
      </c>
      <c r="M1320" s="48" t="s">
        <v>67</v>
      </c>
      <c r="N1320" s="48" t="s">
        <v>20</v>
      </c>
      <c r="O1320" s="48" t="s">
        <v>857</v>
      </c>
      <c r="P1320" s="50">
        <v>169725.42</v>
      </c>
      <c r="Q1320" s="50">
        <v>4.5848000064688499</v>
      </c>
      <c r="R1320" s="50">
        <v>778157.10671392828</v>
      </c>
      <c r="S1320" s="74">
        <v>45313</v>
      </c>
      <c r="T1320" s="48" t="s">
        <v>308</v>
      </c>
      <c r="U1320" s="48" t="s">
        <v>213</v>
      </c>
      <c r="V1320" s="48" t="s">
        <v>857</v>
      </c>
      <c r="W1320" s="48"/>
    </row>
    <row r="1321" spans="1:23" ht="15.75" x14ac:dyDescent="0.25">
      <c r="A1321" s="48" t="s">
        <v>306</v>
      </c>
      <c r="B1321" s="49">
        <v>45307</v>
      </c>
      <c r="C1321" s="48" t="s">
        <v>1012</v>
      </c>
      <c r="D1321" s="48" t="s">
        <v>1118</v>
      </c>
      <c r="E1321" s="48" t="s">
        <v>856</v>
      </c>
      <c r="F1321" s="48" t="s">
        <v>62</v>
      </c>
      <c r="G1321" s="48" t="s">
        <v>70</v>
      </c>
      <c r="H1321" s="48" t="s">
        <v>70</v>
      </c>
      <c r="I1321" s="48" t="s">
        <v>307</v>
      </c>
      <c r="J1321" s="48" t="s">
        <v>72</v>
      </c>
      <c r="K1321" s="48" t="s">
        <v>213</v>
      </c>
      <c r="L1321" s="48" t="s">
        <v>1134</v>
      </c>
      <c r="M1321" s="48" t="s">
        <v>67</v>
      </c>
      <c r="N1321" s="48" t="s">
        <v>20</v>
      </c>
      <c r="O1321" s="48" t="s">
        <v>857</v>
      </c>
      <c r="P1321" s="50">
        <v>216805.57</v>
      </c>
      <c r="Q1321" s="50">
        <v>4.5848000064688499</v>
      </c>
      <c r="R1321" s="50">
        <v>994010.17873848276</v>
      </c>
      <c r="S1321" s="74">
        <v>45313</v>
      </c>
      <c r="T1321" s="48" t="s">
        <v>308</v>
      </c>
      <c r="U1321" s="48" t="s">
        <v>213</v>
      </c>
      <c r="V1321" s="48" t="s">
        <v>857</v>
      </c>
      <c r="W1321" s="48"/>
    </row>
    <row r="1322" spans="1:23" ht="15.75" x14ac:dyDescent="0.25">
      <c r="A1322" s="48" t="s">
        <v>306</v>
      </c>
      <c r="B1322" s="49">
        <v>45308</v>
      </c>
      <c r="C1322" s="48" t="s">
        <v>1014</v>
      </c>
      <c r="D1322" s="48" t="s">
        <v>1118</v>
      </c>
      <c r="E1322" s="48" t="s">
        <v>856</v>
      </c>
      <c r="F1322" s="48" t="s">
        <v>62</v>
      </c>
      <c r="G1322" s="48" t="s">
        <v>70</v>
      </c>
      <c r="H1322" s="48" t="s">
        <v>70</v>
      </c>
      <c r="I1322" s="48" t="s">
        <v>307</v>
      </c>
      <c r="J1322" s="48" t="s">
        <v>72</v>
      </c>
      <c r="K1322" s="48" t="s">
        <v>213</v>
      </c>
      <c r="L1322" s="48" t="s">
        <v>1134</v>
      </c>
      <c r="M1322" s="48" t="s">
        <v>67</v>
      </c>
      <c r="N1322" s="48" t="s">
        <v>20</v>
      </c>
      <c r="O1322" s="48" t="s">
        <v>857</v>
      </c>
      <c r="P1322" s="50">
        <v>409603.54</v>
      </c>
      <c r="Q1322" s="50">
        <v>4.5848000064688499</v>
      </c>
      <c r="R1322" s="50">
        <v>1877950.3128416636</v>
      </c>
      <c r="S1322" s="74">
        <v>45313</v>
      </c>
      <c r="T1322" s="48" t="s">
        <v>308</v>
      </c>
      <c r="U1322" s="48" t="s">
        <v>213</v>
      </c>
      <c r="V1322" s="48" t="s">
        <v>857</v>
      </c>
      <c r="W1322" s="48"/>
    </row>
    <row r="1323" spans="1:23" ht="15.75" x14ac:dyDescent="0.25">
      <c r="A1323" s="48" t="s">
        <v>306</v>
      </c>
      <c r="B1323" s="49">
        <v>45312</v>
      </c>
      <c r="C1323" s="48" t="s">
        <v>1015</v>
      </c>
      <c r="D1323" s="48" t="s">
        <v>1118</v>
      </c>
      <c r="E1323" s="48" t="s">
        <v>856</v>
      </c>
      <c r="F1323" s="48" t="s">
        <v>62</v>
      </c>
      <c r="G1323" s="48" t="s">
        <v>70</v>
      </c>
      <c r="H1323" s="48" t="s">
        <v>70</v>
      </c>
      <c r="I1323" s="48" t="s">
        <v>307</v>
      </c>
      <c r="J1323" s="48" t="s">
        <v>72</v>
      </c>
      <c r="K1323" s="48" t="s">
        <v>213</v>
      </c>
      <c r="L1323" s="48" t="s">
        <v>1134</v>
      </c>
      <c r="M1323" s="48" t="s">
        <v>67</v>
      </c>
      <c r="N1323" s="48" t="s">
        <v>20</v>
      </c>
      <c r="O1323" s="48" t="s">
        <v>857</v>
      </c>
      <c r="P1323" s="50">
        <v>86129.06</v>
      </c>
      <c r="Q1323" s="50">
        <v>4.5848000064688499</v>
      </c>
      <c r="R1323" s="50">
        <v>394884.51484515594</v>
      </c>
      <c r="S1323" s="74">
        <v>45313</v>
      </c>
      <c r="T1323" s="48" t="s">
        <v>308</v>
      </c>
      <c r="U1323" s="48" t="s">
        <v>213</v>
      </c>
      <c r="V1323" s="48" t="s">
        <v>857</v>
      </c>
      <c r="W1323" s="48"/>
    </row>
    <row r="1324" spans="1:23" ht="15.75" x14ac:dyDescent="0.25">
      <c r="A1324" s="48" t="s">
        <v>306</v>
      </c>
      <c r="B1324" s="49">
        <v>45312</v>
      </c>
      <c r="C1324" s="48" t="s">
        <v>1013</v>
      </c>
      <c r="D1324" s="48" t="s">
        <v>1118</v>
      </c>
      <c r="E1324" s="48" t="s">
        <v>856</v>
      </c>
      <c r="F1324" s="48" t="s">
        <v>62</v>
      </c>
      <c r="G1324" s="48" t="s">
        <v>70</v>
      </c>
      <c r="H1324" s="48" t="s">
        <v>70</v>
      </c>
      <c r="I1324" s="48" t="s">
        <v>307</v>
      </c>
      <c r="J1324" s="48" t="s">
        <v>72</v>
      </c>
      <c r="K1324" s="48" t="s">
        <v>213</v>
      </c>
      <c r="L1324" s="48" t="s">
        <v>1134</v>
      </c>
      <c r="M1324" s="48" t="s">
        <v>67</v>
      </c>
      <c r="N1324" s="48" t="s">
        <v>20</v>
      </c>
      <c r="O1324" s="48" t="s">
        <v>857</v>
      </c>
      <c r="P1324" s="50">
        <v>87280.18</v>
      </c>
      <c r="Q1324" s="50">
        <v>4.5848000064688499</v>
      </c>
      <c r="R1324" s="50">
        <v>400162.16982860235</v>
      </c>
      <c r="S1324" s="74">
        <v>45313</v>
      </c>
      <c r="T1324" s="48" t="s">
        <v>308</v>
      </c>
      <c r="U1324" s="48" t="s">
        <v>213</v>
      </c>
      <c r="V1324" s="48" t="s">
        <v>857</v>
      </c>
      <c r="W1324" s="48"/>
    </row>
    <row r="1325" spans="1:23" ht="15.75" x14ac:dyDescent="0.25">
      <c r="A1325" s="48" t="s">
        <v>306</v>
      </c>
      <c r="B1325" s="49">
        <v>45312</v>
      </c>
      <c r="C1325" s="48" t="s">
        <v>1019</v>
      </c>
      <c r="D1325" s="48" t="s">
        <v>1118</v>
      </c>
      <c r="E1325" s="48" t="s">
        <v>856</v>
      </c>
      <c r="F1325" s="48" t="s">
        <v>62</v>
      </c>
      <c r="G1325" s="48" t="s">
        <v>70</v>
      </c>
      <c r="H1325" s="48" t="s">
        <v>70</v>
      </c>
      <c r="I1325" s="48" t="s">
        <v>307</v>
      </c>
      <c r="J1325" s="48" t="s">
        <v>72</v>
      </c>
      <c r="K1325" s="48" t="s">
        <v>213</v>
      </c>
      <c r="L1325" s="48" t="s">
        <v>1134</v>
      </c>
      <c r="M1325" s="48" t="s">
        <v>67</v>
      </c>
      <c r="N1325" s="48" t="s">
        <v>20</v>
      </c>
      <c r="O1325" s="48" t="s">
        <v>857</v>
      </c>
      <c r="P1325" s="50">
        <v>337451.16</v>
      </c>
      <c r="Q1325" s="50">
        <v>4.5848000064688499</v>
      </c>
      <c r="R1325" s="50">
        <v>1547146.0805509207</v>
      </c>
      <c r="S1325" s="74">
        <v>45313</v>
      </c>
      <c r="T1325" s="48" t="s">
        <v>308</v>
      </c>
      <c r="U1325" s="48" t="s">
        <v>213</v>
      </c>
      <c r="V1325" s="48" t="s">
        <v>857</v>
      </c>
      <c r="W1325" s="48"/>
    </row>
    <row r="1326" spans="1:23" ht="15.75" x14ac:dyDescent="0.25">
      <c r="A1326" s="48" t="s">
        <v>40</v>
      </c>
      <c r="B1326" s="49">
        <v>45279</v>
      </c>
      <c r="C1326" s="48" t="s">
        <v>916</v>
      </c>
      <c r="D1326" s="48" t="s">
        <v>441</v>
      </c>
      <c r="E1326" s="48" t="s">
        <v>856</v>
      </c>
      <c r="F1326" s="48" t="s">
        <v>21</v>
      </c>
      <c r="G1326" s="48" t="s">
        <v>22</v>
      </c>
      <c r="H1326" s="48" t="s">
        <v>27</v>
      </c>
      <c r="I1326" s="48" t="s">
        <v>41</v>
      </c>
      <c r="J1326" s="48" t="s">
        <v>24</v>
      </c>
      <c r="K1326" s="48" t="s">
        <v>22</v>
      </c>
      <c r="L1326" s="48" t="s">
        <v>1132</v>
      </c>
      <c r="M1326" s="48" t="s">
        <v>26</v>
      </c>
      <c r="N1326" s="48" t="s">
        <v>20</v>
      </c>
      <c r="O1326" s="48" t="s">
        <v>857</v>
      </c>
      <c r="P1326" s="50">
        <v>1820000</v>
      </c>
      <c r="Q1326" s="50">
        <v>1</v>
      </c>
      <c r="R1326" s="50">
        <v>1820000</v>
      </c>
      <c r="S1326" s="74">
        <v>45311</v>
      </c>
      <c r="T1326" s="48" t="s">
        <v>35</v>
      </c>
      <c r="U1326" s="48" t="s">
        <v>22</v>
      </c>
      <c r="V1326" s="48" t="s">
        <v>857</v>
      </c>
      <c r="W1326" s="48"/>
    </row>
    <row r="1327" spans="1:23" ht="15.75" x14ac:dyDescent="0.25">
      <c r="A1327" s="48" t="s">
        <v>223</v>
      </c>
      <c r="B1327" s="49">
        <v>45270</v>
      </c>
      <c r="C1327" s="48" t="s">
        <v>918</v>
      </c>
      <c r="D1327" s="48" t="s">
        <v>441</v>
      </c>
      <c r="E1327" s="48" t="s">
        <v>856</v>
      </c>
      <c r="F1327" s="48" t="s">
        <v>21</v>
      </c>
      <c r="G1327" s="48" t="s">
        <v>22</v>
      </c>
      <c r="H1327" s="48" t="s">
        <v>27</v>
      </c>
      <c r="I1327" s="48" t="s">
        <v>109</v>
      </c>
      <c r="J1327" s="48" t="s">
        <v>24</v>
      </c>
      <c r="K1327" s="48" t="s">
        <v>22</v>
      </c>
      <c r="L1327" s="48" t="s">
        <v>1132</v>
      </c>
      <c r="M1327" s="48" t="s">
        <v>26</v>
      </c>
      <c r="N1327" s="48" t="s">
        <v>20</v>
      </c>
      <c r="O1327" s="48" t="s">
        <v>857</v>
      </c>
      <c r="P1327" s="50">
        <v>1057000</v>
      </c>
      <c r="Q1327" s="50">
        <v>1</v>
      </c>
      <c r="R1327" s="50">
        <v>1057000</v>
      </c>
      <c r="S1327" s="74">
        <v>45310</v>
      </c>
      <c r="T1327" s="48" t="s">
        <v>917</v>
      </c>
      <c r="U1327" s="48" t="s">
        <v>22</v>
      </c>
      <c r="V1327" s="48" t="s">
        <v>857</v>
      </c>
      <c r="W1327" s="48"/>
    </row>
    <row r="1328" spans="1:23" ht="15.75" x14ac:dyDescent="0.25">
      <c r="A1328" s="48" t="s">
        <v>189</v>
      </c>
      <c r="B1328" s="49">
        <v>45278</v>
      </c>
      <c r="C1328" s="48" t="s">
        <v>916</v>
      </c>
      <c r="D1328" s="48" t="s">
        <v>441</v>
      </c>
      <c r="E1328" s="48" t="s">
        <v>856</v>
      </c>
      <c r="F1328" s="48" t="s">
        <v>21</v>
      </c>
      <c r="G1328" s="48" t="s">
        <v>22</v>
      </c>
      <c r="H1328" s="48" t="s">
        <v>27</v>
      </c>
      <c r="I1328" s="48" t="s">
        <v>190</v>
      </c>
      <c r="J1328" s="48" t="s">
        <v>24</v>
      </c>
      <c r="K1328" s="48" t="s">
        <v>22</v>
      </c>
      <c r="L1328" s="48" t="s">
        <v>1132</v>
      </c>
      <c r="M1328" s="48" t="s">
        <v>191</v>
      </c>
      <c r="N1328" s="48" t="s">
        <v>20</v>
      </c>
      <c r="O1328" s="48" t="s">
        <v>857</v>
      </c>
      <c r="P1328" s="50">
        <v>1475299.7</v>
      </c>
      <c r="Q1328" s="50">
        <v>1.0249999999999999</v>
      </c>
      <c r="R1328" s="50">
        <v>1512182.1924999999</v>
      </c>
      <c r="S1328" s="74">
        <v>45310</v>
      </c>
      <c r="T1328" s="48" t="s">
        <v>35</v>
      </c>
      <c r="U1328" s="48" t="s">
        <v>22</v>
      </c>
      <c r="V1328" s="48" t="s">
        <v>857</v>
      </c>
      <c r="W1328" s="48"/>
    </row>
    <row r="1329" spans="1:23" ht="15.75" x14ac:dyDescent="0.25">
      <c r="A1329" s="48" t="s">
        <v>223</v>
      </c>
      <c r="B1329" s="49">
        <v>45270</v>
      </c>
      <c r="C1329" s="48" t="s">
        <v>916</v>
      </c>
      <c r="D1329" s="48" t="s">
        <v>441</v>
      </c>
      <c r="E1329" s="48" t="s">
        <v>856</v>
      </c>
      <c r="F1329" s="48" t="s">
        <v>21</v>
      </c>
      <c r="G1329" s="48" t="s">
        <v>22</v>
      </c>
      <c r="H1329" s="48" t="s">
        <v>27</v>
      </c>
      <c r="I1329" s="48" t="s">
        <v>109</v>
      </c>
      <c r="J1329" s="48" t="s">
        <v>24</v>
      </c>
      <c r="K1329" s="48" t="s">
        <v>22</v>
      </c>
      <c r="L1329" s="48" t="s">
        <v>1132</v>
      </c>
      <c r="M1329" s="48" t="s">
        <v>26</v>
      </c>
      <c r="N1329" s="48" t="s">
        <v>20</v>
      </c>
      <c r="O1329" s="48" t="s">
        <v>857</v>
      </c>
      <c r="P1329" s="50">
        <v>1268783.02</v>
      </c>
      <c r="Q1329" s="50">
        <v>1</v>
      </c>
      <c r="R1329" s="50">
        <v>1268783.02</v>
      </c>
      <c r="S1329" s="74">
        <v>45310</v>
      </c>
      <c r="T1329" s="48" t="s">
        <v>917</v>
      </c>
      <c r="U1329" s="48" t="s">
        <v>22</v>
      </c>
      <c r="V1329" s="48" t="s">
        <v>857</v>
      </c>
      <c r="W1329" s="48"/>
    </row>
    <row r="1330" spans="1:23" ht="15.75" x14ac:dyDescent="0.25">
      <c r="A1330" s="48" t="s">
        <v>33</v>
      </c>
      <c r="B1330" s="49">
        <v>45274</v>
      </c>
      <c r="C1330" s="48" t="s">
        <v>918</v>
      </c>
      <c r="D1330" s="48" t="s">
        <v>441</v>
      </c>
      <c r="E1330" s="48" t="s">
        <v>856</v>
      </c>
      <c r="F1330" s="48" t="s">
        <v>21</v>
      </c>
      <c r="G1330" s="48" t="s">
        <v>22</v>
      </c>
      <c r="H1330" s="48" t="s">
        <v>27</v>
      </c>
      <c r="I1330" s="48" t="s">
        <v>34</v>
      </c>
      <c r="J1330" s="48" t="s">
        <v>24</v>
      </c>
      <c r="K1330" s="48" t="s">
        <v>22</v>
      </c>
      <c r="L1330" s="48" t="s">
        <v>1132</v>
      </c>
      <c r="M1330" s="48" t="s">
        <v>26</v>
      </c>
      <c r="N1330" s="48" t="s">
        <v>20</v>
      </c>
      <c r="O1330" s="48" t="s">
        <v>857</v>
      </c>
      <c r="P1330" s="50">
        <v>247408.62</v>
      </c>
      <c r="Q1330" s="50">
        <v>1</v>
      </c>
      <c r="R1330" s="50">
        <v>247408.62</v>
      </c>
      <c r="S1330" s="74">
        <v>45309</v>
      </c>
      <c r="T1330" s="48" t="s">
        <v>35</v>
      </c>
      <c r="U1330" s="48" t="s">
        <v>22</v>
      </c>
      <c r="V1330" s="48" t="s">
        <v>857</v>
      </c>
      <c r="W1330" s="48"/>
    </row>
    <row r="1331" spans="1:23" ht="15.75" x14ac:dyDescent="0.25">
      <c r="A1331" s="48" t="s">
        <v>29</v>
      </c>
      <c r="B1331" s="49">
        <v>45279</v>
      </c>
      <c r="C1331" s="48" t="s">
        <v>922</v>
      </c>
      <c r="D1331" s="48" t="s">
        <v>1184</v>
      </c>
      <c r="E1331" s="48" t="s">
        <v>856</v>
      </c>
      <c r="F1331" s="48" t="s">
        <v>21</v>
      </c>
      <c r="G1331" s="48" t="s">
        <v>22</v>
      </c>
      <c r="H1331" s="48" t="s">
        <v>27</v>
      </c>
      <c r="I1331" s="48" t="s">
        <v>30</v>
      </c>
      <c r="J1331" s="48" t="s">
        <v>1791</v>
      </c>
      <c r="K1331" s="48" t="s">
        <v>22</v>
      </c>
      <c r="L1331" s="48" t="s">
        <v>1132</v>
      </c>
      <c r="M1331" s="48" t="s">
        <v>31</v>
      </c>
      <c r="N1331" s="48" t="s">
        <v>20</v>
      </c>
      <c r="O1331" s="48" t="s">
        <v>857</v>
      </c>
      <c r="P1331" s="50">
        <v>1021565.83</v>
      </c>
      <c r="Q1331" s="50">
        <v>4.8049999999999997</v>
      </c>
      <c r="R1331" s="50">
        <v>4908623.8131499998</v>
      </c>
      <c r="S1331" s="74">
        <v>45309</v>
      </c>
      <c r="T1331" s="48" t="s">
        <v>32</v>
      </c>
      <c r="U1331" s="48" t="s">
        <v>22</v>
      </c>
      <c r="V1331" s="48" t="s">
        <v>857</v>
      </c>
      <c r="W1331" s="48"/>
    </row>
    <row r="1332" spans="1:23" ht="15.75" x14ac:dyDescent="0.25">
      <c r="A1332" s="48" t="s">
        <v>306</v>
      </c>
      <c r="B1332" s="49">
        <v>45305</v>
      </c>
      <c r="C1332" s="48" t="s">
        <v>925</v>
      </c>
      <c r="D1332" s="48" t="s">
        <v>1118</v>
      </c>
      <c r="E1332" s="48" t="s">
        <v>856</v>
      </c>
      <c r="F1332" s="48" t="s">
        <v>62</v>
      </c>
      <c r="G1332" s="48" t="s">
        <v>70</v>
      </c>
      <c r="H1332" s="48" t="s">
        <v>70</v>
      </c>
      <c r="I1332" s="48" t="s">
        <v>307</v>
      </c>
      <c r="J1332" s="48" t="s">
        <v>72</v>
      </c>
      <c r="K1332" s="48" t="s">
        <v>213</v>
      </c>
      <c r="L1332" s="48" t="s">
        <v>1134</v>
      </c>
      <c r="M1332" s="48" t="s">
        <v>67</v>
      </c>
      <c r="N1332" s="48" t="s">
        <v>20</v>
      </c>
      <c r="O1332" s="48" t="s">
        <v>857</v>
      </c>
      <c r="P1332" s="50">
        <v>529788.57999999996</v>
      </c>
      <c r="Q1332" s="50">
        <v>4.5848000064688499</v>
      </c>
      <c r="R1332" s="50">
        <v>2428974.6850111224</v>
      </c>
      <c r="S1332" s="74">
        <v>45307</v>
      </c>
      <c r="T1332" s="48" t="s">
        <v>308</v>
      </c>
      <c r="U1332" s="48" t="s">
        <v>213</v>
      </c>
      <c r="V1332" s="48" t="s">
        <v>857</v>
      </c>
      <c r="W1332" s="48"/>
    </row>
    <row r="1333" spans="1:23" ht="15.75" x14ac:dyDescent="0.25">
      <c r="A1333" s="48" t="s">
        <v>306</v>
      </c>
      <c r="B1333" s="49">
        <v>45305</v>
      </c>
      <c r="C1333" s="48" t="s">
        <v>940</v>
      </c>
      <c r="D1333" s="48" t="s">
        <v>1118</v>
      </c>
      <c r="E1333" s="48" t="s">
        <v>856</v>
      </c>
      <c r="F1333" s="48" t="s">
        <v>62</v>
      </c>
      <c r="G1333" s="48" t="s">
        <v>70</v>
      </c>
      <c r="H1333" s="48" t="s">
        <v>70</v>
      </c>
      <c r="I1333" s="48" t="s">
        <v>307</v>
      </c>
      <c r="J1333" s="48" t="s">
        <v>72</v>
      </c>
      <c r="K1333" s="48" t="s">
        <v>213</v>
      </c>
      <c r="L1333" s="48" t="s">
        <v>1134</v>
      </c>
      <c r="M1333" s="48" t="s">
        <v>67</v>
      </c>
      <c r="N1333" s="48" t="s">
        <v>20</v>
      </c>
      <c r="O1333" s="48" t="s">
        <v>857</v>
      </c>
      <c r="P1333" s="50">
        <v>304149.92</v>
      </c>
      <c r="Q1333" s="50">
        <v>4.5848000064688499</v>
      </c>
      <c r="R1333" s="50">
        <v>1394466.5551835001</v>
      </c>
      <c r="S1333" s="74">
        <v>45307</v>
      </c>
      <c r="T1333" s="48" t="s">
        <v>308</v>
      </c>
      <c r="U1333" s="48" t="s">
        <v>213</v>
      </c>
      <c r="V1333" s="48" t="s">
        <v>857</v>
      </c>
      <c r="W1333" s="48"/>
    </row>
    <row r="1334" spans="1:23" ht="15.75" x14ac:dyDescent="0.25">
      <c r="A1334" s="48" t="s">
        <v>306</v>
      </c>
      <c r="B1334" s="49">
        <v>45305</v>
      </c>
      <c r="C1334" s="48" t="s">
        <v>1023</v>
      </c>
      <c r="D1334" s="48" t="s">
        <v>1118</v>
      </c>
      <c r="E1334" s="48" t="s">
        <v>856</v>
      </c>
      <c r="F1334" s="48" t="s">
        <v>62</v>
      </c>
      <c r="G1334" s="48" t="s">
        <v>70</v>
      </c>
      <c r="H1334" s="48" t="s">
        <v>70</v>
      </c>
      <c r="I1334" s="48" t="s">
        <v>307</v>
      </c>
      <c r="J1334" s="48" t="s">
        <v>72</v>
      </c>
      <c r="K1334" s="48" t="s">
        <v>213</v>
      </c>
      <c r="L1334" s="48" t="s">
        <v>1134</v>
      </c>
      <c r="M1334" s="48" t="s">
        <v>67</v>
      </c>
      <c r="N1334" s="48" t="s">
        <v>20</v>
      </c>
      <c r="O1334" s="48" t="s">
        <v>857</v>
      </c>
      <c r="P1334" s="50">
        <v>35350.26</v>
      </c>
      <c r="Q1334" s="50">
        <v>4.5848000064688499</v>
      </c>
      <c r="R1334" s="50">
        <v>162073.87227667554</v>
      </c>
      <c r="S1334" s="74">
        <v>45307</v>
      </c>
      <c r="T1334" s="48" t="s">
        <v>308</v>
      </c>
      <c r="U1334" s="48" t="s">
        <v>213</v>
      </c>
      <c r="V1334" s="48" t="s">
        <v>857</v>
      </c>
      <c r="W1334" s="48"/>
    </row>
    <row r="1335" spans="1:23" ht="15.75" x14ac:dyDescent="0.25">
      <c r="A1335" s="48" t="s">
        <v>306</v>
      </c>
      <c r="B1335" s="49">
        <v>45305</v>
      </c>
      <c r="C1335" s="48" t="s">
        <v>941</v>
      </c>
      <c r="D1335" s="48" t="s">
        <v>1118</v>
      </c>
      <c r="E1335" s="48" t="s">
        <v>856</v>
      </c>
      <c r="F1335" s="48" t="s">
        <v>62</v>
      </c>
      <c r="G1335" s="48" t="s">
        <v>70</v>
      </c>
      <c r="H1335" s="48" t="s">
        <v>70</v>
      </c>
      <c r="I1335" s="48" t="s">
        <v>307</v>
      </c>
      <c r="J1335" s="48" t="s">
        <v>72</v>
      </c>
      <c r="K1335" s="48" t="s">
        <v>213</v>
      </c>
      <c r="L1335" s="48" t="s">
        <v>1134</v>
      </c>
      <c r="M1335" s="48" t="s">
        <v>67</v>
      </c>
      <c r="N1335" s="48" t="s">
        <v>20</v>
      </c>
      <c r="O1335" s="48" t="s">
        <v>857</v>
      </c>
      <c r="P1335" s="50">
        <v>347398.43</v>
      </c>
      <c r="Q1335" s="50">
        <v>4.5848000064688499</v>
      </c>
      <c r="R1335" s="50">
        <v>1592752.3241112682</v>
      </c>
      <c r="S1335" s="74">
        <v>45307</v>
      </c>
      <c r="T1335" s="48" t="s">
        <v>308</v>
      </c>
      <c r="U1335" s="48" t="s">
        <v>213</v>
      </c>
      <c r="V1335" s="48" t="s">
        <v>857</v>
      </c>
      <c r="W1335" s="48"/>
    </row>
    <row r="1336" spans="1:23" ht="15.75" x14ac:dyDescent="0.25">
      <c r="A1336" s="48" t="s">
        <v>192</v>
      </c>
      <c r="B1336" s="49">
        <v>45236</v>
      </c>
      <c r="C1336" s="48" t="s">
        <v>916</v>
      </c>
      <c r="D1336" s="48" t="s">
        <v>441</v>
      </c>
      <c r="E1336" s="48" t="s">
        <v>856</v>
      </c>
      <c r="F1336" s="48" t="s">
        <v>21</v>
      </c>
      <c r="G1336" s="48" t="s">
        <v>22</v>
      </c>
      <c r="H1336" s="48" t="s">
        <v>27</v>
      </c>
      <c r="I1336" s="48" t="s">
        <v>119</v>
      </c>
      <c r="J1336" s="48" t="s">
        <v>24</v>
      </c>
      <c r="K1336" s="48" t="s">
        <v>22</v>
      </c>
      <c r="L1336" s="48" t="s">
        <v>1132</v>
      </c>
      <c r="M1336" s="48" t="s">
        <v>26</v>
      </c>
      <c r="N1336" s="48" t="s">
        <v>20</v>
      </c>
      <c r="O1336" s="48" t="s">
        <v>857</v>
      </c>
      <c r="P1336" s="50">
        <v>4805000</v>
      </c>
      <c r="Q1336" s="50">
        <v>1</v>
      </c>
      <c r="R1336" s="50">
        <v>4805000</v>
      </c>
      <c r="S1336" s="74">
        <v>45302</v>
      </c>
      <c r="T1336" s="48" t="s">
        <v>28</v>
      </c>
      <c r="U1336" s="48" t="s">
        <v>22</v>
      </c>
      <c r="V1336" s="48" t="s">
        <v>857</v>
      </c>
      <c r="W1336" s="48"/>
    </row>
    <row r="1337" spans="1:23" ht="15.75" x14ac:dyDescent="0.25">
      <c r="A1337" s="48" t="s">
        <v>185</v>
      </c>
      <c r="B1337" s="49">
        <v>45252</v>
      </c>
      <c r="C1337" s="48" t="s">
        <v>916</v>
      </c>
      <c r="D1337" s="48" t="s">
        <v>1181</v>
      </c>
      <c r="E1337" s="48" t="s">
        <v>856</v>
      </c>
      <c r="F1337" s="48" t="s">
        <v>21</v>
      </c>
      <c r="G1337" s="48" t="s">
        <v>22</v>
      </c>
      <c r="H1337" s="48" t="s">
        <v>70</v>
      </c>
      <c r="I1337" s="48" t="s">
        <v>186</v>
      </c>
      <c r="J1337" s="48" t="s">
        <v>80</v>
      </c>
      <c r="K1337" s="48" t="s">
        <v>81</v>
      </c>
      <c r="L1337" s="48" t="s">
        <v>1139</v>
      </c>
      <c r="M1337" s="48" t="s">
        <v>26</v>
      </c>
      <c r="N1337" s="48" t="s">
        <v>20</v>
      </c>
      <c r="O1337" s="48" t="s">
        <v>857</v>
      </c>
      <c r="P1337" s="50">
        <v>1524114.55</v>
      </c>
      <c r="Q1337" s="50">
        <v>1</v>
      </c>
      <c r="R1337" s="50">
        <v>1524114.55</v>
      </c>
      <c r="S1337" s="74">
        <v>45302</v>
      </c>
      <c r="T1337" s="48" t="s">
        <v>917</v>
      </c>
      <c r="U1337" s="48" t="s">
        <v>377</v>
      </c>
      <c r="V1337" s="48" t="s">
        <v>857</v>
      </c>
      <c r="W1337" s="48"/>
    </row>
    <row r="1338" spans="1:23" ht="15.75" x14ac:dyDescent="0.25">
      <c r="A1338" s="48" t="s">
        <v>36</v>
      </c>
      <c r="B1338" s="49">
        <v>45264</v>
      </c>
      <c r="C1338" s="48" t="s">
        <v>918</v>
      </c>
      <c r="D1338" s="48" t="s">
        <v>441</v>
      </c>
      <c r="E1338" s="48" t="s">
        <v>856</v>
      </c>
      <c r="F1338" s="48" t="s">
        <v>21</v>
      </c>
      <c r="G1338" s="48" t="s">
        <v>22</v>
      </c>
      <c r="H1338" s="48" t="s">
        <v>27</v>
      </c>
      <c r="I1338" s="48" t="s">
        <v>37</v>
      </c>
      <c r="J1338" s="48" t="s">
        <v>24</v>
      </c>
      <c r="K1338" s="48" t="s">
        <v>22</v>
      </c>
      <c r="L1338" s="48" t="s">
        <v>1132</v>
      </c>
      <c r="M1338" s="48" t="s">
        <v>26</v>
      </c>
      <c r="N1338" s="48" t="s">
        <v>20</v>
      </c>
      <c r="O1338" s="48" t="s">
        <v>857</v>
      </c>
      <c r="P1338" s="50">
        <v>311942.78999999998</v>
      </c>
      <c r="Q1338" s="50">
        <v>1</v>
      </c>
      <c r="R1338" s="50">
        <v>311942.78999999998</v>
      </c>
      <c r="S1338" s="74">
        <v>45302</v>
      </c>
      <c r="T1338" s="48" t="s">
        <v>35</v>
      </c>
      <c r="U1338" s="48" t="s">
        <v>22</v>
      </c>
      <c r="V1338" s="48" t="s">
        <v>857</v>
      </c>
      <c r="W1338" s="48"/>
    </row>
    <row r="1339" spans="1:23" ht="15.75" x14ac:dyDescent="0.25">
      <c r="A1339" s="48" t="s">
        <v>195</v>
      </c>
      <c r="B1339" s="49">
        <v>45239</v>
      </c>
      <c r="C1339" s="48" t="s">
        <v>916</v>
      </c>
      <c r="D1339" s="48" t="s">
        <v>441</v>
      </c>
      <c r="E1339" s="48" t="s">
        <v>856</v>
      </c>
      <c r="F1339" s="48" t="s">
        <v>21</v>
      </c>
      <c r="G1339" s="48" t="s">
        <v>22</v>
      </c>
      <c r="H1339" s="48" t="s">
        <v>27</v>
      </c>
      <c r="I1339" s="48" t="s">
        <v>196</v>
      </c>
      <c r="J1339" s="48" t="s">
        <v>24</v>
      </c>
      <c r="K1339" s="48" t="s">
        <v>22</v>
      </c>
      <c r="L1339" s="48" t="s">
        <v>1132</v>
      </c>
      <c r="M1339" s="48" t="s">
        <v>26</v>
      </c>
      <c r="N1339" s="48" t="s">
        <v>20</v>
      </c>
      <c r="O1339" s="48" t="s">
        <v>857</v>
      </c>
      <c r="P1339" s="50">
        <v>500000</v>
      </c>
      <c r="Q1339" s="50">
        <v>1</v>
      </c>
      <c r="R1339" s="50">
        <v>500000</v>
      </c>
      <c r="S1339" s="74">
        <v>45302</v>
      </c>
      <c r="T1339" s="48" t="s">
        <v>35</v>
      </c>
      <c r="U1339" s="48" t="s">
        <v>22</v>
      </c>
      <c r="V1339" s="48" t="s">
        <v>857</v>
      </c>
      <c r="W1339" s="48"/>
    </row>
    <row r="1340" spans="1:23" ht="15.75" x14ac:dyDescent="0.25">
      <c r="A1340" s="48" t="s">
        <v>33</v>
      </c>
      <c r="B1340" s="49">
        <v>45303</v>
      </c>
      <c r="C1340" s="48" t="s">
        <v>924</v>
      </c>
      <c r="D1340" s="48" t="s">
        <v>441</v>
      </c>
      <c r="E1340" s="48" t="s">
        <v>856</v>
      </c>
      <c r="F1340" s="48" t="s">
        <v>21</v>
      </c>
      <c r="G1340" s="48" t="s">
        <v>22</v>
      </c>
      <c r="H1340" s="48" t="s">
        <v>27</v>
      </c>
      <c r="I1340" s="48" t="s">
        <v>34</v>
      </c>
      <c r="J1340" s="48" t="s">
        <v>24</v>
      </c>
      <c r="K1340" s="48" t="s">
        <v>22</v>
      </c>
      <c r="L1340" s="48" t="s">
        <v>1132</v>
      </c>
      <c r="M1340" s="48" t="s">
        <v>26</v>
      </c>
      <c r="N1340" s="48" t="s">
        <v>20</v>
      </c>
      <c r="O1340" s="48" t="s">
        <v>857</v>
      </c>
      <c r="P1340" s="50">
        <v>229209.49</v>
      </c>
      <c r="Q1340" s="50">
        <v>1</v>
      </c>
      <c r="R1340" s="50">
        <v>229209.49</v>
      </c>
      <c r="S1340" s="74">
        <v>45302</v>
      </c>
      <c r="T1340" s="48" t="s">
        <v>35</v>
      </c>
      <c r="U1340" s="48" t="s">
        <v>22</v>
      </c>
      <c r="V1340" s="48" t="s">
        <v>857</v>
      </c>
      <c r="W1340" s="48"/>
    </row>
    <row r="1341" spans="1:23" ht="15.75" x14ac:dyDescent="0.25">
      <c r="A1341" s="48" t="s">
        <v>306</v>
      </c>
      <c r="B1341" s="49">
        <v>45298</v>
      </c>
      <c r="C1341" s="48" t="s">
        <v>934</v>
      </c>
      <c r="D1341" s="48" t="s">
        <v>1118</v>
      </c>
      <c r="E1341" s="48" t="s">
        <v>856</v>
      </c>
      <c r="F1341" s="48" t="s">
        <v>62</v>
      </c>
      <c r="G1341" s="48" t="s">
        <v>70</v>
      </c>
      <c r="H1341" s="48" t="s">
        <v>70</v>
      </c>
      <c r="I1341" s="48" t="s">
        <v>307</v>
      </c>
      <c r="J1341" s="48" t="s">
        <v>72</v>
      </c>
      <c r="K1341" s="48" t="s">
        <v>213</v>
      </c>
      <c r="L1341" s="48" t="s">
        <v>1134</v>
      </c>
      <c r="M1341" s="48" t="s">
        <v>67</v>
      </c>
      <c r="N1341" s="48" t="s">
        <v>20</v>
      </c>
      <c r="O1341" s="48" t="s">
        <v>857</v>
      </c>
      <c r="P1341" s="50">
        <v>86900.29</v>
      </c>
      <c r="Q1341" s="50">
        <v>4.5848000064688499</v>
      </c>
      <c r="R1341" s="50">
        <v>398420.4501541449</v>
      </c>
      <c r="S1341" s="74">
        <v>45301</v>
      </c>
      <c r="T1341" s="48" t="s">
        <v>308</v>
      </c>
      <c r="U1341" s="48" t="s">
        <v>213</v>
      </c>
      <c r="V1341" s="48" t="s">
        <v>857</v>
      </c>
      <c r="W1341" s="48"/>
    </row>
    <row r="1342" spans="1:23" ht="15.75" x14ac:dyDescent="0.25">
      <c r="A1342" s="48" t="s">
        <v>167</v>
      </c>
      <c r="B1342" s="49">
        <v>45242</v>
      </c>
      <c r="C1342" s="48" t="s">
        <v>916</v>
      </c>
      <c r="D1342" s="48" t="s">
        <v>1181</v>
      </c>
      <c r="E1342" s="48" t="s">
        <v>856</v>
      </c>
      <c r="F1342" s="48" t="s">
        <v>21</v>
      </c>
      <c r="G1342" s="48" t="s">
        <v>22</v>
      </c>
      <c r="H1342" s="48" t="s">
        <v>70</v>
      </c>
      <c r="I1342" s="48" t="s">
        <v>168</v>
      </c>
      <c r="J1342" s="48" t="s">
        <v>80</v>
      </c>
      <c r="K1342" s="48" t="s">
        <v>81</v>
      </c>
      <c r="L1342" s="48" t="s">
        <v>1139</v>
      </c>
      <c r="M1342" s="48" t="s">
        <v>26</v>
      </c>
      <c r="N1342" s="48" t="s">
        <v>20</v>
      </c>
      <c r="O1342" s="48" t="s">
        <v>857</v>
      </c>
      <c r="P1342" s="50">
        <v>2500000</v>
      </c>
      <c r="Q1342" s="50">
        <v>1</v>
      </c>
      <c r="R1342" s="50">
        <v>2500000</v>
      </c>
      <c r="S1342" s="74">
        <v>45300</v>
      </c>
      <c r="T1342" s="48" t="s">
        <v>917</v>
      </c>
      <c r="U1342" s="48" t="s">
        <v>377</v>
      </c>
      <c r="V1342" s="48" t="s">
        <v>857</v>
      </c>
      <c r="W1342" s="48"/>
    </row>
    <row r="1343" spans="1:23" ht="15.75" x14ac:dyDescent="0.25">
      <c r="A1343" s="48" t="s">
        <v>260</v>
      </c>
      <c r="B1343" s="49">
        <v>45305</v>
      </c>
      <c r="C1343" s="48" t="s">
        <v>916</v>
      </c>
      <c r="D1343" s="48" t="s">
        <v>1181</v>
      </c>
      <c r="E1343" s="48" t="s">
        <v>856</v>
      </c>
      <c r="F1343" s="48" t="s">
        <v>21</v>
      </c>
      <c r="G1343" s="48" t="s">
        <v>22</v>
      </c>
      <c r="H1343" s="48" t="s">
        <v>70</v>
      </c>
      <c r="I1343" s="48" t="s">
        <v>261</v>
      </c>
      <c r="J1343" s="48" t="s">
        <v>80</v>
      </c>
      <c r="K1343" s="48" t="s">
        <v>81</v>
      </c>
      <c r="L1343" s="48" t="s">
        <v>1139</v>
      </c>
      <c r="M1343" s="48" t="s">
        <v>26</v>
      </c>
      <c r="N1343" s="48" t="s">
        <v>20</v>
      </c>
      <c r="O1343" s="48" t="s">
        <v>857</v>
      </c>
      <c r="P1343" s="50">
        <v>246726.75</v>
      </c>
      <c r="Q1343" s="50">
        <v>1</v>
      </c>
      <c r="R1343" s="50">
        <v>246726.75</v>
      </c>
      <c r="S1343" s="74">
        <v>45299</v>
      </c>
      <c r="T1343" s="48" t="s">
        <v>917</v>
      </c>
      <c r="U1343" s="48" t="s">
        <v>377</v>
      </c>
      <c r="V1343" s="48" t="s">
        <v>857</v>
      </c>
      <c r="W1343" s="48"/>
    </row>
    <row r="1344" spans="1:23" ht="15.75" x14ac:dyDescent="0.25">
      <c r="A1344" s="48" t="s">
        <v>306</v>
      </c>
      <c r="B1344" s="49">
        <v>45298</v>
      </c>
      <c r="C1344" s="48" t="s">
        <v>919</v>
      </c>
      <c r="D1344" s="48" t="s">
        <v>1118</v>
      </c>
      <c r="E1344" s="48" t="s">
        <v>856</v>
      </c>
      <c r="F1344" s="48" t="s">
        <v>62</v>
      </c>
      <c r="G1344" s="48" t="s">
        <v>70</v>
      </c>
      <c r="H1344" s="48" t="s">
        <v>70</v>
      </c>
      <c r="I1344" s="48" t="s">
        <v>307</v>
      </c>
      <c r="J1344" s="48" t="s">
        <v>72</v>
      </c>
      <c r="K1344" s="48" t="s">
        <v>213</v>
      </c>
      <c r="L1344" s="48" t="s">
        <v>1134</v>
      </c>
      <c r="M1344" s="48" t="s">
        <v>67</v>
      </c>
      <c r="N1344" s="48" t="s">
        <v>20</v>
      </c>
      <c r="O1344" s="48" t="s">
        <v>857</v>
      </c>
      <c r="P1344" s="50">
        <v>603995.05000000005</v>
      </c>
      <c r="Q1344" s="50">
        <v>4.5848000064688499</v>
      </c>
      <c r="R1344" s="50">
        <v>2769196.5091471537</v>
      </c>
      <c r="S1344" s="74">
        <v>45299</v>
      </c>
      <c r="T1344" s="48" t="s">
        <v>308</v>
      </c>
      <c r="U1344" s="48" t="s">
        <v>213</v>
      </c>
      <c r="V1344" s="48" t="s">
        <v>857</v>
      </c>
      <c r="W1344" s="48"/>
    </row>
    <row r="1345" spans="1:23" ht="15.75" x14ac:dyDescent="0.25">
      <c r="A1345" s="48" t="s">
        <v>306</v>
      </c>
      <c r="B1345" s="49">
        <v>45286</v>
      </c>
      <c r="C1345" s="48" t="s">
        <v>930</v>
      </c>
      <c r="D1345" s="48" t="s">
        <v>1118</v>
      </c>
      <c r="E1345" s="48" t="s">
        <v>856</v>
      </c>
      <c r="F1345" s="48" t="s">
        <v>62</v>
      </c>
      <c r="G1345" s="48" t="s">
        <v>70</v>
      </c>
      <c r="H1345" s="48" t="s">
        <v>70</v>
      </c>
      <c r="I1345" s="48" t="s">
        <v>307</v>
      </c>
      <c r="J1345" s="48" t="s">
        <v>72</v>
      </c>
      <c r="K1345" s="48" t="s">
        <v>213</v>
      </c>
      <c r="L1345" s="48" t="s">
        <v>1134</v>
      </c>
      <c r="M1345" s="48" t="s">
        <v>67</v>
      </c>
      <c r="N1345" s="48" t="s">
        <v>20</v>
      </c>
      <c r="O1345" s="48" t="s">
        <v>857</v>
      </c>
      <c r="P1345" s="50">
        <v>5659.06</v>
      </c>
      <c r="Q1345" s="50">
        <v>4.5848000064688499</v>
      </c>
      <c r="R1345" s="50">
        <v>25945.658324607612</v>
      </c>
      <c r="S1345" s="74">
        <v>45294</v>
      </c>
      <c r="T1345" s="48" t="s">
        <v>308</v>
      </c>
      <c r="U1345" s="48" t="s">
        <v>213</v>
      </c>
      <c r="V1345" s="48" t="s">
        <v>857</v>
      </c>
      <c r="W1345" s="48"/>
    </row>
    <row r="1346" spans="1:23" ht="15.75" x14ac:dyDescent="0.25">
      <c r="A1346" s="48" t="s">
        <v>306</v>
      </c>
      <c r="B1346" s="49">
        <v>44927</v>
      </c>
      <c r="C1346" s="48" t="s">
        <v>920</v>
      </c>
      <c r="D1346" s="48" t="s">
        <v>1118</v>
      </c>
      <c r="E1346" s="48" t="s">
        <v>856</v>
      </c>
      <c r="F1346" s="48" t="s">
        <v>62</v>
      </c>
      <c r="G1346" s="48" t="s">
        <v>70</v>
      </c>
      <c r="H1346" s="48" t="s">
        <v>70</v>
      </c>
      <c r="I1346" s="48" t="s">
        <v>307</v>
      </c>
      <c r="J1346" s="48" t="s">
        <v>72</v>
      </c>
      <c r="K1346" s="48" t="s">
        <v>213</v>
      </c>
      <c r="L1346" s="48" t="s">
        <v>1134</v>
      </c>
      <c r="M1346" s="48" t="s">
        <v>67</v>
      </c>
      <c r="N1346" s="48" t="s">
        <v>20</v>
      </c>
      <c r="O1346" s="48" t="s">
        <v>857</v>
      </c>
      <c r="P1346" s="50">
        <v>29156.42</v>
      </c>
      <c r="Q1346" s="50">
        <v>4.5848000064688499</v>
      </c>
      <c r="R1346" s="50">
        <v>133676.3546046085</v>
      </c>
      <c r="S1346" s="74">
        <v>45294</v>
      </c>
      <c r="T1346" s="48" t="s">
        <v>308</v>
      </c>
      <c r="U1346" s="48" t="s">
        <v>213</v>
      </c>
      <c r="V1346" s="48" t="s">
        <v>857</v>
      </c>
      <c r="W1346" s="48"/>
    </row>
    <row r="1347" spans="1:23" ht="15.75" x14ac:dyDescent="0.25">
      <c r="A1347" s="48" t="s">
        <v>306</v>
      </c>
      <c r="B1347" s="49">
        <v>45286</v>
      </c>
      <c r="C1347" s="48" t="s">
        <v>921</v>
      </c>
      <c r="D1347" s="48" t="s">
        <v>1118</v>
      </c>
      <c r="E1347" s="48" t="s">
        <v>856</v>
      </c>
      <c r="F1347" s="48" t="s">
        <v>62</v>
      </c>
      <c r="G1347" s="48" t="s">
        <v>70</v>
      </c>
      <c r="H1347" s="48" t="s">
        <v>70</v>
      </c>
      <c r="I1347" s="48" t="s">
        <v>307</v>
      </c>
      <c r="J1347" s="48" t="s">
        <v>72</v>
      </c>
      <c r="K1347" s="48" t="s">
        <v>213</v>
      </c>
      <c r="L1347" s="48" t="s">
        <v>1134</v>
      </c>
      <c r="M1347" s="48" t="s">
        <v>67</v>
      </c>
      <c r="N1347" s="48" t="s">
        <v>20</v>
      </c>
      <c r="O1347" s="48" t="s">
        <v>857</v>
      </c>
      <c r="P1347" s="50">
        <v>407242.09</v>
      </c>
      <c r="Q1347" s="50">
        <v>4.5848000064688499</v>
      </c>
      <c r="R1347" s="50">
        <v>1867123.5368663881</v>
      </c>
      <c r="S1347" s="74">
        <v>45294</v>
      </c>
      <c r="T1347" s="48" t="s">
        <v>308</v>
      </c>
      <c r="U1347" s="48" t="s">
        <v>213</v>
      </c>
      <c r="V1347" s="48" t="s">
        <v>857</v>
      </c>
      <c r="W1347" s="48"/>
    </row>
    <row r="1348" spans="1:23" ht="15.75" x14ac:dyDescent="0.25">
      <c r="A1348" s="48" t="s">
        <v>200</v>
      </c>
      <c r="B1348" s="49">
        <v>45236</v>
      </c>
      <c r="C1348" s="48" t="s">
        <v>918</v>
      </c>
      <c r="D1348" s="48" t="s">
        <v>441</v>
      </c>
      <c r="E1348" s="48" t="s">
        <v>856</v>
      </c>
      <c r="F1348" s="48" t="s">
        <v>21</v>
      </c>
      <c r="G1348" s="48" t="s">
        <v>22</v>
      </c>
      <c r="H1348" s="48" t="s">
        <v>27</v>
      </c>
      <c r="I1348" s="48" t="s">
        <v>201</v>
      </c>
      <c r="J1348" s="48" t="s">
        <v>24</v>
      </c>
      <c r="K1348" s="48" t="s">
        <v>22</v>
      </c>
      <c r="L1348" s="48" t="s">
        <v>1132</v>
      </c>
      <c r="M1348" s="48" t="s">
        <v>26</v>
      </c>
      <c r="N1348" s="48" t="s">
        <v>20</v>
      </c>
      <c r="O1348" s="48" t="s">
        <v>857</v>
      </c>
      <c r="P1348" s="50">
        <v>359859.93</v>
      </c>
      <c r="Q1348" s="50">
        <v>1</v>
      </c>
      <c r="R1348" s="50">
        <v>359859.93</v>
      </c>
      <c r="S1348" s="74">
        <v>45294</v>
      </c>
      <c r="T1348" s="48" t="s">
        <v>28</v>
      </c>
      <c r="U1348" s="48" t="s">
        <v>22</v>
      </c>
      <c r="V1348" s="48" t="s">
        <v>857</v>
      </c>
      <c r="W1348" s="48"/>
    </row>
    <row r="1349" spans="1:23" ht="15.75" x14ac:dyDescent="0.25">
      <c r="A1349" s="48" t="s">
        <v>306</v>
      </c>
      <c r="B1349" s="49">
        <v>45286</v>
      </c>
      <c r="C1349" s="48" t="s">
        <v>931</v>
      </c>
      <c r="D1349" s="48" t="s">
        <v>1118</v>
      </c>
      <c r="E1349" s="48" t="s">
        <v>856</v>
      </c>
      <c r="F1349" s="48" t="s">
        <v>62</v>
      </c>
      <c r="G1349" s="48" t="s">
        <v>70</v>
      </c>
      <c r="H1349" s="48" t="s">
        <v>70</v>
      </c>
      <c r="I1349" s="48" t="s">
        <v>307</v>
      </c>
      <c r="J1349" s="48" t="s">
        <v>72</v>
      </c>
      <c r="K1349" s="48" t="s">
        <v>213</v>
      </c>
      <c r="L1349" s="48" t="s">
        <v>1134</v>
      </c>
      <c r="M1349" s="48" t="s">
        <v>67</v>
      </c>
      <c r="N1349" s="48" t="s">
        <v>20</v>
      </c>
      <c r="O1349" s="48" t="s">
        <v>857</v>
      </c>
      <c r="P1349" s="50">
        <v>105798.2</v>
      </c>
      <c r="Q1349" s="50">
        <v>4.5848000064688499</v>
      </c>
      <c r="R1349" s="50">
        <v>485063.58804439264</v>
      </c>
      <c r="S1349" s="74">
        <v>45294</v>
      </c>
      <c r="T1349" s="48" t="s">
        <v>308</v>
      </c>
      <c r="U1349" s="48" t="s">
        <v>213</v>
      </c>
      <c r="V1349" s="48" t="s">
        <v>857</v>
      </c>
      <c r="W1349" s="48"/>
    </row>
    <row r="1350" spans="1:23" ht="15.75" x14ac:dyDescent="0.25">
      <c r="A1350" s="48" t="s">
        <v>306</v>
      </c>
      <c r="B1350" s="49">
        <v>44927</v>
      </c>
      <c r="C1350" s="48" t="s">
        <v>927</v>
      </c>
      <c r="D1350" s="48" t="s">
        <v>1118</v>
      </c>
      <c r="E1350" s="48" t="s">
        <v>856</v>
      </c>
      <c r="F1350" s="48" t="s">
        <v>62</v>
      </c>
      <c r="G1350" s="48" t="s">
        <v>70</v>
      </c>
      <c r="H1350" s="48" t="s">
        <v>70</v>
      </c>
      <c r="I1350" s="48" t="s">
        <v>307</v>
      </c>
      <c r="J1350" s="48" t="s">
        <v>72</v>
      </c>
      <c r="K1350" s="48" t="s">
        <v>213</v>
      </c>
      <c r="L1350" s="48" t="s">
        <v>1134</v>
      </c>
      <c r="M1350" s="48" t="s">
        <v>67</v>
      </c>
      <c r="N1350" s="48" t="s">
        <v>20</v>
      </c>
      <c r="O1350" s="48" t="s">
        <v>857</v>
      </c>
      <c r="P1350" s="50">
        <v>64290.8</v>
      </c>
      <c r="Q1350" s="50">
        <v>4.5848000064688499</v>
      </c>
      <c r="R1350" s="50">
        <v>294760.46025588753</v>
      </c>
      <c r="S1350" s="74">
        <v>45293</v>
      </c>
      <c r="T1350" s="48" t="s">
        <v>308</v>
      </c>
      <c r="U1350" s="48" t="s">
        <v>213</v>
      </c>
      <c r="V1350" s="48" t="s">
        <v>857</v>
      </c>
      <c r="W1350" s="48"/>
    </row>
    <row r="1351" spans="1:23" ht="15.75" x14ac:dyDescent="0.25">
      <c r="A1351" s="48" t="s">
        <v>306</v>
      </c>
      <c r="B1351" s="49">
        <v>44927</v>
      </c>
      <c r="C1351" s="48" t="s">
        <v>926</v>
      </c>
      <c r="D1351" s="48" t="s">
        <v>1118</v>
      </c>
      <c r="E1351" s="48" t="s">
        <v>856</v>
      </c>
      <c r="F1351" s="48" t="s">
        <v>62</v>
      </c>
      <c r="G1351" s="48" t="s">
        <v>70</v>
      </c>
      <c r="H1351" s="48" t="s">
        <v>70</v>
      </c>
      <c r="I1351" s="48" t="s">
        <v>307</v>
      </c>
      <c r="J1351" s="48" t="s">
        <v>72</v>
      </c>
      <c r="K1351" s="48" t="s">
        <v>213</v>
      </c>
      <c r="L1351" s="48" t="s">
        <v>1134</v>
      </c>
      <c r="M1351" s="48" t="s">
        <v>67</v>
      </c>
      <c r="N1351" s="48" t="s">
        <v>20</v>
      </c>
      <c r="O1351" s="48" t="s">
        <v>857</v>
      </c>
      <c r="P1351" s="50">
        <v>193707.85</v>
      </c>
      <c r="Q1351" s="50">
        <v>4.5848000064688499</v>
      </c>
      <c r="R1351" s="50">
        <v>888111.75193306699</v>
      </c>
      <c r="S1351" s="74">
        <v>45293</v>
      </c>
      <c r="T1351" s="48" t="s">
        <v>308</v>
      </c>
      <c r="U1351" s="48" t="s">
        <v>213</v>
      </c>
      <c r="V1351" s="48" t="s">
        <v>857</v>
      </c>
      <c r="W1351" s="48"/>
    </row>
    <row r="1352" spans="1:23" ht="15.75" x14ac:dyDescent="0.25">
      <c r="A1352" s="48" t="s">
        <v>215</v>
      </c>
      <c r="B1352" s="49">
        <v>45208</v>
      </c>
      <c r="C1352" s="48" t="s">
        <v>924</v>
      </c>
      <c r="D1352" s="48" t="s">
        <v>1182</v>
      </c>
      <c r="E1352" s="48" t="s">
        <v>856</v>
      </c>
      <c r="F1352" s="48" t="s">
        <v>21</v>
      </c>
      <c r="G1352" s="48" t="s">
        <v>22</v>
      </c>
      <c r="H1352" s="48" t="s">
        <v>27</v>
      </c>
      <c r="I1352" s="48" t="s">
        <v>179</v>
      </c>
      <c r="J1352" s="48" t="s">
        <v>24</v>
      </c>
      <c r="K1352" s="48" t="s">
        <v>90</v>
      </c>
      <c r="L1352" s="48" t="s">
        <v>1141</v>
      </c>
      <c r="M1352" s="48" t="s">
        <v>26</v>
      </c>
      <c r="N1352" s="48" t="s">
        <v>20</v>
      </c>
      <c r="O1352" s="48" t="s">
        <v>857</v>
      </c>
      <c r="P1352" s="50">
        <v>6900000</v>
      </c>
      <c r="Q1352" s="50">
        <v>1</v>
      </c>
      <c r="R1352" s="50">
        <v>6900000</v>
      </c>
      <c r="S1352" s="74">
        <v>45290</v>
      </c>
      <c r="T1352" s="48" t="s">
        <v>917</v>
      </c>
      <c r="U1352" s="48" t="s">
        <v>90</v>
      </c>
      <c r="V1352" s="48" t="s">
        <v>857</v>
      </c>
      <c r="W1352" s="48"/>
    </row>
    <row r="1353" spans="1:23" ht="15.75" x14ac:dyDescent="0.25">
      <c r="A1353" s="48" t="s">
        <v>69</v>
      </c>
      <c r="B1353" s="49">
        <v>45285</v>
      </c>
      <c r="C1353" s="48" t="s">
        <v>918</v>
      </c>
      <c r="D1353" s="48" t="s">
        <v>1118</v>
      </c>
      <c r="E1353" s="48" t="s">
        <v>856</v>
      </c>
      <c r="F1353" s="48" t="s">
        <v>62</v>
      </c>
      <c r="G1353" s="48" t="s">
        <v>70</v>
      </c>
      <c r="H1353" s="48" t="s">
        <v>70</v>
      </c>
      <c r="I1353" s="48" t="s">
        <v>71</v>
      </c>
      <c r="J1353" s="48" t="s">
        <v>72</v>
      </c>
      <c r="K1353" s="48" t="s">
        <v>213</v>
      </c>
      <c r="L1353" s="48" t="s">
        <v>1134</v>
      </c>
      <c r="M1353" s="48" t="s">
        <v>67</v>
      </c>
      <c r="N1353" s="48" t="s">
        <v>20</v>
      </c>
      <c r="O1353" s="48" t="s">
        <v>857</v>
      </c>
      <c r="P1353" s="50">
        <v>1652102.64</v>
      </c>
      <c r="Q1353" s="50">
        <v>4.1449999999999996</v>
      </c>
      <c r="R1353" s="50">
        <v>6847965.4427999984</v>
      </c>
      <c r="S1353" s="74">
        <v>45286</v>
      </c>
      <c r="T1353" s="48" t="s">
        <v>74</v>
      </c>
      <c r="U1353" s="48" t="s">
        <v>213</v>
      </c>
      <c r="V1353" s="48" t="s">
        <v>857</v>
      </c>
      <c r="W1353" s="48"/>
    </row>
    <row r="1354" spans="1:23" ht="15.75" x14ac:dyDescent="0.25">
      <c r="A1354" s="48" t="s">
        <v>165</v>
      </c>
      <c r="B1354" s="49">
        <v>45255</v>
      </c>
      <c r="C1354" s="48" t="s">
        <v>916</v>
      </c>
      <c r="D1354" s="48">
        <v>0</v>
      </c>
      <c r="E1354" s="48" t="s">
        <v>856</v>
      </c>
      <c r="F1354" s="48" t="s">
        <v>21</v>
      </c>
      <c r="G1354" s="48" t="s">
        <v>22</v>
      </c>
      <c r="H1354" s="48" t="s">
        <v>70</v>
      </c>
      <c r="I1354" s="48" t="s">
        <v>166</v>
      </c>
      <c r="J1354" s="48" t="s">
        <v>98</v>
      </c>
      <c r="K1354" s="48" t="s">
        <v>917</v>
      </c>
      <c r="L1354" s="48" t="s">
        <v>917</v>
      </c>
      <c r="M1354" s="48" t="s">
        <v>67</v>
      </c>
      <c r="N1354" s="48" t="s">
        <v>20</v>
      </c>
      <c r="O1354" s="48" t="s">
        <v>857</v>
      </c>
      <c r="P1354" s="50">
        <v>4130607.4992</v>
      </c>
      <c r="Q1354" s="50">
        <v>1</v>
      </c>
      <c r="R1354" s="50">
        <v>4130607.4992</v>
      </c>
      <c r="S1354" s="74">
        <v>45286</v>
      </c>
      <c r="T1354" s="48" t="s">
        <v>917</v>
      </c>
      <c r="U1354" s="48" t="s">
        <v>98</v>
      </c>
      <c r="V1354" s="48" t="s">
        <v>857</v>
      </c>
      <c r="W1354" s="48"/>
    </row>
    <row r="1355" spans="1:23" ht="15.75" x14ac:dyDescent="0.25">
      <c r="A1355" s="48" t="s">
        <v>306</v>
      </c>
      <c r="B1355" s="49">
        <v>45285</v>
      </c>
      <c r="C1355" s="48" t="s">
        <v>929</v>
      </c>
      <c r="D1355" s="48" t="s">
        <v>1118</v>
      </c>
      <c r="E1355" s="48" t="s">
        <v>856</v>
      </c>
      <c r="F1355" s="48" t="s">
        <v>62</v>
      </c>
      <c r="G1355" s="48" t="s">
        <v>70</v>
      </c>
      <c r="H1355" s="48" t="s">
        <v>70</v>
      </c>
      <c r="I1355" s="48" t="s">
        <v>307</v>
      </c>
      <c r="J1355" s="48" t="s">
        <v>72</v>
      </c>
      <c r="K1355" s="48" t="s">
        <v>213</v>
      </c>
      <c r="L1355" s="48" t="s">
        <v>1134</v>
      </c>
      <c r="M1355" s="48" t="s">
        <v>67</v>
      </c>
      <c r="N1355" s="48" t="s">
        <v>20</v>
      </c>
      <c r="O1355" s="48" t="s">
        <v>857</v>
      </c>
      <c r="P1355" s="50">
        <v>449479.83</v>
      </c>
      <c r="Q1355" s="50">
        <v>4.5848000064688499</v>
      </c>
      <c r="R1355" s="50">
        <v>2060775.1274916176</v>
      </c>
      <c r="S1355" s="74">
        <v>45286</v>
      </c>
      <c r="T1355" s="48" t="s">
        <v>308</v>
      </c>
      <c r="U1355" s="48" t="s">
        <v>213</v>
      </c>
      <c r="V1355" s="48" t="s">
        <v>857</v>
      </c>
      <c r="W1355" s="48"/>
    </row>
    <row r="1356" spans="1:23" ht="15.75" x14ac:dyDescent="0.25">
      <c r="A1356" s="48" t="s">
        <v>306</v>
      </c>
      <c r="B1356" s="49">
        <v>45279</v>
      </c>
      <c r="C1356" s="48" t="s">
        <v>922</v>
      </c>
      <c r="D1356" s="48" t="s">
        <v>1118</v>
      </c>
      <c r="E1356" s="48" t="s">
        <v>856</v>
      </c>
      <c r="F1356" s="48" t="s">
        <v>62</v>
      </c>
      <c r="G1356" s="48" t="s">
        <v>70</v>
      </c>
      <c r="H1356" s="48" t="s">
        <v>70</v>
      </c>
      <c r="I1356" s="48" t="s">
        <v>307</v>
      </c>
      <c r="J1356" s="48" t="s">
        <v>72</v>
      </c>
      <c r="K1356" s="48" t="s">
        <v>213</v>
      </c>
      <c r="L1356" s="48" t="s">
        <v>1134</v>
      </c>
      <c r="M1356" s="48" t="s">
        <v>67</v>
      </c>
      <c r="N1356" s="48" t="s">
        <v>20</v>
      </c>
      <c r="O1356" s="48" t="s">
        <v>857</v>
      </c>
      <c r="P1356" s="50">
        <v>287010.15999999997</v>
      </c>
      <c r="Q1356" s="50">
        <v>4.5848000064688499</v>
      </c>
      <c r="R1356" s="50">
        <v>1315884.1834246255</v>
      </c>
      <c r="S1356" s="74">
        <v>45284</v>
      </c>
      <c r="T1356" s="48" t="s">
        <v>308</v>
      </c>
      <c r="U1356" s="48" t="s">
        <v>213</v>
      </c>
      <c r="V1356" s="48" t="s">
        <v>857</v>
      </c>
      <c r="W1356" s="48"/>
    </row>
    <row r="1357" spans="1:23" ht="15.75" x14ac:dyDescent="0.25">
      <c r="A1357" s="48" t="s">
        <v>200</v>
      </c>
      <c r="B1357" s="49">
        <v>45235</v>
      </c>
      <c r="C1357" s="48" t="s">
        <v>916</v>
      </c>
      <c r="D1357" s="48" t="s">
        <v>441</v>
      </c>
      <c r="E1357" s="48" t="s">
        <v>856</v>
      </c>
      <c r="F1357" s="48" t="s">
        <v>21</v>
      </c>
      <c r="G1357" s="48" t="s">
        <v>22</v>
      </c>
      <c r="H1357" s="48" t="s">
        <v>27</v>
      </c>
      <c r="I1357" s="48" t="s">
        <v>201</v>
      </c>
      <c r="J1357" s="48" t="s">
        <v>24</v>
      </c>
      <c r="K1357" s="48" t="s">
        <v>22</v>
      </c>
      <c r="L1357" s="48" t="s">
        <v>1132</v>
      </c>
      <c r="M1357" s="48" t="s">
        <v>26</v>
      </c>
      <c r="N1357" s="48" t="s">
        <v>20</v>
      </c>
      <c r="O1357" s="48" t="s">
        <v>857</v>
      </c>
      <c r="P1357" s="50">
        <v>639619</v>
      </c>
      <c r="Q1357" s="50">
        <v>1</v>
      </c>
      <c r="R1357" s="50">
        <v>639619</v>
      </c>
      <c r="S1357" s="74">
        <v>45283</v>
      </c>
      <c r="T1357" s="48" t="s">
        <v>28</v>
      </c>
      <c r="U1357" s="48" t="s">
        <v>22</v>
      </c>
      <c r="V1357" s="48" t="s">
        <v>857</v>
      </c>
      <c r="W1357" s="48"/>
    </row>
    <row r="1358" spans="1:23" ht="15.75" x14ac:dyDescent="0.25">
      <c r="A1358" s="48" t="s">
        <v>29</v>
      </c>
      <c r="B1358" s="49">
        <v>45257</v>
      </c>
      <c r="C1358" s="48" t="s">
        <v>933</v>
      </c>
      <c r="D1358" s="48" t="s">
        <v>1184</v>
      </c>
      <c r="E1358" s="48" t="s">
        <v>856</v>
      </c>
      <c r="F1358" s="48" t="s">
        <v>21</v>
      </c>
      <c r="G1358" s="48" t="s">
        <v>22</v>
      </c>
      <c r="H1358" s="48" t="s">
        <v>27</v>
      </c>
      <c r="I1358" s="48" t="s">
        <v>30</v>
      </c>
      <c r="J1358" s="48" t="s">
        <v>1791</v>
      </c>
      <c r="K1358" s="48" t="s">
        <v>22</v>
      </c>
      <c r="L1358" s="48" t="s">
        <v>1132</v>
      </c>
      <c r="M1358" s="48" t="s">
        <v>31</v>
      </c>
      <c r="N1358" s="48" t="s">
        <v>20</v>
      </c>
      <c r="O1358" s="48" t="s">
        <v>857</v>
      </c>
      <c r="P1358" s="50">
        <v>1132286.01</v>
      </c>
      <c r="Q1358" s="50">
        <v>4.78</v>
      </c>
      <c r="R1358" s="50">
        <v>5412327.1277999999</v>
      </c>
      <c r="S1358" s="74">
        <v>45281</v>
      </c>
      <c r="T1358" s="48" t="s">
        <v>32</v>
      </c>
      <c r="U1358" s="48" t="s">
        <v>22</v>
      </c>
      <c r="V1358" s="48" t="s">
        <v>857</v>
      </c>
      <c r="W1358" s="48"/>
    </row>
    <row r="1359" spans="1:23" ht="15.75" x14ac:dyDescent="0.25">
      <c r="A1359" s="48" t="s">
        <v>306</v>
      </c>
      <c r="B1359" s="49">
        <v>45279</v>
      </c>
      <c r="C1359" s="48" t="s">
        <v>928</v>
      </c>
      <c r="D1359" s="48" t="s">
        <v>1118</v>
      </c>
      <c r="E1359" s="48" t="s">
        <v>856</v>
      </c>
      <c r="F1359" s="48" t="s">
        <v>62</v>
      </c>
      <c r="G1359" s="48" t="s">
        <v>70</v>
      </c>
      <c r="H1359" s="48" t="s">
        <v>70</v>
      </c>
      <c r="I1359" s="48" t="s">
        <v>307</v>
      </c>
      <c r="J1359" s="48" t="s">
        <v>72</v>
      </c>
      <c r="K1359" s="48" t="s">
        <v>213</v>
      </c>
      <c r="L1359" s="48" t="s">
        <v>1134</v>
      </c>
      <c r="M1359" s="48" t="s">
        <v>67</v>
      </c>
      <c r="N1359" s="48" t="s">
        <v>20</v>
      </c>
      <c r="O1359" s="48" t="s">
        <v>857</v>
      </c>
      <c r="P1359" s="50">
        <v>85332.01</v>
      </c>
      <c r="Q1359" s="50">
        <v>4.5848000064688499</v>
      </c>
      <c r="R1359" s="50">
        <v>391230.19999999995</v>
      </c>
      <c r="S1359" s="74">
        <v>45281</v>
      </c>
      <c r="T1359" s="48" t="s">
        <v>308</v>
      </c>
      <c r="U1359" s="48" t="s">
        <v>213</v>
      </c>
      <c r="V1359" s="48" t="s">
        <v>857</v>
      </c>
      <c r="W1359" s="48"/>
    </row>
    <row r="1360" spans="1:23" ht="15.75" x14ac:dyDescent="0.25">
      <c r="A1360" s="48" t="s">
        <v>306</v>
      </c>
      <c r="B1360" s="49">
        <v>45279</v>
      </c>
      <c r="C1360" s="48" t="s">
        <v>933</v>
      </c>
      <c r="D1360" s="48" t="s">
        <v>1118</v>
      </c>
      <c r="E1360" s="48" t="s">
        <v>856</v>
      </c>
      <c r="F1360" s="48" t="s">
        <v>62</v>
      </c>
      <c r="G1360" s="48" t="s">
        <v>70</v>
      </c>
      <c r="H1360" s="48" t="s">
        <v>70</v>
      </c>
      <c r="I1360" s="48" t="s">
        <v>307</v>
      </c>
      <c r="J1360" s="48" t="s">
        <v>72</v>
      </c>
      <c r="K1360" s="48" t="s">
        <v>213</v>
      </c>
      <c r="L1360" s="48" t="s">
        <v>1134</v>
      </c>
      <c r="M1360" s="48" t="s">
        <v>67</v>
      </c>
      <c r="N1360" s="48" t="s">
        <v>20</v>
      </c>
      <c r="O1360" s="48" t="s">
        <v>857</v>
      </c>
      <c r="P1360" s="50">
        <v>193611.86</v>
      </c>
      <c r="Q1360" s="50">
        <v>4.5848000064688499</v>
      </c>
      <c r="R1360" s="50">
        <v>887671.65698044596</v>
      </c>
      <c r="S1360" s="74">
        <v>45281</v>
      </c>
      <c r="T1360" s="48" t="s">
        <v>308</v>
      </c>
      <c r="U1360" s="48" t="s">
        <v>213</v>
      </c>
      <c r="V1360" s="48" t="s">
        <v>857</v>
      </c>
      <c r="W1360" s="48"/>
    </row>
    <row r="1361" spans="1:23" ht="15.75" x14ac:dyDescent="0.25">
      <c r="A1361" s="48" t="s">
        <v>306</v>
      </c>
      <c r="B1361" s="49">
        <v>45279</v>
      </c>
      <c r="C1361" s="48" t="s">
        <v>924</v>
      </c>
      <c r="D1361" s="48" t="s">
        <v>1118</v>
      </c>
      <c r="E1361" s="48" t="s">
        <v>856</v>
      </c>
      <c r="F1361" s="48" t="s">
        <v>62</v>
      </c>
      <c r="G1361" s="48" t="s">
        <v>70</v>
      </c>
      <c r="H1361" s="48" t="s">
        <v>70</v>
      </c>
      <c r="I1361" s="48" t="s">
        <v>307</v>
      </c>
      <c r="J1361" s="48" t="s">
        <v>72</v>
      </c>
      <c r="K1361" s="48" t="s">
        <v>213</v>
      </c>
      <c r="L1361" s="48" t="s">
        <v>1134</v>
      </c>
      <c r="M1361" s="48" t="s">
        <v>67</v>
      </c>
      <c r="N1361" s="48" t="s">
        <v>20</v>
      </c>
      <c r="O1361" s="48" t="s">
        <v>857</v>
      </c>
      <c r="P1361" s="50">
        <v>109930.37</v>
      </c>
      <c r="Q1361" s="50">
        <v>4.5848000064688499</v>
      </c>
      <c r="R1361" s="50">
        <v>504008.76108712301</v>
      </c>
      <c r="S1361" s="74">
        <v>45281</v>
      </c>
      <c r="T1361" s="48" t="s">
        <v>308</v>
      </c>
      <c r="U1361" s="48" t="s">
        <v>213</v>
      </c>
      <c r="V1361" s="48" t="s">
        <v>857</v>
      </c>
      <c r="W1361" s="48"/>
    </row>
    <row r="1362" spans="1:23" ht="15.75" x14ac:dyDescent="0.25">
      <c r="A1362" s="48" t="s">
        <v>69</v>
      </c>
      <c r="B1362" s="49">
        <v>45279</v>
      </c>
      <c r="C1362" s="48" t="s">
        <v>916</v>
      </c>
      <c r="D1362" s="48" t="s">
        <v>1118</v>
      </c>
      <c r="E1362" s="48" t="s">
        <v>856</v>
      </c>
      <c r="F1362" s="48" t="s">
        <v>62</v>
      </c>
      <c r="G1362" s="48" t="s">
        <v>70</v>
      </c>
      <c r="H1362" s="48" t="s">
        <v>70</v>
      </c>
      <c r="I1362" s="48" t="s">
        <v>71</v>
      </c>
      <c r="J1362" s="48" t="s">
        <v>72</v>
      </c>
      <c r="K1362" s="48" t="s">
        <v>213</v>
      </c>
      <c r="L1362" s="48" t="s">
        <v>1134</v>
      </c>
      <c r="M1362" s="48" t="s">
        <v>67</v>
      </c>
      <c r="N1362" s="48" t="s">
        <v>20</v>
      </c>
      <c r="O1362" s="48" t="s">
        <v>857</v>
      </c>
      <c r="P1362" s="50">
        <v>1288392.8799999999</v>
      </c>
      <c r="Q1362" s="50">
        <v>4.12</v>
      </c>
      <c r="R1362" s="50">
        <v>5308178.6655999999</v>
      </c>
      <c r="S1362" s="74">
        <v>45280</v>
      </c>
      <c r="T1362" s="48" t="s">
        <v>74</v>
      </c>
      <c r="U1362" s="48" t="s">
        <v>213</v>
      </c>
      <c r="V1362" s="48" t="s">
        <v>857</v>
      </c>
      <c r="W1362" s="48"/>
    </row>
    <row r="1363" spans="1:23" ht="15.75" x14ac:dyDescent="0.25">
      <c r="A1363" s="48" t="s">
        <v>178</v>
      </c>
      <c r="B1363" s="49">
        <v>45081</v>
      </c>
      <c r="C1363" s="48" t="s">
        <v>928</v>
      </c>
      <c r="D1363" s="48" t="s">
        <v>1182</v>
      </c>
      <c r="E1363" s="48" t="s">
        <v>856</v>
      </c>
      <c r="F1363" s="48" t="s">
        <v>21</v>
      </c>
      <c r="G1363" s="48" t="s">
        <v>22</v>
      </c>
      <c r="H1363" s="48" t="s">
        <v>27</v>
      </c>
      <c r="I1363" s="48" t="s">
        <v>179</v>
      </c>
      <c r="J1363" s="48" t="s">
        <v>24</v>
      </c>
      <c r="K1363" s="48" t="s">
        <v>90</v>
      </c>
      <c r="L1363" s="48" t="s">
        <v>1141</v>
      </c>
      <c r="M1363" s="48" t="s">
        <v>26</v>
      </c>
      <c r="N1363" s="48" t="s">
        <v>20</v>
      </c>
      <c r="O1363" s="48" t="s">
        <v>857</v>
      </c>
      <c r="P1363" s="50">
        <v>317393</v>
      </c>
      <c r="Q1363" s="50">
        <v>1</v>
      </c>
      <c r="R1363" s="50">
        <v>317393</v>
      </c>
      <c r="S1363" s="74">
        <v>45280</v>
      </c>
      <c r="T1363" s="48" t="s">
        <v>917</v>
      </c>
      <c r="U1363" s="48" t="s">
        <v>90</v>
      </c>
      <c r="V1363" s="48" t="s">
        <v>857</v>
      </c>
      <c r="W1363" s="48"/>
    </row>
    <row r="1364" spans="1:23" ht="15.75" x14ac:dyDescent="0.25">
      <c r="A1364" s="48" t="s">
        <v>306</v>
      </c>
      <c r="B1364" s="49">
        <v>45279</v>
      </c>
      <c r="C1364" s="48" t="s">
        <v>918</v>
      </c>
      <c r="D1364" s="48" t="s">
        <v>1118</v>
      </c>
      <c r="E1364" s="48" t="s">
        <v>856</v>
      </c>
      <c r="F1364" s="48" t="s">
        <v>62</v>
      </c>
      <c r="G1364" s="48" t="s">
        <v>70</v>
      </c>
      <c r="H1364" s="48" t="s">
        <v>70</v>
      </c>
      <c r="I1364" s="48" t="s">
        <v>307</v>
      </c>
      <c r="J1364" s="48" t="s">
        <v>72</v>
      </c>
      <c r="K1364" s="48" t="s">
        <v>213</v>
      </c>
      <c r="L1364" s="48" t="s">
        <v>1134</v>
      </c>
      <c r="M1364" s="48" t="s">
        <v>67</v>
      </c>
      <c r="N1364" s="48" t="s">
        <v>20</v>
      </c>
      <c r="O1364" s="48" t="s">
        <v>857</v>
      </c>
      <c r="P1364" s="50">
        <v>91075.35</v>
      </c>
      <c r="Q1364" s="50">
        <v>4.5848000064688499</v>
      </c>
      <c r="R1364" s="50">
        <v>417562.26526915282</v>
      </c>
      <c r="S1364" s="74">
        <v>45279</v>
      </c>
      <c r="T1364" s="48" t="s">
        <v>308</v>
      </c>
      <c r="U1364" s="48" t="s">
        <v>213</v>
      </c>
      <c r="V1364" s="48" t="s">
        <v>857</v>
      </c>
      <c r="W1364" s="48"/>
    </row>
    <row r="1365" spans="1:23" ht="15.75" x14ac:dyDescent="0.25">
      <c r="A1365" s="48" t="s">
        <v>38</v>
      </c>
      <c r="B1365" s="49">
        <v>45208</v>
      </c>
      <c r="C1365" s="48" t="s">
        <v>916</v>
      </c>
      <c r="D1365" s="48" t="s">
        <v>441</v>
      </c>
      <c r="E1365" s="48" t="s">
        <v>856</v>
      </c>
      <c r="F1365" s="48" t="s">
        <v>21</v>
      </c>
      <c r="G1365" s="48" t="s">
        <v>22</v>
      </c>
      <c r="H1365" s="48" t="s">
        <v>27</v>
      </c>
      <c r="I1365" s="48" t="s">
        <v>39</v>
      </c>
      <c r="J1365" s="48" t="s">
        <v>24</v>
      </c>
      <c r="K1365" s="48" t="s">
        <v>22</v>
      </c>
      <c r="L1365" s="48" t="s">
        <v>1132</v>
      </c>
      <c r="M1365" s="48" t="s">
        <v>26</v>
      </c>
      <c r="N1365" s="48" t="s">
        <v>20</v>
      </c>
      <c r="O1365" s="48" t="s">
        <v>857</v>
      </c>
      <c r="P1365" s="50">
        <v>2001304.67</v>
      </c>
      <c r="Q1365" s="50">
        <v>1</v>
      </c>
      <c r="R1365" s="50">
        <v>2001304.67</v>
      </c>
      <c r="S1365" s="74">
        <v>45278</v>
      </c>
      <c r="T1365" s="48" t="s">
        <v>28</v>
      </c>
      <c r="U1365" s="48" t="s">
        <v>22</v>
      </c>
      <c r="V1365" s="48" t="s">
        <v>857</v>
      </c>
      <c r="W1365" s="48"/>
    </row>
    <row r="1366" spans="1:23" ht="15.75" x14ac:dyDescent="0.25">
      <c r="A1366" s="48" t="s">
        <v>29</v>
      </c>
      <c r="B1366" s="49">
        <v>45235</v>
      </c>
      <c r="C1366" s="48" t="s">
        <v>928</v>
      </c>
      <c r="D1366" s="48" t="s">
        <v>1184</v>
      </c>
      <c r="E1366" s="48" t="s">
        <v>856</v>
      </c>
      <c r="F1366" s="48" t="s">
        <v>21</v>
      </c>
      <c r="G1366" s="48" t="s">
        <v>22</v>
      </c>
      <c r="H1366" s="48" t="s">
        <v>27</v>
      </c>
      <c r="I1366" s="48" t="s">
        <v>30</v>
      </c>
      <c r="J1366" s="48" t="s">
        <v>1791</v>
      </c>
      <c r="K1366" s="48" t="s">
        <v>22</v>
      </c>
      <c r="L1366" s="48" t="s">
        <v>1132</v>
      </c>
      <c r="M1366" s="48" t="s">
        <v>31</v>
      </c>
      <c r="N1366" s="48" t="s">
        <v>20</v>
      </c>
      <c r="O1366" s="48" t="s">
        <v>857</v>
      </c>
      <c r="P1366" s="50">
        <v>65986.25</v>
      </c>
      <c r="Q1366" s="50">
        <v>4.9000000000000004</v>
      </c>
      <c r="R1366" s="50">
        <v>323332.625</v>
      </c>
      <c r="S1366" s="74">
        <v>45278</v>
      </c>
      <c r="T1366" s="48" t="s">
        <v>32</v>
      </c>
      <c r="U1366" s="48" t="s">
        <v>22</v>
      </c>
      <c r="V1366" s="48" t="s">
        <v>857</v>
      </c>
      <c r="W1366" s="48"/>
    </row>
    <row r="1367" spans="1:23" ht="15.75" x14ac:dyDescent="0.25">
      <c r="A1367" s="48" t="s">
        <v>175</v>
      </c>
      <c r="B1367" s="49">
        <v>45226</v>
      </c>
      <c r="C1367" s="48" t="s">
        <v>916</v>
      </c>
      <c r="D1367" s="48" t="s">
        <v>1182</v>
      </c>
      <c r="E1367" s="48" t="s">
        <v>856</v>
      </c>
      <c r="F1367" s="48" t="s">
        <v>21</v>
      </c>
      <c r="G1367" s="48" t="s">
        <v>22</v>
      </c>
      <c r="H1367" s="48" t="s">
        <v>27</v>
      </c>
      <c r="I1367" s="48" t="s">
        <v>23</v>
      </c>
      <c r="J1367" s="48" t="s">
        <v>24</v>
      </c>
      <c r="K1367" s="48" t="s">
        <v>25</v>
      </c>
      <c r="L1367" s="48" t="s">
        <v>1138</v>
      </c>
      <c r="M1367" s="48" t="s">
        <v>26</v>
      </c>
      <c r="N1367" s="48" t="s">
        <v>20</v>
      </c>
      <c r="O1367" s="48" t="s">
        <v>857</v>
      </c>
      <c r="P1367" s="50">
        <v>1851500</v>
      </c>
      <c r="Q1367" s="50">
        <v>1</v>
      </c>
      <c r="R1367" s="50">
        <v>1851500</v>
      </c>
      <c r="S1367" s="74">
        <v>45278</v>
      </c>
      <c r="T1367" s="48" t="s">
        <v>917</v>
      </c>
      <c r="U1367" s="48" t="s">
        <v>25</v>
      </c>
      <c r="V1367" s="48" t="s">
        <v>857</v>
      </c>
      <c r="W1367" s="48"/>
    </row>
    <row r="1368" spans="1:23" ht="15.75" x14ac:dyDescent="0.25">
      <c r="A1368" s="48" t="s">
        <v>253</v>
      </c>
      <c r="B1368" s="49">
        <v>45229</v>
      </c>
      <c r="C1368" s="48" t="s">
        <v>916</v>
      </c>
      <c r="D1368" s="48" t="s">
        <v>1184</v>
      </c>
      <c r="E1368" s="48" t="s">
        <v>856</v>
      </c>
      <c r="F1368" s="48" t="s">
        <v>21</v>
      </c>
      <c r="G1368" s="48" t="s">
        <v>22</v>
      </c>
      <c r="H1368" s="48" t="s">
        <v>27</v>
      </c>
      <c r="I1368" s="48" t="s">
        <v>30</v>
      </c>
      <c r="J1368" s="48" t="s">
        <v>1791</v>
      </c>
      <c r="K1368" s="48" t="s">
        <v>22</v>
      </c>
      <c r="L1368" s="48" t="s">
        <v>1132</v>
      </c>
      <c r="M1368" s="48" t="s">
        <v>31</v>
      </c>
      <c r="N1368" s="48" t="s">
        <v>20</v>
      </c>
      <c r="O1368" s="48" t="s">
        <v>857</v>
      </c>
      <c r="P1368" s="50">
        <v>379264.71</v>
      </c>
      <c r="Q1368" s="50">
        <v>4.8250000000000002</v>
      </c>
      <c r="R1368" s="50">
        <v>1829952.2257500002</v>
      </c>
      <c r="S1368" s="74">
        <v>45275</v>
      </c>
      <c r="T1368" s="48" t="s">
        <v>32</v>
      </c>
      <c r="U1368" s="48" t="s">
        <v>22</v>
      </c>
      <c r="V1368" s="48" t="s">
        <v>857</v>
      </c>
      <c r="W1368" s="48"/>
    </row>
    <row r="1369" spans="1:23" ht="15.75" x14ac:dyDescent="0.25">
      <c r="A1369" s="48" t="s">
        <v>253</v>
      </c>
      <c r="B1369" s="49">
        <v>45230</v>
      </c>
      <c r="C1369" s="48" t="s">
        <v>918</v>
      </c>
      <c r="D1369" s="48" t="s">
        <v>1184</v>
      </c>
      <c r="E1369" s="48" t="s">
        <v>856</v>
      </c>
      <c r="F1369" s="48" t="s">
        <v>21</v>
      </c>
      <c r="G1369" s="48" t="s">
        <v>22</v>
      </c>
      <c r="H1369" s="48" t="s">
        <v>27</v>
      </c>
      <c r="I1369" s="48" t="s">
        <v>30</v>
      </c>
      <c r="J1369" s="48" t="s">
        <v>1791</v>
      </c>
      <c r="K1369" s="48" t="s">
        <v>22</v>
      </c>
      <c r="L1369" s="48" t="s">
        <v>1132</v>
      </c>
      <c r="M1369" s="48" t="s">
        <v>31</v>
      </c>
      <c r="N1369" s="48" t="s">
        <v>20</v>
      </c>
      <c r="O1369" s="48" t="s">
        <v>857</v>
      </c>
      <c r="P1369" s="50">
        <v>500351.44</v>
      </c>
      <c r="Q1369" s="50">
        <v>4.8</v>
      </c>
      <c r="R1369" s="50">
        <v>2401686.912</v>
      </c>
      <c r="S1369" s="74">
        <v>45271</v>
      </c>
      <c r="T1369" s="48" t="s">
        <v>32</v>
      </c>
      <c r="U1369" s="48" t="s">
        <v>22</v>
      </c>
      <c r="V1369" s="48" t="s">
        <v>857</v>
      </c>
      <c r="W1369" s="48"/>
    </row>
    <row r="1370" spans="1:23" ht="15.75" x14ac:dyDescent="0.25">
      <c r="A1370" s="48" t="s">
        <v>29</v>
      </c>
      <c r="B1370" s="49">
        <v>45225</v>
      </c>
      <c r="C1370" s="48" t="s">
        <v>924</v>
      </c>
      <c r="D1370" s="48" t="s">
        <v>1184</v>
      </c>
      <c r="E1370" s="48" t="s">
        <v>856</v>
      </c>
      <c r="F1370" s="48" t="s">
        <v>21</v>
      </c>
      <c r="G1370" s="48" t="s">
        <v>22</v>
      </c>
      <c r="H1370" s="48" t="s">
        <v>27</v>
      </c>
      <c r="I1370" s="48" t="s">
        <v>30</v>
      </c>
      <c r="J1370" s="48" t="s">
        <v>1791</v>
      </c>
      <c r="K1370" s="48" t="s">
        <v>22</v>
      </c>
      <c r="L1370" s="48" t="s">
        <v>1132</v>
      </c>
      <c r="M1370" s="48" t="s">
        <v>31</v>
      </c>
      <c r="N1370" s="48" t="s">
        <v>20</v>
      </c>
      <c r="O1370" s="48" t="s">
        <v>857</v>
      </c>
      <c r="P1370" s="50">
        <v>455048.19</v>
      </c>
      <c r="Q1370" s="50">
        <v>4.8</v>
      </c>
      <c r="R1370" s="50">
        <v>2184231.3119999999</v>
      </c>
      <c r="S1370" s="74">
        <v>45271</v>
      </c>
      <c r="T1370" s="48" t="s">
        <v>32</v>
      </c>
      <c r="U1370" s="48" t="s">
        <v>22</v>
      </c>
      <c r="V1370" s="48" t="s">
        <v>857</v>
      </c>
      <c r="W1370" s="48"/>
    </row>
    <row r="1371" spans="1:23" ht="15.75" x14ac:dyDescent="0.25">
      <c r="A1371" s="48" t="s">
        <v>164</v>
      </c>
      <c r="B1371" s="49">
        <v>45246</v>
      </c>
      <c r="C1371" s="48" t="s">
        <v>916</v>
      </c>
      <c r="D1371" s="48" t="s">
        <v>441</v>
      </c>
      <c r="E1371" s="48" t="s">
        <v>856</v>
      </c>
      <c r="F1371" s="48" t="s">
        <v>21</v>
      </c>
      <c r="G1371" s="48" t="s">
        <v>22</v>
      </c>
      <c r="H1371" s="48" t="s">
        <v>27</v>
      </c>
      <c r="I1371" s="48" t="s">
        <v>163</v>
      </c>
      <c r="J1371" s="48" t="s">
        <v>24</v>
      </c>
      <c r="K1371" s="48" t="s">
        <v>22</v>
      </c>
      <c r="L1371" s="48" t="s">
        <v>1132</v>
      </c>
      <c r="M1371" s="48" t="s">
        <v>26</v>
      </c>
      <c r="N1371" s="48" t="s">
        <v>20</v>
      </c>
      <c r="O1371" s="48" t="s">
        <v>857</v>
      </c>
      <c r="P1371" s="50">
        <v>1223678.6599999999</v>
      </c>
      <c r="Q1371" s="50">
        <v>1</v>
      </c>
      <c r="R1371" s="50">
        <v>1223678.6599999999</v>
      </c>
      <c r="S1371" s="74">
        <v>45262</v>
      </c>
      <c r="T1371" s="48" t="s">
        <v>35</v>
      </c>
      <c r="U1371" s="48" t="s">
        <v>22</v>
      </c>
      <c r="V1371" s="48" t="s">
        <v>857</v>
      </c>
      <c r="W1371" s="48"/>
    </row>
    <row r="1372" spans="1:23" ht="15.75" x14ac:dyDescent="0.25">
      <c r="A1372" s="48" t="s">
        <v>162</v>
      </c>
      <c r="B1372" s="49">
        <v>45185</v>
      </c>
      <c r="C1372" s="48" t="s">
        <v>916</v>
      </c>
      <c r="D1372" s="48" t="s">
        <v>441</v>
      </c>
      <c r="E1372" s="48" t="s">
        <v>856</v>
      </c>
      <c r="F1372" s="48" t="s">
        <v>21</v>
      </c>
      <c r="G1372" s="48" t="s">
        <v>22</v>
      </c>
      <c r="H1372" s="48" t="s">
        <v>27</v>
      </c>
      <c r="I1372" s="48" t="s">
        <v>163</v>
      </c>
      <c r="J1372" s="48" t="s">
        <v>24</v>
      </c>
      <c r="K1372" s="48" t="s">
        <v>22</v>
      </c>
      <c r="L1372" s="48" t="s">
        <v>1132</v>
      </c>
      <c r="M1372" s="48" t="s">
        <v>26</v>
      </c>
      <c r="N1372" s="48" t="s">
        <v>20</v>
      </c>
      <c r="O1372" s="48" t="s">
        <v>857</v>
      </c>
      <c r="P1372" s="50">
        <v>1030466.4</v>
      </c>
      <c r="Q1372" s="50">
        <v>1</v>
      </c>
      <c r="R1372" s="50">
        <v>1030466.4</v>
      </c>
      <c r="S1372" s="74">
        <v>45262</v>
      </c>
      <c r="T1372" s="48" t="s">
        <v>917</v>
      </c>
      <c r="U1372" s="48" t="s">
        <v>22</v>
      </c>
      <c r="V1372" s="48" t="s">
        <v>857</v>
      </c>
      <c r="W1372" s="48"/>
    </row>
    <row r="1373" spans="1:23" ht="15.75" x14ac:dyDescent="0.25">
      <c r="A1373" s="48" t="s">
        <v>61</v>
      </c>
      <c r="B1373" s="49">
        <v>45215</v>
      </c>
      <c r="C1373" s="48" t="s">
        <v>916</v>
      </c>
      <c r="D1373" s="48" t="s">
        <v>1186</v>
      </c>
      <c r="E1373" s="48" t="s">
        <v>856</v>
      </c>
      <c r="F1373" s="48" t="s">
        <v>62</v>
      </c>
      <c r="G1373" s="48" t="s">
        <v>63</v>
      </c>
      <c r="H1373" s="48" t="s">
        <v>27</v>
      </c>
      <c r="I1373" s="48" t="s">
        <v>64</v>
      </c>
      <c r="J1373" s="48" t="s">
        <v>65</v>
      </c>
      <c r="K1373" s="48" t="s">
        <v>66</v>
      </c>
      <c r="L1373" s="48" t="s">
        <v>1144</v>
      </c>
      <c r="M1373" s="48" t="s">
        <v>67</v>
      </c>
      <c r="N1373" s="48" t="s">
        <v>20</v>
      </c>
      <c r="O1373" s="48" t="s">
        <v>857</v>
      </c>
      <c r="P1373" s="50">
        <v>1535948.9</v>
      </c>
      <c r="Q1373" s="50">
        <v>4.0999999999999996</v>
      </c>
      <c r="R1373" s="50">
        <v>6297390.4899999993</v>
      </c>
      <c r="S1373" s="74">
        <v>45250</v>
      </c>
      <c r="T1373" s="48" t="s">
        <v>68</v>
      </c>
      <c r="U1373" s="48" t="s">
        <v>66</v>
      </c>
      <c r="V1373" s="48" t="s">
        <v>857</v>
      </c>
      <c r="W1373" s="48"/>
    </row>
    <row r="1374" spans="1:23" ht="15.75" x14ac:dyDescent="0.25">
      <c r="A1374" s="48" t="s">
        <v>156</v>
      </c>
      <c r="B1374" s="49">
        <v>45211</v>
      </c>
      <c r="C1374" s="48" t="s">
        <v>916</v>
      </c>
      <c r="D1374" s="48" t="s">
        <v>441</v>
      </c>
      <c r="E1374" s="48" t="s">
        <v>856</v>
      </c>
      <c r="F1374" s="48" t="s">
        <v>21</v>
      </c>
      <c r="G1374" s="48" t="s">
        <v>22</v>
      </c>
      <c r="H1374" s="48" t="s">
        <v>27</v>
      </c>
      <c r="I1374" s="48" t="s">
        <v>157</v>
      </c>
      <c r="J1374" s="48" t="s">
        <v>24</v>
      </c>
      <c r="K1374" s="48" t="s">
        <v>22</v>
      </c>
      <c r="L1374" s="48" t="s">
        <v>1132</v>
      </c>
      <c r="M1374" s="48" t="s">
        <v>26</v>
      </c>
      <c r="N1374" s="48" t="s">
        <v>20</v>
      </c>
      <c r="O1374" s="48" t="s">
        <v>857</v>
      </c>
      <c r="P1374" s="50">
        <v>823546.42</v>
      </c>
      <c r="Q1374" s="50">
        <v>1</v>
      </c>
      <c r="R1374" s="50">
        <v>823546.42</v>
      </c>
      <c r="S1374" s="74">
        <v>45242</v>
      </c>
      <c r="T1374" s="48" t="s">
        <v>917</v>
      </c>
      <c r="U1374" s="48" t="s">
        <v>22</v>
      </c>
      <c r="V1374" s="48" t="s">
        <v>857</v>
      </c>
      <c r="W1374" s="48"/>
    </row>
    <row r="1375" spans="1:23" ht="15.75" x14ac:dyDescent="0.25">
      <c r="A1375" s="48" t="s">
        <v>36</v>
      </c>
      <c r="B1375" s="49">
        <v>45211</v>
      </c>
      <c r="C1375" s="48" t="s">
        <v>916</v>
      </c>
      <c r="D1375" s="48" t="s">
        <v>441</v>
      </c>
      <c r="E1375" s="48" t="s">
        <v>856</v>
      </c>
      <c r="F1375" s="48" t="s">
        <v>21</v>
      </c>
      <c r="G1375" s="48" t="s">
        <v>22</v>
      </c>
      <c r="H1375" s="48" t="s">
        <v>27</v>
      </c>
      <c r="I1375" s="48" t="s">
        <v>37</v>
      </c>
      <c r="J1375" s="48" t="s">
        <v>24</v>
      </c>
      <c r="K1375" s="48" t="s">
        <v>22</v>
      </c>
      <c r="L1375" s="48" t="s">
        <v>1132</v>
      </c>
      <c r="M1375" s="48" t="s">
        <v>26</v>
      </c>
      <c r="N1375" s="48" t="s">
        <v>20</v>
      </c>
      <c r="O1375" s="48" t="s">
        <v>857</v>
      </c>
      <c r="P1375" s="50">
        <v>802169.95</v>
      </c>
      <c r="Q1375" s="50">
        <v>1</v>
      </c>
      <c r="R1375" s="50">
        <v>802169.95</v>
      </c>
      <c r="S1375" s="74">
        <v>45242</v>
      </c>
      <c r="T1375" s="48" t="s">
        <v>35</v>
      </c>
      <c r="U1375" s="48" t="s">
        <v>22</v>
      </c>
      <c r="V1375" s="48" t="s">
        <v>857</v>
      </c>
      <c r="W1375" s="48"/>
    </row>
    <row r="1376" spans="1:23" ht="15.75" x14ac:dyDescent="0.25">
      <c r="A1376" s="48" t="s">
        <v>150</v>
      </c>
      <c r="B1376" s="49">
        <v>45167</v>
      </c>
      <c r="C1376" s="48" t="s">
        <v>918</v>
      </c>
      <c r="D1376" s="48" t="s">
        <v>441</v>
      </c>
      <c r="E1376" s="48" t="s">
        <v>856</v>
      </c>
      <c r="F1376" s="48" t="s">
        <v>21</v>
      </c>
      <c r="G1376" s="48" t="s">
        <v>22</v>
      </c>
      <c r="H1376" s="48" t="s">
        <v>27</v>
      </c>
      <c r="I1376" s="48" t="s">
        <v>39</v>
      </c>
      <c r="J1376" s="48" t="s">
        <v>24</v>
      </c>
      <c r="K1376" s="48" t="s">
        <v>22</v>
      </c>
      <c r="L1376" s="48" t="s">
        <v>1132</v>
      </c>
      <c r="M1376" s="48" t="s">
        <v>26</v>
      </c>
      <c r="N1376" s="48" t="s">
        <v>20</v>
      </c>
      <c r="O1376" s="48" t="s">
        <v>857</v>
      </c>
      <c r="P1376" s="50">
        <v>653839.06000000006</v>
      </c>
      <c r="Q1376" s="50">
        <v>1</v>
      </c>
      <c r="R1376" s="50">
        <v>653839.06000000006</v>
      </c>
      <c r="S1376" s="74">
        <v>45241</v>
      </c>
      <c r="T1376" s="48" t="s">
        <v>917</v>
      </c>
      <c r="U1376" s="48" t="s">
        <v>22</v>
      </c>
      <c r="V1376" s="48" t="s">
        <v>857</v>
      </c>
      <c r="W1376" s="48"/>
    </row>
    <row r="1377" spans="1:23" ht="15.75" x14ac:dyDescent="0.25">
      <c r="A1377" s="48" t="s">
        <v>150</v>
      </c>
      <c r="B1377" s="49">
        <v>45167</v>
      </c>
      <c r="C1377" s="48" t="s">
        <v>916</v>
      </c>
      <c r="D1377" s="48" t="s">
        <v>441</v>
      </c>
      <c r="E1377" s="48" t="s">
        <v>856</v>
      </c>
      <c r="F1377" s="48" t="s">
        <v>21</v>
      </c>
      <c r="G1377" s="48" t="s">
        <v>22</v>
      </c>
      <c r="H1377" s="48" t="s">
        <v>27</v>
      </c>
      <c r="I1377" s="48" t="s">
        <v>39</v>
      </c>
      <c r="J1377" s="48" t="s">
        <v>24</v>
      </c>
      <c r="K1377" s="48" t="s">
        <v>22</v>
      </c>
      <c r="L1377" s="48" t="s">
        <v>1132</v>
      </c>
      <c r="M1377" s="48" t="s">
        <v>26</v>
      </c>
      <c r="N1377" s="48" t="s">
        <v>20</v>
      </c>
      <c r="O1377" s="48" t="s">
        <v>857</v>
      </c>
      <c r="P1377" s="50">
        <v>2182973.9500000002</v>
      </c>
      <c r="Q1377" s="50">
        <v>1</v>
      </c>
      <c r="R1377" s="50">
        <v>2182973.9500000002</v>
      </c>
      <c r="S1377" s="74">
        <v>45241</v>
      </c>
      <c r="T1377" s="48" t="s">
        <v>917</v>
      </c>
      <c r="U1377" s="48" t="s">
        <v>22</v>
      </c>
      <c r="V1377" s="48" t="s">
        <v>857</v>
      </c>
      <c r="W1377" s="48"/>
    </row>
    <row r="1378" spans="1:23" ht="15.75" x14ac:dyDescent="0.25">
      <c r="A1378" s="48" t="s">
        <v>306</v>
      </c>
      <c r="B1378" s="49">
        <v>45235</v>
      </c>
      <c r="C1378" s="48" t="s">
        <v>916</v>
      </c>
      <c r="D1378" s="48" t="s">
        <v>1118</v>
      </c>
      <c r="E1378" s="48" t="s">
        <v>856</v>
      </c>
      <c r="F1378" s="48" t="s">
        <v>62</v>
      </c>
      <c r="G1378" s="48" t="s">
        <v>70</v>
      </c>
      <c r="H1378" s="48" t="s">
        <v>70</v>
      </c>
      <c r="I1378" s="48" t="s">
        <v>307</v>
      </c>
      <c r="J1378" s="48" t="s">
        <v>72</v>
      </c>
      <c r="K1378" s="48" t="s">
        <v>213</v>
      </c>
      <c r="L1378" s="48" t="s">
        <v>1134</v>
      </c>
      <c r="M1378" s="48" t="s">
        <v>67</v>
      </c>
      <c r="N1378" s="48" t="s">
        <v>20</v>
      </c>
      <c r="O1378" s="48" t="s">
        <v>857</v>
      </c>
      <c r="P1378" s="50">
        <v>59094.48</v>
      </c>
      <c r="Q1378" s="50">
        <v>4.5848000064688499</v>
      </c>
      <c r="R1378" s="50">
        <v>270936.37228627334</v>
      </c>
      <c r="S1378" s="74">
        <v>45239</v>
      </c>
      <c r="T1378" s="48" t="s">
        <v>308</v>
      </c>
      <c r="U1378" s="48" t="s">
        <v>213</v>
      </c>
      <c r="V1378" s="48" t="s">
        <v>857</v>
      </c>
      <c r="W1378" s="48"/>
    </row>
    <row r="1379" spans="1:23" ht="15.75" x14ac:dyDescent="0.25">
      <c r="A1379" s="48" t="s">
        <v>33</v>
      </c>
      <c r="B1379" s="49">
        <v>45234</v>
      </c>
      <c r="C1379" s="48" t="s">
        <v>916</v>
      </c>
      <c r="D1379" s="48" t="s">
        <v>441</v>
      </c>
      <c r="E1379" s="48" t="s">
        <v>856</v>
      </c>
      <c r="F1379" s="48" t="s">
        <v>21</v>
      </c>
      <c r="G1379" s="48" t="s">
        <v>22</v>
      </c>
      <c r="H1379" s="48" t="s">
        <v>27</v>
      </c>
      <c r="I1379" s="48" t="s">
        <v>34</v>
      </c>
      <c r="J1379" s="48" t="s">
        <v>24</v>
      </c>
      <c r="K1379" s="48" t="s">
        <v>22</v>
      </c>
      <c r="L1379" s="48" t="s">
        <v>1132</v>
      </c>
      <c r="M1379" s="48" t="s">
        <v>26</v>
      </c>
      <c r="N1379" s="48" t="s">
        <v>20</v>
      </c>
      <c r="O1379" s="48" t="s">
        <v>857</v>
      </c>
      <c r="P1379" s="50">
        <v>150512.01</v>
      </c>
      <c r="Q1379" s="50">
        <v>1</v>
      </c>
      <c r="R1379" s="50">
        <v>150512.01</v>
      </c>
      <c r="S1379" s="74">
        <v>45236</v>
      </c>
      <c r="T1379" s="48" t="s">
        <v>35</v>
      </c>
      <c r="U1379" s="48" t="s">
        <v>22</v>
      </c>
      <c r="V1379" s="48" t="s">
        <v>857</v>
      </c>
      <c r="W1379" s="48"/>
    </row>
    <row r="1380" spans="1:23" ht="15.75" x14ac:dyDescent="0.25">
      <c r="A1380" s="48" t="s">
        <v>29</v>
      </c>
      <c r="B1380" s="49">
        <v>45196</v>
      </c>
      <c r="C1380" s="48" t="s">
        <v>918</v>
      </c>
      <c r="D1380" s="48" t="s">
        <v>1184</v>
      </c>
      <c r="E1380" s="48" t="s">
        <v>856</v>
      </c>
      <c r="F1380" s="48" t="s">
        <v>21</v>
      </c>
      <c r="G1380" s="48" t="s">
        <v>22</v>
      </c>
      <c r="H1380" s="48" t="s">
        <v>27</v>
      </c>
      <c r="I1380" s="48" t="s">
        <v>30</v>
      </c>
      <c r="J1380" s="48" t="s">
        <v>1791</v>
      </c>
      <c r="K1380" s="48" t="s">
        <v>22</v>
      </c>
      <c r="L1380" s="48" t="s">
        <v>1132</v>
      </c>
      <c r="M1380" s="48" t="s">
        <v>31</v>
      </c>
      <c r="N1380" s="48" t="s">
        <v>20</v>
      </c>
      <c r="O1380" s="48" t="s">
        <v>857</v>
      </c>
      <c r="P1380" s="50">
        <v>134951.71</v>
      </c>
      <c r="Q1380" s="50">
        <v>4.7300000000000004</v>
      </c>
      <c r="R1380" s="50">
        <v>638321.58830000006</v>
      </c>
      <c r="S1380" s="74">
        <v>45236</v>
      </c>
      <c r="T1380" s="48" t="s">
        <v>32</v>
      </c>
      <c r="U1380" s="48" t="s">
        <v>22</v>
      </c>
      <c r="V1380" s="48" t="s">
        <v>857</v>
      </c>
      <c r="W1380" s="48"/>
    </row>
    <row r="1381" spans="1:23" ht="15.75" x14ac:dyDescent="0.25">
      <c r="A1381" s="48" t="s">
        <v>253</v>
      </c>
      <c r="B1381" s="49">
        <v>45196</v>
      </c>
      <c r="C1381" s="48" t="s">
        <v>916</v>
      </c>
      <c r="D1381" s="48" t="s">
        <v>1184</v>
      </c>
      <c r="E1381" s="48" t="s">
        <v>856</v>
      </c>
      <c r="F1381" s="48" t="s">
        <v>21</v>
      </c>
      <c r="G1381" s="48" t="s">
        <v>22</v>
      </c>
      <c r="H1381" s="48" t="s">
        <v>27</v>
      </c>
      <c r="I1381" s="48" t="s">
        <v>30</v>
      </c>
      <c r="J1381" s="48" t="s">
        <v>1791</v>
      </c>
      <c r="K1381" s="48" t="s">
        <v>22</v>
      </c>
      <c r="L1381" s="48" t="s">
        <v>1132</v>
      </c>
      <c r="M1381" s="48" t="s">
        <v>31</v>
      </c>
      <c r="N1381" s="48" t="s">
        <v>20</v>
      </c>
      <c r="O1381" s="48" t="s">
        <v>857</v>
      </c>
      <c r="P1381" s="50">
        <v>16716.63</v>
      </c>
      <c r="Q1381" s="50">
        <v>4.7300000000000004</v>
      </c>
      <c r="R1381" s="50">
        <v>79069.659900000013</v>
      </c>
      <c r="S1381" s="74">
        <v>45233</v>
      </c>
      <c r="T1381" s="48" t="s">
        <v>32</v>
      </c>
      <c r="U1381" s="48" t="s">
        <v>22</v>
      </c>
      <c r="V1381" s="48" t="s">
        <v>857</v>
      </c>
      <c r="W1381" s="48"/>
    </row>
    <row r="1382" spans="1:23" ht="15.75" x14ac:dyDescent="0.25">
      <c r="A1382" s="48" t="s">
        <v>143</v>
      </c>
      <c r="B1382" s="49">
        <v>45189</v>
      </c>
      <c r="C1382" s="48" t="s">
        <v>916</v>
      </c>
      <c r="D1382" s="48" t="s">
        <v>1182</v>
      </c>
      <c r="E1382" s="48" t="s">
        <v>856</v>
      </c>
      <c r="F1382" s="48" t="s">
        <v>21</v>
      </c>
      <c r="G1382" s="48" t="s">
        <v>22</v>
      </c>
      <c r="H1382" s="48" t="s">
        <v>27</v>
      </c>
      <c r="I1382" s="48" t="s">
        <v>144</v>
      </c>
      <c r="J1382" s="48" t="s">
        <v>24</v>
      </c>
      <c r="K1382" s="48" t="s">
        <v>25</v>
      </c>
      <c r="L1382" s="48" t="s">
        <v>1138</v>
      </c>
      <c r="M1382" s="48" t="s">
        <v>26</v>
      </c>
      <c r="N1382" s="48" t="s">
        <v>20</v>
      </c>
      <c r="O1382" s="48" t="s">
        <v>857</v>
      </c>
      <c r="P1382" s="50">
        <v>10518119</v>
      </c>
      <c r="Q1382" s="50">
        <v>1</v>
      </c>
      <c r="R1382" s="50">
        <v>10518119</v>
      </c>
      <c r="S1382" s="74">
        <v>45230</v>
      </c>
      <c r="T1382" s="48" t="s">
        <v>917</v>
      </c>
      <c r="U1382" s="48" t="s">
        <v>25</v>
      </c>
      <c r="V1382" s="48" t="s">
        <v>857</v>
      </c>
      <c r="W1382" s="48"/>
    </row>
    <row r="1383" spans="1:23" ht="15.75" x14ac:dyDescent="0.25">
      <c r="A1383" s="48" t="s">
        <v>139</v>
      </c>
      <c r="B1383" s="49">
        <v>45211</v>
      </c>
      <c r="C1383" s="48" t="s">
        <v>918</v>
      </c>
      <c r="D1383" s="48" t="s">
        <v>1182</v>
      </c>
      <c r="E1383" s="48" t="s">
        <v>856</v>
      </c>
      <c r="F1383" s="48" t="s">
        <v>21</v>
      </c>
      <c r="G1383" s="48" t="s">
        <v>22</v>
      </c>
      <c r="H1383" s="48" t="s">
        <v>27</v>
      </c>
      <c r="I1383" s="48" t="s">
        <v>140</v>
      </c>
      <c r="J1383" s="48" t="s">
        <v>24</v>
      </c>
      <c r="K1383" s="48" t="s">
        <v>25</v>
      </c>
      <c r="L1383" s="48" t="s">
        <v>1138</v>
      </c>
      <c r="M1383" s="48" t="s">
        <v>26</v>
      </c>
      <c r="N1383" s="48" t="s">
        <v>20</v>
      </c>
      <c r="O1383" s="48" t="s">
        <v>857</v>
      </c>
      <c r="P1383" s="50">
        <v>2306725.21</v>
      </c>
      <c r="Q1383" s="50">
        <v>1</v>
      </c>
      <c r="R1383" s="50">
        <v>2306725.21</v>
      </c>
      <c r="S1383" s="74">
        <v>45228</v>
      </c>
      <c r="T1383" s="48" t="s">
        <v>917</v>
      </c>
      <c r="U1383" s="48" t="s">
        <v>25</v>
      </c>
      <c r="V1383" s="48" t="s">
        <v>857</v>
      </c>
      <c r="W1383" s="48"/>
    </row>
    <row r="1384" spans="1:23" ht="15.75" x14ac:dyDescent="0.25">
      <c r="A1384" s="48" t="s">
        <v>137</v>
      </c>
      <c r="B1384" s="49">
        <v>45182</v>
      </c>
      <c r="C1384" s="48" t="s">
        <v>916</v>
      </c>
      <c r="D1384" s="48" t="s">
        <v>441</v>
      </c>
      <c r="E1384" s="48" t="s">
        <v>856</v>
      </c>
      <c r="F1384" s="48" t="s">
        <v>21</v>
      </c>
      <c r="G1384" s="48" t="s">
        <v>22</v>
      </c>
      <c r="H1384" s="48" t="s">
        <v>27</v>
      </c>
      <c r="I1384" s="48" t="s">
        <v>138</v>
      </c>
      <c r="J1384" s="48" t="s">
        <v>24</v>
      </c>
      <c r="K1384" s="48" t="s">
        <v>22</v>
      </c>
      <c r="L1384" s="48" t="s">
        <v>1132</v>
      </c>
      <c r="M1384" s="48" t="s">
        <v>26</v>
      </c>
      <c r="N1384" s="48" t="s">
        <v>20</v>
      </c>
      <c r="O1384" s="48" t="s">
        <v>857</v>
      </c>
      <c r="P1384" s="50">
        <v>514625</v>
      </c>
      <c r="Q1384" s="50">
        <v>1</v>
      </c>
      <c r="R1384" s="50">
        <v>514625</v>
      </c>
      <c r="S1384" s="74">
        <v>45222</v>
      </c>
      <c r="T1384" s="48" t="s">
        <v>28</v>
      </c>
      <c r="U1384" s="48" t="s">
        <v>22</v>
      </c>
      <c r="V1384" s="48" t="s">
        <v>857</v>
      </c>
      <c r="W1384" s="48"/>
    </row>
    <row r="1385" spans="1:23" ht="15.75" x14ac:dyDescent="0.25">
      <c r="A1385" s="48" t="s">
        <v>178</v>
      </c>
      <c r="B1385" s="49">
        <v>45097</v>
      </c>
      <c r="C1385" s="48" t="s">
        <v>924</v>
      </c>
      <c r="D1385" s="48" t="s">
        <v>1182</v>
      </c>
      <c r="E1385" s="48" t="s">
        <v>856</v>
      </c>
      <c r="F1385" s="48" t="s">
        <v>21</v>
      </c>
      <c r="G1385" s="48" t="s">
        <v>22</v>
      </c>
      <c r="H1385" s="48" t="s">
        <v>27</v>
      </c>
      <c r="I1385" s="48" t="s">
        <v>179</v>
      </c>
      <c r="J1385" s="48" t="s">
        <v>24</v>
      </c>
      <c r="K1385" s="48" t="s">
        <v>90</v>
      </c>
      <c r="L1385" s="48" t="s">
        <v>1141</v>
      </c>
      <c r="M1385" s="48" t="s">
        <v>26</v>
      </c>
      <c r="N1385" s="48" t="s">
        <v>20</v>
      </c>
      <c r="O1385" s="48" t="s">
        <v>857</v>
      </c>
      <c r="P1385" s="50">
        <v>3173929</v>
      </c>
      <c r="Q1385" s="50">
        <v>1</v>
      </c>
      <c r="R1385" s="50">
        <v>3173929</v>
      </c>
      <c r="S1385" s="74">
        <v>45216</v>
      </c>
      <c r="T1385" s="48" t="s">
        <v>917</v>
      </c>
      <c r="U1385" s="48" t="s">
        <v>90</v>
      </c>
      <c r="V1385" s="48" t="s">
        <v>857</v>
      </c>
      <c r="W1385" s="48"/>
    </row>
    <row r="1386" spans="1:23" ht="15.75" x14ac:dyDescent="0.25">
      <c r="A1386" s="48" t="s">
        <v>130</v>
      </c>
      <c r="B1386" s="49">
        <v>45173</v>
      </c>
      <c r="C1386" s="48" t="s">
        <v>916</v>
      </c>
      <c r="D1386" s="48" t="s">
        <v>441</v>
      </c>
      <c r="E1386" s="48" t="s">
        <v>856</v>
      </c>
      <c r="F1386" s="48" t="s">
        <v>21</v>
      </c>
      <c r="G1386" s="48" t="s">
        <v>22</v>
      </c>
      <c r="H1386" s="48" t="s">
        <v>27</v>
      </c>
      <c r="I1386" s="48" t="s">
        <v>131</v>
      </c>
      <c r="J1386" s="48" t="s">
        <v>24</v>
      </c>
      <c r="K1386" s="48" t="s">
        <v>22</v>
      </c>
      <c r="L1386" s="48" t="s">
        <v>1132</v>
      </c>
      <c r="M1386" s="48" t="s">
        <v>26</v>
      </c>
      <c r="N1386" s="48" t="s">
        <v>20</v>
      </c>
      <c r="O1386" s="48" t="s">
        <v>857</v>
      </c>
      <c r="P1386" s="50">
        <v>900000</v>
      </c>
      <c r="Q1386" s="50">
        <v>1</v>
      </c>
      <c r="R1386" s="50">
        <v>900000</v>
      </c>
      <c r="S1386" s="74">
        <v>45211</v>
      </c>
      <c r="T1386" s="48" t="s">
        <v>917</v>
      </c>
      <c r="U1386" s="48" t="s">
        <v>22</v>
      </c>
      <c r="V1386" s="48" t="s">
        <v>857</v>
      </c>
      <c r="W1386" s="48"/>
    </row>
    <row r="1387" spans="1:23" ht="15.75" x14ac:dyDescent="0.25">
      <c r="A1387" s="48" t="s">
        <v>29</v>
      </c>
      <c r="B1387" s="49">
        <v>45165</v>
      </c>
      <c r="C1387" s="48" t="s">
        <v>916</v>
      </c>
      <c r="D1387" s="48" t="s">
        <v>1184</v>
      </c>
      <c r="E1387" s="48" t="s">
        <v>856</v>
      </c>
      <c r="F1387" s="48" t="s">
        <v>21</v>
      </c>
      <c r="G1387" s="48" t="s">
        <v>22</v>
      </c>
      <c r="H1387" s="48" t="s">
        <v>27</v>
      </c>
      <c r="I1387" s="48" t="s">
        <v>30</v>
      </c>
      <c r="J1387" s="48" t="s">
        <v>1791</v>
      </c>
      <c r="K1387" s="48" t="s">
        <v>22</v>
      </c>
      <c r="L1387" s="48" t="s">
        <v>1132</v>
      </c>
      <c r="M1387" s="48" t="s">
        <v>31</v>
      </c>
      <c r="N1387" s="48" t="s">
        <v>20</v>
      </c>
      <c r="O1387" s="48" t="s">
        <v>857</v>
      </c>
      <c r="P1387" s="50">
        <v>414508.73</v>
      </c>
      <c r="Q1387" s="50">
        <v>4.657</v>
      </c>
      <c r="R1387" s="50">
        <v>1930367.15561</v>
      </c>
      <c r="S1387" s="74">
        <v>45209</v>
      </c>
      <c r="T1387" s="48" t="s">
        <v>32</v>
      </c>
      <c r="U1387" s="48" t="s">
        <v>22</v>
      </c>
      <c r="V1387" s="48" t="s">
        <v>857</v>
      </c>
      <c r="W1387" s="48"/>
    </row>
    <row r="1388" spans="1:23" ht="15.75" x14ac:dyDescent="0.25">
      <c r="A1388" s="48" t="s">
        <v>227</v>
      </c>
      <c r="B1388" s="49">
        <v>45182</v>
      </c>
      <c r="C1388" s="48" t="s">
        <v>918</v>
      </c>
      <c r="D1388" s="48" t="s">
        <v>1182</v>
      </c>
      <c r="E1388" s="48" t="s">
        <v>856</v>
      </c>
      <c r="F1388" s="48" t="s">
        <v>21</v>
      </c>
      <c r="G1388" s="48" t="s">
        <v>22</v>
      </c>
      <c r="H1388" s="48" t="s">
        <v>27</v>
      </c>
      <c r="I1388" s="48" t="s">
        <v>149</v>
      </c>
      <c r="J1388" s="48" t="s">
        <v>24</v>
      </c>
      <c r="K1388" s="48" t="s">
        <v>90</v>
      </c>
      <c r="L1388" s="48" t="s">
        <v>1141</v>
      </c>
      <c r="M1388" s="48" t="s">
        <v>26</v>
      </c>
      <c r="N1388" s="48" t="s">
        <v>20</v>
      </c>
      <c r="O1388" s="48" t="s">
        <v>857</v>
      </c>
      <c r="P1388" s="50">
        <v>899587.5</v>
      </c>
      <c r="Q1388" s="50">
        <v>1</v>
      </c>
      <c r="R1388" s="50">
        <v>899587.5</v>
      </c>
      <c r="S1388" s="74">
        <v>45201</v>
      </c>
      <c r="T1388" s="48" t="s">
        <v>917</v>
      </c>
      <c r="U1388" s="48" t="s">
        <v>90</v>
      </c>
      <c r="V1388" s="48" t="s">
        <v>857</v>
      </c>
      <c r="W1388" s="48"/>
    </row>
    <row r="1389" spans="1:23" ht="15.75" x14ac:dyDescent="0.25">
      <c r="A1389" s="48" t="s">
        <v>139</v>
      </c>
      <c r="B1389" s="49">
        <v>45068</v>
      </c>
      <c r="C1389" s="48" t="s">
        <v>916</v>
      </c>
      <c r="D1389" s="48" t="s">
        <v>1182</v>
      </c>
      <c r="E1389" s="48" t="s">
        <v>856</v>
      </c>
      <c r="F1389" s="48" t="s">
        <v>21</v>
      </c>
      <c r="G1389" s="48" t="s">
        <v>22</v>
      </c>
      <c r="H1389" s="48" t="s">
        <v>27</v>
      </c>
      <c r="I1389" s="48" t="s">
        <v>140</v>
      </c>
      <c r="J1389" s="48" t="s">
        <v>24</v>
      </c>
      <c r="K1389" s="48" t="s">
        <v>25</v>
      </c>
      <c r="L1389" s="48" t="s">
        <v>1138</v>
      </c>
      <c r="M1389" s="48" t="s">
        <v>26</v>
      </c>
      <c r="N1389" s="48" t="s">
        <v>20</v>
      </c>
      <c r="O1389" s="48" t="s">
        <v>857</v>
      </c>
      <c r="P1389" s="50">
        <v>2306725.79</v>
      </c>
      <c r="Q1389" s="50">
        <v>1</v>
      </c>
      <c r="R1389" s="50">
        <v>2306725.79</v>
      </c>
      <c r="S1389" s="74">
        <v>45165</v>
      </c>
      <c r="T1389" s="48" t="s">
        <v>917</v>
      </c>
      <c r="U1389" s="48" t="s">
        <v>25</v>
      </c>
      <c r="V1389" s="48" t="s">
        <v>857</v>
      </c>
      <c r="W1389" s="48"/>
    </row>
    <row r="1390" spans="1:23" ht="15.75" x14ac:dyDescent="0.25">
      <c r="A1390" s="48" t="s">
        <v>178</v>
      </c>
      <c r="B1390" s="49">
        <v>45068</v>
      </c>
      <c r="C1390" s="48" t="s">
        <v>918</v>
      </c>
      <c r="D1390" s="48" t="s">
        <v>1182</v>
      </c>
      <c r="E1390" s="48" t="s">
        <v>856</v>
      </c>
      <c r="F1390" s="48" t="s">
        <v>21</v>
      </c>
      <c r="G1390" s="48" t="s">
        <v>22</v>
      </c>
      <c r="H1390" s="48" t="s">
        <v>27</v>
      </c>
      <c r="I1390" s="48" t="s">
        <v>179</v>
      </c>
      <c r="J1390" s="48" t="s">
        <v>24</v>
      </c>
      <c r="K1390" s="48" t="s">
        <v>90</v>
      </c>
      <c r="L1390" s="48" t="s">
        <v>1141</v>
      </c>
      <c r="M1390" s="48" t="s">
        <v>26</v>
      </c>
      <c r="N1390" s="48" t="s">
        <v>20</v>
      </c>
      <c r="O1390" s="48" t="s">
        <v>857</v>
      </c>
      <c r="P1390" s="50">
        <v>1269572</v>
      </c>
      <c r="Q1390" s="50">
        <v>1</v>
      </c>
      <c r="R1390" s="50">
        <v>1269572</v>
      </c>
      <c r="S1390" s="74">
        <v>45137</v>
      </c>
      <c r="T1390" s="48" t="s">
        <v>917</v>
      </c>
      <c r="U1390" s="48" t="s">
        <v>90</v>
      </c>
      <c r="V1390" s="48" t="s">
        <v>857</v>
      </c>
      <c r="W1390" s="48"/>
    </row>
    <row r="1391" spans="1:23" ht="15.75" x14ac:dyDescent="0.25">
      <c r="A1391" s="48" t="s">
        <v>215</v>
      </c>
      <c r="B1391" s="49">
        <v>45068</v>
      </c>
      <c r="C1391" s="48" t="s">
        <v>918</v>
      </c>
      <c r="D1391" s="48" t="s">
        <v>1182</v>
      </c>
      <c r="E1391" s="48" t="s">
        <v>856</v>
      </c>
      <c r="F1391" s="48" t="s">
        <v>21</v>
      </c>
      <c r="G1391" s="48" t="s">
        <v>22</v>
      </c>
      <c r="H1391" s="48" t="s">
        <v>27</v>
      </c>
      <c r="I1391" s="48" t="s">
        <v>179</v>
      </c>
      <c r="J1391" s="48" t="s">
        <v>24</v>
      </c>
      <c r="K1391" s="48" t="s">
        <v>90</v>
      </c>
      <c r="L1391" s="48" t="s">
        <v>1141</v>
      </c>
      <c r="M1391" s="48" t="s">
        <v>26</v>
      </c>
      <c r="N1391" s="48" t="s">
        <v>20</v>
      </c>
      <c r="O1391" s="48" t="s">
        <v>857</v>
      </c>
      <c r="P1391" s="50">
        <v>2760000</v>
      </c>
      <c r="Q1391" s="50">
        <v>1</v>
      </c>
      <c r="R1391" s="50">
        <v>2760000</v>
      </c>
      <c r="S1391" s="74">
        <v>45136</v>
      </c>
      <c r="T1391" s="48" t="s">
        <v>917</v>
      </c>
      <c r="U1391" s="48" t="s">
        <v>90</v>
      </c>
      <c r="V1391" s="48" t="s">
        <v>857</v>
      </c>
      <c r="W1391" s="48"/>
    </row>
    <row r="1392" spans="1:23" ht="15.75" x14ac:dyDescent="0.25">
      <c r="A1392" s="48" t="s">
        <v>215</v>
      </c>
      <c r="B1392" s="49">
        <v>45062</v>
      </c>
      <c r="C1392" s="48" t="s">
        <v>916</v>
      </c>
      <c r="D1392" s="48" t="s">
        <v>1182</v>
      </c>
      <c r="E1392" s="48" t="s">
        <v>856</v>
      </c>
      <c r="F1392" s="48" t="s">
        <v>21</v>
      </c>
      <c r="G1392" s="48" t="s">
        <v>22</v>
      </c>
      <c r="H1392" s="48" t="s">
        <v>27</v>
      </c>
      <c r="I1392" s="48" t="s">
        <v>179</v>
      </c>
      <c r="J1392" s="48" t="s">
        <v>24</v>
      </c>
      <c r="K1392" s="48" t="s">
        <v>90</v>
      </c>
      <c r="L1392" s="48" t="s">
        <v>1141</v>
      </c>
      <c r="M1392" s="48" t="s">
        <v>26</v>
      </c>
      <c r="N1392" s="48" t="s">
        <v>20</v>
      </c>
      <c r="O1392" s="48" t="s">
        <v>857</v>
      </c>
      <c r="P1392" s="50">
        <v>2070000</v>
      </c>
      <c r="Q1392" s="50">
        <v>1</v>
      </c>
      <c r="R1392" s="50">
        <v>2070000</v>
      </c>
      <c r="S1392" s="74">
        <v>45123</v>
      </c>
      <c r="T1392" s="48" t="s">
        <v>917</v>
      </c>
      <c r="U1392" s="48" t="s">
        <v>90</v>
      </c>
      <c r="V1392" s="48" t="s">
        <v>857</v>
      </c>
      <c r="W1392" s="48"/>
    </row>
    <row r="1393" spans="1:23" ht="15.75" x14ac:dyDescent="0.25">
      <c r="A1393" s="48" t="s">
        <v>178</v>
      </c>
      <c r="B1393" s="49">
        <v>45062</v>
      </c>
      <c r="C1393" s="48" t="s">
        <v>916</v>
      </c>
      <c r="D1393" s="48" t="s">
        <v>1182</v>
      </c>
      <c r="E1393" s="48" t="s">
        <v>856</v>
      </c>
      <c r="F1393" s="48" t="s">
        <v>21</v>
      </c>
      <c r="G1393" s="48" t="s">
        <v>22</v>
      </c>
      <c r="H1393" s="48" t="s">
        <v>27</v>
      </c>
      <c r="I1393" s="48" t="s">
        <v>179</v>
      </c>
      <c r="J1393" s="48" t="s">
        <v>24</v>
      </c>
      <c r="K1393" s="48" t="s">
        <v>90</v>
      </c>
      <c r="L1393" s="48" t="s">
        <v>1141</v>
      </c>
      <c r="M1393" s="48" t="s">
        <v>26</v>
      </c>
      <c r="N1393" s="48" t="s">
        <v>20</v>
      </c>
      <c r="O1393" s="48" t="s">
        <v>857</v>
      </c>
      <c r="P1393" s="50">
        <v>952179</v>
      </c>
      <c r="Q1393" s="50">
        <v>1</v>
      </c>
      <c r="R1393" s="50">
        <v>952179</v>
      </c>
      <c r="S1393" s="74">
        <v>45123</v>
      </c>
      <c r="T1393" s="48" t="s">
        <v>917</v>
      </c>
      <c r="U1393" s="48" t="s">
        <v>90</v>
      </c>
      <c r="V1393" s="48" t="s">
        <v>857</v>
      </c>
      <c r="W1393" s="48"/>
    </row>
    <row r="1394" spans="1:23" ht="15.75" x14ac:dyDescent="0.25">
      <c r="A1394" s="48" t="s">
        <v>227</v>
      </c>
      <c r="B1394" s="49">
        <v>45078</v>
      </c>
      <c r="C1394" s="48" t="s">
        <v>916</v>
      </c>
      <c r="D1394" s="48" t="s">
        <v>1182</v>
      </c>
      <c r="E1394" s="48" t="s">
        <v>856</v>
      </c>
      <c r="F1394" s="48" t="s">
        <v>21</v>
      </c>
      <c r="G1394" s="48" t="s">
        <v>22</v>
      </c>
      <c r="H1394" s="48" t="s">
        <v>27</v>
      </c>
      <c r="I1394" s="48" t="s">
        <v>149</v>
      </c>
      <c r="J1394" s="48" t="s">
        <v>24</v>
      </c>
      <c r="K1394" s="48" t="s">
        <v>90</v>
      </c>
      <c r="L1394" s="48" t="s">
        <v>1141</v>
      </c>
      <c r="M1394" s="48" t="s">
        <v>26</v>
      </c>
      <c r="N1394" s="48" t="s">
        <v>20</v>
      </c>
      <c r="O1394" s="48" t="s">
        <v>857</v>
      </c>
      <c r="P1394" s="50">
        <v>1426287.5</v>
      </c>
      <c r="Q1394" s="50">
        <v>1</v>
      </c>
      <c r="R1394" s="50">
        <v>1426287.5</v>
      </c>
      <c r="S1394" s="74">
        <v>45117</v>
      </c>
      <c r="T1394" s="48" t="s">
        <v>917</v>
      </c>
      <c r="U1394" s="48" t="s">
        <v>90</v>
      </c>
      <c r="V1394" s="48" t="s">
        <v>857</v>
      </c>
      <c r="W1394" s="48"/>
    </row>
    <row r="1395" spans="1:23" ht="15.75" x14ac:dyDescent="0.25">
      <c r="A1395" s="48" t="s">
        <v>112</v>
      </c>
      <c r="B1395" s="49">
        <v>45068</v>
      </c>
      <c r="C1395" s="48" t="s">
        <v>916</v>
      </c>
      <c r="D1395" s="48" t="s">
        <v>441</v>
      </c>
      <c r="E1395" s="48" t="s">
        <v>856</v>
      </c>
      <c r="F1395" s="48" t="s">
        <v>21</v>
      </c>
      <c r="G1395" s="48" t="s">
        <v>22</v>
      </c>
      <c r="H1395" s="48" t="s">
        <v>27</v>
      </c>
      <c r="I1395" s="48" t="s">
        <v>113</v>
      </c>
      <c r="J1395" s="48" t="s">
        <v>24</v>
      </c>
      <c r="K1395" s="48" t="s">
        <v>22</v>
      </c>
      <c r="L1395" s="48" t="s">
        <v>1132</v>
      </c>
      <c r="M1395" s="48" t="s">
        <v>26</v>
      </c>
      <c r="N1395" s="48" t="s">
        <v>20</v>
      </c>
      <c r="O1395" s="48" t="s">
        <v>857</v>
      </c>
      <c r="P1395" s="50">
        <v>2846250</v>
      </c>
      <c r="Q1395" s="50">
        <v>1</v>
      </c>
      <c r="R1395" s="50">
        <v>2846250</v>
      </c>
      <c r="S1395" s="74">
        <v>45111</v>
      </c>
      <c r="T1395" s="48" t="s">
        <v>917</v>
      </c>
      <c r="U1395" s="48" t="s">
        <v>22</v>
      </c>
      <c r="V1395" s="48" t="s">
        <v>857</v>
      </c>
      <c r="W1395" s="48"/>
    </row>
    <row r="1396" spans="1:23" ht="15.75" x14ac:dyDescent="0.25">
      <c r="A1396" s="48" t="s">
        <v>38</v>
      </c>
      <c r="B1396" s="49">
        <v>44976</v>
      </c>
      <c r="C1396" s="48" t="s">
        <v>924</v>
      </c>
      <c r="D1396" s="48" t="s">
        <v>441</v>
      </c>
      <c r="E1396" s="48" t="s">
        <v>856</v>
      </c>
      <c r="F1396" s="48" t="s">
        <v>21</v>
      </c>
      <c r="G1396" s="48" t="s">
        <v>22</v>
      </c>
      <c r="H1396" s="48" t="s">
        <v>27</v>
      </c>
      <c r="I1396" s="48" t="s">
        <v>39</v>
      </c>
      <c r="J1396" s="48" t="s">
        <v>24</v>
      </c>
      <c r="K1396" s="48" t="s">
        <v>22</v>
      </c>
      <c r="L1396" s="48" t="s">
        <v>1132</v>
      </c>
      <c r="M1396" s="48" t="s">
        <v>26</v>
      </c>
      <c r="N1396" s="48" t="s">
        <v>20</v>
      </c>
      <c r="O1396" s="48" t="s">
        <v>857</v>
      </c>
      <c r="P1396" s="50">
        <v>859556.04</v>
      </c>
      <c r="Q1396" s="50">
        <v>1</v>
      </c>
      <c r="R1396" s="50">
        <v>859556.04</v>
      </c>
      <c r="S1396" s="74">
        <v>45050</v>
      </c>
      <c r="T1396" s="48" t="s">
        <v>28</v>
      </c>
      <c r="U1396" s="48" t="s">
        <v>22</v>
      </c>
      <c r="V1396" s="48" t="s">
        <v>857</v>
      </c>
      <c r="W1396" s="48"/>
    </row>
    <row r="1397" spans="1:23" ht="15.75" x14ac:dyDescent="0.25">
      <c r="A1397" s="48" t="s">
        <v>245</v>
      </c>
      <c r="B1397" s="49">
        <v>45362</v>
      </c>
      <c r="C1397" s="48" t="s">
        <v>916</v>
      </c>
      <c r="D1397" s="48" t="s">
        <v>1182</v>
      </c>
      <c r="E1397" s="48" t="s">
        <v>856</v>
      </c>
      <c r="F1397" s="48" t="s">
        <v>21</v>
      </c>
      <c r="G1397" s="48" t="s">
        <v>22</v>
      </c>
      <c r="H1397" s="48" t="s">
        <v>27</v>
      </c>
      <c r="I1397" s="48" t="s">
        <v>246</v>
      </c>
      <c r="J1397" s="48" t="s">
        <v>24</v>
      </c>
      <c r="K1397" s="48" t="s">
        <v>25</v>
      </c>
      <c r="L1397" s="48" t="s">
        <v>1138</v>
      </c>
      <c r="M1397" s="48" t="s">
        <v>26</v>
      </c>
      <c r="N1397" s="48" t="s">
        <v>20</v>
      </c>
      <c r="O1397" s="48" t="s">
        <v>857</v>
      </c>
      <c r="P1397" s="50">
        <v>447358.06</v>
      </c>
      <c r="Q1397" s="50">
        <v>1</v>
      </c>
      <c r="R1397" s="50">
        <v>447358.06</v>
      </c>
      <c r="S1397" s="74">
        <v>45041</v>
      </c>
      <c r="T1397" s="48" t="s">
        <v>917</v>
      </c>
      <c r="U1397" s="48" t="s">
        <v>25</v>
      </c>
      <c r="V1397" s="48" t="s">
        <v>857</v>
      </c>
      <c r="W1397" s="48"/>
    </row>
    <row r="1398" spans="1:23" ht="15.75" x14ac:dyDescent="0.25">
      <c r="A1398" s="48" t="s">
        <v>134</v>
      </c>
      <c r="B1398" s="49">
        <v>45211</v>
      </c>
      <c r="C1398" s="48" t="s">
        <v>916</v>
      </c>
      <c r="D1398" s="48" t="s">
        <v>1182</v>
      </c>
      <c r="E1398" s="48" t="s">
        <v>856</v>
      </c>
      <c r="F1398" s="48" t="s">
        <v>21</v>
      </c>
      <c r="G1398" s="48" t="s">
        <v>22</v>
      </c>
      <c r="H1398" s="48" t="s">
        <v>27</v>
      </c>
      <c r="I1398" s="48" t="s">
        <v>23</v>
      </c>
      <c r="J1398" s="48" t="s">
        <v>24</v>
      </c>
      <c r="K1398" s="48" t="s">
        <v>25</v>
      </c>
      <c r="L1398" s="48" t="s">
        <v>1138</v>
      </c>
      <c r="M1398" s="48" t="s">
        <v>26</v>
      </c>
      <c r="N1398" s="48" t="s">
        <v>20</v>
      </c>
      <c r="O1398" s="48" t="s">
        <v>857</v>
      </c>
      <c r="P1398" s="50">
        <v>542698.80000000005</v>
      </c>
      <c r="Q1398" s="50">
        <v>1</v>
      </c>
      <c r="R1398" s="50">
        <v>542698.80000000005</v>
      </c>
      <c r="S1398" s="74">
        <v>45041</v>
      </c>
      <c r="T1398" s="48" t="s">
        <v>28</v>
      </c>
      <c r="U1398" s="48" t="s">
        <v>25</v>
      </c>
      <c r="V1398" s="48" t="s">
        <v>857</v>
      </c>
      <c r="W1398" s="48"/>
    </row>
    <row r="1399" spans="1:23" ht="15.75" x14ac:dyDescent="0.25">
      <c r="A1399" s="48" t="s">
        <v>123</v>
      </c>
      <c r="B1399" s="49">
        <v>45175</v>
      </c>
      <c r="C1399" s="48" t="s">
        <v>916</v>
      </c>
      <c r="D1399" s="48" t="s">
        <v>1182</v>
      </c>
      <c r="E1399" s="48" t="s">
        <v>856</v>
      </c>
      <c r="F1399" s="48" t="s">
        <v>21</v>
      </c>
      <c r="G1399" s="48" t="s">
        <v>22</v>
      </c>
      <c r="H1399" s="48" t="s">
        <v>27</v>
      </c>
      <c r="I1399" s="48" t="s">
        <v>124</v>
      </c>
      <c r="J1399" s="48" t="s">
        <v>24</v>
      </c>
      <c r="K1399" s="48" t="s">
        <v>25</v>
      </c>
      <c r="L1399" s="48" t="s">
        <v>1138</v>
      </c>
      <c r="M1399" s="48" t="s">
        <v>26</v>
      </c>
      <c r="N1399" s="48" t="s">
        <v>20</v>
      </c>
      <c r="O1399" s="48" t="s">
        <v>857</v>
      </c>
      <c r="P1399" s="50">
        <v>751946.18</v>
      </c>
      <c r="Q1399" s="50">
        <v>1</v>
      </c>
      <c r="R1399" s="50">
        <v>751946.18</v>
      </c>
      <c r="S1399" s="74">
        <v>45041</v>
      </c>
      <c r="T1399" s="48" t="s">
        <v>35</v>
      </c>
      <c r="U1399" s="48" t="s">
        <v>25</v>
      </c>
      <c r="V1399" s="48" t="s">
        <v>857</v>
      </c>
      <c r="W1399" s="48"/>
    </row>
    <row r="1400" spans="1:23" ht="15.75" x14ac:dyDescent="0.25">
      <c r="A1400" s="48" t="s">
        <v>182</v>
      </c>
      <c r="B1400" s="49">
        <v>45236</v>
      </c>
      <c r="C1400" s="48" t="s">
        <v>916</v>
      </c>
      <c r="D1400" s="48" t="s">
        <v>1183</v>
      </c>
      <c r="E1400" s="48" t="s">
        <v>856</v>
      </c>
      <c r="F1400" s="48" t="s">
        <v>21</v>
      </c>
      <c r="G1400" s="48" t="s">
        <v>22</v>
      </c>
      <c r="H1400" s="48" t="s">
        <v>70</v>
      </c>
      <c r="I1400" s="48" t="s">
        <v>183</v>
      </c>
      <c r="J1400" s="48" t="s">
        <v>72</v>
      </c>
      <c r="K1400" s="48" t="s">
        <v>184</v>
      </c>
      <c r="L1400" s="48" t="s">
        <v>1146</v>
      </c>
      <c r="M1400" s="48" t="s">
        <v>26</v>
      </c>
      <c r="N1400" s="48" t="s">
        <v>20</v>
      </c>
      <c r="O1400" s="48" t="s">
        <v>857</v>
      </c>
      <c r="P1400" s="50">
        <v>347397.29</v>
      </c>
      <c r="Q1400" s="50">
        <v>1</v>
      </c>
      <c r="R1400" s="50">
        <v>347397.29</v>
      </c>
      <c r="S1400" s="74">
        <v>45041</v>
      </c>
      <c r="T1400" s="48" t="s">
        <v>917</v>
      </c>
      <c r="U1400" s="48" t="s">
        <v>184</v>
      </c>
      <c r="V1400" s="48" t="s">
        <v>857</v>
      </c>
      <c r="W1400" s="48"/>
    </row>
    <row r="1401" spans="1:23" ht="15.75" x14ac:dyDescent="0.25">
      <c r="A1401" s="48" t="s">
        <v>182</v>
      </c>
      <c r="B1401" s="49">
        <v>45264</v>
      </c>
      <c r="C1401" s="48" t="s">
        <v>918</v>
      </c>
      <c r="D1401" s="48" t="s">
        <v>1183</v>
      </c>
      <c r="E1401" s="48" t="s">
        <v>856</v>
      </c>
      <c r="F1401" s="48" t="s">
        <v>21</v>
      </c>
      <c r="G1401" s="48" t="s">
        <v>22</v>
      </c>
      <c r="H1401" s="48" t="s">
        <v>70</v>
      </c>
      <c r="I1401" s="48" t="s">
        <v>183</v>
      </c>
      <c r="J1401" s="48" t="s">
        <v>72</v>
      </c>
      <c r="K1401" s="48" t="s">
        <v>184</v>
      </c>
      <c r="L1401" s="48" t="s">
        <v>1146</v>
      </c>
      <c r="M1401" s="48" t="s">
        <v>26</v>
      </c>
      <c r="N1401" s="48" t="s">
        <v>20</v>
      </c>
      <c r="O1401" s="48" t="s">
        <v>857</v>
      </c>
      <c r="P1401" s="50">
        <v>38599.71</v>
      </c>
      <c r="Q1401" s="50">
        <v>1</v>
      </c>
      <c r="R1401" s="50">
        <v>38599.71</v>
      </c>
      <c r="S1401" s="74">
        <v>45041</v>
      </c>
      <c r="T1401" s="48" t="s">
        <v>917</v>
      </c>
      <c r="U1401" s="48" t="s">
        <v>184</v>
      </c>
      <c r="V1401" s="48" t="s">
        <v>857</v>
      </c>
      <c r="W1401" s="48"/>
    </row>
    <row r="1402" spans="1:23" ht="15.75" x14ac:dyDescent="0.25">
      <c r="A1402" s="48" t="s">
        <v>218</v>
      </c>
      <c r="B1402" s="49">
        <v>45220</v>
      </c>
      <c r="C1402" s="48" t="s">
        <v>928</v>
      </c>
      <c r="D1402" s="48" t="s">
        <v>1182</v>
      </c>
      <c r="E1402" s="48" t="s">
        <v>856</v>
      </c>
      <c r="F1402" s="48" t="s">
        <v>21</v>
      </c>
      <c r="G1402" s="48" t="s">
        <v>22</v>
      </c>
      <c r="H1402" s="48" t="s">
        <v>27</v>
      </c>
      <c r="I1402" s="48" t="s">
        <v>219</v>
      </c>
      <c r="J1402" s="48" t="s">
        <v>24</v>
      </c>
      <c r="K1402" s="48" t="s">
        <v>90</v>
      </c>
      <c r="L1402" s="48" t="s">
        <v>1141</v>
      </c>
      <c r="M1402" s="48" t="s">
        <v>26</v>
      </c>
      <c r="N1402" s="48" t="s">
        <v>20</v>
      </c>
      <c r="O1402" s="48" t="s">
        <v>857</v>
      </c>
      <c r="P1402" s="50">
        <v>81762.69</v>
      </c>
      <c r="Q1402" s="50">
        <v>1</v>
      </c>
      <c r="R1402" s="50">
        <v>81762.69</v>
      </c>
      <c r="S1402" s="74">
        <v>45041</v>
      </c>
      <c r="T1402" s="48" t="s">
        <v>917</v>
      </c>
      <c r="U1402" s="48" t="s">
        <v>90</v>
      </c>
      <c r="V1402" s="48" t="s">
        <v>857</v>
      </c>
      <c r="W1402" s="48"/>
    </row>
    <row r="1403" spans="1:23" ht="15.75" x14ac:dyDescent="0.25">
      <c r="A1403" s="48" t="s">
        <v>218</v>
      </c>
      <c r="B1403" s="49">
        <v>45176</v>
      </c>
      <c r="C1403" s="48" t="s">
        <v>924</v>
      </c>
      <c r="D1403" s="48" t="s">
        <v>1182</v>
      </c>
      <c r="E1403" s="48" t="s">
        <v>856</v>
      </c>
      <c r="F1403" s="48" t="s">
        <v>21</v>
      </c>
      <c r="G1403" s="48" t="s">
        <v>22</v>
      </c>
      <c r="H1403" s="48" t="s">
        <v>27</v>
      </c>
      <c r="I1403" s="48" t="s">
        <v>219</v>
      </c>
      <c r="J1403" s="48" t="s">
        <v>24</v>
      </c>
      <c r="K1403" s="48" t="s">
        <v>90</v>
      </c>
      <c r="L1403" s="48" t="s">
        <v>1141</v>
      </c>
      <c r="M1403" s="48" t="s">
        <v>26</v>
      </c>
      <c r="N1403" s="48" t="s">
        <v>20</v>
      </c>
      <c r="O1403" s="48" t="s">
        <v>857</v>
      </c>
      <c r="P1403" s="50">
        <v>1027831.56</v>
      </c>
      <c r="Q1403" s="50">
        <v>1</v>
      </c>
      <c r="R1403" s="50">
        <v>1027831.56</v>
      </c>
      <c r="S1403" s="74">
        <v>45041</v>
      </c>
      <c r="T1403" s="48" t="s">
        <v>917</v>
      </c>
      <c r="U1403" s="48" t="s">
        <v>90</v>
      </c>
      <c r="V1403" s="48" t="s">
        <v>857</v>
      </c>
      <c r="W1403" s="48"/>
    </row>
    <row r="1404" spans="1:23" ht="15.75" x14ac:dyDescent="0.25">
      <c r="A1404" s="48" t="s">
        <v>218</v>
      </c>
      <c r="B1404" s="49">
        <v>45175</v>
      </c>
      <c r="C1404" s="48" t="s">
        <v>918</v>
      </c>
      <c r="D1404" s="48" t="s">
        <v>1182</v>
      </c>
      <c r="E1404" s="48" t="s">
        <v>856</v>
      </c>
      <c r="F1404" s="48" t="s">
        <v>21</v>
      </c>
      <c r="G1404" s="48" t="s">
        <v>22</v>
      </c>
      <c r="H1404" s="48" t="s">
        <v>27</v>
      </c>
      <c r="I1404" s="48" t="s">
        <v>219</v>
      </c>
      <c r="J1404" s="48" t="s">
        <v>24</v>
      </c>
      <c r="K1404" s="48" t="s">
        <v>90</v>
      </c>
      <c r="L1404" s="48" t="s">
        <v>1141</v>
      </c>
      <c r="M1404" s="48" t="s">
        <v>26</v>
      </c>
      <c r="N1404" s="48" t="s">
        <v>20</v>
      </c>
      <c r="O1404" s="48" t="s">
        <v>857</v>
      </c>
      <c r="P1404" s="50">
        <v>3992287.68</v>
      </c>
      <c r="Q1404" s="50">
        <v>1</v>
      </c>
      <c r="R1404" s="50">
        <v>3992287.68</v>
      </c>
      <c r="S1404" s="74">
        <v>45041</v>
      </c>
      <c r="T1404" s="48" t="s">
        <v>917</v>
      </c>
      <c r="U1404" s="48" t="s">
        <v>90</v>
      </c>
      <c r="V1404" s="48" t="s">
        <v>857</v>
      </c>
      <c r="W1404" s="48"/>
    </row>
    <row r="1405" spans="1:23" ht="15.75" x14ac:dyDescent="0.25">
      <c r="A1405" s="48" t="s">
        <v>218</v>
      </c>
      <c r="B1405" s="49">
        <v>45090</v>
      </c>
      <c r="C1405" s="48" t="s">
        <v>916</v>
      </c>
      <c r="D1405" s="48" t="s">
        <v>1182</v>
      </c>
      <c r="E1405" s="48" t="s">
        <v>856</v>
      </c>
      <c r="F1405" s="48" t="s">
        <v>21</v>
      </c>
      <c r="G1405" s="48" t="s">
        <v>22</v>
      </c>
      <c r="H1405" s="48" t="s">
        <v>27</v>
      </c>
      <c r="I1405" s="48" t="s">
        <v>219</v>
      </c>
      <c r="J1405" s="48" t="s">
        <v>24</v>
      </c>
      <c r="K1405" s="48" t="s">
        <v>90</v>
      </c>
      <c r="L1405" s="48" t="s">
        <v>1141</v>
      </c>
      <c r="M1405" s="48" t="s">
        <v>26</v>
      </c>
      <c r="N1405" s="48" t="s">
        <v>20</v>
      </c>
      <c r="O1405" s="48" t="s">
        <v>857</v>
      </c>
      <c r="P1405" s="50">
        <v>452833.19</v>
      </c>
      <c r="Q1405" s="50">
        <v>1</v>
      </c>
      <c r="R1405" s="50">
        <v>452833.19</v>
      </c>
      <c r="S1405" s="74">
        <v>45041</v>
      </c>
      <c r="T1405" s="48" t="s">
        <v>917</v>
      </c>
      <c r="U1405" s="48" t="s">
        <v>90</v>
      </c>
      <c r="V1405" s="48" t="s">
        <v>857</v>
      </c>
      <c r="W1405" s="48"/>
    </row>
    <row r="1406" spans="1:23" ht="15.75" x14ac:dyDescent="0.25">
      <c r="A1406" s="48" t="s">
        <v>217</v>
      </c>
      <c r="B1406" s="49">
        <v>45252</v>
      </c>
      <c r="C1406" s="48" t="s">
        <v>918</v>
      </c>
      <c r="D1406" s="48" t="s">
        <v>1182</v>
      </c>
      <c r="E1406" s="48" t="s">
        <v>856</v>
      </c>
      <c r="F1406" s="48" t="s">
        <v>21</v>
      </c>
      <c r="G1406" s="48" t="s">
        <v>22</v>
      </c>
      <c r="H1406" s="48" t="s">
        <v>27</v>
      </c>
      <c r="I1406" s="48" t="s">
        <v>23</v>
      </c>
      <c r="J1406" s="48" t="s">
        <v>24</v>
      </c>
      <c r="K1406" s="48" t="s">
        <v>90</v>
      </c>
      <c r="L1406" s="48" t="s">
        <v>1141</v>
      </c>
      <c r="M1406" s="48" t="s">
        <v>26</v>
      </c>
      <c r="N1406" s="48" t="s">
        <v>20</v>
      </c>
      <c r="O1406" s="48" t="s">
        <v>857</v>
      </c>
      <c r="P1406" s="50">
        <v>1214400</v>
      </c>
      <c r="Q1406" s="50">
        <v>1</v>
      </c>
      <c r="R1406" s="50">
        <v>1214400</v>
      </c>
      <c r="S1406" s="74">
        <v>45041</v>
      </c>
      <c r="T1406" s="48" t="s">
        <v>917</v>
      </c>
      <c r="U1406" s="48" t="s">
        <v>90</v>
      </c>
      <c r="V1406" s="48" t="s">
        <v>857</v>
      </c>
      <c r="W1406" s="48"/>
    </row>
    <row r="1407" spans="1:23" ht="15.75" x14ac:dyDescent="0.25">
      <c r="A1407" s="48" t="s">
        <v>217</v>
      </c>
      <c r="B1407" s="49">
        <v>45235</v>
      </c>
      <c r="C1407" s="48" t="s">
        <v>916</v>
      </c>
      <c r="D1407" s="48" t="s">
        <v>1182</v>
      </c>
      <c r="E1407" s="48" t="s">
        <v>856</v>
      </c>
      <c r="F1407" s="48" t="s">
        <v>21</v>
      </c>
      <c r="G1407" s="48" t="s">
        <v>22</v>
      </c>
      <c r="H1407" s="48" t="s">
        <v>27</v>
      </c>
      <c r="I1407" s="48" t="s">
        <v>23</v>
      </c>
      <c r="J1407" s="48" t="s">
        <v>24</v>
      </c>
      <c r="K1407" s="48" t="s">
        <v>90</v>
      </c>
      <c r="L1407" s="48" t="s">
        <v>1141</v>
      </c>
      <c r="M1407" s="48" t="s">
        <v>26</v>
      </c>
      <c r="N1407" s="48" t="s">
        <v>20</v>
      </c>
      <c r="O1407" s="48" t="s">
        <v>857</v>
      </c>
      <c r="P1407" s="50">
        <v>574991.9</v>
      </c>
      <c r="Q1407" s="50">
        <v>1</v>
      </c>
      <c r="R1407" s="50">
        <v>574991.9</v>
      </c>
      <c r="S1407" s="74">
        <v>45041</v>
      </c>
      <c r="T1407" s="48" t="s">
        <v>917</v>
      </c>
      <c r="U1407" s="48" t="s">
        <v>90</v>
      </c>
      <c r="V1407" s="48" t="s">
        <v>857</v>
      </c>
      <c r="W1407" s="48"/>
    </row>
    <row r="1408" spans="1:23" ht="15.75" x14ac:dyDescent="0.25">
      <c r="A1408" s="48" t="s">
        <v>216</v>
      </c>
      <c r="B1408" s="49">
        <v>45235</v>
      </c>
      <c r="C1408" s="48" t="s">
        <v>918</v>
      </c>
      <c r="D1408" s="48" t="s">
        <v>1182</v>
      </c>
      <c r="E1408" s="48" t="s">
        <v>856</v>
      </c>
      <c r="F1408" s="48" t="s">
        <v>21</v>
      </c>
      <c r="G1408" s="48" t="s">
        <v>22</v>
      </c>
      <c r="H1408" s="48" t="s">
        <v>27</v>
      </c>
      <c r="I1408" s="48" t="s">
        <v>23</v>
      </c>
      <c r="J1408" s="48" t="s">
        <v>24</v>
      </c>
      <c r="K1408" s="48" t="s">
        <v>90</v>
      </c>
      <c r="L1408" s="48" t="s">
        <v>1141</v>
      </c>
      <c r="M1408" s="48" t="s">
        <v>26</v>
      </c>
      <c r="N1408" s="48" t="s">
        <v>20</v>
      </c>
      <c r="O1408" s="48" t="s">
        <v>857</v>
      </c>
      <c r="P1408" s="50">
        <v>616399.31999999995</v>
      </c>
      <c r="Q1408" s="50">
        <v>1</v>
      </c>
      <c r="R1408" s="50">
        <v>616399.31999999995</v>
      </c>
      <c r="S1408" s="74">
        <v>45041</v>
      </c>
      <c r="T1408" s="48" t="s">
        <v>917</v>
      </c>
      <c r="U1408" s="48" t="s">
        <v>90</v>
      </c>
      <c r="V1408" s="48" t="s">
        <v>857</v>
      </c>
      <c r="W1408" s="48"/>
    </row>
    <row r="1409" spans="1:23" ht="15.75" x14ac:dyDescent="0.25">
      <c r="A1409" s="48" t="s">
        <v>216</v>
      </c>
      <c r="B1409" s="49">
        <v>45073</v>
      </c>
      <c r="C1409" s="48" t="s">
        <v>916</v>
      </c>
      <c r="D1409" s="48" t="s">
        <v>1182</v>
      </c>
      <c r="E1409" s="48" t="s">
        <v>856</v>
      </c>
      <c r="F1409" s="48" t="s">
        <v>21</v>
      </c>
      <c r="G1409" s="48" t="s">
        <v>22</v>
      </c>
      <c r="H1409" s="48" t="s">
        <v>27</v>
      </c>
      <c r="I1409" s="48" t="s">
        <v>23</v>
      </c>
      <c r="J1409" s="48" t="s">
        <v>24</v>
      </c>
      <c r="K1409" s="48" t="s">
        <v>90</v>
      </c>
      <c r="L1409" s="48" t="s">
        <v>1141</v>
      </c>
      <c r="M1409" s="48" t="s">
        <v>26</v>
      </c>
      <c r="N1409" s="48" t="s">
        <v>20</v>
      </c>
      <c r="O1409" s="48" t="s">
        <v>857</v>
      </c>
      <c r="P1409" s="50">
        <v>3735200</v>
      </c>
      <c r="Q1409" s="50">
        <v>1</v>
      </c>
      <c r="R1409" s="50">
        <v>3735200</v>
      </c>
      <c r="S1409" s="74">
        <v>45041</v>
      </c>
      <c r="T1409" s="48" t="s">
        <v>917</v>
      </c>
      <c r="U1409" s="48" t="s">
        <v>90</v>
      </c>
      <c r="V1409" s="48" t="s">
        <v>857</v>
      </c>
      <c r="W1409" s="48"/>
    </row>
    <row r="1410" spans="1:23" ht="15.75" x14ac:dyDescent="0.25">
      <c r="A1410" s="48" t="s">
        <v>214</v>
      </c>
      <c r="B1410" s="49">
        <v>45208</v>
      </c>
      <c r="C1410" s="48" t="s">
        <v>933</v>
      </c>
      <c r="D1410" s="48" t="s">
        <v>1182</v>
      </c>
      <c r="E1410" s="48" t="s">
        <v>856</v>
      </c>
      <c r="F1410" s="48" t="s">
        <v>21</v>
      </c>
      <c r="G1410" s="48" t="s">
        <v>22</v>
      </c>
      <c r="H1410" s="48" t="s">
        <v>27</v>
      </c>
      <c r="I1410" s="48" t="s">
        <v>39</v>
      </c>
      <c r="J1410" s="48" t="s">
        <v>24</v>
      </c>
      <c r="K1410" s="48" t="s">
        <v>90</v>
      </c>
      <c r="L1410" s="48" t="s">
        <v>1141</v>
      </c>
      <c r="M1410" s="48" t="s">
        <v>26</v>
      </c>
      <c r="N1410" s="48" t="s">
        <v>20</v>
      </c>
      <c r="O1410" s="48" t="s">
        <v>857</v>
      </c>
      <c r="P1410" s="50">
        <v>4064084</v>
      </c>
      <c r="Q1410" s="50">
        <v>1</v>
      </c>
      <c r="R1410" s="50">
        <v>4064084</v>
      </c>
      <c r="S1410" s="74">
        <v>45041</v>
      </c>
      <c r="T1410" s="48" t="s">
        <v>917</v>
      </c>
      <c r="U1410" s="48" t="s">
        <v>90</v>
      </c>
      <c r="V1410" s="48" t="s">
        <v>857</v>
      </c>
      <c r="W1410" s="48"/>
    </row>
    <row r="1411" spans="1:23" ht="15.75" x14ac:dyDescent="0.25">
      <c r="A1411" s="48" t="s">
        <v>214</v>
      </c>
      <c r="B1411" s="49">
        <v>45189</v>
      </c>
      <c r="C1411" s="48" t="s">
        <v>928</v>
      </c>
      <c r="D1411" s="48" t="s">
        <v>1182</v>
      </c>
      <c r="E1411" s="48" t="s">
        <v>856</v>
      </c>
      <c r="F1411" s="48" t="s">
        <v>21</v>
      </c>
      <c r="G1411" s="48" t="s">
        <v>22</v>
      </c>
      <c r="H1411" s="48" t="s">
        <v>27</v>
      </c>
      <c r="I1411" s="48" t="s">
        <v>39</v>
      </c>
      <c r="J1411" s="48" t="s">
        <v>24</v>
      </c>
      <c r="K1411" s="48" t="s">
        <v>90</v>
      </c>
      <c r="L1411" s="48" t="s">
        <v>1141</v>
      </c>
      <c r="M1411" s="48" t="s">
        <v>26</v>
      </c>
      <c r="N1411" s="48" t="s">
        <v>20</v>
      </c>
      <c r="O1411" s="48" t="s">
        <v>857</v>
      </c>
      <c r="P1411" s="50">
        <v>616383.26</v>
      </c>
      <c r="Q1411" s="50">
        <v>1</v>
      </c>
      <c r="R1411" s="50">
        <v>616383.26</v>
      </c>
      <c r="S1411" s="74">
        <v>45041</v>
      </c>
      <c r="T1411" s="48" t="s">
        <v>917</v>
      </c>
      <c r="U1411" s="48" t="s">
        <v>90</v>
      </c>
      <c r="V1411" s="48" t="s">
        <v>857</v>
      </c>
      <c r="W1411" s="48"/>
    </row>
    <row r="1412" spans="1:23" ht="15.75" x14ac:dyDescent="0.25">
      <c r="A1412" s="48" t="s">
        <v>214</v>
      </c>
      <c r="B1412" s="49">
        <v>45167</v>
      </c>
      <c r="C1412" s="48" t="s">
        <v>924</v>
      </c>
      <c r="D1412" s="48" t="s">
        <v>1182</v>
      </c>
      <c r="E1412" s="48" t="s">
        <v>856</v>
      </c>
      <c r="F1412" s="48" t="s">
        <v>21</v>
      </c>
      <c r="G1412" s="48" t="s">
        <v>22</v>
      </c>
      <c r="H1412" s="48" t="s">
        <v>27</v>
      </c>
      <c r="I1412" s="48" t="s">
        <v>39</v>
      </c>
      <c r="J1412" s="48" t="s">
        <v>24</v>
      </c>
      <c r="K1412" s="48" t="s">
        <v>90</v>
      </c>
      <c r="L1412" s="48" t="s">
        <v>1141</v>
      </c>
      <c r="M1412" s="48" t="s">
        <v>26</v>
      </c>
      <c r="N1412" s="48" t="s">
        <v>20</v>
      </c>
      <c r="O1412" s="48" t="s">
        <v>857</v>
      </c>
      <c r="P1412" s="50">
        <v>1941142.85</v>
      </c>
      <c r="Q1412" s="50">
        <v>1</v>
      </c>
      <c r="R1412" s="50">
        <v>1941142.85</v>
      </c>
      <c r="S1412" s="74">
        <v>45041</v>
      </c>
      <c r="T1412" s="48" t="s">
        <v>917</v>
      </c>
      <c r="U1412" s="48" t="s">
        <v>90</v>
      </c>
      <c r="V1412" s="48" t="s">
        <v>857</v>
      </c>
      <c r="W1412" s="48"/>
    </row>
    <row r="1413" spans="1:23" ht="15.75" x14ac:dyDescent="0.25">
      <c r="A1413" s="48" t="s">
        <v>214</v>
      </c>
      <c r="B1413" s="49">
        <v>45167</v>
      </c>
      <c r="C1413" s="48" t="s">
        <v>918</v>
      </c>
      <c r="D1413" s="48" t="s">
        <v>1182</v>
      </c>
      <c r="E1413" s="48" t="s">
        <v>856</v>
      </c>
      <c r="F1413" s="48" t="s">
        <v>21</v>
      </c>
      <c r="G1413" s="48" t="s">
        <v>22</v>
      </c>
      <c r="H1413" s="48" t="s">
        <v>27</v>
      </c>
      <c r="I1413" s="48" t="s">
        <v>39</v>
      </c>
      <c r="J1413" s="48" t="s">
        <v>24</v>
      </c>
      <c r="K1413" s="48" t="s">
        <v>90</v>
      </c>
      <c r="L1413" s="48" t="s">
        <v>1141</v>
      </c>
      <c r="M1413" s="48" t="s">
        <v>26</v>
      </c>
      <c r="N1413" s="48" t="s">
        <v>20</v>
      </c>
      <c r="O1413" s="48" t="s">
        <v>857</v>
      </c>
      <c r="P1413" s="50">
        <v>2502912.5699999998</v>
      </c>
      <c r="Q1413" s="50">
        <v>1</v>
      </c>
      <c r="R1413" s="50">
        <v>2502912.5699999998</v>
      </c>
      <c r="S1413" s="74">
        <v>45041</v>
      </c>
      <c r="T1413" s="48" t="s">
        <v>917</v>
      </c>
      <c r="U1413" s="48" t="s">
        <v>90</v>
      </c>
      <c r="V1413" s="48" t="s">
        <v>857</v>
      </c>
      <c r="W1413" s="48"/>
    </row>
    <row r="1414" spans="1:23" ht="15.75" x14ac:dyDescent="0.25">
      <c r="A1414" s="48" t="s">
        <v>214</v>
      </c>
      <c r="B1414" s="49">
        <v>45102</v>
      </c>
      <c r="C1414" s="48" t="s">
        <v>916</v>
      </c>
      <c r="D1414" s="48" t="s">
        <v>1182</v>
      </c>
      <c r="E1414" s="48" t="s">
        <v>856</v>
      </c>
      <c r="F1414" s="48" t="s">
        <v>21</v>
      </c>
      <c r="G1414" s="48" t="s">
        <v>22</v>
      </c>
      <c r="H1414" s="48" t="s">
        <v>27</v>
      </c>
      <c r="I1414" s="48" t="s">
        <v>39</v>
      </c>
      <c r="J1414" s="48" t="s">
        <v>24</v>
      </c>
      <c r="K1414" s="48" t="s">
        <v>90</v>
      </c>
      <c r="L1414" s="48" t="s">
        <v>1141</v>
      </c>
      <c r="M1414" s="48" t="s">
        <v>26</v>
      </c>
      <c r="N1414" s="48" t="s">
        <v>20</v>
      </c>
      <c r="O1414" s="48" t="s">
        <v>857</v>
      </c>
      <c r="P1414" s="50">
        <v>376682.55</v>
      </c>
      <c r="Q1414" s="50">
        <v>1</v>
      </c>
      <c r="R1414" s="50">
        <v>376682.55</v>
      </c>
      <c r="S1414" s="74">
        <v>45041</v>
      </c>
      <c r="T1414" s="48" t="s">
        <v>917</v>
      </c>
      <c r="U1414" s="48" t="s">
        <v>90</v>
      </c>
      <c r="V1414" s="48" t="s">
        <v>857</v>
      </c>
      <c r="W1414" s="48"/>
    </row>
    <row r="1415" spans="1:23" ht="15.75" x14ac:dyDescent="0.25">
      <c r="A1415" s="48" t="s">
        <v>147</v>
      </c>
      <c r="B1415" s="49">
        <v>45217</v>
      </c>
      <c r="C1415" s="48" t="s">
        <v>918</v>
      </c>
      <c r="D1415" s="48" t="s">
        <v>1182</v>
      </c>
      <c r="E1415" s="48" t="s">
        <v>856</v>
      </c>
      <c r="F1415" s="48" t="s">
        <v>21</v>
      </c>
      <c r="G1415" s="48" t="s">
        <v>22</v>
      </c>
      <c r="H1415" s="48" t="s">
        <v>27</v>
      </c>
      <c r="I1415" s="48" t="s">
        <v>41</v>
      </c>
      <c r="J1415" s="48" t="s">
        <v>24</v>
      </c>
      <c r="K1415" s="48" t="s">
        <v>90</v>
      </c>
      <c r="L1415" s="48" t="s">
        <v>1141</v>
      </c>
      <c r="M1415" s="48" t="s">
        <v>26</v>
      </c>
      <c r="N1415" s="48" t="s">
        <v>20</v>
      </c>
      <c r="O1415" s="48" t="s">
        <v>857</v>
      </c>
      <c r="P1415" s="50">
        <v>1640191.1</v>
      </c>
      <c r="Q1415" s="50">
        <v>1</v>
      </c>
      <c r="R1415" s="50">
        <v>1640191.1</v>
      </c>
      <c r="S1415" s="74">
        <v>45041</v>
      </c>
      <c r="T1415" s="48" t="s">
        <v>917</v>
      </c>
      <c r="U1415" s="48" t="s">
        <v>90</v>
      </c>
      <c r="V1415" s="48" t="s">
        <v>857</v>
      </c>
      <c r="W1415" s="48"/>
    </row>
    <row r="1416" spans="1:23" ht="15.75" x14ac:dyDescent="0.25">
      <c r="A1416" s="48" t="s">
        <v>147</v>
      </c>
      <c r="B1416" s="49">
        <v>45068</v>
      </c>
      <c r="C1416" s="48" t="s">
        <v>916</v>
      </c>
      <c r="D1416" s="48" t="s">
        <v>1182</v>
      </c>
      <c r="E1416" s="48" t="s">
        <v>856</v>
      </c>
      <c r="F1416" s="48" t="s">
        <v>21</v>
      </c>
      <c r="G1416" s="48" t="s">
        <v>22</v>
      </c>
      <c r="H1416" s="48" t="s">
        <v>27</v>
      </c>
      <c r="I1416" s="48" t="s">
        <v>41</v>
      </c>
      <c r="J1416" s="48" t="s">
        <v>24</v>
      </c>
      <c r="K1416" s="48" t="s">
        <v>90</v>
      </c>
      <c r="L1416" s="48" t="s">
        <v>1141</v>
      </c>
      <c r="M1416" s="48" t="s">
        <v>26</v>
      </c>
      <c r="N1416" s="48" t="s">
        <v>20</v>
      </c>
      <c r="O1416" s="48" t="s">
        <v>857</v>
      </c>
      <c r="P1416" s="50">
        <v>1312152.92</v>
      </c>
      <c r="Q1416" s="50">
        <v>1</v>
      </c>
      <c r="R1416" s="50">
        <v>1312152.92</v>
      </c>
      <c r="S1416" s="74">
        <v>45041</v>
      </c>
      <c r="T1416" s="48" t="s">
        <v>917</v>
      </c>
      <c r="U1416" s="48" t="s">
        <v>90</v>
      </c>
      <c r="V1416" s="48" t="s">
        <v>857</v>
      </c>
      <c r="W1416" s="48"/>
    </row>
    <row r="1417" spans="1:23" ht="15.75" x14ac:dyDescent="0.25">
      <c r="A1417" s="48" t="s">
        <v>125</v>
      </c>
      <c r="B1417" s="49">
        <v>45061</v>
      </c>
      <c r="C1417" s="48" t="s">
        <v>916</v>
      </c>
      <c r="D1417" s="48" t="s">
        <v>1182</v>
      </c>
      <c r="E1417" s="48" t="s">
        <v>856</v>
      </c>
      <c r="F1417" s="48" t="s">
        <v>21</v>
      </c>
      <c r="G1417" s="48" t="s">
        <v>22</v>
      </c>
      <c r="H1417" s="48" t="s">
        <v>27</v>
      </c>
      <c r="I1417" s="48" t="s">
        <v>126</v>
      </c>
      <c r="J1417" s="48" t="s">
        <v>24</v>
      </c>
      <c r="K1417" s="48" t="s">
        <v>90</v>
      </c>
      <c r="L1417" s="48" t="s">
        <v>1141</v>
      </c>
      <c r="M1417" s="48" t="s">
        <v>26</v>
      </c>
      <c r="N1417" s="48" t="s">
        <v>20</v>
      </c>
      <c r="O1417" s="48" t="s">
        <v>857</v>
      </c>
      <c r="P1417" s="50">
        <v>2101567.5</v>
      </c>
      <c r="Q1417" s="50">
        <v>1</v>
      </c>
      <c r="R1417" s="50">
        <v>2101567.5</v>
      </c>
      <c r="S1417" s="74">
        <v>45041</v>
      </c>
      <c r="T1417" s="48" t="s">
        <v>127</v>
      </c>
      <c r="U1417" s="48" t="s">
        <v>90</v>
      </c>
      <c r="V1417" s="48" t="s">
        <v>857</v>
      </c>
      <c r="W1417" s="48"/>
    </row>
    <row r="1418" spans="1:23" ht="15.75" x14ac:dyDescent="0.25">
      <c r="A1418" s="48" t="s">
        <v>145</v>
      </c>
      <c r="B1418" s="49">
        <v>45186</v>
      </c>
      <c r="C1418" s="48" t="s">
        <v>916</v>
      </c>
      <c r="D1418" s="48" t="s">
        <v>1182</v>
      </c>
      <c r="E1418" s="48" t="s">
        <v>856</v>
      </c>
      <c r="F1418" s="48" t="s">
        <v>21</v>
      </c>
      <c r="G1418" s="48" t="s">
        <v>22</v>
      </c>
      <c r="H1418" s="48" t="s">
        <v>27</v>
      </c>
      <c r="I1418" s="48" t="s">
        <v>146</v>
      </c>
      <c r="J1418" s="48" t="s">
        <v>24</v>
      </c>
      <c r="K1418" s="48" t="s">
        <v>25</v>
      </c>
      <c r="L1418" s="48" t="s">
        <v>1138</v>
      </c>
      <c r="M1418" s="48" t="s">
        <v>26</v>
      </c>
      <c r="N1418" s="48" t="s">
        <v>20</v>
      </c>
      <c r="O1418" s="48" t="s">
        <v>857</v>
      </c>
      <c r="P1418" s="50">
        <v>2663232.59</v>
      </c>
      <c r="Q1418" s="50">
        <v>1</v>
      </c>
      <c r="R1418" s="50">
        <v>2663232.59</v>
      </c>
      <c r="S1418" s="74">
        <v>45041</v>
      </c>
      <c r="T1418" s="48" t="s">
        <v>917</v>
      </c>
      <c r="U1418" s="48" t="s">
        <v>25</v>
      </c>
      <c r="V1418" s="48" t="s">
        <v>857</v>
      </c>
      <c r="W1418" s="48"/>
    </row>
    <row r="1419" spans="1:23" ht="15.75" x14ac:dyDescent="0.25">
      <c r="A1419" s="48" t="s">
        <v>145</v>
      </c>
      <c r="B1419" s="49">
        <v>45231</v>
      </c>
      <c r="C1419" s="48" t="s">
        <v>918</v>
      </c>
      <c r="D1419" s="48" t="s">
        <v>1182</v>
      </c>
      <c r="E1419" s="48" t="s">
        <v>856</v>
      </c>
      <c r="F1419" s="48" t="s">
        <v>21</v>
      </c>
      <c r="G1419" s="48" t="s">
        <v>22</v>
      </c>
      <c r="H1419" s="48" t="s">
        <v>27</v>
      </c>
      <c r="I1419" s="48" t="s">
        <v>146</v>
      </c>
      <c r="J1419" s="48" t="s">
        <v>24</v>
      </c>
      <c r="K1419" s="48" t="s">
        <v>25</v>
      </c>
      <c r="L1419" s="48" t="s">
        <v>1138</v>
      </c>
      <c r="M1419" s="48" t="s">
        <v>26</v>
      </c>
      <c r="N1419" s="48" t="s">
        <v>20</v>
      </c>
      <c r="O1419" s="48" t="s">
        <v>857</v>
      </c>
      <c r="P1419" s="50">
        <v>778949.47</v>
      </c>
      <c r="Q1419" s="50">
        <v>1</v>
      </c>
      <c r="R1419" s="50">
        <v>778949.47</v>
      </c>
      <c r="S1419" s="74">
        <v>45041</v>
      </c>
      <c r="T1419" s="48" t="s">
        <v>917</v>
      </c>
      <c r="U1419" s="48" t="s">
        <v>25</v>
      </c>
      <c r="V1419" s="48" t="s">
        <v>857</v>
      </c>
      <c r="W1419" s="48"/>
    </row>
    <row r="1420" spans="1:23" ht="15.75" x14ac:dyDescent="0.25">
      <c r="A1420" s="48" t="s">
        <v>249</v>
      </c>
      <c r="B1420" s="49">
        <v>45102</v>
      </c>
      <c r="C1420" s="48" t="s">
        <v>918</v>
      </c>
      <c r="D1420" s="48" t="s">
        <v>1182</v>
      </c>
      <c r="E1420" s="48" t="s">
        <v>856</v>
      </c>
      <c r="F1420" s="48" t="s">
        <v>21</v>
      </c>
      <c r="G1420" s="48" t="s">
        <v>22</v>
      </c>
      <c r="H1420" s="48" t="s">
        <v>27</v>
      </c>
      <c r="I1420" s="48" t="s">
        <v>39</v>
      </c>
      <c r="J1420" s="48" t="s">
        <v>24</v>
      </c>
      <c r="K1420" s="48" t="s">
        <v>25</v>
      </c>
      <c r="L1420" s="48" t="s">
        <v>1138</v>
      </c>
      <c r="M1420" s="48" t="s">
        <v>26</v>
      </c>
      <c r="N1420" s="48" t="s">
        <v>20</v>
      </c>
      <c r="O1420" s="48" t="s">
        <v>857</v>
      </c>
      <c r="P1420" s="50">
        <v>2152742.9500000002</v>
      </c>
      <c r="Q1420" s="50">
        <v>1</v>
      </c>
      <c r="R1420" s="50">
        <v>2152742.9500000002</v>
      </c>
      <c r="S1420" s="74">
        <v>45041</v>
      </c>
      <c r="T1420" s="48" t="s">
        <v>917</v>
      </c>
      <c r="U1420" s="48" t="s">
        <v>25</v>
      </c>
      <c r="V1420" s="48" t="s">
        <v>857</v>
      </c>
      <c r="W1420" s="48"/>
    </row>
    <row r="1421" spans="1:23" ht="15.75" x14ac:dyDescent="0.25">
      <c r="A1421" s="48" t="s">
        <v>220</v>
      </c>
      <c r="B1421" s="49">
        <v>45189</v>
      </c>
      <c r="C1421" s="48" t="s">
        <v>916</v>
      </c>
      <c r="D1421" s="48">
        <v>0</v>
      </c>
      <c r="E1421" s="48" t="s">
        <v>856</v>
      </c>
      <c r="F1421" s="48" t="s">
        <v>21</v>
      </c>
      <c r="G1421" s="48" t="s">
        <v>22</v>
      </c>
      <c r="H1421" s="48" t="s">
        <v>27</v>
      </c>
      <c r="I1421" s="48" t="s">
        <v>221</v>
      </c>
      <c r="J1421" s="48" t="s">
        <v>72</v>
      </c>
      <c r="K1421" s="48" t="s">
        <v>98</v>
      </c>
      <c r="L1421" s="48" t="s">
        <v>917</v>
      </c>
      <c r="M1421" s="48" t="s">
        <v>191</v>
      </c>
      <c r="N1421" s="48" t="s">
        <v>20</v>
      </c>
      <c r="O1421" s="48" t="s">
        <v>857</v>
      </c>
      <c r="P1421" s="50">
        <v>974745.03</v>
      </c>
      <c r="Q1421" s="50">
        <v>1</v>
      </c>
      <c r="R1421" s="50">
        <v>974745.03</v>
      </c>
      <c r="S1421" s="74">
        <v>45041</v>
      </c>
      <c r="T1421" s="48" t="s">
        <v>917</v>
      </c>
      <c r="U1421" s="48" t="s">
        <v>98</v>
      </c>
      <c r="V1421" s="48" t="s">
        <v>857</v>
      </c>
      <c r="W1421" s="48"/>
    </row>
    <row r="1422" spans="1:23" ht="15.75" x14ac:dyDescent="0.25">
      <c r="A1422" s="48" t="s">
        <v>174</v>
      </c>
      <c r="B1422" s="49">
        <v>45208</v>
      </c>
      <c r="C1422" s="48" t="s">
        <v>918</v>
      </c>
      <c r="D1422" s="48" t="s">
        <v>1182</v>
      </c>
      <c r="E1422" s="48" t="s">
        <v>856</v>
      </c>
      <c r="F1422" s="48" t="s">
        <v>21</v>
      </c>
      <c r="G1422" s="48" t="s">
        <v>22</v>
      </c>
      <c r="H1422" s="48" t="s">
        <v>27</v>
      </c>
      <c r="I1422" s="48" t="s">
        <v>39</v>
      </c>
      <c r="J1422" s="48" t="s">
        <v>24</v>
      </c>
      <c r="K1422" s="48" t="s">
        <v>25</v>
      </c>
      <c r="L1422" s="48" t="s">
        <v>1138</v>
      </c>
      <c r="M1422" s="48" t="s">
        <v>26</v>
      </c>
      <c r="N1422" s="48" t="s">
        <v>20</v>
      </c>
      <c r="O1422" s="48" t="s">
        <v>857</v>
      </c>
      <c r="P1422" s="50">
        <v>856720.44</v>
      </c>
      <c r="Q1422" s="50">
        <v>1</v>
      </c>
      <c r="R1422" s="50">
        <v>856720.44</v>
      </c>
      <c r="S1422" s="74">
        <v>45041</v>
      </c>
      <c r="T1422" s="48" t="s">
        <v>917</v>
      </c>
      <c r="U1422" s="48" t="s">
        <v>25</v>
      </c>
      <c r="V1422" s="48" t="s">
        <v>857</v>
      </c>
      <c r="W1422" s="48"/>
    </row>
    <row r="1423" spans="1:23" ht="15.75" x14ac:dyDescent="0.25">
      <c r="A1423" s="48" t="s">
        <v>174</v>
      </c>
      <c r="B1423" s="49">
        <v>45167</v>
      </c>
      <c r="C1423" s="48" t="s">
        <v>916</v>
      </c>
      <c r="D1423" s="48" t="s">
        <v>1182</v>
      </c>
      <c r="E1423" s="48" t="s">
        <v>856</v>
      </c>
      <c r="F1423" s="48" t="s">
        <v>21</v>
      </c>
      <c r="G1423" s="48" t="s">
        <v>22</v>
      </c>
      <c r="H1423" s="48" t="s">
        <v>27</v>
      </c>
      <c r="I1423" s="48" t="s">
        <v>39</v>
      </c>
      <c r="J1423" s="48" t="s">
        <v>24</v>
      </c>
      <c r="K1423" s="48" t="s">
        <v>25</v>
      </c>
      <c r="L1423" s="48" t="s">
        <v>1138</v>
      </c>
      <c r="M1423" s="48" t="s">
        <v>26</v>
      </c>
      <c r="N1423" s="48" t="s">
        <v>20</v>
      </c>
      <c r="O1423" s="48" t="s">
        <v>857</v>
      </c>
      <c r="P1423" s="50">
        <v>851029.56</v>
      </c>
      <c r="Q1423" s="50">
        <v>1</v>
      </c>
      <c r="R1423" s="50">
        <v>851029.56</v>
      </c>
      <c r="S1423" s="74">
        <v>45041</v>
      </c>
      <c r="T1423" s="48" t="s">
        <v>917</v>
      </c>
      <c r="U1423" s="48" t="s">
        <v>25</v>
      </c>
      <c r="V1423" s="48" t="s">
        <v>857</v>
      </c>
      <c r="W1423" s="48"/>
    </row>
    <row r="1424" spans="1:23" ht="15.75" x14ac:dyDescent="0.25">
      <c r="A1424" s="48" t="s">
        <v>220</v>
      </c>
      <c r="B1424" s="49">
        <v>45196</v>
      </c>
      <c r="C1424" s="48" t="s">
        <v>918</v>
      </c>
      <c r="D1424" s="48">
        <v>0</v>
      </c>
      <c r="E1424" s="48" t="s">
        <v>856</v>
      </c>
      <c r="F1424" s="48" t="s">
        <v>21</v>
      </c>
      <c r="G1424" s="48" t="s">
        <v>22</v>
      </c>
      <c r="H1424" s="48" t="s">
        <v>27</v>
      </c>
      <c r="I1424" s="48" t="s">
        <v>221</v>
      </c>
      <c r="J1424" s="48" t="s">
        <v>72</v>
      </c>
      <c r="K1424" s="48" t="s">
        <v>98</v>
      </c>
      <c r="L1424" s="48" t="s">
        <v>917</v>
      </c>
      <c r="M1424" s="48" t="s">
        <v>191</v>
      </c>
      <c r="N1424" s="48" t="s">
        <v>20</v>
      </c>
      <c r="O1424" s="48" t="s">
        <v>857</v>
      </c>
      <c r="P1424" s="50">
        <v>1063456</v>
      </c>
      <c r="Q1424" s="50">
        <v>1.0255000000000001</v>
      </c>
      <c r="R1424" s="50">
        <v>1090574.128</v>
      </c>
      <c r="S1424" s="74">
        <v>45041</v>
      </c>
      <c r="T1424" s="48" t="s">
        <v>917</v>
      </c>
      <c r="U1424" s="48" t="s">
        <v>98</v>
      </c>
      <c r="V1424" s="48" t="s">
        <v>857</v>
      </c>
      <c r="W1424" s="48"/>
    </row>
    <row r="1425" spans="1:23" ht="15.75" x14ac:dyDescent="0.25">
      <c r="A1425" s="48" t="s">
        <v>220</v>
      </c>
      <c r="B1425" s="49">
        <v>45231</v>
      </c>
      <c r="C1425" s="48" t="s">
        <v>924</v>
      </c>
      <c r="D1425" s="48">
        <v>0</v>
      </c>
      <c r="E1425" s="48" t="s">
        <v>856</v>
      </c>
      <c r="F1425" s="48" t="s">
        <v>21</v>
      </c>
      <c r="G1425" s="48" t="s">
        <v>22</v>
      </c>
      <c r="H1425" s="48" t="s">
        <v>27</v>
      </c>
      <c r="I1425" s="48" t="s">
        <v>221</v>
      </c>
      <c r="J1425" s="48" t="s">
        <v>72</v>
      </c>
      <c r="K1425" s="48" t="s">
        <v>98</v>
      </c>
      <c r="L1425" s="48" t="s">
        <v>917</v>
      </c>
      <c r="M1425" s="48" t="s">
        <v>191</v>
      </c>
      <c r="N1425" s="48" t="s">
        <v>20</v>
      </c>
      <c r="O1425" s="48" t="s">
        <v>857</v>
      </c>
      <c r="P1425" s="50">
        <v>2231381.87</v>
      </c>
      <c r="Q1425" s="50">
        <v>1.0235000000000001</v>
      </c>
      <c r="R1425" s="50">
        <v>2283819.3439450003</v>
      </c>
      <c r="S1425" s="74">
        <v>45041</v>
      </c>
      <c r="T1425" s="48" t="s">
        <v>917</v>
      </c>
      <c r="U1425" s="48" t="s">
        <v>98</v>
      </c>
      <c r="V1425" s="48" t="s">
        <v>857</v>
      </c>
      <c r="W1425" s="48"/>
    </row>
    <row r="1426" spans="1:23" ht="15.75" x14ac:dyDescent="0.25">
      <c r="A1426" s="48" t="s">
        <v>220</v>
      </c>
      <c r="B1426" s="49">
        <v>45231</v>
      </c>
      <c r="C1426" s="48" t="s">
        <v>928</v>
      </c>
      <c r="D1426" s="48">
        <v>0</v>
      </c>
      <c r="E1426" s="48" t="s">
        <v>856</v>
      </c>
      <c r="F1426" s="48" t="s">
        <v>21</v>
      </c>
      <c r="G1426" s="48" t="s">
        <v>22</v>
      </c>
      <c r="H1426" s="48" t="s">
        <v>27</v>
      </c>
      <c r="I1426" s="48" t="s">
        <v>221</v>
      </c>
      <c r="J1426" s="48" t="s">
        <v>72</v>
      </c>
      <c r="K1426" s="48" t="s">
        <v>98</v>
      </c>
      <c r="L1426" s="48" t="s">
        <v>917</v>
      </c>
      <c r="M1426" s="48" t="s">
        <v>191</v>
      </c>
      <c r="N1426" s="48" t="s">
        <v>20</v>
      </c>
      <c r="O1426" s="48" t="s">
        <v>857</v>
      </c>
      <c r="P1426" s="50">
        <v>1689288.71</v>
      </c>
      <c r="Q1426" s="50">
        <v>1.0209839999999999</v>
      </c>
      <c r="R1426" s="50">
        <v>1724736.7442906399</v>
      </c>
      <c r="S1426" s="74">
        <v>45041</v>
      </c>
      <c r="T1426" s="48" t="s">
        <v>917</v>
      </c>
      <c r="U1426" s="48" t="s">
        <v>98</v>
      </c>
      <c r="V1426" s="48" t="s">
        <v>857</v>
      </c>
      <c r="W1426" s="48"/>
    </row>
    <row r="1427" spans="1:23" ht="15.75" x14ac:dyDescent="0.25">
      <c r="A1427" s="48" t="s">
        <v>173</v>
      </c>
      <c r="B1427" s="49">
        <v>45208</v>
      </c>
      <c r="C1427" s="48" t="s">
        <v>918</v>
      </c>
      <c r="D1427" s="48" t="s">
        <v>1182</v>
      </c>
      <c r="E1427" s="48" t="s">
        <v>856</v>
      </c>
      <c r="F1427" s="48" t="s">
        <v>21</v>
      </c>
      <c r="G1427" s="48" t="s">
        <v>22</v>
      </c>
      <c r="H1427" s="48" t="s">
        <v>27</v>
      </c>
      <c r="I1427" s="48" t="s">
        <v>39</v>
      </c>
      <c r="J1427" s="48" t="s">
        <v>24</v>
      </c>
      <c r="K1427" s="48" t="s">
        <v>25</v>
      </c>
      <c r="L1427" s="48" t="s">
        <v>1138</v>
      </c>
      <c r="M1427" s="48" t="s">
        <v>26</v>
      </c>
      <c r="N1427" s="48" t="s">
        <v>20</v>
      </c>
      <c r="O1427" s="48" t="s">
        <v>857</v>
      </c>
      <c r="P1427" s="50">
        <v>578342.78</v>
      </c>
      <c r="Q1427" s="50">
        <v>1</v>
      </c>
      <c r="R1427" s="50">
        <v>578342.78</v>
      </c>
      <c r="S1427" s="74">
        <v>45041</v>
      </c>
      <c r="T1427" s="48" t="s">
        <v>917</v>
      </c>
      <c r="U1427" s="48" t="s">
        <v>25</v>
      </c>
      <c r="V1427" s="48" t="s">
        <v>857</v>
      </c>
      <c r="W1427" s="48"/>
    </row>
    <row r="1428" spans="1:23" ht="15.75" x14ac:dyDescent="0.25">
      <c r="A1428" s="48" t="s">
        <v>220</v>
      </c>
      <c r="B1428" s="49">
        <v>45252</v>
      </c>
      <c r="C1428" s="48" t="s">
        <v>933</v>
      </c>
      <c r="D1428" s="48">
        <v>0</v>
      </c>
      <c r="E1428" s="48" t="s">
        <v>856</v>
      </c>
      <c r="F1428" s="48" t="s">
        <v>21</v>
      </c>
      <c r="G1428" s="48" t="s">
        <v>22</v>
      </c>
      <c r="H1428" s="48" t="s">
        <v>27</v>
      </c>
      <c r="I1428" s="48" t="s">
        <v>221</v>
      </c>
      <c r="J1428" s="48" t="s">
        <v>72</v>
      </c>
      <c r="K1428" s="48" t="s">
        <v>98</v>
      </c>
      <c r="L1428" s="48" t="s">
        <v>917</v>
      </c>
      <c r="M1428" s="48" t="s">
        <v>191</v>
      </c>
      <c r="N1428" s="48" t="s">
        <v>20</v>
      </c>
      <c r="O1428" s="48" t="s">
        <v>857</v>
      </c>
      <c r="P1428" s="50">
        <v>2640108.65</v>
      </c>
      <c r="Q1428" s="50">
        <v>1.0249999999999999</v>
      </c>
      <c r="R1428" s="50">
        <v>2706111.3662499995</v>
      </c>
      <c r="S1428" s="74">
        <v>45041</v>
      </c>
      <c r="T1428" s="48" t="s">
        <v>917</v>
      </c>
      <c r="U1428" s="48" t="s">
        <v>98</v>
      </c>
      <c r="V1428" s="48" t="s">
        <v>857</v>
      </c>
      <c r="W1428" s="48"/>
    </row>
    <row r="1429" spans="1:23" ht="15.75" x14ac:dyDescent="0.25">
      <c r="A1429" s="48" t="s">
        <v>220</v>
      </c>
      <c r="B1429" s="49">
        <v>45264</v>
      </c>
      <c r="C1429" s="48" t="s">
        <v>922</v>
      </c>
      <c r="D1429" s="48">
        <v>0</v>
      </c>
      <c r="E1429" s="48" t="s">
        <v>856</v>
      </c>
      <c r="F1429" s="48" t="s">
        <v>21</v>
      </c>
      <c r="G1429" s="48" t="s">
        <v>22</v>
      </c>
      <c r="H1429" s="48" t="s">
        <v>27</v>
      </c>
      <c r="I1429" s="48" t="s">
        <v>221</v>
      </c>
      <c r="J1429" s="48" t="s">
        <v>72</v>
      </c>
      <c r="K1429" s="48" t="s">
        <v>98</v>
      </c>
      <c r="L1429" s="48" t="s">
        <v>917</v>
      </c>
      <c r="M1429" s="48" t="s">
        <v>191</v>
      </c>
      <c r="N1429" s="48" t="s">
        <v>20</v>
      </c>
      <c r="O1429" s="48" t="s">
        <v>857</v>
      </c>
      <c r="P1429" s="50">
        <v>4041626.55</v>
      </c>
      <c r="Q1429" s="50">
        <v>1.0249076847537999</v>
      </c>
      <c r="R1429" s="50">
        <v>4142294.1099999878</v>
      </c>
      <c r="S1429" s="74">
        <v>45041</v>
      </c>
      <c r="T1429" s="48" t="s">
        <v>917</v>
      </c>
      <c r="U1429" s="48" t="s">
        <v>98</v>
      </c>
      <c r="V1429" s="48" t="s">
        <v>857</v>
      </c>
      <c r="W1429" s="48"/>
    </row>
    <row r="1430" spans="1:23" ht="15.75" x14ac:dyDescent="0.25">
      <c r="A1430" s="48" t="s">
        <v>220</v>
      </c>
      <c r="B1430" s="49">
        <v>45279</v>
      </c>
      <c r="C1430" s="48" t="s">
        <v>929</v>
      </c>
      <c r="D1430" s="48">
        <v>0</v>
      </c>
      <c r="E1430" s="48" t="s">
        <v>856</v>
      </c>
      <c r="F1430" s="48" t="s">
        <v>21</v>
      </c>
      <c r="G1430" s="48" t="s">
        <v>22</v>
      </c>
      <c r="H1430" s="48" t="s">
        <v>27</v>
      </c>
      <c r="I1430" s="48" t="s">
        <v>221</v>
      </c>
      <c r="J1430" s="48" t="s">
        <v>72</v>
      </c>
      <c r="K1430" s="48" t="s">
        <v>98</v>
      </c>
      <c r="L1430" s="48" t="s">
        <v>917</v>
      </c>
      <c r="M1430" s="48" t="s">
        <v>191</v>
      </c>
      <c r="N1430" s="48" t="s">
        <v>20</v>
      </c>
      <c r="O1430" s="48" t="s">
        <v>857</v>
      </c>
      <c r="P1430" s="50">
        <v>3817880.78</v>
      </c>
      <c r="Q1430" s="50">
        <v>1.024</v>
      </c>
      <c r="R1430" s="50">
        <v>3909509.91872</v>
      </c>
      <c r="S1430" s="74">
        <v>45041</v>
      </c>
      <c r="T1430" s="48" t="s">
        <v>917</v>
      </c>
      <c r="U1430" s="48" t="s">
        <v>98</v>
      </c>
      <c r="V1430" s="48" t="s">
        <v>857</v>
      </c>
      <c r="W1430" s="48"/>
    </row>
    <row r="1431" spans="1:23" ht="15.75" x14ac:dyDescent="0.25">
      <c r="A1431" s="48" t="s">
        <v>220</v>
      </c>
      <c r="B1431" s="49">
        <v>45323</v>
      </c>
      <c r="C1431" s="48" t="s">
        <v>930</v>
      </c>
      <c r="D1431" s="48">
        <v>0</v>
      </c>
      <c r="E1431" s="48" t="s">
        <v>856</v>
      </c>
      <c r="F1431" s="48" t="s">
        <v>21</v>
      </c>
      <c r="G1431" s="48" t="s">
        <v>22</v>
      </c>
      <c r="H1431" s="48" t="s">
        <v>27</v>
      </c>
      <c r="I1431" s="48" t="s">
        <v>221</v>
      </c>
      <c r="J1431" s="48" t="s">
        <v>72</v>
      </c>
      <c r="K1431" s="48" t="s">
        <v>98</v>
      </c>
      <c r="L1431" s="48" t="s">
        <v>917</v>
      </c>
      <c r="M1431" s="48" t="s">
        <v>191</v>
      </c>
      <c r="N1431" s="48" t="s">
        <v>20</v>
      </c>
      <c r="O1431" s="48" t="s">
        <v>857</v>
      </c>
      <c r="P1431" s="50">
        <v>3328463.93</v>
      </c>
      <c r="Q1431" s="50">
        <v>1.0249999999999999</v>
      </c>
      <c r="R1431" s="50">
        <v>3411675.52825</v>
      </c>
      <c r="S1431" s="74">
        <v>45041</v>
      </c>
      <c r="T1431" s="48" t="s">
        <v>917</v>
      </c>
      <c r="U1431" s="48" t="s">
        <v>98</v>
      </c>
      <c r="V1431" s="48" t="s">
        <v>857</v>
      </c>
      <c r="W1431" s="48"/>
    </row>
    <row r="1432" spans="1:23" ht="15.75" x14ac:dyDescent="0.25">
      <c r="A1432" s="48" t="s">
        <v>249</v>
      </c>
      <c r="B1432" s="49">
        <v>45090</v>
      </c>
      <c r="C1432" s="48" t="s">
        <v>916</v>
      </c>
      <c r="D1432" s="48" t="s">
        <v>1182</v>
      </c>
      <c r="E1432" s="48" t="s">
        <v>856</v>
      </c>
      <c r="F1432" s="48" t="s">
        <v>21</v>
      </c>
      <c r="G1432" s="48" t="s">
        <v>22</v>
      </c>
      <c r="H1432" s="48" t="s">
        <v>27</v>
      </c>
      <c r="I1432" s="48" t="s">
        <v>39</v>
      </c>
      <c r="J1432" s="48" t="s">
        <v>24</v>
      </c>
      <c r="K1432" s="48" t="s">
        <v>25</v>
      </c>
      <c r="L1432" s="48" t="s">
        <v>1138</v>
      </c>
      <c r="M1432" s="48" t="s">
        <v>26</v>
      </c>
      <c r="N1432" s="48" t="s">
        <v>20</v>
      </c>
      <c r="O1432" s="48" t="s">
        <v>857</v>
      </c>
      <c r="P1432" s="50">
        <v>538117.32999999996</v>
      </c>
      <c r="Q1432" s="50">
        <v>1</v>
      </c>
      <c r="R1432" s="50">
        <v>538117.32999999996</v>
      </c>
      <c r="S1432" s="74">
        <v>45041</v>
      </c>
      <c r="T1432" s="48" t="s">
        <v>917</v>
      </c>
      <c r="U1432" s="48" t="s">
        <v>25</v>
      </c>
      <c r="V1432" s="48" t="s">
        <v>857</v>
      </c>
      <c r="W1432" s="48"/>
    </row>
    <row r="1433" spans="1:23" ht="15.75" x14ac:dyDescent="0.25">
      <c r="A1433" s="48" t="s">
        <v>220</v>
      </c>
      <c r="B1433" s="49">
        <v>45327</v>
      </c>
      <c r="C1433" s="48" t="s">
        <v>931</v>
      </c>
      <c r="D1433" s="48">
        <v>0</v>
      </c>
      <c r="E1433" s="48" t="s">
        <v>856</v>
      </c>
      <c r="F1433" s="48" t="s">
        <v>21</v>
      </c>
      <c r="G1433" s="48" t="s">
        <v>22</v>
      </c>
      <c r="H1433" s="48" t="s">
        <v>27</v>
      </c>
      <c r="I1433" s="48" t="s">
        <v>221</v>
      </c>
      <c r="J1433" s="48" t="s">
        <v>72</v>
      </c>
      <c r="K1433" s="48" t="s">
        <v>98</v>
      </c>
      <c r="L1433" s="48" t="s">
        <v>917</v>
      </c>
      <c r="M1433" s="48" t="s">
        <v>191</v>
      </c>
      <c r="N1433" s="48" t="s">
        <v>20</v>
      </c>
      <c r="O1433" s="48" t="s">
        <v>857</v>
      </c>
      <c r="P1433" s="50">
        <v>1765800.07</v>
      </c>
      <c r="Q1433" s="50">
        <v>1.024</v>
      </c>
      <c r="R1433" s="50">
        <v>1808179.27168</v>
      </c>
      <c r="S1433" s="74">
        <v>45041</v>
      </c>
      <c r="T1433" s="48" t="s">
        <v>917</v>
      </c>
      <c r="U1433" s="48" t="s">
        <v>98</v>
      </c>
      <c r="V1433" s="48" t="s">
        <v>857</v>
      </c>
      <c r="W1433" s="48"/>
    </row>
    <row r="1434" spans="1:23" ht="15.75" x14ac:dyDescent="0.25">
      <c r="A1434" s="48" t="s">
        <v>220</v>
      </c>
      <c r="B1434" s="49">
        <v>45382</v>
      </c>
      <c r="C1434" s="48" t="s">
        <v>926</v>
      </c>
      <c r="D1434" s="48">
        <v>0</v>
      </c>
      <c r="E1434" s="48" t="s">
        <v>856</v>
      </c>
      <c r="F1434" s="48" t="s">
        <v>21</v>
      </c>
      <c r="G1434" s="48" t="s">
        <v>22</v>
      </c>
      <c r="H1434" s="48" t="s">
        <v>27</v>
      </c>
      <c r="I1434" s="48" t="s">
        <v>221</v>
      </c>
      <c r="J1434" s="48" t="s">
        <v>72</v>
      </c>
      <c r="K1434" s="48" t="s">
        <v>98</v>
      </c>
      <c r="L1434" s="48" t="s">
        <v>917</v>
      </c>
      <c r="M1434" s="48" t="s">
        <v>191</v>
      </c>
      <c r="N1434" s="48" t="s">
        <v>20</v>
      </c>
      <c r="O1434" s="48" t="s">
        <v>857</v>
      </c>
      <c r="P1434" s="50">
        <v>1099660.92</v>
      </c>
      <c r="Q1434" s="50">
        <v>1</v>
      </c>
      <c r="R1434" s="50">
        <v>1099660.92</v>
      </c>
      <c r="S1434" s="74">
        <v>45041</v>
      </c>
      <c r="T1434" s="48" t="s">
        <v>917</v>
      </c>
      <c r="U1434" s="48" t="s">
        <v>98</v>
      </c>
      <c r="V1434" s="48" t="s">
        <v>857</v>
      </c>
      <c r="W1434" s="48"/>
    </row>
    <row r="1435" spans="1:23" ht="15.75" x14ac:dyDescent="0.25">
      <c r="A1435" s="48" t="s">
        <v>105</v>
      </c>
      <c r="B1435" s="49">
        <v>45055</v>
      </c>
      <c r="C1435" s="48" t="s">
        <v>916</v>
      </c>
      <c r="D1435" s="48" t="s">
        <v>509</v>
      </c>
      <c r="E1435" s="48" t="s">
        <v>856</v>
      </c>
      <c r="F1435" s="48" t="s">
        <v>21</v>
      </c>
      <c r="G1435" s="48" t="s">
        <v>22</v>
      </c>
      <c r="H1435" s="48" t="s">
        <v>27</v>
      </c>
      <c r="I1435" s="48" t="s">
        <v>106</v>
      </c>
      <c r="J1435" s="48" t="s">
        <v>72</v>
      </c>
      <c r="K1435" s="48" t="s">
        <v>77</v>
      </c>
      <c r="L1435" s="48" t="s">
        <v>1143</v>
      </c>
      <c r="M1435" s="48" t="s">
        <v>78</v>
      </c>
      <c r="N1435" s="48" t="s">
        <v>20</v>
      </c>
      <c r="O1435" s="48" t="s">
        <v>857</v>
      </c>
      <c r="P1435" s="50">
        <v>808297.89</v>
      </c>
      <c r="Q1435" s="50">
        <v>3.7534999999999998</v>
      </c>
      <c r="R1435" s="50">
        <v>3033946.1301150001</v>
      </c>
      <c r="S1435" s="74">
        <v>45041</v>
      </c>
      <c r="T1435" s="48" t="s">
        <v>917</v>
      </c>
      <c r="U1435" s="48" t="s">
        <v>407</v>
      </c>
      <c r="V1435" s="48" t="s">
        <v>857</v>
      </c>
      <c r="W1435" s="48"/>
    </row>
    <row r="1436" spans="1:23" ht="15.75" x14ac:dyDescent="0.25">
      <c r="A1436" s="48" t="s">
        <v>173</v>
      </c>
      <c r="B1436" s="49">
        <v>45208</v>
      </c>
      <c r="C1436" s="48" t="s">
        <v>916</v>
      </c>
      <c r="D1436" s="48" t="s">
        <v>1182</v>
      </c>
      <c r="E1436" s="48" t="s">
        <v>856</v>
      </c>
      <c r="F1436" s="48" t="s">
        <v>21</v>
      </c>
      <c r="G1436" s="48" t="s">
        <v>22</v>
      </c>
      <c r="H1436" s="48" t="s">
        <v>27</v>
      </c>
      <c r="I1436" s="48" t="s">
        <v>39</v>
      </c>
      <c r="J1436" s="48" t="s">
        <v>24</v>
      </c>
      <c r="K1436" s="48" t="s">
        <v>25</v>
      </c>
      <c r="L1436" s="48" t="s">
        <v>1138</v>
      </c>
      <c r="M1436" s="48" t="s">
        <v>26</v>
      </c>
      <c r="N1436" s="48" t="s">
        <v>20</v>
      </c>
      <c r="O1436" s="48" t="s">
        <v>857</v>
      </c>
      <c r="P1436" s="50">
        <v>275510.5</v>
      </c>
      <c r="Q1436" s="50">
        <v>1</v>
      </c>
      <c r="R1436" s="50">
        <v>275510.5</v>
      </c>
      <c r="S1436" s="74">
        <v>45041</v>
      </c>
      <c r="T1436" s="48" t="s">
        <v>917</v>
      </c>
      <c r="U1436" s="48" t="s">
        <v>25</v>
      </c>
      <c r="V1436" s="48" t="s">
        <v>857</v>
      </c>
      <c r="W1436" s="48"/>
    </row>
    <row r="1437" spans="1:23" ht="15.75" x14ac:dyDescent="0.25">
      <c r="A1437" s="48" t="s">
        <v>148</v>
      </c>
      <c r="B1437" s="49">
        <v>45196</v>
      </c>
      <c r="C1437" s="48" t="s">
        <v>916</v>
      </c>
      <c r="D1437" s="48" t="s">
        <v>1182</v>
      </c>
      <c r="E1437" s="48" t="s">
        <v>856</v>
      </c>
      <c r="F1437" s="48" t="s">
        <v>21</v>
      </c>
      <c r="G1437" s="48" t="s">
        <v>22</v>
      </c>
      <c r="H1437" s="48" t="s">
        <v>27</v>
      </c>
      <c r="I1437" s="48" t="s">
        <v>149</v>
      </c>
      <c r="J1437" s="48" t="s">
        <v>24</v>
      </c>
      <c r="K1437" s="48" t="s">
        <v>25</v>
      </c>
      <c r="L1437" s="48" t="s">
        <v>1138</v>
      </c>
      <c r="M1437" s="48" t="s">
        <v>26</v>
      </c>
      <c r="N1437" s="48" t="s">
        <v>20</v>
      </c>
      <c r="O1437" s="48" t="s">
        <v>857</v>
      </c>
      <c r="P1437" s="50">
        <v>4330900</v>
      </c>
      <c r="Q1437" s="50">
        <v>1</v>
      </c>
      <c r="R1437" s="50">
        <v>4330900</v>
      </c>
      <c r="S1437" s="74">
        <v>45041</v>
      </c>
      <c r="T1437" s="48" t="s">
        <v>917</v>
      </c>
      <c r="U1437" s="48" t="s">
        <v>25</v>
      </c>
      <c r="V1437" s="48" t="s">
        <v>857</v>
      </c>
      <c r="W1437" s="48"/>
    </row>
    <row r="1438" spans="1:23" ht="15.75" x14ac:dyDescent="0.25">
      <c r="A1438" s="48" t="s">
        <v>105</v>
      </c>
      <c r="B1438" s="49">
        <v>45064</v>
      </c>
      <c r="C1438" s="48" t="s">
        <v>918</v>
      </c>
      <c r="D1438" s="48" t="s">
        <v>509</v>
      </c>
      <c r="E1438" s="48" t="s">
        <v>856</v>
      </c>
      <c r="F1438" s="48" t="s">
        <v>21</v>
      </c>
      <c r="G1438" s="48" t="s">
        <v>22</v>
      </c>
      <c r="H1438" s="48" t="s">
        <v>27</v>
      </c>
      <c r="I1438" s="48" t="s">
        <v>106</v>
      </c>
      <c r="J1438" s="48" t="s">
        <v>72</v>
      </c>
      <c r="K1438" s="48" t="s">
        <v>77</v>
      </c>
      <c r="L1438" s="48" t="s">
        <v>1143</v>
      </c>
      <c r="M1438" s="48" t="s">
        <v>78</v>
      </c>
      <c r="N1438" s="48" t="s">
        <v>20</v>
      </c>
      <c r="O1438" s="48" t="s">
        <v>857</v>
      </c>
      <c r="P1438" s="50">
        <v>214321.84</v>
      </c>
      <c r="Q1438" s="50">
        <v>3.7534999999999998</v>
      </c>
      <c r="R1438" s="50">
        <v>804457.02643999993</v>
      </c>
      <c r="S1438" s="74">
        <v>45041</v>
      </c>
      <c r="T1438" s="48" t="s">
        <v>917</v>
      </c>
      <c r="U1438" s="48" t="s">
        <v>407</v>
      </c>
      <c r="V1438" s="48" t="s">
        <v>857</v>
      </c>
      <c r="W1438" s="48"/>
    </row>
    <row r="1439" spans="1:23" ht="15.75" x14ac:dyDescent="0.25">
      <c r="A1439" s="48" t="s">
        <v>107</v>
      </c>
      <c r="B1439" s="49">
        <v>45043</v>
      </c>
      <c r="C1439" s="48" t="s">
        <v>916</v>
      </c>
      <c r="D1439" s="48" t="s">
        <v>509</v>
      </c>
      <c r="E1439" s="48" t="s">
        <v>856</v>
      </c>
      <c r="F1439" s="48" t="s">
        <v>21</v>
      </c>
      <c r="G1439" s="48" t="s">
        <v>22</v>
      </c>
      <c r="H1439" s="48" t="s">
        <v>27</v>
      </c>
      <c r="I1439" s="48" t="s">
        <v>106</v>
      </c>
      <c r="J1439" s="48" t="s">
        <v>72</v>
      </c>
      <c r="K1439" s="48" t="s">
        <v>77</v>
      </c>
      <c r="L1439" s="48" t="s">
        <v>1143</v>
      </c>
      <c r="M1439" s="48" t="s">
        <v>78</v>
      </c>
      <c r="N1439" s="48" t="s">
        <v>20</v>
      </c>
      <c r="O1439" s="48" t="s">
        <v>857</v>
      </c>
      <c r="P1439" s="50">
        <v>1118041.6000000001</v>
      </c>
      <c r="Q1439" s="50">
        <v>3.7545000000000002</v>
      </c>
      <c r="R1439" s="50">
        <v>4197687.1872000005</v>
      </c>
      <c r="S1439" s="74">
        <v>45041</v>
      </c>
      <c r="T1439" s="48" t="s">
        <v>917</v>
      </c>
      <c r="U1439" s="48" t="s">
        <v>407</v>
      </c>
      <c r="V1439" s="48" t="s">
        <v>857</v>
      </c>
      <c r="W1439" s="48"/>
    </row>
    <row r="1440" spans="1:23" ht="15.75" x14ac:dyDescent="0.25">
      <c r="A1440" s="48" t="s">
        <v>107</v>
      </c>
      <c r="B1440" s="49">
        <v>45070</v>
      </c>
      <c r="C1440" s="48" t="s">
        <v>918</v>
      </c>
      <c r="D1440" s="48" t="s">
        <v>509</v>
      </c>
      <c r="E1440" s="48" t="s">
        <v>856</v>
      </c>
      <c r="F1440" s="48" t="s">
        <v>21</v>
      </c>
      <c r="G1440" s="48" t="s">
        <v>22</v>
      </c>
      <c r="H1440" s="48" t="s">
        <v>27</v>
      </c>
      <c r="I1440" s="48" t="s">
        <v>106</v>
      </c>
      <c r="J1440" s="48" t="s">
        <v>72</v>
      </c>
      <c r="K1440" s="48" t="s">
        <v>77</v>
      </c>
      <c r="L1440" s="48" t="s">
        <v>1143</v>
      </c>
      <c r="M1440" s="48" t="s">
        <v>78</v>
      </c>
      <c r="N1440" s="48" t="s">
        <v>20</v>
      </c>
      <c r="O1440" s="48" t="s">
        <v>857</v>
      </c>
      <c r="P1440" s="50">
        <v>3242320.36</v>
      </c>
      <c r="Q1440" s="50">
        <v>3.7515000000000001</v>
      </c>
      <c r="R1440" s="50">
        <v>12163564.83054</v>
      </c>
      <c r="S1440" s="74">
        <v>45041</v>
      </c>
      <c r="T1440" s="48" t="s">
        <v>917</v>
      </c>
      <c r="U1440" s="48" t="s">
        <v>407</v>
      </c>
      <c r="V1440" s="48" t="s">
        <v>857</v>
      </c>
      <c r="W1440" s="48"/>
    </row>
    <row r="1441" spans="1:23" ht="15.75" x14ac:dyDescent="0.25">
      <c r="A1441" s="48" t="s">
        <v>207</v>
      </c>
      <c r="B1441" s="49">
        <v>45176</v>
      </c>
      <c r="C1441" s="48" t="s">
        <v>916</v>
      </c>
      <c r="D1441" s="48" t="s">
        <v>509</v>
      </c>
      <c r="E1441" s="48" t="s">
        <v>856</v>
      </c>
      <c r="F1441" s="48" t="s">
        <v>21</v>
      </c>
      <c r="G1441" s="48" t="s">
        <v>22</v>
      </c>
      <c r="H1441" s="48" t="s">
        <v>27</v>
      </c>
      <c r="I1441" s="48" t="s">
        <v>76</v>
      </c>
      <c r="J1441" s="48" t="s">
        <v>72</v>
      </c>
      <c r="K1441" s="48" t="s">
        <v>77</v>
      </c>
      <c r="L1441" s="48" t="s">
        <v>1143</v>
      </c>
      <c r="M1441" s="48" t="s">
        <v>78</v>
      </c>
      <c r="N1441" s="48" t="s">
        <v>20</v>
      </c>
      <c r="O1441" s="48" t="s">
        <v>857</v>
      </c>
      <c r="P1441" s="50">
        <v>3637844.62</v>
      </c>
      <c r="Q1441" s="50">
        <v>3.75</v>
      </c>
      <c r="R1441" s="50">
        <v>13641917.325000001</v>
      </c>
      <c r="S1441" s="74">
        <v>45041</v>
      </c>
      <c r="T1441" s="48" t="s">
        <v>208</v>
      </c>
      <c r="U1441" s="48" t="s">
        <v>407</v>
      </c>
      <c r="V1441" s="48" t="s">
        <v>857</v>
      </c>
      <c r="W1441" s="48"/>
    </row>
    <row r="1442" spans="1:23" ht="15.75" x14ac:dyDescent="0.25">
      <c r="A1442" s="48" t="s">
        <v>249</v>
      </c>
      <c r="B1442" s="49">
        <v>45167</v>
      </c>
      <c r="C1442" s="48" t="s">
        <v>924</v>
      </c>
      <c r="D1442" s="48" t="s">
        <v>1182</v>
      </c>
      <c r="E1442" s="48" t="s">
        <v>856</v>
      </c>
      <c r="F1442" s="48" t="s">
        <v>21</v>
      </c>
      <c r="G1442" s="48" t="s">
        <v>22</v>
      </c>
      <c r="H1442" s="48" t="s">
        <v>27</v>
      </c>
      <c r="I1442" s="48" t="s">
        <v>39</v>
      </c>
      <c r="J1442" s="48" t="s">
        <v>24</v>
      </c>
      <c r="K1442" s="48" t="s">
        <v>25</v>
      </c>
      <c r="L1442" s="48" t="s">
        <v>1138</v>
      </c>
      <c r="M1442" s="48" t="s">
        <v>26</v>
      </c>
      <c r="N1442" s="48" t="s">
        <v>20</v>
      </c>
      <c r="O1442" s="48" t="s">
        <v>857</v>
      </c>
      <c r="P1442" s="50">
        <v>2307327.39</v>
      </c>
      <c r="Q1442" s="50">
        <v>1</v>
      </c>
      <c r="R1442" s="50">
        <v>2307327.39</v>
      </c>
      <c r="S1442" s="74">
        <v>45041</v>
      </c>
      <c r="T1442" s="48" t="s">
        <v>917</v>
      </c>
      <c r="U1442" s="48" t="s">
        <v>25</v>
      </c>
      <c r="V1442" s="48" t="s">
        <v>857</v>
      </c>
      <c r="W1442" s="48"/>
    </row>
    <row r="1443" spans="1:23" ht="15.75" x14ac:dyDescent="0.25">
      <c r="A1443" s="48" t="s">
        <v>207</v>
      </c>
      <c r="B1443" s="49">
        <v>45237</v>
      </c>
      <c r="C1443" s="48" t="s">
        <v>918</v>
      </c>
      <c r="D1443" s="48" t="s">
        <v>509</v>
      </c>
      <c r="E1443" s="48" t="s">
        <v>856</v>
      </c>
      <c r="F1443" s="48" t="s">
        <v>21</v>
      </c>
      <c r="G1443" s="48" t="s">
        <v>22</v>
      </c>
      <c r="H1443" s="48" t="s">
        <v>27</v>
      </c>
      <c r="I1443" s="48" t="s">
        <v>76</v>
      </c>
      <c r="J1443" s="48" t="s">
        <v>72</v>
      </c>
      <c r="K1443" s="48" t="s">
        <v>77</v>
      </c>
      <c r="L1443" s="48" t="s">
        <v>1143</v>
      </c>
      <c r="M1443" s="48" t="s">
        <v>78</v>
      </c>
      <c r="N1443" s="48" t="s">
        <v>20</v>
      </c>
      <c r="O1443" s="48" t="s">
        <v>857</v>
      </c>
      <c r="P1443" s="50">
        <v>835568.7</v>
      </c>
      <c r="Q1443" s="50">
        <v>3.7549999999999999</v>
      </c>
      <c r="R1443" s="50">
        <v>3137560.4685</v>
      </c>
      <c r="S1443" s="74">
        <v>45041</v>
      </c>
      <c r="T1443" s="48" t="s">
        <v>208</v>
      </c>
      <c r="U1443" s="48" t="s">
        <v>407</v>
      </c>
      <c r="V1443" s="48" t="s">
        <v>857</v>
      </c>
      <c r="W1443" s="48"/>
    </row>
    <row r="1444" spans="1:23" ht="15.75" x14ac:dyDescent="0.25">
      <c r="A1444" s="48" t="s">
        <v>220</v>
      </c>
      <c r="B1444" s="49">
        <v>45354</v>
      </c>
      <c r="C1444" s="48" t="s">
        <v>927</v>
      </c>
      <c r="D1444" s="48">
        <v>0</v>
      </c>
      <c r="E1444" s="48" t="s">
        <v>856</v>
      </c>
      <c r="F1444" s="48" t="s">
        <v>21</v>
      </c>
      <c r="G1444" s="48" t="s">
        <v>22</v>
      </c>
      <c r="H1444" s="48" t="s">
        <v>27</v>
      </c>
      <c r="I1444" s="48" t="s">
        <v>221</v>
      </c>
      <c r="J1444" s="48" t="s">
        <v>72</v>
      </c>
      <c r="K1444" s="48" t="s">
        <v>98</v>
      </c>
      <c r="L1444" s="48" t="s">
        <v>917</v>
      </c>
      <c r="M1444" s="48" t="s">
        <v>191</v>
      </c>
      <c r="N1444" s="48" t="s">
        <v>20</v>
      </c>
      <c r="O1444" s="48" t="s">
        <v>857</v>
      </c>
      <c r="P1444" s="50">
        <v>2201522.36</v>
      </c>
      <c r="Q1444" s="50">
        <v>1</v>
      </c>
      <c r="R1444" s="50">
        <v>2201522.36</v>
      </c>
      <c r="S1444" s="74">
        <v>45041</v>
      </c>
      <c r="T1444" s="48" t="s">
        <v>917</v>
      </c>
      <c r="U1444" s="48" t="s">
        <v>98</v>
      </c>
      <c r="V1444" s="48" t="s">
        <v>857</v>
      </c>
      <c r="W1444" s="48"/>
    </row>
    <row r="1445" spans="1:23" ht="15.75" x14ac:dyDescent="0.25">
      <c r="A1445" s="48" t="s">
        <v>154</v>
      </c>
      <c r="B1445" s="49">
        <v>45239</v>
      </c>
      <c r="C1445" s="48" t="s">
        <v>916</v>
      </c>
      <c r="D1445" s="48" t="s">
        <v>441</v>
      </c>
      <c r="E1445" s="48" t="s">
        <v>856</v>
      </c>
      <c r="F1445" s="48" t="s">
        <v>21</v>
      </c>
      <c r="G1445" s="48" t="s">
        <v>22</v>
      </c>
      <c r="H1445" s="48" t="s">
        <v>27</v>
      </c>
      <c r="I1445" s="48" t="s">
        <v>155</v>
      </c>
      <c r="J1445" s="48" t="s">
        <v>24</v>
      </c>
      <c r="K1445" s="48" t="s">
        <v>22</v>
      </c>
      <c r="L1445" s="48" t="s">
        <v>1132</v>
      </c>
      <c r="M1445" s="48" t="s">
        <v>26</v>
      </c>
      <c r="N1445" s="48" t="s">
        <v>20</v>
      </c>
      <c r="O1445" s="48" t="s">
        <v>857</v>
      </c>
      <c r="P1445" s="50">
        <v>800000</v>
      </c>
      <c r="Q1445" s="50">
        <v>1</v>
      </c>
      <c r="R1445" s="50">
        <v>800000</v>
      </c>
      <c r="S1445" s="74">
        <v>45041</v>
      </c>
      <c r="T1445" s="48" t="s">
        <v>35</v>
      </c>
      <c r="U1445" s="48" t="s">
        <v>22</v>
      </c>
      <c r="V1445" s="48" t="s">
        <v>857</v>
      </c>
      <c r="W1445" s="48"/>
    </row>
    <row r="1446" spans="1:23" ht="15.75" x14ac:dyDescent="0.25">
      <c r="A1446" s="48" t="s">
        <v>211</v>
      </c>
      <c r="B1446" s="49">
        <v>45271</v>
      </c>
      <c r="C1446" s="48" t="s">
        <v>921</v>
      </c>
      <c r="D1446" s="48" t="s">
        <v>1118</v>
      </c>
      <c r="E1446" s="48" t="s">
        <v>856</v>
      </c>
      <c r="F1446" s="48" t="s">
        <v>21</v>
      </c>
      <c r="G1446" s="48" t="s">
        <v>22</v>
      </c>
      <c r="H1446" s="48" t="s">
        <v>27</v>
      </c>
      <c r="I1446" s="48" t="s">
        <v>212</v>
      </c>
      <c r="J1446" s="48" t="s">
        <v>72</v>
      </c>
      <c r="K1446" s="48" t="s">
        <v>213</v>
      </c>
      <c r="L1446" s="48" t="s">
        <v>1134</v>
      </c>
      <c r="M1446" s="48" t="s">
        <v>26</v>
      </c>
      <c r="N1446" s="48" t="s">
        <v>20</v>
      </c>
      <c r="O1446" s="48" t="s">
        <v>857</v>
      </c>
      <c r="P1446" s="50">
        <v>238395</v>
      </c>
      <c r="Q1446" s="50">
        <v>1</v>
      </c>
      <c r="R1446" s="50">
        <v>238395</v>
      </c>
      <c r="S1446" s="74">
        <v>45041</v>
      </c>
      <c r="T1446" s="48" t="s">
        <v>917</v>
      </c>
      <c r="U1446" s="48" t="s">
        <v>213</v>
      </c>
      <c r="V1446" s="48" t="s">
        <v>857</v>
      </c>
      <c r="W1446" s="48"/>
    </row>
    <row r="1447" spans="1:23" ht="15.75" x14ac:dyDescent="0.25">
      <c r="A1447" s="48" t="s">
        <v>100</v>
      </c>
      <c r="B1447" s="49">
        <v>44972</v>
      </c>
      <c r="C1447" s="48" t="s">
        <v>924</v>
      </c>
      <c r="D1447" s="48" t="s">
        <v>441</v>
      </c>
      <c r="E1447" s="48" t="s">
        <v>856</v>
      </c>
      <c r="F1447" s="48" t="s">
        <v>21</v>
      </c>
      <c r="G1447" s="48" t="s">
        <v>22</v>
      </c>
      <c r="H1447" s="48" t="s">
        <v>27</v>
      </c>
      <c r="I1447" s="48" t="s">
        <v>101</v>
      </c>
      <c r="J1447" s="48" t="s">
        <v>72</v>
      </c>
      <c r="K1447" s="48" t="s">
        <v>22</v>
      </c>
      <c r="L1447" s="48" t="s">
        <v>1132</v>
      </c>
      <c r="M1447" s="48" t="s">
        <v>78</v>
      </c>
      <c r="N1447" s="48" t="s">
        <v>20</v>
      </c>
      <c r="O1447" s="48" t="s">
        <v>857</v>
      </c>
      <c r="P1447" s="50">
        <v>490942.9</v>
      </c>
      <c r="Q1447" s="50">
        <v>3.7515000000000001</v>
      </c>
      <c r="R1447" s="50">
        <v>1841772.2893500002</v>
      </c>
      <c r="S1447" s="74">
        <v>45041</v>
      </c>
      <c r="T1447" s="48" t="s">
        <v>917</v>
      </c>
      <c r="U1447" s="48" t="s">
        <v>102</v>
      </c>
      <c r="V1447" s="48" t="s">
        <v>857</v>
      </c>
      <c r="W1447" s="48"/>
    </row>
    <row r="1448" spans="1:23" ht="15.75" x14ac:dyDescent="0.25">
      <c r="A1448" s="48" t="s">
        <v>100</v>
      </c>
      <c r="B1448" s="49">
        <v>45029</v>
      </c>
      <c r="C1448" s="48" t="s">
        <v>940</v>
      </c>
      <c r="D1448" s="48" t="s">
        <v>441</v>
      </c>
      <c r="E1448" s="48" t="s">
        <v>856</v>
      </c>
      <c r="F1448" s="48" t="s">
        <v>21</v>
      </c>
      <c r="G1448" s="48" t="s">
        <v>22</v>
      </c>
      <c r="H1448" s="48" t="s">
        <v>27</v>
      </c>
      <c r="I1448" s="48" t="s">
        <v>101</v>
      </c>
      <c r="J1448" s="48" t="s">
        <v>72</v>
      </c>
      <c r="K1448" s="48" t="s">
        <v>22</v>
      </c>
      <c r="L1448" s="48" t="s">
        <v>1132</v>
      </c>
      <c r="M1448" s="48" t="s">
        <v>78</v>
      </c>
      <c r="N1448" s="48" t="s">
        <v>20</v>
      </c>
      <c r="O1448" s="48" t="s">
        <v>857</v>
      </c>
      <c r="P1448" s="50">
        <v>246223.67</v>
      </c>
      <c r="Q1448" s="50">
        <v>3.7534999999999998</v>
      </c>
      <c r="R1448" s="50">
        <v>924200.54534499999</v>
      </c>
      <c r="S1448" s="74">
        <v>45041</v>
      </c>
      <c r="T1448" s="48" t="s">
        <v>917</v>
      </c>
      <c r="U1448" s="48" t="s">
        <v>102</v>
      </c>
      <c r="V1448" s="48" t="s">
        <v>857</v>
      </c>
      <c r="W1448" s="48"/>
    </row>
    <row r="1449" spans="1:23" ht="15.75" x14ac:dyDescent="0.25">
      <c r="A1449" s="48" t="s">
        <v>100</v>
      </c>
      <c r="B1449" s="49">
        <v>45029</v>
      </c>
      <c r="C1449" s="48" t="s">
        <v>1023</v>
      </c>
      <c r="D1449" s="48" t="s">
        <v>441</v>
      </c>
      <c r="E1449" s="48" t="s">
        <v>856</v>
      </c>
      <c r="F1449" s="48" t="s">
        <v>21</v>
      </c>
      <c r="G1449" s="48" t="s">
        <v>22</v>
      </c>
      <c r="H1449" s="48" t="s">
        <v>27</v>
      </c>
      <c r="I1449" s="48" t="s">
        <v>101</v>
      </c>
      <c r="J1449" s="48" t="s">
        <v>72</v>
      </c>
      <c r="K1449" s="48" t="s">
        <v>22</v>
      </c>
      <c r="L1449" s="48" t="s">
        <v>1132</v>
      </c>
      <c r="M1449" s="48" t="s">
        <v>78</v>
      </c>
      <c r="N1449" s="48" t="s">
        <v>20</v>
      </c>
      <c r="O1449" s="48" t="s">
        <v>857</v>
      </c>
      <c r="P1449" s="50">
        <v>3081220.4342613602</v>
      </c>
      <c r="Q1449" s="50">
        <v>3.7534999999999998</v>
      </c>
      <c r="R1449" s="50">
        <v>11565360.900000015</v>
      </c>
      <c r="S1449" s="74">
        <v>45041</v>
      </c>
      <c r="T1449" s="48" t="s">
        <v>917</v>
      </c>
      <c r="U1449" s="48" t="s">
        <v>102</v>
      </c>
      <c r="V1449" s="48" t="s">
        <v>857</v>
      </c>
      <c r="W1449" s="48"/>
    </row>
    <row r="1450" spans="1:23" ht="15.75" x14ac:dyDescent="0.25">
      <c r="A1450" s="48" t="s">
        <v>100</v>
      </c>
      <c r="B1450" s="49">
        <v>45029</v>
      </c>
      <c r="C1450" s="48" t="s">
        <v>925</v>
      </c>
      <c r="D1450" s="48" t="s">
        <v>441</v>
      </c>
      <c r="E1450" s="48" t="s">
        <v>856</v>
      </c>
      <c r="F1450" s="48" t="s">
        <v>21</v>
      </c>
      <c r="G1450" s="48" t="s">
        <v>22</v>
      </c>
      <c r="H1450" s="48" t="s">
        <v>27</v>
      </c>
      <c r="I1450" s="48" t="s">
        <v>101</v>
      </c>
      <c r="J1450" s="48" t="s">
        <v>72</v>
      </c>
      <c r="K1450" s="48" t="s">
        <v>22</v>
      </c>
      <c r="L1450" s="48" t="s">
        <v>1132</v>
      </c>
      <c r="M1450" s="48" t="s">
        <v>78</v>
      </c>
      <c r="N1450" s="48" t="s">
        <v>20</v>
      </c>
      <c r="O1450" s="48" t="s">
        <v>857</v>
      </c>
      <c r="P1450" s="50">
        <v>952005.66937525</v>
      </c>
      <c r="Q1450" s="50">
        <v>3.7534999999999998</v>
      </c>
      <c r="R1450" s="50">
        <v>3573353.2800000007</v>
      </c>
      <c r="S1450" s="74">
        <v>45041</v>
      </c>
      <c r="T1450" s="48" t="s">
        <v>917</v>
      </c>
      <c r="U1450" s="48" t="s">
        <v>102</v>
      </c>
      <c r="V1450" s="48" t="s">
        <v>857</v>
      </c>
      <c r="W1450" s="48"/>
    </row>
    <row r="1451" spans="1:23" ht="15.75" x14ac:dyDescent="0.25">
      <c r="A1451" s="48" t="s">
        <v>100</v>
      </c>
      <c r="B1451" s="49">
        <v>45020</v>
      </c>
      <c r="C1451" s="48" t="s">
        <v>934</v>
      </c>
      <c r="D1451" s="48" t="s">
        <v>441</v>
      </c>
      <c r="E1451" s="48" t="s">
        <v>856</v>
      </c>
      <c r="F1451" s="48" t="s">
        <v>21</v>
      </c>
      <c r="G1451" s="48" t="s">
        <v>22</v>
      </c>
      <c r="H1451" s="48" t="s">
        <v>27</v>
      </c>
      <c r="I1451" s="48" t="s">
        <v>101</v>
      </c>
      <c r="J1451" s="48" t="s">
        <v>72</v>
      </c>
      <c r="K1451" s="48" t="s">
        <v>22</v>
      </c>
      <c r="L1451" s="48" t="s">
        <v>1132</v>
      </c>
      <c r="M1451" s="48" t="s">
        <v>78</v>
      </c>
      <c r="N1451" s="48" t="s">
        <v>20</v>
      </c>
      <c r="O1451" s="48" t="s">
        <v>857</v>
      </c>
      <c r="P1451" s="50">
        <v>7517.16</v>
      </c>
      <c r="Q1451" s="50">
        <v>3.7549999999999999</v>
      </c>
      <c r="R1451" s="50">
        <v>28226.935799999999</v>
      </c>
      <c r="S1451" s="74">
        <v>45041</v>
      </c>
      <c r="T1451" s="48" t="s">
        <v>917</v>
      </c>
      <c r="U1451" s="48" t="s">
        <v>102</v>
      </c>
      <c r="V1451" s="48" t="s">
        <v>857</v>
      </c>
      <c r="W1451" s="48"/>
    </row>
    <row r="1452" spans="1:23" ht="15.75" x14ac:dyDescent="0.25">
      <c r="A1452" s="48" t="s">
        <v>100</v>
      </c>
      <c r="B1452" s="49">
        <v>45015</v>
      </c>
      <c r="C1452" s="48" t="s">
        <v>919</v>
      </c>
      <c r="D1452" s="48" t="s">
        <v>441</v>
      </c>
      <c r="E1452" s="48" t="s">
        <v>856</v>
      </c>
      <c r="F1452" s="48" t="s">
        <v>21</v>
      </c>
      <c r="G1452" s="48" t="s">
        <v>22</v>
      </c>
      <c r="H1452" s="48" t="s">
        <v>27</v>
      </c>
      <c r="I1452" s="48" t="s">
        <v>101</v>
      </c>
      <c r="J1452" s="48" t="s">
        <v>72</v>
      </c>
      <c r="K1452" s="48" t="s">
        <v>22</v>
      </c>
      <c r="L1452" s="48" t="s">
        <v>1132</v>
      </c>
      <c r="M1452" s="48" t="s">
        <v>78</v>
      </c>
      <c r="N1452" s="48" t="s">
        <v>20</v>
      </c>
      <c r="O1452" s="48" t="s">
        <v>857</v>
      </c>
      <c r="P1452" s="50">
        <v>1055823.6000000001</v>
      </c>
      <c r="Q1452" s="50">
        <v>3.7559999999999998</v>
      </c>
      <c r="R1452" s="50">
        <v>3965673.4416</v>
      </c>
      <c r="S1452" s="74">
        <v>45041</v>
      </c>
      <c r="T1452" s="48" t="s">
        <v>917</v>
      </c>
      <c r="U1452" s="48" t="s">
        <v>102</v>
      </c>
      <c r="V1452" s="48" t="s">
        <v>857</v>
      </c>
      <c r="W1452" s="48"/>
    </row>
    <row r="1453" spans="1:23" ht="15.75" x14ac:dyDescent="0.25">
      <c r="A1453" s="48" t="s">
        <v>100</v>
      </c>
      <c r="B1453" s="49">
        <v>45015</v>
      </c>
      <c r="C1453" s="48" t="s">
        <v>920</v>
      </c>
      <c r="D1453" s="48" t="s">
        <v>441</v>
      </c>
      <c r="E1453" s="48" t="s">
        <v>856</v>
      </c>
      <c r="F1453" s="48" t="s">
        <v>21</v>
      </c>
      <c r="G1453" s="48" t="s">
        <v>22</v>
      </c>
      <c r="H1453" s="48" t="s">
        <v>27</v>
      </c>
      <c r="I1453" s="48" t="s">
        <v>101</v>
      </c>
      <c r="J1453" s="48" t="s">
        <v>72</v>
      </c>
      <c r="K1453" s="48" t="s">
        <v>22</v>
      </c>
      <c r="L1453" s="48" t="s">
        <v>1132</v>
      </c>
      <c r="M1453" s="48" t="s">
        <v>78</v>
      </c>
      <c r="N1453" s="48" t="s">
        <v>20</v>
      </c>
      <c r="O1453" s="48" t="s">
        <v>857</v>
      </c>
      <c r="P1453" s="50">
        <v>426675.6</v>
      </c>
      <c r="Q1453" s="50">
        <v>3.7559999999999998</v>
      </c>
      <c r="R1453" s="50">
        <v>1602593.5535999998</v>
      </c>
      <c r="S1453" s="74">
        <v>45041</v>
      </c>
      <c r="T1453" s="48" t="s">
        <v>917</v>
      </c>
      <c r="U1453" s="48" t="s">
        <v>102</v>
      </c>
      <c r="V1453" s="48" t="s">
        <v>857</v>
      </c>
      <c r="W1453" s="48"/>
    </row>
    <row r="1454" spans="1:23" ht="15.75" x14ac:dyDescent="0.25">
      <c r="A1454" s="48" t="s">
        <v>100</v>
      </c>
      <c r="B1454" s="49">
        <v>45043</v>
      </c>
      <c r="C1454" s="48" t="s">
        <v>941</v>
      </c>
      <c r="D1454" s="48" t="s">
        <v>441</v>
      </c>
      <c r="E1454" s="48" t="s">
        <v>856</v>
      </c>
      <c r="F1454" s="48" t="s">
        <v>21</v>
      </c>
      <c r="G1454" s="48" t="s">
        <v>22</v>
      </c>
      <c r="H1454" s="48" t="s">
        <v>27</v>
      </c>
      <c r="I1454" s="48" t="s">
        <v>101</v>
      </c>
      <c r="J1454" s="48" t="s">
        <v>72</v>
      </c>
      <c r="K1454" s="48" t="s">
        <v>22</v>
      </c>
      <c r="L1454" s="48" t="s">
        <v>1132</v>
      </c>
      <c r="M1454" s="48" t="s">
        <v>78</v>
      </c>
      <c r="N1454" s="48" t="s">
        <v>20</v>
      </c>
      <c r="O1454" s="48" t="s">
        <v>857</v>
      </c>
      <c r="P1454" s="50">
        <v>9715.86</v>
      </c>
      <c r="Q1454" s="50">
        <v>3.7570000000000001</v>
      </c>
      <c r="R1454" s="50">
        <v>36502.486020000004</v>
      </c>
      <c r="S1454" s="74">
        <v>45041</v>
      </c>
      <c r="T1454" s="48" t="s">
        <v>917</v>
      </c>
      <c r="U1454" s="48" t="s">
        <v>102</v>
      </c>
      <c r="V1454" s="48" t="s">
        <v>857</v>
      </c>
      <c r="W1454" s="48"/>
    </row>
    <row r="1455" spans="1:23" ht="15.75" x14ac:dyDescent="0.25">
      <c r="A1455" s="48" t="s">
        <v>100</v>
      </c>
      <c r="B1455" s="49">
        <v>45006</v>
      </c>
      <c r="C1455" s="48" t="s">
        <v>921</v>
      </c>
      <c r="D1455" s="48" t="s">
        <v>441</v>
      </c>
      <c r="E1455" s="48" t="s">
        <v>856</v>
      </c>
      <c r="F1455" s="48" t="s">
        <v>21</v>
      </c>
      <c r="G1455" s="48" t="s">
        <v>22</v>
      </c>
      <c r="H1455" s="48" t="s">
        <v>27</v>
      </c>
      <c r="I1455" s="48" t="s">
        <v>101</v>
      </c>
      <c r="J1455" s="48" t="s">
        <v>72</v>
      </c>
      <c r="K1455" s="48" t="s">
        <v>22</v>
      </c>
      <c r="L1455" s="48" t="s">
        <v>1132</v>
      </c>
      <c r="M1455" s="48" t="s">
        <v>78</v>
      </c>
      <c r="N1455" s="48" t="s">
        <v>20</v>
      </c>
      <c r="O1455" s="48" t="s">
        <v>857</v>
      </c>
      <c r="P1455" s="50">
        <v>408209.34</v>
      </c>
      <c r="Q1455" s="50">
        <v>3.7572000000000001</v>
      </c>
      <c r="R1455" s="50">
        <v>1533724.1322480002</v>
      </c>
      <c r="S1455" s="74">
        <v>45041</v>
      </c>
      <c r="T1455" s="48" t="s">
        <v>917</v>
      </c>
      <c r="U1455" s="48" t="s">
        <v>102</v>
      </c>
      <c r="V1455" s="48" t="s">
        <v>857</v>
      </c>
      <c r="W1455" s="48"/>
    </row>
    <row r="1456" spans="1:23" ht="15.75" x14ac:dyDescent="0.25">
      <c r="A1456" s="48" t="s">
        <v>100</v>
      </c>
      <c r="B1456" s="49">
        <v>44990</v>
      </c>
      <c r="C1456" s="48" t="s">
        <v>927</v>
      </c>
      <c r="D1456" s="48" t="s">
        <v>441</v>
      </c>
      <c r="E1456" s="48" t="s">
        <v>856</v>
      </c>
      <c r="F1456" s="48" t="s">
        <v>21</v>
      </c>
      <c r="G1456" s="48" t="s">
        <v>22</v>
      </c>
      <c r="H1456" s="48" t="s">
        <v>27</v>
      </c>
      <c r="I1456" s="48" t="s">
        <v>101</v>
      </c>
      <c r="J1456" s="48" t="s">
        <v>72</v>
      </c>
      <c r="K1456" s="48" t="s">
        <v>22</v>
      </c>
      <c r="L1456" s="48" t="s">
        <v>1132</v>
      </c>
      <c r="M1456" s="48" t="s">
        <v>78</v>
      </c>
      <c r="N1456" s="48" t="s">
        <v>20</v>
      </c>
      <c r="O1456" s="48" t="s">
        <v>857</v>
      </c>
      <c r="P1456" s="50">
        <v>20246.59</v>
      </c>
      <c r="Q1456" s="50">
        <v>3.7559999999999998</v>
      </c>
      <c r="R1456" s="50">
        <v>76046.192039999994</v>
      </c>
      <c r="S1456" s="74">
        <v>45041</v>
      </c>
      <c r="T1456" s="48" t="s">
        <v>917</v>
      </c>
      <c r="U1456" s="48" t="s">
        <v>102</v>
      </c>
      <c r="V1456" s="48" t="s">
        <v>857</v>
      </c>
      <c r="W1456" s="48"/>
    </row>
    <row r="1457" spans="1:23" ht="15.75" x14ac:dyDescent="0.25">
      <c r="A1457" s="48" t="s">
        <v>100</v>
      </c>
      <c r="B1457" s="49">
        <v>44990</v>
      </c>
      <c r="C1457" s="48" t="s">
        <v>931</v>
      </c>
      <c r="D1457" s="48" t="s">
        <v>441</v>
      </c>
      <c r="E1457" s="48" t="s">
        <v>856</v>
      </c>
      <c r="F1457" s="48" t="s">
        <v>21</v>
      </c>
      <c r="G1457" s="48" t="s">
        <v>22</v>
      </c>
      <c r="H1457" s="48" t="s">
        <v>27</v>
      </c>
      <c r="I1457" s="48" t="s">
        <v>101</v>
      </c>
      <c r="J1457" s="48" t="s">
        <v>72</v>
      </c>
      <c r="K1457" s="48" t="s">
        <v>22</v>
      </c>
      <c r="L1457" s="48" t="s">
        <v>1132</v>
      </c>
      <c r="M1457" s="48" t="s">
        <v>78</v>
      </c>
      <c r="N1457" s="48" t="s">
        <v>20</v>
      </c>
      <c r="O1457" s="48" t="s">
        <v>857</v>
      </c>
      <c r="P1457" s="50">
        <v>220915.66</v>
      </c>
      <c r="Q1457" s="50">
        <v>3.7559999999999998</v>
      </c>
      <c r="R1457" s="50">
        <v>829759.21895999997</v>
      </c>
      <c r="S1457" s="74">
        <v>45041</v>
      </c>
      <c r="T1457" s="48" t="s">
        <v>917</v>
      </c>
      <c r="U1457" s="48" t="s">
        <v>102</v>
      </c>
      <c r="V1457" s="48" t="s">
        <v>857</v>
      </c>
      <c r="W1457" s="48"/>
    </row>
    <row r="1458" spans="1:23" ht="15.75" x14ac:dyDescent="0.25">
      <c r="A1458" s="48" t="s">
        <v>100</v>
      </c>
      <c r="B1458" s="49">
        <v>44990</v>
      </c>
      <c r="C1458" s="48" t="s">
        <v>930</v>
      </c>
      <c r="D1458" s="48" t="s">
        <v>441</v>
      </c>
      <c r="E1458" s="48" t="s">
        <v>856</v>
      </c>
      <c r="F1458" s="48" t="s">
        <v>21</v>
      </c>
      <c r="G1458" s="48" t="s">
        <v>22</v>
      </c>
      <c r="H1458" s="48" t="s">
        <v>27</v>
      </c>
      <c r="I1458" s="48" t="s">
        <v>101</v>
      </c>
      <c r="J1458" s="48" t="s">
        <v>72</v>
      </c>
      <c r="K1458" s="48" t="s">
        <v>22</v>
      </c>
      <c r="L1458" s="48" t="s">
        <v>1132</v>
      </c>
      <c r="M1458" s="48" t="s">
        <v>78</v>
      </c>
      <c r="N1458" s="48" t="s">
        <v>20</v>
      </c>
      <c r="O1458" s="48" t="s">
        <v>857</v>
      </c>
      <c r="P1458" s="50">
        <v>432854.49</v>
      </c>
      <c r="Q1458" s="50">
        <v>3.7559999999999998</v>
      </c>
      <c r="R1458" s="50">
        <v>1625801.4644399998</v>
      </c>
      <c r="S1458" s="74">
        <v>45041</v>
      </c>
      <c r="T1458" s="48" t="s">
        <v>917</v>
      </c>
      <c r="U1458" s="48" t="s">
        <v>102</v>
      </c>
      <c r="V1458" s="48" t="s">
        <v>857</v>
      </c>
      <c r="W1458" s="48"/>
    </row>
    <row r="1459" spans="1:23" ht="15.75" x14ac:dyDescent="0.25">
      <c r="A1459" s="48" t="s">
        <v>100</v>
      </c>
      <c r="B1459" s="49">
        <v>44990</v>
      </c>
      <c r="C1459" s="48" t="s">
        <v>929</v>
      </c>
      <c r="D1459" s="48" t="s">
        <v>441</v>
      </c>
      <c r="E1459" s="48" t="s">
        <v>856</v>
      </c>
      <c r="F1459" s="48" t="s">
        <v>21</v>
      </c>
      <c r="G1459" s="48" t="s">
        <v>22</v>
      </c>
      <c r="H1459" s="48" t="s">
        <v>27</v>
      </c>
      <c r="I1459" s="48" t="s">
        <v>101</v>
      </c>
      <c r="J1459" s="48" t="s">
        <v>72</v>
      </c>
      <c r="K1459" s="48" t="s">
        <v>22</v>
      </c>
      <c r="L1459" s="48" t="s">
        <v>1132</v>
      </c>
      <c r="M1459" s="48" t="s">
        <v>78</v>
      </c>
      <c r="N1459" s="48" t="s">
        <v>20</v>
      </c>
      <c r="O1459" s="48" t="s">
        <v>857</v>
      </c>
      <c r="P1459" s="50">
        <v>665944.51</v>
      </c>
      <c r="Q1459" s="50">
        <v>3.7559999999999998</v>
      </c>
      <c r="R1459" s="50">
        <v>2501287.57956</v>
      </c>
      <c r="S1459" s="74">
        <v>45041</v>
      </c>
      <c r="T1459" s="48" t="s">
        <v>917</v>
      </c>
      <c r="U1459" s="48" t="s">
        <v>102</v>
      </c>
      <c r="V1459" s="48" t="s">
        <v>857</v>
      </c>
      <c r="W1459" s="48"/>
    </row>
    <row r="1460" spans="1:23" ht="15.75" x14ac:dyDescent="0.25">
      <c r="A1460" s="48" t="s">
        <v>100</v>
      </c>
      <c r="B1460" s="49">
        <v>44990</v>
      </c>
      <c r="C1460" s="48" t="s">
        <v>922</v>
      </c>
      <c r="D1460" s="48" t="s">
        <v>441</v>
      </c>
      <c r="E1460" s="48" t="s">
        <v>856</v>
      </c>
      <c r="F1460" s="48" t="s">
        <v>21</v>
      </c>
      <c r="G1460" s="48" t="s">
        <v>22</v>
      </c>
      <c r="H1460" s="48" t="s">
        <v>27</v>
      </c>
      <c r="I1460" s="48" t="s">
        <v>101</v>
      </c>
      <c r="J1460" s="48" t="s">
        <v>72</v>
      </c>
      <c r="K1460" s="48" t="s">
        <v>22</v>
      </c>
      <c r="L1460" s="48" t="s">
        <v>1132</v>
      </c>
      <c r="M1460" s="48" t="s">
        <v>78</v>
      </c>
      <c r="N1460" s="48" t="s">
        <v>20</v>
      </c>
      <c r="O1460" s="48" t="s">
        <v>857</v>
      </c>
      <c r="P1460" s="50">
        <v>1872909.99</v>
      </c>
      <c r="Q1460" s="50">
        <v>3.7559999999999998</v>
      </c>
      <c r="R1460" s="50">
        <v>7034649.9224399999</v>
      </c>
      <c r="S1460" s="74">
        <v>45041</v>
      </c>
      <c r="T1460" s="48" t="s">
        <v>917</v>
      </c>
      <c r="U1460" s="48" t="s">
        <v>102</v>
      </c>
      <c r="V1460" s="48" t="s">
        <v>857</v>
      </c>
      <c r="W1460" s="48"/>
    </row>
    <row r="1461" spans="1:23" ht="15.75" x14ac:dyDescent="0.25">
      <c r="A1461" s="48" t="s">
        <v>160</v>
      </c>
      <c r="B1461" s="49">
        <v>45217</v>
      </c>
      <c r="C1461" s="48" t="s">
        <v>916</v>
      </c>
      <c r="D1461" s="48" t="s">
        <v>441</v>
      </c>
      <c r="E1461" s="48" t="s">
        <v>856</v>
      </c>
      <c r="F1461" s="48" t="s">
        <v>21</v>
      </c>
      <c r="G1461" s="48" t="s">
        <v>22</v>
      </c>
      <c r="H1461" s="48" t="s">
        <v>27</v>
      </c>
      <c r="I1461" s="48" t="s">
        <v>161</v>
      </c>
      <c r="J1461" s="48" t="s">
        <v>24</v>
      </c>
      <c r="K1461" s="48" t="s">
        <v>22</v>
      </c>
      <c r="L1461" s="48" t="s">
        <v>1132</v>
      </c>
      <c r="M1461" s="48" t="s">
        <v>26</v>
      </c>
      <c r="N1461" s="48" t="s">
        <v>20</v>
      </c>
      <c r="O1461" s="48" t="s">
        <v>857</v>
      </c>
      <c r="P1461" s="50">
        <v>400000</v>
      </c>
      <c r="Q1461" s="50">
        <v>1</v>
      </c>
      <c r="R1461" s="50">
        <v>400000</v>
      </c>
      <c r="S1461" s="74">
        <v>45041</v>
      </c>
      <c r="T1461" s="48" t="s">
        <v>917</v>
      </c>
      <c r="U1461" s="48" t="s">
        <v>22</v>
      </c>
      <c r="V1461" s="48" t="s">
        <v>857</v>
      </c>
      <c r="W1461" s="48"/>
    </row>
    <row r="1462" spans="1:23" ht="15.75" x14ac:dyDescent="0.25">
      <c r="A1462" s="48" t="s">
        <v>100</v>
      </c>
      <c r="B1462" s="49">
        <v>45006</v>
      </c>
      <c r="C1462" s="48" t="s">
        <v>926</v>
      </c>
      <c r="D1462" s="48" t="s">
        <v>441</v>
      </c>
      <c r="E1462" s="48" t="s">
        <v>856</v>
      </c>
      <c r="F1462" s="48" t="s">
        <v>21</v>
      </c>
      <c r="G1462" s="48" t="s">
        <v>22</v>
      </c>
      <c r="H1462" s="48" t="s">
        <v>27</v>
      </c>
      <c r="I1462" s="48" t="s">
        <v>101</v>
      </c>
      <c r="J1462" s="48" t="s">
        <v>72</v>
      </c>
      <c r="K1462" s="48" t="s">
        <v>22</v>
      </c>
      <c r="L1462" s="48" t="s">
        <v>1132</v>
      </c>
      <c r="M1462" s="48" t="s">
        <v>78</v>
      </c>
      <c r="N1462" s="48" t="s">
        <v>20</v>
      </c>
      <c r="O1462" s="48" t="s">
        <v>857</v>
      </c>
      <c r="P1462" s="50">
        <v>2482801.86</v>
      </c>
      <c r="Q1462" s="50">
        <v>3.7572000000000001</v>
      </c>
      <c r="R1462" s="50">
        <v>9328383.1483919993</v>
      </c>
      <c r="S1462" s="74">
        <v>45041</v>
      </c>
      <c r="T1462" s="48" t="s">
        <v>917</v>
      </c>
      <c r="U1462" s="48" t="s">
        <v>102</v>
      </c>
      <c r="V1462" s="48" t="s">
        <v>857</v>
      </c>
      <c r="W1462" s="48"/>
    </row>
    <row r="1463" spans="1:23" ht="15.75" x14ac:dyDescent="0.25">
      <c r="A1463" s="48" t="s">
        <v>100</v>
      </c>
      <c r="B1463" s="49">
        <v>45055</v>
      </c>
      <c r="C1463" s="48" t="s">
        <v>1022</v>
      </c>
      <c r="D1463" s="48" t="s">
        <v>441</v>
      </c>
      <c r="E1463" s="48" t="s">
        <v>856</v>
      </c>
      <c r="F1463" s="48" t="s">
        <v>21</v>
      </c>
      <c r="G1463" s="48" t="s">
        <v>22</v>
      </c>
      <c r="H1463" s="48" t="s">
        <v>27</v>
      </c>
      <c r="I1463" s="48" t="s">
        <v>101</v>
      </c>
      <c r="J1463" s="48" t="s">
        <v>72</v>
      </c>
      <c r="K1463" s="48" t="s">
        <v>22</v>
      </c>
      <c r="L1463" s="48" t="s">
        <v>1132</v>
      </c>
      <c r="M1463" s="48" t="s">
        <v>78</v>
      </c>
      <c r="N1463" s="48" t="s">
        <v>20</v>
      </c>
      <c r="O1463" s="48" t="s">
        <v>857</v>
      </c>
      <c r="P1463" s="50">
        <v>209297.4</v>
      </c>
      <c r="Q1463" s="50">
        <v>3.7534999999999998</v>
      </c>
      <c r="R1463" s="50">
        <v>785597.79089999991</v>
      </c>
      <c r="S1463" s="74">
        <v>45041</v>
      </c>
      <c r="T1463" s="48" t="s">
        <v>917</v>
      </c>
      <c r="U1463" s="48" t="s">
        <v>102</v>
      </c>
      <c r="V1463" s="48" t="s">
        <v>857</v>
      </c>
      <c r="W1463" s="48"/>
    </row>
    <row r="1464" spans="1:23" ht="15.75" x14ac:dyDescent="0.25">
      <c r="A1464" s="48" t="s">
        <v>100</v>
      </c>
      <c r="B1464" s="49">
        <v>45061</v>
      </c>
      <c r="C1464" s="48" t="s">
        <v>1012</v>
      </c>
      <c r="D1464" s="48" t="s">
        <v>441</v>
      </c>
      <c r="E1464" s="48" t="s">
        <v>856</v>
      </c>
      <c r="F1464" s="48" t="s">
        <v>21</v>
      </c>
      <c r="G1464" s="48" t="s">
        <v>22</v>
      </c>
      <c r="H1464" s="48" t="s">
        <v>27</v>
      </c>
      <c r="I1464" s="48" t="s">
        <v>101</v>
      </c>
      <c r="J1464" s="48" t="s">
        <v>72</v>
      </c>
      <c r="K1464" s="48" t="s">
        <v>22</v>
      </c>
      <c r="L1464" s="48" t="s">
        <v>1132</v>
      </c>
      <c r="M1464" s="48" t="s">
        <v>78</v>
      </c>
      <c r="N1464" s="48" t="s">
        <v>20</v>
      </c>
      <c r="O1464" s="48" t="s">
        <v>857</v>
      </c>
      <c r="P1464" s="50">
        <v>393135.82</v>
      </c>
      <c r="Q1464" s="50">
        <v>3.7530000000000001</v>
      </c>
      <c r="R1464" s="50">
        <v>1475438.7324600001</v>
      </c>
      <c r="S1464" s="74">
        <v>45041</v>
      </c>
      <c r="T1464" s="48" t="s">
        <v>917</v>
      </c>
      <c r="U1464" s="48" t="s">
        <v>102</v>
      </c>
      <c r="V1464" s="48" t="s">
        <v>857</v>
      </c>
      <c r="W1464" s="48"/>
    </row>
    <row r="1465" spans="1:23" ht="15.75" x14ac:dyDescent="0.25">
      <c r="A1465" s="48" t="s">
        <v>103</v>
      </c>
      <c r="B1465" s="49">
        <v>45029</v>
      </c>
      <c r="C1465" s="48" t="s">
        <v>916</v>
      </c>
      <c r="D1465" s="48" t="s">
        <v>441</v>
      </c>
      <c r="E1465" s="48" t="s">
        <v>856</v>
      </c>
      <c r="F1465" s="48" t="s">
        <v>21</v>
      </c>
      <c r="G1465" s="48" t="s">
        <v>22</v>
      </c>
      <c r="H1465" s="48" t="s">
        <v>27</v>
      </c>
      <c r="I1465" s="48" t="s">
        <v>104</v>
      </c>
      <c r="J1465" s="48" t="s">
        <v>72</v>
      </c>
      <c r="K1465" s="48" t="s">
        <v>22</v>
      </c>
      <c r="L1465" s="48" t="s">
        <v>1132</v>
      </c>
      <c r="M1465" s="48" t="s">
        <v>78</v>
      </c>
      <c r="N1465" s="48" t="s">
        <v>20</v>
      </c>
      <c r="O1465" s="48" t="s">
        <v>857</v>
      </c>
      <c r="P1465" s="50">
        <v>2279053.16</v>
      </c>
      <c r="Q1465" s="50">
        <v>3.7534999999999998</v>
      </c>
      <c r="R1465" s="50">
        <v>8554426.0360599998</v>
      </c>
      <c r="S1465" s="74">
        <v>45041</v>
      </c>
      <c r="T1465" s="48" t="s">
        <v>917</v>
      </c>
      <c r="U1465" s="48" t="s">
        <v>102</v>
      </c>
      <c r="V1465" s="48" t="s">
        <v>857</v>
      </c>
      <c r="W1465" s="48"/>
    </row>
    <row r="1466" spans="1:23" ht="15.75" x14ac:dyDescent="0.25">
      <c r="A1466" s="48" t="s">
        <v>153</v>
      </c>
      <c r="B1466" s="49">
        <v>45167</v>
      </c>
      <c r="C1466" s="48" t="s">
        <v>916</v>
      </c>
      <c r="D1466" s="48" t="s">
        <v>441</v>
      </c>
      <c r="E1466" s="48" t="s">
        <v>856</v>
      </c>
      <c r="F1466" s="48" t="s">
        <v>21</v>
      </c>
      <c r="G1466" s="48" t="s">
        <v>22</v>
      </c>
      <c r="H1466" s="48" t="s">
        <v>27</v>
      </c>
      <c r="I1466" s="48" t="s">
        <v>39</v>
      </c>
      <c r="J1466" s="48" t="s">
        <v>24</v>
      </c>
      <c r="K1466" s="48" t="s">
        <v>22</v>
      </c>
      <c r="L1466" s="48" t="s">
        <v>1132</v>
      </c>
      <c r="M1466" s="48" t="s">
        <v>26</v>
      </c>
      <c r="N1466" s="48" t="s">
        <v>20</v>
      </c>
      <c r="O1466" s="48" t="s">
        <v>857</v>
      </c>
      <c r="P1466" s="50">
        <v>752957.98</v>
      </c>
      <c r="Q1466" s="50">
        <v>1</v>
      </c>
      <c r="R1466" s="50">
        <v>752957.98</v>
      </c>
      <c r="S1466" s="74">
        <v>45041</v>
      </c>
      <c r="T1466" s="48" t="s">
        <v>917</v>
      </c>
      <c r="U1466" s="48" t="s">
        <v>22</v>
      </c>
      <c r="V1466" s="48" t="s">
        <v>857</v>
      </c>
      <c r="W1466" s="48"/>
    </row>
    <row r="1467" spans="1:23" ht="15.75" x14ac:dyDescent="0.25">
      <c r="A1467" s="48" t="s">
        <v>151</v>
      </c>
      <c r="B1467" s="49">
        <v>45208</v>
      </c>
      <c r="C1467" s="48" t="s">
        <v>916</v>
      </c>
      <c r="D1467" s="48" t="s">
        <v>441</v>
      </c>
      <c r="E1467" s="48" t="s">
        <v>856</v>
      </c>
      <c r="F1467" s="48" t="s">
        <v>21</v>
      </c>
      <c r="G1467" s="48" t="s">
        <v>22</v>
      </c>
      <c r="H1467" s="48" t="s">
        <v>27</v>
      </c>
      <c r="I1467" s="48" t="s">
        <v>152</v>
      </c>
      <c r="J1467" s="48" t="s">
        <v>24</v>
      </c>
      <c r="K1467" s="48" t="s">
        <v>22</v>
      </c>
      <c r="L1467" s="48" t="s">
        <v>1132</v>
      </c>
      <c r="M1467" s="48" t="s">
        <v>26</v>
      </c>
      <c r="N1467" s="48" t="s">
        <v>20</v>
      </c>
      <c r="O1467" s="48" t="s">
        <v>857</v>
      </c>
      <c r="P1467" s="50">
        <v>1000000</v>
      </c>
      <c r="Q1467" s="50">
        <v>1</v>
      </c>
      <c r="R1467" s="50">
        <v>1000000</v>
      </c>
      <c r="S1467" s="74">
        <v>45041</v>
      </c>
      <c r="T1467" s="48" t="s">
        <v>35</v>
      </c>
      <c r="U1467" s="48" t="s">
        <v>22</v>
      </c>
      <c r="V1467" s="48" t="s">
        <v>857</v>
      </c>
      <c r="W1467" s="48"/>
    </row>
    <row r="1468" spans="1:23" ht="15.75" x14ac:dyDescent="0.25">
      <c r="A1468" s="48" t="s">
        <v>141</v>
      </c>
      <c r="B1468" s="49">
        <v>45223</v>
      </c>
      <c r="C1468" s="48" t="s">
        <v>916</v>
      </c>
      <c r="D1468" s="48" t="s">
        <v>441</v>
      </c>
      <c r="E1468" s="48" t="s">
        <v>856</v>
      </c>
      <c r="F1468" s="48" t="s">
        <v>21</v>
      </c>
      <c r="G1468" s="48" t="s">
        <v>22</v>
      </c>
      <c r="H1468" s="48" t="s">
        <v>27</v>
      </c>
      <c r="I1468" s="48" t="s">
        <v>142</v>
      </c>
      <c r="J1468" s="48" t="s">
        <v>24</v>
      </c>
      <c r="K1468" s="48" t="s">
        <v>22</v>
      </c>
      <c r="L1468" s="48" t="s">
        <v>1132</v>
      </c>
      <c r="M1468" s="48" t="s">
        <v>26</v>
      </c>
      <c r="N1468" s="48" t="s">
        <v>20</v>
      </c>
      <c r="O1468" s="48" t="s">
        <v>857</v>
      </c>
      <c r="P1468" s="50">
        <v>4000000</v>
      </c>
      <c r="Q1468" s="50">
        <v>1</v>
      </c>
      <c r="R1468" s="50">
        <v>4000000</v>
      </c>
      <c r="S1468" s="74">
        <v>45041</v>
      </c>
      <c r="T1468" s="48" t="s">
        <v>917</v>
      </c>
      <c r="U1468" s="48" t="s">
        <v>22</v>
      </c>
      <c r="V1468" s="48" t="s">
        <v>857</v>
      </c>
      <c r="W1468" s="48"/>
    </row>
    <row r="1469" spans="1:23" ht="15.75" x14ac:dyDescent="0.25">
      <c r="A1469" s="48" t="s">
        <v>135</v>
      </c>
      <c r="B1469" s="49">
        <v>45189</v>
      </c>
      <c r="C1469" s="48" t="s">
        <v>916</v>
      </c>
      <c r="D1469" s="48" t="s">
        <v>441</v>
      </c>
      <c r="E1469" s="48" t="s">
        <v>856</v>
      </c>
      <c r="F1469" s="48" t="s">
        <v>21</v>
      </c>
      <c r="G1469" s="48" t="s">
        <v>22</v>
      </c>
      <c r="H1469" s="48" t="s">
        <v>27</v>
      </c>
      <c r="I1469" s="48" t="s">
        <v>136</v>
      </c>
      <c r="J1469" s="48" t="s">
        <v>24</v>
      </c>
      <c r="K1469" s="48" t="s">
        <v>22</v>
      </c>
      <c r="L1469" s="48" t="s">
        <v>1132</v>
      </c>
      <c r="M1469" s="48" t="s">
        <v>26</v>
      </c>
      <c r="N1469" s="48" t="s">
        <v>20</v>
      </c>
      <c r="O1469" s="48" t="s">
        <v>857</v>
      </c>
      <c r="P1469" s="50">
        <v>786746.67</v>
      </c>
      <c r="Q1469" s="50">
        <v>1</v>
      </c>
      <c r="R1469" s="50">
        <v>786746.67</v>
      </c>
      <c r="S1469" s="74">
        <v>45041</v>
      </c>
      <c r="T1469" s="48" t="s">
        <v>917</v>
      </c>
      <c r="U1469" s="48" t="s">
        <v>22</v>
      </c>
      <c r="V1469" s="48" t="s">
        <v>857</v>
      </c>
      <c r="W1469" s="48"/>
    </row>
    <row r="1470" spans="1:23" ht="15.75" x14ac:dyDescent="0.25">
      <c r="A1470" s="48" t="s">
        <v>132</v>
      </c>
      <c r="B1470" s="49">
        <v>45181</v>
      </c>
      <c r="C1470" s="48" t="s">
        <v>918</v>
      </c>
      <c r="D1470" s="48" t="s">
        <v>441</v>
      </c>
      <c r="E1470" s="48" t="s">
        <v>856</v>
      </c>
      <c r="F1470" s="48" t="s">
        <v>21</v>
      </c>
      <c r="G1470" s="48" t="s">
        <v>22</v>
      </c>
      <c r="H1470" s="48" t="s">
        <v>27</v>
      </c>
      <c r="I1470" s="48" t="s">
        <v>133</v>
      </c>
      <c r="J1470" s="48" t="s">
        <v>24</v>
      </c>
      <c r="K1470" s="48" t="s">
        <v>22</v>
      </c>
      <c r="L1470" s="48" t="s">
        <v>1132</v>
      </c>
      <c r="M1470" s="48" t="s">
        <v>26</v>
      </c>
      <c r="N1470" s="48" t="s">
        <v>20</v>
      </c>
      <c r="O1470" s="48" t="s">
        <v>857</v>
      </c>
      <c r="P1470" s="50">
        <v>230993.76</v>
      </c>
      <c r="Q1470" s="50">
        <v>1</v>
      </c>
      <c r="R1470" s="50">
        <v>230993.76</v>
      </c>
      <c r="S1470" s="74">
        <v>45041</v>
      </c>
      <c r="T1470" s="48" t="s">
        <v>917</v>
      </c>
      <c r="U1470" s="48" t="s">
        <v>22</v>
      </c>
      <c r="V1470" s="48" t="s">
        <v>857</v>
      </c>
      <c r="W1470" s="48"/>
    </row>
    <row r="1471" spans="1:23" ht="15.75" x14ac:dyDescent="0.25">
      <c r="A1471" s="48" t="s">
        <v>132</v>
      </c>
      <c r="B1471" s="49">
        <v>45181</v>
      </c>
      <c r="C1471" s="48" t="s">
        <v>916</v>
      </c>
      <c r="D1471" s="48" t="s">
        <v>441</v>
      </c>
      <c r="E1471" s="48" t="s">
        <v>856</v>
      </c>
      <c r="F1471" s="48" t="s">
        <v>21</v>
      </c>
      <c r="G1471" s="48" t="s">
        <v>22</v>
      </c>
      <c r="H1471" s="48" t="s">
        <v>27</v>
      </c>
      <c r="I1471" s="48" t="s">
        <v>133</v>
      </c>
      <c r="J1471" s="48" t="s">
        <v>24</v>
      </c>
      <c r="K1471" s="48" t="s">
        <v>22</v>
      </c>
      <c r="L1471" s="48" t="s">
        <v>1132</v>
      </c>
      <c r="M1471" s="48" t="s">
        <v>26</v>
      </c>
      <c r="N1471" s="48" t="s">
        <v>20</v>
      </c>
      <c r="O1471" s="48" t="s">
        <v>857</v>
      </c>
      <c r="P1471" s="50">
        <v>1185458</v>
      </c>
      <c r="Q1471" s="50">
        <v>1</v>
      </c>
      <c r="R1471" s="50">
        <v>1185458</v>
      </c>
      <c r="S1471" s="74">
        <v>45041</v>
      </c>
      <c r="T1471" s="48" t="s">
        <v>917</v>
      </c>
      <c r="U1471" s="48" t="s">
        <v>22</v>
      </c>
      <c r="V1471" s="48" t="s">
        <v>857</v>
      </c>
      <c r="W1471" s="48"/>
    </row>
    <row r="1472" spans="1:23" ht="15.75" x14ac:dyDescent="0.25">
      <c r="A1472" s="48" t="s">
        <v>128</v>
      </c>
      <c r="B1472" s="49">
        <v>45196</v>
      </c>
      <c r="C1472" s="48" t="s">
        <v>916</v>
      </c>
      <c r="D1472" s="48" t="s">
        <v>441</v>
      </c>
      <c r="E1472" s="48" t="s">
        <v>856</v>
      </c>
      <c r="F1472" s="48" t="s">
        <v>21</v>
      </c>
      <c r="G1472" s="48" t="s">
        <v>22</v>
      </c>
      <c r="H1472" s="48" t="s">
        <v>27</v>
      </c>
      <c r="I1472" s="48" t="s">
        <v>129</v>
      </c>
      <c r="J1472" s="48" t="s">
        <v>24</v>
      </c>
      <c r="K1472" s="48" t="s">
        <v>22</v>
      </c>
      <c r="L1472" s="48" t="s">
        <v>1132</v>
      </c>
      <c r="M1472" s="48" t="s">
        <v>26</v>
      </c>
      <c r="N1472" s="48" t="s">
        <v>20</v>
      </c>
      <c r="O1472" s="48" t="s">
        <v>857</v>
      </c>
      <c r="P1472" s="50">
        <v>1476799.72</v>
      </c>
      <c r="Q1472" s="50">
        <v>1</v>
      </c>
      <c r="R1472" s="50">
        <v>1476799.72</v>
      </c>
      <c r="S1472" s="74">
        <v>45041</v>
      </c>
      <c r="T1472" s="48" t="s">
        <v>917</v>
      </c>
      <c r="U1472" s="48" t="s">
        <v>22</v>
      </c>
      <c r="V1472" s="48" t="s">
        <v>857</v>
      </c>
      <c r="W1472" s="48"/>
    </row>
    <row r="1473" spans="1:23" ht="15.75" x14ac:dyDescent="0.25">
      <c r="A1473" s="48" t="s">
        <v>116</v>
      </c>
      <c r="B1473" s="49">
        <v>45090</v>
      </c>
      <c r="C1473" s="48" t="s">
        <v>916</v>
      </c>
      <c r="D1473" s="48" t="s">
        <v>441</v>
      </c>
      <c r="E1473" s="48" t="s">
        <v>856</v>
      </c>
      <c r="F1473" s="48" t="s">
        <v>21</v>
      </c>
      <c r="G1473" s="48" t="s">
        <v>22</v>
      </c>
      <c r="H1473" s="48" t="s">
        <v>27</v>
      </c>
      <c r="I1473" s="48" t="s">
        <v>23</v>
      </c>
      <c r="J1473" s="48" t="s">
        <v>24</v>
      </c>
      <c r="K1473" s="48" t="s">
        <v>22</v>
      </c>
      <c r="L1473" s="48" t="s">
        <v>1132</v>
      </c>
      <c r="M1473" s="48" t="s">
        <v>26</v>
      </c>
      <c r="N1473" s="48" t="s">
        <v>20</v>
      </c>
      <c r="O1473" s="48" t="s">
        <v>857</v>
      </c>
      <c r="P1473" s="50">
        <v>2573125</v>
      </c>
      <c r="Q1473" s="50">
        <v>1</v>
      </c>
      <c r="R1473" s="50">
        <v>2573125</v>
      </c>
      <c r="S1473" s="74">
        <v>45041</v>
      </c>
      <c r="T1473" s="48" t="s">
        <v>117</v>
      </c>
      <c r="U1473" s="48" t="s">
        <v>22</v>
      </c>
      <c r="V1473" s="48" t="s">
        <v>857</v>
      </c>
      <c r="W1473" s="48"/>
    </row>
    <row r="1474" spans="1:23" ht="15.75" x14ac:dyDescent="0.25">
      <c r="A1474" s="48" t="s">
        <v>122</v>
      </c>
      <c r="B1474" s="49">
        <v>45145</v>
      </c>
      <c r="C1474" s="48" t="s">
        <v>916</v>
      </c>
      <c r="D1474" s="48" t="s">
        <v>441</v>
      </c>
      <c r="E1474" s="48" t="s">
        <v>856</v>
      </c>
      <c r="F1474" s="48" t="s">
        <v>21</v>
      </c>
      <c r="G1474" s="48" t="s">
        <v>22</v>
      </c>
      <c r="H1474" s="48" t="s">
        <v>27</v>
      </c>
      <c r="I1474" s="48" t="s">
        <v>23</v>
      </c>
      <c r="J1474" s="48" t="s">
        <v>24</v>
      </c>
      <c r="K1474" s="48" t="s">
        <v>22</v>
      </c>
      <c r="L1474" s="48" t="s">
        <v>1132</v>
      </c>
      <c r="M1474" s="48" t="s">
        <v>26</v>
      </c>
      <c r="N1474" s="48" t="s">
        <v>20</v>
      </c>
      <c r="O1474" s="48" t="s">
        <v>857</v>
      </c>
      <c r="P1474" s="50">
        <v>2504099.35</v>
      </c>
      <c r="Q1474" s="50">
        <v>1</v>
      </c>
      <c r="R1474" s="50">
        <v>2504099.35</v>
      </c>
      <c r="S1474" s="74">
        <v>45041</v>
      </c>
      <c r="T1474" s="48" t="s">
        <v>117</v>
      </c>
      <c r="U1474" s="48" t="s">
        <v>22</v>
      </c>
      <c r="V1474" s="48" t="s">
        <v>857</v>
      </c>
      <c r="W1474" s="48"/>
    </row>
    <row r="1475" spans="1:23" ht="15.75" x14ac:dyDescent="0.25">
      <c r="A1475" s="48" t="s">
        <v>120</v>
      </c>
      <c r="B1475" s="49">
        <v>45173</v>
      </c>
      <c r="C1475" s="48" t="s">
        <v>916</v>
      </c>
      <c r="D1475" s="48" t="s">
        <v>441</v>
      </c>
      <c r="E1475" s="48" t="s">
        <v>856</v>
      </c>
      <c r="F1475" s="48" t="s">
        <v>21</v>
      </c>
      <c r="G1475" s="48" t="s">
        <v>22</v>
      </c>
      <c r="H1475" s="48" t="s">
        <v>27</v>
      </c>
      <c r="I1475" s="48" t="s">
        <v>121</v>
      </c>
      <c r="J1475" s="48" t="s">
        <v>24</v>
      </c>
      <c r="K1475" s="48" t="s">
        <v>22</v>
      </c>
      <c r="L1475" s="48" t="s">
        <v>1132</v>
      </c>
      <c r="M1475" s="48" t="s">
        <v>26</v>
      </c>
      <c r="N1475" s="48" t="s">
        <v>20</v>
      </c>
      <c r="O1475" s="48" t="s">
        <v>857</v>
      </c>
      <c r="P1475" s="50">
        <v>2200000</v>
      </c>
      <c r="Q1475" s="50">
        <v>1</v>
      </c>
      <c r="R1475" s="50">
        <v>2200000</v>
      </c>
      <c r="S1475" s="74">
        <v>45041</v>
      </c>
      <c r="T1475" s="48" t="s">
        <v>117</v>
      </c>
      <c r="U1475" s="48" t="s">
        <v>22</v>
      </c>
      <c r="V1475" s="48" t="s">
        <v>857</v>
      </c>
      <c r="W1475" s="48"/>
    </row>
    <row r="1476" spans="1:23" ht="15.75" x14ac:dyDescent="0.25">
      <c r="A1476" s="48" t="s">
        <v>118</v>
      </c>
      <c r="B1476" s="49">
        <v>45140</v>
      </c>
      <c r="C1476" s="48" t="s">
        <v>916</v>
      </c>
      <c r="D1476" s="48" t="s">
        <v>441</v>
      </c>
      <c r="E1476" s="48" t="s">
        <v>856</v>
      </c>
      <c r="F1476" s="48" t="s">
        <v>21</v>
      </c>
      <c r="G1476" s="48" t="s">
        <v>22</v>
      </c>
      <c r="H1476" s="48" t="s">
        <v>27</v>
      </c>
      <c r="I1476" s="48" t="s">
        <v>119</v>
      </c>
      <c r="J1476" s="48" t="s">
        <v>24</v>
      </c>
      <c r="K1476" s="48" t="s">
        <v>22</v>
      </c>
      <c r="L1476" s="48" t="s">
        <v>1132</v>
      </c>
      <c r="M1476" s="48" t="s">
        <v>26</v>
      </c>
      <c r="N1476" s="48" t="s">
        <v>20</v>
      </c>
      <c r="O1476" s="48" t="s">
        <v>857</v>
      </c>
      <c r="P1476" s="50">
        <v>7364224.5800000001</v>
      </c>
      <c r="Q1476" s="50">
        <v>1</v>
      </c>
      <c r="R1476" s="50">
        <v>7364224.5800000001</v>
      </c>
      <c r="S1476" s="74">
        <v>45041</v>
      </c>
      <c r="T1476" s="48" t="s">
        <v>35</v>
      </c>
      <c r="U1476" s="48" t="s">
        <v>22</v>
      </c>
      <c r="V1476" s="48" t="s">
        <v>857</v>
      </c>
      <c r="W1476" s="48"/>
    </row>
    <row r="1477" spans="1:23" ht="15.75" x14ac:dyDescent="0.25">
      <c r="A1477" s="48" t="s">
        <v>114</v>
      </c>
      <c r="B1477" s="49">
        <v>45081</v>
      </c>
      <c r="C1477" s="48" t="s">
        <v>916</v>
      </c>
      <c r="D1477" s="48" t="s">
        <v>441</v>
      </c>
      <c r="E1477" s="48" t="s">
        <v>856</v>
      </c>
      <c r="F1477" s="48" t="s">
        <v>21</v>
      </c>
      <c r="G1477" s="48" t="s">
        <v>22</v>
      </c>
      <c r="H1477" s="48" t="s">
        <v>27</v>
      </c>
      <c r="I1477" s="48" t="s">
        <v>115</v>
      </c>
      <c r="J1477" s="48" t="s">
        <v>24</v>
      </c>
      <c r="K1477" s="48" t="s">
        <v>22</v>
      </c>
      <c r="L1477" s="48" t="s">
        <v>1132</v>
      </c>
      <c r="M1477" s="48" t="s">
        <v>26</v>
      </c>
      <c r="N1477" s="48" t="s">
        <v>20</v>
      </c>
      <c r="O1477" s="48" t="s">
        <v>857</v>
      </c>
      <c r="P1477" s="50">
        <v>1603107.56</v>
      </c>
      <c r="Q1477" s="50">
        <v>1</v>
      </c>
      <c r="R1477" s="50">
        <v>1603107.56</v>
      </c>
      <c r="S1477" s="74">
        <v>45041</v>
      </c>
      <c r="T1477" s="48" t="s">
        <v>917</v>
      </c>
      <c r="U1477" s="48" t="s">
        <v>22</v>
      </c>
      <c r="V1477" s="48" t="s">
        <v>857</v>
      </c>
      <c r="W1477" s="48"/>
    </row>
    <row r="1478" spans="1:23" ht="15.75" x14ac:dyDescent="0.25">
      <c r="A1478" s="48" t="s">
        <v>111</v>
      </c>
      <c r="B1478" s="49">
        <v>45075</v>
      </c>
      <c r="C1478" s="48" t="s">
        <v>916</v>
      </c>
      <c r="D1478" s="48" t="s">
        <v>441</v>
      </c>
      <c r="E1478" s="48" t="s">
        <v>856</v>
      </c>
      <c r="F1478" s="48" t="s">
        <v>21</v>
      </c>
      <c r="G1478" s="48" t="s">
        <v>22</v>
      </c>
      <c r="H1478" s="48" t="s">
        <v>27</v>
      </c>
      <c r="I1478" s="48" t="s">
        <v>23</v>
      </c>
      <c r="J1478" s="48" t="s">
        <v>24</v>
      </c>
      <c r="K1478" s="48" t="s">
        <v>22</v>
      </c>
      <c r="L1478" s="48" t="s">
        <v>1132</v>
      </c>
      <c r="M1478" s="48" t="s">
        <v>26</v>
      </c>
      <c r="N1478" s="48" t="s">
        <v>20</v>
      </c>
      <c r="O1478" s="48" t="s">
        <v>857</v>
      </c>
      <c r="P1478" s="50">
        <v>1725000</v>
      </c>
      <c r="Q1478" s="50">
        <v>1</v>
      </c>
      <c r="R1478" s="50">
        <v>1725000</v>
      </c>
      <c r="S1478" s="74">
        <v>45041</v>
      </c>
      <c r="T1478" s="48" t="s">
        <v>917</v>
      </c>
      <c r="U1478" s="48" t="s">
        <v>22</v>
      </c>
      <c r="V1478" s="48" t="s">
        <v>857</v>
      </c>
      <c r="W1478" s="48"/>
    </row>
    <row r="1479" spans="1:23" ht="15.75" x14ac:dyDescent="0.25">
      <c r="A1479" s="48" t="s">
        <v>110</v>
      </c>
      <c r="B1479" s="49">
        <v>45081</v>
      </c>
      <c r="C1479" s="48" t="s">
        <v>916</v>
      </c>
      <c r="D1479" s="48" t="s">
        <v>441</v>
      </c>
      <c r="E1479" s="48" t="s">
        <v>856</v>
      </c>
      <c r="F1479" s="48" t="s">
        <v>21</v>
      </c>
      <c r="G1479" s="48" t="s">
        <v>22</v>
      </c>
      <c r="H1479" s="48" t="s">
        <v>27</v>
      </c>
      <c r="I1479" s="48" t="s">
        <v>109</v>
      </c>
      <c r="J1479" s="48" t="s">
        <v>24</v>
      </c>
      <c r="K1479" s="48" t="s">
        <v>22</v>
      </c>
      <c r="L1479" s="48" t="s">
        <v>1132</v>
      </c>
      <c r="M1479" s="48" t="s">
        <v>26</v>
      </c>
      <c r="N1479" s="48" t="s">
        <v>20</v>
      </c>
      <c r="O1479" s="48" t="s">
        <v>857</v>
      </c>
      <c r="P1479" s="50">
        <v>7788301.3200000003</v>
      </c>
      <c r="Q1479" s="50">
        <v>1</v>
      </c>
      <c r="R1479" s="50">
        <v>7788301.3200000003</v>
      </c>
      <c r="S1479" s="74">
        <v>45041</v>
      </c>
      <c r="T1479" s="48" t="s">
        <v>917</v>
      </c>
      <c r="U1479" s="48" t="s">
        <v>22</v>
      </c>
      <c r="V1479" s="48" t="s">
        <v>857</v>
      </c>
      <c r="W1479" s="48"/>
    </row>
    <row r="1480" spans="1:23" ht="15.75" x14ac:dyDescent="0.25">
      <c r="A1480" s="48" t="s">
        <v>108</v>
      </c>
      <c r="B1480" s="49">
        <v>45081</v>
      </c>
      <c r="C1480" s="48" t="s">
        <v>916</v>
      </c>
      <c r="D1480" s="48" t="s">
        <v>441</v>
      </c>
      <c r="E1480" s="48" t="s">
        <v>856</v>
      </c>
      <c r="F1480" s="48" t="s">
        <v>21</v>
      </c>
      <c r="G1480" s="48" t="s">
        <v>22</v>
      </c>
      <c r="H1480" s="48" t="s">
        <v>27</v>
      </c>
      <c r="I1480" s="48" t="s">
        <v>109</v>
      </c>
      <c r="J1480" s="48" t="s">
        <v>24</v>
      </c>
      <c r="K1480" s="48" t="s">
        <v>22</v>
      </c>
      <c r="L1480" s="48" t="s">
        <v>1132</v>
      </c>
      <c r="M1480" s="48" t="s">
        <v>26</v>
      </c>
      <c r="N1480" s="48" t="s">
        <v>20</v>
      </c>
      <c r="O1480" s="48" t="s">
        <v>857</v>
      </c>
      <c r="P1480" s="50">
        <v>891560.04</v>
      </c>
      <c r="Q1480" s="50">
        <v>1</v>
      </c>
      <c r="R1480" s="50">
        <v>891560.04</v>
      </c>
      <c r="S1480" s="74">
        <v>45041</v>
      </c>
      <c r="T1480" s="48" t="s">
        <v>917</v>
      </c>
      <c r="U1480" s="48" t="s">
        <v>22</v>
      </c>
      <c r="V1480" s="48" t="s">
        <v>857</v>
      </c>
      <c r="W1480" s="48"/>
    </row>
    <row r="1481" spans="1:23" ht="15.75" x14ac:dyDescent="0.25">
      <c r="A1481" s="48" t="s">
        <v>100</v>
      </c>
      <c r="B1481" s="49">
        <v>44983</v>
      </c>
      <c r="C1481" s="48" t="s">
        <v>928</v>
      </c>
      <c r="D1481" s="48" t="s">
        <v>441</v>
      </c>
      <c r="E1481" s="48" t="s">
        <v>856</v>
      </c>
      <c r="F1481" s="48" t="s">
        <v>21</v>
      </c>
      <c r="G1481" s="48" t="s">
        <v>22</v>
      </c>
      <c r="H1481" s="48" t="s">
        <v>27</v>
      </c>
      <c r="I1481" s="48" t="s">
        <v>101</v>
      </c>
      <c r="J1481" s="48" t="s">
        <v>72</v>
      </c>
      <c r="K1481" s="48" t="s">
        <v>22</v>
      </c>
      <c r="L1481" s="48" t="s">
        <v>1132</v>
      </c>
      <c r="M1481" s="48" t="s">
        <v>78</v>
      </c>
      <c r="N1481" s="48" t="s">
        <v>20</v>
      </c>
      <c r="O1481" s="48" t="s">
        <v>857</v>
      </c>
      <c r="P1481" s="50">
        <v>447584.24</v>
      </c>
      <c r="Q1481" s="50">
        <v>3.7549999999999999</v>
      </c>
      <c r="R1481" s="50">
        <v>1680678.8211999999</v>
      </c>
      <c r="S1481" s="74">
        <v>45041</v>
      </c>
      <c r="T1481" s="48" t="s">
        <v>917</v>
      </c>
      <c r="U1481" s="48" t="s">
        <v>102</v>
      </c>
      <c r="V1481" s="48" t="s">
        <v>857</v>
      </c>
      <c r="W1481" s="48"/>
    </row>
    <row r="1482" spans="1:23" ht="15.75" x14ac:dyDescent="0.25">
      <c r="A1482" s="48" t="s">
        <v>210</v>
      </c>
      <c r="B1482" s="49">
        <v>45326</v>
      </c>
      <c r="C1482" s="48" t="s">
        <v>916</v>
      </c>
      <c r="D1482" s="48" t="s">
        <v>509</v>
      </c>
      <c r="E1482" s="48" t="s">
        <v>856</v>
      </c>
      <c r="F1482" s="48" t="s">
        <v>62</v>
      </c>
      <c r="G1482" s="48" t="s">
        <v>63</v>
      </c>
      <c r="H1482" s="48" t="s">
        <v>27</v>
      </c>
      <c r="I1482" s="48" t="s">
        <v>97</v>
      </c>
      <c r="J1482" s="48" t="s">
        <v>72</v>
      </c>
      <c r="K1482" s="48" t="s">
        <v>77</v>
      </c>
      <c r="L1482" s="48" t="s">
        <v>1143</v>
      </c>
      <c r="M1482" s="48" t="s">
        <v>67</v>
      </c>
      <c r="N1482" s="48" t="s">
        <v>20</v>
      </c>
      <c r="O1482" s="48" t="s">
        <v>857</v>
      </c>
      <c r="P1482" s="50">
        <v>1004640</v>
      </c>
      <c r="Q1482" s="50">
        <v>4.0540000000000003</v>
      </c>
      <c r="R1482" s="50">
        <v>4072810.56</v>
      </c>
      <c r="S1482" s="74">
        <v>45041</v>
      </c>
      <c r="T1482" s="48" t="s">
        <v>917</v>
      </c>
      <c r="U1482" s="48" t="s">
        <v>407</v>
      </c>
      <c r="V1482" s="48" t="s">
        <v>857</v>
      </c>
      <c r="W1482" s="48"/>
    </row>
    <row r="1483" spans="1:23" ht="15.75" x14ac:dyDescent="0.25">
      <c r="A1483" s="48" t="s">
        <v>100</v>
      </c>
      <c r="B1483" s="49">
        <v>44983</v>
      </c>
      <c r="C1483" s="48" t="s">
        <v>933</v>
      </c>
      <c r="D1483" s="48" t="s">
        <v>441</v>
      </c>
      <c r="E1483" s="48" t="s">
        <v>856</v>
      </c>
      <c r="F1483" s="48" t="s">
        <v>21</v>
      </c>
      <c r="G1483" s="48" t="s">
        <v>22</v>
      </c>
      <c r="H1483" s="48" t="s">
        <v>27</v>
      </c>
      <c r="I1483" s="48" t="s">
        <v>101</v>
      </c>
      <c r="J1483" s="48" t="s">
        <v>72</v>
      </c>
      <c r="K1483" s="48" t="s">
        <v>22</v>
      </c>
      <c r="L1483" s="48" t="s">
        <v>1132</v>
      </c>
      <c r="M1483" s="48" t="s">
        <v>78</v>
      </c>
      <c r="N1483" s="48" t="s">
        <v>20</v>
      </c>
      <c r="O1483" s="48" t="s">
        <v>857</v>
      </c>
      <c r="P1483" s="50">
        <v>31070.13</v>
      </c>
      <c r="Q1483" s="50">
        <v>3.7549999999999999</v>
      </c>
      <c r="R1483" s="50">
        <v>116668.33815</v>
      </c>
      <c r="S1483" s="74">
        <v>45041</v>
      </c>
      <c r="T1483" s="48" t="s">
        <v>917</v>
      </c>
      <c r="U1483" s="48" t="s">
        <v>102</v>
      </c>
      <c r="V1483" s="48" t="s">
        <v>857</v>
      </c>
      <c r="W1483" s="48"/>
    </row>
    <row r="1484" spans="1:23" ht="15.75" x14ac:dyDescent="0.25">
      <c r="A1484" s="48" t="s">
        <v>100</v>
      </c>
      <c r="B1484" s="49">
        <v>44963</v>
      </c>
      <c r="C1484" s="48" t="s">
        <v>916</v>
      </c>
      <c r="D1484" s="48" t="s">
        <v>441</v>
      </c>
      <c r="E1484" s="48" t="s">
        <v>856</v>
      </c>
      <c r="F1484" s="48" t="s">
        <v>21</v>
      </c>
      <c r="G1484" s="48" t="s">
        <v>22</v>
      </c>
      <c r="H1484" s="48" t="s">
        <v>27</v>
      </c>
      <c r="I1484" s="48" t="s">
        <v>101</v>
      </c>
      <c r="J1484" s="48" t="s">
        <v>72</v>
      </c>
      <c r="K1484" s="48" t="s">
        <v>22</v>
      </c>
      <c r="L1484" s="48" t="s">
        <v>1132</v>
      </c>
      <c r="M1484" s="48" t="s">
        <v>78</v>
      </c>
      <c r="N1484" s="48" t="s">
        <v>20</v>
      </c>
      <c r="O1484" s="48" t="s">
        <v>857</v>
      </c>
      <c r="P1484" s="50">
        <v>627369.94999999995</v>
      </c>
      <c r="Q1484" s="50">
        <v>3.7515000000000001</v>
      </c>
      <c r="R1484" s="50">
        <v>2353578.3674249998</v>
      </c>
      <c r="S1484" s="74">
        <v>45041</v>
      </c>
      <c r="T1484" s="48" t="s">
        <v>917</v>
      </c>
      <c r="U1484" s="48" t="s">
        <v>102</v>
      </c>
      <c r="V1484" s="48" t="s">
        <v>857</v>
      </c>
      <c r="W1484" s="48"/>
    </row>
    <row r="1485" spans="1:23" ht="15.75" x14ac:dyDescent="0.25">
      <c r="A1485" s="48" t="s">
        <v>211</v>
      </c>
      <c r="B1485" s="49">
        <v>45327</v>
      </c>
      <c r="C1485" s="48" t="s">
        <v>919</v>
      </c>
      <c r="D1485" s="48" t="s">
        <v>1118</v>
      </c>
      <c r="E1485" s="48" t="s">
        <v>856</v>
      </c>
      <c r="F1485" s="48" t="s">
        <v>21</v>
      </c>
      <c r="G1485" s="48" t="s">
        <v>22</v>
      </c>
      <c r="H1485" s="48" t="s">
        <v>27</v>
      </c>
      <c r="I1485" s="48" t="s">
        <v>212</v>
      </c>
      <c r="J1485" s="48" t="s">
        <v>72</v>
      </c>
      <c r="K1485" s="48" t="s">
        <v>213</v>
      </c>
      <c r="L1485" s="48" t="s">
        <v>1134</v>
      </c>
      <c r="M1485" s="48" t="s">
        <v>26</v>
      </c>
      <c r="N1485" s="48" t="s">
        <v>20</v>
      </c>
      <c r="O1485" s="48" t="s">
        <v>857</v>
      </c>
      <c r="P1485" s="50">
        <v>750493.45</v>
      </c>
      <c r="Q1485" s="50">
        <v>1</v>
      </c>
      <c r="R1485" s="50">
        <v>750493.45</v>
      </c>
      <c r="S1485" s="74">
        <v>45041</v>
      </c>
      <c r="T1485" s="48" t="s">
        <v>917</v>
      </c>
      <c r="U1485" s="48" t="s">
        <v>213</v>
      </c>
      <c r="V1485" s="48" t="s">
        <v>857</v>
      </c>
      <c r="W1485" s="48"/>
    </row>
    <row r="1486" spans="1:23" ht="15.75" x14ac:dyDescent="0.25">
      <c r="A1486" s="48" t="s">
        <v>211</v>
      </c>
      <c r="B1486" s="49">
        <v>45301</v>
      </c>
      <c r="C1486" s="48" t="s">
        <v>920</v>
      </c>
      <c r="D1486" s="48" t="s">
        <v>1118</v>
      </c>
      <c r="E1486" s="48" t="s">
        <v>856</v>
      </c>
      <c r="F1486" s="48" t="s">
        <v>21</v>
      </c>
      <c r="G1486" s="48" t="s">
        <v>22</v>
      </c>
      <c r="H1486" s="48" t="s">
        <v>27</v>
      </c>
      <c r="I1486" s="48" t="s">
        <v>212</v>
      </c>
      <c r="J1486" s="48" t="s">
        <v>72</v>
      </c>
      <c r="K1486" s="48" t="s">
        <v>213</v>
      </c>
      <c r="L1486" s="48" t="s">
        <v>1134</v>
      </c>
      <c r="M1486" s="48" t="s">
        <v>26</v>
      </c>
      <c r="N1486" s="48" t="s">
        <v>20</v>
      </c>
      <c r="O1486" s="48" t="s">
        <v>857</v>
      </c>
      <c r="P1486" s="50">
        <v>488026.65</v>
      </c>
      <c r="Q1486" s="50">
        <v>1</v>
      </c>
      <c r="R1486" s="50">
        <v>488026.65</v>
      </c>
      <c r="S1486" s="74">
        <v>45041</v>
      </c>
      <c r="T1486" s="48" t="s">
        <v>917</v>
      </c>
      <c r="U1486" s="48" t="s">
        <v>213</v>
      </c>
      <c r="V1486" s="48" t="s">
        <v>857</v>
      </c>
      <c r="W1486" s="48"/>
    </row>
    <row r="1487" spans="1:23" ht="15.75" x14ac:dyDescent="0.25">
      <c r="A1487" s="48" t="s">
        <v>158</v>
      </c>
      <c r="B1487" s="49">
        <v>45208</v>
      </c>
      <c r="C1487" s="48" t="s">
        <v>916</v>
      </c>
      <c r="D1487" s="48" t="s">
        <v>441</v>
      </c>
      <c r="E1487" s="48" t="s">
        <v>856</v>
      </c>
      <c r="F1487" s="48" t="s">
        <v>21</v>
      </c>
      <c r="G1487" s="48" t="s">
        <v>22</v>
      </c>
      <c r="H1487" s="48" t="s">
        <v>27</v>
      </c>
      <c r="I1487" s="48" t="s">
        <v>159</v>
      </c>
      <c r="J1487" s="48" t="s">
        <v>24</v>
      </c>
      <c r="K1487" s="48" t="s">
        <v>22</v>
      </c>
      <c r="L1487" s="48" t="s">
        <v>1132</v>
      </c>
      <c r="M1487" s="48" t="s">
        <v>26</v>
      </c>
      <c r="N1487" s="48" t="s">
        <v>20</v>
      </c>
      <c r="O1487" s="48" t="s">
        <v>857</v>
      </c>
      <c r="P1487" s="50">
        <v>2211315.2999999998</v>
      </c>
      <c r="Q1487" s="50">
        <v>1</v>
      </c>
      <c r="R1487" s="50">
        <v>2211315.2999999998</v>
      </c>
      <c r="S1487" s="74">
        <v>45041</v>
      </c>
      <c r="T1487" s="48" t="s">
        <v>917</v>
      </c>
      <c r="U1487" s="48" t="s">
        <v>22</v>
      </c>
      <c r="V1487" s="48" t="s">
        <v>857</v>
      </c>
      <c r="W1487" s="48"/>
    </row>
    <row r="1488" spans="1:23" ht="15.75" x14ac:dyDescent="0.25">
      <c r="A1488" s="48" t="s">
        <v>211</v>
      </c>
      <c r="B1488" s="49">
        <v>45271</v>
      </c>
      <c r="C1488" s="48" t="s">
        <v>926</v>
      </c>
      <c r="D1488" s="48" t="s">
        <v>1118</v>
      </c>
      <c r="E1488" s="48" t="s">
        <v>856</v>
      </c>
      <c r="F1488" s="48" t="s">
        <v>21</v>
      </c>
      <c r="G1488" s="48" t="s">
        <v>22</v>
      </c>
      <c r="H1488" s="48" t="s">
        <v>27</v>
      </c>
      <c r="I1488" s="48" t="s">
        <v>212</v>
      </c>
      <c r="J1488" s="48" t="s">
        <v>72</v>
      </c>
      <c r="K1488" s="48" t="s">
        <v>213</v>
      </c>
      <c r="L1488" s="48" t="s">
        <v>1134</v>
      </c>
      <c r="M1488" s="48" t="s">
        <v>26</v>
      </c>
      <c r="N1488" s="48" t="s">
        <v>20</v>
      </c>
      <c r="O1488" s="48" t="s">
        <v>857</v>
      </c>
      <c r="P1488" s="50">
        <v>1243774.45</v>
      </c>
      <c r="Q1488" s="50">
        <v>1</v>
      </c>
      <c r="R1488" s="50">
        <v>1243774.45</v>
      </c>
      <c r="S1488" s="74">
        <v>45041</v>
      </c>
      <c r="T1488" s="48" t="s">
        <v>917</v>
      </c>
      <c r="U1488" s="48" t="s">
        <v>213</v>
      </c>
      <c r="V1488" s="48" t="s">
        <v>857</v>
      </c>
      <c r="W1488" s="48"/>
    </row>
    <row r="1489" spans="1:23" ht="15.75" x14ac:dyDescent="0.25">
      <c r="A1489" s="48" t="s">
        <v>211</v>
      </c>
      <c r="B1489" s="49">
        <v>45244</v>
      </c>
      <c r="C1489" s="48" t="s">
        <v>927</v>
      </c>
      <c r="D1489" s="48" t="s">
        <v>1118</v>
      </c>
      <c r="E1489" s="48" t="s">
        <v>856</v>
      </c>
      <c r="F1489" s="48" t="s">
        <v>21</v>
      </c>
      <c r="G1489" s="48" t="s">
        <v>22</v>
      </c>
      <c r="H1489" s="48" t="s">
        <v>27</v>
      </c>
      <c r="I1489" s="48" t="s">
        <v>212</v>
      </c>
      <c r="J1489" s="48" t="s">
        <v>72</v>
      </c>
      <c r="K1489" s="48" t="s">
        <v>213</v>
      </c>
      <c r="L1489" s="48" t="s">
        <v>1134</v>
      </c>
      <c r="M1489" s="48" t="s">
        <v>26</v>
      </c>
      <c r="N1489" s="48" t="s">
        <v>20</v>
      </c>
      <c r="O1489" s="48" t="s">
        <v>857</v>
      </c>
      <c r="P1489" s="50">
        <v>639460.94999999995</v>
      </c>
      <c r="Q1489" s="50">
        <v>1</v>
      </c>
      <c r="R1489" s="50">
        <v>639460.94999999995</v>
      </c>
      <c r="S1489" s="74">
        <v>45041</v>
      </c>
      <c r="T1489" s="48" t="s">
        <v>917</v>
      </c>
      <c r="U1489" s="48" t="s">
        <v>213</v>
      </c>
      <c r="V1489" s="48" t="s">
        <v>857</v>
      </c>
      <c r="W1489" s="48"/>
    </row>
    <row r="1490" spans="1:23" ht="15.75" x14ac:dyDescent="0.25">
      <c r="A1490" s="48" t="s">
        <v>211</v>
      </c>
      <c r="B1490" s="49">
        <v>45194</v>
      </c>
      <c r="C1490" s="48" t="s">
        <v>931</v>
      </c>
      <c r="D1490" s="48" t="s">
        <v>1118</v>
      </c>
      <c r="E1490" s="48" t="s">
        <v>856</v>
      </c>
      <c r="F1490" s="48" t="s">
        <v>21</v>
      </c>
      <c r="G1490" s="48" t="s">
        <v>22</v>
      </c>
      <c r="H1490" s="48" t="s">
        <v>27</v>
      </c>
      <c r="I1490" s="48" t="s">
        <v>212</v>
      </c>
      <c r="J1490" s="48" t="s">
        <v>72</v>
      </c>
      <c r="K1490" s="48" t="s">
        <v>213</v>
      </c>
      <c r="L1490" s="48" t="s">
        <v>1134</v>
      </c>
      <c r="M1490" s="48" t="s">
        <v>26</v>
      </c>
      <c r="N1490" s="48" t="s">
        <v>20</v>
      </c>
      <c r="O1490" s="48" t="s">
        <v>857</v>
      </c>
      <c r="P1490" s="50">
        <v>1349921.75</v>
      </c>
      <c r="Q1490" s="50">
        <v>1</v>
      </c>
      <c r="R1490" s="50">
        <v>1349921.75</v>
      </c>
      <c r="S1490" s="74">
        <v>45041</v>
      </c>
      <c r="T1490" s="48" t="s">
        <v>917</v>
      </c>
      <c r="U1490" s="48" t="s">
        <v>213</v>
      </c>
      <c r="V1490" s="48" t="s">
        <v>857</v>
      </c>
      <c r="W1490" s="48"/>
    </row>
    <row r="1491" spans="1:23" ht="15.75" x14ac:dyDescent="0.25">
      <c r="A1491" s="48" t="s">
        <v>211</v>
      </c>
      <c r="B1491" s="49">
        <v>45194</v>
      </c>
      <c r="C1491" s="48" t="s">
        <v>930</v>
      </c>
      <c r="D1491" s="48" t="s">
        <v>1118</v>
      </c>
      <c r="E1491" s="48" t="s">
        <v>856</v>
      </c>
      <c r="F1491" s="48" t="s">
        <v>21</v>
      </c>
      <c r="G1491" s="48" t="s">
        <v>22</v>
      </c>
      <c r="H1491" s="48" t="s">
        <v>27</v>
      </c>
      <c r="I1491" s="48" t="s">
        <v>212</v>
      </c>
      <c r="J1491" s="48" t="s">
        <v>72</v>
      </c>
      <c r="K1491" s="48" t="s">
        <v>213</v>
      </c>
      <c r="L1491" s="48" t="s">
        <v>1134</v>
      </c>
      <c r="M1491" s="48" t="s">
        <v>26</v>
      </c>
      <c r="N1491" s="48" t="s">
        <v>20</v>
      </c>
      <c r="O1491" s="48" t="s">
        <v>857</v>
      </c>
      <c r="P1491" s="50">
        <v>1962362.3</v>
      </c>
      <c r="Q1491" s="50">
        <v>1</v>
      </c>
      <c r="R1491" s="50">
        <v>1962362.3</v>
      </c>
      <c r="S1491" s="74">
        <v>45041</v>
      </c>
      <c r="T1491" s="48" t="s">
        <v>917</v>
      </c>
      <c r="U1491" s="48" t="s">
        <v>213</v>
      </c>
      <c r="V1491" s="48" t="s">
        <v>857</v>
      </c>
      <c r="W1491" s="48"/>
    </row>
    <row r="1492" spans="1:23" ht="15.75" x14ac:dyDescent="0.25">
      <c r="A1492" s="48" t="s">
        <v>211</v>
      </c>
      <c r="B1492" s="49">
        <v>45175</v>
      </c>
      <c r="C1492" s="48" t="s">
        <v>922</v>
      </c>
      <c r="D1492" s="48" t="s">
        <v>1118</v>
      </c>
      <c r="E1492" s="48" t="s">
        <v>856</v>
      </c>
      <c r="F1492" s="48" t="s">
        <v>21</v>
      </c>
      <c r="G1492" s="48" t="s">
        <v>22</v>
      </c>
      <c r="H1492" s="48" t="s">
        <v>27</v>
      </c>
      <c r="I1492" s="48" t="s">
        <v>212</v>
      </c>
      <c r="J1492" s="48" t="s">
        <v>72</v>
      </c>
      <c r="K1492" s="48" t="s">
        <v>213</v>
      </c>
      <c r="L1492" s="48" t="s">
        <v>1134</v>
      </c>
      <c r="M1492" s="48" t="s">
        <v>26</v>
      </c>
      <c r="N1492" s="48" t="s">
        <v>20</v>
      </c>
      <c r="O1492" s="48" t="s">
        <v>857</v>
      </c>
      <c r="P1492" s="50">
        <v>574180.05000000005</v>
      </c>
      <c r="Q1492" s="50">
        <v>1</v>
      </c>
      <c r="R1492" s="50">
        <v>574180.05000000005</v>
      </c>
      <c r="S1492" s="74">
        <v>45041</v>
      </c>
      <c r="T1492" s="48" t="s">
        <v>917</v>
      </c>
      <c r="U1492" s="48" t="s">
        <v>213</v>
      </c>
      <c r="V1492" s="48" t="s">
        <v>857</v>
      </c>
      <c r="W1492" s="48"/>
    </row>
    <row r="1493" spans="1:23" ht="15.75" x14ac:dyDescent="0.25">
      <c r="A1493" s="48" t="s">
        <v>211</v>
      </c>
      <c r="B1493" s="49">
        <v>45175</v>
      </c>
      <c r="C1493" s="48" t="s">
        <v>929</v>
      </c>
      <c r="D1493" s="48" t="s">
        <v>1118</v>
      </c>
      <c r="E1493" s="48" t="s">
        <v>856</v>
      </c>
      <c r="F1493" s="48" t="s">
        <v>21</v>
      </c>
      <c r="G1493" s="48" t="s">
        <v>22</v>
      </c>
      <c r="H1493" s="48" t="s">
        <v>27</v>
      </c>
      <c r="I1493" s="48" t="s">
        <v>212</v>
      </c>
      <c r="J1493" s="48" t="s">
        <v>72</v>
      </c>
      <c r="K1493" s="48" t="s">
        <v>213</v>
      </c>
      <c r="L1493" s="48" t="s">
        <v>1134</v>
      </c>
      <c r="M1493" s="48" t="s">
        <v>26</v>
      </c>
      <c r="N1493" s="48" t="s">
        <v>20</v>
      </c>
      <c r="O1493" s="48" t="s">
        <v>857</v>
      </c>
      <c r="P1493" s="50">
        <v>499080.45</v>
      </c>
      <c r="Q1493" s="50">
        <v>1</v>
      </c>
      <c r="R1493" s="50">
        <v>499080.45</v>
      </c>
      <c r="S1493" s="74">
        <v>45041</v>
      </c>
      <c r="T1493" s="48" t="s">
        <v>917</v>
      </c>
      <c r="U1493" s="48" t="s">
        <v>213</v>
      </c>
      <c r="V1493" s="48" t="s">
        <v>857</v>
      </c>
      <c r="W1493" s="48"/>
    </row>
    <row r="1494" spans="1:23" ht="15.75" x14ac:dyDescent="0.25">
      <c r="A1494" s="48" t="s">
        <v>211</v>
      </c>
      <c r="B1494" s="49">
        <v>45134</v>
      </c>
      <c r="C1494" s="48" t="s">
        <v>933</v>
      </c>
      <c r="D1494" s="48" t="s">
        <v>1118</v>
      </c>
      <c r="E1494" s="48" t="s">
        <v>856</v>
      </c>
      <c r="F1494" s="48" t="s">
        <v>21</v>
      </c>
      <c r="G1494" s="48" t="s">
        <v>22</v>
      </c>
      <c r="H1494" s="48" t="s">
        <v>27</v>
      </c>
      <c r="I1494" s="48" t="s">
        <v>212</v>
      </c>
      <c r="J1494" s="48" t="s">
        <v>72</v>
      </c>
      <c r="K1494" s="48" t="s">
        <v>213</v>
      </c>
      <c r="L1494" s="48" t="s">
        <v>1134</v>
      </c>
      <c r="M1494" s="48" t="s">
        <v>26</v>
      </c>
      <c r="N1494" s="48" t="s">
        <v>20</v>
      </c>
      <c r="O1494" s="48" t="s">
        <v>857</v>
      </c>
      <c r="P1494" s="50">
        <v>356412</v>
      </c>
      <c r="Q1494" s="50">
        <v>1</v>
      </c>
      <c r="R1494" s="50">
        <v>356412</v>
      </c>
      <c r="S1494" s="74">
        <v>45041</v>
      </c>
      <c r="T1494" s="48" t="s">
        <v>917</v>
      </c>
      <c r="U1494" s="48" t="s">
        <v>213</v>
      </c>
      <c r="V1494" s="48" t="s">
        <v>857</v>
      </c>
      <c r="W1494" s="48"/>
    </row>
    <row r="1495" spans="1:23" ht="15.75" x14ac:dyDescent="0.25">
      <c r="A1495" s="48" t="s">
        <v>100</v>
      </c>
      <c r="B1495" s="49">
        <v>44963</v>
      </c>
      <c r="C1495" s="48" t="s">
        <v>918</v>
      </c>
      <c r="D1495" s="48" t="s">
        <v>441</v>
      </c>
      <c r="E1495" s="48" t="s">
        <v>856</v>
      </c>
      <c r="F1495" s="48" t="s">
        <v>21</v>
      </c>
      <c r="G1495" s="48" t="s">
        <v>22</v>
      </c>
      <c r="H1495" s="48" t="s">
        <v>27</v>
      </c>
      <c r="I1495" s="48" t="s">
        <v>101</v>
      </c>
      <c r="J1495" s="48" t="s">
        <v>72</v>
      </c>
      <c r="K1495" s="48" t="s">
        <v>22</v>
      </c>
      <c r="L1495" s="48" t="s">
        <v>1132</v>
      </c>
      <c r="M1495" s="48" t="s">
        <v>78</v>
      </c>
      <c r="N1495" s="48" t="s">
        <v>20</v>
      </c>
      <c r="O1495" s="48" t="s">
        <v>857</v>
      </c>
      <c r="P1495" s="50">
        <v>106466.5</v>
      </c>
      <c r="Q1495" s="50">
        <v>3.7515000000000001</v>
      </c>
      <c r="R1495" s="50">
        <v>399409.07475000003</v>
      </c>
      <c r="S1495" s="74">
        <v>45041</v>
      </c>
      <c r="T1495" s="48" t="s">
        <v>917</v>
      </c>
      <c r="U1495" s="48" t="s">
        <v>102</v>
      </c>
      <c r="V1495" s="48" t="s">
        <v>857</v>
      </c>
      <c r="W1495" s="48"/>
    </row>
    <row r="1496" spans="1:23" ht="15.75" x14ac:dyDescent="0.25">
      <c r="A1496" s="48" t="s">
        <v>211</v>
      </c>
      <c r="B1496" s="49">
        <v>45090</v>
      </c>
      <c r="C1496" s="48" t="s">
        <v>924</v>
      </c>
      <c r="D1496" s="48" t="s">
        <v>1118</v>
      </c>
      <c r="E1496" s="48" t="s">
        <v>856</v>
      </c>
      <c r="F1496" s="48" t="s">
        <v>21</v>
      </c>
      <c r="G1496" s="48" t="s">
        <v>22</v>
      </c>
      <c r="H1496" s="48" t="s">
        <v>27</v>
      </c>
      <c r="I1496" s="48" t="s">
        <v>212</v>
      </c>
      <c r="J1496" s="48" t="s">
        <v>72</v>
      </c>
      <c r="K1496" s="48" t="s">
        <v>213</v>
      </c>
      <c r="L1496" s="48" t="s">
        <v>1134</v>
      </c>
      <c r="M1496" s="48" t="s">
        <v>26</v>
      </c>
      <c r="N1496" s="48" t="s">
        <v>20</v>
      </c>
      <c r="O1496" s="48" t="s">
        <v>857</v>
      </c>
      <c r="P1496" s="50">
        <v>2797308.3</v>
      </c>
      <c r="Q1496" s="50">
        <v>1</v>
      </c>
      <c r="R1496" s="50">
        <v>2797308.3</v>
      </c>
      <c r="S1496" s="74">
        <v>45041</v>
      </c>
      <c r="T1496" s="48" t="s">
        <v>917</v>
      </c>
      <c r="U1496" s="48" t="s">
        <v>213</v>
      </c>
      <c r="V1496" s="48" t="s">
        <v>857</v>
      </c>
      <c r="W1496" s="48"/>
    </row>
    <row r="1497" spans="1:23" ht="15.75" x14ac:dyDescent="0.25">
      <c r="A1497" s="48" t="s">
        <v>211</v>
      </c>
      <c r="B1497" s="49">
        <v>45061</v>
      </c>
      <c r="C1497" s="48" t="s">
        <v>918</v>
      </c>
      <c r="D1497" s="48" t="s">
        <v>1118</v>
      </c>
      <c r="E1497" s="48" t="s">
        <v>856</v>
      </c>
      <c r="F1497" s="48" t="s">
        <v>21</v>
      </c>
      <c r="G1497" s="48" t="s">
        <v>22</v>
      </c>
      <c r="H1497" s="48" t="s">
        <v>27</v>
      </c>
      <c r="I1497" s="48" t="s">
        <v>212</v>
      </c>
      <c r="J1497" s="48" t="s">
        <v>72</v>
      </c>
      <c r="K1497" s="48" t="s">
        <v>213</v>
      </c>
      <c r="L1497" s="48" t="s">
        <v>1134</v>
      </c>
      <c r="M1497" s="48" t="s">
        <v>26</v>
      </c>
      <c r="N1497" s="48" t="s">
        <v>20</v>
      </c>
      <c r="O1497" s="48" t="s">
        <v>857</v>
      </c>
      <c r="P1497" s="50">
        <v>1034870.05</v>
      </c>
      <c r="Q1497" s="50">
        <v>1</v>
      </c>
      <c r="R1497" s="50">
        <v>1034870.05</v>
      </c>
      <c r="S1497" s="74">
        <v>45041</v>
      </c>
      <c r="T1497" s="48" t="s">
        <v>917</v>
      </c>
      <c r="U1497" s="48" t="s">
        <v>213</v>
      </c>
      <c r="V1497" s="48" t="s">
        <v>857</v>
      </c>
      <c r="W1497" s="48"/>
    </row>
    <row r="1498" spans="1:23" ht="15.75" x14ac:dyDescent="0.25">
      <c r="A1498" s="48" t="s">
        <v>211</v>
      </c>
      <c r="B1498" s="49">
        <v>45118</v>
      </c>
      <c r="C1498" s="48" t="s">
        <v>928</v>
      </c>
      <c r="D1498" s="48" t="s">
        <v>1118</v>
      </c>
      <c r="E1498" s="48" t="s">
        <v>856</v>
      </c>
      <c r="F1498" s="48" t="s">
        <v>21</v>
      </c>
      <c r="G1498" s="48" t="s">
        <v>22</v>
      </c>
      <c r="H1498" s="48" t="s">
        <v>27</v>
      </c>
      <c r="I1498" s="48" t="s">
        <v>212</v>
      </c>
      <c r="J1498" s="48" t="s">
        <v>72</v>
      </c>
      <c r="K1498" s="48" t="s">
        <v>213</v>
      </c>
      <c r="L1498" s="48" t="s">
        <v>1134</v>
      </c>
      <c r="M1498" s="48" t="s">
        <v>26</v>
      </c>
      <c r="N1498" s="48" t="s">
        <v>20</v>
      </c>
      <c r="O1498" s="48" t="s">
        <v>857</v>
      </c>
      <c r="P1498" s="50">
        <v>1040866.15</v>
      </c>
      <c r="Q1498" s="50">
        <v>1</v>
      </c>
      <c r="R1498" s="50">
        <v>1040866.15</v>
      </c>
      <c r="S1498" s="74">
        <v>45041</v>
      </c>
      <c r="T1498" s="48" t="s">
        <v>917</v>
      </c>
      <c r="U1498" s="48" t="s">
        <v>213</v>
      </c>
      <c r="V1498" s="48" t="s">
        <v>857</v>
      </c>
      <c r="W1498" s="48"/>
    </row>
    <row r="1499" spans="1:23" ht="15.75" x14ac:dyDescent="0.25">
      <c r="A1499" s="48" t="s">
        <v>204</v>
      </c>
      <c r="B1499" s="49">
        <v>45287</v>
      </c>
      <c r="C1499" s="48" t="s">
        <v>918</v>
      </c>
      <c r="D1499" s="48" t="s">
        <v>441</v>
      </c>
      <c r="E1499" s="48" t="s">
        <v>856</v>
      </c>
      <c r="F1499" s="48" t="s">
        <v>21</v>
      </c>
      <c r="G1499" s="48" t="s">
        <v>22</v>
      </c>
      <c r="H1499" s="48" t="s">
        <v>27</v>
      </c>
      <c r="I1499" s="48" t="s">
        <v>205</v>
      </c>
      <c r="J1499" s="48" t="s">
        <v>24</v>
      </c>
      <c r="K1499" s="48" t="s">
        <v>22</v>
      </c>
      <c r="L1499" s="48" t="s">
        <v>1132</v>
      </c>
      <c r="M1499" s="48" t="s">
        <v>26</v>
      </c>
      <c r="N1499" s="48" t="s">
        <v>20</v>
      </c>
      <c r="O1499" s="48" t="s">
        <v>857</v>
      </c>
      <c r="P1499" s="50">
        <v>330995.3</v>
      </c>
      <c r="Q1499" s="50">
        <v>1</v>
      </c>
      <c r="R1499" s="50">
        <v>330995.3</v>
      </c>
      <c r="S1499" s="74">
        <v>45041</v>
      </c>
      <c r="T1499" s="48" t="s">
        <v>35</v>
      </c>
      <c r="U1499" s="48" t="s">
        <v>22</v>
      </c>
      <c r="V1499" s="48" t="s">
        <v>857</v>
      </c>
      <c r="W1499" s="48"/>
    </row>
    <row r="1500" spans="1:23" ht="15.75" x14ac:dyDescent="0.25">
      <c r="A1500" s="48" t="s">
        <v>239</v>
      </c>
      <c r="B1500" s="49">
        <v>45327</v>
      </c>
      <c r="C1500" s="48" t="s">
        <v>916</v>
      </c>
      <c r="D1500" s="48" t="s">
        <v>441</v>
      </c>
      <c r="E1500" s="48" t="s">
        <v>856</v>
      </c>
      <c r="F1500" s="48" t="s">
        <v>21</v>
      </c>
      <c r="G1500" s="48" t="s">
        <v>22</v>
      </c>
      <c r="H1500" s="48" t="s">
        <v>27</v>
      </c>
      <c r="I1500" s="48" t="s">
        <v>109</v>
      </c>
      <c r="J1500" s="48" t="s">
        <v>24</v>
      </c>
      <c r="K1500" s="48" t="s">
        <v>22</v>
      </c>
      <c r="L1500" s="48" t="s">
        <v>1132</v>
      </c>
      <c r="M1500" s="48" t="s">
        <v>26</v>
      </c>
      <c r="N1500" s="48" t="s">
        <v>20</v>
      </c>
      <c r="O1500" s="48" t="s">
        <v>857</v>
      </c>
      <c r="P1500" s="50">
        <v>6084035.2300000004</v>
      </c>
      <c r="Q1500" s="50">
        <v>1</v>
      </c>
      <c r="R1500" s="50">
        <v>6084035.2300000004</v>
      </c>
      <c r="S1500" s="74">
        <v>45041</v>
      </c>
      <c r="T1500" s="48" t="s">
        <v>917</v>
      </c>
      <c r="U1500" s="48" t="s">
        <v>22</v>
      </c>
      <c r="V1500" s="48" t="s">
        <v>857</v>
      </c>
      <c r="W1500" s="48"/>
    </row>
    <row r="1501" spans="1:23" ht="15.75" x14ac:dyDescent="0.25">
      <c r="A1501" s="48" t="s">
        <v>238</v>
      </c>
      <c r="B1501" s="49">
        <v>45326</v>
      </c>
      <c r="C1501" s="48" t="s">
        <v>916</v>
      </c>
      <c r="D1501" s="48" t="s">
        <v>441</v>
      </c>
      <c r="E1501" s="48" t="s">
        <v>856</v>
      </c>
      <c r="F1501" s="48" t="s">
        <v>21</v>
      </c>
      <c r="G1501" s="48" t="s">
        <v>22</v>
      </c>
      <c r="H1501" s="48" t="s">
        <v>27</v>
      </c>
      <c r="I1501" s="48" t="s">
        <v>199</v>
      </c>
      <c r="J1501" s="48" t="s">
        <v>24</v>
      </c>
      <c r="K1501" s="48" t="s">
        <v>22</v>
      </c>
      <c r="L1501" s="48" t="s">
        <v>1132</v>
      </c>
      <c r="M1501" s="48" t="s">
        <v>26</v>
      </c>
      <c r="N1501" s="48" t="s">
        <v>20</v>
      </c>
      <c r="O1501" s="48" t="s">
        <v>857</v>
      </c>
      <c r="P1501" s="50">
        <v>1000000</v>
      </c>
      <c r="Q1501" s="50">
        <v>1</v>
      </c>
      <c r="R1501" s="50">
        <v>1000000</v>
      </c>
      <c r="S1501" s="74">
        <v>45041</v>
      </c>
      <c r="T1501" s="48" t="s">
        <v>917</v>
      </c>
      <c r="U1501" s="48" t="s">
        <v>22</v>
      </c>
      <c r="V1501" s="48" t="s">
        <v>857</v>
      </c>
      <c r="W1501" s="48"/>
    </row>
    <row r="1502" spans="1:23" ht="15.75" x14ac:dyDescent="0.25">
      <c r="A1502" s="48" t="s">
        <v>224</v>
      </c>
      <c r="B1502" s="49">
        <v>45334</v>
      </c>
      <c r="C1502" s="48" t="s">
        <v>918</v>
      </c>
      <c r="D1502" s="48" t="s">
        <v>441</v>
      </c>
      <c r="E1502" s="48" t="s">
        <v>856</v>
      </c>
      <c r="F1502" s="48" t="s">
        <v>21</v>
      </c>
      <c r="G1502" s="48" t="s">
        <v>22</v>
      </c>
      <c r="H1502" s="48" t="s">
        <v>27</v>
      </c>
      <c r="I1502" s="48" t="s">
        <v>225</v>
      </c>
      <c r="J1502" s="48" t="s">
        <v>24</v>
      </c>
      <c r="K1502" s="48" t="s">
        <v>22</v>
      </c>
      <c r="L1502" s="48" t="s">
        <v>1132</v>
      </c>
      <c r="M1502" s="48" t="s">
        <v>26</v>
      </c>
      <c r="N1502" s="48" t="s">
        <v>20</v>
      </c>
      <c r="O1502" s="48" t="s">
        <v>857</v>
      </c>
      <c r="P1502" s="50">
        <v>711425.05</v>
      </c>
      <c r="Q1502" s="50">
        <v>1</v>
      </c>
      <c r="R1502" s="50">
        <v>711425.05</v>
      </c>
      <c r="S1502" s="74">
        <v>45041</v>
      </c>
      <c r="T1502" s="48" t="s">
        <v>917</v>
      </c>
      <c r="U1502" s="48" t="s">
        <v>22</v>
      </c>
      <c r="V1502" s="48" t="s">
        <v>857</v>
      </c>
      <c r="W1502" s="48"/>
    </row>
    <row r="1503" spans="1:23" ht="15.75" x14ac:dyDescent="0.25">
      <c r="A1503" s="48" t="s">
        <v>224</v>
      </c>
      <c r="B1503" s="49">
        <v>45285</v>
      </c>
      <c r="C1503" s="48" t="s">
        <v>916</v>
      </c>
      <c r="D1503" s="48" t="s">
        <v>441</v>
      </c>
      <c r="E1503" s="48" t="s">
        <v>856</v>
      </c>
      <c r="F1503" s="48" t="s">
        <v>21</v>
      </c>
      <c r="G1503" s="48" t="s">
        <v>22</v>
      </c>
      <c r="H1503" s="48" t="s">
        <v>27</v>
      </c>
      <c r="I1503" s="48" t="s">
        <v>225</v>
      </c>
      <c r="J1503" s="48" t="s">
        <v>24</v>
      </c>
      <c r="K1503" s="48" t="s">
        <v>22</v>
      </c>
      <c r="L1503" s="48" t="s">
        <v>1132</v>
      </c>
      <c r="M1503" s="48" t="s">
        <v>26</v>
      </c>
      <c r="N1503" s="48" t="s">
        <v>20</v>
      </c>
      <c r="O1503" s="48" t="s">
        <v>857</v>
      </c>
      <c r="P1503" s="50">
        <v>1248574.95</v>
      </c>
      <c r="Q1503" s="50">
        <v>1</v>
      </c>
      <c r="R1503" s="50">
        <v>1248574.95</v>
      </c>
      <c r="S1503" s="74">
        <v>45041</v>
      </c>
      <c r="T1503" s="48" t="s">
        <v>917</v>
      </c>
      <c r="U1503" s="48" t="s">
        <v>22</v>
      </c>
      <c r="V1503" s="48" t="s">
        <v>857</v>
      </c>
      <c r="W1503" s="48"/>
    </row>
    <row r="1504" spans="1:23" ht="15.75" x14ac:dyDescent="0.25">
      <c r="A1504" s="48" t="s">
        <v>206</v>
      </c>
      <c r="B1504" s="49">
        <v>45173</v>
      </c>
      <c r="C1504" s="48" t="s">
        <v>916</v>
      </c>
      <c r="D1504" s="48" t="s">
        <v>441</v>
      </c>
      <c r="E1504" s="48" t="s">
        <v>856</v>
      </c>
      <c r="F1504" s="48" t="s">
        <v>21</v>
      </c>
      <c r="G1504" s="48" t="s">
        <v>22</v>
      </c>
      <c r="H1504" s="48" t="s">
        <v>27</v>
      </c>
      <c r="I1504" s="48" t="s">
        <v>194</v>
      </c>
      <c r="J1504" s="48" t="s">
        <v>24</v>
      </c>
      <c r="K1504" s="48" t="s">
        <v>22</v>
      </c>
      <c r="L1504" s="48" t="s">
        <v>1132</v>
      </c>
      <c r="M1504" s="48" t="s">
        <v>26</v>
      </c>
      <c r="N1504" s="48" t="s">
        <v>20</v>
      </c>
      <c r="O1504" s="48" t="s">
        <v>857</v>
      </c>
      <c r="P1504" s="50">
        <v>1202205.3899999999</v>
      </c>
      <c r="Q1504" s="50">
        <v>1</v>
      </c>
      <c r="R1504" s="50">
        <v>1202205.3899999999</v>
      </c>
      <c r="S1504" s="74">
        <v>45041</v>
      </c>
      <c r="T1504" s="48" t="s">
        <v>28</v>
      </c>
      <c r="U1504" s="48" t="s">
        <v>22</v>
      </c>
      <c r="V1504" s="48" t="s">
        <v>857</v>
      </c>
      <c r="W1504" s="48"/>
    </row>
    <row r="1505" spans="1:23" ht="15.75" x14ac:dyDescent="0.25">
      <c r="A1505" s="48" t="s">
        <v>176</v>
      </c>
      <c r="B1505" s="49">
        <v>45211</v>
      </c>
      <c r="C1505" s="48" t="s">
        <v>916</v>
      </c>
      <c r="D1505" s="48" t="s">
        <v>441</v>
      </c>
      <c r="E1505" s="48" t="s">
        <v>856</v>
      </c>
      <c r="F1505" s="48" t="s">
        <v>21</v>
      </c>
      <c r="G1505" s="48" t="s">
        <v>22</v>
      </c>
      <c r="H1505" s="48" t="s">
        <v>27</v>
      </c>
      <c r="I1505" s="48" t="s">
        <v>177</v>
      </c>
      <c r="J1505" s="48" t="s">
        <v>24</v>
      </c>
      <c r="K1505" s="48" t="s">
        <v>22</v>
      </c>
      <c r="L1505" s="48" t="s">
        <v>1132</v>
      </c>
      <c r="M1505" s="48" t="s">
        <v>26</v>
      </c>
      <c r="N1505" s="48" t="s">
        <v>20</v>
      </c>
      <c r="O1505" s="48" t="s">
        <v>857</v>
      </c>
      <c r="P1505" s="50">
        <v>6233525</v>
      </c>
      <c r="Q1505" s="50">
        <v>1</v>
      </c>
      <c r="R1505" s="50">
        <v>6233525</v>
      </c>
      <c r="S1505" s="74">
        <v>45041</v>
      </c>
      <c r="T1505" s="48" t="s">
        <v>35</v>
      </c>
      <c r="U1505" s="48" t="s">
        <v>22</v>
      </c>
      <c r="V1505" s="48" t="s">
        <v>857</v>
      </c>
      <c r="W1505" s="48"/>
    </row>
    <row r="1506" spans="1:23" ht="15.75" x14ac:dyDescent="0.25">
      <c r="A1506" s="48" t="s">
        <v>176</v>
      </c>
      <c r="B1506" s="49">
        <v>45228</v>
      </c>
      <c r="C1506" s="48" t="s">
        <v>918</v>
      </c>
      <c r="D1506" s="48" t="s">
        <v>441</v>
      </c>
      <c r="E1506" s="48" t="s">
        <v>856</v>
      </c>
      <c r="F1506" s="48" t="s">
        <v>21</v>
      </c>
      <c r="G1506" s="48" t="s">
        <v>22</v>
      </c>
      <c r="H1506" s="48" t="s">
        <v>27</v>
      </c>
      <c r="I1506" s="48" t="s">
        <v>177</v>
      </c>
      <c r="J1506" s="48" t="s">
        <v>24</v>
      </c>
      <c r="K1506" s="48" t="s">
        <v>22</v>
      </c>
      <c r="L1506" s="48" t="s">
        <v>1132</v>
      </c>
      <c r="M1506" s="48" t="s">
        <v>26</v>
      </c>
      <c r="N1506" s="48" t="s">
        <v>20</v>
      </c>
      <c r="O1506" s="48" t="s">
        <v>857</v>
      </c>
      <c r="P1506" s="50">
        <v>441010.27</v>
      </c>
      <c r="Q1506" s="50">
        <v>1</v>
      </c>
      <c r="R1506" s="50">
        <v>441010.27</v>
      </c>
      <c r="S1506" s="74">
        <v>45041</v>
      </c>
      <c r="T1506" s="48" t="s">
        <v>35</v>
      </c>
      <c r="U1506" s="48" t="s">
        <v>22</v>
      </c>
      <c r="V1506" s="48" t="s">
        <v>857</v>
      </c>
      <c r="W1506" s="48"/>
    </row>
    <row r="1507" spans="1:23" ht="15.75" x14ac:dyDescent="0.25">
      <c r="A1507" s="48" t="s">
        <v>180</v>
      </c>
      <c r="B1507" s="49">
        <v>45230</v>
      </c>
      <c r="C1507" s="48" t="s">
        <v>916</v>
      </c>
      <c r="D1507" s="48" t="s">
        <v>1184</v>
      </c>
      <c r="E1507" s="48" t="s">
        <v>856</v>
      </c>
      <c r="F1507" s="48" t="s">
        <v>21</v>
      </c>
      <c r="G1507" s="48" t="s">
        <v>22</v>
      </c>
      <c r="H1507" s="48" t="s">
        <v>27</v>
      </c>
      <c r="I1507" s="48" t="s">
        <v>181</v>
      </c>
      <c r="J1507" s="48" t="s">
        <v>80</v>
      </c>
      <c r="K1507" s="48" t="s">
        <v>22</v>
      </c>
      <c r="L1507" s="48" t="s">
        <v>1132</v>
      </c>
      <c r="M1507" s="48" t="s">
        <v>26</v>
      </c>
      <c r="N1507" s="48" t="s">
        <v>20</v>
      </c>
      <c r="O1507" s="48" t="s">
        <v>857</v>
      </c>
      <c r="P1507" s="50">
        <v>5972293</v>
      </c>
      <c r="Q1507" s="50">
        <v>1</v>
      </c>
      <c r="R1507" s="50">
        <v>5972293</v>
      </c>
      <c r="S1507" s="74">
        <v>45041</v>
      </c>
      <c r="T1507" s="48" t="s">
        <v>917</v>
      </c>
      <c r="U1507" s="48" t="s">
        <v>22</v>
      </c>
      <c r="V1507" s="48" t="s">
        <v>857</v>
      </c>
      <c r="W1507" s="48"/>
    </row>
    <row r="1508" spans="1:23" ht="15.75" x14ac:dyDescent="0.25">
      <c r="A1508" s="48" t="s">
        <v>211</v>
      </c>
      <c r="B1508" s="49">
        <v>45061</v>
      </c>
      <c r="C1508" s="48" t="s">
        <v>916</v>
      </c>
      <c r="D1508" s="48" t="s">
        <v>1118</v>
      </c>
      <c r="E1508" s="48" t="s">
        <v>856</v>
      </c>
      <c r="F1508" s="48" t="s">
        <v>21</v>
      </c>
      <c r="G1508" s="48" t="s">
        <v>22</v>
      </c>
      <c r="H1508" s="48" t="s">
        <v>27</v>
      </c>
      <c r="I1508" s="48" t="s">
        <v>212</v>
      </c>
      <c r="J1508" s="48" t="s">
        <v>72</v>
      </c>
      <c r="K1508" s="48" t="s">
        <v>213</v>
      </c>
      <c r="L1508" s="48" t="s">
        <v>1134</v>
      </c>
      <c r="M1508" s="48" t="s">
        <v>26</v>
      </c>
      <c r="N1508" s="48" t="s">
        <v>20</v>
      </c>
      <c r="O1508" s="48" t="s">
        <v>857</v>
      </c>
      <c r="P1508" s="50">
        <v>1447607.35</v>
      </c>
      <c r="Q1508" s="50">
        <v>1</v>
      </c>
      <c r="R1508" s="50">
        <v>1447607.35</v>
      </c>
      <c r="S1508" s="74">
        <v>45041</v>
      </c>
      <c r="T1508" s="48" t="s">
        <v>917</v>
      </c>
      <c r="U1508" s="48" t="s">
        <v>213</v>
      </c>
      <c r="V1508" s="48" t="s">
        <v>857</v>
      </c>
      <c r="W1508" s="48"/>
    </row>
    <row r="1509" spans="1:23" ht="15.75" x14ac:dyDescent="0.25">
      <c r="A1509" s="48" t="s">
        <v>204</v>
      </c>
      <c r="B1509" s="49">
        <v>45230</v>
      </c>
      <c r="C1509" s="48" t="s">
        <v>916</v>
      </c>
      <c r="D1509" s="48" t="s">
        <v>441</v>
      </c>
      <c r="E1509" s="48" t="s">
        <v>856</v>
      </c>
      <c r="F1509" s="48" t="s">
        <v>21</v>
      </c>
      <c r="G1509" s="48" t="s">
        <v>22</v>
      </c>
      <c r="H1509" s="48" t="s">
        <v>27</v>
      </c>
      <c r="I1509" s="48" t="s">
        <v>205</v>
      </c>
      <c r="J1509" s="48" t="s">
        <v>24</v>
      </c>
      <c r="K1509" s="48" t="s">
        <v>22</v>
      </c>
      <c r="L1509" s="48" t="s">
        <v>1132</v>
      </c>
      <c r="M1509" s="48" t="s">
        <v>26</v>
      </c>
      <c r="N1509" s="48" t="s">
        <v>20</v>
      </c>
      <c r="O1509" s="48" t="s">
        <v>857</v>
      </c>
      <c r="P1509" s="50">
        <v>330995.3</v>
      </c>
      <c r="Q1509" s="50">
        <v>1</v>
      </c>
      <c r="R1509" s="50">
        <v>330995.3</v>
      </c>
      <c r="S1509" s="74">
        <v>45041</v>
      </c>
      <c r="T1509" s="48" t="s">
        <v>35</v>
      </c>
      <c r="U1509" s="48" t="s">
        <v>22</v>
      </c>
      <c r="V1509" s="48" t="s">
        <v>857</v>
      </c>
      <c r="W1509" s="48"/>
    </row>
    <row r="1510" spans="1:23" ht="15.75" x14ac:dyDescent="0.25">
      <c r="A1510" s="48" t="s">
        <v>198</v>
      </c>
      <c r="B1510" s="49">
        <v>45217</v>
      </c>
      <c r="C1510" s="48" t="s">
        <v>916</v>
      </c>
      <c r="D1510" s="48" t="s">
        <v>441</v>
      </c>
      <c r="E1510" s="48" t="s">
        <v>856</v>
      </c>
      <c r="F1510" s="48" t="s">
        <v>21</v>
      </c>
      <c r="G1510" s="48" t="s">
        <v>22</v>
      </c>
      <c r="H1510" s="48" t="s">
        <v>27</v>
      </c>
      <c r="I1510" s="48" t="s">
        <v>199</v>
      </c>
      <c r="J1510" s="48" t="s">
        <v>24</v>
      </c>
      <c r="K1510" s="48" t="s">
        <v>22</v>
      </c>
      <c r="L1510" s="48" t="s">
        <v>1132</v>
      </c>
      <c r="M1510" s="48" t="s">
        <v>26</v>
      </c>
      <c r="N1510" s="48" t="s">
        <v>20</v>
      </c>
      <c r="O1510" s="48" t="s">
        <v>857</v>
      </c>
      <c r="P1510" s="50">
        <v>450459.17</v>
      </c>
      <c r="Q1510" s="50">
        <v>1</v>
      </c>
      <c r="R1510" s="50">
        <v>450459.17</v>
      </c>
      <c r="S1510" s="74">
        <v>45041</v>
      </c>
      <c r="T1510" s="48" t="s">
        <v>35</v>
      </c>
      <c r="U1510" s="48" t="s">
        <v>22</v>
      </c>
      <c r="V1510" s="48" t="s">
        <v>857</v>
      </c>
      <c r="W1510" s="48"/>
    </row>
    <row r="1511" spans="1:23" ht="15.75" x14ac:dyDescent="0.25">
      <c r="A1511" s="48" t="s">
        <v>197</v>
      </c>
      <c r="B1511" s="49">
        <v>45231</v>
      </c>
      <c r="C1511" s="48" t="s">
        <v>916</v>
      </c>
      <c r="D1511" s="48" t="s">
        <v>441</v>
      </c>
      <c r="E1511" s="48" t="s">
        <v>856</v>
      </c>
      <c r="F1511" s="48" t="s">
        <v>21</v>
      </c>
      <c r="G1511" s="48" t="s">
        <v>22</v>
      </c>
      <c r="H1511" s="48" t="s">
        <v>27</v>
      </c>
      <c r="I1511" s="48" t="s">
        <v>1789</v>
      </c>
      <c r="J1511" s="48" t="s">
        <v>24</v>
      </c>
      <c r="K1511" s="48" t="s">
        <v>22</v>
      </c>
      <c r="L1511" s="48" t="s">
        <v>1132</v>
      </c>
      <c r="M1511" s="48" t="s">
        <v>26</v>
      </c>
      <c r="N1511" s="48" t="s">
        <v>20</v>
      </c>
      <c r="O1511" s="48" t="s">
        <v>857</v>
      </c>
      <c r="P1511" s="50">
        <v>1350000</v>
      </c>
      <c r="Q1511" s="50">
        <v>1</v>
      </c>
      <c r="R1511" s="50">
        <v>1350000</v>
      </c>
      <c r="S1511" s="74">
        <v>45041</v>
      </c>
      <c r="T1511" s="48" t="s">
        <v>28</v>
      </c>
      <c r="U1511" s="48" t="s">
        <v>22</v>
      </c>
      <c r="V1511" s="48" t="s">
        <v>857</v>
      </c>
      <c r="W1511" s="48"/>
    </row>
    <row r="1512" spans="1:23" ht="15.75" x14ac:dyDescent="0.25">
      <c r="A1512" s="48" t="s">
        <v>38</v>
      </c>
      <c r="B1512" s="49">
        <v>45285</v>
      </c>
      <c r="C1512" s="48" t="s">
        <v>918</v>
      </c>
      <c r="D1512" s="48" t="s">
        <v>441</v>
      </c>
      <c r="E1512" s="48" t="s">
        <v>856</v>
      </c>
      <c r="F1512" s="48" t="s">
        <v>21</v>
      </c>
      <c r="G1512" s="48" t="s">
        <v>22</v>
      </c>
      <c r="H1512" s="48" t="s">
        <v>27</v>
      </c>
      <c r="I1512" s="48" t="s">
        <v>39</v>
      </c>
      <c r="J1512" s="48" t="s">
        <v>24</v>
      </c>
      <c r="K1512" s="48" t="s">
        <v>22</v>
      </c>
      <c r="L1512" s="48" t="s">
        <v>1132</v>
      </c>
      <c r="M1512" s="48" t="s">
        <v>26</v>
      </c>
      <c r="N1512" s="48" t="s">
        <v>20</v>
      </c>
      <c r="O1512" s="48" t="s">
        <v>857</v>
      </c>
      <c r="P1512" s="50">
        <v>1131064.1599999999</v>
      </c>
      <c r="Q1512" s="50">
        <v>1</v>
      </c>
      <c r="R1512" s="50">
        <v>1131064.1599999999</v>
      </c>
      <c r="S1512" s="74">
        <v>44997</v>
      </c>
      <c r="T1512" s="48" t="s">
        <v>28</v>
      </c>
      <c r="U1512" s="48" t="s">
        <v>22</v>
      </c>
      <c r="V1512" s="48" t="s">
        <v>857</v>
      </c>
      <c r="W1512" s="48"/>
    </row>
    <row r="1513" spans="1:23" ht="15.75" x14ac:dyDescent="0.25">
      <c r="A1513" s="48" t="s">
        <v>209</v>
      </c>
      <c r="B1513" s="49">
        <v>44989</v>
      </c>
      <c r="C1513" s="48" t="s">
        <v>916</v>
      </c>
      <c r="D1513" s="48" t="s">
        <v>509</v>
      </c>
      <c r="E1513" s="48" t="s">
        <v>856</v>
      </c>
      <c r="F1513" s="48" t="s">
        <v>62</v>
      </c>
      <c r="G1513" s="48" t="s">
        <v>63</v>
      </c>
      <c r="H1513" s="48" t="s">
        <v>27</v>
      </c>
      <c r="I1513" s="48" t="s">
        <v>97</v>
      </c>
      <c r="J1513" s="48" t="s">
        <v>72</v>
      </c>
      <c r="K1513" s="48" t="s">
        <v>77</v>
      </c>
      <c r="L1513" s="48" t="s">
        <v>1143</v>
      </c>
      <c r="M1513" s="48" t="s">
        <v>67</v>
      </c>
      <c r="N1513" s="48" t="s">
        <v>20</v>
      </c>
      <c r="O1513" s="48" t="s">
        <v>857</v>
      </c>
      <c r="P1513" s="50">
        <v>1004640</v>
      </c>
      <c r="Q1513" s="50">
        <v>4.1020000000000003</v>
      </c>
      <c r="R1513" s="50">
        <v>4121033.2800000003</v>
      </c>
      <c r="S1513" s="74">
        <v>44989</v>
      </c>
      <c r="T1513" s="48" t="s">
        <v>917</v>
      </c>
      <c r="U1513" s="48" t="s">
        <v>407</v>
      </c>
      <c r="V1513" s="48" t="s">
        <v>857</v>
      </c>
      <c r="W1513" s="48"/>
    </row>
    <row r="1514" spans="1:23" ht="15.75" x14ac:dyDescent="0.25">
      <c r="A1514" s="48" t="s">
        <v>69</v>
      </c>
      <c r="B1514" s="49">
        <v>44982</v>
      </c>
      <c r="C1514" s="48" t="s">
        <v>924</v>
      </c>
      <c r="D1514" s="48" t="s">
        <v>1118</v>
      </c>
      <c r="E1514" s="48" t="s">
        <v>856</v>
      </c>
      <c r="F1514" s="48" t="s">
        <v>62</v>
      </c>
      <c r="G1514" s="48" t="s">
        <v>70</v>
      </c>
      <c r="H1514" s="48" t="s">
        <v>70</v>
      </c>
      <c r="I1514" s="48" t="s">
        <v>71</v>
      </c>
      <c r="J1514" s="48" t="s">
        <v>72</v>
      </c>
      <c r="K1514" s="48" t="s">
        <v>213</v>
      </c>
      <c r="L1514" s="48" t="s">
        <v>1134</v>
      </c>
      <c r="M1514" s="48" t="s">
        <v>67</v>
      </c>
      <c r="N1514" s="48" t="s">
        <v>20</v>
      </c>
      <c r="O1514" s="48" t="s">
        <v>857</v>
      </c>
      <c r="P1514" s="50">
        <v>1689291.9</v>
      </c>
      <c r="Q1514" s="50">
        <v>4.085</v>
      </c>
      <c r="R1514" s="50">
        <v>6900757.4114999995</v>
      </c>
      <c r="S1514" s="74">
        <v>44978</v>
      </c>
      <c r="T1514" s="48" t="s">
        <v>74</v>
      </c>
      <c r="U1514" s="48" t="s">
        <v>213</v>
      </c>
      <c r="V1514" s="48" t="s">
        <v>857</v>
      </c>
      <c r="W1514" s="48"/>
    </row>
    <row r="1515" spans="1:23" ht="15.75" x14ac:dyDescent="0.25">
      <c r="A1515" s="48" t="s">
        <v>253</v>
      </c>
      <c r="B1515" s="49">
        <v>45278</v>
      </c>
      <c r="C1515" s="48" t="s">
        <v>922</v>
      </c>
      <c r="D1515" s="48" t="s">
        <v>1184</v>
      </c>
      <c r="E1515" s="48" t="s">
        <v>856</v>
      </c>
      <c r="F1515" s="48" t="s">
        <v>21</v>
      </c>
      <c r="G1515" s="48" t="s">
        <v>22</v>
      </c>
      <c r="H1515" s="48" t="s">
        <v>27</v>
      </c>
      <c r="I1515" s="48" t="s">
        <v>30</v>
      </c>
      <c r="J1515" s="48" t="s">
        <v>1791</v>
      </c>
      <c r="K1515" s="48" t="s">
        <v>22</v>
      </c>
      <c r="L1515" s="48" t="s">
        <v>1132</v>
      </c>
      <c r="M1515" s="48" t="s">
        <v>31</v>
      </c>
      <c r="N1515" s="48" t="s">
        <v>20</v>
      </c>
      <c r="O1515" s="48" t="s">
        <v>857</v>
      </c>
      <c r="P1515" s="50">
        <v>326731.11</v>
      </c>
      <c r="Q1515" s="50">
        <v>4.79</v>
      </c>
      <c r="R1515" s="50">
        <v>1565042.0168999999</v>
      </c>
      <c r="S1515" s="74">
        <v>44970</v>
      </c>
      <c r="T1515" s="48" t="s">
        <v>32</v>
      </c>
      <c r="U1515" s="48" t="s">
        <v>22</v>
      </c>
      <c r="V1515" s="48" t="s">
        <v>857</v>
      </c>
      <c r="W1515" s="48"/>
    </row>
    <row r="1516" spans="1:23" ht="15.75" x14ac:dyDescent="0.25">
      <c r="A1516" s="48" t="s">
        <v>253</v>
      </c>
      <c r="B1516" s="49">
        <v>45278</v>
      </c>
      <c r="C1516" s="48" t="s">
        <v>928</v>
      </c>
      <c r="D1516" s="48" t="s">
        <v>1184</v>
      </c>
      <c r="E1516" s="48" t="s">
        <v>856</v>
      </c>
      <c r="F1516" s="48" t="s">
        <v>21</v>
      </c>
      <c r="G1516" s="48" t="s">
        <v>22</v>
      </c>
      <c r="H1516" s="48" t="s">
        <v>27</v>
      </c>
      <c r="I1516" s="48" t="s">
        <v>30</v>
      </c>
      <c r="J1516" s="48" t="s">
        <v>1791</v>
      </c>
      <c r="K1516" s="48" t="s">
        <v>22</v>
      </c>
      <c r="L1516" s="48" t="s">
        <v>1132</v>
      </c>
      <c r="M1516" s="48" t="s">
        <v>31</v>
      </c>
      <c r="N1516" s="48" t="s">
        <v>20</v>
      </c>
      <c r="O1516" s="48" t="s">
        <v>857</v>
      </c>
      <c r="P1516" s="50">
        <v>657036.18000000005</v>
      </c>
      <c r="Q1516" s="50">
        <v>4.79</v>
      </c>
      <c r="R1516" s="50">
        <v>3147203.3022000003</v>
      </c>
      <c r="S1516" s="74">
        <v>44955</v>
      </c>
      <c r="T1516" s="48" t="s">
        <v>32</v>
      </c>
      <c r="U1516" s="48" t="s">
        <v>22</v>
      </c>
      <c r="V1516" s="48" t="s">
        <v>857</v>
      </c>
      <c r="W1516" s="48"/>
    </row>
    <row r="1517" spans="1:23" ht="15.75" x14ac:dyDescent="0.25">
      <c r="A1517" s="48" t="s">
        <v>227</v>
      </c>
      <c r="B1517" s="49">
        <v>45554</v>
      </c>
      <c r="C1517" s="48" t="s">
        <v>924</v>
      </c>
      <c r="D1517" s="48" t="s">
        <v>1182</v>
      </c>
      <c r="E1517" s="48" t="s">
        <v>856</v>
      </c>
      <c r="F1517" s="48" t="s">
        <v>21</v>
      </c>
      <c r="G1517" s="48" t="s">
        <v>22</v>
      </c>
      <c r="H1517" s="48" t="s">
        <v>27</v>
      </c>
      <c r="I1517" s="48" t="s">
        <v>149</v>
      </c>
      <c r="J1517" s="48" t="s">
        <v>24</v>
      </c>
      <c r="K1517" s="48" t="s">
        <v>90</v>
      </c>
      <c r="L1517" s="48" t="s">
        <v>1141</v>
      </c>
      <c r="M1517" s="48" t="s">
        <v>26</v>
      </c>
      <c r="N1517" s="48" t="s">
        <v>20</v>
      </c>
      <c r="O1517" s="48" t="s">
        <v>857</v>
      </c>
      <c r="P1517" s="50">
        <v>3379275</v>
      </c>
      <c r="Q1517" s="50">
        <v>1</v>
      </c>
      <c r="R1517" s="50">
        <v>3379275</v>
      </c>
      <c r="S1517" s="74">
        <v>44955</v>
      </c>
      <c r="T1517" s="48" t="s">
        <v>917</v>
      </c>
      <c r="U1517" s="48" t="s">
        <v>90</v>
      </c>
      <c r="V1517" s="48" t="s">
        <v>857</v>
      </c>
      <c r="W1517" s="48"/>
    </row>
    <row r="1518" spans="1:23" ht="15.75" x14ac:dyDescent="0.25">
      <c r="A1518" s="48" t="s">
        <v>253</v>
      </c>
      <c r="B1518" s="49">
        <v>45278</v>
      </c>
      <c r="C1518" s="48" t="s">
        <v>933</v>
      </c>
      <c r="D1518" s="48" t="s">
        <v>1184</v>
      </c>
      <c r="E1518" s="48" t="s">
        <v>856</v>
      </c>
      <c r="F1518" s="48" t="s">
        <v>21</v>
      </c>
      <c r="G1518" s="48" t="s">
        <v>22</v>
      </c>
      <c r="H1518" s="48" t="s">
        <v>27</v>
      </c>
      <c r="I1518" s="48" t="s">
        <v>30</v>
      </c>
      <c r="J1518" s="48" t="s">
        <v>1791</v>
      </c>
      <c r="K1518" s="48" t="s">
        <v>22</v>
      </c>
      <c r="L1518" s="48" t="s">
        <v>1132</v>
      </c>
      <c r="M1518" s="48" t="s">
        <v>31</v>
      </c>
      <c r="N1518" s="48" t="s">
        <v>20</v>
      </c>
      <c r="O1518" s="48" t="s">
        <v>857</v>
      </c>
      <c r="P1518" s="50">
        <v>124562.47</v>
      </c>
      <c r="Q1518" s="50">
        <v>4.8049999999999997</v>
      </c>
      <c r="R1518" s="50">
        <v>598522.66834999993</v>
      </c>
      <c r="S1518" s="74">
        <v>44944</v>
      </c>
      <c r="T1518" s="48" t="s">
        <v>32</v>
      </c>
      <c r="U1518" s="48" t="s">
        <v>22</v>
      </c>
      <c r="V1518" s="48" t="s">
        <v>857</v>
      </c>
      <c r="W1518" s="48"/>
    </row>
    <row r="1519" spans="1:23" ht="15.75" x14ac:dyDescent="0.25">
      <c r="A1519" s="48" t="s">
        <v>226</v>
      </c>
      <c r="B1519" s="49">
        <v>45239</v>
      </c>
      <c r="C1519" s="48" t="s">
        <v>918</v>
      </c>
      <c r="D1519" s="48" t="s">
        <v>1184</v>
      </c>
      <c r="E1519" s="48" t="s">
        <v>856</v>
      </c>
      <c r="F1519" s="48" t="s">
        <v>21</v>
      </c>
      <c r="G1519" s="48" t="s">
        <v>22</v>
      </c>
      <c r="H1519" s="48" t="s">
        <v>27</v>
      </c>
      <c r="I1519" s="48" t="s">
        <v>39</v>
      </c>
      <c r="J1519" s="48" t="s">
        <v>80</v>
      </c>
      <c r="K1519" s="48" t="s">
        <v>22</v>
      </c>
      <c r="L1519" s="48" t="s">
        <v>1132</v>
      </c>
      <c r="M1519" s="48" t="s">
        <v>26</v>
      </c>
      <c r="N1519" s="48" t="s">
        <v>20</v>
      </c>
      <c r="O1519" s="48" t="s">
        <v>857</v>
      </c>
      <c r="P1519" s="50">
        <v>1392380.74</v>
      </c>
      <c r="Q1519" s="50">
        <v>1</v>
      </c>
      <c r="R1519" s="50">
        <v>1392380.74</v>
      </c>
      <c r="S1519" s="74">
        <v>44935</v>
      </c>
      <c r="T1519" s="48" t="s">
        <v>917</v>
      </c>
      <c r="U1519" s="48" t="s">
        <v>22</v>
      </c>
      <c r="V1519" s="48" t="s">
        <v>857</v>
      </c>
      <c r="W1519" s="48"/>
    </row>
    <row r="1520" spans="1:23" ht="15.75" x14ac:dyDescent="0.25">
      <c r="A1520" s="548" t="s">
        <v>226</v>
      </c>
      <c r="B1520" s="564">
        <v>45230</v>
      </c>
      <c r="C1520" s="548" t="s">
        <v>916</v>
      </c>
      <c r="D1520" s="548" t="s">
        <v>1184</v>
      </c>
      <c r="E1520" s="548" t="s">
        <v>856</v>
      </c>
      <c r="F1520" s="548" t="s">
        <v>21</v>
      </c>
      <c r="G1520" s="548" t="s">
        <v>22</v>
      </c>
      <c r="H1520" s="548" t="s">
        <v>27</v>
      </c>
      <c r="I1520" s="548" t="s">
        <v>39</v>
      </c>
      <c r="J1520" s="548" t="s">
        <v>80</v>
      </c>
      <c r="K1520" s="548" t="s">
        <v>22</v>
      </c>
      <c r="L1520" s="548" t="s">
        <v>1132</v>
      </c>
      <c r="M1520" s="548" t="s">
        <v>26</v>
      </c>
      <c r="N1520" s="548" t="s">
        <v>20</v>
      </c>
      <c r="O1520" s="548" t="s">
        <v>857</v>
      </c>
      <c r="P1520" s="54">
        <v>3048569.82</v>
      </c>
      <c r="Q1520" s="54">
        <v>1</v>
      </c>
      <c r="R1520" s="54">
        <v>3048569.82</v>
      </c>
      <c r="S1520" s="549">
        <v>44930</v>
      </c>
      <c r="T1520" s="548" t="s">
        <v>917</v>
      </c>
      <c r="U1520" s="548" t="s">
        <v>22</v>
      </c>
      <c r="V1520" s="548" t="s">
        <v>857</v>
      </c>
      <c r="W1520" s="548"/>
    </row>
  </sheetData>
  <mergeCells count="1">
    <mergeCell ref="H3:I3"/>
  </mergeCells>
  <phoneticPr fontId="24" type="noConversion"/>
  <conditionalFormatting sqref="A5:W1520">
    <cfRule type="expression" dxfId="1708" priority="2">
      <formula>$H5="Cash"</formula>
    </cfRule>
  </conditionalFormatting>
  <conditionalFormatting sqref="M5:M1520">
    <cfRule type="expression" dxfId="1707" priority="1">
      <formula>$M5&lt;&gt;"SAR"</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move_Filter">
                <anchor moveWithCells="1" sizeWithCells="1">
                  <from>
                    <xdr:col>0</xdr:col>
                    <xdr:colOff>152400</xdr:colOff>
                    <xdr:row>0</xdr:row>
                    <xdr:rowOff>133350</xdr:rowOff>
                  </from>
                  <to>
                    <xdr:col>1</xdr:col>
                    <xdr:colOff>333375</xdr:colOff>
                    <xdr:row>2</xdr:row>
                    <xdr:rowOff>28575</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11D61-F921-4562-8B0B-EA007960C5C3}">
  <sheetPr codeName="Sheet3">
    <tabColor rgb="FFC00000"/>
  </sheetPr>
  <dimension ref="A3:U66"/>
  <sheetViews>
    <sheetView showGridLines="0" workbookViewId="0">
      <selection activeCell="A5" sqref="A5"/>
    </sheetView>
  </sheetViews>
  <sheetFormatPr defaultColWidth="8.7109375" defaultRowHeight="15" x14ac:dyDescent="0.25"/>
  <cols>
    <col min="1" max="1" width="17.7109375" bestFit="1" customWidth="1"/>
    <col min="2" max="2" width="13.42578125" bestFit="1" customWidth="1"/>
    <col min="3" max="3" width="17.85546875" bestFit="1" customWidth="1"/>
    <col min="4" max="4" width="25.5703125" bestFit="1" customWidth="1"/>
    <col min="5" max="5" width="13.5703125" bestFit="1" customWidth="1"/>
    <col min="6" max="6" width="7.5703125" bestFit="1" customWidth="1"/>
    <col min="7" max="7" width="15.140625" bestFit="1" customWidth="1"/>
    <col min="8" max="8" width="7.85546875" bestFit="1" customWidth="1"/>
    <col min="9" max="9" width="63.85546875" bestFit="1" customWidth="1"/>
    <col min="10" max="10" width="17.5703125" bestFit="1" customWidth="1"/>
    <col min="11" max="11" width="19.28515625" bestFit="1" customWidth="1"/>
    <col min="12" max="12" width="14.5703125" bestFit="1" customWidth="1"/>
    <col min="13" max="13" width="7" bestFit="1" customWidth="1"/>
    <col min="14" max="14" width="25.28515625" bestFit="1" customWidth="1"/>
    <col min="15" max="15" width="19" bestFit="1" customWidth="1"/>
    <col min="16" max="16" width="7.28515625" bestFit="1" customWidth="1"/>
    <col min="17" max="17" width="19.85546875" bestFit="1" customWidth="1"/>
    <col min="18" max="18" width="12.85546875" bestFit="1" customWidth="1"/>
    <col min="19" max="19" width="52.42578125" bestFit="1" customWidth="1"/>
    <col min="20" max="20" width="14.7109375" bestFit="1" customWidth="1"/>
    <col min="21" max="21" width="52.42578125" bestFit="1" customWidth="1"/>
    <col min="22" max="22" width="9.7109375" bestFit="1" customWidth="1"/>
    <col min="23" max="23" width="7.7109375" bestFit="1" customWidth="1"/>
    <col min="24" max="24" width="20.42578125" bestFit="1" customWidth="1"/>
    <col min="25" max="25" width="15.5703125" bestFit="1" customWidth="1"/>
    <col min="26" max="26" width="14.28515625" customWidth="1"/>
    <col min="27" max="27" width="12.5703125" bestFit="1" customWidth="1"/>
    <col min="28" max="28" width="80.7109375" bestFit="1" customWidth="1"/>
  </cols>
  <sheetData>
    <row r="3" spans="1:21" ht="50.45" customHeight="1" x14ac:dyDescent="0.35">
      <c r="H3" s="627" t="s">
        <v>5026</v>
      </c>
      <c r="I3" s="627"/>
      <c r="J3" s="205"/>
      <c r="K3" s="205"/>
      <c r="L3" s="205"/>
      <c r="M3" s="205"/>
    </row>
    <row r="4" spans="1:21" x14ac:dyDescent="0.25">
      <c r="A4" s="466" t="s">
        <v>0</v>
      </c>
      <c r="B4" s="466" t="s">
        <v>847</v>
      </c>
      <c r="C4" s="466" t="s">
        <v>848</v>
      </c>
      <c r="D4" s="466" t="s">
        <v>841</v>
      </c>
      <c r="E4" s="466" t="s">
        <v>849</v>
      </c>
      <c r="F4" s="466" t="s">
        <v>850</v>
      </c>
      <c r="G4" s="466" t="s">
        <v>3</v>
      </c>
      <c r="H4" s="466" t="s">
        <v>15</v>
      </c>
      <c r="I4" s="466" t="s">
        <v>4</v>
      </c>
      <c r="J4" s="466" t="s">
        <v>5</v>
      </c>
      <c r="K4" s="466" t="s">
        <v>6</v>
      </c>
      <c r="L4" s="466" t="s">
        <v>846</v>
      </c>
      <c r="M4" s="466" t="s">
        <v>7</v>
      </c>
      <c r="N4" s="466" t="s">
        <v>2</v>
      </c>
      <c r="O4" s="466" t="s">
        <v>852</v>
      </c>
      <c r="P4" s="466" t="s">
        <v>9</v>
      </c>
      <c r="Q4" s="466" t="s">
        <v>853</v>
      </c>
      <c r="R4" s="466" t="s">
        <v>854</v>
      </c>
      <c r="S4" s="466" t="s">
        <v>16</v>
      </c>
      <c r="T4" s="466" t="s">
        <v>855</v>
      </c>
      <c r="U4" s="466" t="s">
        <v>17</v>
      </c>
    </row>
    <row r="5" spans="1:21" ht="15.75" x14ac:dyDescent="0.25">
      <c r="A5" s="117" t="s">
        <v>1818</v>
      </c>
      <c r="B5" s="587">
        <v>46093</v>
      </c>
      <c r="C5" s="117">
        <v>2</v>
      </c>
      <c r="D5" s="117" t="s">
        <v>1181</v>
      </c>
      <c r="E5" s="117" t="s">
        <v>858</v>
      </c>
      <c r="F5" s="117" t="s">
        <v>366</v>
      </c>
      <c r="G5" s="117" t="s">
        <v>710</v>
      </c>
      <c r="H5" s="117" t="s">
        <v>27</v>
      </c>
      <c r="I5" s="117" t="s">
        <v>1784</v>
      </c>
      <c r="J5" s="117" t="s">
        <v>72</v>
      </c>
      <c r="K5" s="117" t="s">
        <v>81</v>
      </c>
      <c r="L5" s="117">
        <v>1020070</v>
      </c>
      <c r="M5" s="117" t="s">
        <v>26</v>
      </c>
      <c r="N5" s="117" t="s">
        <v>909</v>
      </c>
      <c r="O5" s="46">
        <v>902623.5</v>
      </c>
      <c r="P5" s="46">
        <v>1</v>
      </c>
      <c r="Q5" s="46">
        <v>902623.5</v>
      </c>
      <c r="R5" s="587">
        <v>46198</v>
      </c>
      <c r="S5" s="117" t="s">
        <v>1785</v>
      </c>
      <c r="T5" s="117"/>
      <c r="U5" s="117" t="s">
        <v>5561</v>
      </c>
    </row>
    <row r="6" spans="1:21" ht="15.75" x14ac:dyDescent="0.25">
      <c r="A6" s="116" t="s">
        <v>707</v>
      </c>
      <c r="B6" s="586">
        <v>46188</v>
      </c>
      <c r="C6" s="116">
        <v>7</v>
      </c>
      <c r="D6" s="116" t="s">
        <v>708</v>
      </c>
      <c r="E6" s="116" t="s">
        <v>856</v>
      </c>
      <c r="F6" s="116" t="s">
        <v>95</v>
      </c>
      <c r="G6" s="116" t="s">
        <v>96</v>
      </c>
      <c r="H6" s="116" t="s">
        <v>27</v>
      </c>
      <c r="I6" s="116" t="s">
        <v>3623</v>
      </c>
      <c r="J6" s="116" t="s">
        <v>1791</v>
      </c>
      <c r="K6" s="116" t="s">
        <v>328</v>
      </c>
      <c r="L6" s="116">
        <v>1020097</v>
      </c>
      <c r="M6" s="116" t="s">
        <v>67</v>
      </c>
      <c r="N6" s="116" t="s">
        <v>912</v>
      </c>
      <c r="O6" s="47">
        <v>1123289.6200000001</v>
      </c>
      <c r="P6" s="47">
        <v>4.4160000000000004</v>
      </c>
      <c r="Q6" s="47">
        <v>4960446.9619200006</v>
      </c>
      <c r="R6" s="586">
        <v>46198</v>
      </c>
      <c r="S6" s="116" t="s">
        <v>255</v>
      </c>
      <c r="T6" s="116"/>
      <c r="U6" s="116"/>
    </row>
    <row r="7" spans="1:21" ht="15.75" x14ac:dyDescent="0.25">
      <c r="A7" s="116" t="s">
        <v>3169</v>
      </c>
      <c r="B7" s="586">
        <v>46177</v>
      </c>
      <c r="C7" s="116">
        <v>4</v>
      </c>
      <c r="D7" s="116" t="s">
        <v>1184</v>
      </c>
      <c r="E7" s="116" t="s">
        <v>858</v>
      </c>
      <c r="F7" s="116" t="s">
        <v>21</v>
      </c>
      <c r="G7" s="116" t="s">
        <v>22</v>
      </c>
      <c r="H7" s="116" t="s">
        <v>27</v>
      </c>
      <c r="I7" s="116" t="s">
        <v>2622</v>
      </c>
      <c r="J7" s="116" t="s">
        <v>72</v>
      </c>
      <c r="K7" s="116" t="s">
        <v>90</v>
      </c>
      <c r="L7" s="116">
        <v>1020001</v>
      </c>
      <c r="M7" s="116" t="s">
        <v>67</v>
      </c>
      <c r="N7" s="116" t="s">
        <v>909</v>
      </c>
      <c r="O7" s="47">
        <v>270000</v>
      </c>
      <c r="P7" s="47">
        <v>4.4394999999999998</v>
      </c>
      <c r="Q7" s="47">
        <v>1198665</v>
      </c>
      <c r="R7" s="586">
        <v>46199</v>
      </c>
      <c r="S7" s="116" t="s">
        <v>3627</v>
      </c>
      <c r="T7" s="116"/>
      <c r="U7" s="116" t="s">
        <v>5440</v>
      </c>
    </row>
    <row r="8" spans="1:21" ht="15.75" x14ac:dyDescent="0.25">
      <c r="A8" s="116" t="s">
        <v>2236</v>
      </c>
      <c r="B8" s="586">
        <v>46125</v>
      </c>
      <c r="C8" s="116">
        <v>3</v>
      </c>
      <c r="D8" s="116" t="s">
        <v>441</v>
      </c>
      <c r="E8" s="116" t="s">
        <v>858</v>
      </c>
      <c r="F8" s="116" t="s">
        <v>366</v>
      </c>
      <c r="G8" s="116" t="s">
        <v>710</v>
      </c>
      <c r="H8" s="116" t="s">
        <v>27</v>
      </c>
      <c r="I8" s="116" t="s">
        <v>1842</v>
      </c>
      <c r="J8" s="116" t="s">
        <v>24</v>
      </c>
      <c r="K8" s="116" t="s">
        <v>710</v>
      </c>
      <c r="L8" s="116">
        <v>1020088</v>
      </c>
      <c r="M8" s="116" t="s">
        <v>26</v>
      </c>
      <c r="N8" s="116" t="s">
        <v>912</v>
      </c>
      <c r="O8" s="47">
        <v>106205.87</v>
      </c>
      <c r="P8" s="47">
        <v>1</v>
      </c>
      <c r="Q8" s="47">
        <v>106205.87</v>
      </c>
      <c r="R8" s="586">
        <v>46201</v>
      </c>
      <c r="S8" s="116" t="s">
        <v>621</v>
      </c>
      <c r="T8" s="116"/>
      <c r="U8" s="116"/>
    </row>
    <row r="9" spans="1:21" ht="15.75" x14ac:dyDescent="0.25">
      <c r="A9" s="116" t="s">
        <v>707</v>
      </c>
      <c r="B9" s="586">
        <v>46188</v>
      </c>
      <c r="C9" s="116">
        <v>8</v>
      </c>
      <c r="D9" s="116" t="s">
        <v>708</v>
      </c>
      <c r="E9" s="116" t="s">
        <v>856</v>
      </c>
      <c r="F9" s="116" t="s">
        <v>95</v>
      </c>
      <c r="G9" s="116" t="s">
        <v>96</v>
      </c>
      <c r="H9" s="116" t="s">
        <v>27</v>
      </c>
      <c r="I9" s="116" t="s">
        <v>3623</v>
      </c>
      <c r="J9" s="116" t="s">
        <v>1791</v>
      </c>
      <c r="K9" s="116" t="s">
        <v>328</v>
      </c>
      <c r="L9" s="116">
        <v>1020097</v>
      </c>
      <c r="M9" s="116" t="s">
        <v>67</v>
      </c>
      <c r="N9" s="116" t="s">
        <v>912</v>
      </c>
      <c r="O9" s="47">
        <v>1034169.01</v>
      </c>
      <c r="P9" s="47">
        <v>4.4160000000000004</v>
      </c>
      <c r="Q9" s="47">
        <v>4566890.3481600005</v>
      </c>
      <c r="R9" s="586">
        <v>46202</v>
      </c>
      <c r="S9" s="116" t="s">
        <v>255</v>
      </c>
      <c r="T9" s="116"/>
      <c r="U9" s="116"/>
    </row>
    <row r="10" spans="1:21" ht="15.75" x14ac:dyDescent="0.25">
      <c r="A10" s="116" t="s">
        <v>4304</v>
      </c>
      <c r="B10" s="586">
        <v>46121</v>
      </c>
      <c r="C10" s="116">
        <v>2</v>
      </c>
      <c r="D10" s="116" t="s">
        <v>441</v>
      </c>
      <c r="E10" s="116" t="s">
        <v>856</v>
      </c>
      <c r="F10" s="116" t="s">
        <v>612</v>
      </c>
      <c r="G10" s="116" t="s">
        <v>613</v>
      </c>
      <c r="H10" s="116" t="s">
        <v>27</v>
      </c>
      <c r="I10" s="116" t="s">
        <v>4277</v>
      </c>
      <c r="J10" s="116" t="s">
        <v>24</v>
      </c>
      <c r="K10" s="116" t="s">
        <v>367</v>
      </c>
      <c r="L10" s="116">
        <v>1020091</v>
      </c>
      <c r="M10" s="116" t="s">
        <v>26</v>
      </c>
      <c r="N10" s="116" t="s">
        <v>912</v>
      </c>
      <c r="O10" s="47">
        <v>42000000</v>
      </c>
      <c r="P10" s="47">
        <v>1</v>
      </c>
      <c r="Q10" s="47">
        <v>42000000</v>
      </c>
      <c r="R10" s="586">
        <v>46202</v>
      </c>
      <c r="S10" s="116" t="s">
        <v>311</v>
      </c>
      <c r="T10" s="116"/>
      <c r="U10" s="116"/>
    </row>
    <row r="11" spans="1:21" ht="15.75" x14ac:dyDescent="0.25">
      <c r="A11" s="116" t="s">
        <v>4055</v>
      </c>
      <c r="B11" s="586">
        <v>46119</v>
      </c>
      <c r="C11" s="116">
        <v>4</v>
      </c>
      <c r="D11" s="116" t="s">
        <v>441</v>
      </c>
      <c r="E11" s="116" t="s">
        <v>856</v>
      </c>
      <c r="F11" s="116" t="s">
        <v>21</v>
      </c>
      <c r="G11" s="116" t="s">
        <v>22</v>
      </c>
      <c r="H11" s="116" t="s">
        <v>27</v>
      </c>
      <c r="I11" s="116" t="s">
        <v>4277</v>
      </c>
      <c r="J11" s="116" t="s">
        <v>24</v>
      </c>
      <c r="K11" s="116" t="s">
        <v>90</v>
      </c>
      <c r="L11" s="116">
        <v>1020001</v>
      </c>
      <c r="M11" s="116" t="s">
        <v>26</v>
      </c>
      <c r="N11" s="116" t="s">
        <v>912</v>
      </c>
      <c r="O11" s="47">
        <v>6000000</v>
      </c>
      <c r="P11" s="47">
        <v>1</v>
      </c>
      <c r="Q11" s="47">
        <v>6000000</v>
      </c>
      <c r="R11" s="586">
        <v>46202</v>
      </c>
      <c r="S11" s="116" t="s">
        <v>311</v>
      </c>
      <c r="T11" s="116"/>
      <c r="U11" s="116"/>
    </row>
    <row r="12" spans="1:21" ht="15.75" x14ac:dyDescent="0.25">
      <c r="A12" s="116" t="s">
        <v>1896</v>
      </c>
      <c r="B12" s="586">
        <v>46176</v>
      </c>
      <c r="C12" s="116">
        <v>10</v>
      </c>
      <c r="D12" s="116" t="s">
        <v>509</v>
      </c>
      <c r="E12" s="116" t="s">
        <v>856</v>
      </c>
      <c r="F12" s="116" t="s">
        <v>21</v>
      </c>
      <c r="G12" s="116" t="s">
        <v>22</v>
      </c>
      <c r="H12" s="116" t="s">
        <v>27</v>
      </c>
      <c r="I12" s="116" t="s">
        <v>1883</v>
      </c>
      <c r="J12" s="116" t="s">
        <v>72</v>
      </c>
      <c r="K12" s="116" t="s">
        <v>511</v>
      </c>
      <c r="L12" s="116">
        <v>1020107</v>
      </c>
      <c r="M12" s="116" t="s">
        <v>26</v>
      </c>
      <c r="N12" s="116" t="s">
        <v>912</v>
      </c>
      <c r="O12" s="47">
        <v>412500</v>
      </c>
      <c r="P12" s="47">
        <v>1</v>
      </c>
      <c r="Q12" s="47">
        <v>412500</v>
      </c>
      <c r="R12" s="586">
        <v>46204</v>
      </c>
      <c r="S12" s="116" t="s">
        <v>117</v>
      </c>
      <c r="T12" s="116"/>
      <c r="U12" s="116"/>
    </row>
    <row r="13" spans="1:21" ht="15.75" x14ac:dyDescent="0.25">
      <c r="A13" s="116" t="s">
        <v>3142</v>
      </c>
      <c r="B13" s="586">
        <v>46177</v>
      </c>
      <c r="C13" s="116">
        <v>3</v>
      </c>
      <c r="D13" s="116" t="s">
        <v>2801</v>
      </c>
      <c r="E13" s="116" t="s">
        <v>856</v>
      </c>
      <c r="F13" s="116" t="s">
        <v>95</v>
      </c>
      <c r="G13" s="116" t="s">
        <v>96</v>
      </c>
      <c r="H13" s="116" t="s">
        <v>27</v>
      </c>
      <c r="I13" s="116" t="s">
        <v>2925</v>
      </c>
      <c r="J13" s="116" t="s">
        <v>3219</v>
      </c>
      <c r="K13" s="116" t="s">
        <v>328</v>
      </c>
      <c r="L13" s="116">
        <v>1020097</v>
      </c>
      <c r="M13" s="116" t="s">
        <v>26</v>
      </c>
      <c r="N13" s="116" t="s">
        <v>912</v>
      </c>
      <c r="O13" s="47">
        <v>652505.4</v>
      </c>
      <c r="P13" s="47">
        <v>1</v>
      </c>
      <c r="Q13" s="47">
        <v>652505.4</v>
      </c>
      <c r="R13" s="586">
        <v>46205</v>
      </c>
      <c r="S13" s="116" t="s">
        <v>425</v>
      </c>
      <c r="T13" s="116"/>
      <c r="U13" s="116"/>
    </row>
    <row r="14" spans="1:21" ht="15.75" x14ac:dyDescent="0.25">
      <c r="A14" s="116" t="s">
        <v>1934</v>
      </c>
      <c r="B14" s="586">
        <v>46155</v>
      </c>
      <c r="C14" s="116">
        <v>11</v>
      </c>
      <c r="D14" s="116" t="s">
        <v>1537</v>
      </c>
      <c r="E14" s="116" t="s">
        <v>856</v>
      </c>
      <c r="F14" s="116" t="s">
        <v>62</v>
      </c>
      <c r="G14" s="116" t="s">
        <v>483</v>
      </c>
      <c r="H14" s="116" t="s">
        <v>27</v>
      </c>
      <c r="I14" s="116" t="s">
        <v>1641</v>
      </c>
      <c r="J14" s="116" t="s">
        <v>72</v>
      </c>
      <c r="K14" s="116" t="s">
        <v>483</v>
      </c>
      <c r="L14" s="116">
        <v>1020096</v>
      </c>
      <c r="M14" s="116" t="s">
        <v>26</v>
      </c>
      <c r="N14" s="116" t="s">
        <v>912</v>
      </c>
      <c r="O14" s="47">
        <v>284755.58</v>
      </c>
      <c r="P14" s="47">
        <v>1</v>
      </c>
      <c r="Q14" s="47">
        <v>284755.58</v>
      </c>
      <c r="R14" s="586">
        <v>46205</v>
      </c>
      <c r="S14" s="116" t="s">
        <v>305</v>
      </c>
      <c r="T14" s="116"/>
      <c r="U14" s="116"/>
    </row>
    <row r="15" spans="1:21" ht="15.75" x14ac:dyDescent="0.25">
      <c r="A15" s="116" t="s">
        <v>3956</v>
      </c>
      <c r="B15" s="586">
        <v>46149</v>
      </c>
      <c r="C15" s="116">
        <v>1</v>
      </c>
      <c r="D15" s="116" t="s">
        <v>1537</v>
      </c>
      <c r="E15" s="116" t="s">
        <v>856</v>
      </c>
      <c r="F15" s="116" t="s">
        <v>62</v>
      </c>
      <c r="G15" s="116" t="s">
        <v>483</v>
      </c>
      <c r="H15" s="116" t="s">
        <v>27</v>
      </c>
      <c r="I15" s="116" t="s">
        <v>3231</v>
      </c>
      <c r="J15" s="116" t="s">
        <v>24</v>
      </c>
      <c r="K15" s="116" t="s">
        <v>483</v>
      </c>
      <c r="L15" s="116">
        <v>1020096</v>
      </c>
      <c r="M15" s="116" t="s">
        <v>26</v>
      </c>
      <c r="N15" s="116" t="s">
        <v>912</v>
      </c>
      <c r="O15" s="47">
        <v>500000</v>
      </c>
      <c r="P15" s="47">
        <v>1</v>
      </c>
      <c r="Q15" s="47">
        <v>500000</v>
      </c>
      <c r="R15" s="586">
        <v>46208</v>
      </c>
      <c r="S15" s="116" t="s">
        <v>3229</v>
      </c>
      <c r="T15" s="116"/>
      <c r="U15" s="116"/>
    </row>
    <row r="16" spans="1:21" ht="15.75" x14ac:dyDescent="0.25">
      <c r="A16" s="116" t="s">
        <v>2902</v>
      </c>
      <c r="B16" s="586">
        <v>46155</v>
      </c>
      <c r="C16" s="116">
        <v>1</v>
      </c>
      <c r="D16" s="116" t="s">
        <v>441</v>
      </c>
      <c r="E16" s="116" t="s">
        <v>856</v>
      </c>
      <c r="F16" s="116" t="s">
        <v>366</v>
      </c>
      <c r="G16" s="116" t="s">
        <v>710</v>
      </c>
      <c r="H16" s="116" t="s">
        <v>27</v>
      </c>
      <c r="I16" s="116" t="s">
        <v>1386</v>
      </c>
      <c r="J16" s="116" t="s">
        <v>24</v>
      </c>
      <c r="K16" s="116" t="s">
        <v>710</v>
      </c>
      <c r="L16" s="116">
        <v>1020088</v>
      </c>
      <c r="M16" s="116" t="s">
        <v>26</v>
      </c>
      <c r="N16" s="116" t="s">
        <v>912</v>
      </c>
      <c r="O16" s="47">
        <v>208813.02</v>
      </c>
      <c r="P16" s="47">
        <v>1</v>
      </c>
      <c r="Q16" s="47">
        <v>208813.02</v>
      </c>
      <c r="R16" s="586">
        <v>46208</v>
      </c>
      <c r="S16" s="116" t="s">
        <v>621</v>
      </c>
      <c r="T16" s="116"/>
      <c r="U16" s="116"/>
    </row>
    <row r="17" spans="1:21" ht="15.75" x14ac:dyDescent="0.25">
      <c r="A17" s="116" t="s">
        <v>4394</v>
      </c>
      <c r="B17" s="586">
        <v>46181</v>
      </c>
      <c r="C17" s="116">
        <v>2</v>
      </c>
      <c r="D17" s="116" t="s">
        <v>1537</v>
      </c>
      <c r="E17" s="116" t="s">
        <v>856</v>
      </c>
      <c r="F17" s="116" t="s">
        <v>62</v>
      </c>
      <c r="G17" s="116" t="s">
        <v>483</v>
      </c>
      <c r="H17" s="116" t="s">
        <v>27</v>
      </c>
      <c r="I17" s="116" t="s">
        <v>1641</v>
      </c>
      <c r="J17" s="116" t="s">
        <v>72</v>
      </c>
      <c r="K17" s="116" t="s">
        <v>483</v>
      </c>
      <c r="L17" s="116">
        <v>1020096</v>
      </c>
      <c r="M17" s="116" t="s">
        <v>26</v>
      </c>
      <c r="N17" s="116" t="s">
        <v>912</v>
      </c>
      <c r="O17" s="47">
        <v>735540</v>
      </c>
      <c r="P17" s="47">
        <v>1</v>
      </c>
      <c r="Q17" s="47">
        <v>735540</v>
      </c>
      <c r="R17" s="586">
        <v>46208</v>
      </c>
      <c r="S17" s="116" t="s">
        <v>4293</v>
      </c>
      <c r="T17" s="116"/>
      <c r="U17" s="116"/>
    </row>
    <row r="18" spans="1:21" ht="15.75" x14ac:dyDescent="0.25">
      <c r="A18" s="116" t="s">
        <v>4250</v>
      </c>
      <c r="B18" s="586">
        <v>46125</v>
      </c>
      <c r="C18" s="116">
        <v>1</v>
      </c>
      <c r="D18" s="116" t="s">
        <v>441</v>
      </c>
      <c r="E18" s="116" t="s">
        <v>858</v>
      </c>
      <c r="F18" s="116" t="s">
        <v>366</v>
      </c>
      <c r="G18" s="116" t="s">
        <v>710</v>
      </c>
      <c r="H18" s="116" t="s">
        <v>27</v>
      </c>
      <c r="I18" s="116" t="s">
        <v>1378</v>
      </c>
      <c r="J18" s="116" t="s">
        <v>24</v>
      </c>
      <c r="K18" s="116" t="s">
        <v>710</v>
      </c>
      <c r="L18" s="116">
        <v>1020088</v>
      </c>
      <c r="M18" s="116" t="s">
        <v>26</v>
      </c>
      <c r="N18" s="116" t="s">
        <v>912</v>
      </c>
      <c r="O18" s="47">
        <v>194647.12</v>
      </c>
      <c r="P18" s="47">
        <v>1</v>
      </c>
      <c r="Q18" s="47">
        <v>194647.12</v>
      </c>
      <c r="R18" s="586">
        <v>46208</v>
      </c>
      <c r="S18" s="116" t="s">
        <v>1904</v>
      </c>
      <c r="T18" s="116"/>
      <c r="U18" s="116"/>
    </row>
    <row r="19" spans="1:21" ht="15.75" x14ac:dyDescent="0.25">
      <c r="A19" s="116" t="s">
        <v>3898</v>
      </c>
      <c r="B19" s="586">
        <v>46133</v>
      </c>
      <c r="C19" s="116">
        <v>1</v>
      </c>
      <c r="D19" s="116" t="s">
        <v>441</v>
      </c>
      <c r="E19" s="116" t="s">
        <v>858</v>
      </c>
      <c r="F19" s="116" t="s">
        <v>366</v>
      </c>
      <c r="G19" s="116" t="s">
        <v>710</v>
      </c>
      <c r="H19" s="116" t="s">
        <v>27</v>
      </c>
      <c r="I19" s="116" t="s">
        <v>3292</v>
      </c>
      <c r="J19" s="116" t="s">
        <v>24</v>
      </c>
      <c r="K19" s="116" t="s">
        <v>710</v>
      </c>
      <c r="L19" s="116">
        <v>1020088</v>
      </c>
      <c r="M19" s="116" t="s">
        <v>26</v>
      </c>
      <c r="N19" s="116" t="s">
        <v>912</v>
      </c>
      <c r="O19" s="47">
        <v>397090</v>
      </c>
      <c r="P19" s="47">
        <v>1</v>
      </c>
      <c r="Q19" s="47">
        <v>397090</v>
      </c>
      <c r="R19" s="586">
        <v>46208</v>
      </c>
      <c r="S19" s="116" t="s">
        <v>1904</v>
      </c>
      <c r="T19" s="116"/>
      <c r="U19" s="116"/>
    </row>
    <row r="20" spans="1:21" ht="15.75" x14ac:dyDescent="0.25">
      <c r="A20" s="116" t="s">
        <v>3703</v>
      </c>
      <c r="B20" s="586">
        <v>46134</v>
      </c>
      <c r="C20" s="116">
        <v>1</v>
      </c>
      <c r="D20" s="116" t="s">
        <v>441</v>
      </c>
      <c r="E20" s="116" t="s">
        <v>858</v>
      </c>
      <c r="F20" s="116" t="s">
        <v>366</v>
      </c>
      <c r="G20" s="116" t="s">
        <v>710</v>
      </c>
      <c r="H20" s="116" t="s">
        <v>27</v>
      </c>
      <c r="I20" s="116" t="s">
        <v>1573</v>
      </c>
      <c r="J20" s="116" t="s">
        <v>24</v>
      </c>
      <c r="K20" s="116" t="s">
        <v>710</v>
      </c>
      <c r="L20" s="116">
        <v>1020088</v>
      </c>
      <c r="M20" s="116" t="s">
        <v>26</v>
      </c>
      <c r="N20" s="116" t="s">
        <v>912</v>
      </c>
      <c r="O20" s="47">
        <v>365011.38</v>
      </c>
      <c r="P20" s="47">
        <v>1</v>
      </c>
      <c r="Q20" s="47">
        <v>365011.38</v>
      </c>
      <c r="R20" s="586">
        <v>46208</v>
      </c>
      <c r="S20" s="116" t="s">
        <v>1904</v>
      </c>
      <c r="T20" s="116"/>
      <c r="U20" s="116"/>
    </row>
    <row r="21" spans="1:21" ht="15.75" x14ac:dyDescent="0.25">
      <c r="A21" s="116" t="s">
        <v>1821</v>
      </c>
      <c r="B21" s="586">
        <v>46139</v>
      </c>
      <c r="C21" s="116">
        <v>2</v>
      </c>
      <c r="D21" s="116" t="s">
        <v>441</v>
      </c>
      <c r="E21" s="116" t="s">
        <v>856</v>
      </c>
      <c r="F21" s="116" t="s">
        <v>612</v>
      </c>
      <c r="G21" s="116" t="s">
        <v>613</v>
      </c>
      <c r="H21" s="116" t="s">
        <v>27</v>
      </c>
      <c r="I21" s="116" t="s">
        <v>1701</v>
      </c>
      <c r="J21" s="116" t="s">
        <v>24</v>
      </c>
      <c r="K21" s="116" t="s">
        <v>613</v>
      </c>
      <c r="L21" s="116">
        <v>1020106</v>
      </c>
      <c r="M21" s="116" t="s">
        <v>26</v>
      </c>
      <c r="N21" s="116" t="s">
        <v>912</v>
      </c>
      <c r="O21" s="47">
        <v>199393.9</v>
      </c>
      <c r="P21" s="47">
        <v>1</v>
      </c>
      <c r="Q21" s="47">
        <v>199393.9</v>
      </c>
      <c r="R21" s="586">
        <v>46210</v>
      </c>
      <c r="S21" s="116" t="s">
        <v>311</v>
      </c>
      <c r="T21" s="116"/>
      <c r="U21" s="116"/>
    </row>
    <row r="22" spans="1:21" ht="15.75" x14ac:dyDescent="0.25">
      <c r="A22" s="116" t="s">
        <v>4251</v>
      </c>
      <c r="B22" s="586">
        <v>46131</v>
      </c>
      <c r="C22" s="116">
        <v>1</v>
      </c>
      <c r="D22" s="116" t="s">
        <v>441</v>
      </c>
      <c r="E22" s="116" t="s">
        <v>856</v>
      </c>
      <c r="F22" s="116" t="s">
        <v>366</v>
      </c>
      <c r="G22" s="116" t="s">
        <v>710</v>
      </c>
      <c r="H22" s="116" t="s">
        <v>27</v>
      </c>
      <c r="I22" s="116" t="s">
        <v>4136</v>
      </c>
      <c r="J22" s="116" t="s">
        <v>24</v>
      </c>
      <c r="K22" s="116" t="s">
        <v>710</v>
      </c>
      <c r="L22" s="116">
        <v>1020088</v>
      </c>
      <c r="M22" s="116" t="s">
        <v>26</v>
      </c>
      <c r="N22" s="116" t="s">
        <v>912</v>
      </c>
      <c r="O22" s="47">
        <v>1309266</v>
      </c>
      <c r="P22" s="47">
        <v>1</v>
      </c>
      <c r="Q22" s="47">
        <v>1309266</v>
      </c>
      <c r="R22" s="586">
        <v>46211</v>
      </c>
      <c r="S22" s="116" t="s">
        <v>1904</v>
      </c>
      <c r="T22" s="116"/>
      <c r="U22" s="116"/>
    </row>
    <row r="23" spans="1:21" ht="15.75" x14ac:dyDescent="0.25">
      <c r="A23" s="116" t="s">
        <v>1934</v>
      </c>
      <c r="B23" s="586">
        <v>46155</v>
      </c>
      <c r="C23" s="116">
        <v>10</v>
      </c>
      <c r="D23" s="116" t="s">
        <v>1537</v>
      </c>
      <c r="E23" s="116" t="s">
        <v>856</v>
      </c>
      <c r="F23" s="116" t="s">
        <v>62</v>
      </c>
      <c r="G23" s="116" t="s">
        <v>483</v>
      </c>
      <c r="H23" s="116" t="s">
        <v>27</v>
      </c>
      <c r="I23" s="116" t="s">
        <v>1641</v>
      </c>
      <c r="J23" s="116" t="s">
        <v>72</v>
      </c>
      <c r="K23" s="116" t="s">
        <v>483</v>
      </c>
      <c r="L23" s="116">
        <v>1020096</v>
      </c>
      <c r="M23" s="116" t="s">
        <v>26</v>
      </c>
      <c r="N23" s="116" t="s">
        <v>912</v>
      </c>
      <c r="O23" s="47">
        <v>467861.1</v>
      </c>
      <c r="P23" s="47">
        <v>1</v>
      </c>
      <c r="Q23" s="47">
        <v>467861.1</v>
      </c>
      <c r="R23" s="586">
        <v>46212</v>
      </c>
      <c r="S23" s="116" t="s">
        <v>305</v>
      </c>
      <c r="T23" s="116"/>
      <c r="U23" s="116"/>
    </row>
    <row r="24" spans="1:21" ht="15.75" x14ac:dyDescent="0.25">
      <c r="A24" s="116" t="s">
        <v>4548</v>
      </c>
      <c r="B24" s="586">
        <v>46142</v>
      </c>
      <c r="C24" s="116">
        <v>1</v>
      </c>
      <c r="D24" s="116" t="s">
        <v>441</v>
      </c>
      <c r="E24" s="116" t="s">
        <v>858</v>
      </c>
      <c r="F24" s="116" t="s">
        <v>366</v>
      </c>
      <c r="G24" s="116" t="s">
        <v>710</v>
      </c>
      <c r="H24" s="116" t="s">
        <v>27</v>
      </c>
      <c r="I24" s="116" t="s">
        <v>3858</v>
      </c>
      <c r="J24" s="116" t="s">
        <v>24</v>
      </c>
      <c r="K24" s="116" t="s">
        <v>710</v>
      </c>
      <c r="L24" s="116">
        <v>1020088</v>
      </c>
      <c r="M24" s="116" t="s">
        <v>26</v>
      </c>
      <c r="N24" s="116" t="s">
        <v>912</v>
      </c>
      <c r="O24" s="47">
        <v>150000</v>
      </c>
      <c r="P24" s="47">
        <v>1</v>
      </c>
      <c r="Q24" s="47">
        <v>150000</v>
      </c>
      <c r="R24" s="586">
        <v>46215</v>
      </c>
      <c r="S24" s="116" t="s">
        <v>4493</v>
      </c>
      <c r="T24" s="116"/>
      <c r="U24" s="116"/>
    </row>
    <row r="25" spans="1:21" ht="15.75" x14ac:dyDescent="0.25">
      <c r="A25" s="116" t="s">
        <v>4546</v>
      </c>
      <c r="B25" s="586">
        <v>46180</v>
      </c>
      <c r="C25" s="116">
        <v>3</v>
      </c>
      <c r="D25" s="116" t="s">
        <v>4231</v>
      </c>
      <c r="E25" s="116" t="s">
        <v>858</v>
      </c>
      <c r="F25" s="116" t="s">
        <v>1073</v>
      </c>
      <c r="G25" s="116" t="s">
        <v>882</v>
      </c>
      <c r="H25" s="116" t="s">
        <v>27</v>
      </c>
      <c r="I25" s="116" t="s">
        <v>4230</v>
      </c>
      <c r="J25" s="116" t="s">
        <v>72</v>
      </c>
      <c r="K25" s="116" t="s">
        <v>882</v>
      </c>
      <c r="L25" s="116">
        <v>1020108</v>
      </c>
      <c r="M25" s="116" t="s">
        <v>26</v>
      </c>
      <c r="N25" s="116" t="s">
        <v>912</v>
      </c>
      <c r="O25" s="47">
        <v>949900</v>
      </c>
      <c r="P25" s="47">
        <v>1</v>
      </c>
      <c r="Q25" s="47">
        <v>949900</v>
      </c>
      <c r="R25" s="586">
        <v>46215</v>
      </c>
      <c r="S25" s="116" t="s">
        <v>425</v>
      </c>
      <c r="T25" s="116"/>
      <c r="U25" s="116" t="s">
        <v>5535</v>
      </c>
    </row>
    <row r="26" spans="1:21" ht="15.75" x14ac:dyDescent="0.25">
      <c r="A26" s="116" t="s">
        <v>3319</v>
      </c>
      <c r="B26" s="586">
        <v>46190</v>
      </c>
      <c r="C26" s="116">
        <v>4</v>
      </c>
      <c r="D26" s="116" t="s">
        <v>3566</v>
      </c>
      <c r="E26" s="116" t="s">
        <v>856</v>
      </c>
      <c r="F26" s="116" t="s">
        <v>612</v>
      </c>
      <c r="G26" s="116" t="s">
        <v>613</v>
      </c>
      <c r="H26" s="116" t="s">
        <v>27</v>
      </c>
      <c r="I26" s="116" t="s">
        <v>3187</v>
      </c>
      <c r="J26" s="116" t="s">
        <v>72</v>
      </c>
      <c r="K26" s="116" t="s">
        <v>613</v>
      </c>
      <c r="L26" s="116">
        <v>1020106</v>
      </c>
      <c r="M26" s="116" t="s">
        <v>26</v>
      </c>
      <c r="N26" s="116" t="s">
        <v>912</v>
      </c>
      <c r="O26" s="47">
        <v>112200.9</v>
      </c>
      <c r="P26" s="47">
        <v>1</v>
      </c>
      <c r="Q26" s="47">
        <v>112200.9</v>
      </c>
      <c r="R26" s="586">
        <v>46215</v>
      </c>
      <c r="S26" s="116" t="s">
        <v>3188</v>
      </c>
      <c r="T26" s="116"/>
      <c r="U26" s="116"/>
    </row>
    <row r="27" spans="1:21" ht="15.75" x14ac:dyDescent="0.25">
      <c r="A27" s="116" t="s">
        <v>4276</v>
      </c>
      <c r="B27" s="586">
        <v>46138</v>
      </c>
      <c r="C27" s="116">
        <v>1</v>
      </c>
      <c r="D27" s="116" t="s">
        <v>1259</v>
      </c>
      <c r="E27" s="116" t="s">
        <v>856</v>
      </c>
      <c r="F27" s="116" t="s">
        <v>95</v>
      </c>
      <c r="G27" s="116" t="s">
        <v>96</v>
      </c>
      <c r="H27" s="116" t="s">
        <v>27</v>
      </c>
      <c r="I27" s="116" t="s">
        <v>4098</v>
      </c>
      <c r="J27" s="116" t="s">
        <v>1791</v>
      </c>
      <c r="K27" s="116" t="s">
        <v>328</v>
      </c>
      <c r="L27" s="116">
        <v>1020097</v>
      </c>
      <c r="M27" s="116" t="s">
        <v>26</v>
      </c>
      <c r="N27" s="116" t="s">
        <v>912</v>
      </c>
      <c r="O27" s="47">
        <v>500000</v>
      </c>
      <c r="P27" s="47">
        <v>1</v>
      </c>
      <c r="Q27" s="47">
        <v>500000</v>
      </c>
      <c r="R27" s="586">
        <v>46215</v>
      </c>
      <c r="S27" s="116" t="s">
        <v>3729</v>
      </c>
      <c r="T27" s="116"/>
      <c r="U27" s="116"/>
    </row>
    <row r="28" spans="1:21" ht="15.75" x14ac:dyDescent="0.25">
      <c r="A28" s="116" t="s">
        <v>4393</v>
      </c>
      <c r="B28" s="586">
        <v>46162</v>
      </c>
      <c r="C28" s="116">
        <v>3</v>
      </c>
      <c r="D28" s="116" t="s">
        <v>441</v>
      </c>
      <c r="E28" s="116" t="s">
        <v>858</v>
      </c>
      <c r="F28" s="116" t="s">
        <v>366</v>
      </c>
      <c r="G28" s="116" t="s">
        <v>710</v>
      </c>
      <c r="H28" s="116" t="s">
        <v>27</v>
      </c>
      <c r="I28" s="116" t="s">
        <v>4277</v>
      </c>
      <c r="J28" s="116" t="s">
        <v>24</v>
      </c>
      <c r="K28" s="116" t="s">
        <v>710</v>
      </c>
      <c r="L28" s="116">
        <v>1020088</v>
      </c>
      <c r="M28" s="116" t="s">
        <v>26</v>
      </c>
      <c r="N28" s="116" t="s">
        <v>912</v>
      </c>
      <c r="O28" s="47">
        <v>4000000</v>
      </c>
      <c r="P28" s="47">
        <v>1</v>
      </c>
      <c r="Q28" s="47">
        <v>4000000</v>
      </c>
      <c r="R28" s="586">
        <v>46216</v>
      </c>
      <c r="S28" s="116" t="s">
        <v>311</v>
      </c>
      <c r="T28" s="116"/>
      <c r="U28" s="116" t="s">
        <v>5338</v>
      </c>
    </row>
    <row r="29" spans="1:21" ht="15.75" x14ac:dyDescent="0.25">
      <c r="A29" s="116" t="s">
        <v>4250</v>
      </c>
      <c r="B29" s="586">
        <v>46140</v>
      </c>
      <c r="C29" s="116">
        <v>2</v>
      </c>
      <c r="D29" s="116" t="s">
        <v>441</v>
      </c>
      <c r="E29" s="116" t="s">
        <v>858</v>
      </c>
      <c r="F29" s="116" t="s">
        <v>366</v>
      </c>
      <c r="G29" s="116" t="s">
        <v>710</v>
      </c>
      <c r="H29" s="116" t="s">
        <v>27</v>
      </c>
      <c r="I29" s="116" t="s">
        <v>1378</v>
      </c>
      <c r="J29" s="116" t="s">
        <v>24</v>
      </c>
      <c r="K29" s="116" t="s">
        <v>710</v>
      </c>
      <c r="L29" s="116">
        <v>1020088</v>
      </c>
      <c r="M29" s="116" t="s">
        <v>26</v>
      </c>
      <c r="N29" s="116" t="s">
        <v>912</v>
      </c>
      <c r="O29" s="47">
        <v>317042.21000000002</v>
      </c>
      <c r="P29" s="47">
        <v>1</v>
      </c>
      <c r="Q29" s="47">
        <v>317042.21000000002</v>
      </c>
      <c r="R29" s="586">
        <v>46217</v>
      </c>
      <c r="S29" s="116" t="s">
        <v>1904</v>
      </c>
      <c r="T29" s="116"/>
      <c r="U29" s="116"/>
    </row>
    <row r="30" spans="1:21" ht="15.75" x14ac:dyDescent="0.25">
      <c r="A30" s="116" t="s">
        <v>3950</v>
      </c>
      <c r="B30" s="586">
        <v>46145</v>
      </c>
      <c r="C30" s="116">
        <v>1</v>
      </c>
      <c r="D30" s="116" t="s">
        <v>1537</v>
      </c>
      <c r="E30" s="116" t="s">
        <v>856</v>
      </c>
      <c r="F30" s="116" t="s">
        <v>62</v>
      </c>
      <c r="G30" s="116" t="s">
        <v>483</v>
      </c>
      <c r="H30" s="116" t="s">
        <v>27</v>
      </c>
      <c r="I30" s="116" t="s">
        <v>3859</v>
      </c>
      <c r="J30" s="116" t="s">
        <v>24</v>
      </c>
      <c r="K30" s="116" t="s">
        <v>483</v>
      </c>
      <c r="L30" s="116">
        <v>1020096</v>
      </c>
      <c r="M30" s="116" t="s">
        <v>26</v>
      </c>
      <c r="N30" s="116" t="s">
        <v>912</v>
      </c>
      <c r="O30" s="47">
        <v>710700</v>
      </c>
      <c r="P30" s="47">
        <v>1</v>
      </c>
      <c r="Q30" s="47">
        <v>710700</v>
      </c>
      <c r="R30" s="586">
        <v>46217</v>
      </c>
      <c r="S30" s="116" t="s">
        <v>3229</v>
      </c>
      <c r="T30" s="116"/>
      <c r="U30" s="116"/>
    </row>
    <row r="31" spans="1:21" ht="15.75" x14ac:dyDescent="0.25">
      <c r="A31" s="116" t="s">
        <v>4563</v>
      </c>
      <c r="B31" s="586">
        <v>46142</v>
      </c>
      <c r="C31" s="116">
        <v>1</v>
      </c>
      <c r="D31" s="116" t="s">
        <v>441</v>
      </c>
      <c r="E31" s="116" t="s">
        <v>856</v>
      </c>
      <c r="F31" s="116" t="s">
        <v>366</v>
      </c>
      <c r="G31" s="116" t="s">
        <v>710</v>
      </c>
      <c r="H31" s="116" t="s">
        <v>27</v>
      </c>
      <c r="I31" s="116" t="s">
        <v>4496</v>
      </c>
      <c r="J31" s="116" t="s">
        <v>24</v>
      </c>
      <c r="K31" s="116" t="s">
        <v>710</v>
      </c>
      <c r="L31" s="116">
        <v>1020088</v>
      </c>
      <c r="M31" s="116" t="s">
        <v>26</v>
      </c>
      <c r="N31" s="116" t="s">
        <v>912</v>
      </c>
      <c r="O31" s="47">
        <v>500000</v>
      </c>
      <c r="P31" s="47">
        <v>1</v>
      </c>
      <c r="Q31" s="47">
        <v>500000</v>
      </c>
      <c r="R31" s="586">
        <v>46217</v>
      </c>
      <c r="S31" s="116" t="s">
        <v>4493</v>
      </c>
      <c r="T31" s="116"/>
      <c r="U31" s="116"/>
    </row>
    <row r="32" spans="1:21" ht="15.75" x14ac:dyDescent="0.25">
      <c r="A32" s="116" t="s">
        <v>4554</v>
      </c>
      <c r="B32" s="586">
        <v>46137</v>
      </c>
      <c r="C32" s="116">
        <v>1</v>
      </c>
      <c r="D32" s="116" t="s">
        <v>441</v>
      </c>
      <c r="E32" s="116" t="s">
        <v>856</v>
      </c>
      <c r="F32" s="116" t="s">
        <v>366</v>
      </c>
      <c r="G32" s="116" t="s">
        <v>710</v>
      </c>
      <c r="H32" s="116" t="s">
        <v>27</v>
      </c>
      <c r="I32" s="116" t="s">
        <v>4542</v>
      </c>
      <c r="J32" s="116" t="s">
        <v>24</v>
      </c>
      <c r="K32" s="116" t="s">
        <v>710</v>
      </c>
      <c r="L32" s="116">
        <v>1020088</v>
      </c>
      <c r="M32" s="116" t="s">
        <v>26</v>
      </c>
      <c r="N32" s="116" t="s">
        <v>912</v>
      </c>
      <c r="O32" s="47">
        <v>500000</v>
      </c>
      <c r="P32" s="47">
        <v>1</v>
      </c>
      <c r="Q32" s="47">
        <v>500000</v>
      </c>
      <c r="R32" s="586">
        <v>46217</v>
      </c>
      <c r="S32" s="116" t="s">
        <v>4493</v>
      </c>
      <c r="T32" s="116"/>
      <c r="U32" s="116"/>
    </row>
    <row r="33" spans="1:21" ht="15.75" x14ac:dyDescent="0.25">
      <c r="A33" s="116" t="s">
        <v>3328</v>
      </c>
      <c r="B33" s="586">
        <v>46138</v>
      </c>
      <c r="C33" s="116">
        <v>1</v>
      </c>
      <c r="D33" s="116" t="s">
        <v>1537</v>
      </c>
      <c r="E33" s="116" t="s">
        <v>856</v>
      </c>
      <c r="F33" s="116" t="s">
        <v>62</v>
      </c>
      <c r="G33" s="116" t="s">
        <v>483</v>
      </c>
      <c r="H33" s="116" t="s">
        <v>27</v>
      </c>
      <c r="I33" s="116" t="s">
        <v>828</v>
      </c>
      <c r="J33" s="116" t="s">
        <v>24</v>
      </c>
      <c r="K33" s="116" t="s">
        <v>483</v>
      </c>
      <c r="L33" s="116">
        <v>1020096</v>
      </c>
      <c r="M33" s="116" t="s">
        <v>26</v>
      </c>
      <c r="N33" s="116" t="s">
        <v>912</v>
      </c>
      <c r="O33" s="47">
        <v>500000</v>
      </c>
      <c r="P33" s="47">
        <v>1</v>
      </c>
      <c r="Q33" s="47">
        <v>500000</v>
      </c>
      <c r="R33" s="586">
        <v>46217</v>
      </c>
      <c r="S33" s="116" t="s">
        <v>3229</v>
      </c>
      <c r="T33" s="116"/>
      <c r="U33" s="116"/>
    </row>
    <row r="34" spans="1:21" ht="15.75" x14ac:dyDescent="0.25">
      <c r="A34" s="116" t="s">
        <v>3951</v>
      </c>
      <c r="B34" s="586">
        <v>46148</v>
      </c>
      <c r="C34" s="116">
        <v>1</v>
      </c>
      <c r="D34" s="116" t="s">
        <v>1537</v>
      </c>
      <c r="E34" s="116" t="s">
        <v>858</v>
      </c>
      <c r="F34" s="116" t="s">
        <v>62</v>
      </c>
      <c r="G34" s="116" t="s">
        <v>483</v>
      </c>
      <c r="H34" s="116" t="s">
        <v>27</v>
      </c>
      <c r="I34" s="116" t="s">
        <v>718</v>
      </c>
      <c r="J34" s="116" t="s">
        <v>24</v>
      </c>
      <c r="K34" s="116" t="s">
        <v>483</v>
      </c>
      <c r="L34" s="116">
        <v>1020096</v>
      </c>
      <c r="M34" s="116" t="s">
        <v>26</v>
      </c>
      <c r="N34" s="116" t="s">
        <v>912</v>
      </c>
      <c r="O34" s="47">
        <v>1000000</v>
      </c>
      <c r="P34" s="47">
        <v>1</v>
      </c>
      <c r="Q34" s="47">
        <v>1000000</v>
      </c>
      <c r="R34" s="586">
        <v>46217</v>
      </c>
      <c r="S34" s="116" t="s">
        <v>3229</v>
      </c>
      <c r="T34" s="116"/>
      <c r="U34" s="116"/>
    </row>
    <row r="35" spans="1:21" ht="15.75" x14ac:dyDescent="0.25">
      <c r="A35" s="116" t="s">
        <v>1873</v>
      </c>
      <c r="B35" s="586">
        <v>46113</v>
      </c>
      <c r="C35" s="116">
        <v>2</v>
      </c>
      <c r="D35" s="116" t="s">
        <v>441</v>
      </c>
      <c r="E35" s="116" t="s">
        <v>856</v>
      </c>
      <c r="F35" s="116" t="s">
        <v>366</v>
      </c>
      <c r="G35" s="116" t="s">
        <v>710</v>
      </c>
      <c r="H35" s="116" t="s">
        <v>27</v>
      </c>
      <c r="I35" s="116" t="s">
        <v>1843</v>
      </c>
      <c r="J35" s="116" t="s">
        <v>24</v>
      </c>
      <c r="K35" s="116" t="s">
        <v>710</v>
      </c>
      <c r="L35" s="116">
        <v>1020088</v>
      </c>
      <c r="M35" s="116" t="s">
        <v>26</v>
      </c>
      <c r="N35" s="116" t="s">
        <v>912</v>
      </c>
      <c r="O35" s="47">
        <v>427806.8</v>
      </c>
      <c r="P35" s="47">
        <v>1</v>
      </c>
      <c r="Q35" s="47">
        <v>427806.8</v>
      </c>
      <c r="R35" s="586">
        <v>46219</v>
      </c>
      <c r="S35" s="116" t="s">
        <v>621</v>
      </c>
      <c r="T35" s="116"/>
      <c r="U35" s="116"/>
    </row>
    <row r="36" spans="1:21" ht="15.75" x14ac:dyDescent="0.25">
      <c r="A36" s="116" t="s">
        <v>4737</v>
      </c>
      <c r="B36" s="586">
        <v>46153</v>
      </c>
      <c r="C36" s="116">
        <v>2</v>
      </c>
      <c r="D36" s="116" t="s">
        <v>1394</v>
      </c>
      <c r="E36" s="116" t="s">
        <v>858</v>
      </c>
      <c r="F36" s="116" t="s">
        <v>21</v>
      </c>
      <c r="G36" s="116" t="s">
        <v>22</v>
      </c>
      <c r="H36" s="116" t="s">
        <v>27</v>
      </c>
      <c r="I36" s="116" t="s">
        <v>4678</v>
      </c>
      <c r="J36" s="116" t="s">
        <v>80</v>
      </c>
      <c r="K36" s="116" t="s">
        <v>90</v>
      </c>
      <c r="L36" s="116">
        <v>1020001</v>
      </c>
      <c r="M36" s="116" t="s">
        <v>26</v>
      </c>
      <c r="N36" s="116" t="s">
        <v>912</v>
      </c>
      <c r="O36" s="47">
        <v>7000000</v>
      </c>
      <c r="P36" s="47">
        <v>1</v>
      </c>
      <c r="Q36" s="47">
        <v>7000000</v>
      </c>
      <c r="R36" s="586">
        <v>46221</v>
      </c>
      <c r="S36" s="116" t="s">
        <v>1904</v>
      </c>
      <c r="T36" s="116"/>
      <c r="U36" s="116" t="s">
        <v>5262</v>
      </c>
    </row>
    <row r="37" spans="1:21" ht="15.75" x14ac:dyDescent="0.25">
      <c r="A37" s="116" t="s">
        <v>4737</v>
      </c>
      <c r="B37" s="586">
        <v>46184</v>
      </c>
      <c r="C37" s="116">
        <v>4</v>
      </c>
      <c r="D37" s="116" t="s">
        <v>1394</v>
      </c>
      <c r="E37" s="116" t="s">
        <v>856</v>
      </c>
      <c r="F37" s="116" t="s">
        <v>21</v>
      </c>
      <c r="G37" s="116" t="s">
        <v>22</v>
      </c>
      <c r="H37" s="116" t="s">
        <v>27</v>
      </c>
      <c r="I37" s="116" t="s">
        <v>4678</v>
      </c>
      <c r="J37" s="116" t="s">
        <v>80</v>
      </c>
      <c r="K37" s="116" t="s">
        <v>90</v>
      </c>
      <c r="L37" s="116">
        <v>1020001</v>
      </c>
      <c r="M37" s="116" t="s">
        <v>26</v>
      </c>
      <c r="N37" s="116" t="s">
        <v>912</v>
      </c>
      <c r="O37" s="47">
        <v>4724333.9400000004</v>
      </c>
      <c r="P37" s="47">
        <v>1</v>
      </c>
      <c r="Q37" s="47">
        <v>4724333.9400000004</v>
      </c>
      <c r="R37" s="586">
        <v>46221</v>
      </c>
      <c r="S37" s="116" t="s">
        <v>1904</v>
      </c>
      <c r="T37" s="116"/>
      <c r="U37" s="116"/>
    </row>
    <row r="38" spans="1:21" ht="15.75" x14ac:dyDescent="0.25">
      <c r="A38" s="116" t="s">
        <v>4737</v>
      </c>
      <c r="B38" s="586">
        <v>46176</v>
      </c>
      <c r="C38" s="116">
        <v>3</v>
      </c>
      <c r="D38" s="116" t="s">
        <v>1394</v>
      </c>
      <c r="E38" s="116" t="s">
        <v>858</v>
      </c>
      <c r="F38" s="116" t="s">
        <v>21</v>
      </c>
      <c r="G38" s="116" t="s">
        <v>22</v>
      </c>
      <c r="H38" s="116" t="s">
        <v>27</v>
      </c>
      <c r="I38" s="116" t="s">
        <v>4678</v>
      </c>
      <c r="J38" s="116" t="s">
        <v>80</v>
      </c>
      <c r="K38" s="116" t="s">
        <v>90</v>
      </c>
      <c r="L38" s="116">
        <v>1020001</v>
      </c>
      <c r="M38" s="116" t="s">
        <v>26</v>
      </c>
      <c r="N38" s="116" t="s">
        <v>912</v>
      </c>
      <c r="O38" s="47">
        <v>4000000</v>
      </c>
      <c r="P38" s="47">
        <v>1</v>
      </c>
      <c r="Q38" s="47">
        <v>4000000</v>
      </c>
      <c r="R38" s="586">
        <v>46222</v>
      </c>
      <c r="S38" s="116" t="s">
        <v>1904</v>
      </c>
      <c r="T38" s="116"/>
      <c r="U38" s="116" t="s">
        <v>5450</v>
      </c>
    </row>
    <row r="39" spans="1:21" ht="15.75" x14ac:dyDescent="0.25">
      <c r="A39" s="116" t="s">
        <v>4680</v>
      </c>
      <c r="B39" s="586">
        <v>46152</v>
      </c>
      <c r="C39" s="116">
        <v>1</v>
      </c>
      <c r="D39" s="116" t="s">
        <v>1259</v>
      </c>
      <c r="E39" s="116" t="s">
        <v>856</v>
      </c>
      <c r="F39" s="116" t="s">
        <v>95</v>
      </c>
      <c r="G39" s="116" t="s">
        <v>96</v>
      </c>
      <c r="H39" s="116" t="s">
        <v>27</v>
      </c>
      <c r="I39" s="116" t="s">
        <v>521</v>
      </c>
      <c r="J39" s="116" t="s">
        <v>1791</v>
      </c>
      <c r="K39" s="116" t="s">
        <v>328</v>
      </c>
      <c r="L39" s="116">
        <v>1020097</v>
      </c>
      <c r="M39" s="116" t="s">
        <v>26</v>
      </c>
      <c r="N39" s="116" t="s">
        <v>912</v>
      </c>
      <c r="O39" s="47">
        <v>2193076</v>
      </c>
      <c r="P39" s="47">
        <v>1</v>
      </c>
      <c r="Q39" s="47">
        <v>2193076</v>
      </c>
      <c r="R39" s="586">
        <v>46222</v>
      </c>
      <c r="S39" s="116" t="s">
        <v>28</v>
      </c>
      <c r="T39" s="116"/>
      <c r="U39" s="116"/>
    </row>
    <row r="40" spans="1:21" ht="15.75" x14ac:dyDescent="0.25">
      <c r="A40" s="116" t="s">
        <v>3321</v>
      </c>
      <c r="B40" s="586">
        <v>46149</v>
      </c>
      <c r="C40" s="116">
        <v>1</v>
      </c>
      <c r="D40" s="116" t="s">
        <v>1537</v>
      </c>
      <c r="E40" s="116" t="s">
        <v>856</v>
      </c>
      <c r="F40" s="116" t="s">
        <v>62</v>
      </c>
      <c r="G40" s="116" t="s">
        <v>483</v>
      </c>
      <c r="H40" s="116" t="s">
        <v>27</v>
      </c>
      <c r="I40" s="116" t="s">
        <v>3231</v>
      </c>
      <c r="J40" s="116" t="s">
        <v>24</v>
      </c>
      <c r="K40" s="116" t="s">
        <v>483</v>
      </c>
      <c r="L40" s="116">
        <v>1020096</v>
      </c>
      <c r="M40" s="116" t="s">
        <v>26</v>
      </c>
      <c r="N40" s="116" t="s">
        <v>912</v>
      </c>
      <c r="O40" s="47">
        <v>500000</v>
      </c>
      <c r="P40" s="47">
        <v>1</v>
      </c>
      <c r="Q40" s="47">
        <v>500000</v>
      </c>
      <c r="R40" s="586">
        <v>46222</v>
      </c>
      <c r="S40" s="116" t="s">
        <v>3229</v>
      </c>
      <c r="T40" s="116"/>
      <c r="U40" s="116"/>
    </row>
    <row r="41" spans="1:21" ht="15.75" x14ac:dyDescent="0.25">
      <c r="A41" s="116" t="s">
        <v>4549</v>
      </c>
      <c r="B41" s="586">
        <v>46139</v>
      </c>
      <c r="C41" s="116">
        <v>1</v>
      </c>
      <c r="D41" s="116" t="s">
        <v>441</v>
      </c>
      <c r="E41" s="116" t="s">
        <v>856</v>
      </c>
      <c r="F41" s="116" t="s">
        <v>366</v>
      </c>
      <c r="G41" s="116" t="s">
        <v>710</v>
      </c>
      <c r="H41" s="116" t="s">
        <v>27</v>
      </c>
      <c r="I41" s="116" t="s">
        <v>2799</v>
      </c>
      <c r="J41" s="116" t="s">
        <v>24</v>
      </c>
      <c r="K41" s="116" t="s">
        <v>710</v>
      </c>
      <c r="L41" s="116">
        <v>1020088</v>
      </c>
      <c r="M41" s="116" t="s">
        <v>26</v>
      </c>
      <c r="N41" s="116" t="s">
        <v>912</v>
      </c>
      <c r="O41" s="47">
        <v>312768.11</v>
      </c>
      <c r="P41" s="47">
        <v>1</v>
      </c>
      <c r="Q41" s="47">
        <v>312768.11</v>
      </c>
      <c r="R41" s="586">
        <v>46222</v>
      </c>
      <c r="S41" s="116" t="s">
        <v>4493</v>
      </c>
      <c r="T41" s="116"/>
      <c r="U41" s="116"/>
    </row>
    <row r="42" spans="1:21" ht="15.75" x14ac:dyDescent="0.25">
      <c r="A42" s="116" t="s">
        <v>4562</v>
      </c>
      <c r="B42" s="586">
        <v>46140</v>
      </c>
      <c r="C42" s="116">
        <v>1</v>
      </c>
      <c r="D42" s="116" t="s">
        <v>441</v>
      </c>
      <c r="E42" s="116" t="s">
        <v>858</v>
      </c>
      <c r="F42" s="116" t="s">
        <v>366</v>
      </c>
      <c r="G42" s="116" t="s">
        <v>710</v>
      </c>
      <c r="H42" s="116" t="s">
        <v>27</v>
      </c>
      <c r="I42" s="116" t="s">
        <v>1789</v>
      </c>
      <c r="J42" s="116" t="s">
        <v>24</v>
      </c>
      <c r="K42" s="116" t="s">
        <v>710</v>
      </c>
      <c r="L42" s="116">
        <v>1020088</v>
      </c>
      <c r="M42" s="116" t="s">
        <v>26</v>
      </c>
      <c r="N42" s="116" t="s">
        <v>912</v>
      </c>
      <c r="O42" s="47">
        <v>1000000</v>
      </c>
      <c r="P42" s="47">
        <v>1</v>
      </c>
      <c r="Q42" s="47">
        <v>1000000</v>
      </c>
      <c r="R42" s="586">
        <v>46222</v>
      </c>
      <c r="S42" s="116" t="s">
        <v>4493</v>
      </c>
      <c r="T42" s="116"/>
      <c r="U42" s="116"/>
    </row>
    <row r="43" spans="1:21" ht="15.75" x14ac:dyDescent="0.25">
      <c r="A43" s="116" t="s">
        <v>4561</v>
      </c>
      <c r="B43" s="586">
        <v>46148</v>
      </c>
      <c r="C43" s="116">
        <v>1</v>
      </c>
      <c r="D43" s="116" t="s">
        <v>441</v>
      </c>
      <c r="E43" s="116" t="s">
        <v>858</v>
      </c>
      <c r="F43" s="116" t="s">
        <v>366</v>
      </c>
      <c r="G43" s="116" t="s">
        <v>710</v>
      </c>
      <c r="H43" s="116" t="s">
        <v>27</v>
      </c>
      <c r="I43" s="116" t="s">
        <v>4495</v>
      </c>
      <c r="J43" s="116" t="s">
        <v>24</v>
      </c>
      <c r="K43" s="116" t="s">
        <v>710</v>
      </c>
      <c r="L43" s="116">
        <v>1020088</v>
      </c>
      <c r="M43" s="116" t="s">
        <v>26</v>
      </c>
      <c r="N43" s="116" t="s">
        <v>912</v>
      </c>
      <c r="O43" s="47">
        <v>125000</v>
      </c>
      <c r="P43" s="47">
        <v>1</v>
      </c>
      <c r="Q43" s="47">
        <v>125000</v>
      </c>
      <c r="R43" s="586">
        <v>46222</v>
      </c>
      <c r="S43" s="116" t="s">
        <v>4493</v>
      </c>
      <c r="T43" s="116"/>
      <c r="U43" s="116"/>
    </row>
    <row r="44" spans="1:21" ht="15.75" x14ac:dyDescent="0.25">
      <c r="A44" s="116" t="s">
        <v>4630</v>
      </c>
      <c r="B44" s="586">
        <v>46183</v>
      </c>
      <c r="C44" s="116">
        <v>1</v>
      </c>
      <c r="D44" s="116" t="s">
        <v>4619</v>
      </c>
      <c r="E44" s="116" t="s">
        <v>856</v>
      </c>
      <c r="F44" s="116" t="s">
        <v>21</v>
      </c>
      <c r="G44" s="116" t="s">
        <v>22</v>
      </c>
      <c r="H44" s="116" t="s">
        <v>27</v>
      </c>
      <c r="I44" s="116" t="s">
        <v>1541</v>
      </c>
      <c r="J44" s="116" t="s">
        <v>72</v>
      </c>
      <c r="K44" s="116" t="s">
        <v>22</v>
      </c>
      <c r="L44" s="116">
        <v>1020055</v>
      </c>
      <c r="M44" s="116" t="s">
        <v>26</v>
      </c>
      <c r="N44" s="116" t="s">
        <v>912</v>
      </c>
      <c r="O44" s="47">
        <v>5643717.4500000002</v>
      </c>
      <c r="P44" s="47">
        <v>1</v>
      </c>
      <c r="Q44" s="47">
        <v>5643717.4500000002</v>
      </c>
      <c r="R44" s="586">
        <v>46223</v>
      </c>
      <c r="S44" s="116" t="s">
        <v>311</v>
      </c>
      <c r="T44" s="116"/>
      <c r="U44" s="116"/>
    </row>
    <row r="45" spans="1:21" ht="15.75" x14ac:dyDescent="0.25">
      <c r="A45" s="116" t="s">
        <v>2237</v>
      </c>
      <c r="B45" s="586">
        <v>46145</v>
      </c>
      <c r="C45" s="116">
        <v>2</v>
      </c>
      <c r="D45" s="116" t="s">
        <v>441</v>
      </c>
      <c r="E45" s="116" t="s">
        <v>858</v>
      </c>
      <c r="F45" s="116" t="s">
        <v>366</v>
      </c>
      <c r="G45" s="116" t="s">
        <v>710</v>
      </c>
      <c r="H45" s="116" t="s">
        <v>27</v>
      </c>
      <c r="I45" s="116" t="s">
        <v>1845</v>
      </c>
      <c r="J45" s="116" t="s">
        <v>24</v>
      </c>
      <c r="K45" s="116" t="s">
        <v>710</v>
      </c>
      <c r="L45" s="116">
        <v>1020088</v>
      </c>
      <c r="M45" s="116" t="s">
        <v>26</v>
      </c>
      <c r="N45" s="116" t="s">
        <v>912</v>
      </c>
      <c r="O45" s="47">
        <v>99498</v>
      </c>
      <c r="P45" s="47">
        <v>1</v>
      </c>
      <c r="Q45" s="47">
        <v>99498</v>
      </c>
      <c r="R45" s="586">
        <v>46230</v>
      </c>
      <c r="S45" s="116" t="s">
        <v>621</v>
      </c>
      <c r="T45" s="116"/>
      <c r="U45" s="116" t="s">
        <v>5186</v>
      </c>
    </row>
    <row r="46" spans="1:21" ht="15.75" x14ac:dyDescent="0.25">
      <c r="A46" s="116" t="s">
        <v>1503</v>
      </c>
      <c r="B46" s="586">
        <v>46148</v>
      </c>
      <c r="C46" s="116">
        <v>2</v>
      </c>
      <c r="D46" s="116" t="s">
        <v>441</v>
      </c>
      <c r="E46" s="116" t="s">
        <v>858</v>
      </c>
      <c r="F46" s="116" t="s">
        <v>21</v>
      </c>
      <c r="G46" s="116" t="s">
        <v>22</v>
      </c>
      <c r="H46" s="116" t="s">
        <v>27</v>
      </c>
      <c r="I46" s="116" t="s">
        <v>772</v>
      </c>
      <c r="J46" s="116" t="s">
        <v>24</v>
      </c>
      <c r="K46" s="116" t="s">
        <v>407</v>
      </c>
      <c r="L46" s="116">
        <v>1020100</v>
      </c>
      <c r="M46" s="116" t="s">
        <v>26</v>
      </c>
      <c r="N46" s="116" t="s">
        <v>912</v>
      </c>
      <c r="O46" s="47">
        <v>702587.67</v>
      </c>
      <c r="P46" s="47">
        <v>1</v>
      </c>
      <c r="Q46" s="47">
        <v>702587.67</v>
      </c>
      <c r="R46" s="586">
        <v>46233</v>
      </c>
      <c r="S46" s="116" t="s">
        <v>621</v>
      </c>
      <c r="T46" s="116"/>
      <c r="U46" s="116" t="s">
        <v>5262</v>
      </c>
    </row>
    <row r="47" spans="1:21" ht="15.75" x14ac:dyDescent="0.25">
      <c r="A47" s="116" t="s">
        <v>4551</v>
      </c>
      <c r="B47" s="586">
        <v>46156</v>
      </c>
      <c r="C47" s="116">
        <v>1</v>
      </c>
      <c r="D47" s="116" t="s">
        <v>441</v>
      </c>
      <c r="E47" s="116" t="s">
        <v>856</v>
      </c>
      <c r="F47" s="116" t="s">
        <v>366</v>
      </c>
      <c r="G47" s="116" t="s">
        <v>710</v>
      </c>
      <c r="H47" s="116" t="s">
        <v>27</v>
      </c>
      <c r="I47" s="116" t="s">
        <v>4543</v>
      </c>
      <c r="J47" s="116" t="s">
        <v>24</v>
      </c>
      <c r="K47" s="116" t="s">
        <v>710</v>
      </c>
      <c r="L47" s="116">
        <v>1020088</v>
      </c>
      <c r="M47" s="116" t="s">
        <v>26</v>
      </c>
      <c r="N47" s="116" t="s">
        <v>912</v>
      </c>
      <c r="O47" s="47">
        <v>93855.09</v>
      </c>
      <c r="P47" s="47">
        <v>1</v>
      </c>
      <c r="Q47" s="47">
        <v>93855.09</v>
      </c>
      <c r="R47" s="586">
        <v>46235</v>
      </c>
      <c r="S47" s="116" t="s">
        <v>4493</v>
      </c>
      <c r="T47" s="116"/>
      <c r="U47" s="116"/>
    </row>
    <row r="48" spans="1:21" ht="15.75" x14ac:dyDescent="0.25">
      <c r="A48" s="116" t="s">
        <v>4392</v>
      </c>
      <c r="B48" s="586">
        <v>46119</v>
      </c>
      <c r="C48" s="116">
        <v>1</v>
      </c>
      <c r="D48" s="116" t="s">
        <v>1119</v>
      </c>
      <c r="E48" s="116" t="s">
        <v>858</v>
      </c>
      <c r="F48" s="116" t="s">
        <v>366</v>
      </c>
      <c r="G48" s="116" t="s">
        <v>1450</v>
      </c>
      <c r="H48" s="116" t="s">
        <v>27</v>
      </c>
      <c r="I48" s="116" t="s">
        <v>1296</v>
      </c>
      <c r="J48" s="116" t="s">
        <v>72</v>
      </c>
      <c r="K48" s="116" t="s">
        <v>367</v>
      </c>
      <c r="L48" s="116">
        <v>1020091</v>
      </c>
      <c r="M48" s="116" t="s">
        <v>26</v>
      </c>
      <c r="N48" s="116" t="s">
        <v>912</v>
      </c>
      <c r="O48" s="47">
        <v>10000000</v>
      </c>
      <c r="P48" s="47">
        <v>1</v>
      </c>
      <c r="Q48" s="47">
        <v>10000000</v>
      </c>
      <c r="R48" s="586">
        <v>46236</v>
      </c>
      <c r="S48" s="116" t="s">
        <v>4358</v>
      </c>
      <c r="T48" s="116"/>
      <c r="U48" s="116"/>
    </row>
    <row r="49" spans="1:21" ht="15.75" x14ac:dyDescent="0.25">
      <c r="A49" s="116" t="s">
        <v>3715</v>
      </c>
      <c r="B49" s="586">
        <v>46155</v>
      </c>
      <c r="C49" s="116">
        <v>1</v>
      </c>
      <c r="D49" s="116" t="s">
        <v>441</v>
      </c>
      <c r="E49" s="116" t="s">
        <v>856</v>
      </c>
      <c r="F49" s="116" t="s">
        <v>366</v>
      </c>
      <c r="G49" s="116" t="s">
        <v>710</v>
      </c>
      <c r="H49" s="116" t="s">
        <v>27</v>
      </c>
      <c r="I49" s="116" t="s">
        <v>3289</v>
      </c>
      <c r="J49" s="116" t="s">
        <v>24</v>
      </c>
      <c r="K49" s="116" t="s">
        <v>710</v>
      </c>
      <c r="L49" s="116">
        <v>1020088</v>
      </c>
      <c r="M49" s="116" t="s">
        <v>26</v>
      </c>
      <c r="N49" s="116" t="s">
        <v>912</v>
      </c>
      <c r="O49" s="47">
        <v>900000</v>
      </c>
      <c r="P49" s="47">
        <v>1</v>
      </c>
      <c r="Q49" s="47">
        <v>900000</v>
      </c>
      <c r="R49" s="586">
        <v>46236</v>
      </c>
      <c r="S49" s="116" t="s">
        <v>1904</v>
      </c>
      <c r="T49" s="116"/>
      <c r="U49" s="116"/>
    </row>
    <row r="50" spans="1:21" ht="15.75" x14ac:dyDescent="0.25">
      <c r="A50" s="116" t="s">
        <v>3323</v>
      </c>
      <c r="B50" s="586">
        <v>46155</v>
      </c>
      <c r="C50" s="116">
        <v>1</v>
      </c>
      <c r="D50" s="116" t="s">
        <v>1537</v>
      </c>
      <c r="E50" s="116" t="s">
        <v>856</v>
      </c>
      <c r="F50" s="116" t="s">
        <v>62</v>
      </c>
      <c r="G50" s="116" t="s">
        <v>483</v>
      </c>
      <c r="H50" s="116" t="s">
        <v>27</v>
      </c>
      <c r="I50" s="116" t="s">
        <v>177</v>
      </c>
      <c r="J50" s="116" t="s">
        <v>24</v>
      </c>
      <c r="K50" s="116" t="s">
        <v>483</v>
      </c>
      <c r="L50" s="116">
        <v>1020096</v>
      </c>
      <c r="M50" s="116" t="s">
        <v>26</v>
      </c>
      <c r="N50" s="116" t="s">
        <v>912</v>
      </c>
      <c r="O50" s="47">
        <v>567743.27</v>
      </c>
      <c r="P50" s="47">
        <v>1</v>
      </c>
      <c r="Q50" s="47">
        <v>567743.27</v>
      </c>
      <c r="R50" s="586">
        <v>46236</v>
      </c>
      <c r="S50" s="116" t="s">
        <v>3229</v>
      </c>
      <c r="T50" s="116"/>
      <c r="U50" s="116"/>
    </row>
    <row r="51" spans="1:21" ht="15.75" x14ac:dyDescent="0.25">
      <c r="A51" s="116" t="s">
        <v>3327</v>
      </c>
      <c r="B51" s="586">
        <v>46155</v>
      </c>
      <c r="C51" s="116">
        <v>1</v>
      </c>
      <c r="D51" s="116" t="s">
        <v>1537</v>
      </c>
      <c r="E51" s="116" t="s">
        <v>856</v>
      </c>
      <c r="F51" s="116" t="s">
        <v>62</v>
      </c>
      <c r="G51" s="116" t="s">
        <v>483</v>
      </c>
      <c r="H51" s="116" t="s">
        <v>27</v>
      </c>
      <c r="I51" s="116" t="s">
        <v>3232</v>
      </c>
      <c r="J51" s="116" t="s">
        <v>24</v>
      </c>
      <c r="K51" s="116" t="s">
        <v>483</v>
      </c>
      <c r="L51" s="116">
        <v>1020096</v>
      </c>
      <c r="M51" s="116" t="s">
        <v>26</v>
      </c>
      <c r="N51" s="116" t="s">
        <v>912</v>
      </c>
      <c r="O51" s="47">
        <v>489669.97</v>
      </c>
      <c r="P51" s="47">
        <v>1</v>
      </c>
      <c r="Q51" s="47">
        <v>489669.97</v>
      </c>
      <c r="R51" s="586">
        <v>46236</v>
      </c>
      <c r="S51" s="116" t="s">
        <v>3229</v>
      </c>
      <c r="T51" s="116"/>
      <c r="U51" s="116"/>
    </row>
    <row r="52" spans="1:21" ht="15.75" x14ac:dyDescent="0.25">
      <c r="A52" s="116" t="s">
        <v>3714</v>
      </c>
      <c r="B52" s="586">
        <v>46156</v>
      </c>
      <c r="C52" s="116">
        <v>1</v>
      </c>
      <c r="D52" s="116" t="s">
        <v>441</v>
      </c>
      <c r="E52" s="116" t="s">
        <v>856</v>
      </c>
      <c r="F52" s="116" t="s">
        <v>366</v>
      </c>
      <c r="G52" s="116" t="s">
        <v>710</v>
      </c>
      <c r="H52" s="116" t="s">
        <v>27</v>
      </c>
      <c r="I52" s="116" t="s">
        <v>3293</v>
      </c>
      <c r="J52" s="116" t="s">
        <v>24</v>
      </c>
      <c r="K52" s="116" t="s">
        <v>710</v>
      </c>
      <c r="L52" s="116">
        <v>1020088</v>
      </c>
      <c r="M52" s="116" t="s">
        <v>26</v>
      </c>
      <c r="N52" s="116" t="s">
        <v>912</v>
      </c>
      <c r="O52" s="47">
        <v>1377731.72</v>
      </c>
      <c r="P52" s="47">
        <v>1</v>
      </c>
      <c r="Q52" s="47">
        <v>1377731.72</v>
      </c>
      <c r="R52" s="586">
        <v>46236</v>
      </c>
      <c r="S52" s="116" t="s">
        <v>1904</v>
      </c>
      <c r="T52" s="116"/>
      <c r="U52" s="116"/>
    </row>
    <row r="53" spans="1:21" ht="15.75" x14ac:dyDescent="0.25">
      <c r="A53" s="116" t="s">
        <v>1899</v>
      </c>
      <c r="B53" s="586">
        <v>46135</v>
      </c>
      <c r="C53" s="116">
        <v>2</v>
      </c>
      <c r="D53" s="116" t="s">
        <v>441</v>
      </c>
      <c r="E53" s="116" t="s">
        <v>858</v>
      </c>
      <c r="F53" s="116" t="s">
        <v>366</v>
      </c>
      <c r="G53" s="116" t="s">
        <v>710</v>
      </c>
      <c r="H53" s="116" t="s">
        <v>27</v>
      </c>
      <c r="I53" s="116" t="s">
        <v>1573</v>
      </c>
      <c r="J53" s="116" t="s">
        <v>24</v>
      </c>
      <c r="K53" s="116" t="s">
        <v>710</v>
      </c>
      <c r="L53" s="116">
        <v>1020088</v>
      </c>
      <c r="M53" s="116" t="s">
        <v>26</v>
      </c>
      <c r="N53" s="116" t="s">
        <v>912</v>
      </c>
      <c r="O53" s="47">
        <v>52759.519999999997</v>
      </c>
      <c r="P53" s="47">
        <v>1</v>
      </c>
      <c r="Q53" s="47">
        <v>52759.519999999997</v>
      </c>
      <c r="R53" s="586">
        <v>46237</v>
      </c>
      <c r="S53" s="116" t="s">
        <v>621</v>
      </c>
      <c r="T53" s="116"/>
      <c r="U53" s="116" t="s">
        <v>5068</v>
      </c>
    </row>
    <row r="54" spans="1:21" ht="15.75" x14ac:dyDescent="0.25">
      <c r="A54" s="116" t="s">
        <v>4628</v>
      </c>
      <c r="B54" s="586">
        <v>46148</v>
      </c>
      <c r="C54" s="116">
        <v>1</v>
      </c>
      <c r="D54" s="116" t="s">
        <v>1119</v>
      </c>
      <c r="E54" s="116" t="s">
        <v>856</v>
      </c>
      <c r="F54" s="116" t="s">
        <v>21</v>
      </c>
      <c r="G54" s="116" t="s">
        <v>22</v>
      </c>
      <c r="H54" s="116" t="s">
        <v>27</v>
      </c>
      <c r="I54" s="116" t="s">
        <v>1296</v>
      </c>
      <c r="J54" s="116" t="s">
        <v>72</v>
      </c>
      <c r="K54" s="116" t="s">
        <v>367</v>
      </c>
      <c r="L54" s="116">
        <v>1020091</v>
      </c>
      <c r="M54" s="116" t="s">
        <v>26</v>
      </c>
      <c r="N54" s="116" t="s">
        <v>912</v>
      </c>
      <c r="O54" s="47">
        <v>21481033</v>
      </c>
      <c r="P54" s="47">
        <v>1</v>
      </c>
      <c r="Q54" s="47">
        <v>21481033</v>
      </c>
      <c r="R54" s="586">
        <v>46241</v>
      </c>
      <c r="S54" s="116" t="s">
        <v>621</v>
      </c>
      <c r="T54" s="116"/>
      <c r="U54" s="116"/>
    </row>
    <row r="55" spans="1:21" ht="15.75" x14ac:dyDescent="0.25">
      <c r="A55" s="116" t="s">
        <v>4630</v>
      </c>
      <c r="B55" s="586">
        <v>46188</v>
      </c>
      <c r="C55" s="116">
        <v>2</v>
      </c>
      <c r="D55" s="116" t="s">
        <v>4619</v>
      </c>
      <c r="E55" s="116" t="s">
        <v>856</v>
      </c>
      <c r="F55" s="116" t="s">
        <v>21</v>
      </c>
      <c r="G55" s="116" t="s">
        <v>22</v>
      </c>
      <c r="H55" s="116" t="s">
        <v>27</v>
      </c>
      <c r="I55" s="116" t="s">
        <v>1541</v>
      </c>
      <c r="J55" s="116" t="s">
        <v>72</v>
      </c>
      <c r="K55" s="116" t="s">
        <v>22</v>
      </c>
      <c r="L55" s="116">
        <v>1020055</v>
      </c>
      <c r="M55" s="116" t="s">
        <v>26</v>
      </c>
      <c r="N55" s="116" t="s">
        <v>912</v>
      </c>
      <c r="O55" s="47">
        <v>2593391.5299999998</v>
      </c>
      <c r="P55" s="47">
        <v>1</v>
      </c>
      <c r="Q55" s="47">
        <v>2593391.5299999998</v>
      </c>
      <c r="R55" s="586">
        <v>46244</v>
      </c>
      <c r="S55" s="116" t="s">
        <v>311</v>
      </c>
      <c r="T55" s="116"/>
      <c r="U55" s="116"/>
    </row>
    <row r="56" spans="1:21" ht="15.75" x14ac:dyDescent="0.25">
      <c r="A56" s="116" t="s">
        <v>4547</v>
      </c>
      <c r="B56" s="586">
        <v>46194</v>
      </c>
      <c r="C56" s="116">
        <v>1</v>
      </c>
      <c r="D56" s="116" t="s">
        <v>441</v>
      </c>
      <c r="E56" s="116" t="s">
        <v>858</v>
      </c>
      <c r="F56" s="116" t="s">
        <v>366</v>
      </c>
      <c r="G56" s="116" t="s">
        <v>710</v>
      </c>
      <c r="H56" s="116" t="s">
        <v>27</v>
      </c>
      <c r="I56" s="116" t="s">
        <v>1698</v>
      </c>
      <c r="J56" s="116" t="s">
        <v>24</v>
      </c>
      <c r="K56" s="116" t="s">
        <v>710</v>
      </c>
      <c r="L56" s="116">
        <v>1020088</v>
      </c>
      <c r="M56" s="116" t="s">
        <v>26</v>
      </c>
      <c r="N56" s="116" t="s">
        <v>912</v>
      </c>
      <c r="O56" s="47">
        <v>200000</v>
      </c>
      <c r="P56" s="47">
        <v>1</v>
      </c>
      <c r="Q56" s="47">
        <v>200000</v>
      </c>
      <c r="R56" s="586">
        <v>46245</v>
      </c>
      <c r="S56" s="116" t="s">
        <v>4493</v>
      </c>
      <c r="T56" s="116"/>
      <c r="U56" s="116"/>
    </row>
    <row r="57" spans="1:21" ht="15.75" x14ac:dyDescent="0.25">
      <c r="A57" s="116" t="s">
        <v>5251</v>
      </c>
      <c r="B57" s="586">
        <v>46195</v>
      </c>
      <c r="C57" s="116">
        <v>1</v>
      </c>
      <c r="D57" s="116" t="s">
        <v>1259</v>
      </c>
      <c r="E57" s="116" t="s">
        <v>856</v>
      </c>
      <c r="F57" s="116" t="s">
        <v>95</v>
      </c>
      <c r="G57" s="116" t="s">
        <v>96</v>
      </c>
      <c r="H57" s="116" t="s">
        <v>27</v>
      </c>
      <c r="I57" s="116" t="s">
        <v>5180</v>
      </c>
      <c r="J57" s="116" t="s">
        <v>72</v>
      </c>
      <c r="K57" s="116" t="s">
        <v>328</v>
      </c>
      <c r="L57" s="116">
        <v>1020097</v>
      </c>
      <c r="M57" s="116" t="s">
        <v>26</v>
      </c>
      <c r="N57" s="116" t="s">
        <v>912</v>
      </c>
      <c r="O57" s="47">
        <v>386858.95</v>
      </c>
      <c r="P57" s="47">
        <v>1</v>
      </c>
      <c r="Q57" s="47">
        <v>386858.95</v>
      </c>
      <c r="R57" s="586">
        <v>46253</v>
      </c>
      <c r="S57" s="116" t="s">
        <v>311</v>
      </c>
      <c r="T57" s="116"/>
      <c r="U57" s="116"/>
    </row>
    <row r="58" spans="1:21" ht="15.75" x14ac:dyDescent="0.25">
      <c r="A58" s="116" t="s">
        <v>2902</v>
      </c>
      <c r="B58" s="586">
        <v>46160</v>
      </c>
      <c r="C58" s="116">
        <v>2</v>
      </c>
      <c r="D58" s="116" t="s">
        <v>441</v>
      </c>
      <c r="E58" s="116" t="s">
        <v>856</v>
      </c>
      <c r="F58" s="116" t="s">
        <v>366</v>
      </c>
      <c r="G58" s="116" t="s">
        <v>710</v>
      </c>
      <c r="H58" s="116" t="s">
        <v>27</v>
      </c>
      <c r="I58" s="116" t="s">
        <v>1386</v>
      </c>
      <c r="J58" s="116" t="s">
        <v>24</v>
      </c>
      <c r="K58" s="116" t="s">
        <v>710</v>
      </c>
      <c r="L58" s="116">
        <v>1020088</v>
      </c>
      <c r="M58" s="116" t="s">
        <v>26</v>
      </c>
      <c r="N58" s="116" t="s">
        <v>912</v>
      </c>
      <c r="O58" s="47">
        <v>278905.67</v>
      </c>
      <c r="P58" s="47">
        <v>1</v>
      </c>
      <c r="Q58" s="47">
        <v>278905.67</v>
      </c>
      <c r="R58" s="586">
        <v>46258</v>
      </c>
      <c r="S58" s="116" t="s">
        <v>621</v>
      </c>
      <c r="T58" s="116"/>
      <c r="U58" s="116"/>
    </row>
    <row r="59" spans="1:21" ht="15.75" x14ac:dyDescent="0.25">
      <c r="A59" s="116" t="s">
        <v>4552</v>
      </c>
      <c r="B59" s="586">
        <v>46189</v>
      </c>
      <c r="C59" s="116">
        <v>1</v>
      </c>
      <c r="D59" s="116" t="s">
        <v>441</v>
      </c>
      <c r="E59" s="116" t="s">
        <v>856</v>
      </c>
      <c r="F59" s="116" t="s">
        <v>366</v>
      </c>
      <c r="G59" s="116" t="s">
        <v>710</v>
      </c>
      <c r="H59" s="116" t="s">
        <v>27</v>
      </c>
      <c r="I59" s="116" t="s">
        <v>4498</v>
      </c>
      <c r="J59" s="116" t="s">
        <v>24</v>
      </c>
      <c r="K59" s="116" t="s">
        <v>710</v>
      </c>
      <c r="L59" s="116">
        <v>1020088</v>
      </c>
      <c r="M59" s="116" t="s">
        <v>26</v>
      </c>
      <c r="N59" s="116" t="s">
        <v>912</v>
      </c>
      <c r="O59" s="47">
        <v>299758.8</v>
      </c>
      <c r="P59" s="47">
        <v>1</v>
      </c>
      <c r="Q59" s="47">
        <v>299758.8</v>
      </c>
      <c r="R59" s="586">
        <v>46264</v>
      </c>
      <c r="S59" s="116" t="s">
        <v>4493</v>
      </c>
      <c r="T59" s="116"/>
      <c r="U59" s="116"/>
    </row>
    <row r="60" spans="1:21" ht="15.75" x14ac:dyDescent="0.25">
      <c r="A60" s="116" t="s">
        <v>3701</v>
      </c>
      <c r="B60" s="586">
        <v>46194</v>
      </c>
      <c r="C60" s="116">
        <v>1</v>
      </c>
      <c r="D60" s="116" t="s">
        <v>441</v>
      </c>
      <c r="E60" s="116" t="s">
        <v>858</v>
      </c>
      <c r="F60" s="116" t="s">
        <v>366</v>
      </c>
      <c r="G60" s="116" t="s">
        <v>710</v>
      </c>
      <c r="H60" s="116" t="s">
        <v>27</v>
      </c>
      <c r="I60" s="116" t="s">
        <v>1698</v>
      </c>
      <c r="J60" s="116" t="s">
        <v>24</v>
      </c>
      <c r="K60" s="116" t="s">
        <v>710</v>
      </c>
      <c r="L60" s="116">
        <v>1020088</v>
      </c>
      <c r="M60" s="116" t="s">
        <v>26</v>
      </c>
      <c r="N60" s="116" t="s">
        <v>1123</v>
      </c>
      <c r="O60" s="47">
        <v>500000</v>
      </c>
      <c r="P60" s="47">
        <v>1</v>
      </c>
      <c r="Q60" s="47">
        <v>500000</v>
      </c>
      <c r="R60" s="586">
        <v>46264</v>
      </c>
      <c r="S60" s="116" t="s">
        <v>1904</v>
      </c>
      <c r="T60" s="116"/>
      <c r="U60" s="116" t="s">
        <v>5691</v>
      </c>
    </row>
    <row r="61" spans="1:21" ht="15.75" x14ac:dyDescent="0.25">
      <c r="A61" s="116" t="s">
        <v>3704</v>
      </c>
      <c r="B61" s="586">
        <v>46188</v>
      </c>
      <c r="C61" s="116">
        <v>1</v>
      </c>
      <c r="D61" s="116" t="s">
        <v>441</v>
      </c>
      <c r="E61" s="116" t="s">
        <v>856</v>
      </c>
      <c r="F61" s="116" t="s">
        <v>366</v>
      </c>
      <c r="G61" s="116" t="s">
        <v>710</v>
      </c>
      <c r="H61" s="116" t="s">
        <v>27</v>
      </c>
      <c r="I61" s="116" t="s">
        <v>1385</v>
      </c>
      <c r="J61" s="116" t="s">
        <v>24</v>
      </c>
      <c r="K61" s="116" t="s">
        <v>710</v>
      </c>
      <c r="L61" s="116">
        <v>1020088</v>
      </c>
      <c r="M61" s="116" t="s">
        <v>26</v>
      </c>
      <c r="N61" s="116" t="s">
        <v>912</v>
      </c>
      <c r="O61" s="47">
        <v>900000</v>
      </c>
      <c r="P61" s="47">
        <v>1</v>
      </c>
      <c r="Q61" s="47">
        <v>900000</v>
      </c>
      <c r="R61" s="586">
        <v>46264</v>
      </c>
      <c r="S61" s="116" t="s">
        <v>1904</v>
      </c>
      <c r="T61" s="116"/>
      <c r="U61" s="116"/>
    </row>
    <row r="62" spans="1:21" ht="15.75" x14ac:dyDescent="0.25">
      <c r="A62" s="116" t="s">
        <v>4567</v>
      </c>
      <c r="B62" s="586">
        <v>46183</v>
      </c>
      <c r="C62" s="116">
        <v>1</v>
      </c>
      <c r="D62" s="116" t="s">
        <v>441</v>
      </c>
      <c r="E62" s="116" t="s">
        <v>856</v>
      </c>
      <c r="F62" s="116" t="s">
        <v>366</v>
      </c>
      <c r="G62" s="116" t="s">
        <v>710</v>
      </c>
      <c r="H62" s="116" t="s">
        <v>27</v>
      </c>
      <c r="I62" s="116" t="s">
        <v>4499</v>
      </c>
      <c r="J62" s="116" t="s">
        <v>24</v>
      </c>
      <c r="K62" s="116" t="s">
        <v>710</v>
      </c>
      <c r="L62" s="116">
        <v>1020088</v>
      </c>
      <c r="M62" s="116" t="s">
        <v>26</v>
      </c>
      <c r="N62" s="116" t="s">
        <v>912</v>
      </c>
      <c r="O62" s="47">
        <v>995984.82</v>
      </c>
      <c r="P62" s="47">
        <v>1</v>
      </c>
      <c r="Q62" s="47">
        <v>995984.82</v>
      </c>
      <c r="R62" s="586">
        <v>46264</v>
      </c>
      <c r="S62" s="116" t="s">
        <v>4493</v>
      </c>
      <c r="T62" s="116"/>
      <c r="U62" s="116"/>
    </row>
    <row r="63" spans="1:21" ht="15.75" x14ac:dyDescent="0.25">
      <c r="A63" s="116" t="s">
        <v>2905</v>
      </c>
      <c r="B63" s="586">
        <v>46159</v>
      </c>
      <c r="C63" s="116">
        <v>1</v>
      </c>
      <c r="D63" s="116" t="s">
        <v>441</v>
      </c>
      <c r="E63" s="116" t="s">
        <v>856</v>
      </c>
      <c r="F63" s="116" t="s">
        <v>366</v>
      </c>
      <c r="G63" s="116" t="s">
        <v>710</v>
      </c>
      <c r="H63" s="116" t="s">
        <v>27</v>
      </c>
      <c r="I63" s="116" t="s">
        <v>479</v>
      </c>
      <c r="J63" s="116" t="s">
        <v>24</v>
      </c>
      <c r="K63" s="116" t="s">
        <v>710</v>
      </c>
      <c r="L63" s="116">
        <v>1020088</v>
      </c>
      <c r="M63" s="116" t="s">
        <v>26</v>
      </c>
      <c r="N63" s="116" t="s">
        <v>912</v>
      </c>
      <c r="O63" s="47">
        <v>4000000</v>
      </c>
      <c r="P63" s="47">
        <v>1</v>
      </c>
      <c r="Q63" s="47">
        <v>4000000</v>
      </c>
      <c r="R63" s="586">
        <v>46267</v>
      </c>
      <c r="S63" s="116" t="s">
        <v>621</v>
      </c>
      <c r="T63" s="116"/>
      <c r="U63" s="116"/>
    </row>
    <row r="64" spans="1:21" ht="15.75" x14ac:dyDescent="0.25">
      <c r="A64" s="116" t="s">
        <v>1818</v>
      </c>
      <c r="B64" s="586">
        <v>46189</v>
      </c>
      <c r="C64" s="116">
        <v>3</v>
      </c>
      <c r="D64" s="116" t="s">
        <v>1181</v>
      </c>
      <c r="E64" s="116" t="s">
        <v>858</v>
      </c>
      <c r="F64" s="116" t="s">
        <v>366</v>
      </c>
      <c r="G64" s="116" t="s">
        <v>710</v>
      </c>
      <c r="H64" s="116" t="s">
        <v>27</v>
      </c>
      <c r="I64" s="116" t="s">
        <v>1784</v>
      </c>
      <c r="J64" s="116" t="s">
        <v>72</v>
      </c>
      <c r="K64" s="116" t="s">
        <v>81</v>
      </c>
      <c r="L64" s="116">
        <v>1020070</v>
      </c>
      <c r="M64" s="116" t="s">
        <v>26</v>
      </c>
      <c r="N64" s="116" t="s">
        <v>912</v>
      </c>
      <c r="O64" s="47">
        <v>197064</v>
      </c>
      <c r="P64" s="47">
        <v>1</v>
      </c>
      <c r="Q64" s="47">
        <v>197064</v>
      </c>
      <c r="R64" s="586">
        <v>46282</v>
      </c>
      <c r="S64" s="116" t="s">
        <v>1785</v>
      </c>
      <c r="T64" s="116"/>
      <c r="U64" s="116"/>
    </row>
    <row r="66" spans="16:16" x14ac:dyDescent="0.25">
      <c r="P66" s="425"/>
    </row>
  </sheetData>
  <mergeCells count="1">
    <mergeCell ref="H3:I3"/>
  </mergeCells>
  <phoneticPr fontId="24" type="noConversion"/>
  <conditionalFormatting sqref="A5:U64">
    <cfRule type="expression" dxfId="1681" priority="3">
      <formula>$H5="Cash"</formula>
    </cfRule>
  </conditionalFormatting>
  <conditionalFormatting sqref="M5:M64">
    <cfRule type="expression" dxfId="1680" priority="1">
      <formula>$M5&lt;&gt;"SAR"</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Remove_Filter">
                <anchor moveWithCells="1" sizeWithCells="1">
                  <from>
                    <xdr:col>0</xdr:col>
                    <xdr:colOff>38100</xdr:colOff>
                    <xdr:row>0</xdr:row>
                    <xdr:rowOff>152400</xdr:rowOff>
                  </from>
                  <to>
                    <xdr:col>1</xdr:col>
                    <xdr:colOff>180975</xdr:colOff>
                    <xdr:row>2</xdr:row>
                    <xdr:rowOff>57150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A5BC1-9EBD-487A-A732-D9178358DBBC}">
  <sheetPr codeName="Sheet5">
    <tabColor rgb="FFC00000"/>
  </sheetPr>
  <dimension ref="A3:O309"/>
  <sheetViews>
    <sheetView workbookViewId="0">
      <selection activeCell="A4" sqref="A4"/>
    </sheetView>
  </sheetViews>
  <sheetFormatPr defaultColWidth="8.7109375" defaultRowHeight="15" x14ac:dyDescent="0.25"/>
  <cols>
    <col min="1" max="1" width="17.7109375" bestFit="1" customWidth="1"/>
    <col min="2" max="2" width="12.140625" bestFit="1" customWidth="1"/>
    <col min="3" max="3" width="17.85546875" bestFit="1" customWidth="1"/>
    <col min="4" max="4" width="13.5703125" bestFit="1" customWidth="1"/>
    <col min="5" max="5" width="7.5703125" bestFit="1" customWidth="1"/>
    <col min="6" max="6" width="7.85546875" bestFit="1" customWidth="1"/>
    <col min="7" max="7" width="69.28515625" bestFit="1" customWidth="1"/>
    <col min="8" max="8" width="17.7109375" bestFit="1" customWidth="1"/>
    <col min="9" max="9" width="22.140625" bestFit="1" customWidth="1"/>
    <col min="10" max="10" width="14.5703125" bestFit="1" customWidth="1"/>
    <col min="11" max="11" width="7" bestFit="1" customWidth="1"/>
    <col min="12" max="12" width="19.140625" bestFit="1" customWidth="1"/>
    <col min="13" max="13" width="7.28515625" bestFit="1" customWidth="1"/>
    <col min="14" max="14" width="19.85546875" bestFit="1" customWidth="1"/>
    <col min="15" max="15" width="11.85546875" bestFit="1" customWidth="1"/>
    <col min="16" max="16" width="9.7109375" bestFit="1" customWidth="1"/>
    <col min="17" max="17" width="7.7109375" bestFit="1" customWidth="1"/>
    <col min="18" max="18" width="20.42578125" bestFit="1" customWidth="1"/>
    <col min="19" max="19" width="15.5703125" bestFit="1" customWidth="1"/>
    <col min="20" max="20" width="19.28515625" bestFit="1" customWidth="1"/>
    <col min="21" max="21" width="11.140625" bestFit="1" customWidth="1"/>
    <col min="22" max="22" width="10" bestFit="1" customWidth="1"/>
    <col min="23" max="23" width="19.28515625" bestFit="1" customWidth="1"/>
    <col min="24" max="24" width="11.140625" bestFit="1" customWidth="1"/>
    <col min="25" max="25" width="32.28515625" bestFit="1" customWidth="1"/>
    <col min="26" max="26" width="17.28515625" bestFit="1" customWidth="1"/>
    <col min="27" max="27" width="12.28515625" bestFit="1" customWidth="1"/>
    <col min="28" max="28" width="80.85546875" customWidth="1"/>
  </cols>
  <sheetData>
    <row r="3" spans="1:15" ht="44.45" customHeight="1" x14ac:dyDescent="0.35">
      <c r="H3" s="205" t="s">
        <v>1114</v>
      </c>
      <c r="I3" s="205"/>
    </row>
    <row r="4" spans="1:15" x14ac:dyDescent="0.25">
      <c r="A4" s="7" t="s">
        <v>0</v>
      </c>
      <c r="B4" s="7" t="s">
        <v>847</v>
      </c>
      <c r="C4" s="7" t="s">
        <v>848</v>
      </c>
      <c r="D4" s="7" t="s">
        <v>849</v>
      </c>
      <c r="E4" s="7" t="s">
        <v>850</v>
      </c>
      <c r="F4" s="7" t="s">
        <v>15</v>
      </c>
      <c r="G4" s="7" t="s">
        <v>4</v>
      </c>
      <c r="H4" s="7" t="s">
        <v>5</v>
      </c>
      <c r="I4" s="7" t="s">
        <v>6</v>
      </c>
      <c r="J4" s="7" t="s">
        <v>846</v>
      </c>
      <c r="K4" s="7" t="s">
        <v>7</v>
      </c>
      <c r="L4" s="7" t="s">
        <v>852</v>
      </c>
      <c r="M4" s="7" t="s">
        <v>9</v>
      </c>
      <c r="N4" s="7" t="s">
        <v>853</v>
      </c>
      <c r="O4" s="7" t="s">
        <v>854</v>
      </c>
    </row>
    <row r="5" spans="1:15" ht="15.75" x14ac:dyDescent="0.25">
      <c r="A5" s="51" t="s">
        <v>506</v>
      </c>
      <c r="B5" s="422">
        <v>45763</v>
      </c>
      <c r="C5" s="51" t="s">
        <v>924</v>
      </c>
      <c r="D5" s="51" t="s">
        <v>858</v>
      </c>
      <c r="E5" s="51" t="s">
        <v>373</v>
      </c>
      <c r="F5" s="51" t="s">
        <v>27</v>
      </c>
      <c r="G5" s="51" t="s">
        <v>507</v>
      </c>
      <c r="H5" s="51" t="s">
        <v>72</v>
      </c>
      <c r="I5" s="51" t="s">
        <v>407</v>
      </c>
      <c r="J5" s="51" t="s">
        <v>1131</v>
      </c>
      <c r="K5" s="51" t="s">
        <v>26</v>
      </c>
      <c r="L5" s="53">
        <v>930474.94</v>
      </c>
      <c r="M5" s="53">
        <v>1</v>
      </c>
      <c r="N5" s="53">
        <v>930474.94</v>
      </c>
      <c r="O5" s="422">
        <v>45797</v>
      </c>
    </row>
    <row r="6" spans="1:15" ht="15.75" x14ac:dyDescent="0.25">
      <c r="A6" s="48" t="s">
        <v>567</v>
      </c>
      <c r="B6" s="421">
        <v>45728</v>
      </c>
      <c r="C6" s="48" t="s">
        <v>916</v>
      </c>
      <c r="D6" s="48" t="s">
        <v>858</v>
      </c>
      <c r="E6" s="48" t="s">
        <v>373</v>
      </c>
      <c r="F6" s="48" t="s">
        <v>27</v>
      </c>
      <c r="G6" s="48" t="s">
        <v>447</v>
      </c>
      <c r="H6" s="48" t="s">
        <v>24</v>
      </c>
      <c r="I6" s="48" t="s">
        <v>22</v>
      </c>
      <c r="J6" s="48" t="s">
        <v>1132</v>
      </c>
      <c r="K6" s="48" t="s">
        <v>26</v>
      </c>
      <c r="L6" s="50">
        <v>400000</v>
      </c>
      <c r="M6" s="50">
        <v>1</v>
      </c>
      <c r="N6" s="50">
        <v>400000</v>
      </c>
      <c r="O6" s="421">
        <v>45761</v>
      </c>
    </row>
    <row r="7" spans="1:15" ht="15.75" x14ac:dyDescent="0.25">
      <c r="A7" s="48" t="s">
        <v>372</v>
      </c>
      <c r="B7" s="421">
        <v>45685</v>
      </c>
      <c r="C7" s="48" t="s">
        <v>916</v>
      </c>
      <c r="D7" s="48" t="s">
        <v>895</v>
      </c>
      <c r="E7" s="48" t="s">
        <v>373</v>
      </c>
      <c r="F7" s="48" t="s">
        <v>27</v>
      </c>
      <c r="G7" s="48" t="s">
        <v>303</v>
      </c>
      <c r="H7" s="48" t="s">
        <v>72</v>
      </c>
      <c r="I7" s="48" t="s">
        <v>304</v>
      </c>
      <c r="J7" s="48" t="s">
        <v>1133</v>
      </c>
      <c r="K7" s="48" t="s">
        <v>26</v>
      </c>
      <c r="L7" s="50">
        <v>1793279.73</v>
      </c>
      <c r="M7" s="50">
        <v>1</v>
      </c>
      <c r="N7" s="50">
        <v>1793279.73</v>
      </c>
      <c r="O7" s="421">
        <v>45685</v>
      </c>
    </row>
    <row r="8" spans="1:15" ht="15.75" x14ac:dyDescent="0.25">
      <c r="A8" s="48" t="s">
        <v>508</v>
      </c>
      <c r="B8" s="421">
        <v>45771</v>
      </c>
      <c r="C8" s="48" t="s">
        <v>916</v>
      </c>
      <c r="D8" s="48" t="s">
        <v>856</v>
      </c>
      <c r="E8" s="48" t="s">
        <v>373</v>
      </c>
      <c r="F8" s="48" t="s">
        <v>27</v>
      </c>
      <c r="G8" s="48" t="s">
        <v>510</v>
      </c>
      <c r="H8" s="48" t="s">
        <v>72</v>
      </c>
      <c r="I8" s="48" t="s">
        <v>511</v>
      </c>
      <c r="J8" s="48" t="s">
        <v>1236</v>
      </c>
      <c r="K8" s="48" t="s">
        <v>26</v>
      </c>
      <c r="L8" s="50">
        <v>4262444.8</v>
      </c>
      <c r="M8" s="50">
        <v>1</v>
      </c>
      <c r="N8" s="50">
        <v>4262444.8</v>
      </c>
      <c r="O8" s="421">
        <v>45777</v>
      </c>
    </row>
    <row r="9" spans="1:15" ht="15.75" x14ac:dyDescent="0.25">
      <c r="A9" s="48" t="s">
        <v>672</v>
      </c>
      <c r="B9" s="421">
        <v>45740</v>
      </c>
      <c r="C9" s="48" t="s">
        <v>919</v>
      </c>
      <c r="D9" s="48" t="s">
        <v>856</v>
      </c>
      <c r="E9" s="48" t="s">
        <v>366</v>
      </c>
      <c r="F9" s="48" t="s">
        <v>27</v>
      </c>
      <c r="G9" s="48" t="s">
        <v>469</v>
      </c>
      <c r="H9" s="48" t="s">
        <v>72</v>
      </c>
      <c r="I9" s="48" t="s">
        <v>367</v>
      </c>
      <c r="J9" s="48" t="s">
        <v>1136</v>
      </c>
      <c r="K9" s="48" t="s">
        <v>191</v>
      </c>
      <c r="L9" s="50">
        <v>105946.36</v>
      </c>
      <c r="M9" s="50">
        <v>1.0259</v>
      </c>
      <c r="N9" s="50">
        <v>108690.37072400001</v>
      </c>
      <c r="O9" s="421">
        <v>45742</v>
      </c>
    </row>
    <row r="10" spans="1:15" ht="15.75" x14ac:dyDescent="0.25">
      <c r="A10" s="48" t="s">
        <v>420</v>
      </c>
      <c r="B10" s="421">
        <v>45587</v>
      </c>
      <c r="C10" s="48" t="s">
        <v>916</v>
      </c>
      <c r="D10" s="48" t="s">
        <v>856</v>
      </c>
      <c r="E10" s="48" t="s">
        <v>95</v>
      </c>
      <c r="F10" s="48" t="s">
        <v>27</v>
      </c>
      <c r="G10" s="48" t="s">
        <v>39</v>
      </c>
      <c r="H10" s="48" t="s">
        <v>80</v>
      </c>
      <c r="I10" s="48" t="s">
        <v>81</v>
      </c>
      <c r="J10" s="48" t="s">
        <v>1139</v>
      </c>
      <c r="K10" s="48" t="s">
        <v>26</v>
      </c>
      <c r="L10" s="50">
        <v>1876828.68</v>
      </c>
      <c r="M10" s="50">
        <v>1</v>
      </c>
      <c r="N10" s="50">
        <v>1876828.68</v>
      </c>
      <c r="O10" s="421">
        <v>45666</v>
      </c>
    </row>
    <row r="11" spans="1:15" ht="15.75" x14ac:dyDescent="0.25">
      <c r="A11" s="48" t="s">
        <v>420</v>
      </c>
      <c r="B11" s="421">
        <v>45615</v>
      </c>
      <c r="C11" s="48" t="s">
        <v>918</v>
      </c>
      <c r="D11" s="48" t="s">
        <v>856</v>
      </c>
      <c r="E11" s="48" t="s">
        <v>95</v>
      </c>
      <c r="F11" s="48" t="s">
        <v>27</v>
      </c>
      <c r="G11" s="48" t="s">
        <v>39</v>
      </c>
      <c r="H11" s="48" t="s">
        <v>80</v>
      </c>
      <c r="I11" s="48" t="s">
        <v>81</v>
      </c>
      <c r="J11" s="48" t="s">
        <v>1139</v>
      </c>
      <c r="K11" s="48" t="s">
        <v>26</v>
      </c>
      <c r="L11" s="50">
        <v>1454735.93</v>
      </c>
      <c r="M11" s="50">
        <v>1</v>
      </c>
      <c r="N11" s="50">
        <v>1454735.93</v>
      </c>
      <c r="O11" s="421">
        <v>45706</v>
      </c>
    </row>
    <row r="12" spans="1:15" ht="15.75" x14ac:dyDescent="0.25">
      <c r="A12" s="48" t="s">
        <v>420</v>
      </c>
      <c r="B12" s="421">
        <v>45658</v>
      </c>
      <c r="C12" s="48" t="s">
        <v>924</v>
      </c>
      <c r="D12" s="48" t="s">
        <v>856</v>
      </c>
      <c r="E12" s="48" t="s">
        <v>95</v>
      </c>
      <c r="F12" s="48" t="s">
        <v>27</v>
      </c>
      <c r="G12" s="48" t="s">
        <v>39</v>
      </c>
      <c r="H12" s="48" t="s">
        <v>80</v>
      </c>
      <c r="I12" s="48" t="s">
        <v>81</v>
      </c>
      <c r="J12" s="48" t="s">
        <v>1139</v>
      </c>
      <c r="K12" s="48" t="s">
        <v>26</v>
      </c>
      <c r="L12" s="50">
        <v>212095.59</v>
      </c>
      <c r="M12" s="50">
        <v>1</v>
      </c>
      <c r="N12" s="50">
        <v>212095.59</v>
      </c>
      <c r="O12" s="421">
        <v>45721</v>
      </c>
    </row>
    <row r="13" spans="1:15" ht="15.75" x14ac:dyDescent="0.25">
      <c r="A13" s="48" t="s">
        <v>423</v>
      </c>
      <c r="B13" s="421">
        <v>45614</v>
      </c>
      <c r="C13" s="48" t="s">
        <v>916</v>
      </c>
      <c r="D13" s="48" t="s">
        <v>856</v>
      </c>
      <c r="E13" s="48" t="s">
        <v>95</v>
      </c>
      <c r="F13" s="48" t="s">
        <v>27</v>
      </c>
      <c r="G13" s="48" t="s">
        <v>424</v>
      </c>
      <c r="H13" s="48" t="s">
        <v>24</v>
      </c>
      <c r="I13" s="48" t="s">
        <v>25</v>
      </c>
      <c r="J13" s="48" t="s">
        <v>1138</v>
      </c>
      <c r="K13" s="48" t="s">
        <v>26</v>
      </c>
      <c r="L13" s="50">
        <v>1000000</v>
      </c>
      <c r="M13" s="50">
        <v>1</v>
      </c>
      <c r="N13" s="50">
        <v>1000000</v>
      </c>
      <c r="O13" s="421">
        <v>45627</v>
      </c>
    </row>
    <row r="14" spans="1:15" ht="15.75" x14ac:dyDescent="0.25">
      <c r="A14" s="48" t="s">
        <v>504</v>
      </c>
      <c r="B14" s="421">
        <v>45670</v>
      </c>
      <c r="C14" s="48" t="s">
        <v>916</v>
      </c>
      <c r="D14" s="48" t="s">
        <v>858</v>
      </c>
      <c r="E14" s="48" t="s">
        <v>95</v>
      </c>
      <c r="F14" s="48" t="s">
        <v>27</v>
      </c>
      <c r="G14" s="48" t="s">
        <v>505</v>
      </c>
      <c r="H14" s="48" t="s">
        <v>24</v>
      </c>
      <c r="I14" s="48" t="s">
        <v>25</v>
      </c>
      <c r="J14" s="48" t="s">
        <v>1138</v>
      </c>
      <c r="K14" s="48" t="s">
        <v>26</v>
      </c>
      <c r="L14" s="50">
        <v>4626403.66</v>
      </c>
      <c r="M14" s="50">
        <v>1</v>
      </c>
      <c r="N14" s="50">
        <v>4626403.66</v>
      </c>
      <c r="O14" s="421">
        <v>45728</v>
      </c>
    </row>
    <row r="15" spans="1:15" ht="15.75" x14ac:dyDescent="0.25">
      <c r="A15" s="48" t="s">
        <v>405</v>
      </c>
      <c r="B15" s="421">
        <v>45614</v>
      </c>
      <c r="C15" s="48" t="s">
        <v>916</v>
      </c>
      <c r="D15" s="48" t="s">
        <v>856</v>
      </c>
      <c r="E15" s="48" t="s">
        <v>95</v>
      </c>
      <c r="F15" s="48" t="s">
        <v>27</v>
      </c>
      <c r="G15" s="48" t="s">
        <v>406</v>
      </c>
      <c r="H15" s="48" t="s">
        <v>24</v>
      </c>
      <c r="I15" s="48" t="s">
        <v>407</v>
      </c>
      <c r="J15" s="48" t="s">
        <v>1131</v>
      </c>
      <c r="K15" s="48" t="s">
        <v>26</v>
      </c>
      <c r="L15" s="50">
        <v>6000000</v>
      </c>
      <c r="M15" s="50">
        <v>1</v>
      </c>
      <c r="N15" s="50">
        <v>6000000</v>
      </c>
      <c r="O15" s="421">
        <v>45699</v>
      </c>
    </row>
    <row r="16" spans="1:15" ht="15.75" x14ac:dyDescent="0.25">
      <c r="A16" s="48" t="s">
        <v>551</v>
      </c>
      <c r="B16" s="421">
        <v>45655</v>
      </c>
      <c r="C16" s="48" t="s">
        <v>916</v>
      </c>
      <c r="D16" s="48" t="s">
        <v>858</v>
      </c>
      <c r="E16" s="48" t="s">
        <v>95</v>
      </c>
      <c r="F16" s="48" t="s">
        <v>27</v>
      </c>
      <c r="G16" s="48" t="s">
        <v>552</v>
      </c>
      <c r="H16" s="48" t="s">
        <v>24</v>
      </c>
      <c r="I16" s="48" t="s">
        <v>407</v>
      </c>
      <c r="J16" s="48" t="s">
        <v>1131</v>
      </c>
      <c r="K16" s="48" t="s">
        <v>26</v>
      </c>
      <c r="L16" s="50">
        <v>108100</v>
      </c>
      <c r="M16" s="50">
        <v>1</v>
      </c>
      <c r="N16" s="50">
        <v>108100</v>
      </c>
      <c r="O16" s="421">
        <v>45753</v>
      </c>
    </row>
    <row r="17" spans="1:15" ht="15.75" x14ac:dyDescent="0.25">
      <c r="A17" s="48" t="s">
        <v>537</v>
      </c>
      <c r="B17" s="421">
        <v>45658</v>
      </c>
      <c r="C17" s="48" t="s">
        <v>916</v>
      </c>
      <c r="D17" s="48" t="s">
        <v>856</v>
      </c>
      <c r="E17" s="48" t="s">
        <v>95</v>
      </c>
      <c r="F17" s="48" t="s">
        <v>27</v>
      </c>
      <c r="G17" s="48" t="s">
        <v>538</v>
      </c>
      <c r="H17" s="48" t="s">
        <v>24</v>
      </c>
      <c r="I17" s="48" t="s">
        <v>407</v>
      </c>
      <c r="J17" s="48" t="s">
        <v>1131</v>
      </c>
      <c r="K17" s="48" t="s">
        <v>26</v>
      </c>
      <c r="L17" s="50">
        <v>2000000</v>
      </c>
      <c r="M17" s="50">
        <v>1</v>
      </c>
      <c r="N17" s="50">
        <v>2000000</v>
      </c>
      <c r="O17" s="421">
        <v>45741</v>
      </c>
    </row>
    <row r="18" spans="1:15" ht="15.75" x14ac:dyDescent="0.25">
      <c r="A18" s="48" t="s">
        <v>544</v>
      </c>
      <c r="B18" s="421">
        <v>45693</v>
      </c>
      <c r="C18" s="48" t="s">
        <v>916</v>
      </c>
      <c r="D18" s="48" t="s">
        <v>858</v>
      </c>
      <c r="E18" s="48" t="s">
        <v>95</v>
      </c>
      <c r="F18" s="48" t="s">
        <v>27</v>
      </c>
      <c r="G18" s="48" t="s">
        <v>545</v>
      </c>
      <c r="H18" s="48" t="s">
        <v>24</v>
      </c>
      <c r="I18" s="48" t="s">
        <v>407</v>
      </c>
      <c r="J18" s="48" t="s">
        <v>1131</v>
      </c>
      <c r="K18" s="48" t="s">
        <v>26</v>
      </c>
      <c r="L18" s="50">
        <v>250606.6</v>
      </c>
      <c r="M18" s="50">
        <v>1</v>
      </c>
      <c r="N18" s="50">
        <v>250606.6</v>
      </c>
      <c r="O18" s="421">
        <v>45741</v>
      </c>
    </row>
    <row r="19" spans="1:15" ht="15.75" x14ac:dyDescent="0.25">
      <c r="A19" s="48" t="s">
        <v>543</v>
      </c>
      <c r="B19" s="421">
        <v>45694</v>
      </c>
      <c r="C19" s="48" t="s">
        <v>916</v>
      </c>
      <c r="D19" s="48" t="s">
        <v>858</v>
      </c>
      <c r="E19" s="48" t="s">
        <v>95</v>
      </c>
      <c r="F19" s="48" t="s">
        <v>27</v>
      </c>
      <c r="G19" s="48" t="s">
        <v>1789</v>
      </c>
      <c r="H19" s="48" t="s">
        <v>24</v>
      </c>
      <c r="I19" s="48" t="s">
        <v>407</v>
      </c>
      <c r="J19" s="48" t="s">
        <v>1131</v>
      </c>
      <c r="K19" s="48" t="s">
        <v>26</v>
      </c>
      <c r="L19" s="50">
        <v>650808.41</v>
      </c>
      <c r="M19" s="50">
        <v>1</v>
      </c>
      <c r="N19" s="50">
        <v>650808.41</v>
      </c>
      <c r="O19" s="421">
        <v>45740</v>
      </c>
    </row>
    <row r="20" spans="1:15" ht="15.75" x14ac:dyDescent="0.25">
      <c r="A20" s="48" t="s">
        <v>549</v>
      </c>
      <c r="B20" s="421">
        <v>45705</v>
      </c>
      <c r="C20" s="48" t="s">
        <v>916</v>
      </c>
      <c r="D20" s="48" t="s">
        <v>858</v>
      </c>
      <c r="E20" s="48" t="s">
        <v>95</v>
      </c>
      <c r="F20" s="48" t="s">
        <v>27</v>
      </c>
      <c r="G20" s="48" t="s">
        <v>550</v>
      </c>
      <c r="H20" s="48" t="s">
        <v>24</v>
      </c>
      <c r="I20" s="48" t="s">
        <v>407</v>
      </c>
      <c r="J20" s="48" t="s">
        <v>1131</v>
      </c>
      <c r="K20" s="48" t="s">
        <v>26</v>
      </c>
      <c r="L20" s="50">
        <v>300000</v>
      </c>
      <c r="M20" s="50">
        <v>1</v>
      </c>
      <c r="N20" s="50">
        <v>300000</v>
      </c>
      <c r="O20" s="421">
        <v>45757</v>
      </c>
    </row>
    <row r="21" spans="1:15" ht="15.75" x14ac:dyDescent="0.25">
      <c r="A21" s="48" t="s">
        <v>681</v>
      </c>
      <c r="B21" s="421">
        <v>45722</v>
      </c>
      <c r="C21" s="48" t="s">
        <v>916</v>
      </c>
      <c r="D21" s="48" t="s">
        <v>858</v>
      </c>
      <c r="E21" s="48" t="s">
        <v>95</v>
      </c>
      <c r="F21" s="48" t="s">
        <v>27</v>
      </c>
      <c r="G21" s="48" t="s">
        <v>542</v>
      </c>
      <c r="H21" s="48" t="s">
        <v>24</v>
      </c>
      <c r="I21" s="48" t="s">
        <v>407</v>
      </c>
      <c r="J21" s="48" t="s">
        <v>1131</v>
      </c>
      <c r="K21" s="48" t="s">
        <v>26</v>
      </c>
      <c r="L21" s="50">
        <v>400000</v>
      </c>
      <c r="M21" s="50">
        <v>1</v>
      </c>
      <c r="N21" s="50">
        <v>400000</v>
      </c>
      <c r="O21" s="421">
        <v>45783</v>
      </c>
    </row>
    <row r="22" spans="1:15" ht="15.75" x14ac:dyDescent="0.25">
      <c r="A22" s="48" t="s">
        <v>547</v>
      </c>
      <c r="B22" s="421">
        <v>45727</v>
      </c>
      <c r="C22" s="48" t="s">
        <v>916</v>
      </c>
      <c r="D22" s="48" t="s">
        <v>858</v>
      </c>
      <c r="E22" s="48" t="s">
        <v>95</v>
      </c>
      <c r="F22" s="48" t="s">
        <v>27</v>
      </c>
      <c r="G22" s="48" t="s">
        <v>548</v>
      </c>
      <c r="H22" s="48" t="s">
        <v>24</v>
      </c>
      <c r="I22" s="48" t="s">
        <v>407</v>
      </c>
      <c r="J22" s="48" t="s">
        <v>1131</v>
      </c>
      <c r="K22" s="48" t="s">
        <v>26</v>
      </c>
      <c r="L22" s="50">
        <v>169050</v>
      </c>
      <c r="M22" s="50">
        <v>1</v>
      </c>
      <c r="N22" s="50">
        <v>169050</v>
      </c>
      <c r="O22" s="421">
        <v>45757</v>
      </c>
    </row>
    <row r="23" spans="1:15" ht="15.75" x14ac:dyDescent="0.25">
      <c r="A23" s="48" t="s">
        <v>553</v>
      </c>
      <c r="B23" s="421">
        <v>45734</v>
      </c>
      <c r="C23" s="48" t="s">
        <v>916</v>
      </c>
      <c r="D23" s="48" t="s">
        <v>856</v>
      </c>
      <c r="E23" s="48" t="s">
        <v>95</v>
      </c>
      <c r="F23" s="48" t="s">
        <v>27</v>
      </c>
      <c r="G23" s="48" t="s">
        <v>554</v>
      </c>
      <c r="H23" s="48" t="s">
        <v>24</v>
      </c>
      <c r="I23" s="48" t="s">
        <v>407</v>
      </c>
      <c r="J23" s="48" t="s">
        <v>1131</v>
      </c>
      <c r="K23" s="48" t="s">
        <v>26</v>
      </c>
      <c r="L23" s="50">
        <v>300000</v>
      </c>
      <c r="M23" s="50">
        <v>1</v>
      </c>
      <c r="N23" s="50">
        <v>300000</v>
      </c>
      <c r="O23" s="421">
        <v>45732</v>
      </c>
    </row>
    <row r="24" spans="1:15" ht="15.75" x14ac:dyDescent="0.25">
      <c r="A24" s="48" t="s">
        <v>474</v>
      </c>
      <c r="B24" s="421">
        <v>45734</v>
      </c>
      <c r="C24" s="48" t="s">
        <v>916</v>
      </c>
      <c r="D24" s="48" t="s">
        <v>856</v>
      </c>
      <c r="E24" s="48" t="s">
        <v>95</v>
      </c>
      <c r="F24" s="48" t="s">
        <v>27</v>
      </c>
      <c r="G24" s="48" t="s">
        <v>475</v>
      </c>
      <c r="H24" s="48" t="s">
        <v>24</v>
      </c>
      <c r="I24" s="48" t="s">
        <v>407</v>
      </c>
      <c r="J24" s="48" t="s">
        <v>1131</v>
      </c>
      <c r="K24" s="48" t="s">
        <v>26</v>
      </c>
      <c r="L24" s="50">
        <v>600000</v>
      </c>
      <c r="M24" s="50">
        <v>1</v>
      </c>
      <c r="N24" s="50">
        <v>600000</v>
      </c>
      <c r="O24" s="421">
        <v>45809</v>
      </c>
    </row>
    <row r="25" spans="1:15" ht="15.75" x14ac:dyDescent="0.25">
      <c r="A25" s="48" t="s">
        <v>673</v>
      </c>
      <c r="B25" s="421">
        <v>45740</v>
      </c>
      <c r="C25" s="48" t="s">
        <v>916</v>
      </c>
      <c r="D25" s="48" t="s">
        <v>856</v>
      </c>
      <c r="E25" s="48" t="s">
        <v>95</v>
      </c>
      <c r="F25" s="48" t="s">
        <v>27</v>
      </c>
      <c r="G25" s="48" t="s">
        <v>406</v>
      </c>
      <c r="H25" s="48" t="s">
        <v>24</v>
      </c>
      <c r="I25" s="48" t="s">
        <v>407</v>
      </c>
      <c r="J25" s="48" t="s">
        <v>1131</v>
      </c>
      <c r="K25" s="48" t="s">
        <v>26</v>
      </c>
      <c r="L25" s="50">
        <v>900000</v>
      </c>
      <c r="M25" s="50">
        <v>1</v>
      </c>
      <c r="N25" s="50">
        <v>900000</v>
      </c>
      <c r="O25" s="421">
        <v>45816</v>
      </c>
    </row>
    <row r="26" spans="1:15" ht="15.75" x14ac:dyDescent="0.25">
      <c r="A26" s="48" t="s">
        <v>676</v>
      </c>
      <c r="B26" s="421">
        <v>45767</v>
      </c>
      <c r="C26" s="48" t="s">
        <v>916</v>
      </c>
      <c r="D26" s="48" t="s">
        <v>856</v>
      </c>
      <c r="E26" s="48" t="s">
        <v>95</v>
      </c>
      <c r="F26" s="48" t="s">
        <v>27</v>
      </c>
      <c r="G26" s="48" t="s">
        <v>538</v>
      </c>
      <c r="H26" s="48" t="s">
        <v>24</v>
      </c>
      <c r="I26" s="48" t="s">
        <v>407</v>
      </c>
      <c r="J26" s="48" t="s">
        <v>1131</v>
      </c>
      <c r="K26" s="48" t="s">
        <v>26</v>
      </c>
      <c r="L26" s="50">
        <v>900000</v>
      </c>
      <c r="M26" s="50">
        <v>1</v>
      </c>
      <c r="N26" s="50">
        <v>900000</v>
      </c>
      <c r="O26" s="421">
        <v>45830</v>
      </c>
    </row>
    <row r="27" spans="1:15" ht="15.75" x14ac:dyDescent="0.25">
      <c r="A27" s="48" t="s">
        <v>674</v>
      </c>
      <c r="B27" s="421">
        <v>45769</v>
      </c>
      <c r="C27" s="48" t="s">
        <v>916</v>
      </c>
      <c r="D27" s="48" t="s">
        <v>856</v>
      </c>
      <c r="E27" s="48" t="s">
        <v>95</v>
      </c>
      <c r="F27" s="48" t="s">
        <v>27</v>
      </c>
      <c r="G27" s="48" t="s">
        <v>675</v>
      </c>
      <c r="H27" s="48" t="s">
        <v>24</v>
      </c>
      <c r="I27" s="48" t="s">
        <v>407</v>
      </c>
      <c r="J27" s="48" t="s">
        <v>1131</v>
      </c>
      <c r="K27" s="48" t="s">
        <v>26</v>
      </c>
      <c r="L27" s="50">
        <v>781791.28</v>
      </c>
      <c r="M27" s="50">
        <v>1</v>
      </c>
      <c r="N27" s="50">
        <v>781791.28</v>
      </c>
      <c r="O27" s="421">
        <v>45804</v>
      </c>
    </row>
    <row r="28" spans="1:15" ht="15.75" x14ac:dyDescent="0.25">
      <c r="A28" s="48" t="s">
        <v>677</v>
      </c>
      <c r="B28" s="421">
        <v>45755</v>
      </c>
      <c r="C28" s="48" t="s">
        <v>916</v>
      </c>
      <c r="D28" s="48" t="s">
        <v>856</v>
      </c>
      <c r="E28" s="48" t="s">
        <v>95</v>
      </c>
      <c r="F28" s="48" t="s">
        <v>27</v>
      </c>
      <c r="G28" s="48" t="s">
        <v>1789</v>
      </c>
      <c r="H28" s="48" t="s">
        <v>24</v>
      </c>
      <c r="I28" s="48" t="s">
        <v>407</v>
      </c>
      <c r="J28" s="48" t="s">
        <v>1131</v>
      </c>
      <c r="K28" s="48" t="s">
        <v>26</v>
      </c>
      <c r="L28" s="50">
        <v>302011.38</v>
      </c>
      <c r="M28" s="50">
        <v>1</v>
      </c>
      <c r="N28" s="50">
        <v>302011.38</v>
      </c>
      <c r="O28" s="421">
        <v>45802</v>
      </c>
    </row>
    <row r="29" spans="1:15" ht="15.75" x14ac:dyDescent="0.25">
      <c r="A29" s="48" t="s">
        <v>680</v>
      </c>
      <c r="B29" s="421">
        <v>45790</v>
      </c>
      <c r="C29" s="48" t="s">
        <v>916</v>
      </c>
      <c r="D29" s="48" t="s">
        <v>858</v>
      </c>
      <c r="E29" s="48" t="s">
        <v>95</v>
      </c>
      <c r="F29" s="48" t="s">
        <v>27</v>
      </c>
      <c r="G29" s="48" t="s">
        <v>540</v>
      </c>
      <c r="H29" s="48" t="s">
        <v>24</v>
      </c>
      <c r="I29" s="48" t="s">
        <v>407</v>
      </c>
      <c r="J29" s="48" t="s">
        <v>1131</v>
      </c>
      <c r="K29" s="48" t="s">
        <v>26</v>
      </c>
      <c r="L29" s="50">
        <v>350000</v>
      </c>
      <c r="M29" s="50">
        <v>1</v>
      </c>
      <c r="N29" s="50">
        <v>350000</v>
      </c>
      <c r="O29" s="421">
        <v>45811</v>
      </c>
    </row>
    <row r="30" spans="1:15" ht="15.75" x14ac:dyDescent="0.25">
      <c r="A30" s="48" t="s">
        <v>678</v>
      </c>
      <c r="B30" s="421">
        <v>45762</v>
      </c>
      <c r="C30" s="48" t="s">
        <v>916</v>
      </c>
      <c r="D30" s="48" t="s">
        <v>856</v>
      </c>
      <c r="E30" s="48" t="s">
        <v>95</v>
      </c>
      <c r="F30" s="48" t="s">
        <v>27</v>
      </c>
      <c r="G30" s="48" t="s">
        <v>679</v>
      </c>
      <c r="H30" s="48" t="s">
        <v>24</v>
      </c>
      <c r="I30" s="48" t="s">
        <v>407</v>
      </c>
      <c r="J30" s="48" t="s">
        <v>1131</v>
      </c>
      <c r="K30" s="48" t="s">
        <v>26</v>
      </c>
      <c r="L30" s="50">
        <v>446228.6</v>
      </c>
      <c r="M30" s="50">
        <v>1</v>
      </c>
      <c r="N30" s="50">
        <v>446228.6</v>
      </c>
      <c r="O30" s="421">
        <v>45783</v>
      </c>
    </row>
    <row r="31" spans="1:15" ht="15.75" x14ac:dyDescent="0.25">
      <c r="A31" s="48" t="s">
        <v>546</v>
      </c>
      <c r="B31" s="421">
        <v>45761</v>
      </c>
      <c r="C31" s="48" t="s">
        <v>916</v>
      </c>
      <c r="D31" s="48" t="s">
        <v>856</v>
      </c>
      <c r="E31" s="48" t="s">
        <v>95</v>
      </c>
      <c r="F31" s="48" t="s">
        <v>27</v>
      </c>
      <c r="G31" s="48" t="s">
        <v>155</v>
      </c>
      <c r="H31" s="48" t="s">
        <v>24</v>
      </c>
      <c r="I31" s="48" t="s">
        <v>407</v>
      </c>
      <c r="J31" s="48" t="s">
        <v>1131</v>
      </c>
      <c r="K31" s="48" t="s">
        <v>26</v>
      </c>
      <c r="L31" s="50">
        <v>522850</v>
      </c>
      <c r="M31" s="50">
        <v>1</v>
      </c>
      <c r="N31" s="50">
        <v>522850</v>
      </c>
      <c r="O31" s="421">
        <v>45761</v>
      </c>
    </row>
    <row r="32" spans="1:15" ht="15.75" x14ac:dyDescent="0.25">
      <c r="A32" s="48" t="s">
        <v>539</v>
      </c>
      <c r="B32" s="421">
        <v>45761</v>
      </c>
      <c r="C32" s="48" t="s">
        <v>916</v>
      </c>
      <c r="D32" s="48" t="s">
        <v>856</v>
      </c>
      <c r="E32" s="48" t="s">
        <v>95</v>
      </c>
      <c r="F32" s="48" t="s">
        <v>27</v>
      </c>
      <c r="G32" s="48" t="s">
        <v>540</v>
      </c>
      <c r="H32" s="48" t="s">
        <v>24</v>
      </c>
      <c r="I32" s="48" t="s">
        <v>407</v>
      </c>
      <c r="J32" s="48" t="s">
        <v>1131</v>
      </c>
      <c r="K32" s="48" t="s">
        <v>26</v>
      </c>
      <c r="L32" s="50">
        <v>700000</v>
      </c>
      <c r="M32" s="50">
        <v>1</v>
      </c>
      <c r="N32" s="50">
        <v>700000</v>
      </c>
      <c r="O32" s="421">
        <v>45767</v>
      </c>
    </row>
    <row r="33" spans="1:15" ht="15.75" x14ac:dyDescent="0.25">
      <c r="A33" s="48" t="s">
        <v>684</v>
      </c>
      <c r="B33" s="421">
        <v>45799</v>
      </c>
      <c r="C33" s="48" t="s">
        <v>916</v>
      </c>
      <c r="D33" s="48" t="s">
        <v>858</v>
      </c>
      <c r="E33" s="48" t="s">
        <v>95</v>
      </c>
      <c r="F33" s="48" t="s">
        <v>27</v>
      </c>
      <c r="G33" s="48" t="s">
        <v>685</v>
      </c>
      <c r="H33" s="48" t="s">
        <v>24</v>
      </c>
      <c r="I33" s="48" t="s">
        <v>407</v>
      </c>
      <c r="J33" s="48" t="s">
        <v>1131</v>
      </c>
      <c r="K33" s="48" t="s">
        <v>26</v>
      </c>
      <c r="L33" s="50">
        <v>400000</v>
      </c>
      <c r="M33" s="50">
        <v>1</v>
      </c>
      <c r="N33" s="50">
        <v>400000</v>
      </c>
      <c r="O33" s="421">
        <v>45834</v>
      </c>
    </row>
    <row r="34" spans="1:15" ht="15.75" x14ac:dyDescent="0.25">
      <c r="A34" s="48" t="s">
        <v>677</v>
      </c>
      <c r="B34" s="421">
        <v>45792</v>
      </c>
      <c r="C34" s="48" t="s">
        <v>918</v>
      </c>
      <c r="D34" s="48" t="s">
        <v>858</v>
      </c>
      <c r="E34" s="48" t="s">
        <v>95</v>
      </c>
      <c r="F34" s="48" t="s">
        <v>27</v>
      </c>
      <c r="G34" s="48" t="s">
        <v>1789</v>
      </c>
      <c r="H34" s="48" t="s">
        <v>24</v>
      </c>
      <c r="I34" s="48" t="s">
        <v>407</v>
      </c>
      <c r="J34" s="48" t="s">
        <v>1131</v>
      </c>
      <c r="K34" s="48" t="s">
        <v>26</v>
      </c>
      <c r="L34" s="50">
        <v>47988.62</v>
      </c>
      <c r="M34" s="50">
        <v>1</v>
      </c>
      <c r="N34" s="50">
        <v>47988.62</v>
      </c>
      <c r="O34" s="421">
        <v>45844</v>
      </c>
    </row>
    <row r="35" spans="1:15" ht="15.75" x14ac:dyDescent="0.25">
      <c r="A35" s="48" t="s">
        <v>514</v>
      </c>
      <c r="B35" s="421">
        <v>45672</v>
      </c>
      <c r="C35" s="48" t="s">
        <v>916</v>
      </c>
      <c r="D35" s="48" t="s">
        <v>856</v>
      </c>
      <c r="E35" s="48" t="s">
        <v>95</v>
      </c>
      <c r="F35" s="48" t="s">
        <v>27</v>
      </c>
      <c r="G35" s="48" t="s">
        <v>515</v>
      </c>
      <c r="H35" s="48" t="s">
        <v>72</v>
      </c>
      <c r="I35" s="48" t="s">
        <v>487</v>
      </c>
      <c r="J35" s="48" t="s">
        <v>1140</v>
      </c>
      <c r="K35" s="48" t="s">
        <v>26</v>
      </c>
      <c r="L35" s="50">
        <v>999349.72</v>
      </c>
      <c r="M35" s="50">
        <v>1</v>
      </c>
      <c r="N35" s="50">
        <v>999349.72</v>
      </c>
      <c r="O35" s="421">
        <v>45694</v>
      </c>
    </row>
    <row r="36" spans="1:15" ht="15.75" x14ac:dyDescent="0.25">
      <c r="A36" s="48" t="s">
        <v>350</v>
      </c>
      <c r="B36" s="421">
        <v>45573</v>
      </c>
      <c r="C36" s="48" t="s">
        <v>916</v>
      </c>
      <c r="D36" s="48" t="s">
        <v>856</v>
      </c>
      <c r="E36" s="48" t="s">
        <v>95</v>
      </c>
      <c r="F36" s="48" t="s">
        <v>27</v>
      </c>
      <c r="G36" s="48" t="s">
        <v>351</v>
      </c>
      <c r="H36" s="48" t="s">
        <v>24</v>
      </c>
      <c r="I36" s="48" t="s">
        <v>22</v>
      </c>
      <c r="J36" s="48" t="s">
        <v>1132</v>
      </c>
      <c r="K36" s="48" t="s">
        <v>26</v>
      </c>
      <c r="L36" s="50">
        <v>458485.39</v>
      </c>
      <c r="M36" s="50">
        <v>1</v>
      </c>
      <c r="N36" s="50">
        <v>458485.39</v>
      </c>
      <c r="O36" s="421">
        <v>45623</v>
      </c>
    </row>
    <row r="37" spans="1:15" ht="15.75" x14ac:dyDescent="0.25">
      <c r="A37" s="48" t="s">
        <v>331</v>
      </c>
      <c r="B37" s="421">
        <v>45573</v>
      </c>
      <c r="C37" s="48" t="s">
        <v>916</v>
      </c>
      <c r="D37" s="48" t="s">
        <v>856</v>
      </c>
      <c r="E37" s="48" t="s">
        <v>95</v>
      </c>
      <c r="F37" s="48" t="s">
        <v>27</v>
      </c>
      <c r="G37" s="48" t="s">
        <v>332</v>
      </c>
      <c r="H37" s="48" t="s">
        <v>24</v>
      </c>
      <c r="I37" s="48" t="s">
        <v>22</v>
      </c>
      <c r="J37" s="48" t="s">
        <v>1132</v>
      </c>
      <c r="K37" s="48" t="s">
        <v>26</v>
      </c>
      <c r="L37" s="50">
        <v>1238238.98</v>
      </c>
      <c r="M37" s="50">
        <v>1</v>
      </c>
      <c r="N37" s="50">
        <v>1238238.98</v>
      </c>
      <c r="O37" s="421">
        <v>45655</v>
      </c>
    </row>
    <row r="38" spans="1:15" ht="15.75" x14ac:dyDescent="0.25">
      <c r="A38" s="48" t="s">
        <v>331</v>
      </c>
      <c r="B38" s="421">
        <v>45574</v>
      </c>
      <c r="C38" s="48" t="s">
        <v>918</v>
      </c>
      <c r="D38" s="48" t="s">
        <v>856</v>
      </c>
      <c r="E38" s="48" t="s">
        <v>95</v>
      </c>
      <c r="F38" s="48" t="s">
        <v>27</v>
      </c>
      <c r="G38" s="48" t="s">
        <v>332</v>
      </c>
      <c r="H38" s="48" t="s">
        <v>24</v>
      </c>
      <c r="I38" s="48" t="s">
        <v>22</v>
      </c>
      <c r="J38" s="48" t="s">
        <v>1132</v>
      </c>
      <c r="K38" s="48" t="s">
        <v>26</v>
      </c>
      <c r="L38" s="50">
        <v>1000000</v>
      </c>
      <c r="M38" s="50">
        <v>1</v>
      </c>
      <c r="N38" s="50">
        <v>1000000</v>
      </c>
      <c r="O38" s="421">
        <v>45655</v>
      </c>
    </row>
    <row r="39" spans="1:15" ht="15.75" x14ac:dyDescent="0.25">
      <c r="A39" s="48" t="s">
        <v>337</v>
      </c>
      <c r="B39" s="421">
        <v>45578</v>
      </c>
      <c r="C39" s="48" t="s">
        <v>916</v>
      </c>
      <c r="D39" s="48" t="s">
        <v>856</v>
      </c>
      <c r="E39" s="48" t="s">
        <v>95</v>
      </c>
      <c r="F39" s="48" t="s">
        <v>27</v>
      </c>
      <c r="G39" s="48" t="s">
        <v>338</v>
      </c>
      <c r="H39" s="48" t="s">
        <v>24</v>
      </c>
      <c r="I39" s="48" t="s">
        <v>22</v>
      </c>
      <c r="J39" s="48" t="s">
        <v>1132</v>
      </c>
      <c r="K39" s="48" t="s">
        <v>26</v>
      </c>
      <c r="L39" s="50">
        <v>500000</v>
      </c>
      <c r="M39" s="50">
        <v>1</v>
      </c>
      <c r="N39" s="50">
        <v>500000</v>
      </c>
      <c r="O39" s="421">
        <v>45652</v>
      </c>
    </row>
    <row r="40" spans="1:15" ht="15.75" x14ac:dyDescent="0.25">
      <c r="A40" s="48" t="s">
        <v>387</v>
      </c>
      <c r="B40" s="421">
        <v>45579</v>
      </c>
      <c r="C40" s="48" t="s">
        <v>916</v>
      </c>
      <c r="D40" s="48" t="s">
        <v>858</v>
      </c>
      <c r="E40" s="48" t="s">
        <v>95</v>
      </c>
      <c r="F40" s="48" t="s">
        <v>27</v>
      </c>
      <c r="G40" s="48" t="s">
        <v>188</v>
      </c>
      <c r="H40" s="48" t="s">
        <v>24</v>
      </c>
      <c r="I40" s="48" t="s">
        <v>22</v>
      </c>
      <c r="J40" s="48" t="s">
        <v>1132</v>
      </c>
      <c r="K40" s="48" t="s">
        <v>26</v>
      </c>
      <c r="L40" s="50">
        <v>1000000</v>
      </c>
      <c r="M40" s="50">
        <v>1</v>
      </c>
      <c r="N40" s="50">
        <v>1000000</v>
      </c>
      <c r="O40" s="421">
        <v>45641</v>
      </c>
    </row>
    <row r="41" spans="1:15" ht="15.75" x14ac:dyDescent="0.25">
      <c r="A41" s="48" t="s">
        <v>333</v>
      </c>
      <c r="B41" s="421">
        <v>45579</v>
      </c>
      <c r="C41" s="48" t="s">
        <v>916</v>
      </c>
      <c r="D41" s="48" t="s">
        <v>858</v>
      </c>
      <c r="E41" s="48" t="s">
        <v>95</v>
      </c>
      <c r="F41" s="48" t="s">
        <v>27</v>
      </c>
      <c r="G41" s="48" t="s">
        <v>270</v>
      </c>
      <c r="H41" s="48" t="s">
        <v>24</v>
      </c>
      <c r="I41" s="48" t="s">
        <v>22</v>
      </c>
      <c r="J41" s="48" t="s">
        <v>1132</v>
      </c>
      <c r="K41" s="48" t="s">
        <v>26</v>
      </c>
      <c r="L41" s="50">
        <v>580000</v>
      </c>
      <c r="M41" s="50">
        <v>1</v>
      </c>
      <c r="N41" s="50">
        <v>580000</v>
      </c>
      <c r="O41" s="421">
        <v>45617</v>
      </c>
    </row>
    <row r="42" spans="1:15" ht="15.75" x14ac:dyDescent="0.25">
      <c r="A42" s="48" t="s">
        <v>345</v>
      </c>
      <c r="B42" s="421">
        <v>45580</v>
      </c>
      <c r="C42" s="48" t="s">
        <v>916</v>
      </c>
      <c r="D42" s="48" t="s">
        <v>858</v>
      </c>
      <c r="E42" s="48" t="s">
        <v>95</v>
      </c>
      <c r="F42" s="48" t="s">
        <v>27</v>
      </c>
      <c r="G42" s="48" t="s">
        <v>346</v>
      </c>
      <c r="H42" s="48" t="s">
        <v>24</v>
      </c>
      <c r="I42" s="48" t="s">
        <v>22</v>
      </c>
      <c r="J42" s="48" t="s">
        <v>1132</v>
      </c>
      <c r="K42" s="48" t="s">
        <v>26</v>
      </c>
      <c r="L42" s="50">
        <v>700000</v>
      </c>
      <c r="M42" s="50">
        <v>1</v>
      </c>
      <c r="N42" s="50">
        <v>700000</v>
      </c>
      <c r="O42" s="421">
        <v>45631</v>
      </c>
    </row>
    <row r="43" spans="1:15" ht="15.75" x14ac:dyDescent="0.25">
      <c r="A43" s="48" t="s">
        <v>336</v>
      </c>
      <c r="B43" s="421">
        <v>45581</v>
      </c>
      <c r="C43" s="48" t="s">
        <v>916</v>
      </c>
      <c r="D43" s="48" t="s">
        <v>858</v>
      </c>
      <c r="E43" s="48" t="s">
        <v>95</v>
      </c>
      <c r="F43" s="48" t="s">
        <v>27</v>
      </c>
      <c r="G43" s="48" t="s">
        <v>263</v>
      </c>
      <c r="H43" s="48" t="s">
        <v>24</v>
      </c>
      <c r="I43" s="48" t="s">
        <v>22</v>
      </c>
      <c r="J43" s="48" t="s">
        <v>1132</v>
      </c>
      <c r="K43" s="48" t="s">
        <v>26</v>
      </c>
      <c r="L43" s="50">
        <v>416865.1</v>
      </c>
      <c r="M43" s="50">
        <v>1</v>
      </c>
      <c r="N43" s="50">
        <v>416865.1</v>
      </c>
      <c r="O43" s="421">
        <v>45655</v>
      </c>
    </row>
    <row r="44" spans="1:15" ht="15.75" x14ac:dyDescent="0.25">
      <c r="A44" s="48" t="s">
        <v>388</v>
      </c>
      <c r="B44" s="421">
        <v>45581</v>
      </c>
      <c r="C44" s="48" t="s">
        <v>916</v>
      </c>
      <c r="D44" s="48" t="s">
        <v>856</v>
      </c>
      <c r="E44" s="48" t="s">
        <v>95</v>
      </c>
      <c r="F44" s="48" t="s">
        <v>27</v>
      </c>
      <c r="G44" s="48" t="s">
        <v>338</v>
      </c>
      <c r="H44" s="48" t="s">
        <v>24</v>
      </c>
      <c r="I44" s="48" t="s">
        <v>22</v>
      </c>
      <c r="J44" s="48" t="s">
        <v>1132</v>
      </c>
      <c r="K44" s="48" t="s">
        <v>26</v>
      </c>
      <c r="L44" s="50">
        <v>1508807.25</v>
      </c>
      <c r="M44" s="50">
        <v>1</v>
      </c>
      <c r="N44" s="50">
        <v>1508807.25</v>
      </c>
      <c r="O44" s="421">
        <v>45662</v>
      </c>
    </row>
    <row r="45" spans="1:15" ht="15.75" x14ac:dyDescent="0.25">
      <c r="A45" s="48" t="s">
        <v>340</v>
      </c>
      <c r="B45" s="421">
        <v>45581</v>
      </c>
      <c r="C45" s="48" t="s">
        <v>916</v>
      </c>
      <c r="D45" s="48" t="s">
        <v>856</v>
      </c>
      <c r="E45" s="48" t="s">
        <v>95</v>
      </c>
      <c r="F45" s="48" t="s">
        <v>27</v>
      </c>
      <c r="G45" s="48" t="s">
        <v>341</v>
      </c>
      <c r="H45" s="48" t="s">
        <v>24</v>
      </c>
      <c r="I45" s="48" t="s">
        <v>22</v>
      </c>
      <c r="J45" s="48" t="s">
        <v>1132</v>
      </c>
      <c r="K45" s="48" t="s">
        <v>26</v>
      </c>
      <c r="L45" s="50">
        <v>1261625</v>
      </c>
      <c r="M45" s="50">
        <v>1</v>
      </c>
      <c r="N45" s="50">
        <v>1261625</v>
      </c>
      <c r="O45" s="421">
        <v>45652</v>
      </c>
    </row>
    <row r="46" spans="1:15" ht="15.75" x14ac:dyDescent="0.25">
      <c r="A46" s="48" t="s">
        <v>385</v>
      </c>
      <c r="B46" s="421">
        <v>45582</v>
      </c>
      <c r="C46" s="48" t="s">
        <v>916</v>
      </c>
      <c r="D46" s="48" t="s">
        <v>856</v>
      </c>
      <c r="E46" s="48" t="s">
        <v>95</v>
      </c>
      <c r="F46" s="48" t="s">
        <v>27</v>
      </c>
      <c r="G46" s="48" t="s">
        <v>386</v>
      </c>
      <c r="H46" s="48" t="s">
        <v>24</v>
      </c>
      <c r="I46" s="48" t="s">
        <v>22</v>
      </c>
      <c r="J46" s="48" t="s">
        <v>1132</v>
      </c>
      <c r="K46" s="48" t="s">
        <v>26</v>
      </c>
      <c r="L46" s="50">
        <v>1083501.1399999999</v>
      </c>
      <c r="M46" s="50">
        <v>1</v>
      </c>
      <c r="N46" s="50">
        <v>1083501.1399999999</v>
      </c>
      <c r="O46" s="421">
        <v>45650</v>
      </c>
    </row>
    <row r="47" spans="1:15" ht="15.75" x14ac:dyDescent="0.25">
      <c r="A47" s="48" t="s">
        <v>357</v>
      </c>
      <c r="B47" s="421">
        <v>45582</v>
      </c>
      <c r="C47" s="48" t="s">
        <v>916</v>
      </c>
      <c r="D47" s="48" t="s">
        <v>856</v>
      </c>
      <c r="E47" s="48" t="s">
        <v>95</v>
      </c>
      <c r="F47" s="48" t="s">
        <v>27</v>
      </c>
      <c r="G47" s="48" t="s">
        <v>358</v>
      </c>
      <c r="H47" s="48" t="s">
        <v>24</v>
      </c>
      <c r="I47" s="48" t="s">
        <v>22</v>
      </c>
      <c r="J47" s="48" t="s">
        <v>1132</v>
      </c>
      <c r="K47" s="48" t="s">
        <v>26</v>
      </c>
      <c r="L47" s="50">
        <v>2000000</v>
      </c>
      <c r="M47" s="50">
        <v>1</v>
      </c>
      <c r="N47" s="50">
        <v>2000000</v>
      </c>
      <c r="O47" s="421">
        <v>45662</v>
      </c>
    </row>
    <row r="48" spans="1:15" ht="15.75" x14ac:dyDescent="0.25">
      <c r="A48" s="48" t="s">
        <v>383</v>
      </c>
      <c r="B48" s="421">
        <v>45585</v>
      </c>
      <c r="C48" s="48" t="s">
        <v>916</v>
      </c>
      <c r="D48" s="48" t="s">
        <v>856</v>
      </c>
      <c r="E48" s="48" t="s">
        <v>95</v>
      </c>
      <c r="F48" s="48" t="s">
        <v>27</v>
      </c>
      <c r="G48" s="48" t="s">
        <v>355</v>
      </c>
      <c r="H48" s="48" t="s">
        <v>24</v>
      </c>
      <c r="I48" s="48" t="s">
        <v>22</v>
      </c>
      <c r="J48" s="48" t="s">
        <v>1132</v>
      </c>
      <c r="K48" s="48" t="s">
        <v>26</v>
      </c>
      <c r="L48" s="50">
        <v>2000000</v>
      </c>
      <c r="M48" s="50">
        <v>1</v>
      </c>
      <c r="N48" s="50">
        <v>2000000</v>
      </c>
      <c r="O48" s="421">
        <v>45642</v>
      </c>
    </row>
    <row r="49" spans="1:15" ht="15.75" x14ac:dyDescent="0.25">
      <c r="A49" s="48" t="s">
        <v>392</v>
      </c>
      <c r="B49" s="421">
        <v>45585</v>
      </c>
      <c r="C49" s="48" t="s">
        <v>916</v>
      </c>
      <c r="D49" s="48" t="s">
        <v>858</v>
      </c>
      <c r="E49" s="48" t="s">
        <v>95</v>
      </c>
      <c r="F49" s="48" t="s">
        <v>27</v>
      </c>
      <c r="G49" s="48" t="s">
        <v>393</v>
      </c>
      <c r="H49" s="48" t="s">
        <v>24</v>
      </c>
      <c r="I49" s="48" t="s">
        <v>22</v>
      </c>
      <c r="J49" s="48" t="s">
        <v>1132</v>
      </c>
      <c r="K49" s="48" t="s">
        <v>26</v>
      </c>
      <c r="L49" s="50">
        <v>670471.5</v>
      </c>
      <c r="M49" s="50">
        <v>1</v>
      </c>
      <c r="N49" s="50">
        <v>670471.5</v>
      </c>
      <c r="O49" s="421">
        <v>45643</v>
      </c>
    </row>
    <row r="50" spans="1:15" ht="15.75" x14ac:dyDescent="0.25">
      <c r="A50" s="48" t="s">
        <v>359</v>
      </c>
      <c r="B50" s="421">
        <v>45586</v>
      </c>
      <c r="C50" s="48" t="s">
        <v>916</v>
      </c>
      <c r="D50" s="48" t="s">
        <v>856</v>
      </c>
      <c r="E50" s="48" t="s">
        <v>95</v>
      </c>
      <c r="F50" s="48" t="s">
        <v>27</v>
      </c>
      <c r="G50" s="48" t="s">
        <v>360</v>
      </c>
      <c r="H50" s="48" t="s">
        <v>24</v>
      </c>
      <c r="I50" s="48" t="s">
        <v>22</v>
      </c>
      <c r="J50" s="48" t="s">
        <v>1132</v>
      </c>
      <c r="K50" s="48" t="s">
        <v>26</v>
      </c>
      <c r="L50" s="50">
        <v>507987.99</v>
      </c>
      <c r="M50" s="50">
        <v>1</v>
      </c>
      <c r="N50" s="50">
        <v>507987.99</v>
      </c>
      <c r="O50" s="421">
        <v>45635</v>
      </c>
    </row>
    <row r="51" spans="1:15" ht="15.75" x14ac:dyDescent="0.25">
      <c r="A51" s="48" t="s">
        <v>390</v>
      </c>
      <c r="B51" s="421">
        <v>45586</v>
      </c>
      <c r="C51" s="48" t="s">
        <v>916</v>
      </c>
      <c r="D51" s="48" t="s">
        <v>858</v>
      </c>
      <c r="E51" s="48" t="s">
        <v>95</v>
      </c>
      <c r="F51" s="48" t="s">
        <v>27</v>
      </c>
      <c r="G51" s="48" t="s">
        <v>391</v>
      </c>
      <c r="H51" s="48" t="s">
        <v>24</v>
      </c>
      <c r="I51" s="48" t="s">
        <v>22</v>
      </c>
      <c r="J51" s="48" t="s">
        <v>1132</v>
      </c>
      <c r="K51" s="48" t="s">
        <v>26</v>
      </c>
      <c r="L51" s="50">
        <v>769558.85</v>
      </c>
      <c r="M51" s="50">
        <v>1</v>
      </c>
      <c r="N51" s="50">
        <v>769558.85</v>
      </c>
      <c r="O51" s="421">
        <v>45650</v>
      </c>
    </row>
    <row r="52" spans="1:15" ht="15.75" x14ac:dyDescent="0.25">
      <c r="A52" s="48" t="s">
        <v>401</v>
      </c>
      <c r="B52" s="421">
        <v>45587</v>
      </c>
      <c r="C52" s="48" t="s">
        <v>916</v>
      </c>
      <c r="D52" s="48" t="s">
        <v>856</v>
      </c>
      <c r="E52" s="48" t="s">
        <v>95</v>
      </c>
      <c r="F52" s="48" t="s">
        <v>27</v>
      </c>
      <c r="G52" s="48" t="s">
        <v>402</v>
      </c>
      <c r="H52" s="48" t="s">
        <v>24</v>
      </c>
      <c r="I52" s="48" t="s">
        <v>22</v>
      </c>
      <c r="J52" s="48" t="s">
        <v>1132</v>
      </c>
      <c r="K52" s="48" t="s">
        <v>26</v>
      </c>
      <c r="L52" s="50">
        <v>405299.47</v>
      </c>
      <c r="M52" s="50">
        <v>1</v>
      </c>
      <c r="N52" s="50">
        <v>405299.47</v>
      </c>
      <c r="O52" s="421">
        <v>45643</v>
      </c>
    </row>
    <row r="53" spans="1:15" ht="15.75" x14ac:dyDescent="0.25">
      <c r="A53" s="48" t="s">
        <v>384</v>
      </c>
      <c r="B53" s="421">
        <v>45586</v>
      </c>
      <c r="C53" s="48" t="s">
        <v>916</v>
      </c>
      <c r="D53" s="48" t="s">
        <v>858</v>
      </c>
      <c r="E53" s="48" t="s">
        <v>95</v>
      </c>
      <c r="F53" s="48" t="s">
        <v>27</v>
      </c>
      <c r="G53" s="48" t="s">
        <v>109</v>
      </c>
      <c r="H53" s="48" t="s">
        <v>24</v>
      </c>
      <c r="I53" s="48" t="s">
        <v>22</v>
      </c>
      <c r="J53" s="48" t="s">
        <v>1132</v>
      </c>
      <c r="K53" s="48" t="s">
        <v>26</v>
      </c>
      <c r="L53" s="50">
        <v>1500000</v>
      </c>
      <c r="M53" s="50">
        <v>1</v>
      </c>
      <c r="N53" s="50">
        <v>1500000</v>
      </c>
      <c r="O53" s="421">
        <v>45643</v>
      </c>
    </row>
    <row r="54" spans="1:15" ht="15.75" x14ac:dyDescent="0.25">
      <c r="A54" s="48" t="s">
        <v>389</v>
      </c>
      <c r="B54" s="421">
        <v>45586</v>
      </c>
      <c r="C54" s="48" t="s">
        <v>916</v>
      </c>
      <c r="D54" s="48" t="s">
        <v>858</v>
      </c>
      <c r="E54" s="48" t="s">
        <v>95</v>
      </c>
      <c r="F54" s="48" t="s">
        <v>27</v>
      </c>
      <c r="G54" s="48" t="s">
        <v>270</v>
      </c>
      <c r="H54" s="48" t="s">
        <v>24</v>
      </c>
      <c r="I54" s="48" t="s">
        <v>22</v>
      </c>
      <c r="J54" s="48" t="s">
        <v>1132</v>
      </c>
      <c r="K54" s="48" t="s">
        <v>26</v>
      </c>
      <c r="L54" s="50">
        <v>1050000</v>
      </c>
      <c r="M54" s="50">
        <v>1</v>
      </c>
      <c r="N54" s="50">
        <v>1050000</v>
      </c>
      <c r="O54" s="421">
        <v>45642</v>
      </c>
    </row>
    <row r="55" spans="1:15" ht="15.75" x14ac:dyDescent="0.25">
      <c r="A55" s="48" t="s">
        <v>352</v>
      </c>
      <c r="B55" s="421">
        <v>45586</v>
      </c>
      <c r="C55" s="48" t="s">
        <v>916</v>
      </c>
      <c r="D55" s="48" t="s">
        <v>858</v>
      </c>
      <c r="E55" s="48" t="s">
        <v>95</v>
      </c>
      <c r="F55" s="48" t="s">
        <v>27</v>
      </c>
      <c r="G55" s="48" t="s">
        <v>353</v>
      </c>
      <c r="H55" s="48" t="s">
        <v>24</v>
      </c>
      <c r="I55" s="48" t="s">
        <v>22</v>
      </c>
      <c r="J55" s="48" t="s">
        <v>1132</v>
      </c>
      <c r="K55" s="48" t="s">
        <v>26</v>
      </c>
      <c r="L55" s="50">
        <v>375576.84</v>
      </c>
      <c r="M55" s="50">
        <v>1</v>
      </c>
      <c r="N55" s="50">
        <v>375576.84</v>
      </c>
      <c r="O55" s="421">
        <v>45627</v>
      </c>
    </row>
    <row r="56" spans="1:15" ht="15.75" x14ac:dyDescent="0.25">
      <c r="A56" s="48" t="s">
        <v>342</v>
      </c>
      <c r="B56" s="421">
        <v>45596</v>
      </c>
      <c r="C56" s="48" t="s">
        <v>916</v>
      </c>
      <c r="D56" s="48" t="s">
        <v>856</v>
      </c>
      <c r="E56" s="48" t="s">
        <v>95</v>
      </c>
      <c r="F56" s="48" t="s">
        <v>27</v>
      </c>
      <c r="G56" s="48" t="s">
        <v>177</v>
      </c>
      <c r="H56" s="48" t="s">
        <v>24</v>
      </c>
      <c r="I56" s="48" t="s">
        <v>22</v>
      </c>
      <c r="J56" s="48" t="s">
        <v>1132</v>
      </c>
      <c r="K56" s="48" t="s">
        <v>26</v>
      </c>
      <c r="L56" s="50">
        <v>1795147.53</v>
      </c>
      <c r="M56" s="50">
        <v>1</v>
      </c>
      <c r="N56" s="50">
        <v>1795147.53</v>
      </c>
      <c r="O56" s="421">
        <v>45650</v>
      </c>
    </row>
    <row r="57" spans="1:15" ht="15.75" x14ac:dyDescent="0.25">
      <c r="A57" s="48" t="s">
        <v>339</v>
      </c>
      <c r="B57" s="421">
        <v>45599</v>
      </c>
      <c r="C57" s="48" t="s">
        <v>916</v>
      </c>
      <c r="D57" s="48" t="s">
        <v>858</v>
      </c>
      <c r="E57" s="48" t="s">
        <v>95</v>
      </c>
      <c r="F57" s="48" t="s">
        <v>27</v>
      </c>
      <c r="G57" s="48" t="s">
        <v>276</v>
      </c>
      <c r="H57" s="48" t="s">
        <v>24</v>
      </c>
      <c r="I57" s="48" t="s">
        <v>22</v>
      </c>
      <c r="J57" s="48" t="s">
        <v>1132</v>
      </c>
      <c r="K57" s="48" t="s">
        <v>26</v>
      </c>
      <c r="L57" s="50">
        <v>1749851.86</v>
      </c>
      <c r="M57" s="50">
        <v>1</v>
      </c>
      <c r="N57" s="50">
        <v>1749851.86</v>
      </c>
      <c r="O57" s="421">
        <v>45620</v>
      </c>
    </row>
    <row r="58" spans="1:15" ht="15.75" x14ac:dyDescent="0.25">
      <c r="A58" s="48" t="s">
        <v>403</v>
      </c>
      <c r="B58" s="421">
        <v>45600</v>
      </c>
      <c r="C58" s="48" t="s">
        <v>916</v>
      </c>
      <c r="D58" s="48" t="s">
        <v>856</v>
      </c>
      <c r="E58" s="48" t="s">
        <v>95</v>
      </c>
      <c r="F58" s="48" t="s">
        <v>27</v>
      </c>
      <c r="G58" s="48" t="s">
        <v>404</v>
      </c>
      <c r="H58" s="48" t="s">
        <v>24</v>
      </c>
      <c r="I58" s="48" t="s">
        <v>22</v>
      </c>
      <c r="J58" s="48" t="s">
        <v>1132</v>
      </c>
      <c r="K58" s="48" t="s">
        <v>26</v>
      </c>
      <c r="L58" s="50">
        <v>500000</v>
      </c>
      <c r="M58" s="50">
        <v>1</v>
      </c>
      <c r="N58" s="50">
        <v>500000</v>
      </c>
      <c r="O58" s="421">
        <v>45642</v>
      </c>
    </row>
    <row r="59" spans="1:15" ht="15.75" x14ac:dyDescent="0.25">
      <c r="A59" s="48" t="s">
        <v>330</v>
      </c>
      <c r="B59" s="421">
        <v>45606</v>
      </c>
      <c r="C59" s="48" t="s">
        <v>916</v>
      </c>
      <c r="D59" s="48" t="s">
        <v>858</v>
      </c>
      <c r="E59" s="48" t="s">
        <v>95</v>
      </c>
      <c r="F59" s="48" t="s">
        <v>27</v>
      </c>
      <c r="G59" s="48" t="s">
        <v>201</v>
      </c>
      <c r="H59" s="48" t="s">
        <v>24</v>
      </c>
      <c r="I59" s="48" t="s">
        <v>22</v>
      </c>
      <c r="J59" s="48" t="s">
        <v>1132</v>
      </c>
      <c r="K59" s="48" t="s">
        <v>26</v>
      </c>
      <c r="L59" s="50">
        <v>457318.2</v>
      </c>
      <c r="M59" s="50">
        <v>1</v>
      </c>
      <c r="N59" s="50">
        <v>457318.2</v>
      </c>
      <c r="O59" s="421">
        <v>45634</v>
      </c>
    </row>
    <row r="60" spans="1:15" ht="15.75" x14ac:dyDescent="0.25">
      <c r="A60" s="48" t="s">
        <v>396</v>
      </c>
      <c r="B60" s="421">
        <v>45606</v>
      </c>
      <c r="C60" s="48" t="s">
        <v>916</v>
      </c>
      <c r="D60" s="48" t="s">
        <v>856</v>
      </c>
      <c r="E60" s="48" t="s">
        <v>95</v>
      </c>
      <c r="F60" s="48" t="s">
        <v>27</v>
      </c>
      <c r="G60" s="48" t="s">
        <v>397</v>
      </c>
      <c r="H60" s="48" t="s">
        <v>24</v>
      </c>
      <c r="I60" s="48" t="s">
        <v>22</v>
      </c>
      <c r="J60" s="48" t="s">
        <v>1132</v>
      </c>
      <c r="K60" s="48" t="s">
        <v>26</v>
      </c>
      <c r="L60" s="50">
        <v>897119.6</v>
      </c>
      <c r="M60" s="50">
        <v>1</v>
      </c>
      <c r="N60" s="50">
        <v>897119.6</v>
      </c>
      <c r="O60" s="421">
        <v>45657</v>
      </c>
    </row>
    <row r="61" spans="1:15" ht="15.75" x14ac:dyDescent="0.25">
      <c r="A61" s="48" t="s">
        <v>348</v>
      </c>
      <c r="B61" s="421">
        <v>45601</v>
      </c>
      <c r="C61" s="48" t="s">
        <v>916</v>
      </c>
      <c r="D61" s="48" t="s">
        <v>858</v>
      </c>
      <c r="E61" s="48" t="s">
        <v>95</v>
      </c>
      <c r="F61" s="48" t="s">
        <v>27</v>
      </c>
      <c r="G61" s="48" t="s">
        <v>349</v>
      </c>
      <c r="H61" s="48" t="s">
        <v>24</v>
      </c>
      <c r="I61" s="48" t="s">
        <v>22</v>
      </c>
      <c r="J61" s="48" t="s">
        <v>1132</v>
      </c>
      <c r="K61" s="48" t="s">
        <v>26</v>
      </c>
      <c r="L61" s="50">
        <v>593580.02</v>
      </c>
      <c r="M61" s="50">
        <v>1</v>
      </c>
      <c r="N61" s="50">
        <v>593580.02</v>
      </c>
      <c r="O61" s="421">
        <v>45631</v>
      </c>
    </row>
    <row r="62" spans="1:15" ht="15.75" x14ac:dyDescent="0.25">
      <c r="A62" s="48" t="s">
        <v>356</v>
      </c>
      <c r="B62" s="421">
        <v>45608</v>
      </c>
      <c r="C62" s="48" t="s">
        <v>916</v>
      </c>
      <c r="D62" s="48" t="s">
        <v>858</v>
      </c>
      <c r="E62" s="48" t="s">
        <v>95</v>
      </c>
      <c r="F62" s="48" t="s">
        <v>27</v>
      </c>
      <c r="G62" s="48" t="s">
        <v>119</v>
      </c>
      <c r="H62" s="48" t="s">
        <v>24</v>
      </c>
      <c r="I62" s="48" t="s">
        <v>22</v>
      </c>
      <c r="J62" s="48" t="s">
        <v>1132</v>
      </c>
      <c r="K62" s="48" t="s">
        <v>26</v>
      </c>
      <c r="L62" s="50">
        <v>3500000</v>
      </c>
      <c r="M62" s="50">
        <v>1</v>
      </c>
      <c r="N62" s="50">
        <v>3500000</v>
      </c>
      <c r="O62" s="421">
        <v>45623</v>
      </c>
    </row>
    <row r="63" spans="1:15" ht="15.75" x14ac:dyDescent="0.25">
      <c r="A63" s="48" t="s">
        <v>336</v>
      </c>
      <c r="B63" s="421">
        <v>45609</v>
      </c>
      <c r="C63" s="48" t="s">
        <v>918</v>
      </c>
      <c r="D63" s="48" t="s">
        <v>858</v>
      </c>
      <c r="E63" s="48" t="s">
        <v>95</v>
      </c>
      <c r="F63" s="48" t="s">
        <v>27</v>
      </c>
      <c r="G63" s="48" t="s">
        <v>263</v>
      </c>
      <c r="H63" s="48" t="s">
        <v>24</v>
      </c>
      <c r="I63" s="48" t="s">
        <v>22</v>
      </c>
      <c r="J63" s="48" t="s">
        <v>1132</v>
      </c>
      <c r="K63" s="48" t="s">
        <v>26</v>
      </c>
      <c r="L63" s="50">
        <v>2144034.7000000002</v>
      </c>
      <c r="M63" s="50">
        <v>1</v>
      </c>
      <c r="N63" s="50">
        <v>2144034.7000000002</v>
      </c>
      <c r="O63" s="421">
        <v>45676</v>
      </c>
    </row>
    <row r="64" spans="1:15" ht="15.75" x14ac:dyDescent="0.25">
      <c r="A64" s="48" t="s">
        <v>394</v>
      </c>
      <c r="B64" s="421">
        <v>45612</v>
      </c>
      <c r="C64" s="48" t="s">
        <v>916</v>
      </c>
      <c r="D64" s="48" t="s">
        <v>858</v>
      </c>
      <c r="E64" s="48" t="s">
        <v>95</v>
      </c>
      <c r="F64" s="48" t="s">
        <v>27</v>
      </c>
      <c r="G64" s="48" t="s">
        <v>395</v>
      </c>
      <c r="H64" s="48" t="s">
        <v>24</v>
      </c>
      <c r="I64" s="48" t="s">
        <v>22</v>
      </c>
      <c r="J64" s="48" t="s">
        <v>1132</v>
      </c>
      <c r="K64" s="48" t="s">
        <v>26</v>
      </c>
      <c r="L64" s="50">
        <v>686893.71</v>
      </c>
      <c r="M64" s="50">
        <v>1</v>
      </c>
      <c r="N64" s="50">
        <v>686893.71</v>
      </c>
      <c r="O64" s="421">
        <v>45643</v>
      </c>
    </row>
    <row r="65" spans="1:15" ht="15.75" x14ac:dyDescent="0.25">
      <c r="A65" s="48" t="s">
        <v>436</v>
      </c>
      <c r="B65" s="421">
        <v>45614</v>
      </c>
      <c r="C65" s="48" t="s">
        <v>916</v>
      </c>
      <c r="D65" s="48" t="s">
        <v>856</v>
      </c>
      <c r="E65" s="48" t="s">
        <v>95</v>
      </c>
      <c r="F65" s="48" t="s">
        <v>27</v>
      </c>
      <c r="G65" s="48" t="s">
        <v>437</v>
      </c>
      <c r="H65" s="48" t="s">
        <v>24</v>
      </c>
      <c r="I65" s="48" t="s">
        <v>22</v>
      </c>
      <c r="J65" s="48" t="s">
        <v>1132</v>
      </c>
      <c r="K65" s="48" t="s">
        <v>26</v>
      </c>
      <c r="L65" s="50">
        <v>1000000</v>
      </c>
      <c r="M65" s="50">
        <v>1</v>
      </c>
      <c r="N65" s="50">
        <v>1000000</v>
      </c>
      <c r="O65" s="421">
        <v>45679</v>
      </c>
    </row>
    <row r="66" spans="1:15" ht="15.75" x14ac:dyDescent="0.25">
      <c r="A66" s="48" t="s">
        <v>382</v>
      </c>
      <c r="B66" s="421">
        <v>45614</v>
      </c>
      <c r="C66" s="48" t="s">
        <v>916</v>
      </c>
      <c r="D66" s="48" t="s">
        <v>856</v>
      </c>
      <c r="E66" s="48" t="s">
        <v>95</v>
      </c>
      <c r="F66" s="48" t="s">
        <v>27</v>
      </c>
      <c r="G66" s="48" t="s">
        <v>263</v>
      </c>
      <c r="H66" s="48" t="s">
        <v>24</v>
      </c>
      <c r="I66" s="48" t="s">
        <v>22</v>
      </c>
      <c r="J66" s="48" t="s">
        <v>1132</v>
      </c>
      <c r="K66" s="48" t="s">
        <v>26</v>
      </c>
      <c r="L66" s="50">
        <v>2009087.66</v>
      </c>
      <c r="M66" s="50">
        <v>1</v>
      </c>
      <c r="N66" s="50">
        <v>2009087.66</v>
      </c>
      <c r="O66" s="421">
        <v>45676</v>
      </c>
    </row>
    <row r="67" spans="1:15" ht="15.75" x14ac:dyDescent="0.25">
      <c r="A67" s="48" t="s">
        <v>380</v>
      </c>
      <c r="B67" s="421">
        <v>45606</v>
      </c>
      <c r="C67" s="48" t="s">
        <v>916</v>
      </c>
      <c r="D67" s="48" t="s">
        <v>856</v>
      </c>
      <c r="E67" s="48" t="s">
        <v>95</v>
      </c>
      <c r="F67" s="48" t="s">
        <v>27</v>
      </c>
      <c r="G67" s="48" t="s">
        <v>381</v>
      </c>
      <c r="H67" s="48" t="s">
        <v>24</v>
      </c>
      <c r="I67" s="48" t="s">
        <v>22</v>
      </c>
      <c r="J67" s="48" t="s">
        <v>1132</v>
      </c>
      <c r="K67" s="48" t="s">
        <v>26</v>
      </c>
      <c r="L67" s="50">
        <v>500000</v>
      </c>
      <c r="M67" s="50">
        <v>1</v>
      </c>
      <c r="N67" s="50">
        <v>500000</v>
      </c>
      <c r="O67" s="421">
        <v>45648</v>
      </c>
    </row>
    <row r="68" spans="1:15" ht="15.75" x14ac:dyDescent="0.25">
      <c r="A68" s="48" t="s">
        <v>440</v>
      </c>
      <c r="B68" s="421">
        <v>45627</v>
      </c>
      <c r="C68" s="48" t="s">
        <v>916</v>
      </c>
      <c r="D68" s="48" t="s">
        <v>856</v>
      </c>
      <c r="E68" s="48" t="s">
        <v>95</v>
      </c>
      <c r="F68" s="48" t="s">
        <v>27</v>
      </c>
      <c r="G68" s="48" t="s">
        <v>442</v>
      </c>
      <c r="H68" s="48" t="s">
        <v>24</v>
      </c>
      <c r="I68" s="48" t="s">
        <v>22</v>
      </c>
      <c r="J68" s="48" t="s">
        <v>1132</v>
      </c>
      <c r="K68" s="48" t="s">
        <v>26</v>
      </c>
      <c r="L68" s="50">
        <v>209264.52</v>
      </c>
      <c r="M68" s="50">
        <v>1</v>
      </c>
      <c r="N68" s="50">
        <v>209264.52</v>
      </c>
      <c r="O68" s="421">
        <v>45672</v>
      </c>
    </row>
    <row r="69" spans="1:15" ht="15.75" x14ac:dyDescent="0.25">
      <c r="A69" s="48" t="s">
        <v>438</v>
      </c>
      <c r="B69" s="421">
        <v>45629</v>
      </c>
      <c r="C69" s="48" t="s">
        <v>916</v>
      </c>
      <c r="D69" s="48" t="s">
        <v>858</v>
      </c>
      <c r="E69" s="48" t="s">
        <v>95</v>
      </c>
      <c r="F69" s="48" t="s">
        <v>27</v>
      </c>
      <c r="G69" s="48" t="s">
        <v>439</v>
      </c>
      <c r="H69" s="48" t="s">
        <v>24</v>
      </c>
      <c r="I69" s="48" t="s">
        <v>22</v>
      </c>
      <c r="J69" s="48" t="s">
        <v>1132</v>
      </c>
      <c r="K69" s="48" t="s">
        <v>26</v>
      </c>
      <c r="L69" s="50">
        <v>1000000</v>
      </c>
      <c r="M69" s="50">
        <v>1</v>
      </c>
      <c r="N69" s="50">
        <v>1000000</v>
      </c>
      <c r="O69" s="421">
        <v>45683</v>
      </c>
    </row>
    <row r="70" spans="1:15" ht="15.75" x14ac:dyDescent="0.25">
      <c r="A70" s="48" t="s">
        <v>347</v>
      </c>
      <c r="B70" s="421">
        <v>45629</v>
      </c>
      <c r="C70" s="48" t="s">
        <v>916</v>
      </c>
      <c r="D70" s="48" t="s">
        <v>856</v>
      </c>
      <c r="E70" s="48" t="s">
        <v>95</v>
      </c>
      <c r="F70" s="48" t="s">
        <v>27</v>
      </c>
      <c r="G70" s="48" t="s">
        <v>177</v>
      </c>
      <c r="H70" s="48" t="s">
        <v>24</v>
      </c>
      <c r="I70" s="48" t="s">
        <v>22</v>
      </c>
      <c r="J70" s="48" t="s">
        <v>1132</v>
      </c>
      <c r="K70" s="48" t="s">
        <v>26</v>
      </c>
      <c r="L70" s="50">
        <v>1650702.09</v>
      </c>
      <c r="M70" s="50">
        <v>1</v>
      </c>
      <c r="N70" s="50">
        <v>1650702.09</v>
      </c>
      <c r="O70" s="421">
        <v>45650</v>
      </c>
    </row>
    <row r="71" spans="1:15" ht="15.75" x14ac:dyDescent="0.25">
      <c r="A71" s="48" t="s">
        <v>434</v>
      </c>
      <c r="B71" s="421">
        <v>45629</v>
      </c>
      <c r="C71" s="48" t="s">
        <v>916</v>
      </c>
      <c r="D71" s="48" t="s">
        <v>858</v>
      </c>
      <c r="E71" s="48" t="s">
        <v>95</v>
      </c>
      <c r="F71" s="48" t="s">
        <v>27</v>
      </c>
      <c r="G71" s="48" t="s">
        <v>435</v>
      </c>
      <c r="H71" s="48" t="s">
        <v>24</v>
      </c>
      <c r="I71" s="48" t="s">
        <v>22</v>
      </c>
      <c r="J71" s="48" t="s">
        <v>1132</v>
      </c>
      <c r="K71" s="48" t="s">
        <v>26</v>
      </c>
      <c r="L71" s="50">
        <v>1500000</v>
      </c>
      <c r="M71" s="50">
        <v>1</v>
      </c>
      <c r="N71" s="50">
        <v>1500000</v>
      </c>
      <c r="O71" s="421">
        <v>45690</v>
      </c>
    </row>
    <row r="72" spans="1:15" ht="15.75" x14ac:dyDescent="0.25">
      <c r="A72" s="48" t="s">
        <v>330</v>
      </c>
      <c r="B72" s="421">
        <v>45629</v>
      </c>
      <c r="C72" s="48" t="s">
        <v>918</v>
      </c>
      <c r="D72" s="48" t="s">
        <v>858</v>
      </c>
      <c r="E72" s="48" t="s">
        <v>95</v>
      </c>
      <c r="F72" s="48" t="s">
        <v>27</v>
      </c>
      <c r="G72" s="48" t="s">
        <v>201</v>
      </c>
      <c r="H72" s="48" t="s">
        <v>24</v>
      </c>
      <c r="I72" s="48" t="s">
        <v>22</v>
      </c>
      <c r="J72" s="48" t="s">
        <v>1132</v>
      </c>
      <c r="K72" s="48" t="s">
        <v>26</v>
      </c>
      <c r="L72" s="50">
        <v>42681.8</v>
      </c>
      <c r="M72" s="50">
        <v>1</v>
      </c>
      <c r="N72" s="50">
        <v>42681.8</v>
      </c>
      <c r="O72" s="421">
        <v>45691</v>
      </c>
    </row>
    <row r="73" spans="1:15" ht="15.75" x14ac:dyDescent="0.25">
      <c r="A73" s="48" t="s">
        <v>426</v>
      </c>
      <c r="B73" s="421">
        <v>45631</v>
      </c>
      <c r="C73" s="48" t="s">
        <v>916</v>
      </c>
      <c r="D73" s="48" t="s">
        <v>856</v>
      </c>
      <c r="E73" s="48" t="s">
        <v>95</v>
      </c>
      <c r="F73" s="48" t="s">
        <v>27</v>
      </c>
      <c r="G73" s="48" t="s">
        <v>427</v>
      </c>
      <c r="H73" s="48" t="s">
        <v>24</v>
      </c>
      <c r="I73" s="48" t="s">
        <v>22</v>
      </c>
      <c r="J73" s="48" t="s">
        <v>1132</v>
      </c>
      <c r="K73" s="48" t="s">
        <v>26</v>
      </c>
      <c r="L73" s="50">
        <v>931500.09</v>
      </c>
      <c r="M73" s="50">
        <v>1</v>
      </c>
      <c r="N73" s="50">
        <v>931500.09</v>
      </c>
      <c r="O73" s="421">
        <v>45699</v>
      </c>
    </row>
    <row r="74" spans="1:15" ht="15.75" x14ac:dyDescent="0.25">
      <c r="A74" s="48" t="s">
        <v>398</v>
      </c>
      <c r="B74" s="421">
        <v>45631</v>
      </c>
      <c r="C74" s="48" t="s">
        <v>916</v>
      </c>
      <c r="D74" s="48" t="s">
        <v>856</v>
      </c>
      <c r="E74" s="48" t="s">
        <v>95</v>
      </c>
      <c r="F74" s="48" t="s">
        <v>27</v>
      </c>
      <c r="G74" s="48" t="s">
        <v>399</v>
      </c>
      <c r="H74" s="48" t="s">
        <v>24</v>
      </c>
      <c r="I74" s="48" t="s">
        <v>22</v>
      </c>
      <c r="J74" s="48" t="s">
        <v>1132</v>
      </c>
      <c r="K74" s="48" t="s">
        <v>26</v>
      </c>
      <c r="L74" s="50">
        <v>229198.19</v>
      </c>
      <c r="M74" s="50">
        <v>1</v>
      </c>
      <c r="N74" s="50">
        <v>229198.19</v>
      </c>
      <c r="O74" s="421">
        <v>45694</v>
      </c>
    </row>
    <row r="75" spans="1:15" ht="15.75" x14ac:dyDescent="0.25">
      <c r="A75" s="48" t="s">
        <v>462</v>
      </c>
      <c r="B75" s="421">
        <v>45636</v>
      </c>
      <c r="C75" s="48" t="s">
        <v>916</v>
      </c>
      <c r="D75" s="48" t="s">
        <v>858</v>
      </c>
      <c r="E75" s="48" t="s">
        <v>95</v>
      </c>
      <c r="F75" s="48" t="s">
        <v>27</v>
      </c>
      <c r="G75" s="48" t="s">
        <v>463</v>
      </c>
      <c r="H75" s="48" t="s">
        <v>72</v>
      </c>
      <c r="I75" s="48" t="s">
        <v>325</v>
      </c>
      <c r="J75" s="48" t="s">
        <v>1157</v>
      </c>
      <c r="K75" s="48" t="s">
        <v>26</v>
      </c>
      <c r="L75" s="50">
        <v>10000000</v>
      </c>
      <c r="M75" s="50">
        <v>1</v>
      </c>
      <c r="N75" s="50">
        <v>10000000</v>
      </c>
      <c r="O75" s="421">
        <v>45637</v>
      </c>
    </row>
    <row r="76" spans="1:15" ht="15.75" x14ac:dyDescent="0.25">
      <c r="A76" s="48" t="s">
        <v>432</v>
      </c>
      <c r="B76" s="421">
        <v>45642</v>
      </c>
      <c r="C76" s="48" t="s">
        <v>916</v>
      </c>
      <c r="D76" s="48" t="s">
        <v>856</v>
      </c>
      <c r="E76" s="48" t="s">
        <v>95</v>
      </c>
      <c r="F76" s="48" t="s">
        <v>27</v>
      </c>
      <c r="G76" s="48" t="s">
        <v>433</v>
      </c>
      <c r="H76" s="48" t="s">
        <v>24</v>
      </c>
      <c r="I76" s="48" t="s">
        <v>22</v>
      </c>
      <c r="J76" s="48" t="s">
        <v>1132</v>
      </c>
      <c r="K76" s="48" t="s">
        <v>26</v>
      </c>
      <c r="L76" s="50">
        <v>800000</v>
      </c>
      <c r="M76" s="50">
        <v>1</v>
      </c>
      <c r="N76" s="50">
        <v>800000</v>
      </c>
      <c r="O76" s="421">
        <v>45721</v>
      </c>
    </row>
    <row r="77" spans="1:15" ht="15.75" x14ac:dyDescent="0.25">
      <c r="A77" s="48" t="s">
        <v>440</v>
      </c>
      <c r="B77" s="421">
        <v>45650</v>
      </c>
      <c r="C77" s="48" t="s">
        <v>918</v>
      </c>
      <c r="D77" s="48" t="s">
        <v>856</v>
      </c>
      <c r="E77" s="48" t="s">
        <v>95</v>
      </c>
      <c r="F77" s="48" t="s">
        <v>27</v>
      </c>
      <c r="G77" s="48" t="s">
        <v>442</v>
      </c>
      <c r="H77" s="48" t="s">
        <v>24</v>
      </c>
      <c r="I77" s="48" t="s">
        <v>22</v>
      </c>
      <c r="J77" s="48" t="s">
        <v>1132</v>
      </c>
      <c r="K77" s="48" t="s">
        <v>26</v>
      </c>
      <c r="L77" s="50">
        <v>298416.84000000003</v>
      </c>
      <c r="M77" s="50">
        <v>1</v>
      </c>
      <c r="N77" s="50">
        <v>298416.84000000003</v>
      </c>
      <c r="O77" s="421">
        <v>45697</v>
      </c>
    </row>
    <row r="78" spans="1:15" ht="15.75" x14ac:dyDescent="0.25">
      <c r="A78" s="48" t="s">
        <v>428</v>
      </c>
      <c r="B78" s="421">
        <v>45650</v>
      </c>
      <c r="C78" s="48" t="s">
        <v>916</v>
      </c>
      <c r="D78" s="48" t="s">
        <v>856</v>
      </c>
      <c r="E78" s="48" t="s">
        <v>95</v>
      </c>
      <c r="F78" s="48" t="s">
        <v>27</v>
      </c>
      <c r="G78" s="48" t="s">
        <v>429</v>
      </c>
      <c r="H78" s="48" t="s">
        <v>24</v>
      </c>
      <c r="I78" s="48" t="s">
        <v>22</v>
      </c>
      <c r="J78" s="48" t="s">
        <v>1132</v>
      </c>
      <c r="K78" s="48" t="s">
        <v>26</v>
      </c>
      <c r="L78" s="50">
        <v>916299.21</v>
      </c>
      <c r="M78" s="50">
        <v>1</v>
      </c>
      <c r="N78" s="50">
        <v>916299.21</v>
      </c>
      <c r="O78" s="421">
        <v>45678</v>
      </c>
    </row>
    <row r="79" spans="1:15" ht="15.75" x14ac:dyDescent="0.25">
      <c r="A79" s="48" t="s">
        <v>444</v>
      </c>
      <c r="B79" s="421">
        <v>45665</v>
      </c>
      <c r="C79" s="48" t="s">
        <v>916</v>
      </c>
      <c r="D79" s="48" t="s">
        <v>856</v>
      </c>
      <c r="E79" s="48" t="s">
        <v>95</v>
      </c>
      <c r="F79" s="48" t="s">
        <v>27</v>
      </c>
      <c r="G79" s="48" t="s">
        <v>445</v>
      </c>
      <c r="H79" s="48" t="s">
        <v>24</v>
      </c>
      <c r="I79" s="48" t="s">
        <v>22</v>
      </c>
      <c r="J79" s="48" t="s">
        <v>1132</v>
      </c>
      <c r="K79" s="48" t="s">
        <v>26</v>
      </c>
      <c r="L79" s="50">
        <v>754128.94</v>
      </c>
      <c r="M79" s="50">
        <v>1</v>
      </c>
      <c r="N79" s="50">
        <v>754128.94</v>
      </c>
      <c r="O79" s="421">
        <v>45706</v>
      </c>
    </row>
    <row r="80" spans="1:15" ht="15.75" x14ac:dyDescent="0.25">
      <c r="A80" s="48" t="s">
        <v>430</v>
      </c>
      <c r="B80" s="421">
        <v>45666</v>
      </c>
      <c r="C80" s="48" t="s">
        <v>916</v>
      </c>
      <c r="D80" s="48" t="s">
        <v>856</v>
      </c>
      <c r="E80" s="48" t="s">
        <v>95</v>
      </c>
      <c r="F80" s="48" t="s">
        <v>27</v>
      </c>
      <c r="G80" s="48" t="s">
        <v>431</v>
      </c>
      <c r="H80" s="48" t="s">
        <v>24</v>
      </c>
      <c r="I80" s="48" t="s">
        <v>22</v>
      </c>
      <c r="J80" s="48" t="s">
        <v>1132</v>
      </c>
      <c r="K80" s="48" t="s">
        <v>26</v>
      </c>
      <c r="L80" s="50">
        <v>522689.46</v>
      </c>
      <c r="M80" s="50">
        <v>1</v>
      </c>
      <c r="N80" s="50">
        <v>522689.46</v>
      </c>
      <c r="O80" s="421">
        <v>45741</v>
      </c>
    </row>
    <row r="81" spans="1:15" ht="15.75" x14ac:dyDescent="0.25">
      <c r="A81" s="48" t="s">
        <v>450</v>
      </c>
      <c r="B81" s="421">
        <v>45678</v>
      </c>
      <c r="C81" s="48" t="s">
        <v>916</v>
      </c>
      <c r="D81" s="48" t="s">
        <v>858</v>
      </c>
      <c r="E81" s="48" t="s">
        <v>95</v>
      </c>
      <c r="F81" s="48" t="s">
        <v>27</v>
      </c>
      <c r="G81" s="48" t="s">
        <v>451</v>
      </c>
      <c r="H81" s="48" t="s">
        <v>24</v>
      </c>
      <c r="I81" s="48" t="s">
        <v>22</v>
      </c>
      <c r="J81" s="48" t="s">
        <v>1132</v>
      </c>
      <c r="K81" s="48" t="s">
        <v>26</v>
      </c>
      <c r="L81" s="50">
        <v>491845.29</v>
      </c>
      <c r="M81" s="50">
        <v>1</v>
      </c>
      <c r="N81" s="50">
        <v>491845.29</v>
      </c>
      <c r="O81" s="421">
        <v>45706</v>
      </c>
    </row>
    <row r="82" spans="1:15" ht="15.75" x14ac:dyDescent="0.25">
      <c r="A82" s="48" t="s">
        <v>440</v>
      </c>
      <c r="B82" s="421">
        <v>45683</v>
      </c>
      <c r="C82" s="48" t="s">
        <v>924</v>
      </c>
      <c r="D82" s="48" t="s">
        <v>856</v>
      </c>
      <c r="E82" s="48" t="s">
        <v>95</v>
      </c>
      <c r="F82" s="48" t="s">
        <v>27</v>
      </c>
      <c r="G82" s="48" t="s">
        <v>442</v>
      </c>
      <c r="H82" s="48" t="s">
        <v>24</v>
      </c>
      <c r="I82" s="48" t="s">
        <v>22</v>
      </c>
      <c r="J82" s="48" t="s">
        <v>1132</v>
      </c>
      <c r="K82" s="48" t="s">
        <v>26</v>
      </c>
      <c r="L82" s="50">
        <v>182832.65</v>
      </c>
      <c r="M82" s="50">
        <v>1</v>
      </c>
      <c r="N82" s="50">
        <v>182832.65</v>
      </c>
      <c r="O82" s="421">
        <v>45721</v>
      </c>
    </row>
    <row r="83" spans="1:15" ht="15.75" x14ac:dyDescent="0.25">
      <c r="A83" s="48" t="s">
        <v>426</v>
      </c>
      <c r="B83" s="421">
        <v>45685</v>
      </c>
      <c r="C83" s="48" t="s">
        <v>918</v>
      </c>
      <c r="D83" s="48" t="s">
        <v>856</v>
      </c>
      <c r="E83" s="48" t="s">
        <v>95</v>
      </c>
      <c r="F83" s="48" t="s">
        <v>27</v>
      </c>
      <c r="G83" s="48" t="s">
        <v>427</v>
      </c>
      <c r="H83" s="48" t="s">
        <v>24</v>
      </c>
      <c r="I83" s="48" t="s">
        <v>22</v>
      </c>
      <c r="J83" s="48" t="s">
        <v>1132</v>
      </c>
      <c r="K83" s="48" t="s">
        <v>26</v>
      </c>
      <c r="L83" s="50">
        <v>34499.910000000003</v>
      </c>
      <c r="M83" s="50">
        <v>1</v>
      </c>
      <c r="N83" s="50">
        <v>34499.910000000003</v>
      </c>
      <c r="O83" s="421">
        <v>45721</v>
      </c>
    </row>
    <row r="84" spans="1:15" ht="15.75" x14ac:dyDescent="0.25">
      <c r="A84" s="48" t="s">
        <v>398</v>
      </c>
      <c r="B84" s="421">
        <v>45698</v>
      </c>
      <c r="C84" s="48" t="s">
        <v>918</v>
      </c>
      <c r="D84" s="48" t="s">
        <v>858</v>
      </c>
      <c r="E84" s="48" t="s">
        <v>95</v>
      </c>
      <c r="F84" s="48" t="s">
        <v>27</v>
      </c>
      <c r="G84" s="48" t="s">
        <v>399</v>
      </c>
      <c r="H84" s="48" t="s">
        <v>24</v>
      </c>
      <c r="I84" s="48" t="s">
        <v>22</v>
      </c>
      <c r="J84" s="48" t="s">
        <v>1132</v>
      </c>
      <c r="K84" s="48" t="s">
        <v>26</v>
      </c>
      <c r="L84" s="50">
        <v>252814.24</v>
      </c>
      <c r="M84" s="50">
        <v>1</v>
      </c>
      <c r="N84" s="50">
        <v>252814.24</v>
      </c>
      <c r="O84" s="421">
        <v>45761</v>
      </c>
    </row>
    <row r="85" spans="1:15" ht="15.75" x14ac:dyDescent="0.25">
      <c r="A85" s="48" t="s">
        <v>667</v>
      </c>
      <c r="B85" s="421">
        <v>45714</v>
      </c>
      <c r="C85" s="48" t="s">
        <v>916</v>
      </c>
      <c r="D85" s="48" t="s">
        <v>858</v>
      </c>
      <c r="E85" s="48" t="s">
        <v>95</v>
      </c>
      <c r="F85" s="48" t="s">
        <v>27</v>
      </c>
      <c r="G85" s="48" t="s">
        <v>415</v>
      </c>
      <c r="H85" s="48" t="s">
        <v>24</v>
      </c>
      <c r="I85" s="48" t="s">
        <v>22</v>
      </c>
      <c r="J85" s="48" t="s">
        <v>1132</v>
      </c>
      <c r="K85" s="48" t="s">
        <v>26</v>
      </c>
      <c r="L85" s="50">
        <v>1000000</v>
      </c>
      <c r="M85" s="50">
        <v>1</v>
      </c>
      <c r="N85" s="50">
        <v>1000000</v>
      </c>
      <c r="O85" s="421">
        <v>45785</v>
      </c>
    </row>
    <row r="86" spans="1:15" ht="15.75" x14ac:dyDescent="0.25">
      <c r="A86" s="48" t="s">
        <v>661</v>
      </c>
      <c r="B86" s="421">
        <v>45734</v>
      </c>
      <c r="C86" s="48" t="s">
        <v>916</v>
      </c>
      <c r="D86" s="48" t="s">
        <v>858</v>
      </c>
      <c r="E86" s="48" t="s">
        <v>95</v>
      </c>
      <c r="F86" s="48" t="s">
        <v>27</v>
      </c>
      <c r="G86" s="48" t="s">
        <v>662</v>
      </c>
      <c r="H86" s="48" t="s">
        <v>24</v>
      </c>
      <c r="I86" s="48" t="s">
        <v>22</v>
      </c>
      <c r="J86" s="48" t="s">
        <v>1132</v>
      </c>
      <c r="K86" s="48" t="s">
        <v>26</v>
      </c>
      <c r="L86" s="50">
        <v>1000000</v>
      </c>
      <c r="M86" s="50">
        <v>1</v>
      </c>
      <c r="N86" s="50">
        <v>1000000</v>
      </c>
      <c r="O86" s="421">
        <v>45811</v>
      </c>
    </row>
    <row r="87" spans="1:15" ht="15.75" x14ac:dyDescent="0.25">
      <c r="A87" s="48" t="s">
        <v>634</v>
      </c>
      <c r="B87" s="421">
        <v>45734</v>
      </c>
      <c r="C87" s="48" t="s">
        <v>916</v>
      </c>
      <c r="D87" s="48" t="s">
        <v>858</v>
      </c>
      <c r="E87" s="48" t="s">
        <v>95</v>
      </c>
      <c r="F87" s="48" t="s">
        <v>27</v>
      </c>
      <c r="G87" s="48" t="s">
        <v>635</v>
      </c>
      <c r="H87" s="48" t="s">
        <v>24</v>
      </c>
      <c r="I87" s="48" t="s">
        <v>22</v>
      </c>
      <c r="J87" s="48" t="s">
        <v>1132</v>
      </c>
      <c r="K87" s="48" t="s">
        <v>26</v>
      </c>
      <c r="L87" s="50">
        <v>500000</v>
      </c>
      <c r="M87" s="50">
        <v>1</v>
      </c>
      <c r="N87" s="50">
        <v>500000</v>
      </c>
      <c r="O87" s="421">
        <v>45785</v>
      </c>
    </row>
    <row r="88" spans="1:15" ht="15.75" x14ac:dyDescent="0.25">
      <c r="A88" s="48" t="s">
        <v>440</v>
      </c>
      <c r="B88" s="421">
        <v>45753</v>
      </c>
      <c r="C88" s="48" t="s">
        <v>928</v>
      </c>
      <c r="D88" s="48" t="s">
        <v>856</v>
      </c>
      <c r="E88" s="48" t="s">
        <v>95</v>
      </c>
      <c r="F88" s="48" t="s">
        <v>27</v>
      </c>
      <c r="G88" s="48" t="s">
        <v>442</v>
      </c>
      <c r="H88" s="48" t="s">
        <v>24</v>
      </c>
      <c r="I88" s="48" t="s">
        <v>22</v>
      </c>
      <c r="J88" s="48" t="s">
        <v>1132</v>
      </c>
      <c r="K88" s="48" t="s">
        <v>26</v>
      </c>
      <c r="L88" s="50">
        <v>304995.88</v>
      </c>
      <c r="M88" s="50">
        <v>1</v>
      </c>
      <c r="N88" s="50">
        <v>304995.88</v>
      </c>
      <c r="O88" s="421">
        <v>45746</v>
      </c>
    </row>
    <row r="89" spans="1:15" ht="15.75" x14ac:dyDescent="0.25">
      <c r="A89" s="48" t="s">
        <v>363</v>
      </c>
      <c r="B89" s="421">
        <v>45803</v>
      </c>
      <c r="C89" s="48" t="s">
        <v>916</v>
      </c>
      <c r="D89" s="48" t="s">
        <v>858</v>
      </c>
      <c r="E89" s="48" t="s">
        <v>95</v>
      </c>
      <c r="F89" s="48" t="s">
        <v>27</v>
      </c>
      <c r="G89" s="48" t="s">
        <v>364</v>
      </c>
      <c r="H89" s="48" t="s">
        <v>24</v>
      </c>
      <c r="I89" s="48" t="s">
        <v>22</v>
      </c>
      <c r="J89" s="48" t="s">
        <v>1132</v>
      </c>
      <c r="K89" s="48" t="s">
        <v>191</v>
      </c>
      <c r="L89" s="50">
        <v>1063657</v>
      </c>
      <c r="M89" s="50">
        <v>1.0327</v>
      </c>
      <c r="N89" s="50">
        <v>1098438.5839</v>
      </c>
      <c r="O89" s="421">
        <v>45809</v>
      </c>
    </row>
    <row r="90" spans="1:15" ht="15.75" x14ac:dyDescent="0.25">
      <c r="A90" s="48" t="s">
        <v>643</v>
      </c>
      <c r="B90" s="421">
        <v>45754</v>
      </c>
      <c r="C90" s="48" t="s">
        <v>916</v>
      </c>
      <c r="D90" s="48" t="s">
        <v>856</v>
      </c>
      <c r="E90" s="48" t="s">
        <v>95</v>
      </c>
      <c r="F90" s="48" t="s">
        <v>27</v>
      </c>
      <c r="G90" s="48" t="s">
        <v>644</v>
      </c>
      <c r="H90" s="48" t="s">
        <v>24</v>
      </c>
      <c r="I90" s="48" t="s">
        <v>22</v>
      </c>
      <c r="J90" s="48" t="s">
        <v>1132</v>
      </c>
      <c r="K90" s="48" t="s">
        <v>26</v>
      </c>
      <c r="L90" s="50">
        <v>476785.75</v>
      </c>
      <c r="M90" s="50">
        <v>1</v>
      </c>
      <c r="N90" s="50">
        <v>476785.75</v>
      </c>
      <c r="O90" s="421">
        <v>45809</v>
      </c>
    </row>
    <row r="91" spans="1:15" ht="15.75" x14ac:dyDescent="0.25">
      <c r="A91" s="48" t="s">
        <v>624</v>
      </c>
      <c r="B91" s="421">
        <v>45763</v>
      </c>
      <c r="C91" s="48" t="s">
        <v>916</v>
      </c>
      <c r="D91" s="48" t="s">
        <v>858</v>
      </c>
      <c r="E91" s="48" t="s">
        <v>95</v>
      </c>
      <c r="F91" s="48" t="s">
        <v>27</v>
      </c>
      <c r="G91" s="48" t="s">
        <v>589</v>
      </c>
      <c r="H91" s="48" t="s">
        <v>24</v>
      </c>
      <c r="I91" s="48" t="s">
        <v>22</v>
      </c>
      <c r="J91" s="48" t="s">
        <v>1132</v>
      </c>
      <c r="K91" s="48" t="s">
        <v>26</v>
      </c>
      <c r="L91" s="50">
        <v>207176.82</v>
      </c>
      <c r="M91" s="50">
        <v>1</v>
      </c>
      <c r="N91" s="50">
        <v>207176.82</v>
      </c>
      <c r="O91" s="421">
        <v>45809</v>
      </c>
    </row>
    <row r="92" spans="1:15" ht="15.75" x14ac:dyDescent="0.25">
      <c r="A92" s="48" t="s">
        <v>683</v>
      </c>
      <c r="B92" s="421">
        <v>45733</v>
      </c>
      <c r="C92" s="48" t="s">
        <v>916</v>
      </c>
      <c r="D92" s="48" t="s">
        <v>858</v>
      </c>
      <c r="E92" s="48" t="s">
        <v>95</v>
      </c>
      <c r="F92" s="48" t="s">
        <v>27</v>
      </c>
      <c r="G92" s="48" t="s">
        <v>473</v>
      </c>
      <c r="H92" s="48" t="s">
        <v>24</v>
      </c>
      <c r="I92" s="48" t="s">
        <v>407</v>
      </c>
      <c r="J92" s="48" t="s">
        <v>1131</v>
      </c>
      <c r="K92" s="48" t="s">
        <v>26</v>
      </c>
      <c r="L92" s="50">
        <v>500000</v>
      </c>
      <c r="M92" s="50">
        <v>1</v>
      </c>
      <c r="N92" s="50">
        <v>500000</v>
      </c>
      <c r="O92" s="421">
        <v>45809</v>
      </c>
    </row>
    <row r="93" spans="1:15" ht="15.75" x14ac:dyDescent="0.25">
      <c r="A93" s="48" t="s">
        <v>653</v>
      </c>
      <c r="B93" s="421">
        <v>45755</v>
      </c>
      <c r="C93" s="48" t="s">
        <v>916</v>
      </c>
      <c r="D93" s="48" t="s">
        <v>856</v>
      </c>
      <c r="E93" s="48" t="s">
        <v>95</v>
      </c>
      <c r="F93" s="48" t="s">
        <v>27</v>
      </c>
      <c r="G93" s="48" t="s">
        <v>263</v>
      </c>
      <c r="H93" s="48" t="s">
        <v>24</v>
      </c>
      <c r="I93" s="48" t="s">
        <v>22</v>
      </c>
      <c r="J93" s="48" t="s">
        <v>1132</v>
      </c>
      <c r="K93" s="48" t="s">
        <v>26</v>
      </c>
      <c r="L93" s="50">
        <v>525809.39</v>
      </c>
      <c r="M93" s="50">
        <v>1</v>
      </c>
      <c r="N93" s="50">
        <v>525809.39</v>
      </c>
      <c r="O93" s="421">
        <v>45813</v>
      </c>
    </row>
    <row r="94" spans="1:15" ht="15.75" x14ac:dyDescent="0.25">
      <c r="A94" s="48" t="s">
        <v>653</v>
      </c>
      <c r="B94" s="421">
        <v>45790</v>
      </c>
      <c r="C94" s="48" t="s">
        <v>918</v>
      </c>
      <c r="D94" s="48" t="s">
        <v>858</v>
      </c>
      <c r="E94" s="48" t="s">
        <v>95</v>
      </c>
      <c r="F94" s="48" t="s">
        <v>27</v>
      </c>
      <c r="G94" s="48" t="s">
        <v>263</v>
      </c>
      <c r="H94" s="48" t="s">
        <v>24</v>
      </c>
      <c r="I94" s="48" t="s">
        <v>22</v>
      </c>
      <c r="J94" s="48" t="s">
        <v>1132</v>
      </c>
      <c r="K94" s="48" t="s">
        <v>26</v>
      </c>
      <c r="L94" s="50">
        <v>64823.55</v>
      </c>
      <c r="M94" s="50">
        <v>1</v>
      </c>
      <c r="N94" s="50">
        <v>64823.55</v>
      </c>
      <c r="O94" s="421">
        <v>45830</v>
      </c>
    </row>
    <row r="95" spans="1:15" ht="15.75" x14ac:dyDescent="0.25">
      <c r="A95" s="48" t="s">
        <v>624</v>
      </c>
      <c r="B95" s="421">
        <v>45804</v>
      </c>
      <c r="C95" s="48" t="s">
        <v>918</v>
      </c>
      <c r="D95" s="48" t="s">
        <v>858</v>
      </c>
      <c r="E95" s="48" t="s">
        <v>95</v>
      </c>
      <c r="F95" s="48" t="s">
        <v>27</v>
      </c>
      <c r="G95" s="48" t="s">
        <v>589</v>
      </c>
      <c r="H95" s="48" t="s">
        <v>24</v>
      </c>
      <c r="I95" s="48" t="s">
        <v>22</v>
      </c>
      <c r="J95" s="48" t="s">
        <v>1132</v>
      </c>
      <c r="K95" s="48" t="s">
        <v>26</v>
      </c>
      <c r="L95" s="50">
        <v>292823</v>
      </c>
      <c r="M95" s="50">
        <v>1</v>
      </c>
      <c r="N95" s="50">
        <v>292823</v>
      </c>
      <c r="O95" s="421">
        <v>45848</v>
      </c>
    </row>
    <row r="96" spans="1:15" ht="15.75" x14ac:dyDescent="0.25">
      <c r="A96" s="48" t="s">
        <v>446</v>
      </c>
      <c r="B96" s="421">
        <v>45790</v>
      </c>
      <c r="C96" s="48" t="s">
        <v>916</v>
      </c>
      <c r="D96" s="48" t="s">
        <v>858</v>
      </c>
      <c r="E96" s="48" t="s">
        <v>95</v>
      </c>
      <c r="F96" s="48" t="s">
        <v>27</v>
      </c>
      <c r="G96" s="48" t="s">
        <v>447</v>
      </c>
      <c r="H96" s="48" t="s">
        <v>24</v>
      </c>
      <c r="I96" s="48" t="s">
        <v>22</v>
      </c>
      <c r="J96" s="48" t="s">
        <v>1132</v>
      </c>
      <c r="K96" s="48" t="s">
        <v>26</v>
      </c>
      <c r="L96" s="50">
        <v>499521.42</v>
      </c>
      <c r="M96" s="50">
        <v>1</v>
      </c>
      <c r="N96" s="50">
        <v>499521.42</v>
      </c>
      <c r="O96" s="421">
        <v>45832</v>
      </c>
    </row>
    <row r="97" spans="1:15" ht="15.75" x14ac:dyDescent="0.25">
      <c r="A97" s="48" t="s">
        <v>466</v>
      </c>
      <c r="B97" s="421">
        <v>45621</v>
      </c>
      <c r="C97" s="48" t="s">
        <v>916</v>
      </c>
      <c r="D97" s="48" t="s">
        <v>856</v>
      </c>
      <c r="E97" s="48" t="s">
        <v>95</v>
      </c>
      <c r="F97" s="48" t="s">
        <v>27</v>
      </c>
      <c r="G97" s="48" t="s">
        <v>467</v>
      </c>
      <c r="H97" s="48" t="s">
        <v>72</v>
      </c>
      <c r="I97" s="48" t="s">
        <v>325</v>
      </c>
      <c r="J97" s="48" t="s">
        <v>1157</v>
      </c>
      <c r="K97" s="48" t="s">
        <v>26</v>
      </c>
      <c r="L97" s="50">
        <v>12000000</v>
      </c>
      <c r="M97" s="50">
        <v>1</v>
      </c>
      <c r="N97" s="50">
        <v>12000000</v>
      </c>
      <c r="O97" s="421">
        <v>45643</v>
      </c>
    </row>
    <row r="98" spans="1:15" ht="15.75" x14ac:dyDescent="0.25">
      <c r="A98" s="48" t="s">
        <v>541</v>
      </c>
      <c r="B98" s="421">
        <v>45777</v>
      </c>
      <c r="C98" s="48" t="s">
        <v>916</v>
      </c>
      <c r="D98" s="48" t="s">
        <v>858</v>
      </c>
      <c r="E98" s="48" t="s">
        <v>95</v>
      </c>
      <c r="F98" s="48" t="s">
        <v>27</v>
      </c>
      <c r="G98" s="48" t="s">
        <v>542</v>
      </c>
      <c r="H98" s="48" t="s">
        <v>24</v>
      </c>
      <c r="I98" s="48" t="s">
        <v>407</v>
      </c>
      <c r="J98" s="48" t="s">
        <v>1131</v>
      </c>
      <c r="K98" s="48" t="s">
        <v>26</v>
      </c>
      <c r="L98" s="50">
        <v>800000</v>
      </c>
      <c r="M98" s="50">
        <v>1</v>
      </c>
      <c r="N98" s="50">
        <v>800000</v>
      </c>
      <c r="O98" s="421">
        <v>45809</v>
      </c>
    </row>
    <row r="99" spans="1:15" ht="15.75" x14ac:dyDescent="0.25">
      <c r="A99" s="48" t="s">
        <v>630</v>
      </c>
      <c r="B99" s="421">
        <v>45725</v>
      </c>
      <c r="C99" s="48" t="s">
        <v>1299</v>
      </c>
      <c r="D99" s="48" t="s">
        <v>856</v>
      </c>
      <c r="E99" s="48" t="s">
        <v>95</v>
      </c>
      <c r="F99" s="48" t="s">
        <v>27</v>
      </c>
      <c r="G99" s="48" t="s">
        <v>519</v>
      </c>
      <c r="H99" s="48" t="s">
        <v>24</v>
      </c>
      <c r="I99" s="48" t="s">
        <v>22</v>
      </c>
      <c r="J99" s="48" t="s">
        <v>1132</v>
      </c>
      <c r="K99" s="48" t="s">
        <v>26</v>
      </c>
      <c r="L99" s="50">
        <v>2000000</v>
      </c>
      <c r="M99" s="50">
        <v>1</v>
      </c>
      <c r="N99" s="50">
        <v>2000000</v>
      </c>
      <c r="O99" s="421">
        <v>45788</v>
      </c>
    </row>
    <row r="100" spans="1:15" ht="15.75" x14ac:dyDescent="0.25">
      <c r="A100" s="48" t="s">
        <v>409</v>
      </c>
      <c r="B100" s="421">
        <v>45637</v>
      </c>
      <c r="C100" s="48" t="s">
        <v>916</v>
      </c>
      <c r="D100" s="48" t="s">
        <v>858</v>
      </c>
      <c r="E100" s="48" t="s">
        <v>95</v>
      </c>
      <c r="F100" s="48" t="s">
        <v>27</v>
      </c>
      <c r="G100" s="48" t="s">
        <v>221</v>
      </c>
      <c r="H100" s="48" t="s">
        <v>66</v>
      </c>
      <c r="I100" s="48" t="s">
        <v>410</v>
      </c>
      <c r="J100" s="48" t="s">
        <v>1137</v>
      </c>
      <c r="K100" s="48" t="s">
        <v>191</v>
      </c>
      <c r="L100" s="50">
        <v>525728.6</v>
      </c>
      <c r="M100" s="50">
        <v>1.0307770000000001</v>
      </c>
      <c r="N100" s="50">
        <v>541908.94912220002</v>
      </c>
      <c r="O100" s="421">
        <v>45638</v>
      </c>
    </row>
    <row r="101" spans="1:15" ht="15.75" x14ac:dyDescent="0.25">
      <c r="A101" s="48" t="s">
        <v>409</v>
      </c>
      <c r="B101" s="421">
        <v>45690</v>
      </c>
      <c r="C101" s="48" t="s">
        <v>918</v>
      </c>
      <c r="D101" s="48" t="s">
        <v>856</v>
      </c>
      <c r="E101" s="48" t="s">
        <v>95</v>
      </c>
      <c r="F101" s="48" t="s">
        <v>27</v>
      </c>
      <c r="G101" s="48" t="s">
        <v>221</v>
      </c>
      <c r="H101" s="48" t="s">
        <v>66</v>
      </c>
      <c r="I101" s="48" t="s">
        <v>410</v>
      </c>
      <c r="J101" s="48" t="s">
        <v>1137</v>
      </c>
      <c r="K101" s="48" t="s">
        <v>191</v>
      </c>
      <c r="L101" s="50">
        <v>1720780.84</v>
      </c>
      <c r="M101" s="50">
        <v>1.0315234</v>
      </c>
      <c r="N101" s="50">
        <v>1775025.7027316561</v>
      </c>
      <c r="O101" s="421">
        <v>45690</v>
      </c>
    </row>
    <row r="102" spans="1:15" ht="15.75" x14ac:dyDescent="0.25">
      <c r="A102" s="48" t="s">
        <v>409</v>
      </c>
      <c r="B102" s="421">
        <v>45728</v>
      </c>
      <c r="C102" s="48" t="s">
        <v>924</v>
      </c>
      <c r="D102" s="48" t="s">
        <v>858</v>
      </c>
      <c r="E102" s="48" t="s">
        <v>95</v>
      </c>
      <c r="F102" s="48" t="s">
        <v>27</v>
      </c>
      <c r="G102" s="48" t="s">
        <v>221</v>
      </c>
      <c r="H102" s="48" t="s">
        <v>66</v>
      </c>
      <c r="I102" s="48" t="s">
        <v>410</v>
      </c>
      <c r="J102" s="48" t="s">
        <v>1137</v>
      </c>
      <c r="K102" s="48" t="s">
        <v>191</v>
      </c>
      <c r="L102" s="50">
        <v>653635.06999999995</v>
      </c>
      <c r="M102" s="50">
        <v>1.0301</v>
      </c>
      <c r="N102" s="50">
        <v>673309.48560699995</v>
      </c>
      <c r="O102" s="421">
        <v>45736</v>
      </c>
    </row>
    <row r="103" spans="1:15" ht="15.75" x14ac:dyDescent="0.25">
      <c r="A103" s="48" t="s">
        <v>608</v>
      </c>
      <c r="B103" s="421">
        <v>45683</v>
      </c>
      <c r="C103" s="48" t="s">
        <v>916</v>
      </c>
      <c r="D103" s="48" t="s">
        <v>856</v>
      </c>
      <c r="E103" s="48" t="s">
        <v>95</v>
      </c>
      <c r="F103" s="48" t="s">
        <v>27</v>
      </c>
      <c r="G103" s="48" t="s">
        <v>609</v>
      </c>
      <c r="H103" s="48" t="s">
        <v>72</v>
      </c>
      <c r="I103" s="48" t="s">
        <v>304</v>
      </c>
      <c r="J103" s="48" t="s">
        <v>1133</v>
      </c>
      <c r="K103" s="48" t="s">
        <v>26</v>
      </c>
      <c r="L103" s="50">
        <v>4837590</v>
      </c>
      <c r="M103" s="50">
        <v>1</v>
      </c>
      <c r="N103" s="50">
        <v>4837590</v>
      </c>
      <c r="O103" s="421">
        <v>45714</v>
      </c>
    </row>
    <row r="104" spans="1:15" ht="15.75" x14ac:dyDescent="0.25">
      <c r="A104" s="48" t="s">
        <v>608</v>
      </c>
      <c r="B104" s="421">
        <v>45698</v>
      </c>
      <c r="C104" s="48" t="s">
        <v>918</v>
      </c>
      <c r="D104" s="48" t="s">
        <v>856</v>
      </c>
      <c r="E104" s="48" t="s">
        <v>95</v>
      </c>
      <c r="F104" s="48" t="s">
        <v>27</v>
      </c>
      <c r="G104" s="48" t="s">
        <v>609</v>
      </c>
      <c r="H104" s="48" t="s">
        <v>72</v>
      </c>
      <c r="I104" s="48" t="s">
        <v>304</v>
      </c>
      <c r="J104" s="48" t="s">
        <v>1133</v>
      </c>
      <c r="K104" s="48" t="s">
        <v>26</v>
      </c>
      <c r="L104" s="50">
        <v>2367873</v>
      </c>
      <c r="M104" s="50">
        <v>1</v>
      </c>
      <c r="N104" s="50">
        <v>2367873</v>
      </c>
      <c r="O104" s="421">
        <v>45727</v>
      </c>
    </row>
    <row r="105" spans="1:15" ht="15.75" x14ac:dyDescent="0.25">
      <c r="A105" s="48" t="s">
        <v>608</v>
      </c>
      <c r="B105" s="421">
        <v>45700</v>
      </c>
      <c r="C105" s="48" t="s">
        <v>924</v>
      </c>
      <c r="D105" s="48" t="s">
        <v>858</v>
      </c>
      <c r="E105" s="48" t="s">
        <v>95</v>
      </c>
      <c r="F105" s="48" t="s">
        <v>27</v>
      </c>
      <c r="G105" s="48" t="s">
        <v>609</v>
      </c>
      <c r="H105" s="48" t="s">
        <v>72</v>
      </c>
      <c r="I105" s="48" t="s">
        <v>304</v>
      </c>
      <c r="J105" s="48" t="s">
        <v>1133</v>
      </c>
      <c r="K105" s="48" t="s">
        <v>26</v>
      </c>
      <c r="L105" s="50">
        <v>3140190</v>
      </c>
      <c r="M105" s="50">
        <v>1</v>
      </c>
      <c r="N105" s="50">
        <v>3140190</v>
      </c>
      <c r="O105" s="421">
        <v>45755</v>
      </c>
    </row>
    <row r="106" spans="1:15" ht="15.75" x14ac:dyDescent="0.25">
      <c r="A106" s="48" t="s">
        <v>608</v>
      </c>
      <c r="B106" s="421">
        <v>45701</v>
      </c>
      <c r="C106" s="48" t="s">
        <v>928</v>
      </c>
      <c r="D106" s="48" t="s">
        <v>856</v>
      </c>
      <c r="E106" s="48" t="s">
        <v>95</v>
      </c>
      <c r="F106" s="48" t="s">
        <v>27</v>
      </c>
      <c r="G106" s="48" t="s">
        <v>609</v>
      </c>
      <c r="H106" s="48" t="s">
        <v>72</v>
      </c>
      <c r="I106" s="48" t="s">
        <v>304</v>
      </c>
      <c r="J106" s="48" t="s">
        <v>1133</v>
      </c>
      <c r="K106" s="48" t="s">
        <v>26</v>
      </c>
      <c r="L106" s="50">
        <v>2257542</v>
      </c>
      <c r="M106" s="50">
        <v>1</v>
      </c>
      <c r="N106" s="50">
        <v>2257542</v>
      </c>
      <c r="O106" s="421">
        <v>45727</v>
      </c>
    </row>
    <row r="107" spans="1:15" ht="15.75" x14ac:dyDescent="0.25">
      <c r="A107" s="48" t="s">
        <v>610</v>
      </c>
      <c r="B107" s="421">
        <v>45722</v>
      </c>
      <c r="C107" s="48" t="s">
        <v>916</v>
      </c>
      <c r="D107" s="48" t="s">
        <v>858</v>
      </c>
      <c r="E107" s="48" t="s">
        <v>95</v>
      </c>
      <c r="F107" s="48" t="s">
        <v>27</v>
      </c>
      <c r="G107" s="48" t="s">
        <v>532</v>
      </c>
      <c r="H107" s="48" t="s">
        <v>72</v>
      </c>
      <c r="I107" s="48" t="s">
        <v>304</v>
      </c>
      <c r="J107" s="48" t="s">
        <v>1133</v>
      </c>
      <c r="K107" s="48" t="s">
        <v>26</v>
      </c>
      <c r="L107" s="50">
        <v>2203480.5</v>
      </c>
      <c r="M107" s="50">
        <v>1</v>
      </c>
      <c r="N107" s="50">
        <v>2203480.5</v>
      </c>
      <c r="O107" s="421">
        <v>45736</v>
      </c>
    </row>
    <row r="108" spans="1:15" ht="15.75" x14ac:dyDescent="0.25">
      <c r="A108" s="48" t="s">
        <v>686</v>
      </c>
      <c r="B108" s="421">
        <v>45727</v>
      </c>
      <c r="C108" s="48" t="s">
        <v>916</v>
      </c>
      <c r="D108" s="48" t="s">
        <v>856</v>
      </c>
      <c r="E108" s="48" t="s">
        <v>95</v>
      </c>
      <c r="F108" s="48" t="s">
        <v>27</v>
      </c>
      <c r="G108" s="48" t="s">
        <v>609</v>
      </c>
      <c r="H108" s="48" t="s">
        <v>72</v>
      </c>
      <c r="I108" s="48" t="s">
        <v>304</v>
      </c>
      <c r="J108" s="48" t="s">
        <v>1133</v>
      </c>
      <c r="K108" s="48" t="s">
        <v>26</v>
      </c>
      <c r="L108" s="50">
        <v>1054571.18</v>
      </c>
      <c r="M108" s="50">
        <v>1</v>
      </c>
      <c r="N108" s="50">
        <v>1054571.18</v>
      </c>
      <c r="O108" s="421">
        <v>45741</v>
      </c>
    </row>
    <row r="109" spans="1:15" ht="15.75" x14ac:dyDescent="0.25">
      <c r="A109" s="48" t="s">
        <v>686</v>
      </c>
      <c r="B109" s="421">
        <v>45727</v>
      </c>
      <c r="C109" s="48" t="s">
        <v>918</v>
      </c>
      <c r="D109" s="48" t="s">
        <v>856</v>
      </c>
      <c r="E109" s="48" t="s">
        <v>95</v>
      </c>
      <c r="F109" s="48" t="s">
        <v>27</v>
      </c>
      <c r="G109" s="48" t="s">
        <v>609</v>
      </c>
      <c r="H109" s="48" t="s">
        <v>72</v>
      </c>
      <c r="I109" s="48" t="s">
        <v>304</v>
      </c>
      <c r="J109" s="48" t="s">
        <v>1133</v>
      </c>
      <c r="K109" s="48" t="s">
        <v>26</v>
      </c>
      <c r="L109" s="50">
        <v>875326.61</v>
      </c>
      <c r="M109" s="50">
        <v>1</v>
      </c>
      <c r="N109" s="50">
        <v>875326.61</v>
      </c>
      <c r="O109" s="421">
        <v>45743</v>
      </c>
    </row>
    <row r="110" spans="1:15" ht="15.75" x14ac:dyDescent="0.25">
      <c r="A110" s="48" t="s">
        <v>691</v>
      </c>
      <c r="B110" s="421">
        <v>45732</v>
      </c>
      <c r="C110" s="48" t="s">
        <v>1299</v>
      </c>
      <c r="D110" s="48" t="s">
        <v>856</v>
      </c>
      <c r="E110" s="48" t="s">
        <v>95</v>
      </c>
      <c r="F110" s="48" t="s">
        <v>27</v>
      </c>
      <c r="G110" s="48" t="s">
        <v>465</v>
      </c>
      <c r="H110" s="48" t="s">
        <v>72</v>
      </c>
      <c r="I110" s="48" t="s">
        <v>304</v>
      </c>
      <c r="J110" s="48" t="s">
        <v>1133</v>
      </c>
      <c r="K110" s="48" t="s">
        <v>26</v>
      </c>
      <c r="L110" s="50">
        <v>5646080</v>
      </c>
      <c r="M110" s="50">
        <v>1</v>
      </c>
      <c r="N110" s="50">
        <v>5646080</v>
      </c>
      <c r="O110" s="421">
        <v>45741</v>
      </c>
    </row>
    <row r="111" spans="1:15" ht="15.75" x14ac:dyDescent="0.25">
      <c r="A111" s="48" t="s">
        <v>686</v>
      </c>
      <c r="B111" s="421">
        <v>45732</v>
      </c>
      <c r="C111" s="48" t="s">
        <v>924</v>
      </c>
      <c r="D111" s="48" t="s">
        <v>856</v>
      </c>
      <c r="E111" s="48" t="s">
        <v>95</v>
      </c>
      <c r="F111" s="48" t="s">
        <v>27</v>
      </c>
      <c r="G111" s="48" t="s">
        <v>609</v>
      </c>
      <c r="H111" s="48" t="s">
        <v>72</v>
      </c>
      <c r="I111" s="48" t="s">
        <v>304</v>
      </c>
      <c r="J111" s="48" t="s">
        <v>1133</v>
      </c>
      <c r="K111" s="48" t="s">
        <v>26</v>
      </c>
      <c r="L111" s="50">
        <v>1810890.66</v>
      </c>
      <c r="M111" s="50">
        <v>1</v>
      </c>
      <c r="N111" s="50">
        <v>1810890.66</v>
      </c>
      <c r="O111" s="421">
        <v>45736</v>
      </c>
    </row>
    <row r="112" spans="1:15" ht="15.75" x14ac:dyDescent="0.25">
      <c r="A112" s="48" t="s">
        <v>691</v>
      </c>
      <c r="B112" s="421">
        <v>45734</v>
      </c>
      <c r="C112" s="48" t="s">
        <v>918</v>
      </c>
      <c r="D112" s="48" t="s">
        <v>856</v>
      </c>
      <c r="E112" s="48" t="s">
        <v>95</v>
      </c>
      <c r="F112" s="48" t="s">
        <v>27</v>
      </c>
      <c r="G112" s="48" t="s">
        <v>465</v>
      </c>
      <c r="H112" s="48" t="s">
        <v>72</v>
      </c>
      <c r="I112" s="48" t="s">
        <v>304</v>
      </c>
      <c r="J112" s="48" t="s">
        <v>1133</v>
      </c>
      <c r="K112" s="48" t="s">
        <v>26</v>
      </c>
      <c r="L112" s="50">
        <v>6622620</v>
      </c>
      <c r="M112" s="50">
        <v>1</v>
      </c>
      <c r="N112" s="50">
        <v>6622620</v>
      </c>
      <c r="O112" s="421">
        <v>45753</v>
      </c>
    </row>
    <row r="113" spans="1:15" ht="15.75" x14ac:dyDescent="0.25">
      <c r="A113" s="48" t="s">
        <v>610</v>
      </c>
      <c r="B113" s="421">
        <v>45739</v>
      </c>
      <c r="C113" s="48" t="s">
        <v>924</v>
      </c>
      <c r="D113" s="48" t="s">
        <v>858</v>
      </c>
      <c r="E113" s="48" t="s">
        <v>95</v>
      </c>
      <c r="F113" s="48" t="s">
        <v>27</v>
      </c>
      <c r="G113" s="48" t="s">
        <v>532</v>
      </c>
      <c r="H113" s="48" t="s">
        <v>72</v>
      </c>
      <c r="I113" s="48" t="s">
        <v>304</v>
      </c>
      <c r="J113" s="48" t="s">
        <v>1133</v>
      </c>
      <c r="K113" s="48" t="s">
        <v>26</v>
      </c>
      <c r="L113" s="50">
        <v>2211691.5</v>
      </c>
      <c r="M113" s="50">
        <v>1</v>
      </c>
      <c r="N113" s="50">
        <v>2211691.5</v>
      </c>
      <c r="O113" s="421">
        <v>45775</v>
      </c>
    </row>
    <row r="114" spans="1:15" ht="15.75" x14ac:dyDescent="0.25">
      <c r="A114" s="48" t="s">
        <v>610</v>
      </c>
      <c r="B114" s="421">
        <v>45740</v>
      </c>
      <c r="C114" s="48" t="s">
        <v>918</v>
      </c>
      <c r="D114" s="48" t="s">
        <v>856</v>
      </c>
      <c r="E114" s="48" t="s">
        <v>95</v>
      </c>
      <c r="F114" s="48" t="s">
        <v>27</v>
      </c>
      <c r="G114" s="48" t="s">
        <v>532</v>
      </c>
      <c r="H114" s="48" t="s">
        <v>72</v>
      </c>
      <c r="I114" s="48" t="s">
        <v>304</v>
      </c>
      <c r="J114" s="48" t="s">
        <v>1133</v>
      </c>
      <c r="K114" s="48" t="s">
        <v>26</v>
      </c>
      <c r="L114" s="50">
        <v>2425764</v>
      </c>
      <c r="M114" s="50">
        <v>1</v>
      </c>
      <c r="N114" s="50">
        <v>2425764</v>
      </c>
      <c r="O114" s="421">
        <v>45740</v>
      </c>
    </row>
    <row r="115" spans="1:15" ht="15.75" x14ac:dyDescent="0.25">
      <c r="A115" s="48" t="s">
        <v>686</v>
      </c>
      <c r="B115" s="421">
        <v>45753</v>
      </c>
      <c r="C115" s="48" t="s">
        <v>928</v>
      </c>
      <c r="D115" s="48" t="s">
        <v>856</v>
      </c>
      <c r="E115" s="48" t="s">
        <v>95</v>
      </c>
      <c r="F115" s="48" t="s">
        <v>27</v>
      </c>
      <c r="G115" s="48" t="s">
        <v>609</v>
      </c>
      <c r="H115" s="48" t="s">
        <v>72</v>
      </c>
      <c r="I115" s="48" t="s">
        <v>304</v>
      </c>
      <c r="J115" s="48" t="s">
        <v>1133</v>
      </c>
      <c r="K115" s="48" t="s">
        <v>26</v>
      </c>
      <c r="L115" s="50">
        <v>1170400.8899999999</v>
      </c>
      <c r="M115" s="50">
        <v>1</v>
      </c>
      <c r="N115" s="50">
        <v>1170400.8899999999</v>
      </c>
      <c r="O115" s="421">
        <v>45767</v>
      </c>
    </row>
    <row r="116" spans="1:15" ht="15.75" x14ac:dyDescent="0.25">
      <c r="A116" s="48" t="s">
        <v>610</v>
      </c>
      <c r="B116" s="421">
        <v>45761</v>
      </c>
      <c r="C116" s="48" t="s">
        <v>928</v>
      </c>
      <c r="D116" s="48" t="s">
        <v>858</v>
      </c>
      <c r="E116" s="48" t="s">
        <v>95</v>
      </c>
      <c r="F116" s="48" t="s">
        <v>27</v>
      </c>
      <c r="G116" s="48" t="s">
        <v>532</v>
      </c>
      <c r="H116" s="48" t="s">
        <v>72</v>
      </c>
      <c r="I116" s="48" t="s">
        <v>304</v>
      </c>
      <c r="J116" s="48" t="s">
        <v>1133</v>
      </c>
      <c r="K116" s="48" t="s">
        <v>26</v>
      </c>
      <c r="L116" s="50">
        <v>7780509</v>
      </c>
      <c r="M116" s="50">
        <v>1</v>
      </c>
      <c r="N116" s="50">
        <v>7780509</v>
      </c>
      <c r="O116" s="421">
        <v>45775</v>
      </c>
    </row>
    <row r="117" spans="1:15" ht="15.75" x14ac:dyDescent="0.25">
      <c r="A117" s="48" t="s">
        <v>610</v>
      </c>
      <c r="B117" s="421">
        <v>45761</v>
      </c>
      <c r="C117" s="48" t="s">
        <v>933</v>
      </c>
      <c r="D117" s="48" t="s">
        <v>858</v>
      </c>
      <c r="E117" s="48" t="s">
        <v>95</v>
      </c>
      <c r="F117" s="48" t="s">
        <v>27</v>
      </c>
      <c r="G117" s="48" t="s">
        <v>532</v>
      </c>
      <c r="H117" s="48" t="s">
        <v>72</v>
      </c>
      <c r="I117" s="48" t="s">
        <v>304</v>
      </c>
      <c r="J117" s="48" t="s">
        <v>1133</v>
      </c>
      <c r="K117" s="48" t="s">
        <v>26</v>
      </c>
      <c r="L117" s="50">
        <v>4185264</v>
      </c>
      <c r="M117" s="50">
        <v>1</v>
      </c>
      <c r="N117" s="50">
        <v>4185264</v>
      </c>
      <c r="O117" s="421">
        <v>45775</v>
      </c>
    </row>
    <row r="118" spans="1:15" ht="15.75" x14ac:dyDescent="0.25">
      <c r="A118" s="48" t="s">
        <v>454</v>
      </c>
      <c r="B118" s="421">
        <v>45587</v>
      </c>
      <c r="C118" s="48" t="s">
        <v>916</v>
      </c>
      <c r="D118" s="48" t="s">
        <v>856</v>
      </c>
      <c r="E118" s="48" t="s">
        <v>95</v>
      </c>
      <c r="F118" s="48" t="s">
        <v>27</v>
      </c>
      <c r="G118" s="48" t="s">
        <v>455</v>
      </c>
      <c r="H118" s="48" t="s">
        <v>24</v>
      </c>
      <c r="I118" s="48" t="s">
        <v>413</v>
      </c>
      <c r="J118" s="48" t="s">
        <v>917</v>
      </c>
      <c r="K118" s="48" t="s">
        <v>26</v>
      </c>
      <c r="L118" s="50">
        <v>2500000</v>
      </c>
      <c r="M118" s="50">
        <v>1</v>
      </c>
      <c r="N118" s="50">
        <v>2500000</v>
      </c>
      <c r="O118" s="421">
        <v>45664</v>
      </c>
    </row>
    <row r="119" spans="1:15" ht="15.75" x14ac:dyDescent="0.25">
      <c r="A119" s="48" t="s">
        <v>418</v>
      </c>
      <c r="B119" s="421">
        <v>45601</v>
      </c>
      <c r="C119" s="48" t="s">
        <v>916</v>
      </c>
      <c r="D119" s="48" t="s">
        <v>856</v>
      </c>
      <c r="E119" s="48" t="s">
        <v>95</v>
      </c>
      <c r="F119" s="48" t="s">
        <v>27</v>
      </c>
      <c r="G119" s="48" t="s">
        <v>419</v>
      </c>
      <c r="H119" s="48" t="s">
        <v>24</v>
      </c>
      <c r="I119" s="48" t="s">
        <v>413</v>
      </c>
      <c r="J119" s="48" t="s">
        <v>917</v>
      </c>
      <c r="K119" s="48" t="s">
        <v>26</v>
      </c>
      <c r="L119" s="50">
        <v>2120837</v>
      </c>
      <c r="M119" s="50">
        <v>1</v>
      </c>
      <c r="N119" s="50">
        <v>2120837</v>
      </c>
      <c r="O119" s="421">
        <v>45666</v>
      </c>
    </row>
    <row r="120" spans="1:15" ht="15.75" x14ac:dyDescent="0.25">
      <c r="A120" s="48" t="s">
        <v>411</v>
      </c>
      <c r="B120" s="421">
        <v>45601</v>
      </c>
      <c r="C120" s="48" t="s">
        <v>916</v>
      </c>
      <c r="D120" s="48" t="s">
        <v>858</v>
      </c>
      <c r="E120" s="48" t="s">
        <v>95</v>
      </c>
      <c r="F120" s="48" t="s">
        <v>27</v>
      </c>
      <c r="G120" s="48" t="s">
        <v>412</v>
      </c>
      <c r="H120" s="48" t="s">
        <v>24</v>
      </c>
      <c r="I120" s="48" t="s">
        <v>413</v>
      </c>
      <c r="J120" s="48" t="s">
        <v>917</v>
      </c>
      <c r="K120" s="48" t="s">
        <v>26</v>
      </c>
      <c r="L120" s="50">
        <v>1978910.18</v>
      </c>
      <c r="M120" s="50">
        <v>1</v>
      </c>
      <c r="N120" s="50">
        <v>1978910.18</v>
      </c>
      <c r="O120" s="421">
        <v>45665</v>
      </c>
    </row>
    <row r="121" spans="1:15" ht="15.75" x14ac:dyDescent="0.25">
      <c r="A121" s="48" t="s">
        <v>414</v>
      </c>
      <c r="B121" s="421">
        <v>45606</v>
      </c>
      <c r="C121" s="48" t="s">
        <v>916</v>
      </c>
      <c r="D121" s="48" t="s">
        <v>858</v>
      </c>
      <c r="E121" s="48" t="s">
        <v>95</v>
      </c>
      <c r="F121" s="48" t="s">
        <v>27</v>
      </c>
      <c r="G121" s="48" t="s">
        <v>415</v>
      </c>
      <c r="H121" s="48" t="s">
        <v>24</v>
      </c>
      <c r="I121" s="48" t="s">
        <v>413</v>
      </c>
      <c r="J121" s="48" t="s">
        <v>917</v>
      </c>
      <c r="K121" s="48" t="s">
        <v>26</v>
      </c>
      <c r="L121" s="50">
        <v>3055634</v>
      </c>
      <c r="M121" s="50">
        <v>1</v>
      </c>
      <c r="N121" s="50">
        <v>3055634</v>
      </c>
      <c r="O121" s="421">
        <v>45664</v>
      </c>
    </row>
    <row r="122" spans="1:15" ht="15.75" x14ac:dyDescent="0.25">
      <c r="A122" s="48" t="s">
        <v>416</v>
      </c>
      <c r="B122" s="421">
        <v>45606</v>
      </c>
      <c r="C122" s="48" t="s">
        <v>916</v>
      </c>
      <c r="D122" s="48" t="s">
        <v>858</v>
      </c>
      <c r="E122" s="48" t="s">
        <v>95</v>
      </c>
      <c r="F122" s="48" t="s">
        <v>27</v>
      </c>
      <c r="G122" s="48" t="s">
        <v>417</v>
      </c>
      <c r="H122" s="48" t="s">
        <v>24</v>
      </c>
      <c r="I122" s="48" t="s">
        <v>413</v>
      </c>
      <c r="J122" s="48" t="s">
        <v>917</v>
      </c>
      <c r="K122" s="48" t="s">
        <v>26</v>
      </c>
      <c r="L122" s="50">
        <v>5000000</v>
      </c>
      <c r="M122" s="50">
        <v>1</v>
      </c>
      <c r="N122" s="50">
        <v>5000000</v>
      </c>
      <c r="O122" s="421">
        <v>45666</v>
      </c>
    </row>
    <row r="123" spans="1:15" ht="15.75" x14ac:dyDescent="0.25">
      <c r="A123" s="48" t="s">
        <v>421</v>
      </c>
      <c r="B123" s="421">
        <v>45601</v>
      </c>
      <c r="C123" s="48" t="s">
        <v>916</v>
      </c>
      <c r="D123" s="48" t="s">
        <v>858</v>
      </c>
      <c r="E123" s="48" t="s">
        <v>95</v>
      </c>
      <c r="F123" s="48" t="s">
        <v>27</v>
      </c>
      <c r="G123" s="48" t="s">
        <v>422</v>
      </c>
      <c r="H123" s="48" t="s">
        <v>24</v>
      </c>
      <c r="I123" s="48" t="s">
        <v>413</v>
      </c>
      <c r="J123" s="48" t="s">
        <v>917</v>
      </c>
      <c r="K123" s="48" t="s">
        <v>26</v>
      </c>
      <c r="L123" s="50">
        <v>5000000</v>
      </c>
      <c r="M123" s="50">
        <v>1</v>
      </c>
      <c r="N123" s="50">
        <v>5000000</v>
      </c>
      <c r="O123" s="421">
        <v>45650</v>
      </c>
    </row>
    <row r="124" spans="1:15" ht="15.75" x14ac:dyDescent="0.25">
      <c r="A124" s="48" t="s">
        <v>454</v>
      </c>
      <c r="B124" s="421">
        <v>45645</v>
      </c>
      <c r="C124" s="48" t="s">
        <v>918</v>
      </c>
      <c r="D124" s="48" t="s">
        <v>856</v>
      </c>
      <c r="E124" s="48" t="s">
        <v>95</v>
      </c>
      <c r="F124" s="48" t="s">
        <v>27</v>
      </c>
      <c r="G124" s="48" t="s">
        <v>455</v>
      </c>
      <c r="H124" s="48" t="s">
        <v>24</v>
      </c>
      <c r="I124" s="48" t="s">
        <v>413</v>
      </c>
      <c r="J124" s="48" t="s">
        <v>917</v>
      </c>
      <c r="K124" s="48" t="s">
        <v>26</v>
      </c>
      <c r="L124" s="50">
        <v>2500000</v>
      </c>
      <c r="M124" s="50">
        <v>1</v>
      </c>
      <c r="N124" s="50">
        <v>2500000</v>
      </c>
      <c r="O124" s="421">
        <v>45694</v>
      </c>
    </row>
    <row r="125" spans="1:15" ht="15.75" x14ac:dyDescent="0.25">
      <c r="A125" s="48" t="s">
        <v>448</v>
      </c>
      <c r="B125" s="421">
        <v>45790</v>
      </c>
      <c r="C125" s="48" t="s">
        <v>916</v>
      </c>
      <c r="D125" s="48" t="s">
        <v>858</v>
      </c>
      <c r="E125" s="48" t="s">
        <v>95</v>
      </c>
      <c r="F125" s="48" t="s">
        <v>27</v>
      </c>
      <c r="G125" s="48" t="s">
        <v>449</v>
      </c>
      <c r="H125" s="48" t="s">
        <v>24</v>
      </c>
      <c r="I125" s="48" t="s">
        <v>22</v>
      </c>
      <c r="J125" s="48" t="s">
        <v>1132</v>
      </c>
      <c r="K125" s="48" t="s">
        <v>26</v>
      </c>
      <c r="L125" s="50">
        <v>526225.02</v>
      </c>
      <c r="M125" s="50">
        <v>1</v>
      </c>
      <c r="N125" s="50">
        <v>526225.02</v>
      </c>
      <c r="O125" s="421">
        <v>45809</v>
      </c>
    </row>
    <row r="126" spans="1:15" ht="15.75" x14ac:dyDescent="0.25">
      <c r="A126" s="48" t="s">
        <v>1203</v>
      </c>
      <c r="B126" s="421">
        <v>45811</v>
      </c>
      <c r="C126" s="48" t="s">
        <v>916</v>
      </c>
      <c r="D126" s="48" t="s">
        <v>856</v>
      </c>
      <c r="E126" s="48" t="s">
        <v>95</v>
      </c>
      <c r="F126" s="48" t="s">
        <v>27</v>
      </c>
      <c r="G126" s="48" t="s">
        <v>263</v>
      </c>
      <c r="H126" s="48" t="s">
        <v>24</v>
      </c>
      <c r="I126" s="48" t="s">
        <v>22</v>
      </c>
      <c r="J126" s="48" t="s">
        <v>1132</v>
      </c>
      <c r="K126" s="48" t="s">
        <v>26</v>
      </c>
      <c r="L126" s="50">
        <v>1000000</v>
      </c>
      <c r="M126" s="50">
        <v>1</v>
      </c>
      <c r="N126" s="50">
        <v>1000000</v>
      </c>
      <c r="O126" s="421">
        <v>45897</v>
      </c>
    </row>
    <row r="127" spans="1:15" ht="15.75" x14ac:dyDescent="0.25">
      <c r="A127" s="48" t="s">
        <v>678</v>
      </c>
      <c r="B127" s="421">
        <v>45797</v>
      </c>
      <c r="C127" s="48" t="s">
        <v>918</v>
      </c>
      <c r="D127" s="48" t="s">
        <v>856</v>
      </c>
      <c r="E127" s="48" t="s">
        <v>95</v>
      </c>
      <c r="F127" s="48" t="s">
        <v>27</v>
      </c>
      <c r="G127" s="48" t="s">
        <v>679</v>
      </c>
      <c r="H127" s="48" t="s">
        <v>24</v>
      </c>
      <c r="I127" s="48" t="s">
        <v>407</v>
      </c>
      <c r="J127" s="48" t="s">
        <v>1131</v>
      </c>
      <c r="K127" s="48" t="s">
        <v>26</v>
      </c>
      <c r="L127" s="50">
        <v>53771.4</v>
      </c>
      <c r="M127" s="50">
        <v>1</v>
      </c>
      <c r="N127" s="50">
        <v>53771.4</v>
      </c>
      <c r="O127" s="421">
        <v>45797</v>
      </c>
    </row>
    <row r="128" spans="1:15" ht="15.75" x14ac:dyDescent="0.25">
      <c r="A128" s="48" t="s">
        <v>659</v>
      </c>
      <c r="B128" s="421">
        <v>45739</v>
      </c>
      <c r="C128" s="48" t="s">
        <v>916</v>
      </c>
      <c r="D128" s="48" t="s">
        <v>858</v>
      </c>
      <c r="E128" s="48" t="s">
        <v>95</v>
      </c>
      <c r="F128" s="48" t="s">
        <v>27</v>
      </c>
      <c r="G128" s="48" t="s">
        <v>660</v>
      </c>
      <c r="H128" s="48" t="s">
        <v>24</v>
      </c>
      <c r="I128" s="48" t="s">
        <v>22</v>
      </c>
      <c r="J128" s="48" t="s">
        <v>1132</v>
      </c>
      <c r="K128" s="48" t="s">
        <v>26</v>
      </c>
      <c r="L128" s="50">
        <v>1000000</v>
      </c>
      <c r="M128" s="50">
        <v>1</v>
      </c>
      <c r="N128" s="50">
        <v>1000000</v>
      </c>
      <c r="O128" s="421">
        <v>45790</v>
      </c>
    </row>
    <row r="129" spans="1:15" ht="15.75" x14ac:dyDescent="0.25">
      <c r="A129" s="48" t="s">
        <v>691</v>
      </c>
      <c r="B129" s="421">
        <v>45732</v>
      </c>
      <c r="C129" s="48" t="s">
        <v>1300</v>
      </c>
      <c r="D129" s="48" t="s">
        <v>856</v>
      </c>
      <c r="E129" s="48" t="s">
        <v>95</v>
      </c>
      <c r="F129" s="48" t="s">
        <v>27</v>
      </c>
      <c r="G129" s="48" t="s">
        <v>465</v>
      </c>
      <c r="H129" s="48" t="s">
        <v>72</v>
      </c>
      <c r="I129" s="48" t="s">
        <v>304</v>
      </c>
      <c r="J129" s="48" t="s">
        <v>1133</v>
      </c>
      <c r="K129" s="48" t="s">
        <v>26</v>
      </c>
      <c r="L129" s="50">
        <v>1000000</v>
      </c>
      <c r="M129" s="50">
        <v>1</v>
      </c>
      <c r="N129" s="50">
        <v>1000000</v>
      </c>
      <c r="O129" s="421">
        <v>45741</v>
      </c>
    </row>
    <row r="130" spans="1:15" ht="15.75" x14ac:dyDescent="0.25">
      <c r="A130" s="48" t="s">
        <v>670</v>
      </c>
      <c r="B130" s="421">
        <v>45740</v>
      </c>
      <c r="C130" s="48" t="s">
        <v>916</v>
      </c>
      <c r="D130" s="48" t="s">
        <v>856</v>
      </c>
      <c r="E130" s="48" t="s">
        <v>95</v>
      </c>
      <c r="F130" s="48" t="s">
        <v>27</v>
      </c>
      <c r="G130" s="48" t="s">
        <v>671</v>
      </c>
      <c r="H130" s="48" t="s">
        <v>24</v>
      </c>
      <c r="I130" s="48" t="s">
        <v>22</v>
      </c>
      <c r="J130" s="48" t="s">
        <v>1132</v>
      </c>
      <c r="K130" s="48" t="s">
        <v>26</v>
      </c>
      <c r="L130" s="50">
        <v>2622000</v>
      </c>
      <c r="M130" s="50">
        <v>1</v>
      </c>
      <c r="N130" s="50">
        <v>2622000</v>
      </c>
      <c r="O130" s="421">
        <v>45788</v>
      </c>
    </row>
    <row r="131" spans="1:15" ht="15.75" x14ac:dyDescent="0.25">
      <c r="A131" s="48" t="s">
        <v>657</v>
      </c>
      <c r="B131" s="421">
        <v>45753</v>
      </c>
      <c r="C131" s="48" t="s">
        <v>916</v>
      </c>
      <c r="D131" s="48" t="s">
        <v>856</v>
      </c>
      <c r="E131" s="48" t="s">
        <v>95</v>
      </c>
      <c r="F131" s="48" t="s">
        <v>27</v>
      </c>
      <c r="G131" s="48" t="s">
        <v>658</v>
      </c>
      <c r="H131" s="48" t="s">
        <v>24</v>
      </c>
      <c r="I131" s="48" t="s">
        <v>22</v>
      </c>
      <c r="J131" s="48" t="s">
        <v>1132</v>
      </c>
      <c r="K131" s="48" t="s">
        <v>26</v>
      </c>
      <c r="L131" s="50">
        <v>649056.68999999994</v>
      </c>
      <c r="M131" s="50">
        <v>1</v>
      </c>
      <c r="N131" s="50">
        <v>649056.68999999994</v>
      </c>
      <c r="O131" s="421">
        <v>45792</v>
      </c>
    </row>
    <row r="132" spans="1:15" ht="15.75" x14ac:dyDescent="0.25">
      <c r="A132" s="48" t="s">
        <v>668</v>
      </c>
      <c r="B132" s="421">
        <v>45783</v>
      </c>
      <c r="C132" s="48" t="s">
        <v>916</v>
      </c>
      <c r="D132" s="48" t="s">
        <v>858</v>
      </c>
      <c r="E132" s="48" t="s">
        <v>95</v>
      </c>
      <c r="F132" s="48" t="s">
        <v>27</v>
      </c>
      <c r="G132" s="48" t="s">
        <v>669</v>
      </c>
      <c r="H132" s="48" t="s">
        <v>24</v>
      </c>
      <c r="I132" s="48" t="s">
        <v>22</v>
      </c>
      <c r="J132" s="48" t="s">
        <v>1132</v>
      </c>
      <c r="K132" s="48" t="s">
        <v>26</v>
      </c>
      <c r="L132" s="50">
        <v>700000</v>
      </c>
      <c r="M132" s="50">
        <v>1</v>
      </c>
      <c r="N132" s="50">
        <v>700000</v>
      </c>
      <c r="O132" s="421">
        <v>45809</v>
      </c>
    </row>
    <row r="133" spans="1:15" ht="15.75" x14ac:dyDescent="0.25">
      <c r="A133" s="48" t="s">
        <v>630</v>
      </c>
      <c r="B133" s="421">
        <v>45725</v>
      </c>
      <c r="C133" s="48" t="s">
        <v>1300</v>
      </c>
      <c r="D133" s="48" t="s">
        <v>856</v>
      </c>
      <c r="E133" s="48" t="s">
        <v>95</v>
      </c>
      <c r="F133" s="48" t="s">
        <v>27</v>
      </c>
      <c r="G133" s="48" t="s">
        <v>519</v>
      </c>
      <c r="H133" s="48" t="s">
        <v>24</v>
      </c>
      <c r="I133" s="48" t="s">
        <v>22</v>
      </c>
      <c r="J133" s="48" t="s">
        <v>1132</v>
      </c>
      <c r="K133" s="48" t="s">
        <v>26</v>
      </c>
      <c r="L133" s="50">
        <v>1000000</v>
      </c>
      <c r="M133" s="50">
        <v>1</v>
      </c>
      <c r="N133" s="50">
        <v>1000000</v>
      </c>
      <c r="O133" s="421">
        <v>45788</v>
      </c>
    </row>
    <row r="134" spans="1:15" ht="15.75" x14ac:dyDescent="0.25">
      <c r="A134" s="48" t="s">
        <v>682</v>
      </c>
      <c r="B134" s="421">
        <v>45799</v>
      </c>
      <c r="C134" s="48" t="s">
        <v>916</v>
      </c>
      <c r="D134" s="48" t="s">
        <v>858</v>
      </c>
      <c r="E134" s="48" t="s">
        <v>95</v>
      </c>
      <c r="F134" s="48" t="s">
        <v>27</v>
      </c>
      <c r="G134" s="48" t="s">
        <v>155</v>
      </c>
      <c r="H134" s="48" t="s">
        <v>24</v>
      </c>
      <c r="I134" s="48" t="s">
        <v>407</v>
      </c>
      <c r="J134" s="48" t="s">
        <v>1131</v>
      </c>
      <c r="K134" s="48" t="s">
        <v>26</v>
      </c>
      <c r="L134" s="50">
        <v>800000</v>
      </c>
      <c r="M134" s="50">
        <v>1</v>
      </c>
      <c r="N134" s="50">
        <v>800000</v>
      </c>
      <c r="O134" s="421">
        <v>45841</v>
      </c>
    </row>
    <row r="135" spans="1:15" ht="15.75" x14ac:dyDescent="0.25">
      <c r="A135" s="48" t="s">
        <v>1257</v>
      </c>
      <c r="B135" s="421">
        <v>45811</v>
      </c>
      <c r="C135" s="48" t="s">
        <v>916</v>
      </c>
      <c r="D135" s="48" t="s">
        <v>856</v>
      </c>
      <c r="E135" s="48" t="s">
        <v>95</v>
      </c>
      <c r="F135" s="48" t="s">
        <v>27</v>
      </c>
      <c r="G135" s="48" t="s">
        <v>1190</v>
      </c>
      <c r="H135" s="48" t="s">
        <v>24</v>
      </c>
      <c r="I135" s="48" t="s">
        <v>22</v>
      </c>
      <c r="J135" s="48" t="s">
        <v>1132</v>
      </c>
      <c r="K135" s="48" t="s">
        <v>26</v>
      </c>
      <c r="L135" s="50">
        <v>5113228.88</v>
      </c>
      <c r="M135" s="50">
        <v>1</v>
      </c>
      <c r="N135" s="50">
        <v>5113228.88</v>
      </c>
      <c r="O135" s="421">
        <v>45865</v>
      </c>
    </row>
    <row r="136" spans="1:15" ht="15.75" x14ac:dyDescent="0.25">
      <c r="A136" s="48" t="s">
        <v>1201</v>
      </c>
      <c r="B136" s="421">
        <v>45831</v>
      </c>
      <c r="C136" s="48" t="s">
        <v>916</v>
      </c>
      <c r="D136" s="48" t="s">
        <v>856</v>
      </c>
      <c r="E136" s="48" t="s">
        <v>95</v>
      </c>
      <c r="F136" s="48" t="s">
        <v>27</v>
      </c>
      <c r="G136" s="48" t="s">
        <v>177</v>
      </c>
      <c r="H136" s="48" t="s">
        <v>24</v>
      </c>
      <c r="I136" s="48" t="s">
        <v>22</v>
      </c>
      <c r="J136" s="48" t="s">
        <v>1132</v>
      </c>
      <c r="K136" s="48" t="s">
        <v>26</v>
      </c>
      <c r="L136" s="50">
        <v>1232500.01</v>
      </c>
      <c r="M136" s="50">
        <v>1</v>
      </c>
      <c r="N136" s="50">
        <v>1232500.01</v>
      </c>
      <c r="O136" s="421">
        <v>45866</v>
      </c>
    </row>
    <row r="137" spans="1:15" ht="15.75" x14ac:dyDescent="0.25">
      <c r="A137" s="48" t="s">
        <v>1201</v>
      </c>
      <c r="B137" s="421">
        <v>45839</v>
      </c>
      <c r="C137" s="48" t="s">
        <v>918</v>
      </c>
      <c r="D137" s="48" t="s">
        <v>856</v>
      </c>
      <c r="E137" s="48" t="s">
        <v>95</v>
      </c>
      <c r="F137" s="48" t="s">
        <v>27</v>
      </c>
      <c r="G137" s="48" t="s">
        <v>177</v>
      </c>
      <c r="H137" s="48" t="s">
        <v>24</v>
      </c>
      <c r="I137" s="48" t="s">
        <v>22</v>
      </c>
      <c r="J137" s="48" t="s">
        <v>1132</v>
      </c>
      <c r="K137" s="48" t="s">
        <v>26</v>
      </c>
      <c r="L137" s="50">
        <v>941825.08</v>
      </c>
      <c r="M137" s="50">
        <v>1</v>
      </c>
      <c r="N137" s="50">
        <v>941825.08</v>
      </c>
      <c r="O137" s="421">
        <v>45887</v>
      </c>
    </row>
    <row r="138" spans="1:15" ht="15.75" x14ac:dyDescent="0.25">
      <c r="A138" s="48" t="s">
        <v>1422</v>
      </c>
      <c r="B138" s="421">
        <v>45830</v>
      </c>
      <c r="C138" s="48" t="s">
        <v>916</v>
      </c>
      <c r="D138" s="48" t="s">
        <v>856</v>
      </c>
      <c r="E138" s="48" t="s">
        <v>95</v>
      </c>
      <c r="F138" s="48" t="s">
        <v>27</v>
      </c>
      <c r="G138" s="48" t="s">
        <v>355</v>
      </c>
      <c r="H138" s="48" t="s">
        <v>24</v>
      </c>
      <c r="I138" s="48" t="s">
        <v>22</v>
      </c>
      <c r="J138" s="48" t="s">
        <v>1132</v>
      </c>
      <c r="K138" s="48" t="s">
        <v>26</v>
      </c>
      <c r="L138" s="50">
        <v>2000000</v>
      </c>
      <c r="M138" s="50">
        <v>1</v>
      </c>
      <c r="N138" s="50">
        <v>2000000</v>
      </c>
      <c r="O138" s="421">
        <v>45930</v>
      </c>
    </row>
    <row r="139" spans="1:15" ht="15.75" x14ac:dyDescent="0.25">
      <c r="A139" s="48" t="s">
        <v>1251</v>
      </c>
      <c r="B139" s="421">
        <v>45837</v>
      </c>
      <c r="C139" s="48" t="s">
        <v>916</v>
      </c>
      <c r="D139" s="48" t="s">
        <v>856</v>
      </c>
      <c r="E139" s="48" t="s">
        <v>95</v>
      </c>
      <c r="F139" s="48" t="s">
        <v>27</v>
      </c>
      <c r="G139" s="48" t="s">
        <v>1200</v>
      </c>
      <c r="H139" s="48" t="s">
        <v>72</v>
      </c>
      <c r="I139" s="48" t="s">
        <v>511</v>
      </c>
      <c r="J139" s="48" t="s">
        <v>1236</v>
      </c>
      <c r="K139" s="48" t="s">
        <v>26</v>
      </c>
      <c r="L139" s="50">
        <v>766481.6</v>
      </c>
      <c r="M139" s="50">
        <v>1</v>
      </c>
      <c r="N139" s="50">
        <v>766481.6</v>
      </c>
      <c r="O139" s="421">
        <v>45837</v>
      </c>
    </row>
    <row r="140" spans="1:15" ht="15.75" x14ac:dyDescent="0.25">
      <c r="A140" s="48" t="s">
        <v>1418</v>
      </c>
      <c r="B140" s="421">
        <v>45859</v>
      </c>
      <c r="C140" s="48" t="s">
        <v>916</v>
      </c>
      <c r="D140" s="48" t="s">
        <v>858</v>
      </c>
      <c r="E140" s="48" t="s">
        <v>95</v>
      </c>
      <c r="F140" s="48" t="s">
        <v>27</v>
      </c>
      <c r="G140" s="48" t="s">
        <v>1208</v>
      </c>
      <c r="H140" s="48" t="s">
        <v>72</v>
      </c>
      <c r="I140" s="48" t="s">
        <v>407</v>
      </c>
      <c r="J140" s="48" t="s">
        <v>1131</v>
      </c>
      <c r="K140" s="48" t="s">
        <v>26</v>
      </c>
      <c r="L140" s="50">
        <v>5000000</v>
      </c>
      <c r="M140" s="50">
        <v>1</v>
      </c>
      <c r="N140" s="50">
        <v>5000000</v>
      </c>
      <c r="O140" s="421">
        <v>45887</v>
      </c>
    </row>
    <row r="141" spans="1:15" ht="15.75" x14ac:dyDescent="0.25">
      <c r="A141" s="48" t="s">
        <v>1201</v>
      </c>
      <c r="B141" s="421">
        <v>45853</v>
      </c>
      <c r="C141" s="48" t="s">
        <v>924</v>
      </c>
      <c r="D141" s="48" t="s">
        <v>856</v>
      </c>
      <c r="E141" s="48" t="s">
        <v>95</v>
      </c>
      <c r="F141" s="48" t="s">
        <v>27</v>
      </c>
      <c r="G141" s="48" t="s">
        <v>177</v>
      </c>
      <c r="H141" s="48" t="s">
        <v>24</v>
      </c>
      <c r="I141" s="48" t="s">
        <v>22</v>
      </c>
      <c r="J141" s="48" t="s">
        <v>1132</v>
      </c>
      <c r="K141" s="48" t="s">
        <v>26</v>
      </c>
      <c r="L141" s="50">
        <v>79154.070000000007</v>
      </c>
      <c r="M141" s="50">
        <v>1</v>
      </c>
      <c r="N141" s="50">
        <v>79154.070000000007</v>
      </c>
      <c r="O141" s="421">
        <v>45928</v>
      </c>
    </row>
    <row r="142" spans="1:15" ht="15.75" x14ac:dyDescent="0.25">
      <c r="A142" s="48" t="s">
        <v>1421</v>
      </c>
      <c r="B142" s="421">
        <v>45859</v>
      </c>
      <c r="C142" s="48" t="s">
        <v>916</v>
      </c>
      <c r="D142" s="48" t="s">
        <v>856</v>
      </c>
      <c r="E142" s="48" t="s">
        <v>95</v>
      </c>
      <c r="F142" s="48" t="s">
        <v>27</v>
      </c>
      <c r="G142" s="48" t="s">
        <v>1324</v>
      </c>
      <c r="H142" s="48" t="s">
        <v>24</v>
      </c>
      <c r="I142" s="48" t="s">
        <v>22</v>
      </c>
      <c r="J142" s="48" t="s">
        <v>1132</v>
      </c>
      <c r="K142" s="48" t="s">
        <v>26</v>
      </c>
      <c r="L142" s="50">
        <v>783377.8</v>
      </c>
      <c r="M142" s="50">
        <v>1</v>
      </c>
      <c r="N142" s="50">
        <v>783377.8</v>
      </c>
      <c r="O142" s="421">
        <v>45929</v>
      </c>
    </row>
    <row r="143" spans="1:15" ht="15.75" x14ac:dyDescent="0.25">
      <c r="A143" s="48" t="s">
        <v>1446</v>
      </c>
      <c r="B143" s="421">
        <v>45852</v>
      </c>
      <c r="C143" s="48" t="s">
        <v>916</v>
      </c>
      <c r="D143" s="48" t="s">
        <v>858</v>
      </c>
      <c r="E143" s="48" t="s">
        <v>95</v>
      </c>
      <c r="F143" s="48" t="s">
        <v>27</v>
      </c>
      <c r="G143" s="48" t="s">
        <v>1337</v>
      </c>
      <c r="H143" s="48" t="s">
        <v>72</v>
      </c>
      <c r="I143" s="48" t="s">
        <v>511</v>
      </c>
      <c r="J143" s="48" t="s">
        <v>1236</v>
      </c>
      <c r="K143" s="48" t="s">
        <v>26</v>
      </c>
      <c r="L143" s="50">
        <v>216257.5</v>
      </c>
      <c r="M143" s="50">
        <v>1</v>
      </c>
      <c r="N143" s="50">
        <v>216257.5</v>
      </c>
      <c r="O143" s="421">
        <v>45865</v>
      </c>
    </row>
    <row r="144" spans="1:15" ht="15.75" x14ac:dyDescent="0.25">
      <c r="A144" s="48" t="s">
        <v>1233</v>
      </c>
      <c r="B144" s="421">
        <v>45893</v>
      </c>
      <c r="C144" s="48" t="s">
        <v>916</v>
      </c>
      <c r="D144" s="48" t="s">
        <v>856</v>
      </c>
      <c r="E144" s="48" t="s">
        <v>612</v>
      </c>
      <c r="F144" s="48" t="s">
        <v>27</v>
      </c>
      <c r="G144" s="48" t="s">
        <v>1207</v>
      </c>
      <c r="H144" s="48" t="s">
        <v>24</v>
      </c>
      <c r="I144" s="48" t="s">
        <v>613</v>
      </c>
      <c r="J144" s="48" t="s">
        <v>1135</v>
      </c>
      <c r="K144" s="48" t="s">
        <v>26</v>
      </c>
      <c r="L144" s="50">
        <v>543834</v>
      </c>
      <c r="M144" s="50">
        <v>1</v>
      </c>
      <c r="N144" s="50">
        <v>543834</v>
      </c>
      <c r="O144" s="421">
        <v>45893</v>
      </c>
    </row>
    <row r="145" spans="1:15" ht="15.75" x14ac:dyDescent="0.25">
      <c r="A145" s="48" t="s">
        <v>1201</v>
      </c>
      <c r="B145" s="421">
        <v>45866</v>
      </c>
      <c r="C145" s="48" t="s">
        <v>928</v>
      </c>
      <c r="D145" s="48" t="s">
        <v>856</v>
      </c>
      <c r="E145" s="48" t="s">
        <v>95</v>
      </c>
      <c r="F145" s="48" t="s">
        <v>27</v>
      </c>
      <c r="G145" s="48" t="s">
        <v>177</v>
      </c>
      <c r="H145" s="48" t="s">
        <v>24</v>
      </c>
      <c r="I145" s="48" t="s">
        <v>22</v>
      </c>
      <c r="J145" s="48" t="s">
        <v>1132</v>
      </c>
      <c r="K145" s="48" t="s">
        <v>26</v>
      </c>
      <c r="L145" s="50">
        <v>76520.850000000006</v>
      </c>
      <c r="M145" s="50">
        <v>1</v>
      </c>
      <c r="N145" s="50">
        <v>76520.850000000006</v>
      </c>
      <c r="O145" s="421">
        <v>45935</v>
      </c>
    </row>
    <row r="146" spans="1:15" ht="15.75" x14ac:dyDescent="0.25">
      <c r="A146" s="48" t="s">
        <v>1420</v>
      </c>
      <c r="B146" s="421">
        <v>45922</v>
      </c>
      <c r="C146" s="48" t="s">
        <v>918</v>
      </c>
      <c r="D146" s="48" t="s">
        <v>858</v>
      </c>
      <c r="E146" s="48" t="s">
        <v>95</v>
      </c>
      <c r="F146" s="48" t="s">
        <v>27</v>
      </c>
      <c r="G146" s="48" t="s">
        <v>177</v>
      </c>
      <c r="H146" s="48" t="s">
        <v>24</v>
      </c>
      <c r="I146" s="48" t="s">
        <v>22</v>
      </c>
      <c r="J146" s="48" t="s">
        <v>1132</v>
      </c>
      <c r="K146" s="48" t="s">
        <v>26</v>
      </c>
      <c r="L146" s="50">
        <v>134784.6</v>
      </c>
      <c r="M146" s="50">
        <v>1</v>
      </c>
      <c r="N146" s="50">
        <v>134784.6</v>
      </c>
      <c r="O146" s="421">
        <v>45957</v>
      </c>
    </row>
    <row r="147" spans="1:15" ht="15.75" x14ac:dyDescent="0.25">
      <c r="A147" s="48" t="s">
        <v>1336</v>
      </c>
      <c r="B147" s="421">
        <v>45859</v>
      </c>
      <c r="C147" s="48" t="s">
        <v>916</v>
      </c>
      <c r="D147" s="48" t="s">
        <v>856</v>
      </c>
      <c r="E147" s="48" t="s">
        <v>95</v>
      </c>
      <c r="F147" s="48" t="s">
        <v>27</v>
      </c>
      <c r="G147" s="48" t="s">
        <v>532</v>
      </c>
      <c r="H147" s="48" t="s">
        <v>72</v>
      </c>
      <c r="I147" s="48" t="s">
        <v>304</v>
      </c>
      <c r="J147" s="48" t="s">
        <v>1133</v>
      </c>
      <c r="K147" s="48" t="s">
        <v>26</v>
      </c>
      <c r="L147" s="50">
        <v>4623922.5</v>
      </c>
      <c r="M147" s="50">
        <v>1</v>
      </c>
      <c r="N147" s="50">
        <v>4623922.5</v>
      </c>
      <c r="O147" s="421">
        <v>45859</v>
      </c>
    </row>
    <row r="148" spans="1:15" ht="15.75" x14ac:dyDescent="0.25">
      <c r="A148" s="48" t="s">
        <v>1336</v>
      </c>
      <c r="B148" s="421">
        <v>45859</v>
      </c>
      <c r="C148" s="48" t="s">
        <v>1591</v>
      </c>
      <c r="D148" s="48" t="s">
        <v>856</v>
      </c>
      <c r="E148" s="48" t="s">
        <v>95</v>
      </c>
      <c r="F148" s="48" t="s">
        <v>27</v>
      </c>
      <c r="G148" s="48" t="s">
        <v>532</v>
      </c>
      <c r="H148" s="48" t="s">
        <v>72</v>
      </c>
      <c r="I148" s="48" t="s">
        <v>304</v>
      </c>
      <c r="J148" s="48" t="s">
        <v>1133</v>
      </c>
      <c r="K148" s="48" t="s">
        <v>26</v>
      </c>
      <c r="L148" s="50">
        <v>13376077.5</v>
      </c>
      <c r="M148" s="50">
        <v>1</v>
      </c>
      <c r="N148" s="50">
        <v>13376077.5</v>
      </c>
      <c r="O148" s="421">
        <v>45859</v>
      </c>
    </row>
    <row r="149" spans="1:15" ht="15.75" x14ac:dyDescent="0.25">
      <c r="A149" s="48" t="s">
        <v>632</v>
      </c>
      <c r="B149" s="421">
        <v>45893</v>
      </c>
      <c r="C149" s="48" t="s">
        <v>916</v>
      </c>
      <c r="D149" s="48" t="s">
        <v>858</v>
      </c>
      <c r="E149" s="48" t="s">
        <v>95</v>
      </c>
      <c r="F149" s="48" t="s">
        <v>27</v>
      </c>
      <c r="G149" s="48" t="s">
        <v>582</v>
      </c>
      <c r="H149" s="48" t="s">
        <v>24</v>
      </c>
      <c r="I149" s="48" t="s">
        <v>22</v>
      </c>
      <c r="J149" s="48" t="s">
        <v>1132</v>
      </c>
      <c r="K149" s="48" t="s">
        <v>26</v>
      </c>
      <c r="L149" s="50">
        <v>712597.7</v>
      </c>
      <c r="M149" s="50">
        <v>1</v>
      </c>
      <c r="N149" s="50">
        <v>712597.7</v>
      </c>
      <c r="O149" s="421">
        <v>45949</v>
      </c>
    </row>
    <row r="150" spans="1:15" ht="15.75" x14ac:dyDescent="0.25">
      <c r="A150" s="48" t="s">
        <v>1454</v>
      </c>
      <c r="B150" s="421">
        <v>45861</v>
      </c>
      <c r="C150" s="48" t="s">
        <v>916</v>
      </c>
      <c r="D150" s="48" t="s">
        <v>856</v>
      </c>
      <c r="E150" s="48" t="s">
        <v>95</v>
      </c>
      <c r="F150" s="48" t="s">
        <v>27</v>
      </c>
      <c r="G150" s="48" t="s">
        <v>609</v>
      </c>
      <c r="H150" s="48" t="s">
        <v>72</v>
      </c>
      <c r="I150" s="48" t="s">
        <v>304</v>
      </c>
      <c r="J150" s="48" t="s">
        <v>1133</v>
      </c>
      <c r="K150" s="48" t="s">
        <v>26</v>
      </c>
      <c r="L150" s="50">
        <v>3621879</v>
      </c>
      <c r="M150" s="50">
        <v>1</v>
      </c>
      <c r="N150" s="50">
        <v>3621879</v>
      </c>
      <c r="O150" s="421">
        <v>45888</v>
      </c>
    </row>
    <row r="151" spans="1:15" ht="15.75" x14ac:dyDescent="0.25">
      <c r="A151" s="48" t="s">
        <v>1454</v>
      </c>
      <c r="B151" s="421">
        <v>45861</v>
      </c>
      <c r="C151" s="48" t="s">
        <v>918</v>
      </c>
      <c r="D151" s="48" t="s">
        <v>856</v>
      </c>
      <c r="E151" s="48" t="s">
        <v>95</v>
      </c>
      <c r="F151" s="48" t="s">
        <v>27</v>
      </c>
      <c r="G151" s="48" t="s">
        <v>609</v>
      </c>
      <c r="H151" s="48" t="s">
        <v>72</v>
      </c>
      <c r="I151" s="48" t="s">
        <v>304</v>
      </c>
      <c r="J151" s="48" t="s">
        <v>1133</v>
      </c>
      <c r="K151" s="48" t="s">
        <v>26</v>
      </c>
      <c r="L151" s="50">
        <v>3185730</v>
      </c>
      <c r="M151" s="50">
        <v>1</v>
      </c>
      <c r="N151" s="50">
        <v>3185730</v>
      </c>
      <c r="O151" s="421">
        <v>45888</v>
      </c>
    </row>
    <row r="152" spans="1:15" ht="15.75" x14ac:dyDescent="0.25">
      <c r="A152" s="48" t="s">
        <v>1454</v>
      </c>
      <c r="B152" s="421">
        <v>45896</v>
      </c>
      <c r="C152" s="48" t="s">
        <v>924</v>
      </c>
      <c r="D152" s="48" t="s">
        <v>856</v>
      </c>
      <c r="E152" s="48" t="s">
        <v>95</v>
      </c>
      <c r="F152" s="48" t="s">
        <v>27</v>
      </c>
      <c r="G152" s="48" t="s">
        <v>609</v>
      </c>
      <c r="H152" s="48" t="s">
        <v>72</v>
      </c>
      <c r="I152" s="48" t="s">
        <v>304</v>
      </c>
      <c r="J152" s="48" t="s">
        <v>1133</v>
      </c>
      <c r="K152" s="48" t="s">
        <v>26</v>
      </c>
      <c r="L152" s="50">
        <v>139725</v>
      </c>
      <c r="M152" s="50">
        <v>1</v>
      </c>
      <c r="N152" s="50">
        <v>139725</v>
      </c>
      <c r="O152" s="421">
        <v>45903</v>
      </c>
    </row>
    <row r="153" spans="1:15" ht="15.75" x14ac:dyDescent="0.25">
      <c r="A153" s="48" t="s">
        <v>1470</v>
      </c>
      <c r="B153" s="421">
        <v>45868</v>
      </c>
      <c r="C153" s="48" t="s">
        <v>916</v>
      </c>
      <c r="D153" s="48" t="s">
        <v>858</v>
      </c>
      <c r="E153" s="48" t="s">
        <v>366</v>
      </c>
      <c r="F153" s="48" t="s">
        <v>27</v>
      </c>
      <c r="G153" s="48" t="s">
        <v>750</v>
      </c>
      <c r="H153" s="48" t="s">
        <v>72</v>
      </c>
      <c r="I153" s="48" t="s">
        <v>81</v>
      </c>
      <c r="J153" s="48" t="s">
        <v>1139</v>
      </c>
      <c r="K153" s="48" t="s">
        <v>26</v>
      </c>
      <c r="L153" s="50">
        <v>1900870.95</v>
      </c>
      <c r="M153" s="50">
        <v>1</v>
      </c>
      <c r="N153" s="50">
        <v>1900870.95</v>
      </c>
      <c r="O153" s="421">
        <v>45900</v>
      </c>
    </row>
    <row r="154" spans="1:15" ht="15.75" x14ac:dyDescent="0.25">
      <c r="A154" s="48" t="s">
        <v>1419</v>
      </c>
      <c r="B154" s="421">
        <v>45881</v>
      </c>
      <c r="C154" s="48" t="s">
        <v>916</v>
      </c>
      <c r="D154" s="48" t="s">
        <v>856</v>
      </c>
      <c r="E154" s="48" t="s">
        <v>95</v>
      </c>
      <c r="F154" s="48" t="s">
        <v>27</v>
      </c>
      <c r="G154" s="48" t="s">
        <v>270</v>
      </c>
      <c r="H154" s="48" t="s">
        <v>24</v>
      </c>
      <c r="I154" s="48" t="s">
        <v>22</v>
      </c>
      <c r="J154" s="48" t="s">
        <v>1132</v>
      </c>
      <c r="K154" s="48" t="s">
        <v>26</v>
      </c>
      <c r="L154" s="50">
        <v>1500000</v>
      </c>
      <c r="M154" s="50">
        <v>1</v>
      </c>
      <c r="N154" s="50">
        <v>1500000</v>
      </c>
      <c r="O154" s="421">
        <v>45943</v>
      </c>
    </row>
    <row r="155" spans="1:15" ht="15.75" x14ac:dyDescent="0.25">
      <c r="A155" s="48" t="s">
        <v>1336</v>
      </c>
      <c r="B155" s="421">
        <v>45859</v>
      </c>
      <c r="C155" s="48" t="s">
        <v>1302</v>
      </c>
      <c r="D155" s="48" t="s">
        <v>856</v>
      </c>
      <c r="E155" s="48" t="s">
        <v>95</v>
      </c>
      <c r="F155" s="48" t="s">
        <v>27</v>
      </c>
      <c r="G155" s="48" t="s">
        <v>532</v>
      </c>
      <c r="H155" s="48" t="s">
        <v>72</v>
      </c>
      <c r="I155" s="48" t="s">
        <v>304</v>
      </c>
      <c r="J155" s="48" t="s">
        <v>1133</v>
      </c>
      <c r="K155" s="48" t="s">
        <v>26</v>
      </c>
      <c r="L155" s="50">
        <v>5391922.5</v>
      </c>
      <c r="M155" s="50">
        <v>1</v>
      </c>
      <c r="N155" s="50">
        <v>5391922.5</v>
      </c>
      <c r="O155" s="421">
        <v>45859</v>
      </c>
    </row>
    <row r="156" spans="1:15" ht="15.75" x14ac:dyDescent="0.25">
      <c r="A156" s="48" t="s">
        <v>1449</v>
      </c>
      <c r="B156" s="421">
        <v>45861</v>
      </c>
      <c r="C156" s="48" t="s">
        <v>916</v>
      </c>
      <c r="D156" s="48" t="s">
        <v>858</v>
      </c>
      <c r="E156" s="48" t="s">
        <v>95</v>
      </c>
      <c r="F156" s="48" t="s">
        <v>27</v>
      </c>
      <c r="G156" s="48" t="s">
        <v>1254</v>
      </c>
      <c r="H156" s="48" t="s">
        <v>72</v>
      </c>
      <c r="I156" s="48" t="s">
        <v>511</v>
      </c>
      <c r="J156" s="48" t="s">
        <v>1236</v>
      </c>
      <c r="K156" s="48" t="s">
        <v>26</v>
      </c>
      <c r="L156" s="50">
        <v>1315561.82</v>
      </c>
      <c r="M156" s="50">
        <v>1</v>
      </c>
      <c r="N156" s="50">
        <v>1315561.82</v>
      </c>
      <c r="O156" s="421">
        <v>45894</v>
      </c>
    </row>
    <row r="157" spans="1:15" ht="15.75" x14ac:dyDescent="0.25">
      <c r="A157" s="48" t="s">
        <v>1540</v>
      </c>
      <c r="B157" s="421">
        <v>45869</v>
      </c>
      <c r="C157" s="48" t="s">
        <v>916</v>
      </c>
      <c r="D157" s="48" t="s">
        <v>856</v>
      </c>
      <c r="E157" s="48" t="s">
        <v>21</v>
      </c>
      <c r="F157" s="48" t="s">
        <v>27</v>
      </c>
      <c r="G157" s="48" t="s">
        <v>1483</v>
      </c>
      <c r="H157" s="48" t="s">
        <v>1791</v>
      </c>
      <c r="I157" s="48" t="s">
        <v>90</v>
      </c>
      <c r="J157" s="48" t="s">
        <v>1141</v>
      </c>
      <c r="K157" s="48" t="s">
        <v>26</v>
      </c>
      <c r="L157" s="50">
        <v>1904115</v>
      </c>
      <c r="M157" s="50">
        <v>1</v>
      </c>
      <c r="N157" s="50">
        <v>1904115</v>
      </c>
      <c r="O157" s="421">
        <v>45921</v>
      </c>
    </row>
    <row r="158" spans="1:15" ht="15.75" x14ac:dyDescent="0.25">
      <c r="A158" s="48" t="s">
        <v>1550</v>
      </c>
      <c r="B158" s="421">
        <v>45869</v>
      </c>
      <c r="C158" s="48" t="s">
        <v>916</v>
      </c>
      <c r="D158" s="48" t="s">
        <v>856</v>
      </c>
      <c r="E158" s="48" t="s">
        <v>95</v>
      </c>
      <c r="F158" s="48" t="s">
        <v>27</v>
      </c>
      <c r="G158" s="48" t="s">
        <v>1261</v>
      </c>
      <c r="H158" s="48" t="s">
        <v>72</v>
      </c>
      <c r="I158" s="48" t="s">
        <v>483</v>
      </c>
      <c r="J158" s="48" t="s">
        <v>1646</v>
      </c>
      <c r="K158" s="48" t="s">
        <v>26</v>
      </c>
      <c r="L158" s="50">
        <v>9484337.5</v>
      </c>
      <c r="M158" s="50">
        <v>1</v>
      </c>
      <c r="N158" s="50">
        <v>9484337.5</v>
      </c>
      <c r="O158" s="421">
        <v>45972</v>
      </c>
    </row>
    <row r="159" spans="1:15" ht="15.75" x14ac:dyDescent="0.25">
      <c r="A159" s="48" t="s">
        <v>1251</v>
      </c>
      <c r="B159" s="421">
        <v>45921</v>
      </c>
      <c r="C159" s="48" t="s">
        <v>918</v>
      </c>
      <c r="D159" s="48" t="s">
        <v>856</v>
      </c>
      <c r="E159" s="48" t="s">
        <v>95</v>
      </c>
      <c r="F159" s="48" t="s">
        <v>27</v>
      </c>
      <c r="G159" s="48" t="s">
        <v>1200</v>
      </c>
      <c r="H159" s="48" t="s">
        <v>72</v>
      </c>
      <c r="I159" s="48" t="s">
        <v>511</v>
      </c>
      <c r="J159" s="48" t="s">
        <v>1236</v>
      </c>
      <c r="K159" s="48" t="s">
        <v>26</v>
      </c>
      <c r="L159" s="50">
        <v>407201.89</v>
      </c>
      <c r="M159" s="50">
        <v>1</v>
      </c>
      <c r="N159" s="50">
        <v>407201.89</v>
      </c>
      <c r="O159" s="421">
        <v>45921</v>
      </c>
    </row>
    <row r="160" spans="1:15" ht="15.75" x14ac:dyDescent="0.25">
      <c r="A160" s="48" t="s">
        <v>1449</v>
      </c>
      <c r="B160" s="421">
        <v>45881</v>
      </c>
      <c r="C160" s="48" t="s">
        <v>918</v>
      </c>
      <c r="D160" s="48" t="s">
        <v>856</v>
      </c>
      <c r="E160" s="48" t="s">
        <v>95</v>
      </c>
      <c r="F160" s="48" t="s">
        <v>27</v>
      </c>
      <c r="G160" s="48" t="s">
        <v>1254</v>
      </c>
      <c r="H160" s="48" t="s">
        <v>72</v>
      </c>
      <c r="I160" s="48" t="s">
        <v>511</v>
      </c>
      <c r="J160" s="48" t="s">
        <v>1236</v>
      </c>
      <c r="K160" s="48" t="s">
        <v>26</v>
      </c>
      <c r="L160" s="50">
        <v>458740.58</v>
      </c>
      <c r="M160" s="50">
        <v>1</v>
      </c>
      <c r="N160" s="50">
        <v>458740.58</v>
      </c>
      <c r="O160" s="421">
        <v>45890</v>
      </c>
    </row>
    <row r="161" spans="1:15" ht="15.75" x14ac:dyDescent="0.25">
      <c r="A161" s="48" t="s">
        <v>1420</v>
      </c>
      <c r="B161" s="421">
        <v>45921</v>
      </c>
      <c r="C161" s="48" t="s">
        <v>916</v>
      </c>
      <c r="D161" s="48" t="s">
        <v>856</v>
      </c>
      <c r="E161" s="48" t="s">
        <v>95</v>
      </c>
      <c r="F161" s="48" t="s">
        <v>27</v>
      </c>
      <c r="G161" s="48" t="s">
        <v>177</v>
      </c>
      <c r="H161" s="48" t="s">
        <v>24</v>
      </c>
      <c r="I161" s="48" t="s">
        <v>22</v>
      </c>
      <c r="J161" s="48" t="s">
        <v>1132</v>
      </c>
      <c r="K161" s="48" t="s">
        <v>26</v>
      </c>
      <c r="L161" s="50">
        <v>1353135.09</v>
      </c>
      <c r="M161" s="50">
        <v>1</v>
      </c>
      <c r="N161" s="50">
        <v>1353135.09</v>
      </c>
      <c r="O161" s="421">
        <v>45973</v>
      </c>
    </row>
    <row r="162" spans="1:15" ht="15.75" x14ac:dyDescent="0.25">
      <c r="A162" s="48" t="s">
        <v>717</v>
      </c>
      <c r="B162" s="421">
        <v>45886</v>
      </c>
      <c r="C162" s="48" t="s">
        <v>916</v>
      </c>
      <c r="D162" s="48" t="s">
        <v>856</v>
      </c>
      <c r="E162" s="48" t="s">
        <v>612</v>
      </c>
      <c r="F162" s="48" t="s">
        <v>27</v>
      </c>
      <c r="G162" s="48" t="s">
        <v>718</v>
      </c>
      <c r="H162" s="48" t="s">
        <v>24</v>
      </c>
      <c r="I162" s="48" t="s">
        <v>613</v>
      </c>
      <c r="J162" s="48" t="s">
        <v>1135</v>
      </c>
      <c r="K162" s="48" t="s">
        <v>26</v>
      </c>
      <c r="L162" s="50">
        <v>646875</v>
      </c>
      <c r="M162" s="50">
        <v>1</v>
      </c>
      <c r="N162" s="50">
        <v>646875</v>
      </c>
      <c r="O162" s="421">
        <v>45943</v>
      </c>
    </row>
    <row r="163" spans="1:15" ht="15.75" x14ac:dyDescent="0.25">
      <c r="A163" s="48" t="s">
        <v>1396</v>
      </c>
      <c r="B163" s="421">
        <v>45882</v>
      </c>
      <c r="C163" s="48" t="s">
        <v>916</v>
      </c>
      <c r="D163" s="48" t="s">
        <v>856</v>
      </c>
      <c r="E163" s="48" t="s">
        <v>612</v>
      </c>
      <c r="F163" s="48" t="s">
        <v>27</v>
      </c>
      <c r="G163" s="48" t="s">
        <v>1390</v>
      </c>
      <c r="H163" s="48" t="s">
        <v>24</v>
      </c>
      <c r="I163" s="48" t="s">
        <v>613</v>
      </c>
      <c r="J163" s="48" t="s">
        <v>1135</v>
      </c>
      <c r="K163" s="48" t="s">
        <v>26</v>
      </c>
      <c r="L163" s="50">
        <v>125131.5</v>
      </c>
      <c r="M163" s="50">
        <v>1</v>
      </c>
      <c r="N163" s="50">
        <v>125131.5</v>
      </c>
      <c r="O163" s="421">
        <v>45943</v>
      </c>
    </row>
    <row r="164" spans="1:15" ht="15.75" x14ac:dyDescent="0.25">
      <c r="A164" s="48" t="s">
        <v>1426</v>
      </c>
      <c r="B164" s="421">
        <v>45924</v>
      </c>
      <c r="C164" s="48" t="s">
        <v>916</v>
      </c>
      <c r="D164" s="48" t="s">
        <v>858</v>
      </c>
      <c r="E164" s="48" t="s">
        <v>95</v>
      </c>
      <c r="F164" s="48" t="s">
        <v>27</v>
      </c>
      <c r="G164" s="48" t="s">
        <v>1320</v>
      </c>
      <c r="H164" s="48" t="s">
        <v>24</v>
      </c>
      <c r="I164" s="48" t="s">
        <v>22</v>
      </c>
      <c r="J164" s="48" t="s">
        <v>1132</v>
      </c>
      <c r="K164" s="48" t="s">
        <v>26</v>
      </c>
      <c r="L164" s="50">
        <v>1000000</v>
      </c>
      <c r="M164" s="50">
        <v>1</v>
      </c>
      <c r="N164" s="50">
        <v>1000000</v>
      </c>
      <c r="O164" s="421">
        <v>45959</v>
      </c>
    </row>
    <row r="165" spans="1:15" ht="15.75" x14ac:dyDescent="0.25">
      <c r="A165" s="48" t="s">
        <v>723</v>
      </c>
      <c r="B165" s="421">
        <v>45876</v>
      </c>
      <c r="C165" s="48" t="s">
        <v>916</v>
      </c>
      <c r="D165" s="48" t="s">
        <v>858</v>
      </c>
      <c r="E165" s="48" t="s">
        <v>612</v>
      </c>
      <c r="F165" s="48" t="s">
        <v>27</v>
      </c>
      <c r="G165" s="48" t="s">
        <v>724</v>
      </c>
      <c r="H165" s="48" t="s">
        <v>24</v>
      </c>
      <c r="I165" s="48" t="s">
        <v>613</v>
      </c>
      <c r="J165" s="48" t="s">
        <v>1135</v>
      </c>
      <c r="K165" s="48" t="s">
        <v>26</v>
      </c>
      <c r="L165" s="50">
        <v>502268.01</v>
      </c>
      <c r="M165" s="50">
        <v>1</v>
      </c>
      <c r="N165" s="50">
        <v>502268.01</v>
      </c>
      <c r="O165" s="421">
        <v>45949</v>
      </c>
    </row>
    <row r="166" spans="1:15" ht="15.75" x14ac:dyDescent="0.25">
      <c r="A166" s="48" t="s">
        <v>1233</v>
      </c>
      <c r="B166" s="421">
        <v>45916</v>
      </c>
      <c r="C166" s="48" t="s">
        <v>918</v>
      </c>
      <c r="D166" s="48" t="s">
        <v>856</v>
      </c>
      <c r="E166" s="48" t="s">
        <v>612</v>
      </c>
      <c r="F166" s="48" t="s">
        <v>27</v>
      </c>
      <c r="G166" s="48" t="s">
        <v>1207</v>
      </c>
      <c r="H166" s="48" t="s">
        <v>24</v>
      </c>
      <c r="I166" s="48" t="s">
        <v>613</v>
      </c>
      <c r="J166" s="48" t="s">
        <v>1135</v>
      </c>
      <c r="K166" s="48" t="s">
        <v>26</v>
      </c>
      <c r="L166" s="50">
        <v>456166</v>
      </c>
      <c r="M166" s="50">
        <v>1</v>
      </c>
      <c r="N166" s="50">
        <v>456166</v>
      </c>
      <c r="O166" s="421">
        <v>45942</v>
      </c>
    </row>
    <row r="167" spans="1:15" ht="15.75" x14ac:dyDescent="0.25">
      <c r="A167" s="48" t="s">
        <v>1424</v>
      </c>
      <c r="B167" s="421">
        <v>45924</v>
      </c>
      <c r="C167" s="48" t="s">
        <v>916</v>
      </c>
      <c r="D167" s="48" t="s">
        <v>858</v>
      </c>
      <c r="E167" s="48" t="s">
        <v>95</v>
      </c>
      <c r="F167" s="48" t="s">
        <v>27</v>
      </c>
      <c r="G167" s="48" t="s">
        <v>773</v>
      </c>
      <c r="H167" s="48" t="s">
        <v>24</v>
      </c>
      <c r="I167" s="48" t="s">
        <v>22</v>
      </c>
      <c r="J167" s="48" t="s">
        <v>1132</v>
      </c>
      <c r="K167" s="48" t="s">
        <v>26</v>
      </c>
      <c r="L167" s="50">
        <v>734118.99</v>
      </c>
      <c r="M167" s="50">
        <v>1</v>
      </c>
      <c r="N167" s="50">
        <v>734118.99</v>
      </c>
      <c r="O167" s="421">
        <v>45959</v>
      </c>
    </row>
    <row r="168" spans="1:15" ht="15.75" x14ac:dyDescent="0.25">
      <c r="A168" s="48" t="s">
        <v>1417</v>
      </c>
      <c r="B168" s="421">
        <v>45928</v>
      </c>
      <c r="C168" s="48" t="s">
        <v>916</v>
      </c>
      <c r="D168" s="48" t="s">
        <v>856</v>
      </c>
      <c r="E168" s="48" t="s">
        <v>95</v>
      </c>
      <c r="F168" s="48" t="s">
        <v>27</v>
      </c>
      <c r="G168" s="48" t="s">
        <v>1329</v>
      </c>
      <c r="H168" s="48" t="s">
        <v>24</v>
      </c>
      <c r="I168" s="48" t="s">
        <v>22</v>
      </c>
      <c r="J168" s="48" t="s">
        <v>1132</v>
      </c>
      <c r="K168" s="48" t="s">
        <v>26</v>
      </c>
      <c r="L168" s="50">
        <v>524263.78</v>
      </c>
      <c r="M168" s="50">
        <v>1</v>
      </c>
      <c r="N168" s="50">
        <v>524263.78</v>
      </c>
      <c r="O168" s="421">
        <v>45960</v>
      </c>
    </row>
    <row r="169" spans="1:15" ht="15.75" x14ac:dyDescent="0.25">
      <c r="A169" s="48" t="s">
        <v>1569</v>
      </c>
      <c r="B169" s="421">
        <v>45911</v>
      </c>
      <c r="C169" s="48" t="s">
        <v>916</v>
      </c>
      <c r="D169" s="48" t="s">
        <v>856</v>
      </c>
      <c r="E169" s="48" t="s">
        <v>612</v>
      </c>
      <c r="F169" s="48" t="s">
        <v>27</v>
      </c>
      <c r="G169" s="48" t="s">
        <v>177</v>
      </c>
      <c r="H169" s="48" t="s">
        <v>24</v>
      </c>
      <c r="I169" s="48" t="s">
        <v>613</v>
      </c>
      <c r="J169" s="48" t="s">
        <v>1135</v>
      </c>
      <c r="K169" s="48" t="s">
        <v>26</v>
      </c>
      <c r="L169" s="50">
        <v>2595590.6</v>
      </c>
      <c r="M169" s="50">
        <v>1</v>
      </c>
      <c r="N169" s="50">
        <v>2595590.6</v>
      </c>
      <c r="O169" s="421">
        <v>45958</v>
      </c>
    </row>
    <row r="170" spans="1:15" ht="15.75" x14ac:dyDescent="0.25">
      <c r="A170" s="48" t="s">
        <v>1649</v>
      </c>
      <c r="B170" s="421">
        <v>45909</v>
      </c>
      <c r="C170" s="48" t="s">
        <v>916</v>
      </c>
      <c r="D170" s="48" t="s">
        <v>856</v>
      </c>
      <c r="E170" s="48" t="s">
        <v>366</v>
      </c>
      <c r="F170" s="48" t="s">
        <v>27</v>
      </c>
      <c r="G170" s="48" t="s">
        <v>1611</v>
      </c>
      <c r="H170" s="48" t="s">
        <v>24</v>
      </c>
      <c r="I170" s="48" t="s">
        <v>367</v>
      </c>
      <c r="J170" s="48" t="s">
        <v>1136</v>
      </c>
      <c r="K170" s="48" t="s">
        <v>26</v>
      </c>
      <c r="L170" s="50">
        <v>621000</v>
      </c>
      <c r="M170" s="50">
        <v>1</v>
      </c>
      <c r="N170" s="50">
        <v>621000</v>
      </c>
      <c r="O170" s="421">
        <v>46007</v>
      </c>
    </row>
    <row r="171" spans="1:15" ht="15.75" x14ac:dyDescent="0.25">
      <c r="A171" s="48" t="s">
        <v>1423</v>
      </c>
      <c r="B171" s="421">
        <v>45957</v>
      </c>
      <c r="C171" s="48" t="s">
        <v>916</v>
      </c>
      <c r="D171" s="48" t="s">
        <v>858</v>
      </c>
      <c r="E171" s="48" t="s">
        <v>95</v>
      </c>
      <c r="F171" s="48" t="s">
        <v>27</v>
      </c>
      <c r="G171" s="48" t="s">
        <v>1327</v>
      </c>
      <c r="H171" s="48" t="s">
        <v>24</v>
      </c>
      <c r="I171" s="48" t="s">
        <v>22</v>
      </c>
      <c r="J171" s="48" t="s">
        <v>1132</v>
      </c>
      <c r="K171" s="48" t="s">
        <v>26</v>
      </c>
      <c r="L171" s="50">
        <v>547153.37</v>
      </c>
      <c r="M171" s="50">
        <v>1</v>
      </c>
      <c r="N171" s="50">
        <v>547153.37</v>
      </c>
      <c r="O171" s="421">
        <v>45986</v>
      </c>
    </row>
    <row r="172" spans="1:15" ht="15.75" x14ac:dyDescent="0.25">
      <c r="A172" s="48" t="s">
        <v>1397</v>
      </c>
      <c r="B172" s="421">
        <v>45916</v>
      </c>
      <c r="C172" s="48" t="s">
        <v>916</v>
      </c>
      <c r="D172" s="48" t="s">
        <v>856</v>
      </c>
      <c r="E172" s="48" t="s">
        <v>612</v>
      </c>
      <c r="F172" s="48" t="s">
        <v>27</v>
      </c>
      <c r="G172" s="48" t="s">
        <v>1391</v>
      </c>
      <c r="H172" s="48" t="s">
        <v>24</v>
      </c>
      <c r="I172" s="48" t="s">
        <v>613</v>
      </c>
      <c r="J172" s="48" t="s">
        <v>1135</v>
      </c>
      <c r="K172" s="48" t="s">
        <v>26</v>
      </c>
      <c r="L172" s="50">
        <v>552155.25</v>
      </c>
      <c r="M172" s="50">
        <v>1</v>
      </c>
      <c r="N172" s="50">
        <v>552155.25</v>
      </c>
      <c r="O172" s="421">
        <v>45964</v>
      </c>
    </row>
    <row r="173" spans="1:15" ht="15.75" x14ac:dyDescent="0.25">
      <c r="A173" s="48" t="s">
        <v>1616</v>
      </c>
      <c r="B173" s="421">
        <v>45914</v>
      </c>
      <c r="C173" s="48" t="s">
        <v>916</v>
      </c>
      <c r="D173" s="48" t="s">
        <v>856</v>
      </c>
      <c r="E173" s="48" t="s">
        <v>95</v>
      </c>
      <c r="F173" s="48" t="s">
        <v>27</v>
      </c>
      <c r="G173" s="48" t="s">
        <v>1567</v>
      </c>
      <c r="H173" s="48" t="s">
        <v>24</v>
      </c>
      <c r="I173" s="48" t="s">
        <v>407</v>
      </c>
      <c r="J173" s="48" t="s">
        <v>1131</v>
      </c>
      <c r="K173" s="48" t="s">
        <v>26</v>
      </c>
      <c r="L173" s="50">
        <v>150000</v>
      </c>
      <c r="M173" s="50">
        <v>1</v>
      </c>
      <c r="N173" s="50">
        <v>150000</v>
      </c>
      <c r="O173" s="421">
        <v>45995</v>
      </c>
    </row>
    <row r="174" spans="1:15" ht="15.75" x14ac:dyDescent="0.25">
      <c r="A174" s="48" t="s">
        <v>1559</v>
      </c>
      <c r="B174" s="421">
        <v>45916</v>
      </c>
      <c r="C174" s="48" t="s">
        <v>916</v>
      </c>
      <c r="D174" s="48" t="s">
        <v>856</v>
      </c>
      <c r="E174" s="48" t="s">
        <v>612</v>
      </c>
      <c r="F174" s="48" t="s">
        <v>27</v>
      </c>
      <c r="G174" s="48" t="s">
        <v>1545</v>
      </c>
      <c r="H174" s="48" t="s">
        <v>24</v>
      </c>
      <c r="I174" s="48" t="s">
        <v>613</v>
      </c>
      <c r="J174" s="48" t="s">
        <v>1135</v>
      </c>
      <c r="K174" s="48" t="s">
        <v>26</v>
      </c>
      <c r="L174" s="50">
        <v>225103.44</v>
      </c>
      <c r="M174" s="50">
        <v>1</v>
      </c>
      <c r="N174" s="50">
        <v>225103.44</v>
      </c>
      <c r="O174" s="421">
        <v>45979</v>
      </c>
    </row>
    <row r="175" spans="1:15" ht="15.75" x14ac:dyDescent="0.25">
      <c r="A175" s="48" t="s">
        <v>1555</v>
      </c>
      <c r="B175" s="421">
        <v>45964</v>
      </c>
      <c r="C175" s="48" t="s">
        <v>916</v>
      </c>
      <c r="D175" s="48" t="s">
        <v>858</v>
      </c>
      <c r="E175" s="48" t="s">
        <v>21</v>
      </c>
      <c r="F175" s="48" t="s">
        <v>27</v>
      </c>
      <c r="G175" s="48" t="s">
        <v>1541</v>
      </c>
      <c r="H175" s="48" t="s">
        <v>72</v>
      </c>
      <c r="I175" s="48" t="s">
        <v>22</v>
      </c>
      <c r="J175" s="48" t="s">
        <v>1132</v>
      </c>
      <c r="K175" s="48" t="s">
        <v>26</v>
      </c>
      <c r="L175" s="50">
        <v>10095188.34</v>
      </c>
      <c r="M175" s="50">
        <v>1</v>
      </c>
      <c r="N175" s="50">
        <v>10095188.34</v>
      </c>
      <c r="O175" s="421">
        <v>45977</v>
      </c>
    </row>
    <row r="176" spans="1:15" ht="15.75" x14ac:dyDescent="0.25">
      <c r="A176" s="48" t="s">
        <v>1558</v>
      </c>
      <c r="B176" s="421">
        <v>45918</v>
      </c>
      <c r="C176" s="48" t="s">
        <v>916</v>
      </c>
      <c r="D176" s="48" t="s">
        <v>856</v>
      </c>
      <c r="E176" s="48" t="s">
        <v>612</v>
      </c>
      <c r="F176" s="48" t="s">
        <v>27</v>
      </c>
      <c r="G176" s="48" t="s">
        <v>1544</v>
      </c>
      <c r="H176" s="48" t="s">
        <v>24</v>
      </c>
      <c r="I176" s="48" t="s">
        <v>613</v>
      </c>
      <c r="J176" s="48" t="s">
        <v>1135</v>
      </c>
      <c r="K176" s="48" t="s">
        <v>26</v>
      </c>
      <c r="L176" s="50">
        <v>472000</v>
      </c>
      <c r="M176" s="50">
        <v>1</v>
      </c>
      <c r="N176" s="50">
        <v>472000</v>
      </c>
      <c r="O176" s="421">
        <v>45963</v>
      </c>
    </row>
    <row r="177" spans="1:15" ht="15.75" x14ac:dyDescent="0.25">
      <c r="A177" s="48" t="s">
        <v>1231</v>
      </c>
      <c r="B177" s="421">
        <v>45916</v>
      </c>
      <c r="C177" s="48" t="s">
        <v>918</v>
      </c>
      <c r="D177" s="48" t="s">
        <v>856</v>
      </c>
      <c r="E177" s="48" t="s">
        <v>612</v>
      </c>
      <c r="F177" s="48" t="s">
        <v>27</v>
      </c>
      <c r="G177" s="48" t="s">
        <v>155</v>
      </c>
      <c r="H177" s="48" t="s">
        <v>24</v>
      </c>
      <c r="I177" s="48" t="s">
        <v>613</v>
      </c>
      <c r="J177" s="48" t="s">
        <v>1135</v>
      </c>
      <c r="K177" s="48" t="s">
        <v>26</v>
      </c>
      <c r="L177" s="50">
        <v>329151.09999999998</v>
      </c>
      <c r="M177" s="50">
        <v>1</v>
      </c>
      <c r="N177" s="50">
        <v>329151.09999999998</v>
      </c>
      <c r="O177" s="421">
        <v>45978</v>
      </c>
    </row>
    <row r="178" spans="1:15" ht="15.75" x14ac:dyDescent="0.25">
      <c r="A178" s="48" t="s">
        <v>1610</v>
      </c>
      <c r="B178" s="421">
        <v>45939</v>
      </c>
      <c r="C178" s="48" t="s">
        <v>918</v>
      </c>
      <c r="D178" s="48" t="s">
        <v>856</v>
      </c>
      <c r="E178" s="48" t="s">
        <v>612</v>
      </c>
      <c r="F178" s="48" t="s">
        <v>27</v>
      </c>
      <c r="G178" s="48" t="s">
        <v>1556</v>
      </c>
      <c r="H178" s="48" t="s">
        <v>72</v>
      </c>
      <c r="I178" s="48" t="s">
        <v>613</v>
      </c>
      <c r="J178" s="48" t="s">
        <v>1135</v>
      </c>
      <c r="K178" s="48" t="s">
        <v>26</v>
      </c>
      <c r="L178" s="50">
        <v>359031.77</v>
      </c>
      <c r="M178" s="50">
        <v>1</v>
      </c>
      <c r="N178" s="50">
        <v>359031.77</v>
      </c>
      <c r="O178" s="421">
        <v>45943</v>
      </c>
    </row>
    <row r="179" spans="1:15" ht="15.75" x14ac:dyDescent="0.25">
      <c r="A179" s="48" t="s">
        <v>721</v>
      </c>
      <c r="B179" s="421">
        <v>45945</v>
      </c>
      <c r="C179" s="48" t="s">
        <v>924</v>
      </c>
      <c r="D179" s="48" t="s">
        <v>856</v>
      </c>
      <c r="E179" s="48" t="s">
        <v>612</v>
      </c>
      <c r="F179" s="48" t="s">
        <v>27</v>
      </c>
      <c r="G179" s="48" t="s">
        <v>177</v>
      </c>
      <c r="H179" s="48" t="s">
        <v>24</v>
      </c>
      <c r="I179" s="48" t="s">
        <v>613</v>
      </c>
      <c r="J179" s="48" t="s">
        <v>1135</v>
      </c>
      <c r="K179" s="48" t="s">
        <v>26</v>
      </c>
      <c r="L179" s="50">
        <v>733654</v>
      </c>
      <c r="M179" s="50">
        <v>1</v>
      </c>
      <c r="N179" s="50">
        <v>733654</v>
      </c>
      <c r="O179" s="421">
        <v>45988</v>
      </c>
    </row>
    <row r="180" spans="1:15" ht="15.75" x14ac:dyDescent="0.25">
      <c r="A180" s="48" t="s">
        <v>1569</v>
      </c>
      <c r="B180" s="421">
        <v>45946</v>
      </c>
      <c r="C180" s="48" t="s">
        <v>918</v>
      </c>
      <c r="D180" s="48" t="s">
        <v>856</v>
      </c>
      <c r="E180" s="48" t="s">
        <v>612</v>
      </c>
      <c r="F180" s="48" t="s">
        <v>27</v>
      </c>
      <c r="G180" s="48" t="s">
        <v>177</v>
      </c>
      <c r="H180" s="48" t="s">
        <v>24</v>
      </c>
      <c r="I180" s="48" t="s">
        <v>613</v>
      </c>
      <c r="J180" s="48" t="s">
        <v>1135</v>
      </c>
      <c r="K180" s="48" t="s">
        <v>26</v>
      </c>
      <c r="L180" s="50">
        <v>1036414.51</v>
      </c>
      <c r="M180" s="50">
        <v>1</v>
      </c>
      <c r="N180" s="50">
        <v>1036414.51</v>
      </c>
      <c r="O180" s="421">
        <v>45987</v>
      </c>
    </row>
    <row r="181" spans="1:15" ht="15.75" x14ac:dyDescent="0.25">
      <c r="A181" s="48" t="s">
        <v>1779</v>
      </c>
      <c r="B181" s="421">
        <v>45925</v>
      </c>
      <c r="C181" s="48" t="s">
        <v>916</v>
      </c>
      <c r="D181" s="48" t="s">
        <v>858</v>
      </c>
      <c r="E181" s="48" t="s">
        <v>62</v>
      </c>
      <c r="F181" s="48" t="s">
        <v>70</v>
      </c>
      <c r="G181" s="48" t="s">
        <v>1724</v>
      </c>
      <c r="H181" s="48" t="s">
        <v>869</v>
      </c>
      <c r="I181" s="48" t="s">
        <v>1762</v>
      </c>
      <c r="J181" s="48" t="s">
        <v>917</v>
      </c>
      <c r="K181" s="48" t="s">
        <v>26</v>
      </c>
      <c r="L181" s="50">
        <v>313581.86</v>
      </c>
      <c r="M181" s="50">
        <v>1</v>
      </c>
      <c r="N181" s="50">
        <v>313581.86</v>
      </c>
      <c r="O181" s="421">
        <v>45943</v>
      </c>
    </row>
    <row r="182" spans="1:15" ht="15.75" x14ac:dyDescent="0.25">
      <c r="A182" s="48" t="s">
        <v>1742</v>
      </c>
      <c r="B182" s="421">
        <v>45938</v>
      </c>
      <c r="C182" s="48" t="s">
        <v>916</v>
      </c>
      <c r="D182" s="48" t="s">
        <v>856</v>
      </c>
      <c r="E182" s="48" t="s">
        <v>62</v>
      </c>
      <c r="F182" s="48" t="s">
        <v>70</v>
      </c>
      <c r="G182" s="48" t="s">
        <v>1707</v>
      </c>
      <c r="H182" s="48" t="s">
        <v>869</v>
      </c>
      <c r="I182" s="48" t="s">
        <v>1762</v>
      </c>
      <c r="J182" s="48" t="s">
        <v>917</v>
      </c>
      <c r="K182" s="48" t="s">
        <v>26</v>
      </c>
      <c r="L182" s="50">
        <v>397922</v>
      </c>
      <c r="M182" s="50">
        <v>1</v>
      </c>
      <c r="N182" s="50">
        <v>397922</v>
      </c>
      <c r="O182" s="421">
        <v>45939</v>
      </c>
    </row>
    <row r="183" spans="1:15" ht="15.75" x14ac:dyDescent="0.25">
      <c r="A183" s="48" t="s">
        <v>1820</v>
      </c>
      <c r="B183" s="421">
        <v>45944</v>
      </c>
      <c r="C183" s="48" t="s">
        <v>916</v>
      </c>
      <c r="D183" s="48" t="s">
        <v>856</v>
      </c>
      <c r="E183" s="48" t="s">
        <v>612</v>
      </c>
      <c r="F183" s="48" t="s">
        <v>27</v>
      </c>
      <c r="G183" s="48" t="s">
        <v>1702</v>
      </c>
      <c r="H183" s="48" t="s">
        <v>24</v>
      </c>
      <c r="I183" s="48" t="s">
        <v>613</v>
      </c>
      <c r="J183" s="48" t="s">
        <v>1135</v>
      </c>
      <c r="K183" s="48" t="s">
        <v>26</v>
      </c>
      <c r="L183" s="50">
        <v>148350</v>
      </c>
      <c r="M183" s="50">
        <v>1</v>
      </c>
      <c r="N183" s="50">
        <v>148350</v>
      </c>
      <c r="O183" s="421">
        <v>45991</v>
      </c>
    </row>
    <row r="184" spans="1:15" ht="15.75" x14ac:dyDescent="0.25">
      <c r="A184" s="48" t="s">
        <v>1617</v>
      </c>
      <c r="B184" s="421">
        <v>45935</v>
      </c>
      <c r="C184" s="48" t="s">
        <v>916</v>
      </c>
      <c r="D184" s="48" t="s">
        <v>858</v>
      </c>
      <c r="E184" s="48" t="s">
        <v>95</v>
      </c>
      <c r="F184" s="48" t="s">
        <v>27</v>
      </c>
      <c r="G184" s="48" t="s">
        <v>1571</v>
      </c>
      <c r="H184" s="48" t="s">
        <v>24</v>
      </c>
      <c r="I184" s="48" t="s">
        <v>407</v>
      </c>
      <c r="J184" s="48" t="s">
        <v>1131</v>
      </c>
      <c r="K184" s="48" t="s">
        <v>26</v>
      </c>
      <c r="L184" s="50">
        <v>184701.44</v>
      </c>
      <c r="M184" s="50">
        <v>1</v>
      </c>
      <c r="N184" s="50">
        <v>184701.44</v>
      </c>
      <c r="O184" s="421">
        <v>46029</v>
      </c>
    </row>
    <row r="185" spans="1:15" ht="15.75" x14ac:dyDescent="0.25">
      <c r="A185" s="48" t="s">
        <v>1447</v>
      </c>
      <c r="B185" s="421">
        <v>45935</v>
      </c>
      <c r="C185" s="48" t="s">
        <v>918</v>
      </c>
      <c r="D185" s="48" t="s">
        <v>856</v>
      </c>
      <c r="E185" s="48" t="s">
        <v>612</v>
      </c>
      <c r="F185" s="48" t="s">
        <v>27</v>
      </c>
      <c r="G185" s="48" t="s">
        <v>1416</v>
      </c>
      <c r="H185" s="48" t="s">
        <v>24</v>
      </c>
      <c r="I185" s="48" t="s">
        <v>613</v>
      </c>
      <c r="J185" s="48" t="s">
        <v>1135</v>
      </c>
      <c r="K185" s="48" t="s">
        <v>26</v>
      </c>
      <c r="L185" s="50">
        <v>564484.85</v>
      </c>
      <c r="M185" s="50">
        <v>1</v>
      </c>
      <c r="N185" s="50">
        <v>564484.85</v>
      </c>
      <c r="O185" s="421">
        <v>45991</v>
      </c>
    </row>
    <row r="186" spans="1:15" ht="15.75" x14ac:dyDescent="0.25">
      <c r="A186" s="48" t="s">
        <v>1610</v>
      </c>
      <c r="B186" s="421">
        <v>45932</v>
      </c>
      <c r="C186" s="48" t="s">
        <v>916</v>
      </c>
      <c r="D186" s="48" t="s">
        <v>856</v>
      </c>
      <c r="E186" s="48" t="s">
        <v>612</v>
      </c>
      <c r="F186" s="48" t="s">
        <v>27</v>
      </c>
      <c r="G186" s="48" t="s">
        <v>1556</v>
      </c>
      <c r="H186" s="48" t="s">
        <v>72</v>
      </c>
      <c r="I186" s="48" t="s">
        <v>613</v>
      </c>
      <c r="J186" s="48" t="s">
        <v>1135</v>
      </c>
      <c r="K186" s="48" t="s">
        <v>26</v>
      </c>
      <c r="L186" s="50">
        <v>450632</v>
      </c>
      <c r="M186" s="50">
        <v>1</v>
      </c>
      <c r="N186" s="50">
        <v>450632</v>
      </c>
      <c r="O186" s="421">
        <v>45960</v>
      </c>
    </row>
    <row r="187" spans="1:15" ht="15.75" x14ac:dyDescent="0.25">
      <c r="A187" s="48" t="s">
        <v>1558</v>
      </c>
      <c r="B187" s="421">
        <v>45932</v>
      </c>
      <c r="C187" s="48" t="s">
        <v>918</v>
      </c>
      <c r="D187" s="48" t="s">
        <v>856</v>
      </c>
      <c r="E187" s="48" t="s">
        <v>612</v>
      </c>
      <c r="F187" s="48" t="s">
        <v>27</v>
      </c>
      <c r="G187" s="48" t="s">
        <v>1544</v>
      </c>
      <c r="H187" s="48" t="s">
        <v>24</v>
      </c>
      <c r="I187" s="48" t="s">
        <v>613</v>
      </c>
      <c r="J187" s="48" t="s">
        <v>1135</v>
      </c>
      <c r="K187" s="48" t="s">
        <v>26</v>
      </c>
      <c r="L187" s="50">
        <v>528000</v>
      </c>
      <c r="M187" s="50">
        <v>1</v>
      </c>
      <c r="N187" s="50">
        <v>528000</v>
      </c>
      <c r="O187" s="421">
        <v>45992</v>
      </c>
    </row>
    <row r="188" spans="1:15" ht="15.75" x14ac:dyDescent="0.25">
      <c r="A188" s="48" t="s">
        <v>1814</v>
      </c>
      <c r="B188" s="421">
        <v>45945</v>
      </c>
      <c r="C188" s="48" t="s">
        <v>916</v>
      </c>
      <c r="D188" s="48" t="s">
        <v>856</v>
      </c>
      <c r="E188" s="48" t="s">
        <v>612</v>
      </c>
      <c r="F188" s="48" t="s">
        <v>27</v>
      </c>
      <c r="G188" s="48" t="s">
        <v>177</v>
      </c>
      <c r="H188" s="48" t="s">
        <v>24</v>
      </c>
      <c r="I188" s="48" t="s">
        <v>613</v>
      </c>
      <c r="J188" s="48" t="s">
        <v>1135</v>
      </c>
      <c r="K188" s="48" t="s">
        <v>26</v>
      </c>
      <c r="L188" s="50">
        <v>1000000</v>
      </c>
      <c r="M188" s="50">
        <v>1</v>
      </c>
      <c r="N188" s="50">
        <v>1000000</v>
      </c>
      <c r="O188" s="421">
        <v>46002</v>
      </c>
    </row>
    <row r="189" spans="1:15" ht="15.75" x14ac:dyDescent="0.25">
      <c r="A189" s="48" t="s">
        <v>694</v>
      </c>
      <c r="B189" s="421">
        <v>45945</v>
      </c>
      <c r="C189" s="48" t="s">
        <v>928</v>
      </c>
      <c r="D189" s="48" t="s">
        <v>856</v>
      </c>
      <c r="E189" s="48" t="s">
        <v>612</v>
      </c>
      <c r="F189" s="48" t="s">
        <v>27</v>
      </c>
      <c r="G189" s="48" t="s">
        <v>695</v>
      </c>
      <c r="H189" s="48" t="s">
        <v>24</v>
      </c>
      <c r="I189" s="48" t="s">
        <v>613</v>
      </c>
      <c r="J189" s="48" t="s">
        <v>1135</v>
      </c>
      <c r="K189" s="48" t="s">
        <v>26</v>
      </c>
      <c r="L189" s="50">
        <v>119761.29</v>
      </c>
      <c r="M189" s="50">
        <v>1</v>
      </c>
      <c r="N189" s="50">
        <v>119761.29</v>
      </c>
      <c r="O189" s="421">
        <v>46034</v>
      </c>
    </row>
    <row r="190" spans="1:15" ht="15.75" x14ac:dyDescent="0.25">
      <c r="A190" s="48" t="s">
        <v>1569</v>
      </c>
      <c r="B190" s="421">
        <v>45995</v>
      </c>
      <c r="C190" s="48" t="s">
        <v>924</v>
      </c>
      <c r="D190" s="48" t="s">
        <v>856</v>
      </c>
      <c r="E190" s="48" t="s">
        <v>612</v>
      </c>
      <c r="F190" s="48" t="s">
        <v>27</v>
      </c>
      <c r="G190" s="48" t="s">
        <v>177</v>
      </c>
      <c r="H190" s="48" t="s">
        <v>24</v>
      </c>
      <c r="I190" s="48" t="s">
        <v>613</v>
      </c>
      <c r="J190" s="48" t="s">
        <v>1135</v>
      </c>
      <c r="K190" s="48" t="s">
        <v>26</v>
      </c>
      <c r="L190" s="50">
        <v>368005.11</v>
      </c>
      <c r="M190" s="50">
        <v>1</v>
      </c>
      <c r="N190" s="50">
        <v>368005.11</v>
      </c>
      <c r="O190" s="421">
        <v>46002</v>
      </c>
    </row>
    <row r="191" spans="1:15" ht="15.75" x14ac:dyDescent="0.25">
      <c r="A191" s="48" t="s">
        <v>1810</v>
      </c>
      <c r="B191" s="421">
        <v>45942</v>
      </c>
      <c r="C191" s="48" t="s">
        <v>918</v>
      </c>
      <c r="D191" s="48" t="s">
        <v>856</v>
      </c>
      <c r="E191" s="48" t="s">
        <v>612</v>
      </c>
      <c r="F191" s="48" t="s">
        <v>27</v>
      </c>
      <c r="G191" s="48" t="s">
        <v>1549</v>
      </c>
      <c r="H191" s="48" t="s">
        <v>72</v>
      </c>
      <c r="I191" s="48" t="s">
        <v>613</v>
      </c>
      <c r="J191" s="48" t="s">
        <v>1135</v>
      </c>
      <c r="K191" s="48" t="s">
        <v>26</v>
      </c>
      <c r="L191" s="50">
        <v>403652.3</v>
      </c>
      <c r="M191" s="50">
        <v>1</v>
      </c>
      <c r="N191" s="50">
        <v>403652.3</v>
      </c>
      <c r="O191" s="421">
        <v>45966</v>
      </c>
    </row>
    <row r="192" spans="1:15" ht="15.75" x14ac:dyDescent="0.25">
      <c r="A192" s="48" t="s">
        <v>1447</v>
      </c>
      <c r="B192" s="421">
        <v>45952</v>
      </c>
      <c r="C192" s="48" t="s">
        <v>924</v>
      </c>
      <c r="D192" s="48" t="s">
        <v>856</v>
      </c>
      <c r="E192" s="48" t="s">
        <v>612</v>
      </c>
      <c r="F192" s="48" t="s">
        <v>27</v>
      </c>
      <c r="G192" s="48" t="s">
        <v>1416</v>
      </c>
      <c r="H192" s="48" t="s">
        <v>24</v>
      </c>
      <c r="I192" s="48" t="s">
        <v>613</v>
      </c>
      <c r="J192" s="48" t="s">
        <v>1135</v>
      </c>
      <c r="K192" s="48" t="s">
        <v>26</v>
      </c>
      <c r="L192" s="50">
        <v>500000</v>
      </c>
      <c r="M192" s="50">
        <v>1</v>
      </c>
      <c r="N192" s="50">
        <v>500000</v>
      </c>
      <c r="O192" s="421">
        <v>46015</v>
      </c>
    </row>
    <row r="193" spans="1:15" ht="15.75" x14ac:dyDescent="0.25">
      <c r="A193" s="48" t="s">
        <v>1395</v>
      </c>
      <c r="B193" s="421">
        <v>45967</v>
      </c>
      <c r="C193" s="48" t="s">
        <v>916</v>
      </c>
      <c r="D193" s="48" t="s">
        <v>858</v>
      </c>
      <c r="E193" s="48" t="s">
        <v>612</v>
      </c>
      <c r="F193" s="48" t="s">
        <v>27</v>
      </c>
      <c r="G193" s="48" t="s">
        <v>1392</v>
      </c>
      <c r="H193" s="48" t="s">
        <v>24</v>
      </c>
      <c r="I193" s="48" t="s">
        <v>613</v>
      </c>
      <c r="J193" s="48" t="s">
        <v>1135</v>
      </c>
      <c r="K193" s="48" t="s">
        <v>26</v>
      </c>
      <c r="L193" s="50">
        <v>618700</v>
      </c>
      <c r="M193" s="50">
        <v>1</v>
      </c>
      <c r="N193" s="50">
        <v>618700</v>
      </c>
      <c r="O193" s="421">
        <v>45991</v>
      </c>
    </row>
    <row r="194" spans="1:15" ht="15.75" x14ac:dyDescent="0.25">
      <c r="A194" s="48" t="s">
        <v>721</v>
      </c>
      <c r="B194" s="421">
        <v>45953</v>
      </c>
      <c r="C194" s="48" t="s">
        <v>928</v>
      </c>
      <c r="D194" s="48" t="s">
        <v>856</v>
      </c>
      <c r="E194" s="48" t="s">
        <v>612</v>
      </c>
      <c r="F194" s="48" t="s">
        <v>27</v>
      </c>
      <c r="G194" s="48" t="s">
        <v>177</v>
      </c>
      <c r="H194" s="48" t="s">
        <v>24</v>
      </c>
      <c r="I194" s="48" t="s">
        <v>613</v>
      </c>
      <c r="J194" s="48" t="s">
        <v>1135</v>
      </c>
      <c r="K194" s="48" t="s">
        <v>26</v>
      </c>
      <c r="L194" s="50">
        <v>565800</v>
      </c>
      <c r="M194" s="50">
        <v>1</v>
      </c>
      <c r="N194" s="50">
        <v>565800</v>
      </c>
      <c r="O194" s="421">
        <v>46007</v>
      </c>
    </row>
    <row r="195" spans="1:15" ht="15.75" x14ac:dyDescent="0.25">
      <c r="A195" s="48" t="s">
        <v>1235</v>
      </c>
      <c r="B195" s="421">
        <v>45950</v>
      </c>
      <c r="C195" s="48" t="s">
        <v>918</v>
      </c>
      <c r="D195" s="48" t="s">
        <v>856</v>
      </c>
      <c r="E195" s="48" t="s">
        <v>612</v>
      </c>
      <c r="F195" s="48" t="s">
        <v>27</v>
      </c>
      <c r="G195" s="48" t="s">
        <v>1205</v>
      </c>
      <c r="H195" s="48" t="s">
        <v>24</v>
      </c>
      <c r="I195" s="48" t="s">
        <v>613</v>
      </c>
      <c r="J195" s="48" t="s">
        <v>1135</v>
      </c>
      <c r="K195" s="48" t="s">
        <v>26</v>
      </c>
      <c r="L195" s="50">
        <v>130844.12</v>
      </c>
      <c r="M195" s="50">
        <v>1</v>
      </c>
      <c r="N195" s="50">
        <v>130844.12</v>
      </c>
      <c r="O195" s="421">
        <v>46009</v>
      </c>
    </row>
    <row r="196" spans="1:15" ht="15.75" x14ac:dyDescent="0.25">
      <c r="A196" s="48" t="s">
        <v>1446</v>
      </c>
      <c r="B196" s="421">
        <v>45957</v>
      </c>
      <c r="C196" s="48" t="s">
        <v>918</v>
      </c>
      <c r="D196" s="48" t="s">
        <v>858</v>
      </c>
      <c r="E196" s="48" t="s">
        <v>95</v>
      </c>
      <c r="F196" s="48" t="s">
        <v>27</v>
      </c>
      <c r="G196" s="48" t="s">
        <v>1337</v>
      </c>
      <c r="H196" s="48" t="s">
        <v>72</v>
      </c>
      <c r="I196" s="48" t="s">
        <v>511</v>
      </c>
      <c r="J196" s="48" t="s">
        <v>1236</v>
      </c>
      <c r="K196" s="48" t="s">
        <v>26</v>
      </c>
      <c r="L196" s="50">
        <v>180745.25</v>
      </c>
      <c r="M196" s="50">
        <v>1</v>
      </c>
      <c r="N196" s="50">
        <v>180745.25</v>
      </c>
      <c r="O196" s="421">
        <v>45966</v>
      </c>
    </row>
    <row r="197" spans="1:15" ht="15.75" x14ac:dyDescent="0.25">
      <c r="A197" s="48" t="s">
        <v>721</v>
      </c>
      <c r="B197" s="421">
        <v>45971</v>
      </c>
      <c r="C197" s="48" t="s">
        <v>933</v>
      </c>
      <c r="D197" s="48" t="s">
        <v>856</v>
      </c>
      <c r="E197" s="48" t="s">
        <v>612</v>
      </c>
      <c r="F197" s="48" t="s">
        <v>27</v>
      </c>
      <c r="G197" s="48" t="s">
        <v>177</v>
      </c>
      <c r="H197" s="48" t="s">
        <v>24</v>
      </c>
      <c r="I197" s="48" t="s">
        <v>613</v>
      </c>
      <c r="J197" s="48" t="s">
        <v>1135</v>
      </c>
      <c r="K197" s="48" t="s">
        <v>26</v>
      </c>
      <c r="L197" s="50">
        <v>497076</v>
      </c>
      <c r="M197" s="50">
        <v>1</v>
      </c>
      <c r="N197" s="50">
        <v>497076</v>
      </c>
      <c r="O197" s="421">
        <v>46026</v>
      </c>
    </row>
    <row r="198" spans="1:15" ht="15.75" x14ac:dyDescent="0.25">
      <c r="A198" s="48" t="s">
        <v>1566</v>
      </c>
      <c r="B198" s="421">
        <v>45963</v>
      </c>
      <c r="C198" s="48" t="s">
        <v>924</v>
      </c>
      <c r="D198" s="48" t="s">
        <v>856</v>
      </c>
      <c r="E198" s="48" t="s">
        <v>612</v>
      </c>
      <c r="F198" s="48" t="s">
        <v>27</v>
      </c>
      <c r="G198" s="48" t="s">
        <v>693</v>
      </c>
      <c r="H198" s="48" t="s">
        <v>24</v>
      </c>
      <c r="I198" s="48" t="s">
        <v>613</v>
      </c>
      <c r="J198" s="48" t="s">
        <v>1135</v>
      </c>
      <c r="K198" s="48" t="s">
        <v>26</v>
      </c>
      <c r="L198" s="50">
        <v>48936.47</v>
      </c>
      <c r="M198" s="50">
        <v>1</v>
      </c>
      <c r="N198" s="50">
        <v>48936.47</v>
      </c>
      <c r="O198" s="421">
        <v>46036</v>
      </c>
    </row>
    <row r="199" spans="1:15" ht="15.75" x14ac:dyDescent="0.25">
      <c r="A199" s="48" t="s">
        <v>1188</v>
      </c>
      <c r="B199" s="421">
        <v>46005</v>
      </c>
      <c r="C199" s="48" t="s">
        <v>918</v>
      </c>
      <c r="D199" s="48" t="s">
        <v>858</v>
      </c>
      <c r="E199" s="48" t="s">
        <v>366</v>
      </c>
      <c r="F199" s="48" t="s">
        <v>27</v>
      </c>
      <c r="G199" s="48" t="s">
        <v>836</v>
      </c>
      <c r="H199" s="48" t="s">
        <v>24</v>
      </c>
      <c r="I199" s="48" t="s">
        <v>710</v>
      </c>
      <c r="J199" s="48" t="s">
        <v>1209</v>
      </c>
      <c r="K199" s="48" t="s">
        <v>26</v>
      </c>
      <c r="L199" s="50">
        <v>258500.05</v>
      </c>
      <c r="M199" s="50">
        <v>1</v>
      </c>
      <c r="N199" s="50">
        <v>258500.05</v>
      </c>
      <c r="O199" s="421">
        <v>46033</v>
      </c>
    </row>
    <row r="200" spans="1:15" ht="15.75" x14ac:dyDescent="0.25">
      <c r="A200" s="48" t="s">
        <v>1809</v>
      </c>
      <c r="B200" s="421">
        <v>46016</v>
      </c>
      <c r="C200" s="48" t="s">
        <v>916</v>
      </c>
      <c r="D200" s="48" t="s">
        <v>858</v>
      </c>
      <c r="E200" s="48" t="s">
        <v>612</v>
      </c>
      <c r="F200" s="48" t="s">
        <v>27</v>
      </c>
      <c r="G200" s="48" t="s">
        <v>1699</v>
      </c>
      <c r="H200" s="48" t="s">
        <v>24</v>
      </c>
      <c r="I200" s="48" t="s">
        <v>613</v>
      </c>
      <c r="J200" s="48" t="s">
        <v>1135</v>
      </c>
      <c r="K200" s="48" t="s">
        <v>26</v>
      </c>
      <c r="L200" s="50">
        <v>70863</v>
      </c>
      <c r="M200" s="50">
        <v>1</v>
      </c>
      <c r="N200" s="50">
        <v>70863</v>
      </c>
      <c r="O200" s="421">
        <v>46062</v>
      </c>
    </row>
    <row r="201" spans="1:15" ht="15.75" x14ac:dyDescent="0.25">
      <c r="A201" s="48" t="s">
        <v>1446</v>
      </c>
      <c r="B201" s="421">
        <v>45963</v>
      </c>
      <c r="C201" s="48" t="s">
        <v>924</v>
      </c>
      <c r="D201" s="48" t="s">
        <v>858</v>
      </c>
      <c r="E201" s="48" t="s">
        <v>95</v>
      </c>
      <c r="F201" s="48" t="s">
        <v>27</v>
      </c>
      <c r="G201" s="48" t="s">
        <v>1337</v>
      </c>
      <c r="H201" s="48" t="s">
        <v>72</v>
      </c>
      <c r="I201" s="48" t="s">
        <v>511</v>
      </c>
      <c r="J201" s="48" t="s">
        <v>1236</v>
      </c>
      <c r="K201" s="48" t="s">
        <v>26</v>
      </c>
      <c r="L201" s="50">
        <v>386911.75</v>
      </c>
      <c r="M201" s="50">
        <v>1</v>
      </c>
      <c r="N201" s="50">
        <v>386911.75</v>
      </c>
      <c r="O201" s="421">
        <v>45967</v>
      </c>
    </row>
    <row r="202" spans="1:15" ht="15.75" x14ac:dyDescent="0.25">
      <c r="A202" s="48" t="s">
        <v>1639</v>
      </c>
      <c r="B202" s="421">
        <v>45982</v>
      </c>
      <c r="C202" s="48" t="s">
        <v>916</v>
      </c>
      <c r="D202" s="48" t="s">
        <v>858</v>
      </c>
      <c r="E202" s="48" t="s">
        <v>95</v>
      </c>
      <c r="F202" s="48" t="s">
        <v>27</v>
      </c>
      <c r="G202" s="48" t="s">
        <v>1582</v>
      </c>
      <c r="H202" s="48" t="s">
        <v>72</v>
      </c>
      <c r="I202" s="48" t="s">
        <v>511</v>
      </c>
      <c r="J202" s="48" t="s">
        <v>1236</v>
      </c>
      <c r="K202" s="48" t="s">
        <v>26</v>
      </c>
      <c r="L202" s="50">
        <v>586589.85</v>
      </c>
      <c r="M202" s="50">
        <v>1</v>
      </c>
      <c r="N202" s="50">
        <v>586589.85</v>
      </c>
      <c r="O202" s="421">
        <v>45988</v>
      </c>
    </row>
    <row r="203" spans="1:15" ht="15.75" x14ac:dyDescent="0.25">
      <c r="A203" s="48" t="s">
        <v>1251</v>
      </c>
      <c r="B203" s="421">
        <v>45964</v>
      </c>
      <c r="C203" s="48" t="s">
        <v>924</v>
      </c>
      <c r="D203" s="48" t="s">
        <v>856</v>
      </c>
      <c r="E203" s="48" t="s">
        <v>95</v>
      </c>
      <c r="F203" s="48" t="s">
        <v>27</v>
      </c>
      <c r="G203" s="48" t="s">
        <v>1200</v>
      </c>
      <c r="H203" s="48" t="s">
        <v>72</v>
      </c>
      <c r="I203" s="48" t="s">
        <v>511</v>
      </c>
      <c r="J203" s="48" t="s">
        <v>1236</v>
      </c>
      <c r="K203" s="48" t="s">
        <v>26</v>
      </c>
      <c r="L203" s="50">
        <v>1789060.46</v>
      </c>
      <c r="M203" s="50">
        <v>1</v>
      </c>
      <c r="N203" s="50">
        <v>1789060.46</v>
      </c>
      <c r="O203" s="421">
        <v>45964</v>
      </c>
    </row>
    <row r="204" spans="1:15" ht="15.75" x14ac:dyDescent="0.25">
      <c r="A204" s="48" t="s">
        <v>611</v>
      </c>
      <c r="B204" s="421">
        <v>45987</v>
      </c>
      <c r="C204" s="48" t="s">
        <v>918</v>
      </c>
      <c r="D204" s="48" t="s">
        <v>856</v>
      </c>
      <c r="E204" s="48" t="s">
        <v>612</v>
      </c>
      <c r="F204" s="48" t="s">
        <v>27</v>
      </c>
      <c r="G204" s="48" t="s">
        <v>614</v>
      </c>
      <c r="H204" s="48" t="s">
        <v>24</v>
      </c>
      <c r="I204" s="48" t="s">
        <v>613</v>
      </c>
      <c r="J204" s="48" t="s">
        <v>1135</v>
      </c>
      <c r="K204" s="48" t="s">
        <v>26</v>
      </c>
      <c r="L204" s="50">
        <v>1000000</v>
      </c>
      <c r="M204" s="50">
        <v>1</v>
      </c>
      <c r="N204" s="50">
        <v>1000000</v>
      </c>
      <c r="O204" s="421">
        <v>46021</v>
      </c>
    </row>
    <row r="205" spans="1:15" ht="15.75" x14ac:dyDescent="0.25">
      <c r="A205" s="48" t="s">
        <v>1869</v>
      </c>
      <c r="B205" s="421">
        <v>46005</v>
      </c>
      <c r="C205" s="48" t="s">
        <v>916</v>
      </c>
      <c r="D205" s="48" t="s">
        <v>858</v>
      </c>
      <c r="E205" s="48" t="s">
        <v>366</v>
      </c>
      <c r="F205" s="48" t="s">
        <v>27</v>
      </c>
      <c r="G205" s="48" t="s">
        <v>1837</v>
      </c>
      <c r="H205" s="48" t="s">
        <v>24</v>
      </c>
      <c r="I205" s="48" t="s">
        <v>710</v>
      </c>
      <c r="J205" s="48" t="s">
        <v>1209</v>
      </c>
      <c r="K205" s="48" t="s">
        <v>26</v>
      </c>
      <c r="L205" s="50">
        <v>539548.79</v>
      </c>
      <c r="M205" s="50">
        <v>1</v>
      </c>
      <c r="N205" s="50">
        <v>539548.79</v>
      </c>
      <c r="O205" s="421">
        <v>46063</v>
      </c>
    </row>
    <row r="206" spans="1:15" ht="15.75" x14ac:dyDescent="0.25">
      <c r="A206" s="48" t="s">
        <v>1526</v>
      </c>
      <c r="B206" s="421">
        <v>45960</v>
      </c>
      <c r="C206" s="48" t="s">
        <v>916</v>
      </c>
      <c r="D206" s="48" t="s">
        <v>858</v>
      </c>
      <c r="E206" s="48" t="s">
        <v>21</v>
      </c>
      <c r="F206" s="48" t="s">
        <v>27</v>
      </c>
      <c r="G206" s="48" t="s">
        <v>1467</v>
      </c>
      <c r="H206" s="48" t="s">
        <v>24</v>
      </c>
      <c r="I206" s="48" t="s">
        <v>407</v>
      </c>
      <c r="J206" s="48" t="s">
        <v>1131</v>
      </c>
      <c r="K206" s="48" t="s">
        <v>26</v>
      </c>
      <c r="L206" s="50">
        <v>123144</v>
      </c>
      <c r="M206" s="50">
        <v>1</v>
      </c>
      <c r="N206" s="50">
        <v>123144</v>
      </c>
      <c r="O206" s="421">
        <v>45971</v>
      </c>
    </row>
    <row r="207" spans="1:15" ht="15.75" x14ac:dyDescent="0.25">
      <c r="A207" s="48" t="s">
        <v>1818</v>
      </c>
      <c r="B207" s="421">
        <v>45967</v>
      </c>
      <c r="C207" s="48" t="s">
        <v>916</v>
      </c>
      <c r="D207" s="48" t="s">
        <v>858</v>
      </c>
      <c r="E207" s="48" t="s">
        <v>366</v>
      </c>
      <c r="F207" s="48" t="s">
        <v>27</v>
      </c>
      <c r="G207" s="48" t="s">
        <v>1784</v>
      </c>
      <c r="H207" s="48" t="s">
        <v>72</v>
      </c>
      <c r="I207" s="48" t="s">
        <v>81</v>
      </c>
      <c r="J207" s="48" t="s">
        <v>1139</v>
      </c>
      <c r="K207" s="48" t="s">
        <v>26</v>
      </c>
      <c r="L207" s="50">
        <v>1641337.5</v>
      </c>
      <c r="M207" s="50">
        <v>1</v>
      </c>
      <c r="N207" s="50">
        <v>1641337.5</v>
      </c>
      <c r="O207" s="421">
        <v>46175</v>
      </c>
    </row>
    <row r="208" spans="1:15" ht="15.75" x14ac:dyDescent="0.25">
      <c r="A208" s="48" t="s">
        <v>1550</v>
      </c>
      <c r="B208" s="421">
        <v>45986</v>
      </c>
      <c r="C208" s="48" t="s">
        <v>918</v>
      </c>
      <c r="D208" s="48" t="s">
        <v>856</v>
      </c>
      <c r="E208" s="48" t="s">
        <v>95</v>
      </c>
      <c r="F208" s="48" t="s">
        <v>27</v>
      </c>
      <c r="G208" s="48" t="s">
        <v>1261</v>
      </c>
      <c r="H208" s="48" t="s">
        <v>72</v>
      </c>
      <c r="I208" s="48" t="s">
        <v>483</v>
      </c>
      <c r="J208" s="48" t="s">
        <v>1646</v>
      </c>
      <c r="K208" s="48" t="s">
        <v>26</v>
      </c>
      <c r="L208" s="50">
        <v>6331957.5</v>
      </c>
      <c r="M208" s="50">
        <v>1</v>
      </c>
      <c r="N208" s="50">
        <v>6331957.5</v>
      </c>
      <c r="O208" s="421">
        <v>46061</v>
      </c>
    </row>
    <row r="209" spans="1:15" ht="15.75" x14ac:dyDescent="0.25">
      <c r="A209" s="48" t="s">
        <v>2562</v>
      </c>
      <c r="B209" s="421">
        <v>45982</v>
      </c>
      <c r="C209" s="48" t="s">
        <v>916</v>
      </c>
      <c r="D209" s="48" t="s">
        <v>858</v>
      </c>
      <c r="E209" s="48" t="s">
        <v>95</v>
      </c>
      <c r="F209" s="48" t="s">
        <v>27</v>
      </c>
      <c r="G209" s="48" t="s">
        <v>2448</v>
      </c>
      <c r="H209" s="48" t="s">
        <v>3219</v>
      </c>
      <c r="I209" s="48" t="s">
        <v>328</v>
      </c>
      <c r="J209" s="48" t="s">
        <v>1142</v>
      </c>
      <c r="K209" s="48" t="s">
        <v>26</v>
      </c>
      <c r="L209" s="50">
        <v>11269136.109999999</v>
      </c>
      <c r="M209" s="50">
        <v>1</v>
      </c>
      <c r="N209" s="50">
        <v>11269136.109999999</v>
      </c>
      <c r="O209" s="421">
        <v>46063</v>
      </c>
    </row>
    <row r="210" spans="1:15" ht="15.75" x14ac:dyDescent="0.25">
      <c r="A210" s="48" t="s">
        <v>1446</v>
      </c>
      <c r="B210" s="421">
        <v>45982</v>
      </c>
      <c r="C210" s="48" t="s">
        <v>928</v>
      </c>
      <c r="D210" s="48" t="s">
        <v>858</v>
      </c>
      <c r="E210" s="48" t="s">
        <v>95</v>
      </c>
      <c r="F210" s="48" t="s">
        <v>27</v>
      </c>
      <c r="G210" s="48" t="s">
        <v>1337</v>
      </c>
      <c r="H210" s="48" t="s">
        <v>72</v>
      </c>
      <c r="I210" s="48" t="s">
        <v>511</v>
      </c>
      <c r="J210" s="48" t="s">
        <v>1236</v>
      </c>
      <c r="K210" s="48" t="s">
        <v>26</v>
      </c>
      <c r="L210" s="50">
        <v>637519.75</v>
      </c>
      <c r="M210" s="50">
        <v>1</v>
      </c>
      <c r="N210" s="50">
        <v>637519.75</v>
      </c>
      <c r="O210" s="421">
        <v>45988</v>
      </c>
    </row>
    <row r="211" spans="1:15" ht="15.75" x14ac:dyDescent="0.25">
      <c r="A211" s="48" t="s">
        <v>1662</v>
      </c>
      <c r="B211" s="421">
        <v>46000</v>
      </c>
      <c r="C211" s="48" t="s">
        <v>928</v>
      </c>
      <c r="D211" s="48" t="s">
        <v>858</v>
      </c>
      <c r="E211" s="48" t="s">
        <v>366</v>
      </c>
      <c r="F211" s="48" t="s">
        <v>27</v>
      </c>
      <c r="G211" s="48" t="s">
        <v>1630</v>
      </c>
      <c r="H211" s="48" t="s">
        <v>24</v>
      </c>
      <c r="I211" s="48" t="s">
        <v>367</v>
      </c>
      <c r="J211" s="48" t="s">
        <v>1136</v>
      </c>
      <c r="K211" s="48" t="s">
        <v>26</v>
      </c>
      <c r="L211" s="50">
        <v>328383.40000000002</v>
      </c>
      <c r="M211" s="50">
        <v>1</v>
      </c>
      <c r="N211" s="50">
        <v>328383.40000000002</v>
      </c>
      <c r="O211" s="421">
        <v>46076</v>
      </c>
    </row>
    <row r="212" spans="1:15" ht="15.75" x14ac:dyDescent="0.25">
      <c r="A212" s="48" t="s">
        <v>1673</v>
      </c>
      <c r="B212" s="421">
        <v>45995</v>
      </c>
      <c r="C212" s="48" t="s">
        <v>918</v>
      </c>
      <c r="D212" s="48" t="s">
        <v>858</v>
      </c>
      <c r="E212" s="48" t="s">
        <v>366</v>
      </c>
      <c r="F212" s="48" t="s">
        <v>27</v>
      </c>
      <c r="G212" s="48" t="s">
        <v>1628</v>
      </c>
      <c r="H212" s="48" t="s">
        <v>24</v>
      </c>
      <c r="I212" s="48" t="s">
        <v>367</v>
      </c>
      <c r="J212" s="48" t="s">
        <v>1136</v>
      </c>
      <c r="K212" s="48" t="s">
        <v>26</v>
      </c>
      <c r="L212" s="50">
        <v>610345.93000000005</v>
      </c>
      <c r="M212" s="50">
        <v>1</v>
      </c>
      <c r="N212" s="50">
        <v>610345.93000000005</v>
      </c>
      <c r="O212" s="421">
        <v>46105</v>
      </c>
    </row>
    <row r="213" spans="1:15" ht="15.75" x14ac:dyDescent="0.25">
      <c r="A213" s="48" t="s">
        <v>1811</v>
      </c>
      <c r="B213" s="421">
        <v>45999</v>
      </c>
      <c r="C213" s="48" t="s">
        <v>916</v>
      </c>
      <c r="D213" s="48" t="s">
        <v>858</v>
      </c>
      <c r="E213" s="48" t="s">
        <v>366</v>
      </c>
      <c r="F213" s="48" t="s">
        <v>27</v>
      </c>
      <c r="G213" s="48" t="s">
        <v>1786</v>
      </c>
      <c r="H213" s="48" t="s">
        <v>1791</v>
      </c>
      <c r="I213" s="48" t="s">
        <v>81</v>
      </c>
      <c r="J213" s="48" t="s">
        <v>1139</v>
      </c>
      <c r="K213" s="48" t="s">
        <v>26</v>
      </c>
      <c r="L213" s="50">
        <v>2352034.91</v>
      </c>
      <c r="M213" s="50">
        <v>1</v>
      </c>
      <c r="N213" s="50">
        <v>2352034.91</v>
      </c>
      <c r="O213" s="421">
        <v>46026</v>
      </c>
    </row>
    <row r="214" spans="1:15" ht="15.75" x14ac:dyDescent="0.25">
      <c r="A214" s="48" t="s">
        <v>2236</v>
      </c>
      <c r="B214" s="421">
        <v>46000</v>
      </c>
      <c r="C214" s="48" t="s">
        <v>916</v>
      </c>
      <c r="D214" s="48" t="s">
        <v>858</v>
      </c>
      <c r="E214" s="48" t="s">
        <v>366</v>
      </c>
      <c r="F214" s="48" t="s">
        <v>27</v>
      </c>
      <c r="G214" s="48" t="s">
        <v>1842</v>
      </c>
      <c r="H214" s="48" t="s">
        <v>24</v>
      </c>
      <c r="I214" s="48" t="s">
        <v>710</v>
      </c>
      <c r="J214" s="48" t="s">
        <v>1209</v>
      </c>
      <c r="K214" s="48" t="s">
        <v>26</v>
      </c>
      <c r="L214" s="50">
        <v>47630.53</v>
      </c>
      <c r="M214" s="50">
        <v>1</v>
      </c>
      <c r="N214" s="50">
        <v>47630.53</v>
      </c>
      <c r="O214" s="421">
        <v>46068</v>
      </c>
    </row>
    <row r="215" spans="1:15" ht="15.75" x14ac:dyDescent="0.25">
      <c r="A215" s="48" t="s">
        <v>1606</v>
      </c>
      <c r="B215" s="421">
        <v>45993</v>
      </c>
      <c r="C215" s="48" t="s">
        <v>916</v>
      </c>
      <c r="D215" s="48" t="s">
        <v>858</v>
      </c>
      <c r="E215" s="48" t="s">
        <v>366</v>
      </c>
      <c r="F215" s="48" t="s">
        <v>27</v>
      </c>
      <c r="G215" s="48" t="s">
        <v>1575</v>
      </c>
      <c r="H215" s="48" t="s">
        <v>24</v>
      </c>
      <c r="I215" s="48" t="s">
        <v>710</v>
      </c>
      <c r="J215" s="48" t="s">
        <v>1209</v>
      </c>
      <c r="K215" s="48" t="s">
        <v>26</v>
      </c>
      <c r="L215" s="50">
        <v>250000</v>
      </c>
      <c r="M215" s="50">
        <v>1</v>
      </c>
      <c r="N215" s="50">
        <v>250000</v>
      </c>
      <c r="O215" s="421">
        <v>46072</v>
      </c>
    </row>
    <row r="216" spans="1:15" ht="15.75" x14ac:dyDescent="0.25">
      <c r="A216" s="48" t="s">
        <v>1151</v>
      </c>
      <c r="B216" s="421">
        <v>46016</v>
      </c>
      <c r="C216" s="48" t="s">
        <v>918</v>
      </c>
      <c r="D216" s="48" t="s">
        <v>856</v>
      </c>
      <c r="E216" s="48" t="s">
        <v>612</v>
      </c>
      <c r="F216" s="48" t="s">
        <v>27</v>
      </c>
      <c r="G216" s="48" t="s">
        <v>1104</v>
      </c>
      <c r="H216" s="48" t="s">
        <v>24</v>
      </c>
      <c r="I216" s="48" t="s">
        <v>613</v>
      </c>
      <c r="J216" s="48" t="s">
        <v>1135</v>
      </c>
      <c r="K216" s="48" t="s">
        <v>26</v>
      </c>
      <c r="L216" s="50">
        <v>65268.54</v>
      </c>
      <c r="M216" s="50">
        <v>1</v>
      </c>
      <c r="N216" s="50">
        <v>65268.54</v>
      </c>
      <c r="O216" s="421">
        <v>46034</v>
      </c>
    </row>
    <row r="217" spans="1:15" ht="15.75" x14ac:dyDescent="0.25">
      <c r="A217" s="48" t="s">
        <v>1901</v>
      </c>
      <c r="B217" s="421">
        <v>46000</v>
      </c>
      <c r="C217" s="48" t="s">
        <v>916</v>
      </c>
      <c r="D217" s="48" t="s">
        <v>856</v>
      </c>
      <c r="E217" s="48" t="s">
        <v>366</v>
      </c>
      <c r="F217" s="48" t="s">
        <v>27</v>
      </c>
      <c r="G217" s="48" t="s">
        <v>1634</v>
      </c>
      <c r="H217" s="48" t="s">
        <v>24</v>
      </c>
      <c r="I217" s="48" t="s">
        <v>710</v>
      </c>
      <c r="J217" s="48" t="s">
        <v>1209</v>
      </c>
      <c r="K217" s="48" t="s">
        <v>26</v>
      </c>
      <c r="L217" s="50">
        <v>250000</v>
      </c>
      <c r="M217" s="50">
        <v>1</v>
      </c>
      <c r="N217" s="50">
        <v>250000</v>
      </c>
      <c r="O217" s="421">
        <v>46054</v>
      </c>
    </row>
    <row r="218" spans="1:15" ht="15.75" x14ac:dyDescent="0.25">
      <c r="A218" s="48" t="s">
        <v>2396</v>
      </c>
      <c r="B218" s="421">
        <v>46014</v>
      </c>
      <c r="C218" s="48" t="s">
        <v>916</v>
      </c>
      <c r="D218" s="48" t="s">
        <v>856</v>
      </c>
      <c r="E218" s="48" t="s">
        <v>612</v>
      </c>
      <c r="F218" s="48" t="s">
        <v>27</v>
      </c>
      <c r="G218" s="48" t="s">
        <v>1924</v>
      </c>
      <c r="H218" s="48" t="s">
        <v>24</v>
      </c>
      <c r="I218" s="48" t="s">
        <v>613</v>
      </c>
      <c r="J218" s="48" t="s">
        <v>1135</v>
      </c>
      <c r="K218" s="48" t="s">
        <v>26</v>
      </c>
      <c r="L218" s="50">
        <v>526125</v>
      </c>
      <c r="M218" s="50">
        <v>1</v>
      </c>
      <c r="N218" s="50">
        <v>526125</v>
      </c>
      <c r="O218" s="421">
        <v>46061</v>
      </c>
    </row>
    <row r="219" spans="1:15" ht="15.75" x14ac:dyDescent="0.25">
      <c r="A219" s="48" t="s">
        <v>1858</v>
      </c>
      <c r="B219" s="421">
        <v>45993</v>
      </c>
      <c r="C219" s="48" t="s">
        <v>916</v>
      </c>
      <c r="D219" s="48" t="s">
        <v>856</v>
      </c>
      <c r="E219" s="48" t="s">
        <v>62</v>
      </c>
      <c r="F219" s="48" t="s">
        <v>27</v>
      </c>
      <c r="G219" s="48" t="s">
        <v>1788</v>
      </c>
      <c r="H219" s="48" t="s">
        <v>24</v>
      </c>
      <c r="I219" s="48" t="s">
        <v>483</v>
      </c>
      <c r="J219" s="48" t="s">
        <v>1646</v>
      </c>
      <c r="K219" s="48" t="s">
        <v>26</v>
      </c>
      <c r="L219" s="50">
        <v>2000000</v>
      </c>
      <c r="M219" s="50">
        <v>1</v>
      </c>
      <c r="N219" s="50">
        <v>2000000</v>
      </c>
      <c r="O219" s="421">
        <v>46090</v>
      </c>
    </row>
    <row r="220" spans="1:15" ht="15.75" x14ac:dyDescent="0.25">
      <c r="A220" s="48" t="s">
        <v>734</v>
      </c>
      <c r="B220" s="421">
        <v>45999</v>
      </c>
      <c r="C220" s="48" t="s">
        <v>916</v>
      </c>
      <c r="D220" s="48" t="s">
        <v>856</v>
      </c>
      <c r="E220" s="48" t="s">
        <v>612</v>
      </c>
      <c r="F220" s="48" t="s">
        <v>27</v>
      </c>
      <c r="G220" s="48" t="s">
        <v>735</v>
      </c>
      <c r="H220" s="48" t="s">
        <v>24</v>
      </c>
      <c r="I220" s="48" t="s">
        <v>613</v>
      </c>
      <c r="J220" s="48" t="s">
        <v>1135</v>
      </c>
      <c r="K220" s="48" t="s">
        <v>26</v>
      </c>
      <c r="L220" s="50">
        <v>263925</v>
      </c>
      <c r="M220" s="50">
        <v>1</v>
      </c>
      <c r="N220" s="50">
        <v>263925</v>
      </c>
      <c r="O220" s="421">
        <v>46033</v>
      </c>
    </row>
    <row r="221" spans="1:15" ht="15.75" x14ac:dyDescent="0.25">
      <c r="A221" s="48" t="s">
        <v>2395</v>
      </c>
      <c r="B221" s="421">
        <v>46028</v>
      </c>
      <c r="C221" s="48" t="s">
        <v>916</v>
      </c>
      <c r="D221" s="48" t="s">
        <v>858</v>
      </c>
      <c r="E221" s="48" t="s">
        <v>612</v>
      </c>
      <c r="F221" s="48" t="s">
        <v>27</v>
      </c>
      <c r="G221" s="48" t="s">
        <v>809</v>
      </c>
      <c r="H221" s="48" t="s">
        <v>24</v>
      </c>
      <c r="I221" s="48" t="s">
        <v>613</v>
      </c>
      <c r="J221" s="48" t="s">
        <v>1135</v>
      </c>
      <c r="K221" s="48" t="s">
        <v>26</v>
      </c>
      <c r="L221" s="50">
        <v>282279.51</v>
      </c>
      <c r="M221" s="50">
        <v>1</v>
      </c>
      <c r="N221" s="50">
        <v>282279.51</v>
      </c>
      <c r="O221" s="421">
        <v>46078</v>
      </c>
    </row>
    <row r="222" spans="1:15" ht="15.75" x14ac:dyDescent="0.25">
      <c r="A222" s="48" t="s">
        <v>723</v>
      </c>
      <c r="B222" s="421">
        <v>46028</v>
      </c>
      <c r="C222" s="48" t="s">
        <v>918</v>
      </c>
      <c r="D222" s="48" t="s">
        <v>858</v>
      </c>
      <c r="E222" s="48" t="s">
        <v>612</v>
      </c>
      <c r="F222" s="48" t="s">
        <v>27</v>
      </c>
      <c r="G222" s="48" t="s">
        <v>724</v>
      </c>
      <c r="H222" s="48" t="s">
        <v>24</v>
      </c>
      <c r="I222" s="48" t="s">
        <v>613</v>
      </c>
      <c r="J222" s="48" t="s">
        <v>1135</v>
      </c>
      <c r="K222" s="48" t="s">
        <v>26</v>
      </c>
      <c r="L222" s="50">
        <v>251134</v>
      </c>
      <c r="M222" s="50">
        <v>1</v>
      </c>
      <c r="N222" s="50">
        <v>251134</v>
      </c>
      <c r="O222" s="421">
        <v>46069</v>
      </c>
    </row>
    <row r="223" spans="1:15" ht="15.75" x14ac:dyDescent="0.25">
      <c r="A223" s="48" t="s">
        <v>1819</v>
      </c>
      <c r="B223" s="421">
        <v>46008</v>
      </c>
      <c r="C223" s="48" t="s">
        <v>916</v>
      </c>
      <c r="D223" s="48" t="s">
        <v>856</v>
      </c>
      <c r="E223" s="48" t="s">
        <v>612</v>
      </c>
      <c r="F223" s="48" t="s">
        <v>27</v>
      </c>
      <c r="G223" s="48" t="s">
        <v>1703</v>
      </c>
      <c r="H223" s="48" t="s">
        <v>24</v>
      </c>
      <c r="I223" s="48" t="s">
        <v>613</v>
      </c>
      <c r="J223" s="48" t="s">
        <v>1135</v>
      </c>
      <c r="K223" s="48" t="s">
        <v>26</v>
      </c>
      <c r="L223" s="50">
        <v>251134</v>
      </c>
      <c r="M223" s="50">
        <v>1</v>
      </c>
      <c r="N223" s="50">
        <v>251134</v>
      </c>
      <c r="O223" s="421">
        <v>46057</v>
      </c>
    </row>
    <row r="224" spans="1:15" ht="15.75" x14ac:dyDescent="0.25">
      <c r="A224" s="48" t="s">
        <v>1566</v>
      </c>
      <c r="B224" s="421">
        <v>46027</v>
      </c>
      <c r="C224" s="48" t="s">
        <v>928</v>
      </c>
      <c r="D224" s="48" t="s">
        <v>856</v>
      </c>
      <c r="E224" s="48" t="s">
        <v>612</v>
      </c>
      <c r="F224" s="48" t="s">
        <v>27</v>
      </c>
      <c r="G224" s="48" t="s">
        <v>693</v>
      </c>
      <c r="H224" s="48" t="s">
        <v>24</v>
      </c>
      <c r="I224" s="48" t="s">
        <v>613</v>
      </c>
      <c r="J224" s="48" t="s">
        <v>1135</v>
      </c>
      <c r="K224" s="48" t="s">
        <v>26</v>
      </c>
      <c r="L224" s="50">
        <v>96824.6</v>
      </c>
      <c r="M224" s="50">
        <v>1</v>
      </c>
      <c r="N224" s="50">
        <v>96824.6</v>
      </c>
      <c r="O224" s="421">
        <v>46047</v>
      </c>
    </row>
    <row r="225" spans="1:15" ht="15.75" x14ac:dyDescent="0.25">
      <c r="A225" s="48" t="s">
        <v>2394</v>
      </c>
      <c r="B225" s="421">
        <v>46002</v>
      </c>
      <c r="C225" s="48" t="s">
        <v>916</v>
      </c>
      <c r="D225" s="48" t="s">
        <v>856</v>
      </c>
      <c r="E225" s="48" t="s">
        <v>612</v>
      </c>
      <c r="F225" s="48" t="s">
        <v>27</v>
      </c>
      <c r="G225" s="48" t="s">
        <v>177</v>
      </c>
      <c r="H225" s="48" t="s">
        <v>24</v>
      </c>
      <c r="I225" s="48" t="s">
        <v>613</v>
      </c>
      <c r="J225" s="48" t="s">
        <v>1135</v>
      </c>
      <c r="K225" s="48" t="s">
        <v>26</v>
      </c>
      <c r="L225" s="50">
        <v>2000000.93</v>
      </c>
      <c r="M225" s="50">
        <v>1</v>
      </c>
      <c r="N225" s="50">
        <v>2000000.93</v>
      </c>
      <c r="O225" s="421">
        <v>46079</v>
      </c>
    </row>
    <row r="226" spans="1:15" ht="15.75" x14ac:dyDescent="0.25">
      <c r="A226" s="48" t="s">
        <v>1420</v>
      </c>
      <c r="B226" s="421">
        <v>46007</v>
      </c>
      <c r="C226" s="48" t="s">
        <v>924</v>
      </c>
      <c r="D226" s="48" t="s">
        <v>856</v>
      </c>
      <c r="E226" s="48" t="s">
        <v>95</v>
      </c>
      <c r="F226" s="48" t="s">
        <v>27</v>
      </c>
      <c r="G226" s="48" t="s">
        <v>177</v>
      </c>
      <c r="H226" s="48" t="s">
        <v>24</v>
      </c>
      <c r="I226" s="48" t="s">
        <v>22</v>
      </c>
      <c r="J226" s="48" t="s">
        <v>1132</v>
      </c>
      <c r="K226" s="48" t="s">
        <v>26</v>
      </c>
      <c r="L226" s="50">
        <v>51889.25</v>
      </c>
      <c r="M226" s="50">
        <v>1</v>
      </c>
      <c r="N226" s="50">
        <v>51889.25</v>
      </c>
      <c r="O226" s="421">
        <v>46106</v>
      </c>
    </row>
    <row r="227" spans="1:15" ht="15.75" x14ac:dyDescent="0.25">
      <c r="A227" s="48" t="s">
        <v>1875</v>
      </c>
      <c r="B227" s="421">
        <v>46005</v>
      </c>
      <c r="C227" s="48" t="s">
        <v>916</v>
      </c>
      <c r="D227" s="48" t="s">
        <v>856</v>
      </c>
      <c r="E227" s="48" t="s">
        <v>366</v>
      </c>
      <c r="F227" s="48" t="s">
        <v>27</v>
      </c>
      <c r="G227" s="48" t="s">
        <v>479</v>
      </c>
      <c r="H227" s="48" t="s">
        <v>24</v>
      </c>
      <c r="I227" s="48" t="s">
        <v>710</v>
      </c>
      <c r="J227" s="48" t="s">
        <v>1209</v>
      </c>
      <c r="K227" s="48" t="s">
        <v>26</v>
      </c>
      <c r="L227" s="50">
        <v>2000000</v>
      </c>
      <c r="M227" s="50">
        <v>1</v>
      </c>
      <c r="N227" s="50">
        <v>2000000</v>
      </c>
      <c r="O227" s="421">
        <v>46110</v>
      </c>
    </row>
    <row r="228" spans="1:15" ht="15.75" x14ac:dyDescent="0.25">
      <c r="A228" s="48" t="s">
        <v>1451</v>
      </c>
      <c r="B228" s="421">
        <v>46013</v>
      </c>
      <c r="C228" s="48" t="s">
        <v>916</v>
      </c>
      <c r="D228" s="48" t="s">
        <v>856</v>
      </c>
      <c r="E228" s="48" t="s">
        <v>95</v>
      </c>
      <c r="F228" s="48" t="s">
        <v>27</v>
      </c>
      <c r="G228" s="48" t="s">
        <v>89</v>
      </c>
      <c r="H228" s="48" t="s">
        <v>80</v>
      </c>
      <c r="I228" s="48" t="s">
        <v>90</v>
      </c>
      <c r="J228" s="48" t="s">
        <v>1141</v>
      </c>
      <c r="K228" s="48" t="s">
        <v>26</v>
      </c>
      <c r="L228" s="50">
        <v>6019158.46</v>
      </c>
      <c r="M228" s="50">
        <v>1</v>
      </c>
      <c r="N228" s="50">
        <v>6019158.46</v>
      </c>
      <c r="O228" s="421">
        <v>46019</v>
      </c>
    </row>
    <row r="229" spans="1:15" ht="15.75" x14ac:dyDescent="0.25">
      <c r="A229" s="48" t="s">
        <v>1810</v>
      </c>
      <c r="B229" s="421">
        <v>46002</v>
      </c>
      <c r="C229" s="48" t="s">
        <v>924</v>
      </c>
      <c r="D229" s="48" t="s">
        <v>856</v>
      </c>
      <c r="E229" s="48" t="s">
        <v>612</v>
      </c>
      <c r="F229" s="48" t="s">
        <v>27</v>
      </c>
      <c r="G229" s="48" t="s">
        <v>1549</v>
      </c>
      <c r="H229" s="48" t="s">
        <v>72</v>
      </c>
      <c r="I229" s="48" t="s">
        <v>613</v>
      </c>
      <c r="J229" s="48" t="s">
        <v>1135</v>
      </c>
      <c r="K229" s="48" t="s">
        <v>26</v>
      </c>
      <c r="L229" s="50">
        <v>253366.85</v>
      </c>
      <c r="M229" s="50">
        <v>1</v>
      </c>
      <c r="N229" s="50">
        <v>253366.85</v>
      </c>
      <c r="O229" s="421">
        <v>46029</v>
      </c>
    </row>
    <row r="230" spans="1:15" ht="15.75" x14ac:dyDescent="0.25">
      <c r="A230" s="48" t="s">
        <v>1639</v>
      </c>
      <c r="B230" s="421">
        <v>46012</v>
      </c>
      <c r="C230" s="48" t="s">
        <v>918</v>
      </c>
      <c r="D230" s="48" t="s">
        <v>856</v>
      </c>
      <c r="E230" s="48" t="s">
        <v>95</v>
      </c>
      <c r="F230" s="48" t="s">
        <v>27</v>
      </c>
      <c r="G230" s="48" t="s">
        <v>1582</v>
      </c>
      <c r="H230" s="48" t="s">
        <v>72</v>
      </c>
      <c r="I230" s="48" t="s">
        <v>511</v>
      </c>
      <c r="J230" s="48" t="s">
        <v>1236</v>
      </c>
      <c r="K230" s="48" t="s">
        <v>26</v>
      </c>
      <c r="L230" s="50">
        <v>488824.87</v>
      </c>
      <c r="M230" s="50">
        <v>1</v>
      </c>
      <c r="N230" s="50">
        <v>488824.87</v>
      </c>
      <c r="O230" s="421">
        <v>46019</v>
      </c>
    </row>
    <row r="231" spans="1:15" ht="15.75" x14ac:dyDescent="0.25">
      <c r="A231" s="48" t="s">
        <v>2921</v>
      </c>
      <c r="B231" s="421">
        <v>46040</v>
      </c>
      <c r="C231" s="48" t="s">
        <v>916</v>
      </c>
      <c r="D231" s="48" t="s">
        <v>856</v>
      </c>
      <c r="E231" s="48" t="s">
        <v>95</v>
      </c>
      <c r="F231" s="48" t="s">
        <v>27</v>
      </c>
      <c r="G231" s="48" t="s">
        <v>1924</v>
      </c>
      <c r="H231" s="48" t="s">
        <v>72</v>
      </c>
      <c r="I231" s="48" t="s">
        <v>328</v>
      </c>
      <c r="J231" s="48" t="s">
        <v>1142</v>
      </c>
      <c r="K231" s="48" t="s">
        <v>26</v>
      </c>
      <c r="L231" s="50">
        <v>1200600</v>
      </c>
      <c r="M231" s="50">
        <v>1</v>
      </c>
      <c r="N231" s="50">
        <v>1200600</v>
      </c>
      <c r="O231" s="421">
        <v>46097</v>
      </c>
    </row>
    <row r="232" spans="1:15" ht="15.75" x14ac:dyDescent="0.25">
      <c r="A232" s="48" t="s">
        <v>1451</v>
      </c>
      <c r="B232" s="421">
        <v>46021</v>
      </c>
      <c r="C232" s="48" t="s">
        <v>918</v>
      </c>
      <c r="D232" s="48" t="s">
        <v>856</v>
      </c>
      <c r="E232" s="48" t="s">
        <v>95</v>
      </c>
      <c r="F232" s="48" t="s">
        <v>27</v>
      </c>
      <c r="G232" s="48" t="s">
        <v>89</v>
      </c>
      <c r="H232" s="48" t="s">
        <v>80</v>
      </c>
      <c r="I232" s="48" t="s">
        <v>90</v>
      </c>
      <c r="J232" s="48" t="s">
        <v>1141</v>
      </c>
      <c r="K232" s="48" t="s">
        <v>26</v>
      </c>
      <c r="L232" s="50">
        <v>1325597</v>
      </c>
      <c r="M232" s="50">
        <v>1</v>
      </c>
      <c r="N232" s="50">
        <v>1325597</v>
      </c>
      <c r="O232" s="421">
        <v>46021</v>
      </c>
    </row>
    <row r="233" spans="1:15" ht="15.75" x14ac:dyDescent="0.25">
      <c r="A233" s="48" t="s">
        <v>1396</v>
      </c>
      <c r="B233" s="421">
        <v>46043</v>
      </c>
      <c r="C233" s="48" t="s">
        <v>918</v>
      </c>
      <c r="D233" s="48" t="s">
        <v>858</v>
      </c>
      <c r="E233" s="48" t="s">
        <v>612</v>
      </c>
      <c r="F233" s="48" t="s">
        <v>27</v>
      </c>
      <c r="G233" s="48" t="s">
        <v>1390</v>
      </c>
      <c r="H233" s="48" t="s">
        <v>24</v>
      </c>
      <c r="I233" s="48" t="s">
        <v>613</v>
      </c>
      <c r="J233" s="48" t="s">
        <v>1135</v>
      </c>
      <c r="K233" s="48" t="s">
        <v>26</v>
      </c>
      <c r="L233" s="50">
        <v>137644.65</v>
      </c>
      <c r="M233" s="50">
        <v>1</v>
      </c>
      <c r="N233" s="50">
        <v>137644.65</v>
      </c>
      <c r="O233" s="421">
        <v>46089</v>
      </c>
    </row>
    <row r="234" spans="1:15" ht="15.75" x14ac:dyDescent="0.25">
      <c r="A234" s="48" t="s">
        <v>2907</v>
      </c>
      <c r="B234" s="421">
        <v>46012</v>
      </c>
      <c r="C234" s="48" t="s">
        <v>916</v>
      </c>
      <c r="D234" s="48" t="s">
        <v>856</v>
      </c>
      <c r="E234" s="48" t="s">
        <v>95</v>
      </c>
      <c r="F234" s="48" t="s">
        <v>27</v>
      </c>
      <c r="G234" s="48" t="s">
        <v>2448</v>
      </c>
      <c r="H234" s="48" t="s">
        <v>3219</v>
      </c>
      <c r="I234" s="48" t="s">
        <v>328</v>
      </c>
      <c r="J234" s="48" t="s">
        <v>1142</v>
      </c>
      <c r="K234" s="48" t="s">
        <v>26</v>
      </c>
      <c r="L234" s="50">
        <v>999166</v>
      </c>
      <c r="M234" s="50">
        <v>1</v>
      </c>
      <c r="N234" s="50">
        <v>999166</v>
      </c>
      <c r="O234" s="421">
        <v>46026</v>
      </c>
    </row>
    <row r="235" spans="1:15" ht="15.75" x14ac:dyDescent="0.25">
      <c r="A235" s="48" t="s">
        <v>1810</v>
      </c>
      <c r="B235" s="421">
        <v>46048</v>
      </c>
      <c r="C235" s="48" t="s">
        <v>928</v>
      </c>
      <c r="D235" s="48" t="s">
        <v>856</v>
      </c>
      <c r="E235" s="48" t="s">
        <v>612</v>
      </c>
      <c r="F235" s="48" t="s">
        <v>27</v>
      </c>
      <c r="G235" s="48" t="s">
        <v>1549</v>
      </c>
      <c r="H235" s="48" t="s">
        <v>72</v>
      </c>
      <c r="I235" s="48" t="s">
        <v>613</v>
      </c>
      <c r="J235" s="48" t="s">
        <v>1135</v>
      </c>
      <c r="K235" s="48" t="s">
        <v>26</v>
      </c>
      <c r="L235" s="50">
        <v>519801.15</v>
      </c>
      <c r="M235" s="50">
        <v>1</v>
      </c>
      <c r="N235" s="50">
        <v>519801.15</v>
      </c>
      <c r="O235" s="421">
        <v>46076</v>
      </c>
    </row>
    <row r="236" spans="1:15" ht="15.75" x14ac:dyDescent="0.25">
      <c r="A236" s="48" t="s">
        <v>2287</v>
      </c>
      <c r="B236" s="421">
        <v>46041</v>
      </c>
      <c r="C236" s="48" t="s">
        <v>916</v>
      </c>
      <c r="D236" s="48" t="s">
        <v>856</v>
      </c>
      <c r="E236" s="48" t="s">
        <v>612</v>
      </c>
      <c r="F236" s="48" t="s">
        <v>27</v>
      </c>
      <c r="G236" s="48" t="s">
        <v>1938</v>
      </c>
      <c r="H236" s="48" t="s">
        <v>72</v>
      </c>
      <c r="I236" s="48" t="s">
        <v>613</v>
      </c>
      <c r="J236" s="48" t="s">
        <v>1135</v>
      </c>
      <c r="K236" s="48" t="s">
        <v>26</v>
      </c>
      <c r="L236" s="50">
        <v>1117011.5</v>
      </c>
      <c r="M236" s="50">
        <v>1</v>
      </c>
      <c r="N236" s="50">
        <v>1117011.5</v>
      </c>
      <c r="O236" s="421">
        <v>46050</v>
      </c>
    </row>
    <row r="237" spans="1:15" ht="15.75" x14ac:dyDescent="0.25">
      <c r="A237" s="48" t="s">
        <v>596</v>
      </c>
      <c r="B237" s="421">
        <v>46030</v>
      </c>
      <c r="C237" s="48" t="s">
        <v>928</v>
      </c>
      <c r="D237" s="48" t="s">
        <v>858</v>
      </c>
      <c r="E237" s="48" t="s">
        <v>373</v>
      </c>
      <c r="F237" s="48" t="s">
        <v>70</v>
      </c>
      <c r="G237" s="48" t="s">
        <v>155</v>
      </c>
      <c r="H237" s="48" t="s">
        <v>24</v>
      </c>
      <c r="I237" s="48" t="s">
        <v>22</v>
      </c>
      <c r="J237" s="48" t="s">
        <v>1132</v>
      </c>
      <c r="K237" s="48" t="s">
        <v>26</v>
      </c>
      <c r="L237" s="50">
        <v>616454.66999999993</v>
      </c>
      <c r="M237" s="50">
        <v>1</v>
      </c>
      <c r="N237" s="50">
        <v>616454.66999999993</v>
      </c>
      <c r="O237" s="421">
        <v>46035</v>
      </c>
    </row>
    <row r="238" spans="1:15" ht="15.75" x14ac:dyDescent="0.25">
      <c r="A238" s="48" t="s">
        <v>1446</v>
      </c>
      <c r="B238" s="421">
        <v>46042</v>
      </c>
      <c r="C238" s="48" t="s">
        <v>933</v>
      </c>
      <c r="D238" s="48" t="s">
        <v>858</v>
      </c>
      <c r="E238" s="48" t="s">
        <v>95</v>
      </c>
      <c r="F238" s="48" t="s">
        <v>27</v>
      </c>
      <c r="G238" s="48" t="s">
        <v>1337</v>
      </c>
      <c r="H238" s="48" t="s">
        <v>72</v>
      </c>
      <c r="I238" s="48" t="s">
        <v>511</v>
      </c>
      <c r="J238" s="48" t="s">
        <v>1236</v>
      </c>
      <c r="K238" s="48" t="s">
        <v>26</v>
      </c>
      <c r="L238" s="50">
        <v>123142</v>
      </c>
      <c r="M238" s="50">
        <v>1</v>
      </c>
      <c r="N238" s="50">
        <v>123142</v>
      </c>
      <c r="O238" s="421">
        <v>46048</v>
      </c>
    </row>
    <row r="239" spans="1:15" ht="15.75" x14ac:dyDescent="0.25">
      <c r="A239" s="48" t="s">
        <v>1446</v>
      </c>
      <c r="B239" s="421">
        <v>46042</v>
      </c>
      <c r="C239" s="48" t="s">
        <v>922</v>
      </c>
      <c r="D239" s="48" t="s">
        <v>858</v>
      </c>
      <c r="E239" s="48" t="s">
        <v>95</v>
      </c>
      <c r="F239" s="48" t="s">
        <v>27</v>
      </c>
      <c r="G239" s="48" t="s">
        <v>1337</v>
      </c>
      <c r="H239" s="48" t="s">
        <v>72</v>
      </c>
      <c r="I239" s="48" t="s">
        <v>511</v>
      </c>
      <c r="J239" s="48" t="s">
        <v>1236</v>
      </c>
      <c r="K239" s="48" t="s">
        <v>26</v>
      </c>
      <c r="L239" s="50">
        <v>125798.5</v>
      </c>
      <c r="M239" s="50">
        <v>1</v>
      </c>
      <c r="N239" s="50">
        <v>125798.5</v>
      </c>
      <c r="O239" s="421">
        <v>46048</v>
      </c>
    </row>
    <row r="240" spans="1:15" ht="15.75" x14ac:dyDescent="0.25">
      <c r="A240" s="48" t="s">
        <v>2562</v>
      </c>
      <c r="B240" s="421">
        <v>46042</v>
      </c>
      <c r="C240" s="48" t="s">
        <v>918</v>
      </c>
      <c r="D240" s="48" t="s">
        <v>856</v>
      </c>
      <c r="E240" s="48" t="s">
        <v>95</v>
      </c>
      <c r="F240" s="48" t="s">
        <v>27</v>
      </c>
      <c r="G240" s="48" t="s">
        <v>2448</v>
      </c>
      <c r="H240" s="48" t="s">
        <v>3219</v>
      </c>
      <c r="I240" s="48" t="s">
        <v>328</v>
      </c>
      <c r="J240" s="48" t="s">
        <v>1142</v>
      </c>
      <c r="K240" s="48" t="s">
        <v>26</v>
      </c>
      <c r="L240" s="50">
        <v>794349.56</v>
      </c>
      <c r="M240" s="50">
        <v>1</v>
      </c>
      <c r="N240" s="50">
        <v>794349.56</v>
      </c>
      <c r="O240" s="421">
        <v>46104</v>
      </c>
    </row>
    <row r="241" spans="1:15" ht="15.75" x14ac:dyDescent="0.25">
      <c r="A241" s="48" t="s">
        <v>596</v>
      </c>
      <c r="B241" s="421">
        <v>46030</v>
      </c>
      <c r="C241" s="48" t="s">
        <v>3625</v>
      </c>
      <c r="D241" s="48" t="s">
        <v>858</v>
      </c>
      <c r="E241" s="48" t="s">
        <v>373</v>
      </c>
      <c r="F241" s="48" t="s">
        <v>70</v>
      </c>
      <c r="G241" s="48" t="s">
        <v>155</v>
      </c>
      <c r="H241" s="48" t="s">
        <v>24</v>
      </c>
      <c r="I241" s="48" t="s">
        <v>22</v>
      </c>
      <c r="J241" s="48" t="s">
        <v>1132</v>
      </c>
      <c r="K241" s="48" t="s">
        <v>26</v>
      </c>
      <c r="L241" s="50">
        <v>205932.54999999993</v>
      </c>
      <c r="M241" s="50">
        <v>1</v>
      </c>
      <c r="N241" s="50">
        <v>205932.54999999993</v>
      </c>
      <c r="O241" s="421">
        <v>46035</v>
      </c>
    </row>
    <row r="242" spans="1:15" ht="15.75" x14ac:dyDescent="0.25">
      <c r="A242" s="48" t="s">
        <v>2287</v>
      </c>
      <c r="B242" s="421">
        <v>46047</v>
      </c>
      <c r="C242" s="48" t="s">
        <v>918</v>
      </c>
      <c r="D242" s="48" t="s">
        <v>856</v>
      </c>
      <c r="E242" s="48" t="s">
        <v>612</v>
      </c>
      <c r="F242" s="48" t="s">
        <v>27</v>
      </c>
      <c r="G242" s="48" t="s">
        <v>1938</v>
      </c>
      <c r="H242" s="48" t="s">
        <v>72</v>
      </c>
      <c r="I242" s="48" t="s">
        <v>613</v>
      </c>
      <c r="J242" s="48" t="s">
        <v>1135</v>
      </c>
      <c r="K242" s="48" t="s">
        <v>26</v>
      </c>
      <c r="L242" s="50">
        <v>1575293.5</v>
      </c>
      <c r="M242" s="50">
        <v>1</v>
      </c>
      <c r="N242" s="50">
        <v>1575293.5</v>
      </c>
      <c r="O242" s="421">
        <v>46065</v>
      </c>
    </row>
    <row r="243" spans="1:15" ht="15.75" x14ac:dyDescent="0.25">
      <c r="A243" s="48" t="s">
        <v>1823</v>
      </c>
      <c r="B243" s="421">
        <v>46044</v>
      </c>
      <c r="C243" s="48" t="s">
        <v>916</v>
      </c>
      <c r="D243" s="48" t="s">
        <v>856</v>
      </c>
      <c r="E243" s="48" t="s">
        <v>612</v>
      </c>
      <c r="F243" s="48" t="s">
        <v>27</v>
      </c>
      <c r="G243" s="48" t="s">
        <v>1700</v>
      </c>
      <c r="H243" s="48" t="s">
        <v>24</v>
      </c>
      <c r="I243" s="48" t="s">
        <v>613</v>
      </c>
      <c r="J243" s="48" t="s">
        <v>1135</v>
      </c>
      <c r="K243" s="48" t="s">
        <v>26</v>
      </c>
      <c r="L243" s="50">
        <v>737540</v>
      </c>
      <c r="M243" s="50">
        <v>1</v>
      </c>
      <c r="N243" s="50">
        <v>737540</v>
      </c>
      <c r="O243" s="421">
        <v>46086</v>
      </c>
    </row>
    <row r="244" spans="1:15" ht="15.75" x14ac:dyDescent="0.25">
      <c r="A244" s="48" t="s">
        <v>1425</v>
      </c>
      <c r="B244" s="421">
        <v>46050</v>
      </c>
      <c r="C244" s="48" t="s">
        <v>916</v>
      </c>
      <c r="D244" s="48" t="s">
        <v>858</v>
      </c>
      <c r="E244" s="48" t="s">
        <v>95</v>
      </c>
      <c r="F244" s="48" t="s">
        <v>27</v>
      </c>
      <c r="G244" s="48" t="s">
        <v>521</v>
      </c>
      <c r="H244" s="48" t="s">
        <v>24</v>
      </c>
      <c r="I244" s="48" t="s">
        <v>22</v>
      </c>
      <c r="J244" s="48" t="s">
        <v>1132</v>
      </c>
      <c r="K244" s="48" t="s">
        <v>26</v>
      </c>
      <c r="L244" s="50">
        <v>400000</v>
      </c>
      <c r="M244" s="50">
        <v>1</v>
      </c>
      <c r="N244" s="50">
        <v>400000</v>
      </c>
      <c r="O244" s="421">
        <v>46113</v>
      </c>
    </row>
    <row r="245" spans="1:15" ht="15.75" x14ac:dyDescent="0.25">
      <c r="A245" s="48" t="s">
        <v>3569</v>
      </c>
      <c r="B245" s="421">
        <v>46058</v>
      </c>
      <c r="C245" s="48" t="s">
        <v>916</v>
      </c>
      <c r="D245" s="48" t="s">
        <v>856</v>
      </c>
      <c r="E245" s="48" t="s">
        <v>612</v>
      </c>
      <c r="F245" s="48" t="s">
        <v>27</v>
      </c>
      <c r="G245" s="48" t="s">
        <v>1703</v>
      </c>
      <c r="H245" s="48" t="s">
        <v>24</v>
      </c>
      <c r="I245" s="48" t="s">
        <v>613</v>
      </c>
      <c r="J245" s="48" t="s">
        <v>1135</v>
      </c>
      <c r="K245" s="48" t="s">
        <v>26</v>
      </c>
      <c r="L245" s="50">
        <v>252107.36</v>
      </c>
      <c r="M245" s="50">
        <v>1</v>
      </c>
      <c r="N245" s="50">
        <v>252107.36</v>
      </c>
      <c r="O245" s="421">
        <v>46140</v>
      </c>
    </row>
    <row r="246" spans="1:15" ht="15.75" x14ac:dyDescent="0.25">
      <c r="A246" s="48" t="s">
        <v>2562</v>
      </c>
      <c r="B246" s="421">
        <v>46049</v>
      </c>
      <c r="C246" s="48" t="s">
        <v>924</v>
      </c>
      <c r="D246" s="48" t="s">
        <v>856</v>
      </c>
      <c r="E246" s="48" t="s">
        <v>95</v>
      </c>
      <c r="F246" s="48" t="s">
        <v>27</v>
      </c>
      <c r="G246" s="48" t="s">
        <v>2448</v>
      </c>
      <c r="H246" s="48" t="s">
        <v>3219</v>
      </c>
      <c r="I246" s="48" t="s">
        <v>328</v>
      </c>
      <c r="J246" s="48" t="s">
        <v>1142</v>
      </c>
      <c r="K246" s="48" t="s">
        <v>26</v>
      </c>
      <c r="L246" s="50">
        <v>949026</v>
      </c>
      <c r="M246" s="50">
        <v>1</v>
      </c>
      <c r="N246" s="50">
        <v>949026</v>
      </c>
      <c r="O246" s="421">
        <v>46104</v>
      </c>
    </row>
    <row r="247" spans="1:15" ht="15.75" x14ac:dyDescent="0.25">
      <c r="A247" s="48" t="s">
        <v>3567</v>
      </c>
      <c r="B247" s="421">
        <v>46072</v>
      </c>
      <c r="C247" s="48" t="s">
        <v>916</v>
      </c>
      <c r="D247" s="48" t="s">
        <v>856</v>
      </c>
      <c r="E247" s="48" t="s">
        <v>612</v>
      </c>
      <c r="F247" s="48" t="s">
        <v>27</v>
      </c>
      <c r="G247" s="48" t="s">
        <v>3331</v>
      </c>
      <c r="H247" s="48" t="s">
        <v>24</v>
      </c>
      <c r="I247" s="48" t="s">
        <v>613</v>
      </c>
      <c r="J247" s="48" t="s">
        <v>1135</v>
      </c>
      <c r="K247" s="48" t="s">
        <v>26</v>
      </c>
      <c r="L247" s="50">
        <v>212349.8</v>
      </c>
      <c r="M247" s="50">
        <v>1</v>
      </c>
      <c r="N247" s="50">
        <v>212349.8</v>
      </c>
      <c r="O247" s="421">
        <v>46145</v>
      </c>
    </row>
    <row r="248" spans="1:15" ht="15.75" x14ac:dyDescent="0.25">
      <c r="A248" s="48" t="s">
        <v>1447</v>
      </c>
      <c r="B248" s="421">
        <v>46070</v>
      </c>
      <c r="C248" s="48" t="s">
        <v>928</v>
      </c>
      <c r="D248" s="48" t="s">
        <v>856</v>
      </c>
      <c r="E248" s="48" t="s">
        <v>612</v>
      </c>
      <c r="F248" s="48" t="s">
        <v>27</v>
      </c>
      <c r="G248" s="48" t="s">
        <v>1416</v>
      </c>
      <c r="H248" s="48" t="s">
        <v>24</v>
      </c>
      <c r="I248" s="48" t="s">
        <v>613</v>
      </c>
      <c r="J248" s="48" t="s">
        <v>1135</v>
      </c>
      <c r="K248" s="48" t="s">
        <v>26</v>
      </c>
      <c r="L248" s="50">
        <v>521698.4</v>
      </c>
      <c r="M248" s="50">
        <v>1</v>
      </c>
      <c r="N248" s="50">
        <v>521698.4</v>
      </c>
      <c r="O248" s="421">
        <v>46113</v>
      </c>
    </row>
    <row r="249" spans="1:15" ht="15.75" x14ac:dyDescent="0.25">
      <c r="A249" s="48" t="s">
        <v>3568</v>
      </c>
      <c r="B249" s="421">
        <v>46069</v>
      </c>
      <c r="C249" s="48" t="s">
        <v>916</v>
      </c>
      <c r="D249" s="48" t="s">
        <v>856</v>
      </c>
      <c r="E249" s="48" t="s">
        <v>612</v>
      </c>
      <c r="F249" s="48" t="s">
        <v>27</v>
      </c>
      <c r="G249" s="48" t="s">
        <v>3332</v>
      </c>
      <c r="H249" s="48" t="s">
        <v>24</v>
      </c>
      <c r="I249" s="48" t="s">
        <v>613</v>
      </c>
      <c r="J249" s="48" t="s">
        <v>1135</v>
      </c>
      <c r="K249" s="48" t="s">
        <v>26</v>
      </c>
      <c r="L249" s="50">
        <v>209875</v>
      </c>
      <c r="M249" s="50">
        <v>1</v>
      </c>
      <c r="N249" s="50">
        <v>209875</v>
      </c>
      <c r="O249" s="421">
        <v>46145</v>
      </c>
    </row>
    <row r="250" spans="1:15" ht="15.75" x14ac:dyDescent="0.25">
      <c r="A250" s="48" t="s">
        <v>1446</v>
      </c>
      <c r="B250" s="421">
        <v>46061</v>
      </c>
      <c r="C250" s="48" t="s">
        <v>929</v>
      </c>
      <c r="D250" s="48" t="s">
        <v>858</v>
      </c>
      <c r="E250" s="48" t="s">
        <v>95</v>
      </c>
      <c r="F250" s="48" t="s">
        <v>27</v>
      </c>
      <c r="G250" s="48" t="s">
        <v>1337</v>
      </c>
      <c r="H250" s="48" t="s">
        <v>72</v>
      </c>
      <c r="I250" s="48" t="s">
        <v>511</v>
      </c>
      <c r="J250" s="48" t="s">
        <v>1236</v>
      </c>
      <c r="K250" s="48" t="s">
        <v>26</v>
      </c>
      <c r="L250" s="50">
        <v>971037</v>
      </c>
      <c r="M250" s="50">
        <v>1</v>
      </c>
      <c r="N250" s="50">
        <v>971037</v>
      </c>
      <c r="O250" s="421">
        <v>46071</v>
      </c>
    </row>
    <row r="251" spans="1:15" ht="15.75" x14ac:dyDescent="0.25">
      <c r="A251" s="48" t="s">
        <v>3571</v>
      </c>
      <c r="B251" s="421">
        <v>46078</v>
      </c>
      <c r="C251" s="48" t="s">
        <v>916</v>
      </c>
      <c r="D251" s="48" t="s">
        <v>856</v>
      </c>
      <c r="E251" s="48" t="s">
        <v>612</v>
      </c>
      <c r="F251" s="48" t="s">
        <v>27</v>
      </c>
      <c r="G251" s="48" t="s">
        <v>779</v>
      </c>
      <c r="H251" s="48" t="s">
        <v>24</v>
      </c>
      <c r="I251" s="48" t="s">
        <v>613</v>
      </c>
      <c r="J251" s="48" t="s">
        <v>1135</v>
      </c>
      <c r="K251" s="48" t="s">
        <v>26</v>
      </c>
      <c r="L251" s="50">
        <v>1478254.88</v>
      </c>
      <c r="M251" s="50">
        <v>1</v>
      </c>
      <c r="N251" s="50">
        <v>1478254.88</v>
      </c>
      <c r="O251" s="421">
        <v>46152</v>
      </c>
    </row>
    <row r="252" spans="1:15" ht="15.75" x14ac:dyDescent="0.25">
      <c r="A252" s="48" t="s">
        <v>1565</v>
      </c>
      <c r="B252" s="421">
        <v>46078</v>
      </c>
      <c r="C252" s="48" t="s">
        <v>916</v>
      </c>
      <c r="D252" s="48" t="s">
        <v>856</v>
      </c>
      <c r="E252" s="48" t="s">
        <v>612</v>
      </c>
      <c r="F252" s="48" t="s">
        <v>27</v>
      </c>
      <c r="G252" s="48" t="s">
        <v>1543</v>
      </c>
      <c r="H252" s="48" t="s">
        <v>24</v>
      </c>
      <c r="I252" s="48" t="s">
        <v>613</v>
      </c>
      <c r="J252" s="48" t="s">
        <v>1135</v>
      </c>
      <c r="K252" s="48" t="s">
        <v>26</v>
      </c>
      <c r="L252" s="50">
        <v>89826.5</v>
      </c>
      <c r="M252" s="50">
        <v>1</v>
      </c>
      <c r="N252" s="50">
        <v>89826.5</v>
      </c>
      <c r="O252" s="421">
        <v>46138</v>
      </c>
    </row>
    <row r="253" spans="1:15" ht="15.75" x14ac:dyDescent="0.25">
      <c r="A253" s="48" t="s">
        <v>1821</v>
      </c>
      <c r="B253" s="421">
        <v>46078</v>
      </c>
      <c r="C253" s="48" t="s">
        <v>916</v>
      </c>
      <c r="D253" s="48" t="s">
        <v>856</v>
      </c>
      <c r="E253" s="48" t="s">
        <v>612</v>
      </c>
      <c r="F253" s="48" t="s">
        <v>27</v>
      </c>
      <c r="G253" s="48" t="s">
        <v>1701</v>
      </c>
      <c r="H253" s="48" t="s">
        <v>24</v>
      </c>
      <c r="I253" s="48" t="s">
        <v>613</v>
      </c>
      <c r="J253" s="48" t="s">
        <v>1135</v>
      </c>
      <c r="K253" s="48" t="s">
        <v>26</v>
      </c>
      <c r="L253" s="50">
        <v>42591.07</v>
      </c>
      <c r="M253" s="50">
        <v>1</v>
      </c>
      <c r="N253" s="50">
        <v>42591.07</v>
      </c>
      <c r="O253" s="421">
        <v>46138</v>
      </c>
    </row>
    <row r="254" spans="1:15" ht="15.75" x14ac:dyDescent="0.25">
      <c r="A254" s="48" t="s">
        <v>4545</v>
      </c>
      <c r="B254" s="421">
        <v>46078</v>
      </c>
      <c r="C254" s="48" t="s">
        <v>916</v>
      </c>
      <c r="D254" s="48" t="s">
        <v>856</v>
      </c>
      <c r="E254" s="48" t="s">
        <v>1073</v>
      </c>
      <c r="F254" s="48" t="s">
        <v>27</v>
      </c>
      <c r="G254" s="48" t="s">
        <v>2924</v>
      </c>
      <c r="H254" s="48" t="s">
        <v>72</v>
      </c>
      <c r="I254" s="48" t="s">
        <v>882</v>
      </c>
      <c r="J254" s="48" t="s">
        <v>4134</v>
      </c>
      <c r="K254" s="48" t="s">
        <v>26</v>
      </c>
      <c r="L254" s="50">
        <v>1164996</v>
      </c>
      <c r="M254" s="50">
        <v>1</v>
      </c>
      <c r="N254" s="50">
        <v>1164996</v>
      </c>
      <c r="O254" s="421">
        <v>46090</v>
      </c>
    </row>
    <row r="255" spans="1:15" ht="15.75" x14ac:dyDescent="0.25">
      <c r="A255" s="48" t="s">
        <v>3721</v>
      </c>
      <c r="B255" s="421">
        <v>46079</v>
      </c>
      <c r="C255" s="48" t="s">
        <v>916</v>
      </c>
      <c r="D255" s="48" t="s">
        <v>858</v>
      </c>
      <c r="E255" s="48" t="s">
        <v>95</v>
      </c>
      <c r="F255" s="48" t="s">
        <v>27</v>
      </c>
      <c r="G255" s="48" t="s">
        <v>3618</v>
      </c>
      <c r="H255" s="48" t="s">
        <v>1791</v>
      </c>
      <c r="I255" s="48" t="s">
        <v>328</v>
      </c>
      <c r="J255" s="48" t="s">
        <v>1142</v>
      </c>
      <c r="K255" s="48" t="s">
        <v>26</v>
      </c>
      <c r="L255" s="50">
        <v>400000</v>
      </c>
      <c r="M255" s="50">
        <v>1</v>
      </c>
      <c r="N255" s="50">
        <v>400000</v>
      </c>
      <c r="O255" s="421">
        <v>46146</v>
      </c>
    </row>
    <row r="256" spans="1:15" ht="15.75" x14ac:dyDescent="0.25">
      <c r="A256" s="48" t="s">
        <v>3719</v>
      </c>
      <c r="B256" s="421">
        <v>46090</v>
      </c>
      <c r="C256" s="48" t="s">
        <v>916</v>
      </c>
      <c r="D256" s="48" t="s">
        <v>858</v>
      </c>
      <c r="E256" s="48" t="s">
        <v>95</v>
      </c>
      <c r="F256" s="48" t="s">
        <v>27</v>
      </c>
      <c r="G256" s="48" t="s">
        <v>523</v>
      </c>
      <c r="H256" s="48" t="s">
        <v>1791</v>
      </c>
      <c r="I256" s="48" t="s">
        <v>328</v>
      </c>
      <c r="J256" s="48" t="s">
        <v>1142</v>
      </c>
      <c r="K256" s="48" t="s">
        <v>26</v>
      </c>
      <c r="L256" s="50">
        <v>800000</v>
      </c>
      <c r="M256" s="50">
        <v>1</v>
      </c>
      <c r="N256" s="50">
        <v>800000</v>
      </c>
      <c r="O256" s="421">
        <v>46105</v>
      </c>
    </row>
    <row r="257" spans="1:15" ht="15.75" x14ac:dyDescent="0.25">
      <c r="A257" s="48" t="s">
        <v>3723</v>
      </c>
      <c r="B257" s="421">
        <v>46082</v>
      </c>
      <c r="C257" s="48" t="s">
        <v>916</v>
      </c>
      <c r="D257" s="48" t="s">
        <v>858</v>
      </c>
      <c r="E257" s="48" t="s">
        <v>95</v>
      </c>
      <c r="F257" s="48" t="s">
        <v>27</v>
      </c>
      <c r="G257" s="48" t="s">
        <v>3621</v>
      </c>
      <c r="H257" s="48" t="s">
        <v>1791</v>
      </c>
      <c r="I257" s="48" t="s">
        <v>328</v>
      </c>
      <c r="J257" s="48" t="s">
        <v>1142</v>
      </c>
      <c r="K257" s="48" t="s">
        <v>26</v>
      </c>
      <c r="L257" s="50">
        <v>700000</v>
      </c>
      <c r="M257" s="50">
        <v>1</v>
      </c>
      <c r="N257" s="50">
        <v>700000</v>
      </c>
      <c r="O257" s="421">
        <v>46163</v>
      </c>
    </row>
    <row r="258" spans="1:15" ht="15.75" x14ac:dyDescent="0.25">
      <c r="A258" s="48" t="s">
        <v>3783</v>
      </c>
      <c r="B258" s="421">
        <v>46097</v>
      </c>
      <c r="C258" s="48" t="s">
        <v>916</v>
      </c>
      <c r="D258" s="48" t="s">
        <v>858</v>
      </c>
      <c r="E258" s="48" t="s">
        <v>95</v>
      </c>
      <c r="F258" s="48" t="s">
        <v>27</v>
      </c>
      <c r="G258" s="48" t="s">
        <v>521</v>
      </c>
      <c r="H258" s="48" t="s">
        <v>1791</v>
      </c>
      <c r="I258" s="48" t="s">
        <v>328</v>
      </c>
      <c r="J258" s="48" t="s">
        <v>1142</v>
      </c>
      <c r="K258" s="48" t="s">
        <v>26</v>
      </c>
      <c r="L258" s="50">
        <v>806924.71</v>
      </c>
      <c r="M258" s="50">
        <v>1</v>
      </c>
      <c r="N258" s="50">
        <v>806924.71</v>
      </c>
      <c r="O258" s="421">
        <v>46155</v>
      </c>
    </row>
    <row r="259" spans="1:15" ht="15.75" x14ac:dyDescent="0.25">
      <c r="A259" s="48" t="s">
        <v>3718</v>
      </c>
      <c r="B259" s="421">
        <v>46097</v>
      </c>
      <c r="C259" s="48" t="s">
        <v>916</v>
      </c>
      <c r="D259" s="48" t="s">
        <v>858</v>
      </c>
      <c r="E259" s="48" t="s">
        <v>95</v>
      </c>
      <c r="F259" s="48" t="s">
        <v>27</v>
      </c>
      <c r="G259" s="48" t="s">
        <v>521</v>
      </c>
      <c r="H259" s="48" t="s">
        <v>1791</v>
      </c>
      <c r="I259" s="48" t="s">
        <v>328</v>
      </c>
      <c r="J259" s="48" t="s">
        <v>1142</v>
      </c>
      <c r="K259" s="48" t="s">
        <v>26</v>
      </c>
      <c r="L259" s="50">
        <v>250000</v>
      </c>
      <c r="M259" s="50">
        <v>1</v>
      </c>
      <c r="N259" s="50">
        <v>250000</v>
      </c>
      <c r="O259" s="421">
        <v>46155</v>
      </c>
    </row>
    <row r="260" spans="1:15" ht="15.75" x14ac:dyDescent="0.25">
      <c r="A260" s="48" t="s">
        <v>3319</v>
      </c>
      <c r="B260" s="421">
        <v>46097</v>
      </c>
      <c r="C260" s="48" t="s">
        <v>916</v>
      </c>
      <c r="D260" s="48" t="s">
        <v>856</v>
      </c>
      <c r="E260" s="48" t="s">
        <v>612</v>
      </c>
      <c r="F260" s="48" t="s">
        <v>27</v>
      </c>
      <c r="G260" s="48" t="s">
        <v>3187</v>
      </c>
      <c r="H260" s="48" t="s">
        <v>72</v>
      </c>
      <c r="I260" s="48" t="s">
        <v>613</v>
      </c>
      <c r="J260" s="48" t="s">
        <v>1135</v>
      </c>
      <c r="K260" s="48" t="s">
        <v>26</v>
      </c>
      <c r="L260" s="50">
        <v>109064.85</v>
      </c>
      <c r="M260" s="50">
        <v>1</v>
      </c>
      <c r="N260" s="50">
        <v>109064.85</v>
      </c>
      <c r="O260" s="421">
        <v>46124</v>
      </c>
    </row>
    <row r="261" spans="1:15" ht="15.75" x14ac:dyDescent="0.25">
      <c r="A261" s="48" t="s">
        <v>2287</v>
      </c>
      <c r="B261" s="421">
        <v>46097</v>
      </c>
      <c r="C261" s="48" t="s">
        <v>924</v>
      </c>
      <c r="D261" s="48" t="s">
        <v>856</v>
      </c>
      <c r="E261" s="48" t="s">
        <v>612</v>
      </c>
      <c r="F261" s="48" t="s">
        <v>27</v>
      </c>
      <c r="G261" s="48" t="s">
        <v>1938</v>
      </c>
      <c r="H261" s="48" t="s">
        <v>72</v>
      </c>
      <c r="I261" s="48" t="s">
        <v>613</v>
      </c>
      <c r="J261" s="48" t="s">
        <v>1135</v>
      </c>
      <c r="K261" s="48" t="s">
        <v>26</v>
      </c>
      <c r="L261" s="50">
        <v>1835164.63</v>
      </c>
      <c r="M261" s="50">
        <v>1</v>
      </c>
      <c r="N261" s="50">
        <v>1835164.63</v>
      </c>
      <c r="O261" s="421">
        <v>46097</v>
      </c>
    </row>
    <row r="262" spans="1:15" ht="15.75" x14ac:dyDescent="0.25">
      <c r="A262" s="48" t="s">
        <v>1610</v>
      </c>
      <c r="B262" s="421">
        <v>46097</v>
      </c>
      <c r="C262" s="48" t="s">
        <v>924</v>
      </c>
      <c r="D262" s="48" t="s">
        <v>856</v>
      </c>
      <c r="E262" s="48" t="s">
        <v>612</v>
      </c>
      <c r="F262" s="48" t="s">
        <v>27</v>
      </c>
      <c r="G262" s="48" t="s">
        <v>1556</v>
      </c>
      <c r="H262" s="48" t="s">
        <v>72</v>
      </c>
      <c r="I262" s="48" t="s">
        <v>613</v>
      </c>
      <c r="J262" s="48" t="s">
        <v>1135</v>
      </c>
      <c r="K262" s="48" t="s">
        <v>26</v>
      </c>
      <c r="L262" s="50">
        <v>54799.8</v>
      </c>
      <c r="M262" s="50">
        <v>1</v>
      </c>
      <c r="N262" s="50">
        <v>54799.8</v>
      </c>
      <c r="O262" s="421">
        <v>46097</v>
      </c>
    </row>
    <row r="263" spans="1:15" ht="15.75" x14ac:dyDescent="0.25">
      <c r="A263" s="48" t="s">
        <v>1810</v>
      </c>
      <c r="B263" s="421">
        <v>46113</v>
      </c>
      <c r="C263" s="48" t="s">
        <v>933</v>
      </c>
      <c r="D263" s="48" t="s">
        <v>856</v>
      </c>
      <c r="E263" s="48" t="s">
        <v>612</v>
      </c>
      <c r="F263" s="48" t="s">
        <v>27</v>
      </c>
      <c r="G263" s="48" t="s">
        <v>1549</v>
      </c>
      <c r="H263" s="48" t="s">
        <v>72</v>
      </c>
      <c r="I263" s="48" t="s">
        <v>613</v>
      </c>
      <c r="J263" s="48" t="s">
        <v>1135</v>
      </c>
      <c r="K263" s="48" t="s">
        <v>26</v>
      </c>
      <c r="L263" s="50">
        <v>537079</v>
      </c>
      <c r="M263" s="50">
        <v>1</v>
      </c>
      <c r="N263" s="50">
        <v>537079</v>
      </c>
      <c r="O263" s="421">
        <v>46138</v>
      </c>
    </row>
    <row r="264" spans="1:15" ht="15.75" x14ac:dyDescent="0.25">
      <c r="A264" s="48" t="s">
        <v>4205</v>
      </c>
      <c r="B264" s="421">
        <v>46096</v>
      </c>
      <c r="C264" s="48" t="s">
        <v>916</v>
      </c>
      <c r="D264" s="48" t="s">
        <v>856</v>
      </c>
      <c r="E264" s="48" t="s">
        <v>95</v>
      </c>
      <c r="F264" s="48" t="s">
        <v>27</v>
      </c>
      <c r="G264" s="48" t="s">
        <v>1200</v>
      </c>
      <c r="H264" s="48" t="s">
        <v>72</v>
      </c>
      <c r="I264" s="48" t="s">
        <v>511</v>
      </c>
      <c r="J264" s="48" t="s">
        <v>1236</v>
      </c>
      <c r="K264" s="48" t="s">
        <v>26</v>
      </c>
      <c r="L264" s="50">
        <v>1696396.49</v>
      </c>
      <c r="M264" s="50">
        <v>1</v>
      </c>
      <c r="N264" s="50">
        <v>1696396.49</v>
      </c>
      <c r="O264" s="421">
        <v>46128</v>
      </c>
    </row>
    <row r="265" spans="1:15" ht="15.75" x14ac:dyDescent="0.25">
      <c r="A265" s="48" t="s">
        <v>3142</v>
      </c>
      <c r="B265" s="421">
        <v>46109</v>
      </c>
      <c r="C265" s="48" t="s">
        <v>916</v>
      </c>
      <c r="D265" s="48" t="s">
        <v>856</v>
      </c>
      <c r="E265" s="48" t="s">
        <v>95</v>
      </c>
      <c r="F265" s="48" t="s">
        <v>27</v>
      </c>
      <c r="G265" s="48" t="s">
        <v>2925</v>
      </c>
      <c r="H265" s="48" t="s">
        <v>3219</v>
      </c>
      <c r="I265" s="48" t="s">
        <v>328</v>
      </c>
      <c r="J265" s="48" t="s">
        <v>1142</v>
      </c>
      <c r="K265" s="48" t="s">
        <v>26</v>
      </c>
      <c r="L265" s="50">
        <v>223403.6</v>
      </c>
      <c r="M265" s="50">
        <v>1</v>
      </c>
      <c r="N265" s="50">
        <v>223403.6</v>
      </c>
      <c r="O265" s="421">
        <v>46142</v>
      </c>
    </row>
    <row r="266" spans="1:15" ht="15.75" x14ac:dyDescent="0.25">
      <c r="A266" s="48" t="s">
        <v>4304</v>
      </c>
      <c r="B266" s="421">
        <v>46110</v>
      </c>
      <c r="C266" s="48" t="s">
        <v>916</v>
      </c>
      <c r="D266" s="48" t="s">
        <v>856</v>
      </c>
      <c r="E266" s="48" t="s">
        <v>612</v>
      </c>
      <c r="F266" s="48" t="s">
        <v>27</v>
      </c>
      <c r="G266" s="48" t="s">
        <v>4277</v>
      </c>
      <c r="H266" s="48" t="s">
        <v>24</v>
      </c>
      <c r="I266" s="48" t="s">
        <v>367</v>
      </c>
      <c r="J266" s="48" t="s">
        <v>1136</v>
      </c>
      <c r="K266" s="48" t="s">
        <v>26</v>
      </c>
      <c r="L266" s="50">
        <v>25000000</v>
      </c>
      <c r="M266" s="50">
        <v>1</v>
      </c>
      <c r="N266" s="50">
        <v>25000000</v>
      </c>
      <c r="O266" s="421">
        <v>46181</v>
      </c>
    </row>
    <row r="267" spans="1:15" ht="15.75" x14ac:dyDescent="0.25">
      <c r="A267" s="48" t="s">
        <v>1767</v>
      </c>
      <c r="B267" s="421">
        <v>46113</v>
      </c>
      <c r="C267" s="48" t="s">
        <v>933</v>
      </c>
      <c r="D267" s="48" t="s">
        <v>856</v>
      </c>
      <c r="E267" s="48" t="s">
        <v>21</v>
      </c>
      <c r="F267" s="48" t="s">
        <v>27</v>
      </c>
      <c r="G267" s="48" t="s">
        <v>1337</v>
      </c>
      <c r="H267" s="48" t="s">
        <v>72</v>
      </c>
      <c r="I267" s="48" t="s">
        <v>511</v>
      </c>
      <c r="J267" s="48" t="s">
        <v>1236</v>
      </c>
      <c r="K267" s="48" t="s">
        <v>26</v>
      </c>
      <c r="L267" s="50">
        <v>291391.23</v>
      </c>
      <c r="M267" s="50">
        <v>1</v>
      </c>
      <c r="N267" s="50">
        <v>291391.23</v>
      </c>
      <c r="O267" s="421">
        <v>46128</v>
      </c>
    </row>
    <row r="268" spans="1:15" ht="15.75" x14ac:dyDescent="0.25">
      <c r="A268" s="48" t="s">
        <v>1896</v>
      </c>
      <c r="B268" s="421">
        <v>46125</v>
      </c>
      <c r="C268" s="48" t="s">
        <v>930</v>
      </c>
      <c r="D268" s="48" t="s">
        <v>856</v>
      </c>
      <c r="E268" s="48" t="s">
        <v>21</v>
      </c>
      <c r="F268" s="48" t="s">
        <v>27</v>
      </c>
      <c r="G268" s="48" t="s">
        <v>1883</v>
      </c>
      <c r="H268" s="48" t="s">
        <v>72</v>
      </c>
      <c r="I268" s="48" t="s">
        <v>511</v>
      </c>
      <c r="J268" s="48" t="s">
        <v>1236</v>
      </c>
      <c r="K268" s="48" t="s">
        <v>26</v>
      </c>
      <c r="L268" s="50">
        <v>412500</v>
      </c>
      <c r="M268" s="50">
        <v>1</v>
      </c>
      <c r="N268" s="50">
        <v>412500</v>
      </c>
      <c r="O268" s="421">
        <v>46138</v>
      </c>
    </row>
    <row r="269" spans="1:15" ht="15.75" x14ac:dyDescent="0.25">
      <c r="A269" s="48" t="s">
        <v>4137</v>
      </c>
      <c r="B269" s="421">
        <v>46138</v>
      </c>
      <c r="C269" s="48" t="s">
        <v>916</v>
      </c>
      <c r="D269" s="48" t="s">
        <v>856</v>
      </c>
      <c r="E269" s="48" t="s">
        <v>21</v>
      </c>
      <c r="F269" s="48" t="s">
        <v>27</v>
      </c>
      <c r="G269" s="48" t="s">
        <v>535</v>
      </c>
      <c r="H269" s="48" t="s">
        <v>80</v>
      </c>
      <c r="I269" s="48" t="s">
        <v>22</v>
      </c>
      <c r="J269" s="48" t="s">
        <v>1132</v>
      </c>
      <c r="K269" s="48" t="s">
        <v>31</v>
      </c>
      <c r="L269" s="50">
        <v>1198730.71</v>
      </c>
      <c r="M269" s="50">
        <v>5.0896999999999997</v>
      </c>
      <c r="N269" s="50">
        <v>6101179.6946869995</v>
      </c>
      <c r="O269" s="421">
        <v>46174</v>
      </c>
    </row>
    <row r="270" spans="1:15" ht="15.75" x14ac:dyDescent="0.25">
      <c r="A270" s="48" t="s">
        <v>3228</v>
      </c>
      <c r="B270" s="421">
        <v>46138</v>
      </c>
      <c r="C270" s="48" t="s">
        <v>916</v>
      </c>
      <c r="D270" s="48" t="s">
        <v>856</v>
      </c>
      <c r="E270" s="48" t="s">
        <v>21</v>
      </c>
      <c r="F270" s="48" t="s">
        <v>27</v>
      </c>
      <c r="G270" s="48" t="s">
        <v>535</v>
      </c>
      <c r="H270" s="48" t="s">
        <v>80</v>
      </c>
      <c r="I270" s="48" t="s">
        <v>22</v>
      </c>
      <c r="J270" s="48" t="s">
        <v>1132</v>
      </c>
      <c r="K270" s="48" t="s">
        <v>31</v>
      </c>
      <c r="L270" s="50">
        <v>71061.149999999994</v>
      </c>
      <c r="M270" s="50">
        <v>5.1128999000000004</v>
      </c>
      <c r="N270" s="50">
        <v>363328.54672888498</v>
      </c>
      <c r="O270" s="421">
        <v>46154</v>
      </c>
    </row>
    <row r="271" spans="1:15" ht="15.75" x14ac:dyDescent="0.25">
      <c r="A271" s="48" t="s">
        <v>3722</v>
      </c>
      <c r="B271" s="421">
        <v>46132</v>
      </c>
      <c r="C271" s="48" t="s">
        <v>916</v>
      </c>
      <c r="D271" s="48" t="s">
        <v>858</v>
      </c>
      <c r="E271" s="48" t="s">
        <v>95</v>
      </c>
      <c r="F271" s="48" t="s">
        <v>27</v>
      </c>
      <c r="G271" s="48" t="s">
        <v>521</v>
      </c>
      <c r="H271" s="48" t="s">
        <v>1791</v>
      </c>
      <c r="I271" s="48" t="s">
        <v>328</v>
      </c>
      <c r="J271" s="48" t="s">
        <v>1142</v>
      </c>
      <c r="K271" s="48" t="s">
        <v>26</v>
      </c>
      <c r="L271" s="50">
        <v>350000</v>
      </c>
      <c r="M271" s="50">
        <v>1</v>
      </c>
      <c r="N271" s="50">
        <v>350000</v>
      </c>
      <c r="O271" s="421">
        <v>46173</v>
      </c>
    </row>
    <row r="272" spans="1:15" ht="15.75" x14ac:dyDescent="0.25">
      <c r="A272" s="48" t="s">
        <v>2562</v>
      </c>
      <c r="B272" s="421">
        <v>46125</v>
      </c>
      <c r="C272" s="48" t="s">
        <v>933</v>
      </c>
      <c r="D272" s="48" t="s">
        <v>856</v>
      </c>
      <c r="E272" s="48" t="s">
        <v>95</v>
      </c>
      <c r="F272" s="48" t="s">
        <v>27</v>
      </c>
      <c r="G272" s="48" t="s">
        <v>2448</v>
      </c>
      <c r="H272" s="48" t="s">
        <v>3219</v>
      </c>
      <c r="I272" s="48" t="s">
        <v>328</v>
      </c>
      <c r="J272" s="48" t="s">
        <v>1142</v>
      </c>
      <c r="K272" s="48" t="s">
        <v>26</v>
      </c>
      <c r="L272" s="50">
        <v>1386492.9</v>
      </c>
      <c r="M272" s="50">
        <v>1</v>
      </c>
      <c r="N272" s="50">
        <v>1386492.9</v>
      </c>
      <c r="O272" s="421">
        <v>46142</v>
      </c>
    </row>
    <row r="273" spans="1:15" ht="15.75" x14ac:dyDescent="0.25">
      <c r="A273" s="48" t="s">
        <v>4055</v>
      </c>
      <c r="B273" s="421">
        <v>46119</v>
      </c>
      <c r="C273" s="48" t="s">
        <v>928</v>
      </c>
      <c r="D273" s="48" t="s">
        <v>856</v>
      </c>
      <c r="E273" s="48" t="s">
        <v>21</v>
      </c>
      <c r="F273" s="48" t="s">
        <v>27</v>
      </c>
      <c r="G273" s="48" t="s">
        <v>4277</v>
      </c>
      <c r="H273" s="48" t="s">
        <v>24</v>
      </c>
      <c r="I273" s="48" t="s">
        <v>90</v>
      </c>
      <c r="J273" s="48" t="s">
        <v>1141</v>
      </c>
      <c r="K273" s="48" t="s">
        <v>26</v>
      </c>
      <c r="L273" s="50">
        <v>6000000</v>
      </c>
      <c r="M273" s="50">
        <v>1</v>
      </c>
      <c r="N273" s="50">
        <v>6000000</v>
      </c>
      <c r="O273" s="421">
        <v>46202</v>
      </c>
    </row>
    <row r="274" spans="1:15" ht="15.75" x14ac:dyDescent="0.25">
      <c r="A274" s="48" t="s">
        <v>4304</v>
      </c>
      <c r="B274" s="421">
        <v>46121</v>
      </c>
      <c r="C274" s="48" t="s">
        <v>918</v>
      </c>
      <c r="D274" s="48" t="s">
        <v>856</v>
      </c>
      <c r="E274" s="48" t="s">
        <v>612</v>
      </c>
      <c r="F274" s="48" t="s">
        <v>27</v>
      </c>
      <c r="G274" s="48" t="s">
        <v>4277</v>
      </c>
      <c r="H274" s="48" t="s">
        <v>24</v>
      </c>
      <c r="I274" s="48" t="s">
        <v>367</v>
      </c>
      <c r="J274" s="48" t="s">
        <v>1136</v>
      </c>
      <c r="K274" s="48" t="s">
        <v>26</v>
      </c>
      <c r="L274" s="50">
        <v>42000000</v>
      </c>
      <c r="M274" s="50">
        <v>1</v>
      </c>
      <c r="N274" s="50">
        <v>42000000</v>
      </c>
      <c r="O274" s="421">
        <v>46202</v>
      </c>
    </row>
    <row r="275" spans="1:15" ht="15.75" x14ac:dyDescent="0.25">
      <c r="A275" s="48" t="s">
        <v>4628</v>
      </c>
      <c r="B275" s="421">
        <v>46148</v>
      </c>
      <c r="C275" s="48" t="s">
        <v>916</v>
      </c>
      <c r="D275" s="48" t="s">
        <v>856</v>
      </c>
      <c r="E275" s="48" t="s">
        <v>21</v>
      </c>
      <c r="F275" s="48" t="s">
        <v>27</v>
      </c>
      <c r="G275" s="48" t="s">
        <v>1296</v>
      </c>
      <c r="H275" s="48" t="s">
        <v>72</v>
      </c>
      <c r="I275" s="48" t="s">
        <v>367</v>
      </c>
      <c r="J275" s="48" t="s">
        <v>1136</v>
      </c>
      <c r="K275" s="48" t="s">
        <v>26</v>
      </c>
      <c r="L275" s="50">
        <v>21481033</v>
      </c>
      <c r="M275" s="50">
        <v>1</v>
      </c>
      <c r="N275" s="50">
        <v>21481033</v>
      </c>
      <c r="O275" s="421">
        <v>46241</v>
      </c>
    </row>
    <row r="276" spans="1:15" ht="15.75" x14ac:dyDescent="0.25">
      <c r="A276" s="48" t="s">
        <v>3319</v>
      </c>
      <c r="B276" s="421">
        <v>46138</v>
      </c>
      <c r="C276" s="48" t="s">
        <v>918</v>
      </c>
      <c r="D276" s="48" t="s">
        <v>856</v>
      </c>
      <c r="E276" s="48" t="s">
        <v>612</v>
      </c>
      <c r="F276" s="48" t="s">
        <v>27</v>
      </c>
      <c r="G276" s="48" t="s">
        <v>3187</v>
      </c>
      <c r="H276" s="48" t="s">
        <v>72</v>
      </c>
      <c r="I276" s="48" t="s">
        <v>613</v>
      </c>
      <c r="J276" s="48" t="s">
        <v>1135</v>
      </c>
      <c r="K276" s="48" t="s">
        <v>26</v>
      </c>
      <c r="L276" s="50">
        <v>182356.65</v>
      </c>
      <c r="M276" s="50">
        <v>1</v>
      </c>
      <c r="N276" s="50">
        <v>182356.65</v>
      </c>
      <c r="O276" s="421">
        <v>46154</v>
      </c>
    </row>
    <row r="277" spans="1:15" ht="15.75" x14ac:dyDescent="0.25">
      <c r="A277" s="48" t="s">
        <v>1610</v>
      </c>
      <c r="B277" s="421">
        <v>46139</v>
      </c>
      <c r="C277" s="48" t="s">
        <v>928</v>
      </c>
      <c r="D277" s="48" t="s">
        <v>856</v>
      </c>
      <c r="E277" s="48" t="s">
        <v>612</v>
      </c>
      <c r="F277" s="48" t="s">
        <v>27</v>
      </c>
      <c r="G277" s="48" t="s">
        <v>1556</v>
      </c>
      <c r="H277" s="48" t="s">
        <v>72</v>
      </c>
      <c r="I277" s="48" t="s">
        <v>613</v>
      </c>
      <c r="J277" s="48" t="s">
        <v>1135</v>
      </c>
      <c r="K277" s="48" t="s">
        <v>26</v>
      </c>
      <c r="L277" s="50">
        <v>644946.44999999995</v>
      </c>
      <c r="M277" s="50">
        <v>1</v>
      </c>
      <c r="N277" s="50">
        <v>644946.44999999995</v>
      </c>
      <c r="O277" s="421">
        <v>46140</v>
      </c>
    </row>
    <row r="278" spans="1:15" ht="15.75" x14ac:dyDescent="0.25">
      <c r="A278" s="48" t="s">
        <v>2562</v>
      </c>
      <c r="B278" s="421">
        <v>46135</v>
      </c>
      <c r="C278" s="48" t="s">
        <v>922</v>
      </c>
      <c r="D278" s="48" t="s">
        <v>856</v>
      </c>
      <c r="E278" s="48" t="s">
        <v>95</v>
      </c>
      <c r="F278" s="48" t="s">
        <v>27</v>
      </c>
      <c r="G278" s="48" t="s">
        <v>2448</v>
      </c>
      <c r="H278" s="48" t="s">
        <v>3219</v>
      </c>
      <c r="I278" s="48" t="s">
        <v>328</v>
      </c>
      <c r="J278" s="48" t="s">
        <v>1142</v>
      </c>
      <c r="K278" s="48" t="s">
        <v>26</v>
      </c>
      <c r="L278" s="50">
        <v>1418090.3</v>
      </c>
      <c r="M278" s="50">
        <v>1</v>
      </c>
      <c r="N278" s="50">
        <v>1418090.3</v>
      </c>
      <c r="O278" s="421">
        <v>46181</v>
      </c>
    </row>
    <row r="279" spans="1:15" ht="15.75" x14ac:dyDescent="0.25">
      <c r="A279" s="48" t="s">
        <v>4276</v>
      </c>
      <c r="B279" s="421">
        <v>46138</v>
      </c>
      <c r="C279" s="48" t="s">
        <v>916</v>
      </c>
      <c r="D279" s="48" t="s">
        <v>856</v>
      </c>
      <c r="E279" s="48" t="s">
        <v>95</v>
      </c>
      <c r="F279" s="48" t="s">
        <v>27</v>
      </c>
      <c r="G279" s="48" t="s">
        <v>4098</v>
      </c>
      <c r="H279" s="48" t="s">
        <v>1791</v>
      </c>
      <c r="I279" s="48" t="s">
        <v>328</v>
      </c>
      <c r="J279" s="48" t="s">
        <v>1142</v>
      </c>
      <c r="K279" s="48" t="s">
        <v>26</v>
      </c>
      <c r="L279" s="50">
        <v>500000</v>
      </c>
      <c r="M279" s="50">
        <v>1</v>
      </c>
      <c r="N279" s="50">
        <v>500000</v>
      </c>
      <c r="O279" s="421">
        <v>46215</v>
      </c>
    </row>
    <row r="280" spans="1:15" ht="15.75" x14ac:dyDescent="0.25">
      <c r="A280" s="48" t="s">
        <v>1446</v>
      </c>
      <c r="B280" s="421">
        <v>46131</v>
      </c>
      <c r="C280" s="48" t="s">
        <v>930</v>
      </c>
      <c r="D280" s="48" t="s">
        <v>856</v>
      </c>
      <c r="E280" s="48" t="s">
        <v>95</v>
      </c>
      <c r="F280" s="48" t="s">
        <v>27</v>
      </c>
      <c r="G280" s="48" t="s">
        <v>1337</v>
      </c>
      <c r="H280" s="48" t="s">
        <v>72</v>
      </c>
      <c r="I280" s="48" t="s">
        <v>511</v>
      </c>
      <c r="J280" s="48" t="s">
        <v>1236</v>
      </c>
      <c r="K280" s="48" t="s">
        <v>26</v>
      </c>
      <c r="L280" s="50">
        <v>809237.75</v>
      </c>
      <c r="M280" s="50">
        <v>1</v>
      </c>
      <c r="N280" s="50">
        <v>809237.75</v>
      </c>
      <c r="O280" s="421">
        <v>46131</v>
      </c>
    </row>
    <row r="281" spans="1:15" ht="15.75" x14ac:dyDescent="0.25">
      <c r="A281" s="48" t="s">
        <v>4239</v>
      </c>
      <c r="B281" s="421">
        <v>46141</v>
      </c>
      <c r="C281" s="48" t="s">
        <v>918</v>
      </c>
      <c r="D281" s="48" t="s">
        <v>858</v>
      </c>
      <c r="E281" s="48" t="s">
        <v>21</v>
      </c>
      <c r="F281" s="48" t="s">
        <v>27</v>
      </c>
      <c r="G281" s="48" t="s">
        <v>781</v>
      </c>
      <c r="H281" s="48" t="s">
        <v>72</v>
      </c>
      <c r="I281" s="48" t="s">
        <v>511</v>
      </c>
      <c r="J281" s="48" t="s">
        <v>1236</v>
      </c>
      <c r="K281" s="48" t="s">
        <v>26</v>
      </c>
      <c r="L281" s="50">
        <v>430163.81</v>
      </c>
      <c r="M281" s="50">
        <v>1</v>
      </c>
      <c r="N281" s="50">
        <v>430163.81</v>
      </c>
      <c r="O281" s="421">
        <v>46147</v>
      </c>
    </row>
    <row r="282" spans="1:15" ht="15.75" x14ac:dyDescent="0.25">
      <c r="A282" s="48" t="s">
        <v>1821</v>
      </c>
      <c r="B282" s="421">
        <v>46139</v>
      </c>
      <c r="C282" s="48" t="s">
        <v>918</v>
      </c>
      <c r="D282" s="48" t="s">
        <v>856</v>
      </c>
      <c r="E282" s="48" t="s">
        <v>612</v>
      </c>
      <c r="F282" s="48" t="s">
        <v>27</v>
      </c>
      <c r="G282" s="48" t="s">
        <v>1701</v>
      </c>
      <c r="H282" s="48" t="s">
        <v>24</v>
      </c>
      <c r="I282" s="48" t="s">
        <v>613</v>
      </c>
      <c r="J282" s="48" t="s">
        <v>1135</v>
      </c>
      <c r="K282" s="48" t="s">
        <v>26</v>
      </c>
      <c r="L282" s="50">
        <v>199393.9</v>
      </c>
      <c r="M282" s="50">
        <v>1</v>
      </c>
      <c r="N282" s="50">
        <v>199393.9</v>
      </c>
      <c r="O282" s="421">
        <v>46210</v>
      </c>
    </row>
    <row r="283" spans="1:15" ht="15.75" x14ac:dyDescent="0.25">
      <c r="A283" s="48" t="s">
        <v>3319</v>
      </c>
      <c r="B283" s="421">
        <v>46146</v>
      </c>
      <c r="C283" s="48" t="s">
        <v>924</v>
      </c>
      <c r="D283" s="48" t="s">
        <v>856</v>
      </c>
      <c r="E283" s="48" t="s">
        <v>612</v>
      </c>
      <c r="F283" s="48" t="s">
        <v>27</v>
      </c>
      <c r="G283" s="48" t="s">
        <v>3187</v>
      </c>
      <c r="H283" s="48" t="s">
        <v>72</v>
      </c>
      <c r="I283" s="48" t="s">
        <v>613</v>
      </c>
      <c r="J283" s="48" t="s">
        <v>1135</v>
      </c>
      <c r="K283" s="48" t="s">
        <v>26</v>
      </c>
      <c r="L283" s="50">
        <v>204411.35</v>
      </c>
      <c r="M283" s="50">
        <v>1</v>
      </c>
      <c r="N283" s="50">
        <v>204411.35</v>
      </c>
      <c r="O283" s="421">
        <v>46187</v>
      </c>
    </row>
    <row r="284" spans="1:15" ht="15.75" x14ac:dyDescent="0.25">
      <c r="A284" s="48" t="s">
        <v>4239</v>
      </c>
      <c r="B284" s="421">
        <v>46141</v>
      </c>
      <c r="C284" s="48" t="s">
        <v>924</v>
      </c>
      <c r="D284" s="48" t="s">
        <v>858</v>
      </c>
      <c r="E284" s="48" t="s">
        <v>21</v>
      </c>
      <c r="F284" s="48" t="s">
        <v>27</v>
      </c>
      <c r="G284" s="48" t="s">
        <v>781</v>
      </c>
      <c r="H284" s="48" t="s">
        <v>72</v>
      </c>
      <c r="I284" s="48" t="s">
        <v>511</v>
      </c>
      <c r="J284" s="48" t="s">
        <v>1236</v>
      </c>
      <c r="K284" s="48" t="s">
        <v>26</v>
      </c>
      <c r="L284" s="50">
        <v>411465.73</v>
      </c>
      <c r="M284" s="50">
        <v>1</v>
      </c>
      <c r="N284" s="50">
        <v>411465.73</v>
      </c>
      <c r="O284" s="421">
        <v>46147</v>
      </c>
    </row>
    <row r="285" spans="1:15" ht="15.75" x14ac:dyDescent="0.25">
      <c r="A285" s="48" t="s">
        <v>4239</v>
      </c>
      <c r="B285" s="421">
        <v>46141</v>
      </c>
      <c r="C285" s="48" t="s">
        <v>928</v>
      </c>
      <c r="D285" s="48" t="s">
        <v>858</v>
      </c>
      <c r="E285" s="48" t="s">
        <v>21</v>
      </c>
      <c r="F285" s="48" t="s">
        <v>27</v>
      </c>
      <c r="G285" s="48" t="s">
        <v>781</v>
      </c>
      <c r="H285" s="48" t="s">
        <v>72</v>
      </c>
      <c r="I285" s="48" t="s">
        <v>511</v>
      </c>
      <c r="J285" s="48" t="s">
        <v>1236</v>
      </c>
      <c r="K285" s="48" t="s">
        <v>26</v>
      </c>
      <c r="L285" s="50">
        <v>292116.28000000003</v>
      </c>
      <c r="M285" s="50">
        <v>1</v>
      </c>
      <c r="N285" s="50">
        <v>292116.28000000003</v>
      </c>
      <c r="O285" s="421">
        <v>46147</v>
      </c>
    </row>
    <row r="286" spans="1:15" ht="15.75" x14ac:dyDescent="0.25">
      <c r="A286" s="48" t="s">
        <v>4680</v>
      </c>
      <c r="B286" s="421">
        <v>46152</v>
      </c>
      <c r="C286" s="48" t="s">
        <v>916</v>
      </c>
      <c r="D286" s="48" t="s">
        <v>856</v>
      </c>
      <c r="E286" s="48" t="s">
        <v>95</v>
      </c>
      <c r="F286" s="48" t="s">
        <v>27</v>
      </c>
      <c r="G286" s="48" t="s">
        <v>521</v>
      </c>
      <c r="H286" s="48" t="s">
        <v>1791</v>
      </c>
      <c r="I286" s="48" t="s">
        <v>328</v>
      </c>
      <c r="J286" s="48" t="s">
        <v>1142</v>
      </c>
      <c r="K286" s="48" t="s">
        <v>26</v>
      </c>
      <c r="L286" s="50">
        <v>2193076</v>
      </c>
      <c r="M286" s="50">
        <v>1</v>
      </c>
      <c r="N286" s="50">
        <v>2193076</v>
      </c>
      <c r="O286" s="421">
        <v>46222</v>
      </c>
    </row>
    <row r="287" spans="1:15" ht="15.75" x14ac:dyDescent="0.25">
      <c r="A287" s="48" t="s">
        <v>4630</v>
      </c>
      <c r="B287" s="421">
        <v>46183</v>
      </c>
      <c r="C287" s="48" t="s">
        <v>916</v>
      </c>
      <c r="D287" s="48" t="s">
        <v>856</v>
      </c>
      <c r="E287" s="48" t="s">
        <v>21</v>
      </c>
      <c r="F287" s="48" t="s">
        <v>27</v>
      </c>
      <c r="G287" s="48" t="s">
        <v>1541</v>
      </c>
      <c r="H287" s="48" t="s">
        <v>72</v>
      </c>
      <c r="I287" s="48" t="s">
        <v>22</v>
      </c>
      <c r="J287" s="48" t="s">
        <v>1132</v>
      </c>
      <c r="K287" s="48" t="s">
        <v>26</v>
      </c>
      <c r="L287" s="50">
        <v>5643717.4500000002</v>
      </c>
      <c r="M287" s="50">
        <v>1</v>
      </c>
      <c r="N287" s="50">
        <v>5643717.4500000002</v>
      </c>
      <c r="O287" s="421">
        <v>46223</v>
      </c>
    </row>
    <row r="288" spans="1:15" ht="15.75" x14ac:dyDescent="0.25">
      <c r="A288" s="48" t="s">
        <v>3142</v>
      </c>
      <c r="B288" s="421">
        <v>46148</v>
      </c>
      <c r="C288" s="48" t="s">
        <v>918</v>
      </c>
      <c r="D288" s="48" t="s">
        <v>856</v>
      </c>
      <c r="E288" s="48" t="s">
        <v>95</v>
      </c>
      <c r="F288" s="48" t="s">
        <v>27</v>
      </c>
      <c r="G288" s="48" t="s">
        <v>2925</v>
      </c>
      <c r="H288" s="48" t="s">
        <v>3219</v>
      </c>
      <c r="I288" s="48" t="s">
        <v>328</v>
      </c>
      <c r="J288" s="48" t="s">
        <v>1142</v>
      </c>
      <c r="K288" s="48" t="s">
        <v>26</v>
      </c>
      <c r="L288" s="50">
        <v>240327</v>
      </c>
      <c r="M288" s="50">
        <v>1</v>
      </c>
      <c r="N288" s="50">
        <v>240327</v>
      </c>
      <c r="O288" s="421">
        <v>46177</v>
      </c>
    </row>
    <row r="289" spans="1:15" ht="15.75" x14ac:dyDescent="0.25">
      <c r="A289" s="48" t="s">
        <v>1896</v>
      </c>
      <c r="B289" s="421">
        <v>46154</v>
      </c>
      <c r="C289" s="48" t="s">
        <v>931</v>
      </c>
      <c r="D289" s="48" t="s">
        <v>856</v>
      </c>
      <c r="E289" s="48" t="s">
        <v>21</v>
      </c>
      <c r="F289" s="48" t="s">
        <v>27</v>
      </c>
      <c r="G289" s="48" t="s">
        <v>1883</v>
      </c>
      <c r="H289" s="48" t="s">
        <v>72</v>
      </c>
      <c r="I289" s="48" t="s">
        <v>511</v>
      </c>
      <c r="J289" s="48" t="s">
        <v>1236</v>
      </c>
      <c r="K289" s="48" t="s">
        <v>26</v>
      </c>
      <c r="L289" s="50">
        <v>263230</v>
      </c>
      <c r="M289" s="50">
        <v>1</v>
      </c>
      <c r="N289" s="50">
        <v>263230</v>
      </c>
      <c r="O289" s="421">
        <v>46187</v>
      </c>
    </row>
    <row r="290" spans="1:15" ht="15.75" x14ac:dyDescent="0.25">
      <c r="A290" s="48" t="s">
        <v>1446</v>
      </c>
      <c r="B290" s="421">
        <v>46147</v>
      </c>
      <c r="C290" s="48" t="s">
        <v>931</v>
      </c>
      <c r="D290" s="48" t="s">
        <v>858</v>
      </c>
      <c r="E290" s="48" t="s">
        <v>95</v>
      </c>
      <c r="F290" s="48" t="s">
        <v>27</v>
      </c>
      <c r="G290" s="48" t="s">
        <v>1337</v>
      </c>
      <c r="H290" s="48" t="s">
        <v>72</v>
      </c>
      <c r="I290" s="48" t="s">
        <v>511</v>
      </c>
      <c r="J290" s="48" t="s">
        <v>1236</v>
      </c>
      <c r="K290" s="48" t="s">
        <v>26</v>
      </c>
      <c r="L290" s="50">
        <v>270623.75</v>
      </c>
      <c r="M290" s="50">
        <v>1</v>
      </c>
      <c r="N290" s="50">
        <v>270623.75</v>
      </c>
      <c r="O290" s="421">
        <v>46149</v>
      </c>
    </row>
    <row r="291" spans="1:15" ht="15.75" x14ac:dyDescent="0.25">
      <c r="A291" s="48" t="s">
        <v>2287</v>
      </c>
      <c r="B291" s="421">
        <v>46176</v>
      </c>
      <c r="C291" s="48" t="s">
        <v>928</v>
      </c>
      <c r="D291" s="48" t="s">
        <v>856</v>
      </c>
      <c r="E291" s="48" t="s">
        <v>612</v>
      </c>
      <c r="F291" s="48" t="s">
        <v>27</v>
      </c>
      <c r="G291" s="48" t="s">
        <v>1938</v>
      </c>
      <c r="H291" s="48" t="s">
        <v>72</v>
      </c>
      <c r="I291" s="48" t="s">
        <v>613</v>
      </c>
      <c r="J291" s="48" t="s">
        <v>1135</v>
      </c>
      <c r="K291" s="48" t="s">
        <v>26</v>
      </c>
      <c r="L291" s="50">
        <v>1205043.97</v>
      </c>
      <c r="M291" s="50">
        <v>1</v>
      </c>
      <c r="N291" s="50">
        <v>1205043.97</v>
      </c>
      <c r="O291" s="421">
        <v>46181</v>
      </c>
    </row>
    <row r="292" spans="1:15" ht="15.75" x14ac:dyDescent="0.25">
      <c r="A292" s="48" t="s">
        <v>1887</v>
      </c>
      <c r="B292" s="421">
        <v>46159</v>
      </c>
      <c r="C292" s="48" t="s">
        <v>924</v>
      </c>
      <c r="D292" s="48" t="s">
        <v>856</v>
      </c>
      <c r="E292" s="48" t="s">
        <v>21</v>
      </c>
      <c r="F292" s="48" t="s">
        <v>27</v>
      </c>
      <c r="G292" s="48" t="s">
        <v>510</v>
      </c>
      <c r="H292" s="48" t="s">
        <v>72</v>
      </c>
      <c r="I292" s="48" t="s">
        <v>511</v>
      </c>
      <c r="J292" s="48" t="s">
        <v>1236</v>
      </c>
      <c r="K292" s="48" t="s">
        <v>26</v>
      </c>
      <c r="L292" s="50">
        <v>1018975.83</v>
      </c>
      <c r="M292" s="50">
        <v>1</v>
      </c>
      <c r="N292" s="50">
        <v>1018975.83</v>
      </c>
      <c r="O292" s="421">
        <v>46180</v>
      </c>
    </row>
    <row r="293" spans="1:15" ht="15.75" x14ac:dyDescent="0.25">
      <c r="A293" s="48" t="s">
        <v>2562</v>
      </c>
      <c r="B293" s="421">
        <v>46160</v>
      </c>
      <c r="C293" s="48" t="s">
        <v>929</v>
      </c>
      <c r="D293" s="48" t="s">
        <v>856</v>
      </c>
      <c r="E293" s="48" t="s">
        <v>95</v>
      </c>
      <c r="F293" s="48" t="s">
        <v>27</v>
      </c>
      <c r="G293" s="48" t="s">
        <v>2448</v>
      </c>
      <c r="H293" s="48" t="s">
        <v>3219</v>
      </c>
      <c r="I293" s="48" t="s">
        <v>328</v>
      </c>
      <c r="J293" s="48" t="s">
        <v>1142</v>
      </c>
      <c r="K293" s="48" t="s">
        <v>26</v>
      </c>
      <c r="L293" s="50">
        <v>373524</v>
      </c>
      <c r="M293" s="50">
        <v>1</v>
      </c>
      <c r="N293" s="50">
        <v>373524</v>
      </c>
      <c r="O293" s="421">
        <v>46181</v>
      </c>
    </row>
    <row r="294" spans="1:15" ht="15.75" x14ac:dyDescent="0.25">
      <c r="A294" s="48" t="s">
        <v>4737</v>
      </c>
      <c r="B294" s="421">
        <v>46153</v>
      </c>
      <c r="C294" s="48" t="s">
        <v>918</v>
      </c>
      <c r="D294" s="48" t="s">
        <v>858</v>
      </c>
      <c r="E294" s="48" t="s">
        <v>21</v>
      </c>
      <c r="F294" s="48" t="s">
        <v>27</v>
      </c>
      <c r="G294" s="48" t="s">
        <v>4678</v>
      </c>
      <c r="H294" s="48" t="s">
        <v>80</v>
      </c>
      <c r="I294" s="48" t="s">
        <v>90</v>
      </c>
      <c r="J294" s="48" t="s">
        <v>1141</v>
      </c>
      <c r="K294" s="48" t="s">
        <v>26</v>
      </c>
      <c r="L294" s="50">
        <v>7000000</v>
      </c>
      <c r="M294" s="50">
        <v>1</v>
      </c>
      <c r="N294" s="50">
        <v>7000000</v>
      </c>
      <c r="O294" s="421">
        <v>46221</v>
      </c>
    </row>
    <row r="295" spans="1:15" ht="15.75" x14ac:dyDescent="0.25">
      <c r="A295" s="48" t="s">
        <v>4547</v>
      </c>
      <c r="B295" s="421">
        <v>46194</v>
      </c>
      <c r="C295" s="48" t="s">
        <v>916</v>
      </c>
      <c r="D295" s="48" t="s">
        <v>858</v>
      </c>
      <c r="E295" s="48" t="s">
        <v>366</v>
      </c>
      <c r="F295" s="48" t="s">
        <v>27</v>
      </c>
      <c r="G295" s="48" t="s">
        <v>1698</v>
      </c>
      <c r="H295" s="48" t="s">
        <v>24</v>
      </c>
      <c r="I295" s="48" t="s">
        <v>710</v>
      </c>
      <c r="J295" s="48" t="s">
        <v>1209</v>
      </c>
      <c r="K295" s="48" t="s">
        <v>26</v>
      </c>
      <c r="L295" s="50">
        <v>200000</v>
      </c>
      <c r="M295" s="50">
        <v>1</v>
      </c>
      <c r="N295" s="50">
        <v>200000</v>
      </c>
      <c r="O295" s="421">
        <v>46245</v>
      </c>
    </row>
    <row r="296" spans="1:15" ht="15.75" x14ac:dyDescent="0.25">
      <c r="A296" s="48" t="s">
        <v>1767</v>
      </c>
      <c r="B296" s="421">
        <v>46176</v>
      </c>
      <c r="C296" s="48" t="s">
        <v>922</v>
      </c>
      <c r="D296" s="48" t="s">
        <v>856</v>
      </c>
      <c r="E296" s="48" t="s">
        <v>21</v>
      </c>
      <c r="F296" s="48" t="s">
        <v>27</v>
      </c>
      <c r="G296" s="48" t="s">
        <v>1337</v>
      </c>
      <c r="H296" s="48" t="s">
        <v>72</v>
      </c>
      <c r="I296" s="48" t="s">
        <v>511</v>
      </c>
      <c r="J296" s="48" t="s">
        <v>1236</v>
      </c>
      <c r="K296" s="48" t="s">
        <v>26</v>
      </c>
      <c r="L296" s="50">
        <v>440649.09</v>
      </c>
      <c r="M296" s="50">
        <v>1</v>
      </c>
      <c r="N296" s="50">
        <v>440649.09</v>
      </c>
      <c r="O296" s="421">
        <v>46181</v>
      </c>
    </row>
    <row r="297" spans="1:15" ht="15.75" x14ac:dyDescent="0.25">
      <c r="A297" s="48" t="s">
        <v>3319</v>
      </c>
      <c r="B297" s="421">
        <v>46190</v>
      </c>
      <c r="C297" s="48" t="s">
        <v>928</v>
      </c>
      <c r="D297" s="48" t="s">
        <v>856</v>
      </c>
      <c r="E297" s="48" t="s">
        <v>612</v>
      </c>
      <c r="F297" s="48" t="s">
        <v>27</v>
      </c>
      <c r="G297" s="48" t="s">
        <v>3187</v>
      </c>
      <c r="H297" s="48" t="s">
        <v>72</v>
      </c>
      <c r="I297" s="48" t="s">
        <v>613</v>
      </c>
      <c r="J297" s="48" t="s">
        <v>1135</v>
      </c>
      <c r="K297" s="48" t="s">
        <v>26</v>
      </c>
      <c r="L297" s="50">
        <v>112200.9</v>
      </c>
      <c r="M297" s="50">
        <v>1</v>
      </c>
      <c r="N297" s="50">
        <v>112200.9</v>
      </c>
      <c r="O297" s="421">
        <v>46215</v>
      </c>
    </row>
    <row r="298" spans="1:15" ht="15.75" x14ac:dyDescent="0.25">
      <c r="A298" s="48" t="s">
        <v>4679</v>
      </c>
      <c r="B298" s="421">
        <v>46163</v>
      </c>
      <c r="C298" s="48" t="s">
        <v>916</v>
      </c>
      <c r="D298" s="48" t="s">
        <v>856</v>
      </c>
      <c r="E298" s="48" t="s">
        <v>95</v>
      </c>
      <c r="F298" s="48" t="s">
        <v>27</v>
      </c>
      <c r="G298" s="48" t="s">
        <v>2448</v>
      </c>
      <c r="H298" s="48" t="s">
        <v>5172</v>
      </c>
      <c r="I298" s="48" t="s">
        <v>328</v>
      </c>
      <c r="J298" s="48" t="s">
        <v>1142</v>
      </c>
      <c r="K298" s="48" t="s">
        <v>26</v>
      </c>
      <c r="L298" s="50">
        <v>2500000</v>
      </c>
      <c r="M298" s="50">
        <v>1</v>
      </c>
      <c r="N298" s="50">
        <v>2500000</v>
      </c>
      <c r="O298" s="421">
        <v>46184</v>
      </c>
    </row>
    <row r="299" spans="1:15" ht="15.75" x14ac:dyDescent="0.25">
      <c r="A299" s="48" t="s">
        <v>3701</v>
      </c>
      <c r="B299" s="421">
        <v>46194</v>
      </c>
      <c r="C299" s="48" t="s">
        <v>916</v>
      </c>
      <c r="D299" s="48" t="s">
        <v>858</v>
      </c>
      <c r="E299" s="48" t="s">
        <v>366</v>
      </c>
      <c r="F299" s="48" t="s">
        <v>27</v>
      </c>
      <c r="G299" s="48" t="s">
        <v>1698</v>
      </c>
      <c r="H299" s="48" t="s">
        <v>24</v>
      </c>
      <c r="I299" s="48" t="s">
        <v>710</v>
      </c>
      <c r="J299" s="48" t="s">
        <v>1209</v>
      </c>
      <c r="K299" s="48" t="s">
        <v>26</v>
      </c>
      <c r="L299" s="50">
        <v>500000</v>
      </c>
      <c r="M299" s="50">
        <v>1</v>
      </c>
      <c r="N299" s="50">
        <v>500000</v>
      </c>
      <c r="O299" s="421">
        <v>46264</v>
      </c>
    </row>
    <row r="300" spans="1:15" ht="15.75" x14ac:dyDescent="0.25">
      <c r="A300" s="48" t="s">
        <v>4630</v>
      </c>
      <c r="B300" s="421">
        <v>46188</v>
      </c>
      <c r="C300" s="48" t="s">
        <v>918</v>
      </c>
      <c r="D300" s="48" t="s">
        <v>856</v>
      </c>
      <c r="E300" s="48" t="s">
        <v>21</v>
      </c>
      <c r="F300" s="48" t="s">
        <v>27</v>
      </c>
      <c r="G300" s="48" t="s">
        <v>1541</v>
      </c>
      <c r="H300" s="48" t="s">
        <v>72</v>
      </c>
      <c r="I300" s="48" t="s">
        <v>22</v>
      </c>
      <c r="J300" s="48" t="s">
        <v>1132</v>
      </c>
      <c r="K300" s="48" t="s">
        <v>26</v>
      </c>
      <c r="L300" s="50">
        <v>2593391.5299999998</v>
      </c>
      <c r="M300" s="50">
        <v>1</v>
      </c>
      <c r="N300" s="50">
        <v>2593391.5299999998</v>
      </c>
      <c r="O300" s="421">
        <v>46244</v>
      </c>
    </row>
    <row r="301" spans="1:15" ht="15.75" x14ac:dyDescent="0.25">
      <c r="A301" s="48" t="s">
        <v>3142</v>
      </c>
      <c r="B301" s="421">
        <v>46177</v>
      </c>
      <c r="C301" s="48" t="s">
        <v>924</v>
      </c>
      <c r="D301" s="48" t="s">
        <v>856</v>
      </c>
      <c r="E301" s="48" t="s">
        <v>95</v>
      </c>
      <c r="F301" s="48" t="s">
        <v>27</v>
      </c>
      <c r="G301" s="48" t="s">
        <v>2925</v>
      </c>
      <c r="H301" s="48" t="s">
        <v>3219</v>
      </c>
      <c r="I301" s="48" t="s">
        <v>328</v>
      </c>
      <c r="J301" s="48" t="s">
        <v>1142</v>
      </c>
      <c r="K301" s="48" t="s">
        <v>26</v>
      </c>
      <c r="L301" s="50">
        <v>652505.4</v>
      </c>
      <c r="M301" s="50">
        <v>1</v>
      </c>
      <c r="N301" s="50">
        <v>652505.4</v>
      </c>
      <c r="O301" s="421">
        <v>46205</v>
      </c>
    </row>
    <row r="302" spans="1:15" ht="15.75" x14ac:dyDescent="0.25">
      <c r="A302" s="48" t="s">
        <v>4737</v>
      </c>
      <c r="B302" s="421">
        <v>46176</v>
      </c>
      <c r="C302" s="48" t="s">
        <v>924</v>
      </c>
      <c r="D302" s="48" t="s">
        <v>858</v>
      </c>
      <c r="E302" s="48" t="s">
        <v>21</v>
      </c>
      <c r="F302" s="48" t="s">
        <v>27</v>
      </c>
      <c r="G302" s="48" t="s">
        <v>4678</v>
      </c>
      <c r="H302" s="48" t="s">
        <v>80</v>
      </c>
      <c r="I302" s="48" t="s">
        <v>90</v>
      </c>
      <c r="J302" s="48" t="s">
        <v>1141</v>
      </c>
      <c r="K302" s="48" t="s">
        <v>26</v>
      </c>
      <c r="L302" s="50">
        <v>4000000</v>
      </c>
      <c r="M302" s="50">
        <v>1</v>
      </c>
      <c r="N302" s="50">
        <v>4000000</v>
      </c>
      <c r="O302" s="421">
        <v>46222</v>
      </c>
    </row>
    <row r="303" spans="1:15" ht="15.75" x14ac:dyDescent="0.25">
      <c r="A303" s="48" t="s">
        <v>1896</v>
      </c>
      <c r="B303" s="421">
        <v>46176</v>
      </c>
      <c r="C303" s="48" t="s">
        <v>927</v>
      </c>
      <c r="D303" s="48" t="s">
        <v>856</v>
      </c>
      <c r="E303" s="48" t="s">
        <v>21</v>
      </c>
      <c r="F303" s="48" t="s">
        <v>27</v>
      </c>
      <c r="G303" s="48" t="s">
        <v>1883</v>
      </c>
      <c r="H303" s="48" t="s">
        <v>72</v>
      </c>
      <c r="I303" s="48" t="s">
        <v>511</v>
      </c>
      <c r="J303" s="48" t="s">
        <v>1236</v>
      </c>
      <c r="K303" s="48" t="s">
        <v>26</v>
      </c>
      <c r="L303" s="50">
        <v>412500</v>
      </c>
      <c r="M303" s="50">
        <v>1</v>
      </c>
      <c r="N303" s="50">
        <v>412500</v>
      </c>
      <c r="O303" s="421">
        <v>46204</v>
      </c>
    </row>
    <row r="304" spans="1:15" ht="15.75" x14ac:dyDescent="0.25">
      <c r="A304" s="48" t="s">
        <v>1767</v>
      </c>
      <c r="B304" s="421">
        <v>46176</v>
      </c>
      <c r="C304" s="48" t="s">
        <v>929</v>
      </c>
      <c r="D304" s="48" t="s">
        <v>856</v>
      </c>
      <c r="E304" s="48" t="s">
        <v>21</v>
      </c>
      <c r="F304" s="48" t="s">
        <v>27</v>
      </c>
      <c r="G304" s="48" t="s">
        <v>1337</v>
      </c>
      <c r="H304" s="48" t="s">
        <v>72</v>
      </c>
      <c r="I304" s="48" t="s">
        <v>511</v>
      </c>
      <c r="J304" s="48" t="s">
        <v>1236</v>
      </c>
      <c r="K304" s="48" t="s">
        <v>26</v>
      </c>
      <c r="L304" s="50">
        <v>85138.27</v>
      </c>
      <c r="M304" s="50">
        <v>1</v>
      </c>
      <c r="N304" s="50">
        <v>85138.27</v>
      </c>
      <c r="O304" s="421">
        <v>46181</v>
      </c>
    </row>
    <row r="305" spans="1:15" ht="15.75" x14ac:dyDescent="0.25">
      <c r="A305" s="48" t="s">
        <v>1767</v>
      </c>
      <c r="B305" s="421">
        <v>46176</v>
      </c>
      <c r="C305" s="48" t="s">
        <v>930</v>
      </c>
      <c r="D305" s="48" t="s">
        <v>856</v>
      </c>
      <c r="E305" s="48" t="s">
        <v>21</v>
      </c>
      <c r="F305" s="48" t="s">
        <v>27</v>
      </c>
      <c r="G305" s="48" t="s">
        <v>1337</v>
      </c>
      <c r="H305" s="48" t="s">
        <v>72</v>
      </c>
      <c r="I305" s="48" t="s">
        <v>511</v>
      </c>
      <c r="J305" s="48" t="s">
        <v>1236</v>
      </c>
      <c r="K305" s="48" t="s">
        <v>26</v>
      </c>
      <c r="L305" s="50">
        <v>292378.94</v>
      </c>
      <c r="M305" s="50">
        <v>1</v>
      </c>
      <c r="N305" s="50">
        <v>292378.94</v>
      </c>
      <c r="O305" s="421">
        <v>46181</v>
      </c>
    </row>
    <row r="306" spans="1:15" ht="15.75" x14ac:dyDescent="0.25">
      <c r="A306" s="48" t="s">
        <v>5251</v>
      </c>
      <c r="B306" s="421">
        <v>46195</v>
      </c>
      <c r="C306" s="48" t="s">
        <v>916</v>
      </c>
      <c r="D306" s="48" t="s">
        <v>856</v>
      </c>
      <c r="E306" s="48" t="s">
        <v>95</v>
      </c>
      <c r="F306" s="48" t="s">
        <v>27</v>
      </c>
      <c r="G306" s="48" t="s">
        <v>5180</v>
      </c>
      <c r="H306" s="48" t="s">
        <v>72</v>
      </c>
      <c r="I306" s="48" t="s">
        <v>328</v>
      </c>
      <c r="J306" s="48" t="s">
        <v>1142</v>
      </c>
      <c r="K306" s="48" t="s">
        <v>26</v>
      </c>
      <c r="L306" s="50">
        <v>386858.95</v>
      </c>
      <c r="M306" s="50">
        <v>1</v>
      </c>
      <c r="N306" s="50">
        <v>386858.95</v>
      </c>
      <c r="O306" s="421">
        <v>46253</v>
      </c>
    </row>
    <row r="307" spans="1:15" ht="15.75" x14ac:dyDescent="0.25">
      <c r="A307" s="48" t="s">
        <v>1639</v>
      </c>
      <c r="B307" s="421">
        <v>46191</v>
      </c>
      <c r="C307" s="48" t="s">
        <v>924</v>
      </c>
      <c r="D307" s="48" t="s">
        <v>856</v>
      </c>
      <c r="E307" s="48" t="s">
        <v>95</v>
      </c>
      <c r="F307" s="48" t="s">
        <v>27</v>
      </c>
      <c r="G307" s="48" t="s">
        <v>1582</v>
      </c>
      <c r="H307" s="48" t="s">
        <v>72</v>
      </c>
      <c r="I307" s="48" t="s">
        <v>511</v>
      </c>
      <c r="J307" s="48" t="s">
        <v>1236</v>
      </c>
      <c r="K307" s="48" t="s">
        <v>26</v>
      </c>
      <c r="L307" s="50">
        <v>185753.46</v>
      </c>
      <c r="M307" s="50">
        <v>1</v>
      </c>
      <c r="N307" s="50">
        <v>185753.46</v>
      </c>
      <c r="O307" s="421">
        <v>46191</v>
      </c>
    </row>
    <row r="308" spans="1:15" ht="15.75" x14ac:dyDescent="0.25">
      <c r="A308" s="48" t="s">
        <v>1818</v>
      </c>
      <c r="B308" s="421">
        <v>46189</v>
      </c>
      <c r="C308" s="48" t="s">
        <v>924</v>
      </c>
      <c r="D308" s="48" t="s">
        <v>858</v>
      </c>
      <c r="E308" s="48" t="s">
        <v>366</v>
      </c>
      <c r="F308" s="48" t="s">
        <v>27</v>
      </c>
      <c r="G308" s="48" t="s">
        <v>1784</v>
      </c>
      <c r="H308" s="48" t="s">
        <v>72</v>
      </c>
      <c r="I308" s="48" t="s">
        <v>81</v>
      </c>
      <c r="J308" s="48" t="s">
        <v>1139</v>
      </c>
      <c r="K308" s="48" t="s">
        <v>26</v>
      </c>
      <c r="L308" s="50">
        <v>197064</v>
      </c>
      <c r="M308" s="50">
        <v>1</v>
      </c>
      <c r="N308" s="50">
        <v>197064</v>
      </c>
      <c r="O308" s="421">
        <v>46282</v>
      </c>
    </row>
    <row r="309" spans="1:15" ht="15.75" x14ac:dyDescent="0.25">
      <c r="A309" s="548" t="s">
        <v>4737</v>
      </c>
      <c r="B309" s="566">
        <v>46184</v>
      </c>
      <c r="C309" s="548" t="s">
        <v>928</v>
      </c>
      <c r="D309" s="548" t="s">
        <v>856</v>
      </c>
      <c r="E309" s="548" t="s">
        <v>21</v>
      </c>
      <c r="F309" s="548" t="s">
        <v>27</v>
      </c>
      <c r="G309" s="548" t="s">
        <v>4678</v>
      </c>
      <c r="H309" s="548" t="s">
        <v>80</v>
      </c>
      <c r="I309" s="548" t="s">
        <v>90</v>
      </c>
      <c r="J309" s="548" t="s">
        <v>1141</v>
      </c>
      <c r="K309" s="548" t="s">
        <v>26</v>
      </c>
      <c r="L309" s="54">
        <v>4724333.9400000004</v>
      </c>
      <c r="M309" s="54">
        <v>1</v>
      </c>
      <c r="N309" s="54">
        <v>4724333.9400000004</v>
      </c>
      <c r="O309" s="566">
        <v>46221</v>
      </c>
    </row>
  </sheetData>
  <phoneticPr fontId="2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Remove_Filter">
                <anchor moveWithCells="1" sizeWithCells="1">
                  <from>
                    <xdr:col>0</xdr:col>
                    <xdr:colOff>28575</xdr:colOff>
                    <xdr:row>0</xdr:row>
                    <xdr:rowOff>133350</xdr:rowOff>
                  </from>
                  <to>
                    <xdr:col>1</xdr:col>
                    <xdr:colOff>171450</xdr:colOff>
                    <xdr:row>2</xdr:row>
                    <xdr:rowOff>19050</xdr:rowOff>
                  </to>
                </anchor>
              </controlPr>
            </control>
          </mc:Choice>
        </mc:AlternateContent>
        <mc:AlternateContent xmlns:mc="http://schemas.openxmlformats.org/markup-compatibility/2006">
          <mc:Choice Requires="x14">
            <control shapeId="16386" r:id="rId4" name="Button 2">
              <controlPr defaultSize="0" print="0" autoFill="0" autoPict="0" macro="[0]!Doc_Collection_Foreign_Curr">
                <anchor moveWithCells="1" sizeWithCells="1">
                  <from>
                    <xdr:col>0</xdr:col>
                    <xdr:colOff>28575</xdr:colOff>
                    <xdr:row>2</xdr:row>
                    <xdr:rowOff>95250</xdr:rowOff>
                  </from>
                  <to>
                    <xdr:col>1</xdr:col>
                    <xdr:colOff>171450</xdr:colOff>
                    <xdr:row>2</xdr:row>
                    <xdr:rowOff>342900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0170-5F9E-4B04-8BA5-788452449D33}">
  <sheetPr codeName="Sheet9">
    <tabColor rgb="FFC00000"/>
  </sheetPr>
  <dimension ref="A3:N5"/>
  <sheetViews>
    <sheetView workbookViewId="0"/>
  </sheetViews>
  <sheetFormatPr defaultColWidth="8.7109375" defaultRowHeight="15" x14ac:dyDescent="0.25"/>
  <cols>
    <col min="1" max="2" width="13" style="9" bestFit="1" customWidth="1"/>
    <col min="3" max="3" width="13.28515625" style="9" bestFit="1" customWidth="1"/>
    <col min="4" max="4" width="9.5703125" style="9" bestFit="1" customWidth="1"/>
    <col min="5" max="5" width="7" style="9" bestFit="1" customWidth="1"/>
    <col min="6" max="6" width="14.140625" style="9" bestFit="1" customWidth="1"/>
    <col min="7" max="7" width="7.28515625" style="9" bestFit="1" customWidth="1"/>
    <col min="8" max="8" width="14.28515625" style="9" bestFit="1" customWidth="1"/>
    <col min="9" max="9" width="12.140625" style="9" bestFit="1" customWidth="1"/>
    <col min="10" max="10" width="21.28515625" style="9" bestFit="1" customWidth="1"/>
    <col min="11" max="11" width="12.5703125" style="9" bestFit="1" customWidth="1"/>
    <col min="12" max="12" width="13.28515625" style="9" bestFit="1" customWidth="1"/>
    <col min="13" max="13" width="7.5703125" style="9" bestFit="1" customWidth="1"/>
    <col min="14" max="14" width="7.85546875" style="9" bestFit="1" customWidth="1"/>
    <col min="15" max="16384" width="8.7109375" style="9"/>
  </cols>
  <sheetData>
    <row r="3" spans="1:14" ht="35.450000000000003" customHeight="1" x14ac:dyDescent="0.35">
      <c r="C3" s="628" t="s">
        <v>1115</v>
      </c>
      <c r="D3" s="628"/>
      <c r="E3" s="628"/>
      <c r="F3" s="628"/>
      <c r="G3" s="628"/>
      <c r="H3" s="628"/>
      <c r="I3" s="628"/>
      <c r="J3" s="628"/>
    </row>
    <row r="4" spans="1:14" x14ac:dyDescent="0.25">
      <c r="A4" s="23" t="s">
        <v>0</v>
      </c>
      <c r="B4" s="24" t="s">
        <v>1</v>
      </c>
      <c r="C4" s="24" t="s">
        <v>4</v>
      </c>
      <c r="D4" s="24" t="s">
        <v>6</v>
      </c>
      <c r="E4" s="24" t="s">
        <v>7</v>
      </c>
      <c r="F4" s="24" t="s">
        <v>8</v>
      </c>
      <c r="G4" s="24" t="s">
        <v>9</v>
      </c>
      <c r="H4" s="24" t="s">
        <v>10</v>
      </c>
      <c r="I4" s="24" t="s">
        <v>1024</v>
      </c>
      <c r="J4" s="24" t="s">
        <v>912</v>
      </c>
      <c r="K4" s="24" t="s">
        <v>1025</v>
      </c>
      <c r="L4" s="24" t="s">
        <v>13</v>
      </c>
      <c r="M4" s="24" t="s">
        <v>850</v>
      </c>
      <c r="N4" s="25" t="s">
        <v>15</v>
      </c>
    </row>
    <row r="5" spans="1:14" x14ac:dyDescent="0.25">
      <c r="A5" s="42"/>
      <c r="B5" s="43"/>
      <c r="C5" s="44"/>
      <c r="D5" s="44"/>
      <c r="E5" s="44"/>
      <c r="F5" s="44"/>
      <c r="G5" s="44"/>
      <c r="H5" s="44"/>
      <c r="I5" s="44"/>
      <c r="J5" s="44"/>
      <c r="K5" s="44"/>
      <c r="L5" s="43"/>
      <c r="M5" s="44"/>
      <c r="N5" s="45"/>
    </row>
  </sheetData>
  <mergeCells count="1">
    <mergeCell ref="C3:J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Remove_Filter">
                <anchor moveWithCells="1" sizeWithCells="1">
                  <from>
                    <xdr:col>0</xdr:col>
                    <xdr:colOff>104775</xdr:colOff>
                    <xdr:row>0</xdr:row>
                    <xdr:rowOff>133350</xdr:rowOff>
                  </from>
                  <to>
                    <xdr:col>1</xdr:col>
                    <xdr:colOff>247650</xdr:colOff>
                    <xdr:row>2</xdr:row>
                    <xdr:rowOff>28575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1A13E-9F8E-44C6-9804-E0A274DDE32D}">
  <sheetPr codeName="Sheet11">
    <tabColor rgb="FFC00000"/>
  </sheetPr>
  <dimension ref="A1:R206"/>
  <sheetViews>
    <sheetView showGridLines="0" workbookViewId="0">
      <selection activeCell="C210" sqref="C210"/>
    </sheetView>
  </sheetViews>
  <sheetFormatPr defaultColWidth="8.85546875" defaultRowHeight="15" x14ac:dyDescent="0.25"/>
  <cols>
    <col min="1" max="1" width="18" bestFit="1" customWidth="1"/>
    <col min="2" max="2" width="18.140625" bestFit="1" customWidth="1"/>
    <col min="3" max="3" width="79.85546875" bestFit="1" customWidth="1"/>
    <col min="4" max="4" width="15.7109375" bestFit="1" customWidth="1"/>
    <col min="5" max="5" width="7.5703125" bestFit="1" customWidth="1"/>
    <col min="6" max="6" width="15.140625" bestFit="1" customWidth="1"/>
    <col min="7" max="7" width="7.85546875" bestFit="1" customWidth="1"/>
    <col min="8" max="8" width="18.85546875" bestFit="1" customWidth="1"/>
    <col min="9" max="9" width="22.140625" bestFit="1" customWidth="1"/>
    <col min="10" max="10" width="14.5703125" bestFit="1" customWidth="1"/>
    <col min="11" max="11" width="7" bestFit="1" customWidth="1"/>
    <col min="12" max="12" width="16.85546875" bestFit="1" customWidth="1"/>
    <col min="13" max="13" width="7.28515625" bestFit="1" customWidth="1"/>
    <col min="14" max="14" width="16.85546875" bestFit="1" customWidth="1"/>
    <col min="15" max="15" width="26" bestFit="1" customWidth="1"/>
    <col min="16" max="16" width="21.28515625" bestFit="1" customWidth="1"/>
    <col min="17" max="17" width="19.7109375" bestFit="1" customWidth="1"/>
    <col min="18" max="18" width="13.28515625" bestFit="1" customWidth="1"/>
    <col min="19" max="19" width="7.7109375" bestFit="1" customWidth="1"/>
  </cols>
  <sheetData>
    <row r="1" spans="1:18" ht="26.45" customHeight="1" x14ac:dyDescent="0.25"/>
    <row r="2" spans="1:18" ht="25.15" customHeight="1" x14ac:dyDescent="0.25"/>
    <row r="3" spans="1:18" ht="34.15" customHeight="1" x14ac:dyDescent="0.35">
      <c r="C3" s="627" t="s">
        <v>1512</v>
      </c>
      <c r="D3" s="627"/>
      <c r="E3" s="627"/>
      <c r="F3" s="627"/>
      <c r="G3" s="627"/>
      <c r="H3" s="627"/>
      <c r="I3" s="627"/>
      <c r="J3" s="627"/>
    </row>
    <row r="4" spans="1:18" x14ac:dyDescent="0.25">
      <c r="A4" s="7" t="s">
        <v>0</v>
      </c>
      <c r="B4" s="7" t="s">
        <v>1508</v>
      </c>
      <c r="C4" s="7" t="s">
        <v>4</v>
      </c>
      <c r="D4" s="7" t="s">
        <v>1025</v>
      </c>
      <c r="E4" s="7" t="s">
        <v>850</v>
      </c>
      <c r="F4" s="7" t="s">
        <v>3</v>
      </c>
      <c r="G4" s="7" t="s">
        <v>15</v>
      </c>
      <c r="H4" s="7" t="s">
        <v>5</v>
      </c>
      <c r="I4" s="7" t="s">
        <v>6</v>
      </c>
      <c r="J4" s="7" t="s">
        <v>846</v>
      </c>
      <c r="K4" s="7" t="s">
        <v>7</v>
      </c>
      <c r="L4" s="7" t="s">
        <v>8</v>
      </c>
      <c r="M4" s="7" t="s">
        <v>9</v>
      </c>
      <c r="N4" s="7" t="s">
        <v>1024</v>
      </c>
      <c r="O4" s="7" t="s">
        <v>1256</v>
      </c>
      <c r="P4" s="7" t="s">
        <v>912</v>
      </c>
      <c r="Q4" s="7" t="s">
        <v>1253</v>
      </c>
      <c r="R4" s="7" t="s">
        <v>13</v>
      </c>
    </row>
    <row r="5" spans="1:18" ht="15.75" hidden="1" x14ac:dyDescent="0.25">
      <c r="A5" s="601" t="s">
        <v>1343</v>
      </c>
      <c r="B5" s="604">
        <v>46188</v>
      </c>
      <c r="C5" s="601" t="s">
        <v>1334</v>
      </c>
      <c r="D5" s="176">
        <v>103499.99</v>
      </c>
      <c r="E5" s="601" t="s">
        <v>21</v>
      </c>
      <c r="F5" s="601" t="s">
        <v>22</v>
      </c>
      <c r="G5" s="601" t="s">
        <v>27</v>
      </c>
      <c r="H5" s="601" t="s">
        <v>24</v>
      </c>
      <c r="I5" s="601" t="s">
        <v>22</v>
      </c>
      <c r="J5" s="601">
        <v>1020055</v>
      </c>
      <c r="K5" s="601" t="s">
        <v>26</v>
      </c>
      <c r="L5" s="177">
        <v>353089.35</v>
      </c>
      <c r="M5" s="177">
        <v>1</v>
      </c>
      <c r="N5" s="177">
        <v>249589.36</v>
      </c>
      <c r="O5" s="177">
        <v>103499.99</v>
      </c>
      <c r="P5" s="177">
        <v>0</v>
      </c>
      <c r="Q5" s="177">
        <v>0</v>
      </c>
      <c r="R5" s="607">
        <v>46157</v>
      </c>
    </row>
    <row r="6" spans="1:18" ht="15.75" hidden="1" x14ac:dyDescent="0.25">
      <c r="A6" s="600" t="s">
        <v>1601</v>
      </c>
      <c r="B6" s="603">
        <v>46173</v>
      </c>
      <c r="C6" s="600" t="s">
        <v>1574</v>
      </c>
      <c r="D6" s="173">
        <v>21200.74</v>
      </c>
      <c r="E6" s="600" t="s">
        <v>366</v>
      </c>
      <c r="F6" s="600" t="s">
        <v>710</v>
      </c>
      <c r="G6" s="600" t="s">
        <v>27</v>
      </c>
      <c r="H6" s="600" t="s">
        <v>24</v>
      </c>
      <c r="I6" s="600" t="s">
        <v>710</v>
      </c>
      <c r="J6" s="600">
        <v>1020088</v>
      </c>
      <c r="K6" s="600" t="s">
        <v>26</v>
      </c>
      <c r="L6" s="170">
        <v>400000.94</v>
      </c>
      <c r="M6" s="170">
        <v>1</v>
      </c>
      <c r="N6" s="170">
        <v>378800.2</v>
      </c>
      <c r="O6" s="170">
        <v>21200.74</v>
      </c>
      <c r="P6" s="170">
        <v>0</v>
      </c>
      <c r="Q6" s="170">
        <v>0</v>
      </c>
      <c r="R6" s="606">
        <v>46142</v>
      </c>
    </row>
    <row r="7" spans="1:18" ht="15.75" hidden="1" x14ac:dyDescent="0.25">
      <c r="A7" s="600" t="s">
        <v>2904</v>
      </c>
      <c r="B7" s="603">
        <v>46173</v>
      </c>
      <c r="C7" s="600" t="s">
        <v>1374</v>
      </c>
      <c r="D7" s="173">
        <v>5095.45</v>
      </c>
      <c r="E7" s="600" t="s">
        <v>366</v>
      </c>
      <c r="F7" s="600" t="s">
        <v>710</v>
      </c>
      <c r="G7" s="600" t="s">
        <v>27</v>
      </c>
      <c r="H7" s="600" t="s">
        <v>24</v>
      </c>
      <c r="I7" s="600" t="s">
        <v>710</v>
      </c>
      <c r="J7" s="600">
        <v>1020088</v>
      </c>
      <c r="K7" s="600" t="s">
        <v>26</v>
      </c>
      <c r="L7" s="170">
        <v>6908467.5099999998</v>
      </c>
      <c r="M7" s="170">
        <v>1</v>
      </c>
      <c r="N7" s="170">
        <v>6903372.0600000005</v>
      </c>
      <c r="O7" s="170">
        <v>5095.45</v>
      </c>
      <c r="P7" s="170">
        <v>0</v>
      </c>
      <c r="Q7" s="170">
        <v>0</v>
      </c>
      <c r="R7" s="606">
        <v>46142</v>
      </c>
    </row>
    <row r="8" spans="1:18" ht="15.75" hidden="1" x14ac:dyDescent="0.25">
      <c r="A8" s="600" t="s">
        <v>1495</v>
      </c>
      <c r="B8" s="603">
        <v>46173</v>
      </c>
      <c r="C8" s="600" t="s">
        <v>1109</v>
      </c>
      <c r="D8" s="173">
        <v>37750</v>
      </c>
      <c r="E8" s="600" t="s">
        <v>21</v>
      </c>
      <c r="F8" s="600" t="s">
        <v>22</v>
      </c>
      <c r="G8" s="600" t="s">
        <v>27</v>
      </c>
      <c r="H8" s="600" t="s">
        <v>24</v>
      </c>
      <c r="I8" s="600" t="s">
        <v>407</v>
      </c>
      <c r="J8" s="600">
        <v>1020100</v>
      </c>
      <c r="K8" s="600" t="s">
        <v>26</v>
      </c>
      <c r="L8" s="170">
        <v>400000</v>
      </c>
      <c r="M8" s="170">
        <v>1</v>
      </c>
      <c r="N8" s="170">
        <v>362250</v>
      </c>
      <c r="O8" s="170">
        <v>37750</v>
      </c>
      <c r="P8" s="170">
        <v>0</v>
      </c>
      <c r="Q8" s="170">
        <v>0</v>
      </c>
      <c r="R8" s="606">
        <v>46142</v>
      </c>
    </row>
    <row r="9" spans="1:18" ht="15.75" x14ac:dyDescent="0.25">
      <c r="A9" s="600" t="s">
        <v>3952</v>
      </c>
      <c r="B9" s="603">
        <v>46173</v>
      </c>
      <c r="C9" s="600" t="s">
        <v>3858</v>
      </c>
      <c r="D9" s="173">
        <v>117898.36</v>
      </c>
      <c r="E9" s="600" t="s">
        <v>62</v>
      </c>
      <c r="F9" s="600" t="s">
        <v>483</v>
      </c>
      <c r="G9" s="600" t="s">
        <v>27</v>
      </c>
      <c r="H9" s="600" t="s">
        <v>24</v>
      </c>
      <c r="I9" s="600" t="s">
        <v>483</v>
      </c>
      <c r="J9" s="600">
        <v>1020096</v>
      </c>
      <c r="K9" s="600" t="s">
        <v>26</v>
      </c>
      <c r="L9" s="170">
        <v>617898.36</v>
      </c>
      <c r="M9" s="170">
        <v>1</v>
      </c>
      <c r="N9" s="170">
        <v>500000</v>
      </c>
      <c r="O9" s="170">
        <v>117898.36</v>
      </c>
      <c r="P9" s="170">
        <v>0</v>
      </c>
      <c r="Q9" s="170">
        <v>0</v>
      </c>
      <c r="R9" s="606">
        <v>46142</v>
      </c>
    </row>
    <row r="10" spans="1:18" ht="15.75" x14ac:dyDescent="0.25">
      <c r="A10" s="600" t="s">
        <v>1834</v>
      </c>
      <c r="B10" s="603">
        <v>46173</v>
      </c>
      <c r="C10" s="600" t="s">
        <v>1647</v>
      </c>
      <c r="D10" s="173">
        <v>1882140.3</v>
      </c>
      <c r="E10" s="600" t="s">
        <v>62</v>
      </c>
      <c r="F10" s="600" t="s">
        <v>483</v>
      </c>
      <c r="G10" s="600" t="s">
        <v>27</v>
      </c>
      <c r="H10" s="600" t="s">
        <v>72</v>
      </c>
      <c r="I10" s="600" t="s">
        <v>483</v>
      </c>
      <c r="J10" s="600">
        <v>1020096</v>
      </c>
      <c r="K10" s="600" t="s">
        <v>78</v>
      </c>
      <c r="L10" s="170">
        <v>7339154</v>
      </c>
      <c r="M10" s="170">
        <v>3.762</v>
      </c>
      <c r="N10" s="170">
        <v>25727757.043026205</v>
      </c>
      <c r="O10" s="170">
        <v>1882140.3</v>
      </c>
      <c r="P10" s="170">
        <v>0</v>
      </c>
      <c r="Q10" s="170">
        <v>0</v>
      </c>
      <c r="R10" s="606">
        <v>46142</v>
      </c>
    </row>
    <row r="11" spans="1:18" ht="15.75" hidden="1" x14ac:dyDescent="0.25">
      <c r="A11" s="600" t="s">
        <v>1597</v>
      </c>
      <c r="B11" s="603">
        <v>46173</v>
      </c>
      <c r="C11" s="600" t="s">
        <v>1581</v>
      </c>
      <c r="D11" s="173">
        <v>16666.259999999998</v>
      </c>
      <c r="E11" s="600" t="s">
        <v>366</v>
      </c>
      <c r="F11" s="600" t="s">
        <v>710</v>
      </c>
      <c r="G11" s="600" t="s">
        <v>27</v>
      </c>
      <c r="H11" s="600" t="s">
        <v>24</v>
      </c>
      <c r="I11" s="600" t="s">
        <v>710</v>
      </c>
      <c r="J11" s="600">
        <v>1020088</v>
      </c>
      <c r="K11" s="600" t="s">
        <v>26</v>
      </c>
      <c r="L11" s="170">
        <v>300000</v>
      </c>
      <c r="M11" s="170">
        <v>1</v>
      </c>
      <c r="N11" s="170">
        <v>283333.74</v>
      </c>
      <c r="O11" s="170">
        <v>16666.259999999998</v>
      </c>
      <c r="P11" s="170">
        <v>0</v>
      </c>
      <c r="Q11" s="170">
        <v>0</v>
      </c>
      <c r="R11" s="606">
        <v>46142</v>
      </c>
    </row>
    <row r="12" spans="1:18" ht="15.75" hidden="1" x14ac:dyDescent="0.25">
      <c r="A12" s="600" t="s">
        <v>4137</v>
      </c>
      <c r="B12" s="603">
        <v>46173</v>
      </c>
      <c r="C12" s="600" t="s">
        <v>535</v>
      </c>
      <c r="D12" s="173">
        <v>120232.69</v>
      </c>
      <c r="E12" s="600" t="s">
        <v>21</v>
      </c>
      <c r="F12" s="600" t="s">
        <v>22</v>
      </c>
      <c r="G12" s="600" t="s">
        <v>27</v>
      </c>
      <c r="H12" s="600" t="s">
        <v>80</v>
      </c>
      <c r="I12" s="600" t="s">
        <v>22</v>
      </c>
      <c r="J12" s="600">
        <v>1020055</v>
      </c>
      <c r="K12" s="600" t="s">
        <v>31</v>
      </c>
      <c r="L12" s="170">
        <v>1198730.71</v>
      </c>
      <c r="M12" s="170">
        <v>5.19</v>
      </c>
      <c r="N12" s="170">
        <v>6101179.6946869995</v>
      </c>
      <c r="O12" s="170">
        <v>120232.69</v>
      </c>
      <c r="P12" s="170">
        <v>0</v>
      </c>
      <c r="Q12" s="170">
        <v>0</v>
      </c>
      <c r="R12" s="606">
        <v>46142</v>
      </c>
    </row>
    <row r="13" spans="1:18" ht="15.75" x14ac:dyDescent="0.25">
      <c r="A13" s="600" t="s">
        <v>3326</v>
      </c>
      <c r="B13" s="603">
        <v>46173</v>
      </c>
      <c r="C13" s="600" t="s">
        <v>1627</v>
      </c>
      <c r="D13" s="173">
        <v>47.3</v>
      </c>
      <c r="E13" s="600" t="s">
        <v>62</v>
      </c>
      <c r="F13" s="600" t="s">
        <v>483</v>
      </c>
      <c r="G13" s="600" t="s">
        <v>27</v>
      </c>
      <c r="H13" s="600" t="s">
        <v>24</v>
      </c>
      <c r="I13" s="600" t="s">
        <v>483</v>
      </c>
      <c r="J13" s="600">
        <v>1020096</v>
      </c>
      <c r="K13" s="600" t="s">
        <v>26</v>
      </c>
      <c r="L13" s="170">
        <v>500000</v>
      </c>
      <c r="M13" s="170">
        <v>1</v>
      </c>
      <c r="N13" s="170">
        <v>499952.7</v>
      </c>
      <c r="O13" s="170">
        <v>47.3</v>
      </c>
      <c r="P13" s="170">
        <v>0</v>
      </c>
      <c r="Q13" s="170">
        <v>0</v>
      </c>
      <c r="R13" s="606">
        <v>46142</v>
      </c>
    </row>
    <row r="14" spans="1:18" ht="15.75" hidden="1" x14ac:dyDescent="0.25">
      <c r="A14" s="600" t="s">
        <v>1565</v>
      </c>
      <c r="B14" s="603">
        <v>46173</v>
      </c>
      <c r="C14" s="600" t="s">
        <v>1543</v>
      </c>
      <c r="D14" s="173">
        <v>10557</v>
      </c>
      <c r="E14" s="600" t="s">
        <v>612</v>
      </c>
      <c r="F14" s="600" t="s">
        <v>613</v>
      </c>
      <c r="G14" s="600" t="s">
        <v>27</v>
      </c>
      <c r="H14" s="600" t="s">
        <v>24</v>
      </c>
      <c r="I14" s="600" t="s">
        <v>613</v>
      </c>
      <c r="J14" s="600">
        <v>1020106</v>
      </c>
      <c r="K14" s="600" t="s">
        <v>26</v>
      </c>
      <c r="L14" s="170">
        <v>100383.5</v>
      </c>
      <c r="M14" s="170">
        <v>1</v>
      </c>
      <c r="N14" s="170">
        <v>89826.5</v>
      </c>
      <c r="O14" s="170">
        <v>10557</v>
      </c>
      <c r="P14" s="170">
        <v>0</v>
      </c>
      <c r="Q14" s="170">
        <v>0</v>
      </c>
      <c r="R14" s="606">
        <v>46142</v>
      </c>
    </row>
    <row r="15" spans="1:18" ht="15.75" hidden="1" x14ac:dyDescent="0.25">
      <c r="A15" s="600" t="s">
        <v>1446</v>
      </c>
      <c r="B15" s="603">
        <v>46173</v>
      </c>
      <c r="C15" s="600" t="s">
        <v>1337</v>
      </c>
      <c r="D15" s="173">
        <v>1017646.75</v>
      </c>
      <c r="E15" s="600" t="s">
        <v>95</v>
      </c>
      <c r="F15" s="600" t="s">
        <v>96</v>
      </c>
      <c r="G15" s="600" t="s">
        <v>27</v>
      </c>
      <c r="H15" s="600" t="s">
        <v>72</v>
      </c>
      <c r="I15" s="600" t="s">
        <v>511</v>
      </c>
      <c r="J15" s="600">
        <v>1020107</v>
      </c>
      <c r="K15" s="600" t="s">
        <v>26</v>
      </c>
      <c r="L15" s="170">
        <v>4738920</v>
      </c>
      <c r="M15" s="170">
        <v>1</v>
      </c>
      <c r="N15" s="170">
        <v>3721273.25</v>
      </c>
      <c r="O15" s="170">
        <v>1017646.75</v>
      </c>
      <c r="P15" s="170">
        <v>0</v>
      </c>
      <c r="Q15" s="170">
        <v>0</v>
      </c>
      <c r="R15" s="606">
        <v>46142</v>
      </c>
    </row>
    <row r="16" spans="1:18" ht="15.75" hidden="1" x14ac:dyDescent="0.25">
      <c r="A16" s="600" t="s">
        <v>713</v>
      </c>
      <c r="B16" s="603">
        <v>46173</v>
      </c>
      <c r="C16" s="600" t="s">
        <v>714</v>
      </c>
      <c r="D16" s="173">
        <v>19036.63</v>
      </c>
      <c r="E16" s="600" t="s">
        <v>366</v>
      </c>
      <c r="F16" s="600" t="s">
        <v>710</v>
      </c>
      <c r="G16" s="600" t="s">
        <v>27</v>
      </c>
      <c r="H16" s="600" t="s">
        <v>24</v>
      </c>
      <c r="I16" s="600" t="s">
        <v>710</v>
      </c>
      <c r="J16" s="600">
        <v>1020088</v>
      </c>
      <c r="K16" s="600" t="s">
        <v>26</v>
      </c>
      <c r="L16" s="170">
        <v>800000</v>
      </c>
      <c r="M16" s="170">
        <v>1</v>
      </c>
      <c r="N16" s="170">
        <v>780963.37000000011</v>
      </c>
      <c r="O16" s="170">
        <v>19036.63</v>
      </c>
      <c r="P16" s="170">
        <v>0</v>
      </c>
      <c r="Q16" s="170">
        <v>0</v>
      </c>
      <c r="R16" s="606">
        <v>46142</v>
      </c>
    </row>
    <row r="17" spans="1:18" ht="15.75" hidden="1" x14ac:dyDescent="0.25">
      <c r="A17" s="600" t="s">
        <v>1664</v>
      </c>
      <c r="B17" s="603">
        <v>46173</v>
      </c>
      <c r="C17" s="600" t="s">
        <v>1623</v>
      </c>
      <c r="D17" s="173">
        <v>0.45</v>
      </c>
      <c r="E17" s="600" t="s">
        <v>366</v>
      </c>
      <c r="F17" s="600" t="s">
        <v>367</v>
      </c>
      <c r="G17" s="600" t="s">
        <v>27</v>
      </c>
      <c r="H17" s="600" t="s">
        <v>24</v>
      </c>
      <c r="I17" s="600" t="s">
        <v>367</v>
      </c>
      <c r="J17" s="600">
        <v>1020091</v>
      </c>
      <c r="K17" s="600" t="s">
        <v>26</v>
      </c>
      <c r="L17" s="170">
        <v>1000000</v>
      </c>
      <c r="M17" s="170">
        <v>1</v>
      </c>
      <c r="N17" s="170">
        <v>999999.55</v>
      </c>
      <c r="O17" s="170">
        <v>0.45</v>
      </c>
      <c r="P17" s="170">
        <v>0</v>
      </c>
      <c r="Q17" s="170">
        <v>0</v>
      </c>
      <c r="R17" s="606">
        <v>46142</v>
      </c>
    </row>
    <row r="18" spans="1:18" ht="15.75" hidden="1" x14ac:dyDescent="0.25">
      <c r="A18" s="600" t="s">
        <v>4073</v>
      </c>
      <c r="B18" s="603">
        <v>46173</v>
      </c>
      <c r="C18" s="600" t="s">
        <v>1782</v>
      </c>
      <c r="D18" s="173">
        <v>150610</v>
      </c>
      <c r="E18" s="600" t="s">
        <v>366</v>
      </c>
      <c r="F18" s="600" t="s">
        <v>710</v>
      </c>
      <c r="G18" s="600" t="s">
        <v>27</v>
      </c>
      <c r="H18" s="600" t="s">
        <v>1791</v>
      </c>
      <c r="I18" s="600" t="s">
        <v>81</v>
      </c>
      <c r="J18" s="600">
        <v>1020070</v>
      </c>
      <c r="K18" s="600" t="s">
        <v>26</v>
      </c>
      <c r="L18" s="170">
        <v>817725</v>
      </c>
      <c r="M18" s="170">
        <v>1</v>
      </c>
      <c r="N18" s="170">
        <v>667115</v>
      </c>
      <c r="O18" s="170">
        <v>150610</v>
      </c>
      <c r="P18" s="170">
        <v>0</v>
      </c>
      <c r="Q18" s="170">
        <v>0</v>
      </c>
      <c r="R18" s="606">
        <v>46142</v>
      </c>
    </row>
    <row r="19" spans="1:18" ht="15.75" hidden="1" x14ac:dyDescent="0.25">
      <c r="A19" s="600" t="s">
        <v>4070</v>
      </c>
      <c r="B19" s="603">
        <v>46169</v>
      </c>
      <c r="C19" s="600" t="s">
        <v>3189</v>
      </c>
      <c r="D19" s="173">
        <v>5000000</v>
      </c>
      <c r="E19" s="600" t="s">
        <v>95</v>
      </c>
      <c r="F19" s="600" t="s">
        <v>96</v>
      </c>
      <c r="G19" s="600" t="s">
        <v>27</v>
      </c>
      <c r="H19" s="600" t="s">
        <v>80</v>
      </c>
      <c r="I19" s="600" t="s">
        <v>328</v>
      </c>
      <c r="J19" s="600">
        <v>1020097</v>
      </c>
      <c r="K19" s="600" t="s">
        <v>26</v>
      </c>
      <c r="L19" s="170">
        <v>5000000</v>
      </c>
      <c r="M19" s="170">
        <v>1</v>
      </c>
      <c r="N19" s="170">
        <v>0</v>
      </c>
      <c r="O19" s="170">
        <v>5000000</v>
      </c>
      <c r="P19" s="170">
        <v>0</v>
      </c>
      <c r="Q19" s="170">
        <v>0</v>
      </c>
      <c r="R19" s="606">
        <v>46138</v>
      </c>
    </row>
    <row r="20" spans="1:18" ht="15.75" hidden="1" x14ac:dyDescent="0.25">
      <c r="A20" s="600" t="s">
        <v>4274</v>
      </c>
      <c r="B20" s="603">
        <v>46158</v>
      </c>
      <c r="C20" s="600" t="s">
        <v>4097</v>
      </c>
      <c r="D20" s="173">
        <v>500000</v>
      </c>
      <c r="E20" s="600" t="s">
        <v>95</v>
      </c>
      <c r="F20" s="600" t="s">
        <v>96</v>
      </c>
      <c r="G20" s="600" t="s">
        <v>27</v>
      </c>
      <c r="H20" s="600" t="s">
        <v>1791</v>
      </c>
      <c r="I20" s="600" t="s">
        <v>328</v>
      </c>
      <c r="J20" s="600">
        <v>1020097</v>
      </c>
      <c r="K20" s="600" t="s">
        <v>26</v>
      </c>
      <c r="L20" s="170">
        <v>500000</v>
      </c>
      <c r="M20" s="170">
        <v>1</v>
      </c>
      <c r="N20" s="170">
        <v>0</v>
      </c>
      <c r="O20" s="170">
        <v>500000</v>
      </c>
      <c r="P20" s="170">
        <v>0</v>
      </c>
      <c r="Q20" s="170">
        <v>0</v>
      </c>
      <c r="R20" s="606">
        <v>46127</v>
      </c>
    </row>
    <row r="21" spans="1:18" ht="15.75" hidden="1" x14ac:dyDescent="0.25">
      <c r="A21" s="600" t="s">
        <v>3784</v>
      </c>
      <c r="B21" s="603">
        <v>46158</v>
      </c>
      <c r="C21" s="600" t="s">
        <v>3717</v>
      </c>
      <c r="D21" s="173">
        <v>500000</v>
      </c>
      <c r="E21" s="600" t="s">
        <v>95</v>
      </c>
      <c r="F21" s="600" t="s">
        <v>96</v>
      </c>
      <c r="G21" s="600" t="s">
        <v>27</v>
      </c>
      <c r="H21" s="600" t="s">
        <v>1791</v>
      </c>
      <c r="I21" s="600" t="s">
        <v>328</v>
      </c>
      <c r="J21" s="600">
        <v>1020097</v>
      </c>
      <c r="K21" s="600" t="s">
        <v>26</v>
      </c>
      <c r="L21" s="170">
        <v>500000</v>
      </c>
      <c r="M21" s="170">
        <v>1</v>
      </c>
      <c r="N21" s="170">
        <v>0</v>
      </c>
      <c r="O21" s="170">
        <v>500000</v>
      </c>
      <c r="P21" s="170">
        <v>0</v>
      </c>
      <c r="Q21" s="170">
        <v>0</v>
      </c>
      <c r="R21" s="606">
        <v>46127</v>
      </c>
    </row>
    <row r="22" spans="1:18" ht="15.75" hidden="1" x14ac:dyDescent="0.25">
      <c r="A22" s="600" t="s">
        <v>1195</v>
      </c>
      <c r="B22" s="603">
        <v>46157</v>
      </c>
      <c r="C22" s="600" t="s">
        <v>772</v>
      </c>
      <c r="D22" s="173">
        <v>303361.71999999997</v>
      </c>
      <c r="E22" s="600" t="s">
        <v>21</v>
      </c>
      <c r="F22" s="600" t="s">
        <v>22</v>
      </c>
      <c r="G22" s="600" t="s">
        <v>27</v>
      </c>
      <c r="H22" s="600" t="s">
        <v>24</v>
      </c>
      <c r="I22" s="600" t="s">
        <v>407</v>
      </c>
      <c r="J22" s="600">
        <v>1020100</v>
      </c>
      <c r="K22" s="600" t="s">
        <v>26</v>
      </c>
      <c r="L22" s="170">
        <v>303361.71999999997</v>
      </c>
      <c r="M22" s="170">
        <v>1</v>
      </c>
      <c r="N22" s="170">
        <v>0</v>
      </c>
      <c r="O22" s="170">
        <v>303361.71999999997</v>
      </c>
      <c r="P22" s="170">
        <v>0</v>
      </c>
      <c r="Q22" s="170">
        <v>0</v>
      </c>
      <c r="R22" s="606">
        <v>46126</v>
      </c>
    </row>
    <row r="23" spans="1:18" ht="15.75" hidden="1" x14ac:dyDescent="0.25">
      <c r="A23" s="600" t="s">
        <v>3572</v>
      </c>
      <c r="B23" s="603">
        <v>46143</v>
      </c>
      <c r="C23" s="600" t="s">
        <v>3288</v>
      </c>
      <c r="D23" s="173">
        <v>623875</v>
      </c>
      <c r="E23" s="600" t="s">
        <v>95</v>
      </c>
      <c r="F23" s="600" t="s">
        <v>96</v>
      </c>
      <c r="G23" s="600" t="s">
        <v>27</v>
      </c>
      <c r="H23" s="600" t="s">
        <v>72</v>
      </c>
      <c r="I23" s="600" t="s">
        <v>328</v>
      </c>
      <c r="J23" s="600">
        <v>1020097</v>
      </c>
      <c r="K23" s="600" t="s">
        <v>26</v>
      </c>
      <c r="L23" s="170">
        <v>623875</v>
      </c>
      <c r="M23" s="170">
        <v>1</v>
      </c>
      <c r="N23" s="170">
        <v>0</v>
      </c>
      <c r="O23" s="170">
        <v>623875</v>
      </c>
      <c r="P23" s="170">
        <v>0</v>
      </c>
      <c r="Q23" s="170">
        <v>0</v>
      </c>
      <c r="R23" s="606">
        <v>46112</v>
      </c>
    </row>
    <row r="24" spans="1:18" ht="15.75" x14ac:dyDescent="0.25">
      <c r="A24" s="600" t="s">
        <v>317</v>
      </c>
      <c r="B24" s="603">
        <v>46143</v>
      </c>
      <c r="C24" s="600" t="s">
        <v>318</v>
      </c>
      <c r="D24" s="173">
        <v>71595.039999999994</v>
      </c>
      <c r="E24" s="600" t="s">
        <v>62</v>
      </c>
      <c r="F24" s="600" t="s">
        <v>70</v>
      </c>
      <c r="G24" s="600" t="s">
        <v>70</v>
      </c>
      <c r="H24" s="600" t="s">
        <v>72</v>
      </c>
      <c r="I24" s="600" t="s">
        <v>213</v>
      </c>
      <c r="J24" s="600">
        <v>1020015</v>
      </c>
      <c r="K24" s="600" t="s">
        <v>67</v>
      </c>
      <c r="L24" s="170">
        <v>308759</v>
      </c>
      <c r="M24" s="170">
        <v>4.6375999999999999</v>
      </c>
      <c r="N24" s="170">
        <v>1360305.70148</v>
      </c>
      <c r="O24" s="170">
        <v>71595.039999999994</v>
      </c>
      <c r="P24" s="170">
        <v>0</v>
      </c>
      <c r="Q24" s="170">
        <v>0</v>
      </c>
      <c r="R24" s="606">
        <v>46112</v>
      </c>
    </row>
    <row r="25" spans="1:18" ht="15.75" hidden="1" x14ac:dyDescent="0.25">
      <c r="A25" s="600" t="s">
        <v>815</v>
      </c>
      <c r="B25" s="603">
        <v>46136</v>
      </c>
      <c r="C25" s="600" t="s">
        <v>644</v>
      </c>
      <c r="D25" s="173">
        <v>134543.91</v>
      </c>
      <c r="E25" s="600" t="s">
        <v>21</v>
      </c>
      <c r="F25" s="600" t="s">
        <v>22</v>
      </c>
      <c r="G25" s="600" t="s">
        <v>27</v>
      </c>
      <c r="H25" s="600" t="s">
        <v>24</v>
      </c>
      <c r="I25" s="600" t="s">
        <v>22</v>
      </c>
      <c r="J25" s="600">
        <v>1020055</v>
      </c>
      <c r="K25" s="600" t="s">
        <v>26</v>
      </c>
      <c r="L25" s="170">
        <v>450984.51</v>
      </c>
      <c r="M25" s="170">
        <v>1</v>
      </c>
      <c r="N25" s="170">
        <v>316440.59999999998</v>
      </c>
      <c r="O25" s="170">
        <v>134543.91</v>
      </c>
      <c r="P25" s="170">
        <v>0</v>
      </c>
      <c r="Q25" s="170">
        <v>0</v>
      </c>
      <c r="R25" s="606">
        <v>46105</v>
      </c>
    </row>
    <row r="26" spans="1:18" ht="15.75" hidden="1" x14ac:dyDescent="0.25">
      <c r="A26" s="600" t="s">
        <v>3730</v>
      </c>
      <c r="B26" s="603">
        <v>46127</v>
      </c>
      <c r="C26" s="600" t="s">
        <v>3266</v>
      </c>
      <c r="D26" s="173">
        <v>7706920.5</v>
      </c>
      <c r="E26" s="600" t="s">
        <v>366</v>
      </c>
      <c r="F26" s="600" t="s">
        <v>1450</v>
      </c>
      <c r="G26" s="600" t="s">
        <v>27</v>
      </c>
      <c r="H26" s="600" t="s">
        <v>3782</v>
      </c>
      <c r="I26" s="600" t="s">
        <v>367</v>
      </c>
      <c r="J26" s="600">
        <v>1020091</v>
      </c>
      <c r="K26" s="600" t="s">
        <v>26</v>
      </c>
      <c r="L26" s="170">
        <v>9979435.5</v>
      </c>
      <c r="M26" s="170">
        <v>1</v>
      </c>
      <c r="N26" s="170">
        <v>2272515</v>
      </c>
      <c r="O26" s="170">
        <v>7706920.5</v>
      </c>
      <c r="P26" s="170">
        <v>0</v>
      </c>
      <c r="Q26" s="170">
        <v>0</v>
      </c>
      <c r="R26" s="606">
        <v>46096</v>
      </c>
    </row>
    <row r="27" spans="1:18" ht="15.75" hidden="1" x14ac:dyDescent="0.25">
      <c r="A27" s="600" t="s">
        <v>1294</v>
      </c>
      <c r="B27" s="603">
        <v>46112</v>
      </c>
      <c r="C27" s="600" t="s">
        <v>1252</v>
      </c>
      <c r="D27" s="173">
        <v>730430.57</v>
      </c>
      <c r="E27" s="600" t="s">
        <v>373</v>
      </c>
      <c r="F27" s="600" t="s">
        <v>70</v>
      </c>
      <c r="G27" s="600" t="s">
        <v>70</v>
      </c>
      <c r="H27" s="600" t="s">
        <v>72</v>
      </c>
      <c r="I27" s="600" t="s">
        <v>511</v>
      </c>
      <c r="J27" s="600">
        <v>1020107</v>
      </c>
      <c r="K27" s="600" t="s">
        <v>26</v>
      </c>
      <c r="L27" s="170">
        <v>1964200</v>
      </c>
      <c r="M27" s="170">
        <v>1</v>
      </c>
      <c r="N27" s="170">
        <v>1233769.43</v>
      </c>
      <c r="O27" s="170">
        <v>730430.57</v>
      </c>
      <c r="P27" s="170">
        <v>0</v>
      </c>
      <c r="Q27" s="170">
        <v>0</v>
      </c>
      <c r="R27" s="606">
        <v>46081</v>
      </c>
    </row>
    <row r="28" spans="1:18" ht="15.75" hidden="1" x14ac:dyDescent="0.25">
      <c r="A28" s="600" t="s">
        <v>3144</v>
      </c>
      <c r="B28" s="603">
        <v>46112</v>
      </c>
      <c r="C28" s="600" t="s">
        <v>1541</v>
      </c>
      <c r="D28" s="173">
        <v>18231252.960000001</v>
      </c>
      <c r="E28" s="600" t="s">
        <v>21</v>
      </c>
      <c r="F28" s="600" t="s">
        <v>22</v>
      </c>
      <c r="G28" s="600" t="s">
        <v>27</v>
      </c>
      <c r="H28" s="600" t="s">
        <v>72</v>
      </c>
      <c r="I28" s="600" t="s">
        <v>22</v>
      </c>
      <c r="J28" s="600">
        <v>1020055</v>
      </c>
      <c r="K28" s="600" t="s">
        <v>26</v>
      </c>
      <c r="L28" s="170">
        <v>30000000</v>
      </c>
      <c r="M28" s="170">
        <v>1</v>
      </c>
      <c r="N28" s="170">
        <v>11768747.039999999</v>
      </c>
      <c r="O28" s="170">
        <v>18231252.960000001</v>
      </c>
      <c r="P28" s="170">
        <v>0</v>
      </c>
      <c r="Q28" s="170">
        <v>0</v>
      </c>
      <c r="R28" s="606">
        <v>46081</v>
      </c>
    </row>
    <row r="29" spans="1:18" ht="15.75" hidden="1" x14ac:dyDescent="0.25">
      <c r="A29" s="600" t="s">
        <v>3783</v>
      </c>
      <c r="B29" s="603">
        <v>46112</v>
      </c>
      <c r="C29" s="600" t="s">
        <v>521</v>
      </c>
      <c r="D29" s="173">
        <v>2193075.29</v>
      </c>
      <c r="E29" s="600" t="s">
        <v>95</v>
      </c>
      <c r="F29" s="600" t="s">
        <v>96</v>
      </c>
      <c r="G29" s="600" t="s">
        <v>27</v>
      </c>
      <c r="H29" s="600" t="s">
        <v>1791</v>
      </c>
      <c r="I29" s="600" t="s">
        <v>328</v>
      </c>
      <c r="J29" s="600">
        <v>1020097</v>
      </c>
      <c r="K29" s="600" t="s">
        <v>26</v>
      </c>
      <c r="L29" s="170">
        <v>3000000</v>
      </c>
      <c r="M29" s="170">
        <v>1</v>
      </c>
      <c r="N29" s="170">
        <v>806924.71</v>
      </c>
      <c r="O29" s="170">
        <v>2193075.29</v>
      </c>
      <c r="P29" s="170">
        <v>0</v>
      </c>
      <c r="Q29" s="170">
        <v>0</v>
      </c>
      <c r="R29" s="606">
        <v>46081</v>
      </c>
    </row>
    <row r="30" spans="1:18" ht="15.75" hidden="1" x14ac:dyDescent="0.25">
      <c r="A30" s="600" t="s">
        <v>1566</v>
      </c>
      <c r="B30" s="603">
        <v>46112</v>
      </c>
      <c r="C30" s="600" t="s">
        <v>693</v>
      </c>
      <c r="D30" s="173">
        <v>0.03</v>
      </c>
      <c r="E30" s="600" t="s">
        <v>612</v>
      </c>
      <c r="F30" s="600" t="s">
        <v>613</v>
      </c>
      <c r="G30" s="600" t="s">
        <v>27</v>
      </c>
      <c r="H30" s="600" t="s">
        <v>24</v>
      </c>
      <c r="I30" s="600" t="s">
        <v>613</v>
      </c>
      <c r="J30" s="600">
        <v>1020106</v>
      </c>
      <c r="K30" s="600" t="s">
        <v>26</v>
      </c>
      <c r="L30" s="170">
        <v>399623.8</v>
      </c>
      <c r="M30" s="170">
        <v>1</v>
      </c>
      <c r="N30" s="170">
        <v>399623.77</v>
      </c>
      <c r="O30" s="170">
        <v>0.03</v>
      </c>
      <c r="P30" s="170">
        <v>0</v>
      </c>
      <c r="Q30" s="170">
        <v>0</v>
      </c>
      <c r="R30" s="606">
        <v>46081</v>
      </c>
    </row>
    <row r="31" spans="1:18" ht="15.75" hidden="1" x14ac:dyDescent="0.25">
      <c r="A31" s="600" t="s">
        <v>1672</v>
      </c>
      <c r="B31" s="603">
        <v>46112</v>
      </c>
      <c r="C31" s="600" t="s">
        <v>1632</v>
      </c>
      <c r="D31" s="173">
        <v>871.7</v>
      </c>
      <c r="E31" s="600" t="s">
        <v>366</v>
      </c>
      <c r="F31" s="600" t="s">
        <v>367</v>
      </c>
      <c r="G31" s="600" t="s">
        <v>27</v>
      </c>
      <c r="H31" s="600" t="s">
        <v>24</v>
      </c>
      <c r="I31" s="600" t="s">
        <v>367</v>
      </c>
      <c r="J31" s="600">
        <v>1020091</v>
      </c>
      <c r="K31" s="600" t="s">
        <v>26</v>
      </c>
      <c r="L31" s="170">
        <v>120000</v>
      </c>
      <c r="M31" s="170">
        <v>1</v>
      </c>
      <c r="N31" s="170">
        <v>119128.29999999999</v>
      </c>
      <c r="O31" s="170">
        <v>871.7</v>
      </c>
      <c r="P31" s="170">
        <v>0</v>
      </c>
      <c r="Q31" s="170">
        <v>0</v>
      </c>
      <c r="R31" s="606">
        <v>46081</v>
      </c>
    </row>
    <row r="32" spans="1:18" ht="15.75" hidden="1" x14ac:dyDescent="0.25">
      <c r="A32" s="600" t="s">
        <v>4544</v>
      </c>
      <c r="B32" s="603">
        <v>46112</v>
      </c>
      <c r="C32" s="600" t="s">
        <v>2923</v>
      </c>
      <c r="D32" s="173">
        <v>13581536.119999999</v>
      </c>
      <c r="E32" s="600" t="s">
        <v>1073</v>
      </c>
      <c r="F32" s="600" t="s">
        <v>882</v>
      </c>
      <c r="G32" s="600" t="s">
        <v>27</v>
      </c>
      <c r="H32" s="600" t="s">
        <v>72</v>
      </c>
      <c r="I32" s="600" t="s">
        <v>882</v>
      </c>
      <c r="J32" s="600">
        <v>1020108</v>
      </c>
      <c r="K32" s="600" t="s">
        <v>26</v>
      </c>
      <c r="L32" s="170">
        <v>13581536.125</v>
      </c>
      <c r="M32" s="170">
        <v>1</v>
      </c>
      <c r="N32" s="170">
        <v>0</v>
      </c>
      <c r="O32" s="170">
        <v>13581536.119999999</v>
      </c>
      <c r="P32" s="170">
        <v>0</v>
      </c>
      <c r="Q32" s="170">
        <v>0</v>
      </c>
      <c r="R32" s="606">
        <v>46081</v>
      </c>
    </row>
    <row r="33" spans="1:18" ht="15.75" hidden="1" x14ac:dyDescent="0.25">
      <c r="A33" s="600" t="s">
        <v>4545</v>
      </c>
      <c r="B33" s="603">
        <v>46112</v>
      </c>
      <c r="C33" s="600" t="s">
        <v>2924</v>
      </c>
      <c r="D33" s="173">
        <v>10408949</v>
      </c>
      <c r="E33" s="600" t="s">
        <v>1073</v>
      </c>
      <c r="F33" s="600" t="s">
        <v>882</v>
      </c>
      <c r="G33" s="600" t="s">
        <v>27</v>
      </c>
      <c r="H33" s="600" t="s">
        <v>72</v>
      </c>
      <c r="I33" s="600" t="s">
        <v>882</v>
      </c>
      <c r="J33" s="600">
        <v>1020108</v>
      </c>
      <c r="K33" s="600" t="s">
        <v>26</v>
      </c>
      <c r="L33" s="170">
        <v>11573945</v>
      </c>
      <c r="M33" s="170">
        <v>1</v>
      </c>
      <c r="N33" s="170">
        <v>1164996</v>
      </c>
      <c r="O33" s="170">
        <v>10408949</v>
      </c>
      <c r="P33" s="170">
        <v>0</v>
      </c>
      <c r="Q33" s="170">
        <v>0</v>
      </c>
      <c r="R33" s="606">
        <v>46081</v>
      </c>
    </row>
    <row r="34" spans="1:18" ht="15.75" hidden="1" x14ac:dyDescent="0.25">
      <c r="A34" s="600" t="s">
        <v>2903</v>
      </c>
      <c r="B34" s="603">
        <v>46112</v>
      </c>
      <c r="C34" s="600" t="s">
        <v>1378</v>
      </c>
      <c r="D34" s="173">
        <v>649.71</v>
      </c>
      <c r="E34" s="600" t="s">
        <v>366</v>
      </c>
      <c r="F34" s="600" t="s">
        <v>710</v>
      </c>
      <c r="G34" s="600" t="s">
        <v>27</v>
      </c>
      <c r="H34" s="600" t="s">
        <v>24</v>
      </c>
      <c r="I34" s="600" t="s">
        <v>710</v>
      </c>
      <c r="J34" s="600">
        <v>1020088</v>
      </c>
      <c r="K34" s="600" t="s">
        <v>26</v>
      </c>
      <c r="L34" s="170">
        <v>800000</v>
      </c>
      <c r="M34" s="170">
        <v>1</v>
      </c>
      <c r="N34" s="170">
        <v>799350.29</v>
      </c>
      <c r="O34" s="170">
        <v>649.71</v>
      </c>
      <c r="P34" s="170">
        <v>0</v>
      </c>
      <c r="Q34" s="170">
        <v>0</v>
      </c>
      <c r="R34" s="606">
        <v>46081</v>
      </c>
    </row>
    <row r="35" spans="1:18" ht="15.75" hidden="1" x14ac:dyDescent="0.25">
      <c r="A35" s="600" t="s">
        <v>1823</v>
      </c>
      <c r="B35" s="603">
        <v>46084</v>
      </c>
      <c r="C35" s="600" t="s">
        <v>1700</v>
      </c>
      <c r="D35" s="173">
        <v>12460</v>
      </c>
      <c r="E35" s="600" t="s">
        <v>612</v>
      </c>
      <c r="F35" s="600" t="s">
        <v>613</v>
      </c>
      <c r="G35" s="600" t="s">
        <v>27</v>
      </c>
      <c r="H35" s="600" t="s">
        <v>24</v>
      </c>
      <c r="I35" s="600" t="s">
        <v>613</v>
      </c>
      <c r="J35" s="600">
        <v>1020106</v>
      </c>
      <c r="K35" s="600" t="s">
        <v>26</v>
      </c>
      <c r="L35" s="170">
        <v>750000</v>
      </c>
      <c r="M35" s="170">
        <v>1</v>
      </c>
      <c r="N35" s="170">
        <v>737540</v>
      </c>
      <c r="O35" s="170">
        <v>12460</v>
      </c>
      <c r="P35" s="170">
        <v>0</v>
      </c>
      <c r="Q35" s="170">
        <v>0</v>
      </c>
      <c r="R35" s="606">
        <v>46053</v>
      </c>
    </row>
    <row r="36" spans="1:18" ht="15.75" hidden="1" x14ac:dyDescent="0.25">
      <c r="A36" s="600" t="s">
        <v>1731</v>
      </c>
      <c r="B36" s="603">
        <v>46084</v>
      </c>
      <c r="C36" s="600" t="s">
        <v>1482</v>
      </c>
      <c r="D36" s="173">
        <v>111274.76</v>
      </c>
      <c r="E36" s="600" t="s">
        <v>366</v>
      </c>
      <c r="F36" s="600" t="s">
        <v>710</v>
      </c>
      <c r="G36" s="600" t="s">
        <v>27</v>
      </c>
      <c r="H36" s="600" t="s">
        <v>72</v>
      </c>
      <c r="I36" s="600" t="s">
        <v>81</v>
      </c>
      <c r="J36" s="600">
        <v>1020070</v>
      </c>
      <c r="K36" s="600" t="s">
        <v>191</v>
      </c>
      <c r="L36" s="170">
        <v>899226.33</v>
      </c>
      <c r="M36" s="170">
        <v>1.021495</v>
      </c>
      <c r="N36" s="170">
        <v>807280.43904000008</v>
      </c>
      <c r="O36" s="170">
        <v>111274.76</v>
      </c>
      <c r="P36" s="170">
        <v>0</v>
      </c>
      <c r="Q36" s="170">
        <v>0</v>
      </c>
      <c r="R36" s="606">
        <v>46053</v>
      </c>
    </row>
    <row r="37" spans="1:18" ht="15.75" hidden="1" x14ac:dyDescent="0.25">
      <c r="A37" s="600" t="s">
        <v>651</v>
      </c>
      <c r="B37" s="603">
        <v>46076</v>
      </c>
      <c r="C37" s="600" t="s">
        <v>442</v>
      </c>
      <c r="D37" s="173">
        <v>364894.32</v>
      </c>
      <c r="E37" s="600" t="s">
        <v>21</v>
      </c>
      <c r="F37" s="600" t="s">
        <v>22</v>
      </c>
      <c r="G37" s="600" t="s">
        <v>27</v>
      </c>
      <c r="H37" s="600" t="s">
        <v>24</v>
      </c>
      <c r="I37" s="600" t="s">
        <v>22</v>
      </c>
      <c r="J37" s="600">
        <v>1020055</v>
      </c>
      <c r="K37" s="600" t="s">
        <v>26</v>
      </c>
      <c r="L37" s="170">
        <v>750000</v>
      </c>
      <c r="M37" s="170">
        <v>1</v>
      </c>
      <c r="N37" s="170">
        <v>385105.68000000005</v>
      </c>
      <c r="O37" s="170">
        <v>364894.32</v>
      </c>
      <c r="P37" s="170">
        <v>0</v>
      </c>
      <c r="Q37" s="170">
        <v>0</v>
      </c>
      <c r="R37" s="606">
        <v>46045</v>
      </c>
    </row>
    <row r="38" spans="1:18" ht="15.75" hidden="1" x14ac:dyDescent="0.25">
      <c r="A38" s="600" t="s">
        <v>1619</v>
      </c>
      <c r="B38" s="603">
        <v>46053</v>
      </c>
      <c r="C38" s="600" t="s">
        <v>1570</v>
      </c>
      <c r="D38" s="173">
        <v>151075.5</v>
      </c>
      <c r="E38" s="600" t="s">
        <v>95</v>
      </c>
      <c r="F38" s="600" t="s">
        <v>96</v>
      </c>
      <c r="G38" s="600" t="s">
        <v>27</v>
      </c>
      <c r="H38" s="600" t="s">
        <v>24</v>
      </c>
      <c r="I38" s="600" t="s">
        <v>407</v>
      </c>
      <c r="J38" s="600">
        <v>1020100</v>
      </c>
      <c r="K38" s="600" t="s">
        <v>26</v>
      </c>
      <c r="L38" s="170">
        <v>151075.5</v>
      </c>
      <c r="M38" s="170">
        <v>1</v>
      </c>
      <c r="N38" s="170">
        <v>0</v>
      </c>
      <c r="O38" s="170">
        <v>151075.5</v>
      </c>
      <c r="P38" s="170">
        <v>0</v>
      </c>
      <c r="Q38" s="170">
        <v>0</v>
      </c>
      <c r="R38" s="606">
        <v>46022</v>
      </c>
    </row>
    <row r="39" spans="1:18" ht="15.75" hidden="1" x14ac:dyDescent="0.25">
      <c r="A39" s="600" t="s">
        <v>1876</v>
      </c>
      <c r="B39" s="603">
        <v>46053</v>
      </c>
      <c r="C39" s="600" t="s">
        <v>1838</v>
      </c>
      <c r="D39" s="173">
        <v>961.58</v>
      </c>
      <c r="E39" s="600" t="s">
        <v>366</v>
      </c>
      <c r="F39" s="600" t="s">
        <v>710</v>
      </c>
      <c r="G39" s="600" t="s">
        <v>27</v>
      </c>
      <c r="H39" s="600" t="s">
        <v>24</v>
      </c>
      <c r="I39" s="600" t="s">
        <v>710</v>
      </c>
      <c r="J39" s="600">
        <v>1020088</v>
      </c>
      <c r="K39" s="600" t="s">
        <v>26</v>
      </c>
      <c r="L39" s="170">
        <v>5000000</v>
      </c>
      <c r="M39" s="170">
        <v>1</v>
      </c>
      <c r="N39" s="170">
        <v>4999038.42</v>
      </c>
      <c r="O39" s="170">
        <v>961.58</v>
      </c>
      <c r="P39" s="170">
        <v>0</v>
      </c>
      <c r="Q39" s="170">
        <v>0</v>
      </c>
      <c r="R39" s="606">
        <v>46022</v>
      </c>
    </row>
    <row r="40" spans="1:18" ht="15.75" hidden="1" x14ac:dyDescent="0.25">
      <c r="A40" s="600" t="s">
        <v>723</v>
      </c>
      <c r="B40" s="603">
        <v>46053</v>
      </c>
      <c r="C40" s="600" t="s">
        <v>724</v>
      </c>
      <c r="D40" s="173">
        <v>-0.01</v>
      </c>
      <c r="E40" s="600" t="s">
        <v>612</v>
      </c>
      <c r="F40" s="600" t="s">
        <v>613</v>
      </c>
      <c r="G40" s="600" t="s">
        <v>27</v>
      </c>
      <c r="H40" s="600" t="s">
        <v>24</v>
      </c>
      <c r="I40" s="600" t="s">
        <v>613</v>
      </c>
      <c r="J40" s="600">
        <v>1020106</v>
      </c>
      <c r="K40" s="600" t="s">
        <v>26</v>
      </c>
      <c r="L40" s="170">
        <v>753402</v>
      </c>
      <c r="M40" s="170">
        <v>1</v>
      </c>
      <c r="N40" s="170">
        <v>753402.01</v>
      </c>
      <c r="O40" s="170">
        <v>-0.01</v>
      </c>
      <c r="P40" s="170">
        <v>0</v>
      </c>
      <c r="Q40" s="170">
        <v>0</v>
      </c>
      <c r="R40" s="606">
        <v>46022</v>
      </c>
    </row>
    <row r="41" spans="1:18" ht="15.75" hidden="1" x14ac:dyDescent="0.25">
      <c r="A41" s="600" t="s">
        <v>611</v>
      </c>
      <c r="B41" s="603">
        <v>46053</v>
      </c>
      <c r="C41" s="600" t="s">
        <v>614</v>
      </c>
      <c r="D41" s="173">
        <v>298725.34999999998</v>
      </c>
      <c r="E41" s="600" t="s">
        <v>612</v>
      </c>
      <c r="F41" s="600" t="s">
        <v>613</v>
      </c>
      <c r="G41" s="600" t="s">
        <v>27</v>
      </c>
      <c r="H41" s="600" t="s">
        <v>24</v>
      </c>
      <c r="I41" s="600" t="s">
        <v>613</v>
      </c>
      <c r="J41" s="600">
        <v>1020106</v>
      </c>
      <c r="K41" s="600" t="s">
        <v>26</v>
      </c>
      <c r="L41" s="170">
        <v>1798725.35</v>
      </c>
      <c r="M41" s="170">
        <v>1</v>
      </c>
      <c r="N41" s="170">
        <v>1500000</v>
      </c>
      <c r="O41" s="170">
        <v>298725.34999999998</v>
      </c>
      <c r="P41" s="170">
        <v>0</v>
      </c>
      <c r="Q41" s="170">
        <v>0</v>
      </c>
      <c r="R41" s="606">
        <v>46022</v>
      </c>
    </row>
    <row r="42" spans="1:18" ht="15.75" hidden="1" x14ac:dyDescent="0.25">
      <c r="A42" s="600" t="s">
        <v>1550</v>
      </c>
      <c r="B42" s="603">
        <v>46053</v>
      </c>
      <c r="C42" s="600" t="s">
        <v>1261</v>
      </c>
      <c r="D42" s="173">
        <v>1618042.5</v>
      </c>
      <c r="E42" s="600" t="s">
        <v>95</v>
      </c>
      <c r="F42" s="600" t="s">
        <v>96</v>
      </c>
      <c r="G42" s="600" t="s">
        <v>27</v>
      </c>
      <c r="H42" s="600" t="s">
        <v>72</v>
      </c>
      <c r="I42" s="600" t="s">
        <v>483</v>
      </c>
      <c r="J42" s="600">
        <v>1020096</v>
      </c>
      <c r="K42" s="600" t="s">
        <v>26</v>
      </c>
      <c r="L42" s="170">
        <v>17434337.5</v>
      </c>
      <c r="M42" s="170">
        <v>1</v>
      </c>
      <c r="N42" s="170">
        <v>15816295</v>
      </c>
      <c r="O42" s="170">
        <v>1618042.5</v>
      </c>
      <c r="P42" s="170">
        <v>0</v>
      </c>
      <c r="Q42" s="170">
        <v>0</v>
      </c>
      <c r="R42" s="606">
        <v>46022</v>
      </c>
    </row>
    <row r="43" spans="1:18" ht="15.75" hidden="1" x14ac:dyDescent="0.25">
      <c r="A43" s="600" t="s">
        <v>1811</v>
      </c>
      <c r="B43" s="603">
        <v>46053</v>
      </c>
      <c r="C43" s="600" t="s">
        <v>1786</v>
      </c>
      <c r="D43" s="173">
        <v>68490.09</v>
      </c>
      <c r="E43" s="600" t="s">
        <v>366</v>
      </c>
      <c r="F43" s="600" t="s">
        <v>710</v>
      </c>
      <c r="G43" s="600" t="s">
        <v>27</v>
      </c>
      <c r="H43" s="600" t="s">
        <v>1791</v>
      </c>
      <c r="I43" s="600" t="s">
        <v>81</v>
      </c>
      <c r="J43" s="600">
        <v>1020070</v>
      </c>
      <c r="K43" s="600" t="s">
        <v>26</v>
      </c>
      <c r="L43" s="170">
        <v>5193136.82</v>
      </c>
      <c r="M43" s="170">
        <v>1</v>
      </c>
      <c r="N43" s="170">
        <v>5124646.7300000004</v>
      </c>
      <c r="O43" s="170">
        <v>68490.09</v>
      </c>
      <c r="P43" s="170">
        <v>0</v>
      </c>
      <c r="Q43" s="170">
        <v>0</v>
      </c>
      <c r="R43" s="606">
        <v>46022</v>
      </c>
    </row>
    <row r="44" spans="1:18" ht="15.75" hidden="1" x14ac:dyDescent="0.25">
      <c r="A44" s="600" t="s">
        <v>1431</v>
      </c>
      <c r="B44" s="603">
        <v>46053</v>
      </c>
      <c r="C44" s="600" t="s">
        <v>1377</v>
      </c>
      <c r="D44" s="173">
        <v>32470.799999999999</v>
      </c>
      <c r="E44" s="600" t="s">
        <v>366</v>
      </c>
      <c r="F44" s="600" t="s">
        <v>710</v>
      </c>
      <c r="G44" s="600" t="s">
        <v>27</v>
      </c>
      <c r="H44" s="600" t="s">
        <v>24</v>
      </c>
      <c r="I44" s="600" t="s">
        <v>710</v>
      </c>
      <c r="J44" s="600">
        <v>1020088</v>
      </c>
      <c r="K44" s="600" t="s">
        <v>26</v>
      </c>
      <c r="L44" s="170">
        <v>700000</v>
      </c>
      <c r="M44" s="170">
        <v>1</v>
      </c>
      <c r="N44" s="170">
        <v>667529.19999999995</v>
      </c>
      <c r="O44" s="170">
        <v>32470.799999999999</v>
      </c>
      <c r="P44" s="170">
        <v>0</v>
      </c>
      <c r="Q44" s="170">
        <v>0</v>
      </c>
      <c r="R44" s="606">
        <v>46022</v>
      </c>
    </row>
    <row r="45" spans="1:18" ht="15.75" hidden="1" x14ac:dyDescent="0.25">
      <c r="A45" s="600" t="s">
        <v>1670</v>
      </c>
      <c r="B45" s="603">
        <v>46053</v>
      </c>
      <c r="C45" s="600" t="s">
        <v>1627</v>
      </c>
      <c r="D45" s="173">
        <v>0.03</v>
      </c>
      <c r="E45" s="600" t="s">
        <v>366</v>
      </c>
      <c r="F45" s="600" t="s">
        <v>367</v>
      </c>
      <c r="G45" s="600" t="s">
        <v>27</v>
      </c>
      <c r="H45" s="600" t="s">
        <v>24</v>
      </c>
      <c r="I45" s="600" t="s">
        <v>367</v>
      </c>
      <c r="J45" s="600">
        <v>1020091</v>
      </c>
      <c r="K45" s="600" t="s">
        <v>26</v>
      </c>
      <c r="L45" s="170">
        <v>500000</v>
      </c>
      <c r="M45" s="170">
        <v>1</v>
      </c>
      <c r="N45" s="170">
        <v>499999.97</v>
      </c>
      <c r="O45" s="170">
        <v>0.03</v>
      </c>
      <c r="P45" s="170">
        <v>0</v>
      </c>
      <c r="Q45" s="170">
        <v>0</v>
      </c>
      <c r="R45" s="606">
        <v>46022</v>
      </c>
    </row>
    <row r="46" spans="1:18" ht="15.75" hidden="1" x14ac:dyDescent="0.25">
      <c r="A46" s="600" t="s">
        <v>1897</v>
      </c>
      <c r="B46" s="603">
        <v>46053</v>
      </c>
      <c r="C46" s="600" t="s">
        <v>1840</v>
      </c>
      <c r="D46" s="173">
        <v>49.08</v>
      </c>
      <c r="E46" s="600" t="s">
        <v>366</v>
      </c>
      <c r="F46" s="600" t="s">
        <v>710</v>
      </c>
      <c r="G46" s="600" t="s">
        <v>27</v>
      </c>
      <c r="H46" s="600" t="s">
        <v>24</v>
      </c>
      <c r="I46" s="600" t="s">
        <v>710</v>
      </c>
      <c r="J46" s="600">
        <v>1020088</v>
      </c>
      <c r="K46" s="600" t="s">
        <v>26</v>
      </c>
      <c r="L46" s="170">
        <v>300000</v>
      </c>
      <c r="M46" s="170">
        <v>1</v>
      </c>
      <c r="N46" s="170">
        <v>299950.92</v>
      </c>
      <c r="O46" s="170">
        <v>49.08</v>
      </c>
      <c r="P46" s="170">
        <v>0</v>
      </c>
      <c r="Q46" s="170">
        <v>0</v>
      </c>
      <c r="R46" s="606">
        <v>46022</v>
      </c>
    </row>
    <row r="47" spans="1:18" ht="15.75" hidden="1" x14ac:dyDescent="0.25">
      <c r="A47" s="600" t="s">
        <v>1273</v>
      </c>
      <c r="B47" s="603">
        <v>46053</v>
      </c>
      <c r="C47" s="600" t="s">
        <v>1249</v>
      </c>
      <c r="D47" s="173">
        <v>21522.68</v>
      </c>
      <c r="E47" s="600" t="s">
        <v>373</v>
      </c>
      <c r="F47" s="600" t="s">
        <v>70</v>
      </c>
      <c r="G47" s="600" t="s">
        <v>70</v>
      </c>
      <c r="H47" s="600" t="s">
        <v>24</v>
      </c>
      <c r="I47" s="600" t="s">
        <v>407</v>
      </c>
      <c r="J47" s="600">
        <v>1020100</v>
      </c>
      <c r="K47" s="600" t="s">
        <v>26</v>
      </c>
      <c r="L47" s="170">
        <v>275000</v>
      </c>
      <c r="M47" s="170">
        <v>1</v>
      </c>
      <c r="N47" s="170">
        <v>253477.32</v>
      </c>
      <c r="O47" s="170">
        <v>21522.68</v>
      </c>
      <c r="P47" s="170">
        <v>0</v>
      </c>
      <c r="Q47" s="170">
        <v>0</v>
      </c>
      <c r="R47" s="606">
        <v>46022</v>
      </c>
    </row>
    <row r="48" spans="1:18" ht="15.75" hidden="1" x14ac:dyDescent="0.25">
      <c r="A48" s="600" t="s">
        <v>1551</v>
      </c>
      <c r="B48" s="603">
        <v>46053</v>
      </c>
      <c r="C48" s="600" t="s">
        <v>3623</v>
      </c>
      <c r="D48" s="173">
        <v>667243.80000000005</v>
      </c>
      <c r="E48" s="600" t="s">
        <v>21</v>
      </c>
      <c r="F48" s="600" t="s">
        <v>22</v>
      </c>
      <c r="G48" s="600" t="s">
        <v>27</v>
      </c>
      <c r="H48" s="600" t="s">
        <v>1791</v>
      </c>
      <c r="I48" s="600" t="s">
        <v>22</v>
      </c>
      <c r="J48" s="600">
        <v>1020055</v>
      </c>
      <c r="K48" s="600" t="s">
        <v>67</v>
      </c>
      <c r="L48" s="170">
        <v>240542.66</v>
      </c>
      <c r="M48" s="170">
        <v>4.3594999999999997</v>
      </c>
      <c r="N48" s="170">
        <v>381401.93062999996</v>
      </c>
      <c r="O48" s="170">
        <v>667243.80000000005</v>
      </c>
      <c r="P48" s="170">
        <v>0</v>
      </c>
      <c r="Q48" s="170">
        <v>0</v>
      </c>
      <c r="R48" s="606">
        <v>46022</v>
      </c>
    </row>
    <row r="49" spans="1:18" ht="15.75" hidden="1" x14ac:dyDescent="0.25">
      <c r="A49" s="600" t="s">
        <v>1451</v>
      </c>
      <c r="B49" s="603">
        <v>46047</v>
      </c>
      <c r="C49" s="600" t="s">
        <v>89</v>
      </c>
      <c r="D49" s="173">
        <v>1287476.92</v>
      </c>
      <c r="E49" s="600" t="s">
        <v>95</v>
      </c>
      <c r="F49" s="600" t="s">
        <v>96</v>
      </c>
      <c r="G49" s="600" t="s">
        <v>27</v>
      </c>
      <c r="H49" s="600" t="s">
        <v>80</v>
      </c>
      <c r="I49" s="600" t="s">
        <v>90</v>
      </c>
      <c r="J49" s="600">
        <v>1020001</v>
      </c>
      <c r="K49" s="600" t="s">
        <v>26</v>
      </c>
      <c r="L49" s="170">
        <v>8632232.3800000008</v>
      </c>
      <c r="M49" s="170">
        <v>1</v>
      </c>
      <c r="N49" s="170">
        <v>7344755.46</v>
      </c>
      <c r="O49" s="170">
        <v>1287476.92</v>
      </c>
      <c r="P49" s="170">
        <v>0</v>
      </c>
      <c r="Q49" s="170">
        <v>0</v>
      </c>
      <c r="R49" s="606">
        <v>46016</v>
      </c>
    </row>
    <row r="50" spans="1:18" ht="15.75" hidden="1" x14ac:dyDescent="0.25">
      <c r="A50" s="600" t="s">
        <v>1368</v>
      </c>
      <c r="B50" s="603">
        <v>46043</v>
      </c>
      <c r="C50" s="600" t="s">
        <v>535</v>
      </c>
      <c r="D50" s="173">
        <v>5644762.9800000004</v>
      </c>
      <c r="E50" s="600" t="s">
        <v>21</v>
      </c>
      <c r="F50" s="600" t="s">
        <v>22</v>
      </c>
      <c r="G50" s="600" t="s">
        <v>27</v>
      </c>
      <c r="H50" s="600" t="s">
        <v>1791</v>
      </c>
      <c r="I50" s="600" t="s">
        <v>22</v>
      </c>
      <c r="J50" s="600">
        <v>1020055</v>
      </c>
      <c r="K50" s="600" t="s">
        <v>31</v>
      </c>
      <c r="L50" s="170">
        <v>1198730.71</v>
      </c>
      <c r="M50" s="170">
        <v>4.7089499999999997</v>
      </c>
      <c r="N50" s="170">
        <v>0</v>
      </c>
      <c r="O50" s="170">
        <v>5644762.9800000004</v>
      </c>
      <c r="P50" s="170">
        <v>0</v>
      </c>
      <c r="Q50" s="170">
        <v>0</v>
      </c>
      <c r="R50" s="606">
        <v>46012</v>
      </c>
    </row>
    <row r="51" spans="1:18" ht="15.75" hidden="1" x14ac:dyDescent="0.25">
      <c r="A51" s="600" t="s">
        <v>1770</v>
      </c>
      <c r="B51" s="603">
        <v>46022</v>
      </c>
      <c r="C51" s="600" t="s">
        <v>1570</v>
      </c>
      <c r="D51" s="173">
        <v>300000</v>
      </c>
      <c r="E51" s="600" t="s">
        <v>366</v>
      </c>
      <c r="F51" s="600" t="s">
        <v>710</v>
      </c>
      <c r="G51" s="600" t="s">
        <v>27</v>
      </c>
      <c r="H51" s="600" t="s">
        <v>24</v>
      </c>
      <c r="I51" s="600" t="s">
        <v>710</v>
      </c>
      <c r="J51" s="600">
        <v>1020088</v>
      </c>
      <c r="K51" s="600" t="s">
        <v>26</v>
      </c>
      <c r="L51" s="170">
        <v>300000</v>
      </c>
      <c r="M51" s="170">
        <v>1</v>
      </c>
      <c r="N51" s="170">
        <v>0</v>
      </c>
      <c r="O51" s="170">
        <v>300000</v>
      </c>
      <c r="P51" s="170">
        <v>0</v>
      </c>
      <c r="Q51" s="170">
        <v>0</v>
      </c>
      <c r="R51" s="606">
        <v>45991</v>
      </c>
    </row>
    <row r="52" spans="1:18" ht="15.75" x14ac:dyDescent="0.25">
      <c r="A52" s="600" t="s">
        <v>2624</v>
      </c>
      <c r="B52" s="603">
        <v>46022</v>
      </c>
      <c r="C52" s="600" t="s">
        <v>1805</v>
      </c>
      <c r="D52" s="173">
        <v>333060.53999999998</v>
      </c>
      <c r="E52" s="600" t="s">
        <v>62</v>
      </c>
      <c r="F52" s="600" t="s">
        <v>70</v>
      </c>
      <c r="G52" s="600" t="s">
        <v>70</v>
      </c>
      <c r="H52" s="600" t="s">
        <v>24</v>
      </c>
      <c r="I52" s="600" t="s">
        <v>483</v>
      </c>
      <c r="J52" s="600">
        <v>1020096</v>
      </c>
      <c r="K52" s="600" t="s">
        <v>26</v>
      </c>
      <c r="L52" s="170">
        <v>333060.53999999998</v>
      </c>
      <c r="M52" s="170">
        <v>1</v>
      </c>
      <c r="N52" s="170">
        <v>0</v>
      </c>
      <c r="O52" s="170">
        <v>333060.53999999998</v>
      </c>
      <c r="P52" s="170">
        <v>0</v>
      </c>
      <c r="Q52" s="170">
        <v>0</v>
      </c>
      <c r="R52" s="606">
        <v>45991</v>
      </c>
    </row>
    <row r="53" spans="1:18" ht="15.75" hidden="1" x14ac:dyDescent="0.25">
      <c r="A53" s="600" t="s">
        <v>1251</v>
      </c>
      <c r="B53" s="603">
        <v>46022</v>
      </c>
      <c r="C53" s="600" t="s">
        <v>1200</v>
      </c>
      <c r="D53" s="173">
        <v>37256.050000000003</v>
      </c>
      <c r="E53" s="600" t="s">
        <v>95</v>
      </c>
      <c r="F53" s="600" t="s">
        <v>96</v>
      </c>
      <c r="G53" s="600" t="s">
        <v>27</v>
      </c>
      <c r="H53" s="600" t="s">
        <v>72</v>
      </c>
      <c r="I53" s="600" t="s">
        <v>511</v>
      </c>
      <c r="J53" s="600">
        <v>1020107</v>
      </c>
      <c r="K53" s="600" t="s">
        <v>26</v>
      </c>
      <c r="L53" s="170">
        <v>3000000</v>
      </c>
      <c r="M53" s="170">
        <v>1</v>
      </c>
      <c r="N53" s="170">
        <v>2962743.95</v>
      </c>
      <c r="O53" s="170">
        <v>37256.050000000003</v>
      </c>
      <c r="P53" s="170">
        <v>0</v>
      </c>
      <c r="Q53" s="170">
        <v>0</v>
      </c>
      <c r="R53" s="606">
        <v>45991</v>
      </c>
    </row>
    <row r="54" spans="1:18" ht="15.75" hidden="1" x14ac:dyDescent="0.25">
      <c r="A54" s="600" t="s">
        <v>1813</v>
      </c>
      <c r="B54" s="603">
        <v>46022</v>
      </c>
      <c r="C54" s="600" t="s">
        <v>1782</v>
      </c>
      <c r="D54" s="173">
        <v>817725</v>
      </c>
      <c r="E54" s="600" t="s">
        <v>366</v>
      </c>
      <c r="F54" s="600" t="s">
        <v>710</v>
      </c>
      <c r="G54" s="600" t="s">
        <v>27</v>
      </c>
      <c r="H54" s="600" t="s">
        <v>1791</v>
      </c>
      <c r="I54" s="600" t="s">
        <v>81</v>
      </c>
      <c r="J54" s="600">
        <v>1020070</v>
      </c>
      <c r="K54" s="600" t="s">
        <v>26</v>
      </c>
      <c r="L54" s="170">
        <v>817725</v>
      </c>
      <c r="M54" s="170">
        <v>1</v>
      </c>
      <c r="N54" s="170">
        <v>0</v>
      </c>
      <c r="O54" s="170">
        <v>817725</v>
      </c>
      <c r="P54" s="170">
        <v>0</v>
      </c>
      <c r="Q54" s="170">
        <v>0</v>
      </c>
      <c r="R54" s="606">
        <v>45991</v>
      </c>
    </row>
    <row r="55" spans="1:18" ht="15.75" x14ac:dyDescent="0.25">
      <c r="A55" s="600" t="s">
        <v>1927</v>
      </c>
      <c r="B55" s="603">
        <v>46022</v>
      </c>
      <c r="C55" s="600" t="s">
        <v>1805</v>
      </c>
      <c r="D55" s="173">
        <v>66939.460000000006</v>
      </c>
      <c r="E55" s="600" t="s">
        <v>62</v>
      </c>
      <c r="F55" s="600" t="s">
        <v>483</v>
      </c>
      <c r="G55" s="600" t="s">
        <v>27</v>
      </c>
      <c r="H55" s="600" t="s">
        <v>24</v>
      </c>
      <c r="I55" s="600" t="s">
        <v>483</v>
      </c>
      <c r="J55" s="600">
        <v>1020096</v>
      </c>
      <c r="K55" s="600" t="s">
        <v>26</v>
      </c>
      <c r="L55" s="170">
        <v>66939.460000000021</v>
      </c>
      <c r="M55" s="170">
        <v>1</v>
      </c>
      <c r="N55" s="170">
        <v>0</v>
      </c>
      <c r="O55" s="170">
        <v>66939.460000000006</v>
      </c>
      <c r="P55" s="170">
        <v>0</v>
      </c>
      <c r="Q55" s="170">
        <v>0</v>
      </c>
      <c r="R55" s="606">
        <v>45991</v>
      </c>
    </row>
    <row r="56" spans="1:18" ht="15.75" hidden="1" x14ac:dyDescent="0.25">
      <c r="A56" s="600" t="s">
        <v>1851</v>
      </c>
      <c r="B56" s="603">
        <v>46007</v>
      </c>
      <c r="C56" s="600" t="s">
        <v>1826</v>
      </c>
      <c r="D56" s="173">
        <v>1020001.05</v>
      </c>
      <c r="E56" s="600" t="s">
        <v>366</v>
      </c>
      <c r="F56" s="600" t="s">
        <v>367</v>
      </c>
      <c r="G56" s="600" t="s">
        <v>27</v>
      </c>
      <c r="H56" s="600" t="s">
        <v>3220</v>
      </c>
      <c r="I56" s="600" t="s">
        <v>367</v>
      </c>
      <c r="J56" s="600">
        <v>1020091</v>
      </c>
      <c r="K56" s="600" t="s">
        <v>26</v>
      </c>
      <c r="L56" s="170">
        <v>3000000</v>
      </c>
      <c r="M56" s="170">
        <v>1</v>
      </c>
      <c r="N56" s="170">
        <v>1979998.95</v>
      </c>
      <c r="O56" s="170">
        <v>1020001.05</v>
      </c>
      <c r="P56" s="170">
        <v>0</v>
      </c>
      <c r="Q56" s="170">
        <v>0</v>
      </c>
      <c r="R56" s="606">
        <v>45976</v>
      </c>
    </row>
    <row r="57" spans="1:18" ht="15.75" hidden="1" x14ac:dyDescent="0.25">
      <c r="A57" s="600" t="s">
        <v>1486</v>
      </c>
      <c r="B57" s="603">
        <v>46007</v>
      </c>
      <c r="C57" s="600" t="s">
        <v>1478</v>
      </c>
      <c r="D57" s="173">
        <v>575000</v>
      </c>
      <c r="E57" s="600" t="s">
        <v>366</v>
      </c>
      <c r="F57" s="600" t="s">
        <v>367</v>
      </c>
      <c r="G57" s="600" t="s">
        <v>27</v>
      </c>
      <c r="H57" s="600" t="s">
        <v>3220</v>
      </c>
      <c r="I57" s="600" t="s">
        <v>367</v>
      </c>
      <c r="J57" s="600">
        <v>1020091</v>
      </c>
      <c r="K57" s="600" t="s">
        <v>26</v>
      </c>
      <c r="L57" s="170">
        <v>1150000</v>
      </c>
      <c r="M57" s="170">
        <v>1</v>
      </c>
      <c r="N57" s="170">
        <v>575000</v>
      </c>
      <c r="O57" s="170">
        <v>575000</v>
      </c>
      <c r="P57" s="170">
        <v>0</v>
      </c>
      <c r="Q57" s="170">
        <v>0</v>
      </c>
      <c r="R57" s="606">
        <v>45976</v>
      </c>
    </row>
    <row r="58" spans="1:18" ht="15.75" hidden="1" x14ac:dyDescent="0.25">
      <c r="A58" s="600" t="s">
        <v>1443</v>
      </c>
      <c r="B58" s="603">
        <v>45992</v>
      </c>
      <c r="C58" s="600" t="s">
        <v>449</v>
      </c>
      <c r="D58" s="173">
        <v>119.22</v>
      </c>
      <c r="E58" s="600" t="s">
        <v>366</v>
      </c>
      <c r="F58" s="600" t="s">
        <v>710</v>
      </c>
      <c r="G58" s="600" t="s">
        <v>27</v>
      </c>
      <c r="H58" s="600" t="s">
        <v>24</v>
      </c>
      <c r="I58" s="600" t="s">
        <v>710</v>
      </c>
      <c r="J58" s="600">
        <v>1020088</v>
      </c>
      <c r="K58" s="600" t="s">
        <v>26</v>
      </c>
      <c r="L58" s="170">
        <v>875313.5</v>
      </c>
      <c r="M58" s="170">
        <v>1</v>
      </c>
      <c r="N58" s="170">
        <v>875194.28</v>
      </c>
      <c r="O58" s="170">
        <v>119.22</v>
      </c>
      <c r="P58" s="170">
        <v>0</v>
      </c>
      <c r="Q58" s="170">
        <v>0</v>
      </c>
      <c r="R58" s="606">
        <v>45961</v>
      </c>
    </row>
    <row r="59" spans="1:18" ht="15.75" hidden="1" x14ac:dyDescent="0.25">
      <c r="A59" s="600" t="s">
        <v>1193</v>
      </c>
      <c r="B59" s="603">
        <v>45992</v>
      </c>
      <c r="C59" s="600" t="s">
        <v>774</v>
      </c>
      <c r="D59" s="173">
        <v>19111.64</v>
      </c>
      <c r="E59" s="600" t="s">
        <v>21</v>
      </c>
      <c r="F59" s="600" t="s">
        <v>22</v>
      </c>
      <c r="G59" s="600" t="s">
        <v>27</v>
      </c>
      <c r="H59" s="600" t="s">
        <v>24</v>
      </c>
      <c r="I59" s="600" t="s">
        <v>407</v>
      </c>
      <c r="J59" s="600">
        <v>1020100</v>
      </c>
      <c r="K59" s="600" t="s">
        <v>26</v>
      </c>
      <c r="L59" s="170">
        <v>780158</v>
      </c>
      <c r="M59" s="170">
        <v>1</v>
      </c>
      <c r="N59" s="170">
        <v>761046.3600000001</v>
      </c>
      <c r="O59" s="170">
        <v>19111.64</v>
      </c>
      <c r="P59" s="170">
        <v>0</v>
      </c>
      <c r="Q59" s="170">
        <v>0</v>
      </c>
      <c r="R59" s="606">
        <v>45961</v>
      </c>
    </row>
    <row r="60" spans="1:18" ht="15.75" hidden="1" x14ac:dyDescent="0.25">
      <c r="A60" s="600" t="s">
        <v>1444</v>
      </c>
      <c r="B60" s="603">
        <v>45992</v>
      </c>
      <c r="C60" s="600" t="s">
        <v>1383</v>
      </c>
      <c r="D60" s="173">
        <v>12.35</v>
      </c>
      <c r="E60" s="600" t="s">
        <v>366</v>
      </c>
      <c r="F60" s="600" t="s">
        <v>710</v>
      </c>
      <c r="G60" s="600" t="s">
        <v>27</v>
      </c>
      <c r="H60" s="600" t="s">
        <v>24</v>
      </c>
      <c r="I60" s="600" t="s">
        <v>710</v>
      </c>
      <c r="J60" s="600">
        <v>1020088</v>
      </c>
      <c r="K60" s="600" t="s">
        <v>26</v>
      </c>
      <c r="L60" s="170">
        <v>400000</v>
      </c>
      <c r="M60" s="170">
        <v>1</v>
      </c>
      <c r="N60" s="170">
        <v>399987.65</v>
      </c>
      <c r="O60" s="170">
        <v>12.35</v>
      </c>
      <c r="P60" s="170">
        <v>0</v>
      </c>
      <c r="Q60" s="170">
        <v>0</v>
      </c>
      <c r="R60" s="606">
        <v>45961</v>
      </c>
    </row>
    <row r="61" spans="1:18" ht="15.75" hidden="1" x14ac:dyDescent="0.25">
      <c r="A61" s="600" t="s">
        <v>1490</v>
      </c>
      <c r="B61" s="603">
        <v>45992</v>
      </c>
      <c r="C61" s="600" t="s">
        <v>1373</v>
      </c>
      <c r="D61" s="173">
        <v>400000</v>
      </c>
      <c r="E61" s="600" t="s">
        <v>21</v>
      </c>
      <c r="F61" s="600" t="s">
        <v>22</v>
      </c>
      <c r="G61" s="600" t="s">
        <v>27</v>
      </c>
      <c r="H61" s="600" t="s">
        <v>24</v>
      </c>
      <c r="I61" s="600" t="s">
        <v>407</v>
      </c>
      <c r="J61" s="600">
        <v>1020100</v>
      </c>
      <c r="K61" s="600" t="s">
        <v>26</v>
      </c>
      <c r="L61" s="170">
        <v>400000</v>
      </c>
      <c r="M61" s="170">
        <v>1</v>
      </c>
      <c r="N61" s="170">
        <v>0</v>
      </c>
      <c r="O61" s="170">
        <v>400000</v>
      </c>
      <c r="P61" s="170">
        <v>0</v>
      </c>
      <c r="Q61" s="170">
        <v>0</v>
      </c>
      <c r="R61" s="606">
        <v>45961</v>
      </c>
    </row>
    <row r="62" spans="1:18" ht="15.75" hidden="1" x14ac:dyDescent="0.25">
      <c r="A62" s="600" t="s">
        <v>1675</v>
      </c>
      <c r="B62" s="603">
        <v>45992</v>
      </c>
      <c r="C62" s="600" t="s">
        <v>1612</v>
      </c>
      <c r="D62" s="173">
        <v>11490.62</v>
      </c>
      <c r="E62" s="600" t="s">
        <v>366</v>
      </c>
      <c r="F62" s="600" t="s">
        <v>367</v>
      </c>
      <c r="G62" s="600" t="s">
        <v>27</v>
      </c>
      <c r="H62" s="600" t="s">
        <v>24</v>
      </c>
      <c r="I62" s="600" t="s">
        <v>367</v>
      </c>
      <c r="J62" s="600">
        <v>1020091</v>
      </c>
      <c r="K62" s="600" t="s">
        <v>26</v>
      </c>
      <c r="L62" s="170">
        <v>863207.81</v>
      </c>
      <c r="M62" s="170">
        <v>1</v>
      </c>
      <c r="N62" s="170">
        <v>851717.19</v>
      </c>
      <c r="O62" s="170">
        <v>11490.62</v>
      </c>
      <c r="P62" s="170">
        <v>0</v>
      </c>
      <c r="Q62" s="170">
        <v>0</v>
      </c>
      <c r="R62" s="606">
        <v>45961</v>
      </c>
    </row>
    <row r="63" spans="1:18" ht="15.75" hidden="1" x14ac:dyDescent="0.25">
      <c r="A63" s="600" t="s">
        <v>1339</v>
      </c>
      <c r="B63" s="603">
        <v>45992</v>
      </c>
      <c r="C63" s="600" t="s">
        <v>349</v>
      </c>
      <c r="D63" s="173">
        <v>6246.6</v>
      </c>
      <c r="E63" s="600" t="s">
        <v>21</v>
      </c>
      <c r="F63" s="600" t="s">
        <v>22</v>
      </c>
      <c r="G63" s="600" t="s">
        <v>27</v>
      </c>
      <c r="H63" s="600" t="s">
        <v>24</v>
      </c>
      <c r="I63" s="600" t="s">
        <v>22</v>
      </c>
      <c r="J63" s="600">
        <v>1020055</v>
      </c>
      <c r="K63" s="600" t="s">
        <v>26</v>
      </c>
      <c r="L63" s="170">
        <v>302213.12</v>
      </c>
      <c r="M63" s="170">
        <v>1</v>
      </c>
      <c r="N63" s="170">
        <v>295966.52</v>
      </c>
      <c r="O63" s="170">
        <v>6246.6</v>
      </c>
      <c r="P63" s="170">
        <v>0</v>
      </c>
      <c r="Q63" s="170">
        <v>0</v>
      </c>
      <c r="R63" s="606">
        <v>45961</v>
      </c>
    </row>
    <row r="64" spans="1:18" ht="15.75" hidden="1" x14ac:dyDescent="0.25">
      <c r="A64" s="600" t="s">
        <v>1423</v>
      </c>
      <c r="B64" s="603">
        <v>45992</v>
      </c>
      <c r="C64" s="600" t="s">
        <v>1327</v>
      </c>
      <c r="D64" s="173">
        <v>-0.01</v>
      </c>
      <c r="E64" s="600" t="s">
        <v>95</v>
      </c>
      <c r="F64" s="600" t="s">
        <v>96</v>
      </c>
      <c r="G64" s="600" t="s">
        <v>27</v>
      </c>
      <c r="H64" s="600" t="s">
        <v>24</v>
      </c>
      <c r="I64" s="600" t="s">
        <v>22</v>
      </c>
      <c r="J64" s="600">
        <v>1020055</v>
      </c>
      <c r="K64" s="600" t="s">
        <v>26</v>
      </c>
      <c r="L64" s="170">
        <v>547153.36</v>
      </c>
      <c r="M64" s="170">
        <v>1</v>
      </c>
      <c r="N64" s="170">
        <v>547153.37</v>
      </c>
      <c r="O64" s="170">
        <v>-0.01</v>
      </c>
      <c r="P64" s="170">
        <v>0</v>
      </c>
      <c r="Q64" s="170">
        <v>0</v>
      </c>
      <c r="R64" s="606">
        <v>45961</v>
      </c>
    </row>
    <row r="65" spans="1:18" ht="15.75" hidden="1" x14ac:dyDescent="0.25">
      <c r="A65" s="600" t="s">
        <v>1617</v>
      </c>
      <c r="B65" s="603">
        <v>45992</v>
      </c>
      <c r="C65" s="600" t="s">
        <v>1571</v>
      </c>
      <c r="D65" s="173">
        <v>15298.56</v>
      </c>
      <c r="E65" s="600" t="s">
        <v>95</v>
      </c>
      <c r="F65" s="600" t="s">
        <v>96</v>
      </c>
      <c r="G65" s="600" t="s">
        <v>27</v>
      </c>
      <c r="H65" s="600" t="s">
        <v>24</v>
      </c>
      <c r="I65" s="600" t="s">
        <v>407</v>
      </c>
      <c r="J65" s="600">
        <v>1020100</v>
      </c>
      <c r="K65" s="600" t="s">
        <v>26</v>
      </c>
      <c r="L65" s="170">
        <v>200000</v>
      </c>
      <c r="M65" s="170">
        <v>1</v>
      </c>
      <c r="N65" s="170">
        <v>184701.44</v>
      </c>
      <c r="O65" s="170">
        <v>15298.56</v>
      </c>
      <c r="P65" s="170">
        <v>0</v>
      </c>
      <c r="Q65" s="170">
        <v>0</v>
      </c>
      <c r="R65" s="606">
        <v>45961</v>
      </c>
    </row>
    <row r="66" spans="1:18" ht="15.75" hidden="1" x14ac:dyDescent="0.25">
      <c r="A66" s="600" t="s">
        <v>1674</v>
      </c>
      <c r="B66" s="603">
        <v>45992</v>
      </c>
      <c r="C66" s="600" t="s">
        <v>1653</v>
      </c>
      <c r="D66" s="173">
        <v>4824.6499999999996</v>
      </c>
      <c r="E66" s="600" t="s">
        <v>366</v>
      </c>
      <c r="F66" s="600" t="s">
        <v>367</v>
      </c>
      <c r="G66" s="600" t="s">
        <v>27</v>
      </c>
      <c r="H66" s="600" t="s">
        <v>24</v>
      </c>
      <c r="I66" s="600" t="s">
        <v>367</v>
      </c>
      <c r="J66" s="600">
        <v>1020091</v>
      </c>
      <c r="K66" s="600" t="s">
        <v>26</v>
      </c>
      <c r="L66" s="170">
        <v>1400000</v>
      </c>
      <c r="M66" s="170">
        <v>1</v>
      </c>
      <c r="N66" s="170">
        <v>1395175.35</v>
      </c>
      <c r="O66" s="170">
        <v>4824.6499999999996</v>
      </c>
      <c r="P66" s="170">
        <v>0</v>
      </c>
      <c r="Q66" s="170">
        <v>0</v>
      </c>
      <c r="R66" s="606">
        <v>45961</v>
      </c>
    </row>
    <row r="67" spans="1:18" ht="15.75" hidden="1" x14ac:dyDescent="0.25">
      <c r="A67" s="600" t="s">
        <v>698</v>
      </c>
      <c r="B67" s="603">
        <v>45992</v>
      </c>
      <c r="C67" s="600" t="s">
        <v>699</v>
      </c>
      <c r="D67" s="173">
        <v>43709.41</v>
      </c>
      <c r="E67" s="600" t="s">
        <v>612</v>
      </c>
      <c r="F67" s="600" t="s">
        <v>613</v>
      </c>
      <c r="G67" s="600" t="s">
        <v>27</v>
      </c>
      <c r="H67" s="600" t="s">
        <v>24</v>
      </c>
      <c r="I67" s="600" t="s">
        <v>613</v>
      </c>
      <c r="J67" s="600">
        <v>1020106</v>
      </c>
      <c r="K67" s="600" t="s">
        <v>26</v>
      </c>
      <c r="L67" s="170">
        <v>666690.68999999994</v>
      </c>
      <c r="M67" s="170">
        <v>1</v>
      </c>
      <c r="N67" s="170">
        <v>622981.28</v>
      </c>
      <c r="O67" s="170">
        <v>43709.41</v>
      </c>
      <c r="P67" s="170">
        <v>0</v>
      </c>
      <c r="Q67" s="170">
        <v>0</v>
      </c>
      <c r="R67" s="606">
        <v>45961</v>
      </c>
    </row>
    <row r="68" spans="1:18" ht="15.75" hidden="1" x14ac:dyDescent="0.25">
      <c r="A68" s="600" t="s">
        <v>1395</v>
      </c>
      <c r="B68" s="603">
        <v>45992</v>
      </c>
      <c r="C68" s="600" t="s">
        <v>1392</v>
      </c>
      <c r="D68" s="173">
        <v>0.01</v>
      </c>
      <c r="E68" s="600" t="s">
        <v>612</v>
      </c>
      <c r="F68" s="600" t="s">
        <v>613</v>
      </c>
      <c r="G68" s="600" t="s">
        <v>27</v>
      </c>
      <c r="H68" s="600" t="s">
        <v>24</v>
      </c>
      <c r="I68" s="600" t="s">
        <v>613</v>
      </c>
      <c r="J68" s="600">
        <v>1020106</v>
      </c>
      <c r="K68" s="600" t="s">
        <v>26</v>
      </c>
      <c r="L68" s="170">
        <v>618700.01</v>
      </c>
      <c r="M68" s="170">
        <v>1</v>
      </c>
      <c r="N68" s="170">
        <v>618700</v>
      </c>
      <c r="O68" s="170">
        <v>0.01</v>
      </c>
      <c r="P68" s="170">
        <v>0</v>
      </c>
      <c r="Q68" s="170">
        <v>0</v>
      </c>
      <c r="R68" s="606">
        <v>45961</v>
      </c>
    </row>
    <row r="69" spans="1:18" ht="15.75" hidden="1" x14ac:dyDescent="0.25">
      <c r="A69" s="600" t="s">
        <v>1650</v>
      </c>
      <c r="B69" s="603">
        <v>45992</v>
      </c>
      <c r="C69" s="600" t="s">
        <v>1631</v>
      </c>
      <c r="D69" s="173">
        <v>5658</v>
      </c>
      <c r="E69" s="600" t="s">
        <v>366</v>
      </c>
      <c r="F69" s="600" t="s">
        <v>367</v>
      </c>
      <c r="G69" s="600" t="s">
        <v>27</v>
      </c>
      <c r="H69" s="600" t="s">
        <v>24</v>
      </c>
      <c r="I69" s="600" t="s">
        <v>367</v>
      </c>
      <c r="J69" s="600">
        <v>1020091</v>
      </c>
      <c r="K69" s="600" t="s">
        <v>26</v>
      </c>
      <c r="L69" s="170">
        <v>2000000</v>
      </c>
      <c r="M69" s="170">
        <v>1</v>
      </c>
      <c r="N69" s="170">
        <v>1994342</v>
      </c>
      <c r="O69" s="170">
        <v>5658</v>
      </c>
      <c r="P69" s="170">
        <v>0</v>
      </c>
      <c r="Q69" s="170">
        <v>0</v>
      </c>
      <c r="R69" s="606">
        <v>45961</v>
      </c>
    </row>
    <row r="70" spans="1:18" ht="15.75" hidden="1" x14ac:dyDescent="0.25">
      <c r="A70" s="600" t="s">
        <v>1615</v>
      </c>
      <c r="B70" s="603">
        <v>45992</v>
      </c>
      <c r="C70" s="600" t="s">
        <v>1576</v>
      </c>
      <c r="D70" s="173">
        <v>0.01</v>
      </c>
      <c r="E70" s="600" t="s">
        <v>366</v>
      </c>
      <c r="F70" s="600" t="s">
        <v>710</v>
      </c>
      <c r="G70" s="600" t="s">
        <v>27</v>
      </c>
      <c r="H70" s="600" t="s">
        <v>24</v>
      </c>
      <c r="I70" s="600" t="s">
        <v>710</v>
      </c>
      <c r="J70" s="600">
        <v>1020088</v>
      </c>
      <c r="K70" s="600" t="s">
        <v>26</v>
      </c>
      <c r="L70" s="170">
        <v>150000.01</v>
      </c>
      <c r="M70" s="170">
        <v>1</v>
      </c>
      <c r="N70" s="170">
        <v>150000</v>
      </c>
      <c r="O70" s="170">
        <v>0.01</v>
      </c>
      <c r="P70" s="170">
        <v>0</v>
      </c>
      <c r="Q70" s="170">
        <v>0</v>
      </c>
      <c r="R70" s="606">
        <v>45961</v>
      </c>
    </row>
    <row r="71" spans="1:18" ht="15.75" hidden="1" x14ac:dyDescent="0.25">
      <c r="A71" s="600" t="s">
        <v>1191</v>
      </c>
      <c r="B71" s="603">
        <v>45991</v>
      </c>
      <c r="C71" s="600" t="s">
        <v>781</v>
      </c>
      <c r="D71" s="173">
        <v>2495972.17</v>
      </c>
      <c r="E71" s="600" t="s">
        <v>21</v>
      </c>
      <c r="F71" s="600" t="s">
        <v>22</v>
      </c>
      <c r="G71" s="600" t="s">
        <v>27</v>
      </c>
      <c r="H71" s="600" t="s">
        <v>72</v>
      </c>
      <c r="I71" s="600" t="s">
        <v>511</v>
      </c>
      <c r="J71" s="600">
        <v>1020107</v>
      </c>
      <c r="K71" s="600" t="s">
        <v>26</v>
      </c>
      <c r="L71" s="170">
        <v>5233040.5</v>
      </c>
      <c r="M71" s="170">
        <v>1</v>
      </c>
      <c r="N71" s="170">
        <v>2737068.33</v>
      </c>
      <c r="O71" s="170">
        <v>2495972.17</v>
      </c>
      <c r="P71" s="170">
        <v>0</v>
      </c>
      <c r="Q71" s="170">
        <v>0</v>
      </c>
      <c r="R71" s="606">
        <v>45960</v>
      </c>
    </row>
    <row r="72" spans="1:18" ht="15.75" hidden="1" x14ac:dyDescent="0.25">
      <c r="A72" s="600" t="s">
        <v>702</v>
      </c>
      <c r="B72" s="603">
        <v>45982</v>
      </c>
      <c r="C72" s="600" t="s">
        <v>703</v>
      </c>
      <c r="D72" s="173">
        <v>4318.3100000000004</v>
      </c>
      <c r="E72" s="600" t="s">
        <v>95</v>
      </c>
      <c r="F72" s="600" t="s">
        <v>96</v>
      </c>
      <c r="G72" s="600" t="s">
        <v>27</v>
      </c>
      <c r="H72" s="600" t="s">
        <v>704</v>
      </c>
      <c r="I72" s="600" t="s">
        <v>367</v>
      </c>
      <c r="J72" s="600">
        <v>1020091</v>
      </c>
      <c r="K72" s="600" t="s">
        <v>78</v>
      </c>
      <c r="L72" s="170">
        <v>2600115.56</v>
      </c>
      <c r="M72" s="170">
        <v>3.75</v>
      </c>
      <c r="N72" s="170">
        <v>9746115.0374999978</v>
      </c>
      <c r="O72" s="170">
        <v>4318.3100000000004</v>
      </c>
      <c r="P72" s="170">
        <v>0</v>
      </c>
      <c r="Q72" s="170">
        <v>0</v>
      </c>
      <c r="R72" s="606">
        <v>45951</v>
      </c>
    </row>
    <row r="73" spans="1:18" ht="15.75" hidden="1" x14ac:dyDescent="0.25">
      <c r="A73" s="600" t="s">
        <v>1229</v>
      </c>
      <c r="B73" s="603">
        <v>45982</v>
      </c>
      <c r="C73" s="600" t="s">
        <v>1192</v>
      </c>
      <c r="D73" s="173">
        <v>15534.24</v>
      </c>
      <c r="E73" s="600" t="s">
        <v>366</v>
      </c>
      <c r="F73" s="600" t="s">
        <v>367</v>
      </c>
      <c r="G73" s="600" t="s">
        <v>27</v>
      </c>
      <c r="H73" s="600" t="s">
        <v>3220</v>
      </c>
      <c r="I73" s="600" t="s">
        <v>367</v>
      </c>
      <c r="J73" s="600">
        <v>1020091</v>
      </c>
      <c r="K73" s="600" t="s">
        <v>191</v>
      </c>
      <c r="L73" s="170">
        <v>6500000</v>
      </c>
      <c r="M73" s="170">
        <v>1.03</v>
      </c>
      <c r="N73" s="170">
        <v>6679465.7599999998</v>
      </c>
      <c r="O73" s="170">
        <v>15534.24</v>
      </c>
      <c r="P73" s="170">
        <v>0</v>
      </c>
      <c r="Q73" s="170">
        <v>0</v>
      </c>
      <c r="R73" s="606">
        <v>45951</v>
      </c>
    </row>
    <row r="74" spans="1:18" ht="15.75" hidden="1" x14ac:dyDescent="0.25">
      <c r="A74" s="600" t="s">
        <v>1127</v>
      </c>
      <c r="B74" s="603">
        <v>45976</v>
      </c>
      <c r="C74" s="600" t="s">
        <v>729</v>
      </c>
      <c r="D74" s="173">
        <v>151779.54</v>
      </c>
      <c r="E74" s="600" t="s">
        <v>366</v>
      </c>
      <c r="F74" s="600" t="s">
        <v>367</v>
      </c>
      <c r="G74" s="600" t="s">
        <v>27</v>
      </c>
      <c r="H74" s="600" t="s">
        <v>3220</v>
      </c>
      <c r="I74" s="600" t="s">
        <v>367</v>
      </c>
      <c r="J74" s="600">
        <v>1020091</v>
      </c>
      <c r="K74" s="600" t="s">
        <v>191</v>
      </c>
      <c r="L74" s="170">
        <v>4750000</v>
      </c>
      <c r="M74" s="170">
        <v>1.026</v>
      </c>
      <c r="N74" s="170">
        <v>4721720.4628079999</v>
      </c>
      <c r="O74" s="170">
        <v>151779.54</v>
      </c>
      <c r="P74" s="170">
        <v>0</v>
      </c>
      <c r="Q74" s="170">
        <v>0</v>
      </c>
      <c r="R74" s="606">
        <v>45945</v>
      </c>
    </row>
    <row r="75" spans="1:18" ht="15.75" hidden="1" x14ac:dyDescent="0.25">
      <c r="A75" s="600" t="s">
        <v>1824</v>
      </c>
      <c r="B75" s="603">
        <v>45969</v>
      </c>
      <c r="C75" s="600" t="s">
        <v>449</v>
      </c>
      <c r="D75" s="173">
        <v>175153.65</v>
      </c>
      <c r="E75" s="600" t="s">
        <v>21</v>
      </c>
      <c r="F75" s="600" t="s">
        <v>22</v>
      </c>
      <c r="G75" s="600" t="s">
        <v>27</v>
      </c>
      <c r="H75" s="600" t="s">
        <v>72</v>
      </c>
      <c r="I75" s="600" t="s">
        <v>487</v>
      </c>
      <c r="J75" s="600">
        <v>1020060</v>
      </c>
      <c r="K75" s="600" t="s">
        <v>26</v>
      </c>
      <c r="L75" s="170">
        <v>175153.65</v>
      </c>
      <c r="M75" s="170">
        <v>1</v>
      </c>
      <c r="N75" s="170">
        <v>0</v>
      </c>
      <c r="O75" s="170">
        <v>175153.65</v>
      </c>
      <c r="P75" s="170">
        <v>0</v>
      </c>
      <c r="Q75" s="170">
        <v>0</v>
      </c>
      <c r="R75" s="606">
        <v>45938</v>
      </c>
    </row>
    <row r="76" spans="1:18" ht="15.75" hidden="1" x14ac:dyDescent="0.25">
      <c r="A76" s="600" t="s">
        <v>1694</v>
      </c>
      <c r="B76" s="603">
        <v>45967</v>
      </c>
      <c r="C76" s="600" t="s">
        <v>496</v>
      </c>
      <c r="D76" s="173">
        <v>364580.36</v>
      </c>
      <c r="E76" s="600" t="s">
        <v>95</v>
      </c>
      <c r="F76" s="600" t="s">
        <v>96</v>
      </c>
      <c r="G76" s="600" t="s">
        <v>27</v>
      </c>
      <c r="H76" s="600" t="s">
        <v>72</v>
      </c>
      <c r="I76" s="600" t="s">
        <v>487</v>
      </c>
      <c r="J76" s="600">
        <v>1020060</v>
      </c>
      <c r="K76" s="600" t="s">
        <v>26</v>
      </c>
      <c r="L76" s="170">
        <v>364580.36</v>
      </c>
      <c r="M76" s="170">
        <v>1</v>
      </c>
      <c r="N76" s="170">
        <v>0</v>
      </c>
      <c r="O76" s="170">
        <v>364580.36</v>
      </c>
      <c r="P76" s="170">
        <v>0</v>
      </c>
      <c r="Q76" s="170">
        <v>0</v>
      </c>
      <c r="R76" s="606">
        <v>45936</v>
      </c>
    </row>
    <row r="77" spans="1:18" ht="15.75" hidden="1" x14ac:dyDescent="0.25">
      <c r="A77" s="600" t="s">
        <v>700</v>
      </c>
      <c r="B77" s="603">
        <v>45965</v>
      </c>
      <c r="C77" s="600" t="s">
        <v>701</v>
      </c>
      <c r="D77" s="173">
        <v>613806.35</v>
      </c>
      <c r="E77" s="600" t="s">
        <v>366</v>
      </c>
      <c r="F77" s="600" t="s">
        <v>367</v>
      </c>
      <c r="G77" s="600" t="s">
        <v>27</v>
      </c>
      <c r="H77" s="600" t="s">
        <v>72</v>
      </c>
      <c r="I77" s="600" t="s">
        <v>367</v>
      </c>
      <c r="J77" s="600">
        <v>1020091</v>
      </c>
      <c r="K77" s="600" t="s">
        <v>26</v>
      </c>
      <c r="L77" s="170">
        <v>4859479.5600000005</v>
      </c>
      <c r="M77" s="170">
        <v>1</v>
      </c>
      <c r="N77" s="170">
        <v>4245673.21</v>
      </c>
      <c r="O77" s="170">
        <v>613806.35</v>
      </c>
      <c r="P77" s="170">
        <v>0</v>
      </c>
      <c r="Q77" s="170">
        <v>0</v>
      </c>
      <c r="R77" s="606">
        <v>45934</v>
      </c>
    </row>
    <row r="78" spans="1:18" ht="15.75" x14ac:dyDescent="0.25">
      <c r="A78" s="600" t="s">
        <v>1743</v>
      </c>
      <c r="B78" s="603">
        <v>45961</v>
      </c>
      <c r="C78" s="600" t="s">
        <v>1725</v>
      </c>
      <c r="D78" s="173">
        <v>50355.18</v>
      </c>
      <c r="E78" s="600" t="s">
        <v>62</v>
      </c>
      <c r="F78" s="600" t="s">
        <v>70</v>
      </c>
      <c r="G78" s="600" t="s">
        <v>70</v>
      </c>
      <c r="H78" s="600" t="s">
        <v>869</v>
      </c>
      <c r="I78" s="600" t="s">
        <v>1762</v>
      </c>
      <c r="J78" s="600"/>
      <c r="K78" s="600" t="s">
        <v>26</v>
      </c>
      <c r="L78" s="170">
        <v>273082</v>
      </c>
      <c r="M78" s="170">
        <v>1</v>
      </c>
      <c r="N78" s="170">
        <v>222726.82</v>
      </c>
      <c r="O78" s="170">
        <v>50355.18</v>
      </c>
      <c r="P78" s="170">
        <v>0</v>
      </c>
      <c r="Q78" s="170">
        <v>0</v>
      </c>
      <c r="R78" s="606">
        <v>45930</v>
      </c>
    </row>
    <row r="79" spans="1:18" ht="15.75" x14ac:dyDescent="0.25">
      <c r="A79" s="600" t="s">
        <v>1746</v>
      </c>
      <c r="B79" s="603">
        <v>45961</v>
      </c>
      <c r="C79" s="600" t="s">
        <v>1705</v>
      </c>
      <c r="D79" s="173">
        <v>138804</v>
      </c>
      <c r="E79" s="600" t="s">
        <v>62</v>
      </c>
      <c r="F79" s="600" t="s">
        <v>70</v>
      </c>
      <c r="G79" s="600" t="s">
        <v>70</v>
      </c>
      <c r="H79" s="600" t="s">
        <v>869</v>
      </c>
      <c r="I79" s="600" t="s">
        <v>1762</v>
      </c>
      <c r="J79" s="600"/>
      <c r="K79" s="600" t="s">
        <v>26</v>
      </c>
      <c r="L79" s="170">
        <v>222582</v>
      </c>
      <c r="M79" s="170">
        <v>1</v>
      </c>
      <c r="N79" s="170">
        <v>83778</v>
      </c>
      <c r="O79" s="170">
        <v>138804</v>
      </c>
      <c r="P79" s="170">
        <v>0</v>
      </c>
      <c r="Q79" s="170">
        <v>0</v>
      </c>
      <c r="R79" s="606">
        <v>45930</v>
      </c>
    </row>
    <row r="80" spans="1:18" ht="15.75" x14ac:dyDescent="0.25">
      <c r="A80" s="600" t="s">
        <v>1742</v>
      </c>
      <c r="B80" s="603">
        <v>45961</v>
      </c>
      <c r="C80" s="600" t="s">
        <v>1707</v>
      </c>
      <c r="D80" s="173">
        <v>153759.93</v>
      </c>
      <c r="E80" s="600" t="s">
        <v>62</v>
      </c>
      <c r="F80" s="600" t="s">
        <v>70</v>
      </c>
      <c r="G80" s="600" t="s">
        <v>70</v>
      </c>
      <c r="H80" s="600" t="s">
        <v>869</v>
      </c>
      <c r="I80" s="600" t="s">
        <v>1762</v>
      </c>
      <c r="J80" s="600"/>
      <c r="K80" s="600" t="s">
        <v>26</v>
      </c>
      <c r="L80" s="170">
        <v>551681.93000000005</v>
      </c>
      <c r="M80" s="170">
        <v>1</v>
      </c>
      <c r="N80" s="170">
        <v>397922</v>
      </c>
      <c r="O80" s="170">
        <v>153759.93</v>
      </c>
      <c r="P80" s="170">
        <v>0</v>
      </c>
      <c r="Q80" s="170">
        <v>0</v>
      </c>
      <c r="R80" s="606">
        <v>45930</v>
      </c>
    </row>
    <row r="81" spans="1:18" ht="15.75" hidden="1" x14ac:dyDescent="0.25">
      <c r="A81" s="600" t="s">
        <v>1449</v>
      </c>
      <c r="B81" s="603">
        <v>45961</v>
      </c>
      <c r="C81" s="600" t="s">
        <v>1254</v>
      </c>
      <c r="D81" s="173">
        <v>4803506.7</v>
      </c>
      <c r="E81" s="600" t="s">
        <v>95</v>
      </c>
      <c r="F81" s="600" t="s">
        <v>96</v>
      </c>
      <c r="G81" s="600" t="s">
        <v>27</v>
      </c>
      <c r="H81" s="600" t="s">
        <v>72</v>
      </c>
      <c r="I81" s="600" t="s">
        <v>511</v>
      </c>
      <c r="J81" s="600">
        <v>1020107</v>
      </c>
      <c r="K81" s="600" t="s">
        <v>26</v>
      </c>
      <c r="L81" s="170">
        <v>6577809.0999999996</v>
      </c>
      <c r="M81" s="170">
        <v>1</v>
      </c>
      <c r="N81" s="170">
        <v>1774302.4000000001</v>
      </c>
      <c r="O81" s="170">
        <v>4803506.7</v>
      </c>
      <c r="P81" s="170">
        <v>0</v>
      </c>
      <c r="Q81" s="170">
        <v>0</v>
      </c>
      <c r="R81" s="606">
        <v>45930</v>
      </c>
    </row>
    <row r="82" spans="1:18" ht="15.75" x14ac:dyDescent="0.25">
      <c r="A82" s="600" t="s">
        <v>1783</v>
      </c>
      <c r="B82" s="603">
        <v>45961</v>
      </c>
      <c r="C82" s="600" t="s">
        <v>1709</v>
      </c>
      <c r="D82" s="173">
        <v>82081.84</v>
      </c>
      <c r="E82" s="600" t="s">
        <v>62</v>
      </c>
      <c r="F82" s="600" t="s">
        <v>70</v>
      </c>
      <c r="G82" s="600" t="s">
        <v>70</v>
      </c>
      <c r="H82" s="600" t="s">
        <v>869</v>
      </c>
      <c r="I82" s="600" t="s">
        <v>1762</v>
      </c>
      <c r="J82" s="600"/>
      <c r="K82" s="600" t="s">
        <v>26</v>
      </c>
      <c r="L82" s="170">
        <v>377983</v>
      </c>
      <c r="M82" s="170">
        <v>1</v>
      </c>
      <c r="N82" s="170">
        <v>295901.15999999997</v>
      </c>
      <c r="O82" s="170">
        <v>82081.84</v>
      </c>
      <c r="P82" s="170">
        <v>0</v>
      </c>
      <c r="Q82" s="170">
        <v>0</v>
      </c>
      <c r="R82" s="606">
        <v>45930</v>
      </c>
    </row>
    <row r="83" spans="1:18" ht="15.75" hidden="1" x14ac:dyDescent="0.25">
      <c r="A83" s="600" t="s">
        <v>1558</v>
      </c>
      <c r="B83" s="603">
        <v>45961</v>
      </c>
      <c r="C83" s="600" t="s">
        <v>1544</v>
      </c>
      <c r="D83" s="173">
        <v>0.94</v>
      </c>
      <c r="E83" s="600" t="s">
        <v>612</v>
      </c>
      <c r="F83" s="600" t="s">
        <v>613</v>
      </c>
      <c r="G83" s="600" t="s">
        <v>27</v>
      </c>
      <c r="H83" s="600" t="s">
        <v>24</v>
      </c>
      <c r="I83" s="600" t="s">
        <v>613</v>
      </c>
      <c r="J83" s="600">
        <v>1020106</v>
      </c>
      <c r="K83" s="600" t="s">
        <v>26</v>
      </c>
      <c r="L83" s="170">
        <v>1000000.94</v>
      </c>
      <c r="M83" s="170">
        <v>1</v>
      </c>
      <c r="N83" s="170">
        <v>1000000</v>
      </c>
      <c r="O83" s="170">
        <v>0.94</v>
      </c>
      <c r="P83" s="170">
        <v>0</v>
      </c>
      <c r="Q83" s="170">
        <v>0</v>
      </c>
      <c r="R83" s="606">
        <v>45930</v>
      </c>
    </row>
    <row r="84" spans="1:18" ht="15.75" hidden="1" x14ac:dyDescent="0.25">
      <c r="A84" s="600" t="s">
        <v>689</v>
      </c>
      <c r="B84" s="603">
        <v>45946</v>
      </c>
      <c r="C84" s="600" t="s">
        <v>690</v>
      </c>
      <c r="D84" s="173">
        <v>2540753.5</v>
      </c>
      <c r="E84" s="600" t="s">
        <v>366</v>
      </c>
      <c r="F84" s="600" t="s">
        <v>367</v>
      </c>
      <c r="G84" s="600" t="s">
        <v>27</v>
      </c>
      <c r="H84" s="600" t="s">
        <v>72</v>
      </c>
      <c r="I84" s="600" t="s">
        <v>367</v>
      </c>
      <c r="J84" s="600">
        <v>1020091</v>
      </c>
      <c r="K84" s="600" t="s">
        <v>26</v>
      </c>
      <c r="L84" s="170">
        <v>15413737.5</v>
      </c>
      <c r="M84" s="170">
        <v>1</v>
      </c>
      <c r="N84" s="170">
        <v>12872983.999999998</v>
      </c>
      <c r="O84" s="170">
        <v>2540753.5</v>
      </c>
      <c r="P84" s="170">
        <v>0</v>
      </c>
      <c r="Q84" s="170">
        <v>0</v>
      </c>
      <c r="R84" s="606">
        <v>45915</v>
      </c>
    </row>
    <row r="85" spans="1:18" ht="15.75" hidden="1" x14ac:dyDescent="0.25">
      <c r="A85" s="600" t="s">
        <v>736</v>
      </c>
      <c r="B85" s="603">
        <v>45945</v>
      </c>
      <c r="C85" s="600" t="s">
        <v>737</v>
      </c>
      <c r="D85" s="173">
        <v>563076.43999999994</v>
      </c>
      <c r="E85" s="600" t="s">
        <v>366</v>
      </c>
      <c r="F85" s="600" t="s">
        <v>367</v>
      </c>
      <c r="G85" s="600" t="s">
        <v>27</v>
      </c>
      <c r="H85" s="600" t="s">
        <v>72</v>
      </c>
      <c r="I85" s="600" t="s">
        <v>367</v>
      </c>
      <c r="J85" s="600">
        <v>1020091</v>
      </c>
      <c r="K85" s="600" t="s">
        <v>26</v>
      </c>
      <c r="L85" s="170">
        <v>11632450.5</v>
      </c>
      <c r="M85" s="170">
        <v>1</v>
      </c>
      <c r="N85" s="170">
        <v>11069374.060000001</v>
      </c>
      <c r="O85" s="170">
        <v>563076.43999999994</v>
      </c>
      <c r="P85" s="170">
        <v>0</v>
      </c>
      <c r="Q85" s="170">
        <v>0</v>
      </c>
      <c r="R85" s="606">
        <v>45914</v>
      </c>
    </row>
    <row r="86" spans="1:18" ht="15.75" hidden="1" x14ac:dyDescent="0.25">
      <c r="A86" s="600" t="s">
        <v>1622</v>
      </c>
      <c r="B86" s="603">
        <v>45941</v>
      </c>
      <c r="C86" s="600" t="s">
        <v>469</v>
      </c>
      <c r="D86" s="173">
        <v>47851.44</v>
      </c>
      <c r="E86" s="600" t="s">
        <v>366</v>
      </c>
      <c r="F86" s="600" t="s">
        <v>367</v>
      </c>
      <c r="G86" s="600" t="s">
        <v>27</v>
      </c>
      <c r="H86" s="600" t="s">
        <v>72</v>
      </c>
      <c r="I86" s="600" t="s">
        <v>367</v>
      </c>
      <c r="J86" s="600">
        <v>1020091</v>
      </c>
      <c r="K86" s="600" t="s">
        <v>191</v>
      </c>
      <c r="L86" s="170">
        <v>1248463.2195000001</v>
      </c>
      <c r="M86" s="170">
        <v>1.026</v>
      </c>
      <c r="N86" s="170">
        <v>1233071.8233</v>
      </c>
      <c r="O86" s="170">
        <v>47851.44</v>
      </c>
      <c r="P86" s="170">
        <v>0</v>
      </c>
      <c r="Q86" s="170">
        <v>0</v>
      </c>
      <c r="R86" s="606">
        <v>45910</v>
      </c>
    </row>
    <row r="87" spans="1:18" ht="15.75" hidden="1" x14ac:dyDescent="0.25">
      <c r="A87" s="600" t="s">
        <v>1404</v>
      </c>
      <c r="B87" s="603">
        <v>45931</v>
      </c>
      <c r="C87" s="600" t="s">
        <v>1331</v>
      </c>
      <c r="D87" s="173">
        <v>999.99</v>
      </c>
      <c r="E87" s="600" t="s">
        <v>21</v>
      </c>
      <c r="F87" s="600" t="s">
        <v>22</v>
      </c>
      <c r="G87" s="600" t="s">
        <v>27</v>
      </c>
      <c r="H87" s="600" t="s">
        <v>24</v>
      </c>
      <c r="I87" s="600" t="s">
        <v>22</v>
      </c>
      <c r="J87" s="600">
        <v>1020055</v>
      </c>
      <c r="K87" s="600" t="s">
        <v>26</v>
      </c>
      <c r="L87" s="170">
        <v>197999.99</v>
      </c>
      <c r="M87" s="170">
        <v>1</v>
      </c>
      <c r="N87" s="170">
        <v>197000</v>
      </c>
      <c r="O87" s="170">
        <v>999.99</v>
      </c>
      <c r="P87" s="170">
        <v>0</v>
      </c>
      <c r="Q87" s="170">
        <v>0</v>
      </c>
      <c r="R87" s="606">
        <v>45900</v>
      </c>
    </row>
    <row r="88" spans="1:18" ht="15.75" hidden="1" x14ac:dyDescent="0.25">
      <c r="A88" s="600" t="s">
        <v>1500</v>
      </c>
      <c r="B88" s="603">
        <v>45931</v>
      </c>
      <c r="C88" s="600" t="s">
        <v>760</v>
      </c>
      <c r="D88" s="173">
        <v>1366.49</v>
      </c>
      <c r="E88" s="600" t="s">
        <v>21</v>
      </c>
      <c r="F88" s="600" t="s">
        <v>22</v>
      </c>
      <c r="G88" s="600" t="s">
        <v>27</v>
      </c>
      <c r="H88" s="600" t="s">
        <v>24</v>
      </c>
      <c r="I88" s="600" t="s">
        <v>407</v>
      </c>
      <c r="J88" s="600">
        <v>1020100</v>
      </c>
      <c r="K88" s="600" t="s">
        <v>26</v>
      </c>
      <c r="L88" s="170">
        <v>342207.75</v>
      </c>
      <c r="M88" s="170">
        <v>1</v>
      </c>
      <c r="N88" s="170">
        <v>340841.26</v>
      </c>
      <c r="O88" s="170">
        <v>1366.49</v>
      </c>
      <c r="P88" s="170">
        <v>0</v>
      </c>
      <c r="Q88" s="170">
        <v>0</v>
      </c>
      <c r="R88" s="606">
        <v>45900</v>
      </c>
    </row>
    <row r="89" spans="1:18" ht="15.75" hidden="1" x14ac:dyDescent="0.25">
      <c r="A89" s="600" t="s">
        <v>834</v>
      </c>
      <c r="B89" s="603">
        <v>45931</v>
      </c>
      <c r="C89" s="600" t="s">
        <v>155</v>
      </c>
      <c r="D89" s="173">
        <v>15203.9</v>
      </c>
      <c r="E89" s="600" t="s">
        <v>612</v>
      </c>
      <c r="F89" s="600" t="s">
        <v>613</v>
      </c>
      <c r="G89" s="600" t="s">
        <v>27</v>
      </c>
      <c r="H89" s="600" t="s">
        <v>24</v>
      </c>
      <c r="I89" s="600" t="s">
        <v>613</v>
      </c>
      <c r="J89" s="600">
        <v>1020106</v>
      </c>
      <c r="K89" s="600" t="s">
        <v>26</v>
      </c>
      <c r="L89" s="170">
        <v>205980.49</v>
      </c>
      <c r="M89" s="170">
        <v>1</v>
      </c>
      <c r="N89" s="170">
        <v>190776.59</v>
      </c>
      <c r="O89" s="170">
        <v>15203.9</v>
      </c>
      <c r="P89" s="170">
        <v>0</v>
      </c>
      <c r="Q89" s="170">
        <v>0</v>
      </c>
      <c r="R89" s="606">
        <v>45900</v>
      </c>
    </row>
    <row r="90" spans="1:18" ht="15.75" hidden="1" x14ac:dyDescent="0.25">
      <c r="A90" s="600" t="s">
        <v>1488</v>
      </c>
      <c r="B90" s="603">
        <v>45931</v>
      </c>
      <c r="C90" s="600" t="s">
        <v>1329</v>
      </c>
      <c r="D90" s="173">
        <v>0.01</v>
      </c>
      <c r="E90" s="600" t="s">
        <v>21</v>
      </c>
      <c r="F90" s="600" t="s">
        <v>22</v>
      </c>
      <c r="G90" s="600" t="s">
        <v>27</v>
      </c>
      <c r="H90" s="600" t="s">
        <v>24</v>
      </c>
      <c r="I90" s="600" t="s">
        <v>407</v>
      </c>
      <c r="J90" s="600">
        <v>1020100</v>
      </c>
      <c r="K90" s="600" t="s">
        <v>26</v>
      </c>
      <c r="L90" s="170">
        <v>300000.01</v>
      </c>
      <c r="M90" s="170">
        <v>1</v>
      </c>
      <c r="N90" s="170">
        <v>300000</v>
      </c>
      <c r="O90" s="170">
        <v>0.01</v>
      </c>
      <c r="P90" s="170">
        <v>0</v>
      </c>
      <c r="Q90" s="170">
        <v>0</v>
      </c>
      <c r="R90" s="606">
        <v>45900</v>
      </c>
    </row>
    <row r="91" spans="1:18" ht="15.75" hidden="1" x14ac:dyDescent="0.25">
      <c r="A91" s="600" t="s">
        <v>629</v>
      </c>
      <c r="B91" s="603">
        <v>45931</v>
      </c>
      <c r="C91" s="600" t="s">
        <v>593</v>
      </c>
      <c r="D91" s="173">
        <v>654.37</v>
      </c>
      <c r="E91" s="600" t="s">
        <v>21</v>
      </c>
      <c r="F91" s="600" t="s">
        <v>22</v>
      </c>
      <c r="G91" s="600" t="s">
        <v>27</v>
      </c>
      <c r="H91" s="600" t="s">
        <v>24</v>
      </c>
      <c r="I91" s="600" t="s">
        <v>22</v>
      </c>
      <c r="J91" s="600">
        <v>1020055</v>
      </c>
      <c r="K91" s="600" t="s">
        <v>26</v>
      </c>
      <c r="L91" s="170">
        <v>900000</v>
      </c>
      <c r="M91" s="170">
        <v>1</v>
      </c>
      <c r="N91" s="170">
        <v>899345.63</v>
      </c>
      <c r="O91" s="170">
        <v>654.37</v>
      </c>
      <c r="P91" s="170">
        <v>0</v>
      </c>
      <c r="Q91" s="170">
        <v>0</v>
      </c>
      <c r="R91" s="606">
        <v>45900</v>
      </c>
    </row>
    <row r="92" spans="1:18" ht="15.75" hidden="1" x14ac:dyDescent="0.25">
      <c r="A92" s="600" t="s">
        <v>1340</v>
      </c>
      <c r="B92" s="603">
        <v>45931</v>
      </c>
      <c r="C92" s="600" t="s">
        <v>1321</v>
      </c>
      <c r="D92" s="173">
        <v>-10</v>
      </c>
      <c r="E92" s="600" t="s">
        <v>21</v>
      </c>
      <c r="F92" s="600" t="s">
        <v>22</v>
      </c>
      <c r="G92" s="600" t="s">
        <v>27</v>
      </c>
      <c r="H92" s="600" t="s">
        <v>24</v>
      </c>
      <c r="I92" s="600" t="s">
        <v>22</v>
      </c>
      <c r="J92" s="600">
        <v>1020055</v>
      </c>
      <c r="K92" s="600" t="s">
        <v>26</v>
      </c>
      <c r="L92" s="170">
        <v>167957.5</v>
      </c>
      <c r="M92" s="170">
        <v>1</v>
      </c>
      <c r="N92" s="170">
        <v>167967.5</v>
      </c>
      <c r="O92" s="170">
        <v>-10</v>
      </c>
      <c r="P92" s="170">
        <v>0</v>
      </c>
      <c r="Q92" s="170">
        <v>0</v>
      </c>
      <c r="R92" s="606">
        <v>45900</v>
      </c>
    </row>
    <row r="93" spans="1:18" ht="15.75" hidden="1" x14ac:dyDescent="0.25">
      <c r="A93" s="600" t="s">
        <v>1152</v>
      </c>
      <c r="B93" s="603">
        <v>45931</v>
      </c>
      <c r="C93" s="600" t="s">
        <v>840</v>
      </c>
      <c r="D93" s="173">
        <v>0.6</v>
      </c>
      <c r="E93" s="600" t="s">
        <v>612</v>
      </c>
      <c r="F93" s="600" t="s">
        <v>613</v>
      </c>
      <c r="G93" s="600" t="s">
        <v>27</v>
      </c>
      <c r="H93" s="600" t="s">
        <v>24</v>
      </c>
      <c r="I93" s="600" t="s">
        <v>613</v>
      </c>
      <c r="J93" s="600">
        <v>1020106</v>
      </c>
      <c r="K93" s="600" t="s">
        <v>26</v>
      </c>
      <c r="L93" s="170">
        <v>2139000</v>
      </c>
      <c r="M93" s="170">
        <v>1</v>
      </c>
      <c r="N93" s="170">
        <v>2138999.4</v>
      </c>
      <c r="O93" s="170">
        <v>0.6</v>
      </c>
      <c r="P93" s="170">
        <v>0</v>
      </c>
      <c r="Q93" s="170">
        <v>0</v>
      </c>
      <c r="R93" s="606">
        <v>45900</v>
      </c>
    </row>
    <row r="94" spans="1:18" ht="15.75" hidden="1" x14ac:dyDescent="0.25">
      <c r="A94" s="600" t="s">
        <v>1342</v>
      </c>
      <c r="B94" s="603">
        <v>45931</v>
      </c>
      <c r="C94" s="600" t="s">
        <v>1265</v>
      </c>
      <c r="D94" s="173">
        <v>0.01</v>
      </c>
      <c r="E94" s="600" t="s">
        <v>21</v>
      </c>
      <c r="F94" s="600" t="s">
        <v>22</v>
      </c>
      <c r="G94" s="600" t="s">
        <v>27</v>
      </c>
      <c r="H94" s="600" t="s">
        <v>24</v>
      </c>
      <c r="I94" s="600" t="s">
        <v>22</v>
      </c>
      <c r="J94" s="600">
        <v>1020055</v>
      </c>
      <c r="K94" s="600" t="s">
        <v>26</v>
      </c>
      <c r="L94" s="170">
        <v>292628.84000000003</v>
      </c>
      <c r="M94" s="170">
        <v>1</v>
      </c>
      <c r="N94" s="170">
        <v>292628.83</v>
      </c>
      <c r="O94" s="170">
        <v>0.01</v>
      </c>
      <c r="P94" s="170">
        <v>0</v>
      </c>
      <c r="Q94" s="170">
        <v>0</v>
      </c>
      <c r="R94" s="606">
        <v>45900</v>
      </c>
    </row>
    <row r="95" spans="1:18" ht="15.75" hidden="1" x14ac:dyDescent="0.25">
      <c r="A95" s="600" t="s">
        <v>796</v>
      </c>
      <c r="B95" s="603">
        <v>45869</v>
      </c>
      <c r="C95" s="600" t="s">
        <v>431</v>
      </c>
      <c r="D95" s="173">
        <v>19830.21</v>
      </c>
      <c r="E95" s="600" t="s">
        <v>21</v>
      </c>
      <c r="F95" s="600" t="s">
        <v>22</v>
      </c>
      <c r="G95" s="600" t="s">
        <v>27</v>
      </c>
      <c r="H95" s="600" t="s">
        <v>24</v>
      </c>
      <c r="I95" s="600" t="s">
        <v>22</v>
      </c>
      <c r="J95" s="600">
        <v>1020055</v>
      </c>
      <c r="K95" s="600" t="s">
        <v>26</v>
      </c>
      <c r="L95" s="170">
        <v>1519664.37</v>
      </c>
      <c r="M95" s="170">
        <v>1</v>
      </c>
      <c r="N95" s="170">
        <v>1499834.16</v>
      </c>
      <c r="O95" s="170">
        <v>19830.21</v>
      </c>
      <c r="P95" s="170">
        <v>0</v>
      </c>
      <c r="Q95" s="170">
        <v>0</v>
      </c>
      <c r="R95" s="606">
        <v>45838</v>
      </c>
    </row>
    <row r="96" spans="1:18" ht="15.75" hidden="1" x14ac:dyDescent="0.25">
      <c r="A96" s="600" t="s">
        <v>1255</v>
      </c>
      <c r="B96" s="603">
        <v>45869</v>
      </c>
      <c r="C96" s="600" t="s">
        <v>837</v>
      </c>
      <c r="D96" s="173">
        <v>0.01</v>
      </c>
      <c r="E96" s="600" t="s">
        <v>366</v>
      </c>
      <c r="F96" s="600" t="s">
        <v>710</v>
      </c>
      <c r="G96" s="600" t="s">
        <v>27</v>
      </c>
      <c r="H96" s="600" t="s">
        <v>24</v>
      </c>
      <c r="I96" s="600" t="s">
        <v>710</v>
      </c>
      <c r="J96" s="600">
        <v>1020088</v>
      </c>
      <c r="K96" s="600" t="s">
        <v>26</v>
      </c>
      <c r="L96" s="170">
        <v>475009.53</v>
      </c>
      <c r="M96" s="170">
        <v>1</v>
      </c>
      <c r="N96" s="170">
        <v>475009.52</v>
      </c>
      <c r="O96" s="170">
        <v>0.01</v>
      </c>
      <c r="P96" s="170">
        <v>0</v>
      </c>
      <c r="Q96" s="170">
        <v>0</v>
      </c>
      <c r="R96" s="606">
        <v>45838</v>
      </c>
    </row>
    <row r="97" spans="1:18" ht="15.75" hidden="1" x14ac:dyDescent="0.25">
      <c r="A97" s="600" t="s">
        <v>543</v>
      </c>
      <c r="B97" s="603">
        <v>45869</v>
      </c>
      <c r="C97" s="600" t="s">
        <v>1789</v>
      </c>
      <c r="D97" s="173">
        <v>49191.59</v>
      </c>
      <c r="E97" s="600" t="s">
        <v>95</v>
      </c>
      <c r="F97" s="600" t="s">
        <v>96</v>
      </c>
      <c r="G97" s="600" t="s">
        <v>27</v>
      </c>
      <c r="H97" s="600" t="s">
        <v>24</v>
      </c>
      <c r="I97" s="600" t="s">
        <v>407</v>
      </c>
      <c r="J97" s="600">
        <v>1020100</v>
      </c>
      <c r="K97" s="600" t="s">
        <v>26</v>
      </c>
      <c r="L97" s="170">
        <v>700000</v>
      </c>
      <c r="M97" s="170">
        <v>1</v>
      </c>
      <c r="N97" s="170">
        <v>650808.41</v>
      </c>
      <c r="O97" s="170">
        <v>49191.59</v>
      </c>
      <c r="P97" s="170">
        <v>0</v>
      </c>
      <c r="Q97" s="170">
        <v>0</v>
      </c>
      <c r="R97" s="606">
        <v>45838</v>
      </c>
    </row>
    <row r="98" spans="1:18" ht="15.75" hidden="1" x14ac:dyDescent="0.25">
      <c r="A98" s="600" t="s">
        <v>808</v>
      </c>
      <c r="B98" s="603">
        <v>45869</v>
      </c>
      <c r="C98" s="600" t="s">
        <v>809</v>
      </c>
      <c r="D98" s="173">
        <v>0.01</v>
      </c>
      <c r="E98" s="600" t="s">
        <v>21</v>
      </c>
      <c r="F98" s="600" t="s">
        <v>22</v>
      </c>
      <c r="G98" s="600" t="s">
        <v>27</v>
      </c>
      <c r="H98" s="600" t="s">
        <v>24</v>
      </c>
      <c r="I98" s="600" t="s">
        <v>22</v>
      </c>
      <c r="J98" s="600">
        <v>1020055</v>
      </c>
      <c r="K98" s="600" t="s">
        <v>26</v>
      </c>
      <c r="L98" s="170">
        <v>450975.31</v>
      </c>
      <c r="M98" s="170">
        <v>1</v>
      </c>
      <c r="N98" s="170">
        <v>450975.3</v>
      </c>
      <c r="O98" s="170">
        <v>0.01</v>
      </c>
      <c r="P98" s="170">
        <v>0</v>
      </c>
      <c r="Q98" s="170">
        <v>0</v>
      </c>
      <c r="R98" s="606">
        <v>45838</v>
      </c>
    </row>
    <row r="99" spans="1:18" ht="15.75" hidden="1" x14ac:dyDescent="0.25">
      <c r="A99" s="600" t="s">
        <v>696</v>
      </c>
      <c r="B99" s="603">
        <v>45869</v>
      </c>
      <c r="C99" s="600" t="s">
        <v>697</v>
      </c>
      <c r="D99" s="173">
        <v>0.73</v>
      </c>
      <c r="E99" s="600" t="s">
        <v>612</v>
      </c>
      <c r="F99" s="600" t="s">
        <v>613</v>
      </c>
      <c r="G99" s="600" t="s">
        <v>27</v>
      </c>
      <c r="H99" s="600" t="s">
        <v>24</v>
      </c>
      <c r="I99" s="600" t="s">
        <v>613</v>
      </c>
      <c r="J99" s="600">
        <v>1020106</v>
      </c>
      <c r="K99" s="600" t="s">
        <v>26</v>
      </c>
      <c r="L99" s="170">
        <v>1513032.73</v>
      </c>
      <c r="M99" s="170">
        <v>1</v>
      </c>
      <c r="N99" s="170">
        <v>1513032</v>
      </c>
      <c r="O99" s="170">
        <v>0.73</v>
      </c>
      <c r="P99" s="170">
        <v>0</v>
      </c>
      <c r="Q99" s="170">
        <v>0</v>
      </c>
      <c r="R99" s="606">
        <v>45838</v>
      </c>
    </row>
    <row r="100" spans="1:18" ht="15.75" hidden="1" x14ac:dyDescent="0.25">
      <c r="A100" s="600" t="s">
        <v>803</v>
      </c>
      <c r="B100" s="603">
        <v>45869</v>
      </c>
      <c r="C100" s="600" t="s">
        <v>557</v>
      </c>
      <c r="D100" s="173">
        <v>0.5</v>
      </c>
      <c r="E100" s="600" t="s">
        <v>21</v>
      </c>
      <c r="F100" s="600" t="s">
        <v>22</v>
      </c>
      <c r="G100" s="600" t="s">
        <v>27</v>
      </c>
      <c r="H100" s="600" t="s">
        <v>24</v>
      </c>
      <c r="I100" s="600" t="s">
        <v>22</v>
      </c>
      <c r="J100" s="600">
        <v>1020055</v>
      </c>
      <c r="K100" s="600" t="s">
        <v>26</v>
      </c>
      <c r="L100" s="170">
        <v>300000.5</v>
      </c>
      <c r="M100" s="170">
        <v>1</v>
      </c>
      <c r="N100" s="170">
        <v>300000</v>
      </c>
      <c r="O100" s="170">
        <v>0.5</v>
      </c>
      <c r="P100" s="170">
        <v>0</v>
      </c>
      <c r="Q100" s="170">
        <v>0</v>
      </c>
      <c r="R100" s="606">
        <v>45838</v>
      </c>
    </row>
    <row r="101" spans="1:18" ht="15.75" hidden="1" x14ac:dyDescent="0.25">
      <c r="A101" s="600" t="s">
        <v>801</v>
      </c>
      <c r="B101" s="603">
        <v>45869</v>
      </c>
      <c r="C101" s="600" t="s">
        <v>802</v>
      </c>
      <c r="D101" s="173">
        <v>634.58000000000004</v>
      </c>
      <c r="E101" s="600" t="s">
        <v>21</v>
      </c>
      <c r="F101" s="600" t="s">
        <v>22</v>
      </c>
      <c r="G101" s="600" t="s">
        <v>27</v>
      </c>
      <c r="H101" s="600" t="s">
        <v>24</v>
      </c>
      <c r="I101" s="600" t="s">
        <v>22</v>
      </c>
      <c r="J101" s="600">
        <v>1020055</v>
      </c>
      <c r="K101" s="600" t="s">
        <v>26</v>
      </c>
      <c r="L101" s="170">
        <v>177325.35</v>
      </c>
      <c r="M101" s="170">
        <v>1</v>
      </c>
      <c r="N101" s="170">
        <v>176690.77</v>
      </c>
      <c r="O101" s="170">
        <v>634.58000000000004</v>
      </c>
      <c r="P101" s="170">
        <v>0</v>
      </c>
      <c r="Q101" s="170">
        <v>0</v>
      </c>
      <c r="R101" s="606">
        <v>45838</v>
      </c>
    </row>
    <row r="102" spans="1:18" ht="15.75" hidden="1" x14ac:dyDescent="0.25">
      <c r="A102" s="600" t="s">
        <v>481</v>
      </c>
      <c r="B102" s="603">
        <v>45869</v>
      </c>
      <c r="C102" s="600" t="s">
        <v>449</v>
      </c>
      <c r="D102" s="173">
        <v>59126.37</v>
      </c>
      <c r="E102" s="600" t="s">
        <v>21</v>
      </c>
      <c r="F102" s="600" t="s">
        <v>22</v>
      </c>
      <c r="G102" s="600" t="s">
        <v>27</v>
      </c>
      <c r="H102" s="600" t="s">
        <v>24</v>
      </c>
      <c r="I102" s="600" t="s">
        <v>407</v>
      </c>
      <c r="J102" s="600">
        <v>1020100</v>
      </c>
      <c r="K102" s="600" t="s">
        <v>26</v>
      </c>
      <c r="L102" s="170">
        <v>900000</v>
      </c>
      <c r="M102" s="170">
        <v>1</v>
      </c>
      <c r="N102" s="170">
        <v>840873.63</v>
      </c>
      <c r="O102" s="170">
        <v>59126.37</v>
      </c>
      <c r="P102" s="170">
        <v>0</v>
      </c>
      <c r="Q102" s="170">
        <v>0</v>
      </c>
      <c r="R102" s="606">
        <v>45838</v>
      </c>
    </row>
    <row r="103" spans="1:18" ht="15.75" hidden="1" x14ac:dyDescent="0.25">
      <c r="A103" s="600" t="s">
        <v>672</v>
      </c>
      <c r="B103" s="603">
        <v>45849</v>
      </c>
      <c r="C103" s="600" t="s">
        <v>469</v>
      </c>
      <c r="D103" s="173">
        <v>1108770.3</v>
      </c>
      <c r="E103" s="600" t="s">
        <v>366</v>
      </c>
      <c r="F103" s="600" t="s">
        <v>367</v>
      </c>
      <c r="G103" s="600" t="s">
        <v>27</v>
      </c>
      <c r="H103" s="600" t="s">
        <v>72</v>
      </c>
      <c r="I103" s="600" t="s">
        <v>367</v>
      </c>
      <c r="J103" s="600">
        <v>1020091</v>
      </c>
      <c r="K103" s="600" t="s">
        <v>191</v>
      </c>
      <c r="L103" s="170">
        <v>12740122</v>
      </c>
      <c r="M103" s="170">
        <v>1.026</v>
      </c>
      <c r="N103" s="170">
        <v>11962594.868075</v>
      </c>
      <c r="O103" s="170">
        <v>1108770.3</v>
      </c>
      <c r="P103" s="170">
        <v>0</v>
      </c>
      <c r="Q103" s="170">
        <v>0</v>
      </c>
      <c r="R103" s="606">
        <v>45818</v>
      </c>
    </row>
    <row r="104" spans="1:18" ht="15.75" hidden="1" x14ac:dyDescent="0.25">
      <c r="A104" s="600" t="s">
        <v>506</v>
      </c>
      <c r="B104" s="603">
        <v>45839</v>
      </c>
      <c r="C104" s="600" t="s">
        <v>507</v>
      </c>
      <c r="D104" s="173">
        <v>2565072.71</v>
      </c>
      <c r="E104" s="600" t="s">
        <v>373</v>
      </c>
      <c r="F104" s="600" t="s">
        <v>483</v>
      </c>
      <c r="G104" s="600" t="s">
        <v>27</v>
      </c>
      <c r="H104" s="600" t="s">
        <v>72</v>
      </c>
      <c r="I104" s="600" t="s">
        <v>407</v>
      </c>
      <c r="J104" s="600">
        <v>1020100</v>
      </c>
      <c r="K104" s="600" t="s">
        <v>26</v>
      </c>
      <c r="L104" s="170">
        <v>11166675</v>
      </c>
      <c r="M104" s="170">
        <v>1</v>
      </c>
      <c r="N104" s="170">
        <v>8601602.2899999991</v>
      </c>
      <c r="O104" s="170">
        <v>2565072.71</v>
      </c>
      <c r="P104" s="170">
        <v>0</v>
      </c>
      <c r="Q104" s="170">
        <v>0</v>
      </c>
      <c r="R104" s="606">
        <v>45808</v>
      </c>
    </row>
    <row r="105" spans="1:18" ht="15.75" hidden="1" x14ac:dyDescent="0.25">
      <c r="A105" s="600" t="s">
        <v>739</v>
      </c>
      <c r="B105" s="603">
        <v>45839</v>
      </c>
      <c r="C105" s="600" t="s">
        <v>740</v>
      </c>
      <c r="D105" s="173">
        <v>0.42</v>
      </c>
      <c r="E105" s="600" t="s">
        <v>373</v>
      </c>
      <c r="F105" s="600" t="s">
        <v>63</v>
      </c>
      <c r="G105" s="600" t="s">
        <v>27</v>
      </c>
      <c r="H105" s="600" t="s">
        <v>72</v>
      </c>
      <c r="I105" s="600" t="s">
        <v>304</v>
      </c>
      <c r="J105" s="600">
        <v>1020098</v>
      </c>
      <c r="K105" s="600" t="s">
        <v>26</v>
      </c>
      <c r="L105" s="170">
        <v>7566370.25</v>
      </c>
      <c r="M105" s="170">
        <v>1</v>
      </c>
      <c r="N105" s="170">
        <v>7566369.8300000001</v>
      </c>
      <c r="O105" s="170">
        <v>0.42</v>
      </c>
      <c r="P105" s="170">
        <v>0</v>
      </c>
      <c r="Q105" s="170">
        <v>0</v>
      </c>
      <c r="R105" s="606">
        <v>45808</v>
      </c>
    </row>
    <row r="106" spans="1:18" ht="15.75" hidden="1" x14ac:dyDescent="0.25">
      <c r="A106" s="600" t="s">
        <v>365</v>
      </c>
      <c r="B106" s="603">
        <v>45839</v>
      </c>
      <c r="C106" s="600" t="s">
        <v>368</v>
      </c>
      <c r="D106" s="173">
        <v>6578032.1500000004</v>
      </c>
      <c r="E106" s="600" t="s">
        <v>366</v>
      </c>
      <c r="F106" s="600" t="s">
        <v>367</v>
      </c>
      <c r="G106" s="600" t="s">
        <v>27</v>
      </c>
      <c r="H106" s="600" t="s">
        <v>72</v>
      </c>
      <c r="I106" s="600" t="s">
        <v>367</v>
      </c>
      <c r="J106" s="600">
        <v>1020091</v>
      </c>
      <c r="K106" s="600" t="s">
        <v>26</v>
      </c>
      <c r="L106" s="170">
        <v>583175399</v>
      </c>
      <c r="M106" s="170">
        <v>1</v>
      </c>
      <c r="N106" s="170">
        <v>576597366.8499999</v>
      </c>
      <c r="O106" s="170">
        <v>6578032.1500000004</v>
      </c>
      <c r="P106" s="170">
        <v>0</v>
      </c>
      <c r="Q106" s="170">
        <v>0</v>
      </c>
      <c r="R106" s="606">
        <v>45808</v>
      </c>
    </row>
    <row r="107" spans="1:18" ht="15.75" hidden="1" x14ac:dyDescent="0.25">
      <c r="A107" s="600" t="s">
        <v>460</v>
      </c>
      <c r="B107" s="603">
        <v>45839</v>
      </c>
      <c r="C107" s="600" t="s">
        <v>1541</v>
      </c>
      <c r="D107" s="173">
        <v>10095188.34</v>
      </c>
      <c r="E107" s="600" t="s">
        <v>373</v>
      </c>
      <c r="F107" s="600" t="s">
        <v>63</v>
      </c>
      <c r="G107" s="600" t="s">
        <v>27</v>
      </c>
      <c r="H107" s="600" t="s">
        <v>72</v>
      </c>
      <c r="I107" s="600" t="s">
        <v>22</v>
      </c>
      <c r="J107" s="600">
        <v>1020055</v>
      </c>
      <c r="K107" s="600" t="s">
        <v>26</v>
      </c>
      <c r="L107" s="170">
        <v>18000000</v>
      </c>
      <c r="M107" s="170">
        <v>1</v>
      </c>
      <c r="N107" s="170">
        <v>7904811.6600000001</v>
      </c>
      <c r="O107" s="170">
        <v>10095188.34</v>
      </c>
      <c r="P107" s="170">
        <v>0</v>
      </c>
      <c r="Q107" s="170">
        <v>0</v>
      </c>
      <c r="R107" s="606">
        <v>45808</v>
      </c>
    </row>
    <row r="108" spans="1:18" ht="15.75" hidden="1" x14ac:dyDescent="0.25">
      <c r="A108" s="600" t="s">
        <v>409</v>
      </c>
      <c r="B108" s="603">
        <v>45839</v>
      </c>
      <c r="C108" s="600" t="s">
        <v>221</v>
      </c>
      <c r="D108" s="173">
        <v>1336712.53</v>
      </c>
      <c r="E108" s="600" t="s">
        <v>95</v>
      </c>
      <c r="F108" s="600" t="s">
        <v>96</v>
      </c>
      <c r="G108" s="600" t="s">
        <v>27</v>
      </c>
      <c r="H108" s="600" t="s">
        <v>66</v>
      </c>
      <c r="I108" s="600" t="s">
        <v>410</v>
      </c>
      <c r="J108" s="600">
        <v>1020085</v>
      </c>
      <c r="K108" s="600" t="s">
        <v>191</v>
      </c>
      <c r="L108" s="170">
        <v>4205828.8</v>
      </c>
      <c r="M108" s="170">
        <v>1.0287999999999999</v>
      </c>
      <c r="N108" s="170">
        <v>2990244.1374608562</v>
      </c>
      <c r="O108" s="170">
        <v>1336712.53</v>
      </c>
      <c r="P108" s="170">
        <v>0</v>
      </c>
      <c r="Q108" s="170">
        <v>0</v>
      </c>
      <c r="R108" s="606">
        <v>45808</v>
      </c>
    </row>
    <row r="109" spans="1:18" ht="15.75" hidden="1" x14ac:dyDescent="0.25">
      <c r="A109" s="600" t="s">
        <v>363</v>
      </c>
      <c r="B109" s="603">
        <v>45839</v>
      </c>
      <c r="C109" s="600" t="s">
        <v>364</v>
      </c>
      <c r="D109" s="173">
        <v>304355.37</v>
      </c>
      <c r="E109" s="600" t="s">
        <v>95</v>
      </c>
      <c r="F109" s="600" t="s">
        <v>96</v>
      </c>
      <c r="G109" s="600" t="s">
        <v>27</v>
      </c>
      <c r="H109" s="600" t="s">
        <v>24</v>
      </c>
      <c r="I109" s="600" t="s">
        <v>22</v>
      </c>
      <c r="J109" s="600">
        <v>1020055</v>
      </c>
      <c r="K109" s="600" t="s">
        <v>191</v>
      </c>
      <c r="L109" s="170">
        <v>1363657</v>
      </c>
      <c r="M109" s="170">
        <v>1.0286999999999999</v>
      </c>
      <c r="N109" s="170">
        <v>1098438.5839</v>
      </c>
      <c r="O109" s="170">
        <v>304355.37</v>
      </c>
      <c r="P109" s="170">
        <v>0</v>
      </c>
      <c r="Q109" s="170">
        <v>0</v>
      </c>
      <c r="R109" s="606">
        <v>45808</v>
      </c>
    </row>
    <row r="110" spans="1:18" ht="15.75" hidden="1" x14ac:dyDescent="0.25">
      <c r="A110" s="600" t="s">
        <v>706</v>
      </c>
      <c r="B110" s="603">
        <v>45833</v>
      </c>
      <c r="C110" s="600" t="s">
        <v>609</v>
      </c>
      <c r="D110" s="173">
        <v>17388</v>
      </c>
      <c r="E110" s="600" t="s">
        <v>373</v>
      </c>
      <c r="F110" s="600" t="s">
        <v>483</v>
      </c>
      <c r="G110" s="600" t="s">
        <v>27</v>
      </c>
      <c r="H110" s="600" t="s">
        <v>72</v>
      </c>
      <c r="I110" s="600" t="s">
        <v>304</v>
      </c>
      <c r="J110" s="600">
        <v>1020098</v>
      </c>
      <c r="K110" s="600" t="s">
        <v>26</v>
      </c>
      <c r="L110" s="170">
        <v>11821448</v>
      </c>
      <c r="M110" s="170">
        <v>1</v>
      </c>
      <c r="N110" s="170">
        <v>11804060</v>
      </c>
      <c r="O110" s="170">
        <v>17388</v>
      </c>
      <c r="P110" s="170">
        <v>0</v>
      </c>
      <c r="Q110" s="170">
        <v>0</v>
      </c>
      <c r="R110" s="606">
        <v>45802</v>
      </c>
    </row>
    <row r="111" spans="1:18" ht="15.75" hidden="1" x14ac:dyDescent="0.25">
      <c r="A111" s="600" t="s">
        <v>731</v>
      </c>
      <c r="B111" s="603">
        <v>45823</v>
      </c>
      <c r="C111" s="600" t="s">
        <v>732</v>
      </c>
      <c r="D111" s="173">
        <v>17471352</v>
      </c>
      <c r="E111" s="600" t="s">
        <v>373</v>
      </c>
      <c r="F111" s="600" t="s">
        <v>483</v>
      </c>
      <c r="G111" s="600" t="s">
        <v>27</v>
      </c>
      <c r="H111" s="600" t="s">
        <v>72</v>
      </c>
      <c r="I111" s="600" t="s">
        <v>304</v>
      </c>
      <c r="J111" s="600">
        <v>1020098</v>
      </c>
      <c r="K111" s="600" t="s">
        <v>26</v>
      </c>
      <c r="L111" s="170">
        <v>17471352</v>
      </c>
      <c r="M111" s="170">
        <v>1</v>
      </c>
      <c r="N111" s="170">
        <v>0</v>
      </c>
      <c r="O111" s="170">
        <v>17471352</v>
      </c>
      <c r="P111" s="170">
        <v>0</v>
      </c>
      <c r="Q111" s="170">
        <v>0</v>
      </c>
      <c r="R111" s="606">
        <v>45792</v>
      </c>
    </row>
    <row r="112" spans="1:18" ht="15.75" hidden="1" x14ac:dyDescent="0.25">
      <c r="A112" s="600" t="s">
        <v>727</v>
      </c>
      <c r="B112" s="603">
        <v>45823</v>
      </c>
      <c r="C112" s="600" t="s">
        <v>303</v>
      </c>
      <c r="D112" s="173">
        <v>876696.29</v>
      </c>
      <c r="E112" s="600" t="s">
        <v>373</v>
      </c>
      <c r="F112" s="600" t="s">
        <v>483</v>
      </c>
      <c r="G112" s="600" t="s">
        <v>27</v>
      </c>
      <c r="H112" s="600" t="s">
        <v>72</v>
      </c>
      <c r="I112" s="600" t="s">
        <v>304</v>
      </c>
      <c r="J112" s="600">
        <v>1020098</v>
      </c>
      <c r="K112" s="600" t="s">
        <v>26</v>
      </c>
      <c r="L112" s="170">
        <v>2835037.61</v>
      </c>
      <c r="M112" s="170">
        <v>1</v>
      </c>
      <c r="N112" s="170">
        <v>1958341.32</v>
      </c>
      <c r="O112" s="170">
        <v>876696.29</v>
      </c>
      <c r="P112" s="170">
        <v>0</v>
      </c>
      <c r="Q112" s="170">
        <v>0</v>
      </c>
      <c r="R112" s="606">
        <v>45792</v>
      </c>
    </row>
    <row r="113" spans="1:18" ht="15.75" hidden="1" x14ac:dyDescent="0.25">
      <c r="A113" s="600" t="s">
        <v>624</v>
      </c>
      <c r="B113" s="603">
        <v>45808</v>
      </c>
      <c r="C113" s="600" t="s">
        <v>589</v>
      </c>
      <c r="D113" s="173">
        <v>0.18</v>
      </c>
      <c r="E113" s="600" t="s">
        <v>95</v>
      </c>
      <c r="F113" s="600" t="s">
        <v>96</v>
      </c>
      <c r="G113" s="600" t="s">
        <v>27</v>
      </c>
      <c r="H113" s="600" t="s">
        <v>24</v>
      </c>
      <c r="I113" s="600" t="s">
        <v>22</v>
      </c>
      <c r="J113" s="600">
        <v>1020055</v>
      </c>
      <c r="K113" s="600" t="s">
        <v>26</v>
      </c>
      <c r="L113" s="170">
        <v>500000</v>
      </c>
      <c r="M113" s="170">
        <v>1</v>
      </c>
      <c r="N113" s="170">
        <v>499999.82</v>
      </c>
      <c r="O113" s="170">
        <v>0.18</v>
      </c>
      <c r="P113" s="170">
        <v>0</v>
      </c>
      <c r="Q113" s="170">
        <v>0</v>
      </c>
      <c r="R113" s="606">
        <v>45777</v>
      </c>
    </row>
    <row r="114" spans="1:18" ht="15.75" hidden="1" x14ac:dyDescent="0.25">
      <c r="A114" s="600" t="s">
        <v>652</v>
      </c>
      <c r="B114" s="603">
        <v>45808</v>
      </c>
      <c r="C114" s="600" t="s">
        <v>585</v>
      </c>
      <c r="D114" s="173">
        <v>42131.23</v>
      </c>
      <c r="E114" s="600" t="s">
        <v>21</v>
      </c>
      <c r="F114" s="600" t="s">
        <v>22</v>
      </c>
      <c r="G114" s="600" t="s">
        <v>27</v>
      </c>
      <c r="H114" s="600" t="s">
        <v>24</v>
      </c>
      <c r="I114" s="600" t="s">
        <v>22</v>
      </c>
      <c r="J114" s="600">
        <v>1020055</v>
      </c>
      <c r="K114" s="600" t="s">
        <v>26</v>
      </c>
      <c r="L114" s="170">
        <v>1500000</v>
      </c>
      <c r="M114" s="170">
        <v>1</v>
      </c>
      <c r="N114" s="170">
        <v>1457868.77</v>
      </c>
      <c r="O114" s="170">
        <v>42131.23</v>
      </c>
      <c r="P114" s="170">
        <v>0</v>
      </c>
      <c r="Q114" s="170">
        <v>0</v>
      </c>
      <c r="R114" s="606">
        <v>45777</v>
      </c>
    </row>
    <row r="115" spans="1:18" ht="15.75" hidden="1" x14ac:dyDescent="0.25">
      <c r="A115" s="600" t="s">
        <v>440</v>
      </c>
      <c r="B115" s="603">
        <v>45808</v>
      </c>
      <c r="C115" s="600" t="s">
        <v>442</v>
      </c>
      <c r="D115" s="173">
        <v>6125.41</v>
      </c>
      <c r="E115" s="600" t="s">
        <v>95</v>
      </c>
      <c r="F115" s="600" t="s">
        <v>96</v>
      </c>
      <c r="G115" s="600" t="s">
        <v>27</v>
      </c>
      <c r="H115" s="600" t="s">
        <v>24</v>
      </c>
      <c r="I115" s="600" t="s">
        <v>22</v>
      </c>
      <c r="J115" s="600">
        <v>1020055</v>
      </c>
      <c r="K115" s="600" t="s">
        <v>26</v>
      </c>
      <c r="L115" s="170">
        <v>1001635.3025</v>
      </c>
      <c r="M115" s="170">
        <v>1</v>
      </c>
      <c r="N115" s="170">
        <v>995509.89</v>
      </c>
      <c r="O115" s="170">
        <v>6125.41</v>
      </c>
      <c r="P115" s="170">
        <v>0</v>
      </c>
      <c r="Q115" s="170">
        <v>0</v>
      </c>
      <c r="R115" s="606">
        <v>45777</v>
      </c>
    </row>
    <row r="116" spans="1:18" ht="15.75" hidden="1" x14ac:dyDescent="0.25">
      <c r="A116" s="600" t="s">
        <v>653</v>
      </c>
      <c r="B116" s="603">
        <v>45808</v>
      </c>
      <c r="C116" s="600" t="s">
        <v>263</v>
      </c>
      <c r="D116" s="173">
        <v>3672.58</v>
      </c>
      <c r="E116" s="600" t="s">
        <v>95</v>
      </c>
      <c r="F116" s="600" t="s">
        <v>96</v>
      </c>
      <c r="G116" s="600" t="s">
        <v>27</v>
      </c>
      <c r="H116" s="600" t="s">
        <v>24</v>
      </c>
      <c r="I116" s="600" t="s">
        <v>22</v>
      </c>
      <c r="J116" s="600">
        <v>1020055</v>
      </c>
      <c r="K116" s="600" t="s">
        <v>26</v>
      </c>
      <c r="L116" s="170">
        <v>594305.52</v>
      </c>
      <c r="M116" s="170">
        <v>1</v>
      </c>
      <c r="N116" s="170">
        <v>590632.94000000006</v>
      </c>
      <c r="O116" s="170">
        <v>3672.58</v>
      </c>
      <c r="P116" s="170">
        <v>0</v>
      </c>
      <c r="Q116" s="170">
        <v>0</v>
      </c>
      <c r="R116" s="606">
        <v>45777</v>
      </c>
    </row>
    <row r="117" spans="1:18" ht="15.75" hidden="1" x14ac:dyDescent="0.25">
      <c r="A117" s="600" t="s">
        <v>533</v>
      </c>
      <c r="B117" s="603">
        <v>45799</v>
      </c>
      <c r="C117" s="600" t="s">
        <v>535</v>
      </c>
      <c r="D117" s="173">
        <v>173893.46</v>
      </c>
      <c r="E117" s="600" t="s">
        <v>21</v>
      </c>
      <c r="F117" s="600" t="s">
        <v>22</v>
      </c>
      <c r="G117" s="600" t="s">
        <v>27</v>
      </c>
      <c r="H117" s="600" t="s">
        <v>1791</v>
      </c>
      <c r="I117" s="600" t="s">
        <v>22</v>
      </c>
      <c r="J117" s="600">
        <v>1020055</v>
      </c>
      <c r="K117" s="600" t="s">
        <v>31</v>
      </c>
      <c r="L117" s="170">
        <v>131292</v>
      </c>
      <c r="M117" s="170">
        <v>4.7089499999999997</v>
      </c>
      <c r="N117" s="170">
        <v>444354.00079999998</v>
      </c>
      <c r="O117" s="170">
        <v>173893.46</v>
      </c>
      <c r="P117" s="170">
        <v>0</v>
      </c>
      <c r="Q117" s="170">
        <v>0</v>
      </c>
      <c r="R117" s="606">
        <v>45768</v>
      </c>
    </row>
    <row r="118" spans="1:18" ht="15.75" hidden="1" x14ac:dyDescent="0.25">
      <c r="A118" s="600" t="s">
        <v>536</v>
      </c>
      <c r="B118" s="603">
        <v>45799</v>
      </c>
      <c r="C118" s="600" t="s">
        <v>535</v>
      </c>
      <c r="D118" s="173">
        <v>487054.36</v>
      </c>
      <c r="E118" s="600" t="s">
        <v>21</v>
      </c>
      <c r="F118" s="600" t="s">
        <v>22</v>
      </c>
      <c r="G118" s="600" t="s">
        <v>27</v>
      </c>
      <c r="H118" s="600" t="s">
        <v>1791</v>
      </c>
      <c r="I118" s="600" t="s">
        <v>22</v>
      </c>
      <c r="J118" s="600">
        <v>1020055</v>
      </c>
      <c r="K118" s="600" t="s">
        <v>31</v>
      </c>
      <c r="L118" s="170">
        <v>373015</v>
      </c>
      <c r="M118" s="170">
        <v>4.7089499999999997</v>
      </c>
      <c r="N118" s="170">
        <v>1269454.6215999997</v>
      </c>
      <c r="O118" s="170">
        <v>487054.36</v>
      </c>
      <c r="P118" s="170">
        <v>0</v>
      </c>
      <c r="Q118" s="170">
        <v>0</v>
      </c>
      <c r="R118" s="606">
        <v>45768</v>
      </c>
    </row>
    <row r="119" spans="1:18" ht="15.75" hidden="1" x14ac:dyDescent="0.25">
      <c r="A119" s="600" t="s">
        <v>579</v>
      </c>
      <c r="B119" s="603">
        <v>45793</v>
      </c>
      <c r="C119" s="600" t="s">
        <v>303</v>
      </c>
      <c r="D119" s="173">
        <v>1436354.79</v>
      </c>
      <c r="E119" s="600" t="s">
        <v>373</v>
      </c>
      <c r="F119" s="600" t="s">
        <v>483</v>
      </c>
      <c r="G119" s="600" t="s">
        <v>27</v>
      </c>
      <c r="H119" s="600" t="s">
        <v>72</v>
      </c>
      <c r="I119" s="600" t="s">
        <v>304</v>
      </c>
      <c r="J119" s="600">
        <v>1020098</v>
      </c>
      <c r="K119" s="600" t="s">
        <v>26</v>
      </c>
      <c r="L119" s="170">
        <v>2974166.33</v>
      </c>
      <c r="M119" s="170">
        <v>1</v>
      </c>
      <c r="N119" s="170">
        <v>1537811.54</v>
      </c>
      <c r="O119" s="170">
        <v>1436354.79</v>
      </c>
      <c r="P119" s="170">
        <v>0</v>
      </c>
      <c r="Q119" s="170">
        <v>0</v>
      </c>
      <c r="R119" s="606">
        <v>45762</v>
      </c>
    </row>
    <row r="120" spans="1:18" ht="15.75" hidden="1" x14ac:dyDescent="0.25">
      <c r="A120" s="600" t="s">
        <v>254</v>
      </c>
      <c r="B120" s="603">
        <v>45792</v>
      </c>
      <c r="C120" s="600" t="s">
        <v>3623</v>
      </c>
      <c r="D120" s="173">
        <v>2622594.52</v>
      </c>
      <c r="E120" s="600" t="s">
        <v>21</v>
      </c>
      <c r="F120" s="600" t="s">
        <v>22</v>
      </c>
      <c r="G120" s="600" t="s">
        <v>27</v>
      </c>
      <c r="H120" s="600" t="s">
        <v>1791</v>
      </c>
      <c r="I120" s="600" t="s">
        <v>22</v>
      </c>
      <c r="J120" s="600">
        <v>1020055</v>
      </c>
      <c r="K120" s="600" t="s">
        <v>67</v>
      </c>
      <c r="L120" s="170">
        <v>8182985</v>
      </c>
      <c r="M120" s="170">
        <v>3.9586999999999999</v>
      </c>
      <c r="N120" s="170">
        <v>29771388.196412001</v>
      </c>
      <c r="O120" s="170">
        <v>2622594.52</v>
      </c>
      <c r="P120" s="170">
        <v>0</v>
      </c>
      <c r="Q120" s="170">
        <v>0</v>
      </c>
      <c r="R120" s="606">
        <v>45761</v>
      </c>
    </row>
    <row r="121" spans="1:18" ht="15.75" hidden="1" x14ac:dyDescent="0.25">
      <c r="A121" s="600" t="s">
        <v>602</v>
      </c>
      <c r="B121" s="603">
        <v>45778</v>
      </c>
      <c r="C121" s="600" t="s">
        <v>603</v>
      </c>
      <c r="D121" s="173">
        <v>0.01</v>
      </c>
      <c r="E121" s="600" t="s">
        <v>373</v>
      </c>
      <c r="F121" s="600" t="s">
        <v>63</v>
      </c>
      <c r="G121" s="600" t="s">
        <v>27</v>
      </c>
      <c r="H121" s="600" t="s">
        <v>24</v>
      </c>
      <c r="I121" s="600" t="s">
        <v>22</v>
      </c>
      <c r="J121" s="600">
        <v>1020055</v>
      </c>
      <c r="K121" s="600" t="s">
        <v>26</v>
      </c>
      <c r="L121" s="170">
        <v>507379.58</v>
      </c>
      <c r="M121" s="170">
        <v>1</v>
      </c>
      <c r="N121" s="170">
        <v>507379.57</v>
      </c>
      <c r="O121" s="170">
        <v>0.01</v>
      </c>
      <c r="P121" s="170">
        <v>0</v>
      </c>
      <c r="Q121" s="170">
        <v>0</v>
      </c>
      <c r="R121" s="606">
        <v>45747</v>
      </c>
    </row>
    <row r="122" spans="1:18" ht="15.75" hidden="1" x14ac:dyDescent="0.25">
      <c r="A122" s="600" t="s">
        <v>531</v>
      </c>
      <c r="B122" s="603">
        <v>45778</v>
      </c>
      <c r="C122" s="600" t="s">
        <v>532</v>
      </c>
      <c r="D122" s="173">
        <v>347794.5</v>
      </c>
      <c r="E122" s="600" t="s">
        <v>373</v>
      </c>
      <c r="F122" s="600" t="s">
        <v>483</v>
      </c>
      <c r="G122" s="600" t="s">
        <v>27</v>
      </c>
      <c r="H122" s="600" t="s">
        <v>72</v>
      </c>
      <c r="I122" s="600" t="s">
        <v>304</v>
      </c>
      <c r="J122" s="600">
        <v>1020098</v>
      </c>
      <c r="K122" s="600" t="s">
        <v>26</v>
      </c>
      <c r="L122" s="170">
        <v>9000429</v>
      </c>
      <c r="M122" s="170">
        <v>1</v>
      </c>
      <c r="N122" s="170">
        <v>8652634.5</v>
      </c>
      <c r="O122" s="170">
        <v>347794.5</v>
      </c>
      <c r="P122" s="170">
        <v>0</v>
      </c>
      <c r="Q122" s="170">
        <v>0</v>
      </c>
      <c r="R122" s="606">
        <v>45747</v>
      </c>
    </row>
    <row r="123" spans="1:18" ht="15.75" hidden="1" x14ac:dyDescent="0.25">
      <c r="A123" s="600" t="s">
        <v>555</v>
      </c>
      <c r="B123" s="603">
        <v>45778</v>
      </c>
      <c r="C123" s="600" t="s">
        <v>465</v>
      </c>
      <c r="D123" s="173">
        <v>20579722</v>
      </c>
      <c r="E123" s="600" t="s">
        <v>373</v>
      </c>
      <c r="F123" s="600" t="s">
        <v>483</v>
      </c>
      <c r="G123" s="600" t="s">
        <v>27</v>
      </c>
      <c r="H123" s="600" t="s">
        <v>72</v>
      </c>
      <c r="I123" s="600" t="s">
        <v>304</v>
      </c>
      <c r="J123" s="600">
        <v>1020098</v>
      </c>
      <c r="K123" s="600" t="s">
        <v>26</v>
      </c>
      <c r="L123" s="170">
        <v>50000000</v>
      </c>
      <c r="M123" s="170">
        <v>1</v>
      </c>
      <c r="N123" s="170">
        <v>29420278</v>
      </c>
      <c r="O123" s="170">
        <v>20579722</v>
      </c>
      <c r="P123" s="170">
        <v>0</v>
      </c>
      <c r="Q123" s="170">
        <v>0</v>
      </c>
      <c r="R123" s="606">
        <v>45747</v>
      </c>
    </row>
    <row r="124" spans="1:18" ht="15.75" hidden="1" x14ac:dyDescent="0.25">
      <c r="A124" s="600" t="s">
        <v>691</v>
      </c>
      <c r="B124" s="603">
        <v>45778</v>
      </c>
      <c r="C124" s="600" t="s">
        <v>465</v>
      </c>
      <c r="D124" s="173">
        <v>16731300</v>
      </c>
      <c r="E124" s="600" t="s">
        <v>95</v>
      </c>
      <c r="F124" s="600" t="s">
        <v>96</v>
      </c>
      <c r="G124" s="600" t="s">
        <v>27</v>
      </c>
      <c r="H124" s="600" t="s">
        <v>72</v>
      </c>
      <c r="I124" s="600" t="s">
        <v>304</v>
      </c>
      <c r="J124" s="600">
        <v>1020098</v>
      </c>
      <c r="K124" s="600" t="s">
        <v>26</v>
      </c>
      <c r="L124" s="170">
        <v>30000000</v>
      </c>
      <c r="M124" s="170">
        <v>1</v>
      </c>
      <c r="N124" s="170">
        <v>13268700</v>
      </c>
      <c r="O124" s="170">
        <v>16731300</v>
      </c>
      <c r="P124" s="170">
        <v>0</v>
      </c>
      <c r="Q124" s="170">
        <v>0</v>
      </c>
      <c r="R124" s="606">
        <v>45747</v>
      </c>
    </row>
    <row r="125" spans="1:18" ht="15.75" hidden="1" x14ac:dyDescent="0.25">
      <c r="A125" s="600" t="s">
        <v>575</v>
      </c>
      <c r="B125" s="603">
        <v>45778</v>
      </c>
      <c r="C125" s="600" t="s">
        <v>576</v>
      </c>
      <c r="D125" s="173">
        <v>0.01</v>
      </c>
      <c r="E125" s="600" t="s">
        <v>373</v>
      </c>
      <c r="F125" s="600" t="s">
        <v>483</v>
      </c>
      <c r="G125" s="600" t="s">
        <v>27</v>
      </c>
      <c r="H125" s="600" t="s">
        <v>24</v>
      </c>
      <c r="I125" s="600" t="s">
        <v>22</v>
      </c>
      <c r="J125" s="600">
        <v>1020055</v>
      </c>
      <c r="K125" s="600" t="s">
        <v>26</v>
      </c>
      <c r="L125" s="170">
        <v>1000475.49</v>
      </c>
      <c r="M125" s="170">
        <v>1</v>
      </c>
      <c r="N125" s="170">
        <v>1000475.48</v>
      </c>
      <c r="O125" s="170">
        <v>0.01</v>
      </c>
      <c r="P125" s="170">
        <v>0</v>
      </c>
      <c r="Q125" s="170">
        <v>0</v>
      </c>
      <c r="R125" s="606">
        <v>45747</v>
      </c>
    </row>
    <row r="126" spans="1:18" ht="15.75" hidden="1" x14ac:dyDescent="0.25">
      <c r="A126" s="600" t="s">
        <v>610</v>
      </c>
      <c r="B126" s="603">
        <v>45778</v>
      </c>
      <c r="C126" s="600" t="s">
        <v>532</v>
      </c>
      <c r="D126" s="173">
        <v>72831</v>
      </c>
      <c r="E126" s="600" t="s">
        <v>95</v>
      </c>
      <c r="F126" s="600" t="s">
        <v>96</v>
      </c>
      <c r="G126" s="600" t="s">
        <v>27</v>
      </c>
      <c r="H126" s="600" t="s">
        <v>72</v>
      </c>
      <c r="I126" s="600" t="s">
        <v>304</v>
      </c>
      <c r="J126" s="600">
        <v>1020098</v>
      </c>
      <c r="K126" s="600" t="s">
        <v>26</v>
      </c>
      <c r="L126" s="170">
        <v>18879540</v>
      </c>
      <c r="M126" s="170">
        <v>1</v>
      </c>
      <c r="N126" s="170">
        <v>18806709</v>
      </c>
      <c r="O126" s="170">
        <v>72831</v>
      </c>
      <c r="P126" s="170">
        <v>0</v>
      </c>
      <c r="Q126" s="170">
        <v>0</v>
      </c>
      <c r="R126" s="606">
        <v>45747</v>
      </c>
    </row>
    <row r="127" spans="1:18" ht="15.75" hidden="1" x14ac:dyDescent="0.25">
      <c r="A127" s="600" t="s">
        <v>572</v>
      </c>
      <c r="B127" s="603">
        <v>45778</v>
      </c>
      <c r="C127" s="600" t="s">
        <v>431</v>
      </c>
      <c r="D127" s="173">
        <v>39339.97</v>
      </c>
      <c r="E127" s="600" t="s">
        <v>373</v>
      </c>
      <c r="F127" s="600" t="s">
        <v>483</v>
      </c>
      <c r="G127" s="600" t="s">
        <v>27</v>
      </c>
      <c r="H127" s="600" t="s">
        <v>24</v>
      </c>
      <c r="I127" s="600" t="s">
        <v>22</v>
      </c>
      <c r="J127" s="600">
        <v>1020055</v>
      </c>
      <c r="K127" s="600" t="s">
        <v>26</v>
      </c>
      <c r="L127" s="170">
        <v>531394.88</v>
      </c>
      <c r="M127" s="170">
        <v>1</v>
      </c>
      <c r="N127" s="170">
        <v>492054.91000000003</v>
      </c>
      <c r="O127" s="170">
        <v>39339.97</v>
      </c>
      <c r="P127" s="170">
        <v>0</v>
      </c>
      <c r="Q127" s="170">
        <v>0</v>
      </c>
      <c r="R127" s="606">
        <v>45747</v>
      </c>
    </row>
    <row r="128" spans="1:18" ht="15.75" hidden="1" x14ac:dyDescent="0.25">
      <c r="A128" s="600" t="s">
        <v>686</v>
      </c>
      <c r="B128" s="603">
        <v>45778</v>
      </c>
      <c r="C128" s="600" t="s">
        <v>609</v>
      </c>
      <c r="D128" s="173">
        <v>297550.63</v>
      </c>
      <c r="E128" s="600" t="s">
        <v>95</v>
      </c>
      <c r="F128" s="600" t="s">
        <v>96</v>
      </c>
      <c r="G128" s="600" t="s">
        <v>27</v>
      </c>
      <c r="H128" s="600" t="s">
        <v>72</v>
      </c>
      <c r="I128" s="600" t="s">
        <v>304</v>
      </c>
      <c r="J128" s="600">
        <v>1020098</v>
      </c>
      <c r="K128" s="600" t="s">
        <v>26</v>
      </c>
      <c r="L128" s="170">
        <v>5208739.97</v>
      </c>
      <c r="M128" s="170">
        <v>1</v>
      </c>
      <c r="N128" s="170">
        <v>4911189.34</v>
      </c>
      <c r="O128" s="170">
        <v>297550.63</v>
      </c>
      <c r="P128" s="170">
        <v>0</v>
      </c>
      <c r="Q128" s="170">
        <v>0</v>
      </c>
      <c r="R128" s="606">
        <v>45747</v>
      </c>
    </row>
    <row r="129" spans="1:18" ht="15.75" hidden="1" x14ac:dyDescent="0.25">
      <c r="A129" s="600" t="s">
        <v>488</v>
      </c>
      <c r="B129" s="603">
        <v>45778</v>
      </c>
      <c r="C129" s="600" t="s">
        <v>449</v>
      </c>
      <c r="D129" s="173">
        <v>175153.65</v>
      </c>
      <c r="E129" s="600" t="s">
        <v>21</v>
      </c>
      <c r="F129" s="600" t="s">
        <v>22</v>
      </c>
      <c r="G129" s="600" t="s">
        <v>27</v>
      </c>
      <c r="H129" s="600" t="s">
        <v>72</v>
      </c>
      <c r="I129" s="600" t="s">
        <v>487</v>
      </c>
      <c r="J129" s="600">
        <v>1020060</v>
      </c>
      <c r="K129" s="600" t="s">
        <v>26</v>
      </c>
      <c r="L129" s="170">
        <v>3259208.68</v>
      </c>
      <c r="M129" s="170">
        <v>1</v>
      </c>
      <c r="N129" s="170">
        <v>3084055.03</v>
      </c>
      <c r="O129" s="170">
        <v>175153.65</v>
      </c>
      <c r="P129" s="170">
        <v>0</v>
      </c>
      <c r="Q129" s="170">
        <v>0</v>
      </c>
      <c r="R129" s="606">
        <v>45747</v>
      </c>
    </row>
    <row r="130" spans="1:18" ht="15.75" hidden="1" x14ac:dyDescent="0.25">
      <c r="A130" s="600" t="s">
        <v>370</v>
      </c>
      <c r="B130" s="603">
        <v>45778</v>
      </c>
      <c r="C130" s="600" t="s">
        <v>371</v>
      </c>
      <c r="D130" s="173">
        <v>30000000</v>
      </c>
      <c r="E130" s="600" t="s">
        <v>366</v>
      </c>
      <c r="F130" s="600" t="s">
        <v>367</v>
      </c>
      <c r="G130" s="600" t="s">
        <v>27</v>
      </c>
      <c r="H130" s="600" t="s">
        <v>72</v>
      </c>
      <c r="I130" s="600" t="s">
        <v>367</v>
      </c>
      <c r="J130" s="600">
        <v>1020091</v>
      </c>
      <c r="K130" s="600" t="s">
        <v>26</v>
      </c>
      <c r="L130" s="170">
        <v>30000000</v>
      </c>
      <c r="M130" s="170">
        <v>1</v>
      </c>
      <c r="N130" s="170">
        <v>0</v>
      </c>
      <c r="O130" s="170">
        <v>30000000</v>
      </c>
      <c r="P130" s="170">
        <v>0</v>
      </c>
      <c r="Q130" s="170">
        <v>0</v>
      </c>
      <c r="R130" s="606">
        <v>45747</v>
      </c>
    </row>
    <row r="131" spans="1:18" ht="15.75" hidden="1" x14ac:dyDescent="0.25">
      <c r="A131" s="600" t="s">
        <v>296</v>
      </c>
      <c r="B131" s="603">
        <v>45778</v>
      </c>
      <c r="C131" s="600" t="s">
        <v>297</v>
      </c>
      <c r="D131" s="173">
        <v>2250</v>
      </c>
      <c r="E131" s="600" t="s">
        <v>21</v>
      </c>
      <c r="F131" s="600" t="s">
        <v>22</v>
      </c>
      <c r="G131" s="600" t="s">
        <v>27</v>
      </c>
      <c r="H131" s="600" t="s">
        <v>24</v>
      </c>
      <c r="I131" s="600" t="s">
        <v>22</v>
      </c>
      <c r="J131" s="600">
        <v>1020055</v>
      </c>
      <c r="K131" s="600" t="s">
        <v>191</v>
      </c>
      <c r="L131" s="170">
        <v>750000</v>
      </c>
      <c r="M131" s="170">
        <v>1.03</v>
      </c>
      <c r="N131" s="170">
        <v>770249.99999999988</v>
      </c>
      <c r="O131" s="170">
        <v>2250</v>
      </c>
      <c r="P131" s="170">
        <v>0</v>
      </c>
      <c r="Q131" s="170">
        <v>0</v>
      </c>
      <c r="R131" s="606">
        <v>45747</v>
      </c>
    </row>
    <row r="132" spans="1:18" ht="15.75" hidden="1" x14ac:dyDescent="0.25">
      <c r="A132" s="600" t="s">
        <v>503</v>
      </c>
      <c r="B132" s="603">
        <v>45762</v>
      </c>
      <c r="C132" s="600" t="s">
        <v>303</v>
      </c>
      <c r="D132" s="173">
        <v>2868897.74</v>
      </c>
      <c r="E132" s="600" t="s">
        <v>373</v>
      </c>
      <c r="F132" s="600" t="s">
        <v>63</v>
      </c>
      <c r="G132" s="600" t="s">
        <v>27</v>
      </c>
      <c r="H132" s="600" t="s">
        <v>72</v>
      </c>
      <c r="I132" s="600" t="s">
        <v>304</v>
      </c>
      <c r="J132" s="600">
        <v>1020098</v>
      </c>
      <c r="K132" s="600" t="s">
        <v>26</v>
      </c>
      <c r="L132" s="170">
        <v>2868897.74</v>
      </c>
      <c r="M132" s="170">
        <v>1</v>
      </c>
      <c r="N132" s="170">
        <v>0</v>
      </c>
      <c r="O132" s="170">
        <v>2868897.74</v>
      </c>
      <c r="P132" s="170">
        <v>0</v>
      </c>
      <c r="Q132" s="170">
        <v>0</v>
      </c>
      <c r="R132" s="606">
        <v>45731</v>
      </c>
    </row>
    <row r="133" spans="1:18" ht="15.75" hidden="1" x14ac:dyDescent="0.25">
      <c r="A133" s="600" t="s">
        <v>302</v>
      </c>
      <c r="B133" s="603">
        <v>45762</v>
      </c>
      <c r="C133" s="600" t="s">
        <v>303</v>
      </c>
      <c r="D133" s="173">
        <v>576.75</v>
      </c>
      <c r="E133" s="600" t="s">
        <v>21</v>
      </c>
      <c r="F133" s="600" t="s">
        <v>22</v>
      </c>
      <c r="G133" s="600" t="s">
        <v>27</v>
      </c>
      <c r="H133" s="600" t="s">
        <v>72</v>
      </c>
      <c r="I133" s="600" t="s">
        <v>304</v>
      </c>
      <c r="J133" s="600">
        <v>1020098</v>
      </c>
      <c r="K133" s="600" t="s">
        <v>26</v>
      </c>
      <c r="L133" s="170">
        <v>3059710.07</v>
      </c>
      <c r="M133" s="170">
        <v>1</v>
      </c>
      <c r="N133" s="170">
        <v>3059133.3200000003</v>
      </c>
      <c r="O133" s="170">
        <v>576.75</v>
      </c>
      <c r="P133" s="170">
        <v>0</v>
      </c>
      <c r="Q133" s="170">
        <v>0</v>
      </c>
      <c r="R133" s="606">
        <v>45731</v>
      </c>
    </row>
    <row r="134" spans="1:18" ht="15.75" hidden="1" x14ac:dyDescent="0.25">
      <c r="A134" s="600" t="s">
        <v>430</v>
      </c>
      <c r="B134" s="603">
        <v>45747</v>
      </c>
      <c r="C134" s="600" t="s">
        <v>431</v>
      </c>
      <c r="D134" s="173">
        <v>7310.54</v>
      </c>
      <c r="E134" s="600" t="s">
        <v>95</v>
      </c>
      <c r="F134" s="600" t="s">
        <v>96</v>
      </c>
      <c r="G134" s="600" t="s">
        <v>27</v>
      </c>
      <c r="H134" s="600" t="s">
        <v>24</v>
      </c>
      <c r="I134" s="600" t="s">
        <v>22</v>
      </c>
      <c r="J134" s="600">
        <v>1020055</v>
      </c>
      <c r="K134" s="600" t="s">
        <v>26</v>
      </c>
      <c r="L134" s="170">
        <v>530000</v>
      </c>
      <c r="M134" s="170">
        <v>1</v>
      </c>
      <c r="N134" s="170">
        <v>522689.46</v>
      </c>
      <c r="O134" s="170">
        <v>7310.54</v>
      </c>
      <c r="P134" s="170">
        <v>0</v>
      </c>
      <c r="Q134" s="170">
        <v>0</v>
      </c>
      <c r="R134" s="606">
        <v>45716</v>
      </c>
    </row>
    <row r="135" spans="1:18" ht="15.75" hidden="1" x14ac:dyDescent="0.25">
      <c r="A135" s="600" t="s">
        <v>471</v>
      </c>
      <c r="B135" s="603">
        <v>45747</v>
      </c>
      <c r="C135" s="600" t="s">
        <v>155</v>
      </c>
      <c r="D135" s="173">
        <v>345882.97</v>
      </c>
      <c r="E135" s="600" t="s">
        <v>373</v>
      </c>
      <c r="F135" s="600" t="s">
        <v>63</v>
      </c>
      <c r="G135" s="600" t="s">
        <v>27</v>
      </c>
      <c r="H135" s="600" t="s">
        <v>24</v>
      </c>
      <c r="I135" s="600" t="s">
        <v>407</v>
      </c>
      <c r="J135" s="600">
        <v>1020100</v>
      </c>
      <c r="K135" s="600" t="s">
        <v>26</v>
      </c>
      <c r="L135" s="170">
        <v>2500000</v>
      </c>
      <c r="M135" s="170">
        <v>1</v>
      </c>
      <c r="N135" s="170">
        <v>2154117.0299999998</v>
      </c>
      <c r="O135" s="170">
        <v>345882.97</v>
      </c>
      <c r="P135" s="170">
        <v>0</v>
      </c>
      <c r="Q135" s="170">
        <v>0</v>
      </c>
      <c r="R135" s="606">
        <v>45716</v>
      </c>
    </row>
    <row r="136" spans="1:18" ht="15.75" hidden="1" x14ac:dyDescent="0.25">
      <c r="A136" s="600" t="s">
        <v>497</v>
      </c>
      <c r="B136" s="603">
        <v>45719</v>
      </c>
      <c r="C136" s="600" t="s">
        <v>498</v>
      </c>
      <c r="D136" s="173">
        <v>1181656.28</v>
      </c>
      <c r="E136" s="600" t="s">
        <v>21</v>
      </c>
      <c r="F136" s="600" t="s">
        <v>22</v>
      </c>
      <c r="G136" s="600" t="s">
        <v>27</v>
      </c>
      <c r="H136" s="600" t="s">
        <v>72</v>
      </c>
      <c r="I136" s="600" t="s">
        <v>487</v>
      </c>
      <c r="J136" s="600">
        <v>1020060</v>
      </c>
      <c r="K136" s="600" t="s">
        <v>26</v>
      </c>
      <c r="L136" s="170">
        <v>1181656.28</v>
      </c>
      <c r="M136" s="170">
        <v>1</v>
      </c>
      <c r="N136" s="170">
        <v>0</v>
      </c>
      <c r="O136" s="170">
        <v>1181656.28</v>
      </c>
      <c r="P136" s="170">
        <v>0</v>
      </c>
      <c r="Q136" s="170">
        <v>0</v>
      </c>
      <c r="R136" s="606">
        <v>45688</v>
      </c>
    </row>
    <row r="137" spans="1:18" ht="15.75" hidden="1" x14ac:dyDescent="0.25">
      <c r="A137" s="600" t="s">
        <v>464</v>
      </c>
      <c r="B137" s="603">
        <v>45719</v>
      </c>
      <c r="C137" s="600" t="s">
        <v>465</v>
      </c>
      <c r="D137" s="173">
        <v>2493921.25</v>
      </c>
      <c r="E137" s="600" t="s">
        <v>373</v>
      </c>
      <c r="F137" s="600" t="s">
        <v>63</v>
      </c>
      <c r="G137" s="600" t="s">
        <v>27</v>
      </c>
      <c r="H137" s="600" t="s">
        <v>72</v>
      </c>
      <c r="I137" s="600" t="s">
        <v>304</v>
      </c>
      <c r="J137" s="600">
        <v>1020098</v>
      </c>
      <c r="K137" s="600" t="s">
        <v>26</v>
      </c>
      <c r="L137" s="170">
        <v>10000000</v>
      </c>
      <c r="M137" s="170">
        <v>1</v>
      </c>
      <c r="N137" s="170">
        <v>7506078.75</v>
      </c>
      <c r="O137" s="170">
        <v>2493921.25</v>
      </c>
      <c r="P137" s="170">
        <v>0</v>
      </c>
      <c r="Q137" s="170">
        <v>0</v>
      </c>
      <c r="R137" s="606">
        <v>45688</v>
      </c>
    </row>
    <row r="138" spans="1:18" ht="15.75" hidden="1" x14ac:dyDescent="0.25">
      <c r="A138" s="600" t="s">
        <v>495</v>
      </c>
      <c r="B138" s="603">
        <v>45719</v>
      </c>
      <c r="C138" s="600" t="s">
        <v>496</v>
      </c>
      <c r="D138" s="173">
        <v>364580.36</v>
      </c>
      <c r="E138" s="600" t="s">
        <v>21</v>
      </c>
      <c r="F138" s="600" t="s">
        <v>22</v>
      </c>
      <c r="G138" s="600" t="s">
        <v>27</v>
      </c>
      <c r="H138" s="600" t="s">
        <v>72</v>
      </c>
      <c r="I138" s="600" t="s">
        <v>487</v>
      </c>
      <c r="J138" s="600">
        <v>1020060</v>
      </c>
      <c r="K138" s="600" t="s">
        <v>26</v>
      </c>
      <c r="L138" s="170">
        <v>455725.45</v>
      </c>
      <c r="M138" s="170">
        <v>1</v>
      </c>
      <c r="N138" s="170">
        <v>91145.09</v>
      </c>
      <c r="O138" s="170">
        <v>364580.36</v>
      </c>
      <c r="P138" s="170">
        <v>0</v>
      </c>
      <c r="Q138" s="170">
        <v>0</v>
      </c>
      <c r="R138" s="606">
        <v>45688</v>
      </c>
    </row>
    <row r="139" spans="1:18" ht="15.75" hidden="1" x14ac:dyDescent="0.25">
      <c r="A139" s="600" t="s">
        <v>476</v>
      </c>
      <c r="B139" s="603">
        <v>45719</v>
      </c>
      <c r="C139" s="600" t="s">
        <v>477</v>
      </c>
      <c r="D139" s="173">
        <v>6450</v>
      </c>
      <c r="E139" s="600" t="s">
        <v>373</v>
      </c>
      <c r="F139" s="600" t="s">
        <v>63</v>
      </c>
      <c r="G139" s="600" t="s">
        <v>27</v>
      </c>
      <c r="H139" s="600" t="s">
        <v>24</v>
      </c>
      <c r="I139" s="600" t="s">
        <v>407</v>
      </c>
      <c r="J139" s="600">
        <v>1020100</v>
      </c>
      <c r="K139" s="600" t="s">
        <v>26</v>
      </c>
      <c r="L139" s="170">
        <v>1900000</v>
      </c>
      <c r="M139" s="170">
        <v>1</v>
      </c>
      <c r="N139" s="170">
        <v>1893550</v>
      </c>
      <c r="O139" s="170">
        <v>6450</v>
      </c>
      <c r="P139" s="170">
        <v>0</v>
      </c>
      <c r="Q139" s="170">
        <v>0</v>
      </c>
      <c r="R139" s="606">
        <v>45688</v>
      </c>
    </row>
    <row r="140" spans="1:18" ht="15.75" hidden="1" x14ac:dyDescent="0.25">
      <c r="A140" s="600" t="s">
        <v>468</v>
      </c>
      <c r="B140" s="603">
        <v>45719</v>
      </c>
      <c r="C140" s="600" t="s">
        <v>469</v>
      </c>
      <c r="D140" s="173">
        <v>329688.36</v>
      </c>
      <c r="E140" s="600" t="s">
        <v>366</v>
      </c>
      <c r="F140" s="600" t="s">
        <v>367</v>
      </c>
      <c r="G140" s="600" t="s">
        <v>27</v>
      </c>
      <c r="H140" s="600" t="s">
        <v>72</v>
      </c>
      <c r="I140" s="600" t="s">
        <v>367</v>
      </c>
      <c r="J140" s="600">
        <v>1020091</v>
      </c>
      <c r="K140" s="600" t="s">
        <v>191</v>
      </c>
      <c r="L140" s="170">
        <v>4156524</v>
      </c>
      <c r="M140" s="170">
        <v>1.026</v>
      </c>
      <c r="N140" s="170">
        <v>3934905.2673540004</v>
      </c>
      <c r="O140" s="170">
        <v>329688.36</v>
      </c>
      <c r="P140" s="170">
        <v>0</v>
      </c>
      <c r="Q140" s="170">
        <v>0</v>
      </c>
      <c r="R140" s="606">
        <v>45688</v>
      </c>
    </row>
    <row r="141" spans="1:18" ht="15.75" hidden="1" x14ac:dyDescent="0.25">
      <c r="A141" s="600" t="s">
        <v>508</v>
      </c>
      <c r="B141" s="603">
        <v>45719</v>
      </c>
      <c r="C141" s="600" t="s">
        <v>510</v>
      </c>
      <c r="D141" s="173">
        <v>10.45</v>
      </c>
      <c r="E141" s="600" t="s">
        <v>373</v>
      </c>
      <c r="F141" s="600" t="s">
        <v>63</v>
      </c>
      <c r="G141" s="600" t="s">
        <v>27</v>
      </c>
      <c r="H141" s="600" t="s">
        <v>72</v>
      </c>
      <c r="I141" s="600" t="s">
        <v>511</v>
      </c>
      <c r="J141" s="600">
        <v>1020107</v>
      </c>
      <c r="K141" s="600" t="s">
        <v>26</v>
      </c>
      <c r="L141" s="170">
        <v>4262455.25</v>
      </c>
      <c r="M141" s="170">
        <v>1</v>
      </c>
      <c r="N141" s="170">
        <v>4262444.8</v>
      </c>
      <c r="O141" s="170">
        <v>10.45</v>
      </c>
      <c r="P141" s="170">
        <v>0</v>
      </c>
      <c r="Q141" s="170">
        <v>0</v>
      </c>
      <c r="R141" s="606">
        <v>45688</v>
      </c>
    </row>
    <row r="142" spans="1:18" ht="15.75" hidden="1" x14ac:dyDescent="0.25">
      <c r="A142" s="600" t="s">
        <v>489</v>
      </c>
      <c r="B142" s="603">
        <v>45719</v>
      </c>
      <c r="C142" s="600" t="s">
        <v>490</v>
      </c>
      <c r="D142" s="173">
        <v>308568.56</v>
      </c>
      <c r="E142" s="600" t="s">
        <v>21</v>
      </c>
      <c r="F142" s="600" t="s">
        <v>22</v>
      </c>
      <c r="G142" s="600" t="s">
        <v>27</v>
      </c>
      <c r="H142" s="600" t="s">
        <v>72</v>
      </c>
      <c r="I142" s="600" t="s">
        <v>487</v>
      </c>
      <c r="J142" s="600">
        <v>1020060</v>
      </c>
      <c r="K142" s="600" t="s">
        <v>26</v>
      </c>
      <c r="L142" s="170">
        <v>1167116.6000000001</v>
      </c>
      <c r="M142" s="170">
        <v>1</v>
      </c>
      <c r="N142" s="170">
        <v>858548.04</v>
      </c>
      <c r="O142" s="170">
        <v>308568.56</v>
      </c>
      <c r="P142" s="170">
        <v>0</v>
      </c>
      <c r="Q142" s="170">
        <v>0</v>
      </c>
      <c r="R142" s="606">
        <v>45688</v>
      </c>
    </row>
    <row r="143" spans="1:18" ht="15.75" hidden="1" x14ac:dyDescent="0.25">
      <c r="A143" s="600" t="s">
        <v>491</v>
      </c>
      <c r="B143" s="603">
        <v>45719</v>
      </c>
      <c r="C143" s="600" t="s">
        <v>492</v>
      </c>
      <c r="D143" s="173">
        <v>807357.5</v>
      </c>
      <c r="E143" s="600" t="s">
        <v>21</v>
      </c>
      <c r="F143" s="600" t="s">
        <v>22</v>
      </c>
      <c r="G143" s="600" t="s">
        <v>27</v>
      </c>
      <c r="H143" s="600" t="s">
        <v>72</v>
      </c>
      <c r="I143" s="600" t="s">
        <v>487</v>
      </c>
      <c r="J143" s="600">
        <v>1020060</v>
      </c>
      <c r="K143" s="600" t="s">
        <v>26</v>
      </c>
      <c r="L143" s="170">
        <v>807357.5</v>
      </c>
      <c r="M143" s="170">
        <v>1</v>
      </c>
      <c r="N143" s="170">
        <v>0</v>
      </c>
      <c r="O143" s="170">
        <v>807357.5</v>
      </c>
      <c r="P143" s="170">
        <v>0</v>
      </c>
      <c r="Q143" s="170">
        <v>0</v>
      </c>
      <c r="R143" s="606">
        <v>45688</v>
      </c>
    </row>
    <row r="144" spans="1:18" ht="15.75" hidden="1" x14ac:dyDescent="0.25">
      <c r="A144" s="600" t="s">
        <v>470</v>
      </c>
      <c r="B144" s="603">
        <v>45719</v>
      </c>
      <c r="C144" s="600" t="s">
        <v>453</v>
      </c>
      <c r="D144" s="173">
        <v>9033955.5800000001</v>
      </c>
      <c r="E144" s="600" t="s">
        <v>366</v>
      </c>
      <c r="F144" s="600" t="s">
        <v>367</v>
      </c>
      <c r="G144" s="600" t="s">
        <v>27</v>
      </c>
      <c r="H144" s="600" t="s">
        <v>72</v>
      </c>
      <c r="I144" s="600" t="s">
        <v>367</v>
      </c>
      <c r="J144" s="600">
        <v>1020091</v>
      </c>
      <c r="K144" s="600" t="s">
        <v>191</v>
      </c>
      <c r="L144" s="170">
        <v>11192216</v>
      </c>
      <c r="M144" s="170">
        <v>1.03</v>
      </c>
      <c r="N144" s="170">
        <v>2494026.8997599999</v>
      </c>
      <c r="O144" s="170">
        <v>9033955.5800000001</v>
      </c>
      <c r="P144" s="170">
        <v>0</v>
      </c>
      <c r="Q144" s="170">
        <v>0</v>
      </c>
      <c r="R144" s="606">
        <v>45688</v>
      </c>
    </row>
    <row r="145" spans="1:18" ht="15.75" hidden="1" x14ac:dyDescent="0.25">
      <c r="A145" s="600" t="s">
        <v>258</v>
      </c>
      <c r="B145" s="603">
        <v>45719</v>
      </c>
      <c r="C145" s="600" t="s">
        <v>259</v>
      </c>
      <c r="D145" s="173">
        <v>569250</v>
      </c>
      <c r="E145" s="600" t="s">
        <v>21</v>
      </c>
      <c r="F145" s="600" t="s">
        <v>22</v>
      </c>
      <c r="G145" s="600" t="s">
        <v>27</v>
      </c>
      <c r="H145" s="600" t="s">
        <v>24</v>
      </c>
      <c r="I145" s="600" t="s">
        <v>22</v>
      </c>
      <c r="J145" s="600">
        <v>1020055</v>
      </c>
      <c r="K145" s="600" t="s">
        <v>26</v>
      </c>
      <c r="L145" s="170">
        <v>2846250</v>
      </c>
      <c r="M145" s="170">
        <v>1</v>
      </c>
      <c r="N145" s="170">
        <v>2277000</v>
      </c>
      <c r="O145" s="170">
        <v>569250</v>
      </c>
      <c r="P145" s="170">
        <v>0</v>
      </c>
      <c r="Q145" s="170">
        <v>0</v>
      </c>
      <c r="R145" s="606">
        <v>45688</v>
      </c>
    </row>
    <row r="146" spans="1:18" ht="15.75" x14ac:dyDescent="0.25">
      <c r="A146" s="600" t="s">
        <v>320</v>
      </c>
      <c r="B146" s="603">
        <v>45718</v>
      </c>
      <c r="C146" s="600" t="s">
        <v>316</v>
      </c>
      <c r="D146" s="173">
        <v>89328.75</v>
      </c>
      <c r="E146" s="600" t="s">
        <v>62</v>
      </c>
      <c r="F146" s="600" t="s">
        <v>70</v>
      </c>
      <c r="G146" s="600" t="s">
        <v>70</v>
      </c>
      <c r="H146" s="600" t="s">
        <v>72</v>
      </c>
      <c r="I146" s="600" t="s">
        <v>213</v>
      </c>
      <c r="J146" s="600">
        <v>1020015</v>
      </c>
      <c r="K146" s="600" t="s">
        <v>191</v>
      </c>
      <c r="L146" s="170">
        <v>10215283.68</v>
      </c>
      <c r="M146" s="170">
        <v>1.03</v>
      </c>
      <c r="N146" s="170">
        <v>10432413.443347</v>
      </c>
      <c r="O146" s="170">
        <v>89328.75</v>
      </c>
      <c r="P146" s="170">
        <v>0</v>
      </c>
      <c r="Q146" s="170">
        <v>0</v>
      </c>
      <c r="R146" s="606">
        <v>45687</v>
      </c>
    </row>
    <row r="147" spans="1:18" ht="15.75" x14ac:dyDescent="0.25">
      <c r="A147" s="600" t="s">
        <v>726</v>
      </c>
      <c r="B147" s="603">
        <v>45703</v>
      </c>
      <c r="C147" s="600" t="s">
        <v>310</v>
      </c>
      <c r="D147" s="173">
        <v>0.55000000000000004</v>
      </c>
      <c r="E147" s="600" t="s">
        <v>62</v>
      </c>
      <c r="F147" s="600" t="s">
        <v>70</v>
      </c>
      <c r="G147" s="600" t="s">
        <v>70</v>
      </c>
      <c r="H147" s="600" t="s">
        <v>80</v>
      </c>
      <c r="I147" s="600" t="s">
        <v>81</v>
      </c>
      <c r="J147" s="600">
        <v>1020070</v>
      </c>
      <c r="K147" s="600" t="s">
        <v>26</v>
      </c>
      <c r="L147" s="170">
        <v>1326959.55</v>
      </c>
      <c r="M147" s="170">
        <v>1</v>
      </c>
      <c r="N147" s="170">
        <v>1326959</v>
      </c>
      <c r="O147" s="170">
        <v>0.55000000000000004</v>
      </c>
      <c r="P147" s="170">
        <v>0</v>
      </c>
      <c r="Q147" s="170">
        <v>0</v>
      </c>
      <c r="R147" s="606">
        <v>45672</v>
      </c>
    </row>
    <row r="148" spans="1:18" ht="15.75" hidden="1" x14ac:dyDescent="0.25">
      <c r="A148" s="600" t="s">
        <v>277</v>
      </c>
      <c r="B148" s="603">
        <v>45688</v>
      </c>
      <c r="C148" s="600" t="s">
        <v>278</v>
      </c>
      <c r="D148" s="173">
        <v>5319603.3</v>
      </c>
      <c r="E148" s="600" t="s">
        <v>21</v>
      </c>
      <c r="F148" s="600" t="s">
        <v>22</v>
      </c>
      <c r="G148" s="600" t="s">
        <v>27</v>
      </c>
      <c r="H148" s="600" t="s">
        <v>72</v>
      </c>
      <c r="I148" s="600" t="s">
        <v>22</v>
      </c>
      <c r="J148" s="600">
        <v>1020055</v>
      </c>
      <c r="K148" s="600" t="s">
        <v>26</v>
      </c>
      <c r="L148" s="170">
        <v>5319603.3000000007</v>
      </c>
      <c r="M148" s="170">
        <v>1</v>
      </c>
      <c r="N148" s="170">
        <v>0</v>
      </c>
      <c r="O148" s="170">
        <v>5319603.3</v>
      </c>
      <c r="P148" s="170">
        <v>0</v>
      </c>
      <c r="Q148" s="170">
        <v>0</v>
      </c>
      <c r="R148" s="606">
        <v>45657</v>
      </c>
    </row>
    <row r="149" spans="1:18" ht="15.75" x14ac:dyDescent="0.25">
      <c r="A149" s="600" t="s">
        <v>319</v>
      </c>
      <c r="B149" s="603">
        <v>45688</v>
      </c>
      <c r="C149" s="600" t="s">
        <v>71</v>
      </c>
      <c r="D149" s="173">
        <v>1122420.18</v>
      </c>
      <c r="E149" s="600" t="s">
        <v>62</v>
      </c>
      <c r="F149" s="600" t="s">
        <v>70</v>
      </c>
      <c r="G149" s="600" t="s">
        <v>70</v>
      </c>
      <c r="H149" s="600" t="s">
        <v>72</v>
      </c>
      <c r="I149" s="600" t="s">
        <v>213</v>
      </c>
      <c r="J149" s="600">
        <v>1020015</v>
      </c>
      <c r="K149" s="600" t="s">
        <v>67</v>
      </c>
      <c r="L149" s="170">
        <v>964422.8</v>
      </c>
      <c r="M149" s="170">
        <v>4.8235000000000001</v>
      </c>
      <c r="N149" s="170">
        <v>3529473.1941499999</v>
      </c>
      <c r="O149" s="170">
        <v>1122420.18</v>
      </c>
      <c r="P149" s="170">
        <v>0</v>
      </c>
      <c r="Q149" s="170">
        <v>0</v>
      </c>
      <c r="R149" s="606">
        <v>45657</v>
      </c>
    </row>
    <row r="150" spans="1:18" ht="15.75" hidden="1" x14ac:dyDescent="0.25">
      <c r="A150" s="600" t="s">
        <v>428</v>
      </c>
      <c r="B150" s="603">
        <v>45688</v>
      </c>
      <c r="C150" s="600" t="s">
        <v>429</v>
      </c>
      <c r="D150" s="173">
        <v>16908.45</v>
      </c>
      <c r="E150" s="600" t="s">
        <v>95</v>
      </c>
      <c r="F150" s="600" t="s">
        <v>96</v>
      </c>
      <c r="G150" s="600" t="s">
        <v>27</v>
      </c>
      <c r="H150" s="600" t="s">
        <v>24</v>
      </c>
      <c r="I150" s="600" t="s">
        <v>22</v>
      </c>
      <c r="J150" s="600">
        <v>1020055</v>
      </c>
      <c r="K150" s="600" t="s">
        <v>26</v>
      </c>
      <c r="L150" s="170">
        <v>933207.66</v>
      </c>
      <c r="M150" s="170">
        <v>1</v>
      </c>
      <c r="N150" s="170">
        <v>916299.21</v>
      </c>
      <c r="O150" s="170">
        <v>16908.45</v>
      </c>
      <c r="P150" s="170">
        <v>0</v>
      </c>
      <c r="Q150" s="170">
        <v>0</v>
      </c>
      <c r="R150" s="606">
        <v>45657</v>
      </c>
    </row>
    <row r="151" spans="1:18" ht="15.75" hidden="1" x14ac:dyDescent="0.25">
      <c r="A151" s="600" t="s">
        <v>458</v>
      </c>
      <c r="B151" s="603">
        <v>45662</v>
      </c>
      <c r="C151" s="600" t="s">
        <v>459</v>
      </c>
      <c r="D151" s="173">
        <v>71300</v>
      </c>
      <c r="E151" s="600" t="s">
        <v>373</v>
      </c>
      <c r="F151" s="600" t="s">
        <v>63</v>
      </c>
      <c r="G151" s="600" t="s">
        <v>27</v>
      </c>
      <c r="H151" s="600" t="s">
        <v>72</v>
      </c>
      <c r="I151" s="600" t="s">
        <v>81</v>
      </c>
      <c r="J151" s="600">
        <v>1020070</v>
      </c>
      <c r="K151" s="600" t="s">
        <v>26</v>
      </c>
      <c r="L151" s="170">
        <v>71300</v>
      </c>
      <c r="M151" s="170">
        <v>1</v>
      </c>
      <c r="N151" s="170">
        <v>0</v>
      </c>
      <c r="O151" s="170">
        <v>71300</v>
      </c>
      <c r="P151" s="170">
        <v>0</v>
      </c>
      <c r="Q151" s="170">
        <v>0</v>
      </c>
      <c r="R151" s="606">
        <v>45631</v>
      </c>
    </row>
    <row r="152" spans="1:18" ht="15.75" hidden="1" x14ac:dyDescent="0.25">
      <c r="A152" s="600" t="s">
        <v>382</v>
      </c>
      <c r="B152" s="603">
        <v>45657</v>
      </c>
      <c r="C152" s="600" t="s">
        <v>263</v>
      </c>
      <c r="D152" s="173">
        <v>9946.41</v>
      </c>
      <c r="E152" s="600" t="s">
        <v>95</v>
      </c>
      <c r="F152" s="600" t="s">
        <v>96</v>
      </c>
      <c r="G152" s="600" t="s">
        <v>27</v>
      </c>
      <c r="H152" s="600" t="s">
        <v>24</v>
      </c>
      <c r="I152" s="600" t="s">
        <v>22</v>
      </c>
      <c r="J152" s="600">
        <v>1020055</v>
      </c>
      <c r="K152" s="600" t="s">
        <v>26</v>
      </c>
      <c r="L152" s="170">
        <v>2019034.07</v>
      </c>
      <c r="M152" s="170">
        <v>1</v>
      </c>
      <c r="N152" s="170">
        <v>2009087.66</v>
      </c>
      <c r="O152" s="170">
        <v>9946.41</v>
      </c>
      <c r="P152" s="170">
        <v>0</v>
      </c>
      <c r="Q152" s="170">
        <v>0</v>
      </c>
      <c r="R152" s="606">
        <v>45626</v>
      </c>
    </row>
    <row r="153" spans="1:18" ht="15.75" hidden="1" x14ac:dyDescent="0.25">
      <c r="A153" s="600" t="s">
        <v>336</v>
      </c>
      <c r="B153" s="603">
        <v>45657</v>
      </c>
      <c r="C153" s="600" t="s">
        <v>263</v>
      </c>
      <c r="D153" s="173">
        <v>27166.91</v>
      </c>
      <c r="E153" s="600" t="s">
        <v>95</v>
      </c>
      <c r="F153" s="600" t="s">
        <v>96</v>
      </c>
      <c r="G153" s="600" t="s">
        <v>27</v>
      </c>
      <c r="H153" s="600" t="s">
        <v>24</v>
      </c>
      <c r="I153" s="600" t="s">
        <v>22</v>
      </c>
      <c r="J153" s="600">
        <v>1020055</v>
      </c>
      <c r="K153" s="600" t="s">
        <v>26</v>
      </c>
      <c r="L153" s="170">
        <v>2588066.71</v>
      </c>
      <c r="M153" s="170">
        <v>1</v>
      </c>
      <c r="N153" s="170">
        <v>2560899.8000000003</v>
      </c>
      <c r="O153" s="170">
        <v>27166.91</v>
      </c>
      <c r="P153" s="170">
        <v>0</v>
      </c>
      <c r="Q153" s="170">
        <v>0</v>
      </c>
      <c r="R153" s="606">
        <v>45626</v>
      </c>
    </row>
    <row r="154" spans="1:18" ht="15.75" x14ac:dyDescent="0.25">
      <c r="A154" s="600" t="s">
        <v>725</v>
      </c>
      <c r="B154" s="603">
        <v>45653</v>
      </c>
      <c r="C154" s="600" t="s">
        <v>89</v>
      </c>
      <c r="D154" s="173">
        <v>-4292347.0199999996</v>
      </c>
      <c r="E154" s="600" t="s">
        <v>62</v>
      </c>
      <c r="F154" s="600" t="s">
        <v>70</v>
      </c>
      <c r="G154" s="600" t="s">
        <v>70</v>
      </c>
      <c r="H154" s="600" t="s">
        <v>80</v>
      </c>
      <c r="I154" s="600" t="s">
        <v>90</v>
      </c>
      <c r="J154" s="600">
        <v>1020001</v>
      </c>
      <c r="K154" s="600" t="s">
        <v>26</v>
      </c>
      <c r="L154" s="170">
        <v>2878521.22</v>
      </c>
      <c r="M154" s="170">
        <v>1</v>
      </c>
      <c r="N154" s="170">
        <v>7170868.2400000002</v>
      </c>
      <c r="O154" s="170">
        <v>-4292347.0199999996</v>
      </c>
      <c r="P154" s="170">
        <v>0</v>
      </c>
      <c r="Q154" s="170">
        <v>0</v>
      </c>
      <c r="R154" s="606">
        <v>45622</v>
      </c>
    </row>
    <row r="155" spans="1:18" ht="15.75" x14ac:dyDescent="0.25">
      <c r="A155" s="600" t="s">
        <v>312</v>
      </c>
      <c r="B155" s="603">
        <v>45653</v>
      </c>
      <c r="C155" s="600" t="s">
        <v>89</v>
      </c>
      <c r="D155" s="173">
        <v>100</v>
      </c>
      <c r="E155" s="600" t="s">
        <v>62</v>
      </c>
      <c r="F155" s="600" t="s">
        <v>63</v>
      </c>
      <c r="G155" s="600" t="s">
        <v>27</v>
      </c>
      <c r="H155" s="600" t="s">
        <v>80</v>
      </c>
      <c r="I155" s="600" t="s">
        <v>90</v>
      </c>
      <c r="J155" s="600">
        <v>1020001</v>
      </c>
      <c r="K155" s="600" t="s">
        <v>26</v>
      </c>
      <c r="L155" s="170">
        <v>5540467.0099999998</v>
      </c>
      <c r="M155" s="170">
        <v>1</v>
      </c>
      <c r="N155" s="170">
        <v>5540367.0099999998</v>
      </c>
      <c r="O155" s="170">
        <v>100</v>
      </c>
      <c r="P155" s="170">
        <v>0</v>
      </c>
      <c r="Q155" s="170">
        <v>0</v>
      </c>
      <c r="R155" s="606">
        <v>45622</v>
      </c>
    </row>
    <row r="156" spans="1:18" ht="15.75" hidden="1" x14ac:dyDescent="0.25">
      <c r="A156" s="600" t="s">
        <v>279</v>
      </c>
      <c r="B156" s="603">
        <v>45627</v>
      </c>
      <c r="C156" s="600" t="s">
        <v>280</v>
      </c>
      <c r="D156" s="173">
        <v>10080.14</v>
      </c>
      <c r="E156" s="600" t="s">
        <v>21</v>
      </c>
      <c r="F156" s="600" t="s">
        <v>22</v>
      </c>
      <c r="G156" s="600" t="s">
        <v>27</v>
      </c>
      <c r="H156" s="600" t="s">
        <v>24</v>
      </c>
      <c r="I156" s="600" t="s">
        <v>22</v>
      </c>
      <c r="J156" s="600">
        <v>1020055</v>
      </c>
      <c r="K156" s="600" t="s">
        <v>26</v>
      </c>
      <c r="L156" s="170">
        <v>2000000</v>
      </c>
      <c r="M156" s="170">
        <v>1</v>
      </c>
      <c r="N156" s="170">
        <v>1989919.86</v>
      </c>
      <c r="O156" s="170">
        <v>10080.14</v>
      </c>
      <c r="P156" s="170">
        <v>0</v>
      </c>
      <c r="Q156" s="170">
        <v>0</v>
      </c>
      <c r="R156" s="606">
        <v>45596</v>
      </c>
    </row>
    <row r="157" spans="1:18" ht="15.75" hidden="1" x14ac:dyDescent="0.25">
      <c r="A157" s="600" t="s">
        <v>326</v>
      </c>
      <c r="B157" s="603">
        <v>45627</v>
      </c>
      <c r="C157" s="600" t="s">
        <v>327</v>
      </c>
      <c r="D157" s="173">
        <v>293580.94</v>
      </c>
      <c r="E157" s="600" t="s">
        <v>95</v>
      </c>
      <c r="F157" s="600" t="s">
        <v>96</v>
      </c>
      <c r="G157" s="600" t="s">
        <v>27</v>
      </c>
      <c r="H157" s="600" t="s">
        <v>72</v>
      </c>
      <c r="I157" s="600" t="s">
        <v>328</v>
      </c>
      <c r="J157" s="600">
        <v>1020097</v>
      </c>
      <c r="K157" s="600" t="s">
        <v>67</v>
      </c>
      <c r="L157" s="170">
        <v>1497459.08</v>
      </c>
      <c r="M157" s="170">
        <v>4.2640440899999996</v>
      </c>
      <c r="N157" s="170">
        <v>6091650.6007849993</v>
      </c>
      <c r="O157" s="170">
        <v>293580.94</v>
      </c>
      <c r="P157" s="170">
        <v>0</v>
      </c>
      <c r="Q157" s="170">
        <v>0</v>
      </c>
      <c r="R157" s="606">
        <v>45596</v>
      </c>
    </row>
    <row r="158" spans="1:18" ht="15.75" hidden="1" x14ac:dyDescent="0.25">
      <c r="A158" s="600" t="s">
        <v>262</v>
      </c>
      <c r="B158" s="603">
        <v>45596</v>
      </c>
      <c r="C158" s="600" t="s">
        <v>263</v>
      </c>
      <c r="D158" s="173">
        <v>6049.69</v>
      </c>
      <c r="E158" s="600" t="s">
        <v>21</v>
      </c>
      <c r="F158" s="600" t="s">
        <v>22</v>
      </c>
      <c r="G158" s="600" t="s">
        <v>70</v>
      </c>
      <c r="H158" s="600" t="s">
        <v>24</v>
      </c>
      <c r="I158" s="600" t="s">
        <v>22</v>
      </c>
      <c r="J158" s="600">
        <v>1020055</v>
      </c>
      <c r="K158" s="600" t="s">
        <v>26</v>
      </c>
      <c r="L158" s="170">
        <v>3000000</v>
      </c>
      <c r="M158" s="170">
        <v>1</v>
      </c>
      <c r="N158" s="170">
        <v>2993950.31</v>
      </c>
      <c r="O158" s="170">
        <v>6049.69</v>
      </c>
      <c r="P158" s="170">
        <v>0</v>
      </c>
      <c r="Q158" s="170">
        <v>0</v>
      </c>
      <c r="R158" s="606">
        <v>45565</v>
      </c>
    </row>
    <row r="159" spans="1:18" ht="15.75" hidden="1" x14ac:dyDescent="0.25">
      <c r="A159" s="600" t="s">
        <v>265</v>
      </c>
      <c r="B159" s="603">
        <v>45596</v>
      </c>
      <c r="C159" s="600" t="s">
        <v>266</v>
      </c>
      <c r="D159" s="173">
        <v>50000</v>
      </c>
      <c r="E159" s="600" t="s">
        <v>21</v>
      </c>
      <c r="F159" s="600" t="s">
        <v>22</v>
      </c>
      <c r="G159" s="600" t="s">
        <v>27</v>
      </c>
      <c r="H159" s="600" t="s">
        <v>24</v>
      </c>
      <c r="I159" s="600" t="s">
        <v>22</v>
      </c>
      <c r="J159" s="600">
        <v>1020055</v>
      </c>
      <c r="K159" s="600" t="s">
        <v>26</v>
      </c>
      <c r="L159" s="170">
        <v>750000</v>
      </c>
      <c r="M159" s="170">
        <v>1</v>
      </c>
      <c r="N159" s="170">
        <v>700000</v>
      </c>
      <c r="O159" s="170">
        <v>50000</v>
      </c>
      <c r="P159" s="170">
        <v>0</v>
      </c>
      <c r="Q159" s="170">
        <v>0</v>
      </c>
      <c r="R159" s="606">
        <v>45565</v>
      </c>
    </row>
    <row r="160" spans="1:18" ht="15.75" hidden="1" x14ac:dyDescent="0.25">
      <c r="A160" s="600" t="s">
        <v>323</v>
      </c>
      <c r="B160" s="603">
        <v>45596</v>
      </c>
      <c r="C160" s="600" t="s">
        <v>324</v>
      </c>
      <c r="D160" s="173">
        <v>39939.54</v>
      </c>
      <c r="E160" s="600" t="s">
        <v>95</v>
      </c>
      <c r="F160" s="600" t="s">
        <v>96</v>
      </c>
      <c r="G160" s="600" t="s">
        <v>27</v>
      </c>
      <c r="H160" s="600" t="s">
        <v>72</v>
      </c>
      <c r="I160" s="600" t="s">
        <v>325</v>
      </c>
      <c r="J160" s="600">
        <v>1020068</v>
      </c>
      <c r="K160" s="600" t="s">
        <v>67</v>
      </c>
      <c r="L160" s="170">
        <v>217790.5</v>
      </c>
      <c r="M160" s="170">
        <v>4.3951000000000002</v>
      </c>
      <c r="N160" s="170">
        <v>917271.48402500013</v>
      </c>
      <c r="O160" s="170">
        <v>39939.54</v>
      </c>
      <c r="P160" s="170">
        <v>0</v>
      </c>
      <c r="Q160" s="170">
        <v>0</v>
      </c>
      <c r="R160" s="606">
        <v>45565</v>
      </c>
    </row>
    <row r="161" spans="1:18" ht="15.75" hidden="1" x14ac:dyDescent="0.25">
      <c r="A161" s="600" t="s">
        <v>250</v>
      </c>
      <c r="B161" s="603">
        <v>45596</v>
      </c>
      <c r="C161" s="600" t="s">
        <v>251</v>
      </c>
      <c r="D161" s="173">
        <v>108859.83</v>
      </c>
      <c r="E161" s="600" t="s">
        <v>21</v>
      </c>
      <c r="F161" s="600" t="s">
        <v>22</v>
      </c>
      <c r="G161" s="600" t="s">
        <v>27</v>
      </c>
      <c r="H161" s="600" t="s">
        <v>72</v>
      </c>
      <c r="I161" s="600" t="s">
        <v>213</v>
      </c>
      <c r="J161" s="600">
        <v>1020015</v>
      </c>
      <c r="K161" s="600" t="s">
        <v>67</v>
      </c>
      <c r="L161" s="170">
        <v>3740702.82</v>
      </c>
      <c r="M161" s="170">
        <v>4.1420000000000003</v>
      </c>
      <c r="N161" s="170">
        <v>15385131.247946013</v>
      </c>
      <c r="O161" s="170">
        <v>108859.83</v>
      </c>
      <c r="P161" s="170">
        <v>0</v>
      </c>
      <c r="Q161" s="170">
        <v>0</v>
      </c>
      <c r="R161" s="606">
        <v>45565</v>
      </c>
    </row>
    <row r="162" spans="1:18" ht="15.75" hidden="1" x14ac:dyDescent="0.25">
      <c r="A162" s="600" t="s">
        <v>253</v>
      </c>
      <c r="B162" s="603">
        <v>45582</v>
      </c>
      <c r="C162" s="600" t="s">
        <v>30</v>
      </c>
      <c r="D162" s="173">
        <v>1271590.32</v>
      </c>
      <c r="E162" s="600" t="s">
        <v>21</v>
      </c>
      <c r="F162" s="600" t="s">
        <v>22</v>
      </c>
      <c r="G162" s="600" t="s">
        <v>27</v>
      </c>
      <c r="H162" s="600" t="s">
        <v>1791</v>
      </c>
      <c r="I162" s="600" t="s">
        <v>22</v>
      </c>
      <c r="J162" s="600">
        <v>1020055</v>
      </c>
      <c r="K162" s="600" t="s">
        <v>31</v>
      </c>
      <c r="L162" s="170">
        <v>3834246</v>
      </c>
      <c r="M162" s="170">
        <v>4.7802300000000004</v>
      </c>
      <c r="N162" s="170">
        <v>17056987.438388038</v>
      </c>
      <c r="O162" s="170">
        <v>1271590.32</v>
      </c>
      <c r="P162" s="170">
        <v>0</v>
      </c>
      <c r="Q162" s="170">
        <v>0</v>
      </c>
      <c r="R162" s="606">
        <v>45551</v>
      </c>
    </row>
    <row r="163" spans="1:18" ht="15.75" x14ac:dyDescent="0.25">
      <c r="A163" s="600" t="s">
        <v>315</v>
      </c>
      <c r="B163" s="603">
        <v>45581</v>
      </c>
      <c r="C163" s="600" t="s">
        <v>316</v>
      </c>
      <c r="D163" s="173">
        <v>139967.13</v>
      </c>
      <c r="E163" s="600" t="s">
        <v>62</v>
      </c>
      <c r="F163" s="600" t="s">
        <v>63</v>
      </c>
      <c r="G163" s="600" t="s">
        <v>27</v>
      </c>
      <c r="H163" s="600" t="s">
        <v>72</v>
      </c>
      <c r="I163" s="600" t="s">
        <v>213</v>
      </c>
      <c r="J163" s="600">
        <v>1020015</v>
      </c>
      <c r="K163" s="600" t="s">
        <v>191</v>
      </c>
      <c r="L163" s="170">
        <v>25067422.109999999</v>
      </c>
      <c r="M163" s="170">
        <v>1.03</v>
      </c>
      <c r="N163" s="170">
        <v>25679477.646225005</v>
      </c>
      <c r="O163" s="170">
        <v>139967.13</v>
      </c>
      <c r="P163" s="170">
        <v>0</v>
      </c>
      <c r="Q163" s="170">
        <v>0</v>
      </c>
      <c r="R163" s="606">
        <v>45550</v>
      </c>
    </row>
    <row r="164" spans="1:18" ht="15.75" x14ac:dyDescent="0.25">
      <c r="A164" s="600" t="s">
        <v>61</v>
      </c>
      <c r="B164" s="603">
        <v>45566</v>
      </c>
      <c r="C164" s="600" t="s">
        <v>64</v>
      </c>
      <c r="D164" s="173">
        <v>9388829.1500000004</v>
      </c>
      <c r="E164" s="600" t="s">
        <v>62</v>
      </c>
      <c r="F164" s="600" t="s">
        <v>63</v>
      </c>
      <c r="G164" s="600" t="s">
        <v>27</v>
      </c>
      <c r="H164" s="600" t="s">
        <v>65</v>
      </c>
      <c r="I164" s="600" t="s">
        <v>66</v>
      </c>
      <c r="J164" s="600">
        <v>1020076</v>
      </c>
      <c r="K164" s="600" t="s">
        <v>67</v>
      </c>
      <c r="L164" s="170">
        <v>25798747</v>
      </c>
      <c r="M164" s="170">
        <v>4.2647402999999997</v>
      </c>
      <c r="N164" s="170">
        <v>100636126.86688</v>
      </c>
      <c r="O164" s="170">
        <v>9388829.1500000004</v>
      </c>
      <c r="P164" s="170">
        <v>0</v>
      </c>
      <c r="Q164" s="170">
        <v>0</v>
      </c>
      <c r="R164" s="606">
        <v>45535</v>
      </c>
    </row>
    <row r="165" spans="1:18" ht="15.75" hidden="1" x14ac:dyDescent="0.25">
      <c r="A165" s="600" t="s">
        <v>372</v>
      </c>
      <c r="B165" s="603">
        <v>45550</v>
      </c>
      <c r="C165" s="600" t="s">
        <v>303</v>
      </c>
      <c r="D165" s="173">
        <v>1792213.13</v>
      </c>
      <c r="E165" s="600" t="s">
        <v>373</v>
      </c>
      <c r="F165" s="600" t="s">
        <v>63</v>
      </c>
      <c r="G165" s="600" t="s">
        <v>27</v>
      </c>
      <c r="H165" s="600" t="s">
        <v>72</v>
      </c>
      <c r="I165" s="600" t="s">
        <v>304</v>
      </c>
      <c r="J165" s="600">
        <v>1020098</v>
      </c>
      <c r="K165" s="600" t="s">
        <v>26</v>
      </c>
      <c r="L165" s="170">
        <v>1792213.13</v>
      </c>
      <c r="M165" s="170">
        <v>1</v>
      </c>
      <c r="N165" s="170">
        <v>0</v>
      </c>
      <c r="O165" s="170">
        <v>1792213.13</v>
      </c>
      <c r="P165" s="170">
        <v>0</v>
      </c>
      <c r="Q165" s="170">
        <v>0</v>
      </c>
      <c r="R165" s="606">
        <v>45519</v>
      </c>
    </row>
    <row r="166" spans="1:18" ht="15.75" hidden="1" x14ac:dyDescent="0.25">
      <c r="A166" s="600" t="s">
        <v>94</v>
      </c>
      <c r="B166" s="603">
        <v>45540</v>
      </c>
      <c r="C166" s="600" t="s">
        <v>97</v>
      </c>
      <c r="D166" s="173">
        <v>-2900.16</v>
      </c>
      <c r="E166" s="600" t="s">
        <v>95</v>
      </c>
      <c r="F166" s="600" t="s">
        <v>96</v>
      </c>
      <c r="G166" s="600" t="s">
        <v>27</v>
      </c>
      <c r="H166" s="600" t="s">
        <v>72</v>
      </c>
      <c r="I166" s="600" t="s">
        <v>98</v>
      </c>
      <c r="J166" s="600"/>
      <c r="K166" s="600" t="s">
        <v>67</v>
      </c>
      <c r="L166" s="170">
        <v>2009280</v>
      </c>
      <c r="M166" s="170">
        <v>4.0279999999999996</v>
      </c>
      <c r="N166" s="170">
        <v>8096280.0005942406</v>
      </c>
      <c r="O166" s="170">
        <v>-2900.16</v>
      </c>
      <c r="P166" s="170">
        <v>0</v>
      </c>
      <c r="Q166" s="170">
        <v>0</v>
      </c>
      <c r="R166" s="606">
        <v>45509</v>
      </c>
    </row>
    <row r="167" spans="1:18" ht="15.75" x14ac:dyDescent="0.25">
      <c r="A167" s="600" t="s">
        <v>91</v>
      </c>
      <c r="B167" s="603">
        <v>45534</v>
      </c>
      <c r="C167" s="600" t="s">
        <v>71</v>
      </c>
      <c r="D167" s="173">
        <v>27894.46</v>
      </c>
      <c r="E167" s="600" t="s">
        <v>62</v>
      </c>
      <c r="F167" s="600" t="s">
        <v>63</v>
      </c>
      <c r="G167" s="600" t="s">
        <v>27</v>
      </c>
      <c r="H167" s="600" t="s">
        <v>72</v>
      </c>
      <c r="I167" s="600" t="s">
        <v>213</v>
      </c>
      <c r="J167" s="600">
        <v>1020015</v>
      </c>
      <c r="K167" s="600" t="s">
        <v>67</v>
      </c>
      <c r="L167" s="170">
        <v>1440242</v>
      </c>
      <c r="M167" s="170">
        <v>4.0999999999999996</v>
      </c>
      <c r="N167" s="170">
        <v>5877097.7354299994</v>
      </c>
      <c r="O167" s="170">
        <v>27894.46</v>
      </c>
      <c r="P167" s="170">
        <v>0</v>
      </c>
      <c r="Q167" s="170">
        <v>0</v>
      </c>
      <c r="R167" s="606">
        <v>45503</v>
      </c>
    </row>
    <row r="168" spans="1:18" ht="15.75" x14ac:dyDescent="0.25">
      <c r="A168" s="600" t="s">
        <v>69</v>
      </c>
      <c r="B168" s="603">
        <v>45520</v>
      </c>
      <c r="C168" s="600" t="s">
        <v>71</v>
      </c>
      <c r="D168" s="173">
        <v>733263.25</v>
      </c>
      <c r="E168" s="600" t="s">
        <v>62</v>
      </c>
      <c r="F168" s="600" t="s">
        <v>70</v>
      </c>
      <c r="G168" s="600" t="s">
        <v>70</v>
      </c>
      <c r="H168" s="600" t="s">
        <v>72</v>
      </c>
      <c r="I168" s="600" t="s">
        <v>213</v>
      </c>
      <c r="J168" s="600">
        <v>1020015</v>
      </c>
      <c r="K168" s="600" t="s">
        <v>67</v>
      </c>
      <c r="L168" s="170">
        <v>5927186</v>
      </c>
      <c r="M168" s="170">
        <v>4.2151211000000002</v>
      </c>
      <c r="N168" s="170">
        <v>24250543.522939995</v>
      </c>
      <c r="O168" s="170">
        <v>733263.25</v>
      </c>
      <c r="P168" s="170">
        <v>0</v>
      </c>
      <c r="Q168" s="170">
        <v>0</v>
      </c>
      <c r="R168" s="606">
        <v>45489</v>
      </c>
    </row>
    <row r="169" spans="1:18" ht="15.75" hidden="1" x14ac:dyDescent="0.25">
      <c r="A169" s="600" t="s">
        <v>44</v>
      </c>
      <c r="B169" s="603">
        <v>45505</v>
      </c>
      <c r="C169" s="600" t="s">
        <v>45</v>
      </c>
      <c r="D169" s="173">
        <v>48512.47</v>
      </c>
      <c r="E169" s="600" t="s">
        <v>21</v>
      </c>
      <c r="F169" s="600" t="s">
        <v>22</v>
      </c>
      <c r="G169" s="600" t="s">
        <v>27</v>
      </c>
      <c r="H169" s="600" t="s">
        <v>24</v>
      </c>
      <c r="I169" s="600" t="s">
        <v>22</v>
      </c>
      <c r="J169" s="600">
        <v>1020055</v>
      </c>
      <c r="K169" s="600" t="s">
        <v>26</v>
      </c>
      <c r="L169" s="170">
        <v>2000000</v>
      </c>
      <c r="M169" s="170">
        <v>1</v>
      </c>
      <c r="N169" s="170">
        <v>1951487.53</v>
      </c>
      <c r="O169" s="170">
        <v>48512.47</v>
      </c>
      <c r="P169" s="170">
        <v>0</v>
      </c>
      <c r="Q169" s="170">
        <v>0</v>
      </c>
      <c r="R169" s="606">
        <v>45474</v>
      </c>
    </row>
    <row r="170" spans="1:18" ht="15.75" hidden="1" x14ac:dyDescent="0.25">
      <c r="A170" s="600" t="s">
        <v>40</v>
      </c>
      <c r="B170" s="603">
        <v>45505</v>
      </c>
      <c r="C170" s="600" t="s">
        <v>41</v>
      </c>
      <c r="D170" s="173">
        <v>32224.19</v>
      </c>
      <c r="E170" s="600" t="s">
        <v>21</v>
      </c>
      <c r="F170" s="600" t="s">
        <v>22</v>
      </c>
      <c r="G170" s="600" t="s">
        <v>27</v>
      </c>
      <c r="H170" s="600" t="s">
        <v>24</v>
      </c>
      <c r="I170" s="600" t="s">
        <v>22</v>
      </c>
      <c r="J170" s="600">
        <v>1020055</v>
      </c>
      <c r="K170" s="600" t="s">
        <v>26</v>
      </c>
      <c r="L170" s="170">
        <v>3320000</v>
      </c>
      <c r="M170" s="170">
        <v>1</v>
      </c>
      <c r="N170" s="170">
        <v>3287775.8099999996</v>
      </c>
      <c r="O170" s="170">
        <v>32224.19</v>
      </c>
      <c r="P170" s="170">
        <v>0</v>
      </c>
      <c r="Q170" s="170">
        <v>0</v>
      </c>
      <c r="R170" s="606">
        <v>45474</v>
      </c>
    </row>
    <row r="171" spans="1:18" ht="15.75" hidden="1" x14ac:dyDescent="0.25">
      <c r="A171" s="600" t="s">
        <v>58</v>
      </c>
      <c r="B171" s="603">
        <v>45505</v>
      </c>
      <c r="C171" s="600" t="s">
        <v>59</v>
      </c>
      <c r="D171" s="173">
        <v>46000</v>
      </c>
      <c r="E171" s="600" t="s">
        <v>21</v>
      </c>
      <c r="F171" s="600" t="s">
        <v>22</v>
      </c>
      <c r="G171" s="600" t="s">
        <v>27</v>
      </c>
      <c r="H171" s="600" t="s">
        <v>24</v>
      </c>
      <c r="I171" s="600" t="s">
        <v>22</v>
      </c>
      <c r="J171" s="600">
        <v>1020055</v>
      </c>
      <c r="K171" s="600" t="s">
        <v>26</v>
      </c>
      <c r="L171" s="170">
        <v>422050</v>
      </c>
      <c r="M171" s="170">
        <v>1</v>
      </c>
      <c r="N171" s="170">
        <v>376050</v>
      </c>
      <c r="O171" s="170">
        <v>46000</v>
      </c>
      <c r="P171" s="170">
        <v>0</v>
      </c>
      <c r="Q171" s="170">
        <v>0</v>
      </c>
      <c r="R171" s="606">
        <v>45474</v>
      </c>
    </row>
    <row r="172" spans="1:18" ht="15.75" hidden="1" x14ac:dyDescent="0.25">
      <c r="A172" s="600" t="s">
        <v>36</v>
      </c>
      <c r="B172" s="603">
        <v>45505</v>
      </c>
      <c r="C172" s="600" t="s">
        <v>37</v>
      </c>
      <c r="D172" s="173">
        <v>158011.19</v>
      </c>
      <c r="E172" s="600" t="s">
        <v>21</v>
      </c>
      <c r="F172" s="600" t="s">
        <v>22</v>
      </c>
      <c r="G172" s="600" t="s">
        <v>27</v>
      </c>
      <c r="H172" s="600" t="s">
        <v>24</v>
      </c>
      <c r="I172" s="600" t="s">
        <v>22</v>
      </c>
      <c r="J172" s="600">
        <v>1020055</v>
      </c>
      <c r="K172" s="600" t="s">
        <v>26</v>
      </c>
      <c r="L172" s="170">
        <v>1500000</v>
      </c>
      <c r="M172" s="170">
        <v>1</v>
      </c>
      <c r="N172" s="170">
        <v>1341988.81</v>
      </c>
      <c r="O172" s="170">
        <v>158011.19</v>
      </c>
      <c r="P172" s="170">
        <v>0</v>
      </c>
      <c r="Q172" s="170">
        <v>0</v>
      </c>
      <c r="R172" s="606">
        <v>45474</v>
      </c>
    </row>
    <row r="173" spans="1:18" ht="15.75" hidden="1" x14ac:dyDescent="0.25">
      <c r="A173" s="600" t="s">
        <v>42</v>
      </c>
      <c r="B173" s="603">
        <v>45505</v>
      </c>
      <c r="C173" s="600" t="s">
        <v>43</v>
      </c>
      <c r="D173" s="173">
        <v>489.24</v>
      </c>
      <c r="E173" s="600" t="s">
        <v>21</v>
      </c>
      <c r="F173" s="600" t="s">
        <v>22</v>
      </c>
      <c r="G173" s="600" t="s">
        <v>27</v>
      </c>
      <c r="H173" s="600" t="s">
        <v>24</v>
      </c>
      <c r="I173" s="600" t="s">
        <v>22</v>
      </c>
      <c r="J173" s="600">
        <v>1020055</v>
      </c>
      <c r="K173" s="600" t="s">
        <v>26</v>
      </c>
      <c r="L173" s="170">
        <v>2000000</v>
      </c>
      <c r="M173" s="170">
        <v>1</v>
      </c>
      <c r="N173" s="170">
        <v>1999510.76</v>
      </c>
      <c r="O173" s="170">
        <v>489.24</v>
      </c>
      <c r="P173" s="170">
        <v>0</v>
      </c>
      <c r="Q173" s="170">
        <v>0</v>
      </c>
      <c r="R173" s="606">
        <v>45474</v>
      </c>
    </row>
    <row r="174" spans="1:18" ht="15.75" hidden="1" x14ac:dyDescent="0.25">
      <c r="A174" s="600" t="s">
        <v>60</v>
      </c>
      <c r="B174" s="603">
        <v>45505</v>
      </c>
      <c r="C174" s="600" t="s">
        <v>43</v>
      </c>
      <c r="D174" s="173">
        <v>679.32</v>
      </c>
      <c r="E174" s="600" t="s">
        <v>21</v>
      </c>
      <c r="F174" s="600" t="s">
        <v>22</v>
      </c>
      <c r="G174" s="600" t="s">
        <v>27</v>
      </c>
      <c r="H174" s="600" t="s">
        <v>24</v>
      </c>
      <c r="I174" s="600" t="s">
        <v>22</v>
      </c>
      <c r="J174" s="600">
        <v>1020055</v>
      </c>
      <c r="K174" s="600" t="s">
        <v>26</v>
      </c>
      <c r="L174" s="170">
        <v>500000</v>
      </c>
      <c r="M174" s="170">
        <v>1</v>
      </c>
      <c r="N174" s="170">
        <v>499320.68</v>
      </c>
      <c r="O174" s="170">
        <v>679.32</v>
      </c>
      <c r="P174" s="170">
        <v>0</v>
      </c>
      <c r="Q174" s="170">
        <v>0</v>
      </c>
      <c r="R174" s="606">
        <v>45474</v>
      </c>
    </row>
    <row r="175" spans="1:18" ht="15.75" hidden="1" x14ac:dyDescent="0.25">
      <c r="A175" s="600" t="s">
        <v>29</v>
      </c>
      <c r="B175" s="603">
        <v>45504</v>
      </c>
      <c r="C175" s="600" t="s">
        <v>30</v>
      </c>
      <c r="D175" s="173">
        <v>812387.67</v>
      </c>
      <c r="E175" s="600" t="s">
        <v>21</v>
      </c>
      <c r="F175" s="600" t="s">
        <v>22</v>
      </c>
      <c r="G175" s="600" t="s">
        <v>27</v>
      </c>
      <c r="H175" s="600" t="s">
        <v>1791</v>
      </c>
      <c r="I175" s="600" t="s">
        <v>22</v>
      </c>
      <c r="J175" s="600">
        <v>1020055</v>
      </c>
      <c r="K175" s="600" t="s">
        <v>31</v>
      </c>
      <c r="L175" s="170">
        <v>5028295</v>
      </c>
      <c r="M175" s="170">
        <v>4.7553999999999998</v>
      </c>
      <c r="N175" s="170">
        <v>23099166.36806</v>
      </c>
      <c r="O175" s="170">
        <v>812387.67</v>
      </c>
      <c r="P175" s="170">
        <v>0</v>
      </c>
      <c r="Q175" s="170">
        <v>0</v>
      </c>
      <c r="R175" s="606">
        <v>45473</v>
      </c>
    </row>
    <row r="176" spans="1:18" ht="15.75" x14ac:dyDescent="0.25">
      <c r="A176" s="600" t="s">
        <v>88</v>
      </c>
      <c r="B176" s="603">
        <v>45474</v>
      </c>
      <c r="C176" s="600" t="s">
        <v>89</v>
      </c>
      <c r="D176" s="173">
        <v>217678.61</v>
      </c>
      <c r="E176" s="600" t="s">
        <v>62</v>
      </c>
      <c r="F176" s="600" t="s">
        <v>63</v>
      </c>
      <c r="G176" s="600" t="s">
        <v>27</v>
      </c>
      <c r="H176" s="600" t="s">
        <v>80</v>
      </c>
      <c r="I176" s="600" t="s">
        <v>90</v>
      </c>
      <c r="J176" s="600">
        <v>1020001</v>
      </c>
      <c r="K176" s="600" t="s">
        <v>26</v>
      </c>
      <c r="L176" s="170">
        <v>4339603.43</v>
      </c>
      <c r="M176" s="170">
        <v>1</v>
      </c>
      <c r="N176" s="170">
        <v>4121924.82</v>
      </c>
      <c r="O176" s="170">
        <v>217678.61</v>
      </c>
      <c r="P176" s="170">
        <v>0</v>
      </c>
      <c r="Q176" s="170">
        <v>0</v>
      </c>
      <c r="R176" s="606">
        <v>45443</v>
      </c>
    </row>
    <row r="177" spans="1:18" ht="15.75" hidden="1" x14ac:dyDescent="0.25">
      <c r="A177" s="600" t="s">
        <v>33</v>
      </c>
      <c r="B177" s="603">
        <v>45473</v>
      </c>
      <c r="C177" s="600" t="s">
        <v>34</v>
      </c>
      <c r="D177" s="173">
        <v>98560.71</v>
      </c>
      <c r="E177" s="600" t="s">
        <v>21</v>
      </c>
      <c r="F177" s="600" t="s">
        <v>22</v>
      </c>
      <c r="G177" s="600" t="s">
        <v>27</v>
      </c>
      <c r="H177" s="600" t="s">
        <v>24</v>
      </c>
      <c r="I177" s="600" t="s">
        <v>22</v>
      </c>
      <c r="J177" s="600">
        <v>1020055</v>
      </c>
      <c r="K177" s="600" t="s">
        <v>26</v>
      </c>
      <c r="L177" s="170">
        <v>951342.78</v>
      </c>
      <c r="M177" s="170">
        <v>1</v>
      </c>
      <c r="N177" s="170">
        <v>852782.07</v>
      </c>
      <c r="O177" s="170">
        <v>98560.71</v>
      </c>
      <c r="P177" s="170">
        <v>0</v>
      </c>
      <c r="Q177" s="170">
        <v>0</v>
      </c>
      <c r="R177" s="606">
        <v>45442</v>
      </c>
    </row>
    <row r="178" spans="1:18" ht="15.75" hidden="1" x14ac:dyDescent="0.25">
      <c r="A178" s="600" t="s">
        <v>247</v>
      </c>
      <c r="B178" s="603">
        <v>45473</v>
      </c>
      <c r="C178" s="600" t="s">
        <v>248</v>
      </c>
      <c r="D178" s="173">
        <v>91587.41</v>
      </c>
      <c r="E178" s="600" t="s">
        <v>21</v>
      </c>
      <c r="F178" s="600" t="s">
        <v>22</v>
      </c>
      <c r="G178" s="600" t="s">
        <v>27</v>
      </c>
      <c r="H178" s="600" t="s">
        <v>24</v>
      </c>
      <c r="I178" s="600" t="s">
        <v>22</v>
      </c>
      <c r="J178" s="600">
        <v>1020055</v>
      </c>
      <c r="K178" s="600" t="s">
        <v>26</v>
      </c>
      <c r="L178" s="170">
        <v>1452474.33</v>
      </c>
      <c r="M178" s="170">
        <v>1</v>
      </c>
      <c r="N178" s="170">
        <v>1360886.92</v>
      </c>
      <c r="O178" s="170">
        <v>91587.41</v>
      </c>
      <c r="P178" s="170">
        <v>0</v>
      </c>
      <c r="Q178" s="170">
        <v>0</v>
      </c>
      <c r="R178" s="606">
        <v>45442</v>
      </c>
    </row>
    <row r="179" spans="1:18" ht="15.75" hidden="1" x14ac:dyDescent="0.25">
      <c r="A179" s="600" t="s">
        <v>245</v>
      </c>
      <c r="B179" s="603">
        <v>45468</v>
      </c>
      <c r="C179" s="600" t="s">
        <v>246</v>
      </c>
      <c r="D179" s="173">
        <v>500557.04</v>
      </c>
      <c r="E179" s="600" t="s">
        <v>21</v>
      </c>
      <c r="F179" s="600" t="s">
        <v>22</v>
      </c>
      <c r="G179" s="600" t="s">
        <v>27</v>
      </c>
      <c r="H179" s="600" t="s">
        <v>24</v>
      </c>
      <c r="I179" s="600" t="s">
        <v>25</v>
      </c>
      <c r="J179" s="600">
        <v>1020052</v>
      </c>
      <c r="K179" s="600" t="s">
        <v>26</v>
      </c>
      <c r="L179" s="170">
        <v>947915.1</v>
      </c>
      <c r="M179" s="170">
        <v>1</v>
      </c>
      <c r="N179" s="170">
        <v>447358.06</v>
      </c>
      <c r="O179" s="170">
        <v>500557.04</v>
      </c>
      <c r="P179" s="170">
        <v>0</v>
      </c>
      <c r="Q179" s="170">
        <v>0</v>
      </c>
      <c r="R179" s="606">
        <v>45437</v>
      </c>
    </row>
    <row r="180" spans="1:18" ht="15.75" x14ac:dyDescent="0.25">
      <c r="A180" s="600" t="s">
        <v>244</v>
      </c>
      <c r="B180" s="603">
        <v>45443</v>
      </c>
      <c r="C180" s="600" t="s">
        <v>93</v>
      </c>
      <c r="D180" s="173">
        <v>4783058.92</v>
      </c>
      <c r="E180" s="600" t="s">
        <v>62</v>
      </c>
      <c r="F180" s="600" t="s">
        <v>63</v>
      </c>
      <c r="G180" s="600" t="s">
        <v>27</v>
      </c>
      <c r="H180" s="600" t="s">
        <v>80</v>
      </c>
      <c r="I180" s="600" t="s">
        <v>81</v>
      </c>
      <c r="J180" s="600">
        <v>1020070</v>
      </c>
      <c r="K180" s="600" t="s">
        <v>26</v>
      </c>
      <c r="L180" s="170">
        <v>4783058.92</v>
      </c>
      <c r="M180" s="170">
        <v>1</v>
      </c>
      <c r="N180" s="170">
        <v>0</v>
      </c>
      <c r="O180" s="170">
        <v>4783058.92</v>
      </c>
      <c r="P180" s="170">
        <v>0</v>
      </c>
      <c r="Q180" s="170">
        <v>0</v>
      </c>
      <c r="R180" s="606">
        <v>45412</v>
      </c>
    </row>
    <row r="181" spans="1:18" ht="15.75" hidden="1" x14ac:dyDescent="0.25">
      <c r="A181" s="600" t="s">
        <v>169</v>
      </c>
      <c r="B181" s="603">
        <v>45413</v>
      </c>
      <c r="C181" s="600" t="s">
        <v>170</v>
      </c>
      <c r="D181" s="173">
        <v>1399515.42</v>
      </c>
      <c r="E181" s="600" t="s">
        <v>21</v>
      </c>
      <c r="F181" s="600" t="s">
        <v>22</v>
      </c>
      <c r="G181" s="600" t="s">
        <v>27</v>
      </c>
      <c r="H181" s="600" t="s">
        <v>24</v>
      </c>
      <c r="I181" s="600" t="s">
        <v>22</v>
      </c>
      <c r="J181" s="600">
        <v>1020055</v>
      </c>
      <c r="K181" s="600" t="s">
        <v>26</v>
      </c>
      <c r="L181" s="170">
        <v>1399515.42</v>
      </c>
      <c r="M181" s="170">
        <v>1</v>
      </c>
      <c r="N181" s="170">
        <v>0</v>
      </c>
      <c r="O181" s="170">
        <v>1399515.42</v>
      </c>
      <c r="P181" s="170">
        <v>0</v>
      </c>
      <c r="Q181" s="170">
        <v>0</v>
      </c>
      <c r="R181" s="606">
        <v>45382</v>
      </c>
    </row>
    <row r="182" spans="1:18" ht="15.75" x14ac:dyDescent="0.25">
      <c r="A182" s="600" t="s">
        <v>210</v>
      </c>
      <c r="B182" s="603">
        <v>45397</v>
      </c>
      <c r="C182" s="600" t="s">
        <v>97</v>
      </c>
      <c r="D182" s="173">
        <v>66306.240000000005</v>
      </c>
      <c r="E182" s="600" t="s">
        <v>62</v>
      </c>
      <c r="F182" s="600" t="s">
        <v>63</v>
      </c>
      <c r="G182" s="600" t="s">
        <v>27</v>
      </c>
      <c r="H182" s="600" t="s">
        <v>72</v>
      </c>
      <c r="I182" s="600" t="s">
        <v>77</v>
      </c>
      <c r="J182" s="600">
        <v>1020051</v>
      </c>
      <c r="K182" s="600" t="s">
        <v>67</v>
      </c>
      <c r="L182" s="170">
        <v>1004640</v>
      </c>
      <c r="M182" s="170">
        <v>4.12</v>
      </c>
      <c r="N182" s="170">
        <v>4072810.56</v>
      </c>
      <c r="O182" s="170">
        <v>66306.240000000005</v>
      </c>
      <c r="P182" s="170">
        <v>0</v>
      </c>
      <c r="Q182" s="170">
        <v>0</v>
      </c>
      <c r="R182" s="606">
        <v>45366</v>
      </c>
    </row>
    <row r="183" spans="1:18" ht="15.75" x14ac:dyDescent="0.25">
      <c r="A183" s="600" t="s">
        <v>209</v>
      </c>
      <c r="B183" s="603">
        <v>45392</v>
      </c>
      <c r="C183" s="600" t="s">
        <v>97</v>
      </c>
      <c r="D183" s="173">
        <v>18083.52</v>
      </c>
      <c r="E183" s="600" t="s">
        <v>62</v>
      </c>
      <c r="F183" s="600" t="s">
        <v>63</v>
      </c>
      <c r="G183" s="600" t="s">
        <v>27</v>
      </c>
      <c r="H183" s="600" t="s">
        <v>72</v>
      </c>
      <c r="I183" s="600" t="s">
        <v>77</v>
      </c>
      <c r="J183" s="600">
        <v>1020051</v>
      </c>
      <c r="K183" s="600" t="s">
        <v>67</v>
      </c>
      <c r="L183" s="170">
        <v>1004640</v>
      </c>
      <c r="M183" s="170">
        <v>4.12</v>
      </c>
      <c r="N183" s="170">
        <v>4121033.2800000003</v>
      </c>
      <c r="O183" s="170">
        <v>18083.52</v>
      </c>
      <c r="P183" s="170">
        <v>0</v>
      </c>
      <c r="Q183" s="170">
        <v>0</v>
      </c>
      <c r="R183" s="606">
        <v>45361</v>
      </c>
    </row>
    <row r="184" spans="1:18" ht="15.75" hidden="1" x14ac:dyDescent="0.25">
      <c r="A184" s="600" t="s">
        <v>171</v>
      </c>
      <c r="B184" s="603">
        <v>45381</v>
      </c>
      <c r="C184" s="600" t="s">
        <v>172</v>
      </c>
      <c r="D184" s="173">
        <v>405408.51</v>
      </c>
      <c r="E184" s="600" t="s">
        <v>21</v>
      </c>
      <c r="F184" s="600" t="s">
        <v>22</v>
      </c>
      <c r="G184" s="600" t="s">
        <v>27</v>
      </c>
      <c r="H184" s="600" t="s">
        <v>24</v>
      </c>
      <c r="I184" s="600" t="s">
        <v>22</v>
      </c>
      <c r="J184" s="600">
        <v>1020055</v>
      </c>
      <c r="K184" s="600" t="s">
        <v>26</v>
      </c>
      <c r="L184" s="170">
        <v>405408.51</v>
      </c>
      <c r="M184" s="170">
        <v>1</v>
      </c>
      <c r="N184" s="170">
        <v>0</v>
      </c>
      <c r="O184" s="170">
        <v>405408.51</v>
      </c>
      <c r="P184" s="170">
        <v>0</v>
      </c>
      <c r="Q184" s="170">
        <v>0</v>
      </c>
      <c r="R184" s="606">
        <v>45350</v>
      </c>
    </row>
    <row r="185" spans="1:18" ht="15.75" hidden="1" x14ac:dyDescent="0.25">
      <c r="A185" s="600" t="s">
        <v>223</v>
      </c>
      <c r="B185" s="603">
        <v>45353</v>
      </c>
      <c r="C185" s="600" t="s">
        <v>109</v>
      </c>
      <c r="D185" s="173">
        <v>7</v>
      </c>
      <c r="E185" s="600" t="s">
        <v>21</v>
      </c>
      <c r="F185" s="600" t="s">
        <v>22</v>
      </c>
      <c r="G185" s="600" t="s">
        <v>27</v>
      </c>
      <c r="H185" s="600" t="s">
        <v>24</v>
      </c>
      <c r="I185" s="600" t="s">
        <v>22</v>
      </c>
      <c r="J185" s="600">
        <v>1020055</v>
      </c>
      <c r="K185" s="600" t="s">
        <v>26</v>
      </c>
      <c r="L185" s="170">
        <v>2325790.02</v>
      </c>
      <c r="M185" s="170">
        <v>1</v>
      </c>
      <c r="N185" s="170">
        <v>2325783.02</v>
      </c>
      <c r="O185" s="170">
        <v>7</v>
      </c>
      <c r="P185" s="170">
        <v>0</v>
      </c>
      <c r="Q185" s="170">
        <v>0</v>
      </c>
      <c r="R185" s="606">
        <v>45322</v>
      </c>
    </row>
    <row r="186" spans="1:18" ht="15.75" hidden="1" x14ac:dyDescent="0.25">
      <c r="A186" s="600" t="s">
        <v>220</v>
      </c>
      <c r="B186" s="603">
        <v>45353</v>
      </c>
      <c r="C186" s="600" t="s">
        <v>221</v>
      </c>
      <c r="D186" s="173">
        <v>435201.28000000003</v>
      </c>
      <c r="E186" s="600" t="s">
        <v>21</v>
      </c>
      <c r="F186" s="600" t="s">
        <v>22</v>
      </c>
      <c r="G186" s="600" t="s">
        <v>27</v>
      </c>
      <c r="H186" s="600" t="s">
        <v>72</v>
      </c>
      <c r="I186" s="600" t="s">
        <v>98</v>
      </c>
      <c r="J186" s="600"/>
      <c r="K186" s="600" t="s">
        <v>191</v>
      </c>
      <c r="L186" s="170">
        <v>25282382.350000001</v>
      </c>
      <c r="M186" s="170">
        <v>1.02</v>
      </c>
      <c r="N186" s="170">
        <v>25352828.721135631</v>
      </c>
      <c r="O186" s="170">
        <v>435201.28000000003</v>
      </c>
      <c r="P186" s="170">
        <v>0</v>
      </c>
      <c r="Q186" s="170">
        <v>0</v>
      </c>
      <c r="R186" s="606">
        <v>45322</v>
      </c>
    </row>
    <row r="187" spans="1:18" ht="15.75" hidden="1" x14ac:dyDescent="0.25">
      <c r="A187" s="600" t="s">
        <v>165</v>
      </c>
      <c r="B187" s="603">
        <v>45332</v>
      </c>
      <c r="C187" s="600" t="s">
        <v>166</v>
      </c>
      <c r="D187" s="173">
        <v>8509.2999999999993</v>
      </c>
      <c r="E187" s="600" t="s">
        <v>21</v>
      </c>
      <c r="F187" s="600" t="s">
        <v>22</v>
      </c>
      <c r="G187" s="600" t="s">
        <v>70</v>
      </c>
      <c r="H187" s="600" t="s">
        <v>98</v>
      </c>
      <c r="I187" s="600" t="s">
        <v>917</v>
      </c>
      <c r="J187" s="600"/>
      <c r="K187" s="600" t="s">
        <v>67</v>
      </c>
      <c r="L187" s="170">
        <v>1004640</v>
      </c>
      <c r="M187" s="170">
        <v>4.12</v>
      </c>
      <c r="N187" s="170">
        <v>4130607.4992</v>
      </c>
      <c r="O187" s="170">
        <v>8509.2999999999993</v>
      </c>
      <c r="P187" s="170">
        <v>0</v>
      </c>
      <c r="Q187" s="170">
        <v>0</v>
      </c>
      <c r="R187" s="606">
        <v>45301</v>
      </c>
    </row>
    <row r="188" spans="1:18" ht="15.75" hidden="1" x14ac:dyDescent="0.25">
      <c r="A188" s="600" t="s">
        <v>216</v>
      </c>
      <c r="B188" s="603">
        <v>45322</v>
      </c>
      <c r="C188" s="600" t="s">
        <v>23</v>
      </c>
      <c r="D188" s="173">
        <v>4420232.0999999996</v>
      </c>
      <c r="E188" s="600" t="s">
        <v>21</v>
      </c>
      <c r="F188" s="600" t="s">
        <v>22</v>
      </c>
      <c r="G188" s="600" t="s">
        <v>27</v>
      </c>
      <c r="H188" s="600" t="s">
        <v>24</v>
      </c>
      <c r="I188" s="600" t="s">
        <v>90</v>
      </c>
      <c r="J188" s="600">
        <v>1020001</v>
      </c>
      <c r="K188" s="600" t="s">
        <v>26</v>
      </c>
      <c r="L188" s="170">
        <v>8771831.4199999999</v>
      </c>
      <c r="M188" s="170">
        <v>1</v>
      </c>
      <c r="N188" s="170">
        <v>4351599.32</v>
      </c>
      <c r="O188" s="170">
        <v>4420232.0999999996</v>
      </c>
      <c r="P188" s="170">
        <v>0</v>
      </c>
      <c r="Q188" s="170">
        <v>0</v>
      </c>
      <c r="R188" s="606">
        <v>45291</v>
      </c>
    </row>
    <row r="189" spans="1:18" ht="15.75" hidden="1" x14ac:dyDescent="0.25">
      <c r="A189" s="600" t="s">
        <v>211</v>
      </c>
      <c r="B189" s="603">
        <v>45306</v>
      </c>
      <c r="C189" s="600" t="s">
        <v>212</v>
      </c>
      <c r="D189" s="173">
        <v>3277241.1</v>
      </c>
      <c r="E189" s="600" t="s">
        <v>21</v>
      </c>
      <c r="F189" s="600" t="s">
        <v>22</v>
      </c>
      <c r="G189" s="600" t="s">
        <v>27</v>
      </c>
      <c r="H189" s="600" t="s">
        <v>72</v>
      </c>
      <c r="I189" s="600" t="s">
        <v>213</v>
      </c>
      <c r="J189" s="600">
        <v>1020015</v>
      </c>
      <c r="K189" s="600" t="s">
        <v>26</v>
      </c>
      <c r="L189" s="170">
        <v>17700000</v>
      </c>
      <c r="M189" s="170">
        <v>1</v>
      </c>
      <c r="N189" s="170">
        <v>14422758.899999999</v>
      </c>
      <c r="O189" s="170">
        <v>3277241.1</v>
      </c>
      <c r="P189" s="170">
        <v>0</v>
      </c>
      <c r="Q189" s="170">
        <v>0</v>
      </c>
      <c r="R189" s="606">
        <v>45275</v>
      </c>
    </row>
    <row r="190" spans="1:18" ht="15.75" hidden="1" x14ac:dyDescent="0.25">
      <c r="A190" s="600" t="s">
        <v>185</v>
      </c>
      <c r="B190" s="603">
        <v>45303</v>
      </c>
      <c r="C190" s="600" t="s">
        <v>186</v>
      </c>
      <c r="D190" s="173">
        <v>475885.45</v>
      </c>
      <c r="E190" s="600" t="s">
        <v>21</v>
      </c>
      <c r="F190" s="600" t="s">
        <v>22</v>
      </c>
      <c r="G190" s="600" t="s">
        <v>70</v>
      </c>
      <c r="H190" s="600" t="s">
        <v>80</v>
      </c>
      <c r="I190" s="600" t="s">
        <v>81</v>
      </c>
      <c r="J190" s="600">
        <v>1020070</v>
      </c>
      <c r="K190" s="600" t="s">
        <v>26</v>
      </c>
      <c r="L190" s="170">
        <v>2000000</v>
      </c>
      <c r="M190" s="170">
        <v>1</v>
      </c>
      <c r="N190" s="170">
        <v>1524114.55</v>
      </c>
      <c r="O190" s="170">
        <v>475885.45</v>
      </c>
      <c r="P190" s="170">
        <v>0</v>
      </c>
      <c r="Q190" s="170">
        <v>0</v>
      </c>
      <c r="R190" s="606">
        <v>45272</v>
      </c>
    </row>
    <row r="191" spans="1:18" ht="15.75" hidden="1" x14ac:dyDescent="0.25">
      <c r="A191" s="600" t="s">
        <v>198</v>
      </c>
      <c r="B191" s="603">
        <v>45291</v>
      </c>
      <c r="C191" s="600" t="s">
        <v>199</v>
      </c>
      <c r="D191" s="173">
        <v>49540.83</v>
      </c>
      <c r="E191" s="600" t="s">
        <v>21</v>
      </c>
      <c r="F191" s="600" t="s">
        <v>22</v>
      </c>
      <c r="G191" s="600" t="s">
        <v>27</v>
      </c>
      <c r="H191" s="600" t="s">
        <v>24</v>
      </c>
      <c r="I191" s="600" t="s">
        <v>22</v>
      </c>
      <c r="J191" s="600">
        <v>1020055</v>
      </c>
      <c r="K191" s="600" t="s">
        <v>26</v>
      </c>
      <c r="L191" s="170">
        <v>500000</v>
      </c>
      <c r="M191" s="170">
        <v>1</v>
      </c>
      <c r="N191" s="170">
        <v>450459.17</v>
      </c>
      <c r="O191" s="170">
        <v>49540.83</v>
      </c>
      <c r="P191" s="170">
        <v>0</v>
      </c>
      <c r="Q191" s="170">
        <v>0</v>
      </c>
      <c r="R191" s="606">
        <v>45260</v>
      </c>
    </row>
    <row r="192" spans="1:18" ht="15.75" hidden="1" x14ac:dyDescent="0.25">
      <c r="A192" s="600" t="s">
        <v>193</v>
      </c>
      <c r="B192" s="603">
        <v>45291</v>
      </c>
      <c r="C192" s="600" t="s">
        <v>194</v>
      </c>
      <c r="D192" s="173">
        <v>1069.98</v>
      </c>
      <c r="E192" s="600" t="s">
        <v>21</v>
      </c>
      <c r="F192" s="600" t="s">
        <v>22</v>
      </c>
      <c r="G192" s="600" t="s">
        <v>27</v>
      </c>
      <c r="H192" s="600" t="s">
        <v>24</v>
      </c>
      <c r="I192" s="600" t="s">
        <v>22</v>
      </c>
      <c r="J192" s="600">
        <v>1020055</v>
      </c>
      <c r="K192" s="600" t="s">
        <v>26</v>
      </c>
      <c r="L192" s="170">
        <v>4000000</v>
      </c>
      <c r="M192" s="170">
        <v>1</v>
      </c>
      <c r="N192" s="170">
        <v>3998930.02</v>
      </c>
      <c r="O192" s="170">
        <v>1069.98</v>
      </c>
      <c r="P192" s="170">
        <v>0</v>
      </c>
      <c r="Q192" s="170">
        <v>0</v>
      </c>
      <c r="R192" s="606">
        <v>45260</v>
      </c>
    </row>
    <row r="193" spans="1:18" ht="15.75" hidden="1" x14ac:dyDescent="0.25">
      <c r="A193" s="600" t="s">
        <v>215</v>
      </c>
      <c r="B193" s="603">
        <v>45291</v>
      </c>
      <c r="C193" s="600" t="s">
        <v>179</v>
      </c>
      <c r="D193" s="173">
        <v>690000</v>
      </c>
      <c r="E193" s="600" t="s">
        <v>21</v>
      </c>
      <c r="F193" s="600" t="s">
        <v>22</v>
      </c>
      <c r="G193" s="600" t="s">
        <v>27</v>
      </c>
      <c r="H193" s="600" t="s">
        <v>24</v>
      </c>
      <c r="I193" s="600" t="s">
        <v>90</v>
      </c>
      <c r="J193" s="600">
        <v>1020001</v>
      </c>
      <c r="K193" s="600" t="s">
        <v>26</v>
      </c>
      <c r="L193" s="170">
        <v>12420000</v>
      </c>
      <c r="M193" s="170">
        <v>1</v>
      </c>
      <c r="N193" s="170">
        <v>11730000</v>
      </c>
      <c r="O193" s="170">
        <v>690000</v>
      </c>
      <c r="P193" s="170">
        <v>0</v>
      </c>
      <c r="Q193" s="170">
        <v>0</v>
      </c>
      <c r="R193" s="606">
        <v>45260</v>
      </c>
    </row>
    <row r="194" spans="1:18" ht="15.75" hidden="1" x14ac:dyDescent="0.25">
      <c r="A194" s="600" t="s">
        <v>200</v>
      </c>
      <c r="B194" s="603">
        <v>45291</v>
      </c>
      <c r="C194" s="600" t="s">
        <v>201</v>
      </c>
      <c r="D194" s="173">
        <v>521.07000000000005</v>
      </c>
      <c r="E194" s="600" t="s">
        <v>21</v>
      </c>
      <c r="F194" s="600" t="s">
        <v>22</v>
      </c>
      <c r="G194" s="600" t="s">
        <v>27</v>
      </c>
      <c r="H194" s="600" t="s">
        <v>24</v>
      </c>
      <c r="I194" s="600" t="s">
        <v>22</v>
      </c>
      <c r="J194" s="600">
        <v>1020055</v>
      </c>
      <c r="K194" s="600" t="s">
        <v>26</v>
      </c>
      <c r="L194" s="170">
        <v>1000000</v>
      </c>
      <c r="M194" s="170">
        <v>1</v>
      </c>
      <c r="N194" s="170">
        <v>999478.92999999993</v>
      </c>
      <c r="O194" s="170">
        <v>521.07000000000005</v>
      </c>
      <c r="P194" s="170">
        <v>0</v>
      </c>
      <c r="Q194" s="170">
        <v>0</v>
      </c>
      <c r="R194" s="606">
        <v>45260</v>
      </c>
    </row>
    <row r="195" spans="1:18" ht="15.75" hidden="1" x14ac:dyDescent="0.25">
      <c r="A195" s="600" t="s">
        <v>218</v>
      </c>
      <c r="B195" s="603">
        <v>45282</v>
      </c>
      <c r="C195" s="600" t="s">
        <v>219</v>
      </c>
      <c r="D195" s="173">
        <v>47804.86</v>
      </c>
      <c r="E195" s="600" t="s">
        <v>21</v>
      </c>
      <c r="F195" s="600" t="s">
        <v>22</v>
      </c>
      <c r="G195" s="600" t="s">
        <v>27</v>
      </c>
      <c r="H195" s="600" t="s">
        <v>24</v>
      </c>
      <c r="I195" s="600" t="s">
        <v>90</v>
      </c>
      <c r="J195" s="600">
        <v>1020001</v>
      </c>
      <c r="K195" s="600" t="s">
        <v>26</v>
      </c>
      <c r="L195" s="170">
        <v>5602519.9800000004</v>
      </c>
      <c r="M195" s="170">
        <v>1</v>
      </c>
      <c r="N195" s="170">
        <v>5554715.1200000001</v>
      </c>
      <c r="O195" s="170">
        <v>47804.86</v>
      </c>
      <c r="P195" s="170">
        <v>0</v>
      </c>
      <c r="Q195" s="170">
        <v>0</v>
      </c>
      <c r="R195" s="606">
        <v>45251</v>
      </c>
    </row>
    <row r="196" spans="1:18" ht="15.75" hidden="1" x14ac:dyDescent="0.25">
      <c r="A196" s="600" t="s">
        <v>207</v>
      </c>
      <c r="B196" s="603">
        <v>45261</v>
      </c>
      <c r="C196" s="600" t="s">
        <v>76</v>
      </c>
      <c r="D196" s="173">
        <v>331264.75</v>
      </c>
      <c r="E196" s="600" t="s">
        <v>21</v>
      </c>
      <c r="F196" s="600" t="s">
        <v>22</v>
      </c>
      <c r="G196" s="600" t="s">
        <v>27</v>
      </c>
      <c r="H196" s="600" t="s">
        <v>72</v>
      </c>
      <c r="I196" s="600" t="s">
        <v>77</v>
      </c>
      <c r="J196" s="600">
        <v>1020051</v>
      </c>
      <c r="K196" s="600" t="s">
        <v>78</v>
      </c>
      <c r="L196" s="170">
        <v>4473396.8600000003</v>
      </c>
      <c r="M196" s="170">
        <v>3.8249998999999999</v>
      </c>
      <c r="N196" s="170">
        <v>16779477.793500002</v>
      </c>
      <c r="O196" s="170">
        <v>331264.75</v>
      </c>
      <c r="P196" s="170">
        <v>0</v>
      </c>
      <c r="Q196" s="170">
        <v>0</v>
      </c>
      <c r="R196" s="606">
        <v>45230</v>
      </c>
    </row>
    <row r="197" spans="1:18" ht="15.75" hidden="1" x14ac:dyDescent="0.25">
      <c r="A197" s="600" t="s">
        <v>214</v>
      </c>
      <c r="B197" s="603">
        <v>45261</v>
      </c>
      <c r="C197" s="600" t="s">
        <v>39</v>
      </c>
      <c r="D197" s="173">
        <v>75910.77</v>
      </c>
      <c r="E197" s="600" t="s">
        <v>21</v>
      </c>
      <c r="F197" s="600" t="s">
        <v>22</v>
      </c>
      <c r="G197" s="600" t="s">
        <v>27</v>
      </c>
      <c r="H197" s="600" t="s">
        <v>24</v>
      </c>
      <c r="I197" s="600" t="s">
        <v>90</v>
      </c>
      <c r="J197" s="600">
        <v>1020001</v>
      </c>
      <c r="K197" s="600" t="s">
        <v>26</v>
      </c>
      <c r="L197" s="170">
        <v>9577116</v>
      </c>
      <c r="M197" s="170">
        <v>1</v>
      </c>
      <c r="N197" s="170">
        <v>9501205.2300000004</v>
      </c>
      <c r="O197" s="170">
        <v>75910.77</v>
      </c>
      <c r="P197" s="170">
        <v>0</v>
      </c>
      <c r="Q197" s="170">
        <v>0</v>
      </c>
      <c r="R197" s="606">
        <v>45230</v>
      </c>
    </row>
    <row r="198" spans="1:18" ht="15.75" hidden="1" x14ac:dyDescent="0.25">
      <c r="A198" s="600" t="s">
        <v>202</v>
      </c>
      <c r="B198" s="603">
        <v>45261</v>
      </c>
      <c r="C198" s="600" t="s">
        <v>203</v>
      </c>
      <c r="D198" s="173">
        <v>905627.11</v>
      </c>
      <c r="E198" s="600" t="s">
        <v>21</v>
      </c>
      <c r="F198" s="600" t="s">
        <v>22</v>
      </c>
      <c r="G198" s="600" t="s">
        <v>27</v>
      </c>
      <c r="H198" s="600" t="s">
        <v>24</v>
      </c>
      <c r="I198" s="600" t="s">
        <v>22</v>
      </c>
      <c r="J198" s="600">
        <v>1020055</v>
      </c>
      <c r="K198" s="600" t="s">
        <v>26</v>
      </c>
      <c r="L198" s="170">
        <v>905627.11</v>
      </c>
      <c r="M198" s="170">
        <v>1</v>
      </c>
      <c r="N198" s="170">
        <v>0</v>
      </c>
      <c r="O198" s="170">
        <v>905627.11</v>
      </c>
      <c r="P198" s="170">
        <v>0</v>
      </c>
      <c r="Q198" s="170">
        <v>0</v>
      </c>
      <c r="R198" s="606">
        <v>45230</v>
      </c>
    </row>
    <row r="199" spans="1:18" ht="15.75" hidden="1" x14ac:dyDescent="0.25">
      <c r="A199" s="600" t="s">
        <v>206</v>
      </c>
      <c r="B199" s="603">
        <v>45246</v>
      </c>
      <c r="C199" s="600" t="s">
        <v>194</v>
      </c>
      <c r="D199" s="173">
        <v>58668.41</v>
      </c>
      <c r="E199" s="600" t="s">
        <v>21</v>
      </c>
      <c r="F199" s="600" t="s">
        <v>22</v>
      </c>
      <c r="G199" s="600" t="s">
        <v>27</v>
      </c>
      <c r="H199" s="600" t="s">
        <v>24</v>
      </c>
      <c r="I199" s="600" t="s">
        <v>22</v>
      </c>
      <c r="J199" s="600">
        <v>1020055</v>
      </c>
      <c r="K199" s="600" t="s">
        <v>26</v>
      </c>
      <c r="L199" s="170">
        <v>1260873.8</v>
      </c>
      <c r="M199" s="170">
        <v>1</v>
      </c>
      <c r="N199" s="170">
        <v>1202205.3899999999</v>
      </c>
      <c r="O199" s="170">
        <v>58668.41</v>
      </c>
      <c r="P199" s="170">
        <v>0</v>
      </c>
      <c r="Q199" s="170">
        <v>0</v>
      </c>
      <c r="R199" s="606">
        <v>45215</v>
      </c>
    </row>
    <row r="200" spans="1:18" ht="15.75" hidden="1" x14ac:dyDescent="0.25">
      <c r="A200" s="600" t="s">
        <v>178</v>
      </c>
      <c r="B200" s="603">
        <v>45230</v>
      </c>
      <c r="C200" s="600" t="s">
        <v>179</v>
      </c>
      <c r="D200" s="173">
        <v>-1</v>
      </c>
      <c r="E200" s="600" t="s">
        <v>21</v>
      </c>
      <c r="F200" s="600" t="s">
        <v>22</v>
      </c>
      <c r="G200" s="600" t="s">
        <v>27</v>
      </c>
      <c r="H200" s="600" t="s">
        <v>24</v>
      </c>
      <c r="I200" s="600" t="s">
        <v>90</v>
      </c>
      <c r="J200" s="600">
        <v>1020001</v>
      </c>
      <c r="K200" s="600" t="s">
        <v>26</v>
      </c>
      <c r="L200" s="170">
        <v>5713072</v>
      </c>
      <c r="M200" s="170">
        <v>1</v>
      </c>
      <c r="N200" s="170">
        <v>5713073</v>
      </c>
      <c r="O200" s="170">
        <v>-1</v>
      </c>
      <c r="P200" s="170">
        <v>0</v>
      </c>
      <c r="Q200" s="170">
        <v>0</v>
      </c>
      <c r="R200" s="606">
        <v>45199</v>
      </c>
    </row>
    <row r="201" spans="1:18" ht="15.75" hidden="1" x14ac:dyDescent="0.25">
      <c r="A201" s="600" t="s">
        <v>217</v>
      </c>
      <c r="B201" s="603">
        <v>45230</v>
      </c>
      <c r="C201" s="600" t="s">
        <v>23</v>
      </c>
      <c r="D201" s="173">
        <v>459091.94</v>
      </c>
      <c r="E201" s="600" t="s">
        <v>21</v>
      </c>
      <c r="F201" s="600" t="s">
        <v>22</v>
      </c>
      <c r="G201" s="600" t="s">
        <v>27</v>
      </c>
      <c r="H201" s="600" t="s">
        <v>24</v>
      </c>
      <c r="I201" s="600" t="s">
        <v>90</v>
      </c>
      <c r="J201" s="600">
        <v>1020001</v>
      </c>
      <c r="K201" s="600" t="s">
        <v>26</v>
      </c>
      <c r="L201" s="170">
        <v>2248483.8399999999</v>
      </c>
      <c r="M201" s="170">
        <v>1</v>
      </c>
      <c r="N201" s="170">
        <v>1789391.9</v>
      </c>
      <c r="O201" s="170">
        <v>459091.94</v>
      </c>
      <c r="P201" s="170">
        <v>0</v>
      </c>
      <c r="Q201" s="170">
        <v>0</v>
      </c>
      <c r="R201" s="606">
        <v>45199</v>
      </c>
    </row>
    <row r="202" spans="1:18" ht="15.75" hidden="1" x14ac:dyDescent="0.25">
      <c r="A202" s="600" t="s">
        <v>145</v>
      </c>
      <c r="B202" s="603">
        <v>45230</v>
      </c>
      <c r="C202" s="600" t="s">
        <v>146</v>
      </c>
      <c r="D202" s="173">
        <v>844.09</v>
      </c>
      <c r="E202" s="600" t="s">
        <v>21</v>
      </c>
      <c r="F202" s="600" t="s">
        <v>22</v>
      </c>
      <c r="G202" s="600" t="s">
        <v>27</v>
      </c>
      <c r="H202" s="600" t="s">
        <v>24</v>
      </c>
      <c r="I202" s="600" t="s">
        <v>25</v>
      </c>
      <c r="J202" s="600">
        <v>1020052</v>
      </c>
      <c r="K202" s="600" t="s">
        <v>26</v>
      </c>
      <c r="L202" s="170">
        <v>3443026.15</v>
      </c>
      <c r="M202" s="170">
        <v>1</v>
      </c>
      <c r="N202" s="170">
        <v>3442182.0599999996</v>
      </c>
      <c r="O202" s="170">
        <v>844.09</v>
      </c>
      <c r="P202" s="170">
        <v>0</v>
      </c>
      <c r="Q202" s="170">
        <v>0</v>
      </c>
      <c r="R202" s="606">
        <v>45199</v>
      </c>
    </row>
    <row r="203" spans="1:18" ht="15.75" hidden="1" x14ac:dyDescent="0.25">
      <c r="A203" s="600" t="s">
        <v>107</v>
      </c>
      <c r="B203" s="603">
        <v>45103</v>
      </c>
      <c r="C203" s="600" t="s">
        <v>106</v>
      </c>
      <c r="D203" s="173">
        <v>317123.44</v>
      </c>
      <c r="E203" s="600" t="s">
        <v>21</v>
      </c>
      <c r="F203" s="600" t="s">
        <v>22</v>
      </c>
      <c r="G203" s="600" t="s">
        <v>27</v>
      </c>
      <c r="H203" s="600" t="s">
        <v>72</v>
      </c>
      <c r="I203" s="600" t="s">
        <v>77</v>
      </c>
      <c r="J203" s="600">
        <v>1020051</v>
      </c>
      <c r="K203" s="600" t="s">
        <v>78</v>
      </c>
      <c r="L203" s="170">
        <v>16678375.462499999</v>
      </c>
      <c r="M203" s="170">
        <v>1</v>
      </c>
      <c r="N203" s="170">
        <v>16361252.01774</v>
      </c>
      <c r="O203" s="170">
        <v>317123.44</v>
      </c>
      <c r="P203" s="170">
        <v>0</v>
      </c>
      <c r="Q203" s="170">
        <v>0</v>
      </c>
      <c r="R203" s="606">
        <v>45072</v>
      </c>
    </row>
    <row r="204" spans="1:18" ht="15.75" hidden="1" x14ac:dyDescent="0.25">
      <c r="A204" s="600" t="s">
        <v>105</v>
      </c>
      <c r="B204" s="603">
        <v>45092</v>
      </c>
      <c r="C204" s="600" t="s">
        <v>106</v>
      </c>
      <c r="D204" s="173">
        <v>73104.429999999993</v>
      </c>
      <c r="E204" s="600" t="s">
        <v>21</v>
      </c>
      <c r="F204" s="600" t="s">
        <v>22</v>
      </c>
      <c r="G204" s="600" t="s">
        <v>27</v>
      </c>
      <c r="H204" s="600" t="s">
        <v>72</v>
      </c>
      <c r="I204" s="600" t="s">
        <v>77</v>
      </c>
      <c r="J204" s="600">
        <v>1020051</v>
      </c>
      <c r="K204" s="600" t="s">
        <v>78</v>
      </c>
      <c r="L204" s="170">
        <v>3911507.59</v>
      </c>
      <c r="M204" s="170">
        <v>1</v>
      </c>
      <c r="N204" s="170">
        <v>3838403.1565549998</v>
      </c>
      <c r="O204" s="170">
        <v>73104.429999999993</v>
      </c>
      <c r="P204" s="170">
        <v>0</v>
      </c>
      <c r="Q204" s="170">
        <v>0</v>
      </c>
      <c r="R204" s="606">
        <v>45061</v>
      </c>
    </row>
    <row r="205" spans="1:18" ht="15.75" hidden="1" x14ac:dyDescent="0.25">
      <c r="A205" s="600" t="s">
        <v>100</v>
      </c>
      <c r="B205" s="603">
        <v>45072</v>
      </c>
      <c r="C205" s="600" t="s">
        <v>101</v>
      </c>
      <c r="D205" s="173">
        <v>2297875.35</v>
      </c>
      <c r="E205" s="600" t="s">
        <v>21</v>
      </c>
      <c r="F205" s="600" t="s">
        <v>22</v>
      </c>
      <c r="G205" s="600" t="s">
        <v>27</v>
      </c>
      <c r="H205" s="600" t="s">
        <v>72</v>
      </c>
      <c r="I205" s="600" t="s">
        <v>22</v>
      </c>
      <c r="J205" s="600">
        <v>1020055</v>
      </c>
      <c r="K205" s="600" t="s">
        <v>78</v>
      </c>
      <c r="L205" s="170">
        <v>14820421.75</v>
      </c>
      <c r="M205" s="170">
        <v>3.75</v>
      </c>
      <c r="N205" s="170">
        <v>53278706.214680009</v>
      </c>
      <c r="O205" s="170">
        <v>2297875.35</v>
      </c>
      <c r="P205" s="170">
        <v>0</v>
      </c>
      <c r="Q205" s="170">
        <v>0</v>
      </c>
      <c r="R205" s="606">
        <v>45041</v>
      </c>
    </row>
    <row r="206" spans="1:18" ht="15.75" hidden="1" x14ac:dyDescent="0.25">
      <c r="A206" s="602" t="s">
        <v>103</v>
      </c>
      <c r="B206" s="605">
        <v>45068</v>
      </c>
      <c r="C206" s="602" t="s">
        <v>104</v>
      </c>
      <c r="D206" s="552">
        <v>808922.11</v>
      </c>
      <c r="E206" s="602" t="s">
        <v>21</v>
      </c>
      <c r="F206" s="602" t="s">
        <v>22</v>
      </c>
      <c r="G206" s="602" t="s">
        <v>27</v>
      </c>
      <c r="H206" s="602" t="s">
        <v>72</v>
      </c>
      <c r="I206" s="602" t="s">
        <v>22</v>
      </c>
      <c r="J206" s="602">
        <v>1020055</v>
      </c>
      <c r="K206" s="602" t="s">
        <v>78</v>
      </c>
      <c r="L206" s="553">
        <v>2496892.84</v>
      </c>
      <c r="M206" s="553">
        <v>3.75</v>
      </c>
      <c r="N206" s="553">
        <v>8554426.0360599998</v>
      </c>
      <c r="O206" s="553">
        <v>808922.11</v>
      </c>
      <c r="P206" s="553">
        <v>0</v>
      </c>
      <c r="Q206" s="553">
        <v>0</v>
      </c>
      <c r="R206" s="608">
        <v>45037</v>
      </c>
    </row>
  </sheetData>
  <mergeCells count="1">
    <mergeCell ref="C3:J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Remove_Filter">
                <anchor moveWithCells="1" sizeWithCells="1">
                  <from>
                    <xdr:col>0</xdr:col>
                    <xdr:colOff>57150</xdr:colOff>
                    <xdr:row>0</xdr:row>
                    <xdr:rowOff>76200</xdr:rowOff>
                  </from>
                  <to>
                    <xdr:col>1</xdr:col>
                    <xdr:colOff>247650</xdr:colOff>
                    <xdr:row>1</xdr:row>
                    <xdr:rowOff>19050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BE959-205B-4594-A330-5E62475AE439}">
  <sheetPr codeName="Sheet6">
    <tabColor rgb="FFC00000"/>
  </sheetPr>
  <dimension ref="A1:AD946"/>
  <sheetViews>
    <sheetView showGridLines="0" workbookViewId="0">
      <selection activeCell="C940" sqref="C940"/>
    </sheetView>
  </sheetViews>
  <sheetFormatPr defaultColWidth="8.7109375" defaultRowHeight="15" x14ac:dyDescent="0.25"/>
  <cols>
    <col min="1" max="1" width="19.42578125" bestFit="1" customWidth="1"/>
    <col min="2" max="2" width="13.7109375" bestFit="1" customWidth="1"/>
    <col min="3" max="3" width="44.7109375" bestFit="1" customWidth="1"/>
    <col min="4" max="4" width="20.85546875" bestFit="1" customWidth="1"/>
    <col min="5" max="5" width="79.85546875" bestFit="1" customWidth="1"/>
    <col min="6" max="6" width="16.5703125" bestFit="1" customWidth="1"/>
    <col min="7" max="7" width="30.5703125" bestFit="1" customWidth="1"/>
    <col min="8" max="8" width="22.140625" bestFit="1" customWidth="1"/>
    <col min="9" max="9" width="7.42578125" bestFit="1" customWidth="1"/>
    <col min="10" max="10" width="15.85546875" bestFit="1" customWidth="1"/>
    <col min="11" max="11" width="16.85546875" bestFit="1" customWidth="1"/>
    <col min="12" max="12" width="7.7109375" bestFit="1" customWidth="1"/>
    <col min="13" max="14" width="16.85546875" bestFit="1" customWidth="1"/>
    <col min="15" max="15" width="28.42578125" bestFit="1" customWidth="1"/>
    <col min="16" max="16" width="23" bestFit="1" customWidth="1"/>
    <col min="17" max="17" width="15.7109375" bestFit="1" customWidth="1"/>
    <col min="18" max="18" width="21.7109375" bestFit="1" customWidth="1"/>
    <col min="19" max="19" width="33.85546875" bestFit="1" customWidth="1"/>
    <col min="20" max="20" width="14.42578125" bestFit="1" customWidth="1"/>
    <col min="21" max="21" width="17.28515625" bestFit="1" customWidth="1"/>
    <col min="22" max="22" width="15.42578125" bestFit="1" customWidth="1"/>
    <col min="23" max="23" width="21.42578125" bestFit="1" customWidth="1"/>
    <col min="24" max="24" width="18.85546875" bestFit="1" customWidth="1"/>
    <col min="25" max="25" width="27.140625" bestFit="1" customWidth="1"/>
    <col min="26" max="26" width="81.140625" bestFit="1" customWidth="1"/>
    <col min="27" max="28" width="8.140625" bestFit="1" customWidth="1"/>
    <col min="29" max="29" width="53.5703125" bestFit="1" customWidth="1"/>
    <col min="30" max="30" width="20" bestFit="1" customWidth="1"/>
    <col min="31" max="31" width="20" customWidth="1"/>
    <col min="32" max="32" width="18" customWidth="1"/>
    <col min="33" max="34" width="18" bestFit="1" customWidth="1"/>
    <col min="35" max="35" width="18" customWidth="1"/>
    <col min="36" max="36" width="7.5703125" bestFit="1" customWidth="1"/>
    <col min="37" max="37" width="7.7109375" bestFit="1" customWidth="1"/>
    <col min="38" max="38" width="42.5703125" bestFit="1" customWidth="1"/>
    <col min="39" max="39" width="18" customWidth="1"/>
  </cols>
  <sheetData>
    <row r="1" spans="1:30" ht="42.6" customHeight="1" x14ac:dyDescent="0.25"/>
    <row r="2" spans="1:30" ht="25.9" customHeight="1" x14ac:dyDescent="0.25">
      <c r="A2" s="115" t="s">
        <v>4304</v>
      </c>
      <c r="B2" t="s">
        <v>1298</v>
      </c>
    </row>
    <row r="3" spans="1:30" ht="30" customHeight="1" x14ac:dyDescent="0.35">
      <c r="C3" s="627" t="s">
        <v>1116</v>
      </c>
      <c r="D3" s="627"/>
      <c r="E3" s="627"/>
      <c r="F3" s="627"/>
      <c r="G3" s="627"/>
      <c r="H3" s="627"/>
      <c r="I3" s="627"/>
      <c r="J3" s="627"/>
      <c r="K3" s="205"/>
      <c r="L3" s="205"/>
    </row>
    <row r="4" spans="1:30" ht="15.75" x14ac:dyDescent="0.25">
      <c r="A4" s="179" t="s">
        <v>0</v>
      </c>
      <c r="B4" s="179" t="s">
        <v>1</v>
      </c>
      <c r="C4" s="179" t="s">
        <v>841</v>
      </c>
      <c r="D4" s="179" t="s">
        <v>2</v>
      </c>
      <c r="E4" s="179" t="s">
        <v>4</v>
      </c>
      <c r="F4" s="179" t="s">
        <v>3</v>
      </c>
      <c r="G4" s="179" t="s">
        <v>5</v>
      </c>
      <c r="H4" s="179" t="s">
        <v>6</v>
      </c>
      <c r="I4" s="179" t="s">
        <v>7</v>
      </c>
      <c r="J4" s="179" t="s">
        <v>846</v>
      </c>
      <c r="K4" s="179" t="s">
        <v>8</v>
      </c>
      <c r="L4" s="179" t="s">
        <v>9</v>
      </c>
      <c r="M4" s="179" t="s">
        <v>10</v>
      </c>
      <c r="N4" s="179" t="s">
        <v>1024</v>
      </c>
      <c r="O4" s="180" t="s">
        <v>1256</v>
      </c>
      <c r="P4" s="179" t="s">
        <v>912</v>
      </c>
      <c r="Q4" s="179" t="s">
        <v>1025</v>
      </c>
      <c r="R4" s="179" t="s">
        <v>1253</v>
      </c>
      <c r="S4" s="179" t="s">
        <v>1112</v>
      </c>
      <c r="T4" s="179" t="s">
        <v>13</v>
      </c>
      <c r="U4" s="179" t="s">
        <v>14</v>
      </c>
      <c r="V4" s="179" t="s">
        <v>11</v>
      </c>
      <c r="W4" s="179" t="s">
        <v>914</v>
      </c>
      <c r="X4" s="179" t="s">
        <v>915</v>
      </c>
      <c r="Y4" s="179" t="s">
        <v>844</v>
      </c>
      <c r="Z4" s="179" t="s">
        <v>17</v>
      </c>
      <c r="AA4" s="179" t="s">
        <v>850</v>
      </c>
      <c r="AB4" s="179" t="s">
        <v>15</v>
      </c>
      <c r="AC4" s="179" t="s">
        <v>16</v>
      </c>
      <c r="AD4" s="179" t="s">
        <v>18</v>
      </c>
    </row>
    <row r="5" spans="1:30" ht="15.75" hidden="1" x14ac:dyDescent="0.25">
      <c r="A5" s="51" t="s">
        <v>46</v>
      </c>
      <c r="B5" s="73">
        <v>45245</v>
      </c>
      <c r="C5" s="51" t="s">
        <v>441</v>
      </c>
      <c r="D5" s="51" t="s">
        <v>20</v>
      </c>
      <c r="E5" s="51" t="s">
        <v>47</v>
      </c>
      <c r="F5" s="51" t="s">
        <v>22</v>
      </c>
      <c r="G5" s="51" t="s">
        <v>24</v>
      </c>
      <c r="H5" s="51" t="s">
        <v>22</v>
      </c>
      <c r="I5" s="51" t="s">
        <v>26</v>
      </c>
      <c r="J5" s="51">
        <v>1020055</v>
      </c>
      <c r="K5" s="53">
        <v>2161425</v>
      </c>
      <c r="L5" s="53">
        <v>1</v>
      </c>
      <c r="M5" s="53">
        <v>2161425</v>
      </c>
      <c r="N5" s="53">
        <v>2161425</v>
      </c>
      <c r="O5" s="53">
        <v>0</v>
      </c>
      <c r="P5" s="53">
        <v>0</v>
      </c>
      <c r="Q5" s="153">
        <v>0</v>
      </c>
      <c r="R5" s="154">
        <v>0</v>
      </c>
      <c r="S5" s="175"/>
      <c r="T5" s="73">
        <v>45443</v>
      </c>
      <c r="U5" s="73">
        <v>45443</v>
      </c>
      <c r="V5" s="51"/>
      <c r="W5" s="51"/>
      <c r="X5" s="51"/>
      <c r="Y5" s="51">
        <v>0</v>
      </c>
      <c r="Z5" s="51"/>
      <c r="AA5" s="51" t="s">
        <v>21</v>
      </c>
      <c r="AB5" s="51" t="s">
        <v>27</v>
      </c>
      <c r="AC5" s="51" t="s">
        <v>28</v>
      </c>
      <c r="AD5" s="88" t="s">
        <v>845</v>
      </c>
    </row>
    <row r="6" spans="1:30" ht="15.75" hidden="1" x14ac:dyDescent="0.25">
      <c r="A6" s="48" t="s">
        <v>137</v>
      </c>
      <c r="B6" s="74">
        <v>45125</v>
      </c>
      <c r="C6" s="48" t="s">
        <v>441</v>
      </c>
      <c r="D6" s="48" t="s">
        <v>20</v>
      </c>
      <c r="E6" s="48" t="s">
        <v>138</v>
      </c>
      <c r="F6" s="48" t="s">
        <v>22</v>
      </c>
      <c r="G6" s="48" t="s">
        <v>24</v>
      </c>
      <c r="H6" s="48" t="s">
        <v>22</v>
      </c>
      <c r="I6" s="48" t="s">
        <v>26</v>
      </c>
      <c r="J6" s="48">
        <v>1020055</v>
      </c>
      <c r="K6" s="50">
        <v>514625</v>
      </c>
      <c r="L6" s="50">
        <v>1</v>
      </c>
      <c r="M6" s="50">
        <v>514625</v>
      </c>
      <c r="N6" s="50">
        <v>514625</v>
      </c>
      <c r="O6" s="50">
        <v>0</v>
      </c>
      <c r="P6" s="50">
        <v>0</v>
      </c>
      <c r="Q6" s="87">
        <v>0</v>
      </c>
      <c r="R6" s="152">
        <v>0</v>
      </c>
      <c r="S6" s="174"/>
      <c r="T6" s="74">
        <v>45215</v>
      </c>
      <c r="U6" s="74">
        <v>45215</v>
      </c>
      <c r="V6" s="48"/>
      <c r="W6" s="48"/>
      <c r="X6" s="48"/>
      <c r="Y6" s="48">
        <v>0</v>
      </c>
      <c r="Z6" s="48"/>
      <c r="AA6" s="48" t="s">
        <v>21</v>
      </c>
      <c r="AB6" s="48" t="s">
        <v>27</v>
      </c>
      <c r="AC6" s="48" t="s">
        <v>28</v>
      </c>
      <c r="AD6" s="89" t="s">
        <v>845</v>
      </c>
    </row>
    <row r="7" spans="1:30" ht="15.75" hidden="1" x14ac:dyDescent="0.25">
      <c r="A7" s="48" t="s">
        <v>1742</v>
      </c>
      <c r="B7" s="74">
        <v>45883</v>
      </c>
      <c r="C7" s="48" t="s">
        <v>1727</v>
      </c>
      <c r="D7" s="48" t="s">
        <v>20</v>
      </c>
      <c r="E7" s="48" t="s">
        <v>1707</v>
      </c>
      <c r="F7" s="48" t="s">
        <v>70</v>
      </c>
      <c r="G7" s="48" t="s">
        <v>869</v>
      </c>
      <c r="H7" s="48" t="s">
        <v>1762</v>
      </c>
      <c r="I7" s="48" t="s">
        <v>26</v>
      </c>
      <c r="J7" s="48"/>
      <c r="K7" s="50">
        <v>551681.93000000005</v>
      </c>
      <c r="L7" s="50">
        <v>1</v>
      </c>
      <c r="M7" s="50">
        <v>551681.93000000005</v>
      </c>
      <c r="N7" s="50">
        <v>397922</v>
      </c>
      <c r="O7" s="50">
        <v>153759.93</v>
      </c>
      <c r="P7" s="50">
        <v>0</v>
      </c>
      <c r="Q7" s="87">
        <v>153759.93</v>
      </c>
      <c r="R7" s="152">
        <v>0</v>
      </c>
      <c r="S7" s="174"/>
      <c r="T7" s="74">
        <v>45930</v>
      </c>
      <c r="U7" s="74">
        <v>45915</v>
      </c>
      <c r="V7" s="48"/>
      <c r="W7" s="48"/>
      <c r="X7" s="48"/>
      <c r="Y7" s="48"/>
      <c r="Z7" s="48" t="s">
        <v>2861</v>
      </c>
      <c r="AA7" s="48" t="s">
        <v>62</v>
      </c>
      <c r="AB7" s="48" t="s">
        <v>70</v>
      </c>
      <c r="AC7" s="48" t="s">
        <v>208</v>
      </c>
      <c r="AD7" s="89" t="s">
        <v>845</v>
      </c>
    </row>
    <row r="8" spans="1:30" ht="15.75" hidden="1" x14ac:dyDescent="0.25">
      <c r="A8" s="48" t="s">
        <v>375</v>
      </c>
      <c r="B8" s="74">
        <v>45545</v>
      </c>
      <c r="C8" s="48" t="s">
        <v>509</v>
      </c>
      <c r="D8" s="48" t="s">
        <v>20</v>
      </c>
      <c r="E8" s="48" t="s">
        <v>376</v>
      </c>
      <c r="F8" s="48" t="s">
        <v>70</v>
      </c>
      <c r="G8" s="48" t="s">
        <v>72</v>
      </c>
      <c r="H8" s="48" t="s">
        <v>304</v>
      </c>
      <c r="I8" s="48" t="s">
        <v>26</v>
      </c>
      <c r="J8" s="48">
        <v>1020098</v>
      </c>
      <c r="K8" s="50">
        <v>8247656.25</v>
      </c>
      <c r="L8" s="50">
        <v>1</v>
      </c>
      <c r="M8" s="50">
        <v>8247656.25</v>
      </c>
      <c r="N8" s="50">
        <v>8247656.25</v>
      </c>
      <c r="O8" s="50">
        <v>0</v>
      </c>
      <c r="P8" s="50">
        <v>0</v>
      </c>
      <c r="Q8" s="87">
        <v>0</v>
      </c>
      <c r="R8" s="152">
        <v>0</v>
      </c>
      <c r="S8" s="174"/>
      <c r="T8" s="74">
        <v>45716</v>
      </c>
      <c r="U8" s="74">
        <v>45698</v>
      </c>
      <c r="V8" s="48">
        <v>2679704.7400000002</v>
      </c>
      <c r="W8" s="48" t="s">
        <v>377</v>
      </c>
      <c r="X8" s="48" t="s">
        <v>857</v>
      </c>
      <c r="Y8" s="48">
        <v>0</v>
      </c>
      <c r="Z8" s="48"/>
      <c r="AA8" s="48" t="s">
        <v>62</v>
      </c>
      <c r="AB8" s="48" t="s">
        <v>70</v>
      </c>
      <c r="AC8" s="48" t="s">
        <v>379</v>
      </c>
      <c r="AD8" s="89" t="s">
        <v>845</v>
      </c>
    </row>
    <row r="9" spans="1:30" ht="15.75" hidden="1" x14ac:dyDescent="0.25">
      <c r="A9" s="48" t="s">
        <v>464</v>
      </c>
      <c r="B9" s="74">
        <v>45609</v>
      </c>
      <c r="C9" s="48" t="s">
        <v>509</v>
      </c>
      <c r="D9" s="48" t="s">
        <v>20</v>
      </c>
      <c r="E9" s="48" t="s">
        <v>465</v>
      </c>
      <c r="F9" s="48" t="s">
        <v>63</v>
      </c>
      <c r="G9" s="48" t="s">
        <v>72</v>
      </c>
      <c r="H9" s="48" t="s">
        <v>304</v>
      </c>
      <c r="I9" s="48" t="s">
        <v>26</v>
      </c>
      <c r="J9" s="48">
        <v>1020098</v>
      </c>
      <c r="K9" s="50">
        <v>10000000</v>
      </c>
      <c r="L9" s="50">
        <v>1</v>
      </c>
      <c r="M9" s="50">
        <v>10000000</v>
      </c>
      <c r="N9" s="50">
        <v>7506078.75</v>
      </c>
      <c r="O9" s="50">
        <v>2493921.25</v>
      </c>
      <c r="P9" s="50">
        <v>0</v>
      </c>
      <c r="Q9" s="87">
        <v>2493921.25</v>
      </c>
      <c r="R9" s="152">
        <v>0</v>
      </c>
      <c r="S9" s="174"/>
      <c r="T9" s="74">
        <v>45688</v>
      </c>
      <c r="U9" s="74">
        <v>45661</v>
      </c>
      <c r="V9" s="48"/>
      <c r="W9" s="48"/>
      <c r="X9" s="48"/>
      <c r="Y9" s="48">
        <v>0</v>
      </c>
      <c r="Z9" s="48"/>
      <c r="AA9" s="48" t="s">
        <v>373</v>
      </c>
      <c r="AB9" s="48" t="s">
        <v>27</v>
      </c>
      <c r="AC9" s="48" t="s">
        <v>305</v>
      </c>
      <c r="AD9" s="89" t="s">
        <v>845</v>
      </c>
    </row>
    <row r="10" spans="1:30" ht="15.75" hidden="1" x14ac:dyDescent="0.25">
      <c r="A10" s="48" t="s">
        <v>555</v>
      </c>
      <c r="B10" s="74">
        <v>45629</v>
      </c>
      <c r="C10" s="48" t="s">
        <v>509</v>
      </c>
      <c r="D10" s="48" t="s">
        <v>20</v>
      </c>
      <c r="E10" s="48" t="s">
        <v>465</v>
      </c>
      <c r="F10" s="48" t="s">
        <v>483</v>
      </c>
      <c r="G10" s="48" t="s">
        <v>72</v>
      </c>
      <c r="H10" s="48" t="s">
        <v>304</v>
      </c>
      <c r="I10" s="48" t="s">
        <v>26</v>
      </c>
      <c r="J10" s="48">
        <v>1020098</v>
      </c>
      <c r="K10" s="50">
        <v>50000000</v>
      </c>
      <c r="L10" s="50">
        <v>1</v>
      </c>
      <c r="M10" s="50">
        <v>50000000</v>
      </c>
      <c r="N10" s="50">
        <v>29420278</v>
      </c>
      <c r="O10" s="50">
        <v>20579722</v>
      </c>
      <c r="P10" s="50">
        <v>0</v>
      </c>
      <c r="Q10" s="87">
        <v>20579722</v>
      </c>
      <c r="R10" s="152">
        <v>0</v>
      </c>
      <c r="S10" s="174"/>
      <c r="T10" s="74">
        <v>45747</v>
      </c>
      <c r="U10" s="74">
        <v>45720</v>
      </c>
      <c r="V10" s="48"/>
      <c r="W10" s="48"/>
      <c r="X10" s="48"/>
      <c r="Y10" s="48">
        <v>0</v>
      </c>
      <c r="Z10" s="48"/>
      <c r="AA10" s="48" t="s">
        <v>373</v>
      </c>
      <c r="AB10" s="48" t="s">
        <v>27</v>
      </c>
      <c r="AC10" s="48" t="s">
        <v>305</v>
      </c>
      <c r="AD10" s="89" t="s">
        <v>845</v>
      </c>
    </row>
    <row r="11" spans="1:30" ht="15.75" hidden="1" x14ac:dyDescent="0.25">
      <c r="A11" s="48" t="s">
        <v>691</v>
      </c>
      <c r="B11" s="74">
        <v>45685</v>
      </c>
      <c r="C11" s="48" t="s">
        <v>509</v>
      </c>
      <c r="D11" s="48" t="s">
        <v>20</v>
      </c>
      <c r="E11" s="48" t="s">
        <v>465</v>
      </c>
      <c r="F11" s="48" t="s">
        <v>96</v>
      </c>
      <c r="G11" s="48" t="s">
        <v>72</v>
      </c>
      <c r="H11" s="48" t="s">
        <v>304</v>
      </c>
      <c r="I11" s="48" t="s">
        <v>26</v>
      </c>
      <c r="J11" s="48">
        <v>1020098</v>
      </c>
      <c r="K11" s="50">
        <v>30000000</v>
      </c>
      <c r="L11" s="50">
        <v>1</v>
      </c>
      <c r="M11" s="50">
        <v>30000000</v>
      </c>
      <c r="N11" s="50">
        <v>13268700</v>
      </c>
      <c r="O11" s="50">
        <v>16731300</v>
      </c>
      <c r="P11" s="50">
        <v>0</v>
      </c>
      <c r="Q11" s="87">
        <v>16731300</v>
      </c>
      <c r="R11" s="152">
        <v>0</v>
      </c>
      <c r="S11" s="174"/>
      <c r="T11" s="74">
        <v>45747</v>
      </c>
      <c r="U11" s="74">
        <v>45720</v>
      </c>
      <c r="V11" s="48"/>
      <c r="W11" s="48"/>
      <c r="X11" s="48"/>
      <c r="Y11" s="48">
        <v>0</v>
      </c>
      <c r="Z11" s="48"/>
      <c r="AA11" s="48" t="s">
        <v>95</v>
      </c>
      <c r="AB11" s="48" t="s">
        <v>27</v>
      </c>
      <c r="AC11" s="48" t="s">
        <v>305</v>
      </c>
      <c r="AD11" s="89" t="s">
        <v>845</v>
      </c>
    </row>
    <row r="12" spans="1:30" ht="15.75" hidden="1" x14ac:dyDescent="0.25">
      <c r="A12" s="48" t="s">
        <v>1783</v>
      </c>
      <c r="B12" s="74">
        <v>45889</v>
      </c>
      <c r="C12" s="48" t="s">
        <v>1727</v>
      </c>
      <c r="D12" s="48" t="s">
        <v>20</v>
      </c>
      <c r="E12" s="48" t="s">
        <v>1709</v>
      </c>
      <c r="F12" s="48" t="s">
        <v>70</v>
      </c>
      <c r="G12" s="48" t="s">
        <v>869</v>
      </c>
      <c r="H12" s="48" t="s">
        <v>1762</v>
      </c>
      <c r="I12" s="48" t="s">
        <v>26</v>
      </c>
      <c r="J12" s="48"/>
      <c r="K12" s="50">
        <v>377983</v>
      </c>
      <c r="L12" s="50">
        <v>1</v>
      </c>
      <c r="M12" s="50">
        <v>377983</v>
      </c>
      <c r="N12" s="50">
        <v>295901.15999999997</v>
      </c>
      <c r="O12" s="50">
        <v>82081.84</v>
      </c>
      <c r="P12" s="50">
        <v>0</v>
      </c>
      <c r="Q12" s="87">
        <v>82081.84</v>
      </c>
      <c r="R12" s="152">
        <v>0</v>
      </c>
      <c r="S12" s="174"/>
      <c r="T12" s="74">
        <v>45930</v>
      </c>
      <c r="U12" s="74">
        <v>45915</v>
      </c>
      <c r="V12" s="48"/>
      <c r="W12" s="48"/>
      <c r="X12" s="48"/>
      <c r="Y12" s="48"/>
      <c r="Z12" s="48" t="s">
        <v>2863</v>
      </c>
      <c r="AA12" s="48" t="s">
        <v>62</v>
      </c>
      <c r="AB12" s="48" t="s">
        <v>70</v>
      </c>
      <c r="AC12" s="48" t="s">
        <v>208</v>
      </c>
      <c r="AD12" s="89" t="s">
        <v>845</v>
      </c>
    </row>
    <row r="13" spans="1:30" ht="15.75" hidden="1" x14ac:dyDescent="0.25">
      <c r="A13" s="48" t="s">
        <v>1664</v>
      </c>
      <c r="B13" s="74">
        <v>45869</v>
      </c>
      <c r="C13" s="48" t="s">
        <v>1119</v>
      </c>
      <c r="D13" s="48" t="s">
        <v>20</v>
      </c>
      <c r="E13" s="48" t="s">
        <v>1623</v>
      </c>
      <c r="F13" s="48" t="s">
        <v>367</v>
      </c>
      <c r="G13" s="48" t="s">
        <v>24</v>
      </c>
      <c r="H13" s="48" t="s">
        <v>367</v>
      </c>
      <c r="I13" s="48" t="s">
        <v>26</v>
      </c>
      <c r="J13" s="48">
        <v>1020091</v>
      </c>
      <c r="K13" s="50">
        <v>1000000</v>
      </c>
      <c r="L13" s="50">
        <v>1</v>
      </c>
      <c r="M13" s="50">
        <v>1000000</v>
      </c>
      <c r="N13" s="50">
        <v>999999.55</v>
      </c>
      <c r="O13" s="50">
        <v>0.45</v>
      </c>
      <c r="P13" s="50">
        <v>0</v>
      </c>
      <c r="Q13" s="87">
        <v>0.45</v>
      </c>
      <c r="R13" s="152">
        <v>0</v>
      </c>
      <c r="S13" s="174"/>
      <c r="T13" s="74">
        <v>46142</v>
      </c>
      <c r="U13" s="74">
        <v>46142</v>
      </c>
      <c r="V13" s="48"/>
      <c r="W13" s="48"/>
      <c r="X13" s="48"/>
      <c r="Y13" s="48">
        <v>0</v>
      </c>
      <c r="Z13" s="48"/>
      <c r="AA13" s="48" t="s">
        <v>366</v>
      </c>
      <c r="AB13" s="48" t="s">
        <v>27</v>
      </c>
      <c r="AC13" s="48" t="s">
        <v>1624</v>
      </c>
      <c r="AD13" s="89" t="s">
        <v>845</v>
      </c>
    </row>
    <row r="14" spans="1:30" ht="15.75" hidden="1" x14ac:dyDescent="0.25">
      <c r="A14" s="48" t="s">
        <v>788</v>
      </c>
      <c r="B14" s="74">
        <v>45741</v>
      </c>
      <c r="C14" s="48" t="s">
        <v>1864</v>
      </c>
      <c r="D14" s="48" t="s">
        <v>20</v>
      </c>
      <c r="E14" s="48" t="s">
        <v>789</v>
      </c>
      <c r="F14" s="48" t="s">
        <v>710</v>
      </c>
      <c r="G14" s="48" t="s">
        <v>3221</v>
      </c>
      <c r="H14" s="48" t="s">
        <v>81</v>
      </c>
      <c r="I14" s="48" t="s">
        <v>26</v>
      </c>
      <c r="J14" s="48">
        <v>1020070</v>
      </c>
      <c r="K14" s="50">
        <v>4000000</v>
      </c>
      <c r="L14" s="50">
        <v>1</v>
      </c>
      <c r="M14" s="50">
        <v>4000000</v>
      </c>
      <c r="N14" s="50">
        <v>4000000</v>
      </c>
      <c r="O14" s="50">
        <v>0</v>
      </c>
      <c r="P14" s="50">
        <v>0</v>
      </c>
      <c r="Q14" s="87">
        <v>0</v>
      </c>
      <c r="R14" s="152">
        <v>0</v>
      </c>
      <c r="S14" s="174"/>
      <c r="T14" s="74">
        <v>45808</v>
      </c>
      <c r="U14" s="74">
        <v>45777</v>
      </c>
      <c r="V14" s="48"/>
      <c r="W14" s="48"/>
      <c r="X14" s="48"/>
      <c r="Y14" s="48">
        <v>0</v>
      </c>
      <c r="Z14" s="48"/>
      <c r="AA14" s="48" t="s">
        <v>366</v>
      </c>
      <c r="AB14" s="48" t="s">
        <v>27</v>
      </c>
      <c r="AC14" s="48" t="s">
        <v>208</v>
      </c>
      <c r="AD14" s="89" t="s">
        <v>845</v>
      </c>
    </row>
    <row r="15" spans="1:30" ht="15.75" hidden="1" x14ac:dyDescent="0.25">
      <c r="A15" s="48" t="s">
        <v>1807</v>
      </c>
      <c r="B15" s="74">
        <v>45895</v>
      </c>
      <c r="C15" s="48" t="s">
        <v>1181</v>
      </c>
      <c r="D15" s="48" t="s">
        <v>20</v>
      </c>
      <c r="E15" s="48" t="s">
        <v>1757</v>
      </c>
      <c r="F15" s="48" t="s">
        <v>710</v>
      </c>
      <c r="G15" s="48" t="s">
        <v>1791</v>
      </c>
      <c r="H15" s="48" t="s">
        <v>81</v>
      </c>
      <c r="I15" s="48" t="s">
        <v>26</v>
      </c>
      <c r="J15" s="48">
        <v>1020070</v>
      </c>
      <c r="K15" s="50">
        <v>500000</v>
      </c>
      <c r="L15" s="50">
        <v>1</v>
      </c>
      <c r="M15" s="50">
        <v>500000</v>
      </c>
      <c r="N15" s="50">
        <v>500000</v>
      </c>
      <c r="O15" s="50">
        <v>0</v>
      </c>
      <c r="P15" s="50">
        <v>0</v>
      </c>
      <c r="Q15" s="87">
        <v>0</v>
      </c>
      <c r="R15" s="152">
        <v>0</v>
      </c>
      <c r="S15" s="174"/>
      <c r="T15" s="74">
        <v>45961</v>
      </c>
      <c r="U15" s="74">
        <v>45961</v>
      </c>
      <c r="V15" s="48"/>
      <c r="W15" s="48"/>
      <c r="X15" s="48"/>
      <c r="Y15" s="48">
        <v>0</v>
      </c>
      <c r="Z15" s="48"/>
      <c r="AA15" s="48" t="s">
        <v>366</v>
      </c>
      <c r="AB15" s="48" t="s">
        <v>27</v>
      </c>
      <c r="AC15" s="48" t="s">
        <v>408</v>
      </c>
      <c r="AD15" s="89" t="s">
        <v>845</v>
      </c>
    </row>
    <row r="16" spans="1:30" ht="15.75" hidden="1" x14ac:dyDescent="0.25">
      <c r="A16" s="48" t="s">
        <v>398</v>
      </c>
      <c r="B16" s="74">
        <v>45551</v>
      </c>
      <c r="C16" s="48" t="s">
        <v>441</v>
      </c>
      <c r="D16" s="48" t="s">
        <v>20</v>
      </c>
      <c r="E16" s="48" t="s">
        <v>399</v>
      </c>
      <c r="F16" s="48" t="s">
        <v>96</v>
      </c>
      <c r="G16" s="48" t="s">
        <v>24</v>
      </c>
      <c r="H16" s="48" t="s">
        <v>22</v>
      </c>
      <c r="I16" s="48" t="s">
        <v>26</v>
      </c>
      <c r="J16" s="48">
        <v>1020055</v>
      </c>
      <c r="K16" s="50">
        <v>482012.43</v>
      </c>
      <c r="L16" s="50">
        <v>1</v>
      </c>
      <c r="M16" s="50">
        <v>482012.43</v>
      </c>
      <c r="N16" s="50">
        <v>482012.43</v>
      </c>
      <c r="O16" s="50">
        <v>0</v>
      </c>
      <c r="P16" s="50">
        <v>0</v>
      </c>
      <c r="Q16" s="87">
        <v>0</v>
      </c>
      <c r="R16" s="152">
        <v>0</v>
      </c>
      <c r="S16" s="174"/>
      <c r="T16" s="74">
        <v>45716</v>
      </c>
      <c r="U16" s="74">
        <v>45661</v>
      </c>
      <c r="V16" s="48"/>
      <c r="W16" s="48"/>
      <c r="X16" s="48"/>
      <c r="Y16" s="48">
        <v>0</v>
      </c>
      <c r="Z16" s="48" t="s">
        <v>400</v>
      </c>
      <c r="AA16" s="48" t="s">
        <v>95</v>
      </c>
      <c r="AB16" s="48" t="s">
        <v>27</v>
      </c>
      <c r="AC16" s="48" t="s">
        <v>311</v>
      </c>
      <c r="AD16" s="89" t="s">
        <v>845</v>
      </c>
    </row>
    <row r="17" spans="1:30" ht="15.75" hidden="1" x14ac:dyDescent="0.25">
      <c r="A17" s="48" t="s">
        <v>643</v>
      </c>
      <c r="B17" s="74">
        <v>45693</v>
      </c>
      <c r="C17" s="48" t="s">
        <v>441</v>
      </c>
      <c r="D17" s="48" t="s">
        <v>20</v>
      </c>
      <c r="E17" s="48" t="s">
        <v>644</v>
      </c>
      <c r="F17" s="48" t="s">
        <v>96</v>
      </c>
      <c r="G17" s="48" t="s">
        <v>24</v>
      </c>
      <c r="H17" s="48" t="s">
        <v>22</v>
      </c>
      <c r="I17" s="48" t="s">
        <v>26</v>
      </c>
      <c r="J17" s="48">
        <v>1020055</v>
      </c>
      <c r="K17" s="50">
        <v>476785.75</v>
      </c>
      <c r="L17" s="50">
        <v>1</v>
      </c>
      <c r="M17" s="50">
        <v>476785.75</v>
      </c>
      <c r="N17" s="50">
        <v>476785.75</v>
      </c>
      <c r="O17" s="50">
        <v>0</v>
      </c>
      <c r="P17" s="50">
        <v>0</v>
      </c>
      <c r="Q17" s="87">
        <v>0</v>
      </c>
      <c r="R17" s="152">
        <v>0</v>
      </c>
      <c r="S17" s="174"/>
      <c r="T17" s="74">
        <v>45777</v>
      </c>
      <c r="U17" s="74">
        <v>45777</v>
      </c>
      <c r="V17" s="48"/>
      <c r="W17" s="48"/>
      <c r="X17" s="48"/>
      <c r="Y17" s="48">
        <v>0</v>
      </c>
      <c r="Z17" s="48" t="s">
        <v>625</v>
      </c>
      <c r="AA17" s="48" t="s">
        <v>95</v>
      </c>
      <c r="AB17" s="48" t="s">
        <v>27</v>
      </c>
      <c r="AC17" s="48" t="s">
        <v>311</v>
      </c>
      <c r="AD17" s="89" t="s">
        <v>845</v>
      </c>
    </row>
    <row r="18" spans="1:30" ht="15.75" hidden="1" x14ac:dyDescent="0.25">
      <c r="A18" s="48" t="s">
        <v>815</v>
      </c>
      <c r="B18" s="74">
        <v>45739</v>
      </c>
      <c r="C18" s="48" t="s">
        <v>441</v>
      </c>
      <c r="D18" s="48" t="s">
        <v>20</v>
      </c>
      <c r="E18" s="48" t="s">
        <v>644</v>
      </c>
      <c r="F18" s="48" t="s">
        <v>22</v>
      </c>
      <c r="G18" s="48" t="s">
        <v>24</v>
      </c>
      <c r="H18" s="48" t="s">
        <v>22</v>
      </c>
      <c r="I18" s="48" t="s">
        <v>26</v>
      </c>
      <c r="J18" s="48">
        <v>1020055</v>
      </c>
      <c r="K18" s="50">
        <v>450984.51</v>
      </c>
      <c r="L18" s="50">
        <v>1</v>
      </c>
      <c r="M18" s="50">
        <v>450984.51</v>
      </c>
      <c r="N18" s="50">
        <v>316440.59999999998</v>
      </c>
      <c r="O18" s="50">
        <v>134543.91</v>
      </c>
      <c r="P18" s="50">
        <v>0</v>
      </c>
      <c r="Q18" s="87">
        <v>134543.91</v>
      </c>
      <c r="R18" s="152">
        <v>0</v>
      </c>
      <c r="S18" s="174"/>
      <c r="T18" s="74">
        <v>46105</v>
      </c>
      <c r="U18" s="74">
        <v>46105</v>
      </c>
      <c r="V18" s="48"/>
      <c r="W18" s="48"/>
      <c r="X18" s="48"/>
      <c r="Y18" s="48">
        <v>0</v>
      </c>
      <c r="Z18" s="48"/>
      <c r="AA18" s="48" t="s">
        <v>21</v>
      </c>
      <c r="AB18" s="48" t="s">
        <v>27</v>
      </c>
      <c r="AC18" s="48" t="s">
        <v>311</v>
      </c>
      <c r="AD18" s="89" t="s">
        <v>845</v>
      </c>
    </row>
    <row r="19" spans="1:30" ht="15.75" hidden="1" x14ac:dyDescent="0.25">
      <c r="A19" s="48" t="s">
        <v>1273</v>
      </c>
      <c r="B19" s="74">
        <v>45784</v>
      </c>
      <c r="C19" s="48" t="s">
        <v>441</v>
      </c>
      <c r="D19" s="48" t="s">
        <v>20</v>
      </c>
      <c r="E19" s="48" t="s">
        <v>1249</v>
      </c>
      <c r="F19" s="48" t="s">
        <v>70</v>
      </c>
      <c r="G19" s="48" t="s">
        <v>24</v>
      </c>
      <c r="H19" s="48" t="s">
        <v>407</v>
      </c>
      <c r="I19" s="48" t="s">
        <v>26</v>
      </c>
      <c r="J19" s="48">
        <v>1020100</v>
      </c>
      <c r="K19" s="50">
        <v>275000</v>
      </c>
      <c r="L19" s="50">
        <v>1</v>
      </c>
      <c r="M19" s="50">
        <v>275000</v>
      </c>
      <c r="N19" s="50">
        <v>253477.32</v>
      </c>
      <c r="O19" s="50">
        <v>21522.68</v>
      </c>
      <c r="P19" s="50">
        <v>0</v>
      </c>
      <c r="Q19" s="87">
        <v>21522.68</v>
      </c>
      <c r="R19" s="152">
        <v>0</v>
      </c>
      <c r="S19" s="312"/>
      <c r="T19" s="74">
        <v>46022</v>
      </c>
      <c r="U19" s="74">
        <v>46022</v>
      </c>
      <c r="V19" s="48"/>
      <c r="W19" s="48"/>
      <c r="X19" s="48">
        <v>21522.68</v>
      </c>
      <c r="Y19" s="48">
        <v>0</v>
      </c>
      <c r="Z19" s="48"/>
      <c r="AA19" s="48" t="s">
        <v>373</v>
      </c>
      <c r="AB19" s="48" t="s">
        <v>70</v>
      </c>
      <c r="AC19" s="48" t="s">
        <v>621</v>
      </c>
      <c r="AD19" s="89" t="s">
        <v>845</v>
      </c>
    </row>
    <row r="20" spans="1:30" ht="15.75" hidden="1" x14ac:dyDescent="0.25">
      <c r="A20" s="48" t="s">
        <v>1489</v>
      </c>
      <c r="B20" s="74">
        <v>45831</v>
      </c>
      <c r="C20" s="48" t="s">
        <v>441</v>
      </c>
      <c r="D20" s="48" t="s">
        <v>20</v>
      </c>
      <c r="E20" s="48" t="s">
        <v>1375</v>
      </c>
      <c r="F20" s="48" t="s">
        <v>22</v>
      </c>
      <c r="G20" s="48" t="s">
        <v>24</v>
      </c>
      <c r="H20" s="48" t="s">
        <v>407</v>
      </c>
      <c r="I20" s="48" t="s">
        <v>26</v>
      </c>
      <c r="J20" s="48">
        <v>1020100</v>
      </c>
      <c r="K20" s="50">
        <v>300000</v>
      </c>
      <c r="L20" s="50">
        <v>1</v>
      </c>
      <c r="M20" s="50">
        <v>300000</v>
      </c>
      <c r="N20" s="50">
        <v>300000</v>
      </c>
      <c r="O20" s="50">
        <v>0</v>
      </c>
      <c r="P20" s="50">
        <v>0</v>
      </c>
      <c r="Q20" s="87">
        <v>0</v>
      </c>
      <c r="R20" s="152">
        <v>0</v>
      </c>
      <c r="S20" s="174"/>
      <c r="T20" s="74">
        <v>46081</v>
      </c>
      <c r="U20" s="74">
        <v>46081</v>
      </c>
      <c r="V20" s="48"/>
      <c r="W20" s="48"/>
      <c r="X20" s="48"/>
      <c r="Y20" s="48">
        <v>0</v>
      </c>
      <c r="Z20" s="48"/>
      <c r="AA20" s="48" t="s">
        <v>21</v>
      </c>
      <c r="AB20" s="48" t="s">
        <v>27</v>
      </c>
      <c r="AC20" s="48" t="s">
        <v>1624</v>
      </c>
      <c r="AD20" s="89" t="s">
        <v>845</v>
      </c>
    </row>
    <row r="21" spans="1:30" ht="15.75" hidden="1" x14ac:dyDescent="0.25">
      <c r="A21" s="48" t="s">
        <v>1650</v>
      </c>
      <c r="B21" s="74">
        <v>45869</v>
      </c>
      <c r="C21" s="48" t="s">
        <v>1119</v>
      </c>
      <c r="D21" s="48" t="s">
        <v>20</v>
      </c>
      <c r="E21" s="48" t="s">
        <v>1631</v>
      </c>
      <c r="F21" s="48" t="s">
        <v>367</v>
      </c>
      <c r="G21" s="48" t="s">
        <v>24</v>
      </c>
      <c r="H21" s="48" t="s">
        <v>367</v>
      </c>
      <c r="I21" s="48" t="s">
        <v>26</v>
      </c>
      <c r="J21" s="48">
        <v>1020091</v>
      </c>
      <c r="K21" s="50">
        <v>2000000</v>
      </c>
      <c r="L21" s="50">
        <v>1</v>
      </c>
      <c r="M21" s="50">
        <v>2000000</v>
      </c>
      <c r="N21" s="50">
        <v>1994342</v>
      </c>
      <c r="O21" s="50">
        <v>5658</v>
      </c>
      <c r="P21" s="50">
        <v>0</v>
      </c>
      <c r="Q21" s="87">
        <v>5658</v>
      </c>
      <c r="R21" s="152">
        <v>0</v>
      </c>
      <c r="S21" s="174"/>
      <c r="T21" s="74">
        <v>45961</v>
      </c>
      <c r="U21" s="74">
        <v>45961</v>
      </c>
      <c r="V21" s="48"/>
      <c r="W21" s="48"/>
      <c r="X21" s="48"/>
      <c r="Y21" s="48">
        <v>0</v>
      </c>
      <c r="Z21" s="48"/>
      <c r="AA21" s="48" t="s">
        <v>366</v>
      </c>
      <c r="AB21" s="48" t="s">
        <v>27</v>
      </c>
      <c r="AC21" s="48" t="s">
        <v>1624</v>
      </c>
      <c r="AD21" s="89" t="s">
        <v>845</v>
      </c>
    </row>
    <row r="22" spans="1:30" ht="15.75" hidden="1" x14ac:dyDescent="0.25">
      <c r="A22" s="48" t="s">
        <v>3901</v>
      </c>
      <c r="B22" s="74">
        <v>46050</v>
      </c>
      <c r="C22" s="48" t="s">
        <v>441</v>
      </c>
      <c r="D22" s="48" t="s">
        <v>20</v>
      </c>
      <c r="E22" s="48" t="s">
        <v>3294</v>
      </c>
      <c r="F22" s="48" t="s">
        <v>710</v>
      </c>
      <c r="G22" s="48" t="s">
        <v>24</v>
      </c>
      <c r="H22" s="48" t="s">
        <v>710</v>
      </c>
      <c r="I22" s="48" t="s">
        <v>26</v>
      </c>
      <c r="J22" s="48">
        <v>1020088</v>
      </c>
      <c r="K22" s="50">
        <v>500000</v>
      </c>
      <c r="L22" s="50">
        <v>1</v>
      </c>
      <c r="M22" s="50">
        <v>500000</v>
      </c>
      <c r="N22" s="50">
        <v>500000</v>
      </c>
      <c r="O22" s="50">
        <v>0</v>
      </c>
      <c r="P22" s="50">
        <v>0</v>
      </c>
      <c r="Q22" s="87">
        <v>0</v>
      </c>
      <c r="R22" s="152">
        <v>0</v>
      </c>
      <c r="S22" s="174"/>
      <c r="T22" s="74">
        <v>46142</v>
      </c>
      <c r="U22" s="74">
        <v>46142</v>
      </c>
      <c r="V22" s="48"/>
      <c r="W22" s="48"/>
      <c r="X22" s="48"/>
      <c r="Y22" s="48">
        <v>0</v>
      </c>
      <c r="Z22" s="48"/>
      <c r="AA22" s="48" t="s">
        <v>366</v>
      </c>
      <c r="AB22" s="48" t="s">
        <v>27</v>
      </c>
      <c r="AC22" s="48" t="s">
        <v>1904</v>
      </c>
      <c r="AD22" s="89" t="s">
        <v>845</v>
      </c>
    </row>
    <row r="23" spans="1:30" ht="15.75" hidden="1" x14ac:dyDescent="0.25">
      <c r="A23" s="48" t="s">
        <v>1311</v>
      </c>
      <c r="B23" s="74">
        <v>45788</v>
      </c>
      <c r="C23" s="48" t="s">
        <v>441</v>
      </c>
      <c r="D23" s="48" t="s">
        <v>20</v>
      </c>
      <c r="E23" s="48" t="s">
        <v>1268</v>
      </c>
      <c r="F23" s="48" t="s">
        <v>22</v>
      </c>
      <c r="G23" s="48" t="s">
        <v>24</v>
      </c>
      <c r="H23" s="48" t="s">
        <v>22</v>
      </c>
      <c r="I23" s="48" t="s">
        <v>26</v>
      </c>
      <c r="J23" s="48">
        <v>1020055</v>
      </c>
      <c r="K23" s="50">
        <v>78117.13</v>
      </c>
      <c r="L23" s="50">
        <v>1</v>
      </c>
      <c r="M23" s="50">
        <v>78117.13</v>
      </c>
      <c r="N23" s="50">
        <v>78117.13</v>
      </c>
      <c r="O23" s="50">
        <v>0</v>
      </c>
      <c r="P23" s="50">
        <v>0</v>
      </c>
      <c r="Q23" s="87">
        <v>0</v>
      </c>
      <c r="R23" s="152">
        <v>0</v>
      </c>
      <c r="S23" s="174"/>
      <c r="T23" s="74">
        <v>45961</v>
      </c>
      <c r="U23" s="74">
        <v>45961</v>
      </c>
      <c r="V23" s="48"/>
      <c r="W23" s="48"/>
      <c r="X23" s="48"/>
      <c r="Y23" s="48">
        <v>0</v>
      </c>
      <c r="Z23" s="48" t="s">
        <v>1846</v>
      </c>
      <c r="AA23" s="48" t="s">
        <v>21</v>
      </c>
      <c r="AB23" s="48" t="s">
        <v>27</v>
      </c>
      <c r="AC23" s="48" t="s">
        <v>621</v>
      </c>
      <c r="AD23" s="89" t="s">
        <v>845</v>
      </c>
    </row>
    <row r="24" spans="1:30" ht="15.75" hidden="1" x14ac:dyDescent="0.25">
      <c r="A24" s="48" t="s">
        <v>1348</v>
      </c>
      <c r="B24" s="74">
        <v>45792</v>
      </c>
      <c r="C24" s="48" t="s">
        <v>441</v>
      </c>
      <c r="D24" s="48" t="s">
        <v>20</v>
      </c>
      <c r="E24" s="48" t="s">
        <v>1268</v>
      </c>
      <c r="F24" s="48" t="s">
        <v>22</v>
      </c>
      <c r="G24" s="48" t="s">
        <v>24</v>
      </c>
      <c r="H24" s="48" t="s">
        <v>22</v>
      </c>
      <c r="I24" s="48" t="s">
        <v>26</v>
      </c>
      <c r="J24" s="48">
        <v>1020055</v>
      </c>
      <c r="K24" s="50">
        <v>202604.9</v>
      </c>
      <c r="L24" s="50">
        <v>1</v>
      </c>
      <c r="M24" s="50">
        <v>202604.9</v>
      </c>
      <c r="N24" s="50">
        <v>202604.9</v>
      </c>
      <c r="O24" s="50">
        <v>0</v>
      </c>
      <c r="P24" s="50">
        <v>0</v>
      </c>
      <c r="Q24" s="87">
        <v>0</v>
      </c>
      <c r="R24" s="152">
        <v>0</v>
      </c>
      <c r="S24" s="174"/>
      <c r="T24" s="74">
        <v>45900</v>
      </c>
      <c r="U24" s="74">
        <v>45900</v>
      </c>
      <c r="V24" s="48"/>
      <c r="W24" s="48"/>
      <c r="X24" s="48"/>
      <c r="Y24" s="48">
        <v>0</v>
      </c>
      <c r="Z24" s="48"/>
      <c r="AA24" s="48" t="s">
        <v>21</v>
      </c>
      <c r="AB24" s="48" t="s">
        <v>27</v>
      </c>
      <c r="AC24" s="48" t="s">
        <v>621</v>
      </c>
      <c r="AD24" s="89" t="s">
        <v>845</v>
      </c>
    </row>
    <row r="25" spans="1:30" ht="15.75" hidden="1" x14ac:dyDescent="0.25">
      <c r="A25" s="48" t="s">
        <v>5439</v>
      </c>
      <c r="B25" s="74">
        <v>46177</v>
      </c>
      <c r="C25" s="48" t="s">
        <v>441</v>
      </c>
      <c r="D25" s="48" t="s">
        <v>20</v>
      </c>
      <c r="E25" s="48" t="s">
        <v>5330</v>
      </c>
      <c r="F25" s="48" t="s">
        <v>710</v>
      </c>
      <c r="G25" s="48" t="s">
        <v>24</v>
      </c>
      <c r="H25" s="48" t="s">
        <v>710</v>
      </c>
      <c r="I25" s="48" t="s">
        <v>26</v>
      </c>
      <c r="J25" s="48">
        <v>1020088</v>
      </c>
      <c r="K25" s="50">
        <v>200000</v>
      </c>
      <c r="L25" s="50">
        <v>1</v>
      </c>
      <c r="M25" s="50">
        <v>200000</v>
      </c>
      <c r="N25" s="50">
        <v>0</v>
      </c>
      <c r="O25" s="50">
        <v>200000</v>
      </c>
      <c r="P25" s="50">
        <v>0</v>
      </c>
      <c r="Q25" s="87">
        <v>200000</v>
      </c>
      <c r="R25" s="152">
        <v>0</v>
      </c>
      <c r="S25" s="174"/>
      <c r="T25" s="74">
        <v>46265</v>
      </c>
      <c r="U25" s="74">
        <v>46265</v>
      </c>
      <c r="V25" s="48"/>
      <c r="W25" s="48"/>
      <c r="X25" s="48"/>
      <c r="Y25" s="48">
        <v>0</v>
      </c>
      <c r="Z25" s="48"/>
      <c r="AA25" s="48" t="s">
        <v>366</v>
      </c>
      <c r="AB25" s="48" t="s">
        <v>27</v>
      </c>
      <c r="AC25" s="48" t="s">
        <v>5175</v>
      </c>
      <c r="AD25" s="89" t="s">
        <v>1026</v>
      </c>
    </row>
    <row r="26" spans="1:30" ht="15.75" hidden="1" x14ac:dyDescent="0.25">
      <c r="A26" s="48" t="s">
        <v>1670</v>
      </c>
      <c r="B26" s="74">
        <v>45872</v>
      </c>
      <c r="C26" s="48" t="s">
        <v>1119</v>
      </c>
      <c r="D26" s="48" t="s">
        <v>20</v>
      </c>
      <c r="E26" s="48" t="s">
        <v>1627</v>
      </c>
      <c r="F26" s="48" t="s">
        <v>367</v>
      </c>
      <c r="G26" s="48" t="s">
        <v>24</v>
      </c>
      <c r="H26" s="48" t="s">
        <v>367</v>
      </c>
      <c r="I26" s="48" t="s">
        <v>26</v>
      </c>
      <c r="J26" s="48">
        <v>1020091</v>
      </c>
      <c r="K26" s="50">
        <v>500000</v>
      </c>
      <c r="L26" s="50">
        <v>1</v>
      </c>
      <c r="M26" s="50">
        <v>500000</v>
      </c>
      <c r="N26" s="50">
        <v>499999.97</v>
      </c>
      <c r="O26" s="50">
        <v>0.03</v>
      </c>
      <c r="P26" s="50">
        <v>0</v>
      </c>
      <c r="Q26" s="87">
        <v>0.03</v>
      </c>
      <c r="R26" s="152">
        <v>0</v>
      </c>
      <c r="S26" s="174"/>
      <c r="T26" s="74">
        <v>46022</v>
      </c>
      <c r="U26" s="74">
        <v>46022</v>
      </c>
      <c r="V26" s="48"/>
      <c r="W26" s="48"/>
      <c r="X26" s="48"/>
      <c r="Y26" s="48">
        <v>0</v>
      </c>
      <c r="Z26" s="48"/>
      <c r="AA26" s="48" t="s">
        <v>366</v>
      </c>
      <c r="AB26" s="48" t="s">
        <v>27</v>
      </c>
      <c r="AC26" s="48" t="s">
        <v>1624</v>
      </c>
      <c r="AD26" s="89" t="s">
        <v>845</v>
      </c>
    </row>
    <row r="27" spans="1:30" ht="15.75" hidden="1" x14ac:dyDescent="0.25">
      <c r="A27" s="48" t="s">
        <v>3326</v>
      </c>
      <c r="B27" s="74">
        <v>46023</v>
      </c>
      <c r="C27" s="48" t="s">
        <v>1537</v>
      </c>
      <c r="D27" s="48" t="s">
        <v>20</v>
      </c>
      <c r="E27" s="48" t="s">
        <v>1627</v>
      </c>
      <c r="F27" s="48" t="s">
        <v>483</v>
      </c>
      <c r="G27" s="48" t="s">
        <v>24</v>
      </c>
      <c r="H27" s="48" t="s">
        <v>483</v>
      </c>
      <c r="I27" s="48" t="s">
        <v>26</v>
      </c>
      <c r="J27" s="48">
        <v>1020096</v>
      </c>
      <c r="K27" s="50">
        <v>500000</v>
      </c>
      <c r="L27" s="50">
        <v>1</v>
      </c>
      <c r="M27" s="50">
        <v>500000</v>
      </c>
      <c r="N27" s="50">
        <v>499952.7</v>
      </c>
      <c r="O27" s="50">
        <v>47.3</v>
      </c>
      <c r="P27" s="50">
        <v>0</v>
      </c>
      <c r="Q27" s="87">
        <v>47.3</v>
      </c>
      <c r="R27" s="152">
        <v>0</v>
      </c>
      <c r="S27" s="174"/>
      <c r="T27" s="74">
        <v>46142</v>
      </c>
      <c r="U27" s="74">
        <v>46142</v>
      </c>
      <c r="V27" s="48"/>
      <c r="W27" s="48"/>
      <c r="X27" s="48"/>
      <c r="Y27" s="48">
        <v>0</v>
      </c>
      <c r="Z27" s="48"/>
      <c r="AA27" s="48" t="s">
        <v>62</v>
      </c>
      <c r="AB27" s="48" t="s">
        <v>27</v>
      </c>
      <c r="AC27" s="48" t="s">
        <v>3229</v>
      </c>
      <c r="AD27" s="89" t="s">
        <v>845</v>
      </c>
    </row>
    <row r="28" spans="1:30" ht="15.75" hidden="1" x14ac:dyDescent="0.25">
      <c r="A28" s="48" t="s">
        <v>2618</v>
      </c>
      <c r="B28" s="74">
        <v>45973</v>
      </c>
      <c r="C28" s="48" t="s">
        <v>441</v>
      </c>
      <c r="D28" s="48" t="s">
        <v>20</v>
      </c>
      <c r="E28" s="48" t="s">
        <v>2563</v>
      </c>
      <c r="F28" s="48" t="s">
        <v>22</v>
      </c>
      <c r="G28" s="48" t="s">
        <v>24</v>
      </c>
      <c r="H28" s="48" t="s">
        <v>22</v>
      </c>
      <c r="I28" s="48" t="s">
        <v>26</v>
      </c>
      <c r="J28" s="48">
        <v>1020055</v>
      </c>
      <c r="K28" s="50">
        <v>3487033.23</v>
      </c>
      <c r="L28" s="50">
        <v>1</v>
      </c>
      <c r="M28" s="50">
        <v>3487033.23</v>
      </c>
      <c r="N28" s="50">
        <v>1989866.83</v>
      </c>
      <c r="O28" s="50">
        <v>1497166.4</v>
      </c>
      <c r="P28" s="50">
        <v>0</v>
      </c>
      <c r="Q28" s="87">
        <v>1497166.4</v>
      </c>
      <c r="R28" s="152">
        <v>0</v>
      </c>
      <c r="S28" s="174"/>
      <c r="T28" s="74">
        <v>46203</v>
      </c>
      <c r="U28" s="74">
        <v>46203</v>
      </c>
      <c r="V28" s="48"/>
      <c r="W28" s="48"/>
      <c r="X28" s="48"/>
      <c r="Y28" s="48">
        <v>0</v>
      </c>
      <c r="Z28" s="48"/>
      <c r="AA28" s="48" t="s">
        <v>21</v>
      </c>
      <c r="AB28" s="48" t="s">
        <v>27</v>
      </c>
      <c r="AC28" s="48" t="s">
        <v>1904</v>
      </c>
      <c r="AD28" s="89" t="s">
        <v>1026</v>
      </c>
    </row>
    <row r="29" spans="1:30" ht="15.75" hidden="1" x14ac:dyDescent="0.25">
      <c r="A29" s="48" t="s">
        <v>506</v>
      </c>
      <c r="B29" s="74">
        <v>45622</v>
      </c>
      <c r="C29" s="48" t="s">
        <v>509</v>
      </c>
      <c r="D29" s="48" t="s">
        <v>20</v>
      </c>
      <c r="E29" s="48" t="s">
        <v>507</v>
      </c>
      <c r="F29" s="48" t="s">
        <v>483</v>
      </c>
      <c r="G29" s="48" t="s">
        <v>72</v>
      </c>
      <c r="H29" s="48" t="s">
        <v>407</v>
      </c>
      <c r="I29" s="48" t="s">
        <v>26</v>
      </c>
      <c r="J29" s="48">
        <v>1020100</v>
      </c>
      <c r="K29" s="50">
        <v>11166675</v>
      </c>
      <c r="L29" s="50">
        <v>1</v>
      </c>
      <c r="M29" s="50">
        <v>11166675</v>
      </c>
      <c r="N29" s="50">
        <v>8601602.2899999991</v>
      </c>
      <c r="O29" s="50">
        <v>2565072.71</v>
      </c>
      <c r="P29" s="50">
        <v>0</v>
      </c>
      <c r="Q29" s="87">
        <v>2565072.71</v>
      </c>
      <c r="R29" s="152">
        <v>0</v>
      </c>
      <c r="S29" s="174"/>
      <c r="T29" s="74">
        <v>45808</v>
      </c>
      <c r="U29" s="74">
        <v>45781</v>
      </c>
      <c r="V29" s="48"/>
      <c r="W29" s="48"/>
      <c r="X29" s="48"/>
      <c r="Y29" s="48">
        <v>0</v>
      </c>
      <c r="Z29" s="48"/>
      <c r="AA29" s="48" t="s">
        <v>373</v>
      </c>
      <c r="AB29" s="48" t="s">
        <v>27</v>
      </c>
      <c r="AC29" s="48" t="s">
        <v>425</v>
      </c>
      <c r="AD29" s="89" t="s">
        <v>845</v>
      </c>
    </row>
    <row r="30" spans="1:30" ht="15.75" hidden="1" x14ac:dyDescent="0.25">
      <c r="A30" s="48" t="s">
        <v>4250</v>
      </c>
      <c r="B30" s="74">
        <v>46086</v>
      </c>
      <c r="C30" s="48" t="s">
        <v>441</v>
      </c>
      <c r="D30" s="48" t="s">
        <v>20</v>
      </c>
      <c r="E30" s="48" t="s">
        <v>1378</v>
      </c>
      <c r="F30" s="48" t="s">
        <v>710</v>
      </c>
      <c r="G30" s="48" t="s">
        <v>24</v>
      </c>
      <c r="H30" s="48" t="s">
        <v>710</v>
      </c>
      <c r="I30" s="48" t="s">
        <v>26</v>
      </c>
      <c r="J30" s="48">
        <v>1020088</v>
      </c>
      <c r="K30" s="50">
        <v>600000</v>
      </c>
      <c r="L30" s="50">
        <v>1</v>
      </c>
      <c r="M30" s="50">
        <v>600000</v>
      </c>
      <c r="N30" s="50">
        <v>0</v>
      </c>
      <c r="O30" s="50">
        <v>600000</v>
      </c>
      <c r="P30" s="50">
        <v>511689.33</v>
      </c>
      <c r="Q30" s="87">
        <v>88310.67</v>
      </c>
      <c r="R30" s="152">
        <v>0</v>
      </c>
      <c r="S30" s="174" t="s">
        <v>5135</v>
      </c>
      <c r="T30" s="74">
        <v>46265</v>
      </c>
      <c r="U30" s="74">
        <v>46265</v>
      </c>
      <c r="V30" s="48"/>
      <c r="W30" s="48"/>
      <c r="X30" s="48"/>
      <c r="Y30" s="48">
        <v>0</v>
      </c>
      <c r="Z30" s="48"/>
      <c r="AA30" s="48" t="s">
        <v>366</v>
      </c>
      <c r="AB30" s="48" t="s">
        <v>27</v>
      </c>
      <c r="AC30" s="48" t="s">
        <v>1904</v>
      </c>
      <c r="AD30" s="89" t="s">
        <v>1026</v>
      </c>
    </row>
    <row r="31" spans="1:30" ht="15.75" hidden="1" x14ac:dyDescent="0.25">
      <c r="A31" s="48" t="s">
        <v>1441</v>
      </c>
      <c r="B31" s="74">
        <v>45810</v>
      </c>
      <c r="C31" s="48" t="s">
        <v>441</v>
      </c>
      <c r="D31" s="48" t="s">
        <v>20</v>
      </c>
      <c r="E31" s="48" t="s">
        <v>1378</v>
      </c>
      <c r="F31" s="48" t="s">
        <v>710</v>
      </c>
      <c r="G31" s="48" t="s">
        <v>24</v>
      </c>
      <c r="H31" s="48" t="s">
        <v>710</v>
      </c>
      <c r="I31" s="48" t="s">
        <v>26</v>
      </c>
      <c r="J31" s="48">
        <v>1020088</v>
      </c>
      <c r="K31" s="50">
        <v>500000</v>
      </c>
      <c r="L31" s="50">
        <v>1</v>
      </c>
      <c r="M31" s="50">
        <v>500000</v>
      </c>
      <c r="N31" s="50">
        <v>500000</v>
      </c>
      <c r="O31" s="50">
        <v>0</v>
      </c>
      <c r="P31" s="50">
        <v>0</v>
      </c>
      <c r="Q31" s="87">
        <v>0</v>
      </c>
      <c r="R31" s="152">
        <v>0</v>
      </c>
      <c r="S31" s="312"/>
      <c r="T31" s="74">
        <v>45961</v>
      </c>
      <c r="U31" s="74">
        <v>45961</v>
      </c>
      <c r="V31" s="48"/>
      <c r="W31" s="48"/>
      <c r="X31" s="48"/>
      <c r="Y31" s="48">
        <v>0</v>
      </c>
      <c r="Z31" s="48"/>
      <c r="AA31" s="48" t="s">
        <v>366</v>
      </c>
      <c r="AB31" s="48" t="s">
        <v>27</v>
      </c>
      <c r="AC31" s="48" t="s">
        <v>621</v>
      </c>
      <c r="AD31" s="89" t="s">
        <v>845</v>
      </c>
    </row>
    <row r="32" spans="1:30" ht="15.75" hidden="1" x14ac:dyDescent="0.25">
      <c r="A32" s="48" t="s">
        <v>2903</v>
      </c>
      <c r="B32" s="74">
        <v>45992</v>
      </c>
      <c r="C32" s="48" t="s">
        <v>441</v>
      </c>
      <c r="D32" s="48" t="s">
        <v>20</v>
      </c>
      <c r="E32" s="48" t="s">
        <v>1378</v>
      </c>
      <c r="F32" s="48" t="s">
        <v>710</v>
      </c>
      <c r="G32" s="48" t="s">
        <v>24</v>
      </c>
      <c r="H32" s="48" t="s">
        <v>710</v>
      </c>
      <c r="I32" s="48" t="s">
        <v>26</v>
      </c>
      <c r="J32" s="48">
        <v>1020088</v>
      </c>
      <c r="K32" s="50">
        <v>800000</v>
      </c>
      <c r="L32" s="50">
        <v>1</v>
      </c>
      <c r="M32" s="50">
        <v>800000</v>
      </c>
      <c r="N32" s="50">
        <v>799350.29</v>
      </c>
      <c r="O32" s="50">
        <v>649.71</v>
      </c>
      <c r="P32" s="50">
        <v>0</v>
      </c>
      <c r="Q32" s="87">
        <v>649.71</v>
      </c>
      <c r="R32" s="152">
        <v>0</v>
      </c>
      <c r="S32" s="174"/>
      <c r="T32" s="74">
        <v>46081</v>
      </c>
      <c r="U32" s="74">
        <v>46081</v>
      </c>
      <c r="V32" s="48"/>
      <c r="W32" s="48"/>
      <c r="X32" s="48"/>
      <c r="Y32" s="48">
        <v>0</v>
      </c>
      <c r="Z32" s="48"/>
      <c r="AA32" s="48" t="s">
        <v>366</v>
      </c>
      <c r="AB32" s="48" t="s">
        <v>27</v>
      </c>
      <c r="AC32" s="48" t="s">
        <v>621</v>
      </c>
      <c r="AD32" s="89" t="s">
        <v>845</v>
      </c>
    </row>
    <row r="33" spans="1:30" ht="15.75" hidden="1" x14ac:dyDescent="0.25">
      <c r="A33" s="48" t="s">
        <v>4558</v>
      </c>
      <c r="B33" s="74">
        <v>46118</v>
      </c>
      <c r="C33" s="48" t="s">
        <v>441</v>
      </c>
      <c r="D33" s="48" t="s">
        <v>20</v>
      </c>
      <c r="E33" s="48" t="s">
        <v>4504</v>
      </c>
      <c r="F33" s="48" t="s">
        <v>710</v>
      </c>
      <c r="G33" s="48" t="s">
        <v>24</v>
      </c>
      <c r="H33" s="48" t="s">
        <v>710</v>
      </c>
      <c r="I33" s="48" t="s">
        <v>26</v>
      </c>
      <c r="J33" s="48">
        <v>1020088</v>
      </c>
      <c r="K33" s="50">
        <v>175000</v>
      </c>
      <c r="L33" s="50">
        <v>1</v>
      </c>
      <c r="M33" s="50">
        <v>175000</v>
      </c>
      <c r="N33" s="50">
        <v>0</v>
      </c>
      <c r="O33" s="50">
        <v>175000</v>
      </c>
      <c r="P33" s="50">
        <v>0</v>
      </c>
      <c r="Q33" s="87">
        <v>175000</v>
      </c>
      <c r="R33" s="152">
        <v>0</v>
      </c>
      <c r="S33" s="174"/>
      <c r="T33" s="74">
        <v>46203</v>
      </c>
      <c r="U33" s="74">
        <v>46203</v>
      </c>
      <c r="V33" s="48"/>
      <c r="W33" s="48"/>
      <c r="X33" s="48"/>
      <c r="Y33" s="48">
        <v>0</v>
      </c>
      <c r="Z33" s="48"/>
      <c r="AA33" s="48" t="s">
        <v>366</v>
      </c>
      <c r="AB33" s="48" t="s">
        <v>27</v>
      </c>
      <c r="AC33" s="48" t="s">
        <v>4493</v>
      </c>
      <c r="AD33" s="89" t="s">
        <v>1026</v>
      </c>
    </row>
    <row r="34" spans="1:30" ht="15.75" hidden="1" x14ac:dyDescent="0.25">
      <c r="A34" s="48" t="s">
        <v>1332</v>
      </c>
      <c r="B34" s="74">
        <v>45789</v>
      </c>
      <c r="C34" s="48" t="s">
        <v>441</v>
      </c>
      <c r="D34" s="48" t="s">
        <v>20</v>
      </c>
      <c r="E34" s="48" t="s">
        <v>1269</v>
      </c>
      <c r="F34" s="48" t="s">
        <v>22</v>
      </c>
      <c r="G34" s="48" t="s">
        <v>24</v>
      </c>
      <c r="H34" s="48" t="s">
        <v>22</v>
      </c>
      <c r="I34" s="48" t="s">
        <v>26</v>
      </c>
      <c r="J34" s="48">
        <v>1020055</v>
      </c>
      <c r="K34" s="50">
        <v>253537.11</v>
      </c>
      <c r="L34" s="50">
        <v>1</v>
      </c>
      <c r="M34" s="50">
        <v>253537.11</v>
      </c>
      <c r="N34" s="50">
        <v>253537.11</v>
      </c>
      <c r="O34" s="50">
        <v>0</v>
      </c>
      <c r="P34" s="50">
        <v>0</v>
      </c>
      <c r="Q34" s="87">
        <v>0</v>
      </c>
      <c r="R34" s="152">
        <v>0</v>
      </c>
      <c r="S34" s="174"/>
      <c r="T34" s="74">
        <v>45961</v>
      </c>
      <c r="U34" s="74">
        <v>45961</v>
      </c>
      <c r="V34" s="48"/>
      <c r="W34" s="48"/>
      <c r="X34" s="48"/>
      <c r="Y34" s="48">
        <v>0</v>
      </c>
      <c r="Z34" s="48" t="s">
        <v>1846</v>
      </c>
      <c r="AA34" s="48" t="s">
        <v>21</v>
      </c>
      <c r="AB34" s="48" t="s">
        <v>27</v>
      </c>
      <c r="AC34" s="48" t="s">
        <v>621</v>
      </c>
      <c r="AD34" s="89" t="s">
        <v>845</v>
      </c>
    </row>
    <row r="35" spans="1:30" ht="15.75" hidden="1" x14ac:dyDescent="0.25">
      <c r="A35" s="48" t="s">
        <v>1293</v>
      </c>
      <c r="B35" s="74">
        <v>45785</v>
      </c>
      <c r="C35" s="48" t="s">
        <v>441</v>
      </c>
      <c r="D35" s="48" t="s">
        <v>20</v>
      </c>
      <c r="E35" s="48" t="s">
        <v>1244</v>
      </c>
      <c r="F35" s="48" t="s">
        <v>70</v>
      </c>
      <c r="G35" s="48" t="s">
        <v>24</v>
      </c>
      <c r="H35" s="48" t="s">
        <v>407</v>
      </c>
      <c r="I35" s="48" t="s">
        <v>26</v>
      </c>
      <c r="J35" s="48">
        <v>1020100</v>
      </c>
      <c r="K35" s="50">
        <v>200000</v>
      </c>
      <c r="L35" s="50">
        <v>1</v>
      </c>
      <c r="M35" s="50">
        <v>200000</v>
      </c>
      <c r="N35" s="50">
        <v>200000</v>
      </c>
      <c r="O35" s="50">
        <v>0</v>
      </c>
      <c r="P35" s="50">
        <v>0</v>
      </c>
      <c r="Q35" s="87">
        <v>0</v>
      </c>
      <c r="R35" s="152">
        <v>0</v>
      </c>
      <c r="S35" s="174"/>
      <c r="T35" s="74">
        <v>45930</v>
      </c>
      <c r="U35" s="74">
        <v>45930</v>
      </c>
      <c r="V35" s="48"/>
      <c r="W35" s="48"/>
      <c r="X35" s="48"/>
      <c r="Y35" s="48">
        <v>0</v>
      </c>
      <c r="Z35" s="48"/>
      <c r="AA35" s="48" t="s">
        <v>373</v>
      </c>
      <c r="AB35" s="48" t="s">
        <v>70</v>
      </c>
      <c r="AC35" s="48" t="s">
        <v>621</v>
      </c>
      <c r="AD35" s="89" t="s">
        <v>845</v>
      </c>
    </row>
    <row r="36" spans="1:30" ht="15.75" hidden="1" x14ac:dyDescent="0.25">
      <c r="A36" s="48" t="s">
        <v>4561</v>
      </c>
      <c r="B36" s="74">
        <v>46118</v>
      </c>
      <c r="C36" s="48" t="s">
        <v>441</v>
      </c>
      <c r="D36" s="48" t="s">
        <v>20</v>
      </c>
      <c r="E36" s="48" t="s">
        <v>4495</v>
      </c>
      <c r="F36" s="48" t="s">
        <v>710</v>
      </c>
      <c r="G36" s="48" t="s">
        <v>24</v>
      </c>
      <c r="H36" s="48" t="s">
        <v>710</v>
      </c>
      <c r="I36" s="48" t="s">
        <v>26</v>
      </c>
      <c r="J36" s="48">
        <v>1020088</v>
      </c>
      <c r="K36" s="50">
        <v>125000</v>
      </c>
      <c r="L36" s="50">
        <v>1</v>
      </c>
      <c r="M36" s="50">
        <v>125000</v>
      </c>
      <c r="N36" s="50">
        <v>0</v>
      </c>
      <c r="O36" s="50">
        <v>125000</v>
      </c>
      <c r="P36" s="50">
        <v>125000</v>
      </c>
      <c r="Q36" s="87">
        <v>0</v>
      </c>
      <c r="R36" s="152">
        <v>0</v>
      </c>
      <c r="S36" s="174" t="s">
        <v>5081</v>
      </c>
      <c r="T36" s="74">
        <v>46203</v>
      </c>
      <c r="U36" s="74">
        <v>46203</v>
      </c>
      <c r="V36" s="48"/>
      <c r="W36" s="48"/>
      <c r="X36" s="48"/>
      <c r="Y36" s="48">
        <v>0</v>
      </c>
      <c r="Z36" s="48"/>
      <c r="AA36" s="48" t="s">
        <v>366</v>
      </c>
      <c r="AB36" s="48" t="s">
        <v>27</v>
      </c>
      <c r="AC36" s="48" t="s">
        <v>4493</v>
      </c>
      <c r="AD36" s="89" t="s">
        <v>1026</v>
      </c>
    </row>
    <row r="37" spans="1:30" ht="15.75" hidden="1" x14ac:dyDescent="0.25">
      <c r="A37" s="48" t="s">
        <v>1446</v>
      </c>
      <c r="B37" s="74">
        <v>45811</v>
      </c>
      <c r="C37" s="48" t="s">
        <v>509</v>
      </c>
      <c r="D37" s="48" t="s">
        <v>20</v>
      </c>
      <c r="E37" s="48" t="s">
        <v>1337</v>
      </c>
      <c r="F37" s="48" t="s">
        <v>96</v>
      </c>
      <c r="G37" s="48" t="s">
        <v>72</v>
      </c>
      <c r="H37" s="48" t="s">
        <v>511</v>
      </c>
      <c r="I37" s="48" t="s">
        <v>26</v>
      </c>
      <c r="J37" s="48">
        <v>1020107</v>
      </c>
      <c r="K37" s="50">
        <v>4738920</v>
      </c>
      <c r="L37" s="50">
        <v>1</v>
      </c>
      <c r="M37" s="50">
        <v>4738920</v>
      </c>
      <c r="N37" s="50">
        <v>3721273.25</v>
      </c>
      <c r="O37" s="50">
        <v>1017646.75</v>
      </c>
      <c r="P37" s="50">
        <v>0</v>
      </c>
      <c r="Q37" s="87">
        <v>1017646.75</v>
      </c>
      <c r="R37" s="152">
        <v>0</v>
      </c>
      <c r="S37" s="174"/>
      <c r="T37" s="74">
        <v>46142</v>
      </c>
      <c r="U37" s="74">
        <v>46122</v>
      </c>
      <c r="V37" s="48"/>
      <c r="W37" s="48"/>
      <c r="X37" s="48"/>
      <c r="Y37" s="48">
        <v>0</v>
      </c>
      <c r="Z37" s="48"/>
      <c r="AA37" s="48" t="s">
        <v>95</v>
      </c>
      <c r="AB37" s="48" t="s">
        <v>27</v>
      </c>
      <c r="AC37" s="48" t="s">
        <v>1338</v>
      </c>
      <c r="AD37" s="89" t="s">
        <v>845</v>
      </c>
    </row>
    <row r="38" spans="1:30" ht="15.75" hidden="1" x14ac:dyDescent="0.25">
      <c r="A38" s="48" t="s">
        <v>1767</v>
      </c>
      <c r="B38" s="74">
        <v>45887</v>
      </c>
      <c r="C38" s="48" t="s">
        <v>509</v>
      </c>
      <c r="D38" s="48" t="s">
        <v>20</v>
      </c>
      <c r="E38" s="48" t="s">
        <v>1337</v>
      </c>
      <c r="F38" s="48" t="s">
        <v>22</v>
      </c>
      <c r="G38" s="48" t="s">
        <v>72</v>
      </c>
      <c r="H38" s="48" t="s">
        <v>511</v>
      </c>
      <c r="I38" s="48" t="s">
        <v>26</v>
      </c>
      <c r="J38" s="48">
        <v>1020107</v>
      </c>
      <c r="K38" s="50">
        <v>3009600</v>
      </c>
      <c r="L38" s="50">
        <v>1</v>
      </c>
      <c r="M38" s="50">
        <v>3009600</v>
      </c>
      <c r="N38" s="50">
        <v>1850554.97</v>
      </c>
      <c r="O38" s="50">
        <v>1159045.03</v>
      </c>
      <c r="P38" s="50">
        <v>0</v>
      </c>
      <c r="Q38" s="87">
        <v>1159045.03</v>
      </c>
      <c r="R38" s="152">
        <v>48780.61</v>
      </c>
      <c r="S38" s="174"/>
      <c r="T38" s="74">
        <v>46252</v>
      </c>
      <c r="U38" s="74">
        <v>46252</v>
      </c>
      <c r="V38" s="48"/>
      <c r="W38" s="48"/>
      <c r="X38" s="48"/>
      <c r="Y38" s="48">
        <v>0</v>
      </c>
      <c r="Z38" s="48"/>
      <c r="AA38" s="48" t="s">
        <v>21</v>
      </c>
      <c r="AB38" s="48" t="s">
        <v>27</v>
      </c>
      <c r="AC38" s="48" t="s">
        <v>1338</v>
      </c>
      <c r="AD38" s="89" t="s">
        <v>1026</v>
      </c>
    </row>
    <row r="39" spans="1:30" ht="15.75" hidden="1" x14ac:dyDescent="0.25">
      <c r="A39" s="48"/>
      <c r="B39" s="74">
        <v>46195</v>
      </c>
      <c r="C39" s="48" t="s">
        <v>509</v>
      </c>
      <c r="D39" s="48" t="s">
        <v>728</v>
      </c>
      <c r="E39" s="48" t="s">
        <v>1337</v>
      </c>
      <c r="F39" s="48" t="s">
        <v>96</v>
      </c>
      <c r="G39" s="48" t="s">
        <v>72</v>
      </c>
      <c r="H39" s="48" t="s">
        <v>511</v>
      </c>
      <c r="I39" s="48" t="s">
        <v>26</v>
      </c>
      <c r="J39" s="48">
        <v>1020107</v>
      </c>
      <c r="K39" s="50">
        <v>1017646</v>
      </c>
      <c r="L39" s="50">
        <v>1</v>
      </c>
      <c r="M39" s="50">
        <v>1017646</v>
      </c>
      <c r="N39" s="50">
        <v>0</v>
      </c>
      <c r="O39" s="50">
        <v>1017646</v>
      </c>
      <c r="P39" s="50">
        <v>0</v>
      </c>
      <c r="Q39" s="87">
        <v>1017646</v>
      </c>
      <c r="R39" s="152">
        <v>0</v>
      </c>
      <c r="S39" s="174"/>
      <c r="T39" s="74">
        <v>46326</v>
      </c>
      <c r="U39" s="74">
        <v>46326</v>
      </c>
      <c r="V39" s="48"/>
      <c r="W39" s="48"/>
      <c r="X39" s="48"/>
      <c r="Y39" s="48">
        <v>0</v>
      </c>
      <c r="Z39" s="48" t="s">
        <v>5691</v>
      </c>
      <c r="AA39" s="48" t="s">
        <v>95</v>
      </c>
      <c r="AB39" s="48" t="s">
        <v>27</v>
      </c>
      <c r="AC39" s="48" t="s">
        <v>1338</v>
      </c>
      <c r="AD39" s="89" t="s">
        <v>1026</v>
      </c>
    </row>
    <row r="40" spans="1:30" ht="15.75" hidden="1" x14ac:dyDescent="0.25">
      <c r="A40" s="48" t="s">
        <v>4545</v>
      </c>
      <c r="B40" s="74">
        <v>46009</v>
      </c>
      <c r="C40" s="48" t="s">
        <v>4231</v>
      </c>
      <c r="D40" s="48" t="s">
        <v>20</v>
      </c>
      <c r="E40" s="48" t="s">
        <v>2924</v>
      </c>
      <c r="F40" s="48" t="s">
        <v>882</v>
      </c>
      <c r="G40" s="48" t="s">
        <v>72</v>
      </c>
      <c r="H40" s="48" t="s">
        <v>882</v>
      </c>
      <c r="I40" s="48" t="s">
        <v>26</v>
      </c>
      <c r="J40" s="48">
        <v>1020108</v>
      </c>
      <c r="K40" s="50">
        <v>11573945</v>
      </c>
      <c r="L40" s="50">
        <v>1</v>
      </c>
      <c r="M40" s="50">
        <v>11573945</v>
      </c>
      <c r="N40" s="50">
        <v>1164996</v>
      </c>
      <c r="O40" s="50">
        <v>10408949</v>
      </c>
      <c r="P40" s="50">
        <v>0</v>
      </c>
      <c r="Q40" s="87">
        <v>10408949</v>
      </c>
      <c r="R40" s="152">
        <v>0</v>
      </c>
      <c r="S40" s="174"/>
      <c r="T40" s="74">
        <v>46081</v>
      </c>
      <c r="U40" s="74">
        <v>46081</v>
      </c>
      <c r="V40" s="48"/>
      <c r="W40" s="48"/>
      <c r="X40" s="48"/>
      <c r="Y40" s="48">
        <v>0</v>
      </c>
      <c r="Z40" s="48"/>
      <c r="AA40" s="48" t="s">
        <v>1073</v>
      </c>
      <c r="AB40" s="48" t="s">
        <v>27</v>
      </c>
      <c r="AC40" s="48" t="s">
        <v>425</v>
      </c>
      <c r="AD40" s="89" t="s">
        <v>845</v>
      </c>
    </row>
    <row r="41" spans="1:30" ht="15.75" hidden="1" x14ac:dyDescent="0.25">
      <c r="A41" s="48" t="s">
        <v>1516</v>
      </c>
      <c r="B41" s="74">
        <v>45834</v>
      </c>
      <c r="C41" s="48" t="s">
        <v>441</v>
      </c>
      <c r="D41" s="48" t="s">
        <v>20</v>
      </c>
      <c r="E41" s="48" t="s">
        <v>1461</v>
      </c>
      <c r="F41" s="48" t="s">
        <v>22</v>
      </c>
      <c r="G41" s="48" t="s">
        <v>24</v>
      </c>
      <c r="H41" s="48" t="s">
        <v>407</v>
      </c>
      <c r="I41" s="48" t="s">
        <v>26</v>
      </c>
      <c r="J41" s="48">
        <v>1020100</v>
      </c>
      <c r="K41" s="50">
        <v>870662</v>
      </c>
      <c r="L41" s="50">
        <v>1</v>
      </c>
      <c r="M41" s="50">
        <v>870662</v>
      </c>
      <c r="N41" s="50">
        <v>870662</v>
      </c>
      <c r="O41" s="50">
        <v>0</v>
      </c>
      <c r="P41" s="50">
        <v>0</v>
      </c>
      <c r="Q41" s="87">
        <v>0</v>
      </c>
      <c r="R41" s="152">
        <v>0</v>
      </c>
      <c r="S41" s="174"/>
      <c r="T41" s="74">
        <v>45900</v>
      </c>
      <c r="U41" s="74">
        <v>45900</v>
      </c>
      <c r="V41" s="48"/>
      <c r="W41" s="48"/>
      <c r="X41" s="48"/>
      <c r="Y41" s="48">
        <v>0</v>
      </c>
      <c r="Z41" s="48"/>
      <c r="AA41" s="48" t="s">
        <v>21</v>
      </c>
      <c r="AB41" s="48" t="s">
        <v>27</v>
      </c>
      <c r="AC41" s="48" t="s">
        <v>621</v>
      </c>
      <c r="AD41" s="89" t="s">
        <v>845</v>
      </c>
    </row>
    <row r="42" spans="1:30" ht="15.75" hidden="1" x14ac:dyDescent="0.25">
      <c r="A42" s="48" t="s">
        <v>440</v>
      </c>
      <c r="B42" s="74">
        <v>45559</v>
      </c>
      <c r="C42" s="48" t="s">
        <v>441</v>
      </c>
      <c r="D42" s="48" t="s">
        <v>20</v>
      </c>
      <c r="E42" s="48" t="s">
        <v>442</v>
      </c>
      <c r="F42" s="48" t="s">
        <v>96</v>
      </c>
      <c r="G42" s="48" t="s">
        <v>24</v>
      </c>
      <c r="H42" s="48" t="s">
        <v>22</v>
      </c>
      <c r="I42" s="48" t="s">
        <v>26</v>
      </c>
      <c r="J42" s="48">
        <v>1020055</v>
      </c>
      <c r="K42" s="50">
        <v>1001635.3025</v>
      </c>
      <c r="L42" s="50">
        <v>1</v>
      </c>
      <c r="M42" s="50">
        <v>1001635.3025</v>
      </c>
      <c r="N42" s="50">
        <v>995509.89</v>
      </c>
      <c r="O42" s="50">
        <v>6125.41</v>
      </c>
      <c r="P42" s="50">
        <v>0</v>
      </c>
      <c r="Q42" s="87">
        <v>6125.41</v>
      </c>
      <c r="R42" s="152">
        <v>0</v>
      </c>
      <c r="S42" s="174"/>
      <c r="T42" s="74">
        <v>45777</v>
      </c>
      <c r="U42" s="74">
        <v>45751</v>
      </c>
      <c r="V42" s="48"/>
      <c r="W42" s="48"/>
      <c r="X42" s="48"/>
      <c r="Y42" s="48">
        <v>0</v>
      </c>
      <c r="Z42" s="48" t="s">
        <v>443</v>
      </c>
      <c r="AA42" s="48" t="s">
        <v>95</v>
      </c>
      <c r="AB42" s="48" t="s">
        <v>27</v>
      </c>
      <c r="AC42" s="48" t="s">
        <v>311</v>
      </c>
      <c r="AD42" s="89" t="s">
        <v>845</v>
      </c>
    </row>
    <row r="43" spans="1:30" ht="15.75" hidden="1" x14ac:dyDescent="0.25">
      <c r="A43" s="48" t="s">
        <v>651</v>
      </c>
      <c r="B43" s="74">
        <v>45680</v>
      </c>
      <c r="C43" s="48" t="s">
        <v>441</v>
      </c>
      <c r="D43" s="48" t="s">
        <v>20</v>
      </c>
      <c r="E43" s="48" t="s">
        <v>442</v>
      </c>
      <c r="F43" s="48" t="s">
        <v>22</v>
      </c>
      <c r="G43" s="48" t="s">
        <v>24</v>
      </c>
      <c r="H43" s="48" t="s">
        <v>22</v>
      </c>
      <c r="I43" s="48" t="s">
        <v>26</v>
      </c>
      <c r="J43" s="48">
        <v>1020055</v>
      </c>
      <c r="K43" s="50">
        <v>750000</v>
      </c>
      <c r="L43" s="50">
        <v>1</v>
      </c>
      <c r="M43" s="50">
        <v>750000</v>
      </c>
      <c r="N43" s="50">
        <v>385105.68000000005</v>
      </c>
      <c r="O43" s="50">
        <v>364894.32</v>
      </c>
      <c r="P43" s="50">
        <v>0</v>
      </c>
      <c r="Q43" s="87">
        <v>364894.32</v>
      </c>
      <c r="R43" s="152">
        <v>0</v>
      </c>
      <c r="S43" s="174"/>
      <c r="T43" s="74">
        <v>46045</v>
      </c>
      <c r="U43" s="74">
        <v>46045</v>
      </c>
      <c r="V43" s="48"/>
      <c r="W43" s="48"/>
      <c r="X43" s="48"/>
      <c r="Y43" s="48">
        <v>0</v>
      </c>
      <c r="Z43" s="48"/>
      <c r="AA43" s="48" t="s">
        <v>21</v>
      </c>
      <c r="AB43" s="48" t="s">
        <v>27</v>
      </c>
      <c r="AC43" s="48" t="s">
        <v>311</v>
      </c>
      <c r="AD43" s="89" t="s">
        <v>845</v>
      </c>
    </row>
    <row r="44" spans="1:30" ht="15.75" hidden="1" x14ac:dyDescent="0.25">
      <c r="A44" s="48" t="s">
        <v>5084</v>
      </c>
      <c r="B44" s="74">
        <v>46140</v>
      </c>
      <c r="C44" s="48" t="s">
        <v>1259</v>
      </c>
      <c r="D44" s="48" t="s">
        <v>20</v>
      </c>
      <c r="E44" s="48" t="s">
        <v>5027</v>
      </c>
      <c r="F44" s="48" t="s">
        <v>96</v>
      </c>
      <c r="G44" s="48" t="s">
        <v>1791</v>
      </c>
      <c r="H44" s="48" t="s">
        <v>328</v>
      </c>
      <c r="I44" s="48" t="s">
        <v>26</v>
      </c>
      <c r="J44" s="48">
        <v>1020097</v>
      </c>
      <c r="K44" s="50">
        <v>6000000</v>
      </c>
      <c r="L44" s="50">
        <v>1</v>
      </c>
      <c r="M44" s="50">
        <v>6000000</v>
      </c>
      <c r="N44" s="50">
        <v>0</v>
      </c>
      <c r="O44" s="50">
        <v>6000000</v>
      </c>
      <c r="P44" s="50">
        <v>0</v>
      </c>
      <c r="Q44" s="87">
        <v>6000000</v>
      </c>
      <c r="R44" s="152">
        <v>0</v>
      </c>
      <c r="S44" s="174"/>
      <c r="T44" s="74">
        <v>46325</v>
      </c>
      <c r="U44" s="74">
        <v>46325</v>
      </c>
      <c r="V44" s="48"/>
      <c r="W44" s="48"/>
      <c r="X44" s="48"/>
      <c r="Y44" s="48">
        <v>0</v>
      </c>
      <c r="Z44" s="48"/>
      <c r="AA44" s="48" t="s">
        <v>95</v>
      </c>
      <c r="AB44" s="48" t="s">
        <v>27</v>
      </c>
      <c r="AC44" s="48" t="s">
        <v>3729</v>
      </c>
      <c r="AD44" s="89" t="s">
        <v>1026</v>
      </c>
    </row>
    <row r="45" spans="1:30" ht="15.75" hidden="1" x14ac:dyDescent="0.25">
      <c r="A45" s="48" t="s">
        <v>302</v>
      </c>
      <c r="B45" s="74">
        <v>45537</v>
      </c>
      <c r="C45" s="48" t="s">
        <v>509</v>
      </c>
      <c r="D45" s="48" t="s">
        <v>20</v>
      </c>
      <c r="E45" s="48" t="s">
        <v>303</v>
      </c>
      <c r="F45" s="48" t="s">
        <v>22</v>
      </c>
      <c r="G45" s="48" t="s">
        <v>72</v>
      </c>
      <c r="H45" s="48" t="s">
        <v>304</v>
      </c>
      <c r="I45" s="48" t="s">
        <v>26</v>
      </c>
      <c r="J45" s="48">
        <v>1020098</v>
      </c>
      <c r="K45" s="50">
        <v>3059710.07</v>
      </c>
      <c r="L45" s="50">
        <v>1</v>
      </c>
      <c r="M45" s="50">
        <v>3059710.07</v>
      </c>
      <c r="N45" s="50">
        <v>3059133.3200000003</v>
      </c>
      <c r="O45" s="50">
        <v>576.75</v>
      </c>
      <c r="P45" s="50">
        <v>0</v>
      </c>
      <c r="Q45" s="87">
        <v>576.75</v>
      </c>
      <c r="R45" s="152">
        <v>0</v>
      </c>
      <c r="S45" s="174"/>
      <c r="T45" s="74">
        <v>45731</v>
      </c>
      <c r="U45" s="74">
        <v>45716</v>
      </c>
      <c r="V45" s="48"/>
      <c r="W45" s="48"/>
      <c r="X45" s="48"/>
      <c r="Y45" s="48">
        <v>0</v>
      </c>
      <c r="Z45" s="48"/>
      <c r="AA45" s="48" t="s">
        <v>21</v>
      </c>
      <c r="AB45" s="48" t="s">
        <v>27</v>
      </c>
      <c r="AC45" s="48" t="s">
        <v>305</v>
      </c>
      <c r="AD45" s="89" t="s">
        <v>845</v>
      </c>
    </row>
    <row r="46" spans="1:30" ht="15.75" hidden="1" x14ac:dyDescent="0.25">
      <c r="A46" s="48" t="s">
        <v>372</v>
      </c>
      <c r="B46" s="74">
        <v>45519</v>
      </c>
      <c r="C46" s="48" t="s">
        <v>509</v>
      </c>
      <c r="D46" s="48" t="s">
        <v>20</v>
      </c>
      <c r="E46" s="48" t="s">
        <v>303</v>
      </c>
      <c r="F46" s="48" t="s">
        <v>63</v>
      </c>
      <c r="G46" s="48" t="s">
        <v>72</v>
      </c>
      <c r="H46" s="48" t="s">
        <v>304</v>
      </c>
      <c r="I46" s="48" t="s">
        <v>26</v>
      </c>
      <c r="J46" s="48">
        <v>1020098</v>
      </c>
      <c r="K46" s="50">
        <v>1792213.13</v>
      </c>
      <c r="L46" s="50">
        <v>1</v>
      </c>
      <c r="M46" s="50">
        <v>1792213.13</v>
      </c>
      <c r="N46" s="50">
        <v>0</v>
      </c>
      <c r="O46" s="50">
        <v>1792213.13</v>
      </c>
      <c r="P46" s="50">
        <v>0</v>
      </c>
      <c r="Q46" s="87">
        <v>1792213.13</v>
      </c>
      <c r="R46" s="152">
        <v>0</v>
      </c>
      <c r="S46" s="174"/>
      <c r="T46" s="74">
        <v>45519</v>
      </c>
      <c r="U46" s="74">
        <v>45519</v>
      </c>
      <c r="V46" s="48"/>
      <c r="W46" s="48"/>
      <c r="X46" s="48"/>
      <c r="Y46" s="48">
        <v>0</v>
      </c>
      <c r="Z46" s="48" t="s">
        <v>374</v>
      </c>
      <c r="AA46" s="48" t="s">
        <v>373</v>
      </c>
      <c r="AB46" s="48" t="s">
        <v>27</v>
      </c>
      <c r="AC46" s="48"/>
      <c r="AD46" s="89" t="s">
        <v>845</v>
      </c>
    </row>
    <row r="47" spans="1:30" ht="15.75" hidden="1" x14ac:dyDescent="0.25">
      <c r="A47" s="48" t="s">
        <v>503</v>
      </c>
      <c r="B47" s="74">
        <v>45609</v>
      </c>
      <c r="C47" s="48" t="s">
        <v>509</v>
      </c>
      <c r="D47" s="48" t="s">
        <v>20</v>
      </c>
      <c r="E47" s="48" t="s">
        <v>303</v>
      </c>
      <c r="F47" s="48" t="s">
        <v>63</v>
      </c>
      <c r="G47" s="48" t="s">
        <v>72</v>
      </c>
      <c r="H47" s="48" t="s">
        <v>304</v>
      </c>
      <c r="I47" s="48" t="s">
        <v>26</v>
      </c>
      <c r="J47" s="48">
        <v>1020098</v>
      </c>
      <c r="K47" s="50">
        <v>2868897.74</v>
      </c>
      <c r="L47" s="50">
        <v>1</v>
      </c>
      <c r="M47" s="50">
        <v>2868897.74</v>
      </c>
      <c r="N47" s="50">
        <v>0</v>
      </c>
      <c r="O47" s="50">
        <v>2868897.74</v>
      </c>
      <c r="P47" s="50">
        <v>0</v>
      </c>
      <c r="Q47" s="87">
        <v>2868897.74</v>
      </c>
      <c r="R47" s="152">
        <v>0</v>
      </c>
      <c r="S47" s="174"/>
      <c r="T47" s="74">
        <v>45731</v>
      </c>
      <c r="U47" s="74">
        <v>45661</v>
      </c>
      <c r="V47" s="48"/>
      <c r="W47" s="48"/>
      <c r="X47" s="48"/>
      <c r="Y47" s="48">
        <v>0</v>
      </c>
      <c r="Z47" s="48"/>
      <c r="AA47" s="48" t="s">
        <v>373</v>
      </c>
      <c r="AB47" s="48" t="s">
        <v>27</v>
      </c>
      <c r="AC47" s="48" t="s">
        <v>305</v>
      </c>
      <c r="AD47" s="89" t="s">
        <v>845</v>
      </c>
    </row>
    <row r="48" spans="1:30" ht="15.75" hidden="1" x14ac:dyDescent="0.25">
      <c r="A48" s="48" t="s">
        <v>579</v>
      </c>
      <c r="B48" s="74">
        <v>45638</v>
      </c>
      <c r="C48" s="48" t="s">
        <v>509</v>
      </c>
      <c r="D48" s="48" t="s">
        <v>20</v>
      </c>
      <c r="E48" s="48" t="s">
        <v>303</v>
      </c>
      <c r="F48" s="48" t="s">
        <v>483</v>
      </c>
      <c r="G48" s="48" t="s">
        <v>72</v>
      </c>
      <c r="H48" s="48" t="s">
        <v>304</v>
      </c>
      <c r="I48" s="48" t="s">
        <v>26</v>
      </c>
      <c r="J48" s="48">
        <v>1020098</v>
      </c>
      <c r="K48" s="50">
        <v>2974166.33</v>
      </c>
      <c r="L48" s="50">
        <v>1</v>
      </c>
      <c r="M48" s="50">
        <v>2974166.33</v>
      </c>
      <c r="N48" s="50">
        <v>1537811.54</v>
      </c>
      <c r="O48" s="50">
        <v>1436354.79</v>
      </c>
      <c r="P48" s="50">
        <v>0</v>
      </c>
      <c r="Q48" s="87">
        <v>1436354.79</v>
      </c>
      <c r="R48" s="152">
        <v>0</v>
      </c>
      <c r="S48" s="174"/>
      <c r="T48" s="74">
        <v>45762</v>
      </c>
      <c r="U48" s="74">
        <v>45762</v>
      </c>
      <c r="V48" s="48"/>
      <c r="W48" s="48"/>
      <c r="X48" s="48"/>
      <c r="Y48" s="48">
        <v>0</v>
      </c>
      <c r="Z48" s="48"/>
      <c r="AA48" s="48" t="s">
        <v>373</v>
      </c>
      <c r="AB48" s="48" t="s">
        <v>27</v>
      </c>
      <c r="AC48" s="48" t="s">
        <v>305</v>
      </c>
      <c r="AD48" s="89" t="s">
        <v>845</v>
      </c>
    </row>
    <row r="49" spans="1:30" ht="15.75" hidden="1" x14ac:dyDescent="0.25">
      <c r="A49" s="48" t="s">
        <v>727</v>
      </c>
      <c r="B49" s="74">
        <v>45714</v>
      </c>
      <c r="C49" s="48" t="s">
        <v>509</v>
      </c>
      <c r="D49" s="48" t="s">
        <v>20</v>
      </c>
      <c r="E49" s="48" t="s">
        <v>303</v>
      </c>
      <c r="F49" s="48" t="s">
        <v>483</v>
      </c>
      <c r="G49" s="48" t="s">
        <v>72</v>
      </c>
      <c r="H49" s="48" t="s">
        <v>304</v>
      </c>
      <c r="I49" s="48" t="s">
        <v>26</v>
      </c>
      <c r="J49" s="48">
        <v>1020098</v>
      </c>
      <c r="K49" s="50">
        <v>2835037.61</v>
      </c>
      <c r="L49" s="50">
        <v>1</v>
      </c>
      <c r="M49" s="50">
        <v>2835037.61</v>
      </c>
      <c r="N49" s="50">
        <v>1958341.32</v>
      </c>
      <c r="O49" s="50">
        <v>876696.29</v>
      </c>
      <c r="P49" s="50">
        <v>0</v>
      </c>
      <c r="Q49" s="87">
        <v>876696.29</v>
      </c>
      <c r="R49" s="152">
        <v>0</v>
      </c>
      <c r="S49" s="174"/>
      <c r="T49" s="74">
        <v>45792</v>
      </c>
      <c r="U49" s="74">
        <v>45767</v>
      </c>
      <c r="V49" s="48"/>
      <c r="W49" s="48"/>
      <c r="X49" s="48"/>
      <c r="Y49" s="48">
        <v>0</v>
      </c>
      <c r="Z49" s="48"/>
      <c r="AA49" s="48" t="s">
        <v>373</v>
      </c>
      <c r="AB49" s="48" t="s">
        <v>27</v>
      </c>
      <c r="AC49" s="48" t="s">
        <v>305</v>
      </c>
      <c r="AD49" s="89" t="s">
        <v>845</v>
      </c>
    </row>
    <row r="50" spans="1:30" ht="15.75" hidden="1" x14ac:dyDescent="0.25">
      <c r="A50" s="48" t="s">
        <v>1810</v>
      </c>
      <c r="B50" s="74">
        <v>45895</v>
      </c>
      <c r="C50" s="48" t="s">
        <v>3566</v>
      </c>
      <c r="D50" s="48" t="s">
        <v>20</v>
      </c>
      <c r="E50" s="48" t="s">
        <v>1549</v>
      </c>
      <c r="F50" s="48" t="s">
        <v>613</v>
      </c>
      <c r="G50" s="48" t="s">
        <v>72</v>
      </c>
      <c r="H50" s="48" t="s">
        <v>613</v>
      </c>
      <c r="I50" s="48" t="s">
        <v>26</v>
      </c>
      <c r="J50" s="48">
        <v>1020106</v>
      </c>
      <c r="K50" s="50">
        <v>10000000</v>
      </c>
      <c r="L50" s="50">
        <v>1</v>
      </c>
      <c r="M50" s="50">
        <v>10000000</v>
      </c>
      <c r="N50" s="50">
        <v>2924152.4000000004</v>
      </c>
      <c r="O50" s="50">
        <v>7075847.5999999996</v>
      </c>
      <c r="P50" s="50">
        <v>0</v>
      </c>
      <c r="Q50" s="87">
        <v>7075847.5999999996</v>
      </c>
      <c r="R50" s="152">
        <v>0</v>
      </c>
      <c r="S50" s="174"/>
      <c r="T50" s="74">
        <v>46387</v>
      </c>
      <c r="U50" s="74">
        <v>46387</v>
      </c>
      <c r="V50" s="48"/>
      <c r="W50" s="48"/>
      <c r="X50" s="48"/>
      <c r="Y50" s="48">
        <v>0</v>
      </c>
      <c r="Z50" s="48"/>
      <c r="AA50" s="48" t="s">
        <v>612</v>
      </c>
      <c r="AB50" s="48" t="s">
        <v>27</v>
      </c>
      <c r="AC50" s="48" t="s">
        <v>425</v>
      </c>
      <c r="AD50" s="89" t="s">
        <v>1026</v>
      </c>
    </row>
    <row r="51" spans="1:30" ht="15.75" hidden="1" x14ac:dyDescent="0.25">
      <c r="A51" s="48" t="s">
        <v>385</v>
      </c>
      <c r="B51" s="74">
        <v>45551</v>
      </c>
      <c r="C51" s="48" t="s">
        <v>441</v>
      </c>
      <c r="D51" s="48" t="s">
        <v>20</v>
      </c>
      <c r="E51" s="48" t="s">
        <v>386</v>
      </c>
      <c r="F51" s="48" t="s">
        <v>96</v>
      </c>
      <c r="G51" s="48" t="s">
        <v>24</v>
      </c>
      <c r="H51" s="48" t="s">
        <v>22</v>
      </c>
      <c r="I51" s="48" t="s">
        <v>26</v>
      </c>
      <c r="J51" s="48">
        <v>1020055</v>
      </c>
      <c r="K51" s="50">
        <v>1083501.1399999999</v>
      </c>
      <c r="L51" s="50">
        <v>1</v>
      </c>
      <c r="M51" s="50">
        <v>1083501.1399999999</v>
      </c>
      <c r="N51" s="50">
        <v>1083501.1399999999</v>
      </c>
      <c r="O51" s="50">
        <v>0</v>
      </c>
      <c r="P51" s="50">
        <v>0</v>
      </c>
      <c r="Q51" s="87">
        <v>0</v>
      </c>
      <c r="R51" s="152">
        <v>0</v>
      </c>
      <c r="S51" s="174"/>
      <c r="T51" s="74">
        <v>45626</v>
      </c>
      <c r="U51" s="74">
        <v>45600</v>
      </c>
      <c r="V51" s="48"/>
      <c r="W51" s="48"/>
      <c r="X51" s="48"/>
      <c r="Y51" s="48">
        <v>0</v>
      </c>
      <c r="Z51" s="48"/>
      <c r="AA51" s="48" t="s">
        <v>95</v>
      </c>
      <c r="AB51" s="48" t="s">
        <v>27</v>
      </c>
      <c r="AC51" s="48" t="s">
        <v>311</v>
      </c>
      <c r="AD51" s="89" t="s">
        <v>845</v>
      </c>
    </row>
    <row r="52" spans="1:30" ht="15.75" hidden="1" x14ac:dyDescent="0.25">
      <c r="A52" s="48" t="s">
        <v>309</v>
      </c>
      <c r="B52" s="74">
        <v>45283</v>
      </c>
      <c r="C52" s="48" t="s">
        <v>1181</v>
      </c>
      <c r="D52" s="48" t="s">
        <v>20</v>
      </c>
      <c r="E52" s="48" t="s">
        <v>310</v>
      </c>
      <c r="F52" s="48" t="s">
        <v>63</v>
      </c>
      <c r="G52" s="48" t="s">
        <v>80</v>
      </c>
      <c r="H52" s="48" t="s">
        <v>81</v>
      </c>
      <c r="I52" s="48" t="s">
        <v>26</v>
      </c>
      <c r="J52" s="48">
        <v>1020070</v>
      </c>
      <c r="K52" s="50">
        <v>1409150.2</v>
      </c>
      <c r="L52" s="50">
        <v>1</v>
      </c>
      <c r="M52" s="50">
        <v>1409150.2</v>
      </c>
      <c r="N52" s="50">
        <v>1409150.2</v>
      </c>
      <c r="O52" s="50">
        <v>0</v>
      </c>
      <c r="P52" s="50">
        <v>0</v>
      </c>
      <c r="Q52" s="87">
        <v>0</v>
      </c>
      <c r="R52" s="152">
        <v>0</v>
      </c>
      <c r="S52" s="174"/>
      <c r="T52" s="74">
        <v>45672</v>
      </c>
      <c r="U52" s="74">
        <v>45658</v>
      </c>
      <c r="V52" s="48"/>
      <c r="W52" s="48"/>
      <c r="X52" s="48"/>
      <c r="Y52" s="48">
        <v>0</v>
      </c>
      <c r="Z52" s="48"/>
      <c r="AA52" s="48" t="s">
        <v>62</v>
      </c>
      <c r="AB52" s="48" t="s">
        <v>27</v>
      </c>
      <c r="AC52" s="48" t="s">
        <v>311</v>
      </c>
      <c r="AD52" s="89" t="s">
        <v>845</v>
      </c>
    </row>
    <row r="53" spans="1:30" ht="15.75" hidden="1" x14ac:dyDescent="0.25">
      <c r="A53" s="48" t="s">
        <v>726</v>
      </c>
      <c r="B53" s="74">
        <v>45283</v>
      </c>
      <c r="C53" s="48" t="s">
        <v>1181</v>
      </c>
      <c r="D53" s="48" t="s">
        <v>20</v>
      </c>
      <c r="E53" s="48" t="s">
        <v>310</v>
      </c>
      <c r="F53" s="48" t="s">
        <v>70</v>
      </c>
      <c r="G53" s="48" t="s">
        <v>80</v>
      </c>
      <c r="H53" s="48" t="s">
        <v>81</v>
      </c>
      <c r="I53" s="48" t="s">
        <v>26</v>
      </c>
      <c r="J53" s="48">
        <v>1020070</v>
      </c>
      <c r="K53" s="50">
        <v>1326959.55</v>
      </c>
      <c r="L53" s="50">
        <v>1</v>
      </c>
      <c r="M53" s="50">
        <v>1326959.55</v>
      </c>
      <c r="N53" s="50">
        <v>1326959</v>
      </c>
      <c r="O53" s="50">
        <v>0.55000000000000004</v>
      </c>
      <c r="P53" s="50">
        <v>0</v>
      </c>
      <c r="Q53" s="87">
        <v>0.55000000000000004</v>
      </c>
      <c r="R53" s="152">
        <v>0</v>
      </c>
      <c r="S53" s="174"/>
      <c r="T53" s="74">
        <v>45672</v>
      </c>
      <c r="U53" s="74">
        <v>45658</v>
      </c>
      <c r="V53" s="48"/>
      <c r="W53" s="48"/>
      <c r="X53" s="48"/>
      <c r="Y53" s="48">
        <v>0</v>
      </c>
      <c r="Z53" s="48"/>
      <c r="AA53" s="48" t="s">
        <v>62</v>
      </c>
      <c r="AB53" s="48" t="s">
        <v>70</v>
      </c>
      <c r="AC53" s="48" t="s">
        <v>311</v>
      </c>
      <c r="AD53" s="89" t="s">
        <v>845</v>
      </c>
    </row>
    <row r="54" spans="1:30" ht="15.75" hidden="1" x14ac:dyDescent="0.25">
      <c r="A54" s="48" t="s">
        <v>426</v>
      </c>
      <c r="B54" s="74">
        <v>45588</v>
      </c>
      <c r="C54" s="48" t="s">
        <v>441</v>
      </c>
      <c r="D54" s="48" t="s">
        <v>20</v>
      </c>
      <c r="E54" s="48" t="s">
        <v>427</v>
      </c>
      <c r="F54" s="48" t="s">
        <v>96</v>
      </c>
      <c r="G54" s="48" t="s">
        <v>24</v>
      </c>
      <c r="H54" s="48" t="s">
        <v>22</v>
      </c>
      <c r="I54" s="48" t="s">
        <v>26</v>
      </c>
      <c r="J54" s="48">
        <v>1020055</v>
      </c>
      <c r="K54" s="50">
        <v>966000</v>
      </c>
      <c r="L54" s="50">
        <v>1</v>
      </c>
      <c r="M54" s="50">
        <v>966000</v>
      </c>
      <c r="N54" s="50">
        <v>966000</v>
      </c>
      <c r="O54" s="50">
        <v>0</v>
      </c>
      <c r="P54" s="50">
        <v>0</v>
      </c>
      <c r="Q54" s="87">
        <v>0</v>
      </c>
      <c r="R54" s="152">
        <v>0</v>
      </c>
      <c r="S54" s="174"/>
      <c r="T54" s="74">
        <v>45716</v>
      </c>
      <c r="U54" s="74">
        <v>45692</v>
      </c>
      <c r="V54" s="48"/>
      <c r="W54" s="48"/>
      <c r="X54" s="48"/>
      <c r="Y54" s="48">
        <v>0</v>
      </c>
      <c r="Z54" s="48"/>
      <c r="AA54" s="48" t="s">
        <v>95</v>
      </c>
      <c r="AB54" s="48" t="s">
        <v>27</v>
      </c>
      <c r="AC54" s="48" t="s">
        <v>311</v>
      </c>
      <c r="AD54" s="89" t="s">
        <v>845</v>
      </c>
    </row>
    <row r="55" spans="1:30" ht="15.75" hidden="1" x14ac:dyDescent="0.25">
      <c r="A55" s="48" t="s">
        <v>564</v>
      </c>
      <c r="B55" s="74">
        <v>45638</v>
      </c>
      <c r="C55" s="48" t="s">
        <v>441</v>
      </c>
      <c r="D55" s="48" t="s">
        <v>20</v>
      </c>
      <c r="E55" s="48" t="s">
        <v>427</v>
      </c>
      <c r="F55" s="48" t="s">
        <v>483</v>
      </c>
      <c r="G55" s="48" t="s">
        <v>24</v>
      </c>
      <c r="H55" s="48" t="s">
        <v>22</v>
      </c>
      <c r="I55" s="48" t="s">
        <v>26</v>
      </c>
      <c r="J55" s="48">
        <v>1020055</v>
      </c>
      <c r="K55" s="50">
        <v>2000000</v>
      </c>
      <c r="L55" s="50">
        <v>1</v>
      </c>
      <c r="M55" s="50">
        <v>2000000</v>
      </c>
      <c r="N55" s="50">
        <v>2000000</v>
      </c>
      <c r="O55" s="50">
        <v>0</v>
      </c>
      <c r="P55" s="50">
        <v>0</v>
      </c>
      <c r="Q55" s="87">
        <v>0</v>
      </c>
      <c r="R55" s="152">
        <v>0</v>
      </c>
      <c r="S55" s="174"/>
      <c r="T55" s="74">
        <v>45747</v>
      </c>
      <c r="U55" s="74">
        <v>45747</v>
      </c>
      <c r="V55" s="48"/>
      <c r="W55" s="48"/>
      <c r="X55" s="48"/>
      <c r="Y55" s="48">
        <v>0</v>
      </c>
      <c r="Z55" s="48"/>
      <c r="AA55" s="48" t="s">
        <v>373</v>
      </c>
      <c r="AB55" s="48" t="s">
        <v>27</v>
      </c>
      <c r="AC55" s="48" t="s">
        <v>311</v>
      </c>
      <c r="AD55" s="89" t="s">
        <v>845</v>
      </c>
    </row>
    <row r="56" spans="1:30" ht="15.75" hidden="1" x14ac:dyDescent="0.25">
      <c r="A56" s="48" t="s">
        <v>678</v>
      </c>
      <c r="B56" s="74">
        <v>45684</v>
      </c>
      <c r="C56" s="48" t="s">
        <v>509</v>
      </c>
      <c r="D56" s="48" t="s">
        <v>20</v>
      </c>
      <c r="E56" s="48" t="s">
        <v>679</v>
      </c>
      <c r="F56" s="48" t="s">
        <v>96</v>
      </c>
      <c r="G56" s="48" t="s">
        <v>24</v>
      </c>
      <c r="H56" s="48" t="s">
        <v>407</v>
      </c>
      <c r="I56" s="48" t="s">
        <v>26</v>
      </c>
      <c r="J56" s="48">
        <v>1020100</v>
      </c>
      <c r="K56" s="50">
        <v>500000</v>
      </c>
      <c r="L56" s="50">
        <v>1</v>
      </c>
      <c r="M56" s="50">
        <v>500000</v>
      </c>
      <c r="N56" s="50">
        <v>500000</v>
      </c>
      <c r="O56" s="50">
        <v>0</v>
      </c>
      <c r="P56" s="50">
        <v>0</v>
      </c>
      <c r="Q56" s="87">
        <v>0</v>
      </c>
      <c r="R56" s="152">
        <v>0</v>
      </c>
      <c r="S56" s="174"/>
      <c r="T56" s="74">
        <v>45777</v>
      </c>
      <c r="U56" s="74">
        <v>45777</v>
      </c>
      <c r="V56" s="48"/>
      <c r="W56" s="48"/>
      <c r="X56" s="48"/>
      <c r="Y56" s="48">
        <v>0</v>
      </c>
      <c r="Z56" s="48"/>
      <c r="AA56" s="48" t="s">
        <v>95</v>
      </c>
      <c r="AB56" s="48" t="s">
        <v>27</v>
      </c>
      <c r="AC56" s="48" t="s">
        <v>311</v>
      </c>
      <c r="AD56" s="89" t="s">
        <v>845</v>
      </c>
    </row>
    <row r="57" spans="1:30" ht="15.75" hidden="1" x14ac:dyDescent="0.25">
      <c r="A57" s="48" t="s">
        <v>132</v>
      </c>
      <c r="B57" s="74">
        <v>45126</v>
      </c>
      <c r="C57" s="48" t="s">
        <v>441</v>
      </c>
      <c r="D57" s="48" t="s">
        <v>20</v>
      </c>
      <c r="E57" s="48" t="s">
        <v>133</v>
      </c>
      <c r="F57" s="48" t="s">
        <v>22</v>
      </c>
      <c r="G57" s="48" t="s">
        <v>24</v>
      </c>
      <c r="H57" s="48" t="s">
        <v>22</v>
      </c>
      <c r="I57" s="48" t="s">
        <v>26</v>
      </c>
      <c r="J57" s="48">
        <v>1020055</v>
      </c>
      <c r="K57" s="50">
        <v>1416451.76</v>
      </c>
      <c r="L57" s="50">
        <v>1</v>
      </c>
      <c r="M57" s="50">
        <v>1416451.76</v>
      </c>
      <c r="N57" s="50">
        <v>1416451.76</v>
      </c>
      <c r="O57" s="50">
        <v>0</v>
      </c>
      <c r="P57" s="50">
        <v>0</v>
      </c>
      <c r="Q57" s="87">
        <v>0</v>
      </c>
      <c r="R57" s="152">
        <v>0</v>
      </c>
      <c r="S57" s="174"/>
      <c r="T57" s="74">
        <v>45215</v>
      </c>
      <c r="U57" s="74">
        <v>45215</v>
      </c>
      <c r="V57" s="48"/>
      <c r="W57" s="48"/>
      <c r="X57" s="48"/>
      <c r="Y57" s="48">
        <v>0</v>
      </c>
      <c r="Z57" s="48"/>
      <c r="AA57" s="48" t="s">
        <v>21</v>
      </c>
      <c r="AB57" s="48" t="s">
        <v>27</v>
      </c>
      <c r="AC57" s="48"/>
      <c r="AD57" s="89" t="s">
        <v>845</v>
      </c>
    </row>
    <row r="58" spans="1:30" ht="15.75" hidden="1" x14ac:dyDescent="0.25">
      <c r="A58" s="48" t="s">
        <v>794</v>
      </c>
      <c r="B58" s="74">
        <v>45739</v>
      </c>
      <c r="C58" s="48" t="s">
        <v>441</v>
      </c>
      <c r="D58" s="48" t="s">
        <v>20</v>
      </c>
      <c r="E58" s="48" t="s">
        <v>795</v>
      </c>
      <c r="F58" s="48" t="s">
        <v>22</v>
      </c>
      <c r="G58" s="48" t="s">
        <v>24</v>
      </c>
      <c r="H58" s="48" t="s">
        <v>22</v>
      </c>
      <c r="I58" s="48" t="s">
        <v>26</v>
      </c>
      <c r="J58" s="48">
        <v>1020055</v>
      </c>
      <c r="K58" s="50">
        <v>2626749.98</v>
      </c>
      <c r="L58" s="50">
        <v>1</v>
      </c>
      <c r="M58" s="50">
        <v>2626749.98</v>
      </c>
      <c r="N58" s="50">
        <v>2626749.98</v>
      </c>
      <c r="O58" s="50">
        <v>0</v>
      </c>
      <c r="P58" s="50">
        <v>0</v>
      </c>
      <c r="Q58" s="87">
        <v>0</v>
      </c>
      <c r="R58" s="152">
        <v>0</v>
      </c>
      <c r="S58" s="174"/>
      <c r="T58" s="74">
        <v>45838</v>
      </c>
      <c r="U58" s="74">
        <v>45838</v>
      </c>
      <c r="V58" s="48"/>
      <c r="W58" s="48"/>
      <c r="X58" s="48"/>
      <c r="Y58" s="48">
        <v>0</v>
      </c>
      <c r="Z58" s="48"/>
      <c r="AA58" s="48" t="s">
        <v>21</v>
      </c>
      <c r="AB58" s="48" t="s">
        <v>27</v>
      </c>
      <c r="AC58" s="48" t="s">
        <v>311</v>
      </c>
      <c r="AD58" s="89" t="s">
        <v>845</v>
      </c>
    </row>
    <row r="59" spans="1:30" ht="15.75" hidden="1" x14ac:dyDescent="0.25">
      <c r="A59" s="48" t="s">
        <v>565</v>
      </c>
      <c r="B59" s="74">
        <v>45641</v>
      </c>
      <c r="C59" s="48" t="s">
        <v>441</v>
      </c>
      <c r="D59" s="48" t="s">
        <v>20</v>
      </c>
      <c r="E59" s="48" t="s">
        <v>566</v>
      </c>
      <c r="F59" s="48" t="s">
        <v>483</v>
      </c>
      <c r="G59" s="48" t="s">
        <v>24</v>
      </c>
      <c r="H59" s="48" t="s">
        <v>22</v>
      </c>
      <c r="I59" s="48" t="s">
        <v>26</v>
      </c>
      <c r="J59" s="48">
        <v>1020055</v>
      </c>
      <c r="K59" s="50">
        <v>500000</v>
      </c>
      <c r="L59" s="50">
        <v>1</v>
      </c>
      <c r="M59" s="50">
        <v>500000</v>
      </c>
      <c r="N59" s="50">
        <v>500000</v>
      </c>
      <c r="O59" s="50">
        <v>0</v>
      </c>
      <c r="P59" s="50">
        <v>0</v>
      </c>
      <c r="Q59" s="87">
        <v>0</v>
      </c>
      <c r="R59" s="152">
        <v>0</v>
      </c>
      <c r="S59" s="174"/>
      <c r="T59" s="74">
        <v>45747</v>
      </c>
      <c r="U59" s="74">
        <v>45747</v>
      </c>
      <c r="V59" s="48"/>
      <c r="W59" s="48"/>
      <c r="X59" s="48"/>
      <c r="Y59" s="48">
        <v>0</v>
      </c>
      <c r="Z59" s="48"/>
      <c r="AA59" s="48" t="s">
        <v>373</v>
      </c>
      <c r="AB59" s="48" t="s">
        <v>27</v>
      </c>
      <c r="AC59" s="48" t="s">
        <v>311</v>
      </c>
      <c r="AD59" s="89" t="s">
        <v>845</v>
      </c>
    </row>
    <row r="60" spans="1:30" ht="15.75" hidden="1" x14ac:dyDescent="0.25">
      <c r="A60" s="48" t="s">
        <v>269</v>
      </c>
      <c r="B60" s="74">
        <v>45435</v>
      </c>
      <c r="C60" s="48" t="s">
        <v>441</v>
      </c>
      <c r="D60" s="48" t="s">
        <v>20</v>
      </c>
      <c r="E60" s="48" t="s">
        <v>270</v>
      </c>
      <c r="F60" s="48" t="s">
        <v>22</v>
      </c>
      <c r="G60" s="48" t="s">
        <v>24</v>
      </c>
      <c r="H60" s="48" t="s">
        <v>22</v>
      </c>
      <c r="I60" s="48" t="s">
        <v>26</v>
      </c>
      <c r="J60" s="48">
        <v>1020055</v>
      </c>
      <c r="K60" s="50">
        <v>500000</v>
      </c>
      <c r="L60" s="50">
        <v>1</v>
      </c>
      <c r="M60" s="50">
        <v>500000</v>
      </c>
      <c r="N60" s="50">
        <v>500000</v>
      </c>
      <c r="O60" s="50">
        <v>0</v>
      </c>
      <c r="P60" s="50">
        <v>0</v>
      </c>
      <c r="Q60" s="87">
        <v>0</v>
      </c>
      <c r="R60" s="152">
        <v>0</v>
      </c>
      <c r="S60" s="174"/>
      <c r="T60" s="74">
        <v>45565</v>
      </c>
      <c r="U60" s="74">
        <v>45565</v>
      </c>
      <c r="V60" s="48"/>
      <c r="W60" s="48"/>
      <c r="X60" s="48"/>
      <c r="Y60" s="48">
        <v>0</v>
      </c>
      <c r="Z60" s="48"/>
      <c r="AA60" s="48" t="s">
        <v>21</v>
      </c>
      <c r="AB60" s="48" t="s">
        <v>27</v>
      </c>
      <c r="AC60" s="48"/>
      <c r="AD60" s="89" t="s">
        <v>845</v>
      </c>
    </row>
    <row r="61" spans="1:30" ht="15.75" hidden="1" x14ac:dyDescent="0.25">
      <c r="A61" s="48" t="s">
        <v>333</v>
      </c>
      <c r="B61" s="74">
        <v>45519</v>
      </c>
      <c r="C61" s="48" t="s">
        <v>441</v>
      </c>
      <c r="D61" s="48" t="s">
        <v>20</v>
      </c>
      <c r="E61" s="48" t="s">
        <v>270</v>
      </c>
      <c r="F61" s="48" t="s">
        <v>96</v>
      </c>
      <c r="G61" s="48" t="s">
        <v>24</v>
      </c>
      <c r="H61" s="48" t="s">
        <v>22</v>
      </c>
      <c r="I61" s="48" t="s">
        <v>26</v>
      </c>
      <c r="J61" s="48">
        <v>1020055</v>
      </c>
      <c r="K61" s="50">
        <v>580000</v>
      </c>
      <c r="L61" s="50">
        <v>1</v>
      </c>
      <c r="M61" s="50">
        <v>580000</v>
      </c>
      <c r="N61" s="50">
        <v>580000</v>
      </c>
      <c r="O61" s="50">
        <v>0</v>
      </c>
      <c r="P61" s="50">
        <v>0</v>
      </c>
      <c r="Q61" s="87">
        <v>0</v>
      </c>
      <c r="R61" s="152">
        <v>0</v>
      </c>
      <c r="S61" s="174"/>
      <c r="T61" s="74">
        <v>45626</v>
      </c>
      <c r="U61" s="74">
        <v>45626</v>
      </c>
      <c r="V61" s="48"/>
      <c r="W61" s="48"/>
      <c r="X61" s="48"/>
      <c r="Y61" s="48">
        <v>0</v>
      </c>
      <c r="Z61" s="48"/>
      <c r="AA61" s="48" t="s">
        <v>95</v>
      </c>
      <c r="AB61" s="48" t="s">
        <v>27</v>
      </c>
      <c r="AC61" s="48" t="s">
        <v>311</v>
      </c>
      <c r="AD61" s="89" t="s">
        <v>845</v>
      </c>
    </row>
    <row r="62" spans="1:30" ht="15.75" hidden="1" x14ac:dyDescent="0.25">
      <c r="A62" s="48" t="s">
        <v>389</v>
      </c>
      <c r="B62" s="74">
        <v>45551</v>
      </c>
      <c r="C62" s="48" t="s">
        <v>441</v>
      </c>
      <c r="D62" s="48" t="s">
        <v>20</v>
      </c>
      <c r="E62" s="48" t="s">
        <v>270</v>
      </c>
      <c r="F62" s="48" t="s">
        <v>96</v>
      </c>
      <c r="G62" s="48" t="s">
        <v>24</v>
      </c>
      <c r="H62" s="48" t="s">
        <v>22</v>
      </c>
      <c r="I62" s="48" t="s">
        <v>26</v>
      </c>
      <c r="J62" s="48">
        <v>1020055</v>
      </c>
      <c r="K62" s="50">
        <v>1050000</v>
      </c>
      <c r="L62" s="50">
        <v>1</v>
      </c>
      <c r="M62" s="50">
        <v>1050000</v>
      </c>
      <c r="N62" s="50">
        <v>1050000</v>
      </c>
      <c r="O62" s="50">
        <v>0</v>
      </c>
      <c r="P62" s="50">
        <v>0</v>
      </c>
      <c r="Q62" s="87">
        <v>0</v>
      </c>
      <c r="R62" s="152">
        <v>0</v>
      </c>
      <c r="S62" s="174"/>
      <c r="T62" s="74">
        <v>45626</v>
      </c>
      <c r="U62" s="74">
        <v>45600</v>
      </c>
      <c r="V62" s="48"/>
      <c r="W62" s="48"/>
      <c r="X62" s="48"/>
      <c r="Y62" s="48">
        <v>0</v>
      </c>
      <c r="Z62" s="48"/>
      <c r="AA62" s="48" t="s">
        <v>95</v>
      </c>
      <c r="AB62" s="48" t="s">
        <v>27</v>
      </c>
      <c r="AC62" s="48" t="s">
        <v>311</v>
      </c>
      <c r="AD62" s="89" t="s">
        <v>845</v>
      </c>
    </row>
    <row r="63" spans="1:30" ht="15.75" hidden="1" x14ac:dyDescent="0.25">
      <c r="A63" s="48" t="s">
        <v>516</v>
      </c>
      <c r="B63" s="74">
        <v>45624</v>
      </c>
      <c r="C63" s="48" t="s">
        <v>441</v>
      </c>
      <c r="D63" s="48" t="s">
        <v>20</v>
      </c>
      <c r="E63" s="48" t="s">
        <v>517</v>
      </c>
      <c r="F63" s="48" t="s">
        <v>22</v>
      </c>
      <c r="G63" s="48" t="s">
        <v>24</v>
      </c>
      <c r="H63" s="48" t="s">
        <v>22</v>
      </c>
      <c r="I63" s="48" t="s">
        <v>26</v>
      </c>
      <c r="J63" s="48">
        <v>1020055</v>
      </c>
      <c r="K63" s="50">
        <v>1500000</v>
      </c>
      <c r="L63" s="50">
        <v>1</v>
      </c>
      <c r="M63" s="50">
        <v>1500000</v>
      </c>
      <c r="N63" s="50">
        <v>1500000</v>
      </c>
      <c r="O63" s="50">
        <v>0</v>
      </c>
      <c r="P63" s="50">
        <v>0</v>
      </c>
      <c r="Q63" s="87">
        <v>0</v>
      </c>
      <c r="R63" s="152">
        <v>0</v>
      </c>
      <c r="S63" s="174"/>
      <c r="T63" s="74">
        <v>45716</v>
      </c>
      <c r="U63" s="74">
        <v>45716</v>
      </c>
      <c r="V63" s="48"/>
      <c r="W63" s="48"/>
      <c r="X63" s="48"/>
      <c r="Y63" s="48">
        <v>0</v>
      </c>
      <c r="Z63" s="48"/>
      <c r="AA63" s="48" t="s">
        <v>21</v>
      </c>
      <c r="AB63" s="48" t="s">
        <v>27</v>
      </c>
      <c r="AC63" s="48" t="s">
        <v>311</v>
      </c>
      <c r="AD63" s="89" t="s">
        <v>845</v>
      </c>
    </row>
    <row r="64" spans="1:30" ht="15.75" hidden="1" x14ac:dyDescent="0.25">
      <c r="A64" s="48" t="s">
        <v>1419</v>
      </c>
      <c r="B64" s="74">
        <v>45809</v>
      </c>
      <c r="C64" s="48" t="s">
        <v>441</v>
      </c>
      <c r="D64" s="48" t="s">
        <v>20</v>
      </c>
      <c r="E64" s="48" t="s">
        <v>270</v>
      </c>
      <c r="F64" s="48" t="s">
        <v>96</v>
      </c>
      <c r="G64" s="48" t="s">
        <v>24</v>
      </c>
      <c r="H64" s="48" t="s">
        <v>22</v>
      </c>
      <c r="I64" s="48" t="s">
        <v>26</v>
      </c>
      <c r="J64" s="48">
        <v>1020055</v>
      </c>
      <c r="K64" s="50">
        <v>1500000</v>
      </c>
      <c r="L64" s="50">
        <v>1</v>
      </c>
      <c r="M64" s="50">
        <v>1500000</v>
      </c>
      <c r="N64" s="50">
        <v>1500000</v>
      </c>
      <c r="O64" s="50">
        <v>0</v>
      </c>
      <c r="P64" s="50">
        <v>0</v>
      </c>
      <c r="Q64" s="87">
        <v>0</v>
      </c>
      <c r="R64" s="152">
        <v>0</v>
      </c>
      <c r="S64" s="174"/>
      <c r="T64" s="74">
        <v>45900</v>
      </c>
      <c r="U64" s="74">
        <v>45900</v>
      </c>
      <c r="V64" s="48"/>
      <c r="W64" s="48"/>
      <c r="X64" s="48"/>
      <c r="Y64" s="48">
        <v>0</v>
      </c>
      <c r="Z64" s="48"/>
      <c r="AA64" s="48" t="s">
        <v>95</v>
      </c>
      <c r="AB64" s="48" t="s">
        <v>27</v>
      </c>
      <c r="AC64" s="48" t="s">
        <v>621</v>
      </c>
      <c r="AD64" s="89" t="s">
        <v>845</v>
      </c>
    </row>
    <row r="65" spans="1:30" ht="15.75" hidden="1" x14ac:dyDescent="0.25">
      <c r="A65" s="48" t="s">
        <v>198</v>
      </c>
      <c r="B65" s="74">
        <v>45167</v>
      </c>
      <c r="C65" s="48" t="s">
        <v>441</v>
      </c>
      <c r="D65" s="48" t="s">
        <v>20</v>
      </c>
      <c r="E65" s="48" t="s">
        <v>199</v>
      </c>
      <c r="F65" s="48" t="s">
        <v>22</v>
      </c>
      <c r="G65" s="48" t="s">
        <v>24</v>
      </c>
      <c r="H65" s="48" t="s">
        <v>22</v>
      </c>
      <c r="I65" s="48" t="s">
        <v>26</v>
      </c>
      <c r="J65" s="48">
        <v>1020055</v>
      </c>
      <c r="K65" s="50">
        <v>500000</v>
      </c>
      <c r="L65" s="50">
        <v>1</v>
      </c>
      <c r="M65" s="50">
        <v>500000</v>
      </c>
      <c r="N65" s="50">
        <v>450459.17</v>
      </c>
      <c r="O65" s="50">
        <v>49540.83</v>
      </c>
      <c r="P65" s="50">
        <v>0</v>
      </c>
      <c r="Q65" s="87">
        <v>49540.83</v>
      </c>
      <c r="R65" s="152">
        <v>0</v>
      </c>
      <c r="S65" s="174"/>
      <c r="T65" s="74">
        <v>45260</v>
      </c>
      <c r="U65" s="74">
        <v>45260</v>
      </c>
      <c r="V65" s="48"/>
      <c r="W65" s="48"/>
      <c r="X65" s="48"/>
      <c r="Y65" s="48">
        <v>0</v>
      </c>
      <c r="Z65" s="48"/>
      <c r="AA65" s="48" t="s">
        <v>21</v>
      </c>
      <c r="AB65" s="48" t="s">
        <v>27</v>
      </c>
      <c r="AC65" s="48" t="s">
        <v>35</v>
      </c>
      <c r="AD65" s="89" t="s">
        <v>845</v>
      </c>
    </row>
    <row r="66" spans="1:30" ht="15.75" hidden="1" x14ac:dyDescent="0.25">
      <c r="A66" s="48" t="s">
        <v>238</v>
      </c>
      <c r="B66" s="74">
        <v>45272</v>
      </c>
      <c r="C66" s="48" t="s">
        <v>441</v>
      </c>
      <c r="D66" s="48" t="s">
        <v>20</v>
      </c>
      <c r="E66" s="48" t="s">
        <v>199</v>
      </c>
      <c r="F66" s="48" t="s">
        <v>22</v>
      </c>
      <c r="G66" s="48" t="s">
        <v>24</v>
      </c>
      <c r="H66" s="48" t="s">
        <v>22</v>
      </c>
      <c r="I66" s="48" t="s">
        <v>26</v>
      </c>
      <c r="J66" s="48">
        <v>1020055</v>
      </c>
      <c r="K66" s="50">
        <v>1000000</v>
      </c>
      <c r="L66" s="50">
        <v>1</v>
      </c>
      <c r="M66" s="50">
        <v>1000000</v>
      </c>
      <c r="N66" s="50">
        <v>1000000</v>
      </c>
      <c r="O66" s="50">
        <v>0</v>
      </c>
      <c r="P66" s="50">
        <v>0</v>
      </c>
      <c r="Q66" s="87">
        <v>0</v>
      </c>
      <c r="R66" s="152">
        <v>0</v>
      </c>
      <c r="S66" s="174"/>
      <c r="T66" s="74">
        <v>45350</v>
      </c>
      <c r="U66" s="74">
        <v>45350</v>
      </c>
      <c r="V66" s="48"/>
      <c r="W66" s="48"/>
      <c r="X66" s="48"/>
      <c r="Y66" s="48">
        <v>0</v>
      </c>
      <c r="Z66" s="48"/>
      <c r="AA66" s="48" t="s">
        <v>21</v>
      </c>
      <c r="AB66" s="48" t="s">
        <v>27</v>
      </c>
      <c r="AC66" s="48"/>
      <c r="AD66" s="89" t="s">
        <v>845</v>
      </c>
    </row>
    <row r="67" spans="1:30" ht="15.75" hidden="1" x14ac:dyDescent="0.25">
      <c r="A67" s="48" t="s">
        <v>281</v>
      </c>
      <c r="B67" s="74">
        <v>45495</v>
      </c>
      <c r="C67" s="48" t="s">
        <v>441</v>
      </c>
      <c r="D67" s="48" t="s">
        <v>20</v>
      </c>
      <c r="E67" s="48" t="s">
        <v>282</v>
      </c>
      <c r="F67" s="48" t="s">
        <v>22</v>
      </c>
      <c r="G67" s="48" t="s">
        <v>24</v>
      </c>
      <c r="H67" s="48" t="s">
        <v>22</v>
      </c>
      <c r="I67" s="48" t="s">
        <v>26</v>
      </c>
      <c r="J67" s="48">
        <v>1020055</v>
      </c>
      <c r="K67" s="50">
        <v>900000</v>
      </c>
      <c r="L67" s="50">
        <v>1</v>
      </c>
      <c r="M67" s="50">
        <v>900000</v>
      </c>
      <c r="N67" s="50">
        <v>900000</v>
      </c>
      <c r="O67" s="50">
        <v>0</v>
      </c>
      <c r="P67" s="50">
        <v>0</v>
      </c>
      <c r="Q67" s="87">
        <v>0</v>
      </c>
      <c r="R67" s="152">
        <v>0</v>
      </c>
      <c r="S67" s="174"/>
      <c r="T67" s="74">
        <v>45596</v>
      </c>
      <c r="U67" s="74">
        <v>45596</v>
      </c>
      <c r="V67" s="48"/>
      <c r="W67" s="48"/>
      <c r="X67" s="48"/>
      <c r="Y67" s="48">
        <v>0</v>
      </c>
      <c r="Z67" s="48"/>
      <c r="AA67" s="48" t="s">
        <v>21</v>
      </c>
      <c r="AB67" s="48" t="s">
        <v>27</v>
      </c>
      <c r="AC67" s="48"/>
      <c r="AD67" s="89" t="s">
        <v>845</v>
      </c>
    </row>
    <row r="68" spans="1:30" ht="15.75" hidden="1" x14ac:dyDescent="0.25">
      <c r="A68" s="48" t="s">
        <v>352</v>
      </c>
      <c r="B68" s="74">
        <v>45533</v>
      </c>
      <c r="C68" s="48" t="s">
        <v>441</v>
      </c>
      <c r="D68" s="48" t="s">
        <v>20</v>
      </c>
      <c r="E68" s="48" t="s">
        <v>353</v>
      </c>
      <c r="F68" s="48" t="s">
        <v>96</v>
      </c>
      <c r="G68" s="48" t="s">
        <v>24</v>
      </c>
      <c r="H68" s="48" t="s">
        <v>22</v>
      </c>
      <c r="I68" s="48" t="s">
        <v>26</v>
      </c>
      <c r="J68" s="48">
        <v>1020055</v>
      </c>
      <c r="K68" s="50">
        <v>375576.84</v>
      </c>
      <c r="L68" s="50">
        <v>1</v>
      </c>
      <c r="M68" s="50">
        <v>375576.84</v>
      </c>
      <c r="N68" s="50">
        <v>375576.84</v>
      </c>
      <c r="O68" s="50">
        <v>0</v>
      </c>
      <c r="P68" s="50">
        <v>0</v>
      </c>
      <c r="Q68" s="87">
        <v>0</v>
      </c>
      <c r="R68" s="152">
        <v>0</v>
      </c>
      <c r="S68" s="174"/>
      <c r="T68" s="74">
        <v>45626</v>
      </c>
      <c r="U68" s="74">
        <v>45626</v>
      </c>
      <c r="V68" s="48"/>
      <c r="W68" s="48"/>
      <c r="X68" s="48"/>
      <c r="Y68" s="48">
        <v>0</v>
      </c>
      <c r="Z68" s="48"/>
      <c r="AA68" s="48" t="s">
        <v>95</v>
      </c>
      <c r="AB68" s="48" t="s">
        <v>27</v>
      </c>
      <c r="AC68" s="48" t="s">
        <v>311</v>
      </c>
      <c r="AD68" s="89" t="s">
        <v>845</v>
      </c>
    </row>
    <row r="69" spans="1:30" ht="15.75" hidden="1" x14ac:dyDescent="0.25">
      <c r="A69" s="48" t="s">
        <v>242</v>
      </c>
      <c r="B69" s="74">
        <v>45272</v>
      </c>
      <c r="C69" s="48" t="s">
        <v>441</v>
      </c>
      <c r="D69" s="48" t="s">
        <v>20</v>
      </c>
      <c r="E69" s="48" t="s">
        <v>243</v>
      </c>
      <c r="F69" s="48" t="s">
        <v>22</v>
      </c>
      <c r="G69" s="48" t="s">
        <v>24</v>
      </c>
      <c r="H69" s="48" t="s">
        <v>22</v>
      </c>
      <c r="I69" s="48" t="s">
        <v>26</v>
      </c>
      <c r="J69" s="48">
        <v>1020055</v>
      </c>
      <c r="K69" s="50">
        <v>1001021.99</v>
      </c>
      <c r="L69" s="50">
        <v>1</v>
      </c>
      <c r="M69" s="50">
        <v>1001021.99</v>
      </c>
      <c r="N69" s="50">
        <v>1001021.99</v>
      </c>
      <c r="O69" s="50">
        <v>0</v>
      </c>
      <c r="P69" s="50">
        <v>0</v>
      </c>
      <c r="Q69" s="87">
        <v>0</v>
      </c>
      <c r="R69" s="152">
        <v>0</v>
      </c>
      <c r="S69" s="174"/>
      <c r="T69" s="74">
        <v>45416</v>
      </c>
      <c r="U69" s="74">
        <v>45416</v>
      </c>
      <c r="V69" s="48"/>
      <c r="W69" s="48"/>
      <c r="X69" s="48"/>
      <c r="Y69" s="48">
        <v>0</v>
      </c>
      <c r="Z69" s="48"/>
      <c r="AA69" s="48" t="s">
        <v>21</v>
      </c>
      <c r="AB69" s="48" t="s">
        <v>27</v>
      </c>
      <c r="AC69" s="48"/>
      <c r="AD69" s="89" t="s">
        <v>845</v>
      </c>
    </row>
    <row r="70" spans="1:30" ht="15.75" hidden="1" x14ac:dyDescent="0.25">
      <c r="A70" s="48" t="s">
        <v>476</v>
      </c>
      <c r="B70" s="74">
        <v>45610</v>
      </c>
      <c r="C70" s="48" t="s">
        <v>509</v>
      </c>
      <c r="D70" s="48" t="s">
        <v>20</v>
      </c>
      <c r="E70" s="48" t="s">
        <v>477</v>
      </c>
      <c r="F70" s="48" t="s">
        <v>63</v>
      </c>
      <c r="G70" s="48" t="s">
        <v>24</v>
      </c>
      <c r="H70" s="48" t="s">
        <v>407</v>
      </c>
      <c r="I70" s="48" t="s">
        <v>26</v>
      </c>
      <c r="J70" s="48">
        <v>1020100</v>
      </c>
      <c r="K70" s="50">
        <v>1900000</v>
      </c>
      <c r="L70" s="50">
        <v>1</v>
      </c>
      <c r="M70" s="50">
        <v>1900000</v>
      </c>
      <c r="N70" s="50">
        <v>1893550</v>
      </c>
      <c r="O70" s="50">
        <v>6450</v>
      </c>
      <c r="P70" s="50">
        <v>0</v>
      </c>
      <c r="Q70" s="87">
        <v>6450</v>
      </c>
      <c r="R70" s="152">
        <v>0</v>
      </c>
      <c r="S70" s="174"/>
      <c r="T70" s="74">
        <v>45688</v>
      </c>
      <c r="U70" s="74">
        <v>45661</v>
      </c>
      <c r="V70" s="48"/>
      <c r="W70" s="48"/>
      <c r="X70" s="48"/>
      <c r="Y70" s="48">
        <v>0</v>
      </c>
      <c r="Z70" s="48"/>
      <c r="AA70" s="48" t="s">
        <v>373</v>
      </c>
      <c r="AB70" s="48" t="s">
        <v>27</v>
      </c>
      <c r="AC70" s="48" t="s">
        <v>311</v>
      </c>
      <c r="AD70" s="89" t="s">
        <v>845</v>
      </c>
    </row>
    <row r="71" spans="1:30" ht="15.75" hidden="1" x14ac:dyDescent="0.25">
      <c r="A71" s="48" t="s">
        <v>1429</v>
      </c>
      <c r="B71" s="74">
        <v>45804</v>
      </c>
      <c r="C71" s="48" t="s">
        <v>441</v>
      </c>
      <c r="D71" s="48" t="s">
        <v>20</v>
      </c>
      <c r="E71" s="48" t="s">
        <v>477</v>
      </c>
      <c r="F71" s="48" t="s">
        <v>22</v>
      </c>
      <c r="G71" s="48" t="s">
        <v>24</v>
      </c>
      <c r="H71" s="48" t="s">
        <v>22</v>
      </c>
      <c r="I71" s="48" t="s">
        <v>26</v>
      </c>
      <c r="J71" s="48">
        <v>1020055</v>
      </c>
      <c r="K71" s="50">
        <v>286074</v>
      </c>
      <c r="L71" s="50">
        <v>1</v>
      </c>
      <c r="M71" s="50">
        <v>286074</v>
      </c>
      <c r="N71" s="50">
        <v>286074</v>
      </c>
      <c r="O71" s="50">
        <v>0</v>
      </c>
      <c r="P71" s="50">
        <v>0</v>
      </c>
      <c r="Q71" s="87">
        <v>0</v>
      </c>
      <c r="R71" s="152">
        <v>0</v>
      </c>
      <c r="S71" s="174"/>
      <c r="T71" s="74">
        <v>45900</v>
      </c>
      <c r="U71" s="74">
        <v>45900</v>
      </c>
      <c r="V71" s="48"/>
      <c r="W71" s="48"/>
      <c r="X71" s="48"/>
      <c r="Y71" s="48">
        <v>0</v>
      </c>
      <c r="Z71" s="48"/>
      <c r="AA71" s="48" t="s">
        <v>21</v>
      </c>
      <c r="AB71" s="48" t="s">
        <v>27</v>
      </c>
      <c r="AC71" s="48" t="s">
        <v>621</v>
      </c>
      <c r="AD71" s="89" t="s">
        <v>845</v>
      </c>
    </row>
    <row r="72" spans="1:30" ht="15.75" hidden="1" x14ac:dyDescent="0.25">
      <c r="A72" s="48" t="s">
        <v>1442</v>
      </c>
      <c r="B72" s="74">
        <v>45810</v>
      </c>
      <c r="C72" s="48" t="s">
        <v>441</v>
      </c>
      <c r="D72" s="48" t="s">
        <v>20</v>
      </c>
      <c r="E72" s="48" t="s">
        <v>477</v>
      </c>
      <c r="F72" s="48" t="s">
        <v>710</v>
      </c>
      <c r="G72" s="48" t="s">
        <v>24</v>
      </c>
      <c r="H72" s="48" t="s">
        <v>710</v>
      </c>
      <c r="I72" s="48" t="s">
        <v>26</v>
      </c>
      <c r="J72" s="48">
        <v>1020088</v>
      </c>
      <c r="K72" s="50">
        <v>800000</v>
      </c>
      <c r="L72" s="50">
        <v>1</v>
      </c>
      <c r="M72" s="50">
        <v>800000</v>
      </c>
      <c r="N72" s="50">
        <v>800000</v>
      </c>
      <c r="O72" s="50">
        <v>0</v>
      </c>
      <c r="P72" s="50">
        <v>0</v>
      </c>
      <c r="Q72" s="87">
        <v>0</v>
      </c>
      <c r="R72" s="152">
        <v>0</v>
      </c>
      <c r="S72" s="174"/>
      <c r="T72" s="74">
        <v>45900</v>
      </c>
      <c r="U72" s="74">
        <v>45900</v>
      </c>
      <c r="V72" s="48"/>
      <c r="W72" s="48"/>
      <c r="X72" s="48"/>
      <c r="Y72" s="48">
        <v>0</v>
      </c>
      <c r="Z72" s="48"/>
      <c r="AA72" s="48" t="s">
        <v>366</v>
      </c>
      <c r="AB72" s="48" t="s">
        <v>27</v>
      </c>
      <c r="AC72" s="48" t="s">
        <v>621</v>
      </c>
      <c r="AD72" s="89" t="s">
        <v>845</v>
      </c>
    </row>
    <row r="73" spans="1:30" ht="15.75" hidden="1" x14ac:dyDescent="0.25">
      <c r="A73" s="48" t="s">
        <v>1604</v>
      </c>
      <c r="B73" s="74">
        <v>45862</v>
      </c>
      <c r="C73" s="48" t="s">
        <v>441</v>
      </c>
      <c r="D73" s="48" t="s">
        <v>20</v>
      </c>
      <c r="E73" s="48" t="s">
        <v>477</v>
      </c>
      <c r="F73" s="48" t="s">
        <v>710</v>
      </c>
      <c r="G73" s="48" t="s">
        <v>24</v>
      </c>
      <c r="H73" s="48" t="s">
        <v>710</v>
      </c>
      <c r="I73" s="48" t="s">
        <v>26</v>
      </c>
      <c r="J73" s="48">
        <v>1020088</v>
      </c>
      <c r="K73" s="50">
        <v>500000</v>
      </c>
      <c r="L73" s="50">
        <v>1</v>
      </c>
      <c r="M73" s="50">
        <v>500000</v>
      </c>
      <c r="N73" s="50">
        <v>500000</v>
      </c>
      <c r="O73" s="50">
        <v>0</v>
      </c>
      <c r="P73" s="50">
        <v>0</v>
      </c>
      <c r="Q73" s="87">
        <v>0</v>
      </c>
      <c r="R73" s="152">
        <v>0</v>
      </c>
      <c r="S73" s="174"/>
      <c r="T73" s="74">
        <v>45961</v>
      </c>
      <c r="U73" s="74">
        <v>45961</v>
      </c>
      <c r="V73" s="48"/>
      <c r="W73" s="48"/>
      <c r="X73" s="48"/>
      <c r="Y73" s="48">
        <v>0</v>
      </c>
      <c r="Z73" s="48"/>
      <c r="AA73" s="48" t="s">
        <v>366</v>
      </c>
      <c r="AB73" s="48" t="s">
        <v>27</v>
      </c>
      <c r="AC73" s="48" t="s">
        <v>621</v>
      </c>
      <c r="AD73" s="89" t="s">
        <v>845</v>
      </c>
    </row>
    <row r="74" spans="1:30" ht="15.75" hidden="1" x14ac:dyDescent="0.25">
      <c r="A74" s="48" t="s">
        <v>1906</v>
      </c>
      <c r="B74" s="74">
        <v>45930</v>
      </c>
      <c r="C74" s="48" t="s">
        <v>441</v>
      </c>
      <c r="D74" s="48" t="s">
        <v>20</v>
      </c>
      <c r="E74" s="48" t="s">
        <v>477</v>
      </c>
      <c r="F74" s="48" t="s">
        <v>710</v>
      </c>
      <c r="G74" s="48" t="s">
        <v>24</v>
      </c>
      <c r="H74" s="48" t="s">
        <v>710</v>
      </c>
      <c r="I74" s="48" t="s">
        <v>26</v>
      </c>
      <c r="J74" s="48">
        <v>1020088</v>
      </c>
      <c r="K74" s="50">
        <v>1500000</v>
      </c>
      <c r="L74" s="50">
        <v>1</v>
      </c>
      <c r="M74" s="50">
        <v>1500000</v>
      </c>
      <c r="N74" s="50">
        <v>1500000</v>
      </c>
      <c r="O74" s="50">
        <v>0</v>
      </c>
      <c r="P74" s="50">
        <v>0</v>
      </c>
      <c r="Q74" s="87">
        <v>0</v>
      </c>
      <c r="R74" s="152">
        <v>0</v>
      </c>
      <c r="S74" s="174"/>
      <c r="T74" s="74">
        <v>46022</v>
      </c>
      <c r="U74" s="74">
        <v>46022</v>
      </c>
      <c r="V74" s="48"/>
      <c r="W74" s="48"/>
      <c r="X74" s="48"/>
      <c r="Y74" s="48">
        <v>0</v>
      </c>
      <c r="Z74" s="48"/>
      <c r="AA74" s="48" t="s">
        <v>366</v>
      </c>
      <c r="AB74" s="48" t="s">
        <v>27</v>
      </c>
      <c r="AC74" s="48" t="s">
        <v>621</v>
      </c>
      <c r="AD74" s="89" t="s">
        <v>845</v>
      </c>
    </row>
    <row r="75" spans="1:30" ht="15.75" hidden="1" x14ac:dyDescent="0.25">
      <c r="A75" s="48" t="s">
        <v>3894</v>
      </c>
      <c r="B75" s="74">
        <v>46050</v>
      </c>
      <c r="C75" s="48" t="s">
        <v>441</v>
      </c>
      <c r="D75" s="48" t="s">
        <v>20</v>
      </c>
      <c r="E75" s="48" t="s">
        <v>477</v>
      </c>
      <c r="F75" s="48" t="s">
        <v>710</v>
      </c>
      <c r="G75" s="48" t="s">
        <v>24</v>
      </c>
      <c r="H75" s="48" t="s">
        <v>710</v>
      </c>
      <c r="I75" s="48" t="s">
        <v>26</v>
      </c>
      <c r="J75" s="48">
        <v>1020088</v>
      </c>
      <c r="K75" s="50">
        <v>2000000</v>
      </c>
      <c r="L75" s="50">
        <v>1</v>
      </c>
      <c r="M75" s="50">
        <v>2000000</v>
      </c>
      <c r="N75" s="50">
        <v>2000000</v>
      </c>
      <c r="O75" s="50">
        <v>0</v>
      </c>
      <c r="P75" s="50">
        <v>0</v>
      </c>
      <c r="Q75" s="87">
        <v>0</v>
      </c>
      <c r="R75" s="152">
        <v>0</v>
      </c>
      <c r="S75" s="174"/>
      <c r="T75" s="74">
        <v>46142</v>
      </c>
      <c r="U75" s="74">
        <v>46142</v>
      </c>
      <c r="V75" s="48"/>
      <c r="W75" s="48"/>
      <c r="X75" s="48"/>
      <c r="Y75" s="48">
        <v>0</v>
      </c>
      <c r="Z75" s="48"/>
      <c r="AA75" s="48" t="s">
        <v>366</v>
      </c>
      <c r="AB75" s="48" t="s">
        <v>27</v>
      </c>
      <c r="AC75" s="48" t="s">
        <v>1904</v>
      </c>
      <c r="AD75" s="89" t="s">
        <v>845</v>
      </c>
    </row>
    <row r="76" spans="1:30" ht="15.75" hidden="1" x14ac:dyDescent="0.25">
      <c r="A76" s="48" t="s">
        <v>4563</v>
      </c>
      <c r="B76" s="74">
        <v>46118</v>
      </c>
      <c r="C76" s="48" t="s">
        <v>441</v>
      </c>
      <c r="D76" s="48" t="s">
        <v>20</v>
      </c>
      <c r="E76" s="48" t="s">
        <v>4496</v>
      </c>
      <c r="F76" s="48" t="s">
        <v>710</v>
      </c>
      <c r="G76" s="48" t="s">
        <v>24</v>
      </c>
      <c r="H76" s="48" t="s">
        <v>710</v>
      </c>
      <c r="I76" s="48" t="s">
        <v>26</v>
      </c>
      <c r="J76" s="48">
        <v>1020088</v>
      </c>
      <c r="K76" s="50">
        <v>500000</v>
      </c>
      <c r="L76" s="50">
        <v>1</v>
      </c>
      <c r="M76" s="50">
        <v>500000</v>
      </c>
      <c r="N76" s="50">
        <v>0</v>
      </c>
      <c r="O76" s="50">
        <v>500000</v>
      </c>
      <c r="P76" s="50">
        <v>500000</v>
      </c>
      <c r="Q76" s="87">
        <v>0</v>
      </c>
      <c r="R76" s="152">
        <v>0</v>
      </c>
      <c r="S76" s="174" t="s">
        <v>5064</v>
      </c>
      <c r="T76" s="74">
        <v>46203</v>
      </c>
      <c r="U76" s="74">
        <v>46203</v>
      </c>
      <c r="V76" s="48"/>
      <c r="W76" s="48"/>
      <c r="X76" s="48"/>
      <c r="Y76" s="48">
        <v>0</v>
      </c>
      <c r="Z76" s="48"/>
      <c r="AA76" s="48" t="s">
        <v>366</v>
      </c>
      <c r="AB76" s="48" t="s">
        <v>27</v>
      </c>
      <c r="AC76" s="48" t="s">
        <v>4493</v>
      </c>
      <c r="AD76" s="89" t="s">
        <v>1026</v>
      </c>
    </row>
    <row r="77" spans="1:30" ht="15.75" hidden="1" x14ac:dyDescent="0.25">
      <c r="A77" s="48" t="s">
        <v>767</v>
      </c>
      <c r="B77" s="74">
        <v>45734</v>
      </c>
      <c r="C77" s="48" t="s">
        <v>509</v>
      </c>
      <c r="D77" s="48" t="s">
        <v>20</v>
      </c>
      <c r="E77" s="48" t="s">
        <v>768</v>
      </c>
      <c r="F77" s="48" t="s">
        <v>22</v>
      </c>
      <c r="G77" s="48" t="s">
        <v>24</v>
      </c>
      <c r="H77" s="48" t="s">
        <v>407</v>
      </c>
      <c r="I77" s="48" t="s">
        <v>26</v>
      </c>
      <c r="J77" s="48">
        <v>1020100</v>
      </c>
      <c r="K77" s="50">
        <v>500000</v>
      </c>
      <c r="L77" s="50">
        <v>1</v>
      </c>
      <c r="M77" s="50">
        <v>500000</v>
      </c>
      <c r="N77" s="50">
        <v>500000</v>
      </c>
      <c r="O77" s="50">
        <v>0</v>
      </c>
      <c r="P77" s="50">
        <v>0</v>
      </c>
      <c r="Q77" s="87">
        <v>0</v>
      </c>
      <c r="R77" s="152">
        <v>0</v>
      </c>
      <c r="S77" s="174"/>
      <c r="T77" s="74">
        <v>45838</v>
      </c>
      <c r="U77" s="74">
        <v>45838</v>
      </c>
      <c r="V77" s="48"/>
      <c r="W77" s="48"/>
      <c r="X77" s="48"/>
      <c r="Y77" s="48">
        <v>0</v>
      </c>
      <c r="Z77" s="48"/>
      <c r="AA77" s="48" t="s">
        <v>21</v>
      </c>
      <c r="AB77" s="48" t="s">
        <v>27</v>
      </c>
      <c r="AC77" s="48" t="s">
        <v>311</v>
      </c>
      <c r="AD77" s="89" t="s">
        <v>845</v>
      </c>
    </row>
    <row r="78" spans="1:30" ht="15.75" hidden="1" x14ac:dyDescent="0.25">
      <c r="A78" s="48" t="s">
        <v>293</v>
      </c>
      <c r="B78" s="74">
        <v>45512</v>
      </c>
      <c r="C78" s="48" t="s">
        <v>441</v>
      </c>
      <c r="D78" s="48" t="s">
        <v>20</v>
      </c>
      <c r="E78" s="48" t="s">
        <v>294</v>
      </c>
      <c r="F78" s="48" t="s">
        <v>22</v>
      </c>
      <c r="G78" s="48" t="s">
        <v>24</v>
      </c>
      <c r="H78" s="48" t="s">
        <v>22</v>
      </c>
      <c r="I78" s="48" t="s">
        <v>26</v>
      </c>
      <c r="J78" s="48">
        <v>1020055</v>
      </c>
      <c r="K78" s="50">
        <v>2575000</v>
      </c>
      <c r="L78" s="50">
        <v>1</v>
      </c>
      <c r="M78" s="50">
        <v>2575000</v>
      </c>
      <c r="N78" s="50">
        <v>2575000</v>
      </c>
      <c r="O78" s="50">
        <v>0</v>
      </c>
      <c r="P78" s="50">
        <v>0</v>
      </c>
      <c r="Q78" s="87">
        <v>0</v>
      </c>
      <c r="R78" s="152">
        <v>0</v>
      </c>
      <c r="S78" s="174"/>
      <c r="T78" s="74">
        <v>45626</v>
      </c>
      <c r="U78" s="74">
        <v>45626</v>
      </c>
      <c r="V78" s="48"/>
      <c r="W78" s="48"/>
      <c r="X78" s="48"/>
      <c r="Y78" s="48">
        <v>0</v>
      </c>
      <c r="Z78" s="48"/>
      <c r="AA78" s="48" t="s">
        <v>21</v>
      </c>
      <c r="AB78" s="48" t="s">
        <v>27</v>
      </c>
      <c r="AC78" s="48" t="s">
        <v>295</v>
      </c>
      <c r="AD78" s="89" t="s">
        <v>845</v>
      </c>
    </row>
    <row r="79" spans="1:30" ht="15.75" hidden="1" x14ac:dyDescent="0.25">
      <c r="A79" s="48" t="s">
        <v>340</v>
      </c>
      <c r="B79" s="74">
        <v>45519</v>
      </c>
      <c r="C79" s="48" t="s">
        <v>441</v>
      </c>
      <c r="D79" s="48" t="s">
        <v>20</v>
      </c>
      <c r="E79" s="48" t="s">
        <v>341</v>
      </c>
      <c r="F79" s="48" t="s">
        <v>96</v>
      </c>
      <c r="G79" s="48" t="s">
        <v>24</v>
      </c>
      <c r="H79" s="48" t="s">
        <v>22</v>
      </c>
      <c r="I79" s="48" t="s">
        <v>26</v>
      </c>
      <c r="J79" s="48">
        <v>1020055</v>
      </c>
      <c r="K79" s="50">
        <v>1261625</v>
      </c>
      <c r="L79" s="50">
        <v>1</v>
      </c>
      <c r="M79" s="50">
        <v>1261625</v>
      </c>
      <c r="N79" s="50">
        <v>1261625</v>
      </c>
      <c r="O79" s="50">
        <v>0</v>
      </c>
      <c r="P79" s="50">
        <v>0</v>
      </c>
      <c r="Q79" s="87">
        <v>0</v>
      </c>
      <c r="R79" s="152">
        <v>0</v>
      </c>
      <c r="S79" s="174"/>
      <c r="T79" s="74">
        <v>45626</v>
      </c>
      <c r="U79" s="74">
        <v>45626</v>
      </c>
      <c r="V79" s="48"/>
      <c r="W79" s="48"/>
      <c r="X79" s="48"/>
      <c r="Y79" s="48">
        <v>0</v>
      </c>
      <c r="Z79" s="48"/>
      <c r="AA79" s="48" t="s">
        <v>95</v>
      </c>
      <c r="AB79" s="48" t="s">
        <v>27</v>
      </c>
      <c r="AC79" s="48" t="s">
        <v>311</v>
      </c>
      <c r="AD79" s="89" t="s">
        <v>845</v>
      </c>
    </row>
    <row r="80" spans="1:30" ht="15.75" hidden="1" x14ac:dyDescent="0.25">
      <c r="A80" s="48" t="s">
        <v>539</v>
      </c>
      <c r="B80" s="74">
        <v>45634</v>
      </c>
      <c r="C80" s="48" t="s">
        <v>509</v>
      </c>
      <c r="D80" s="48" t="s">
        <v>20</v>
      </c>
      <c r="E80" s="48" t="s">
        <v>540</v>
      </c>
      <c r="F80" s="48" t="s">
        <v>96</v>
      </c>
      <c r="G80" s="48" t="s">
        <v>24</v>
      </c>
      <c r="H80" s="48" t="s">
        <v>407</v>
      </c>
      <c r="I80" s="48" t="s">
        <v>26</v>
      </c>
      <c r="J80" s="48">
        <v>1020100</v>
      </c>
      <c r="K80" s="50">
        <v>700000</v>
      </c>
      <c r="L80" s="50">
        <v>1</v>
      </c>
      <c r="M80" s="50">
        <v>700000</v>
      </c>
      <c r="N80" s="50">
        <v>700000</v>
      </c>
      <c r="O80" s="50">
        <v>0</v>
      </c>
      <c r="P80" s="50">
        <v>0</v>
      </c>
      <c r="Q80" s="87">
        <v>0</v>
      </c>
      <c r="R80" s="152">
        <v>0</v>
      </c>
      <c r="S80" s="174"/>
      <c r="T80" s="74">
        <v>45716</v>
      </c>
      <c r="U80" s="74">
        <v>45716</v>
      </c>
      <c r="V80" s="48"/>
      <c r="W80" s="48"/>
      <c r="X80" s="48"/>
      <c r="Y80" s="48">
        <v>0</v>
      </c>
      <c r="Z80" s="48"/>
      <c r="AA80" s="48" t="s">
        <v>95</v>
      </c>
      <c r="AB80" s="48" t="s">
        <v>27</v>
      </c>
      <c r="AC80" s="48" t="s">
        <v>311</v>
      </c>
      <c r="AD80" s="89" t="s">
        <v>845</v>
      </c>
    </row>
    <row r="81" spans="1:30" ht="15.75" hidden="1" x14ac:dyDescent="0.25">
      <c r="A81" s="48" t="s">
        <v>561</v>
      </c>
      <c r="B81" s="74">
        <v>45638</v>
      </c>
      <c r="C81" s="48" t="s">
        <v>441</v>
      </c>
      <c r="D81" s="48" t="s">
        <v>20</v>
      </c>
      <c r="E81" s="48" t="s">
        <v>540</v>
      </c>
      <c r="F81" s="48" t="s">
        <v>483</v>
      </c>
      <c r="G81" s="48" t="s">
        <v>24</v>
      </c>
      <c r="H81" s="48" t="s">
        <v>22</v>
      </c>
      <c r="I81" s="48" t="s">
        <v>26</v>
      </c>
      <c r="J81" s="48">
        <v>1020055</v>
      </c>
      <c r="K81" s="50">
        <v>530482.57999999996</v>
      </c>
      <c r="L81" s="50">
        <v>1</v>
      </c>
      <c r="M81" s="50">
        <v>530482.57999999996</v>
      </c>
      <c r="N81" s="50">
        <v>530482.57999999996</v>
      </c>
      <c r="O81" s="50">
        <v>0</v>
      </c>
      <c r="P81" s="50">
        <v>0</v>
      </c>
      <c r="Q81" s="87">
        <v>0</v>
      </c>
      <c r="R81" s="152">
        <v>0</v>
      </c>
      <c r="S81" s="174"/>
      <c r="T81" s="74">
        <v>45747</v>
      </c>
      <c r="U81" s="74">
        <v>45747</v>
      </c>
      <c r="V81" s="48"/>
      <c r="W81" s="48"/>
      <c r="X81" s="48"/>
      <c r="Y81" s="48">
        <v>0</v>
      </c>
      <c r="Z81" s="48"/>
      <c r="AA81" s="48" t="s">
        <v>373</v>
      </c>
      <c r="AB81" s="48" t="s">
        <v>27</v>
      </c>
      <c r="AC81" s="48" t="s">
        <v>311</v>
      </c>
      <c r="AD81" s="89" t="s">
        <v>845</v>
      </c>
    </row>
    <row r="82" spans="1:30" ht="15.75" hidden="1" x14ac:dyDescent="0.25">
      <c r="A82" s="48" t="s">
        <v>680</v>
      </c>
      <c r="B82" s="74">
        <v>45684</v>
      </c>
      <c r="C82" s="48" t="s">
        <v>509</v>
      </c>
      <c r="D82" s="48" t="s">
        <v>20</v>
      </c>
      <c r="E82" s="48" t="s">
        <v>540</v>
      </c>
      <c r="F82" s="48" t="s">
        <v>96</v>
      </c>
      <c r="G82" s="48" t="s">
        <v>24</v>
      </c>
      <c r="H82" s="48" t="s">
        <v>407</v>
      </c>
      <c r="I82" s="48" t="s">
        <v>26</v>
      </c>
      <c r="J82" s="48">
        <v>1020100</v>
      </c>
      <c r="K82" s="50">
        <v>350000</v>
      </c>
      <c r="L82" s="50">
        <v>1</v>
      </c>
      <c r="M82" s="50">
        <v>350000</v>
      </c>
      <c r="N82" s="50">
        <v>350000</v>
      </c>
      <c r="O82" s="50">
        <v>0</v>
      </c>
      <c r="P82" s="50">
        <v>0</v>
      </c>
      <c r="Q82" s="87">
        <v>0</v>
      </c>
      <c r="R82" s="152">
        <v>0</v>
      </c>
      <c r="S82" s="174"/>
      <c r="T82" s="74">
        <v>45777</v>
      </c>
      <c r="U82" s="74">
        <v>45777</v>
      </c>
      <c r="V82" s="48"/>
      <c r="W82" s="48"/>
      <c r="X82" s="48"/>
      <c r="Y82" s="48">
        <v>0</v>
      </c>
      <c r="Z82" s="48"/>
      <c r="AA82" s="48" t="s">
        <v>95</v>
      </c>
      <c r="AB82" s="48" t="s">
        <v>27</v>
      </c>
      <c r="AC82" s="48" t="s">
        <v>311</v>
      </c>
      <c r="AD82" s="89" t="s">
        <v>845</v>
      </c>
    </row>
    <row r="83" spans="1:30" ht="15.75" hidden="1" x14ac:dyDescent="0.25">
      <c r="A83" s="48" t="s">
        <v>586</v>
      </c>
      <c r="B83" s="74">
        <v>45664</v>
      </c>
      <c r="C83" s="48" t="s">
        <v>441</v>
      </c>
      <c r="D83" s="48" t="s">
        <v>20</v>
      </c>
      <c r="E83" s="48" t="s">
        <v>587</v>
      </c>
      <c r="F83" s="48" t="s">
        <v>22</v>
      </c>
      <c r="G83" s="48" t="s">
        <v>24</v>
      </c>
      <c r="H83" s="48" t="s">
        <v>22</v>
      </c>
      <c r="I83" s="48" t="s">
        <v>26</v>
      </c>
      <c r="J83" s="48">
        <v>1020055</v>
      </c>
      <c r="K83" s="50">
        <v>1500000</v>
      </c>
      <c r="L83" s="50">
        <v>1</v>
      </c>
      <c r="M83" s="50">
        <v>1500000</v>
      </c>
      <c r="N83" s="50">
        <v>1500000</v>
      </c>
      <c r="O83" s="50">
        <v>0</v>
      </c>
      <c r="P83" s="50">
        <v>0</v>
      </c>
      <c r="Q83" s="87">
        <v>0</v>
      </c>
      <c r="R83" s="152">
        <v>0</v>
      </c>
      <c r="S83" s="174"/>
      <c r="T83" s="74">
        <v>45747</v>
      </c>
      <c r="U83" s="74">
        <v>45747</v>
      </c>
      <c r="V83" s="48"/>
      <c r="W83" s="48"/>
      <c r="X83" s="48"/>
      <c r="Y83" s="48">
        <v>0</v>
      </c>
      <c r="Z83" s="48"/>
      <c r="AA83" s="48" t="s">
        <v>21</v>
      </c>
      <c r="AB83" s="48" t="s">
        <v>27</v>
      </c>
      <c r="AC83" s="48" t="s">
        <v>311</v>
      </c>
      <c r="AD83" s="89" t="s">
        <v>845</v>
      </c>
    </row>
    <row r="84" spans="1:30" ht="15.75" hidden="1" x14ac:dyDescent="0.25">
      <c r="A84" s="48" t="s">
        <v>631</v>
      </c>
      <c r="B84" s="74">
        <v>45680</v>
      </c>
      <c r="C84" s="48" t="s">
        <v>441</v>
      </c>
      <c r="D84" s="48" t="s">
        <v>20</v>
      </c>
      <c r="E84" s="48" t="s">
        <v>587</v>
      </c>
      <c r="F84" s="48" t="s">
        <v>22</v>
      </c>
      <c r="G84" s="48" t="s">
        <v>24</v>
      </c>
      <c r="H84" s="48" t="s">
        <v>22</v>
      </c>
      <c r="I84" s="48" t="s">
        <v>26</v>
      </c>
      <c r="J84" s="48">
        <v>1020055</v>
      </c>
      <c r="K84" s="50">
        <v>650000</v>
      </c>
      <c r="L84" s="50">
        <v>1</v>
      </c>
      <c r="M84" s="50">
        <v>650000</v>
      </c>
      <c r="N84" s="50">
        <v>650000</v>
      </c>
      <c r="O84" s="50">
        <v>0</v>
      </c>
      <c r="P84" s="50">
        <v>0</v>
      </c>
      <c r="Q84" s="87">
        <v>0</v>
      </c>
      <c r="R84" s="152">
        <v>0</v>
      </c>
      <c r="S84" s="174"/>
      <c r="T84" s="74">
        <v>45777</v>
      </c>
      <c r="U84" s="74">
        <v>45777</v>
      </c>
      <c r="V84" s="48"/>
      <c r="W84" s="48"/>
      <c r="X84" s="48"/>
      <c r="Y84" s="48">
        <v>0</v>
      </c>
      <c r="Z84" s="48"/>
      <c r="AA84" s="48" t="s">
        <v>21</v>
      </c>
      <c r="AB84" s="48" t="s">
        <v>27</v>
      </c>
      <c r="AC84" s="48" t="s">
        <v>311</v>
      </c>
      <c r="AD84" s="89" t="s">
        <v>845</v>
      </c>
    </row>
    <row r="85" spans="1:30" ht="15.75" hidden="1" x14ac:dyDescent="0.25">
      <c r="A85" s="48" t="s">
        <v>1660</v>
      </c>
      <c r="B85" s="74">
        <v>45869</v>
      </c>
      <c r="C85" s="48" t="s">
        <v>441</v>
      </c>
      <c r="D85" s="48" t="s">
        <v>20</v>
      </c>
      <c r="E85" s="48" t="s">
        <v>587</v>
      </c>
      <c r="F85" s="48" t="s">
        <v>22</v>
      </c>
      <c r="G85" s="48" t="s">
        <v>24</v>
      </c>
      <c r="H85" s="48" t="s">
        <v>22</v>
      </c>
      <c r="I85" s="48" t="s">
        <v>26</v>
      </c>
      <c r="J85" s="48">
        <v>1020055</v>
      </c>
      <c r="K85" s="50">
        <v>417625.03</v>
      </c>
      <c r="L85" s="50">
        <v>1</v>
      </c>
      <c r="M85" s="50">
        <v>417625.03</v>
      </c>
      <c r="N85" s="50">
        <v>417625.03</v>
      </c>
      <c r="O85" s="50">
        <v>0</v>
      </c>
      <c r="P85" s="50">
        <v>0</v>
      </c>
      <c r="Q85" s="87">
        <v>0</v>
      </c>
      <c r="R85" s="152">
        <v>0</v>
      </c>
      <c r="S85" s="174"/>
      <c r="T85" s="74">
        <v>45961</v>
      </c>
      <c r="U85" s="74">
        <v>45961</v>
      </c>
      <c r="V85" s="48"/>
      <c r="W85" s="48"/>
      <c r="X85" s="48"/>
      <c r="Y85" s="48">
        <v>0</v>
      </c>
      <c r="Z85" s="48"/>
      <c r="AA85" s="48" t="s">
        <v>21</v>
      </c>
      <c r="AB85" s="48" t="s">
        <v>27</v>
      </c>
      <c r="AC85" s="48" t="s">
        <v>621</v>
      </c>
      <c r="AD85" s="89" t="s">
        <v>845</v>
      </c>
    </row>
    <row r="86" spans="1:30" ht="15.75" hidden="1" x14ac:dyDescent="0.25">
      <c r="A86" s="48" t="s">
        <v>2619</v>
      </c>
      <c r="B86" s="74">
        <v>45973</v>
      </c>
      <c r="C86" s="48" t="s">
        <v>441</v>
      </c>
      <c r="D86" s="48" t="s">
        <v>20</v>
      </c>
      <c r="E86" s="48" t="s">
        <v>587</v>
      </c>
      <c r="F86" s="48" t="s">
        <v>22</v>
      </c>
      <c r="G86" s="48" t="s">
        <v>24</v>
      </c>
      <c r="H86" s="48" t="s">
        <v>22</v>
      </c>
      <c r="I86" s="48" t="s">
        <v>26</v>
      </c>
      <c r="J86" s="48">
        <v>1020055</v>
      </c>
      <c r="K86" s="50">
        <v>1252435.67</v>
      </c>
      <c r="L86" s="50">
        <v>1</v>
      </c>
      <c r="M86" s="50">
        <v>1252435.67</v>
      </c>
      <c r="N86" s="50">
        <v>1252435.67</v>
      </c>
      <c r="O86" s="50">
        <v>0</v>
      </c>
      <c r="P86" s="50">
        <v>0</v>
      </c>
      <c r="Q86" s="87">
        <v>0</v>
      </c>
      <c r="R86" s="152">
        <v>0</v>
      </c>
      <c r="S86" s="174"/>
      <c r="T86" s="74">
        <v>46081</v>
      </c>
      <c r="U86" s="74">
        <v>46081</v>
      </c>
      <c r="V86" s="48"/>
      <c r="W86" s="48"/>
      <c r="X86" s="48"/>
      <c r="Y86" s="48">
        <v>0</v>
      </c>
      <c r="Z86" s="48"/>
      <c r="AA86" s="48" t="s">
        <v>21</v>
      </c>
      <c r="AB86" s="48" t="s">
        <v>27</v>
      </c>
      <c r="AC86" s="48" t="s">
        <v>1904</v>
      </c>
      <c r="AD86" s="89" t="s">
        <v>845</v>
      </c>
    </row>
    <row r="87" spans="1:30" ht="15.75" hidden="1" x14ac:dyDescent="0.25">
      <c r="A87" s="48" t="s">
        <v>147</v>
      </c>
      <c r="B87" s="74">
        <v>45020</v>
      </c>
      <c r="C87" s="48" t="s">
        <v>1182</v>
      </c>
      <c r="D87" s="48" t="s">
        <v>20</v>
      </c>
      <c r="E87" s="48" t="s">
        <v>41</v>
      </c>
      <c r="F87" s="48" t="s">
        <v>22</v>
      </c>
      <c r="G87" s="48" t="s">
        <v>24</v>
      </c>
      <c r="H87" s="48" t="s">
        <v>90</v>
      </c>
      <c r="I87" s="48" t="s">
        <v>26</v>
      </c>
      <c r="J87" s="48">
        <v>1020001</v>
      </c>
      <c r="K87" s="50">
        <v>2952344.02</v>
      </c>
      <c r="L87" s="50">
        <v>1</v>
      </c>
      <c r="M87" s="50">
        <v>2952344.02</v>
      </c>
      <c r="N87" s="50">
        <v>2952344.02</v>
      </c>
      <c r="O87" s="50">
        <v>0</v>
      </c>
      <c r="P87" s="50">
        <v>0</v>
      </c>
      <c r="Q87" s="87">
        <v>0</v>
      </c>
      <c r="R87" s="152">
        <v>0</v>
      </c>
      <c r="S87" s="174"/>
      <c r="T87" s="74">
        <v>45199</v>
      </c>
      <c r="U87" s="74">
        <v>45199</v>
      </c>
      <c r="V87" s="48"/>
      <c r="W87" s="48"/>
      <c r="X87" s="48"/>
      <c r="Y87" s="48">
        <v>0</v>
      </c>
      <c r="Z87" s="48"/>
      <c r="AA87" s="48" t="s">
        <v>21</v>
      </c>
      <c r="AB87" s="48" t="s">
        <v>27</v>
      </c>
      <c r="AC87" s="48"/>
      <c r="AD87" s="89" t="s">
        <v>845</v>
      </c>
    </row>
    <row r="88" spans="1:30" ht="15.75" hidden="1" x14ac:dyDescent="0.25">
      <c r="A88" s="48" t="s">
        <v>40</v>
      </c>
      <c r="B88" s="74">
        <v>45222</v>
      </c>
      <c r="C88" s="48" t="s">
        <v>441</v>
      </c>
      <c r="D88" s="48" t="s">
        <v>20</v>
      </c>
      <c r="E88" s="48" t="s">
        <v>41</v>
      </c>
      <c r="F88" s="48" t="s">
        <v>22</v>
      </c>
      <c r="G88" s="48" t="s">
        <v>24</v>
      </c>
      <c r="H88" s="48" t="s">
        <v>22</v>
      </c>
      <c r="I88" s="48" t="s">
        <v>26</v>
      </c>
      <c r="J88" s="48">
        <v>1020055</v>
      </c>
      <c r="K88" s="50">
        <v>3320000</v>
      </c>
      <c r="L88" s="50">
        <v>1</v>
      </c>
      <c r="M88" s="50">
        <v>3320000</v>
      </c>
      <c r="N88" s="50">
        <v>3287775.8099999996</v>
      </c>
      <c r="O88" s="50">
        <v>32224.19</v>
      </c>
      <c r="P88" s="50">
        <v>0</v>
      </c>
      <c r="Q88" s="87">
        <v>32224.19</v>
      </c>
      <c r="R88" s="152">
        <v>0</v>
      </c>
      <c r="S88" s="174"/>
      <c r="T88" s="74">
        <v>45474</v>
      </c>
      <c r="U88" s="74">
        <v>45474</v>
      </c>
      <c r="V88" s="48"/>
      <c r="W88" s="48"/>
      <c r="X88" s="48"/>
      <c r="Y88" s="48">
        <v>0</v>
      </c>
      <c r="Z88" s="48"/>
      <c r="AA88" s="48" t="s">
        <v>21</v>
      </c>
      <c r="AB88" s="48" t="s">
        <v>27</v>
      </c>
      <c r="AC88" s="48" t="s">
        <v>35</v>
      </c>
      <c r="AD88" s="89" t="s">
        <v>845</v>
      </c>
    </row>
    <row r="89" spans="1:30" ht="15.75" hidden="1" x14ac:dyDescent="0.25">
      <c r="A89" s="48" t="s">
        <v>804</v>
      </c>
      <c r="B89" s="74">
        <v>45739</v>
      </c>
      <c r="C89" s="48" t="s">
        <v>441</v>
      </c>
      <c r="D89" s="48" t="s">
        <v>20</v>
      </c>
      <c r="E89" s="48" t="s">
        <v>805</v>
      </c>
      <c r="F89" s="48" t="s">
        <v>22</v>
      </c>
      <c r="G89" s="48" t="s">
        <v>24</v>
      </c>
      <c r="H89" s="48" t="s">
        <v>22</v>
      </c>
      <c r="I89" s="48" t="s">
        <v>26</v>
      </c>
      <c r="J89" s="48">
        <v>1020055</v>
      </c>
      <c r="K89" s="50">
        <v>300000</v>
      </c>
      <c r="L89" s="50">
        <v>1</v>
      </c>
      <c r="M89" s="50">
        <v>300000</v>
      </c>
      <c r="N89" s="50">
        <v>300000</v>
      </c>
      <c r="O89" s="50">
        <v>0</v>
      </c>
      <c r="P89" s="50">
        <v>0</v>
      </c>
      <c r="Q89" s="87">
        <v>0</v>
      </c>
      <c r="R89" s="152">
        <v>0</v>
      </c>
      <c r="S89" s="174"/>
      <c r="T89" s="74">
        <v>45838</v>
      </c>
      <c r="U89" s="74">
        <v>45838</v>
      </c>
      <c r="V89" s="48"/>
      <c r="W89" s="48"/>
      <c r="X89" s="48"/>
      <c r="Y89" s="48">
        <v>0</v>
      </c>
      <c r="Z89" s="48"/>
      <c r="AA89" s="48" t="s">
        <v>21</v>
      </c>
      <c r="AB89" s="48" t="s">
        <v>27</v>
      </c>
      <c r="AC89" s="48" t="s">
        <v>311</v>
      </c>
      <c r="AD89" s="89" t="s">
        <v>845</v>
      </c>
    </row>
    <row r="90" spans="1:30" ht="15.75" hidden="1" x14ac:dyDescent="0.25">
      <c r="A90" s="48" t="s">
        <v>1171</v>
      </c>
      <c r="B90" s="74">
        <v>45757</v>
      </c>
      <c r="C90" s="48" t="s">
        <v>441</v>
      </c>
      <c r="D90" s="48" t="s">
        <v>20</v>
      </c>
      <c r="E90" s="48" t="s">
        <v>838</v>
      </c>
      <c r="F90" s="48" t="s">
        <v>710</v>
      </c>
      <c r="G90" s="48" t="s">
        <v>24</v>
      </c>
      <c r="H90" s="48" t="s">
        <v>710</v>
      </c>
      <c r="I90" s="48" t="s">
        <v>26</v>
      </c>
      <c r="J90" s="48">
        <v>1020088</v>
      </c>
      <c r="K90" s="50">
        <v>540000</v>
      </c>
      <c r="L90" s="50">
        <v>1</v>
      </c>
      <c r="M90" s="50">
        <v>540000</v>
      </c>
      <c r="N90" s="50">
        <v>540000</v>
      </c>
      <c r="O90" s="50">
        <v>0</v>
      </c>
      <c r="P90" s="50">
        <v>0</v>
      </c>
      <c r="Q90" s="87">
        <v>0</v>
      </c>
      <c r="R90" s="152">
        <v>0</v>
      </c>
      <c r="S90" s="174"/>
      <c r="T90" s="74">
        <v>45838</v>
      </c>
      <c r="U90" s="74">
        <v>45838</v>
      </c>
      <c r="V90" s="48"/>
      <c r="W90" s="48"/>
      <c r="X90" s="48"/>
      <c r="Y90" s="48">
        <v>0</v>
      </c>
      <c r="Z90" s="48"/>
      <c r="AA90" s="48" t="s">
        <v>366</v>
      </c>
      <c r="AB90" s="48" t="s">
        <v>27</v>
      </c>
      <c r="AC90" s="48" t="s">
        <v>311</v>
      </c>
      <c r="AD90" s="89" t="s">
        <v>845</v>
      </c>
    </row>
    <row r="91" spans="1:30" ht="15.75" hidden="1" x14ac:dyDescent="0.25">
      <c r="A91" s="48" t="s">
        <v>4251</v>
      </c>
      <c r="B91" s="74">
        <v>46086</v>
      </c>
      <c r="C91" s="48" t="s">
        <v>441</v>
      </c>
      <c r="D91" s="48" t="s">
        <v>20</v>
      </c>
      <c r="E91" s="48" t="s">
        <v>4136</v>
      </c>
      <c r="F91" s="48" t="s">
        <v>710</v>
      </c>
      <c r="G91" s="48" t="s">
        <v>24</v>
      </c>
      <c r="H91" s="48" t="s">
        <v>710</v>
      </c>
      <c r="I91" s="48" t="s">
        <v>26</v>
      </c>
      <c r="J91" s="48">
        <v>1020088</v>
      </c>
      <c r="K91" s="50">
        <v>1870380.07</v>
      </c>
      <c r="L91" s="50">
        <v>1</v>
      </c>
      <c r="M91" s="50">
        <v>1870380.07</v>
      </c>
      <c r="N91" s="50">
        <v>0</v>
      </c>
      <c r="O91" s="50">
        <v>1870380.07</v>
      </c>
      <c r="P91" s="50">
        <v>1309266</v>
      </c>
      <c r="Q91" s="87">
        <v>561114.06999999995</v>
      </c>
      <c r="R91" s="152">
        <v>0</v>
      </c>
      <c r="S91" s="174" t="s">
        <v>4770</v>
      </c>
      <c r="T91" s="74">
        <v>46265</v>
      </c>
      <c r="U91" s="74">
        <v>46265</v>
      </c>
      <c r="V91" s="48"/>
      <c r="W91" s="48"/>
      <c r="X91" s="48"/>
      <c r="Y91" s="48">
        <v>0</v>
      </c>
      <c r="Z91" s="48"/>
      <c r="AA91" s="48" t="s">
        <v>366</v>
      </c>
      <c r="AB91" s="48" t="s">
        <v>27</v>
      </c>
      <c r="AC91" s="48" t="s">
        <v>1904</v>
      </c>
      <c r="AD91" s="89" t="s">
        <v>1026</v>
      </c>
    </row>
    <row r="92" spans="1:30" ht="15.75" hidden="1" x14ac:dyDescent="0.25">
      <c r="A92" s="48" t="s">
        <v>247</v>
      </c>
      <c r="B92" s="74">
        <v>45292</v>
      </c>
      <c r="C92" s="48" t="s">
        <v>441</v>
      </c>
      <c r="D92" s="48" t="s">
        <v>20</v>
      </c>
      <c r="E92" s="48" t="s">
        <v>248</v>
      </c>
      <c r="F92" s="48" t="s">
        <v>22</v>
      </c>
      <c r="G92" s="48" t="s">
        <v>24</v>
      </c>
      <c r="H92" s="48" t="s">
        <v>22</v>
      </c>
      <c r="I92" s="48" t="s">
        <v>26</v>
      </c>
      <c r="J92" s="48">
        <v>1020055</v>
      </c>
      <c r="K92" s="50">
        <v>1452474.33</v>
      </c>
      <c r="L92" s="50">
        <v>1</v>
      </c>
      <c r="M92" s="50">
        <v>1452474.33</v>
      </c>
      <c r="N92" s="50">
        <v>1360886.92</v>
      </c>
      <c r="O92" s="50">
        <v>91587.41</v>
      </c>
      <c r="P92" s="50">
        <v>0</v>
      </c>
      <c r="Q92" s="87">
        <v>91587.41</v>
      </c>
      <c r="R92" s="152">
        <v>0</v>
      </c>
      <c r="S92" s="174"/>
      <c r="T92" s="74">
        <v>45442</v>
      </c>
      <c r="U92" s="74">
        <v>45442</v>
      </c>
      <c r="V92" s="48"/>
      <c r="W92" s="48"/>
      <c r="X92" s="48"/>
      <c r="Y92" s="48">
        <v>0</v>
      </c>
      <c r="Z92" s="48"/>
      <c r="AA92" s="48" t="s">
        <v>21</v>
      </c>
      <c r="AB92" s="48" t="s">
        <v>27</v>
      </c>
      <c r="AC92" s="48"/>
      <c r="AD92" s="89" t="s">
        <v>845</v>
      </c>
    </row>
    <row r="93" spans="1:30" ht="15.75" hidden="1" x14ac:dyDescent="0.25">
      <c r="A93" s="48" t="s">
        <v>1862</v>
      </c>
      <c r="B93" s="74">
        <v>45911</v>
      </c>
      <c r="C93" s="48" t="s">
        <v>1537</v>
      </c>
      <c r="D93" s="48" t="s">
        <v>20</v>
      </c>
      <c r="E93" s="48" t="s">
        <v>1790</v>
      </c>
      <c r="F93" s="48" t="s">
        <v>70</v>
      </c>
      <c r="G93" s="48" t="s">
        <v>24</v>
      </c>
      <c r="H93" s="48" t="s">
        <v>483</v>
      </c>
      <c r="I93" s="48" t="s">
        <v>26</v>
      </c>
      <c r="J93" s="48">
        <v>1020096</v>
      </c>
      <c r="K93" s="50">
        <v>250000</v>
      </c>
      <c r="L93" s="50">
        <v>1</v>
      </c>
      <c r="M93" s="50">
        <v>250000</v>
      </c>
      <c r="N93" s="50">
        <v>250000</v>
      </c>
      <c r="O93" s="50">
        <v>0</v>
      </c>
      <c r="P93" s="50">
        <v>0</v>
      </c>
      <c r="Q93" s="87">
        <v>0</v>
      </c>
      <c r="R93" s="152">
        <v>0</v>
      </c>
      <c r="S93" s="174"/>
      <c r="T93" s="74">
        <v>45991</v>
      </c>
      <c r="U93" s="74">
        <v>45991</v>
      </c>
      <c r="V93" s="48"/>
      <c r="W93" s="48"/>
      <c r="X93" s="48"/>
      <c r="Y93" s="48">
        <v>0</v>
      </c>
      <c r="Z93" s="48"/>
      <c r="AA93" s="48" t="s">
        <v>62</v>
      </c>
      <c r="AB93" s="48" t="s">
        <v>70</v>
      </c>
      <c r="AC93" s="48" t="s">
        <v>621</v>
      </c>
      <c r="AD93" s="89" t="s">
        <v>845</v>
      </c>
    </row>
    <row r="94" spans="1:30" ht="15.75" hidden="1" x14ac:dyDescent="0.25">
      <c r="A94" s="48" t="s">
        <v>390</v>
      </c>
      <c r="B94" s="74">
        <v>45551</v>
      </c>
      <c r="C94" s="48" t="s">
        <v>441</v>
      </c>
      <c r="D94" s="48" t="s">
        <v>20</v>
      </c>
      <c r="E94" s="48" t="s">
        <v>391</v>
      </c>
      <c r="F94" s="48" t="s">
        <v>96</v>
      </c>
      <c r="G94" s="48" t="s">
        <v>24</v>
      </c>
      <c r="H94" s="48" t="s">
        <v>22</v>
      </c>
      <c r="I94" s="48" t="s">
        <v>26</v>
      </c>
      <c r="J94" s="48">
        <v>1020055</v>
      </c>
      <c r="K94" s="50">
        <v>769558.85</v>
      </c>
      <c r="L94" s="50">
        <v>1</v>
      </c>
      <c r="M94" s="50">
        <v>769558.85</v>
      </c>
      <c r="N94" s="50">
        <v>769558.85</v>
      </c>
      <c r="O94" s="50">
        <v>0</v>
      </c>
      <c r="P94" s="50">
        <v>0</v>
      </c>
      <c r="Q94" s="87">
        <v>0</v>
      </c>
      <c r="R94" s="152">
        <v>0</v>
      </c>
      <c r="S94" s="174"/>
      <c r="T94" s="74">
        <v>45626</v>
      </c>
      <c r="U94" s="74">
        <v>45600</v>
      </c>
      <c r="V94" s="48"/>
      <c r="W94" s="48"/>
      <c r="X94" s="48"/>
      <c r="Y94" s="48">
        <v>0</v>
      </c>
      <c r="Z94" s="48"/>
      <c r="AA94" s="48" t="s">
        <v>95</v>
      </c>
      <c r="AB94" s="48" t="s">
        <v>27</v>
      </c>
      <c r="AC94" s="48" t="s">
        <v>311</v>
      </c>
      <c r="AD94" s="89" t="s">
        <v>845</v>
      </c>
    </row>
    <row r="95" spans="1:30" ht="15.75" hidden="1" x14ac:dyDescent="0.25">
      <c r="A95" s="48" t="s">
        <v>1747</v>
      </c>
      <c r="B95" s="74">
        <v>45883</v>
      </c>
      <c r="C95" s="48" t="s">
        <v>1727</v>
      </c>
      <c r="D95" s="48" t="s">
        <v>20</v>
      </c>
      <c r="E95" s="48" t="s">
        <v>1708</v>
      </c>
      <c r="F95" s="48" t="s">
        <v>70</v>
      </c>
      <c r="G95" s="48" t="s">
        <v>869</v>
      </c>
      <c r="H95" s="48" t="s">
        <v>1762</v>
      </c>
      <c r="I95" s="48" t="s">
        <v>26</v>
      </c>
      <c r="J95" s="48"/>
      <c r="K95" s="50">
        <v>500575.54</v>
      </c>
      <c r="L95" s="50">
        <v>1</v>
      </c>
      <c r="M95" s="50">
        <v>500575.54</v>
      </c>
      <c r="N95" s="50">
        <v>500575.54</v>
      </c>
      <c r="O95" s="50">
        <v>0</v>
      </c>
      <c r="P95" s="50">
        <v>0</v>
      </c>
      <c r="Q95" s="87">
        <v>0</v>
      </c>
      <c r="R95" s="152">
        <v>0</v>
      </c>
      <c r="S95" s="174"/>
      <c r="T95" s="74">
        <v>45930</v>
      </c>
      <c r="U95" s="74">
        <v>45915</v>
      </c>
      <c r="V95" s="48"/>
      <c r="W95" s="48"/>
      <c r="X95" s="48"/>
      <c r="Y95" s="48"/>
      <c r="Z95" s="48"/>
      <c r="AA95" s="48" t="s">
        <v>62</v>
      </c>
      <c r="AB95" s="48" t="s">
        <v>70</v>
      </c>
      <c r="AC95" s="48" t="s">
        <v>208</v>
      </c>
      <c r="AD95" s="89" t="s">
        <v>845</v>
      </c>
    </row>
    <row r="96" spans="1:30" ht="15.75" hidden="1" x14ac:dyDescent="0.25">
      <c r="A96" s="48" t="s">
        <v>5692</v>
      </c>
      <c r="B96" s="74">
        <v>46196</v>
      </c>
      <c r="C96" s="48" t="s">
        <v>1181</v>
      </c>
      <c r="D96" s="48" t="s">
        <v>20</v>
      </c>
      <c r="E96" s="48" t="s">
        <v>5454</v>
      </c>
      <c r="F96" s="48" t="s">
        <v>710</v>
      </c>
      <c r="G96" s="48" t="s">
        <v>72</v>
      </c>
      <c r="H96" s="48" t="s">
        <v>81</v>
      </c>
      <c r="I96" s="48" t="s">
        <v>26</v>
      </c>
      <c r="J96" s="48">
        <v>1020070</v>
      </c>
      <c r="K96" s="50">
        <v>2000000</v>
      </c>
      <c r="L96" s="50">
        <v>1</v>
      </c>
      <c r="M96" s="50">
        <v>2000000</v>
      </c>
      <c r="N96" s="50">
        <v>0</v>
      </c>
      <c r="O96" s="50">
        <v>2000000</v>
      </c>
      <c r="P96" s="50">
        <v>0</v>
      </c>
      <c r="Q96" s="87">
        <v>2000000</v>
      </c>
      <c r="R96" s="152">
        <v>0</v>
      </c>
      <c r="S96" s="174"/>
      <c r="T96" s="74">
        <v>46346</v>
      </c>
      <c r="U96" s="74">
        <v>46346</v>
      </c>
      <c r="V96" s="48"/>
      <c r="W96" s="48"/>
      <c r="X96" s="48"/>
      <c r="Y96" s="48">
        <v>0</v>
      </c>
      <c r="Z96" s="48"/>
      <c r="AA96" s="48" t="s">
        <v>366</v>
      </c>
      <c r="AB96" s="48" t="s">
        <v>27</v>
      </c>
      <c r="AC96" s="48" t="s">
        <v>425</v>
      </c>
      <c r="AD96" s="89" t="s">
        <v>1026</v>
      </c>
    </row>
    <row r="97" spans="1:30" ht="15.75" hidden="1" x14ac:dyDescent="0.25">
      <c r="A97" s="48" t="s">
        <v>1167</v>
      </c>
      <c r="B97" s="74">
        <v>45757</v>
      </c>
      <c r="C97" s="48" t="s">
        <v>441</v>
      </c>
      <c r="D97" s="48" t="s">
        <v>20</v>
      </c>
      <c r="E97" s="48" t="s">
        <v>835</v>
      </c>
      <c r="F97" s="48" t="s">
        <v>710</v>
      </c>
      <c r="G97" s="48" t="s">
        <v>24</v>
      </c>
      <c r="H97" s="48" t="s">
        <v>710</v>
      </c>
      <c r="I97" s="48" t="s">
        <v>26</v>
      </c>
      <c r="J97" s="48">
        <v>1020088</v>
      </c>
      <c r="K97" s="50">
        <v>4581071.46</v>
      </c>
      <c r="L97" s="50">
        <v>1</v>
      </c>
      <c r="M97" s="50">
        <v>4581071.46</v>
      </c>
      <c r="N97" s="50">
        <v>4581071.46</v>
      </c>
      <c r="O97" s="50">
        <v>0</v>
      </c>
      <c r="P97" s="50">
        <v>0</v>
      </c>
      <c r="Q97" s="87">
        <v>0</v>
      </c>
      <c r="R97" s="152">
        <v>0</v>
      </c>
      <c r="S97" s="174"/>
      <c r="T97" s="74">
        <v>45838</v>
      </c>
      <c r="U97" s="74">
        <v>45838</v>
      </c>
      <c r="V97" s="48"/>
      <c r="W97" s="48"/>
      <c r="X97" s="48"/>
      <c r="Y97" s="48">
        <v>0</v>
      </c>
      <c r="Z97" s="48"/>
      <c r="AA97" s="48" t="s">
        <v>366</v>
      </c>
      <c r="AB97" s="48" t="s">
        <v>27</v>
      </c>
      <c r="AC97" s="48" t="s">
        <v>425</v>
      </c>
      <c r="AD97" s="89" t="s">
        <v>845</v>
      </c>
    </row>
    <row r="98" spans="1:30" ht="15.75" hidden="1" x14ac:dyDescent="0.25">
      <c r="A98" s="48" t="s">
        <v>1518</v>
      </c>
      <c r="B98" s="74">
        <v>45834</v>
      </c>
      <c r="C98" s="48" t="s">
        <v>441</v>
      </c>
      <c r="D98" s="48" t="s">
        <v>20</v>
      </c>
      <c r="E98" s="48" t="s">
        <v>1464</v>
      </c>
      <c r="F98" s="48" t="s">
        <v>22</v>
      </c>
      <c r="G98" s="48" t="s">
        <v>24</v>
      </c>
      <c r="H98" s="48" t="s">
        <v>407</v>
      </c>
      <c r="I98" s="48" t="s">
        <v>26</v>
      </c>
      <c r="J98" s="48">
        <v>1020100</v>
      </c>
      <c r="K98" s="50">
        <v>350461</v>
      </c>
      <c r="L98" s="50">
        <v>1</v>
      </c>
      <c r="M98" s="50">
        <v>350461</v>
      </c>
      <c r="N98" s="50">
        <v>350461</v>
      </c>
      <c r="O98" s="50">
        <v>0</v>
      </c>
      <c r="P98" s="50">
        <v>0</v>
      </c>
      <c r="Q98" s="87">
        <v>0</v>
      </c>
      <c r="R98" s="152">
        <v>0</v>
      </c>
      <c r="S98" s="174"/>
      <c r="T98" s="74">
        <v>45961</v>
      </c>
      <c r="U98" s="74">
        <v>45961</v>
      </c>
      <c r="V98" s="48"/>
      <c r="W98" s="48"/>
      <c r="X98" s="48"/>
      <c r="Y98" s="48">
        <v>0</v>
      </c>
      <c r="Z98" s="48" t="s">
        <v>1846</v>
      </c>
      <c r="AA98" s="48" t="s">
        <v>21</v>
      </c>
      <c r="AB98" s="48" t="s">
        <v>27</v>
      </c>
      <c r="AC98" s="48" t="s">
        <v>621</v>
      </c>
      <c r="AD98" s="89" t="s">
        <v>845</v>
      </c>
    </row>
    <row r="99" spans="1:30" ht="15.75" hidden="1" x14ac:dyDescent="0.25">
      <c r="A99" s="48" t="s">
        <v>1808</v>
      </c>
      <c r="B99" s="74">
        <v>45895</v>
      </c>
      <c r="C99" s="48" t="s">
        <v>1181</v>
      </c>
      <c r="D99" s="48" t="s">
        <v>20</v>
      </c>
      <c r="E99" s="48" t="s">
        <v>1754</v>
      </c>
      <c r="F99" s="48" t="s">
        <v>710</v>
      </c>
      <c r="G99" s="48" t="s">
        <v>1791</v>
      </c>
      <c r="H99" s="48" t="s">
        <v>81</v>
      </c>
      <c r="I99" s="48" t="s">
        <v>26</v>
      </c>
      <c r="J99" s="48">
        <v>1020070</v>
      </c>
      <c r="K99" s="50">
        <v>699367</v>
      </c>
      <c r="L99" s="50">
        <v>1</v>
      </c>
      <c r="M99" s="50">
        <v>699367</v>
      </c>
      <c r="N99" s="50">
        <v>699367</v>
      </c>
      <c r="O99" s="50">
        <v>0</v>
      </c>
      <c r="P99" s="50">
        <v>0</v>
      </c>
      <c r="Q99" s="87">
        <v>0</v>
      </c>
      <c r="R99" s="152">
        <v>0</v>
      </c>
      <c r="S99" s="174"/>
      <c r="T99" s="74">
        <v>45931</v>
      </c>
      <c r="U99" s="74">
        <v>45931</v>
      </c>
      <c r="V99" s="48"/>
      <c r="W99" s="48"/>
      <c r="X99" s="48"/>
      <c r="Y99" s="48">
        <v>0</v>
      </c>
      <c r="Z99" s="48"/>
      <c r="AA99" s="48" t="s">
        <v>366</v>
      </c>
      <c r="AB99" s="48" t="s">
        <v>27</v>
      </c>
      <c r="AC99" s="48" t="s">
        <v>1755</v>
      </c>
      <c r="AD99" s="89" t="s">
        <v>845</v>
      </c>
    </row>
    <row r="100" spans="1:30" ht="15.75" hidden="1" x14ac:dyDescent="0.25">
      <c r="A100" s="48" t="s">
        <v>216</v>
      </c>
      <c r="B100" s="74">
        <v>45020</v>
      </c>
      <c r="C100" s="48" t="s">
        <v>1182</v>
      </c>
      <c r="D100" s="48" t="s">
        <v>20</v>
      </c>
      <c r="E100" s="48" t="s">
        <v>23</v>
      </c>
      <c r="F100" s="48" t="s">
        <v>22</v>
      </c>
      <c r="G100" s="48" t="s">
        <v>24</v>
      </c>
      <c r="H100" s="48" t="s">
        <v>90</v>
      </c>
      <c r="I100" s="48" t="s">
        <v>26</v>
      </c>
      <c r="J100" s="48">
        <v>1020001</v>
      </c>
      <c r="K100" s="50">
        <v>8771831.4199999999</v>
      </c>
      <c r="L100" s="50">
        <v>1</v>
      </c>
      <c r="M100" s="50">
        <v>8771831.4199999999</v>
      </c>
      <c r="N100" s="50">
        <v>4351599.32</v>
      </c>
      <c r="O100" s="50">
        <v>4420232.0999999996</v>
      </c>
      <c r="P100" s="50">
        <v>0</v>
      </c>
      <c r="Q100" s="87">
        <v>4420232.0999999996</v>
      </c>
      <c r="R100" s="152">
        <v>0</v>
      </c>
      <c r="S100" s="174"/>
      <c r="T100" s="74">
        <v>45291</v>
      </c>
      <c r="U100" s="74">
        <v>45291</v>
      </c>
      <c r="V100" s="48"/>
      <c r="W100" s="48"/>
      <c r="X100" s="48"/>
      <c r="Y100" s="48">
        <v>0</v>
      </c>
      <c r="Z100" s="48"/>
      <c r="AA100" s="48" t="s">
        <v>21</v>
      </c>
      <c r="AB100" s="48" t="s">
        <v>27</v>
      </c>
      <c r="AC100" s="48"/>
      <c r="AD100" s="89" t="s">
        <v>845</v>
      </c>
    </row>
    <row r="101" spans="1:30" ht="15.75" hidden="1" x14ac:dyDescent="0.25">
      <c r="A101" s="48" t="s">
        <v>217</v>
      </c>
      <c r="B101" s="74">
        <v>45020</v>
      </c>
      <c r="C101" s="48" t="s">
        <v>1182</v>
      </c>
      <c r="D101" s="48" t="s">
        <v>20</v>
      </c>
      <c r="E101" s="48" t="s">
        <v>23</v>
      </c>
      <c r="F101" s="48" t="s">
        <v>22</v>
      </c>
      <c r="G101" s="48" t="s">
        <v>24</v>
      </c>
      <c r="H101" s="48" t="s">
        <v>90</v>
      </c>
      <c r="I101" s="48" t="s">
        <v>26</v>
      </c>
      <c r="J101" s="48">
        <v>1020001</v>
      </c>
      <c r="K101" s="50">
        <v>2248483.8399999999</v>
      </c>
      <c r="L101" s="50">
        <v>1</v>
      </c>
      <c r="M101" s="50">
        <v>2248483.8399999999</v>
      </c>
      <c r="N101" s="50">
        <v>1789391.9</v>
      </c>
      <c r="O101" s="50">
        <v>459091.94</v>
      </c>
      <c r="P101" s="50">
        <v>0</v>
      </c>
      <c r="Q101" s="87">
        <v>459091.94</v>
      </c>
      <c r="R101" s="152">
        <v>0</v>
      </c>
      <c r="S101" s="174"/>
      <c r="T101" s="74">
        <v>45199</v>
      </c>
      <c r="U101" s="74">
        <v>45199</v>
      </c>
      <c r="V101" s="48"/>
      <c r="W101" s="48"/>
      <c r="X101" s="48"/>
      <c r="Y101" s="48">
        <v>0</v>
      </c>
      <c r="Z101" s="48"/>
      <c r="AA101" s="48" t="s">
        <v>21</v>
      </c>
      <c r="AB101" s="48" t="s">
        <v>27</v>
      </c>
      <c r="AC101" s="48"/>
      <c r="AD101" s="89" t="s">
        <v>845</v>
      </c>
    </row>
    <row r="102" spans="1:30" ht="15.75" hidden="1" x14ac:dyDescent="0.25">
      <c r="A102" s="48" t="s">
        <v>19</v>
      </c>
      <c r="B102" s="74">
        <v>45064</v>
      </c>
      <c r="C102" s="48" t="s">
        <v>1182</v>
      </c>
      <c r="D102" s="48" t="s">
        <v>20</v>
      </c>
      <c r="E102" s="48" t="s">
        <v>23</v>
      </c>
      <c r="F102" s="48" t="s">
        <v>22</v>
      </c>
      <c r="G102" s="48" t="s">
        <v>24</v>
      </c>
      <c r="H102" s="48" t="s">
        <v>25</v>
      </c>
      <c r="I102" s="48" t="s">
        <v>26</v>
      </c>
      <c r="J102" s="48">
        <v>1020052</v>
      </c>
      <c r="K102" s="50">
        <v>2765061.4699999997</v>
      </c>
      <c r="L102" s="50">
        <v>1</v>
      </c>
      <c r="M102" s="50">
        <v>2765061.4699999997</v>
      </c>
      <c r="N102" s="50">
        <v>2765061.47</v>
      </c>
      <c r="O102" s="50">
        <v>0</v>
      </c>
      <c r="P102" s="50">
        <v>0</v>
      </c>
      <c r="Q102" s="87">
        <v>0</v>
      </c>
      <c r="R102" s="152">
        <v>0</v>
      </c>
      <c r="S102" s="174"/>
      <c r="T102" s="74">
        <v>45503</v>
      </c>
      <c r="U102" s="74">
        <v>45503</v>
      </c>
      <c r="V102" s="48"/>
      <c r="W102" s="48"/>
      <c r="X102" s="48"/>
      <c r="Y102" s="48">
        <v>0</v>
      </c>
      <c r="Z102" s="48"/>
      <c r="AA102" s="48" t="s">
        <v>21</v>
      </c>
      <c r="AB102" s="48" t="s">
        <v>27</v>
      </c>
      <c r="AC102" s="48" t="s">
        <v>28</v>
      </c>
      <c r="AD102" s="89" t="s">
        <v>845</v>
      </c>
    </row>
    <row r="103" spans="1:30" ht="15.75" hidden="1" x14ac:dyDescent="0.25">
      <c r="A103" s="48" t="s">
        <v>134</v>
      </c>
      <c r="B103" s="74">
        <v>45064</v>
      </c>
      <c r="C103" s="48" t="s">
        <v>1182</v>
      </c>
      <c r="D103" s="48" t="s">
        <v>20</v>
      </c>
      <c r="E103" s="48" t="s">
        <v>23</v>
      </c>
      <c r="F103" s="48" t="s">
        <v>22</v>
      </c>
      <c r="G103" s="48" t="s">
        <v>24</v>
      </c>
      <c r="H103" s="48" t="s">
        <v>25</v>
      </c>
      <c r="I103" s="48" t="s">
        <v>26</v>
      </c>
      <c r="J103" s="48">
        <v>1020052</v>
      </c>
      <c r="K103" s="50">
        <v>542698.80000000005</v>
      </c>
      <c r="L103" s="50">
        <v>1</v>
      </c>
      <c r="M103" s="50">
        <v>542698.80000000005</v>
      </c>
      <c r="N103" s="50">
        <v>542698.80000000005</v>
      </c>
      <c r="O103" s="50">
        <v>0</v>
      </c>
      <c r="P103" s="50">
        <v>0</v>
      </c>
      <c r="Q103" s="87">
        <v>0</v>
      </c>
      <c r="R103" s="152">
        <v>0</v>
      </c>
      <c r="S103" s="174"/>
      <c r="T103" s="74">
        <v>45199</v>
      </c>
      <c r="U103" s="74">
        <v>45199</v>
      </c>
      <c r="V103" s="48"/>
      <c r="W103" s="48"/>
      <c r="X103" s="48"/>
      <c r="Y103" s="48">
        <v>0</v>
      </c>
      <c r="Z103" s="48"/>
      <c r="AA103" s="48" t="s">
        <v>21</v>
      </c>
      <c r="AB103" s="48" t="s">
        <v>27</v>
      </c>
      <c r="AC103" s="48" t="s">
        <v>28</v>
      </c>
      <c r="AD103" s="89" t="s">
        <v>845</v>
      </c>
    </row>
    <row r="104" spans="1:30" ht="15.75" hidden="1" x14ac:dyDescent="0.25">
      <c r="A104" s="48" t="s">
        <v>257</v>
      </c>
      <c r="B104" s="74">
        <v>45277</v>
      </c>
      <c r="C104" s="48" t="s">
        <v>441</v>
      </c>
      <c r="D104" s="48" t="s">
        <v>20</v>
      </c>
      <c r="E104" s="48" t="s">
        <v>23</v>
      </c>
      <c r="F104" s="48" t="s">
        <v>22</v>
      </c>
      <c r="G104" s="48" t="s">
        <v>24</v>
      </c>
      <c r="H104" s="48" t="s">
        <v>22</v>
      </c>
      <c r="I104" s="48" t="s">
        <v>26</v>
      </c>
      <c r="J104" s="48">
        <v>1020055</v>
      </c>
      <c r="K104" s="50">
        <v>5725000</v>
      </c>
      <c r="L104" s="50">
        <v>1</v>
      </c>
      <c r="M104" s="50">
        <v>5725000</v>
      </c>
      <c r="N104" s="50">
        <v>5725000</v>
      </c>
      <c r="O104" s="50">
        <v>0</v>
      </c>
      <c r="P104" s="50">
        <v>0</v>
      </c>
      <c r="Q104" s="87">
        <v>0</v>
      </c>
      <c r="R104" s="152">
        <v>0</v>
      </c>
      <c r="S104" s="174"/>
      <c r="T104" s="74">
        <v>45596</v>
      </c>
      <c r="U104" s="74">
        <v>45575</v>
      </c>
      <c r="V104" s="48"/>
      <c r="W104" s="48"/>
      <c r="X104" s="48"/>
      <c r="Y104" s="48">
        <v>0</v>
      </c>
      <c r="Z104" s="48"/>
      <c r="AA104" s="48" t="s">
        <v>21</v>
      </c>
      <c r="AB104" s="48" t="s">
        <v>27</v>
      </c>
      <c r="AC104" s="48" t="s">
        <v>117</v>
      </c>
      <c r="AD104" s="89" t="s">
        <v>845</v>
      </c>
    </row>
    <row r="105" spans="1:30" ht="15.75" hidden="1" x14ac:dyDescent="0.25">
      <c r="A105" s="48" t="s">
        <v>111</v>
      </c>
      <c r="B105" s="74">
        <v>45041</v>
      </c>
      <c r="C105" s="48" t="s">
        <v>441</v>
      </c>
      <c r="D105" s="48" t="s">
        <v>20</v>
      </c>
      <c r="E105" s="48" t="s">
        <v>23</v>
      </c>
      <c r="F105" s="48" t="s">
        <v>22</v>
      </c>
      <c r="G105" s="48" t="s">
        <v>24</v>
      </c>
      <c r="H105" s="48" t="s">
        <v>22</v>
      </c>
      <c r="I105" s="48" t="s">
        <v>26</v>
      </c>
      <c r="J105" s="48">
        <v>1020055</v>
      </c>
      <c r="K105" s="50">
        <v>1725000</v>
      </c>
      <c r="L105" s="50">
        <v>1</v>
      </c>
      <c r="M105" s="50">
        <v>1725000</v>
      </c>
      <c r="N105" s="50">
        <v>1725000</v>
      </c>
      <c r="O105" s="50">
        <v>0</v>
      </c>
      <c r="P105" s="50">
        <v>0</v>
      </c>
      <c r="Q105" s="87">
        <v>0</v>
      </c>
      <c r="R105" s="152">
        <v>0</v>
      </c>
      <c r="S105" s="174"/>
      <c r="T105" s="74">
        <v>45107</v>
      </c>
      <c r="U105" s="74">
        <v>45107</v>
      </c>
      <c r="V105" s="48"/>
      <c r="W105" s="48"/>
      <c r="X105" s="48"/>
      <c r="Y105" s="48">
        <v>0</v>
      </c>
      <c r="Z105" s="48"/>
      <c r="AA105" s="48" t="s">
        <v>21</v>
      </c>
      <c r="AB105" s="48" t="s">
        <v>27</v>
      </c>
      <c r="AC105" s="48"/>
      <c r="AD105" s="89" t="s">
        <v>845</v>
      </c>
    </row>
    <row r="106" spans="1:30" ht="15.75" hidden="1" x14ac:dyDescent="0.25">
      <c r="A106" s="48" t="s">
        <v>122</v>
      </c>
      <c r="B106" s="74">
        <v>45125</v>
      </c>
      <c r="C106" s="48" t="s">
        <v>441</v>
      </c>
      <c r="D106" s="48" t="s">
        <v>20</v>
      </c>
      <c r="E106" s="48" t="s">
        <v>23</v>
      </c>
      <c r="F106" s="48" t="s">
        <v>22</v>
      </c>
      <c r="G106" s="48" t="s">
        <v>24</v>
      </c>
      <c r="H106" s="48" t="s">
        <v>22</v>
      </c>
      <c r="I106" s="48" t="s">
        <v>26</v>
      </c>
      <c r="J106" s="48">
        <v>1020055</v>
      </c>
      <c r="K106" s="50">
        <v>2504099.35</v>
      </c>
      <c r="L106" s="50">
        <v>1</v>
      </c>
      <c r="M106" s="50">
        <v>2504099.35</v>
      </c>
      <c r="N106" s="50">
        <v>2504099.35</v>
      </c>
      <c r="O106" s="50">
        <v>0</v>
      </c>
      <c r="P106" s="50">
        <v>0</v>
      </c>
      <c r="Q106" s="87">
        <v>0</v>
      </c>
      <c r="R106" s="152">
        <v>0</v>
      </c>
      <c r="S106" s="174"/>
      <c r="T106" s="74">
        <v>45215</v>
      </c>
      <c r="U106" s="74">
        <v>45215</v>
      </c>
      <c r="V106" s="48"/>
      <c r="W106" s="48"/>
      <c r="X106" s="48"/>
      <c r="Y106" s="48">
        <v>0</v>
      </c>
      <c r="Z106" s="48"/>
      <c r="AA106" s="48" t="s">
        <v>21</v>
      </c>
      <c r="AB106" s="48" t="s">
        <v>27</v>
      </c>
      <c r="AC106" s="48" t="s">
        <v>117</v>
      </c>
      <c r="AD106" s="89" t="s">
        <v>845</v>
      </c>
    </row>
    <row r="107" spans="1:30" ht="15.75" hidden="1" x14ac:dyDescent="0.25">
      <c r="A107" s="48" t="s">
        <v>116</v>
      </c>
      <c r="B107" s="74">
        <v>45060</v>
      </c>
      <c r="C107" s="48" t="s">
        <v>441</v>
      </c>
      <c r="D107" s="48" t="s">
        <v>20</v>
      </c>
      <c r="E107" s="48" t="s">
        <v>23</v>
      </c>
      <c r="F107" s="48" t="s">
        <v>22</v>
      </c>
      <c r="G107" s="48" t="s">
        <v>24</v>
      </c>
      <c r="H107" s="48" t="s">
        <v>22</v>
      </c>
      <c r="I107" s="48" t="s">
        <v>26</v>
      </c>
      <c r="J107" s="48">
        <v>1020055</v>
      </c>
      <c r="K107" s="50">
        <v>2573125</v>
      </c>
      <c r="L107" s="50">
        <v>1</v>
      </c>
      <c r="M107" s="50">
        <v>2573125</v>
      </c>
      <c r="N107" s="50">
        <v>2573125</v>
      </c>
      <c r="O107" s="50">
        <v>0</v>
      </c>
      <c r="P107" s="50">
        <v>0</v>
      </c>
      <c r="Q107" s="87">
        <v>0</v>
      </c>
      <c r="R107" s="152">
        <v>0</v>
      </c>
      <c r="S107" s="174"/>
      <c r="T107" s="74">
        <v>45199</v>
      </c>
      <c r="U107" s="74">
        <v>45199</v>
      </c>
      <c r="V107" s="48"/>
      <c r="W107" s="48"/>
      <c r="X107" s="48"/>
      <c r="Y107" s="48">
        <v>0</v>
      </c>
      <c r="Z107" s="48"/>
      <c r="AA107" s="48" t="s">
        <v>21</v>
      </c>
      <c r="AB107" s="48" t="s">
        <v>27</v>
      </c>
      <c r="AC107" s="48" t="s">
        <v>117</v>
      </c>
      <c r="AD107" s="89" t="s">
        <v>845</v>
      </c>
    </row>
    <row r="108" spans="1:30" ht="15.75" hidden="1" x14ac:dyDescent="0.25">
      <c r="A108" s="48" t="s">
        <v>175</v>
      </c>
      <c r="B108" s="74">
        <v>45064</v>
      </c>
      <c r="C108" s="48" t="s">
        <v>1182</v>
      </c>
      <c r="D108" s="48" t="s">
        <v>20</v>
      </c>
      <c r="E108" s="48" t="s">
        <v>23</v>
      </c>
      <c r="F108" s="48" t="s">
        <v>22</v>
      </c>
      <c r="G108" s="48" t="s">
        <v>24</v>
      </c>
      <c r="H108" s="48" t="s">
        <v>25</v>
      </c>
      <c r="I108" s="48" t="s">
        <v>26</v>
      </c>
      <c r="J108" s="48">
        <v>1020052</v>
      </c>
      <c r="K108" s="50">
        <v>1851500</v>
      </c>
      <c r="L108" s="50">
        <v>1</v>
      </c>
      <c r="M108" s="50">
        <v>1851500</v>
      </c>
      <c r="N108" s="50">
        <v>1851500</v>
      </c>
      <c r="O108" s="50">
        <v>0</v>
      </c>
      <c r="P108" s="50">
        <v>0</v>
      </c>
      <c r="Q108" s="87">
        <v>0</v>
      </c>
      <c r="R108" s="152">
        <v>0</v>
      </c>
      <c r="S108" s="174"/>
      <c r="T108" s="74">
        <v>45199</v>
      </c>
      <c r="U108" s="74">
        <v>45199</v>
      </c>
      <c r="V108" s="48"/>
      <c r="W108" s="48"/>
      <c r="X108" s="48"/>
      <c r="Y108" s="48">
        <v>0</v>
      </c>
      <c r="Z108" s="48"/>
      <c r="AA108" s="48" t="s">
        <v>21</v>
      </c>
      <c r="AB108" s="48" t="s">
        <v>27</v>
      </c>
      <c r="AC108" s="48"/>
      <c r="AD108" s="89" t="s">
        <v>845</v>
      </c>
    </row>
    <row r="109" spans="1:30" ht="15.75" hidden="1" x14ac:dyDescent="0.25">
      <c r="A109" s="48" t="s">
        <v>139</v>
      </c>
      <c r="B109" s="74">
        <v>45015</v>
      </c>
      <c r="C109" s="48" t="s">
        <v>1182</v>
      </c>
      <c r="D109" s="48" t="s">
        <v>20</v>
      </c>
      <c r="E109" s="48" t="s">
        <v>140</v>
      </c>
      <c r="F109" s="48" t="s">
        <v>22</v>
      </c>
      <c r="G109" s="48" t="s">
        <v>24</v>
      </c>
      <c r="H109" s="48" t="s">
        <v>25</v>
      </c>
      <c r="I109" s="48" t="s">
        <v>26</v>
      </c>
      <c r="J109" s="48">
        <v>1020052</v>
      </c>
      <c r="K109" s="50">
        <v>4613451</v>
      </c>
      <c r="L109" s="50">
        <v>1</v>
      </c>
      <c r="M109" s="50">
        <v>4613451</v>
      </c>
      <c r="N109" s="50">
        <v>4613451</v>
      </c>
      <c r="O109" s="50">
        <v>0</v>
      </c>
      <c r="P109" s="50">
        <v>0</v>
      </c>
      <c r="Q109" s="87">
        <v>0</v>
      </c>
      <c r="R109" s="152">
        <v>0</v>
      </c>
      <c r="S109" s="174"/>
      <c r="T109" s="74">
        <v>45199</v>
      </c>
      <c r="U109" s="74">
        <v>45199</v>
      </c>
      <c r="V109" s="48"/>
      <c r="W109" s="48"/>
      <c r="X109" s="48"/>
      <c r="Y109" s="48">
        <v>0</v>
      </c>
      <c r="Z109" s="48"/>
      <c r="AA109" s="48" t="s">
        <v>21</v>
      </c>
      <c r="AB109" s="48" t="s">
        <v>27</v>
      </c>
      <c r="AC109" s="48"/>
      <c r="AD109" s="89" t="s">
        <v>845</v>
      </c>
    </row>
    <row r="110" spans="1:30" ht="15.75" hidden="1" x14ac:dyDescent="0.25">
      <c r="A110" s="48" t="s">
        <v>438</v>
      </c>
      <c r="B110" s="74">
        <v>45588</v>
      </c>
      <c r="C110" s="48" t="s">
        <v>441</v>
      </c>
      <c r="D110" s="48" t="s">
        <v>20</v>
      </c>
      <c r="E110" s="48" t="s">
        <v>439</v>
      </c>
      <c r="F110" s="48" t="s">
        <v>96</v>
      </c>
      <c r="G110" s="48" t="s">
        <v>24</v>
      </c>
      <c r="H110" s="48" t="s">
        <v>22</v>
      </c>
      <c r="I110" s="48" t="s">
        <v>26</v>
      </c>
      <c r="J110" s="48">
        <v>1020055</v>
      </c>
      <c r="K110" s="50">
        <v>1000000</v>
      </c>
      <c r="L110" s="50">
        <v>1</v>
      </c>
      <c r="M110" s="50">
        <v>1000000</v>
      </c>
      <c r="N110" s="50">
        <v>1000000</v>
      </c>
      <c r="O110" s="50">
        <v>0</v>
      </c>
      <c r="P110" s="50">
        <v>0</v>
      </c>
      <c r="Q110" s="87">
        <v>0</v>
      </c>
      <c r="R110" s="152">
        <v>0</v>
      </c>
      <c r="S110" s="312"/>
      <c r="T110" s="74">
        <v>45657</v>
      </c>
      <c r="U110" s="74">
        <v>45630</v>
      </c>
      <c r="V110" s="48"/>
      <c r="W110" s="48"/>
      <c r="X110" s="48"/>
      <c r="Y110" s="48">
        <v>0</v>
      </c>
      <c r="Z110" s="48"/>
      <c r="AA110" s="48" t="s">
        <v>95</v>
      </c>
      <c r="AB110" s="48" t="s">
        <v>27</v>
      </c>
      <c r="AC110" s="48" t="s">
        <v>311</v>
      </c>
      <c r="AD110" s="89" t="s">
        <v>845</v>
      </c>
    </row>
    <row r="111" spans="1:30" ht="15.75" hidden="1" x14ac:dyDescent="0.25">
      <c r="A111" s="48" t="s">
        <v>1777</v>
      </c>
      <c r="B111" s="74">
        <v>45888</v>
      </c>
      <c r="C111" s="48" t="s">
        <v>1727</v>
      </c>
      <c r="D111" s="48" t="s">
        <v>20</v>
      </c>
      <c r="E111" s="48" t="s">
        <v>1726</v>
      </c>
      <c r="F111" s="48" t="s">
        <v>70</v>
      </c>
      <c r="G111" s="48" t="s">
        <v>869</v>
      </c>
      <c r="H111" s="48" t="s">
        <v>1762</v>
      </c>
      <c r="I111" s="48" t="s">
        <v>26</v>
      </c>
      <c r="J111" s="48"/>
      <c r="K111" s="50">
        <v>1000000</v>
      </c>
      <c r="L111" s="50">
        <v>1</v>
      </c>
      <c r="M111" s="50">
        <v>1000000</v>
      </c>
      <c r="N111" s="50">
        <v>1000000</v>
      </c>
      <c r="O111" s="50">
        <v>0</v>
      </c>
      <c r="P111" s="50">
        <v>0</v>
      </c>
      <c r="Q111" s="87">
        <v>0</v>
      </c>
      <c r="R111" s="152">
        <v>0</v>
      </c>
      <c r="S111" s="174"/>
      <c r="T111" s="74">
        <v>45930</v>
      </c>
      <c r="U111" s="74">
        <v>45915</v>
      </c>
      <c r="V111" s="48"/>
      <c r="W111" s="48"/>
      <c r="X111" s="48"/>
      <c r="Y111" s="48"/>
      <c r="Z111" s="48"/>
      <c r="AA111" s="48" t="s">
        <v>62</v>
      </c>
      <c r="AB111" s="48" t="s">
        <v>70</v>
      </c>
      <c r="AC111" s="48" t="s">
        <v>208</v>
      </c>
      <c r="AD111" s="89" t="s">
        <v>845</v>
      </c>
    </row>
    <row r="112" spans="1:30" ht="15.75" hidden="1" x14ac:dyDescent="0.25">
      <c r="A112" s="48" t="s">
        <v>551</v>
      </c>
      <c r="B112" s="74">
        <v>45634</v>
      </c>
      <c r="C112" s="48" t="s">
        <v>509</v>
      </c>
      <c r="D112" s="48" t="s">
        <v>20</v>
      </c>
      <c r="E112" s="48" t="s">
        <v>552</v>
      </c>
      <c r="F112" s="48" t="s">
        <v>96</v>
      </c>
      <c r="G112" s="48" t="s">
        <v>24</v>
      </c>
      <c r="H112" s="48" t="s">
        <v>407</v>
      </c>
      <c r="I112" s="48" t="s">
        <v>26</v>
      </c>
      <c r="J112" s="48">
        <v>1020100</v>
      </c>
      <c r="K112" s="50">
        <v>108100</v>
      </c>
      <c r="L112" s="50">
        <v>1</v>
      </c>
      <c r="M112" s="50">
        <v>108100</v>
      </c>
      <c r="N112" s="50">
        <v>108100</v>
      </c>
      <c r="O112" s="50">
        <v>0</v>
      </c>
      <c r="P112" s="50">
        <v>0</v>
      </c>
      <c r="Q112" s="87">
        <v>0</v>
      </c>
      <c r="R112" s="152">
        <v>0</v>
      </c>
      <c r="S112" s="174"/>
      <c r="T112" s="74">
        <v>45716</v>
      </c>
      <c r="U112" s="74">
        <v>45716</v>
      </c>
      <c r="V112" s="48"/>
      <c r="W112" s="48"/>
      <c r="X112" s="48"/>
      <c r="Y112" s="48">
        <v>0</v>
      </c>
      <c r="Z112" s="48"/>
      <c r="AA112" s="48" t="s">
        <v>95</v>
      </c>
      <c r="AB112" s="48" t="s">
        <v>27</v>
      </c>
      <c r="AC112" s="48" t="s">
        <v>311</v>
      </c>
      <c r="AD112" s="89" t="s">
        <v>845</v>
      </c>
    </row>
    <row r="113" spans="1:30" ht="15.75" hidden="1" x14ac:dyDescent="0.25">
      <c r="A113" s="48" t="s">
        <v>3785</v>
      </c>
      <c r="B113" s="74">
        <v>46042</v>
      </c>
      <c r="C113" s="48" t="s">
        <v>1259</v>
      </c>
      <c r="D113" s="48" t="s">
        <v>20</v>
      </c>
      <c r="E113" s="48" t="s">
        <v>3716</v>
      </c>
      <c r="F113" s="48" t="s">
        <v>96</v>
      </c>
      <c r="G113" s="48" t="s">
        <v>1791</v>
      </c>
      <c r="H113" s="48" t="s">
        <v>328</v>
      </c>
      <c r="I113" s="48" t="s">
        <v>26</v>
      </c>
      <c r="J113" s="48">
        <v>1020097</v>
      </c>
      <c r="K113" s="50">
        <v>400000</v>
      </c>
      <c r="L113" s="50">
        <v>1</v>
      </c>
      <c r="M113" s="50">
        <v>400000</v>
      </c>
      <c r="N113" s="50">
        <v>0</v>
      </c>
      <c r="O113" s="50">
        <v>400000</v>
      </c>
      <c r="P113" s="50">
        <v>0</v>
      </c>
      <c r="Q113" s="87">
        <v>400000</v>
      </c>
      <c r="R113" s="152">
        <v>0</v>
      </c>
      <c r="S113" s="174"/>
      <c r="T113" s="74">
        <v>46173</v>
      </c>
      <c r="U113" s="74">
        <v>46163</v>
      </c>
      <c r="V113" s="48"/>
      <c r="W113" s="48"/>
      <c r="X113" s="48"/>
      <c r="Y113" s="48">
        <v>0</v>
      </c>
      <c r="Z113" s="48"/>
      <c r="AA113" s="48" t="s">
        <v>95</v>
      </c>
      <c r="AB113" s="48" t="s">
        <v>27</v>
      </c>
      <c r="AC113" s="48" t="s">
        <v>3729</v>
      </c>
      <c r="AD113" s="89" t="s">
        <v>1026</v>
      </c>
    </row>
    <row r="114" spans="1:30" ht="15.75" hidden="1" x14ac:dyDescent="0.25">
      <c r="A114" s="48" t="s">
        <v>1619</v>
      </c>
      <c r="B114" s="74">
        <v>45866</v>
      </c>
      <c r="C114" s="48" t="s">
        <v>441</v>
      </c>
      <c r="D114" s="48" t="s">
        <v>20</v>
      </c>
      <c r="E114" s="48" t="s">
        <v>1570</v>
      </c>
      <c r="F114" s="48" t="s">
        <v>96</v>
      </c>
      <c r="G114" s="48" t="s">
        <v>24</v>
      </c>
      <c r="H114" s="48" t="s">
        <v>407</v>
      </c>
      <c r="I114" s="48" t="s">
        <v>26</v>
      </c>
      <c r="J114" s="48">
        <v>1020100</v>
      </c>
      <c r="K114" s="50">
        <v>151075.5</v>
      </c>
      <c r="L114" s="50">
        <v>1</v>
      </c>
      <c r="M114" s="50">
        <v>151075.5</v>
      </c>
      <c r="N114" s="50">
        <v>0</v>
      </c>
      <c r="O114" s="50">
        <v>151075.5</v>
      </c>
      <c r="P114" s="50">
        <v>0</v>
      </c>
      <c r="Q114" s="87">
        <v>151075.5</v>
      </c>
      <c r="R114" s="152">
        <v>0</v>
      </c>
      <c r="S114" s="174"/>
      <c r="T114" s="74">
        <v>46022</v>
      </c>
      <c r="U114" s="74">
        <v>46022</v>
      </c>
      <c r="V114" s="48"/>
      <c r="W114" s="48"/>
      <c r="X114" s="48"/>
      <c r="Y114" s="48">
        <v>0</v>
      </c>
      <c r="Z114" s="48"/>
      <c r="AA114" s="48" t="s">
        <v>95</v>
      </c>
      <c r="AB114" s="48" t="s">
        <v>27</v>
      </c>
      <c r="AC114" s="48" t="s">
        <v>621</v>
      </c>
      <c r="AD114" s="89" t="s">
        <v>845</v>
      </c>
    </row>
    <row r="115" spans="1:30" ht="15.75" hidden="1" x14ac:dyDescent="0.25">
      <c r="A115" s="48" t="s">
        <v>1770</v>
      </c>
      <c r="B115" s="74">
        <v>45887</v>
      </c>
      <c r="C115" s="48" t="s">
        <v>441</v>
      </c>
      <c r="D115" s="48" t="s">
        <v>20</v>
      </c>
      <c r="E115" s="48" t="s">
        <v>1570</v>
      </c>
      <c r="F115" s="48" t="s">
        <v>710</v>
      </c>
      <c r="G115" s="48" t="s">
        <v>24</v>
      </c>
      <c r="H115" s="48" t="s">
        <v>710</v>
      </c>
      <c r="I115" s="48" t="s">
        <v>26</v>
      </c>
      <c r="J115" s="48">
        <v>1020088</v>
      </c>
      <c r="K115" s="50">
        <v>300000</v>
      </c>
      <c r="L115" s="50">
        <v>1</v>
      </c>
      <c r="M115" s="50">
        <v>300000</v>
      </c>
      <c r="N115" s="50">
        <v>0</v>
      </c>
      <c r="O115" s="50">
        <v>300000</v>
      </c>
      <c r="P115" s="50">
        <v>0</v>
      </c>
      <c r="Q115" s="87">
        <v>300000</v>
      </c>
      <c r="R115" s="152">
        <v>0</v>
      </c>
      <c r="S115" s="174"/>
      <c r="T115" s="74">
        <v>45991</v>
      </c>
      <c r="U115" s="74">
        <v>45991</v>
      </c>
      <c r="V115" s="48"/>
      <c r="W115" s="48"/>
      <c r="X115" s="48"/>
      <c r="Y115" s="48">
        <v>0</v>
      </c>
      <c r="Z115" s="48"/>
      <c r="AA115" s="48" t="s">
        <v>366</v>
      </c>
      <c r="AB115" s="48" t="s">
        <v>27</v>
      </c>
      <c r="AC115" s="48" t="s">
        <v>621</v>
      </c>
      <c r="AD115" s="89" t="s">
        <v>845</v>
      </c>
    </row>
    <row r="116" spans="1:30" ht="15.75" hidden="1" x14ac:dyDescent="0.25">
      <c r="A116" s="48" t="s">
        <v>1398</v>
      </c>
      <c r="B116" s="74">
        <v>45804</v>
      </c>
      <c r="C116" s="48" t="s">
        <v>441</v>
      </c>
      <c r="D116" s="48" t="s">
        <v>20</v>
      </c>
      <c r="E116" s="48" t="s">
        <v>1389</v>
      </c>
      <c r="F116" s="48" t="s">
        <v>613</v>
      </c>
      <c r="G116" s="48" t="s">
        <v>24</v>
      </c>
      <c r="H116" s="48" t="s">
        <v>613</v>
      </c>
      <c r="I116" s="48" t="s">
        <v>26</v>
      </c>
      <c r="J116" s="48">
        <v>1020106</v>
      </c>
      <c r="K116" s="50">
        <v>108757.8</v>
      </c>
      <c r="L116" s="50">
        <v>1</v>
      </c>
      <c r="M116" s="50">
        <v>108757.8</v>
      </c>
      <c r="N116" s="50">
        <v>108757.8</v>
      </c>
      <c r="O116" s="50">
        <v>0</v>
      </c>
      <c r="P116" s="50">
        <v>0</v>
      </c>
      <c r="Q116" s="87">
        <v>0</v>
      </c>
      <c r="R116" s="152">
        <v>0</v>
      </c>
      <c r="S116" s="174"/>
      <c r="T116" s="74">
        <v>45900</v>
      </c>
      <c r="U116" s="74">
        <v>45900</v>
      </c>
      <c r="V116" s="48"/>
      <c r="W116" s="48"/>
      <c r="X116" s="48"/>
      <c r="Y116" s="48">
        <v>0</v>
      </c>
      <c r="Z116" s="48"/>
      <c r="AA116" s="48" t="s">
        <v>612</v>
      </c>
      <c r="AB116" s="48" t="s">
        <v>27</v>
      </c>
      <c r="AC116" s="48" t="s">
        <v>311</v>
      </c>
      <c r="AD116" s="89" t="s">
        <v>845</v>
      </c>
    </row>
    <row r="117" spans="1:30" ht="15.75" hidden="1" x14ac:dyDescent="0.25">
      <c r="A117" s="48" t="s">
        <v>3568</v>
      </c>
      <c r="B117" s="74">
        <v>46033</v>
      </c>
      <c r="C117" s="48" t="s">
        <v>441</v>
      </c>
      <c r="D117" s="48" t="s">
        <v>20</v>
      </c>
      <c r="E117" s="48" t="s">
        <v>3332</v>
      </c>
      <c r="F117" s="48" t="s">
        <v>613</v>
      </c>
      <c r="G117" s="48" t="s">
        <v>24</v>
      </c>
      <c r="H117" s="48" t="s">
        <v>613</v>
      </c>
      <c r="I117" s="48" t="s">
        <v>26</v>
      </c>
      <c r="J117" s="48">
        <v>1020106</v>
      </c>
      <c r="K117" s="50">
        <v>209875</v>
      </c>
      <c r="L117" s="50">
        <v>1</v>
      </c>
      <c r="M117" s="50">
        <v>209875</v>
      </c>
      <c r="N117" s="50">
        <v>209875</v>
      </c>
      <c r="O117" s="50">
        <v>0</v>
      </c>
      <c r="P117" s="50">
        <v>0</v>
      </c>
      <c r="Q117" s="87">
        <v>0</v>
      </c>
      <c r="R117" s="152">
        <v>0</v>
      </c>
      <c r="S117" s="174"/>
      <c r="T117" s="74">
        <v>46112</v>
      </c>
      <c r="U117" s="74">
        <v>46112</v>
      </c>
      <c r="V117" s="48"/>
      <c r="W117" s="48"/>
      <c r="X117" s="48"/>
      <c r="Y117" s="48">
        <v>0</v>
      </c>
      <c r="Z117" s="48"/>
      <c r="AA117" s="48" t="s">
        <v>612</v>
      </c>
      <c r="AB117" s="48" t="s">
        <v>27</v>
      </c>
      <c r="AC117" s="48" t="s">
        <v>1904</v>
      </c>
      <c r="AD117" s="89" t="s">
        <v>845</v>
      </c>
    </row>
    <row r="118" spans="1:30" ht="15.75" hidden="1" x14ac:dyDescent="0.25">
      <c r="A118" s="48" t="s">
        <v>1608</v>
      </c>
      <c r="B118" s="74">
        <v>45862</v>
      </c>
      <c r="C118" s="48" t="s">
        <v>441</v>
      </c>
      <c r="D118" s="48" t="s">
        <v>20</v>
      </c>
      <c r="E118" s="48" t="s">
        <v>1579</v>
      </c>
      <c r="F118" s="48" t="s">
        <v>710</v>
      </c>
      <c r="G118" s="48" t="s">
        <v>24</v>
      </c>
      <c r="H118" s="48" t="s">
        <v>710</v>
      </c>
      <c r="I118" s="48" t="s">
        <v>26</v>
      </c>
      <c r="J118" s="48">
        <v>1020088</v>
      </c>
      <c r="K118" s="50">
        <v>200000</v>
      </c>
      <c r="L118" s="50">
        <v>1</v>
      </c>
      <c r="M118" s="50">
        <v>200000</v>
      </c>
      <c r="N118" s="50">
        <v>200000</v>
      </c>
      <c r="O118" s="50">
        <v>0</v>
      </c>
      <c r="P118" s="50">
        <v>0</v>
      </c>
      <c r="Q118" s="87">
        <v>0</v>
      </c>
      <c r="R118" s="152">
        <v>0</v>
      </c>
      <c r="S118" s="174"/>
      <c r="T118" s="74">
        <v>45961</v>
      </c>
      <c r="U118" s="74">
        <v>45961</v>
      </c>
      <c r="V118" s="48"/>
      <c r="W118" s="48"/>
      <c r="X118" s="48"/>
      <c r="Y118" s="48">
        <v>0</v>
      </c>
      <c r="Z118" s="48"/>
      <c r="AA118" s="48" t="s">
        <v>366</v>
      </c>
      <c r="AB118" s="48" t="s">
        <v>27</v>
      </c>
      <c r="AC118" s="48" t="s">
        <v>621</v>
      </c>
      <c r="AD118" s="89" t="s">
        <v>845</v>
      </c>
    </row>
    <row r="119" spans="1:30" ht="15.75" hidden="1" x14ac:dyDescent="0.25">
      <c r="A119" s="48" t="s">
        <v>719</v>
      </c>
      <c r="B119" s="74">
        <v>45715</v>
      </c>
      <c r="C119" s="48" t="s">
        <v>441</v>
      </c>
      <c r="D119" s="48" t="s">
        <v>20</v>
      </c>
      <c r="E119" s="48" t="s">
        <v>720</v>
      </c>
      <c r="F119" s="48" t="s">
        <v>613</v>
      </c>
      <c r="G119" s="48" t="s">
        <v>24</v>
      </c>
      <c r="H119" s="48" t="s">
        <v>613</v>
      </c>
      <c r="I119" s="48" t="s">
        <v>26</v>
      </c>
      <c r="J119" s="48">
        <v>1020106</v>
      </c>
      <c r="K119" s="50">
        <v>316864.68</v>
      </c>
      <c r="L119" s="50">
        <v>1</v>
      </c>
      <c r="M119" s="50">
        <v>316864.68</v>
      </c>
      <c r="N119" s="50">
        <v>316864.68</v>
      </c>
      <c r="O119" s="50">
        <v>0</v>
      </c>
      <c r="P119" s="50">
        <v>0</v>
      </c>
      <c r="Q119" s="87">
        <v>0</v>
      </c>
      <c r="R119" s="152">
        <v>0</v>
      </c>
      <c r="S119" s="174"/>
      <c r="T119" s="74">
        <v>45930</v>
      </c>
      <c r="U119" s="74">
        <v>45930</v>
      </c>
      <c r="V119" s="48"/>
      <c r="W119" s="48"/>
      <c r="X119" s="48"/>
      <c r="Y119" s="48">
        <v>0</v>
      </c>
      <c r="Z119" s="48" t="s">
        <v>1913</v>
      </c>
      <c r="AA119" s="48" t="s">
        <v>612</v>
      </c>
      <c r="AB119" s="48" t="s">
        <v>27</v>
      </c>
      <c r="AC119" s="48" t="s">
        <v>311</v>
      </c>
      <c r="AD119" s="89" t="s">
        <v>845</v>
      </c>
    </row>
    <row r="120" spans="1:30" ht="15.75" hidden="1" x14ac:dyDescent="0.25">
      <c r="A120" s="48" t="s">
        <v>450</v>
      </c>
      <c r="B120" s="74">
        <v>45616</v>
      </c>
      <c r="C120" s="48" t="s">
        <v>441</v>
      </c>
      <c r="D120" s="48" t="s">
        <v>20</v>
      </c>
      <c r="E120" s="48" t="s">
        <v>451</v>
      </c>
      <c r="F120" s="48" t="s">
        <v>96</v>
      </c>
      <c r="G120" s="48" t="s">
        <v>24</v>
      </c>
      <c r="H120" s="48" t="s">
        <v>22</v>
      </c>
      <c r="I120" s="48" t="s">
        <v>26</v>
      </c>
      <c r="J120" s="48">
        <v>1020055</v>
      </c>
      <c r="K120" s="50">
        <v>491845.28749999998</v>
      </c>
      <c r="L120" s="50">
        <v>1</v>
      </c>
      <c r="M120" s="50">
        <v>491845.28749999998</v>
      </c>
      <c r="N120" s="50">
        <v>491845.29</v>
      </c>
      <c r="O120" s="50">
        <v>0</v>
      </c>
      <c r="P120" s="50">
        <v>0</v>
      </c>
      <c r="Q120" s="87">
        <v>0</v>
      </c>
      <c r="R120" s="152">
        <v>0</v>
      </c>
      <c r="S120" s="174"/>
      <c r="T120" s="74">
        <v>45716</v>
      </c>
      <c r="U120" s="74">
        <v>45692</v>
      </c>
      <c r="V120" s="48"/>
      <c r="W120" s="48"/>
      <c r="X120" s="48"/>
      <c r="Y120" s="48">
        <v>0</v>
      </c>
      <c r="Z120" s="48"/>
      <c r="AA120" s="48" t="s">
        <v>95</v>
      </c>
      <c r="AB120" s="48" t="s">
        <v>27</v>
      </c>
      <c r="AC120" s="48" t="s">
        <v>311</v>
      </c>
      <c r="AD120" s="89" t="s">
        <v>845</v>
      </c>
    </row>
    <row r="121" spans="1:30" ht="15.75" hidden="1" x14ac:dyDescent="0.25">
      <c r="A121" s="48" t="s">
        <v>573</v>
      </c>
      <c r="B121" s="74">
        <v>45641</v>
      </c>
      <c r="C121" s="48" t="s">
        <v>441</v>
      </c>
      <c r="D121" s="48" t="s">
        <v>20</v>
      </c>
      <c r="E121" s="48" t="s">
        <v>574</v>
      </c>
      <c r="F121" s="48" t="s">
        <v>483</v>
      </c>
      <c r="G121" s="48" t="s">
        <v>24</v>
      </c>
      <c r="H121" s="48" t="s">
        <v>22</v>
      </c>
      <c r="I121" s="48" t="s">
        <v>26</v>
      </c>
      <c r="J121" s="48">
        <v>1020055</v>
      </c>
      <c r="K121" s="50">
        <v>128535.5</v>
      </c>
      <c r="L121" s="50">
        <v>1</v>
      </c>
      <c r="M121" s="50">
        <v>128535.5</v>
      </c>
      <c r="N121" s="50">
        <v>128535.5</v>
      </c>
      <c r="O121" s="50">
        <v>0</v>
      </c>
      <c r="P121" s="50">
        <v>0</v>
      </c>
      <c r="Q121" s="87">
        <v>0</v>
      </c>
      <c r="R121" s="152">
        <v>0</v>
      </c>
      <c r="S121" s="174"/>
      <c r="T121" s="74">
        <v>45747</v>
      </c>
      <c r="U121" s="74">
        <v>45747</v>
      </c>
      <c r="V121" s="48"/>
      <c r="W121" s="48"/>
      <c r="X121" s="48"/>
      <c r="Y121" s="48">
        <v>0</v>
      </c>
      <c r="Z121" s="48"/>
      <c r="AA121" s="48" t="s">
        <v>373</v>
      </c>
      <c r="AB121" s="48" t="s">
        <v>27</v>
      </c>
      <c r="AC121" s="48" t="s">
        <v>311</v>
      </c>
      <c r="AD121" s="89" t="s">
        <v>845</v>
      </c>
    </row>
    <row r="122" spans="1:30" ht="15.75" hidden="1" x14ac:dyDescent="0.25">
      <c r="A122" s="48" t="s">
        <v>1287</v>
      </c>
      <c r="B122" s="74">
        <v>45785</v>
      </c>
      <c r="C122" s="48" t="s">
        <v>1259</v>
      </c>
      <c r="D122" s="48" t="s">
        <v>20</v>
      </c>
      <c r="E122" s="48" t="s">
        <v>1261</v>
      </c>
      <c r="F122" s="48" t="s">
        <v>70</v>
      </c>
      <c r="G122" s="48" t="s">
        <v>72</v>
      </c>
      <c r="H122" s="48" t="s">
        <v>328</v>
      </c>
      <c r="I122" s="48" t="s">
        <v>26</v>
      </c>
      <c r="J122" s="48">
        <v>1020097</v>
      </c>
      <c r="K122" s="50">
        <v>6439356</v>
      </c>
      <c r="L122" s="50">
        <v>1</v>
      </c>
      <c r="M122" s="50">
        <v>6439356</v>
      </c>
      <c r="N122" s="50">
        <v>6439356</v>
      </c>
      <c r="O122" s="50">
        <v>0</v>
      </c>
      <c r="P122" s="50">
        <v>0</v>
      </c>
      <c r="Q122" s="87">
        <v>0</v>
      </c>
      <c r="R122" s="152">
        <v>0</v>
      </c>
      <c r="S122" s="174"/>
      <c r="T122" s="74">
        <v>45900</v>
      </c>
      <c r="U122" s="74">
        <v>45900</v>
      </c>
      <c r="V122" s="48"/>
      <c r="W122" s="48"/>
      <c r="X122" s="48"/>
      <c r="Y122" s="48">
        <v>0</v>
      </c>
      <c r="Z122" s="48"/>
      <c r="AA122" s="48" t="s">
        <v>373</v>
      </c>
      <c r="AB122" s="48" t="s">
        <v>70</v>
      </c>
      <c r="AC122" s="48" t="s">
        <v>621</v>
      </c>
      <c r="AD122" s="89" t="s">
        <v>845</v>
      </c>
    </row>
    <row r="123" spans="1:30" ht="15.75" hidden="1" x14ac:dyDescent="0.25">
      <c r="A123" s="48" t="s">
        <v>1550</v>
      </c>
      <c r="B123" s="74">
        <v>45852</v>
      </c>
      <c r="C123" s="48" t="s">
        <v>1537</v>
      </c>
      <c r="D123" s="48" t="s">
        <v>20</v>
      </c>
      <c r="E123" s="48" t="s">
        <v>1261</v>
      </c>
      <c r="F123" s="48" t="s">
        <v>96</v>
      </c>
      <c r="G123" s="48" t="s">
        <v>72</v>
      </c>
      <c r="H123" s="48" t="s">
        <v>483</v>
      </c>
      <c r="I123" s="48" t="s">
        <v>26</v>
      </c>
      <c r="J123" s="48">
        <v>1020096</v>
      </c>
      <c r="K123" s="50">
        <v>17434337.5</v>
      </c>
      <c r="L123" s="50">
        <v>1</v>
      </c>
      <c r="M123" s="50">
        <v>17434337.5</v>
      </c>
      <c r="N123" s="50">
        <v>15816295</v>
      </c>
      <c r="O123" s="50">
        <v>1618042.5</v>
      </c>
      <c r="P123" s="50">
        <v>0</v>
      </c>
      <c r="Q123" s="87">
        <v>1618042.5</v>
      </c>
      <c r="R123" s="152">
        <v>0</v>
      </c>
      <c r="S123" s="174"/>
      <c r="T123" s="74">
        <v>46022</v>
      </c>
      <c r="U123" s="74">
        <v>45991</v>
      </c>
      <c r="V123" s="48"/>
      <c r="W123" s="48"/>
      <c r="X123" s="48"/>
      <c r="Y123" s="48">
        <v>0</v>
      </c>
      <c r="Z123" s="48"/>
      <c r="AA123" s="48" t="s">
        <v>95</v>
      </c>
      <c r="AB123" s="48" t="s">
        <v>27</v>
      </c>
      <c r="AC123" s="48" t="s">
        <v>311</v>
      </c>
      <c r="AD123" s="89" t="s">
        <v>845</v>
      </c>
    </row>
    <row r="124" spans="1:30" ht="15.75" hidden="1" x14ac:dyDescent="0.25">
      <c r="A124" s="48" t="s">
        <v>547</v>
      </c>
      <c r="B124" s="74">
        <v>45634</v>
      </c>
      <c r="C124" s="48" t="s">
        <v>509</v>
      </c>
      <c r="D124" s="48" t="s">
        <v>20</v>
      </c>
      <c r="E124" s="48" t="s">
        <v>548</v>
      </c>
      <c r="F124" s="48" t="s">
        <v>96</v>
      </c>
      <c r="G124" s="48" t="s">
        <v>24</v>
      </c>
      <c r="H124" s="48" t="s">
        <v>407</v>
      </c>
      <c r="I124" s="48" t="s">
        <v>26</v>
      </c>
      <c r="J124" s="48">
        <v>1020100</v>
      </c>
      <c r="K124" s="50">
        <v>169050</v>
      </c>
      <c r="L124" s="50">
        <v>1</v>
      </c>
      <c r="M124" s="50">
        <v>169050</v>
      </c>
      <c r="N124" s="50">
        <v>169050</v>
      </c>
      <c r="O124" s="50">
        <v>0</v>
      </c>
      <c r="P124" s="50">
        <v>0</v>
      </c>
      <c r="Q124" s="87">
        <v>0</v>
      </c>
      <c r="R124" s="152">
        <v>0</v>
      </c>
      <c r="S124" s="174"/>
      <c r="T124" s="74">
        <v>45716</v>
      </c>
      <c r="U124" s="74">
        <v>45716</v>
      </c>
      <c r="V124" s="48"/>
      <c r="W124" s="48"/>
      <c r="X124" s="48"/>
      <c r="Y124" s="48">
        <v>0</v>
      </c>
      <c r="Z124" s="48"/>
      <c r="AA124" s="48" t="s">
        <v>95</v>
      </c>
      <c r="AB124" s="48" t="s">
        <v>27</v>
      </c>
      <c r="AC124" s="48" t="s">
        <v>311</v>
      </c>
      <c r="AD124" s="89" t="s">
        <v>845</v>
      </c>
    </row>
    <row r="125" spans="1:30" ht="15.75" hidden="1" x14ac:dyDescent="0.25">
      <c r="A125" s="48" t="s">
        <v>343</v>
      </c>
      <c r="B125" s="74">
        <v>45533</v>
      </c>
      <c r="C125" s="48" t="s">
        <v>441</v>
      </c>
      <c r="D125" s="48" t="s">
        <v>20</v>
      </c>
      <c r="E125" s="48" t="s">
        <v>344</v>
      </c>
      <c r="F125" s="48" t="s">
        <v>96</v>
      </c>
      <c r="G125" s="48" t="s">
        <v>24</v>
      </c>
      <c r="H125" s="48" t="s">
        <v>22</v>
      </c>
      <c r="I125" s="48" t="s">
        <v>26</v>
      </c>
      <c r="J125" s="48">
        <v>1020055</v>
      </c>
      <c r="K125" s="50">
        <v>883722.5</v>
      </c>
      <c r="L125" s="50">
        <v>1</v>
      </c>
      <c r="M125" s="50">
        <v>883722.5</v>
      </c>
      <c r="N125" s="50">
        <v>883722.5</v>
      </c>
      <c r="O125" s="50">
        <v>0</v>
      </c>
      <c r="P125" s="50">
        <v>0</v>
      </c>
      <c r="Q125" s="87">
        <v>0</v>
      </c>
      <c r="R125" s="152">
        <v>0</v>
      </c>
      <c r="S125" s="174"/>
      <c r="T125" s="74">
        <v>45626</v>
      </c>
      <c r="U125" s="74">
        <v>45626</v>
      </c>
      <c r="V125" s="48"/>
      <c r="W125" s="48"/>
      <c r="X125" s="48"/>
      <c r="Y125" s="48">
        <v>0</v>
      </c>
      <c r="Z125" s="48"/>
      <c r="AA125" s="48" t="s">
        <v>95</v>
      </c>
      <c r="AB125" s="48" t="s">
        <v>27</v>
      </c>
      <c r="AC125" s="48"/>
      <c r="AD125" s="89" t="s">
        <v>845</v>
      </c>
    </row>
    <row r="126" spans="1:30" ht="15.75" hidden="1" x14ac:dyDescent="0.25">
      <c r="A126" s="48" t="s">
        <v>606</v>
      </c>
      <c r="B126" s="74">
        <v>45664</v>
      </c>
      <c r="C126" s="48" t="s">
        <v>441</v>
      </c>
      <c r="D126" s="48" t="s">
        <v>20</v>
      </c>
      <c r="E126" s="48" t="s">
        <v>607</v>
      </c>
      <c r="F126" s="48" t="s">
        <v>63</v>
      </c>
      <c r="G126" s="48" t="s">
        <v>24</v>
      </c>
      <c r="H126" s="48" t="s">
        <v>22</v>
      </c>
      <c r="I126" s="48" t="s">
        <v>26</v>
      </c>
      <c r="J126" s="48">
        <v>1020055</v>
      </c>
      <c r="K126" s="50">
        <v>436052.14</v>
      </c>
      <c r="L126" s="50">
        <v>1</v>
      </c>
      <c r="M126" s="50">
        <v>436052.14</v>
      </c>
      <c r="N126" s="50">
        <v>436052.14</v>
      </c>
      <c r="O126" s="50">
        <v>0</v>
      </c>
      <c r="P126" s="50">
        <v>0</v>
      </c>
      <c r="Q126" s="87">
        <v>0</v>
      </c>
      <c r="R126" s="152">
        <v>0</v>
      </c>
      <c r="S126" s="174"/>
      <c r="T126" s="74">
        <v>45747</v>
      </c>
      <c r="U126" s="74">
        <v>45747</v>
      </c>
      <c r="V126" s="48"/>
      <c r="W126" s="48"/>
      <c r="X126" s="48"/>
      <c r="Y126" s="48">
        <v>0</v>
      </c>
      <c r="Z126" s="48"/>
      <c r="AA126" s="48" t="s">
        <v>373</v>
      </c>
      <c r="AB126" s="48" t="s">
        <v>27</v>
      </c>
      <c r="AC126" s="48" t="s">
        <v>311</v>
      </c>
      <c r="AD126" s="89" t="s">
        <v>845</v>
      </c>
    </row>
    <row r="127" spans="1:30" ht="15.75" hidden="1" x14ac:dyDescent="0.25">
      <c r="A127" s="48" t="s">
        <v>763</v>
      </c>
      <c r="B127" s="74">
        <v>45734</v>
      </c>
      <c r="C127" s="48" t="s">
        <v>509</v>
      </c>
      <c r="D127" s="48" t="s">
        <v>20</v>
      </c>
      <c r="E127" s="48" t="s">
        <v>764</v>
      </c>
      <c r="F127" s="48" t="s">
        <v>22</v>
      </c>
      <c r="G127" s="48" t="s">
        <v>24</v>
      </c>
      <c r="H127" s="48" t="s">
        <v>407</v>
      </c>
      <c r="I127" s="48" t="s">
        <v>26</v>
      </c>
      <c r="J127" s="48">
        <v>1020100</v>
      </c>
      <c r="K127" s="50">
        <v>500000</v>
      </c>
      <c r="L127" s="50">
        <v>1</v>
      </c>
      <c r="M127" s="50">
        <v>500000</v>
      </c>
      <c r="N127" s="50">
        <v>500000</v>
      </c>
      <c r="O127" s="50">
        <v>0</v>
      </c>
      <c r="P127" s="50">
        <v>0</v>
      </c>
      <c r="Q127" s="87">
        <v>0</v>
      </c>
      <c r="R127" s="152">
        <v>0</v>
      </c>
      <c r="S127" s="174"/>
      <c r="T127" s="74">
        <v>45838</v>
      </c>
      <c r="U127" s="74">
        <v>45838</v>
      </c>
      <c r="V127" s="48"/>
      <c r="W127" s="48"/>
      <c r="X127" s="48"/>
      <c r="Y127" s="48">
        <v>0</v>
      </c>
      <c r="Z127" s="48"/>
      <c r="AA127" s="48" t="s">
        <v>21</v>
      </c>
      <c r="AB127" s="48" t="s">
        <v>27</v>
      </c>
      <c r="AC127" s="48" t="s">
        <v>311</v>
      </c>
      <c r="AD127" s="89" t="s">
        <v>845</v>
      </c>
    </row>
    <row r="128" spans="1:30" ht="15.75" hidden="1" x14ac:dyDescent="0.25">
      <c r="A128" s="48" t="s">
        <v>1172</v>
      </c>
      <c r="B128" s="74">
        <v>45757</v>
      </c>
      <c r="C128" s="48" t="s">
        <v>441</v>
      </c>
      <c r="D128" s="48" t="s">
        <v>20</v>
      </c>
      <c r="E128" s="48" t="s">
        <v>764</v>
      </c>
      <c r="F128" s="48" t="s">
        <v>710</v>
      </c>
      <c r="G128" s="48" t="s">
        <v>24</v>
      </c>
      <c r="H128" s="48" t="s">
        <v>710</v>
      </c>
      <c r="I128" s="48" t="s">
        <v>26</v>
      </c>
      <c r="J128" s="48">
        <v>1020088</v>
      </c>
      <c r="K128" s="50">
        <v>600000</v>
      </c>
      <c r="L128" s="50">
        <v>1</v>
      </c>
      <c r="M128" s="50">
        <v>600000</v>
      </c>
      <c r="N128" s="50">
        <v>600000</v>
      </c>
      <c r="O128" s="50">
        <v>0</v>
      </c>
      <c r="P128" s="50">
        <v>0</v>
      </c>
      <c r="Q128" s="87">
        <v>0</v>
      </c>
      <c r="R128" s="152">
        <v>0</v>
      </c>
      <c r="S128" s="174"/>
      <c r="T128" s="74">
        <v>45838</v>
      </c>
      <c r="U128" s="74">
        <v>45838</v>
      </c>
      <c r="V128" s="48"/>
      <c r="W128" s="48"/>
      <c r="X128" s="48"/>
      <c r="Y128" s="48">
        <v>0</v>
      </c>
      <c r="Z128" s="48"/>
      <c r="AA128" s="48" t="s">
        <v>366</v>
      </c>
      <c r="AB128" s="48" t="s">
        <v>27</v>
      </c>
      <c r="AC128" s="48" t="s">
        <v>311</v>
      </c>
      <c r="AD128" s="89" t="s">
        <v>845</v>
      </c>
    </row>
    <row r="129" spans="1:30" ht="15.75" hidden="1" x14ac:dyDescent="0.25">
      <c r="A129" s="48" t="s">
        <v>1352</v>
      </c>
      <c r="B129" s="74">
        <v>45792</v>
      </c>
      <c r="C129" s="48" t="s">
        <v>441</v>
      </c>
      <c r="D129" s="48" t="s">
        <v>20</v>
      </c>
      <c r="E129" s="48" t="s">
        <v>764</v>
      </c>
      <c r="F129" s="48" t="s">
        <v>22</v>
      </c>
      <c r="G129" s="48" t="s">
        <v>24</v>
      </c>
      <c r="H129" s="48" t="s">
        <v>22</v>
      </c>
      <c r="I129" s="48" t="s">
        <v>26</v>
      </c>
      <c r="J129" s="48">
        <v>1020055</v>
      </c>
      <c r="K129" s="50">
        <v>382850</v>
      </c>
      <c r="L129" s="50">
        <v>1</v>
      </c>
      <c r="M129" s="50">
        <v>382850</v>
      </c>
      <c r="N129" s="50">
        <v>382850</v>
      </c>
      <c r="O129" s="50">
        <v>0</v>
      </c>
      <c r="P129" s="50">
        <v>0</v>
      </c>
      <c r="Q129" s="87">
        <v>0</v>
      </c>
      <c r="R129" s="152">
        <v>0</v>
      </c>
      <c r="S129" s="174"/>
      <c r="T129" s="74">
        <v>45900</v>
      </c>
      <c r="U129" s="74">
        <v>45900</v>
      </c>
      <c r="V129" s="48"/>
      <c r="W129" s="48"/>
      <c r="X129" s="48"/>
      <c r="Y129" s="48">
        <v>0</v>
      </c>
      <c r="Z129" s="48"/>
      <c r="AA129" s="48" t="s">
        <v>21</v>
      </c>
      <c r="AB129" s="48" t="s">
        <v>27</v>
      </c>
      <c r="AC129" s="48" t="s">
        <v>621</v>
      </c>
      <c r="AD129" s="89" t="s">
        <v>845</v>
      </c>
    </row>
    <row r="130" spans="1:30" ht="15.75" hidden="1" x14ac:dyDescent="0.25">
      <c r="A130" s="48" t="s">
        <v>4274</v>
      </c>
      <c r="B130" s="74">
        <v>46089</v>
      </c>
      <c r="C130" s="48" t="s">
        <v>1259</v>
      </c>
      <c r="D130" s="48" t="s">
        <v>20</v>
      </c>
      <c r="E130" s="48" t="s">
        <v>4097</v>
      </c>
      <c r="F130" s="48" t="s">
        <v>96</v>
      </c>
      <c r="G130" s="48" t="s">
        <v>1791</v>
      </c>
      <c r="H130" s="48" t="s">
        <v>328</v>
      </c>
      <c r="I130" s="48" t="s">
        <v>26</v>
      </c>
      <c r="J130" s="48">
        <v>1020097</v>
      </c>
      <c r="K130" s="50">
        <v>500000</v>
      </c>
      <c r="L130" s="50">
        <v>1</v>
      </c>
      <c r="M130" s="50">
        <v>500000</v>
      </c>
      <c r="N130" s="50">
        <v>0</v>
      </c>
      <c r="O130" s="50">
        <v>500000</v>
      </c>
      <c r="P130" s="50">
        <v>0</v>
      </c>
      <c r="Q130" s="87">
        <v>500000</v>
      </c>
      <c r="R130" s="152">
        <v>0</v>
      </c>
      <c r="S130" s="174"/>
      <c r="T130" s="74">
        <v>46127</v>
      </c>
      <c r="U130" s="74">
        <v>46111</v>
      </c>
      <c r="V130" s="48"/>
      <c r="W130" s="48"/>
      <c r="X130" s="48"/>
      <c r="Y130" s="48">
        <v>0</v>
      </c>
      <c r="Z130" s="48"/>
      <c r="AA130" s="48" t="s">
        <v>95</v>
      </c>
      <c r="AB130" s="48" t="s">
        <v>27</v>
      </c>
      <c r="AC130" s="48" t="s">
        <v>1882</v>
      </c>
      <c r="AD130" s="89" t="s">
        <v>845</v>
      </c>
    </row>
    <row r="131" spans="1:30" ht="15.75" hidden="1" x14ac:dyDescent="0.25">
      <c r="A131" s="48" t="s">
        <v>162</v>
      </c>
      <c r="B131" s="74">
        <v>45125</v>
      </c>
      <c r="C131" s="48" t="s">
        <v>441</v>
      </c>
      <c r="D131" s="48" t="s">
        <v>20</v>
      </c>
      <c r="E131" s="48" t="s">
        <v>163</v>
      </c>
      <c r="F131" s="48" t="s">
        <v>22</v>
      </c>
      <c r="G131" s="48" t="s">
        <v>24</v>
      </c>
      <c r="H131" s="48" t="s">
        <v>22</v>
      </c>
      <c r="I131" s="48" t="s">
        <v>26</v>
      </c>
      <c r="J131" s="48">
        <v>1020055</v>
      </c>
      <c r="K131" s="50">
        <v>1030466.4</v>
      </c>
      <c r="L131" s="50">
        <v>1</v>
      </c>
      <c r="M131" s="50">
        <v>1030466.4</v>
      </c>
      <c r="N131" s="50">
        <v>1030466.4</v>
      </c>
      <c r="O131" s="50">
        <v>0</v>
      </c>
      <c r="P131" s="50">
        <v>0</v>
      </c>
      <c r="Q131" s="87">
        <v>0</v>
      </c>
      <c r="R131" s="152">
        <v>0</v>
      </c>
      <c r="S131" s="174"/>
      <c r="T131" s="74">
        <v>45260</v>
      </c>
      <c r="U131" s="74">
        <v>45260</v>
      </c>
      <c r="V131" s="48"/>
      <c r="W131" s="48"/>
      <c r="X131" s="48"/>
      <c r="Y131" s="48">
        <v>0</v>
      </c>
      <c r="Z131" s="48"/>
      <c r="AA131" s="48" t="s">
        <v>21</v>
      </c>
      <c r="AB131" s="48" t="s">
        <v>27</v>
      </c>
      <c r="AC131" s="48"/>
      <c r="AD131" s="89" t="s">
        <v>845</v>
      </c>
    </row>
    <row r="132" spans="1:30" ht="15.75" hidden="1" x14ac:dyDescent="0.25">
      <c r="A132" s="48" t="s">
        <v>164</v>
      </c>
      <c r="B132" s="74">
        <v>45167</v>
      </c>
      <c r="C132" s="48" t="s">
        <v>441</v>
      </c>
      <c r="D132" s="48" t="s">
        <v>20</v>
      </c>
      <c r="E132" s="48" t="s">
        <v>163</v>
      </c>
      <c r="F132" s="48" t="s">
        <v>22</v>
      </c>
      <c r="G132" s="48" t="s">
        <v>24</v>
      </c>
      <c r="H132" s="48" t="s">
        <v>22</v>
      </c>
      <c r="I132" s="48" t="s">
        <v>26</v>
      </c>
      <c r="J132" s="48">
        <v>1020055</v>
      </c>
      <c r="K132" s="50">
        <v>1223678.6599999999</v>
      </c>
      <c r="L132" s="50">
        <v>1</v>
      </c>
      <c r="M132" s="50">
        <v>1223678.6599999999</v>
      </c>
      <c r="N132" s="50">
        <v>1223678.6599999999</v>
      </c>
      <c r="O132" s="50">
        <v>0</v>
      </c>
      <c r="P132" s="50">
        <v>0</v>
      </c>
      <c r="Q132" s="87">
        <v>0</v>
      </c>
      <c r="R132" s="152">
        <v>0</v>
      </c>
      <c r="S132" s="174"/>
      <c r="T132" s="74">
        <v>45260</v>
      </c>
      <c r="U132" s="74">
        <v>45260</v>
      </c>
      <c r="V132" s="48"/>
      <c r="W132" s="48"/>
      <c r="X132" s="48"/>
      <c r="Y132" s="48">
        <v>0</v>
      </c>
      <c r="Z132" s="48"/>
      <c r="AA132" s="48" t="s">
        <v>21</v>
      </c>
      <c r="AB132" s="48" t="s">
        <v>27</v>
      </c>
      <c r="AC132" s="48" t="s">
        <v>35</v>
      </c>
      <c r="AD132" s="89" t="s">
        <v>845</v>
      </c>
    </row>
    <row r="133" spans="1:30" ht="15.75" hidden="1" x14ac:dyDescent="0.25">
      <c r="A133" s="48" t="s">
        <v>1668</v>
      </c>
      <c r="B133" s="74">
        <v>45872</v>
      </c>
      <c r="C133" s="48" t="s">
        <v>441</v>
      </c>
      <c r="D133" s="48" t="s">
        <v>20</v>
      </c>
      <c r="E133" s="48" t="s">
        <v>1594</v>
      </c>
      <c r="F133" s="48" t="s">
        <v>22</v>
      </c>
      <c r="G133" s="48" t="s">
        <v>24</v>
      </c>
      <c r="H133" s="48" t="s">
        <v>22</v>
      </c>
      <c r="I133" s="48" t="s">
        <v>26</v>
      </c>
      <c r="J133" s="48">
        <v>1020055</v>
      </c>
      <c r="K133" s="50">
        <v>150000</v>
      </c>
      <c r="L133" s="50">
        <v>1</v>
      </c>
      <c r="M133" s="50">
        <v>150000</v>
      </c>
      <c r="N133" s="50">
        <v>150000</v>
      </c>
      <c r="O133" s="50">
        <v>0</v>
      </c>
      <c r="P133" s="50">
        <v>0</v>
      </c>
      <c r="Q133" s="87">
        <v>0</v>
      </c>
      <c r="R133" s="152">
        <v>0</v>
      </c>
      <c r="S133" s="174"/>
      <c r="T133" s="74">
        <v>45961</v>
      </c>
      <c r="U133" s="74">
        <v>45961</v>
      </c>
      <c r="V133" s="48"/>
      <c r="W133" s="48"/>
      <c r="X133" s="48"/>
      <c r="Y133" s="48">
        <v>0</v>
      </c>
      <c r="Z133" s="48"/>
      <c r="AA133" s="48" t="s">
        <v>21</v>
      </c>
      <c r="AB133" s="48" t="s">
        <v>27</v>
      </c>
      <c r="AC133" s="48" t="s">
        <v>621</v>
      </c>
      <c r="AD133" s="89" t="s">
        <v>845</v>
      </c>
    </row>
    <row r="134" spans="1:30" ht="15.75" hidden="1" x14ac:dyDescent="0.25">
      <c r="A134" s="48" t="s">
        <v>33</v>
      </c>
      <c r="B134" s="74">
        <v>45147</v>
      </c>
      <c r="C134" s="48" t="s">
        <v>441</v>
      </c>
      <c r="D134" s="48" t="s">
        <v>20</v>
      </c>
      <c r="E134" s="48" t="s">
        <v>34</v>
      </c>
      <c r="F134" s="48" t="s">
        <v>22</v>
      </c>
      <c r="G134" s="48" t="s">
        <v>24</v>
      </c>
      <c r="H134" s="48" t="s">
        <v>22</v>
      </c>
      <c r="I134" s="48" t="s">
        <v>26</v>
      </c>
      <c r="J134" s="48">
        <v>1020055</v>
      </c>
      <c r="K134" s="50">
        <v>951342.78</v>
      </c>
      <c r="L134" s="50">
        <v>1</v>
      </c>
      <c r="M134" s="50">
        <v>951342.78</v>
      </c>
      <c r="N134" s="50">
        <v>852782.07</v>
      </c>
      <c r="O134" s="50">
        <v>98560.71</v>
      </c>
      <c r="P134" s="50">
        <v>0</v>
      </c>
      <c r="Q134" s="87">
        <v>98560.71</v>
      </c>
      <c r="R134" s="152">
        <v>0</v>
      </c>
      <c r="S134" s="174"/>
      <c r="T134" s="74">
        <v>45442</v>
      </c>
      <c r="U134" s="74">
        <v>45442</v>
      </c>
      <c r="V134" s="48"/>
      <c r="W134" s="48"/>
      <c r="X134" s="48"/>
      <c r="Y134" s="48">
        <v>0</v>
      </c>
      <c r="Z134" s="48"/>
      <c r="AA134" s="48" t="s">
        <v>21</v>
      </c>
      <c r="AB134" s="48" t="s">
        <v>27</v>
      </c>
      <c r="AC134" s="48" t="s">
        <v>35</v>
      </c>
      <c r="AD134" s="89" t="s">
        <v>845</v>
      </c>
    </row>
    <row r="135" spans="1:30" ht="15.75" hidden="1" x14ac:dyDescent="0.25">
      <c r="A135" s="48" t="s">
        <v>634</v>
      </c>
      <c r="B135" s="74">
        <v>45694</v>
      </c>
      <c r="C135" s="48" t="s">
        <v>441</v>
      </c>
      <c r="D135" s="48" t="s">
        <v>20</v>
      </c>
      <c r="E135" s="48" t="s">
        <v>635</v>
      </c>
      <c r="F135" s="48" t="s">
        <v>96</v>
      </c>
      <c r="G135" s="48" t="s">
        <v>24</v>
      </c>
      <c r="H135" s="48" t="s">
        <v>22</v>
      </c>
      <c r="I135" s="48" t="s">
        <v>26</v>
      </c>
      <c r="J135" s="48">
        <v>1020055</v>
      </c>
      <c r="K135" s="50">
        <v>500000</v>
      </c>
      <c r="L135" s="50">
        <v>1</v>
      </c>
      <c r="M135" s="50">
        <v>500000</v>
      </c>
      <c r="N135" s="50">
        <v>500000</v>
      </c>
      <c r="O135" s="50">
        <v>0</v>
      </c>
      <c r="P135" s="50">
        <v>0</v>
      </c>
      <c r="Q135" s="87">
        <v>0</v>
      </c>
      <c r="R135" s="152">
        <v>0</v>
      </c>
      <c r="S135" s="174"/>
      <c r="T135" s="74">
        <v>45777</v>
      </c>
      <c r="U135" s="74">
        <v>45777</v>
      </c>
      <c r="V135" s="48"/>
      <c r="W135" s="48"/>
      <c r="X135" s="48"/>
      <c r="Y135" s="48">
        <v>0</v>
      </c>
      <c r="Z135" s="48" t="s">
        <v>636</v>
      </c>
      <c r="AA135" s="48" t="s">
        <v>95</v>
      </c>
      <c r="AB135" s="48" t="s">
        <v>27</v>
      </c>
      <c r="AC135" s="48" t="s">
        <v>311</v>
      </c>
      <c r="AD135" s="89" t="s">
        <v>845</v>
      </c>
    </row>
    <row r="136" spans="1:30" ht="15.75" hidden="1" x14ac:dyDescent="0.25">
      <c r="A136" s="48" t="s">
        <v>1312</v>
      </c>
      <c r="B136" s="74">
        <v>45788</v>
      </c>
      <c r="C136" s="48" t="s">
        <v>441</v>
      </c>
      <c r="D136" s="48" t="s">
        <v>20</v>
      </c>
      <c r="E136" s="48" t="s">
        <v>1264</v>
      </c>
      <c r="F136" s="48" t="s">
        <v>22</v>
      </c>
      <c r="G136" s="48" t="s">
        <v>24</v>
      </c>
      <c r="H136" s="48" t="s">
        <v>22</v>
      </c>
      <c r="I136" s="48" t="s">
        <v>26</v>
      </c>
      <c r="J136" s="48">
        <v>1020055</v>
      </c>
      <c r="K136" s="50">
        <v>624264.62</v>
      </c>
      <c r="L136" s="50">
        <v>1</v>
      </c>
      <c r="M136" s="50">
        <v>624264.62</v>
      </c>
      <c r="N136" s="50">
        <v>624264.62</v>
      </c>
      <c r="O136" s="50">
        <v>0</v>
      </c>
      <c r="P136" s="50">
        <v>0</v>
      </c>
      <c r="Q136" s="87">
        <v>0</v>
      </c>
      <c r="R136" s="152">
        <v>0</v>
      </c>
      <c r="S136" s="174"/>
      <c r="T136" s="74">
        <v>46081</v>
      </c>
      <c r="U136" s="74">
        <v>46081</v>
      </c>
      <c r="V136" s="48"/>
      <c r="W136" s="48"/>
      <c r="X136" s="48"/>
      <c r="Y136" s="48">
        <v>0</v>
      </c>
      <c r="Z136" s="48"/>
      <c r="AA136" s="48" t="s">
        <v>21</v>
      </c>
      <c r="AB136" s="48" t="s">
        <v>27</v>
      </c>
      <c r="AC136" s="48" t="s">
        <v>1629</v>
      </c>
      <c r="AD136" s="89" t="s">
        <v>845</v>
      </c>
    </row>
    <row r="137" spans="1:30" ht="15.75" hidden="1" x14ac:dyDescent="0.25">
      <c r="A137" s="48" t="s">
        <v>1400</v>
      </c>
      <c r="B137" s="74">
        <v>45804</v>
      </c>
      <c r="C137" s="48" t="s">
        <v>441</v>
      </c>
      <c r="D137" s="48" t="s">
        <v>20</v>
      </c>
      <c r="E137" s="48" t="s">
        <v>1264</v>
      </c>
      <c r="F137" s="48" t="s">
        <v>22</v>
      </c>
      <c r="G137" s="48" t="s">
        <v>24</v>
      </c>
      <c r="H137" s="48" t="s">
        <v>22</v>
      </c>
      <c r="I137" s="48" t="s">
        <v>26</v>
      </c>
      <c r="J137" s="48">
        <v>1020055</v>
      </c>
      <c r="K137" s="50">
        <v>350000</v>
      </c>
      <c r="L137" s="50">
        <v>1</v>
      </c>
      <c r="M137" s="50">
        <v>350000</v>
      </c>
      <c r="N137" s="50">
        <v>350000</v>
      </c>
      <c r="O137" s="50">
        <v>0</v>
      </c>
      <c r="P137" s="50">
        <v>0</v>
      </c>
      <c r="Q137" s="87">
        <v>0</v>
      </c>
      <c r="R137" s="152">
        <v>0</v>
      </c>
      <c r="S137" s="174"/>
      <c r="T137" s="74">
        <v>46081</v>
      </c>
      <c r="U137" s="74">
        <v>46081</v>
      </c>
      <c r="V137" s="48"/>
      <c r="W137" s="48"/>
      <c r="X137" s="48"/>
      <c r="Y137" s="48">
        <v>0</v>
      </c>
      <c r="Z137" s="48"/>
      <c r="AA137" s="48" t="s">
        <v>21</v>
      </c>
      <c r="AB137" s="48" t="s">
        <v>27</v>
      </c>
      <c r="AC137" s="48" t="s">
        <v>1629</v>
      </c>
      <c r="AD137" s="89" t="s">
        <v>845</v>
      </c>
    </row>
    <row r="138" spans="1:30" ht="15.75" hidden="1" x14ac:dyDescent="0.25">
      <c r="A138" s="48" t="s">
        <v>489</v>
      </c>
      <c r="B138" s="74">
        <v>45610</v>
      </c>
      <c r="C138" s="48" t="s">
        <v>509</v>
      </c>
      <c r="D138" s="48" t="s">
        <v>20</v>
      </c>
      <c r="E138" s="48" t="s">
        <v>490</v>
      </c>
      <c r="F138" s="48" t="s">
        <v>22</v>
      </c>
      <c r="G138" s="48" t="s">
        <v>72</v>
      </c>
      <c r="H138" s="48" t="s">
        <v>487</v>
      </c>
      <c r="I138" s="48" t="s">
        <v>26</v>
      </c>
      <c r="J138" s="48">
        <v>1020060</v>
      </c>
      <c r="K138" s="50">
        <v>1167116.6000000001</v>
      </c>
      <c r="L138" s="50">
        <v>1</v>
      </c>
      <c r="M138" s="50">
        <v>1167116.6000000001</v>
      </c>
      <c r="N138" s="50">
        <v>858548.04</v>
      </c>
      <c r="O138" s="50">
        <v>308568.56</v>
      </c>
      <c r="P138" s="50">
        <v>0</v>
      </c>
      <c r="Q138" s="87">
        <v>308568.56</v>
      </c>
      <c r="R138" s="152">
        <v>0</v>
      </c>
      <c r="S138" s="174"/>
      <c r="T138" s="74">
        <v>45688</v>
      </c>
      <c r="U138" s="74">
        <v>45661</v>
      </c>
      <c r="V138" s="48"/>
      <c r="W138" s="48"/>
      <c r="X138" s="48"/>
      <c r="Y138" s="48">
        <v>0</v>
      </c>
      <c r="Z138" s="48"/>
      <c r="AA138" s="48" t="s">
        <v>21</v>
      </c>
      <c r="AB138" s="48" t="s">
        <v>27</v>
      </c>
      <c r="AC138" s="48" t="s">
        <v>305</v>
      </c>
      <c r="AD138" s="89" t="s">
        <v>845</v>
      </c>
    </row>
    <row r="139" spans="1:30" ht="15.75" hidden="1" x14ac:dyDescent="0.25">
      <c r="A139" s="48" t="s">
        <v>1615</v>
      </c>
      <c r="B139" s="74">
        <v>45865</v>
      </c>
      <c r="C139" s="48" t="s">
        <v>441</v>
      </c>
      <c r="D139" s="48" t="s">
        <v>20</v>
      </c>
      <c r="E139" s="48" t="s">
        <v>1576</v>
      </c>
      <c r="F139" s="48" t="s">
        <v>710</v>
      </c>
      <c r="G139" s="48" t="s">
        <v>24</v>
      </c>
      <c r="H139" s="48" t="s">
        <v>710</v>
      </c>
      <c r="I139" s="48" t="s">
        <v>26</v>
      </c>
      <c r="J139" s="48">
        <v>1020088</v>
      </c>
      <c r="K139" s="50">
        <v>150000.01</v>
      </c>
      <c r="L139" s="50">
        <v>1</v>
      </c>
      <c r="M139" s="50">
        <v>150000.01</v>
      </c>
      <c r="N139" s="50">
        <v>150000</v>
      </c>
      <c r="O139" s="50">
        <v>0.01</v>
      </c>
      <c r="P139" s="50">
        <v>0</v>
      </c>
      <c r="Q139" s="87">
        <v>0.01</v>
      </c>
      <c r="R139" s="152">
        <v>0</v>
      </c>
      <c r="S139" s="174"/>
      <c r="T139" s="74">
        <v>45961</v>
      </c>
      <c r="U139" s="74">
        <v>45961</v>
      </c>
      <c r="V139" s="48"/>
      <c r="W139" s="48"/>
      <c r="X139" s="48"/>
      <c r="Y139" s="48">
        <v>0</v>
      </c>
      <c r="Z139" s="48"/>
      <c r="AA139" s="48" t="s">
        <v>366</v>
      </c>
      <c r="AB139" s="48" t="s">
        <v>27</v>
      </c>
      <c r="AC139" s="48" t="s">
        <v>621</v>
      </c>
      <c r="AD139" s="89" t="s">
        <v>845</v>
      </c>
    </row>
    <row r="140" spans="1:30" ht="15.75" hidden="1" x14ac:dyDescent="0.25">
      <c r="A140" s="48" t="s">
        <v>581</v>
      </c>
      <c r="B140" s="74">
        <v>45645</v>
      </c>
      <c r="C140" s="48" t="s">
        <v>441</v>
      </c>
      <c r="D140" s="48" t="s">
        <v>20</v>
      </c>
      <c r="E140" s="48" t="s">
        <v>582</v>
      </c>
      <c r="F140" s="48" t="s">
        <v>483</v>
      </c>
      <c r="G140" s="48" t="s">
        <v>24</v>
      </c>
      <c r="H140" s="48" t="s">
        <v>22</v>
      </c>
      <c r="I140" s="48" t="s">
        <v>26</v>
      </c>
      <c r="J140" s="48">
        <v>1020055</v>
      </c>
      <c r="K140" s="50">
        <v>1584497.6</v>
      </c>
      <c r="L140" s="50">
        <v>1</v>
      </c>
      <c r="M140" s="50">
        <v>1584497.6</v>
      </c>
      <c r="N140" s="50">
        <v>1584497.6</v>
      </c>
      <c r="O140" s="50">
        <v>0</v>
      </c>
      <c r="P140" s="50">
        <v>0</v>
      </c>
      <c r="Q140" s="87">
        <v>0</v>
      </c>
      <c r="R140" s="152">
        <v>0</v>
      </c>
      <c r="S140" s="174"/>
      <c r="T140" s="74">
        <v>45808</v>
      </c>
      <c r="U140" s="74">
        <v>45747</v>
      </c>
      <c r="V140" s="48"/>
      <c r="W140" s="48"/>
      <c r="X140" s="48"/>
      <c r="Y140" s="48">
        <v>0</v>
      </c>
      <c r="Z140" s="48"/>
      <c r="AA140" s="48" t="s">
        <v>373</v>
      </c>
      <c r="AB140" s="48" t="s">
        <v>27</v>
      </c>
      <c r="AC140" s="48" t="s">
        <v>311</v>
      </c>
      <c r="AD140" s="89" t="s">
        <v>845</v>
      </c>
    </row>
    <row r="141" spans="1:30" ht="15.75" hidden="1" x14ac:dyDescent="0.25">
      <c r="A141" s="48" t="s">
        <v>632</v>
      </c>
      <c r="B141" s="74">
        <v>45694</v>
      </c>
      <c r="C141" s="48" t="s">
        <v>441</v>
      </c>
      <c r="D141" s="48" t="s">
        <v>20</v>
      </c>
      <c r="E141" s="48" t="s">
        <v>582</v>
      </c>
      <c r="F141" s="48" t="s">
        <v>96</v>
      </c>
      <c r="G141" s="48" t="s">
        <v>24</v>
      </c>
      <c r="H141" s="48" t="s">
        <v>22</v>
      </c>
      <c r="I141" s="48" t="s">
        <v>26</v>
      </c>
      <c r="J141" s="48">
        <v>1020055</v>
      </c>
      <c r="K141" s="50">
        <v>712597.7</v>
      </c>
      <c r="L141" s="50">
        <v>1</v>
      </c>
      <c r="M141" s="50">
        <v>712597.7</v>
      </c>
      <c r="N141" s="50">
        <v>712597.7</v>
      </c>
      <c r="O141" s="50">
        <v>0</v>
      </c>
      <c r="P141" s="50">
        <v>0</v>
      </c>
      <c r="Q141" s="87">
        <v>0</v>
      </c>
      <c r="R141" s="152">
        <v>0</v>
      </c>
      <c r="S141" s="174"/>
      <c r="T141" s="74">
        <v>45900</v>
      </c>
      <c r="U141" s="74">
        <v>45900</v>
      </c>
      <c r="V141" s="48"/>
      <c r="W141" s="48"/>
      <c r="X141" s="48"/>
      <c r="Y141" s="48">
        <v>0</v>
      </c>
      <c r="Z141" s="48"/>
      <c r="AA141" s="48" t="s">
        <v>95</v>
      </c>
      <c r="AB141" s="48" t="s">
        <v>27</v>
      </c>
      <c r="AC141" s="48" t="s">
        <v>311</v>
      </c>
      <c r="AD141" s="89" t="s">
        <v>845</v>
      </c>
    </row>
    <row r="142" spans="1:30" ht="15.75" hidden="1" x14ac:dyDescent="0.25">
      <c r="A142" s="48" t="s">
        <v>544</v>
      </c>
      <c r="B142" s="74">
        <v>45634</v>
      </c>
      <c r="C142" s="48" t="s">
        <v>509</v>
      </c>
      <c r="D142" s="48" t="s">
        <v>20</v>
      </c>
      <c r="E142" s="48" t="s">
        <v>545</v>
      </c>
      <c r="F142" s="48" t="s">
        <v>96</v>
      </c>
      <c r="G142" s="48" t="s">
        <v>24</v>
      </c>
      <c r="H142" s="48" t="s">
        <v>407</v>
      </c>
      <c r="I142" s="48" t="s">
        <v>26</v>
      </c>
      <c r="J142" s="48">
        <v>1020100</v>
      </c>
      <c r="K142" s="50">
        <v>400000</v>
      </c>
      <c r="L142" s="50">
        <v>1</v>
      </c>
      <c r="M142" s="50">
        <v>400000</v>
      </c>
      <c r="N142" s="50">
        <v>400000</v>
      </c>
      <c r="O142" s="50">
        <v>0</v>
      </c>
      <c r="P142" s="50">
        <v>0</v>
      </c>
      <c r="Q142" s="87">
        <v>0</v>
      </c>
      <c r="R142" s="152">
        <v>0</v>
      </c>
      <c r="S142" s="174"/>
      <c r="T142" s="74">
        <v>45777</v>
      </c>
      <c r="U142" s="74">
        <v>45751</v>
      </c>
      <c r="V142" s="48"/>
      <c r="W142" s="48"/>
      <c r="X142" s="48"/>
      <c r="Y142" s="48">
        <v>0</v>
      </c>
      <c r="Z142" s="48" t="s">
        <v>443</v>
      </c>
      <c r="AA142" s="48" t="s">
        <v>95</v>
      </c>
      <c r="AB142" s="48" t="s">
        <v>27</v>
      </c>
      <c r="AC142" s="48" t="s">
        <v>311</v>
      </c>
      <c r="AD142" s="89" t="s">
        <v>845</v>
      </c>
    </row>
    <row r="143" spans="1:30" ht="15.75" hidden="1" x14ac:dyDescent="0.25">
      <c r="A143" s="48" t="s">
        <v>500</v>
      </c>
      <c r="B143" s="74">
        <v>45610</v>
      </c>
      <c r="C143" s="48" t="s">
        <v>509</v>
      </c>
      <c r="D143" s="48" t="s">
        <v>20</v>
      </c>
      <c r="E143" s="48" t="s">
        <v>501</v>
      </c>
      <c r="F143" s="48" t="s">
        <v>22</v>
      </c>
      <c r="G143" s="48" t="s">
        <v>72</v>
      </c>
      <c r="H143" s="48" t="s">
        <v>487</v>
      </c>
      <c r="I143" s="48" t="s">
        <v>26</v>
      </c>
      <c r="J143" s="48">
        <v>1020060</v>
      </c>
      <c r="K143" s="50">
        <v>514797.5</v>
      </c>
      <c r="L143" s="50">
        <v>1</v>
      </c>
      <c r="M143" s="50">
        <v>514797.5</v>
      </c>
      <c r="N143" s="50">
        <v>514797.5</v>
      </c>
      <c r="O143" s="50">
        <v>0</v>
      </c>
      <c r="P143" s="50">
        <v>0</v>
      </c>
      <c r="Q143" s="87">
        <v>0</v>
      </c>
      <c r="R143" s="152">
        <v>0</v>
      </c>
      <c r="S143" s="174"/>
      <c r="T143" s="74">
        <v>45688</v>
      </c>
      <c r="U143" s="74">
        <v>45661</v>
      </c>
      <c r="V143" s="48"/>
      <c r="W143" s="48"/>
      <c r="X143" s="48"/>
      <c r="Y143" s="48">
        <v>0</v>
      </c>
      <c r="Z143" s="48" t="s">
        <v>502</v>
      </c>
      <c r="AA143" s="48" t="s">
        <v>21</v>
      </c>
      <c r="AB143" s="48" t="s">
        <v>27</v>
      </c>
      <c r="AC143" s="48" t="s">
        <v>305</v>
      </c>
      <c r="AD143" s="89" t="s">
        <v>845</v>
      </c>
    </row>
    <row r="144" spans="1:30" ht="15.75" hidden="1" x14ac:dyDescent="0.25">
      <c r="A144" s="48" t="s">
        <v>272</v>
      </c>
      <c r="B144" s="74">
        <v>45435</v>
      </c>
      <c r="C144" s="48" t="s">
        <v>441</v>
      </c>
      <c r="D144" s="48" t="s">
        <v>20</v>
      </c>
      <c r="E144" s="48" t="s">
        <v>177</v>
      </c>
      <c r="F144" s="48" t="s">
        <v>22</v>
      </c>
      <c r="G144" s="48" t="s">
        <v>24</v>
      </c>
      <c r="H144" s="48" t="s">
        <v>22</v>
      </c>
      <c r="I144" s="48" t="s">
        <v>26</v>
      </c>
      <c r="J144" s="48">
        <v>1020055</v>
      </c>
      <c r="K144" s="50">
        <v>1500000</v>
      </c>
      <c r="L144" s="50">
        <v>1</v>
      </c>
      <c r="M144" s="50">
        <v>1500000</v>
      </c>
      <c r="N144" s="50">
        <v>1500000</v>
      </c>
      <c r="O144" s="50">
        <v>0</v>
      </c>
      <c r="P144" s="50">
        <v>0</v>
      </c>
      <c r="Q144" s="87">
        <v>0</v>
      </c>
      <c r="R144" s="152">
        <v>0</v>
      </c>
      <c r="S144" s="174"/>
      <c r="T144" s="74">
        <v>45565</v>
      </c>
      <c r="U144" s="74">
        <v>45565</v>
      </c>
      <c r="V144" s="48"/>
      <c r="W144" s="48"/>
      <c r="X144" s="48"/>
      <c r="Y144" s="48">
        <v>0</v>
      </c>
      <c r="Z144" s="48"/>
      <c r="AA144" s="48" t="s">
        <v>21</v>
      </c>
      <c r="AB144" s="48" t="s">
        <v>27</v>
      </c>
      <c r="AC144" s="48"/>
      <c r="AD144" s="89" t="s">
        <v>845</v>
      </c>
    </row>
    <row r="145" spans="1:30" ht="15.75" hidden="1" x14ac:dyDescent="0.25">
      <c r="A145" s="48" t="s">
        <v>176</v>
      </c>
      <c r="B145" s="74">
        <v>45167</v>
      </c>
      <c r="C145" s="48" t="s">
        <v>441</v>
      </c>
      <c r="D145" s="48" t="s">
        <v>20</v>
      </c>
      <c r="E145" s="48" t="s">
        <v>177</v>
      </c>
      <c r="F145" s="48" t="s">
        <v>22</v>
      </c>
      <c r="G145" s="48" t="s">
        <v>24</v>
      </c>
      <c r="H145" s="48" t="s">
        <v>22</v>
      </c>
      <c r="I145" s="48" t="s">
        <v>26</v>
      </c>
      <c r="J145" s="48">
        <v>1020055</v>
      </c>
      <c r="K145" s="50">
        <v>6674535.2699999996</v>
      </c>
      <c r="L145" s="50">
        <v>1</v>
      </c>
      <c r="M145" s="50">
        <v>6674535.2699999996</v>
      </c>
      <c r="N145" s="50">
        <v>6674535.2699999996</v>
      </c>
      <c r="O145" s="50">
        <v>0</v>
      </c>
      <c r="P145" s="50">
        <v>0</v>
      </c>
      <c r="Q145" s="87">
        <v>0</v>
      </c>
      <c r="R145" s="152">
        <v>0</v>
      </c>
      <c r="S145" s="174"/>
      <c r="T145" s="74">
        <v>45260</v>
      </c>
      <c r="U145" s="74">
        <v>45260</v>
      </c>
      <c r="V145" s="48"/>
      <c r="W145" s="48"/>
      <c r="X145" s="48"/>
      <c r="Y145" s="48">
        <v>0</v>
      </c>
      <c r="Z145" s="48"/>
      <c r="AA145" s="48" t="s">
        <v>21</v>
      </c>
      <c r="AB145" s="48" t="s">
        <v>27</v>
      </c>
      <c r="AC145" s="48" t="s">
        <v>35</v>
      </c>
      <c r="AD145" s="89" t="s">
        <v>845</v>
      </c>
    </row>
    <row r="146" spans="1:30" ht="15.75" hidden="1" x14ac:dyDescent="0.25">
      <c r="A146" s="48" t="s">
        <v>342</v>
      </c>
      <c r="B146" s="74">
        <v>45519</v>
      </c>
      <c r="C146" s="48" t="s">
        <v>441</v>
      </c>
      <c r="D146" s="48" t="s">
        <v>20</v>
      </c>
      <c r="E146" s="48" t="s">
        <v>177</v>
      </c>
      <c r="F146" s="48" t="s">
        <v>96</v>
      </c>
      <c r="G146" s="48" t="s">
        <v>24</v>
      </c>
      <c r="H146" s="48" t="s">
        <v>22</v>
      </c>
      <c r="I146" s="48" t="s">
        <v>26</v>
      </c>
      <c r="J146" s="48">
        <v>1020055</v>
      </c>
      <c r="K146" s="50">
        <v>1795147.53</v>
      </c>
      <c r="L146" s="50">
        <v>1</v>
      </c>
      <c r="M146" s="50">
        <v>1795147.53</v>
      </c>
      <c r="N146" s="50">
        <v>1795147.53</v>
      </c>
      <c r="O146" s="50">
        <v>0</v>
      </c>
      <c r="P146" s="50">
        <v>0</v>
      </c>
      <c r="Q146" s="87">
        <v>0</v>
      </c>
      <c r="R146" s="152">
        <v>0</v>
      </c>
      <c r="S146" s="174"/>
      <c r="T146" s="74">
        <v>45626</v>
      </c>
      <c r="U146" s="74">
        <v>45626</v>
      </c>
      <c r="V146" s="48"/>
      <c r="W146" s="48"/>
      <c r="X146" s="48"/>
      <c r="Y146" s="48">
        <v>0</v>
      </c>
      <c r="Z146" s="48"/>
      <c r="AA146" s="48" t="s">
        <v>95</v>
      </c>
      <c r="AB146" s="48" t="s">
        <v>27</v>
      </c>
      <c r="AC146" s="48" t="s">
        <v>311</v>
      </c>
      <c r="AD146" s="89" t="s">
        <v>845</v>
      </c>
    </row>
    <row r="147" spans="1:30" ht="15.75" hidden="1" x14ac:dyDescent="0.25">
      <c r="A147" s="48" t="s">
        <v>347</v>
      </c>
      <c r="B147" s="74">
        <v>45533</v>
      </c>
      <c r="C147" s="48" t="s">
        <v>441</v>
      </c>
      <c r="D147" s="48" t="s">
        <v>20</v>
      </c>
      <c r="E147" s="48" t="s">
        <v>177</v>
      </c>
      <c r="F147" s="48" t="s">
        <v>96</v>
      </c>
      <c r="G147" s="48" t="s">
        <v>24</v>
      </c>
      <c r="H147" s="48" t="s">
        <v>22</v>
      </c>
      <c r="I147" s="48" t="s">
        <v>26</v>
      </c>
      <c r="J147" s="48">
        <v>1020055</v>
      </c>
      <c r="K147" s="50">
        <v>1650702.09</v>
      </c>
      <c r="L147" s="50">
        <v>1</v>
      </c>
      <c r="M147" s="50">
        <v>1650702.09</v>
      </c>
      <c r="N147" s="50">
        <v>1650702.09</v>
      </c>
      <c r="O147" s="50">
        <v>0</v>
      </c>
      <c r="P147" s="50">
        <v>0</v>
      </c>
      <c r="Q147" s="87">
        <v>0</v>
      </c>
      <c r="R147" s="152">
        <v>0</v>
      </c>
      <c r="S147" s="174"/>
      <c r="T147" s="74">
        <v>45688</v>
      </c>
      <c r="U147" s="74">
        <v>45688</v>
      </c>
      <c r="V147" s="48"/>
      <c r="W147" s="48"/>
      <c r="X147" s="48"/>
      <c r="Y147" s="48">
        <v>0</v>
      </c>
      <c r="Z147" s="48"/>
      <c r="AA147" s="48" t="s">
        <v>95</v>
      </c>
      <c r="AB147" s="48" t="s">
        <v>27</v>
      </c>
      <c r="AC147" s="48" t="s">
        <v>311</v>
      </c>
      <c r="AD147" s="89" t="s">
        <v>845</v>
      </c>
    </row>
    <row r="148" spans="1:30" ht="15.75" hidden="1" x14ac:dyDescent="0.25">
      <c r="A148" s="48" t="s">
        <v>1868</v>
      </c>
      <c r="B148" s="74">
        <v>45645</v>
      </c>
      <c r="C148" s="48" t="s">
        <v>441</v>
      </c>
      <c r="D148" s="48" t="s">
        <v>20</v>
      </c>
      <c r="E148" s="48" t="s">
        <v>177</v>
      </c>
      <c r="F148" s="48" t="s">
        <v>483</v>
      </c>
      <c r="G148" s="48" t="s">
        <v>24</v>
      </c>
      <c r="H148" s="48" t="s">
        <v>22</v>
      </c>
      <c r="I148" s="48" t="s">
        <v>26</v>
      </c>
      <c r="J148" s="48">
        <v>1020055</v>
      </c>
      <c r="K148" s="50">
        <v>988870.39</v>
      </c>
      <c r="L148" s="50">
        <v>1</v>
      </c>
      <c r="M148" s="50">
        <v>988870.39</v>
      </c>
      <c r="N148" s="50">
        <v>988870.39</v>
      </c>
      <c r="O148" s="50">
        <v>0</v>
      </c>
      <c r="P148" s="50">
        <v>0</v>
      </c>
      <c r="Q148" s="87">
        <v>0</v>
      </c>
      <c r="R148" s="152">
        <v>0</v>
      </c>
      <c r="S148" s="312"/>
      <c r="T148" s="74">
        <v>45930</v>
      </c>
      <c r="U148" s="74">
        <v>45930</v>
      </c>
      <c r="V148" s="48"/>
      <c r="W148" s="48"/>
      <c r="X148" s="48"/>
      <c r="Y148" s="48">
        <v>0</v>
      </c>
      <c r="Z148" s="48"/>
      <c r="AA148" s="48" t="s">
        <v>373</v>
      </c>
      <c r="AB148" s="48" t="s">
        <v>27</v>
      </c>
      <c r="AC148" s="48" t="s">
        <v>311</v>
      </c>
      <c r="AD148" s="89" t="s">
        <v>845</v>
      </c>
    </row>
    <row r="149" spans="1:30" ht="15.75" hidden="1" x14ac:dyDescent="0.25">
      <c r="A149" s="48" t="s">
        <v>721</v>
      </c>
      <c r="B149" s="74">
        <v>45715</v>
      </c>
      <c r="C149" s="48" t="s">
        <v>441</v>
      </c>
      <c r="D149" s="48" t="s">
        <v>20</v>
      </c>
      <c r="E149" s="48" t="s">
        <v>177</v>
      </c>
      <c r="F149" s="48" t="s">
        <v>613</v>
      </c>
      <c r="G149" s="48" t="s">
        <v>24</v>
      </c>
      <c r="H149" s="48" t="s">
        <v>613</v>
      </c>
      <c r="I149" s="48" t="s">
        <v>26</v>
      </c>
      <c r="J149" s="48">
        <v>1020106</v>
      </c>
      <c r="K149" s="50">
        <v>2827275</v>
      </c>
      <c r="L149" s="50">
        <v>1</v>
      </c>
      <c r="M149" s="50">
        <v>2827275</v>
      </c>
      <c r="N149" s="50">
        <v>2827275</v>
      </c>
      <c r="O149" s="50">
        <v>0</v>
      </c>
      <c r="P149" s="50">
        <v>0</v>
      </c>
      <c r="Q149" s="87">
        <v>0</v>
      </c>
      <c r="R149" s="152">
        <v>0</v>
      </c>
      <c r="S149" s="174"/>
      <c r="T149" s="74">
        <v>46022</v>
      </c>
      <c r="U149" s="74">
        <v>46022</v>
      </c>
      <c r="V149" s="48"/>
      <c r="W149" s="48"/>
      <c r="X149" s="48"/>
      <c r="Y149" s="48">
        <v>0</v>
      </c>
      <c r="Z149" s="48"/>
      <c r="AA149" s="48" t="s">
        <v>612</v>
      </c>
      <c r="AB149" s="48" t="s">
        <v>27</v>
      </c>
      <c r="AC149" s="48" t="s">
        <v>311</v>
      </c>
      <c r="AD149" s="89" t="s">
        <v>845</v>
      </c>
    </row>
    <row r="150" spans="1:30" ht="15.75" hidden="1" x14ac:dyDescent="0.25">
      <c r="A150" s="48" t="s">
        <v>733</v>
      </c>
      <c r="B150" s="74">
        <v>45722</v>
      </c>
      <c r="C150" s="48" t="s">
        <v>441</v>
      </c>
      <c r="D150" s="48" t="s">
        <v>20</v>
      </c>
      <c r="E150" s="48" t="s">
        <v>177</v>
      </c>
      <c r="F150" s="48" t="s">
        <v>613</v>
      </c>
      <c r="G150" s="48" t="s">
        <v>24</v>
      </c>
      <c r="H150" s="48" t="s">
        <v>613</v>
      </c>
      <c r="I150" s="48" t="s">
        <v>26</v>
      </c>
      <c r="J150" s="48">
        <v>1020106</v>
      </c>
      <c r="K150" s="50">
        <v>8002636.4299999997</v>
      </c>
      <c r="L150" s="50">
        <v>1</v>
      </c>
      <c r="M150" s="50">
        <v>8002636.4299999997</v>
      </c>
      <c r="N150" s="50">
        <v>8002636.4299999997</v>
      </c>
      <c r="O150" s="50">
        <v>0</v>
      </c>
      <c r="P150" s="50">
        <v>0</v>
      </c>
      <c r="Q150" s="87">
        <v>0</v>
      </c>
      <c r="R150" s="152">
        <v>0</v>
      </c>
      <c r="S150" s="174"/>
      <c r="T150" s="74">
        <v>45889</v>
      </c>
      <c r="U150" s="74">
        <v>45889</v>
      </c>
      <c r="V150" s="48"/>
      <c r="W150" s="48"/>
      <c r="X150" s="48"/>
      <c r="Y150" s="48">
        <v>0</v>
      </c>
      <c r="Z150" s="48" t="s">
        <v>1684</v>
      </c>
      <c r="AA150" s="48" t="s">
        <v>612</v>
      </c>
      <c r="AB150" s="48" t="s">
        <v>27</v>
      </c>
      <c r="AC150" s="48" t="s">
        <v>311</v>
      </c>
      <c r="AD150" s="89" t="s">
        <v>845</v>
      </c>
    </row>
    <row r="151" spans="1:30" ht="15.75" hidden="1" x14ac:dyDescent="0.25">
      <c r="A151" s="48" t="s">
        <v>778</v>
      </c>
      <c r="B151" s="74">
        <v>45726</v>
      </c>
      <c r="C151" s="48" t="s">
        <v>441</v>
      </c>
      <c r="D151" s="48" t="s">
        <v>20</v>
      </c>
      <c r="E151" s="48" t="s">
        <v>779</v>
      </c>
      <c r="F151" s="48" t="s">
        <v>710</v>
      </c>
      <c r="G151" s="48" t="s">
        <v>24</v>
      </c>
      <c r="H151" s="48" t="s">
        <v>710</v>
      </c>
      <c r="I151" s="48" t="s">
        <v>26</v>
      </c>
      <c r="J151" s="48">
        <v>1020088</v>
      </c>
      <c r="K151" s="50">
        <v>3000000</v>
      </c>
      <c r="L151" s="50">
        <v>1</v>
      </c>
      <c r="M151" s="50">
        <v>3000000</v>
      </c>
      <c r="N151" s="50">
        <v>3000000</v>
      </c>
      <c r="O151" s="50">
        <v>0</v>
      </c>
      <c r="P151" s="50">
        <v>0</v>
      </c>
      <c r="Q151" s="87">
        <v>0</v>
      </c>
      <c r="R151" s="152">
        <v>0</v>
      </c>
      <c r="S151" s="174"/>
      <c r="T151" s="74">
        <v>45961</v>
      </c>
      <c r="U151" s="74">
        <v>45961</v>
      </c>
      <c r="V151" s="48"/>
      <c r="W151" s="48"/>
      <c r="X151" s="48"/>
      <c r="Y151" s="48">
        <v>0</v>
      </c>
      <c r="Z151" s="48"/>
      <c r="AA151" s="48" t="s">
        <v>366</v>
      </c>
      <c r="AB151" s="48" t="s">
        <v>27</v>
      </c>
      <c r="AC151" s="48" t="s">
        <v>311</v>
      </c>
      <c r="AD151" s="89" t="s">
        <v>845</v>
      </c>
    </row>
    <row r="152" spans="1:30" ht="15.75" hidden="1" x14ac:dyDescent="0.25">
      <c r="A152" s="48" t="s">
        <v>1201</v>
      </c>
      <c r="B152" s="74">
        <v>45767</v>
      </c>
      <c r="C152" s="48" t="s">
        <v>441</v>
      </c>
      <c r="D152" s="48" t="s">
        <v>20</v>
      </c>
      <c r="E152" s="48" t="s">
        <v>177</v>
      </c>
      <c r="F152" s="48" t="s">
        <v>96</v>
      </c>
      <c r="G152" s="48" t="s">
        <v>24</v>
      </c>
      <c r="H152" s="48" t="s">
        <v>22</v>
      </c>
      <c r="I152" s="48" t="s">
        <v>26</v>
      </c>
      <c r="J152" s="48">
        <v>1020055</v>
      </c>
      <c r="K152" s="50">
        <v>2330000.0099999998</v>
      </c>
      <c r="L152" s="50">
        <v>1</v>
      </c>
      <c r="M152" s="50">
        <v>2330000.0099999998</v>
      </c>
      <c r="N152" s="50">
        <v>2330000.0099999998</v>
      </c>
      <c r="O152" s="50">
        <v>0</v>
      </c>
      <c r="P152" s="50">
        <v>0</v>
      </c>
      <c r="Q152" s="87">
        <v>0</v>
      </c>
      <c r="R152" s="152">
        <v>0</v>
      </c>
      <c r="S152" s="174"/>
      <c r="T152" s="74">
        <v>45869</v>
      </c>
      <c r="U152" s="74">
        <v>45869</v>
      </c>
      <c r="V152" s="48"/>
      <c r="W152" s="48"/>
      <c r="X152" s="48"/>
      <c r="Y152" s="48">
        <v>0</v>
      </c>
      <c r="Z152" s="48"/>
      <c r="AA152" s="48" t="s">
        <v>95</v>
      </c>
      <c r="AB152" s="48" t="s">
        <v>27</v>
      </c>
      <c r="AC152" s="48" t="s">
        <v>311</v>
      </c>
      <c r="AD152" s="89" t="s">
        <v>845</v>
      </c>
    </row>
    <row r="153" spans="1:30" ht="15.75" hidden="1" x14ac:dyDescent="0.25">
      <c r="A153" s="48" t="s">
        <v>1420</v>
      </c>
      <c r="B153" s="74">
        <v>45809</v>
      </c>
      <c r="C153" s="48" t="s">
        <v>441</v>
      </c>
      <c r="D153" s="48" t="s">
        <v>20</v>
      </c>
      <c r="E153" s="48" t="s">
        <v>177</v>
      </c>
      <c r="F153" s="48" t="s">
        <v>96</v>
      </c>
      <c r="G153" s="48" t="s">
        <v>24</v>
      </c>
      <c r="H153" s="48" t="s">
        <v>22</v>
      </c>
      <c r="I153" s="48" t="s">
        <v>26</v>
      </c>
      <c r="J153" s="48">
        <v>1020055</v>
      </c>
      <c r="K153" s="50">
        <v>1539808.94</v>
      </c>
      <c r="L153" s="50">
        <v>1</v>
      </c>
      <c r="M153" s="50">
        <v>1539808.94</v>
      </c>
      <c r="N153" s="50">
        <v>1539808.9400000002</v>
      </c>
      <c r="O153" s="50">
        <v>0</v>
      </c>
      <c r="P153" s="50">
        <v>0</v>
      </c>
      <c r="Q153" s="87">
        <v>0</v>
      </c>
      <c r="R153" s="152">
        <v>0</v>
      </c>
      <c r="S153" s="174"/>
      <c r="T153" s="74">
        <v>46022</v>
      </c>
      <c r="U153" s="74">
        <v>46022</v>
      </c>
      <c r="V153" s="48"/>
      <c r="W153" s="48"/>
      <c r="X153" s="48"/>
      <c r="Y153" s="48">
        <v>0</v>
      </c>
      <c r="Z153" s="48"/>
      <c r="AA153" s="48" t="s">
        <v>95</v>
      </c>
      <c r="AB153" s="48" t="s">
        <v>27</v>
      </c>
      <c r="AC153" s="48" t="s">
        <v>621</v>
      </c>
      <c r="AD153" s="89" t="s">
        <v>845</v>
      </c>
    </row>
    <row r="154" spans="1:30" ht="15.75" hidden="1" x14ac:dyDescent="0.25">
      <c r="A154" s="48" t="s">
        <v>1401</v>
      </c>
      <c r="B154" s="74">
        <v>45804</v>
      </c>
      <c r="C154" s="48" t="s">
        <v>441</v>
      </c>
      <c r="D154" s="48" t="s">
        <v>20</v>
      </c>
      <c r="E154" s="48" t="s">
        <v>177</v>
      </c>
      <c r="F154" s="48" t="s">
        <v>22</v>
      </c>
      <c r="G154" s="48" t="s">
        <v>24</v>
      </c>
      <c r="H154" s="48" t="s">
        <v>22</v>
      </c>
      <c r="I154" s="48" t="s">
        <v>26</v>
      </c>
      <c r="J154" s="48">
        <v>1020055</v>
      </c>
      <c r="K154" s="50">
        <v>450000</v>
      </c>
      <c r="L154" s="50">
        <v>1</v>
      </c>
      <c r="M154" s="50">
        <v>450000</v>
      </c>
      <c r="N154" s="50">
        <v>450000</v>
      </c>
      <c r="O154" s="50">
        <v>0</v>
      </c>
      <c r="P154" s="50">
        <v>0</v>
      </c>
      <c r="Q154" s="87">
        <v>0</v>
      </c>
      <c r="R154" s="152">
        <v>0</v>
      </c>
      <c r="S154" s="174"/>
      <c r="T154" s="74">
        <v>45900</v>
      </c>
      <c r="U154" s="74">
        <v>45900</v>
      </c>
      <c r="V154" s="48"/>
      <c r="W154" s="48"/>
      <c r="X154" s="48"/>
      <c r="Y154" s="48">
        <v>0</v>
      </c>
      <c r="Z154" s="48"/>
      <c r="AA154" s="48" t="s">
        <v>21</v>
      </c>
      <c r="AB154" s="48" t="s">
        <v>27</v>
      </c>
      <c r="AC154" s="48" t="s">
        <v>621</v>
      </c>
      <c r="AD154" s="89" t="s">
        <v>845</v>
      </c>
    </row>
    <row r="155" spans="1:30" ht="15.75" hidden="1" x14ac:dyDescent="0.25">
      <c r="A155" s="48" t="s">
        <v>1501</v>
      </c>
      <c r="B155" s="74">
        <v>45831</v>
      </c>
      <c r="C155" s="48" t="s">
        <v>441</v>
      </c>
      <c r="D155" s="48" t="s">
        <v>20</v>
      </c>
      <c r="E155" s="48" t="s">
        <v>177</v>
      </c>
      <c r="F155" s="48" t="s">
        <v>22</v>
      </c>
      <c r="G155" s="48" t="s">
        <v>24</v>
      </c>
      <c r="H155" s="48" t="s">
        <v>407</v>
      </c>
      <c r="I155" s="48" t="s">
        <v>26</v>
      </c>
      <c r="J155" s="48">
        <v>1020100</v>
      </c>
      <c r="K155" s="50">
        <v>500000</v>
      </c>
      <c r="L155" s="50">
        <v>1</v>
      </c>
      <c r="M155" s="50">
        <v>500000</v>
      </c>
      <c r="N155" s="50">
        <v>500000</v>
      </c>
      <c r="O155" s="50">
        <v>0</v>
      </c>
      <c r="P155" s="50">
        <v>0</v>
      </c>
      <c r="Q155" s="87">
        <v>0</v>
      </c>
      <c r="R155" s="152">
        <v>0</v>
      </c>
      <c r="S155" s="174"/>
      <c r="T155" s="74">
        <v>45961</v>
      </c>
      <c r="U155" s="74">
        <v>45961</v>
      </c>
      <c r="V155" s="48"/>
      <c r="W155" s="48"/>
      <c r="X155" s="48"/>
      <c r="Y155" s="48">
        <v>0</v>
      </c>
      <c r="Z155" s="48" t="s">
        <v>1846</v>
      </c>
      <c r="AA155" s="48" t="s">
        <v>21</v>
      </c>
      <c r="AB155" s="48" t="s">
        <v>27</v>
      </c>
      <c r="AC155" s="48" t="s">
        <v>621</v>
      </c>
      <c r="AD155" s="89" t="s">
        <v>845</v>
      </c>
    </row>
    <row r="156" spans="1:30" ht="15.75" hidden="1" x14ac:dyDescent="0.25">
      <c r="A156" s="48" t="s">
        <v>1569</v>
      </c>
      <c r="B156" s="74">
        <v>45858</v>
      </c>
      <c r="C156" s="48" t="s">
        <v>441</v>
      </c>
      <c r="D156" s="48" t="s">
        <v>20</v>
      </c>
      <c r="E156" s="48" t="s">
        <v>177</v>
      </c>
      <c r="F156" s="48" t="s">
        <v>613</v>
      </c>
      <c r="G156" s="48" t="s">
        <v>24</v>
      </c>
      <c r="H156" s="48" t="s">
        <v>613</v>
      </c>
      <c r="I156" s="48" t="s">
        <v>26</v>
      </c>
      <c r="J156" s="48">
        <v>1020106</v>
      </c>
      <c r="K156" s="50">
        <v>4000010.22</v>
      </c>
      <c r="L156" s="50">
        <v>1</v>
      </c>
      <c r="M156" s="50">
        <v>4000010.22</v>
      </c>
      <c r="N156" s="50">
        <v>4000010.22</v>
      </c>
      <c r="O156" s="50">
        <v>0</v>
      </c>
      <c r="P156" s="50">
        <v>0</v>
      </c>
      <c r="Q156" s="87">
        <v>0</v>
      </c>
      <c r="R156" s="152">
        <v>0</v>
      </c>
      <c r="S156" s="174"/>
      <c r="T156" s="74">
        <v>46022</v>
      </c>
      <c r="U156" s="74">
        <v>46022</v>
      </c>
      <c r="V156" s="48"/>
      <c r="W156" s="48"/>
      <c r="X156" s="48"/>
      <c r="Y156" s="50">
        <v>0</v>
      </c>
      <c r="Z156" s="48" t="s">
        <v>1913</v>
      </c>
      <c r="AA156" s="48" t="s">
        <v>612</v>
      </c>
      <c r="AB156" s="48" t="s">
        <v>27</v>
      </c>
      <c r="AC156" s="48" t="s">
        <v>311</v>
      </c>
      <c r="AD156" s="89" t="s">
        <v>845</v>
      </c>
    </row>
    <row r="157" spans="1:30" ht="15.75" hidden="1" x14ac:dyDescent="0.25">
      <c r="A157" s="48" t="s">
        <v>1599</v>
      </c>
      <c r="B157" s="74">
        <v>45862</v>
      </c>
      <c r="C157" s="48" t="s">
        <v>441</v>
      </c>
      <c r="D157" s="48" t="s">
        <v>20</v>
      </c>
      <c r="E157" s="48" t="s">
        <v>177</v>
      </c>
      <c r="F157" s="48" t="s">
        <v>710</v>
      </c>
      <c r="G157" s="48" t="s">
        <v>24</v>
      </c>
      <c r="H157" s="48" t="s">
        <v>710</v>
      </c>
      <c r="I157" s="48" t="s">
        <v>26</v>
      </c>
      <c r="J157" s="48">
        <v>1020088</v>
      </c>
      <c r="K157" s="50">
        <v>546393.94999999995</v>
      </c>
      <c r="L157" s="50">
        <v>1</v>
      </c>
      <c r="M157" s="50">
        <v>546393.94999999995</v>
      </c>
      <c r="N157" s="50">
        <v>546393.94999999995</v>
      </c>
      <c r="O157" s="50">
        <v>0</v>
      </c>
      <c r="P157" s="50">
        <v>0</v>
      </c>
      <c r="Q157" s="87">
        <v>0</v>
      </c>
      <c r="R157" s="152">
        <v>0</v>
      </c>
      <c r="S157" s="174"/>
      <c r="T157" s="74">
        <v>45961</v>
      </c>
      <c r="U157" s="74">
        <v>45961</v>
      </c>
      <c r="V157" s="48"/>
      <c r="W157" s="48"/>
      <c r="X157" s="48"/>
      <c r="Y157" s="48">
        <v>0</v>
      </c>
      <c r="Z157" s="48"/>
      <c r="AA157" s="48" t="s">
        <v>366</v>
      </c>
      <c r="AB157" s="48" t="s">
        <v>27</v>
      </c>
      <c r="AC157" s="48" t="s">
        <v>621</v>
      </c>
      <c r="AD157" s="89" t="s">
        <v>845</v>
      </c>
    </row>
    <row r="158" spans="1:30" ht="15.75" hidden="1" x14ac:dyDescent="0.25">
      <c r="A158" s="48" t="s">
        <v>1655</v>
      </c>
      <c r="B158" s="74">
        <v>45869</v>
      </c>
      <c r="C158" s="48" t="s">
        <v>441</v>
      </c>
      <c r="D158" s="48" t="s">
        <v>20</v>
      </c>
      <c r="E158" s="48" t="s">
        <v>177</v>
      </c>
      <c r="F158" s="48" t="s">
        <v>22</v>
      </c>
      <c r="G158" s="48" t="s">
        <v>24</v>
      </c>
      <c r="H158" s="48" t="s">
        <v>22</v>
      </c>
      <c r="I158" s="48" t="s">
        <v>26</v>
      </c>
      <c r="J158" s="48">
        <v>1020055</v>
      </c>
      <c r="K158" s="50">
        <v>500000</v>
      </c>
      <c r="L158" s="50">
        <v>1</v>
      </c>
      <c r="M158" s="50">
        <v>500000</v>
      </c>
      <c r="N158" s="50">
        <v>500000</v>
      </c>
      <c r="O158" s="50">
        <v>0</v>
      </c>
      <c r="P158" s="50">
        <v>0</v>
      </c>
      <c r="Q158" s="87">
        <v>0</v>
      </c>
      <c r="R158" s="152">
        <v>0</v>
      </c>
      <c r="S158" s="174"/>
      <c r="T158" s="74">
        <v>46022</v>
      </c>
      <c r="U158" s="74">
        <v>46022</v>
      </c>
      <c r="V158" s="48"/>
      <c r="W158" s="48"/>
      <c r="X158" s="48"/>
      <c r="Y158" s="48">
        <v>0</v>
      </c>
      <c r="Z158" s="48" t="s">
        <v>2397</v>
      </c>
      <c r="AA158" s="48" t="s">
        <v>21</v>
      </c>
      <c r="AB158" s="48" t="s">
        <v>27</v>
      </c>
      <c r="AC158" s="48" t="s">
        <v>621</v>
      </c>
      <c r="AD158" s="89" t="s">
        <v>845</v>
      </c>
    </row>
    <row r="159" spans="1:30" ht="15.75" hidden="1" x14ac:dyDescent="0.25">
      <c r="A159" s="48" t="s">
        <v>1735</v>
      </c>
      <c r="B159" s="74">
        <v>45882</v>
      </c>
      <c r="C159" s="48" t="s">
        <v>1119</v>
      </c>
      <c r="D159" s="48" t="s">
        <v>20</v>
      </c>
      <c r="E159" s="48" t="s">
        <v>177</v>
      </c>
      <c r="F159" s="48" t="s">
        <v>367</v>
      </c>
      <c r="G159" s="48" t="s">
        <v>24</v>
      </c>
      <c r="H159" s="48" t="s">
        <v>367</v>
      </c>
      <c r="I159" s="48" t="s">
        <v>26</v>
      </c>
      <c r="J159" s="48">
        <v>1020091</v>
      </c>
      <c r="K159" s="50">
        <v>6250000</v>
      </c>
      <c r="L159" s="50">
        <v>1</v>
      </c>
      <c r="M159" s="50">
        <v>6250000</v>
      </c>
      <c r="N159" s="50">
        <v>6250000</v>
      </c>
      <c r="O159" s="50">
        <v>0</v>
      </c>
      <c r="P159" s="50">
        <v>0</v>
      </c>
      <c r="Q159" s="87">
        <v>0</v>
      </c>
      <c r="R159" s="152">
        <v>0</v>
      </c>
      <c r="S159" s="174"/>
      <c r="T159" s="74">
        <v>45991</v>
      </c>
      <c r="U159" s="74">
        <v>45991</v>
      </c>
      <c r="V159" s="48"/>
      <c r="W159" s="48"/>
      <c r="X159" s="48"/>
      <c r="Y159" s="48">
        <v>0</v>
      </c>
      <c r="Z159" s="48"/>
      <c r="AA159" s="48" t="s">
        <v>366</v>
      </c>
      <c r="AB159" s="48" t="s">
        <v>27</v>
      </c>
      <c r="AC159" s="48" t="s">
        <v>1624</v>
      </c>
      <c r="AD159" s="89" t="s">
        <v>845</v>
      </c>
    </row>
    <row r="160" spans="1:30" ht="15.75" hidden="1" x14ac:dyDescent="0.25">
      <c r="A160" s="48" t="s">
        <v>1814</v>
      </c>
      <c r="B160" s="74">
        <v>45895</v>
      </c>
      <c r="C160" s="48" t="s">
        <v>441</v>
      </c>
      <c r="D160" s="48" t="s">
        <v>20</v>
      </c>
      <c r="E160" s="48" t="s">
        <v>177</v>
      </c>
      <c r="F160" s="48" t="s">
        <v>613</v>
      </c>
      <c r="G160" s="48" t="s">
        <v>24</v>
      </c>
      <c r="H160" s="48" t="s">
        <v>613</v>
      </c>
      <c r="I160" s="48" t="s">
        <v>26</v>
      </c>
      <c r="J160" s="48">
        <v>1020106</v>
      </c>
      <c r="K160" s="50">
        <v>1000000</v>
      </c>
      <c r="L160" s="50">
        <v>1</v>
      </c>
      <c r="M160" s="50">
        <v>1000000</v>
      </c>
      <c r="N160" s="50">
        <v>1000000</v>
      </c>
      <c r="O160" s="50">
        <v>0</v>
      </c>
      <c r="P160" s="50">
        <v>0</v>
      </c>
      <c r="Q160" s="87">
        <v>0</v>
      </c>
      <c r="R160" s="152">
        <v>0</v>
      </c>
      <c r="S160" s="174"/>
      <c r="T160" s="74">
        <v>45991</v>
      </c>
      <c r="U160" s="74">
        <v>45991</v>
      </c>
      <c r="V160" s="48"/>
      <c r="W160" s="48"/>
      <c r="X160" s="48"/>
      <c r="Y160" s="48">
        <v>0</v>
      </c>
      <c r="Z160" s="48"/>
      <c r="AA160" s="48" t="s">
        <v>612</v>
      </c>
      <c r="AB160" s="48" t="s">
        <v>27</v>
      </c>
      <c r="AC160" s="48" t="s">
        <v>311</v>
      </c>
      <c r="AD160" s="89" t="s">
        <v>845</v>
      </c>
    </row>
    <row r="161" spans="1:30" ht="15.75" hidden="1" x14ac:dyDescent="0.25">
      <c r="A161" s="48" t="s">
        <v>580</v>
      </c>
      <c r="B161" s="74">
        <v>45645</v>
      </c>
      <c r="C161" s="48" t="s">
        <v>441</v>
      </c>
      <c r="D161" s="48" t="s">
        <v>20</v>
      </c>
      <c r="E161" s="48" t="s">
        <v>177</v>
      </c>
      <c r="F161" s="48" t="s">
        <v>70</v>
      </c>
      <c r="G161" s="48" t="s">
        <v>24</v>
      </c>
      <c r="H161" s="48" t="s">
        <v>22</v>
      </c>
      <c r="I161" s="48" t="s">
        <v>26</v>
      </c>
      <c r="J161" s="48">
        <v>1020055</v>
      </c>
      <c r="K161" s="50">
        <v>150129.60999999999</v>
      </c>
      <c r="L161" s="50">
        <v>1</v>
      </c>
      <c r="M161" s="50">
        <v>150129.60999999999</v>
      </c>
      <c r="N161" s="50">
        <v>150129.60999999999</v>
      </c>
      <c r="O161" s="50">
        <v>0</v>
      </c>
      <c r="P161" s="50">
        <v>0</v>
      </c>
      <c r="Q161" s="87">
        <v>0</v>
      </c>
      <c r="R161" s="152">
        <v>0</v>
      </c>
      <c r="S161" s="174"/>
      <c r="T161" s="74">
        <v>45930</v>
      </c>
      <c r="U161" s="74">
        <v>45930</v>
      </c>
      <c r="V161" s="48"/>
      <c r="W161" s="48"/>
      <c r="X161" s="48"/>
      <c r="Y161" s="48">
        <v>0</v>
      </c>
      <c r="Z161" s="48"/>
      <c r="AA161" s="48" t="s">
        <v>373</v>
      </c>
      <c r="AB161" s="48" t="s">
        <v>70</v>
      </c>
      <c r="AC161" s="48" t="s">
        <v>311</v>
      </c>
      <c r="AD161" s="89" t="s">
        <v>845</v>
      </c>
    </row>
    <row r="162" spans="1:30" ht="15.75" hidden="1" x14ac:dyDescent="0.25">
      <c r="A162" s="48" t="s">
        <v>2394</v>
      </c>
      <c r="B162" s="74">
        <v>45959</v>
      </c>
      <c r="C162" s="48" t="s">
        <v>3566</v>
      </c>
      <c r="D162" s="48" t="s">
        <v>20</v>
      </c>
      <c r="E162" s="48" t="s">
        <v>177</v>
      </c>
      <c r="F162" s="48" t="s">
        <v>613</v>
      </c>
      <c r="G162" s="48" t="s">
        <v>24</v>
      </c>
      <c r="H162" s="48" t="s">
        <v>613</v>
      </c>
      <c r="I162" s="48" t="s">
        <v>26</v>
      </c>
      <c r="J162" s="48">
        <v>1020106</v>
      </c>
      <c r="K162" s="50">
        <v>2000000.93</v>
      </c>
      <c r="L162" s="50">
        <v>1</v>
      </c>
      <c r="M162" s="50">
        <v>2000000.93</v>
      </c>
      <c r="N162" s="50">
        <v>2000000.93</v>
      </c>
      <c r="O162" s="50">
        <v>0</v>
      </c>
      <c r="P162" s="50">
        <v>0</v>
      </c>
      <c r="Q162" s="87">
        <v>0</v>
      </c>
      <c r="R162" s="152">
        <v>0</v>
      </c>
      <c r="S162" s="174"/>
      <c r="T162" s="74">
        <v>46022</v>
      </c>
      <c r="U162" s="74">
        <v>46022</v>
      </c>
      <c r="V162" s="48"/>
      <c r="W162" s="48"/>
      <c r="X162" s="48"/>
      <c r="Y162" s="48">
        <v>0</v>
      </c>
      <c r="Z162" s="48"/>
      <c r="AA162" s="48" t="s">
        <v>612</v>
      </c>
      <c r="AB162" s="48" t="s">
        <v>27</v>
      </c>
      <c r="AC162" s="48" t="s">
        <v>1904</v>
      </c>
      <c r="AD162" s="89" t="s">
        <v>845</v>
      </c>
    </row>
    <row r="163" spans="1:30" ht="15.75" hidden="1" x14ac:dyDescent="0.25">
      <c r="A163" s="48" t="s">
        <v>3323</v>
      </c>
      <c r="B163" s="74">
        <v>46023</v>
      </c>
      <c r="C163" s="48" t="s">
        <v>1537</v>
      </c>
      <c r="D163" s="48" t="s">
        <v>20</v>
      </c>
      <c r="E163" s="48" t="s">
        <v>177</v>
      </c>
      <c r="F163" s="48" t="s">
        <v>483</v>
      </c>
      <c r="G163" s="48" t="s">
        <v>24</v>
      </c>
      <c r="H163" s="48" t="s">
        <v>483</v>
      </c>
      <c r="I163" s="48" t="s">
        <v>26</v>
      </c>
      <c r="J163" s="48">
        <v>1020096</v>
      </c>
      <c r="K163" s="50">
        <v>1044853.45</v>
      </c>
      <c r="L163" s="50">
        <v>1</v>
      </c>
      <c r="M163" s="50">
        <v>1044853.45</v>
      </c>
      <c r="N163" s="50">
        <v>0</v>
      </c>
      <c r="O163" s="50">
        <v>1044853.45</v>
      </c>
      <c r="P163" s="50">
        <v>567743.27</v>
      </c>
      <c r="Q163" s="87">
        <v>477110.18</v>
      </c>
      <c r="R163" s="152">
        <v>0</v>
      </c>
      <c r="S163" s="174" t="s">
        <v>4620</v>
      </c>
      <c r="T163" s="74">
        <v>46296</v>
      </c>
      <c r="U163" s="74">
        <v>46296</v>
      </c>
      <c r="V163" s="48"/>
      <c r="W163" s="48"/>
      <c r="X163" s="48"/>
      <c r="Y163" s="48">
        <v>0</v>
      </c>
      <c r="Z163" s="48"/>
      <c r="AA163" s="48" t="s">
        <v>62</v>
      </c>
      <c r="AB163" s="48" t="s">
        <v>27</v>
      </c>
      <c r="AC163" s="48" t="s">
        <v>3229</v>
      </c>
      <c r="AD163" s="89" t="s">
        <v>1026</v>
      </c>
    </row>
    <row r="164" spans="1:30" ht="15.75" hidden="1" x14ac:dyDescent="0.25">
      <c r="A164" s="48" t="s">
        <v>3571</v>
      </c>
      <c r="B164" s="74">
        <v>46033</v>
      </c>
      <c r="C164" s="48" t="s">
        <v>441</v>
      </c>
      <c r="D164" s="48" t="s">
        <v>20</v>
      </c>
      <c r="E164" s="48" t="s">
        <v>779</v>
      </c>
      <c r="F164" s="48" t="s">
        <v>613</v>
      </c>
      <c r="G164" s="48" t="s">
        <v>24</v>
      </c>
      <c r="H164" s="48" t="s">
        <v>613</v>
      </c>
      <c r="I164" s="48" t="s">
        <v>26</v>
      </c>
      <c r="J164" s="48">
        <v>1020106</v>
      </c>
      <c r="K164" s="50">
        <v>1500000</v>
      </c>
      <c r="L164" s="50">
        <v>1</v>
      </c>
      <c r="M164" s="50">
        <v>1500000</v>
      </c>
      <c r="N164" s="50">
        <v>1478254.88</v>
      </c>
      <c r="O164" s="50">
        <v>21745.119999999999</v>
      </c>
      <c r="P164" s="50">
        <v>0</v>
      </c>
      <c r="Q164" s="87">
        <v>21745.119999999999</v>
      </c>
      <c r="R164" s="152">
        <v>0</v>
      </c>
      <c r="S164" s="174"/>
      <c r="T164" s="74">
        <v>46173</v>
      </c>
      <c r="U164" s="74">
        <v>46173</v>
      </c>
      <c r="V164" s="48"/>
      <c r="W164" s="48"/>
      <c r="X164" s="48"/>
      <c r="Y164" s="48">
        <v>0</v>
      </c>
      <c r="Z164" s="48"/>
      <c r="AA164" s="48" t="s">
        <v>612</v>
      </c>
      <c r="AB164" s="48" t="s">
        <v>27</v>
      </c>
      <c r="AC164" s="48" t="s">
        <v>1904</v>
      </c>
      <c r="AD164" s="89" t="s">
        <v>1026</v>
      </c>
    </row>
    <row r="165" spans="1:30" ht="15.75" hidden="1" x14ac:dyDescent="0.25">
      <c r="A165" s="48" t="s">
        <v>227</v>
      </c>
      <c r="B165" s="74">
        <v>45015</v>
      </c>
      <c r="C165" s="48" t="s">
        <v>1182</v>
      </c>
      <c r="D165" s="48" t="s">
        <v>20</v>
      </c>
      <c r="E165" s="48" t="s">
        <v>149</v>
      </c>
      <c r="F165" s="48" t="s">
        <v>22</v>
      </c>
      <c r="G165" s="48" t="s">
        <v>24</v>
      </c>
      <c r="H165" s="48" t="s">
        <v>90</v>
      </c>
      <c r="I165" s="48" t="s">
        <v>26</v>
      </c>
      <c r="J165" s="48">
        <v>1020001</v>
      </c>
      <c r="K165" s="50">
        <v>5705150</v>
      </c>
      <c r="L165" s="50">
        <v>1</v>
      </c>
      <c r="M165" s="50">
        <v>5705150</v>
      </c>
      <c r="N165" s="50">
        <v>5705150</v>
      </c>
      <c r="O165" s="50">
        <v>0</v>
      </c>
      <c r="P165" s="50">
        <v>0</v>
      </c>
      <c r="Q165" s="87">
        <v>0</v>
      </c>
      <c r="R165" s="152">
        <v>0</v>
      </c>
      <c r="S165" s="174"/>
      <c r="T165" s="74">
        <v>45260</v>
      </c>
      <c r="U165" s="74">
        <v>45260</v>
      </c>
      <c r="V165" s="48"/>
      <c r="W165" s="48"/>
      <c r="X165" s="48"/>
      <c r="Y165" s="48">
        <v>0</v>
      </c>
      <c r="Z165" s="48"/>
      <c r="AA165" s="48" t="s">
        <v>21</v>
      </c>
      <c r="AB165" s="48" t="s">
        <v>27</v>
      </c>
      <c r="AC165" s="48"/>
      <c r="AD165" s="89" t="s">
        <v>845</v>
      </c>
    </row>
    <row r="166" spans="1:30" ht="15.75" hidden="1" x14ac:dyDescent="0.25">
      <c r="A166" s="48" t="s">
        <v>148</v>
      </c>
      <c r="B166" s="74">
        <v>45015</v>
      </c>
      <c r="C166" s="48" t="s">
        <v>1182</v>
      </c>
      <c r="D166" s="48" t="s">
        <v>20</v>
      </c>
      <c r="E166" s="48" t="s">
        <v>149</v>
      </c>
      <c r="F166" s="48" t="s">
        <v>22</v>
      </c>
      <c r="G166" s="48" t="s">
        <v>24</v>
      </c>
      <c r="H166" s="48" t="s">
        <v>25</v>
      </c>
      <c r="I166" s="48" t="s">
        <v>26</v>
      </c>
      <c r="J166" s="48">
        <v>1020052</v>
      </c>
      <c r="K166" s="50">
        <v>4330900</v>
      </c>
      <c r="L166" s="50">
        <v>1</v>
      </c>
      <c r="M166" s="50">
        <v>4330900</v>
      </c>
      <c r="N166" s="50">
        <v>4330900</v>
      </c>
      <c r="O166" s="50">
        <v>0</v>
      </c>
      <c r="P166" s="50">
        <v>0</v>
      </c>
      <c r="Q166" s="87">
        <v>0</v>
      </c>
      <c r="R166" s="152">
        <v>0</v>
      </c>
      <c r="S166" s="174"/>
      <c r="T166" s="74">
        <v>45138</v>
      </c>
      <c r="U166" s="74">
        <v>45138</v>
      </c>
      <c r="V166" s="48"/>
      <c r="W166" s="48"/>
      <c r="X166" s="48"/>
      <c r="Y166" s="48">
        <v>0</v>
      </c>
      <c r="Z166" s="48"/>
      <c r="AA166" s="48" t="s">
        <v>21</v>
      </c>
      <c r="AB166" s="48" t="s">
        <v>27</v>
      </c>
      <c r="AC166" s="48"/>
      <c r="AD166" s="89" t="s">
        <v>845</v>
      </c>
    </row>
    <row r="167" spans="1:30" ht="15.75" hidden="1" x14ac:dyDescent="0.25">
      <c r="A167" s="48" t="s">
        <v>584</v>
      </c>
      <c r="B167" s="74">
        <v>45664</v>
      </c>
      <c r="C167" s="48" t="s">
        <v>441</v>
      </c>
      <c r="D167" s="48" t="s">
        <v>20</v>
      </c>
      <c r="E167" s="48" t="s">
        <v>585</v>
      </c>
      <c r="F167" s="48" t="s">
        <v>22</v>
      </c>
      <c r="G167" s="48" t="s">
        <v>24</v>
      </c>
      <c r="H167" s="48" t="s">
        <v>22</v>
      </c>
      <c r="I167" s="48" t="s">
        <v>26</v>
      </c>
      <c r="J167" s="48">
        <v>1020055</v>
      </c>
      <c r="K167" s="50">
        <v>3000000</v>
      </c>
      <c r="L167" s="50">
        <v>1</v>
      </c>
      <c r="M167" s="50">
        <v>3000000</v>
      </c>
      <c r="N167" s="50">
        <v>3000000</v>
      </c>
      <c r="O167" s="50">
        <v>0</v>
      </c>
      <c r="P167" s="50">
        <v>0</v>
      </c>
      <c r="Q167" s="87">
        <v>0</v>
      </c>
      <c r="R167" s="152">
        <v>0</v>
      </c>
      <c r="S167" s="174"/>
      <c r="T167" s="74">
        <v>45747</v>
      </c>
      <c r="U167" s="74">
        <v>45747</v>
      </c>
      <c r="V167" s="48"/>
      <c r="W167" s="48"/>
      <c r="X167" s="48"/>
      <c r="Y167" s="48">
        <v>0</v>
      </c>
      <c r="Z167" s="48"/>
      <c r="AA167" s="48" t="s">
        <v>21</v>
      </c>
      <c r="AB167" s="48" t="s">
        <v>27</v>
      </c>
      <c r="AC167" s="48" t="s">
        <v>311</v>
      </c>
      <c r="AD167" s="89" t="s">
        <v>845</v>
      </c>
    </row>
    <row r="168" spans="1:30" ht="15.75" hidden="1" x14ac:dyDescent="0.25">
      <c r="A168" s="48" t="s">
        <v>652</v>
      </c>
      <c r="B168" s="74">
        <v>45680</v>
      </c>
      <c r="C168" s="48" t="s">
        <v>441</v>
      </c>
      <c r="D168" s="48" t="s">
        <v>20</v>
      </c>
      <c r="E168" s="48" t="s">
        <v>585</v>
      </c>
      <c r="F168" s="48" t="s">
        <v>22</v>
      </c>
      <c r="G168" s="48" t="s">
        <v>24</v>
      </c>
      <c r="H168" s="48" t="s">
        <v>22</v>
      </c>
      <c r="I168" s="48" t="s">
        <v>26</v>
      </c>
      <c r="J168" s="48">
        <v>1020055</v>
      </c>
      <c r="K168" s="50">
        <v>1500000</v>
      </c>
      <c r="L168" s="50">
        <v>1</v>
      </c>
      <c r="M168" s="50">
        <v>1500000</v>
      </c>
      <c r="N168" s="50">
        <v>1457868.77</v>
      </c>
      <c r="O168" s="50">
        <v>42131.23</v>
      </c>
      <c r="P168" s="50">
        <v>0</v>
      </c>
      <c r="Q168" s="87">
        <v>42131.23</v>
      </c>
      <c r="R168" s="152">
        <v>0</v>
      </c>
      <c r="S168" s="174"/>
      <c r="T168" s="74">
        <v>45777</v>
      </c>
      <c r="U168" s="74">
        <v>45777</v>
      </c>
      <c r="V168" s="48"/>
      <c r="W168" s="48"/>
      <c r="X168" s="48"/>
      <c r="Y168" s="48">
        <v>0</v>
      </c>
      <c r="Z168" s="48"/>
      <c r="AA168" s="48" t="s">
        <v>21</v>
      </c>
      <c r="AB168" s="48" t="s">
        <v>27</v>
      </c>
      <c r="AC168" s="48" t="s">
        <v>311</v>
      </c>
      <c r="AD168" s="89" t="s">
        <v>845</v>
      </c>
    </row>
    <row r="169" spans="1:30" ht="15.75" hidden="1" x14ac:dyDescent="0.25">
      <c r="A169" s="48" t="s">
        <v>770</v>
      </c>
      <c r="B169" s="74">
        <v>45734</v>
      </c>
      <c r="C169" s="48" t="s">
        <v>509</v>
      </c>
      <c r="D169" s="48" t="s">
        <v>20</v>
      </c>
      <c r="E169" s="48" t="s">
        <v>585</v>
      </c>
      <c r="F169" s="48" t="s">
        <v>22</v>
      </c>
      <c r="G169" s="48" t="s">
        <v>24</v>
      </c>
      <c r="H169" s="48" t="s">
        <v>407</v>
      </c>
      <c r="I169" s="48" t="s">
        <v>26</v>
      </c>
      <c r="J169" s="48">
        <v>1020100</v>
      </c>
      <c r="K169" s="50">
        <v>400000</v>
      </c>
      <c r="L169" s="50">
        <v>1</v>
      </c>
      <c r="M169" s="50">
        <v>400000</v>
      </c>
      <c r="N169" s="50">
        <v>400000</v>
      </c>
      <c r="O169" s="50">
        <v>0</v>
      </c>
      <c r="P169" s="50">
        <v>0</v>
      </c>
      <c r="Q169" s="87">
        <v>0</v>
      </c>
      <c r="R169" s="152">
        <v>0</v>
      </c>
      <c r="S169" s="174"/>
      <c r="T169" s="74">
        <v>45900</v>
      </c>
      <c r="U169" s="74">
        <v>45900</v>
      </c>
      <c r="V169" s="48"/>
      <c r="W169" s="48"/>
      <c r="X169" s="48"/>
      <c r="Y169" s="48">
        <v>0</v>
      </c>
      <c r="Z169" s="48" t="s">
        <v>1527</v>
      </c>
      <c r="AA169" s="48" t="s">
        <v>21</v>
      </c>
      <c r="AB169" s="48" t="s">
        <v>27</v>
      </c>
      <c r="AC169" s="48" t="s">
        <v>311</v>
      </c>
      <c r="AD169" s="89" t="s">
        <v>845</v>
      </c>
    </row>
    <row r="170" spans="1:30" ht="15.75" hidden="1" x14ac:dyDescent="0.25">
      <c r="A170" s="48" t="s">
        <v>1170</v>
      </c>
      <c r="B170" s="74">
        <v>45757</v>
      </c>
      <c r="C170" s="48" t="s">
        <v>441</v>
      </c>
      <c r="D170" s="48" t="s">
        <v>20</v>
      </c>
      <c r="E170" s="48" t="s">
        <v>585</v>
      </c>
      <c r="F170" s="48" t="s">
        <v>710</v>
      </c>
      <c r="G170" s="48" t="s">
        <v>24</v>
      </c>
      <c r="H170" s="48" t="s">
        <v>710</v>
      </c>
      <c r="I170" s="48" t="s">
        <v>26</v>
      </c>
      <c r="J170" s="48">
        <v>1020088</v>
      </c>
      <c r="K170" s="50">
        <v>1095964</v>
      </c>
      <c r="L170" s="50">
        <v>1</v>
      </c>
      <c r="M170" s="50">
        <v>1095964</v>
      </c>
      <c r="N170" s="50">
        <v>1095964</v>
      </c>
      <c r="O170" s="50">
        <v>0</v>
      </c>
      <c r="P170" s="50">
        <v>0</v>
      </c>
      <c r="Q170" s="87">
        <v>0</v>
      </c>
      <c r="R170" s="152">
        <v>0</v>
      </c>
      <c r="S170" s="174"/>
      <c r="T170" s="74">
        <v>45838</v>
      </c>
      <c r="U170" s="74">
        <v>45838</v>
      </c>
      <c r="V170" s="48"/>
      <c r="W170" s="48"/>
      <c r="X170" s="48"/>
      <c r="Y170" s="48">
        <v>0</v>
      </c>
      <c r="Z170" s="48"/>
      <c r="AA170" s="48" t="s">
        <v>366</v>
      </c>
      <c r="AB170" s="48" t="s">
        <v>27</v>
      </c>
      <c r="AC170" s="48" t="s">
        <v>425</v>
      </c>
      <c r="AD170" s="89" t="s">
        <v>845</v>
      </c>
    </row>
    <row r="171" spans="1:30" ht="15.75" hidden="1" x14ac:dyDescent="0.25">
      <c r="A171" s="48" t="s">
        <v>224</v>
      </c>
      <c r="B171" s="74">
        <v>45245</v>
      </c>
      <c r="C171" s="48" t="s">
        <v>441</v>
      </c>
      <c r="D171" s="48" t="s">
        <v>20</v>
      </c>
      <c r="E171" s="48" t="s">
        <v>225</v>
      </c>
      <c r="F171" s="48" t="s">
        <v>22</v>
      </c>
      <c r="G171" s="48" t="s">
        <v>24</v>
      </c>
      <c r="H171" s="48" t="s">
        <v>22</v>
      </c>
      <c r="I171" s="48" t="s">
        <v>26</v>
      </c>
      <c r="J171" s="48">
        <v>1020055</v>
      </c>
      <c r="K171" s="50">
        <v>1960000</v>
      </c>
      <c r="L171" s="50">
        <v>1</v>
      </c>
      <c r="M171" s="50">
        <v>1960000</v>
      </c>
      <c r="N171" s="50">
        <v>1960000</v>
      </c>
      <c r="O171" s="50">
        <v>0</v>
      </c>
      <c r="P171" s="50">
        <v>0</v>
      </c>
      <c r="Q171" s="87">
        <v>0</v>
      </c>
      <c r="R171" s="152">
        <v>0</v>
      </c>
      <c r="S171" s="174"/>
      <c r="T171" s="74">
        <v>45322</v>
      </c>
      <c r="U171" s="74">
        <v>45322</v>
      </c>
      <c r="V171" s="48"/>
      <c r="W171" s="48"/>
      <c r="X171" s="48"/>
      <c r="Y171" s="48">
        <v>0</v>
      </c>
      <c r="Z171" s="48"/>
      <c r="AA171" s="48" t="s">
        <v>21</v>
      </c>
      <c r="AB171" s="48" t="s">
        <v>27</v>
      </c>
      <c r="AC171" s="48"/>
      <c r="AD171" s="89" t="s">
        <v>845</v>
      </c>
    </row>
    <row r="172" spans="1:30" ht="15.75" hidden="1" x14ac:dyDescent="0.25">
      <c r="A172" s="48" t="s">
        <v>745</v>
      </c>
      <c r="B172" s="74">
        <v>45743</v>
      </c>
      <c r="C172" s="48" t="s">
        <v>1864</v>
      </c>
      <c r="D172" s="48" t="s">
        <v>20</v>
      </c>
      <c r="E172" s="48" t="s">
        <v>746</v>
      </c>
      <c r="F172" s="48" t="s">
        <v>710</v>
      </c>
      <c r="G172" s="48" t="s">
        <v>3221</v>
      </c>
      <c r="H172" s="48" t="s">
        <v>81</v>
      </c>
      <c r="I172" s="48" t="s">
        <v>26</v>
      </c>
      <c r="J172" s="48">
        <v>1020070</v>
      </c>
      <c r="K172" s="50">
        <v>3262947</v>
      </c>
      <c r="L172" s="50">
        <v>1</v>
      </c>
      <c r="M172" s="50">
        <v>3262947</v>
      </c>
      <c r="N172" s="50">
        <v>3262947</v>
      </c>
      <c r="O172" s="50">
        <v>0</v>
      </c>
      <c r="P172" s="50">
        <v>0</v>
      </c>
      <c r="Q172" s="87">
        <v>0</v>
      </c>
      <c r="R172" s="152">
        <v>0</v>
      </c>
      <c r="S172" s="174"/>
      <c r="T172" s="74">
        <v>45808</v>
      </c>
      <c r="U172" s="74">
        <v>45777</v>
      </c>
      <c r="V172" s="48"/>
      <c r="W172" s="48"/>
      <c r="X172" s="48"/>
      <c r="Y172" s="48">
        <v>0</v>
      </c>
      <c r="Z172" s="48"/>
      <c r="AA172" s="48" t="s">
        <v>366</v>
      </c>
      <c r="AB172" s="48" t="s">
        <v>27</v>
      </c>
      <c r="AC172" s="48" t="s">
        <v>208</v>
      </c>
      <c r="AD172" s="89" t="s">
        <v>845</v>
      </c>
    </row>
    <row r="173" spans="1:30" ht="15.75" hidden="1" x14ac:dyDescent="0.25">
      <c r="A173" s="48" t="s">
        <v>323</v>
      </c>
      <c r="B173" s="74">
        <v>45456</v>
      </c>
      <c r="C173" s="48" t="s">
        <v>1185</v>
      </c>
      <c r="D173" s="48" t="s">
        <v>20</v>
      </c>
      <c r="E173" s="48" t="s">
        <v>324</v>
      </c>
      <c r="F173" s="48" t="s">
        <v>96</v>
      </c>
      <c r="G173" s="48" t="s">
        <v>72</v>
      </c>
      <c r="H173" s="48" t="s">
        <v>325</v>
      </c>
      <c r="I173" s="48" t="s">
        <v>67</v>
      </c>
      <c r="J173" s="48">
        <v>1020068</v>
      </c>
      <c r="K173" s="50">
        <v>217790.5</v>
      </c>
      <c r="L173" s="50">
        <v>4.3951000000000002</v>
      </c>
      <c r="M173" s="50">
        <v>957211.02655000007</v>
      </c>
      <c r="N173" s="50">
        <v>917271.48402500013</v>
      </c>
      <c r="O173" s="50">
        <v>39939.54</v>
      </c>
      <c r="P173" s="50">
        <v>0</v>
      </c>
      <c r="Q173" s="87">
        <v>39939.54</v>
      </c>
      <c r="R173" s="152">
        <v>0</v>
      </c>
      <c r="S173" s="174"/>
      <c r="T173" s="74">
        <v>45565</v>
      </c>
      <c r="U173" s="74">
        <v>45565</v>
      </c>
      <c r="V173" s="48"/>
      <c r="W173" s="48"/>
      <c r="X173" s="48"/>
      <c r="Y173" s="48">
        <v>0</v>
      </c>
      <c r="Z173" s="48"/>
      <c r="AA173" s="48" t="s">
        <v>95</v>
      </c>
      <c r="AB173" s="48" t="s">
        <v>27</v>
      </c>
      <c r="AC173" s="48" t="s">
        <v>208</v>
      </c>
      <c r="AD173" s="89" t="s">
        <v>845</v>
      </c>
    </row>
    <row r="174" spans="1:30" ht="15.75" hidden="1" x14ac:dyDescent="0.25">
      <c r="A174" s="48" t="s">
        <v>1601</v>
      </c>
      <c r="B174" s="74">
        <v>45862</v>
      </c>
      <c r="C174" s="48" t="s">
        <v>441</v>
      </c>
      <c r="D174" s="48" t="s">
        <v>20</v>
      </c>
      <c r="E174" s="48" t="s">
        <v>1574</v>
      </c>
      <c r="F174" s="48" t="s">
        <v>710</v>
      </c>
      <c r="G174" s="48" t="s">
        <v>24</v>
      </c>
      <c r="H174" s="48" t="s">
        <v>710</v>
      </c>
      <c r="I174" s="48" t="s">
        <v>26</v>
      </c>
      <c r="J174" s="48">
        <v>1020088</v>
      </c>
      <c r="K174" s="50">
        <v>400000.94</v>
      </c>
      <c r="L174" s="50">
        <v>1</v>
      </c>
      <c r="M174" s="50">
        <v>400000.94</v>
      </c>
      <c r="N174" s="50">
        <v>378800.2</v>
      </c>
      <c r="O174" s="50">
        <v>21200.74</v>
      </c>
      <c r="P174" s="50">
        <v>0</v>
      </c>
      <c r="Q174" s="87">
        <v>21200.74</v>
      </c>
      <c r="R174" s="152">
        <v>0</v>
      </c>
      <c r="S174" s="174"/>
      <c r="T174" s="74">
        <v>46142</v>
      </c>
      <c r="U174" s="74">
        <v>46142</v>
      </c>
      <c r="V174" s="48"/>
      <c r="W174" s="48"/>
      <c r="X174" s="48"/>
      <c r="Y174" s="48">
        <v>0</v>
      </c>
      <c r="Z174" s="48"/>
      <c r="AA174" s="48" t="s">
        <v>366</v>
      </c>
      <c r="AB174" s="48" t="s">
        <v>27</v>
      </c>
      <c r="AC174" s="48" t="s">
        <v>621</v>
      </c>
      <c r="AD174" s="89" t="s">
        <v>845</v>
      </c>
    </row>
    <row r="175" spans="1:30" ht="15.75" hidden="1" x14ac:dyDescent="0.25">
      <c r="A175" s="48" t="s">
        <v>5432</v>
      </c>
      <c r="B175" s="74">
        <v>46177</v>
      </c>
      <c r="C175" s="48" t="s">
        <v>441</v>
      </c>
      <c r="D175" s="48" t="s">
        <v>20</v>
      </c>
      <c r="E175" s="48" t="s">
        <v>1574</v>
      </c>
      <c r="F175" s="48" t="s">
        <v>710</v>
      </c>
      <c r="G175" s="48" t="s">
        <v>24</v>
      </c>
      <c r="H175" s="48" t="s">
        <v>710</v>
      </c>
      <c r="I175" s="48" t="s">
        <v>26</v>
      </c>
      <c r="J175" s="48">
        <v>1020088</v>
      </c>
      <c r="K175" s="50">
        <v>350000</v>
      </c>
      <c r="L175" s="50">
        <v>1</v>
      </c>
      <c r="M175" s="50">
        <v>350000</v>
      </c>
      <c r="N175" s="50">
        <v>0</v>
      </c>
      <c r="O175" s="50">
        <v>350000</v>
      </c>
      <c r="P175" s="50">
        <v>0</v>
      </c>
      <c r="Q175" s="87">
        <v>350000</v>
      </c>
      <c r="R175" s="152">
        <v>0</v>
      </c>
      <c r="S175" s="174"/>
      <c r="T175" s="74">
        <v>46265</v>
      </c>
      <c r="U175" s="74">
        <v>46265</v>
      </c>
      <c r="V175" s="48"/>
      <c r="W175" s="48"/>
      <c r="X175" s="48"/>
      <c r="Y175" s="48">
        <v>0</v>
      </c>
      <c r="Z175" s="48"/>
      <c r="AA175" s="48" t="s">
        <v>366</v>
      </c>
      <c r="AB175" s="48" t="s">
        <v>27</v>
      </c>
      <c r="AC175" s="48" t="s">
        <v>5175</v>
      </c>
      <c r="AD175" s="89" t="s">
        <v>1026</v>
      </c>
    </row>
    <row r="176" spans="1:30" ht="15.75" hidden="1" x14ac:dyDescent="0.25">
      <c r="A176" s="48" t="s">
        <v>380</v>
      </c>
      <c r="B176" s="74">
        <v>45551</v>
      </c>
      <c r="C176" s="48" t="s">
        <v>441</v>
      </c>
      <c r="D176" s="48" t="s">
        <v>20</v>
      </c>
      <c r="E176" s="48" t="s">
        <v>381</v>
      </c>
      <c r="F176" s="48" t="s">
        <v>96</v>
      </c>
      <c r="G176" s="48" t="s">
        <v>24</v>
      </c>
      <c r="H176" s="48" t="s">
        <v>22</v>
      </c>
      <c r="I176" s="48" t="s">
        <v>26</v>
      </c>
      <c r="J176" s="48">
        <v>1020055</v>
      </c>
      <c r="K176" s="50">
        <v>500000</v>
      </c>
      <c r="L176" s="50">
        <v>1</v>
      </c>
      <c r="M176" s="50">
        <v>500000</v>
      </c>
      <c r="N176" s="50">
        <v>500000</v>
      </c>
      <c r="O176" s="50">
        <v>0</v>
      </c>
      <c r="P176" s="50">
        <v>0</v>
      </c>
      <c r="Q176" s="87">
        <v>0</v>
      </c>
      <c r="R176" s="152">
        <v>0</v>
      </c>
      <c r="S176" s="174"/>
      <c r="T176" s="74">
        <v>45688</v>
      </c>
      <c r="U176" s="74">
        <v>45661</v>
      </c>
      <c r="V176" s="48"/>
      <c r="W176" s="48"/>
      <c r="X176" s="48"/>
      <c r="Y176" s="48">
        <v>0</v>
      </c>
      <c r="Z176" s="48"/>
      <c r="AA176" s="48" t="s">
        <v>95</v>
      </c>
      <c r="AB176" s="48" t="s">
        <v>27</v>
      </c>
      <c r="AC176" s="48" t="s">
        <v>311</v>
      </c>
      <c r="AD176" s="89" t="s">
        <v>845</v>
      </c>
    </row>
    <row r="177" spans="1:30" ht="15.75" hidden="1" x14ac:dyDescent="0.25">
      <c r="A177" s="48" t="s">
        <v>114</v>
      </c>
      <c r="B177" s="74">
        <v>45041</v>
      </c>
      <c r="C177" s="48" t="s">
        <v>441</v>
      </c>
      <c r="D177" s="48" t="s">
        <v>20</v>
      </c>
      <c r="E177" s="48" t="s">
        <v>115</v>
      </c>
      <c r="F177" s="48" t="s">
        <v>22</v>
      </c>
      <c r="G177" s="48" t="s">
        <v>24</v>
      </c>
      <c r="H177" s="48" t="s">
        <v>22</v>
      </c>
      <c r="I177" s="48" t="s">
        <v>26</v>
      </c>
      <c r="J177" s="48">
        <v>1020055</v>
      </c>
      <c r="K177" s="50">
        <v>1603107.56</v>
      </c>
      <c r="L177" s="50">
        <v>1</v>
      </c>
      <c r="M177" s="50">
        <v>1603107.56</v>
      </c>
      <c r="N177" s="50">
        <v>1603107.56</v>
      </c>
      <c r="O177" s="50">
        <v>0</v>
      </c>
      <c r="P177" s="50">
        <v>0</v>
      </c>
      <c r="Q177" s="87">
        <v>0</v>
      </c>
      <c r="R177" s="152">
        <v>0</v>
      </c>
      <c r="S177" s="174"/>
      <c r="T177" s="74">
        <v>45107</v>
      </c>
      <c r="U177" s="74">
        <v>45107</v>
      </c>
      <c r="V177" s="48"/>
      <c r="W177" s="48"/>
      <c r="X177" s="48"/>
      <c r="Y177" s="48">
        <v>0</v>
      </c>
      <c r="Z177" s="48"/>
      <c r="AA177" s="48" t="s">
        <v>21</v>
      </c>
      <c r="AB177" s="48" t="s">
        <v>27</v>
      </c>
      <c r="AC177" s="48"/>
      <c r="AD177" s="89" t="s">
        <v>845</v>
      </c>
    </row>
    <row r="178" spans="1:30" ht="15.75" hidden="1" x14ac:dyDescent="0.25">
      <c r="A178" s="48" t="s">
        <v>222</v>
      </c>
      <c r="B178" s="74">
        <v>45168</v>
      </c>
      <c r="C178" s="48" t="s">
        <v>441</v>
      </c>
      <c r="D178" s="48" t="s">
        <v>20</v>
      </c>
      <c r="E178" s="48" t="s">
        <v>115</v>
      </c>
      <c r="F178" s="48" t="s">
        <v>22</v>
      </c>
      <c r="G178" s="48" t="s">
        <v>24</v>
      </c>
      <c r="H178" s="48" t="s">
        <v>22</v>
      </c>
      <c r="I178" s="48" t="s">
        <v>26</v>
      </c>
      <c r="J178" s="48">
        <v>1020055</v>
      </c>
      <c r="K178" s="50">
        <v>1000000</v>
      </c>
      <c r="L178" s="50">
        <v>1</v>
      </c>
      <c r="M178" s="50">
        <v>1000000</v>
      </c>
      <c r="N178" s="50">
        <v>1000000</v>
      </c>
      <c r="O178" s="50">
        <v>0</v>
      </c>
      <c r="P178" s="50">
        <v>0</v>
      </c>
      <c r="Q178" s="87">
        <v>0</v>
      </c>
      <c r="R178" s="152">
        <v>0</v>
      </c>
      <c r="S178" s="174"/>
      <c r="T178" s="74">
        <v>45260</v>
      </c>
      <c r="U178" s="74">
        <v>45260</v>
      </c>
      <c r="V178" s="48"/>
      <c r="W178" s="48"/>
      <c r="X178" s="48"/>
      <c r="Y178" s="48">
        <v>0</v>
      </c>
      <c r="Z178" s="48"/>
      <c r="AA178" s="48" t="s">
        <v>21</v>
      </c>
      <c r="AB178" s="48" t="s">
        <v>27</v>
      </c>
      <c r="AC178" s="48"/>
      <c r="AD178" s="89" t="s">
        <v>845</v>
      </c>
    </row>
    <row r="179" spans="1:30" ht="15.75" hidden="1" x14ac:dyDescent="0.25">
      <c r="A179" s="48" t="s">
        <v>1659</v>
      </c>
      <c r="B179" s="74">
        <v>45869</v>
      </c>
      <c r="C179" s="48" t="s">
        <v>441</v>
      </c>
      <c r="D179" s="48" t="s">
        <v>20</v>
      </c>
      <c r="E179" s="48" t="s">
        <v>115</v>
      </c>
      <c r="F179" s="48" t="s">
        <v>22</v>
      </c>
      <c r="G179" s="48" t="s">
        <v>24</v>
      </c>
      <c r="H179" s="48" t="s">
        <v>22</v>
      </c>
      <c r="I179" s="48" t="s">
        <v>26</v>
      </c>
      <c r="J179" s="48">
        <v>1020055</v>
      </c>
      <c r="K179" s="50">
        <v>250000</v>
      </c>
      <c r="L179" s="50">
        <v>1</v>
      </c>
      <c r="M179" s="50">
        <v>250000</v>
      </c>
      <c r="N179" s="50">
        <v>250000</v>
      </c>
      <c r="O179" s="50">
        <v>0</v>
      </c>
      <c r="P179" s="50">
        <v>0</v>
      </c>
      <c r="Q179" s="87">
        <v>0</v>
      </c>
      <c r="R179" s="152">
        <v>0</v>
      </c>
      <c r="S179" s="174"/>
      <c r="T179" s="74">
        <v>46022</v>
      </c>
      <c r="U179" s="74">
        <v>46022</v>
      </c>
      <c r="V179" s="48"/>
      <c r="W179" s="48"/>
      <c r="X179" s="48"/>
      <c r="Y179" s="48">
        <v>0</v>
      </c>
      <c r="Z179" s="48"/>
      <c r="AA179" s="48" t="s">
        <v>21</v>
      </c>
      <c r="AB179" s="48" t="s">
        <v>27</v>
      </c>
      <c r="AC179" s="48" t="s">
        <v>621</v>
      </c>
      <c r="AD179" s="89" t="s">
        <v>845</v>
      </c>
    </row>
    <row r="180" spans="1:30" ht="15.75" hidden="1" x14ac:dyDescent="0.25">
      <c r="A180" s="48" t="s">
        <v>803</v>
      </c>
      <c r="B180" s="74">
        <v>45739</v>
      </c>
      <c r="C180" s="48" t="s">
        <v>441</v>
      </c>
      <c r="D180" s="48" t="s">
        <v>20</v>
      </c>
      <c r="E180" s="48" t="s">
        <v>557</v>
      </c>
      <c r="F180" s="48" t="s">
        <v>22</v>
      </c>
      <c r="G180" s="48" t="s">
        <v>24</v>
      </c>
      <c r="H180" s="48" t="s">
        <v>22</v>
      </c>
      <c r="I180" s="48" t="s">
        <v>26</v>
      </c>
      <c r="J180" s="48">
        <v>1020055</v>
      </c>
      <c r="K180" s="50">
        <v>300000.5</v>
      </c>
      <c r="L180" s="50">
        <v>1</v>
      </c>
      <c r="M180" s="50">
        <v>300000.5</v>
      </c>
      <c r="N180" s="50">
        <v>300000</v>
      </c>
      <c r="O180" s="50">
        <v>0.5</v>
      </c>
      <c r="P180" s="50">
        <v>0</v>
      </c>
      <c r="Q180" s="87">
        <v>0.5</v>
      </c>
      <c r="R180" s="152">
        <v>0</v>
      </c>
      <c r="S180" s="174"/>
      <c r="T180" s="74">
        <v>45838</v>
      </c>
      <c r="U180" s="74">
        <v>45838</v>
      </c>
      <c r="V180" s="48"/>
      <c r="W180" s="48"/>
      <c r="X180" s="48"/>
      <c r="Y180" s="48">
        <v>0</v>
      </c>
      <c r="Z180" s="48"/>
      <c r="AA180" s="48" t="s">
        <v>21</v>
      </c>
      <c r="AB180" s="48" t="s">
        <v>27</v>
      </c>
      <c r="AC180" s="48" t="s">
        <v>311</v>
      </c>
      <c r="AD180" s="89" t="s">
        <v>845</v>
      </c>
    </row>
    <row r="181" spans="1:30" ht="15.75" hidden="1" x14ac:dyDescent="0.25">
      <c r="A181" s="48" t="s">
        <v>556</v>
      </c>
      <c r="B181" s="74">
        <v>45638</v>
      </c>
      <c r="C181" s="48" t="s">
        <v>441</v>
      </c>
      <c r="D181" s="48" t="s">
        <v>20</v>
      </c>
      <c r="E181" s="48" t="s">
        <v>557</v>
      </c>
      <c r="F181" s="48" t="s">
        <v>483</v>
      </c>
      <c r="G181" s="48" t="s">
        <v>24</v>
      </c>
      <c r="H181" s="48" t="s">
        <v>22</v>
      </c>
      <c r="I181" s="48" t="s">
        <v>26</v>
      </c>
      <c r="J181" s="48">
        <v>1020055</v>
      </c>
      <c r="K181" s="50">
        <v>1500000</v>
      </c>
      <c r="L181" s="50">
        <v>1</v>
      </c>
      <c r="M181" s="50">
        <v>1500000</v>
      </c>
      <c r="N181" s="50">
        <v>1500000</v>
      </c>
      <c r="O181" s="50">
        <v>0</v>
      </c>
      <c r="P181" s="50">
        <v>0</v>
      </c>
      <c r="Q181" s="87">
        <v>0</v>
      </c>
      <c r="R181" s="152">
        <v>0</v>
      </c>
      <c r="S181" s="174"/>
      <c r="T181" s="74">
        <v>45747</v>
      </c>
      <c r="U181" s="74">
        <v>45747</v>
      </c>
      <c r="V181" s="48"/>
      <c r="W181" s="48"/>
      <c r="X181" s="48"/>
      <c r="Y181" s="48">
        <v>0</v>
      </c>
      <c r="Z181" s="48"/>
      <c r="AA181" s="48" t="s">
        <v>373</v>
      </c>
      <c r="AB181" s="48" t="s">
        <v>27</v>
      </c>
      <c r="AC181" s="48" t="s">
        <v>311</v>
      </c>
      <c r="AD181" s="89" t="s">
        <v>845</v>
      </c>
    </row>
    <row r="182" spans="1:30" ht="15.75" hidden="1" x14ac:dyDescent="0.25">
      <c r="A182" s="48" t="s">
        <v>1354</v>
      </c>
      <c r="B182" s="74">
        <v>45792</v>
      </c>
      <c r="C182" s="48" t="s">
        <v>441</v>
      </c>
      <c r="D182" s="48" t="s">
        <v>20</v>
      </c>
      <c r="E182" s="48" t="s">
        <v>1322</v>
      </c>
      <c r="F182" s="48" t="s">
        <v>22</v>
      </c>
      <c r="G182" s="48" t="s">
        <v>24</v>
      </c>
      <c r="H182" s="48" t="s">
        <v>22</v>
      </c>
      <c r="I182" s="48" t="s">
        <v>26</v>
      </c>
      <c r="J182" s="48">
        <v>1020055</v>
      </c>
      <c r="K182" s="50">
        <v>221169.27</v>
      </c>
      <c r="L182" s="50">
        <v>1</v>
      </c>
      <c r="M182" s="50">
        <v>221169.27</v>
      </c>
      <c r="N182" s="50">
        <v>221169.27</v>
      </c>
      <c r="O182" s="50">
        <v>0</v>
      </c>
      <c r="P182" s="50">
        <v>0</v>
      </c>
      <c r="Q182" s="87">
        <v>0</v>
      </c>
      <c r="R182" s="152">
        <v>0</v>
      </c>
      <c r="S182" s="174"/>
      <c r="T182" s="74">
        <v>45961</v>
      </c>
      <c r="U182" s="74">
        <v>45961</v>
      </c>
      <c r="V182" s="48"/>
      <c r="W182" s="48"/>
      <c r="X182" s="48"/>
      <c r="Y182" s="48">
        <v>0</v>
      </c>
      <c r="Z182" s="48" t="s">
        <v>1846</v>
      </c>
      <c r="AA182" s="48" t="s">
        <v>21</v>
      </c>
      <c r="AB182" s="48" t="s">
        <v>27</v>
      </c>
      <c r="AC182" s="48" t="s">
        <v>621</v>
      </c>
      <c r="AD182" s="89" t="s">
        <v>845</v>
      </c>
    </row>
    <row r="183" spans="1:30" ht="15.75" hidden="1" x14ac:dyDescent="0.25">
      <c r="A183" s="48" t="s">
        <v>1433</v>
      </c>
      <c r="B183" s="74">
        <v>45810</v>
      </c>
      <c r="C183" s="48" t="s">
        <v>441</v>
      </c>
      <c r="D183" s="48" t="s">
        <v>20</v>
      </c>
      <c r="E183" s="48" t="s">
        <v>1322</v>
      </c>
      <c r="F183" s="48" t="s">
        <v>710</v>
      </c>
      <c r="G183" s="48" t="s">
        <v>24</v>
      </c>
      <c r="H183" s="48" t="s">
        <v>710</v>
      </c>
      <c r="I183" s="48" t="s">
        <v>26</v>
      </c>
      <c r="J183" s="48">
        <v>1020088</v>
      </c>
      <c r="K183" s="50">
        <v>650000</v>
      </c>
      <c r="L183" s="50">
        <v>1</v>
      </c>
      <c r="M183" s="50">
        <v>650000</v>
      </c>
      <c r="N183" s="50">
        <v>650000</v>
      </c>
      <c r="O183" s="50">
        <v>0</v>
      </c>
      <c r="P183" s="50">
        <v>0</v>
      </c>
      <c r="Q183" s="87">
        <v>0</v>
      </c>
      <c r="R183" s="152">
        <v>0</v>
      </c>
      <c r="S183" s="174"/>
      <c r="T183" s="74">
        <v>45900</v>
      </c>
      <c r="U183" s="74">
        <v>45900</v>
      </c>
      <c r="V183" s="48"/>
      <c r="W183" s="48"/>
      <c r="X183" s="48"/>
      <c r="Y183" s="48">
        <v>0</v>
      </c>
      <c r="Z183" s="48"/>
      <c r="AA183" s="48" t="s">
        <v>366</v>
      </c>
      <c r="AB183" s="48" t="s">
        <v>27</v>
      </c>
      <c r="AC183" s="48" t="s">
        <v>621</v>
      </c>
      <c r="AD183" s="89" t="s">
        <v>845</v>
      </c>
    </row>
    <row r="184" spans="1:30" ht="15.75" hidden="1" x14ac:dyDescent="0.25">
      <c r="A184" s="48" t="s">
        <v>4556</v>
      </c>
      <c r="B184" s="74">
        <v>46118</v>
      </c>
      <c r="C184" s="48" t="s">
        <v>441</v>
      </c>
      <c r="D184" s="48" t="s">
        <v>20</v>
      </c>
      <c r="E184" s="48" t="s">
        <v>4497</v>
      </c>
      <c r="F184" s="48" t="s">
        <v>710</v>
      </c>
      <c r="G184" s="48" t="s">
        <v>24</v>
      </c>
      <c r="H184" s="48" t="s">
        <v>710</v>
      </c>
      <c r="I184" s="48" t="s">
        <v>26</v>
      </c>
      <c r="J184" s="48">
        <v>1020088</v>
      </c>
      <c r="K184" s="50">
        <v>450000</v>
      </c>
      <c r="L184" s="50">
        <v>1</v>
      </c>
      <c r="M184" s="50">
        <v>450000</v>
      </c>
      <c r="N184" s="50">
        <v>0</v>
      </c>
      <c r="O184" s="50">
        <v>450000</v>
      </c>
      <c r="P184" s="50">
        <v>0</v>
      </c>
      <c r="Q184" s="87">
        <v>450000</v>
      </c>
      <c r="R184" s="152">
        <v>450000</v>
      </c>
      <c r="S184" s="174"/>
      <c r="T184" s="74">
        <v>46203</v>
      </c>
      <c r="U184" s="74">
        <v>46203</v>
      </c>
      <c r="V184" s="48"/>
      <c r="W184" s="48"/>
      <c r="X184" s="48"/>
      <c r="Y184" s="48">
        <v>0</v>
      </c>
      <c r="Z184" s="48"/>
      <c r="AA184" s="48" t="s">
        <v>366</v>
      </c>
      <c r="AB184" s="48" t="s">
        <v>27</v>
      </c>
      <c r="AC184" s="48" t="s">
        <v>4493</v>
      </c>
      <c r="AD184" s="89" t="s">
        <v>1026</v>
      </c>
    </row>
    <row r="185" spans="1:30" ht="15.75" hidden="1" x14ac:dyDescent="0.25">
      <c r="A185" s="48" t="s">
        <v>5423</v>
      </c>
      <c r="B185" s="74">
        <v>46177</v>
      </c>
      <c r="C185" s="48" t="s">
        <v>441</v>
      </c>
      <c r="D185" s="48" t="s">
        <v>20</v>
      </c>
      <c r="E185" s="48" t="s">
        <v>1322</v>
      </c>
      <c r="F185" s="48" t="s">
        <v>710</v>
      </c>
      <c r="G185" s="48" t="s">
        <v>24</v>
      </c>
      <c r="H185" s="48" t="s">
        <v>710</v>
      </c>
      <c r="I185" s="48" t="s">
        <v>26</v>
      </c>
      <c r="J185" s="48">
        <v>1020088</v>
      </c>
      <c r="K185" s="50">
        <v>200000</v>
      </c>
      <c r="L185" s="50">
        <v>1</v>
      </c>
      <c r="M185" s="50">
        <v>200000</v>
      </c>
      <c r="N185" s="50">
        <v>0</v>
      </c>
      <c r="O185" s="50">
        <v>200000</v>
      </c>
      <c r="P185" s="50">
        <v>0</v>
      </c>
      <c r="Q185" s="87">
        <v>200000</v>
      </c>
      <c r="R185" s="152">
        <v>0</v>
      </c>
      <c r="S185" s="174"/>
      <c r="T185" s="74">
        <v>46265</v>
      </c>
      <c r="U185" s="74">
        <v>46265</v>
      </c>
      <c r="V185" s="48"/>
      <c r="W185" s="48"/>
      <c r="X185" s="48"/>
      <c r="Y185" s="48">
        <v>0</v>
      </c>
      <c r="Z185" s="48"/>
      <c r="AA185" s="48" t="s">
        <v>366</v>
      </c>
      <c r="AB185" s="48" t="s">
        <v>27</v>
      </c>
      <c r="AC185" s="48" t="s">
        <v>5175</v>
      </c>
      <c r="AD185" s="89" t="s">
        <v>1026</v>
      </c>
    </row>
    <row r="186" spans="1:30" ht="15.75" hidden="1" x14ac:dyDescent="0.25">
      <c r="A186" s="48" t="s">
        <v>3731</v>
      </c>
      <c r="B186" s="74">
        <v>46040</v>
      </c>
      <c r="C186" s="48" t="s">
        <v>3222</v>
      </c>
      <c r="D186" s="48" t="s">
        <v>20</v>
      </c>
      <c r="E186" s="48" t="s">
        <v>3267</v>
      </c>
      <c r="F186" s="48" t="s">
        <v>1450</v>
      </c>
      <c r="G186" s="48" t="s">
        <v>3782</v>
      </c>
      <c r="H186" s="48" t="s">
        <v>367</v>
      </c>
      <c r="I186" s="48" t="s">
        <v>26</v>
      </c>
      <c r="J186" s="48">
        <v>1020091</v>
      </c>
      <c r="K186" s="50">
        <v>1269458.03</v>
      </c>
      <c r="L186" s="50">
        <v>1</v>
      </c>
      <c r="M186" s="50">
        <v>1269458.03</v>
      </c>
      <c r="N186" s="50">
        <v>0</v>
      </c>
      <c r="O186" s="50">
        <v>1269458.03</v>
      </c>
      <c r="P186" s="50">
        <v>0</v>
      </c>
      <c r="Q186" s="87">
        <v>1269458.03</v>
      </c>
      <c r="R186" s="152">
        <v>0</v>
      </c>
      <c r="S186" s="174"/>
      <c r="T186" s="74">
        <v>46174</v>
      </c>
      <c r="U186" s="74">
        <v>46152</v>
      </c>
      <c r="V186" s="48"/>
      <c r="W186" s="48"/>
      <c r="X186" s="48"/>
      <c r="Y186" s="48">
        <v>0</v>
      </c>
      <c r="Z186" s="48"/>
      <c r="AA186" s="48" t="s">
        <v>366</v>
      </c>
      <c r="AB186" s="48" t="s">
        <v>27</v>
      </c>
      <c r="AC186" s="48" t="s">
        <v>305</v>
      </c>
      <c r="AD186" s="89" t="s">
        <v>1026</v>
      </c>
    </row>
    <row r="187" spans="1:30" ht="15.75" hidden="1" x14ac:dyDescent="0.25">
      <c r="A187" s="48" t="s">
        <v>1649</v>
      </c>
      <c r="B187" s="74">
        <v>45869</v>
      </c>
      <c r="C187" s="48" t="s">
        <v>1119</v>
      </c>
      <c r="D187" s="48" t="s">
        <v>20</v>
      </c>
      <c r="E187" s="48" t="s">
        <v>1611</v>
      </c>
      <c r="F187" s="48" t="s">
        <v>367</v>
      </c>
      <c r="G187" s="48" t="s">
        <v>24</v>
      </c>
      <c r="H187" s="48" t="s">
        <v>367</v>
      </c>
      <c r="I187" s="48" t="s">
        <v>26</v>
      </c>
      <c r="J187" s="48">
        <v>1020091</v>
      </c>
      <c r="K187" s="50">
        <v>2080350</v>
      </c>
      <c r="L187" s="50">
        <v>1</v>
      </c>
      <c r="M187" s="50">
        <v>2080350</v>
      </c>
      <c r="N187" s="50">
        <v>2080350</v>
      </c>
      <c r="O187" s="50">
        <v>0</v>
      </c>
      <c r="P187" s="50">
        <v>0</v>
      </c>
      <c r="Q187" s="87">
        <v>0</v>
      </c>
      <c r="R187" s="152">
        <v>0</v>
      </c>
      <c r="S187" s="174"/>
      <c r="T187" s="74">
        <v>45961</v>
      </c>
      <c r="U187" s="74">
        <v>45961</v>
      </c>
      <c r="V187" s="48"/>
      <c r="W187" s="48"/>
      <c r="X187" s="48"/>
      <c r="Y187" s="48">
        <v>0</v>
      </c>
      <c r="Z187" s="48"/>
      <c r="AA187" s="48" t="s">
        <v>366</v>
      </c>
      <c r="AB187" s="48" t="s">
        <v>27</v>
      </c>
      <c r="AC187" s="48" t="s">
        <v>1629</v>
      </c>
      <c r="AD187" s="89" t="s">
        <v>845</v>
      </c>
    </row>
    <row r="188" spans="1:30" ht="15.75" hidden="1" x14ac:dyDescent="0.25">
      <c r="A188" s="48" t="s">
        <v>3720</v>
      </c>
      <c r="B188" s="74">
        <v>46040</v>
      </c>
      <c r="C188" s="48" t="s">
        <v>1259</v>
      </c>
      <c r="D188" s="48" t="s">
        <v>20</v>
      </c>
      <c r="E188" s="48" t="s">
        <v>3619</v>
      </c>
      <c r="F188" s="48" t="s">
        <v>96</v>
      </c>
      <c r="G188" s="48" t="s">
        <v>1791</v>
      </c>
      <c r="H188" s="48" t="s">
        <v>328</v>
      </c>
      <c r="I188" s="48" t="s">
        <v>26</v>
      </c>
      <c r="J188" s="48">
        <v>1020097</v>
      </c>
      <c r="K188" s="50">
        <v>800000</v>
      </c>
      <c r="L188" s="50">
        <v>1</v>
      </c>
      <c r="M188" s="50">
        <v>800000</v>
      </c>
      <c r="N188" s="50">
        <v>800000</v>
      </c>
      <c r="O188" s="50">
        <v>0</v>
      </c>
      <c r="P188" s="50">
        <v>0</v>
      </c>
      <c r="Q188" s="87">
        <v>0</v>
      </c>
      <c r="R188" s="152">
        <v>0</v>
      </c>
      <c r="S188" s="174"/>
      <c r="T188" s="74">
        <v>46081</v>
      </c>
      <c r="U188" s="74">
        <v>46060</v>
      </c>
      <c r="V188" s="48"/>
      <c r="W188" s="48"/>
      <c r="X188" s="48"/>
      <c r="Y188" s="48">
        <v>0</v>
      </c>
      <c r="Z188" s="48"/>
      <c r="AA188" s="48" t="s">
        <v>95</v>
      </c>
      <c r="AB188" s="48" t="s">
        <v>27</v>
      </c>
      <c r="AC188" s="48" t="s">
        <v>28</v>
      </c>
      <c r="AD188" s="89" t="s">
        <v>845</v>
      </c>
    </row>
    <row r="189" spans="1:30" ht="15.75" hidden="1" x14ac:dyDescent="0.25">
      <c r="A189" s="48" t="s">
        <v>160</v>
      </c>
      <c r="B189" s="74">
        <v>45147</v>
      </c>
      <c r="C189" s="48" t="s">
        <v>441</v>
      </c>
      <c r="D189" s="48" t="s">
        <v>20</v>
      </c>
      <c r="E189" s="48" t="s">
        <v>161</v>
      </c>
      <c r="F189" s="48" t="s">
        <v>22</v>
      </c>
      <c r="G189" s="48" t="s">
        <v>24</v>
      </c>
      <c r="H189" s="48" t="s">
        <v>22</v>
      </c>
      <c r="I189" s="48" t="s">
        <v>26</v>
      </c>
      <c r="J189" s="48">
        <v>1020055</v>
      </c>
      <c r="K189" s="50">
        <v>400000</v>
      </c>
      <c r="L189" s="50">
        <v>1</v>
      </c>
      <c r="M189" s="50">
        <v>400000</v>
      </c>
      <c r="N189" s="50">
        <v>400000</v>
      </c>
      <c r="O189" s="50">
        <v>0</v>
      </c>
      <c r="P189" s="50">
        <v>0</v>
      </c>
      <c r="Q189" s="87">
        <v>0</v>
      </c>
      <c r="R189" s="152">
        <v>0</v>
      </c>
      <c r="S189" s="174"/>
      <c r="T189" s="74">
        <v>45230</v>
      </c>
      <c r="U189" s="74">
        <v>45230</v>
      </c>
      <c r="V189" s="48"/>
      <c r="W189" s="48"/>
      <c r="X189" s="48"/>
      <c r="Y189" s="48">
        <v>0</v>
      </c>
      <c r="Z189" s="48"/>
      <c r="AA189" s="48" t="s">
        <v>21</v>
      </c>
      <c r="AB189" s="48" t="s">
        <v>27</v>
      </c>
      <c r="AC189" s="48"/>
      <c r="AD189" s="89" t="s">
        <v>845</v>
      </c>
    </row>
    <row r="190" spans="1:30" ht="15.75" hidden="1" x14ac:dyDescent="0.25">
      <c r="A190" s="48" t="s">
        <v>1196</v>
      </c>
      <c r="B190" s="74">
        <v>45761</v>
      </c>
      <c r="C190" s="48" t="s">
        <v>509</v>
      </c>
      <c r="D190" s="48" t="s">
        <v>20</v>
      </c>
      <c r="E190" s="48" t="s">
        <v>1109</v>
      </c>
      <c r="F190" s="48" t="s">
        <v>22</v>
      </c>
      <c r="G190" s="48" t="s">
        <v>24</v>
      </c>
      <c r="H190" s="48" t="s">
        <v>407</v>
      </c>
      <c r="I190" s="48" t="s">
        <v>26</v>
      </c>
      <c r="J190" s="48">
        <v>1020100</v>
      </c>
      <c r="K190" s="50">
        <v>150000</v>
      </c>
      <c r="L190" s="50">
        <v>1</v>
      </c>
      <c r="M190" s="50">
        <v>150000</v>
      </c>
      <c r="N190" s="50">
        <v>150000</v>
      </c>
      <c r="O190" s="50">
        <v>0</v>
      </c>
      <c r="P190" s="50">
        <v>0</v>
      </c>
      <c r="Q190" s="87">
        <v>0</v>
      </c>
      <c r="R190" s="152">
        <v>0</v>
      </c>
      <c r="S190" s="174"/>
      <c r="T190" s="74">
        <v>45838</v>
      </c>
      <c r="U190" s="74">
        <v>45838</v>
      </c>
      <c r="V190" s="48"/>
      <c r="W190" s="48"/>
      <c r="X190" s="48"/>
      <c r="Y190" s="48">
        <v>0</v>
      </c>
      <c r="Z190" s="48"/>
      <c r="AA190" s="48" t="s">
        <v>21</v>
      </c>
      <c r="AB190" s="48" t="s">
        <v>27</v>
      </c>
      <c r="AC190" s="48" t="s">
        <v>311</v>
      </c>
      <c r="AD190" s="89" t="s">
        <v>845</v>
      </c>
    </row>
    <row r="191" spans="1:30" ht="15.75" hidden="1" x14ac:dyDescent="0.25">
      <c r="A191" s="48" t="s">
        <v>1495</v>
      </c>
      <c r="B191" s="74">
        <v>45831</v>
      </c>
      <c r="C191" s="48" t="s">
        <v>441</v>
      </c>
      <c r="D191" s="48" t="s">
        <v>20</v>
      </c>
      <c r="E191" s="48" t="s">
        <v>1109</v>
      </c>
      <c r="F191" s="48" t="s">
        <v>22</v>
      </c>
      <c r="G191" s="48" t="s">
        <v>24</v>
      </c>
      <c r="H191" s="48" t="s">
        <v>407</v>
      </c>
      <c r="I191" s="48" t="s">
        <v>26</v>
      </c>
      <c r="J191" s="48">
        <v>1020100</v>
      </c>
      <c r="K191" s="50">
        <v>400000</v>
      </c>
      <c r="L191" s="50">
        <v>1</v>
      </c>
      <c r="M191" s="50">
        <v>400000</v>
      </c>
      <c r="N191" s="50">
        <v>362250</v>
      </c>
      <c r="O191" s="50">
        <v>37750</v>
      </c>
      <c r="P191" s="50">
        <v>0</v>
      </c>
      <c r="Q191" s="87">
        <v>37750</v>
      </c>
      <c r="R191" s="152">
        <v>0</v>
      </c>
      <c r="S191" s="174"/>
      <c r="T191" s="74">
        <v>46142</v>
      </c>
      <c r="U191" s="74">
        <v>46142</v>
      </c>
      <c r="V191" s="48"/>
      <c r="W191" s="48"/>
      <c r="X191" s="48"/>
      <c r="Y191" s="48">
        <v>0</v>
      </c>
      <c r="Z191" s="48" t="s">
        <v>4255</v>
      </c>
      <c r="AA191" s="48" t="s">
        <v>21</v>
      </c>
      <c r="AB191" s="48" t="s">
        <v>27</v>
      </c>
      <c r="AC191" s="48" t="s">
        <v>621</v>
      </c>
      <c r="AD191" s="89" t="s">
        <v>845</v>
      </c>
    </row>
    <row r="192" spans="1:30" ht="15.75" hidden="1" x14ac:dyDescent="0.25">
      <c r="A192" s="48" t="s">
        <v>1656</v>
      </c>
      <c r="B192" s="74">
        <v>45869</v>
      </c>
      <c r="C192" s="48" t="s">
        <v>441</v>
      </c>
      <c r="D192" s="48" t="s">
        <v>20</v>
      </c>
      <c r="E192" s="48" t="s">
        <v>1109</v>
      </c>
      <c r="F192" s="48" t="s">
        <v>22</v>
      </c>
      <c r="G192" s="48" t="s">
        <v>24</v>
      </c>
      <c r="H192" s="48" t="s">
        <v>22</v>
      </c>
      <c r="I192" s="48" t="s">
        <v>26</v>
      </c>
      <c r="J192" s="48">
        <v>1020055</v>
      </c>
      <c r="K192" s="50">
        <v>305000</v>
      </c>
      <c r="L192" s="50">
        <v>1</v>
      </c>
      <c r="M192" s="50">
        <v>305000</v>
      </c>
      <c r="N192" s="50">
        <v>305000</v>
      </c>
      <c r="O192" s="50">
        <v>0</v>
      </c>
      <c r="P192" s="50">
        <v>0</v>
      </c>
      <c r="Q192" s="87">
        <v>0</v>
      </c>
      <c r="R192" s="152">
        <v>0</v>
      </c>
      <c r="S192" s="174"/>
      <c r="T192" s="74">
        <v>45961</v>
      </c>
      <c r="U192" s="74">
        <v>45961</v>
      </c>
      <c r="V192" s="48"/>
      <c r="W192" s="48"/>
      <c r="X192" s="48"/>
      <c r="Y192" s="48">
        <v>0</v>
      </c>
      <c r="Z192" s="48" t="s">
        <v>1621</v>
      </c>
      <c r="AA192" s="48" t="s">
        <v>21</v>
      </c>
      <c r="AB192" s="48" t="s">
        <v>27</v>
      </c>
      <c r="AC192" s="48" t="s">
        <v>621</v>
      </c>
      <c r="AD192" s="89" t="s">
        <v>845</v>
      </c>
    </row>
    <row r="193" spans="1:30" ht="15.75" hidden="1" x14ac:dyDescent="0.25">
      <c r="A193" s="48" t="s">
        <v>135</v>
      </c>
      <c r="B193" s="74">
        <v>45147</v>
      </c>
      <c r="C193" s="48" t="s">
        <v>441</v>
      </c>
      <c r="D193" s="48" t="s">
        <v>20</v>
      </c>
      <c r="E193" s="48" t="s">
        <v>136</v>
      </c>
      <c r="F193" s="48" t="s">
        <v>22</v>
      </c>
      <c r="G193" s="48" t="s">
        <v>24</v>
      </c>
      <c r="H193" s="48" t="s">
        <v>22</v>
      </c>
      <c r="I193" s="48" t="s">
        <v>26</v>
      </c>
      <c r="J193" s="48">
        <v>1020055</v>
      </c>
      <c r="K193" s="50">
        <v>786746.67</v>
      </c>
      <c r="L193" s="50">
        <v>1</v>
      </c>
      <c r="M193" s="50">
        <v>786746.67</v>
      </c>
      <c r="N193" s="50">
        <v>786746.67</v>
      </c>
      <c r="O193" s="50">
        <v>0</v>
      </c>
      <c r="P193" s="50">
        <v>0</v>
      </c>
      <c r="Q193" s="87">
        <v>0</v>
      </c>
      <c r="R193" s="152">
        <v>0</v>
      </c>
      <c r="S193" s="174"/>
      <c r="T193" s="74">
        <v>45230</v>
      </c>
      <c r="U193" s="74">
        <v>45230</v>
      </c>
      <c r="V193" s="48"/>
      <c r="W193" s="48"/>
      <c r="X193" s="48"/>
      <c r="Y193" s="48">
        <v>0</v>
      </c>
      <c r="Z193" s="48"/>
      <c r="AA193" s="48" t="s">
        <v>21</v>
      </c>
      <c r="AB193" s="48" t="s">
        <v>27</v>
      </c>
      <c r="AC193" s="48"/>
      <c r="AD193" s="89" t="s">
        <v>845</v>
      </c>
    </row>
    <row r="194" spans="1:30" ht="15.75" hidden="1" x14ac:dyDescent="0.25">
      <c r="A194" s="48" t="s">
        <v>1776</v>
      </c>
      <c r="B194" s="74">
        <v>45888</v>
      </c>
      <c r="C194" s="48" t="s">
        <v>1727</v>
      </c>
      <c r="D194" s="48" t="s">
        <v>20</v>
      </c>
      <c r="E194" s="48" t="s">
        <v>1710</v>
      </c>
      <c r="F194" s="48" t="s">
        <v>70</v>
      </c>
      <c r="G194" s="48" t="s">
        <v>869</v>
      </c>
      <c r="H194" s="48" t="s">
        <v>1762</v>
      </c>
      <c r="I194" s="48" t="s">
        <v>26</v>
      </c>
      <c r="J194" s="48"/>
      <c r="K194" s="50">
        <v>510271</v>
      </c>
      <c r="L194" s="50">
        <v>1</v>
      </c>
      <c r="M194" s="50">
        <v>510271</v>
      </c>
      <c r="N194" s="50">
        <v>510271</v>
      </c>
      <c r="O194" s="50">
        <v>0</v>
      </c>
      <c r="P194" s="50">
        <v>0</v>
      </c>
      <c r="Q194" s="87">
        <v>0</v>
      </c>
      <c r="R194" s="152">
        <v>0</v>
      </c>
      <c r="S194" s="174"/>
      <c r="T194" s="74">
        <v>45930</v>
      </c>
      <c r="U194" s="74">
        <v>45915</v>
      </c>
      <c r="V194" s="48"/>
      <c r="W194" s="48"/>
      <c r="X194" s="48"/>
      <c r="Y194" s="48"/>
      <c r="Z194" s="48"/>
      <c r="AA194" s="48" t="s">
        <v>62</v>
      </c>
      <c r="AB194" s="48" t="s">
        <v>70</v>
      </c>
      <c r="AC194" s="48" t="s">
        <v>208</v>
      </c>
      <c r="AD194" s="89" t="s">
        <v>845</v>
      </c>
    </row>
    <row r="195" spans="1:30" ht="15.75" hidden="1" x14ac:dyDescent="0.25">
      <c r="A195" s="48" t="s">
        <v>2562</v>
      </c>
      <c r="B195" s="74">
        <v>45967</v>
      </c>
      <c r="C195" s="48" t="s">
        <v>2801</v>
      </c>
      <c r="D195" s="48" t="s">
        <v>20</v>
      </c>
      <c r="E195" s="48" t="s">
        <v>2448</v>
      </c>
      <c r="F195" s="48" t="s">
        <v>96</v>
      </c>
      <c r="G195" s="48" t="s">
        <v>3219</v>
      </c>
      <c r="H195" s="48" t="s">
        <v>328</v>
      </c>
      <c r="I195" s="48" t="s">
        <v>26</v>
      </c>
      <c r="J195" s="48">
        <v>1020097</v>
      </c>
      <c r="K195" s="50">
        <v>18703391.850000001</v>
      </c>
      <c r="L195" s="50">
        <v>1</v>
      </c>
      <c r="M195" s="50">
        <v>18703391.850000001</v>
      </c>
      <c r="N195" s="50">
        <v>17787660.100000001</v>
      </c>
      <c r="O195" s="50">
        <v>915731.75</v>
      </c>
      <c r="P195" s="50">
        <v>0</v>
      </c>
      <c r="Q195" s="87">
        <v>915731.75</v>
      </c>
      <c r="R195" s="152">
        <v>915007.28</v>
      </c>
      <c r="S195" s="174"/>
      <c r="T195" s="74">
        <v>46265</v>
      </c>
      <c r="U195" s="74">
        <v>46265</v>
      </c>
      <c r="V195" s="48"/>
      <c r="W195" s="48"/>
      <c r="X195" s="48"/>
      <c r="Y195" s="48">
        <v>0</v>
      </c>
      <c r="Z195" s="48"/>
      <c r="AA195" s="48" t="s">
        <v>95</v>
      </c>
      <c r="AB195" s="48" t="s">
        <v>27</v>
      </c>
      <c r="AC195" s="48" t="s">
        <v>311</v>
      </c>
      <c r="AD195" s="89" t="s">
        <v>1026</v>
      </c>
    </row>
    <row r="196" spans="1:30" ht="15.75" hidden="1" x14ac:dyDescent="0.25">
      <c r="A196" s="48" t="s">
        <v>2907</v>
      </c>
      <c r="B196" s="74">
        <v>45993</v>
      </c>
      <c r="C196" s="48" t="s">
        <v>2801</v>
      </c>
      <c r="D196" s="48" t="s">
        <v>20</v>
      </c>
      <c r="E196" s="48" t="s">
        <v>2448</v>
      </c>
      <c r="F196" s="48" t="s">
        <v>96</v>
      </c>
      <c r="G196" s="48" t="s">
        <v>3219</v>
      </c>
      <c r="H196" s="48" t="s">
        <v>328</v>
      </c>
      <c r="I196" s="48" t="s">
        <v>26</v>
      </c>
      <c r="J196" s="48">
        <v>1020097</v>
      </c>
      <c r="K196" s="50">
        <v>999166</v>
      </c>
      <c r="L196" s="50">
        <v>1</v>
      </c>
      <c r="M196" s="50">
        <v>999166</v>
      </c>
      <c r="N196" s="50">
        <v>999166</v>
      </c>
      <c r="O196" s="50">
        <v>0</v>
      </c>
      <c r="P196" s="50">
        <v>0</v>
      </c>
      <c r="Q196" s="87">
        <v>0</v>
      </c>
      <c r="R196" s="152">
        <v>0</v>
      </c>
      <c r="S196" s="174"/>
      <c r="T196" s="74">
        <v>46081</v>
      </c>
      <c r="U196" s="74">
        <v>46081</v>
      </c>
      <c r="V196" s="48"/>
      <c r="W196" s="48"/>
      <c r="X196" s="48"/>
      <c r="Y196" s="48">
        <v>0</v>
      </c>
      <c r="Z196" s="48"/>
      <c r="AA196" s="48" t="s">
        <v>95</v>
      </c>
      <c r="AB196" s="48" t="s">
        <v>27</v>
      </c>
      <c r="AC196" s="48" t="s">
        <v>2790</v>
      </c>
      <c r="AD196" s="89" t="s">
        <v>845</v>
      </c>
    </row>
    <row r="197" spans="1:30" ht="15.75" hidden="1" x14ac:dyDescent="0.25">
      <c r="A197" s="48" t="s">
        <v>4679</v>
      </c>
      <c r="B197" s="74">
        <v>46124</v>
      </c>
      <c r="C197" s="48" t="s">
        <v>2801</v>
      </c>
      <c r="D197" s="48" t="s">
        <v>20</v>
      </c>
      <c r="E197" s="48" t="s">
        <v>2448</v>
      </c>
      <c r="F197" s="48" t="s">
        <v>96</v>
      </c>
      <c r="G197" s="48" t="s">
        <v>5172</v>
      </c>
      <c r="H197" s="48" t="s">
        <v>328</v>
      </c>
      <c r="I197" s="48" t="s">
        <v>26</v>
      </c>
      <c r="J197" s="48">
        <v>1020097</v>
      </c>
      <c r="K197" s="50">
        <v>7446132.75</v>
      </c>
      <c r="L197" s="50">
        <v>1</v>
      </c>
      <c r="M197" s="50">
        <v>7446132.75</v>
      </c>
      <c r="N197" s="50">
        <v>2500000</v>
      </c>
      <c r="O197" s="50">
        <v>4946132.75</v>
      </c>
      <c r="P197" s="50">
        <v>0</v>
      </c>
      <c r="Q197" s="87">
        <v>4946132.75</v>
      </c>
      <c r="R197" s="152">
        <v>0</v>
      </c>
      <c r="S197" s="174"/>
      <c r="T197" s="74">
        <v>46295</v>
      </c>
      <c r="U197" s="74">
        <v>46265</v>
      </c>
      <c r="V197" s="48"/>
      <c r="W197" s="48"/>
      <c r="X197" s="48"/>
      <c r="Y197" s="48">
        <v>0</v>
      </c>
      <c r="Z197" s="48"/>
      <c r="AA197" s="48" t="s">
        <v>95</v>
      </c>
      <c r="AB197" s="48" t="s">
        <v>27</v>
      </c>
      <c r="AC197" s="48" t="s">
        <v>3188</v>
      </c>
      <c r="AD197" s="89" t="s">
        <v>1026</v>
      </c>
    </row>
    <row r="198" spans="1:30" ht="15.75" hidden="1" x14ac:dyDescent="0.25">
      <c r="A198" s="48" t="s">
        <v>692</v>
      </c>
      <c r="B198" s="74">
        <v>45698</v>
      </c>
      <c r="C198" s="48" t="s">
        <v>441</v>
      </c>
      <c r="D198" s="48" t="s">
        <v>20</v>
      </c>
      <c r="E198" s="48" t="s">
        <v>693</v>
      </c>
      <c r="F198" s="48" t="s">
        <v>613</v>
      </c>
      <c r="G198" s="48" t="s">
        <v>24</v>
      </c>
      <c r="H198" s="48" t="s">
        <v>613</v>
      </c>
      <c r="I198" s="48" t="s">
        <v>26</v>
      </c>
      <c r="J198" s="48">
        <v>1020106</v>
      </c>
      <c r="K198" s="50">
        <v>799251.9</v>
      </c>
      <c r="L198" s="50">
        <v>1</v>
      </c>
      <c r="M198" s="50">
        <v>799251.9</v>
      </c>
      <c r="N198" s="50">
        <v>799251.9</v>
      </c>
      <c r="O198" s="50">
        <v>0</v>
      </c>
      <c r="P198" s="50">
        <v>0</v>
      </c>
      <c r="Q198" s="87">
        <v>0</v>
      </c>
      <c r="R198" s="152">
        <v>0</v>
      </c>
      <c r="S198" s="174"/>
      <c r="T198" s="74">
        <v>45961</v>
      </c>
      <c r="U198" s="74">
        <v>45961</v>
      </c>
      <c r="V198" s="48"/>
      <c r="W198" s="48"/>
      <c r="X198" s="48"/>
      <c r="Y198" s="48">
        <v>0</v>
      </c>
      <c r="Z198" s="48"/>
      <c r="AA198" s="48" t="s">
        <v>612</v>
      </c>
      <c r="AB198" s="48" t="s">
        <v>27</v>
      </c>
      <c r="AC198" s="48" t="s">
        <v>311</v>
      </c>
      <c r="AD198" s="89" t="s">
        <v>845</v>
      </c>
    </row>
    <row r="199" spans="1:30" ht="15.75" hidden="1" x14ac:dyDescent="0.25">
      <c r="A199" s="48" t="s">
        <v>1566</v>
      </c>
      <c r="B199" s="74">
        <v>45855</v>
      </c>
      <c r="C199" s="48" t="s">
        <v>441</v>
      </c>
      <c r="D199" s="48" t="s">
        <v>20</v>
      </c>
      <c r="E199" s="48" t="s">
        <v>693</v>
      </c>
      <c r="F199" s="48" t="s">
        <v>613</v>
      </c>
      <c r="G199" s="48" t="s">
        <v>24</v>
      </c>
      <c r="H199" s="48" t="s">
        <v>613</v>
      </c>
      <c r="I199" s="48" t="s">
        <v>26</v>
      </c>
      <c r="J199" s="48">
        <v>1020106</v>
      </c>
      <c r="K199" s="50">
        <v>399623.8</v>
      </c>
      <c r="L199" s="50">
        <v>1</v>
      </c>
      <c r="M199" s="50">
        <v>399623.8</v>
      </c>
      <c r="N199" s="50">
        <v>399623.77</v>
      </c>
      <c r="O199" s="50">
        <v>0.03</v>
      </c>
      <c r="P199" s="50">
        <v>0</v>
      </c>
      <c r="Q199" s="87">
        <v>0.03</v>
      </c>
      <c r="R199" s="152">
        <v>0</v>
      </c>
      <c r="S199" s="174"/>
      <c r="T199" s="74">
        <v>46081</v>
      </c>
      <c r="U199" s="74">
        <v>46081</v>
      </c>
      <c r="V199" s="48"/>
      <c r="W199" s="48"/>
      <c r="X199" s="48"/>
      <c r="Y199" s="48">
        <v>0</v>
      </c>
      <c r="Z199" s="48"/>
      <c r="AA199" s="48" t="s">
        <v>612</v>
      </c>
      <c r="AB199" s="48" t="s">
        <v>27</v>
      </c>
      <c r="AC199" s="48" t="s">
        <v>311</v>
      </c>
      <c r="AD199" s="89" t="s">
        <v>845</v>
      </c>
    </row>
    <row r="200" spans="1:30" ht="15.75" hidden="1" x14ac:dyDescent="0.25">
      <c r="A200" s="48" t="s">
        <v>2287</v>
      </c>
      <c r="B200" s="74">
        <v>45951</v>
      </c>
      <c r="C200" s="48" t="s">
        <v>3566</v>
      </c>
      <c r="D200" s="48" t="s">
        <v>842</v>
      </c>
      <c r="E200" s="48" t="s">
        <v>1938</v>
      </c>
      <c r="F200" s="48" t="s">
        <v>613</v>
      </c>
      <c r="G200" s="48" t="s">
        <v>72</v>
      </c>
      <c r="H200" s="48" t="s">
        <v>613</v>
      </c>
      <c r="I200" s="48" t="s">
        <v>26</v>
      </c>
      <c r="J200" s="48">
        <v>1020106</v>
      </c>
      <c r="K200" s="50">
        <v>16731764</v>
      </c>
      <c r="L200" s="50">
        <v>1</v>
      </c>
      <c r="M200" s="50">
        <v>16731764</v>
      </c>
      <c r="N200" s="50">
        <v>5732513.5999999996</v>
      </c>
      <c r="O200" s="50">
        <v>10999250.4</v>
      </c>
      <c r="P200" s="50">
        <v>0</v>
      </c>
      <c r="Q200" s="87">
        <v>10999250.4</v>
      </c>
      <c r="R200" s="152">
        <v>3481208.18</v>
      </c>
      <c r="S200" s="174"/>
      <c r="T200" s="74">
        <v>46199</v>
      </c>
      <c r="U200" s="74">
        <v>46199</v>
      </c>
      <c r="V200" s="48"/>
      <c r="W200" s="48"/>
      <c r="X200" s="48"/>
      <c r="Y200" s="48">
        <v>0</v>
      </c>
      <c r="Z200" s="48" t="s">
        <v>5653</v>
      </c>
      <c r="AA200" s="48" t="s">
        <v>612</v>
      </c>
      <c r="AB200" s="48" t="s">
        <v>27</v>
      </c>
      <c r="AC200" s="48" t="s">
        <v>2790</v>
      </c>
      <c r="AD200" s="89" t="s">
        <v>1026</v>
      </c>
    </row>
    <row r="201" spans="1:30" ht="15.75" hidden="1" x14ac:dyDescent="0.25">
      <c r="A201" s="48" t="s">
        <v>1674</v>
      </c>
      <c r="B201" s="74">
        <v>45872</v>
      </c>
      <c r="C201" s="48" t="s">
        <v>1119</v>
      </c>
      <c r="D201" s="48" t="s">
        <v>20</v>
      </c>
      <c r="E201" s="48" t="s">
        <v>1653</v>
      </c>
      <c r="F201" s="48" t="s">
        <v>367</v>
      </c>
      <c r="G201" s="48" t="s">
        <v>24</v>
      </c>
      <c r="H201" s="48" t="s">
        <v>367</v>
      </c>
      <c r="I201" s="48" t="s">
        <v>26</v>
      </c>
      <c r="J201" s="48">
        <v>1020091</v>
      </c>
      <c r="K201" s="50">
        <v>1400000</v>
      </c>
      <c r="L201" s="50">
        <v>1</v>
      </c>
      <c r="M201" s="50">
        <v>1400000</v>
      </c>
      <c r="N201" s="50">
        <v>1395175.35</v>
      </c>
      <c r="O201" s="50">
        <v>4824.6499999999996</v>
      </c>
      <c r="P201" s="50">
        <v>0</v>
      </c>
      <c r="Q201" s="87">
        <v>4824.6499999999996</v>
      </c>
      <c r="R201" s="152">
        <v>0</v>
      </c>
      <c r="S201" s="174"/>
      <c r="T201" s="74">
        <v>45961</v>
      </c>
      <c r="U201" s="74">
        <v>45961</v>
      </c>
      <c r="V201" s="48"/>
      <c r="W201" s="48"/>
      <c r="X201" s="48"/>
      <c r="Y201" s="48">
        <v>0</v>
      </c>
      <c r="Z201" s="48"/>
      <c r="AA201" s="48" t="s">
        <v>366</v>
      </c>
      <c r="AB201" s="48" t="s">
        <v>27</v>
      </c>
      <c r="AC201" s="48" t="s">
        <v>1629</v>
      </c>
      <c r="AD201" s="89" t="s">
        <v>845</v>
      </c>
    </row>
    <row r="202" spans="1:30" ht="15.75" hidden="1" x14ac:dyDescent="0.25">
      <c r="A202" s="48" t="s">
        <v>1671</v>
      </c>
      <c r="B202" s="74">
        <v>45872</v>
      </c>
      <c r="C202" s="48" t="s">
        <v>1119</v>
      </c>
      <c r="D202" s="48" t="s">
        <v>20</v>
      </c>
      <c r="E202" s="48" t="s">
        <v>1634</v>
      </c>
      <c r="F202" s="48" t="s">
        <v>367</v>
      </c>
      <c r="G202" s="48" t="s">
        <v>24</v>
      </c>
      <c r="H202" s="48" t="s">
        <v>367</v>
      </c>
      <c r="I202" s="48" t="s">
        <v>26</v>
      </c>
      <c r="J202" s="48">
        <v>1020091</v>
      </c>
      <c r="K202" s="50">
        <v>871119.25</v>
      </c>
      <c r="L202" s="50">
        <v>1</v>
      </c>
      <c r="M202" s="50">
        <v>871119.25</v>
      </c>
      <c r="N202" s="50">
        <v>871119.25</v>
      </c>
      <c r="O202" s="50">
        <v>0</v>
      </c>
      <c r="P202" s="50">
        <v>0</v>
      </c>
      <c r="Q202" s="87">
        <v>0</v>
      </c>
      <c r="R202" s="152">
        <v>0</v>
      </c>
      <c r="S202" s="174"/>
      <c r="T202" s="74">
        <v>45961</v>
      </c>
      <c r="U202" s="74">
        <v>45961</v>
      </c>
      <c r="V202" s="48"/>
      <c r="W202" s="48"/>
      <c r="X202" s="48"/>
      <c r="Y202" s="48">
        <v>0</v>
      </c>
      <c r="Z202" s="48"/>
      <c r="AA202" s="48" t="s">
        <v>366</v>
      </c>
      <c r="AB202" s="48" t="s">
        <v>27</v>
      </c>
      <c r="AC202" s="48" t="s">
        <v>1624</v>
      </c>
      <c r="AD202" s="89" t="s">
        <v>845</v>
      </c>
    </row>
    <row r="203" spans="1:30" ht="15.75" hidden="1" x14ac:dyDescent="0.25">
      <c r="A203" s="48" t="s">
        <v>1901</v>
      </c>
      <c r="B203" s="74">
        <v>45929</v>
      </c>
      <c r="C203" s="48" t="s">
        <v>441</v>
      </c>
      <c r="D203" s="48" t="s">
        <v>20</v>
      </c>
      <c r="E203" s="48" t="s">
        <v>1634</v>
      </c>
      <c r="F203" s="48" t="s">
        <v>710</v>
      </c>
      <c r="G203" s="48" t="s">
        <v>24</v>
      </c>
      <c r="H203" s="48" t="s">
        <v>710</v>
      </c>
      <c r="I203" s="48" t="s">
        <v>26</v>
      </c>
      <c r="J203" s="48">
        <v>1020088</v>
      </c>
      <c r="K203" s="50">
        <v>250000</v>
      </c>
      <c r="L203" s="50">
        <v>1</v>
      </c>
      <c r="M203" s="50">
        <v>250000</v>
      </c>
      <c r="N203" s="50">
        <v>250000</v>
      </c>
      <c r="O203" s="50">
        <v>0</v>
      </c>
      <c r="P203" s="50">
        <v>0</v>
      </c>
      <c r="Q203" s="87">
        <v>0</v>
      </c>
      <c r="R203" s="152">
        <v>0</v>
      </c>
      <c r="S203" s="174"/>
      <c r="T203" s="74">
        <v>46022</v>
      </c>
      <c r="U203" s="74">
        <v>46022</v>
      </c>
      <c r="V203" s="48"/>
      <c r="W203" s="48"/>
      <c r="X203" s="48"/>
      <c r="Y203" s="48">
        <v>0</v>
      </c>
      <c r="Z203" s="48"/>
      <c r="AA203" s="48" t="s">
        <v>366</v>
      </c>
      <c r="AB203" s="48" t="s">
        <v>27</v>
      </c>
      <c r="AC203" s="48" t="s">
        <v>621</v>
      </c>
      <c r="AD203" s="89" t="s">
        <v>845</v>
      </c>
    </row>
    <row r="204" spans="1:30" ht="15.75" hidden="1" x14ac:dyDescent="0.25">
      <c r="A204" s="48" t="s">
        <v>1815</v>
      </c>
      <c r="B204" s="74">
        <v>45895</v>
      </c>
      <c r="C204" s="48" t="s">
        <v>1181</v>
      </c>
      <c r="D204" s="48" t="s">
        <v>20</v>
      </c>
      <c r="E204" s="48" t="s">
        <v>1766</v>
      </c>
      <c r="F204" s="48" t="s">
        <v>710</v>
      </c>
      <c r="G204" s="48" t="s">
        <v>1791</v>
      </c>
      <c r="H204" s="48" t="s">
        <v>81</v>
      </c>
      <c r="I204" s="48" t="s">
        <v>26</v>
      </c>
      <c r="J204" s="48">
        <v>1020070</v>
      </c>
      <c r="K204" s="50">
        <v>686883</v>
      </c>
      <c r="L204" s="50">
        <v>1</v>
      </c>
      <c r="M204" s="50">
        <v>686883</v>
      </c>
      <c r="N204" s="50">
        <v>686883</v>
      </c>
      <c r="O204" s="50">
        <v>0</v>
      </c>
      <c r="P204" s="50">
        <v>0</v>
      </c>
      <c r="Q204" s="87">
        <v>0</v>
      </c>
      <c r="R204" s="152">
        <v>0</v>
      </c>
      <c r="S204" s="174"/>
      <c r="T204" s="74">
        <v>45961</v>
      </c>
      <c r="U204" s="74">
        <v>45939</v>
      </c>
      <c r="V204" s="48"/>
      <c r="W204" s="48"/>
      <c r="X204" s="48"/>
      <c r="Y204" s="48">
        <v>0</v>
      </c>
      <c r="Z204" s="48"/>
      <c r="AA204" s="48" t="s">
        <v>366</v>
      </c>
      <c r="AB204" s="48" t="s">
        <v>27</v>
      </c>
      <c r="AC204" s="48" t="s">
        <v>1761</v>
      </c>
      <c r="AD204" s="89" t="s">
        <v>845</v>
      </c>
    </row>
    <row r="205" spans="1:30" ht="15.75" hidden="1" x14ac:dyDescent="0.25">
      <c r="A205" s="48" t="s">
        <v>797</v>
      </c>
      <c r="B205" s="74">
        <v>45739</v>
      </c>
      <c r="C205" s="48" t="s">
        <v>441</v>
      </c>
      <c r="D205" s="48" t="s">
        <v>20</v>
      </c>
      <c r="E205" s="48" t="s">
        <v>773</v>
      </c>
      <c r="F205" s="48" t="s">
        <v>22</v>
      </c>
      <c r="G205" s="48" t="s">
        <v>24</v>
      </c>
      <c r="H205" s="48" t="s">
        <v>22</v>
      </c>
      <c r="I205" s="48" t="s">
        <v>26</v>
      </c>
      <c r="J205" s="48">
        <v>1020055</v>
      </c>
      <c r="K205" s="50">
        <v>404174.93</v>
      </c>
      <c r="L205" s="50">
        <v>1</v>
      </c>
      <c r="M205" s="50">
        <v>404174.93</v>
      </c>
      <c r="N205" s="50">
        <v>404174.93</v>
      </c>
      <c r="O205" s="50">
        <v>0</v>
      </c>
      <c r="P205" s="50">
        <v>0</v>
      </c>
      <c r="Q205" s="87">
        <v>0</v>
      </c>
      <c r="R205" s="152">
        <v>0</v>
      </c>
      <c r="S205" s="174"/>
      <c r="T205" s="74">
        <v>45838</v>
      </c>
      <c r="U205" s="74">
        <v>45838</v>
      </c>
      <c r="V205" s="48"/>
      <c r="W205" s="48"/>
      <c r="X205" s="48"/>
      <c r="Y205" s="48">
        <v>0</v>
      </c>
      <c r="Z205" s="48"/>
      <c r="AA205" s="48" t="s">
        <v>21</v>
      </c>
      <c r="AB205" s="48" t="s">
        <v>27</v>
      </c>
      <c r="AC205" s="48" t="s">
        <v>311</v>
      </c>
      <c r="AD205" s="89" t="s">
        <v>845</v>
      </c>
    </row>
    <row r="206" spans="1:30" ht="15.75" hidden="1" x14ac:dyDescent="0.25">
      <c r="A206" s="48" t="s">
        <v>1210</v>
      </c>
      <c r="B206" s="74">
        <v>45771</v>
      </c>
      <c r="C206" s="48" t="s">
        <v>509</v>
      </c>
      <c r="D206" s="48" t="s">
        <v>20</v>
      </c>
      <c r="E206" s="48" t="s">
        <v>773</v>
      </c>
      <c r="F206" s="48" t="s">
        <v>22</v>
      </c>
      <c r="G206" s="48" t="s">
        <v>24</v>
      </c>
      <c r="H206" s="48" t="s">
        <v>407</v>
      </c>
      <c r="I206" s="48" t="s">
        <v>26</v>
      </c>
      <c r="J206" s="48">
        <v>1020100</v>
      </c>
      <c r="K206" s="50">
        <v>400000</v>
      </c>
      <c r="L206" s="50">
        <v>1</v>
      </c>
      <c r="M206" s="50">
        <v>400000</v>
      </c>
      <c r="N206" s="50">
        <v>400000</v>
      </c>
      <c r="O206" s="50">
        <v>0</v>
      </c>
      <c r="P206" s="50">
        <v>0</v>
      </c>
      <c r="Q206" s="87">
        <v>0</v>
      </c>
      <c r="R206" s="152">
        <v>0</v>
      </c>
      <c r="S206" s="174"/>
      <c r="T206" s="74">
        <v>45838</v>
      </c>
      <c r="U206" s="74">
        <v>45838</v>
      </c>
      <c r="V206" s="48"/>
      <c r="W206" s="48"/>
      <c r="X206" s="48"/>
      <c r="Y206" s="48">
        <v>0</v>
      </c>
      <c r="Z206" s="48"/>
      <c r="AA206" s="48" t="s">
        <v>21</v>
      </c>
      <c r="AB206" s="48" t="s">
        <v>27</v>
      </c>
      <c r="AC206" s="48" t="s">
        <v>311</v>
      </c>
      <c r="AD206" s="89" t="s">
        <v>845</v>
      </c>
    </row>
    <row r="207" spans="1:30" ht="15.75" hidden="1" x14ac:dyDescent="0.25">
      <c r="A207" s="48" t="s">
        <v>1424</v>
      </c>
      <c r="B207" s="74">
        <v>45809</v>
      </c>
      <c r="C207" s="48" t="s">
        <v>441</v>
      </c>
      <c r="D207" s="48" t="s">
        <v>20</v>
      </c>
      <c r="E207" s="48" t="s">
        <v>773</v>
      </c>
      <c r="F207" s="48" t="s">
        <v>96</v>
      </c>
      <c r="G207" s="48" t="s">
        <v>24</v>
      </c>
      <c r="H207" s="48" t="s">
        <v>22</v>
      </c>
      <c r="I207" s="48" t="s">
        <v>26</v>
      </c>
      <c r="J207" s="48">
        <v>1020055</v>
      </c>
      <c r="K207" s="50">
        <v>734118.99</v>
      </c>
      <c r="L207" s="50">
        <v>1</v>
      </c>
      <c r="M207" s="50">
        <v>734118.99</v>
      </c>
      <c r="N207" s="50">
        <v>734118.99</v>
      </c>
      <c r="O207" s="50">
        <v>0</v>
      </c>
      <c r="P207" s="50">
        <v>0</v>
      </c>
      <c r="Q207" s="87">
        <v>0</v>
      </c>
      <c r="R207" s="152">
        <v>0</v>
      </c>
      <c r="S207" s="174"/>
      <c r="T207" s="74">
        <v>45961</v>
      </c>
      <c r="U207" s="74">
        <v>45961</v>
      </c>
      <c r="V207" s="48"/>
      <c r="W207" s="48"/>
      <c r="X207" s="48"/>
      <c r="Y207" s="48">
        <v>0</v>
      </c>
      <c r="Z207" s="48"/>
      <c r="AA207" s="48" t="s">
        <v>95</v>
      </c>
      <c r="AB207" s="48" t="s">
        <v>27</v>
      </c>
      <c r="AC207" s="48" t="s">
        <v>621</v>
      </c>
      <c r="AD207" s="89" t="s">
        <v>845</v>
      </c>
    </row>
    <row r="208" spans="1:30" ht="15.75" hidden="1" x14ac:dyDescent="0.25">
      <c r="A208" s="48" t="s">
        <v>1439</v>
      </c>
      <c r="B208" s="74">
        <v>45810</v>
      </c>
      <c r="C208" s="48" t="s">
        <v>441</v>
      </c>
      <c r="D208" s="48" t="s">
        <v>20</v>
      </c>
      <c r="E208" s="48" t="s">
        <v>1382</v>
      </c>
      <c r="F208" s="48" t="s">
        <v>710</v>
      </c>
      <c r="G208" s="48" t="s">
        <v>24</v>
      </c>
      <c r="H208" s="48" t="s">
        <v>710</v>
      </c>
      <c r="I208" s="48" t="s">
        <v>26</v>
      </c>
      <c r="J208" s="48">
        <v>1020088</v>
      </c>
      <c r="K208" s="50">
        <v>205760</v>
      </c>
      <c r="L208" s="50">
        <v>1</v>
      </c>
      <c r="M208" s="50">
        <v>205760</v>
      </c>
      <c r="N208" s="50">
        <v>205760</v>
      </c>
      <c r="O208" s="50">
        <v>0</v>
      </c>
      <c r="P208" s="50">
        <v>0</v>
      </c>
      <c r="Q208" s="87">
        <v>0</v>
      </c>
      <c r="R208" s="152">
        <v>0</v>
      </c>
      <c r="S208" s="174"/>
      <c r="T208" s="74">
        <v>45961</v>
      </c>
      <c r="U208" s="74">
        <v>45961</v>
      </c>
      <c r="V208" s="48"/>
      <c r="W208" s="48"/>
      <c r="X208" s="48"/>
      <c r="Y208" s="48">
        <v>0</v>
      </c>
      <c r="Z208" s="48"/>
      <c r="AA208" s="48" t="s">
        <v>366</v>
      </c>
      <c r="AB208" s="48" t="s">
        <v>27</v>
      </c>
      <c r="AC208" s="48" t="s">
        <v>621</v>
      </c>
      <c r="AD208" s="89" t="s">
        <v>845</v>
      </c>
    </row>
    <row r="209" spans="1:30" ht="15.75" hidden="1" x14ac:dyDescent="0.25">
      <c r="A209" s="48" t="s">
        <v>5443</v>
      </c>
      <c r="B209" s="74">
        <v>46177</v>
      </c>
      <c r="C209" s="48" t="s">
        <v>441</v>
      </c>
      <c r="D209" s="48" t="s">
        <v>20</v>
      </c>
      <c r="E209" s="48" t="s">
        <v>1382</v>
      </c>
      <c r="F209" s="48" t="s">
        <v>710</v>
      </c>
      <c r="G209" s="48" t="s">
        <v>24</v>
      </c>
      <c r="H209" s="48" t="s">
        <v>710</v>
      </c>
      <c r="I209" s="48" t="s">
        <v>26</v>
      </c>
      <c r="J209" s="48">
        <v>1020088</v>
      </c>
      <c r="K209" s="50">
        <v>200000</v>
      </c>
      <c r="L209" s="50">
        <v>1</v>
      </c>
      <c r="M209" s="50">
        <v>200000</v>
      </c>
      <c r="N209" s="50">
        <v>0</v>
      </c>
      <c r="O209" s="50">
        <v>200000</v>
      </c>
      <c r="P209" s="50">
        <v>0</v>
      </c>
      <c r="Q209" s="87">
        <v>200000</v>
      </c>
      <c r="R209" s="152">
        <v>0</v>
      </c>
      <c r="S209" s="174"/>
      <c r="T209" s="74">
        <v>46265</v>
      </c>
      <c r="U209" s="74">
        <v>46265</v>
      </c>
      <c r="V209" s="48"/>
      <c r="W209" s="48"/>
      <c r="X209" s="48"/>
      <c r="Y209" s="48">
        <v>0</v>
      </c>
      <c r="Z209" s="48"/>
      <c r="AA209" s="48" t="s">
        <v>366</v>
      </c>
      <c r="AB209" s="48" t="s">
        <v>27</v>
      </c>
      <c r="AC209" s="48" t="s">
        <v>5175</v>
      </c>
      <c r="AD209" s="89" t="s">
        <v>1026</v>
      </c>
    </row>
    <row r="210" spans="1:30" ht="15.75" hidden="1" x14ac:dyDescent="0.25">
      <c r="A210" s="48" t="s">
        <v>1687</v>
      </c>
      <c r="B210" s="74">
        <v>45874</v>
      </c>
      <c r="C210" s="48" t="s">
        <v>1119</v>
      </c>
      <c r="D210" s="48" t="s">
        <v>20</v>
      </c>
      <c r="E210" s="48" t="s">
        <v>1645</v>
      </c>
      <c r="F210" s="48" t="s">
        <v>367</v>
      </c>
      <c r="G210" s="48" t="s">
        <v>24</v>
      </c>
      <c r="H210" s="48" t="s">
        <v>367</v>
      </c>
      <c r="I210" s="48" t="s">
        <v>26</v>
      </c>
      <c r="J210" s="48">
        <v>1020091</v>
      </c>
      <c r="K210" s="50">
        <v>500000</v>
      </c>
      <c r="L210" s="50">
        <v>1</v>
      </c>
      <c r="M210" s="50">
        <v>500000</v>
      </c>
      <c r="N210" s="50">
        <v>98871.6</v>
      </c>
      <c r="O210" s="50">
        <v>401128.4</v>
      </c>
      <c r="P210" s="50">
        <v>0</v>
      </c>
      <c r="Q210" s="87">
        <v>401128.4</v>
      </c>
      <c r="R210" s="152">
        <v>0</v>
      </c>
      <c r="S210" s="174"/>
      <c r="T210" s="74">
        <v>46203</v>
      </c>
      <c r="U210" s="74">
        <v>46203</v>
      </c>
      <c r="V210" s="48"/>
      <c r="W210" s="48"/>
      <c r="X210" s="48"/>
      <c r="Y210" s="48">
        <v>0</v>
      </c>
      <c r="Z210" s="48"/>
      <c r="AA210" s="48" t="s">
        <v>366</v>
      </c>
      <c r="AB210" s="48" t="s">
        <v>27</v>
      </c>
      <c r="AC210" s="48" t="s">
        <v>1629</v>
      </c>
      <c r="AD210" s="89" t="s">
        <v>1026</v>
      </c>
    </row>
    <row r="211" spans="1:30" ht="15.75" hidden="1" x14ac:dyDescent="0.25">
      <c r="A211" s="48" t="s">
        <v>611</v>
      </c>
      <c r="B211" s="74">
        <v>45684</v>
      </c>
      <c r="C211" s="48" t="s">
        <v>441</v>
      </c>
      <c r="D211" s="48" t="s">
        <v>20</v>
      </c>
      <c r="E211" s="48" t="s">
        <v>614</v>
      </c>
      <c r="F211" s="48" t="s">
        <v>613</v>
      </c>
      <c r="G211" s="48" t="s">
        <v>24</v>
      </c>
      <c r="H211" s="48" t="s">
        <v>613</v>
      </c>
      <c r="I211" s="48" t="s">
        <v>26</v>
      </c>
      <c r="J211" s="48">
        <v>1020106</v>
      </c>
      <c r="K211" s="50">
        <v>1798725.35</v>
      </c>
      <c r="L211" s="50">
        <v>1</v>
      </c>
      <c r="M211" s="50">
        <v>1798725.35</v>
      </c>
      <c r="N211" s="50">
        <v>1500000</v>
      </c>
      <c r="O211" s="50">
        <v>298725.34999999998</v>
      </c>
      <c r="P211" s="50">
        <v>0</v>
      </c>
      <c r="Q211" s="87">
        <v>298725.34999999998</v>
      </c>
      <c r="R211" s="152">
        <v>0</v>
      </c>
      <c r="S211" s="174"/>
      <c r="T211" s="74">
        <v>46022</v>
      </c>
      <c r="U211" s="74">
        <v>46022</v>
      </c>
      <c r="V211" s="48"/>
      <c r="W211" s="48"/>
      <c r="X211" s="48"/>
      <c r="Y211" s="48">
        <v>0</v>
      </c>
      <c r="Z211" s="48" t="s">
        <v>3276</v>
      </c>
      <c r="AA211" s="48" t="s">
        <v>612</v>
      </c>
      <c r="AB211" s="48" t="s">
        <v>27</v>
      </c>
      <c r="AC211" s="48" t="s">
        <v>311</v>
      </c>
      <c r="AD211" s="89" t="s">
        <v>845</v>
      </c>
    </row>
    <row r="212" spans="1:30" ht="15.75" hidden="1" x14ac:dyDescent="0.25">
      <c r="A212" s="48" t="s">
        <v>5252</v>
      </c>
      <c r="B212" s="74">
        <v>46149</v>
      </c>
      <c r="C212" s="48" t="s">
        <v>3566</v>
      </c>
      <c r="D212" s="48" t="s">
        <v>20</v>
      </c>
      <c r="E212" s="48" t="s">
        <v>5136</v>
      </c>
      <c r="F212" s="48" t="s">
        <v>613</v>
      </c>
      <c r="G212" s="48" t="s">
        <v>72</v>
      </c>
      <c r="H212" s="48" t="s">
        <v>613</v>
      </c>
      <c r="I212" s="48" t="s">
        <v>26</v>
      </c>
      <c r="J212" s="48">
        <v>1020106</v>
      </c>
      <c r="K212" s="50">
        <v>600000</v>
      </c>
      <c r="L212" s="50">
        <v>1</v>
      </c>
      <c r="M212" s="50">
        <v>600000</v>
      </c>
      <c r="N212" s="50">
        <v>0</v>
      </c>
      <c r="O212" s="50">
        <v>600000</v>
      </c>
      <c r="P212" s="50">
        <v>0</v>
      </c>
      <c r="Q212" s="87">
        <v>600000</v>
      </c>
      <c r="R212" s="152">
        <v>0</v>
      </c>
      <c r="S212" s="174"/>
      <c r="T212" s="74">
        <v>46234</v>
      </c>
      <c r="U212" s="74">
        <v>46234</v>
      </c>
      <c r="V212" s="48"/>
      <c r="W212" s="48"/>
      <c r="X212" s="48"/>
      <c r="Y212" s="48">
        <v>0</v>
      </c>
      <c r="Z212" s="48"/>
      <c r="AA212" s="48" t="s">
        <v>612</v>
      </c>
      <c r="AB212" s="48" t="s">
        <v>27</v>
      </c>
      <c r="AC212" s="48" t="s">
        <v>5137</v>
      </c>
      <c r="AD212" s="89" t="s">
        <v>1026</v>
      </c>
    </row>
    <row r="213" spans="1:30" ht="15.75" hidden="1" x14ac:dyDescent="0.25">
      <c r="A213" s="48" t="s">
        <v>1811</v>
      </c>
      <c r="B213" s="74">
        <v>45895</v>
      </c>
      <c r="C213" s="48" t="s">
        <v>1181</v>
      </c>
      <c r="D213" s="48" t="s">
        <v>20</v>
      </c>
      <c r="E213" s="48" t="s">
        <v>1786</v>
      </c>
      <c r="F213" s="48" t="s">
        <v>710</v>
      </c>
      <c r="G213" s="48" t="s">
        <v>1791</v>
      </c>
      <c r="H213" s="48" t="s">
        <v>81</v>
      </c>
      <c r="I213" s="48" t="s">
        <v>26</v>
      </c>
      <c r="J213" s="48">
        <v>1020070</v>
      </c>
      <c r="K213" s="50">
        <v>5193136.82</v>
      </c>
      <c r="L213" s="50">
        <v>1</v>
      </c>
      <c r="M213" s="50">
        <v>5193136.82</v>
      </c>
      <c r="N213" s="50">
        <v>5124646.7300000004</v>
      </c>
      <c r="O213" s="50">
        <v>68490.09</v>
      </c>
      <c r="P213" s="50">
        <v>0</v>
      </c>
      <c r="Q213" s="87">
        <v>68490.09</v>
      </c>
      <c r="R213" s="152">
        <v>0</v>
      </c>
      <c r="S213" s="174"/>
      <c r="T213" s="74">
        <v>46022</v>
      </c>
      <c r="U213" s="74">
        <v>46022</v>
      </c>
      <c r="V213" s="48"/>
      <c r="W213" s="48"/>
      <c r="X213" s="48"/>
      <c r="Y213" s="48">
        <v>0</v>
      </c>
      <c r="Z213" s="48"/>
      <c r="AA213" s="48" t="s">
        <v>366</v>
      </c>
      <c r="AB213" s="48" t="s">
        <v>27</v>
      </c>
      <c r="AC213" s="48" t="s">
        <v>1755</v>
      </c>
      <c r="AD213" s="89" t="s">
        <v>845</v>
      </c>
    </row>
    <row r="214" spans="1:30" ht="15.75" hidden="1" x14ac:dyDescent="0.25">
      <c r="A214" s="48" t="s">
        <v>1530</v>
      </c>
      <c r="B214" s="74">
        <v>45839</v>
      </c>
      <c r="C214" s="48" t="s">
        <v>1878</v>
      </c>
      <c r="D214" s="48" t="s">
        <v>20</v>
      </c>
      <c r="E214" s="48" t="s">
        <v>1513</v>
      </c>
      <c r="F214" s="48" t="s">
        <v>367</v>
      </c>
      <c r="G214" s="48" t="s">
        <v>3220</v>
      </c>
      <c r="H214" s="48" t="s">
        <v>367</v>
      </c>
      <c r="I214" s="48" t="s">
        <v>26</v>
      </c>
      <c r="J214" s="48">
        <v>1020091</v>
      </c>
      <c r="K214" s="50">
        <v>2500000</v>
      </c>
      <c r="L214" s="50">
        <v>1</v>
      </c>
      <c r="M214" s="50">
        <v>2500000</v>
      </c>
      <c r="N214" s="50">
        <v>2500000</v>
      </c>
      <c r="O214" s="50">
        <v>0</v>
      </c>
      <c r="P214" s="50">
        <v>0</v>
      </c>
      <c r="Q214" s="87">
        <v>0</v>
      </c>
      <c r="R214" s="152">
        <v>0</v>
      </c>
      <c r="S214" s="174"/>
      <c r="T214" s="74">
        <v>45960</v>
      </c>
      <c r="U214" s="74">
        <v>45945</v>
      </c>
      <c r="V214" s="48"/>
      <c r="W214" s="48"/>
      <c r="X214" s="48"/>
      <c r="Y214" s="48">
        <v>0</v>
      </c>
      <c r="Z214" s="48"/>
      <c r="AA214" s="48" t="s">
        <v>366</v>
      </c>
      <c r="AB214" s="48" t="s">
        <v>27</v>
      </c>
      <c r="AC214" s="48" t="s">
        <v>311</v>
      </c>
      <c r="AD214" s="89" t="s">
        <v>845</v>
      </c>
    </row>
    <row r="215" spans="1:30" ht="15.75" hidden="1" x14ac:dyDescent="0.25">
      <c r="A215" s="48" t="s">
        <v>782</v>
      </c>
      <c r="B215" s="74">
        <v>45743</v>
      </c>
      <c r="C215" s="48" t="s">
        <v>1864</v>
      </c>
      <c r="D215" s="48" t="s">
        <v>20</v>
      </c>
      <c r="E215" s="48" t="s">
        <v>783</v>
      </c>
      <c r="F215" s="48" t="s">
        <v>710</v>
      </c>
      <c r="G215" s="48" t="s">
        <v>3221</v>
      </c>
      <c r="H215" s="48" t="s">
        <v>81</v>
      </c>
      <c r="I215" s="48" t="s">
        <v>26</v>
      </c>
      <c r="J215" s="48">
        <v>1020070</v>
      </c>
      <c r="K215" s="50">
        <v>1926250</v>
      </c>
      <c r="L215" s="50">
        <v>1</v>
      </c>
      <c r="M215" s="50">
        <v>1926250</v>
      </c>
      <c r="N215" s="50">
        <v>1926250</v>
      </c>
      <c r="O215" s="50">
        <v>0</v>
      </c>
      <c r="P215" s="50">
        <v>0</v>
      </c>
      <c r="Q215" s="87">
        <v>0</v>
      </c>
      <c r="R215" s="152">
        <v>0</v>
      </c>
      <c r="S215" s="174"/>
      <c r="T215" s="74">
        <v>45808</v>
      </c>
      <c r="U215" s="74">
        <v>45777</v>
      </c>
      <c r="V215" s="48"/>
      <c r="W215" s="48"/>
      <c r="X215" s="48"/>
      <c r="Y215" s="48">
        <v>0</v>
      </c>
      <c r="Z215" s="48"/>
      <c r="AA215" s="48" t="s">
        <v>366</v>
      </c>
      <c r="AB215" s="48" t="s">
        <v>27</v>
      </c>
      <c r="AC215" s="48" t="s">
        <v>621</v>
      </c>
      <c r="AD215" s="89" t="s">
        <v>845</v>
      </c>
    </row>
    <row r="216" spans="1:30" ht="15.75" hidden="1" x14ac:dyDescent="0.25">
      <c r="A216" s="48" t="s">
        <v>1444</v>
      </c>
      <c r="B216" s="74">
        <v>45810</v>
      </c>
      <c r="C216" s="48" t="s">
        <v>441</v>
      </c>
      <c r="D216" s="48" t="s">
        <v>20</v>
      </c>
      <c r="E216" s="48" t="s">
        <v>1383</v>
      </c>
      <c r="F216" s="48" t="s">
        <v>710</v>
      </c>
      <c r="G216" s="48" t="s">
        <v>24</v>
      </c>
      <c r="H216" s="48" t="s">
        <v>710</v>
      </c>
      <c r="I216" s="48" t="s">
        <v>26</v>
      </c>
      <c r="J216" s="48">
        <v>1020088</v>
      </c>
      <c r="K216" s="50">
        <v>400000</v>
      </c>
      <c r="L216" s="50">
        <v>1</v>
      </c>
      <c r="M216" s="50">
        <v>400000</v>
      </c>
      <c r="N216" s="50">
        <v>399987.65</v>
      </c>
      <c r="O216" s="50">
        <v>12.35</v>
      </c>
      <c r="P216" s="50">
        <v>0</v>
      </c>
      <c r="Q216" s="87">
        <v>12.35</v>
      </c>
      <c r="R216" s="152">
        <v>0</v>
      </c>
      <c r="S216" s="174"/>
      <c r="T216" s="74">
        <v>45961</v>
      </c>
      <c r="U216" s="74">
        <v>45961</v>
      </c>
      <c r="V216" s="48"/>
      <c r="W216" s="48"/>
      <c r="X216" s="48"/>
      <c r="Y216" s="48">
        <v>0</v>
      </c>
      <c r="Z216" s="48"/>
      <c r="AA216" s="48" t="s">
        <v>366</v>
      </c>
      <c r="AB216" s="48" t="s">
        <v>27</v>
      </c>
      <c r="AC216" s="48" t="s">
        <v>621</v>
      </c>
      <c r="AD216" s="89" t="s">
        <v>845</v>
      </c>
    </row>
    <row r="217" spans="1:30" ht="15.75" hidden="1" x14ac:dyDescent="0.25">
      <c r="A217" s="48" t="s">
        <v>1540</v>
      </c>
      <c r="B217" s="74">
        <v>45848</v>
      </c>
      <c r="C217" s="48" t="s">
        <v>1394</v>
      </c>
      <c r="D217" s="48" t="s">
        <v>20</v>
      </c>
      <c r="E217" s="48" t="s">
        <v>1483</v>
      </c>
      <c r="F217" s="48" t="s">
        <v>22</v>
      </c>
      <c r="G217" s="48" t="s">
        <v>1791</v>
      </c>
      <c r="H217" s="48" t="s">
        <v>90</v>
      </c>
      <c r="I217" s="48" t="s">
        <v>26</v>
      </c>
      <c r="J217" s="48">
        <v>1020001</v>
      </c>
      <c r="K217" s="50">
        <v>1904115</v>
      </c>
      <c r="L217" s="50">
        <v>1</v>
      </c>
      <c r="M217" s="50">
        <v>1904115</v>
      </c>
      <c r="N217" s="50">
        <v>1904115</v>
      </c>
      <c r="O217" s="50">
        <v>0</v>
      </c>
      <c r="P217" s="50">
        <v>0</v>
      </c>
      <c r="Q217" s="87">
        <v>0</v>
      </c>
      <c r="R217" s="152">
        <v>0</v>
      </c>
      <c r="S217" s="174"/>
      <c r="T217" s="74">
        <v>45900</v>
      </c>
      <c r="U217" s="74">
        <v>45838</v>
      </c>
      <c r="V217" s="48"/>
      <c r="W217" s="48"/>
      <c r="X217" s="48"/>
      <c r="Y217" s="48">
        <v>0</v>
      </c>
      <c r="Z217" s="48"/>
      <c r="AA217" s="48" t="s">
        <v>21</v>
      </c>
      <c r="AB217" s="48" t="s">
        <v>27</v>
      </c>
      <c r="AC217" s="48" t="s">
        <v>425</v>
      </c>
      <c r="AD217" s="89" t="s">
        <v>845</v>
      </c>
    </row>
    <row r="218" spans="1:30" ht="15.75" hidden="1" x14ac:dyDescent="0.25">
      <c r="A218" s="48" t="s">
        <v>4736</v>
      </c>
      <c r="B218" s="74">
        <v>46127</v>
      </c>
      <c r="C218" s="48" t="s">
        <v>1394</v>
      </c>
      <c r="D218" s="48" t="s">
        <v>20</v>
      </c>
      <c r="E218" s="48" t="s">
        <v>1483</v>
      </c>
      <c r="F218" s="48" t="s">
        <v>22</v>
      </c>
      <c r="G218" s="48" t="s">
        <v>80</v>
      </c>
      <c r="H218" s="48" t="s">
        <v>90</v>
      </c>
      <c r="I218" s="48" t="s">
        <v>26</v>
      </c>
      <c r="J218" s="48">
        <v>1020001</v>
      </c>
      <c r="K218" s="50">
        <v>5693645.4199999999</v>
      </c>
      <c r="L218" s="50">
        <v>1</v>
      </c>
      <c r="M218" s="50">
        <v>5693645.4199999999</v>
      </c>
      <c r="N218" s="50">
        <v>0</v>
      </c>
      <c r="O218" s="50">
        <v>5693645.4199999999</v>
      </c>
      <c r="P218" s="50">
        <v>0</v>
      </c>
      <c r="Q218" s="87">
        <v>5693645.4199999999</v>
      </c>
      <c r="R218" s="152">
        <v>714129.01</v>
      </c>
      <c r="S218" s="174"/>
      <c r="T218" s="74">
        <v>46193</v>
      </c>
      <c r="U218" s="74">
        <v>46193</v>
      </c>
      <c r="V218" s="48"/>
      <c r="W218" s="48"/>
      <c r="X218" s="48"/>
      <c r="Y218" s="48">
        <v>909438.01</v>
      </c>
      <c r="Z218" s="48" t="s">
        <v>4781</v>
      </c>
      <c r="AA218" s="48" t="s">
        <v>21</v>
      </c>
      <c r="AB218" s="48" t="s">
        <v>27</v>
      </c>
      <c r="AC218" s="48" t="s">
        <v>425</v>
      </c>
      <c r="AD218" s="89" t="s">
        <v>1026</v>
      </c>
    </row>
    <row r="219" spans="1:30" ht="15.75" hidden="1" x14ac:dyDescent="0.25">
      <c r="A219" s="48" t="s">
        <v>1350</v>
      </c>
      <c r="B219" s="74">
        <v>45792</v>
      </c>
      <c r="C219" s="48" t="s">
        <v>441</v>
      </c>
      <c r="D219" s="48" t="s">
        <v>20</v>
      </c>
      <c r="E219" s="48" t="s">
        <v>1326</v>
      </c>
      <c r="F219" s="48" t="s">
        <v>22</v>
      </c>
      <c r="G219" s="48" t="s">
        <v>24</v>
      </c>
      <c r="H219" s="48" t="s">
        <v>22</v>
      </c>
      <c r="I219" s="48" t="s">
        <v>26</v>
      </c>
      <c r="J219" s="48">
        <v>1020055</v>
      </c>
      <c r="K219" s="50">
        <v>235199.15</v>
      </c>
      <c r="L219" s="50">
        <v>1</v>
      </c>
      <c r="M219" s="50">
        <v>235199.15</v>
      </c>
      <c r="N219" s="50">
        <v>235199.15</v>
      </c>
      <c r="O219" s="50">
        <v>0</v>
      </c>
      <c r="P219" s="50">
        <v>0</v>
      </c>
      <c r="Q219" s="87">
        <v>0</v>
      </c>
      <c r="R219" s="152">
        <v>0</v>
      </c>
      <c r="S219" s="174"/>
      <c r="T219" s="74">
        <v>46022</v>
      </c>
      <c r="U219" s="74">
        <v>46022</v>
      </c>
      <c r="V219" s="48"/>
      <c r="W219" s="48"/>
      <c r="X219" s="48"/>
      <c r="Y219" s="48">
        <v>0</v>
      </c>
      <c r="Z219" s="48"/>
      <c r="AA219" s="48" t="s">
        <v>21</v>
      </c>
      <c r="AB219" s="48" t="s">
        <v>27</v>
      </c>
      <c r="AC219" s="48" t="s">
        <v>621</v>
      </c>
      <c r="AD219" s="89" t="s">
        <v>845</v>
      </c>
    </row>
    <row r="220" spans="1:30" ht="15.75" hidden="1" x14ac:dyDescent="0.25">
      <c r="A220" s="48" t="s">
        <v>296</v>
      </c>
      <c r="B220" s="74">
        <v>45512</v>
      </c>
      <c r="C220" s="48" t="s">
        <v>441</v>
      </c>
      <c r="D220" s="48" t="s">
        <v>20</v>
      </c>
      <c r="E220" s="48" t="s">
        <v>297</v>
      </c>
      <c r="F220" s="48" t="s">
        <v>22</v>
      </c>
      <c r="G220" s="48" t="s">
        <v>24</v>
      </c>
      <c r="H220" s="48" t="s">
        <v>22</v>
      </c>
      <c r="I220" s="48" t="s">
        <v>191</v>
      </c>
      <c r="J220" s="48">
        <v>1020055</v>
      </c>
      <c r="K220" s="50">
        <v>750000</v>
      </c>
      <c r="L220" s="50">
        <v>1.03</v>
      </c>
      <c r="M220" s="50">
        <v>772500</v>
      </c>
      <c r="N220" s="50">
        <v>770249.99999999988</v>
      </c>
      <c r="O220" s="50">
        <v>2250</v>
      </c>
      <c r="P220" s="50">
        <v>0</v>
      </c>
      <c r="Q220" s="87">
        <v>2250</v>
      </c>
      <c r="R220" s="152">
        <v>0</v>
      </c>
      <c r="S220" s="174"/>
      <c r="T220" s="74">
        <v>45747</v>
      </c>
      <c r="U220" s="74">
        <v>45732</v>
      </c>
      <c r="V220" s="48"/>
      <c r="W220" s="48"/>
      <c r="X220" s="48"/>
      <c r="Y220" s="48">
        <v>0</v>
      </c>
      <c r="Z220" s="48"/>
      <c r="AA220" s="48" t="s">
        <v>21</v>
      </c>
      <c r="AB220" s="48" t="s">
        <v>27</v>
      </c>
      <c r="AC220" s="48" t="s">
        <v>295</v>
      </c>
      <c r="AD220" s="89" t="s">
        <v>845</v>
      </c>
    </row>
    <row r="221" spans="1:30" ht="15.75" hidden="1" x14ac:dyDescent="0.25">
      <c r="A221" s="48" t="s">
        <v>189</v>
      </c>
      <c r="B221" s="74">
        <v>45222</v>
      </c>
      <c r="C221" s="48" t="s">
        <v>441</v>
      </c>
      <c r="D221" s="48" t="s">
        <v>20</v>
      </c>
      <c r="E221" s="48" t="s">
        <v>190</v>
      </c>
      <c r="F221" s="48" t="s">
        <v>22</v>
      </c>
      <c r="G221" s="48" t="s">
        <v>24</v>
      </c>
      <c r="H221" s="48" t="s">
        <v>22</v>
      </c>
      <c r="I221" s="48" t="s">
        <v>191</v>
      </c>
      <c r="J221" s="48">
        <v>1020055</v>
      </c>
      <c r="K221" s="50">
        <v>1475299.7</v>
      </c>
      <c r="L221" s="50">
        <v>1.0249999999999999</v>
      </c>
      <c r="M221" s="50">
        <v>1512182.1924999999</v>
      </c>
      <c r="N221" s="50">
        <v>1512182.1924999999</v>
      </c>
      <c r="O221" s="50">
        <v>0</v>
      </c>
      <c r="P221" s="50">
        <v>0</v>
      </c>
      <c r="Q221" s="87">
        <v>0</v>
      </c>
      <c r="R221" s="152">
        <v>0</v>
      </c>
      <c r="S221" s="174"/>
      <c r="T221" s="74">
        <v>45322</v>
      </c>
      <c r="U221" s="74">
        <v>45322</v>
      </c>
      <c r="V221" s="48"/>
      <c r="W221" s="48"/>
      <c r="X221" s="48"/>
      <c r="Y221" s="48">
        <v>0</v>
      </c>
      <c r="Z221" s="48"/>
      <c r="AA221" s="48" t="s">
        <v>21</v>
      </c>
      <c r="AB221" s="48" t="s">
        <v>27</v>
      </c>
      <c r="AC221" s="48" t="s">
        <v>35</v>
      </c>
      <c r="AD221" s="89" t="s">
        <v>845</v>
      </c>
    </row>
    <row r="222" spans="1:30" ht="15.75" hidden="1" x14ac:dyDescent="0.25">
      <c r="A222" s="48" t="s">
        <v>363</v>
      </c>
      <c r="B222" s="74">
        <v>45533</v>
      </c>
      <c r="C222" s="48" t="s">
        <v>441</v>
      </c>
      <c r="D222" s="48" t="s">
        <v>20</v>
      </c>
      <c r="E222" s="48" t="s">
        <v>364</v>
      </c>
      <c r="F222" s="48" t="s">
        <v>96</v>
      </c>
      <c r="G222" s="48" t="s">
        <v>24</v>
      </c>
      <c r="H222" s="48" t="s">
        <v>22</v>
      </c>
      <c r="I222" s="48" t="s">
        <v>191</v>
      </c>
      <c r="J222" s="48">
        <v>1020055</v>
      </c>
      <c r="K222" s="50">
        <v>1363657</v>
      </c>
      <c r="L222" s="50">
        <v>1.0286999999999999</v>
      </c>
      <c r="M222" s="50">
        <v>1402793.9558999999</v>
      </c>
      <c r="N222" s="50">
        <v>1098438.5839</v>
      </c>
      <c r="O222" s="50">
        <v>304355.37</v>
      </c>
      <c r="P222" s="50">
        <v>0</v>
      </c>
      <c r="Q222" s="87">
        <v>304355.37</v>
      </c>
      <c r="R222" s="152">
        <v>0</v>
      </c>
      <c r="S222" s="174"/>
      <c r="T222" s="74">
        <v>45808</v>
      </c>
      <c r="U222" s="74">
        <v>45688</v>
      </c>
      <c r="V222" s="48"/>
      <c r="W222" s="48"/>
      <c r="X222" s="48"/>
      <c r="Y222" s="48">
        <v>0</v>
      </c>
      <c r="Z222" s="48"/>
      <c r="AA222" s="48" t="s">
        <v>95</v>
      </c>
      <c r="AB222" s="48" t="s">
        <v>27</v>
      </c>
      <c r="AC222" s="48" t="s">
        <v>311</v>
      </c>
      <c r="AD222" s="89" t="s">
        <v>845</v>
      </c>
    </row>
    <row r="223" spans="1:30" ht="15.75" hidden="1" x14ac:dyDescent="0.25">
      <c r="A223" s="48" t="s">
        <v>5555</v>
      </c>
      <c r="B223" s="74">
        <v>46184</v>
      </c>
      <c r="C223" s="48" t="s">
        <v>1259</v>
      </c>
      <c r="D223" s="48" t="s">
        <v>20</v>
      </c>
      <c r="E223" s="48" t="s">
        <v>5063</v>
      </c>
      <c r="F223" s="48" t="s">
        <v>96</v>
      </c>
      <c r="G223" s="48" t="s">
        <v>5134</v>
      </c>
      <c r="H223" s="48" t="s">
        <v>328</v>
      </c>
      <c r="I223" s="48" t="s">
        <v>67</v>
      </c>
      <c r="J223" s="48">
        <v>1020097</v>
      </c>
      <c r="K223" s="50">
        <v>6040641.79</v>
      </c>
      <c r="L223" s="50">
        <v>4.3899999999999997</v>
      </c>
      <c r="M223" s="50">
        <v>26518417.458099999</v>
      </c>
      <c r="N223" s="50">
        <v>0</v>
      </c>
      <c r="O223" s="50">
        <v>26518417.460000001</v>
      </c>
      <c r="P223" s="50">
        <v>0</v>
      </c>
      <c r="Q223" s="87">
        <v>26518417.460000001</v>
      </c>
      <c r="R223" s="152">
        <v>0</v>
      </c>
      <c r="S223" s="174"/>
      <c r="T223" s="74">
        <v>46387</v>
      </c>
      <c r="U223" s="74">
        <v>46387</v>
      </c>
      <c r="V223" s="48"/>
      <c r="W223" s="48"/>
      <c r="X223" s="48"/>
      <c r="Y223" s="48"/>
      <c r="Z223" s="48"/>
      <c r="AA223" s="48" t="s">
        <v>95</v>
      </c>
      <c r="AB223" s="48" t="s">
        <v>27</v>
      </c>
      <c r="AC223" s="48" t="s">
        <v>311</v>
      </c>
      <c r="AD223" s="89" t="s">
        <v>1026</v>
      </c>
    </row>
    <row r="224" spans="1:30" ht="15.75" hidden="1" x14ac:dyDescent="0.25">
      <c r="A224" s="48" t="s">
        <v>3142</v>
      </c>
      <c r="B224" s="74">
        <v>46009</v>
      </c>
      <c r="C224" s="48" t="s">
        <v>2801</v>
      </c>
      <c r="D224" s="48" t="s">
        <v>20</v>
      </c>
      <c r="E224" s="48" t="s">
        <v>2925</v>
      </c>
      <c r="F224" s="48" t="s">
        <v>96</v>
      </c>
      <c r="G224" s="48" t="s">
        <v>3219</v>
      </c>
      <c r="H224" s="48" t="s">
        <v>328</v>
      </c>
      <c r="I224" s="48" t="s">
        <v>26</v>
      </c>
      <c r="J224" s="48">
        <v>1020097</v>
      </c>
      <c r="K224" s="50">
        <v>2072033.2</v>
      </c>
      <c r="L224" s="50">
        <v>1</v>
      </c>
      <c r="M224" s="50">
        <v>2072033.2</v>
      </c>
      <c r="N224" s="50">
        <v>463730.6</v>
      </c>
      <c r="O224" s="50">
        <v>1608302.6</v>
      </c>
      <c r="P224" s="50">
        <v>652505.4</v>
      </c>
      <c r="Q224" s="87">
        <v>955797.2</v>
      </c>
      <c r="R224" s="152">
        <v>0</v>
      </c>
      <c r="S224" s="174" t="s">
        <v>5436</v>
      </c>
      <c r="T224" s="74">
        <v>46295</v>
      </c>
      <c r="U224" s="74">
        <v>46295</v>
      </c>
      <c r="V224" s="48"/>
      <c r="W224" s="48"/>
      <c r="X224" s="48"/>
      <c r="Y224" s="48">
        <v>0</v>
      </c>
      <c r="Z224" s="48"/>
      <c r="AA224" s="48" t="s">
        <v>95</v>
      </c>
      <c r="AB224" s="48" t="s">
        <v>27</v>
      </c>
      <c r="AC224" s="48" t="s">
        <v>425</v>
      </c>
      <c r="AD224" s="89" t="s">
        <v>1026</v>
      </c>
    </row>
    <row r="225" spans="1:30" ht="15.75" hidden="1" x14ac:dyDescent="0.25">
      <c r="A225" s="48" t="s">
        <v>88</v>
      </c>
      <c r="B225" s="74">
        <v>45371</v>
      </c>
      <c r="C225" s="48" t="s">
        <v>1182</v>
      </c>
      <c r="D225" s="48" t="s">
        <v>20</v>
      </c>
      <c r="E225" s="48" t="s">
        <v>89</v>
      </c>
      <c r="F225" s="48" t="s">
        <v>63</v>
      </c>
      <c r="G225" s="48" t="s">
        <v>80</v>
      </c>
      <c r="H225" s="48" t="s">
        <v>90</v>
      </c>
      <c r="I225" s="48" t="s">
        <v>26</v>
      </c>
      <c r="J225" s="48">
        <v>1020001</v>
      </c>
      <c r="K225" s="50">
        <v>4339603.43</v>
      </c>
      <c r="L225" s="50">
        <v>1</v>
      </c>
      <c r="M225" s="50">
        <v>4339603.43</v>
      </c>
      <c r="N225" s="50">
        <v>4121924.82</v>
      </c>
      <c r="O225" s="50">
        <v>217678.61</v>
      </c>
      <c r="P225" s="50">
        <v>0</v>
      </c>
      <c r="Q225" s="87">
        <v>217678.61</v>
      </c>
      <c r="R225" s="152">
        <v>0</v>
      </c>
      <c r="S225" s="174"/>
      <c r="T225" s="74">
        <v>45443</v>
      </c>
      <c r="U225" s="74">
        <v>45443</v>
      </c>
      <c r="V225" s="48"/>
      <c r="W225" s="48"/>
      <c r="X225" s="48"/>
      <c r="Y225" s="48">
        <v>0</v>
      </c>
      <c r="Z225" s="48"/>
      <c r="AA225" s="48" t="s">
        <v>62</v>
      </c>
      <c r="AB225" s="48" t="s">
        <v>27</v>
      </c>
      <c r="AC225" s="48"/>
      <c r="AD225" s="89" t="s">
        <v>845</v>
      </c>
    </row>
    <row r="226" spans="1:30" ht="15.75" hidden="1" x14ac:dyDescent="0.25">
      <c r="A226" s="48" t="s">
        <v>312</v>
      </c>
      <c r="B226" s="74">
        <v>45375</v>
      </c>
      <c r="C226" s="48" t="s">
        <v>1182</v>
      </c>
      <c r="D226" s="48" t="s">
        <v>20</v>
      </c>
      <c r="E226" s="48" t="s">
        <v>89</v>
      </c>
      <c r="F226" s="48" t="s">
        <v>63</v>
      </c>
      <c r="G226" s="48" t="s">
        <v>80</v>
      </c>
      <c r="H226" s="48" t="s">
        <v>90</v>
      </c>
      <c r="I226" s="48" t="s">
        <v>26</v>
      </c>
      <c r="J226" s="48">
        <v>1020001</v>
      </c>
      <c r="K226" s="50">
        <v>5540467.0099999998</v>
      </c>
      <c r="L226" s="50">
        <v>1</v>
      </c>
      <c r="M226" s="50">
        <v>5540467.0099999998</v>
      </c>
      <c r="N226" s="50">
        <v>5540367.0099999998</v>
      </c>
      <c r="O226" s="50">
        <v>100</v>
      </c>
      <c r="P226" s="50">
        <v>0</v>
      </c>
      <c r="Q226" s="87">
        <v>100</v>
      </c>
      <c r="R226" s="152">
        <v>0</v>
      </c>
      <c r="S226" s="174"/>
      <c r="T226" s="74">
        <v>45622</v>
      </c>
      <c r="U226" s="74">
        <v>45561</v>
      </c>
      <c r="V226" s="48"/>
      <c r="W226" s="48"/>
      <c r="X226" s="48"/>
      <c r="Y226" s="48">
        <v>0</v>
      </c>
      <c r="Z226" s="48"/>
      <c r="AA226" s="48" t="s">
        <v>62</v>
      </c>
      <c r="AB226" s="48" t="s">
        <v>27</v>
      </c>
      <c r="AC226" s="48"/>
      <c r="AD226" s="89" t="s">
        <v>845</v>
      </c>
    </row>
    <row r="227" spans="1:30" ht="15.75" hidden="1" x14ac:dyDescent="0.25">
      <c r="A227" s="48" t="s">
        <v>725</v>
      </c>
      <c r="B227" s="74">
        <v>45375</v>
      </c>
      <c r="C227" s="48" t="s">
        <v>1182</v>
      </c>
      <c r="D227" s="48" t="s">
        <v>20</v>
      </c>
      <c r="E227" s="48" t="s">
        <v>89</v>
      </c>
      <c r="F227" s="48" t="s">
        <v>70</v>
      </c>
      <c r="G227" s="48" t="s">
        <v>80</v>
      </c>
      <c r="H227" s="48" t="s">
        <v>90</v>
      </c>
      <c r="I227" s="48" t="s">
        <v>26</v>
      </c>
      <c r="J227" s="48">
        <v>1020001</v>
      </c>
      <c r="K227" s="50">
        <v>2878521.22</v>
      </c>
      <c r="L227" s="50">
        <v>1</v>
      </c>
      <c r="M227" s="50">
        <v>2878521.22</v>
      </c>
      <c r="N227" s="50">
        <v>7170868.2400000002</v>
      </c>
      <c r="O227" s="50">
        <v>-4292347.0199999996</v>
      </c>
      <c r="P227" s="50">
        <v>0</v>
      </c>
      <c r="Q227" s="87">
        <v>-4292347.0199999996</v>
      </c>
      <c r="R227" s="152">
        <v>0</v>
      </c>
      <c r="S227" s="312"/>
      <c r="T227" s="74">
        <v>45622</v>
      </c>
      <c r="U227" s="74">
        <v>45561</v>
      </c>
      <c r="V227" s="48"/>
      <c r="W227" s="48"/>
      <c r="X227" s="48"/>
      <c r="Y227" s="48">
        <v>0</v>
      </c>
      <c r="Z227" s="48"/>
      <c r="AA227" s="48" t="s">
        <v>62</v>
      </c>
      <c r="AB227" s="48" t="s">
        <v>70</v>
      </c>
      <c r="AC227" s="48"/>
      <c r="AD227" s="89" t="s">
        <v>845</v>
      </c>
    </row>
    <row r="228" spans="1:30" ht="15.75" hidden="1" x14ac:dyDescent="0.25">
      <c r="A228" s="48" t="s">
        <v>1451</v>
      </c>
      <c r="B228" s="74">
        <v>45812</v>
      </c>
      <c r="C228" s="48" t="s">
        <v>1394</v>
      </c>
      <c r="D228" s="48" t="s">
        <v>20</v>
      </c>
      <c r="E228" s="48" t="s">
        <v>89</v>
      </c>
      <c r="F228" s="48" t="s">
        <v>96</v>
      </c>
      <c r="G228" s="48" t="s">
        <v>80</v>
      </c>
      <c r="H228" s="48" t="s">
        <v>90</v>
      </c>
      <c r="I228" s="48" t="s">
        <v>26</v>
      </c>
      <c r="J228" s="48">
        <v>1020001</v>
      </c>
      <c r="K228" s="50">
        <v>8632232.3800000008</v>
      </c>
      <c r="L228" s="50">
        <v>1</v>
      </c>
      <c r="M228" s="50">
        <v>8632232.3800000008</v>
      </c>
      <c r="N228" s="50">
        <v>7344755.46</v>
      </c>
      <c r="O228" s="50">
        <v>1287476.92</v>
      </c>
      <c r="P228" s="50">
        <v>0</v>
      </c>
      <c r="Q228" s="87">
        <v>1287476.92</v>
      </c>
      <c r="R228" s="152">
        <v>0</v>
      </c>
      <c r="S228" s="174"/>
      <c r="T228" s="74">
        <v>46016</v>
      </c>
      <c r="U228" s="74">
        <v>45955</v>
      </c>
      <c r="V228" s="48"/>
      <c r="W228" s="48"/>
      <c r="X228" s="48"/>
      <c r="Y228" s="48">
        <v>0</v>
      </c>
      <c r="Z228" s="48"/>
      <c r="AA228" s="48" t="s">
        <v>95</v>
      </c>
      <c r="AB228" s="48" t="s">
        <v>27</v>
      </c>
      <c r="AC228" s="48" t="s">
        <v>425</v>
      </c>
      <c r="AD228" s="89" t="s">
        <v>845</v>
      </c>
    </row>
    <row r="229" spans="1:30" ht="15.75" hidden="1" x14ac:dyDescent="0.25">
      <c r="A229" s="48" t="s">
        <v>4735</v>
      </c>
      <c r="B229" s="74">
        <v>46127</v>
      </c>
      <c r="C229" s="48" t="s">
        <v>1394</v>
      </c>
      <c r="D229" s="48" t="s">
        <v>20</v>
      </c>
      <c r="E229" s="48" t="s">
        <v>89</v>
      </c>
      <c r="F229" s="48" t="s">
        <v>22</v>
      </c>
      <c r="G229" s="48" t="s">
        <v>80</v>
      </c>
      <c r="H229" s="48" t="s">
        <v>90</v>
      </c>
      <c r="I229" s="48" t="s">
        <v>26</v>
      </c>
      <c r="J229" s="48">
        <v>1020001</v>
      </c>
      <c r="K229" s="50">
        <v>5120131</v>
      </c>
      <c r="L229" s="50">
        <v>1</v>
      </c>
      <c r="M229" s="50">
        <v>5120131</v>
      </c>
      <c r="N229" s="50">
        <v>0</v>
      </c>
      <c r="O229" s="50">
        <v>5120131</v>
      </c>
      <c r="P229" s="50">
        <v>0</v>
      </c>
      <c r="Q229" s="87">
        <v>5120131</v>
      </c>
      <c r="R229" s="152">
        <v>0</v>
      </c>
      <c r="S229" s="174"/>
      <c r="T229" s="74">
        <v>46265</v>
      </c>
      <c r="U229" s="74">
        <v>45955</v>
      </c>
      <c r="V229" s="48"/>
      <c r="W229" s="48"/>
      <c r="X229" s="48"/>
      <c r="Y229" s="48">
        <v>3738069.89</v>
      </c>
      <c r="Z229" s="48" t="s">
        <v>4781</v>
      </c>
      <c r="AA229" s="48" t="s">
        <v>21</v>
      </c>
      <c r="AB229" s="48" t="s">
        <v>27</v>
      </c>
      <c r="AC229" s="48" t="s">
        <v>425</v>
      </c>
      <c r="AD229" s="89" t="s">
        <v>1026</v>
      </c>
    </row>
    <row r="230" spans="1:30" ht="15.75" hidden="1" x14ac:dyDescent="0.25">
      <c r="A230" s="48" t="s">
        <v>575</v>
      </c>
      <c r="B230" s="74">
        <v>45641</v>
      </c>
      <c r="C230" s="48" t="s">
        <v>441</v>
      </c>
      <c r="D230" s="48" t="s">
        <v>20</v>
      </c>
      <c r="E230" s="48" t="s">
        <v>576</v>
      </c>
      <c r="F230" s="48" t="s">
        <v>483</v>
      </c>
      <c r="G230" s="48" t="s">
        <v>24</v>
      </c>
      <c r="H230" s="48" t="s">
        <v>22</v>
      </c>
      <c r="I230" s="48" t="s">
        <v>26</v>
      </c>
      <c r="J230" s="48">
        <v>1020055</v>
      </c>
      <c r="K230" s="50">
        <v>1000475.49</v>
      </c>
      <c r="L230" s="50">
        <v>1</v>
      </c>
      <c r="M230" s="50">
        <v>1000475.49</v>
      </c>
      <c r="N230" s="50">
        <v>1000475.48</v>
      </c>
      <c r="O230" s="50">
        <v>0.01</v>
      </c>
      <c r="P230" s="50">
        <v>0</v>
      </c>
      <c r="Q230" s="87">
        <v>0.01</v>
      </c>
      <c r="R230" s="152">
        <v>0</v>
      </c>
      <c r="S230" s="174"/>
      <c r="T230" s="74">
        <v>45747</v>
      </c>
      <c r="U230" s="74">
        <v>45747</v>
      </c>
      <c r="V230" s="48"/>
      <c r="W230" s="48"/>
      <c r="X230" s="48"/>
      <c r="Y230" s="48">
        <v>0</v>
      </c>
      <c r="Z230" s="48"/>
      <c r="AA230" s="48" t="s">
        <v>373</v>
      </c>
      <c r="AB230" s="48" t="s">
        <v>27</v>
      </c>
      <c r="AC230" s="48" t="s">
        <v>311</v>
      </c>
      <c r="AD230" s="89" t="s">
        <v>845</v>
      </c>
    </row>
    <row r="231" spans="1:30" ht="15.75" hidden="1" x14ac:dyDescent="0.25">
      <c r="A231" s="48" t="s">
        <v>659</v>
      </c>
      <c r="B231" s="74">
        <v>45694</v>
      </c>
      <c r="C231" s="48" t="s">
        <v>441</v>
      </c>
      <c r="D231" s="48" t="s">
        <v>20</v>
      </c>
      <c r="E231" s="48" t="s">
        <v>660</v>
      </c>
      <c r="F231" s="48" t="s">
        <v>96</v>
      </c>
      <c r="G231" s="48" t="s">
        <v>24</v>
      </c>
      <c r="H231" s="48" t="s">
        <v>22</v>
      </c>
      <c r="I231" s="48" t="s">
        <v>26</v>
      </c>
      <c r="J231" s="48">
        <v>1020055</v>
      </c>
      <c r="K231" s="50">
        <v>1000000</v>
      </c>
      <c r="L231" s="50">
        <v>1</v>
      </c>
      <c r="M231" s="50">
        <v>1000000</v>
      </c>
      <c r="N231" s="50">
        <v>1000000</v>
      </c>
      <c r="O231" s="50">
        <v>0</v>
      </c>
      <c r="P231" s="50">
        <v>0</v>
      </c>
      <c r="Q231" s="87">
        <v>0</v>
      </c>
      <c r="R231" s="152">
        <v>0</v>
      </c>
      <c r="S231" s="174"/>
      <c r="T231" s="74">
        <v>45777</v>
      </c>
      <c r="U231" s="74">
        <v>45777</v>
      </c>
      <c r="V231" s="48"/>
      <c r="W231" s="48"/>
      <c r="X231" s="48"/>
      <c r="Y231" s="48">
        <v>0</v>
      </c>
      <c r="Z231" s="48"/>
      <c r="AA231" s="48" t="s">
        <v>95</v>
      </c>
      <c r="AB231" s="48" t="s">
        <v>27</v>
      </c>
      <c r="AC231" s="48" t="s">
        <v>311</v>
      </c>
      <c r="AD231" s="89" t="s">
        <v>845</v>
      </c>
    </row>
    <row r="232" spans="1:30" ht="15.75" hidden="1" x14ac:dyDescent="0.25">
      <c r="A232" s="48" t="s">
        <v>1408</v>
      </c>
      <c r="B232" s="74">
        <v>45804</v>
      </c>
      <c r="C232" s="48" t="s">
        <v>441</v>
      </c>
      <c r="D232" s="48" t="s">
        <v>20</v>
      </c>
      <c r="E232" s="48" t="s">
        <v>1330</v>
      </c>
      <c r="F232" s="48" t="s">
        <v>22</v>
      </c>
      <c r="G232" s="48" t="s">
        <v>24</v>
      </c>
      <c r="H232" s="48" t="s">
        <v>22</v>
      </c>
      <c r="I232" s="48" t="s">
        <v>26</v>
      </c>
      <c r="J232" s="48">
        <v>1020055</v>
      </c>
      <c r="K232" s="50">
        <v>300000</v>
      </c>
      <c r="L232" s="50">
        <v>1</v>
      </c>
      <c r="M232" s="50">
        <v>300000</v>
      </c>
      <c r="N232" s="50">
        <v>300000</v>
      </c>
      <c r="O232" s="50">
        <v>0</v>
      </c>
      <c r="P232" s="50">
        <v>0</v>
      </c>
      <c r="Q232" s="87">
        <v>0</v>
      </c>
      <c r="R232" s="152">
        <v>0</v>
      </c>
      <c r="S232" s="174"/>
      <c r="T232" s="74">
        <v>45900</v>
      </c>
      <c r="U232" s="74">
        <v>45900</v>
      </c>
      <c r="V232" s="48"/>
      <c r="W232" s="48"/>
      <c r="X232" s="48"/>
      <c r="Y232" s="48">
        <v>0</v>
      </c>
      <c r="Z232" s="48"/>
      <c r="AA232" s="48" t="s">
        <v>21</v>
      </c>
      <c r="AB232" s="48" t="s">
        <v>27</v>
      </c>
      <c r="AC232" s="48" t="s">
        <v>621</v>
      </c>
      <c r="AD232" s="89" t="s">
        <v>845</v>
      </c>
    </row>
    <row r="233" spans="1:30" ht="15.75" hidden="1" x14ac:dyDescent="0.25">
      <c r="A233" s="48" t="s">
        <v>36</v>
      </c>
      <c r="B233" s="74">
        <v>45167</v>
      </c>
      <c r="C233" s="48" t="s">
        <v>441</v>
      </c>
      <c r="D233" s="48" t="s">
        <v>20</v>
      </c>
      <c r="E233" s="48" t="s">
        <v>37</v>
      </c>
      <c r="F233" s="48" t="s">
        <v>22</v>
      </c>
      <c r="G233" s="48" t="s">
        <v>24</v>
      </c>
      <c r="H233" s="48" t="s">
        <v>22</v>
      </c>
      <c r="I233" s="48" t="s">
        <v>26</v>
      </c>
      <c r="J233" s="48">
        <v>1020055</v>
      </c>
      <c r="K233" s="50">
        <v>1500000</v>
      </c>
      <c r="L233" s="50">
        <v>1</v>
      </c>
      <c r="M233" s="50">
        <v>1500000</v>
      </c>
      <c r="N233" s="50">
        <v>1341988.81</v>
      </c>
      <c r="O233" s="50">
        <v>158011.19</v>
      </c>
      <c r="P233" s="50">
        <v>0</v>
      </c>
      <c r="Q233" s="87">
        <v>158011.19</v>
      </c>
      <c r="R233" s="152">
        <v>0</v>
      </c>
      <c r="S233" s="174"/>
      <c r="T233" s="74">
        <v>45474</v>
      </c>
      <c r="U233" s="74">
        <v>45474</v>
      </c>
      <c r="V233" s="48"/>
      <c r="W233" s="48"/>
      <c r="X233" s="48"/>
      <c r="Y233" s="48">
        <v>0</v>
      </c>
      <c r="Z233" s="48"/>
      <c r="AA233" s="48" t="s">
        <v>21</v>
      </c>
      <c r="AB233" s="48" t="s">
        <v>27</v>
      </c>
      <c r="AC233" s="48" t="s">
        <v>35</v>
      </c>
      <c r="AD233" s="89" t="s">
        <v>845</v>
      </c>
    </row>
    <row r="234" spans="1:30" ht="15.75" hidden="1" x14ac:dyDescent="0.25">
      <c r="A234" s="48" t="s">
        <v>633</v>
      </c>
      <c r="B234" s="74">
        <v>45680</v>
      </c>
      <c r="C234" s="48" t="s">
        <v>441</v>
      </c>
      <c r="D234" s="48" t="s">
        <v>20</v>
      </c>
      <c r="E234" s="48" t="s">
        <v>37</v>
      </c>
      <c r="F234" s="48" t="s">
        <v>22</v>
      </c>
      <c r="G234" s="48" t="s">
        <v>24</v>
      </c>
      <c r="H234" s="48" t="s">
        <v>22</v>
      </c>
      <c r="I234" s="48" t="s">
        <v>26</v>
      </c>
      <c r="J234" s="48">
        <v>1020055</v>
      </c>
      <c r="K234" s="50">
        <v>350000</v>
      </c>
      <c r="L234" s="50">
        <v>1</v>
      </c>
      <c r="M234" s="50">
        <v>350000</v>
      </c>
      <c r="N234" s="50">
        <v>350000</v>
      </c>
      <c r="O234" s="50">
        <v>0</v>
      </c>
      <c r="P234" s="50">
        <v>0</v>
      </c>
      <c r="Q234" s="87">
        <v>0</v>
      </c>
      <c r="R234" s="152">
        <v>0</v>
      </c>
      <c r="S234" s="174"/>
      <c r="T234" s="74">
        <v>45777</v>
      </c>
      <c r="U234" s="74">
        <v>45777</v>
      </c>
      <c r="V234" s="48"/>
      <c r="W234" s="48"/>
      <c r="X234" s="48"/>
      <c r="Y234" s="48">
        <v>0</v>
      </c>
      <c r="Z234" s="48"/>
      <c r="AA234" s="48" t="s">
        <v>21</v>
      </c>
      <c r="AB234" s="48" t="s">
        <v>27</v>
      </c>
      <c r="AC234" s="48" t="s">
        <v>311</v>
      </c>
      <c r="AD234" s="89" t="s">
        <v>845</v>
      </c>
    </row>
    <row r="235" spans="1:30" ht="15.75" hidden="1" x14ac:dyDescent="0.25">
      <c r="A235" s="48" t="s">
        <v>597</v>
      </c>
      <c r="B235" s="74">
        <v>45664</v>
      </c>
      <c r="C235" s="48" t="s">
        <v>441</v>
      </c>
      <c r="D235" s="48" t="s">
        <v>20</v>
      </c>
      <c r="E235" s="48" t="s">
        <v>37</v>
      </c>
      <c r="F235" s="48" t="s">
        <v>22</v>
      </c>
      <c r="G235" s="48" t="s">
        <v>24</v>
      </c>
      <c r="H235" s="48" t="s">
        <v>22</v>
      </c>
      <c r="I235" s="48" t="s">
        <v>26</v>
      </c>
      <c r="J235" s="48">
        <v>1020055</v>
      </c>
      <c r="K235" s="50">
        <v>500000</v>
      </c>
      <c r="L235" s="50">
        <v>1</v>
      </c>
      <c r="M235" s="50">
        <v>500000</v>
      </c>
      <c r="N235" s="50">
        <v>500000</v>
      </c>
      <c r="O235" s="50">
        <v>0</v>
      </c>
      <c r="P235" s="50">
        <v>0</v>
      </c>
      <c r="Q235" s="87">
        <v>0</v>
      </c>
      <c r="R235" s="152">
        <v>0</v>
      </c>
      <c r="S235" s="174"/>
      <c r="T235" s="74">
        <v>45747</v>
      </c>
      <c r="U235" s="74">
        <v>45747</v>
      </c>
      <c r="V235" s="48"/>
      <c r="W235" s="48"/>
      <c r="X235" s="48"/>
      <c r="Y235" s="48">
        <v>0</v>
      </c>
      <c r="Z235" s="48"/>
      <c r="AA235" s="48" t="s">
        <v>21</v>
      </c>
      <c r="AB235" s="48" t="s">
        <v>27</v>
      </c>
      <c r="AC235" s="48" t="s">
        <v>311</v>
      </c>
      <c r="AD235" s="89" t="s">
        <v>845</v>
      </c>
    </row>
    <row r="236" spans="1:30" ht="15.75" hidden="1" x14ac:dyDescent="0.25">
      <c r="A236" s="48" t="s">
        <v>1426</v>
      </c>
      <c r="B236" s="74">
        <v>45809</v>
      </c>
      <c r="C236" s="48" t="s">
        <v>441</v>
      </c>
      <c r="D236" s="48" t="s">
        <v>20</v>
      </c>
      <c r="E236" s="48" t="s">
        <v>1320</v>
      </c>
      <c r="F236" s="48" t="s">
        <v>96</v>
      </c>
      <c r="G236" s="48" t="s">
        <v>24</v>
      </c>
      <c r="H236" s="48" t="s">
        <v>22</v>
      </c>
      <c r="I236" s="48" t="s">
        <v>26</v>
      </c>
      <c r="J236" s="48">
        <v>1020055</v>
      </c>
      <c r="K236" s="50">
        <v>1000000</v>
      </c>
      <c r="L236" s="50">
        <v>1</v>
      </c>
      <c r="M236" s="50">
        <v>1000000</v>
      </c>
      <c r="N236" s="50">
        <v>1000000</v>
      </c>
      <c r="O236" s="50">
        <v>0</v>
      </c>
      <c r="P236" s="50">
        <v>0</v>
      </c>
      <c r="Q236" s="87">
        <v>0</v>
      </c>
      <c r="R236" s="152">
        <v>0</v>
      </c>
      <c r="S236" s="174"/>
      <c r="T236" s="74">
        <v>45961</v>
      </c>
      <c r="U236" s="74">
        <v>45961</v>
      </c>
      <c r="V236" s="48"/>
      <c r="W236" s="48"/>
      <c r="X236" s="48"/>
      <c r="Y236" s="48">
        <v>0</v>
      </c>
      <c r="Z236" s="48"/>
      <c r="AA236" s="48" t="s">
        <v>95</v>
      </c>
      <c r="AB236" s="48" t="s">
        <v>27</v>
      </c>
      <c r="AC236" s="48" t="s">
        <v>621</v>
      </c>
      <c r="AD236" s="89" t="s">
        <v>845</v>
      </c>
    </row>
    <row r="237" spans="1:30" ht="15.75" hidden="1" x14ac:dyDescent="0.25">
      <c r="A237" s="48" t="s">
        <v>1432</v>
      </c>
      <c r="B237" s="74">
        <v>45810</v>
      </c>
      <c r="C237" s="48" t="s">
        <v>441</v>
      </c>
      <c r="D237" s="48" t="s">
        <v>20</v>
      </c>
      <c r="E237" s="48" t="s">
        <v>1385</v>
      </c>
      <c r="F237" s="48" t="s">
        <v>710</v>
      </c>
      <c r="G237" s="48" t="s">
        <v>24</v>
      </c>
      <c r="H237" s="48" t="s">
        <v>710</v>
      </c>
      <c r="I237" s="48" t="s">
        <v>26</v>
      </c>
      <c r="J237" s="48">
        <v>1020088</v>
      </c>
      <c r="K237" s="50">
        <v>300000</v>
      </c>
      <c r="L237" s="50">
        <v>1</v>
      </c>
      <c r="M237" s="50">
        <v>300000</v>
      </c>
      <c r="N237" s="50">
        <v>300000</v>
      </c>
      <c r="O237" s="50">
        <v>0</v>
      </c>
      <c r="P237" s="50">
        <v>0</v>
      </c>
      <c r="Q237" s="87">
        <v>0</v>
      </c>
      <c r="R237" s="152">
        <v>0</v>
      </c>
      <c r="S237" s="174"/>
      <c r="T237" s="74">
        <v>45900</v>
      </c>
      <c r="U237" s="74">
        <v>45900</v>
      </c>
      <c r="V237" s="48"/>
      <c r="W237" s="48"/>
      <c r="X237" s="48"/>
      <c r="Y237" s="48">
        <v>0</v>
      </c>
      <c r="Z237" s="48"/>
      <c r="AA237" s="48" t="s">
        <v>366</v>
      </c>
      <c r="AB237" s="48" t="s">
        <v>27</v>
      </c>
      <c r="AC237" s="48" t="s">
        <v>621</v>
      </c>
      <c r="AD237" s="89" t="s">
        <v>845</v>
      </c>
    </row>
    <row r="238" spans="1:30" ht="15.75" hidden="1" x14ac:dyDescent="0.25">
      <c r="A238" s="48" t="s">
        <v>1905</v>
      </c>
      <c r="B238" s="74">
        <v>45930</v>
      </c>
      <c r="C238" s="48" t="s">
        <v>441</v>
      </c>
      <c r="D238" s="48" t="s">
        <v>20</v>
      </c>
      <c r="E238" s="48" t="s">
        <v>1385</v>
      </c>
      <c r="F238" s="48" t="s">
        <v>710</v>
      </c>
      <c r="G238" s="48" t="s">
        <v>24</v>
      </c>
      <c r="H238" s="48" t="s">
        <v>710</v>
      </c>
      <c r="I238" s="48" t="s">
        <v>26</v>
      </c>
      <c r="J238" s="48">
        <v>1020088</v>
      </c>
      <c r="K238" s="50">
        <v>500000</v>
      </c>
      <c r="L238" s="50">
        <v>1</v>
      </c>
      <c r="M238" s="50">
        <v>500000</v>
      </c>
      <c r="N238" s="50">
        <v>500000</v>
      </c>
      <c r="O238" s="50">
        <v>0</v>
      </c>
      <c r="P238" s="50">
        <v>0</v>
      </c>
      <c r="Q238" s="87">
        <v>0</v>
      </c>
      <c r="R238" s="152">
        <v>0</v>
      </c>
      <c r="S238" s="174"/>
      <c r="T238" s="74">
        <v>46081</v>
      </c>
      <c r="U238" s="74">
        <v>46081</v>
      </c>
      <c r="V238" s="48"/>
      <c r="W238" s="48"/>
      <c r="X238" s="48"/>
      <c r="Y238" s="48">
        <v>0</v>
      </c>
      <c r="Z238" s="48"/>
      <c r="AA238" s="48" t="s">
        <v>366</v>
      </c>
      <c r="AB238" s="48" t="s">
        <v>27</v>
      </c>
      <c r="AC238" s="48" t="s">
        <v>621</v>
      </c>
      <c r="AD238" s="89" t="s">
        <v>845</v>
      </c>
    </row>
    <row r="239" spans="1:30" ht="15.75" hidden="1" x14ac:dyDescent="0.25">
      <c r="A239" s="48" t="s">
        <v>3704</v>
      </c>
      <c r="B239" s="74">
        <v>46036</v>
      </c>
      <c r="C239" s="48" t="s">
        <v>441</v>
      </c>
      <c r="D239" s="48" t="s">
        <v>20</v>
      </c>
      <c r="E239" s="48" t="s">
        <v>1385</v>
      </c>
      <c r="F239" s="48" t="s">
        <v>710</v>
      </c>
      <c r="G239" s="48" t="s">
        <v>24</v>
      </c>
      <c r="H239" s="48" t="s">
        <v>710</v>
      </c>
      <c r="I239" s="48" t="s">
        <v>26</v>
      </c>
      <c r="J239" s="48">
        <v>1020088</v>
      </c>
      <c r="K239" s="50">
        <v>900000</v>
      </c>
      <c r="L239" s="50">
        <v>1</v>
      </c>
      <c r="M239" s="50">
        <v>900000</v>
      </c>
      <c r="N239" s="50">
        <v>0</v>
      </c>
      <c r="O239" s="50">
        <v>900000</v>
      </c>
      <c r="P239" s="50">
        <v>900000</v>
      </c>
      <c r="Q239" s="87">
        <v>0</v>
      </c>
      <c r="R239" s="152">
        <v>0</v>
      </c>
      <c r="S239" s="174" t="s">
        <v>5543</v>
      </c>
      <c r="T239" s="74">
        <v>46203</v>
      </c>
      <c r="U239" s="74">
        <v>46203</v>
      </c>
      <c r="V239" s="48"/>
      <c r="W239" s="48"/>
      <c r="X239" s="48"/>
      <c r="Y239" s="48">
        <v>0</v>
      </c>
      <c r="Z239" s="48"/>
      <c r="AA239" s="48" t="s">
        <v>366</v>
      </c>
      <c r="AB239" s="48" t="s">
        <v>27</v>
      </c>
      <c r="AC239" s="48" t="s">
        <v>1904</v>
      </c>
      <c r="AD239" s="89" t="s">
        <v>1026</v>
      </c>
    </row>
    <row r="240" spans="1:30" ht="15.75" hidden="1" x14ac:dyDescent="0.25">
      <c r="A240" s="48" t="s">
        <v>5435</v>
      </c>
      <c r="B240" s="74">
        <v>46177</v>
      </c>
      <c r="C240" s="48" t="s">
        <v>441</v>
      </c>
      <c r="D240" s="48" t="s">
        <v>20</v>
      </c>
      <c r="E240" s="48" t="s">
        <v>1385</v>
      </c>
      <c r="F240" s="48" t="s">
        <v>710</v>
      </c>
      <c r="G240" s="48" t="s">
        <v>24</v>
      </c>
      <c r="H240" s="48" t="s">
        <v>710</v>
      </c>
      <c r="I240" s="48" t="s">
        <v>26</v>
      </c>
      <c r="J240" s="48">
        <v>1020088</v>
      </c>
      <c r="K240" s="50">
        <v>500000</v>
      </c>
      <c r="L240" s="50">
        <v>1</v>
      </c>
      <c r="M240" s="50">
        <v>500000</v>
      </c>
      <c r="N240" s="50">
        <v>0</v>
      </c>
      <c r="O240" s="50">
        <v>500000</v>
      </c>
      <c r="P240" s="50">
        <v>0</v>
      </c>
      <c r="Q240" s="87">
        <v>500000</v>
      </c>
      <c r="R240" s="152">
        <v>0</v>
      </c>
      <c r="S240" s="174"/>
      <c r="T240" s="74">
        <v>46265</v>
      </c>
      <c r="U240" s="74">
        <v>46265</v>
      </c>
      <c r="V240" s="48"/>
      <c r="W240" s="48"/>
      <c r="X240" s="48"/>
      <c r="Y240" s="48">
        <v>0</v>
      </c>
      <c r="Z240" s="48"/>
      <c r="AA240" s="48" t="s">
        <v>366</v>
      </c>
      <c r="AB240" s="48" t="s">
        <v>27</v>
      </c>
      <c r="AC240" s="48" t="s">
        <v>5175</v>
      </c>
      <c r="AD240" s="89" t="s">
        <v>1026</v>
      </c>
    </row>
    <row r="241" spans="1:30" ht="15.75" hidden="1" x14ac:dyDescent="0.25">
      <c r="A241" s="48" t="s">
        <v>474</v>
      </c>
      <c r="B241" s="74">
        <v>45684</v>
      </c>
      <c r="C241" s="48" t="s">
        <v>509</v>
      </c>
      <c r="D241" s="48" t="s">
        <v>20</v>
      </c>
      <c r="E241" s="48" t="s">
        <v>475</v>
      </c>
      <c r="F241" s="48" t="s">
        <v>96</v>
      </c>
      <c r="G241" s="48" t="s">
        <v>24</v>
      </c>
      <c r="H241" s="48" t="s">
        <v>407</v>
      </c>
      <c r="I241" s="48" t="s">
        <v>26</v>
      </c>
      <c r="J241" s="48">
        <v>1020100</v>
      </c>
      <c r="K241" s="50">
        <v>600000</v>
      </c>
      <c r="L241" s="50">
        <v>1</v>
      </c>
      <c r="M241" s="50">
        <v>600000</v>
      </c>
      <c r="N241" s="50">
        <v>600000</v>
      </c>
      <c r="O241" s="50">
        <v>0</v>
      </c>
      <c r="P241" s="50">
        <v>0</v>
      </c>
      <c r="Q241" s="87">
        <v>0</v>
      </c>
      <c r="R241" s="152">
        <v>0</v>
      </c>
      <c r="S241" s="174"/>
      <c r="T241" s="74">
        <v>45747</v>
      </c>
      <c r="U241" s="74">
        <v>45720</v>
      </c>
      <c r="V241" s="48"/>
      <c r="W241" s="48"/>
      <c r="X241" s="48"/>
      <c r="Y241" s="48">
        <v>0</v>
      </c>
      <c r="Z241" s="48"/>
      <c r="AA241" s="48" t="s">
        <v>95</v>
      </c>
      <c r="AB241" s="48" t="s">
        <v>27</v>
      </c>
      <c r="AC241" s="48" t="s">
        <v>311</v>
      </c>
      <c r="AD241" s="89" t="s">
        <v>845</v>
      </c>
    </row>
    <row r="242" spans="1:30" ht="15.75" hidden="1" x14ac:dyDescent="0.25">
      <c r="A242" s="48" t="s">
        <v>2624</v>
      </c>
      <c r="B242" s="74">
        <v>45911</v>
      </c>
      <c r="C242" s="48" t="s">
        <v>1537</v>
      </c>
      <c r="D242" s="48" t="s">
        <v>20</v>
      </c>
      <c r="E242" s="48" t="s">
        <v>1805</v>
      </c>
      <c r="F242" s="48" t="s">
        <v>70</v>
      </c>
      <c r="G242" s="48" t="s">
        <v>24</v>
      </c>
      <c r="H242" s="48" t="s">
        <v>483</v>
      </c>
      <c r="I242" s="48" t="s">
        <v>26</v>
      </c>
      <c r="J242" s="48">
        <v>1020096</v>
      </c>
      <c r="K242" s="50">
        <v>333060.53999999998</v>
      </c>
      <c r="L242" s="50">
        <v>1</v>
      </c>
      <c r="M242" s="50">
        <v>333060.53999999998</v>
      </c>
      <c r="N242" s="50">
        <v>0</v>
      </c>
      <c r="O242" s="50">
        <v>333060.53999999998</v>
      </c>
      <c r="P242" s="50">
        <v>0</v>
      </c>
      <c r="Q242" s="87">
        <v>333060.53999999998</v>
      </c>
      <c r="R242" s="152">
        <v>0</v>
      </c>
      <c r="S242" s="174"/>
      <c r="T242" s="74">
        <v>45991</v>
      </c>
      <c r="U242" s="74">
        <v>45991</v>
      </c>
      <c r="V242" s="48"/>
      <c r="W242" s="48"/>
      <c r="X242" s="48">
        <v>333060.53999999998</v>
      </c>
      <c r="Y242" s="48">
        <v>0</v>
      </c>
      <c r="Z242" s="48"/>
      <c r="AA242" s="48" t="s">
        <v>62</v>
      </c>
      <c r="AB242" s="48" t="s">
        <v>70</v>
      </c>
      <c r="AC242" s="48" t="s">
        <v>621</v>
      </c>
      <c r="AD242" s="89" t="s">
        <v>845</v>
      </c>
    </row>
    <row r="243" spans="1:30" ht="15.75" hidden="1" x14ac:dyDescent="0.25">
      <c r="A243" s="48" t="s">
        <v>1927</v>
      </c>
      <c r="B243" s="74">
        <v>45911</v>
      </c>
      <c r="C243" s="48" t="s">
        <v>1537</v>
      </c>
      <c r="D243" s="48" t="s">
        <v>20</v>
      </c>
      <c r="E243" s="48" t="s">
        <v>1805</v>
      </c>
      <c r="F243" s="48" t="s">
        <v>483</v>
      </c>
      <c r="G243" s="48" t="s">
        <v>24</v>
      </c>
      <c r="H243" s="48" t="s">
        <v>483</v>
      </c>
      <c r="I243" s="48" t="s">
        <v>26</v>
      </c>
      <c r="J243" s="48">
        <v>1020096</v>
      </c>
      <c r="K243" s="50">
        <v>66939.460000000021</v>
      </c>
      <c r="L243" s="50">
        <v>1</v>
      </c>
      <c r="M243" s="50">
        <v>66939.460000000021</v>
      </c>
      <c r="N243" s="50">
        <v>0</v>
      </c>
      <c r="O243" s="50">
        <v>66939.460000000006</v>
      </c>
      <c r="P243" s="50">
        <v>0</v>
      </c>
      <c r="Q243" s="87">
        <v>66939.460000000006</v>
      </c>
      <c r="R243" s="152">
        <v>0</v>
      </c>
      <c r="S243" s="174"/>
      <c r="T243" s="74">
        <v>45991</v>
      </c>
      <c r="U243" s="74">
        <v>45991</v>
      </c>
      <c r="V243" s="48"/>
      <c r="W243" s="48"/>
      <c r="X243" s="48"/>
      <c r="Y243" s="48">
        <v>0</v>
      </c>
      <c r="Z243" s="48"/>
      <c r="AA243" s="48" t="s">
        <v>62</v>
      </c>
      <c r="AB243" s="48" t="s">
        <v>27</v>
      </c>
      <c r="AC243" s="48" t="s">
        <v>621</v>
      </c>
      <c r="AD243" s="89" t="s">
        <v>845</v>
      </c>
    </row>
    <row r="244" spans="1:30" ht="15.75" hidden="1" x14ac:dyDescent="0.25">
      <c r="A244" s="48" t="s">
        <v>370</v>
      </c>
      <c r="B244" s="74">
        <v>45504</v>
      </c>
      <c r="C244" s="48" t="s">
        <v>1119</v>
      </c>
      <c r="D244" s="48" t="s">
        <v>20</v>
      </c>
      <c r="E244" s="48" t="s">
        <v>371</v>
      </c>
      <c r="F244" s="48" t="s">
        <v>367</v>
      </c>
      <c r="G244" s="48" t="s">
        <v>72</v>
      </c>
      <c r="H244" s="48" t="s">
        <v>367</v>
      </c>
      <c r="I244" s="48" t="s">
        <v>26</v>
      </c>
      <c r="J244" s="48">
        <v>1020091</v>
      </c>
      <c r="K244" s="50">
        <v>30000000</v>
      </c>
      <c r="L244" s="50">
        <v>1</v>
      </c>
      <c r="M244" s="50">
        <v>30000000</v>
      </c>
      <c r="N244" s="50">
        <v>0</v>
      </c>
      <c r="O244" s="50">
        <v>30000000</v>
      </c>
      <c r="P244" s="50">
        <v>0</v>
      </c>
      <c r="Q244" s="87">
        <v>30000000</v>
      </c>
      <c r="R244" s="152">
        <v>0</v>
      </c>
      <c r="S244" s="174"/>
      <c r="T244" s="74">
        <v>45747</v>
      </c>
      <c r="U244" s="74">
        <v>45735</v>
      </c>
      <c r="V244" s="48"/>
      <c r="W244" s="48"/>
      <c r="X244" s="48"/>
      <c r="Y244" s="48">
        <v>0</v>
      </c>
      <c r="Z244" s="48"/>
      <c r="AA244" s="48" t="s">
        <v>366</v>
      </c>
      <c r="AB244" s="48" t="s">
        <v>27</v>
      </c>
      <c r="AC244" s="48" t="s">
        <v>208</v>
      </c>
      <c r="AD244" s="89" t="s">
        <v>845</v>
      </c>
    </row>
    <row r="245" spans="1:30" ht="15.75" hidden="1" x14ac:dyDescent="0.25">
      <c r="A245" s="48" t="s">
        <v>103</v>
      </c>
      <c r="B245" s="74">
        <v>44938</v>
      </c>
      <c r="C245" s="48" t="s">
        <v>441</v>
      </c>
      <c r="D245" s="48" t="s">
        <v>20</v>
      </c>
      <c r="E245" s="48" t="s">
        <v>104</v>
      </c>
      <c r="F245" s="48" t="s">
        <v>22</v>
      </c>
      <c r="G245" s="48" t="s">
        <v>72</v>
      </c>
      <c r="H245" s="48" t="s">
        <v>22</v>
      </c>
      <c r="I245" s="48" t="s">
        <v>78</v>
      </c>
      <c r="J245" s="48">
        <v>1020055</v>
      </c>
      <c r="K245" s="50">
        <v>2496892.84</v>
      </c>
      <c r="L245" s="50">
        <v>3.75</v>
      </c>
      <c r="M245" s="50">
        <v>9363348.1499999985</v>
      </c>
      <c r="N245" s="50">
        <v>8554426.0360599998</v>
      </c>
      <c r="O245" s="50">
        <v>808922.11</v>
      </c>
      <c r="P245" s="50">
        <v>0</v>
      </c>
      <c r="Q245" s="87">
        <v>808922.11</v>
      </c>
      <c r="R245" s="152">
        <v>0</v>
      </c>
      <c r="S245" s="312"/>
      <c r="T245" s="74">
        <v>45037</v>
      </c>
      <c r="U245" s="74">
        <v>45037</v>
      </c>
      <c r="V245" s="48"/>
      <c r="W245" s="48"/>
      <c r="X245" s="48"/>
      <c r="Y245" s="48">
        <v>0</v>
      </c>
      <c r="Z245" s="48"/>
      <c r="AA245" s="48" t="s">
        <v>21</v>
      </c>
      <c r="AB245" s="48" t="s">
        <v>27</v>
      </c>
      <c r="AC245" s="48"/>
      <c r="AD245" s="89" t="s">
        <v>845</v>
      </c>
    </row>
    <row r="246" spans="1:30" ht="15.75" hidden="1" x14ac:dyDescent="0.25">
      <c r="A246" s="48" t="s">
        <v>61</v>
      </c>
      <c r="B246" s="74">
        <v>45161</v>
      </c>
      <c r="C246" s="48" t="s">
        <v>1186</v>
      </c>
      <c r="D246" s="48" t="s">
        <v>20</v>
      </c>
      <c r="E246" s="48" t="s">
        <v>64</v>
      </c>
      <c r="F246" s="48" t="s">
        <v>63</v>
      </c>
      <c r="G246" s="48" t="s">
        <v>65</v>
      </c>
      <c r="H246" s="48" t="s">
        <v>66</v>
      </c>
      <c r="I246" s="48" t="s">
        <v>67</v>
      </c>
      <c r="J246" s="48">
        <v>1020076</v>
      </c>
      <c r="K246" s="50">
        <v>25798747</v>
      </c>
      <c r="L246" s="50">
        <v>4.2647402999999997</v>
      </c>
      <c r="M246" s="50">
        <v>110024956.02040409</v>
      </c>
      <c r="N246" s="50">
        <v>100636126.86688</v>
      </c>
      <c r="O246" s="50">
        <v>9388829.1500000004</v>
      </c>
      <c r="P246" s="50">
        <v>0</v>
      </c>
      <c r="Q246" s="87">
        <v>9388829.1500000004</v>
      </c>
      <c r="R246" s="152">
        <v>0</v>
      </c>
      <c r="S246" s="174"/>
      <c r="T246" s="74">
        <v>45535</v>
      </c>
      <c r="U246" s="74">
        <v>45535</v>
      </c>
      <c r="V246" s="48"/>
      <c r="W246" s="48"/>
      <c r="X246" s="48"/>
      <c r="Y246" s="48">
        <v>0</v>
      </c>
      <c r="Z246" s="48"/>
      <c r="AA246" s="48" t="s">
        <v>62</v>
      </c>
      <c r="AB246" s="48" t="s">
        <v>27</v>
      </c>
      <c r="AC246" s="48" t="s">
        <v>68</v>
      </c>
      <c r="AD246" s="89" t="s">
        <v>845</v>
      </c>
    </row>
    <row r="247" spans="1:30" ht="15.75" hidden="1" x14ac:dyDescent="0.25">
      <c r="A247" s="48" t="s">
        <v>689</v>
      </c>
      <c r="B247" s="74">
        <v>45683</v>
      </c>
      <c r="C247" s="48" t="s">
        <v>1119</v>
      </c>
      <c r="D247" s="48" t="s">
        <v>20</v>
      </c>
      <c r="E247" s="48" t="s">
        <v>690</v>
      </c>
      <c r="F247" s="48" t="s">
        <v>367</v>
      </c>
      <c r="G247" s="48" t="s">
        <v>72</v>
      </c>
      <c r="H247" s="48" t="s">
        <v>367</v>
      </c>
      <c r="I247" s="48" t="s">
        <v>26</v>
      </c>
      <c r="J247" s="48">
        <v>1020091</v>
      </c>
      <c r="K247" s="50">
        <v>15413737.5</v>
      </c>
      <c r="L247" s="50">
        <v>1</v>
      </c>
      <c r="M247" s="50">
        <v>15413737.5</v>
      </c>
      <c r="N247" s="50">
        <v>12872983.999999998</v>
      </c>
      <c r="O247" s="50">
        <v>2540753.5</v>
      </c>
      <c r="P247" s="50">
        <v>0</v>
      </c>
      <c r="Q247" s="87">
        <v>2540753.5</v>
      </c>
      <c r="R247" s="152">
        <v>0</v>
      </c>
      <c r="S247" s="174"/>
      <c r="T247" s="74">
        <v>45915</v>
      </c>
      <c r="U247" s="74">
        <v>45899</v>
      </c>
      <c r="V247" s="48"/>
      <c r="W247" s="48"/>
      <c r="X247" s="48"/>
      <c r="Y247" s="48">
        <v>0</v>
      </c>
      <c r="Z247" s="48"/>
      <c r="AA247" s="48" t="s">
        <v>366</v>
      </c>
      <c r="AB247" s="48" t="s">
        <v>27</v>
      </c>
      <c r="AC247" s="48" t="s">
        <v>311</v>
      </c>
      <c r="AD247" s="89" t="s">
        <v>845</v>
      </c>
    </row>
    <row r="248" spans="1:30" ht="15.75" hidden="1" x14ac:dyDescent="0.25">
      <c r="A248" s="48" t="s">
        <v>1746</v>
      </c>
      <c r="B248" s="74">
        <v>45883</v>
      </c>
      <c r="C248" s="48" t="s">
        <v>1727</v>
      </c>
      <c r="D248" s="48" t="s">
        <v>20</v>
      </c>
      <c r="E248" s="48" t="s">
        <v>1705</v>
      </c>
      <c r="F248" s="48" t="s">
        <v>70</v>
      </c>
      <c r="G248" s="48" t="s">
        <v>869</v>
      </c>
      <c r="H248" s="48" t="s">
        <v>1762</v>
      </c>
      <c r="I248" s="48" t="s">
        <v>26</v>
      </c>
      <c r="J248" s="48"/>
      <c r="K248" s="50">
        <v>222582</v>
      </c>
      <c r="L248" s="50">
        <v>1</v>
      </c>
      <c r="M248" s="50">
        <v>222582</v>
      </c>
      <c r="N248" s="50">
        <v>83778</v>
      </c>
      <c r="O248" s="50">
        <v>138804</v>
      </c>
      <c r="P248" s="50">
        <v>0</v>
      </c>
      <c r="Q248" s="87">
        <v>138804</v>
      </c>
      <c r="R248" s="152">
        <v>0</v>
      </c>
      <c r="S248" s="174"/>
      <c r="T248" s="74">
        <v>45930</v>
      </c>
      <c r="U248" s="74">
        <v>45915</v>
      </c>
      <c r="V248" s="48"/>
      <c r="W248" s="48"/>
      <c r="X248" s="48"/>
      <c r="Y248" s="48"/>
      <c r="Z248" s="48" t="s">
        <v>2864</v>
      </c>
      <c r="AA248" s="48" t="s">
        <v>62</v>
      </c>
      <c r="AB248" s="48" t="s">
        <v>70</v>
      </c>
      <c r="AC248" s="48" t="s">
        <v>208</v>
      </c>
      <c r="AD248" s="89" t="s">
        <v>845</v>
      </c>
    </row>
    <row r="249" spans="1:30" ht="15.75" hidden="1" x14ac:dyDescent="0.25">
      <c r="A249" s="48" t="s">
        <v>1486</v>
      </c>
      <c r="B249" s="74">
        <v>45831</v>
      </c>
      <c r="C249" s="48" t="s">
        <v>1878</v>
      </c>
      <c r="D249" s="48" t="s">
        <v>20</v>
      </c>
      <c r="E249" s="48" t="s">
        <v>1478</v>
      </c>
      <c r="F249" s="48" t="s">
        <v>367</v>
      </c>
      <c r="G249" s="48" t="s">
        <v>3220</v>
      </c>
      <c r="H249" s="48" t="s">
        <v>367</v>
      </c>
      <c r="I249" s="48" t="s">
        <v>26</v>
      </c>
      <c r="J249" s="48">
        <v>1020091</v>
      </c>
      <c r="K249" s="50">
        <v>1150000</v>
      </c>
      <c r="L249" s="50">
        <v>1</v>
      </c>
      <c r="M249" s="50">
        <v>1150000</v>
      </c>
      <c r="N249" s="50">
        <v>575000</v>
      </c>
      <c r="O249" s="50">
        <v>575000</v>
      </c>
      <c r="P249" s="50">
        <v>0</v>
      </c>
      <c r="Q249" s="87">
        <v>575000</v>
      </c>
      <c r="R249" s="152">
        <v>0</v>
      </c>
      <c r="S249" s="174"/>
      <c r="T249" s="74">
        <v>45976</v>
      </c>
      <c r="U249" s="74">
        <v>45960</v>
      </c>
      <c r="V249" s="48"/>
      <c r="W249" s="48"/>
      <c r="X249" s="48"/>
      <c r="Y249" s="48">
        <v>0</v>
      </c>
      <c r="Z249" s="48"/>
      <c r="AA249" s="48" t="s">
        <v>366</v>
      </c>
      <c r="AB249" s="48" t="s">
        <v>27</v>
      </c>
      <c r="AC249" s="48" t="s">
        <v>311</v>
      </c>
      <c r="AD249" s="89" t="s">
        <v>845</v>
      </c>
    </row>
    <row r="250" spans="1:30" ht="15.75" hidden="1" x14ac:dyDescent="0.25">
      <c r="A250" s="48" t="s">
        <v>1340</v>
      </c>
      <c r="B250" s="74">
        <v>45792</v>
      </c>
      <c r="C250" s="48" t="s">
        <v>441</v>
      </c>
      <c r="D250" s="48" t="s">
        <v>20</v>
      </c>
      <c r="E250" s="48" t="s">
        <v>1321</v>
      </c>
      <c r="F250" s="48" t="s">
        <v>22</v>
      </c>
      <c r="G250" s="48" t="s">
        <v>24</v>
      </c>
      <c r="H250" s="48" t="s">
        <v>22</v>
      </c>
      <c r="I250" s="48" t="s">
        <v>26</v>
      </c>
      <c r="J250" s="48">
        <v>1020055</v>
      </c>
      <c r="K250" s="50">
        <v>167957.5</v>
      </c>
      <c r="L250" s="50">
        <v>1</v>
      </c>
      <c r="M250" s="50">
        <v>167957.5</v>
      </c>
      <c r="N250" s="50">
        <v>167967.5</v>
      </c>
      <c r="O250" s="50">
        <v>-10</v>
      </c>
      <c r="P250" s="50">
        <v>0</v>
      </c>
      <c r="Q250" s="87">
        <v>-10</v>
      </c>
      <c r="R250" s="152">
        <v>0</v>
      </c>
      <c r="S250" s="174"/>
      <c r="T250" s="74">
        <v>45900</v>
      </c>
      <c r="U250" s="74">
        <v>45900</v>
      </c>
      <c r="V250" s="48"/>
      <c r="W250" s="48"/>
      <c r="X250" s="50"/>
      <c r="Y250" s="48">
        <v>0</v>
      </c>
      <c r="Z250" s="48"/>
      <c r="AA250" s="48" t="s">
        <v>21</v>
      </c>
      <c r="AB250" s="48" t="s">
        <v>27</v>
      </c>
      <c r="AC250" s="48" t="s">
        <v>621</v>
      </c>
      <c r="AD250" s="89" t="s">
        <v>845</v>
      </c>
    </row>
    <row r="251" spans="1:30" ht="15.75" hidden="1" x14ac:dyDescent="0.25">
      <c r="A251" s="48" t="s">
        <v>1297</v>
      </c>
      <c r="B251" s="74">
        <v>45788</v>
      </c>
      <c r="C251" s="48" t="s">
        <v>441</v>
      </c>
      <c r="D251" s="48" t="s">
        <v>20</v>
      </c>
      <c r="E251" s="48" t="s">
        <v>1532</v>
      </c>
      <c r="F251" s="48" t="s">
        <v>70</v>
      </c>
      <c r="G251" s="48" t="s">
        <v>24</v>
      </c>
      <c r="H251" s="48" t="s">
        <v>407</v>
      </c>
      <c r="I251" s="48" t="s">
        <v>26</v>
      </c>
      <c r="J251" s="48">
        <v>1020100</v>
      </c>
      <c r="K251" s="50">
        <v>400000</v>
      </c>
      <c r="L251" s="50">
        <v>1</v>
      </c>
      <c r="M251" s="50">
        <v>400000</v>
      </c>
      <c r="N251" s="50">
        <v>400000</v>
      </c>
      <c r="O251" s="50">
        <v>0</v>
      </c>
      <c r="P251" s="50">
        <v>0</v>
      </c>
      <c r="Q251" s="87">
        <v>0</v>
      </c>
      <c r="R251" s="152">
        <v>0</v>
      </c>
      <c r="S251" s="174"/>
      <c r="T251" s="74">
        <v>45869</v>
      </c>
      <c r="U251" s="74">
        <v>45869</v>
      </c>
      <c r="V251" s="48"/>
      <c r="W251" s="48"/>
      <c r="X251" s="48"/>
      <c r="Y251" s="48">
        <v>0</v>
      </c>
      <c r="Z251" s="48"/>
      <c r="AA251" s="48" t="s">
        <v>373</v>
      </c>
      <c r="AB251" s="48" t="s">
        <v>70</v>
      </c>
      <c r="AC251" s="48" t="s">
        <v>621</v>
      </c>
      <c r="AD251" s="89" t="s">
        <v>845</v>
      </c>
    </row>
    <row r="252" spans="1:30" ht="15.75" hidden="1" x14ac:dyDescent="0.25">
      <c r="A252" s="48" t="s">
        <v>306</v>
      </c>
      <c r="B252" s="74">
        <v>45168</v>
      </c>
      <c r="C252" s="48" t="s">
        <v>1118</v>
      </c>
      <c r="D252" s="48" t="s">
        <v>20</v>
      </c>
      <c r="E252" s="48" t="s">
        <v>307</v>
      </c>
      <c r="F252" s="48" t="s">
        <v>70</v>
      </c>
      <c r="G252" s="48" t="s">
        <v>72</v>
      </c>
      <c r="H252" s="48" t="s">
        <v>213</v>
      </c>
      <c r="I252" s="48" t="s">
        <v>67</v>
      </c>
      <c r="J252" s="48">
        <v>1020015</v>
      </c>
      <c r="K252" s="50">
        <v>50762045.400000006</v>
      </c>
      <c r="L252" s="50">
        <v>4.1680000000000001</v>
      </c>
      <c r="M252" s="50">
        <v>211576205.22720003</v>
      </c>
      <c r="N252" s="50">
        <v>210445911.24020118</v>
      </c>
      <c r="O252" s="50">
        <v>1130293.99</v>
      </c>
      <c r="P252" s="50">
        <v>0</v>
      </c>
      <c r="Q252" s="87">
        <v>1130293.99</v>
      </c>
      <c r="R252" s="152">
        <v>0</v>
      </c>
      <c r="S252" s="174"/>
      <c r="T252" s="74">
        <v>46203</v>
      </c>
      <c r="U252" s="74">
        <v>45762</v>
      </c>
      <c r="V252" s="48"/>
      <c r="W252" s="48"/>
      <c r="X252" s="48">
        <v>118762.64</v>
      </c>
      <c r="Y252" s="48">
        <v>0</v>
      </c>
      <c r="Z252" s="48"/>
      <c r="AA252" s="48" t="s">
        <v>62</v>
      </c>
      <c r="AB252" s="48" t="s">
        <v>70</v>
      </c>
      <c r="AC252" s="48" t="s">
        <v>308</v>
      </c>
      <c r="AD252" s="89" t="s">
        <v>1026</v>
      </c>
    </row>
    <row r="253" spans="1:30" ht="15.75" hidden="1" x14ac:dyDescent="0.25">
      <c r="A253" s="48" t="s">
        <v>4551</v>
      </c>
      <c r="B253" s="74">
        <v>46118</v>
      </c>
      <c r="C253" s="48" t="s">
        <v>441</v>
      </c>
      <c r="D253" s="48" t="s">
        <v>20</v>
      </c>
      <c r="E253" s="48" t="s">
        <v>4543</v>
      </c>
      <c r="F253" s="48" t="s">
        <v>710</v>
      </c>
      <c r="G253" s="48" t="s">
        <v>24</v>
      </c>
      <c r="H253" s="48" t="s">
        <v>710</v>
      </c>
      <c r="I253" s="48" t="s">
        <v>26</v>
      </c>
      <c r="J253" s="48">
        <v>1020088</v>
      </c>
      <c r="K253" s="50">
        <v>150000</v>
      </c>
      <c r="L253" s="50">
        <v>1</v>
      </c>
      <c r="M253" s="50">
        <v>150000</v>
      </c>
      <c r="N253" s="50">
        <v>0</v>
      </c>
      <c r="O253" s="50">
        <v>150000</v>
      </c>
      <c r="P253" s="50">
        <v>93855.09</v>
      </c>
      <c r="Q253" s="87">
        <v>56144.91</v>
      </c>
      <c r="R253" s="152">
        <v>55822.96</v>
      </c>
      <c r="S253" s="174" t="s">
        <v>5304</v>
      </c>
      <c r="T253" s="74">
        <v>46203</v>
      </c>
      <c r="U253" s="74">
        <v>46203</v>
      </c>
      <c r="V253" s="48"/>
      <c r="W253" s="48"/>
      <c r="X253" s="48"/>
      <c r="Y253" s="48">
        <v>0</v>
      </c>
      <c r="Z253" s="48"/>
      <c r="AA253" s="48" t="s">
        <v>366</v>
      </c>
      <c r="AB253" s="48" t="s">
        <v>27</v>
      </c>
      <c r="AC253" s="48" t="s">
        <v>4493</v>
      </c>
      <c r="AD253" s="89" t="s">
        <v>1026</v>
      </c>
    </row>
    <row r="254" spans="1:30" ht="15.75" hidden="1" x14ac:dyDescent="0.25">
      <c r="A254" s="48" t="s">
        <v>1654</v>
      </c>
      <c r="B254" s="74">
        <v>45869</v>
      </c>
      <c r="C254" s="48" t="s">
        <v>441</v>
      </c>
      <c r="D254" s="48" t="s">
        <v>20</v>
      </c>
      <c r="E254" s="48" t="s">
        <v>1592</v>
      </c>
      <c r="F254" s="48" t="s">
        <v>22</v>
      </c>
      <c r="G254" s="48" t="s">
        <v>24</v>
      </c>
      <c r="H254" s="48" t="s">
        <v>22</v>
      </c>
      <c r="I254" s="48" t="s">
        <v>26</v>
      </c>
      <c r="J254" s="48">
        <v>1020055</v>
      </c>
      <c r="K254" s="50">
        <v>311571.08</v>
      </c>
      <c r="L254" s="50">
        <v>1</v>
      </c>
      <c r="M254" s="50">
        <v>311571.08</v>
      </c>
      <c r="N254" s="50">
        <v>311571.08</v>
      </c>
      <c r="O254" s="50">
        <v>0</v>
      </c>
      <c r="P254" s="50">
        <v>0</v>
      </c>
      <c r="Q254" s="87">
        <v>0</v>
      </c>
      <c r="R254" s="152">
        <v>0</v>
      </c>
      <c r="S254" s="174"/>
      <c r="T254" s="74">
        <v>45961</v>
      </c>
      <c r="U254" s="74">
        <v>45961</v>
      </c>
      <c r="V254" s="48"/>
      <c r="W254" s="48"/>
      <c r="X254" s="48"/>
      <c r="Y254" s="48">
        <v>0</v>
      </c>
      <c r="Z254" s="48"/>
      <c r="AA254" s="48" t="s">
        <v>21</v>
      </c>
      <c r="AB254" s="48" t="s">
        <v>27</v>
      </c>
      <c r="AC254" s="48" t="s">
        <v>621</v>
      </c>
      <c r="AD254" s="89" t="s">
        <v>845</v>
      </c>
    </row>
    <row r="255" spans="1:30" ht="15.75" hidden="1" x14ac:dyDescent="0.25">
      <c r="A255" s="48" t="s">
        <v>1648</v>
      </c>
      <c r="B255" s="74">
        <v>45869</v>
      </c>
      <c r="C255" s="48" t="s">
        <v>1119</v>
      </c>
      <c r="D255" s="48" t="s">
        <v>20</v>
      </c>
      <c r="E255" s="48" t="s">
        <v>1625</v>
      </c>
      <c r="F255" s="48" t="s">
        <v>367</v>
      </c>
      <c r="G255" s="48" t="s">
        <v>24</v>
      </c>
      <c r="H255" s="48" t="s">
        <v>367</v>
      </c>
      <c r="I255" s="48" t="s">
        <v>26</v>
      </c>
      <c r="J255" s="48">
        <v>1020091</v>
      </c>
      <c r="K255" s="50">
        <v>4030520.1</v>
      </c>
      <c r="L255" s="50">
        <v>1</v>
      </c>
      <c r="M255" s="50">
        <v>4030520.1</v>
      </c>
      <c r="N255" s="50">
        <v>4030520.1</v>
      </c>
      <c r="O255" s="50">
        <v>0</v>
      </c>
      <c r="P255" s="50">
        <v>0</v>
      </c>
      <c r="Q255" s="87">
        <v>0</v>
      </c>
      <c r="R255" s="152">
        <v>0</v>
      </c>
      <c r="S255" s="174"/>
      <c r="T255" s="74">
        <v>45961</v>
      </c>
      <c r="U255" s="74">
        <v>45961</v>
      </c>
      <c r="V255" s="48"/>
      <c r="W255" s="48"/>
      <c r="X255" s="48"/>
      <c r="Y255" s="48">
        <v>0</v>
      </c>
      <c r="Z255" s="48"/>
      <c r="AA255" s="48" t="s">
        <v>366</v>
      </c>
      <c r="AB255" s="48" t="s">
        <v>27</v>
      </c>
      <c r="AC255" s="48" t="s">
        <v>1626</v>
      </c>
      <c r="AD255" s="89" t="s">
        <v>845</v>
      </c>
    </row>
    <row r="256" spans="1:30" ht="15.75" hidden="1" x14ac:dyDescent="0.25">
      <c r="A256" s="48" t="s">
        <v>1524</v>
      </c>
      <c r="B256" s="74">
        <v>45834</v>
      </c>
      <c r="C256" s="48" t="s">
        <v>441</v>
      </c>
      <c r="D256" s="48" t="s">
        <v>20</v>
      </c>
      <c r="E256" s="48" t="s">
        <v>1463</v>
      </c>
      <c r="F256" s="48" t="s">
        <v>22</v>
      </c>
      <c r="G256" s="48" t="s">
        <v>24</v>
      </c>
      <c r="H256" s="48" t="s">
        <v>407</v>
      </c>
      <c r="I256" s="48" t="s">
        <v>26</v>
      </c>
      <c r="J256" s="48">
        <v>1020100</v>
      </c>
      <c r="K256" s="50">
        <v>204357</v>
      </c>
      <c r="L256" s="50">
        <v>1</v>
      </c>
      <c r="M256" s="50">
        <v>204357</v>
      </c>
      <c r="N256" s="50">
        <v>204357</v>
      </c>
      <c r="O256" s="50">
        <v>0</v>
      </c>
      <c r="P256" s="50">
        <v>0</v>
      </c>
      <c r="Q256" s="87">
        <v>0</v>
      </c>
      <c r="R256" s="152">
        <v>0</v>
      </c>
      <c r="S256" s="174"/>
      <c r="T256" s="74">
        <v>45961</v>
      </c>
      <c r="U256" s="74">
        <v>45961</v>
      </c>
      <c r="V256" s="48"/>
      <c r="W256" s="48"/>
      <c r="X256" s="48"/>
      <c r="Y256" s="48">
        <v>0</v>
      </c>
      <c r="Z256" s="48"/>
      <c r="AA256" s="48" t="s">
        <v>21</v>
      </c>
      <c r="AB256" s="48" t="s">
        <v>27</v>
      </c>
      <c r="AC256" s="48" t="s">
        <v>621</v>
      </c>
      <c r="AD256" s="89" t="s">
        <v>845</v>
      </c>
    </row>
    <row r="257" spans="1:30" ht="15.75" hidden="1" x14ac:dyDescent="0.25">
      <c r="A257" s="48" t="s">
        <v>1690</v>
      </c>
      <c r="B257" s="74">
        <v>45875</v>
      </c>
      <c r="C257" s="48" t="s">
        <v>1119</v>
      </c>
      <c r="D257" s="48" t="s">
        <v>20</v>
      </c>
      <c r="E257" s="48" t="s">
        <v>1681</v>
      </c>
      <c r="F257" s="48" t="s">
        <v>367</v>
      </c>
      <c r="G257" s="48" t="s">
        <v>24</v>
      </c>
      <c r="H257" s="48" t="s">
        <v>367</v>
      </c>
      <c r="I257" s="48" t="s">
        <v>26</v>
      </c>
      <c r="J257" s="48">
        <v>1020091</v>
      </c>
      <c r="K257" s="50">
        <v>850000</v>
      </c>
      <c r="L257" s="50">
        <v>1</v>
      </c>
      <c r="M257" s="50">
        <v>850000</v>
      </c>
      <c r="N257" s="50">
        <v>850000</v>
      </c>
      <c r="O257" s="50">
        <v>0</v>
      </c>
      <c r="P257" s="50">
        <v>0</v>
      </c>
      <c r="Q257" s="87">
        <v>0</v>
      </c>
      <c r="R257" s="152">
        <v>0</v>
      </c>
      <c r="S257" s="174"/>
      <c r="T257" s="74">
        <v>46022</v>
      </c>
      <c r="U257" s="74">
        <v>46022</v>
      </c>
      <c r="V257" s="50"/>
      <c r="W257" s="50"/>
      <c r="X257" s="50"/>
      <c r="Y257" s="48">
        <v>0</v>
      </c>
      <c r="Z257" s="48"/>
      <c r="AA257" s="48" t="s">
        <v>366</v>
      </c>
      <c r="AB257" s="48" t="s">
        <v>27</v>
      </c>
      <c r="AC257" s="48" t="s">
        <v>1629</v>
      </c>
      <c r="AD257" s="89" t="s">
        <v>845</v>
      </c>
    </row>
    <row r="258" spans="1:30" ht="15.75" hidden="1" x14ac:dyDescent="0.25">
      <c r="A258" s="48" t="s">
        <v>1191</v>
      </c>
      <c r="B258" s="74">
        <v>45761</v>
      </c>
      <c r="C258" s="48" t="s">
        <v>509</v>
      </c>
      <c r="D258" s="48" t="s">
        <v>20</v>
      </c>
      <c r="E258" s="48" t="s">
        <v>781</v>
      </c>
      <c r="F258" s="48" t="s">
        <v>22</v>
      </c>
      <c r="G258" s="48" t="s">
        <v>72</v>
      </c>
      <c r="H258" s="48" t="s">
        <v>511</v>
      </c>
      <c r="I258" s="48" t="s">
        <v>26</v>
      </c>
      <c r="J258" s="48">
        <v>1020107</v>
      </c>
      <c r="K258" s="50">
        <v>5233040.5</v>
      </c>
      <c r="L258" s="50">
        <v>1</v>
      </c>
      <c r="M258" s="50">
        <v>5233040.5</v>
      </c>
      <c r="N258" s="50">
        <v>2737068.33</v>
      </c>
      <c r="O258" s="50">
        <v>2495972.17</v>
      </c>
      <c r="P258" s="50">
        <v>0</v>
      </c>
      <c r="Q258" s="87">
        <v>2495972.17</v>
      </c>
      <c r="R258" s="152">
        <v>0</v>
      </c>
      <c r="S258" s="174"/>
      <c r="T258" s="74">
        <v>45960</v>
      </c>
      <c r="U258" s="74">
        <v>45945</v>
      </c>
      <c r="V258" s="48"/>
      <c r="W258" s="48"/>
      <c r="X258" s="48"/>
      <c r="Y258" s="48">
        <v>0</v>
      </c>
      <c r="Z258" s="48"/>
      <c r="AA258" s="48" t="s">
        <v>21</v>
      </c>
      <c r="AB258" s="48" t="s">
        <v>27</v>
      </c>
      <c r="AC258" s="48" t="s">
        <v>1886</v>
      </c>
      <c r="AD258" s="89" t="s">
        <v>845</v>
      </c>
    </row>
    <row r="259" spans="1:30" ht="15.75" hidden="1" x14ac:dyDescent="0.25">
      <c r="A259" s="48" t="s">
        <v>4239</v>
      </c>
      <c r="B259" s="74">
        <v>46085</v>
      </c>
      <c r="C259" s="48" t="s">
        <v>509</v>
      </c>
      <c r="D259" s="48" t="s">
        <v>20</v>
      </c>
      <c r="E259" s="48" t="s">
        <v>781</v>
      </c>
      <c r="F259" s="48" t="s">
        <v>22</v>
      </c>
      <c r="G259" s="48" t="s">
        <v>72</v>
      </c>
      <c r="H259" s="48" t="s">
        <v>511</v>
      </c>
      <c r="I259" s="48" t="s">
        <v>26</v>
      </c>
      <c r="J259" s="48">
        <v>1020107</v>
      </c>
      <c r="K259" s="50">
        <v>2495972.17</v>
      </c>
      <c r="L259" s="50">
        <v>1</v>
      </c>
      <c r="M259" s="50">
        <v>2495972.17</v>
      </c>
      <c r="N259" s="50">
        <v>1548792.03</v>
      </c>
      <c r="O259" s="50">
        <v>947180.14</v>
      </c>
      <c r="P259" s="50">
        <v>0</v>
      </c>
      <c r="Q259" s="87">
        <v>947180.14</v>
      </c>
      <c r="R259" s="152">
        <v>0</v>
      </c>
      <c r="S259" s="174"/>
      <c r="T259" s="74">
        <v>46235</v>
      </c>
      <c r="U259" s="74">
        <v>46235</v>
      </c>
      <c r="V259" s="48"/>
      <c r="W259" s="48"/>
      <c r="X259" s="48"/>
      <c r="Y259" s="48">
        <v>0</v>
      </c>
      <c r="Z259" s="48"/>
      <c r="AA259" s="48" t="s">
        <v>21</v>
      </c>
      <c r="AB259" s="48" t="s">
        <v>27</v>
      </c>
      <c r="AC259" s="48" t="s">
        <v>305</v>
      </c>
      <c r="AD259" s="89" t="s">
        <v>1026</v>
      </c>
    </row>
    <row r="260" spans="1:30" ht="15.75" hidden="1" x14ac:dyDescent="0.25">
      <c r="A260" s="48" t="s">
        <v>1396</v>
      </c>
      <c r="B260" s="74">
        <v>45804</v>
      </c>
      <c r="C260" s="48" t="s">
        <v>441</v>
      </c>
      <c r="D260" s="48" t="s">
        <v>20</v>
      </c>
      <c r="E260" s="48" t="s">
        <v>1390</v>
      </c>
      <c r="F260" s="48" t="s">
        <v>613</v>
      </c>
      <c r="G260" s="48" t="s">
        <v>24</v>
      </c>
      <c r="H260" s="48" t="s">
        <v>613</v>
      </c>
      <c r="I260" s="48" t="s">
        <v>26</v>
      </c>
      <c r="J260" s="48">
        <v>1020106</v>
      </c>
      <c r="K260" s="50">
        <v>312828.75</v>
      </c>
      <c r="L260" s="50">
        <v>1</v>
      </c>
      <c r="M260" s="50">
        <v>312828.75</v>
      </c>
      <c r="N260" s="50">
        <v>262776.15000000002</v>
      </c>
      <c r="O260" s="50">
        <v>50052.6</v>
      </c>
      <c r="P260" s="50">
        <v>0</v>
      </c>
      <c r="Q260" s="87">
        <v>50052.6</v>
      </c>
      <c r="R260" s="152">
        <v>0</v>
      </c>
      <c r="S260" s="174"/>
      <c r="T260" s="74">
        <v>46203</v>
      </c>
      <c r="U260" s="74">
        <v>46203</v>
      </c>
      <c r="V260" s="48"/>
      <c r="W260" s="48"/>
      <c r="X260" s="48"/>
      <c r="Y260" s="48">
        <v>0</v>
      </c>
      <c r="Z260" s="48"/>
      <c r="AA260" s="48" t="s">
        <v>612</v>
      </c>
      <c r="AB260" s="48" t="s">
        <v>27</v>
      </c>
      <c r="AC260" s="48" t="s">
        <v>311</v>
      </c>
      <c r="AD260" s="89" t="s">
        <v>1026</v>
      </c>
    </row>
    <row r="261" spans="1:30" ht="15.75" hidden="1" x14ac:dyDescent="0.25">
      <c r="A261" s="48" t="s">
        <v>4565</v>
      </c>
      <c r="B261" s="74">
        <v>46118</v>
      </c>
      <c r="C261" s="48" t="s">
        <v>441</v>
      </c>
      <c r="D261" s="48" t="s">
        <v>20</v>
      </c>
      <c r="E261" s="48" t="s">
        <v>4500</v>
      </c>
      <c r="F261" s="48" t="s">
        <v>710</v>
      </c>
      <c r="G261" s="48" t="s">
        <v>24</v>
      </c>
      <c r="H261" s="48" t="s">
        <v>710</v>
      </c>
      <c r="I261" s="48" t="s">
        <v>26</v>
      </c>
      <c r="J261" s="48">
        <v>1020088</v>
      </c>
      <c r="K261" s="50">
        <v>1000000</v>
      </c>
      <c r="L261" s="50">
        <v>1</v>
      </c>
      <c r="M261" s="50">
        <v>1000000</v>
      </c>
      <c r="N261" s="50">
        <v>0</v>
      </c>
      <c r="O261" s="50">
        <v>1000000</v>
      </c>
      <c r="P261" s="50">
        <v>0</v>
      </c>
      <c r="Q261" s="87">
        <v>1000000</v>
      </c>
      <c r="R261" s="152">
        <v>0</v>
      </c>
      <c r="S261" s="174"/>
      <c r="T261" s="74">
        <v>46203</v>
      </c>
      <c r="U261" s="74">
        <v>46203</v>
      </c>
      <c r="V261" s="48"/>
      <c r="W261" s="48"/>
      <c r="X261" s="48"/>
      <c r="Y261" s="48">
        <v>0</v>
      </c>
      <c r="Z261" s="48"/>
      <c r="AA261" s="48" t="s">
        <v>366</v>
      </c>
      <c r="AB261" s="48" t="s">
        <v>27</v>
      </c>
      <c r="AC261" s="48" t="s">
        <v>4493</v>
      </c>
      <c r="AD261" s="89" t="s">
        <v>1026</v>
      </c>
    </row>
    <row r="262" spans="1:30" ht="15.75" hidden="1" x14ac:dyDescent="0.25">
      <c r="A262" s="48" t="s">
        <v>3714</v>
      </c>
      <c r="B262" s="74">
        <v>46037</v>
      </c>
      <c r="C262" s="48" t="s">
        <v>441</v>
      </c>
      <c r="D262" s="48" t="s">
        <v>20</v>
      </c>
      <c r="E262" s="48" t="s">
        <v>3293</v>
      </c>
      <c r="F262" s="48" t="s">
        <v>710</v>
      </c>
      <c r="G262" s="48" t="s">
        <v>24</v>
      </c>
      <c r="H262" s="48" t="s">
        <v>710</v>
      </c>
      <c r="I262" s="48" t="s">
        <v>26</v>
      </c>
      <c r="J262" s="48">
        <v>1020088</v>
      </c>
      <c r="K262" s="50">
        <v>1500000</v>
      </c>
      <c r="L262" s="50">
        <v>1</v>
      </c>
      <c r="M262" s="50">
        <v>1500000</v>
      </c>
      <c r="N262" s="50">
        <v>0</v>
      </c>
      <c r="O262" s="50">
        <v>1500000</v>
      </c>
      <c r="P262" s="50">
        <v>1377731.72</v>
      </c>
      <c r="Q262" s="87">
        <v>122268.28</v>
      </c>
      <c r="R262" s="152">
        <v>0</v>
      </c>
      <c r="S262" s="174" t="s">
        <v>4620</v>
      </c>
      <c r="T262" s="74">
        <v>46203</v>
      </c>
      <c r="U262" s="74">
        <v>46203</v>
      </c>
      <c r="V262" s="48"/>
      <c r="W262" s="48"/>
      <c r="X262" s="48"/>
      <c r="Y262" s="48">
        <v>0</v>
      </c>
      <c r="Z262" s="48"/>
      <c r="AA262" s="48" t="s">
        <v>366</v>
      </c>
      <c r="AB262" s="48" t="s">
        <v>27</v>
      </c>
      <c r="AC262" s="48" t="s">
        <v>1904</v>
      </c>
      <c r="AD262" s="89" t="s">
        <v>1026</v>
      </c>
    </row>
    <row r="263" spans="1:30" ht="15.75" hidden="1" x14ac:dyDescent="0.25">
      <c r="A263" s="48" t="s">
        <v>1873</v>
      </c>
      <c r="B263" s="74">
        <v>45914</v>
      </c>
      <c r="C263" s="48" t="s">
        <v>441</v>
      </c>
      <c r="D263" s="48" t="s">
        <v>20</v>
      </c>
      <c r="E263" s="48" t="s">
        <v>1843</v>
      </c>
      <c r="F263" s="48" t="s">
        <v>710</v>
      </c>
      <c r="G263" s="48" t="s">
        <v>24</v>
      </c>
      <c r="H263" s="48" t="s">
        <v>710</v>
      </c>
      <c r="I263" s="48" t="s">
        <v>26</v>
      </c>
      <c r="J263" s="48">
        <v>1020088</v>
      </c>
      <c r="K263" s="50">
        <v>1500000</v>
      </c>
      <c r="L263" s="50">
        <v>1</v>
      </c>
      <c r="M263" s="50">
        <v>1500000</v>
      </c>
      <c r="N263" s="50">
        <v>1071489.43</v>
      </c>
      <c r="O263" s="50">
        <v>428510.57</v>
      </c>
      <c r="P263" s="50">
        <v>427806.8</v>
      </c>
      <c r="Q263" s="87">
        <v>703.77</v>
      </c>
      <c r="R263" s="152">
        <v>0</v>
      </c>
      <c r="S263" s="312" t="s">
        <v>5182</v>
      </c>
      <c r="T263" s="74">
        <v>46203</v>
      </c>
      <c r="U263" s="74">
        <v>46203</v>
      </c>
      <c r="V263" s="50"/>
      <c r="W263" s="50"/>
      <c r="X263" s="50"/>
      <c r="Y263" s="48">
        <v>0</v>
      </c>
      <c r="Z263" s="48"/>
      <c r="AA263" s="48" t="s">
        <v>366</v>
      </c>
      <c r="AB263" s="48" t="s">
        <v>27</v>
      </c>
      <c r="AC263" s="48" t="s">
        <v>621</v>
      </c>
      <c r="AD263" s="89" t="s">
        <v>1026</v>
      </c>
    </row>
    <row r="264" spans="1:30" ht="15.75" hidden="1" x14ac:dyDescent="0.25">
      <c r="A264" s="48" t="s">
        <v>488</v>
      </c>
      <c r="B264" s="74">
        <v>45610</v>
      </c>
      <c r="C264" s="48" t="s">
        <v>509</v>
      </c>
      <c r="D264" s="48" t="s">
        <v>20</v>
      </c>
      <c r="E264" s="48" t="s">
        <v>449</v>
      </c>
      <c r="F264" s="48" t="s">
        <v>22</v>
      </c>
      <c r="G264" s="48" t="s">
        <v>72</v>
      </c>
      <c r="H264" s="48" t="s">
        <v>487</v>
      </c>
      <c r="I264" s="48" t="s">
        <v>26</v>
      </c>
      <c r="J264" s="48">
        <v>1020060</v>
      </c>
      <c r="K264" s="50">
        <v>3259208.68</v>
      </c>
      <c r="L264" s="50">
        <v>1</v>
      </c>
      <c r="M264" s="50">
        <v>3259208.68</v>
      </c>
      <c r="N264" s="50">
        <v>3084055.03</v>
      </c>
      <c r="O264" s="50">
        <v>175153.65</v>
      </c>
      <c r="P264" s="50">
        <v>0</v>
      </c>
      <c r="Q264" s="87">
        <v>175153.65</v>
      </c>
      <c r="R264" s="152">
        <v>0</v>
      </c>
      <c r="S264" s="174"/>
      <c r="T264" s="74">
        <v>45747</v>
      </c>
      <c r="U264" s="74">
        <v>45720</v>
      </c>
      <c r="V264" s="48"/>
      <c r="W264" s="48"/>
      <c r="X264" s="48"/>
      <c r="Y264" s="48">
        <v>0</v>
      </c>
      <c r="Z264" s="48"/>
      <c r="AA264" s="48" t="s">
        <v>21</v>
      </c>
      <c r="AB264" s="48" t="s">
        <v>27</v>
      </c>
      <c r="AC264" s="48" t="s">
        <v>305</v>
      </c>
      <c r="AD264" s="89" t="s">
        <v>845</v>
      </c>
    </row>
    <row r="265" spans="1:30" ht="15.75" hidden="1" x14ac:dyDescent="0.25">
      <c r="A265" s="48" t="s">
        <v>481</v>
      </c>
      <c r="B265" s="74">
        <v>45596</v>
      </c>
      <c r="C265" s="48" t="s">
        <v>509</v>
      </c>
      <c r="D265" s="48" t="s">
        <v>20</v>
      </c>
      <c r="E265" s="48" t="s">
        <v>449</v>
      </c>
      <c r="F265" s="48" t="s">
        <v>22</v>
      </c>
      <c r="G265" s="48" t="s">
        <v>24</v>
      </c>
      <c r="H265" s="48" t="s">
        <v>407</v>
      </c>
      <c r="I265" s="48" t="s">
        <v>26</v>
      </c>
      <c r="J265" s="48">
        <v>1020100</v>
      </c>
      <c r="K265" s="50">
        <v>900000</v>
      </c>
      <c r="L265" s="50">
        <v>1</v>
      </c>
      <c r="M265" s="50">
        <v>900000</v>
      </c>
      <c r="N265" s="50">
        <v>840873.63</v>
      </c>
      <c r="O265" s="50">
        <v>59126.37</v>
      </c>
      <c r="P265" s="50">
        <v>0</v>
      </c>
      <c r="Q265" s="87">
        <v>59126.37</v>
      </c>
      <c r="R265" s="152">
        <v>0</v>
      </c>
      <c r="S265" s="312"/>
      <c r="T265" s="74">
        <v>45838</v>
      </c>
      <c r="U265" s="74">
        <v>45760</v>
      </c>
      <c r="V265" s="48"/>
      <c r="W265" s="48"/>
      <c r="X265" s="48"/>
      <c r="Y265" s="48">
        <v>0</v>
      </c>
      <c r="Z265" s="48"/>
      <c r="AA265" s="48" t="s">
        <v>21</v>
      </c>
      <c r="AB265" s="48" t="s">
        <v>27</v>
      </c>
      <c r="AC265" s="48" t="s">
        <v>311</v>
      </c>
      <c r="AD265" s="89" t="s">
        <v>845</v>
      </c>
    </row>
    <row r="266" spans="1:30" ht="15.75" hidden="1" x14ac:dyDescent="0.25">
      <c r="A266" s="48" t="s">
        <v>448</v>
      </c>
      <c r="B266" s="74">
        <v>45615</v>
      </c>
      <c r="C266" s="48" t="s">
        <v>441</v>
      </c>
      <c r="D266" s="48" t="s">
        <v>20</v>
      </c>
      <c r="E266" s="48" t="s">
        <v>449</v>
      </c>
      <c r="F266" s="48" t="s">
        <v>96</v>
      </c>
      <c r="G266" s="48" t="s">
        <v>24</v>
      </c>
      <c r="H266" s="48" t="s">
        <v>22</v>
      </c>
      <c r="I266" s="48" t="s">
        <v>26</v>
      </c>
      <c r="J266" s="48">
        <v>1020055</v>
      </c>
      <c r="K266" s="50">
        <v>526225.01500000095</v>
      </c>
      <c r="L266" s="50">
        <v>1</v>
      </c>
      <c r="M266" s="50">
        <v>526225.01500000095</v>
      </c>
      <c r="N266" s="50">
        <v>526225.02</v>
      </c>
      <c r="O266" s="50">
        <v>0</v>
      </c>
      <c r="P266" s="50">
        <v>0</v>
      </c>
      <c r="Q266" s="87">
        <v>0</v>
      </c>
      <c r="R266" s="152">
        <v>0</v>
      </c>
      <c r="S266" s="174"/>
      <c r="T266" s="74">
        <v>45777</v>
      </c>
      <c r="U266" s="74">
        <v>45751</v>
      </c>
      <c r="V266" s="48"/>
      <c r="W266" s="48"/>
      <c r="X266" s="48"/>
      <c r="Y266" s="48">
        <v>0</v>
      </c>
      <c r="Z266" s="48"/>
      <c r="AA266" s="48" t="s">
        <v>95</v>
      </c>
      <c r="AB266" s="48" t="s">
        <v>27</v>
      </c>
      <c r="AC266" s="48" t="s">
        <v>311</v>
      </c>
      <c r="AD266" s="89" t="s">
        <v>845</v>
      </c>
    </row>
    <row r="267" spans="1:30" ht="15.75" hidden="1" x14ac:dyDescent="0.25">
      <c r="A267" s="48" t="s">
        <v>1443</v>
      </c>
      <c r="B267" s="74">
        <v>45810</v>
      </c>
      <c r="C267" s="48" t="s">
        <v>441</v>
      </c>
      <c r="D267" s="48" t="s">
        <v>20</v>
      </c>
      <c r="E267" s="48" t="s">
        <v>449</v>
      </c>
      <c r="F267" s="48" t="s">
        <v>710</v>
      </c>
      <c r="G267" s="48" t="s">
        <v>24</v>
      </c>
      <c r="H267" s="48" t="s">
        <v>710</v>
      </c>
      <c r="I267" s="48" t="s">
        <v>26</v>
      </c>
      <c r="J267" s="48">
        <v>1020088</v>
      </c>
      <c r="K267" s="50">
        <v>875313.5</v>
      </c>
      <c r="L267" s="50">
        <v>1</v>
      </c>
      <c r="M267" s="50">
        <v>875313.5</v>
      </c>
      <c r="N267" s="50">
        <v>875194.28</v>
      </c>
      <c r="O267" s="50">
        <v>119.22</v>
      </c>
      <c r="P267" s="50">
        <v>0</v>
      </c>
      <c r="Q267" s="87">
        <v>119.22</v>
      </c>
      <c r="R267" s="152">
        <v>0</v>
      </c>
      <c r="S267" s="174"/>
      <c r="T267" s="74">
        <v>45961</v>
      </c>
      <c r="U267" s="74">
        <v>45961</v>
      </c>
      <c r="V267" s="48"/>
      <c r="W267" s="48"/>
      <c r="X267" s="48"/>
      <c r="Y267" s="48">
        <v>0</v>
      </c>
      <c r="Z267" s="48"/>
      <c r="AA267" s="48" t="s">
        <v>366</v>
      </c>
      <c r="AB267" s="48" t="s">
        <v>27</v>
      </c>
      <c r="AC267" s="48" t="s">
        <v>621</v>
      </c>
      <c r="AD267" s="89" t="s">
        <v>845</v>
      </c>
    </row>
    <row r="268" spans="1:30" ht="15.75" hidden="1" x14ac:dyDescent="0.25">
      <c r="A268" s="48" t="s">
        <v>1824</v>
      </c>
      <c r="B268" s="74">
        <v>45896</v>
      </c>
      <c r="C268" s="48" t="s">
        <v>509</v>
      </c>
      <c r="D268" s="48" t="s">
        <v>20</v>
      </c>
      <c r="E268" s="48" t="s">
        <v>449</v>
      </c>
      <c r="F268" s="48" t="s">
        <v>22</v>
      </c>
      <c r="G268" s="48" t="s">
        <v>72</v>
      </c>
      <c r="H268" s="48" t="s">
        <v>487</v>
      </c>
      <c r="I268" s="48" t="s">
        <v>26</v>
      </c>
      <c r="J268" s="48">
        <v>1020060</v>
      </c>
      <c r="K268" s="50">
        <v>175153.65</v>
      </c>
      <c r="L268" s="50">
        <v>1</v>
      </c>
      <c r="M268" s="50">
        <v>175153.65</v>
      </c>
      <c r="N268" s="50">
        <v>0</v>
      </c>
      <c r="O268" s="50">
        <v>175153.65</v>
      </c>
      <c r="P268" s="50">
        <v>0</v>
      </c>
      <c r="Q268" s="87">
        <v>175153.65</v>
      </c>
      <c r="R268" s="152">
        <v>0</v>
      </c>
      <c r="S268" s="174"/>
      <c r="T268" s="74">
        <v>45938</v>
      </c>
      <c r="U268" s="74">
        <v>45920</v>
      </c>
      <c r="V268" s="48"/>
      <c r="W268" s="48"/>
      <c r="X268" s="48"/>
      <c r="Y268" s="48">
        <v>0</v>
      </c>
      <c r="Z268" s="48"/>
      <c r="AA268" s="48" t="s">
        <v>21</v>
      </c>
      <c r="AB268" s="48" t="s">
        <v>27</v>
      </c>
      <c r="AC268" s="48" t="s">
        <v>311</v>
      </c>
      <c r="AD268" s="89" t="s">
        <v>845</v>
      </c>
    </row>
    <row r="269" spans="1:30" ht="15.75" hidden="1" x14ac:dyDescent="0.25">
      <c r="A269" s="48" t="s">
        <v>403</v>
      </c>
      <c r="B269" s="74">
        <v>45551</v>
      </c>
      <c r="C269" s="48" t="s">
        <v>441</v>
      </c>
      <c r="D269" s="48" t="s">
        <v>20</v>
      </c>
      <c r="E269" s="48" t="s">
        <v>404</v>
      </c>
      <c r="F269" s="48" t="s">
        <v>96</v>
      </c>
      <c r="G269" s="48" t="s">
        <v>24</v>
      </c>
      <c r="H269" s="48" t="s">
        <v>22</v>
      </c>
      <c r="I269" s="48" t="s">
        <v>26</v>
      </c>
      <c r="J269" s="48">
        <v>1020055</v>
      </c>
      <c r="K269" s="50">
        <v>500000</v>
      </c>
      <c r="L269" s="50">
        <v>1</v>
      </c>
      <c r="M269" s="50">
        <v>500000</v>
      </c>
      <c r="N269" s="50">
        <v>500000</v>
      </c>
      <c r="O269" s="50">
        <v>0</v>
      </c>
      <c r="P269" s="50">
        <v>0</v>
      </c>
      <c r="Q269" s="87">
        <v>0</v>
      </c>
      <c r="R269" s="152">
        <v>0</v>
      </c>
      <c r="S269" s="174"/>
      <c r="T269" s="74">
        <v>45626</v>
      </c>
      <c r="U269" s="74">
        <v>45600</v>
      </c>
      <c r="V269" s="48"/>
      <c r="W269" s="48"/>
      <c r="X269" s="48"/>
      <c r="Y269" s="48">
        <v>0</v>
      </c>
      <c r="Z269" s="48"/>
      <c r="AA269" s="48" t="s">
        <v>95</v>
      </c>
      <c r="AB269" s="48" t="s">
        <v>27</v>
      </c>
      <c r="AC269" s="48" t="s">
        <v>311</v>
      </c>
      <c r="AD269" s="89" t="s">
        <v>845</v>
      </c>
    </row>
    <row r="270" spans="1:30" ht="15.75" hidden="1" x14ac:dyDescent="0.25">
      <c r="A270" s="48" t="s">
        <v>674</v>
      </c>
      <c r="B270" s="74">
        <v>45684</v>
      </c>
      <c r="C270" s="48" t="s">
        <v>509</v>
      </c>
      <c r="D270" s="48" t="s">
        <v>20</v>
      </c>
      <c r="E270" s="48" t="s">
        <v>675</v>
      </c>
      <c r="F270" s="48" t="s">
        <v>96</v>
      </c>
      <c r="G270" s="48" t="s">
        <v>24</v>
      </c>
      <c r="H270" s="48" t="s">
        <v>407</v>
      </c>
      <c r="I270" s="48" t="s">
        <v>26</v>
      </c>
      <c r="J270" s="48">
        <v>1020100</v>
      </c>
      <c r="K270" s="50">
        <v>900000</v>
      </c>
      <c r="L270" s="50">
        <v>1</v>
      </c>
      <c r="M270" s="50">
        <v>900000</v>
      </c>
      <c r="N270" s="50">
        <v>781791.28</v>
      </c>
      <c r="O270" s="50">
        <v>118208.72</v>
      </c>
      <c r="P270" s="50">
        <v>0</v>
      </c>
      <c r="Q270" s="87">
        <v>118208.72</v>
      </c>
      <c r="R270" s="152">
        <v>0</v>
      </c>
      <c r="S270" s="174"/>
      <c r="T270" s="74">
        <v>46203</v>
      </c>
      <c r="U270" s="74">
        <v>46203</v>
      </c>
      <c r="V270" s="48"/>
      <c r="W270" s="48"/>
      <c r="X270" s="48"/>
      <c r="Y270" s="48">
        <v>0</v>
      </c>
      <c r="Z270" s="48"/>
      <c r="AA270" s="48" t="s">
        <v>95</v>
      </c>
      <c r="AB270" s="48" t="s">
        <v>27</v>
      </c>
      <c r="AC270" s="48" t="s">
        <v>311</v>
      </c>
      <c r="AD270" s="89" t="s">
        <v>1026</v>
      </c>
    </row>
    <row r="271" spans="1:30" ht="15.75" hidden="1" x14ac:dyDescent="0.25">
      <c r="A271" s="48" t="s">
        <v>428</v>
      </c>
      <c r="B271" s="74">
        <v>45579</v>
      </c>
      <c r="C271" s="48" t="s">
        <v>441</v>
      </c>
      <c r="D271" s="48" t="s">
        <v>20</v>
      </c>
      <c r="E271" s="48" t="s">
        <v>429</v>
      </c>
      <c r="F271" s="48" t="s">
        <v>96</v>
      </c>
      <c r="G271" s="48" t="s">
        <v>24</v>
      </c>
      <c r="H271" s="48" t="s">
        <v>22</v>
      </c>
      <c r="I271" s="48" t="s">
        <v>26</v>
      </c>
      <c r="J271" s="48">
        <v>1020055</v>
      </c>
      <c r="K271" s="50">
        <v>933207.66</v>
      </c>
      <c r="L271" s="50">
        <v>1</v>
      </c>
      <c r="M271" s="50">
        <v>933207.66</v>
      </c>
      <c r="N271" s="50">
        <v>916299.21</v>
      </c>
      <c r="O271" s="50">
        <v>16908.45</v>
      </c>
      <c r="P271" s="50">
        <v>0</v>
      </c>
      <c r="Q271" s="87">
        <v>16908.45</v>
      </c>
      <c r="R271" s="152">
        <v>0</v>
      </c>
      <c r="S271" s="174"/>
      <c r="T271" s="74">
        <v>45657</v>
      </c>
      <c r="U271" s="74">
        <v>45630</v>
      </c>
      <c r="V271" s="48"/>
      <c r="W271" s="48"/>
      <c r="X271" s="48"/>
      <c r="Y271" s="48">
        <v>0</v>
      </c>
      <c r="Z271" s="48"/>
      <c r="AA271" s="48" t="s">
        <v>95</v>
      </c>
      <c r="AB271" s="48" t="s">
        <v>27</v>
      </c>
      <c r="AC271" s="48" t="s">
        <v>311</v>
      </c>
      <c r="AD271" s="89" t="s">
        <v>845</v>
      </c>
    </row>
    <row r="272" spans="1:30" ht="15.75" hidden="1" x14ac:dyDescent="0.25">
      <c r="A272" s="48" t="s">
        <v>1283</v>
      </c>
      <c r="B272" s="74">
        <v>45785</v>
      </c>
      <c r="C272" s="48" t="s">
        <v>1259</v>
      </c>
      <c r="D272" s="48" t="s">
        <v>20</v>
      </c>
      <c r="E272" s="48" t="s">
        <v>1260</v>
      </c>
      <c r="F272" s="48" t="s">
        <v>70</v>
      </c>
      <c r="G272" s="48" t="s">
        <v>72</v>
      </c>
      <c r="H272" s="48" t="s">
        <v>483</v>
      </c>
      <c r="I272" s="48" t="s">
        <v>26</v>
      </c>
      <c r="J272" s="48">
        <v>1020096</v>
      </c>
      <c r="K272" s="50">
        <v>10893375</v>
      </c>
      <c r="L272" s="50">
        <v>1</v>
      </c>
      <c r="M272" s="50">
        <v>10893375</v>
      </c>
      <c r="N272" s="50">
        <v>10893375</v>
      </c>
      <c r="O272" s="50">
        <v>0</v>
      </c>
      <c r="P272" s="50">
        <v>0</v>
      </c>
      <c r="Q272" s="87">
        <v>0</v>
      </c>
      <c r="R272" s="152">
        <v>0</v>
      </c>
      <c r="S272" s="174"/>
      <c r="T272" s="74">
        <v>45900</v>
      </c>
      <c r="U272" s="74">
        <v>45900</v>
      </c>
      <c r="V272" s="48"/>
      <c r="W272" s="48"/>
      <c r="X272" s="48"/>
      <c r="Y272" s="48">
        <v>0</v>
      </c>
      <c r="Z272" s="48"/>
      <c r="AA272" s="48" t="s">
        <v>373</v>
      </c>
      <c r="AB272" s="48" t="s">
        <v>70</v>
      </c>
      <c r="AC272" s="48" t="s">
        <v>621</v>
      </c>
      <c r="AD272" s="89" t="s">
        <v>845</v>
      </c>
    </row>
    <row r="273" spans="1:30" ht="15.75" hidden="1" x14ac:dyDescent="0.25">
      <c r="A273" s="48" t="s">
        <v>254</v>
      </c>
      <c r="B273" s="74">
        <v>45125</v>
      </c>
      <c r="C273" s="48" t="s">
        <v>1184</v>
      </c>
      <c r="D273" s="48" t="s">
        <v>20</v>
      </c>
      <c r="E273" s="48" t="s">
        <v>3623</v>
      </c>
      <c r="F273" s="48" t="s">
        <v>22</v>
      </c>
      <c r="G273" s="48" t="s">
        <v>1791</v>
      </c>
      <c r="H273" s="48" t="s">
        <v>22</v>
      </c>
      <c r="I273" s="48" t="s">
        <v>67</v>
      </c>
      <c r="J273" s="48">
        <v>1020055</v>
      </c>
      <c r="K273" s="50">
        <v>8182985</v>
      </c>
      <c r="L273" s="50">
        <v>3.9586999999999999</v>
      </c>
      <c r="M273" s="50">
        <v>32393982.719499998</v>
      </c>
      <c r="N273" s="50">
        <v>29771388.196412001</v>
      </c>
      <c r="O273" s="50">
        <v>2622594.52</v>
      </c>
      <c r="P273" s="50">
        <v>0</v>
      </c>
      <c r="Q273" s="87">
        <v>2622594.52</v>
      </c>
      <c r="R273" s="152">
        <v>0</v>
      </c>
      <c r="S273" s="174"/>
      <c r="T273" s="74">
        <v>45761</v>
      </c>
      <c r="U273" s="74">
        <v>45747</v>
      </c>
      <c r="V273" s="48"/>
      <c r="W273" s="48"/>
      <c r="X273" s="48"/>
      <c r="Y273" s="48">
        <v>0</v>
      </c>
      <c r="Z273" s="48"/>
      <c r="AA273" s="48" t="s">
        <v>21</v>
      </c>
      <c r="AB273" s="48" t="s">
        <v>27</v>
      </c>
      <c r="AC273" s="48" t="s">
        <v>255</v>
      </c>
      <c r="AD273" s="89" t="s">
        <v>845</v>
      </c>
    </row>
    <row r="274" spans="1:30" ht="15.75" hidden="1" x14ac:dyDescent="0.25">
      <c r="A274" s="48" t="s">
        <v>707</v>
      </c>
      <c r="B274" s="74">
        <v>45727</v>
      </c>
      <c r="C274" s="48" t="s">
        <v>708</v>
      </c>
      <c r="D274" s="48" t="s">
        <v>20</v>
      </c>
      <c r="E274" s="48" t="s">
        <v>3623</v>
      </c>
      <c r="F274" s="48" t="s">
        <v>96</v>
      </c>
      <c r="G274" s="48" t="s">
        <v>1791</v>
      </c>
      <c r="H274" s="48" t="s">
        <v>328</v>
      </c>
      <c r="I274" s="48" t="s">
        <v>67</v>
      </c>
      <c r="J274" s="48">
        <v>1020097</v>
      </c>
      <c r="K274" s="50">
        <v>10500000</v>
      </c>
      <c r="L274" s="50">
        <v>4.056</v>
      </c>
      <c r="M274" s="50">
        <v>42588000</v>
      </c>
      <c r="N274" s="50">
        <v>12335918.542009998</v>
      </c>
      <c r="O274" s="50">
        <v>30252081.460000001</v>
      </c>
      <c r="P274" s="50">
        <v>9527337.3100000005</v>
      </c>
      <c r="Q274" s="87">
        <v>20724744.149999999</v>
      </c>
      <c r="R274" s="152">
        <v>0</v>
      </c>
      <c r="S274" s="174" t="s">
        <v>5582</v>
      </c>
      <c r="T274" s="74">
        <v>46408</v>
      </c>
      <c r="U274" s="74">
        <v>46365</v>
      </c>
      <c r="V274" s="48"/>
      <c r="W274" s="48"/>
      <c r="X274" s="48"/>
      <c r="Y274" s="48">
        <v>0</v>
      </c>
      <c r="Z274" s="48" t="s">
        <v>5339</v>
      </c>
      <c r="AA274" s="48" t="s">
        <v>95</v>
      </c>
      <c r="AB274" s="48" t="s">
        <v>27</v>
      </c>
      <c r="AC274" s="48" t="s">
        <v>255</v>
      </c>
      <c r="AD274" s="89" t="s">
        <v>1026</v>
      </c>
    </row>
    <row r="275" spans="1:30" ht="15.75" hidden="1" x14ac:dyDescent="0.25">
      <c r="A275" s="48" t="s">
        <v>1551</v>
      </c>
      <c r="B275" s="74">
        <v>45853</v>
      </c>
      <c r="C275" s="48" t="s">
        <v>1539</v>
      </c>
      <c r="D275" s="48" t="s">
        <v>20</v>
      </c>
      <c r="E275" s="48" t="s">
        <v>3623</v>
      </c>
      <c r="F275" s="48" t="s">
        <v>22</v>
      </c>
      <c r="G275" s="48" t="s">
        <v>1791</v>
      </c>
      <c r="H275" s="48" t="s">
        <v>22</v>
      </c>
      <c r="I275" s="48" t="s">
        <v>67</v>
      </c>
      <c r="J275" s="48">
        <v>1020055</v>
      </c>
      <c r="K275" s="50">
        <v>240542.66</v>
      </c>
      <c r="L275" s="50">
        <v>4.3594999999999997</v>
      </c>
      <c r="M275" s="50">
        <v>1048645.72627</v>
      </c>
      <c r="N275" s="50">
        <v>381401.93062999996</v>
      </c>
      <c r="O275" s="50">
        <v>667243.80000000005</v>
      </c>
      <c r="P275" s="50">
        <v>0</v>
      </c>
      <c r="Q275" s="87">
        <v>667243.80000000005</v>
      </c>
      <c r="R275" s="152">
        <v>0</v>
      </c>
      <c r="S275" s="174"/>
      <c r="T275" s="74">
        <v>46022</v>
      </c>
      <c r="U275" s="74">
        <v>46001</v>
      </c>
      <c r="V275" s="48"/>
      <c r="W275" s="48"/>
      <c r="X275" s="48"/>
      <c r="Y275" s="48">
        <v>0</v>
      </c>
      <c r="Z275" s="48"/>
      <c r="AA275" s="48" t="s">
        <v>21</v>
      </c>
      <c r="AB275" s="48" t="s">
        <v>27</v>
      </c>
      <c r="AC275" s="48" t="s">
        <v>705</v>
      </c>
      <c r="AD275" s="89" t="s">
        <v>845</v>
      </c>
    </row>
    <row r="276" spans="1:30" ht="15.75" hidden="1" x14ac:dyDescent="0.25">
      <c r="A276" s="48" t="s">
        <v>3227</v>
      </c>
      <c r="B276" s="74">
        <v>46016</v>
      </c>
      <c r="C276" s="48" t="s">
        <v>831</v>
      </c>
      <c r="D276" s="48" t="s">
        <v>20</v>
      </c>
      <c r="E276" s="48" t="s">
        <v>3623</v>
      </c>
      <c r="F276" s="48" t="s">
        <v>22</v>
      </c>
      <c r="G276" s="48" t="s">
        <v>80</v>
      </c>
      <c r="H276" s="48" t="s">
        <v>22</v>
      </c>
      <c r="I276" s="48" t="s">
        <v>67</v>
      </c>
      <c r="J276" s="48">
        <v>1020055</v>
      </c>
      <c r="K276" s="50">
        <v>1687320.39</v>
      </c>
      <c r="L276" s="50">
        <v>4.5</v>
      </c>
      <c r="M276" s="50">
        <v>7592941.7549999999</v>
      </c>
      <c r="N276" s="50">
        <v>703586.90607999999</v>
      </c>
      <c r="O276" s="50">
        <v>6889354.8499999996</v>
      </c>
      <c r="P276" s="50">
        <v>0</v>
      </c>
      <c r="Q276" s="87">
        <v>6889354.8499999996</v>
      </c>
      <c r="R276" s="152">
        <v>675197.28</v>
      </c>
      <c r="S276" s="174"/>
      <c r="T276" s="74">
        <v>46381</v>
      </c>
      <c r="U276" s="74">
        <v>46381</v>
      </c>
      <c r="V276" s="48"/>
      <c r="W276" s="48"/>
      <c r="X276" s="48"/>
      <c r="Y276" s="48">
        <v>0</v>
      </c>
      <c r="Z276" s="48"/>
      <c r="AA276" s="48" t="s">
        <v>21</v>
      </c>
      <c r="AB276" s="48" t="s">
        <v>27</v>
      </c>
      <c r="AC276" s="48" t="s">
        <v>425</v>
      </c>
      <c r="AD276" s="89" t="s">
        <v>1026</v>
      </c>
    </row>
    <row r="277" spans="1:30" ht="15.75" hidden="1" x14ac:dyDescent="0.25">
      <c r="A277" s="48" t="s">
        <v>4070</v>
      </c>
      <c r="B277" s="74">
        <v>46065</v>
      </c>
      <c r="C277" s="48" t="s">
        <v>831</v>
      </c>
      <c r="D277" s="48" t="s">
        <v>20</v>
      </c>
      <c r="E277" s="48" t="s">
        <v>3189</v>
      </c>
      <c r="F277" s="48" t="s">
        <v>96</v>
      </c>
      <c r="G277" s="48" t="s">
        <v>80</v>
      </c>
      <c r="H277" s="48" t="s">
        <v>328</v>
      </c>
      <c r="I277" s="48" t="s">
        <v>26</v>
      </c>
      <c r="J277" s="48">
        <v>1020097</v>
      </c>
      <c r="K277" s="50">
        <v>5000000</v>
      </c>
      <c r="L277" s="50">
        <v>1</v>
      </c>
      <c r="M277" s="50">
        <v>5000000</v>
      </c>
      <c r="N277" s="50">
        <v>0</v>
      </c>
      <c r="O277" s="50">
        <v>5000000</v>
      </c>
      <c r="P277" s="50">
        <v>0</v>
      </c>
      <c r="Q277" s="87">
        <v>5000000</v>
      </c>
      <c r="R277" s="152">
        <v>0</v>
      </c>
      <c r="S277" s="174"/>
      <c r="T277" s="74">
        <v>46138</v>
      </c>
      <c r="U277" s="74">
        <v>46113</v>
      </c>
      <c r="V277" s="48"/>
      <c r="W277" s="48"/>
      <c r="X277" s="48"/>
      <c r="Y277" s="48">
        <v>0</v>
      </c>
      <c r="Z277" s="48"/>
      <c r="AA277" s="48" t="s">
        <v>95</v>
      </c>
      <c r="AB277" s="48" t="s">
        <v>27</v>
      </c>
      <c r="AC277" s="48" t="s">
        <v>425</v>
      </c>
      <c r="AD277" s="89" t="s">
        <v>845</v>
      </c>
    </row>
    <row r="278" spans="1:30" ht="15.75" hidden="1" x14ac:dyDescent="0.25">
      <c r="A278" s="48" t="s">
        <v>661</v>
      </c>
      <c r="B278" s="74">
        <v>45693</v>
      </c>
      <c r="C278" s="48" t="s">
        <v>441</v>
      </c>
      <c r="D278" s="48" t="s">
        <v>20</v>
      </c>
      <c r="E278" s="48" t="s">
        <v>662</v>
      </c>
      <c r="F278" s="48" t="s">
        <v>96</v>
      </c>
      <c r="G278" s="48" t="s">
        <v>24</v>
      </c>
      <c r="H278" s="48" t="s">
        <v>22</v>
      </c>
      <c r="I278" s="48" t="s">
        <v>26</v>
      </c>
      <c r="J278" s="48">
        <v>1020055</v>
      </c>
      <c r="K278" s="50">
        <v>1000000</v>
      </c>
      <c r="L278" s="50">
        <v>1</v>
      </c>
      <c r="M278" s="50">
        <v>1000000</v>
      </c>
      <c r="N278" s="50">
        <v>1000000</v>
      </c>
      <c r="O278" s="50">
        <v>0</v>
      </c>
      <c r="P278" s="50">
        <v>0</v>
      </c>
      <c r="Q278" s="87">
        <v>0</v>
      </c>
      <c r="R278" s="152">
        <v>0</v>
      </c>
      <c r="S278" s="174"/>
      <c r="T278" s="74">
        <v>45777</v>
      </c>
      <c r="U278" s="74">
        <v>45777</v>
      </c>
      <c r="V278" s="48"/>
      <c r="W278" s="48"/>
      <c r="X278" s="48"/>
      <c r="Y278" s="48">
        <v>0</v>
      </c>
      <c r="Z278" s="48"/>
      <c r="AA278" s="48" t="s">
        <v>95</v>
      </c>
      <c r="AB278" s="48" t="s">
        <v>27</v>
      </c>
      <c r="AC278" s="48" t="s">
        <v>311</v>
      </c>
      <c r="AD278" s="89" t="s">
        <v>845</v>
      </c>
    </row>
    <row r="279" spans="1:30" ht="15.75" hidden="1" x14ac:dyDescent="0.25">
      <c r="A279" s="48" t="s">
        <v>1405</v>
      </c>
      <c r="B279" s="74">
        <v>45804</v>
      </c>
      <c r="C279" s="48" t="s">
        <v>441</v>
      </c>
      <c r="D279" s="48" t="s">
        <v>20</v>
      </c>
      <c r="E279" s="48" t="s">
        <v>1358</v>
      </c>
      <c r="F279" s="48" t="s">
        <v>22</v>
      </c>
      <c r="G279" s="48" t="s">
        <v>24</v>
      </c>
      <c r="H279" s="48" t="s">
        <v>22</v>
      </c>
      <c r="I279" s="48" t="s">
        <v>26</v>
      </c>
      <c r="J279" s="48">
        <v>1020055</v>
      </c>
      <c r="K279" s="50">
        <v>250000</v>
      </c>
      <c r="L279" s="50">
        <v>1</v>
      </c>
      <c r="M279" s="50">
        <v>250000</v>
      </c>
      <c r="N279" s="50">
        <v>250000</v>
      </c>
      <c r="O279" s="50">
        <v>0</v>
      </c>
      <c r="P279" s="50">
        <v>0</v>
      </c>
      <c r="Q279" s="87">
        <v>0</v>
      </c>
      <c r="R279" s="152">
        <v>0</v>
      </c>
      <c r="S279" s="174"/>
      <c r="T279" s="74">
        <v>45900</v>
      </c>
      <c r="U279" s="74">
        <v>45900</v>
      </c>
      <c r="V279" s="48"/>
      <c r="W279" s="48"/>
      <c r="X279" s="48"/>
      <c r="Y279" s="48">
        <v>0</v>
      </c>
      <c r="Z279" s="48"/>
      <c r="AA279" s="48" t="s">
        <v>21</v>
      </c>
      <c r="AB279" s="48" t="s">
        <v>27</v>
      </c>
      <c r="AC279" s="48" t="s">
        <v>621</v>
      </c>
      <c r="AD279" s="89" t="s">
        <v>845</v>
      </c>
    </row>
    <row r="280" spans="1:30" ht="15.75" hidden="1" x14ac:dyDescent="0.25">
      <c r="A280" s="48" t="s">
        <v>2434</v>
      </c>
      <c r="B280" s="74">
        <v>45928</v>
      </c>
      <c r="C280" s="48" t="s">
        <v>441</v>
      </c>
      <c r="D280" s="48" t="s">
        <v>20</v>
      </c>
      <c r="E280" s="48" t="s">
        <v>1844</v>
      </c>
      <c r="F280" s="48" t="s">
        <v>710</v>
      </c>
      <c r="G280" s="48" t="s">
        <v>24</v>
      </c>
      <c r="H280" s="48" t="s">
        <v>710</v>
      </c>
      <c r="I280" s="48" t="s">
        <v>26</v>
      </c>
      <c r="J280" s="48">
        <v>1020088</v>
      </c>
      <c r="K280" s="50">
        <v>1500000</v>
      </c>
      <c r="L280" s="50">
        <v>1</v>
      </c>
      <c r="M280" s="50">
        <v>1500000</v>
      </c>
      <c r="N280" s="50">
        <v>1500000</v>
      </c>
      <c r="O280" s="50">
        <v>0</v>
      </c>
      <c r="P280" s="50">
        <v>0</v>
      </c>
      <c r="Q280" s="87">
        <v>0</v>
      </c>
      <c r="R280" s="152">
        <v>0</v>
      </c>
      <c r="S280" s="174"/>
      <c r="T280" s="74">
        <v>46022</v>
      </c>
      <c r="U280" s="74">
        <v>46022</v>
      </c>
      <c r="V280" s="48"/>
      <c r="W280" s="48"/>
      <c r="X280" s="48"/>
      <c r="Y280" s="48">
        <v>0</v>
      </c>
      <c r="Z280" s="48"/>
      <c r="AA280" s="48" t="s">
        <v>366</v>
      </c>
      <c r="AB280" s="48" t="s">
        <v>27</v>
      </c>
      <c r="AC280" s="48" t="s">
        <v>621</v>
      </c>
      <c r="AD280" s="89" t="s">
        <v>845</v>
      </c>
    </row>
    <row r="281" spans="1:30" ht="15.75" hidden="1" x14ac:dyDescent="0.25">
      <c r="A281" s="48" t="s">
        <v>154</v>
      </c>
      <c r="B281" s="74">
        <v>45167</v>
      </c>
      <c r="C281" s="48" t="s">
        <v>441</v>
      </c>
      <c r="D281" s="48" t="s">
        <v>20</v>
      </c>
      <c r="E281" s="48" t="s">
        <v>155</v>
      </c>
      <c r="F281" s="48" t="s">
        <v>22</v>
      </c>
      <c r="G281" s="48" t="s">
        <v>24</v>
      </c>
      <c r="H281" s="48" t="s">
        <v>22</v>
      </c>
      <c r="I281" s="48" t="s">
        <v>26</v>
      </c>
      <c r="J281" s="48">
        <v>1020055</v>
      </c>
      <c r="K281" s="50">
        <v>800000</v>
      </c>
      <c r="L281" s="50">
        <v>1</v>
      </c>
      <c r="M281" s="50">
        <v>800000</v>
      </c>
      <c r="N281" s="50">
        <v>800000</v>
      </c>
      <c r="O281" s="50">
        <v>0</v>
      </c>
      <c r="P281" s="50">
        <v>0</v>
      </c>
      <c r="Q281" s="87">
        <v>0</v>
      </c>
      <c r="R281" s="152">
        <v>0</v>
      </c>
      <c r="S281" s="174"/>
      <c r="T281" s="74">
        <v>45260</v>
      </c>
      <c r="U281" s="74">
        <v>45260</v>
      </c>
      <c r="V281" s="48"/>
      <c r="W281" s="48"/>
      <c r="X281" s="48"/>
      <c r="Y281" s="48">
        <v>0</v>
      </c>
      <c r="Z281" s="48"/>
      <c r="AA281" s="48" t="s">
        <v>21</v>
      </c>
      <c r="AB281" s="48" t="s">
        <v>27</v>
      </c>
      <c r="AC281" s="48" t="s">
        <v>35</v>
      </c>
      <c r="AD281" s="89" t="s">
        <v>845</v>
      </c>
    </row>
    <row r="282" spans="1:30" ht="15.75" hidden="1" x14ac:dyDescent="0.25">
      <c r="A282" s="48" t="s">
        <v>256</v>
      </c>
      <c r="B282" s="74">
        <v>45271</v>
      </c>
      <c r="C282" s="48" t="s">
        <v>441</v>
      </c>
      <c r="D282" s="48" t="s">
        <v>20</v>
      </c>
      <c r="E282" s="48" t="s">
        <v>155</v>
      </c>
      <c r="F282" s="48" t="s">
        <v>22</v>
      </c>
      <c r="G282" s="48" t="s">
        <v>24</v>
      </c>
      <c r="H282" s="48" t="s">
        <v>22</v>
      </c>
      <c r="I282" s="48" t="s">
        <v>26</v>
      </c>
      <c r="J282" s="48">
        <v>1020055</v>
      </c>
      <c r="K282" s="50">
        <v>1552500</v>
      </c>
      <c r="L282" s="50">
        <v>1</v>
      </c>
      <c r="M282" s="50">
        <v>1552500</v>
      </c>
      <c r="N282" s="50">
        <v>1552500</v>
      </c>
      <c r="O282" s="50">
        <v>0</v>
      </c>
      <c r="P282" s="50">
        <v>0</v>
      </c>
      <c r="Q282" s="87">
        <v>0</v>
      </c>
      <c r="R282" s="152">
        <v>0</v>
      </c>
      <c r="S282" s="174"/>
      <c r="T282" s="74">
        <v>45565</v>
      </c>
      <c r="U282" s="74">
        <v>45544</v>
      </c>
      <c r="V282" s="48"/>
      <c r="W282" s="48"/>
      <c r="X282" s="48"/>
      <c r="Y282" s="48">
        <v>0</v>
      </c>
      <c r="Z282" s="48"/>
      <c r="AA282" s="48" t="s">
        <v>21</v>
      </c>
      <c r="AB282" s="48" t="s">
        <v>27</v>
      </c>
      <c r="AC282" s="48" t="s">
        <v>35</v>
      </c>
      <c r="AD282" s="89" t="s">
        <v>845</v>
      </c>
    </row>
    <row r="283" spans="1:30" ht="15.75" hidden="1" x14ac:dyDescent="0.25">
      <c r="A283" s="48" t="s">
        <v>471</v>
      </c>
      <c r="B283" s="74">
        <v>45609</v>
      </c>
      <c r="C283" s="48" t="s">
        <v>509</v>
      </c>
      <c r="D283" s="48" t="s">
        <v>20</v>
      </c>
      <c r="E283" s="48" t="s">
        <v>155</v>
      </c>
      <c r="F283" s="48" t="s">
        <v>63</v>
      </c>
      <c r="G283" s="48" t="s">
        <v>24</v>
      </c>
      <c r="H283" s="48" t="s">
        <v>407</v>
      </c>
      <c r="I283" s="48" t="s">
        <v>26</v>
      </c>
      <c r="J283" s="48">
        <v>1020100</v>
      </c>
      <c r="K283" s="50">
        <v>2500000</v>
      </c>
      <c r="L283" s="50">
        <v>1</v>
      </c>
      <c r="M283" s="50">
        <v>2500000</v>
      </c>
      <c r="N283" s="50">
        <v>2154117.0299999998</v>
      </c>
      <c r="O283" s="50">
        <v>345882.97</v>
      </c>
      <c r="P283" s="50">
        <v>0</v>
      </c>
      <c r="Q283" s="87">
        <v>345882.97</v>
      </c>
      <c r="R283" s="152">
        <v>0</v>
      </c>
      <c r="S283" s="174"/>
      <c r="T283" s="74">
        <v>45716</v>
      </c>
      <c r="U283" s="74">
        <v>45661</v>
      </c>
      <c r="V283" s="48"/>
      <c r="W283" s="48"/>
      <c r="X283" s="48"/>
      <c r="Y283" s="48">
        <v>0</v>
      </c>
      <c r="Z283" s="48"/>
      <c r="AA283" s="48" t="s">
        <v>373</v>
      </c>
      <c r="AB283" s="48" t="s">
        <v>27</v>
      </c>
      <c r="AC283" s="48" t="s">
        <v>311</v>
      </c>
      <c r="AD283" s="89" t="s">
        <v>845</v>
      </c>
    </row>
    <row r="284" spans="1:30" ht="15.75" hidden="1" x14ac:dyDescent="0.25">
      <c r="A284" s="48" t="s">
        <v>1867</v>
      </c>
      <c r="B284" s="74">
        <v>45663</v>
      </c>
      <c r="C284" s="48" t="s">
        <v>441</v>
      </c>
      <c r="D284" s="48" t="s">
        <v>20</v>
      </c>
      <c r="E284" s="48" t="s">
        <v>155</v>
      </c>
      <c r="F284" s="48" t="s">
        <v>63</v>
      </c>
      <c r="G284" s="48" t="s">
        <v>24</v>
      </c>
      <c r="H284" s="48" t="s">
        <v>22</v>
      </c>
      <c r="I284" s="48" t="s">
        <v>26</v>
      </c>
      <c r="J284" s="48">
        <v>1020055</v>
      </c>
      <c r="K284" s="50">
        <v>665985.3600000001</v>
      </c>
      <c r="L284" s="50">
        <v>1</v>
      </c>
      <c r="M284" s="50">
        <v>665985.3600000001</v>
      </c>
      <c r="N284" s="50">
        <v>665985.36</v>
      </c>
      <c r="O284" s="50">
        <v>0</v>
      </c>
      <c r="P284" s="50">
        <v>0</v>
      </c>
      <c r="Q284" s="87">
        <v>0</v>
      </c>
      <c r="R284" s="152">
        <v>0</v>
      </c>
      <c r="S284" s="174"/>
      <c r="T284" s="74">
        <v>45930</v>
      </c>
      <c r="U284" s="74">
        <v>45930</v>
      </c>
      <c r="V284" s="48"/>
      <c r="W284" s="48"/>
      <c r="X284" s="48"/>
      <c r="Y284" s="48">
        <v>0</v>
      </c>
      <c r="Z284" s="48"/>
      <c r="AA284" s="48" t="s">
        <v>373</v>
      </c>
      <c r="AB284" s="48" t="s">
        <v>27</v>
      </c>
      <c r="AC284" s="48" t="s">
        <v>311</v>
      </c>
      <c r="AD284" s="89" t="s">
        <v>845</v>
      </c>
    </row>
    <row r="285" spans="1:30" ht="15.75" hidden="1" x14ac:dyDescent="0.25">
      <c r="A285" s="48" t="s">
        <v>546</v>
      </c>
      <c r="B285" s="74">
        <v>45634</v>
      </c>
      <c r="C285" s="48" t="s">
        <v>509</v>
      </c>
      <c r="D285" s="48" t="s">
        <v>20</v>
      </c>
      <c r="E285" s="48" t="s">
        <v>155</v>
      </c>
      <c r="F285" s="48" t="s">
        <v>96</v>
      </c>
      <c r="G285" s="48" t="s">
        <v>24</v>
      </c>
      <c r="H285" s="48" t="s">
        <v>407</v>
      </c>
      <c r="I285" s="48" t="s">
        <v>26</v>
      </c>
      <c r="J285" s="48">
        <v>1020100</v>
      </c>
      <c r="K285" s="50">
        <v>522850</v>
      </c>
      <c r="L285" s="50">
        <v>1</v>
      </c>
      <c r="M285" s="50">
        <v>522850</v>
      </c>
      <c r="N285" s="50">
        <v>522850</v>
      </c>
      <c r="O285" s="50">
        <v>0</v>
      </c>
      <c r="P285" s="50">
        <v>0</v>
      </c>
      <c r="Q285" s="87">
        <v>0</v>
      </c>
      <c r="R285" s="152">
        <v>0</v>
      </c>
      <c r="S285" s="174"/>
      <c r="T285" s="74">
        <v>45716</v>
      </c>
      <c r="U285" s="74">
        <v>45716</v>
      </c>
      <c r="V285" s="48"/>
      <c r="W285" s="48"/>
      <c r="X285" s="48"/>
      <c r="Y285" s="48">
        <v>0</v>
      </c>
      <c r="Z285" s="48"/>
      <c r="AA285" s="48" t="s">
        <v>95</v>
      </c>
      <c r="AB285" s="48" t="s">
        <v>27</v>
      </c>
      <c r="AC285" s="48" t="s">
        <v>311</v>
      </c>
      <c r="AD285" s="89" t="s">
        <v>845</v>
      </c>
    </row>
    <row r="286" spans="1:30" ht="15.75" hidden="1" x14ac:dyDescent="0.25">
      <c r="A286" s="48" t="s">
        <v>682</v>
      </c>
      <c r="B286" s="74">
        <v>45684</v>
      </c>
      <c r="C286" s="48" t="s">
        <v>509</v>
      </c>
      <c r="D286" s="48" t="s">
        <v>20</v>
      </c>
      <c r="E286" s="48" t="s">
        <v>155</v>
      </c>
      <c r="F286" s="48" t="s">
        <v>96</v>
      </c>
      <c r="G286" s="48" t="s">
        <v>24</v>
      </c>
      <c r="H286" s="48" t="s">
        <v>407</v>
      </c>
      <c r="I286" s="48" t="s">
        <v>26</v>
      </c>
      <c r="J286" s="48">
        <v>1020100</v>
      </c>
      <c r="K286" s="50">
        <v>800000</v>
      </c>
      <c r="L286" s="50">
        <v>1</v>
      </c>
      <c r="M286" s="50">
        <v>800000</v>
      </c>
      <c r="N286" s="50">
        <v>800000</v>
      </c>
      <c r="O286" s="50">
        <v>0</v>
      </c>
      <c r="P286" s="50">
        <v>0</v>
      </c>
      <c r="Q286" s="87">
        <v>0</v>
      </c>
      <c r="R286" s="152">
        <v>0</v>
      </c>
      <c r="S286" s="174"/>
      <c r="T286" s="74">
        <v>45838</v>
      </c>
      <c r="U286" s="74">
        <v>45777</v>
      </c>
      <c r="V286" s="48"/>
      <c r="W286" s="48"/>
      <c r="X286" s="48"/>
      <c r="Y286" s="48">
        <v>0</v>
      </c>
      <c r="Z286" s="48"/>
      <c r="AA286" s="48" t="s">
        <v>95</v>
      </c>
      <c r="AB286" s="48" t="s">
        <v>27</v>
      </c>
      <c r="AC286" s="48" t="s">
        <v>311</v>
      </c>
      <c r="AD286" s="89" t="s">
        <v>845</v>
      </c>
    </row>
    <row r="287" spans="1:30" ht="15.75" hidden="1" x14ac:dyDescent="0.25">
      <c r="A287" s="48" t="s">
        <v>712</v>
      </c>
      <c r="B287" s="74">
        <v>45726</v>
      </c>
      <c r="C287" s="48" t="s">
        <v>441</v>
      </c>
      <c r="D287" s="48" t="s">
        <v>20</v>
      </c>
      <c r="E287" s="48" t="s">
        <v>155</v>
      </c>
      <c r="F287" s="48" t="s">
        <v>710</v>
      </c>
      <c r="G287" s="48" t="s">
        <v>24</v>
      </c>
      <c r="H287" s="48" t="s">
        <v>710</v>
      </c>
      <c r="I287" s="48" t="s">
        <v>26</v>
      </c>
      <c r="J287" s="48">
        <v>1020088</v>
      </c>
      <c r="K287" s="50">
        <v>4952175</v>
      </c>
      <c r="L287" s="50">
        <v>1</v>
      </c>
      <c r="M287" s="50">
        <v>4952175</v>
      </c>
      <c r="N287" s="50">
        <v>4952175</v>
      </c>
      <c r="O287" s="50">
        <v>0</v>
      </c>
      <c r="P287" s="50">
        <v>0</v>
      </c>
      <c r="Q287" s="87">
        <v>0</v>
      </c>
      <c r="R287" s="152">
        <v>0</v>
      </c>
      <c r="S287" s="174"/>
      <c r="T287" s="74">
        <v>45869</v>
      </c>
      <c r="U287" s="74">
        <v>45808</v>
      </c>
      <c r="V287" s="48"/>
      <c r="W287" s="48"/>
      <c r="X287" s="48"/>
      <c r="Y287" s="48">
        <v>0</v>
      </c>
      <c r="Z287" s="48"/>
      <c r="AA287" s="48" t="s">
        <v>366</v>
      </c>
      <c r="AB287" s="48" t="s">
        <v>27</v>
      </c>
      <c r="AC287" s="48" t="s">
        <v>311</v>
      </c>
      <c r="AD287" s="89" t="s">
        <v>845</v>
      </c>
    </row>
    <row r="288" spans="1:30" ht="15.75" hidden="1" x14ac:dyDescent="0.25">
      <c r="A288" s="48" t="s">
        <v>834</v>
      </c>
      <c r="B288" s="74">
        <v>45743</v>
      </c>
      <c r="C288" s="48" t="s">
        <v>441</v>
      </c>
      <c r="D288" s="48" t="s">
        <v>20</v>
      </c>
      <c r="E288" s="48" t="s">
        <v>155</v>
      </c>
      <c r="F288" s="48" t="s">
        <v>613</v>
      </c>
      <c r="G288" s="48" t="s">
        <v>24</v>
      </c>
      <c r="H288" s="48" t="s">
        <v>613</v>
      </c>
      <c r="I288" s="48" t="s">
        <v>26</v>
      </c>
      <c r="J288" s="48">
        <v>1020106</v>
      </c>
      <c r="K288" s="50">
        <v>205980.49</v>
      </c>
      <c r="L288" s="50">
        <v>1</v>
      </c>
      <c r="M288" s="50">
        <v>205980.49</v>
      </c>
      <c r="N288" s="50">
        <v>190776.59</v>
      </c>
      <c r="O288" s="50">
        <v>15203.9</v>
      </c>
      <c r="P288" s="50">
        <v>0</v>
      </c>
      <c r="Q288" s="87">
        <v>15203.9</v>
      </c>
      <c r="R288" s="152">
        <v>0</v>
      </c>
      <c r="S288" s="174"/>
      <c r="T288" s="74">
        <v>45900</v>
      </c>
      <c r="U288" s="74">
        <v>45900</v>
      </c>
      <c r="V288" s="48"/>
      <c r="W288" s="48"/>
      <c r="X288" s="48"/>
      <c r="Y288" s="48">
        <v>0</v>
      </c>
      <c r="Z288" s="48"/>
      <c r="AA288" s="48" t="s">
        <v>612</v>
      </c>
      <c r="AB288" s="48" t="s">
        <v>27</v>
      </c>
      <c r="AC288" s="48" t="s">
        <v>425</v>
      </c>
      <c r="AD288" s="89" t="s">
        <v>845</v>
      </c>
    </row>
    <row r="289" spans="1:30" ht="15.75" hidden="1" x14ac:dyDescent="0.25">
      <c r="A289" s="48" t="s">
        <v>1231</v>
      </c>
      <c r="B289" s="74">
        <v>45775</v>
      </c>
      <c r="C289" s="48" t="s">
        <v>441</v>
      </c>
      <c r="D289" s="48" t="s">
        <v>20</v>
      </c>
      <c r="E289" s="48" t="s">
        <v>155</v>
      </c>
      <c r="F289" s="48" t="s">
        <v>613</v>
      </c>
      <c r="G289" s="48" t="s">
        <v>24</v>
      </c>
      <c r="H289" s="48" t="s">
        <v>613</v>
      </c>
      <c r="I289" s="48" t="s">
        <v>26</v>
      </c>
      <c r="J289" s="48">
        <v>1020106</v>
      </c>
      <c r="K289" s="50">
        <v>440466.43</v>
      </c>
      <c r="L289" s="50">
        <v>1</v>
      </c>
      <c r="M289" s="50">
        <v>440466.43</v>
      </c>
      <c r="N289" s="50">
        <v>440466.43</v>
      </c>
      <c r="O289" s="50">
        <v>0</v>
      </c>
      <c r="P289" s="50">
        <v>0</v>
      </c>
      <c r="Q289" s="87">
        <v>0</v>
      </c>
      <c r="R289" s="152">
        <v>0</v>
      </c>
      <c r="S289" s="174"/>
      <c r="T289" s="74">
        <v>45930</v>
      </c>
      <c r="U289" s="74">
        <v>45930</v>
      </c>
      <c r="V289" s="48"/>
      <c r="W289" s="48"/>
      <c r="X289" s="48"/>
      <c r="Y289" s="48"/>
      <c r="Z289" s="48"/>
      <c r="AA289" s="48" t="s">
        <v>612</v>
      </c>
      <c r="AB289" s="48" t="s">
        <v>27</v>
      </c>
      <c r="AC289" s="48" t="s">
        <v>311</v>
      </c>
      <c r="AD289" s="89" t="s">
        <v>845</v>
      </c>
    </row>
    <row r="290" spans="1:30" ht="15.75" hidden="1" x14ac:dyDescent="0.25">
      <c r="A290" s="48" t="s">
        <v>596</v>
      </c>
      <c r="B290" s="74">
        <v>45663</v>
      </c>
      <c r="C290" s="48" t="s">
        <v>441</v>
      </c>
      <c r="D290" s="48" t="s">
        <v>20</v>
      </c>
      <c r="E290" s="48" t="s">
        <v>155</v>
      </c>
      <c r="F290" s="48" t="s">
        <v>70</v>
      </c>
      <c r="G290" s="48" t="s">
        <v>24</v>
      </c>
      <c r="H290" s="48" t="s">
        <v>22</v>
      </c>
      <c r="I290" s="48" t="s">
        <v>26</v>
      </c>
      <c r="J290" s="48">
        <v>1020055</v>
      </c>
      <c r="K290" s="50">
        <v>886481.72000000009</v>
      </c>
      <c r="L290" s="50">
        <v>1</v>
      </c>
      <c r="M290" s="50">
        <v>886481.72000000009</v>
      </c>
      <c r="N290" s="50">
        <v>886481.71999999986</v>
      </c>
      <c r="O290" s="50">
        <v>0</v>
      </c>
      <c r="P290" s="50">
        <v>0</v>
      </c>
      <c r="Q290" s="87">
        <v>0</v>
      </c>
      <c r="R290" s="152">
        <v>0</v>
      </c>
      <c r="S290" s="174"/>
      <c r="T290" s="74">
        <v>45930</v>
      </c>
      <c r="U290" s="74">
        <v>45930</v>
      </c>
      <c r="V290" s="48"/>
      <c r="W290" s="48"/>
      <c r="X290" s="48">
        <v>822386.5</v>
      </c>
      <c r="Y290" s="48">
        <v>0</v>
      </c>
      <c r="Z290" s="48"/>
      <c r="AA290" s="48" t="s">
        <v>373</v>
      </c>
      <c r="AB290" s="48" t="s">
        <v>70</v>
      </c>
      <c r="AC290" s="48" t="s">
        <v>311</v>
      </c>
      <c r="AD290" s="89" t="s">
        <v>845</v>
      </c>
    </row>
    <row r="291" spans="1:30" ht="15.75" hidden="1" x14ac:dyDescent="0.25">
      <c r="A291" s="48" t="s">
        <v>260</v>
      </c>
      <c r="B291" s="74">
        <v>45209</v>
      </c>
      <c r="C291" s="48" t="s">
        <v>1181</v>
      </c>
      <c r="D291" s="48" t="s">
        <v>20</v>
      </c>
      <c r="E291" s="48" t="s">
        <v>261</v>
      </c>
      <c r="F291" s="48" t="s">
        <v>22</v>
      </c>
      <c r="G291" s="48" t="s">
        <v>80</v>
      </c>
      <c r="H291" s="48" t="s">
        <v>81</v>
      </c>
      <c r="I291" s="48" t="s">
        <v>26</v>
      </c>
      <c r="J291" s="48">
        <v>1020070</v>
      </c>
      <c r="K291" s="50">
        <v>707020</v>
      </c>
      <c r="L291" s="50">
        <v>1</v>
      </c>
      <c r="M291" s="50">
        <v>707020</v>
      </c>
      <c r="N291" s="50">
        <v>707020</v>
      </c>
      <c r="O291" s="50">
        <v>0</v>
      </c>
      <c r="P291" s="50">
        <v>0</v>
      </c>
      <c r="Q291" s="87">
        <v>0</v>
      </c>
      <c r="R291" s="152">
        <v>0</v>
      </c>
      <c r="S291" s="174"/>
      <c r="T291" s="74">
        <v>45566</v>
      </c>
      <c r="U291" s="74">
        <v>45566</v>
      </c>
      <c r="V291" s="48"/>
      <c r="W291" s="48"/>
      <c r="X291" s="48"/>
      <c r="Y291" s="48">
        <v>0</v>
      </c>
      <c r="Z291" s="48"/>
      <c r="AA291" s="48" t="s">
        <v>21</v>
      </c>
      <c r="AB291" s="48" t="s">
        <v>70</v>
      </c>
      <c r="AC291" s="48"/>
      <c r="AD291" s="89" t="s">
        <v>845</v>
      </c>
    </row>
    <row r="292" spans="1:30" ht="15.75" hidden="1" x14ac:dyDescent="0.25">
      <c r="A292" s="48" t="s">
        <v>1294</v>
      </c>
      <c r="B292" s="74">
        <v>45785</v>
      </c>
      <c r="C292" s="48" t="s">
        <v>509</v>
      </c>
      <c r="D292" s="48" t="s">
        <v>20</v>
      </c>
      <c r="E292" s="48" t="s">
        <v>1252</v>
      </c>
      <c r="F292" s="48" t="s">
        <v>70</v>
      </c>
      <c r="G292" s="48" t="s">
        <v>72</v>
      </c>
      <c r="H292" s="48" t="s">
        <v>511</v>
      </c>
      <c r="I292" s="48" t="s">
        <v>26</v>
      </c>
      <c r="J292" s="48">
        <v>1020107</v>
      </c>
      <c r="K292" s="50">
        <v>1964200</v>
      </c>
      <c r="L292" s="50">
        <v>1</v>
      </c>
      <c r="M292" s="50">
        <v>1964200</v>
      </c>
      <c r="N292" s="50">
        <v>1233769.43</v>
      </c>
      <c r="O292" s="50">
        <v>730430.57</v>
      </c>
      <c r="P292" s="50">
        <v>0</v>
      </c>
      <c r="Q292" s="87">
        <v>730430.57</v>
      </c>
      <c r="R292" s="152">
        <v>0</v>
      </c>
      <c r="S292" s="174"/>
      <c r="T292" s="74">
        <v>46081</v>
      </c>
      <c r="U292" s="74">
        <v>46081</v>
      </c>
      <c r="V292" s="48"/>
      <c r="W292" s="48"/>
      <c r="X292" s="48"/>
      <c r="Y292" s="48">
        <v>0</v>
      </c>
      <c r="Z292" s="48"/>
      <c r="AA292" s="48" t="s">
        <v>373</v>
      </c>
      <c r="AB292" s="48" t="s">
        <v>70</v>
      </c>
      <c r="AC292" s="48" t="s">
        <v>621</v>
      </c>
      <c r="AD292" s="89" t="s">
        <v>845</v>
      </c>
    </row>
    <row r="293" spans="1:30" ht="15.75" hidden="1" x14ac:dyDescent="0.25">
      <c r="A293" s="48" t="s">
        <v>1895</v>
      </c>
      <c r="B293" s="74">
        <v>45928</v>
      </c>
      <c r="C293" s="48" t="s">
        <v>509</v>
      </c>
      <c r="D293" s="48" t="s">
        <v>20</v>
      </c>
      <c r="E293" s="48" t="s">
        <v>1252</v>
      </c>
      <c r="F293" s="48" t="s">
        <v>22</v>
      </c>
      <c r="G293" s="48" t="s">
        <v>72</v>
      </c>
      <c r="H293" s="48" t="s">
        <v>511</v>
      </c>
      <c r="I293" s="48" t="s">
        <v>26</v>
      </c>
      <c r="J293" s="48">
        <v>1020107</v>
      </c>
      <c r="K293" s="50">
        <v>2074312.5</v>
      </c>
      <c r="L293" s="50">
        <v>1</v>
      </c>
      <c r="M293" s="50">
        <v>2074312.5</v>
      </c>
      <c r="N293" s="50">
        <v>1365320.5099999998</v>
      </c>
      <c r="O293" s="50">
        <v>708991.99</v>
      </c>
      <c r="P293" s="50">
        <v>0</v>
      </c>
      <c r="Q293" s="87">
        <v>708991.99</v>
      </c>
      <c r="R293" s="152">
        <v>0</v>
      </c>
      <c r="S293" s="174"/>
      <c r="T293" s="74">
        <v>46201</v>
      </c>
      <c r="U293" s="74">
        <v>46201</v>
      </c>
      <c r="V293" s="48"/>
      <c r="W293" s="48"/>
      <c r="X293" s="48"/>
      <c r="Y293" s="48">
        <v>0</v>
      </c>
      <c r="Z293" s="48" t="s">
        <v>4195</v>
      </c>
      <c r="AA293" s="48" t="s">
        <v>21</v>
      </c>
      <c r="AB293" s="48" t="s">
        <v>27</v>
      </c>
      <c r="AC293" s="48" t="s">
        <v>621</v>
      </c>
      <c r="AD293" s="89" t="s">
        <v>1026</v>
      </c>
    </row>
    <row r="294" spans="1:30" ht="15.75" hidden="1" x14ac:dyDescent="0.25">
      <c r="A294" s="48" t="s">
        <v>3572</v>
      </c>
      <c r="B294" s="74">
        <v>46033</v>
      </c>
      <c r="C294" s="48" t="s">
        <v>1259</v>
      </c>
      <c r="D294" s="48" t="s">
        <v>20</v>
      </c>
      <c r="E294" s="48" t="s">
        <v>3288</v>
      </c>
      <c r="F294" s="48" t="s">
        <v>96</v>
      </c>
      <c r="G294" s="48" t="s">
        <v>72</v>
      </c>
      <c r="H294" s="48" t="s">
        <v>328</v>
      </c>
      <c r="I294" s="48" t="s">
        <v>26</v>
      </c>
      <c r="J294" s="48">
        <v>1020097</v>
      </c>
      <c r="K294" s="50">
        <v>623875</v>
      </c>
      <c r="L294" s="50">
        <v>1</v>
      </c>
      <c r="M294" s="50">
        <v>623875</v>
      </c>
      <c r="N294" s="50">
        <v>0</v>
      </c>
      <c r="O294" s="50">
        <v>623875</v>
      </c>
      <c r="P294" s="50">
        <v>0</v>
      </c>
      <c r="Q294" s="87">
        <v>623875</v>
      </c>
      <c r="R294" s="152">
        <v>0</v>
      </c>
      <c r="S294" s="174"/>
      <c r="T294" s="74">
        <v>46112</v>
      </c>
      <c r="U294" s="74">
        <v>46112</v>
      </c>
      <c r="V294" s="48"/>
      <c r="W294" s="48"/>
      <c r="X294" s="48"/>
      <c r="Y294" s="48">
        <v>0</v>
      </c>
      <c r="Z294" s="48"/>
      <c r="AA294" s="48" t="s">
        <v>95</v>
      </c>
      <c r="AB294" s="48" t="s">
        <v>27</v>
      </c>
      <c r="AC294" s="48" t="s">
        <v>311</v>
      </c>
      <c r="AD294" s="89" t="s">
        <v>845</v>
      </c>
    </row>
    <row r="295" spans="1:30" ht="15.75" hidden="1" x14ac:dyDescent="0.25">
      <c r="A295" s="48" t="s">
        <v>747</v>
      </c>
      <c r="B295" s="74">
        <v>45741</v>
      </c>
      <c r="C295" s="48" t="s">
        <v>1864</v>
      </c>
      <c r="D295" s="48" t="s">
        <v>20</v>
      </c>
      <c r="E295" s="48" t="s">
        <v>748</v>
      </c>
      <c r="F295" s="48" t="s">
        <v>710</v>
      </c>
      <c r="G295" s="48" t="s">
        <v>3221</v>
      </c>
      <c r="H295" s="48" t="s">
        <v>81</v>
      </c>
      <c r="I295" s="48" t="s">
        <v>26</v>
      </c>
      <c r="J295" s="48">
        <v>1020070</v>
      </c>
      <c r="K295" s="50">
        <v>1000000</v>
      </c>
      <c r="L295" s="50">
        <v>1</v>
      </c>
      <c r="M295" s="50">
        <v>1000000</v>
      </c>
      <c r="N295" s="50">
        <v>1000000</v>
      </c>
      <c r="O295" s="50">
        <v>0</v>
      </c>
      <c r="P295" s="50">
        <v>0</v>
      </c>
      <c r="Q295" s="87">
        <v>0</v>
      </c>
      <c r="R295" s="152">
        <v>0</v>
      </c>
      <c r="S295" s="174"/>
      <c r="T295" s="74">
        <v>45808</v>
      </c>
      <c r="U295" s="74">
        <v>45777</v>
      </c>
      <c r="V295" s="48"/>
      <c r="W295" s="48"/>
      <c r="X295" s="48"/>
      <c r="Y295" s="48">
        <v>0</v>
      </c>
      <c r="Z295" s="48"/>
      <c r="AA295" s="48" t="s">
        <v>366</v>
      </c>
      <c r="AB295" s="48" t="s">
        <v>27</v>
      </c>
      <c r="AC295" s="48" t="s">
        <v>621</v>
      </c>
      <c r="AD295" s="89" t="s">
        <v>845</v>
      </c>
    </row>
    <row r="296" spans="1:30" ht="15.75" hidden="1" x14ac:dyDescent="0.25">
      <c r="A296" s="48" t="s">
        <v>3723</v>
      </c>
      <c r="B296" s="74">
        <v>46040</v>
      </c>
      <c r="C296" s="48" t="s">
        <v>1259</v>
      </c>
      <c r="D296" s="48" t="s">
        <v>20</v>
      </c>
      <c r="E296" s="48" t="s">
        <v>3621</v>
      </c>
      <c r="F296" s="48" t="s">
        <v>96</v>
      </c>
      <c r="G296" s="48" t="s">
        <v>1791</v>
      </c>
      <c r="H296" s="48" t="s">
        <v>328</v>
      </c>
      <c r="I296" s="48" t="s">
        <v>26</v>
      </c>
      <c r="J296" s="48">
        <v>1020097</v>
      </c>
      <c r="K296" s="50">
        <v>700000</v>
      </c>
      <c r="L296" s="50">
        <v>1</v>
      </c>
      <c r="M296" s="50">
        <v>700000</v>
      </c>
      <c r="N296" s="50">
        <v>700000</v>
      </c>
      <c r="O296" s="50">
        <v>0</v>
      </c>
      <c r="P296" s="50">
        <v>0</v>
      </c>
      <c r="Q296" s="87">
        <v>0</v>
      </c>
      <c r="R296" s="152">
        <v>0</v>
      </c>
      <c r="S296" s="174"/>
      <c r="T296" s="74">
        <v>46112</v>
      </c>
      <c r="U296" s="74">
        <v>46112</v>
      </c>
      <c r="V296" s="48"/>
      <c r="W296" s="48"/>
      <c r="X296" s="48"/>
      <c r="Y296" s="48">
        <v>0</v>
      </c>
      <c r="Z296" s="48"/>
      <c r="AA296" s="48" t="s">
        <v>95</v>
      </c>
      <c r="AB296" s="48" t="s">
        <v>27</v>
      </c>
      <c r="AC296" s="48" t="s">
        <v>3622</v>
      </c>
      <c r="AD296" s="89" t="s">
        <v>845</v>
      </c>
    </row>
    <row r="297" spans="1:30" ht="15.75" hidden="1" x14ac:dyDescent="0.25">
      <c r="A297" s="48" t="s">
        <v>1806</v>
      </c>
      <c r="B297" s="74">
        <v>45895</v>
      </c>
      <c r="C297" s="48" t="s">
        <v>1181</v>
      </c>
      <c r="D297" s="48" t="s">
        <v>20</v>
      </c>
      <c r="E297" s="48" t="s">
        <v>1756</v>
      </c>
      <c r="F297" s="48" t="s">
        <v>710</v>
      </c>
      <c r="G297" s="48" t="s">
        <v>1791</v>
      </c>
      <c r="H297" s="48" t="s">
        <v>81</v>
      </c>
      <c r="I297" s="48" t="s">
        <v>26</v>
      </c>
      <c r="J297" s="48">
        <v>1020070</v>
      </c>
      <c r="K297" s="50">
        <v>304417</v>
      </c>
      <c r="L297" s="50">
        <v>1</v>
      </c>
      <c r="M297" s="50">
        <v>304417</v>
      </c>
      <c r="N297" s="50">
        <v>304417</v>
      </c>
      <c r="O297" s="50">
        <v>0</v>
      </c>
      <c r="P297" s="50">
        <v>0</v>
      </c>
      <c r="Q297" s="87">
        <v>0</v>
      </c>
      <c r="R297" s="152">
        <v>0</v>
      </c>
      <c r="S297" s="174"/>
      <c r="T297" s="74">
        <v>45961</v>
      </c>
      <c r="U297" s="74">
        <v>45961</v>
      </c>
      <c r="V297" s="48"/>
      <c r="W297" s="48"/>
      <c r="X297" s="48"/>
      <c r="Y297" s="48">
        <v>0</v>
      </c>
      <c r="Z297" s="48"/>
      <c r="AA297" s="48" t="s">
        <v>366</v>
      </c>
      <c r="AB297" s="48" t="s">
        <v>27</v>
      </c>
      <c r="AC297" s="48" t="s">
        <v>408</v>
      </c>
      <c r="AD297" s="89" t="s">
        <v>845</v>
      </c>
    </row>
    <row r="298" spans="1:30" ht="15.75" hidden="1" x14ac:dyDescent="0.25">
      <c r="A298" s="48" t="s">
        <v>1609</v>
      </c>
      <c r="B298" s="74">
        <v>45862</v>
      </c>
      <c r="C298" s="48" t="s">
        <v>441</v>
      </c>
      <c r="D298" s="48" t="s">
        <v>20</v>
      </c>
      <c r="E298" s="48" t="s">
        <v>1573</v>
      </c>
      <c r="F298" s="48" t="s">
        <v>710</v>
      </c>
      <c r="G298" s="48" t="s">
        <v>24</v>
      </c>
      <c r="H298" s="48" t="s">
        <v>710</v>
      </c>
      <c r="I298" s="48" t="s">
        <v>26</v>
      </c>
      <c r="J298" s="48">
        <v>1020088</v>
      </c>
      <c r="K298" s="50">
        <v>300000.01</v>
      </c>
      <c r="L298" s="50">
        <v>1</v>
      </c>
      <c r="M298" s="50">
        <v>300000.01</v>
      </c>
      <c r="N298" s="50">
        <v>137792.10999999999</v>
      </c>
      <c r="O298" s="50">
        <v>162207.9</v>
      </c>
      <c r="P298" s="50">
        <v>0</v>
      </c>
      <c r="Q298" s="87">
        <v>162207.9</v>
      </c>
      <c r="R298" s="152">
        <v>0</v>
      </c>
      <c r="S298" s="174"/>
      <c r="T298" s="74">
        <v>46203</v>
      </c>
      <c r="U298" s="74">
        <v>46203</v>
      </c>
      <c r="V298" s="48"/>
      <c r="W298" s="48"/>
      <c r="X298" s="48"/>
      <c r="Y298" s="48">
        <v>0</v>
      </c>
      <c r="Z298" s="48"/>
      <c r="AA298" s="48" t="s">
        <v>366</v>
      </c>
      <c r="AB298" s="48" t="s">
        <v>27</v>
      </c>
      <c r="AC298" s="48" t="s">
        <v>621</v>
      </c>
      <c r="AD298" s="89" t="s">
        <v>1026</v>
      </c>
    </row>
    <row r="299" spans="1:30" ht="15.75" hidden="1" x14ac:dyDescent="0.25">
      <c r="A299" s="48" t="s">
        <v>1899</v>
      </c>
      <c r="B299" s="74">
        <v>45929</v>
      </c>
      <c r="C299" s="48" t="s">
        <v>441</v>
      </c>
      <c r="D299" s="48" t="s">
        <v>20</v>
      </c>
      <c r="E299" s="48" t="s">
        <v>1573</v>
      </c>
      <c r="F299" s="48" t="s">
        <v>710</v>
      </c>
      <c r="G299" s="48" t="s">
        <v>24</v>
      </c>
      <c r="H299" s="48" t="s">
        <v>710</v>
      </c>
      <c r="I299" s="48" t="s">
        <v>26</v>
      </c>
      <c r="J299" s="48">
        <v>1020088</v>
      </c>
      <c r="K299" s="50">
        <v>400000</v>
      </c>
      <c r="L299" s="50">
        <v>1</v>
      </c>
      <c r="M299" s="50">
        <v>400000</v>
      </c>
      <c r="N299" s="50">
        <v>347240.48</v>
      </c>
      <c r="O299" s="50">
        <v>52759.519999999997</v>
      </c>
      <c r="P299" s="50">
        <v>52759.519999999997</v>
      </c>
      <c r="Q299" s="87">
        <v>0</v>
      </c>
      <c r="R299" s="152">
        <v>0</v>
      </c>
      <c r="S299" s="174" t="s">
        <v>5061</v>
      </c>
      <c r="T299" s="74">
        <v>46142</v>
      </c>
      <c r="U299" s="74">
        <v>46142</v>
      </c>
      <c r="V299" s="48"/>
      <c r="W299" s="48"/>
      <c r="X299" s="48"/>
      <c r="Y299" s="48">
        <v>0</v>
      </c>
      <c r="Z299" s="48"/>
      <c r="AA299" s="48" t="s">
        <v>366</v>
      </c>
      <c r="AB299" s="48" t="s">
        <v>27</v>
      </c>
      <c r="AC299" s="48" t="s">
        <v>621</v>
      </c>
      <c r="AD299" s="89" t="s">
        <v>1026</v>
      </c>
    </row>
    <row r="300" spans="1:30" ht="15.75" hidden="1" x14ac:dyDescent="0.25">
      <c r="A300" s="48" t="s">
        <v>3703</v>
      </c>
      <c r="B300" s="74">
        <v>46036</v>
      </c>
      <c r="C300" s="48" t="s">
        <v>441</v>
      </c>
      <c r="D300" s="48" t="s">
        <v>20</v>
      </c>
      <c r="E300" s="48" t="s">
        <v>1573</v>
      </c>
      <c r="F300" s="48" t="s">
        <v>710</v>
      </c>
      <c r="G300" s="48" t="s">
        <v>24</v>
      </c>
      <c r="H300" s="48" t="s">
        <v>710</v>
      </c>
      <c r="I300" s="48" t="s">
        <v>26</v>
      </c>
      <c r="J300" s="48">
        <v>1020088</v>
      </c>
      <c r="K300" s="50">
        <v>500000</v>
      </c>
      <c r="L300" s="50">
        <v>1</v>
      </c>
      <c r="M300" s="50">
        <v>500000</v>
      </c>
      <c r="N300" s="50">
        <v>0</v>
      </c>
      <c r="O300" s="50">
        <v>500000</v>
      </c>
      <c r="P300" s="50">
        <v>365011.38</v>
      </c>
      <c r="Q300" s="87">
        <v>134988.62</v>
      </c>
      <c r="R300" s="152">
        <v>0</v>
      </c>
      <c r="S300" s="312" t="s">
        <v>4684</v>
      </c>
      <c r="T300" s="74">
        <v>46203</v>
      </c>
      <c r="U300" s="74">
        <v>46203</v>
      </c>
      <c r="V300" s="48"/>
      <c r="W300" s="48"/>
      <c r="X300" s="48"/>
      <c r="Y300" s="48">
        <v>0</v>
      </c>
      <c r="Z300" s="48"/>
      <c r="AA300" s="48" t="s">
        <v>366</v>
      </c>
      <c r="AB300" s="48" t="s">
        <v>27</v>
      </c>
      <c r="AC300" s="48" t="s">
        <v>1904</v>
      </c>
      <c r="AD300" s="89" t="s">
        <v>1026</v>
      </c>
    </row>
    <row r="301" spans="1:30" ht="15.75" hidden="1" x14ac:dyDescent="0.25">
      <c r="A301" s="48" t="s">
        <v>1434</v>
      </c>
      <c r="B301" s="74">
        <v>45810</v>
      </c>
      <c r="C301" s="48" t="s">
        <v>441</v>
      </c>
      <c r="D301" s="48" t="s">
        <v>20</v>
      </c>
      <c r="E301" s="48" t="s">
        <v>1381</v>
      </c>
      <c r="F301" s="48" t="s">
        <v>710</v>
      </c>
      <c r="G301" s="48" t="s">
        <v>24</v>
      </c>
      <c r="H301" s="48" t="s">
        <v>710</v>
      </c>
      <c r="I301" s="48" t="s">
        <v>26</v>
      </c>
      <c r="J301" s="48">
        <v>1020088</v>
      </c>
      <c r="K301" s="50">
        <v>800000</v>
      </c>
      <c r="L301" s="50">
        <v>1</v>
      </c>
      <c r="M301" s="50">
        <v>800000</v>
      </c>
      <c r="N301" s="50">
        <v>800000</v>
      </c>
      <c r="O301" s="50">
        <v>0</v>
      </c>
      <c r="P301" s="50">
        <v>0</v>
      </c>
      <c r="Q301" s="87">
        <v>0</v>
      </c>
      <c r="R301" s="152">
        <v>0</v>
      </c>
      <c r="S301" s="174"/>
      <c r="T301" s="74">
        <v>46022</v>
      </c>
      <c r="U301" s="74">
        <v>46022</v>
      </c>
      <c r="V301" s="48"/>
      <c r="W301" s="48"/>
      <c r="X301" s="48"/>
      <c r="Y301" s="48">
        <v>0</v>
      </c>
      <c r="Z301" s="48"/>
      <c r="AA301" s="48" t="s">
        <v>366</v>
      </c>
      <c r="AB301" s="48" t="s">
        <v>27</v>
      </c>
      <c r="AC301" s="48" t="s">
        <v>621</v>
      </c>
      <c r="AD301" s="89" t="s">
        <v>845</v>
      </c>
    </row>
    <row r="302" spans="1:30" ht="15.75" hidden="1" x14ac:dyDescent="0.25">
      <c r="A302" s="48" t="s">
        <v>182</v>
      </c>
      <c r="B302" s="74">
        <v>45183</v>
      </c>
      <c r="C302" s="48" t="s">
        <v>1183</v>
      </c>
      <c r="D302" s="48" t="s">
        <v>20</v>
      </c>
      <c r="E302" s="48" t="s">
        <v>183</v>
      </c>
      <c r="F302" s="48" t="s">
        <v>22</v>
      </c>
      <c r="G302" s="48" t="s">
        <v>72</v>
      </c>
      <c r="H302" s="48" t="s">
        <v>184</v>
      </c>
      <c r="I302" s="48" t="s">
        <v>26</v>
      </c>
      <c r="J302" s="48">
        <v>1020003</v>
      </c>
      <c r="K302" s="50">
        <v>385997</v>
      </c>
      <c r="L302" s="50">
        <v>1</v>
      </c>
      <c r="M302" s="50">
        <v>385997</v>
      </c>
      <c r="N302" s="50">
        <v>385997</v>
      </c>
      <c r="O302" s="50">
        <v>0</v>
      </c>
      <c r="P302" s="50">
        <v>0</v>
      </c>
      <c r="Q302" s="87">
        <v>0</v>
      </c>
      <c r="R302" s="152">
        <v>0</v>
      </c>
      <c r="S302" s="174"/>
      <c r="T302" s="74">
        <v>45260</v>
      </c>
      <c r="U302" s="74">
        <v>45260</v>
      </c>
      <c r="V302" s="48"/>
      <c r="W302" s="48"/>
      <c r="X302" s="48"/>
      <c r="Y302" s="48">
        <v>0</v>
      </c>
      <c r="Z302" s="48"/>
      <c r="AA302" s="48" t="s">
        <v>21</v>
      </c>
      <c r="AB302" s="48" t="s">
        <v>70</v>
      </c>
      <c r="AC302" s="48"/>
      <c r="AD302" s="89" t="s">
        <v>845</v>
      </c>
    </row>
    <row r="303" spans="1:30" ht="15.75" hidden="1" x14ac:dyDescent="0.25">
      <c r="A303" s="48" t="s">
        <v>570</v>
      </c>
      <c r="B303" s="74">
        <v>45641</v>
      </c>
      <c r="C303" s="48" t="s">
        <v>441</v>
      </c>
      <c r="D303" s="48" t="s">
        <v>20</v>
      </c>
      <c r="E303" s="48" t="s">
        <v>571</v>
      </c>
      <c r="F303" s="48" t="s">
        <v>483</v>
      </c>
      <c r="G303" s="48" t="s">
        <v>24</v>
      </c>
      <c r="H303" s="48" t="s">
        <v>22</v>
      </c>
      <c r="I303" s="48" t="s">
        <v>26</v>
      </c>
      <c r="J303" s="48">
        <v>1020055</v>
      </c>
      <c r="K303" s="50">
        <v>804752.18</v>
      </c>
      <c r="L303" s="50">
        <v>1</v>
      </c>
      <c r="M303" s="50">
        <v>804752.18</v>
      </c>
      <c r="N303" s="50">
        <v>804752.18000000017</v>
      </c>
      <c r="O303" s="50">
        <v>0</v>
      </c>
      <c r="P303" s="50">
        <v>0</v>
      </c>
      <c r="Q303" s="87">
        <v>0</v>
      </c>
      <c r="R303" s="152">
        <v>0</v>
      </c>
      <c r="S303" s="174"/>
      <c r="T303" s="74">
        <v>45747</v>
      </c>
      <c r="U303" s="74">
        <v>45747</v>
      </c>
      <c r="V303" s="48"/>
      <c r="W303" s="48"/>
      <c r="X303" s="48"/>
      <c r="Y303" s="48">
        <v>0</v>
      </c>
      <c r="Z303" s="48"/>
      <c r="AA303" s="48" t="s">
        <v>373</v>
      </c>
      <c r="AB303" s="48" t="s">
        <v>27</v>
      </c>
      <c r="AC303" s="48" t="s">
        <v>311</v>
      </c>
      <c r="AD303" s="89" t="s">
        <v>845</v>
      </c>
    </row>
    <row r="304" spans="1:30" ht="15.75" hidden="1" x14ac:dyDescent="0.25">
      <c r="A304" s="48" t="s">
        <v>4193</v>
      </c>
      <c r="B304" s="74">
        <v>46079</v>
      </c>
      <c r="C304" s="48" t="s">
        <v>1259</v>
      </c>
      <c r="D304" s="48" t="s">
        <v>20</v>
      </c>
      <c r="E304" s="48" t="s">
        <v>4072</v>
      </c>
      <c r="F304" s="48" t="s">
        <v>96</v>
      </c>
      <c r="G304" s="48" t="s">
        <v>1791</v>
      </c>
      <c r="H304" s="48" t="s">
        <v>328</v>
      </c>
      <c r="I304" s="48" t="s">
        <v>26</v>
      </c>
      <c r="J304" s="48">
        <v>1020097</v>
      </c>
      <c r="K304" s="50">
        <v>274384</v>
      </c>
      <c r="L304" s="50">
        <v>1</v>
      </c>
      <c r="M304" s="50">
        <v>274384</v>
      </c>
      <c r="N304" s="50">
        <v>0</v>
      </c>
      <c r="O304" s="50">
        <v>274384</v>
      </c>
      <c r="P304" s="50">
        <v>0</v>
      </c>
      <c r="Q304" s="87">
        <v>274384</v>
      </c>
      <c r="R304" s="152">
        <v>0</v>
      </c>
      <c r="S304" s="174"/>
      <c r="T304" s="74">
        <v>46174</v>
      </c>
      <c r="U304" s="74">
        <v>46157</v>
      </c>
      <c r="V304" s="48"/>
      <c r="W304" s="48"/>
      <c r="X304" s="48"/>
      <c r="Y304" s="48">
        <v>0</v>
      </c>
      <c r="Z304" s="48"/>
      <c r="AA304" s="48" t="s">
        <v>95</v>
      </c>
      <c r="AB304" s="48" t="s">
        <v>27</v>
      </c>
      <c r="AC304" s="48" t="s">
        <v>1882</v>
      </c>
      <c r="AD304" s="89" t="s">
        <v>1026</v>
      </c>
    </row>
    <row r="305" spans="1:30" ht="15.75" hidden="1" x14ac:dyDescent="0.25">
      <c r="A305" s="48" t="s">
        <v>123</v>
      </c>
      <c r="B305" s="74">
        <v>45064</v>
      </c>
      <c r="C305" s="48" t="s">
        <v>1182</v>
      </c>
      <c r="D305" s="48" t="s">
        <v>20</v>
      </c>
      <c r="E305" s="48" t="s">
        <v>124</v>
      </c>
      <c r="F305" s="48" t="s">
        <v>22</v>
      </c>
      <c r="G305" s="48" t="s">
        <v>24</v>
      </c>
      <c r="H305" s="48" t="s">
        <v>25</v>
      </c>
      <c r="I305" s="48" t="s">
        <v>26</v>
      </c>
      <c r="J305" s="48">
        <v>1020052</v>
      </c>
      <c r="K305" s="50">
        <v>751946.18</v>
      </c>
      <c r="L305" s="50">
        <v>1</v>
      </c>
      <c r="M305" s="50">
        <v>751946.18</v>
      </c>
      <c r="N305" s="50">
        <v>751946.18</v>
      </c>
      <c r="O305" s="50">
        <v>0</v>
      </c>
      <c r="P305" s="50">
        <v>0</v>
      </c>
      <c r="Q305" s="87">
        <v>0</v>
      </c>
      <c r="R305" s="152">
        <v>0</v>
      </c>
      <c r="S305" s="174"/>
      <c r="T305" s="74">
        <v>45199</v>
      </c>
      <c r="U305" s="74">
        <v>45199</v>
      </c>
      <c r="V305" s="48"/>
      <c r="W305" s="48"/>
      <c r="X305" s="48"/>
      <c r="Y305" s="48">
        <v>0</v>
      </c>
      <c r="Z305" s="48"/>
      <c r="AA305" s="48" t="s">
        <v>21</v>
      </c>
      <c r="AB305" s="48" t="s">
        <v>27</v>
      </c>
      <c r="AC305" s="48" t="s">
        <v>35</v>
      </c>
      <c r="AD305" s="89" t="s">
        <v>845</v>
      </c>
    </row>
    <row r="306" spans="1:30" ht="15.75" hidden="1" x14ac:dyDescent="0.25">
      <c r="A306" s="48" t="s">
        <v>2236</v>
      </c>
      <c r="B306" s="74">
        <v>45946</v>
      </c>
      <c r="C306" s="48" t="s">
        <v>441</v>
      </c>
      <c r="D306" s="48" t="s">
        <v>20</v>
      </c>
      <c r="E306" s="48" t="s">
        <v>1842</v>
      </c>
      <c r="F306" s="48" t="s">
        <v>710</v>
      </c>
      <c r="G306" s="48" t="s">
        <v>24</v>
      </c>
      <c r="H306" s="48" t="s">
        <v>710</v>
      </c>
      <c r="I306" s="48" t="s">
        <v>26</v>
      </c>
      <c r="J306" s="48">
        <v>1020088</v>
      </c>
      <c r="K306" s="50">
        <v>558949</v>
      </c>
      <c r="L306" s="50">
        <v>1</v>
      </c>
      <c r="M306" s="50">
        <v>558949</v>
      </c>
      <c r="N306" s="50">
        <v>300966.99</v>
      </c>
      <c r="O306" s="50">
        <v>257982.01</v>
      </c>
      <c r="P306" s="50">
        <v>106205.87</v>
      </c>
      <c r="Q306" s="87">
        <v>151776.14000000001</v>
      </c>
      <c r="R306" s="152">
        <v>151776.14000000001</v>
      </c>
      <c r="S306" s="174" t="s">
        <v>4686</v>
      </c>
      <c r="T306" s="74">
        <v>46203</v>
      </c>
      <c r="U306" s="74">
        <v>46203</v>
      </c>
      <c r="V306" s="48"/>
      <c r="W306" s="48"/>
      <c r="X306" s="48"/>
      <c r="Y306" s="48">
        <v>0</v>
      </c>
      <c r="Z306" s="48"/>
      <c r="AA306" s="48" t="s">
        <v>366</v>
      </c>
      <c r="AB306" s="48" t="s">
        <v>27</v>
      </c>
      <c r="AC306" s="48" t="s">
        <v>621</v>
      </c>
      <c r="AD306" s="89" t="s">
        <v>1026</v>
      </c>
    </row>
    <row r="307" spans="1:30" ht="15.75" hidden="1" x14ac:dyDescent="0.25">
      <c r="A307" s="48" t="s">
        <v>1745</v>
      </c>
      <c r="B307" s="74">
        <v>45883</v>
      </c>
      <c r="C307" s="48" t="s">
        <v>1727</v>
      </c>
      <c r="D307" s="48" t="s">
        <v>20</v>
      </c>
      <c r="E307" s="48" t="s">
        <v>1712</v>
      </c>
      <c r="F307" s="48" t="s">
        <v>70</v>
      </c>
      <c r="G307" s="48" t="s">
        <v>869</v>
      </c>
      <c r="H307" s="48" t="s">
        <v>1762</v>
      </c>
      <c r="I307" s="48" t="s">
        <v>26</v>
      </c>
      <c r="J307" s="48"/>
      <c r="K307" s="50">
        <v>205442.15</v>
      </c>
      <c r="L307" s="50">
        <v>1</v>
      </c>
      <c r="M307" s="50">
        <v>205442.15</v>
      </c>
      <c r="N307" s="50">
        <v>205442.15</v>
      </c>
      <c r="O307" s="50">
        <v>0</v>
      </c>
      <c r="P307" s="50">
        <v>0</v>
      </c>
      <c r="Q307" s="87">
        <v>0</v>
      </c>
      <c r="R307" s="152">
        <v>0</v>
      </c>
      <c r="S307" s="174"/>
      <c r="T307" s="74">
        <v>45930</v>
      </c>
      <c r="U307" s="74">
        <v>45915</v>
      </c>
      <c r="V307" s="48"/>
      <c r="W307" s="48"/>
      <c r="X307" s="48"/>
      <c r="Y307" s="48"/>
      <c r="Z307" s="48"/>
      <c r="AA307" s="48" t="s">
        <v>62</v>
      </c>
      <c r="AB307" s="48" t="s">
        <v>70</v>
      </c>
      <c r="AC307" s="48" t="s">
        <v>208</v>
      </c>
      <c r="AD307" s="89" t="s">
        <v>845</v>
      </c>
    </row>
    <row r="308" spans="1:30" ht="15.75" hidden="1" x14ac:dyDescent="0.25">
      <c r="A308" s="48" t="s">
        <v>1521</v>
      </c>
      <c r="B308" s="74">
        <v>45834</v>
      </c>
      <c r="C308" s="48" t="s">
        <v>441</v>
      </c>
      <c r="D308" s="48" t="s">
        <v>20</v>
      </c>
      <c r="E308" s="48" t="s">
        <v>1466</v>
      </c>
      <c r="F308" s="48" t="s">
        <v>22</v>
      </c>
      <c r="G308" s="48" t="s">
        <v>24</v>
      </c>
      <c r="H308" s="48" t="s">
        <v>407</v>
      </c>
      <c r="I308" s="48" t="s">
        <v>26</v>
      </c>
      <c r="J308" s="48">
        <v>1020100</v>
      </c>
      <c r="K308" s="50">
        <v>214923</v>
      </c>
      <c r="L308" s="50">
        <v>1</v>
      </c>
      <c r="M308" s="50">
        <v>214923</v>
      </c>
      <c r="N308" s="50">
        <v>214923</v>
      </c>
      <c r="O308" s="50">
        <v>0</v>
      </c>
      <c r="P308" s="50">
        <v>0</v>
      </c>
      <c r="Q308" s="87">
        <v>0</v>
      </c>
      <c r="R308" s="152">
        <v>0</v>
      </c>
      <c r="S308" s="174"/>
      <c r="T308" s="74">
        <v>45900</v>
      </c>
      <c r="U308" s="74">
        <v>45900</v>
      </c>
      <c r="V308" s="48"/>
      <c r="W308" s="48"/>
      <c r="X308" s="48"/>
      <c r="Y308" s="48">
        <v>0</v>
      </c>
      <c r="Z308" s="48"/>
      <c r="AA308" s="48" t="s">
        <v>21</v>
      </c>
      <c r="AB308" s="48" t="s">
        <v>27</v>
      </c>
      <c r="AC308" s="48" t="s">
        <v>621</v>
      </c>
      <c r="AD308" s="89" t="s">
        <v>845</v>
      </c>
    </row>
    <row r="309" spans="1:30" ht="15.75" hidden="1" x14ac:dyDescent="0.25">
      <c r="A309" s="48" t="s">
        <v>1421</v>
      </c>
      <c r="B309" s="74">
        <v>45809</v>
      </c>
      <c r="C309" s="48" t="s">
        <v>441</v>
      </c>
      <c r="D309" s="48" t="s">
        <v>20</v>
      </c>
      <c r="E309" s="48" t="s">
        <v>1324</v>
      </c>
      <c r="F309" s="48" t="s">
        <v>96</v>
      </c>
      <c r="G309" s="48" t="s">
        <v>24</v>
      </c>
      <c r="H309" s="48" t="s">
        <v>22</v>
      </c>
      <c r="I309" s="48" t="s">
        <v>26</v>
      </c>
      <c r="J309" s="48">
        <v>1020055</v>
      </c>
      <c r="K309" s="50">
        <v>783377.8</v>
      </c>
      <c r="L309" s="50">
        <v>1</v>
      </c>
      <c r="M309" s="50">
        <v>783377.8</v>
      </c>
      <c r="N309" s="50">
        <v>783377.8</v>
      </c>
      <c r="O309" s="50">
        <v>0</v>
      </c>
      <c r="P309" s="50">
        <v>0</v>
      </c>
      <c r="Q309" s="87">
        <v>0</v>
      </c>
      <c r="R309" s="152">
        <v>0</v>
      </c>
      <c r="S309" s="174"/>
      <c r="T309" s="74">
        <v>45900</v>
      </c>
      <c r="U309" s="74">
        <v>45900</v>
      </c>
      <c r="V309" s="48"/>
      <c r="W309" s="48"/>
      <c r="X309" s="48"/>
      <c r="Y309" s="48">
        <v>0</v>
      </c>
      <c r="Z309" s="48"/>
      <c r="AA309" s="48" t="s">
        <v>95</v>
      </c>
      <c r="AB309" s="48" t="s">
        <v>27</v>
      </c>
      <c r="AC309" s="48" t="s">
        <v>621</v>
      </c>
      <c r="AD309" s="89" t="s">
        <v>845</v>
      </c>
    </row>
    <row r="310" spans="1:30" ht="15.75" hidden="1" x14ac:dyDescent="0.25">
      <c r="A310" s="48" t="s">
        <v>250</v>
      </c>
      <c r="B310" s="74">
        <v>45046</v>
      </c>
      <c r="C310" s="48" t="s">
        <v>1118</v>
      </c>
      <c r="D310" s="48" t="s">
        <v>20</v>
      </c>
      <c r="E310" s="48" t="s">
        <v>251</v>
      </c>
      <c r="F310" s="48" t="s">
        <v>22</v>
      </c>
      <c r="G310" s="48" t="s">
        <v>72</v>
      </c>
      <c r="H310" s="48" t="s">
        <v>213</v>
      </c>
      <c r="I310" s="48" t="s">
        <v>67</v>
      </c>
      <c r="J310" s="48">
        <v>1020015</v>
      </c>
      <c r="K310" s="50">
        <v>3740702.82</v>
      </c>
      <c r="L310" s="50">
        <v>4.1420000000000003</v>
      </c>
      <c r="M310" s="50">
        <v>15493991.08044</v>
      </c>
      <c r="N310" s="50">
        <v>15385131.247946013</v>
      </c>
      <c r="O310" s="50">
        <v>108859.83</v>
      </c>
      <c r="P310" s="50">
        <v>0</v>
      </c>
      <c r="Q310" s="87">
        <v>108859.83</v>
      </c>
      <c r="R310" s="152">
        <v>0</v>
      </c>
      <c r="S310" s="174"/>
      <c r="T310" s="74">
        <v>45565</v>
      </c>
      <c r="U310" s="74">
        <v>45565</v>
      </c>
      <c r="V310" s="48"/>
      <c r="W310" s="48"/>
      <c r="X310" s="48"/>
      <c r="Y310" s="48">
        <v>0</v>
      </c>
      <c r="Z310" s="48"/>
      <c r="AA310" s="48" t="s">
        <v>21</v>
      </c>
      <c r="AB310" s="48" t="s">
        <v>27</v>
      </c>
      <c r="AC310" s="48" t="s">
        <v>252</v>
      </c>
      <c r="AD310" s="89" t="s">
        <v>845</v>
      </c>
    </row>
    <row r="311" spans="1:30" ht="15.75" hidden="1" x14ac:dyDescent="0.25">
      <c r="A311" s="48" t="s">
        <v>1851</v>
      </c>
      <c r="B311" s="74">
        <v>45909</v>
      </c>
      <c r="C311" s="48" t="s">
        <v>1878</v>
      </c>
      <c r="D311" s="48" t="s">
        <v>20</v>
      </c>
      <c r="E311" s="48" t="s">
        <v>1826</v>
      </c>
      <c r="F311" s="48" t="s">
        <v>367</v>
      </c>
      <c r="G311" s="48" t="s">
        <v>3220</v>
      </c>
      <c r="H311" s="48" t="s">
        <v>367</v>
      </c>
      <c r="I311" s="48" t="s">
        <v>26</v>
      </c>
      <c r="J311" s="48">
        <v>1020091</v>
      </c>
      <c r="K311" s="50">
        <v>3000000</v>
      </c>
      <c r="L311" s="50">
        <v>1</v>
      </c>
      <c r="M311" s="50">
        <v>3000000</v>
      </c>
      <c r="N311" s="50">
        <v>1979998.95</v>
      </c>
      <c r="O311" s="50">
        <v>1020001.05</v>
      </c>
      <c r="P311" s="50">
        <v>0</v>
      </c>
      <c r="Q311" s="87">
        <v>1020001.05</v>
      </c>
      <c r="R311" s="152">
        <v>0</v>
      </c>
      <c r="S311" s="174"/>
      <c r="T311" s="74">
        <v>45976</v>
      </c>
      <c r="U311" s="74">
        <v>45960</v>
      </c>
      <c r="V311" s="48"/>
      <c r="W311" s="48"/>
      <c r="X311" s="48"/>
      <c r="Y311" s="48">
        <v>0</v>
      </c>
      <c r="Z311" s="48"/>
      <c r="AA311" s="48" t="s">
        <v>366</v>
      </c>
      <c r="AB311" s="48" t="s">
        <v>27</v>
      </c>
      <c r="AC311" s="48" t="s">
        <v>1827</v>
      </c>
      <c r="AD311" s="89" t="s">
        <v>845</v>
      </c>
    </row>
    <row r="312" spans="1:30" ht="15.75" hidden="1" x14ac:dyDescent="0.25">
      <c r="A312" s="48" t="s">
        <v>1793</v>
      </c>
      <c r="B312" s="74">
        <v>45893</v>
      </c>
      <c r="C312" s="48" t="s">
        <v>441</v>
      </c>
      <c r="D312" s="48" t="s">
        <v>20</v>
      </c>
      <c r="E312" s="48" t="s">
        <v>1587</v>
      </c>
      <c r="F312" s="48" t="s">
        <v>22</v>
      </c>
      <c r="G312" s="48" t="s">
        <v>24</v>
      </c>
      <c r="H312" s="48" t="s">
        <v>22</v>
      </c>
      <c r="I312" s="48" t="s">
        <v>26</v>
      </c>
      <c r="J312" s="48">
        <v>1020055</v>
      </c>
      <c r="K312" s="50">
        <v>245149.44</v>
      </c>
      <c r="L312" s="50">
        <v>1</v>
      </c>
      <c r="M312" s="50">
        <v>245149.44</v>
      </c>
      <c r="N312" s="50">
        <v>245149.44</v>
      </c>
      <c r="O312" s="50">
        <v>0</v>
      </c>
      <c r="P312" s="50">
        <v>0</v>
      </c>
      <c r="Q312" s="87">
        <v>0</v>
      </c>
      <c r="R312" s="152">
        <v>0</v>
      </c>
      <c r="S312" s="174"/>
      <c r="T312" s="74">
        <v>45961</v>
      </c>
      <c r="U312" s="74">
        <v>45961</v>
      </c>
      <c r="V312" s="48"/>
      <c r="W312" s="48"/>
      <c r="X312" s="48"/>
      <c r="Y312" s="48">
        <v>0</v>
      </c>
      <c r="Z312" s="48"/>
      <c r="AA312" s="48" t="s">
        <v>21</v>
      </c>
      <c r="AB312" s="48" t="s">
        <v>27</v>
      </c>
      <c r="AC312" s="48" t="s">
        <v>621</v>
      </c>
      <c r="AD312" s="89" t="s">
        <v>845</v>
      </c>
    </row>
    <row r="313" spans="1:30" ht="15.75" hidden="1" x14ac:dyDescent="0.25">
      <c r="A313" s="48" t="s">
        <v>1657</v>
      </c>
      <c r="B313" s="74">
        <v>45869</v>
      </c>
      <c r="C313" s="48" t="s">
        <v>441</v>
      </c>
      <c r="D313" s="48" t="s">
        <v>20</v>
      </c>
      <c r="E313" s="48" t="s">
        <v>1593</v>
      </c>
      <c r="F313" s="48" t="s">
        <v>22</v>
      </c>
      <c r="G313" s="48" t="s">
        <v>24</v>
      </c>
      <c r="H313" s="48" t="s">
        <v>22</v>
      </c>
      <c r="I313" s="48" t="s">
        <v>26</v>
      </c>
      <c r="J313" s="48">
        <v>1020055</v>
      </c>
      <c r="K313" s="50">
        <v>304000.75</v>
      </c>
      <c r="L313" s="50">
        <v>1</v>
      </c>
      <c r="M313" s="50">
        <v>304000.75</v>
      </c>
      <c r="N313" s="50">
        <v>304000.75</v>
      </c>
      <c r="O313" s="50">
        <v>0</v>
      </c>
      <c r="P313" s="50">
        <v>0</v>
      </c>
      <c r="Q313" s="87">
        <v>0</v>
      </c>
      <c r="R313" s="152">
        <v>0</v>
      </c>
      <c r="S313" s="174"/>
      <c r="T313" s="74">
        <v>45961</v>
      </c>
      <c r="U313" s="74">
        <v>45961</v>
      </c>
      <c r="V313" s="48"/>
      <c r="W313" s="48"/>
      <c r="X313" s="48"/>
      <c r="Y313" s="48">
        <v>0</v>
      </c>
      <c r="Z313" s="48"/>
      <c r="AA313" s="48" t="s">
        <v>21</v>
      </c>
      <c r="AB313" s="48" t="s">
        <v>27</v>
      </c>
      <c r="AC313" s="48" t="s">
        <v>621</v>
      </c>
      <c r="AD313" s="89" t="s">
        <v>845</v>
      </c>
    </row>
    <row r="314" spans="1:30" ht="15.75" hidden="1" x14ac:dyDescent="0.25">
      <c r="A314" s="48" t="s">
        <v>130</v>
      </c>
      <c r="B314" s="74">
        <v>45147</v>
      </c>
      <c r="C314" s="48" t="s">
        <v>441</v>
      </c>
      <c r="D314" s="48" t="s">
        <v>20</v>
      </c>
      <c r="E314" s="48" t="s">
        <v>131</v>
      </c>
      <c r="F314" s="48" t="s">
        <v>22</v>
      </c>
      <c r="G314" s="48" t="s">
        <v>24</v>
      </c>
      <c r="H314" s="48" t="s">
        <v>22</v>
      </c>
      <c r="I314" s="48" t="s">
        <v>26</v>
      </c>
      <c r="J314" s="48">
        <v>1020055</v>
      </c>
      <c r="K314" s="50">
        <v>900000</v>
      </c>
      <c r="L314" s="50">
        <v>1</v>
      </c>
      <c r="M314" s="50">
        <v>900000</v>
      </c>
      <c r="N314" s="50">
        <v>900000</v>
      </c>
      <c r="O314" s="50">
        <v>0</v>
      </c>
      <c r="P314" s="50">
        <v>0</v>
      </c>
      <c r="Q314" s="87">
        <v>0</v>
      </c>
      <c r="R314" s="152">
        <v>0</v>
      </c>
      <c r="S314" s="174"/>
      <c r="T314" s="74">
        <v>45230</v>
      </c>
      <c r="U314" s="74">
        <v>45230</v>
      </c>
      <c r="V314" s="48"/>
      <c r="W314" s="48"/>
      <c r="X314" s="48"/>
      <c r="Y314" s="48">
        <v>0</v>
      </c>
      <c r="Z314" s="48"/>
      <c r="AA314" s="48" t="s">
        <v>21</v>
      </c>
      <c r="AB314" s="48" t="s">
        <v>27</v>
      </c>
      <c r="AC314" s="48"/>
      <c r="AD314" s="89" t="s">
        <v>845</v>
      </c>
    </row>
    <row r="315" spans="1:30" ht="15.75" hidden="1" x14ac:dyDescent="0.25">
      <c r="A315" s="48" t="s">
        <v>241</v>
      </c>
      <c r="B315" s="74">
        <v>45315</v>
      </c>
      <c r="C315" s="48" t="s">
        <v>441</v>
      </c>
      <c r="D315" s="48" t="s">
        <v>20</v>
      </c>
      <c r="E315" s="48" t="s">
        <v>131</v>
      </c>
      <c r="F315" s="48" t="s">
        <v>22</v>
      </c>
      <c r="G315" s="48" t="s">
        <v>24</v>
      </c>
      <c r="H315" s="48" t="s">
        <v>22</v>
      </c>
      <c r="I315" s="48" t="s">
        <v>26</v>
      </c>
      <c r="J315" s="48">
        <v>1020055</v>
      </c>
      <c r="K315" s="50">
        <v>1050000</v>
      </c>
      <c r="L315" s="50">
        <v>1</v>
      </c>
      <c r="M315" s="50">
        <v>1050000</v>
      </c>
      <c r="N315" s="50">
        <v>1050000</v>
      </c>
      <c r="O315" s="50">
        <v>0</v>
      </c>
      <c r="P315" s="50">
        <v>0</v>
      </c>
      <c r="Q315" s="87">
        <v>0</v>
      </c>
      <c r="R315" s="152">
        <v>0</v>
      </c>
      <c r="S315" s="174"/>
      <c r="T315" s="74">
        <v>45382</v>
      </c>
      <c r="U315" s="74">
        <v>45382</v>
      </c>
      <c r="V315" s="48"/>
      <c r="W315" s="48"/>
      <c r="X315" s="48"/>
      <c r="Y315" s="48">
        <v>0</v>
      </c>
      <c r="Z315" s="48"/>
      <c r="AA315" s="48" t="s">
        <v>21</v>
      </c>
      <c r="AB315" s="48" t="s">
        <v>27</v>
      </c>
      <c r="AC315" s="48"/>
      <c r="AD315" s="89" t="s">
        <v>845</v>
      </c>
    </row>
    <row r="316" spans="1:30" ht="15.75" hidden="1" x14ac:dyDescent="0.25">
      <c r="A316" s="48" t="s">
        <v>151</v>
      </c>
      <c r="B316" s="74">
        <v>45167</v>
      </c>
      <c r="C316" s="48" t="s">
        <v>441</v>
      </c>
      <c r="D316" s="48" t="s">
        <v>20</v>
      </c>
      <c r="E316" s="48" t="s">
        <v>152</v>
      </c>
      <c r="F316" s="48" t="s">
        <v>22</v>
      </c>
      <c r="G316" s="48" t="s">
        <v>24</v>
      </c>
      <c r="H316" s="48" t="s">
        <v>22</v>
      </c>
      <c r="I316" s="48" t="s">
        <v>26</v>
      </c>
      <c r="J316" s="48">
        <v>1020055</v>
      </c>
      <c r="K316" s="50">
        <v>1000000</v>
      </c>
      <c r="L316" s="50">
        <v>1</v>
      </c>
      <c r="M316" s="50">
        <v>1000000</v>
      </c>
      <c r="N316" s="50">
        <v>1000000</v>
      </c>
      <c r="O316" s="50">
        <v>0</v>
      </c>
      <c r="P316" s="50">
        <v>0</v>
      </c>
      <c r="Q316" s="87">
        <v>0</v>
      </c>
      <c r="R316" s="152">
        <v>0</v>
      </c>
      <c r="S316" s="174"/>
      <c r="T316" s="74">
        <v>45260</v>
      </c>
      <c r="U316" s="74">
        <v>45260</v>
      </c>
      <c r="V316" s="48"/>
      <c r="W316" s="48"/>
      <c r="X316" s="48"/>
      <c r="Y316" s="48">
        <v>0</v>
      </c>
      <c r="Z316" s="48"/>
      <c r="AA316" s="48" t="s">
        <v>21</v>
      </c>
      <c r="AB316" s="48" t="s">
        <v>27</v>
      </c>
      <c r="AC316" s="48" t="s">
        <v>35</v>
      </c>
      <c r="AD316" s="89" t="s">
        <v>845</v>
      </c>
    </row>
    <row r="317" spans="1:30" ht="15.75" hidden="1" x14ac:dyDescent="0.25">
      <c r="A317" s="48" t="s">
        <v>1691</v>
      </c>
      <c r="B317" s="74">
        <v>45875</v>
      </c>
      <c r="C317" s="48" t="s">
        <v>1119</v>
      </c>
      <c r="D317" s="48" t="s">
        <v>20</v>
      </c>
      <c r="E317" s="48" t="s">
        <v>1679</v>
      </c>
      <c r="F317" s="48" t="s">
        <v>367</v>
      </c>
      <c r="G317" s="48" t="s">
        <v>24</v>
      </c>
      <c r="H317" s="48" t="s">
        <v>367</v>
      </c>
      <c r="I317" s="48" t="s">
        <v>26</v>
      </c>
      <c r="J317" s="48">
        <v>1020091</v>
      </c>
      <c r="K317" s="50">
        <v>500000</v>
      </c>
      <c r="L317" s="50">
        <v>1</v>
      </c>
      <c r="M317" s="50">
        <v>500000</v>
      </c>
      <c r="N317" s="50">
        <v>500000</v>
      </c>
      <c r="O317" s="50">
        <v>0</v>
      </c>
      <c r="P317" s="50">
        <v>0</v>
      </c>
      <c r="Q317" s="87">
        <v>0</v>
      </c>
      <c r="R317" s="152">
        <v>0</v>
      </c>
      <c r="S317" s="174"/>
      <c r="T317" s="74">
        <v>45961</v>
      </c>
      <c r="U317" s="74">
        <v>45961</v>
      </c>
      <c r="V317" s="48"/>
      <c r="W317" s="48"/>
      <c r="X317" s="48"/>
      <c r="Y317" s="48">
        <v>0</v>
      </c>
      <c r="Z317" s="48"/>
      <c r="AA317" s="48" t="s">
        <v>366</v>
      </c>
      <c r="AB317" s="48" t="s">
        <v>27</v>
      </c>
      <c r="AC317" s="48" t="s">
        <v>1624</v>
      </c>
      <c r="AD317" s="89" t="s">
        <v>845</v>
      </c>
    </row>
    <row r="318" spans="1:30" ht="15.75" hidden="1" x14ac:dyDescent="0.25">
      <c r="A318" s="48" t="s">
        <v>169</v>
      </c>
      <c r="B318" s="74">
        <v>45299</v>
      </c>
      <c r="C318" s="48" t="s">
        <v>441</v>
      </c>
      <c r="D318" s="48" t="s">
        <v>20</v>
      </c>
      <c r="E318" s="48" t="s">
        <v>170</v>
      </c>
      <c r="F318" s="48" t="s">
        <v>22</v>
      </c>
      <c r="G318" s="48" t="s">
        <v>24</v>
      </c>
      <c r="H318" s="48" t="s">
        <v>22</v>
      </c>
      <c r="I318" s="48" t="s">
        <v>26</v>
      </c>
      <c r="J318" s="48">
        <v>1020055</v>
      </c>
      <c r="K318" s="50">
        <v>1399515.42</v>
      </c>
      <c r="L318" s="50">
        <v>1</v>
      </c>
      <c r="M318" s="50">
        <v>1399515.42</v>
      </c>
      <c r="N318" s="50">
        <v>0</v>
      </c>
      <c r="O318" s="50">
        <v>1399515.42</v>
      </c>
      <c r="P318" s="50">
        <v>0</v>
      </c>
      <c r="Q318" s="87">
        <v>1399515.42</v>
      </c>
      <c r="R318" s="152">
        <v>0</v>
      </c>
      <c r="S318" s="174"/>
      <c r="T318" s="74">
        <v>45382</v>
      </c>
      <c r="U318" s="74">
        <v>45382</v>
      </c>
      <c r="V318" s="48"/>
      <c r="W318" s="48"/>
      <c r="X318" s="48"/>
      <c r="Y318" s="48">
        <v>0</v>
      </c>
      <c r="Z318" s="48"/>
      <c r="AA318" s="48" t="s">
        <v>21</v>
      </c>
      <c r="AB318" s="48" t="s">
        <v>27</v>
      </c>
      <c r="AC318" s="48" t="s">
        <v>35</v>
      </c>
      <c r="AD318" s="89" t="s">
        <v>845</v>
      </c>
    </row>
    <row r="319" spans="1:30" ht="15.75" hidden="1" x14ac:dyDescent="0.25">
      <c r="A319" s="48" t="s">
        <v>92</v>
      </c>
      <c r="B319" s="74">
        <v>45453</v>
      </c>
      <c r="C319" s="48" t="s">
        <v>1181</v>
      </c>
      <c r="D319" s="48" t="s">
        <v>20</v>
      </c>
      <c r="E319" s="48" t="s">
        <v>93</v>
      </c>
      <c r="F319" s="48" t="s">
        <v>63</v>
      </c>
      <c r="G319" s="48" t="s">
        <v>80</v>
      </c>
      <c r="H319" s="48" t="s">
        <v>81</v>
      </c>
      <c r="I319" s="48" t="s">
        <v>26</v>
      </c>
      <c r="J319" s="48">
        <v>1020070</v>
      </c>
      <c r="K319" s="50">
        <v>4783058.92</v>
      </c>
      <c r="L319" s="50">
        <v>1</v>
      </c>
      <c r="M319" s="50">
        <v>4783058.92</v>
      </c>
      <c r="N319" s="50">
        <v>4783058.92</v>
      </c>
      <c r="O319" s="50">
        <v>0</v>
      </c>
      <c r="P319" s="50">
        <v>0</v>
      </c>
      <c r="Q319" s="87">
        <v>0</v>
      </c>
      <c r="R319" s="152">
        <v>0</v>
      </c>
      <c r="S319" s="174"/>
      <c r="T319" s="74">
        <v>45535</v>
      </c>
      <c r="U319" s="74">
        <v>45535</v>
      </c>
      <c r="V319" s="48"/>
      <c r="W319" s="48"/>
      <c r="X319" s="48"/>
      <c r="Y319" s="48">
        <v>0</v>
      </c>
      <c r="Z319" s="48"/>
      <c r="AA319" s="48" t="s">
        <v>62</v>
      </c>
      <c r="AB319" s="48" t="s">
        <v>27</v>
      </c>
      <c r="AC319" s="48"/>
      <c r="AD319" s="89" t="s">
        <v>845</v>
      </c>
    </row>
    <row r="320" spans="1:30" ht="15.75" hidden="1" x14ac:dyDescent="0.25">
      <c r="A320" s="48" t="s">
        <v>244</v>
      </c>
      <c r="B320" s="74">
        <v>45283</v>
      </c>
      <c r="C320" s="48" t="s">
        <v>1181</v>
      </c>
      <c r="D320" s="48" t="s">
        <v>20</v>
      </c>
      <c r="E320" s="48" t="s">
        <v>93</v>
      </c>
      <c r="F320" s="48" t="s">
        <v>63</v>
      </c>
      <c r="G320" s="48" t="s">
        <v>80</v>
      </c>
      <c r="H320" s="48" t="s">
        <v>81</v>
      </c>
      <c r="I320" s="48" t="s">
        <v>26</v>
      </c>
      <c r="J320" s="48">
        <v>1020070</v>
      </c>
      <c r="K320" s="50">
        <v>4783058.92</v>
      </c>
      <c r="L320" s="50">
        <v>1</v>
      </c>
      <c r="M320" s="50">
        <v>4783058.92</v>
      </c>
      <c r="N320" s="50">
        <v>0</v>
      </c>
      <c r="O320" s="50">
        <v>4783058.92</v>
      </c>
      <c r="P320" s="50">
        <v>0</v>
      </c>
      <c r="Q320" s="87">
        <v>4783058.92</v>
      </c>
      <c r="R320" s="152">
        <v>0</v>
      </c>
      <c r="S320" s="174"/>
      <c r="T320" s="74">
        <v>45412</v>
      </c>
      <c r="U320" s="74">
        <v>45412</v>
      </c>
      <c r="V320" s="48"/>
      <c r="W320" s="48"/>
      <c r="X320" s="48"/>
      <c r="Y320" s="48">
        <v>0</v>
      </c>
      <c r="Z320" s="48"/>
      <c r="AA320" s="48" t="s">
        <v>62</v>
      </c>
      <c r="AB320" s="48" t="s">
        <v>27</v>
      </c>
      <c r="AC320" s="48"/>
      <c r="AD320" s="89" t="s">
        <v>845</v>
      </c>
    </row>
    <row r="321" spans="1:30" ht="15.75" hidden="1" x14ac:dyDescent="0.25">
      <c r="A321" s="48" t="s">
        <v>1188</v>
      </c>
      <c r="B321" s="74">
        <v>45760</v>
      </c>
      <c r="C321" s="48" t="s">
        <v>441</v>
      </c>
      <c r="D321" s="48" t="s">
        <v>20</v>
      </c>
      <c r="E321" s="48" t="s">
        <v>836</v>
      </c>
      <c r="F321" s="48" t="s">
        <v>710</v>
      </c>
      <c r="G321" s="48" t="s">
        <v>24</v>
      </c>
      <c r="H321" s="48" t="s">
        <v>710</v>
      </c>
      <c r="I321" s="48" t="s">
        <v>26</v>
      </c>
      <c r="J321" s="48">
        <v>1020088</v>
      </c>
      <c r="K321" s="50">
        <v>1995000</v>
      </c>
      <c r="L321" s="50">
        <v>1</v>
      </c>
      <c r="M321" s="50">
        <v>1995000</v>
      </c>
      <c r="N321" s="50">
        <v>1995000</v>
      </c>
      <c r="O321" s="50">
        <v>0</v>
      </c>
      <c r="P321" s="50">
        <v>0</v>
      </c>
      <c r="Q321" s="87">
        <v>0</v>
      </c>
      <c r="R321" s="152">
        <v>0</v>
      </c>
      <c r="S321" s="174"/>
      <c r="T321" s="74">
        <v>46022</v>
      </c>
      <c r="U321" s="74">
        <v>46022</v>
      </c>
      <c r="V321" s="48"/>
      <c r="W321" s="48"/>
      <c r="X321" s="48"/>
      <c r="Y321" s="48">
        <v>0</v>
      </c>
      <c r="Z321" s="48"/>
      <c r="AA321" s="48" t="s">
        <v>366</v>
      </c>
      <c r="AB321" s="48" t="s">
        <v>27</v>
      </c>
      <c r="AC321" s="48" t="s">
        <v>311</v>
      </c>
      <c r="AD321" s="89" t="s">
        <v>845</v>
      </c>
    </row>
    <row r="322" spans="1:30" ht="15.75" hidden="1" x14ac:dyDescent="0.25">
      <c r="A322" s="48" t="s">
        <v>202</v>
      </c>
      <c r="B322" s="74">
        <v>45147</v>
      </c>
      <c r="C322" s="48" t="s">
        <v>441</v>
      </c>
      <c r="D322" s="48" t="s">
        <v>20</v>
      </c>
      <c r="E322" s="48" t="s">
        <v>203</v>
      </c>
      <c r="F322" s="48" t="s">
        <v>22</v>
      </c>
      <c r="G322" s="48" t="s">
        <v>24</v>
      </c>
      <c r="H322" s="48" t="s">
        <v>22</v>
      </c>
      <c r="I322" s="48" t="s">
        <v>26</v>
      </c>
      <c r="J322" s="48">
        <v>1020055</v>
      </c>
      <c r="K322" s="50">
        <v>905627.11</v>
      </c>
      <c r="L322" s="50">
        <v>1</v>
      </c>
      <c r="M322" s="50">
        <v>905627.11</v>
      </c>
      <c r="N322" s="50">
        <v>0</v>
      </c>
      <c r="O322" s="50">
        <v>905627.11</v>
      </c>
      <c r="P322" s="50">
        <v>0</v>
      </c>
      <c r="Q322" s="87">
        <v>905627.11</v>
      </c>
      <c r="R322" s="152">
        <v>0</v>
      </c>
      <c r="S322" s="174"/>
      <c r="T322" s="74">
        <v>45230</v>
      </c>
      <c r="U322" s="74">
        <v>45230</v>
      </c>
      <c r="V322" s="48"/>
      <c r="W322" s="48"/>
      <c r="X322" s="48"/>
      <c r="Y322" s="48">
        <v>0</v>
      </c>
      <c r="Z322" s="48"/>
      <c r="AA322" s="48" t="s">
        <v>21</v>
      </c>
      <c r="AB322" s="48" t="s">
        <v>27</v>
      </c>
      <c r="AC322" s="48" t="s">
        <v>35</v>
      </c>
      <c r="AD322" s="89" t="s">
        <v>845</v>
      </c>
    </row>
    <row r="323" spans="1:30" ht="15.75" hidden="1" x14ac:dyDescent="0.25">
      <c r="A323" s="48" t="s">
        <v>1445</v>
      </c>
      <c r="B323" s="74">
        <v>45810</v>
      </c>
      <c r="C323" s="48" t="s">
        <v>441</v>
      </c>
      <c r="D323" s="48" t="s">
        <v>20</v>
      </c>
      <c r="E323" s="48" t="s">
        <v>1386</v>
      </c>
      <c r="F323" s="48" t="s">
        <v>710</v>
      </c>
      <c r="G323" s="48" t="s">
        <v>24</v>
      </c>
      <c r="H323" s="48" t="s">
        <v>710</v>
      </c>
      <c r="I323" s="48" t="s">
        <v>26</v>
      </c>
      <c r="J323" s="48">
        <v>1020088</v>
      </c>
      <c r="K323" s="50">
        <v>2000000</v>
      </c>
      <c r="L323" s="50">
        <v>1</v>
      </c>
      <c r="M323" s="50">
        <v>2000000</v>
      </c>
      <c r="N323" s="50">
        <v>2000000</v>
      </c>
      <c r="O323" s="50">
        <v>0</v>
      </c>
      <c r="P323" s="50">
        <v>0</v>
      </c>
      <c r="Q323" s="87">
        <v>0</v>
      </c>
      <c r="R323" s="152">
        <v>0</v>
      </c>
      <c r="S323" s="174"/>
      <c r="T323" s="74">
        <v>45961</v>
      </c>
      <c r="U323" s="74">
        <v>45961</v>
      </c>
      <c r="V323" s="48"/>
      <c r="W323" s="48"/>
      <c r="X323" s="48"/>
      <c r="Y323" s="48">
        <v>0</v>
      </c>
      <c r="Z323" s="48"/>
      <c r="AA323" s="48" t="s">
        <v>366</v>
      </c>
      <c r="AB323" s="48" t="s">
        <v>27</v>
      </c>
      <c r="AC323" s="48" t="s">
        <v>621</v>
      </c>
      <c r="AD323" s="89" t="s">
        <v>845</v>
      </c>
    </row>
    <row r="324" spans="1:30" ht="15.75" hidden="1" x14ac:dyDescent="0.25">
      <c r="A324" s="48" t="s">
        <v>2902</v>
      </c>
      <c r="B324" s="74">
        <v>45992</v>
      </c>
      <c r="C324" s="48" t="s">
        <v>441</v>
      </c>
      <c r="D324" s="48" t="s">
        <v>20</v>
      </c>
      <c r="E324" s="48" t="s">
        <v>1386</v>
      </c>
      <c r="F324" s="48" t="s">
        <v>710</v>
      </c>
      <c r="G324" s="48" t="s">
        <v>24</v>
      </c>
      <c r="H324" s="48" t="s">
        <v>710</v>
      </c>
      <c r="I324" s="48" t="s">
        <v>26</v>
      </c>
      <c r="J324" s="48">
        <v>1020088</v>
      </c>
      <c r="K324" s="50">
        <v>628258.81000000006</v>
      </c>
      <c r="L324" s="50">
        <v>1</v>
      </c>
      <c r="M324" s="50">
        <v>628258.81000000006</v>
      </c>
      <c r="N324" s="50">
        <v>0</v>
      </c>
      <c r="O324" s="50">
        <v>628258.81000000006</v>
      </c>
      <c r="P324" s="50">
        <v>487718.69</v>
      </c>
      <c r="Q324" s="87">
        <v>140540.12</v>
      </c>
      <c r="R324" s="152">
        <v>0</v>
      </c>
      <c r="S324" s="174" t="s">
        <v>5314</v>
      </c>
      <c r="T324" s="74">
        <v>46203</v>
      </c>
      <c r="U324" s="74">
        <v>46203</v>
      </c>
      <c r="V324" s="48"/>
      <c r="W324" s="48"/>
      <c r="X324" s="48"/>
      <c r="Y324" s="48">
        <v>0</v>
      </c>
      <c r="Z324" s="48"/>
      <c r="AA324" s="48" t="s">
        <v>366</v>
      </c>
      <c r="AB324" s="48" t="s">
        <v>27</v>
      </c>
      <c r="AC324" s="48" t="s">
        <v>621</v>
      </c>
      <c r="AD324" s="89" t="s">
        <v>1026</v>
      </c>
    </row>
    <row r="325" spans="1:30" ht="15.75" hidden="1" x14ac:dyDescent="0.25">
      <c r="A325" s="48" t="s">
        <v>5255</v>
      </c>
      <c r="B325" s="74">
        <v>46152</v>
      </c>
      <c r="C325" s="48" t="s">
        <v>1181</v>
      </c>
      <c r="D325" s="48" t="s">
        <v>20</v>
      </c>
      <c r="E325" s="48" t="s">
        <v>5181</v>
      </c>
      <c r="F325" s="48" t="s">
        <v>710</v>
      </c>
      <c r="G325" s="48" t="s">
        <v>1791</v>
      </c>
      <c r="H325" s="48" t="s">
        <v>81</v>
      </c>
      <c r="I325" s="48" t="s">
        <v>26</v>
      </c>
      <c r="J325" s="48">
        <v>1020070</v>
      </c>
      <c r="K325" s="50">
        <v>735855</v>
      </c>
      <c r="L325" s="50">
        <v>1</v>
      </c>
      <c r="M325" s="50">
        <v>735855</v>
      </c>
      <c r="N325" s="50">
        <v>0</v>
      </c>
      <c r="O325" s="50">
        <v>735855</v>
      </c>
      <c r="P325" s="50">
        <v>0</v>
      </c>
      <c r="Q325" s="87">
        <v>735855</v>
      </c>
      <c r="R325" s="152">
        <v>735855</v>
      </c>
      <c r="S325" s="174"/>
      <c r="T325" s="74">
        <v>46203</v>
      </c>
      <c r="U325" s="74">
        <v>46203</v>
      </c>
      <c r="V325" s="48"/>
      <c r="W325" s="48"/>
      <c r="X325" s="48"/>
      <c r="Y325" s="48">
        <v>0</v>
      </c>
      <c r="Z325" s="48"/>
      <c r="AA325" s="48" t="s">
        <v>366</v>
      </c>
      <c r="AB325" s="48" t="s">
        <v>27</v>
      </c>
      <c r="AC325" s="48" t="s">
        <v>3229</v>
      </c>
      <c r="AD325" s="89" t="s">
        <v>1026</v>
      </c>
    </row>
    <row r="326" spans="1:30" ht="15.75" hidden="1" x14ac:dyDescent="0.25">
      <c r="A326" s="48" t="s">
        <v>5434</v>
      </c>
      <c r="B326" s="74">
        <v>46177</v>
      </c>
      <c r="C326" s="48" t="s">
        <v>441</v>
      </c>
      <c r="D326" s="48" t="s">
        <v>20</v>
      </c>
      <c r="E326" s="48" t="s">
        <v>5181</v>
      </c>
      <c r="F326" s="48" t="s">
        <v>710</v>
      </c>
      <c r="G326" s="48" t="s">
        <v>24</v>
      </c>
      <c r="H326" s="48" t="s">
        <v>710</v>
      </c>
      <c r="I326" s="48" t="s">
        <v>26</v>
      </c>
      <c r="J326" s="48">
        <v>1020088</v>
      </c>
      <c r="K326" s="50">
        <v>1000000</v>
      </c>
      <c r="L326" s="50">
        <v>1</v>
      </c>
      <c r="M326" s="50">
        <v>1000000</v>
      </c>
      <c r="N326" s="50">
        <v>0</v>
      </c>
      <c r="O326" s="50">
        <v>1000000</v>
      </c>
      <c r="P326" s="50">
        <v>0</v>
      </c>
      <c r="Q326" s="87">
        <v>1000000</v>
      </c>
      <c r="R326" s="152">
        <v>0</v>
      </c>
      <c r="S326" s="174"/>
      <c r="T326" s="74">
        <v>46265</v>
      </c>
      <c r="U326" s="74">
        <v>46265</v>
      </c>
      <c r="V326" s="48"/>
      <c r="W326" s="48"/>
      <c r="X326" s="48"/>
      <c r="Y326" s="48">
        <v>0</v>
      </c>
      <c r="Z326" s="48"/>
      <c r="AA326" s="48" t="s">
        <v>366</v>
      </c>
      <c r="AB326" s="48" t="s">
        <v>27</v>
      </c>
      <c r="AC326" s="48" t="s">
        <v>5175</v>
      </c>
      <c r="AD326" s="89" t="s">
        <v>1026</v>
      </c>
    </row>
    <row r="327" spans="1:30" ht="15.75" hidden="1" x14ac:dyDescent="0.25">
      <c r="A327" s="48" t="s">
        <v>1869</v>
      </c>
      <c r="B327" s="74">
        <v>45914</v>
      </c>
      <c r="C327" s="48" t="s">
        <v>441</v>
      </c>
      <c r="D327" s="48" t="s">
        <v>20</v>
      </c>
      <c r="E327" s="48" t="s">
        <v>1837</v>
      </c>
      <c r="F327" s="48" t="s">
        <v>710</v>
      </c>
      <c r="G327" s="48" t="s">
        <v>24</v>
      </c>
      <c r="H327" s="48" t="s">
        <v>710</v>
      </c>
      <c r="I327" s="48" t="s">
        <v>26</v>
      </c>
      <c r="J327" s="48">
        <v>1020088</v>
      </c>
      <c r="K327" s="50">
        <v>2500000</v>
      </c>
      <c r="L327" s="50">
        <v>1</v>
      </c>
      <c r="M327" s="50">
        <v>2500000</v>
      </c>
      <c r="N327" s="50">
        <v>2500000</v>
      </c>
      <c r="O327" s="50">
        <v>0</v>
      </c>
      <c r="P327" s="50">
        <v>0</v>
      </c>
      <c r="Q327" s="87">
        <v>0</v>
      </c>
      <c r="R327" s="152">
        <v>0</v>
      </c>
      <c r="S327" s="174"/>
      <c r="T327" s="74">
        <v>46022</v>
      </c>
      <c r="U327" s="74">
        <v>46022</v>
      </c>
      <c r="V327" s="48"/>
      <c r="W327" s="48"/>
      <c r="X327" s="48"/>
      <c r="Y327" s="48">
        <v>0</v>
      </c>
      <c r="Z327" s="48"/>
      <c r="AA327" s="48" t="s">
        <v>366</v>
      </c>
      <c r="AB327" s="48" t="s">
        <v>27</v>
      </c>
      <c r="AC327" s="48" t="s">
        <v>621</v>
      </c>
      <c r="AD327" s="89" t="s">
        <v>845</v>
      </c>
    </row>
    <row r="328" spans="1:30" ht="15.75" hidden="1" x14ac:dyDescent="0.25">
      <c r="A328" s="48" t="s">
        <v>801</v>
      </c>
      <c r="B328" s="74">
        <v>45739</v>
      </c>
      <c r="C328" s="48" t="s">
        <v>441</v>
      </c>
      <c r="D328" s="48" t="s">
        <v>20</v>
      </c>
      <c r="E328" s="48" t="s">
        <v>802</v>
      </c>
      <c r="F328" s="48" t="s">
        <v>22</v>
      </c>
      <c r="G328" s="48" t="s">
        <v>24</v>
      </c>
      <c r="H328" s="48" t="s">
        <v>22</v>
      </c>
      <c r="I328" s="48" t="s">
        <v>26</v>
      </c>
      <c r="J328" s="48">
        <v>1020055</v>
      </c>
      <c r="K328" s="50">
        <v>177325.35</v>
      </c>
      <c r="L328" s="50">
        <v>1</v>
      </c>
      <c r="M328" s="50">
        <v>177325.35</v>
      </c>
      <c r="N328" s="50">
        <v>176690.77</v>
      </c>
      <c r="O328" s="50">
        <v>634.58000000000004</v>
      </c>
      <c r="P328" s="50">
        <v>0</v>
      </c>
      <c r="Q328" s="87">
        <v>634.58000000000004</v>
      </c>
      <c r="R328" s="152">
        <v>0</v>
      </c>
      <c r="S328" s="174"/>
      <c r="T328" s="74">
        <v>45838</v>
      </c>
      <c r="U328" s="74">
        <v>45838</v>
      </c>
      <c r="V328" s="48"/>
      <c r="W328" s="48"/>
      <c r="X328" s="48"/>
      <c r="Y328" s="48">
        <v>0</v>
      </c>
      <c r="Z328" s="48"/>
      <c r="AA328" s="48" t="s">
        <v>21</v>
      </c>
      <c r="AB328" s="48" t="s">
        <v>27</v>
      </c>
      <c r="AC328" s="48" t="s">
        <v>311</v>
      </c>
      <c r="AD328" s="89" t="s">
        <v>845</v>
      </c>
    </row>
    <row r="329" spans="1:30" ht="15.75" hidden="1" x14ac:dyDescent="0.25">
      <c r="A329" s="48" t="s">
        <v>562</v>
      </c>
      <c r="B329" s="74">
        <v>45643</v>
      </c>
      <c r="C329" s="48" t="s">
        <v>441</v>
      </c>
      <c r="D329" s="48" t="s">
        <v>20</v>
      </c>
      <c r="E329" s="48" t="s">
        <v>563</v>
      </c>
      <c r="F329" s="48" t="s">
        <v>483</v>
      </c>
      <c r="G329" s="48" t="s">
        <v>24</v>
      </c>
      <c r="H329" s="48" t="s">
        <v>22</v>
      </c>
      <c r="I329" s="48" t="s">
        <v>26</v>
      </c>
      <c r="J329" s="48">
        <v>1020055</v>
      </c>
      <c r="K329" s="50">
        <v>593400</v>
      </c>
      <c r="L329" s="50">
        <v>1</v>
      </c>
      <c r="M329" s="50">
        <v>593400</v>
      </c>
      <c r="N329" s="50">
        <v>593400</v>
      </c>
      <c r="O329" s="50">
        <v>0</v>
      </c>
      <c r="P329" s="50">
        <v>0</v>
      </c>
      <c r="Q329" s="87">
        <v>0</v>
      </c>
      <c r="R329" s="152">
        <v>0</v>
      </c>
      <c r="S329" s="174"/>
      <c r="T329" s="74">
        <v>45747</v>
      </c>
      <c r="U329" s="74">
        <v>45747</v>
      </c>
      <c r="V329" s="48"/>
      <c r="W329" s="48"/>
      <c r="X329" s="48"/>
      <c r="Y329" s="48">
        <v>0</v>
      </c>
      <c r="Z329" s="48"/>
      <c r="AA329" s="48" t="s">
        <v>373</v>
      </c>
      <c r="AB329" s="48" t="s">
        <v>27</v>
      </c>
      <c r="AC329" s="48" t="s">
        <v>425</v>
      </c>
      <c r="AD329" s="89" t="s">
        <v>845</v>
      </c>
    </row>
    <row r="330" spans="1:30" ht="15.75" hidden="1" x14ac:dyDescent="0.25">
      <c r="A330" s="48" t="s">
        <v>1743</v>
      </c>
      <c r="B330" s="74">
        <v>45883</v>
      </c>
      <c r="C330" s="48" t="s">
        <v>1727</v>
      </c>
      <c r="D330" s="48" t="s">
        <v>20</v>
      </c>
      <c r="E330" s="48" t="s">
        <v>1725</v>
      </c>
      <c r="F330" s="48" t="s">
        <v>70</v>
      </c>
      <c r="G330" s="48" t="s">
        <v>869</v>
      </c>
      <c r="H330" s="48" t="s">
        <v>1762</v>
      </c>
      <c r="I330" s="48" t="s">
        <v>26</v>
      </c>
      <c r="J330" s="48"/>
      <c r="K330" s="50">
        <v>273082</v>
      </c>
      <c r="L330" s="50">
        <v>1</v>
      </c>
      <c r="M330" s="50">
        <v>273082</v>
      </c>
      <c r="N330" s="50">
        <v>222726.82</v>
      </c>
      <c r="O330" s="50">
        <v>50355.18</v>
      </c>
      <c r="P330" s="50">
        <v>0</v>
      </c>
      <c r="Q330" s="87">
        <v>50355.18</v>
      </c>
      <c r="R330" s="152">
        <v>0</v>
      </c>
      <c r="S330" s="174"/>
      <c r="T330" s="74">
        <v>45930</v>
      </c>
      <c r="U330" s="74">
        <v>45915</v>
      </c>
      <c r="V330" s="48"/>
      <c r="W330" s="48"/>
      <c r="X330" s="48"/>
      <c r="Y330" s="48"/>
      <c r="Z330" s="48" t="s">
        <v>2862</v>
      </c>
      <c r="AA330" s="48" t="s">
        <v>62</v>
      </c>
      <c r="AB330" s="48" t="s">
        <v>70</v>
      </c>
      <c r="AC330" s="48" t="s">
        <v>208</v>
      </c>
      <c r="AD330" s="89" t="s">
        <v>845</v>
      </c>
    </row>
    <row r="331" spans="1:30" ht="15.75" hidden="1" x14ac:dyDescent="0.25">
      <c r="A331" s="48" t="s">
        <v>1288</v>
      </c>
      <c r="B331" s="74">
        <v>45785</v>
      </c>
      <c r="C331" s="48" t="s">
        <v>441</v>
      </c>
      <c r="D331" s="48" t="s">
        <v>20</v>
      </c>
      <c r="E331" s="48" t="s">
        <v>1247</v>
      </c>
      <c r="F331" s="48" t="s">
        <v>70</v>
      </c>
      <c r="G331" s="48" t="s">
        <v>24</v>
      </c>
      <c r="H331" s="48" t="s">
        <v>407</v>
      </c>
      <c r="I331" s="48" t="s">
        <v>26</v>
      </c>
      <c r="J331" s="48">
        <v>1020100</v>
      </c>
      <c r="K331" s="50">
        <v>250000</v>
      </c>
      <c r="L331" s="50">
        <v>1</v>
      </c>
      <c r="M331" s="50">
        <v>250000</v>
      </c>
      <c r="N331" s="50">
        <v>250000</v>
      </c>
      <c r="O331" s="50">
        <v>0</v>
      </c>
      <c r="P331" s="50">
        <v>0</v>
      </c>
      <c r="Q331" s="87">
        <v>0</v>
      </c>
      <c r="R331" s="152">
        <v>0</v>
      </c>
      <c r="S331" s="174"/>
      <c r="T331" s="74">
        <v>45869</v>
      </c>
      <c r="U331" s="74">
        <v>45869</v>
      </c>
      <c r="V331" s="48"/>
      <c r="W331" s="48"/>
      <c r="X331" s="48"/>
      <c r="Y331" s="48">
        <v>0</v>
      </c>
      <c r="Z331" s="48"/>
      <c r="AA331" s="48" t="s">
        <v>373</v>
      </c>
      <c r="AB331" s="48" t="s">
        <v>70</v>
      </c>
      <c r="AC331" s="48" t="s">
        <v>621</v>
      </c>
      <c r="AD331" s="89" t="s">
        <v>845</v>
      </c>
    </row>
    <row r="332" spans="1:30" ht="15.75" hidden="1" x14ac:dyDescent="0.25">
      <c r="A332" s="48" t="s">
        <v>1885</v>
      </c>
      <c r="B332" s="74">
        <v>45922</v>
      </c>
      <c r="C332" s="48" t="s">
        <v>441</v>
      </c>
      <c r="D332" s="48" t="s">
        <v>20</v>
      </c>
      <c r="E332" s="48" t="s">
        <v>1863</v>
      </c>
      <c r="F332" s="48" t="s">
        <v>22</v>
      </c>
      <c r="G332" s="48" t="s">
        <v>24</v>
      </c>
      <c r="H332" s="48" t="s">
        <v>22</v>
      </c>
      <c r="I332" s="48" t="s">
        <v>26</v>
      </c>
      <c r="J332" s="48">
        <v>1020055</v>
      </c>
      <c r="K332" s="50">
        <v>207933.08</v>
      </c>
      <c r="L332" s="50">
        <v>1</v>
      </c>
      <c r="M332" s="50">
        <v>207933.08</v>
      </c>
      <c r="N332" s="50">
        <v>207933.08</v>
      </c>
      <c r="O332" s="50">
        <v>0</v>
      </c>
      <c r="P332" s="50">
        <v>0</v>
      </c>
      <c r="Q332" s="87">
        <v>0</v>
      </c>
      <c r="R332" s="152">
        <v>0</v>
      </c>
      <c r="S332" s="174"/>
      <c r="T332" s="74">
        <v>46022</v>
      </c>
      <c r="U332" s="74">
        <v>46022</v>
      </c>
      <c r="V332" s="48"/>
      <c r="W332" s="48"/>
      <c r="X332" s="48"/>
      <c r="Y332" s="48">
        <v>0</v>
      </c>
      <c r="Z332" s="48"/>
      <c r="AA332" s="48" t="s">
        <v>21</v>
      </c>
      <c r="AB332" s="48" t="s">
        <v>27</v>
      </c>
      <c r="AC332" s="48" t="s">
        <v>621</v>
      </c>
      <c r="AD332" s="89" t="s">
        <v>845</v>
      </c>
    </row>
    <row r="333" spans="1:30" ht="15.75" hidden="1" x14ac:dyDescent="0.25">
      <c r="A333" s="48" t="s">
        <v>1404</v>
      </c>
      <c r="B333" s="74">
        <v>45804</v>
      </c>
      <c r="C333" s="48" t="s">
        <v>441</v>
      </c>
      <c r="D333" s="48" t="s">
        <v>20</v>
      </c>
      <c r="E333" s="48" t="s">
        <v>1331</v>
      </c>
      <c r="F333" s="48" t="s">
        <v>22</v>
      </c>
      <c r="G333" s="48" t="s">
        <v>24</v>
      </c>
      <c r="H333" s="48" t="s">
        <v>22</v>
      </c>
      <c r="I333" s="48" t="s">
        <v>26</v>
      </c>
      <c r="J333" s="48">
        <v>1020055</v>
      </c>
      <c r="K333" s="50">
        <v>197999.99</v>
      </c>
      <c r="L333" s="50">
        <v>1</v>
      </c>
      <c r="M333" s="50">
        <v>197999.99</v>
      </c>
      <c r="N333" s="50">
        <v>197000</v>
      </c>
      <c r="O333" s="50">
        <v>999.99</v>
      </c>
      <c r="P333" s="50">
        <v>0</v>
      </c>
      <c r="Q333" s="87">
        <v>999.99</v>
      </c>
      <c r="R333" s="152">
        <v>0</v>
      </c>
      <c r="S333" s="174"/>
      <c r="T333" s="74">
        <v>45900</v>
      </c>
      <c r="U333" s="74">
        <v>45900</v>
      </c>
      <c r="V333" s="48"/>
      <c r="W333" s="48"/>
      <c r="X333" s="48"/>
      <c r="Y333" s="48">
        <v>0</v>
      </c>
      <c r="Z333" s="48"/>
      <c r="AA333" s="48" t="s">
        <v>21</v>
      </c>
      <c r="AB333" s="48" t="s">
        <v>27</v>
      </c>
      <c r="AC333" s="48" t="s">
        <v>621</v>
      </c>
      <c r="AD333" s="89" t="s">
        <v>845</v>
      </c>
    </row>
    <row r="334" spans="1:30" ht="15.75" hidden="1" x14ac:dyDescent="0.25">
      <c r="A334" s="48" t="s">
        <v>1428</v>
      </c>
      <c r="B334" s="74">
        <v>45804</v>
      </c>
      <c r="C334" s="48" t="s">
        <v>441</v>
      </c>
      <c r="D334" s="48" t="s">
        <v>20</v>
      </c>
      <c r="E334" s="48" t="s">
        <v>1363</v>
      </c>
      <c r="F334" s="48" t="s">
        <v>22</v>
      </c>
      <c r="G334" s="48" t="s">
        <v>24</v>
      </c>
      <c r="H334" s="48" t="s">
        <v>22</v>
      </c>
      <c r="I334" s="48" t="s">
        <v>26</v>
      </c>
      <c r="J334" s="48">
        <v>1020055</v>
      </c>
      <c r="K334" s="50">
        <v>120438.35</v>
      </c>
      <c r="L334" s="50">
        <v>1</v>
      </c>
      <c r="M334" s="50">
        <v>120438.35</v>
      </c>
      <c r="N334" s="50">
        <v>120438.35</v>
      </c>
      <c r="O334" s="50">
        <v>0</v>
      </c>
      <c r="P334" s="50">
        <v>0</v>
      </c>
      <c r="Q334" s="87">
        <v>0</v>
      </c>
      <c r="R334" s="152">
        <v>0</v>
      </c>
      <c r="S334" s="174"/>
      <c r="T334" s="74">
        <v>46022</v>
      </c>
      <c r="U334" s="74">
        <v>46022</v>
      </c>
      <c r="V334" s="48"/>
      <c r="W334" s="48"/>
      <c r="X334" s="48"/>
      <c r="Y334" s="48">
        <v>0</v>
      </c>
      <c r="Z334" s="48"/>
      <c r="AA334" s="48" t="s">
        <v>21</v>
      </c>
      <c r="AB334" s="48" t="s">
        <v>27</v>
      </c>
      <c r="AC334" s="48" t="s">
        <v>621</v>
      </c>
      <c r="AD334" s="89" t="s">
        <v>845</v>
      </c>
    </row>
    <row r="335" spans="1:30" ht="15.75" hidden="1" x14ac:dyDescent="0.25">
      <c r="A335" s="48" t="s">
        <v>418</v>
      </c>
      <c r="B335" s="74">
        <v>45572</v>
      </c>
      <c r="C335" s="48"/>
      <c r="D335" s="48" t="s">
        <v>20</v>
      </c>
      <c r="E335" s="48" t="s">
        <v>419</v>
      </c>
      <c r="F335" s="48" t="s">
        <v>96</v>
      </c>
      <c r="G335" s="48" t="s">
        <v>24</v>
      </c>
      <c r="H335" s="48" t="s">
        <v>413</v>
      </c>
      <c r="I335" s="48" t="s">
        <v>26</v>
      </c>
      <c r="J335" s="48"/>
      <c r="K335" s="50">
        <v>2120837</v>
      </c>
      <c r="L335" s="50">
        <v>1</v>
      </c>
      <c r="M335" s="50">
        <v>2120837</v>
      </c>
      <c r="N335" s="50">
        <v>2120837</v>
      </c>
      <c r="O335" s="50">
        <v>0</v>
      </c>
      <c r="P335" s="50">
        <v>0</v>
      </c>
      <c r="Q335" s="87">
        <v>0</v>
      </c>
      <c r="R335" s="152">
        <v>0</v>
      </c>
      <c r="S335" s="174"/>
      <c r="T335" s="74">
        <v>45657</v>
      </c>
      <c r="U335" s="74">
        <v>45630</v>
      </c>
      <c r="V335" s="48"/>
      <c r="W335" s="48"/>
      <c r="X335" s="48"/>
      <c r="Y335" s="48">
        <v>0</v>
      </c>
      <c r="Z335" s="48"/>
      <c r="AA335" s="48" t="s">
        <v>95</v>
      </c>
      <c r="AB335" s="48" t="s">
        <v>27</v>
      </c>
      <c r="AC335" s="48" t="s">
        <v>311</v>
      </c>
      <c r="AD335" s="89" t="s">
        <v>845</v>
      </c>
    </row>
    <row r="336" spans="1:30" ht="15.75" hidden="1" x14ac:dyDescent="0.25">
      <c r="A336" s="48" t="s">
        <v>1492</v>
      </c>
      <c r="B336" s="74">
        <v>45831</v>
      </c>
      <c r="C336" s="48" t="s">
        <v>441</v>
      </c>
      <c r="D336" s="48" t="s">
        <v>20</v>
      </c>
      <c r="E336" s="48" t="s">
        <v>419</v>
      </c>
      <c r="F336" s="48" t="s">
        <v>22</v>
      </c>
      <c r="G336" s="48" t="s">
        <v>24</v>
      </c>
      <c r="H336" s="48" t="s">
        <v>407</v>
      </c>
      <c r="I336" s="48" t="s">
        <v>26</v>
      </c>
      <c r="J336" s="48">
        <v>1020100</v>
      </c>
      <c r="K336" s="50">
        <v>80000</v>
      </c>
      <c r="L336" s="50">
        <v>1</v>
      </c>
      <c r="M336" s="50">
        <v>80000</v>
      </c>
      <c r="N336" s="50">
        <v>80000</v>
      </c>
      <c r="O336" s="50">
        <v>0</v>
      </c>
      <c r="P336" s="50">
        <v>0</v>
      </c>
      <c r="Q336" s="87">
        <v>0</v>
      </c>
      <c r="R336" s="152">
        <v>0</v>
      </c>
      <c r="S336" s="174"/>
      <c r="T336" s="74">
        <v>45900</v>
      </c>
      <c r="U336" s="74">
        <v>45900</v>
      </c>
      <c r="V336" s="48"/>
      <c r="W336" s="48"/>
      <c r="X336" s="48"/>
      <c r="Y336" s="48">
        <v>0</v>
      </c>
      <c r="Z336" s="48"/>
      <c r="AA336" s="48" t="s">
        <v>21</v>
      </c>
      <c r="AB336" s="48" t="s">
        <v>27</v>
      </c>
      <c r="AC336" s="48" t="s">
        <v>621</v>
      </c>
      <c r="AD336" s="89" t="s">
        <v>845</v>
      </c>
    </row>
    <row r="337" spans="1:30" ht="15.75" hidden="1" x14ac:dyDescent="0.25">
      <c r="A337" s="48" t="s">
        <v>1680</v>
      </c>
      <c r="B337" s="74">
        <v>45872</v>
      </c>
      <c r="C337" s="48" t="s">
        <v>441</v>
      </c>
      <c r="D337" s="48" t="s">
        <v>20</v>
      </c>
      <c r="E337" s="48" t="s">
        <v>1595</v>
      </c>
      <c r="F337" s="48" t="s">
        <v>22</v>
      </c>
      <c r="G337" s="48" t="s">
        <v>24</v>
      </c>
      <c r="H337" s="48" t="s">
        <v>22</v>
      </c>
      <c r="I337" s="48" t="s">
        <v>26</v>
      </c>
      <c r="J337" s="48">
        <v>1020055</v>
      </c>
      <c r="K337" s="50">
        <v>200000</v>
      </c>
      <c r="L337" s="50">
        <v>1</v>
      </c>
      <c r="M337" s="50">
        <v>200000</v>
      </c>
      <c r="N337" s="50">
        <v>200000</v>
      </c>
      <c r="O337" s="50">
        <v>0</v>
      </c>
      <c r="P337" s="50">
        <v>0</v>
      </c>
      <c r="Q337" s="87">
        <v>0</v>
      </c>
      <c r="R337" s="152">
        <v>0</v>
      </c>
      <c r="S337" s="174"/>
      <c r="T337" s="74">
        <v>45961</v>
      </c>
      <c r="U337" s="74">
        <v>45961</v>
      </c>
      <c r="V337" s="48"/>
      <c r="W337" s="48"/>
      <c r="X337" s="48"/>
      <c r="Y337" s="48">
        <v>0</v>
      </c>
      <c r="Z337" s="48"/>
      <c r="AA337" s="48" t="s">
        <v>21</v>
      </c>
      <c r="AB337" s="48" t="s">
        <v>27</v>
      </c>
      <c r="AC337" s="48" t="s">
        <v>621</v>
      </c>
      <c r="AD337" s="89" t="s">
        <v>845</v>
      </c>
    </row>
    <row r="338" spans="1:30" ht="15.75" hidden="1" x14ac:dyDescent="0.25">
      <c r="A338" s="48" t="s">
        <v>3784</v>
      </c>
      <c r="B338" s="74">
        <v>46042</v>
      </c>
      <c r="C338" s="48" t="s">
        <v>1259</v>
      </c>
      <c r="D338" s="48" t="s">
        <v>20</v>
      </c>
      <c r="E338" s="48" t="s">
        <v>3717</v>
      </c>
      <c r="F338" s="48" t="s">
        <v>96</v>
      </c>
      <c r="G338" s="48" t="s">
        <v>1791</v>
      </c>
      <c r="H338" s="48" t="s">
        <v>328</v>
      </c>
      <c r="I338" s="48" t="s">
        <v>26</v>
      </c>
      <c r="J338" s="48">
        <v>1020097</v>
      </c>
      <c r="K338" s="50">
        <v>500000</v>
      </c>
      <c r="L338" s="50">
        <v>1</v>
      </c>
      <c r="M338" s="50">
        <v>500000</v>
      </c>
      <c r="N338" s="50">
        <v>0</v>
      </c>
      <c r="O338" s="50">
        <v>500000</v>
      </c>
      <c r="P338" s="50">
        <v>0</v>
      </c>
      <c r="Q338" s="87">
        <v>500000</v>
      </c>
      <c r="R338" s="152">
        <v>0</v>
      </c>
      <c r="S338" s="174"/>
      <c r="T338" s="74">
        <v>46127</v>
      </c>
      <c r="U338" s="74">
        <v>46096</v>
      </c>
      <c r="V338" s="48"/>
      <c r="W338" s="48"/>
      <c r="X338" s="48"/>
      <c r="Y338" s="48">
        <v>0</v>
      </c>
      <c r="Z338" s="48"/>
      <c r="AA338" s="48" t="s">
        <v>95</v>
      </c>
      <c r="AB338" s="48" t="s">
        <v>27</v>
      </c>
      <c r="AC338" s="48" t="s">
        <v>3729</v>
      </c>
      <c r="AD338" s="89" t="s">
        <v>845</v>
      </c>
    </row>
    <row r="339" spans="1:30" ht="15.75" hidden="1" x14ac:dyDescent="0.25">
      <c r="A339" s="48" t="s">
        <v>460</v>
      </c>
      <c r="B339" s="74">
        <v>45609</v>
      </c>
      <c r="C339" s="48" t="s">
        <v>441</v>
      </c>
      <c r="D339" s="48" t="s">
        <v>20</v>
      </c>
      <c r="E339" s="48" t="s">
        <v>1541</v>
      </c>
      <c r="F339" s="48" t="s">
        <v>63</v>
      </c>
      <c r="G339" s="48" t="s">
        <v>72</v>
      </c>
      <c r="H339" s="48" t="s">
        <v>22</v>
      </c>
      <c r="I339" s="48" t="s">
        <v>26</v>
      </c>
      <c r="J339" s="48">
        <v>1020055</v>
      </c>
      <c r="K339" s="50">
        <v>18000000</v>
      </c>
      <c r="L339" s="50">
        <v>1</v>
      </c>
      <c r="M339" s="50">
        <v>18000000</v>
      </c>
      <c r="N339" s="50">
        <v>7904811.6600000001</v>
      </c>
      <c r="O339" s="50">
        <v>10095188.34</v>
      </c>
      <c r="P339" s="50">
        <v>0</v>
      </c>
      <c r="Q339" s="87">
        <v>10095188.34</v>
      </c>
      <c r="R339" s="152">
        <v>0</v>
      </c>
      <c r="S339" s="174"/>
      <c r="T339" s="74">
        <v>45808</v>
      </c>
      <c r="U339" s="74">
        <v>45781</v>
      </c>
      <c r="V339" s="48"/>
      <c r="W339" s="48"/>
      <c r="X339" s="48"/>
      <c r="Y339" s="48">
        <v>0</v>
      </c>
      <c r="Z339" s="48"/>
      <c r="AA339" s="48" t="s">
        <v>373</v>
      </c>
      <c r="AB339" s="48" t="s">
        <v>27</v>
      </c>
      <c r="AC339" s="48" t="s">
        <v>461</v>
      </c>
      <c r="AD339" s="89" t="s">
        <v>845</v>
      </c>
    </row>
    <row r="340" spans="1:30" ht="15.75" hidden="1" x14ac:dyDescent="0.25">
      <c r="A340" s="48" t="s">
        <v>1555</v>
      </c>
      <c r="B340" s="74">
        <v>45854</v>
      </c>
      <c r="C340" s="48" t="s">
        <v>441</v>
      </c>
      <c r="D340" s="48" t="s">
        <v>20</v>
      </c>
      <c r="E340" s="48" t="s">
        <v>1541</v>
      </c>
      <c r="F340" s="48" t="s">
        <v>22</v>
      </c>
      <c r="G340" s="48" t="s">
        <v>72</v>
      </c>
      <c r="H340" s="48" t="s">
        <v>22</v>
      </c>
      <c r="I340" s="48" t="s">
        <v>26</v>
      </c>
      <c r="J340" s="48">
        <v>1020055</v>
      </c>
      <c r="K340" s="50">
        <v>10095188.34</v>
      </c>
      <c r="L340" s="50">
        <v>1</v>
      </c>
      <c r="M340" s="50">
        <v>10095188.34</v>
      </c>
      <c r="N340" s="50">
        <v>10095188.34</v>
      </c>
      <c r="O340" s="50">
        <v>0</v>
      </c>
      <c r="P340" s="50">
        <v>0</v>
      </c>
      <c r="Q340" s="87">
        <v>0</v>
      </c>
      <c r="R340" s="152">
        <v>0</v>
      </c>
      <c r="S340" s="312"/>
      <c r="T340" s="74">
        <v>45900</v>
      </c>
      <c r="U340" s="74">
        <v>45900</v>
      </c>
      <c r="V340" s="48"/>
      <c r="W340" s="48"/>
      <c r="X340" s="48"/>
      <c r="Y340" s="48">
        <v>0</v>
      </c>
      <c r="Z340" s="48"/>
      <c r="AA340" s="48" t="s">
        <v>21</v>
      </c>
      <c r="AB340" s="48" t="s">
        <v>27</v>
      </c>
      <c r="AC340" s="48" t="s">
        <v>461</v>
      </c>
      <c r="AD340" s="89" t="s">
        <v>845</v>
      </c>
    </row>
    <row r="341" spans="1:30" ht="15.75" hidden="1" x14ac:dyDescent="0.25">
      <c r="A341" s="48" t="s">
        <v>3144</v>
      </c>
      <c r="B341" s="74">
        <v>46009</v>
      </c>
      <c r="C341" s="48" t="s">
        <v>4619</v>
      </c>
      <c r="D341" s="48" t="s">
        <v>20</v>
      </c>
      <c r="E341" s="48" t="s">
        <v>1541</v>
      </c>
      <c r="F341" s="48" t="s">
        <v>22</v>
      </c>
      <c r="G341" s="48" t="s">
        <v>72</v>
      </c>
      <c r="H341" s="48" t="s">
        <v>22</v>
      </c>
      <c r="I341" s="48" t="s">
        <v>26</v>
      </c>
      <c r="J341" s="48">
        <v>1020055</v>
      </c>
      <c r="K341" s="50">
        <v>30000000</v>
      </c>
      <c r="L341" s="50">
        <v>1</v>
      </c>
      <c r="M341" s="50">
        <v>30000000</v>
      </c>
      <c r="N341" s="50">
        <v>11768747.039999999</v>
      </c>
      <c r="O341" s="50">
        <v>18231252.960000001</v>
      </c>
      <c r="P341" s="50">
        <v>0</v>
      </c>
      <c r="Q341" s="87">
        <v>18231252.960000001</v>
      </c>
      <c r="R341" s="152">
        <v>0</v>
      </c>
      <c r="S341" s="174"/>
      <c r="T341" s="74">
        <v>46081</v>
      </c>
      <c r="U341" s="74">
        <v>46081</v>
      </c>
      <c r="V341" s="48"/>
      <c r="W341" s="48"/>
      <c r="X341" s="48"/>
      <c r="Y341" s="48">
        <v>0</v>
      </c>
      <c r="Z341" s="48"/>
      <c r="AA341" s="48" t="s">
        <v>21</v>
      </c>
      <c r="AB341" s="48" t="s">
        <v>27</v>
      </c>
      <c r="AC341" s="48" t="s">
        <v>311</v>
      </c>
      <c r="AD341" s="89" t="s">
        <v>845</v>
      </c>
    </row>
    <row r="342" spans="1:30" ht="15.75" hidden="1" x14ac:dyDescent="0.25">
      <c r="A342" s="48" t="s">
        <v>4630</v>
      </c>
      <c r="B342" s="74">
        <v>46121</v>
      </c>
      <c r="C342" s="48" t="s">
        <v>4619</v>
      </c>
      <c r="D342" s="48" t="s">
        <v>20</v>
      </c>
      <c r="E342" s="48" t="s">
        <v>1541</v>
      </c>
      <c r="F342" s="48" t="s">
        <v>22</v>
      </c>
      <c r="G342" s="48" t="s">
        <v>72</v>
      </c>
      <c r="H342" s="48" t="s">
        <v>22</v>
      </c>
      <c r="I342" s="48" t="s">
        <v>26</v>
      </c>
      <c r="J342" s="48">
        <v>1020055</v>
      </c>
      <c r="K342" s="50">
        <v>20000000</v>
      </c>
      <c r="L342" s="50">
        <v>1</v>
      </c>
      <c r="M342" s="50">
        <v>20000000</v>
      </c>
      <c r="N342" s="50">
        <v>0</v>
      </c>
      <c r="O342" s="50">
        <v>20000000</v>
      </c>
      <c r="P342" s="50">
        <v>8237108.9800000004</v>
      </c>
      <c r="Q342" s="87">
        <v>11762891.02</v>
      </c>
      <c r="R342" s="152">
        <v>0</v>
      </c>
      <c r="S342" s="174" t="s">
        <v>5583</v>
      </c>
      <c r="T342" s="74">
        <v>46326</v>
      </c>
      <c r="U342" s="74">
        <v>46326</v>
      </c>
      <c r="V342" s="48"/>
      <c r="W342" s="48"/>
      <c r="X342" s="48"/>
      <c r="Y342" s="48">
        <v>0</v>
      </c>
      <c r="Z342" s="48"/>
      <c r="AA342" s="48" t="s">
        <v>21</v>
      </c>
      <c r="AB342" s="48" t="s">
        <v>27</v>
      </c>
      <c r="AC342" s="48" t="s">
        <v>311</v>
      </c>
      <c r="AD342" s="89" t="s">
        <v>1026</v>
      </c>
    </row>
    <row r="343" spans="1:30" ht="15.75" hidden="1" x14ac:dyDescent="0.25">
      <c r="A343" s="48" t="s">
        <v>44</v>
      </c>
      <c r="B343" s="74">
        <v>45245</v>
      </c>
      <c r="C343" s="48" t="s">
        <v>441</v>
      </c>
      <c r="D343" s="48" t="s">
        <v>20</v>
      </c>
      <c r="E343" s="48" t="s">
        <v>45</v>
      </c>
      <c r="F343" s="48" t="s">
        <v>22</v>
      </c>
      <c r="G343" s="48" t="s">
        <v>24</v>
      </c>
      <c r="H343" s="48" t="s">
        <v>22</v>
      </c>
      <c r="I343" s="48" t="s">
        <v>26</v>
      </c>
      <c r="J343" s="48">
        <v>1020055</v>
      </c>
      <c r="K343" s="50">
        <v>2000000</v>
      </c>
      <c r="L343" s="50">
        <v>1</v>
      </c>
      <c r="M343" s="50">
        <v>2000000</v>
      </c>
      <c r="N343" s="50">
        <v>1951487.53</v>
      </c>
      <c r="O343" s="50">
        <v>48512.47</v>
      </c>
      <c r="P343" s="50">
        <v>0</v>
      </c>
      <c r="Q343" s="87">
        <v>48512.47</v>
      </c>
      <c r="R343" s="152">
        <v>0</v>
      </c>
      <c r="S343" s="174"/>
      <c r="T343" s="74">
        <v>45474</v>
      </c>
      <c r="U343" s="74">
        <v>45474</v>
      </c>
      <c r="V343" s="48"/>
      <c r="W343" s="48"/>
      <c r="X343" s="48"/>
      <c r="Y343" s="48">
        <v>0</v>
      </c>
      <c r="Z343" s="48"/>
      <c r="AA343" s="48" t="s">
        <v>21</v>
      </c>
      <c r="AB343" s="48" t="s">
        <v>27</v>
      </c>
      <c r="AC343" s="48" t="s">
        <v>35</v>
      </c>
      <c r="AD343" s="89" t="s">
        <v>845</v>
      </c>
    </row>
    <row r="344" spans="1:30" ht="15.75" hidden="1" x14ac:dyDescent="0.25">
      <c r="A344" s="48" t="s">
        <v>287</v>
      </c>
      <c r="B344" s="74">
        <v>45505</v>
      </c>
      <c r="C344" s="48" t="s">
        <v>441</v>
      </c>
      <c r="D344" s="48" t="s">
        <v>20</v>
      </c>
      <c r="E344" s="48" t="s">
        <v>45</v>
      </c>
      <c r="F344" s="48" t="s">
        <v>22</v>
      </c>
      <c r="G344" s="48" t="s">
        <v>24</v>
      </c>
      <c r="H344" s="48" t="s">
        <v>22</v>
      </c>
      <c r="I344" s="48" t="s">
        <v>26</v>
      </c>
      <c r="J344" s="48">
        <v>1020055</v>
      </c>
      <c r="K344" s="50">
        <v>1000000</v>
      </c>
      <c r="L344" s="50">
        <v>1</v>
      </c>
      <c r="M344" s="50">
        <v>1000000</v>
      </c>
      <c r="N344" s="50">
        <v>1000000</v>
      </c>
      <c r="O344" s="50">
        <v>0</v>
      </c>
      <c r="P344" s="50">
        <v>0</v>
      </c>
      <c r="Q344" s="87">
        <v>0</v>
      </c>
      <c r="R344" s="152">
        <v>0</v>
      </c>
      <c r="S344" s="174"/>
      <c r="T344" s="74">
        <v>45596</v>
      </c>
      <c r="U344" s="74">
        <v>45596</v>
      </c>
      <c r="V344" s="48"/>
      <c r="W344" s="48"/>
      <c r="X344" s="48"/>
      <c r="Y344" s="48">
        <v>0</v>
      </c>
      <c r="Z344" s="48"/>
      <c r="AA344" s="48" t="s">
        <v>21</v>
      </c>
      <c r="AB344" s="48" t="s">
        <v>27</v>
      </c>
      <c r="AC344" s="48"/>
      <c r="AD344" s="89" t="s">
        <v>845</v>
      </c>
    </row>
    <row r="345" spans="1:30" ht="15.75" hidden="1" x14ac:dyDescent="0.25">
      <c r="A345" s="48" t="s">
        <v>594</v>
      </c>
      <c r="B345" s="74">
        <v>45663</v>
      </c>
      <c r="C345" s="48" t="s">
        <v>441</v>
      </c>
      <c r="D345" s="48" t="s">
        <v>20</v>
      </c>
      <c r="E345" s="48" t="s">
        <v>595</v>
      </c>
      <c r="F345" s="48" t="s">
        <v>63</v>
      </c>
      <c r="G345" s="48" t="s">
        <v>24</v>
      </c>
      <c r="H345" s="48" t="s">
        <v>22</v>
      </c>
      <c r="I345" s="48" t="s">
        <v>26</v>
      </c>
      <c r="J345" s="48">
        <v>1020055</v>
      </c>
      <c r="K345" s="50">
        <v>3000000</v>
      </c>
      <c r="L345" s="50">
        <v>1</v>
      </c>
      <c r="M345" s="50">
        <v>3000000</v>
      </c>
      <c r="N345" s="50">
        <v>3000000</v>
      </c>
      <c r="O345" s="50">
        <v>0</v>
      </c>
      <c r="P345" s="50">
        <v>0</v>
      </c>
      <c r="Q345" s="87">
        <v>0</v>
      </c>
      <c r="R345" s="152">
        <v>0</v>
      </c>
      <c r="S345" s="174"/>
      <c r="T345" s="74">
        <v>45747</v>
      </c>
      <c r="U345" s="74">
        <v>45747</v>
      </c>
      <c r="V345" s="48"/>
      <c r="W345" s="48"/>
      <c r="X345" s="48"/>
      <c r="Y345" s="48">
        <v>0</v>
      </c>
      <c r="Z345" s="48"/>
      <c r="AA345" s="48" t="s">
        <v>373</v>
      </c>
      <c r="AB345" s="48" t="s">
        <v>27</v>
      </c>
      <c r="AC345" s="48" t="s">
        <v>311</v>
      </c>
      <c r="AD345" s="89" t="s">
        <v>845</v>
      </c>
    </row>
    <row r="346" spans="1:30" ht="15.75" hidden="1" x14ac:dyDescent="0.25">
      <c r="A346" s="48" t="s">
        <v>1800</v>
      </c>
      <c r="B346" s="74">
        <v>45894</v>
      </c>
      <c r="C346" s="48" t="s">
        <v>1181</v>
      </c>
      <c r="D346" s="48" t="s">
        <v>20</v>
      </c>
      <c r="E346" s="48" t="s">
        <v>1758</v>
      </c>
      <c r="F346" s="48" t="s">
        <v>710</v>
      </c>
      <c r="G346" s="48" t="s">
        <v>1791</v>
      </c>
      <c r="H346" s="48" t="s">
        <v>81</v>
      </c>
      <c r="I346" s="48" t="s">
        <v>26</v>
      </c>
      <c r="J346" s="48">
        <v>1020070</v>
      </c>
      <c r="K346" s="50">
        <v>3000000</v>
      </c>
      <c r="L346" s="50">
        <v>1</v>
      </c>
      <c r="M346" s="50">
        <v>3000000</v>
      </c>
      <c r="N346" s="50">
        <v>3000000</v>
      </c>
      <c r="O346" s="50">
        <v>0</v>
      </c>
      <c r="P346" s="50">
        <v>0</v>
      </c>
      <c r="Q346" s="87">
        <v>0</v>
      </c>
      <c r="R346" s="152">
        <v>0</v>
      </c>
      <c r="S346" s="174"/>
      <c r="T346" s="74">
        <v>45961</v>
      </c>
      <c r="U346" s="74">
        <v>45961</v>
      </c>
      <c r="V346" s="48"/>
      <c r="W346" s="48"/>
      <c r="X346" s="48"/>
      <c r="Y346" s="48">
        <v>0</v>
      </c>
      <c r="Z346" s="48"/>
      <c r="AA346" s="48" t="s">
        <v>366</v>
      </c>
      <c r="AB346" s="48" t="s">
        <v>27</v>
      </c>
      <c r="AC346" s="48" t="s">
        <v>408</v>
      </c>
      <c r="AD346" s="89" t="s">
        <v>845</v>
      </c>
    </row>
    <row r="347" spans="1:30" ht="15.75" hidden="1" x14ac:dyDescent="0.25">
      <c r="A347" s="48" t="s">
        <v>518</v>
      </c>
      <c r="B347" s="74">
        <v>45624</v>
      </c>
      <c r="C347" s="48" t="s">
        <v>441</v>
      </c>
      <c r="D347" s="48" t="s">
        <v>20</v>
      </c>
      <c r="E347" s="48" t="s">
        <v>519</v>
      </c>
      <c r="F347" s="48" t="s">
        <v>22</v>
      </c>
      <c r="G347" s="48" t="s">
        <v>24</v>
      </c>
      <c r="H347" s="48" t="s">
        <v>22</v>
      </c>
      <c r="I347" s="48" t="s">
        <v>26</v>
      </c>
      <c r="J347" s="48">
        <v>1020055</v>
      </c>
      <c r="K347" s="50">
        <v>1000000</v>
      </c>
      <c r="L347" s="50">
        <v>1</v>
      </c>
      <c r="M347" s="50">
        <v>1000000</v>
      </c>
      <c r="N347" s="50">
        <v>1000000</v>
      </c>
      <c r="O347" s="50">
        <v>0</v>
      </c>
      <c r="P347" s="50">
        <v>0</v>
      </c>
      <c r="Q347" s="87">
        <v>0</v>
      </c>
      <c r="R347" s="152">
        <v>0</v>
      </c>
      <c r="S347" s="174"/>
      <c r="T347" s="74">
        <v>45716</v>
      </c>
      <c r="U347" s="74">
        <v>45716</v>
      </c>
      <c r="V347" s="48"/>
      <c r="W347" s="48"/>
      <c r="X347" s="48"/>
      <c r="Y347" s="48">
        <v>0</v>
      </c>
      <c r="Z347" s="48"/>
      <c r="AA347" s="48" t="s">
        <v>21</v>
      </c>
      <c r="AB347" s="48" t="s">
        <v>27</v>
      </c>
      <c r="AC347" s="48" t="s">
        <v>311</v>
      </c>
      <c r="AD347" s="89" t="s">
        <v>845</v>
      </c>
    </row>
    <row r="348" spans="1:30" ht="15.75" hidden="1" x14ac:dyDescent="0.25">
      <c r="A348" s="48" t="s">
        <v>354</v>
      </c>
      <c r="B348" s="74">
        <v>45533</v>
      </c>
      <c r="C348" s="48" t="s">
        <v>441</v>
      </c>
      <c r="D348" s="48" t="s">
        <v>20</v>
      </c>
      <c r="E348" s="48" t="s">
        <v>355</v>
      </c>
      <c r="F348" s="48" t="s">
        <v>96</v>
      </c>
      <c r="G348" s="48" t="s">
        <v>24</v>
      </c>
      <c r="H348" s="48" t="s">
        <v>22</v>
      </c>
      <c r="I348" s="48" t="s">
        <v>26</v>
      </c>
      <c r="J348" s="48">
        <v>1020055</v>
      </c>
      <c r="K348" s="50">
        <v>1000000</v>
      </c>
      <c r="L348" s="50">
        <v>1</v>
      </c>
      <c r="M348" s="50">
        <v>1000000</v>
      </c>
      <c r="N348" s="50">
        <v>1000000</v>
      </c>
      <c r="O348" s="50">
        <v>0</v>
      </c>
      <c r="P348" s="50">
        <v>0</v>
      </c>
      <c r="Q348" s="87">
        <v>0</v>
      </c>
      <c r="R348" s="152">
        <v>0</v>
      </c>
      <c r="S348" s="174"/>
      <c r="T348" s="74">
        <v>45626</v>
      </c>
      <c r="U348" s="74">
        <v>45626</v>
      </c>
      <c r="V348" s="48"/>
      <c r="W348" s="48"/>
      <c r="X348" s="48"/>
      <c r="Y348" s="48">
        <v>0</v>
      </c>
      <c r="Z348" s="48"/>
      <c r="AA348" s="48" t="s">
        <v>95</v>
      </c>
      <c r="AB348" s="48" t="s">
        <v>27</v>
      </c>
      <c r="AC348" s="48"/>
      <c r="AD348" s="89" t="s">
        <v>845</v>
      </c>
    </row>
    <row r="349" spans="1:30" ht="15.75" hidden="1" x14ac:dyDescent="0.25">
      <c r="A349" s="48" t="s">
        <v>383</v>
      </c>
      <c r="B349" s="74">
        <v>45551</v>
      </c>
      <c r="C349" s="48" t="s">
        <v>441</v>
      </c>
      <c r="D349" s="48" t="s">
        <v>20</v>
      </c>
      <c r="E349" s="48" t="s">
        <v>355</v>
      </c>
      <c r="F349" s="48" t="s">
        <v>96</v>
      </c>
      <c r="G349" s="48" t="s">
        <v>24</v>
      </c>
      <c r="H349" s="48" t="s">
        <v>22</v>
      </c>
      <c r="I349" s="48" t="s">
        <v>26</v>
      </c>
      <c r="J349" s="48">
        <v>1020055</v>
      </c>
      <c r="K349" s="50">
        <v>2000000</v>
      </c>
      <c r="L349" s="50">
        <v>1</v>
      </c>
      <c r="M349" s="50">
        <v>2000000</v>
      </c>
      <c r="N349" s="50">
        <v>2000000</v>
      </c>
      <c r="O349" s="50">
        <v>0</v>
      </c>
      <c r="P349" s="50">
        <v>0</v>
      </c>
      <c r="Q349" s="87">
        <v>0</v>
      </c>
      <c r="R349" s="152">
        <v>0</v>
      </c>
      <c r="S349" s="174"/>
      <c r="T349" s="74">
        <v>45626</v>
      </c>
      <c r="U349" s="74">
        <v>45600</v>
      </c>
      <c r="V349" s="48"/>
      <c r="W349" s="48"/>
      <c r="X349" s="48"/>
      <c r="Y349" s="48">
        <v>0</v>
      </c>
      <c r="Z349" s="48"/>
      <c r="AA349" s="48" t="s">
        <v>95</v>
      </c>
      <c r="AB349" s="48" t="s">
        <v>27</v>
      </c>
      <c r="AC349" s="48" t="s">
        <v>311</v>
      </c>
      <c r="AD349" s="89" t="s">
        <v>845</v>
      </c>
    </row>
    <row r="350" spans="1:30" ht="15.75" hidden="1" x14ac:dyDescent="0.25">
      <c r="A350" s="48" t="s">
        <v>630</v>
      </c>
      <c r="B350" s="74">
        <v>45694</v>
      </c>
      <c r="C350" s="48" t="s">
        <v>441</v>
      </c>
      <c r="D350" s="48" t="s">
        <v>20</v>
      </c>
      <c r="E350" s="48" t="s">
        <v>519</v>
      </c>
      <c r="F350" s="48" t="s">
        <v>96</v>
      </c>
      <c r="G350" s="48" t="s">
        <v>24</v>
      </c>
      <c r="H350" s="48" t="s">
        <v>22</v>
      </c>
      <c r="I350" s="48" t="s">
        <v>26</v>
      </c>
      <c r="J350" s="48">
        <v>1020055</v>
      </c>
      <c r="K350" s="50">
        <v>3000000</v>
      </c>
      <c r="L350" s="50">
        <v>1</v>
      </c>
      <c r="M350" s="50">
        <v>3000000</v>
      </c>
      <c r="N350" s="50">
        <v>3000000</v>
      </c>
      <c r="O350" s="50">
        <v>0</v>
      </c>
      <c r="P350" s="50">
        <v>0</v>
      </c>
      <c r="Q350" s="87">
        <v>0</v>
      </c>
      <c r="R350" s="152">
        <v>0</v>
      </c>
      <c r="S350" s="174"/>
      <c r="T350" s="74">
        <v>45777</v>
      </c>
      <c r="U350" s="74">
        <v>45777</v>
      </c>
      <c r="V350" s="48"/>
      <c r="W350" s="48"/>
      <c r="X350" s="48"/>
      <c r="Y350" s="48">
        <v>0</v>
      </c>
      <c r="Z350" s="48"/>
      <c r="AA350" s="48" t="s">
        <v>95</v>
      </c>
      <c r="AB350" s="48" t="s">
        <v>27</v>
      </c>
      <c r="AC350" s="48" t="s">
        <v>311</v>
      </c>
      <c r="AD350" s="89" t="s">
        <v>845</v>
      </c>
    </row>
    <row r="351" spans="1:30" ht="15.75" hidden="1" x14ac:dyDescent="0.25">
      <c r="A351" s="48" t="s">
        <v>1422</v>
      </c>
      <c r="B351" s="74">
        <v>45809</v>
      </c>
      <c r="C351" s="48" t="s">
        <v>441</v>
      </c>
      <c r="D351" s="48" t="s">
        <v>20</v>
      </c>
      <c r="E351" s="48" t="s">
        <v>355</v>
      </c>
      <c r="F351" s="48" t="s">
        <v>96</v>
      </c>
      <c r="G351" s="48" t="s">
        <v>24</v>
      </c>
      <c r="H351" s="48" t="s">
        <v>22</v>
      </c>
      <c r="I351" s="48" t="s">
        <v>26</v>
      </c>
      <c r="J351" s="48">
        <v>1020055</v>
      </c>
      <c r="K351" s="50">
        <v>2000000</v>
      </c>
      <c r="L351" s="50">
        <v>1</v>
      </c>
      <c r="M351" s="50">
        <v>2000000</v>
      </c>
      <c r="N351" s="50">
        <v>2000000</v>
      </c>
      <c r="O351" s="50">
        <v>0</v>
      </c>
      <c r="P351" s="50">
        <v>0</v>
      </c>
      <c r="Q351" s="87">
        <v>0</v>
      </c>
      <c r="R351" s="152">
        <v>0</v>
      </c>
      <c r="S351" s="174"/>
      <c r="T351" s="74">
        <v>45900</v>
      </c>
      <c r="U351" s="74">
        <v>45900</v>
      </c>
      <c r="V351" s="48"/>
      <c r="W351" s="48"/>
      <c r="X351" s="48"/>
      <c r="Y351" s="48">
        <v>0</v>
      </c>
      <c r="Z351" s="48"/>
      <c r="AA351" s="48" t="s">
        <v>95</v>
      </c>
      <c r="AB351" s="48" t="s">
        <v>27</v>
      </c>
      <c r="AC351" s="48" t="s">
        <v>621</v>
      </c>
      <c r="AD351" s="89" t="s">
        <v>845</v>
      </c>
    </row>
    <row r="352" spans="1:30" ht="15.75" hidden="1" x14ac:dyDescent="0.25">
      <c r="A352" s="48" t="s">
        <v>2917</v>
      </c>
      <c r="B352" s="74">
        <v>45994</v>
      </c>
      <c r="C352" s="48" t="s">
        <v>441</v>
      </c>
      <c r="D352" s="48" t="s">
        <v>20</v>
      </c>
      <c r="E352" s="48" t="s">
        <v>519</v>
      </c>
      <c r="F352" s="48" t="s">
        <v>22</v>
      </c>
      <c r="G352" s="48" t="s">
        <v>24</v>
      </c>
      <c r="H352" s="48" t="s">
        <v>22</v>
      </c>
      <c r="I352" s="48" t="s">
        <v>26</v>
      </c>
      <c r="J352" s="48">
        <v>1020055</v>
      </c>
      <c r="K352" s="50">
        <v>4000000</v>
      </c>
      <c r="L352" s="50">
        <v>1</v>
      </c>
      <c r="M352" s="50">
        <v>4000000</v>
      </c>
      <c r="N352" s="50">
        <v>4000000</v>
      </c>
      <c r="O352" s="50">
        <v>0</v>
      </c>
      <c r="P352" s="50">
        <v>0</v>
      </c>
      <c r="Q352" s="87">
        <v>0</v>
      </c>
      <c r="R352" s="152">
        <v>0</v>
      </c>
      <c r="S352" s="174"/>
      <c r="T352" s="74">
        <v>46081</v>
      </c>
      <c r="U352" s="74">
        <v>46081</v>
      </c>
      <c r="V352" s="48"/>
      <c r="W352" s="48"/>
      <c r="X352" s="48"/>
      <c r="Y352" s="48">
        <v>0</v>
      </c>
      <c r="Z352" s="48"/>
      <c r="AA352" s="48" t="s">
        <v>21</v>
      </c>
      <c r="AB352" s="48" t="s">
        <v>27</v>
      </c>
      <c r="AC352" s="48" t="s">
        <v>311</v>
      </c>
      <c r="AD352" s="89" t="s">
        <v>845</v>
      </c>
    </row>
    <row r="353" spans="1:30" ht="15.75" hidden="1" x14ac:dyDescent="0.25">
      <c r="A353" s="48" t="s">
        <v>792</v>
      </c>
      <c r="B353" s="74">
        <v>45739</v>
      </c>
      <c r="C353" s="48" t="s">
        <v>441</v>
      </c>
      <c r="D353" s="48" t="s">
        <v>20</v>
      </c>
      <c r="E353" s="48" t="s">
        <v>437</v>
      </c>
      <c r="F353" s="48" t="s">
        <v>22</v>
      </c>
      <c r="G353" s="48" t="s">
        <v>24</v>
      </c>
      <c r="H353" s="48" t="s">
        <v>22</v>
      </c>
      <c r="I353" s="48" t="s">
        <v>26</v>
      </c>
      <c r="J353" s="48">
        <v>1020055</v>
      </c>
      <c r="K353" s="50">
        <v>3000000</v>
      </c>
      <c r="L353" s="50">
        <v>1</v>
      </c>
      <c r="M353" s="50">
        <v>3000000</v>
      </c>
      <c r="N353" s="50">
        <v>3000000</v>
      </c>
      <c r="O353" s="50">
        <v>0</v>
      </c>
      <c r="P353" s="50">
        <v>0</v>
      </c>
      <c r="Q353" s="87">
        <v>0</v>
      </c>
      <c r="R353" s="152">
        <v>0</v>
      </c>
      <c r="S353" s="174"/>
      <c r="T353" s="74">
        <v>45838</v>
      </c>
      <c r="U353" s="74">
        <v>45838</v>
      </c>
      <c r="V353" s="48"/>
      <c r="W353" s="48"/>
      <c r="X353" s="48"/>
      <c r="Y353" s="48">
        <v>0</v>
      </c>
      <c r="Z353" s="48"/>
      <c r="AA353" s="48" t="s">
        <v>21</v>
      </c>
      <c r="AB353" s="48" t="s">
        <v>27</v>
      </c>
      <c r="AC353" s="48" t="s">
        <v>311</v>
      </c>
      <c r="AD353" s="89" t="s">
        <v>845</v>
      </c>
    </row>
    <row r="354" spans="1:30" ht="15.75" hidden="1" x14ac:dyDescent="0.25">
      <c r="A354" s="48" t="s">
        <v>436</v>
      </c>
      <c r="B354" s="74">
        <v>45588</v>
      </c>
      <c r="C354" s="48" t="s">
        <v>441</v>
      </c>
      <c r="D354" s="48" t="s">
        <v>20</v>
      </c>
      <c r="E354" s="48" t="s">
        <v>437</v>
      </c>
      <c r="F354" s="48" t="s">
        <v>96</v>
      </c>
      <c r="G354" s="48" t="s">
        <v>24</v>
      </c>
      <c r="H354" s="48" t="s">
        <v>22</v>
      </c>
      <c r="I354" s="48" t="s">
        <v>26</v>
      </c>
      <c r="J354" s="48">
        <v>1020055</v>
      </c>
      <c r="K354" s="50">
        <v>1000000</v>
      </c>
      <c r="L354" s="50">
        <v>1</v>
      </c>
      <c r="M354" s="50">
        <v>1000000</v>
      </c>
      <c r="N354" s="50">
        <v>1000000</v>
      </c>
      <c r="O354" s="50">
        <v>0</v>
      </c>
      <c r="P354" s="50">
        <v>0</v>
      </c>
      <c r="Q354" s="87">
        <v>0</v>
      </c>
      <c r="R354" s="152">
        <v>0</v>
      </c>
      <c r="S354" s="174"/>
      <c r="T354" s="74">
        <v>45657</v>
      </c>
      <c r="U354" s="74">
        <v>45630</v>
      </c>
      <c r="V354" s="48"/>
      <c r="W354" s="48"/>
      <c r="X354" s="48"/>
      <c r="Y354" s="48">
        <v>0</v>
      </c>
      <c r="Z354" s="48"/>
      <c r="AA354" s="48" t="s">
        <v>95</v>
      </c>
      <c r="AB354" s="48" t="s">
        <v>27</v>
      </c>
      <c r="AC354" s="48" t="s">
        <v>311</v>
      </c>
      <c r="AD354" s="89" t="s">
        <v>845</v>
      </c>
    </row>
    <row r="355" spans="1:30" ht="15.75" hidden="1" x14ac:dyDescent="0.25">
      <c r="A355" s="48" t="s">
        <v>709</v>
      </c>
      <c r="B355" s="74">
        <v>45714</v>
      </c>
      <c r="C355" s="48" t="s">
        <v>441</v>
      </c>
      <c r="D355" s="48" t="s">
        <v>20</v>
      </c>
      <c r="E355" s="48" t="s">
        <v>711</v>
      </c>
      <c r="F355" s="48" t="s">
        <v>710</v>
      </c>
      <c r="G355" s="48" t="s">
        <v>24</v>
      </c>
      <c r="H355" s="48" t="s">
        <v>710</v>
      </c>
      <c r="I355" s="48" t="s">
        <v>26</v>
      </c>
      <c r="J355" s="48">
        <v>1020088</v>
      </c>
      <c r="K355" s="50">
        <v>6322470</v>
      </c>
      <c r="L355" s="50">
        <v>1</v>
      </c>
      <c r="M355" s="50">
        <v>6322470</v>
      </c>
      <c r="N355" s="50">
        <v>6322470</v>
      </c>
      <c r="O355" s="50">
        <v>0</v>
      </c>
      <c r="P355" s="50">
        <v>0</v>
      </c>
      <c r="Q355" s="87">
        <v>0</v>
      </c>
      <c r="R355" s="152">
        <v>0</v>
      </c>
      <c r="S355" s="174"/>
      <c r="T355" s="74">
        <v>45808</v>
      </c>
      <c r="U355" s="74">
        <v>45808</v>
      </c>
      <c r="V355" s="48"/>
      <c r="W355" s="48"/>
      <c r="X355" s="48"/>
      <c r="Y355" s="48">
        <v>0</v>
      </c>
      <c r="Z355" s="48"/>
      <c r="AA355" s="48" t="s">
        <v>366</v>
      </c>
      <c r="AB355" s="48" t="s">
        <v>27</v>
      </c>
      <c r="AC355" s="48" t="s">
        <v>311</v>
      </c>
      <c r="AD355" s="89" t="s">
        <v>845</v>
      </c>
    </row>
    <row r="356" spans="1:30" ht="15.75" hidden="1" x14ac:dyDescent="0.25">
      <c r="A356" s="48" t="s">
        <v>1750</v>
      </c>
      <c r="B356" s="74">
        <v>45883</v>
      </c>
      <c r="C356" s="48" t="s">
        <v>1727</v>
      </c>
      <c r="D356" s="48" t="s">
        <v>20</v>
      </c>
      <c r="E356" s="48" t="s">
        <v>1713</v>
      </c>
      <c r="F356" s="48" t="s">
        <v>70</v>
      </c>
      <c r="G356" s="48" t="s">
        <v>869</v>
      </c>
      <c r="H356" s="48" t="s">
        <v>1762</v>
      </c>
      <c r="I356" s="48" t="s">
        <v>26</v>
      </c>
      <c r="J356" s="48"/>
      <c r="K356" s="50">
        <v>351509.38</v>
      </c>
      <c r="L356" s="50">
        <v>1</v>
      </c>
      <c r="M356" s="50">
        <v>351509.38</v>
      </c>
      <c r="N356" s="50">
        <v>351509.38</v>
      </c>
      <c r="O356" s="50">
        <v>0</v>
      </c>
      <c r="P356" s="50">
        <v>0</v>
      </c>
      <c r="Q356" s="87">
        <v>0</v>
      </c>
      <c r="R356" s="152">
        <v>0</v>
      </c>
      <c r="S356" s="174"/>
      <c r="T356" s="74">
        <v>45930</v>
      </c>
      <c r="U356" s="74">
        <v>45915</v>
      </c>
      <c r="V356" s="48"/>
      <c r="W356" s="48"/>
      <c r="X356" s="48"/>
      <c r="Y356" s="48"/>
      <c r="Z356" s="48"/>
      <c r="AA356" s="48" t="s">
        <v>62</v>
      </c>
      <c r="AB356" s="48" t="s">
        <v>70</v>
      </c>
      <c r="AC356" s="48" t="s">
        <v>208</v>
      </c>
      <c r="AD356" s="89" t="s">
        <v>845</v>
      </c>
    </row>
    <row r="357" spans="1:30" ht="15.75" hidden="1" x14ac:dyDescent="0.25">
      <c r="A357" s="48" t="s">
        <v>1809</v>
      </c>
      <c r="B357" s="74">
        <v>45895</v>
      </c>
      <c r="C357" s="48" t="s">
        <v>441</v>
      </c>
      <c r="D357" s="48" t="s">
        <v>20</v>
      </c>
      <c r="E357" s="48" t="s">
        <v>1699</v>
      </c>
      <c r="F357" s="48" t="s">
        <v>613</v>
      </c>
      <c r="G357" s="48" t="s">
        <v>24</v>
      </c>
      <c r="H357" s="48" t="s">
        <v>613</v>
      </c>
      <c r="I357" s="48" t="s">
        <v>26</v>
      </c>
      <c r="J357" s="48">
        <v>1020106</v>
      </c>
      <c r="K357" s="50">
        <v>70863</v>
      </c>
      <c r="L357" s="50">
        <v>1</v>
      </c>
      <c r="M357" s="50">
        <v>70863</v>
      </c>
      <c r="N357" s="50">
        <v>70863</v>
      </c>
      <c r="O357" s="50">
        <v>0</v>
      </c>
      <c r="P357" s="50">
        <v>0</v>
      </c>
      <c r="Q357" s="87">
        <v>0</v>
      </c>
      <c r="R357" s="152">
        <v>0</v>
      </c>
      <c r="S357" s="174"/>
      <c r="T357" s="74">
        <v>45991</v>
      </c>
      <c r="U357" s="74">
        <v>45991</v>
      </c>
      <c r="V357" s="48"/>
      <c r="W357" s="48"/>
      <c r="X357" s="48"/>
      <c r="Y357" s="48">
        <v>0</v>
      </c>
      <c r="Z357" s="48"/>
      <c r="AA357" s="48" t="s">
        <v>612</v>
      </c>
      <c r="AB357" s="48" t="s">
        <v>27</v>
      </c>
      <c r="AC357" s="48" t="s">
        <v>311</v>
      </c>
      <c r="AD357" s="89" t="s">
        <v>845</v>
      </c>
    </row>
    <row r="358" spans="1:30" ht="15.75" hidden="1" x14ac:dyDescent="0.25">
      <c r="A358" s="48" t="s">
        <v>1560</v>
      </c>
      <c r="B358" s="74">
        <v>45855</v>
      </c>
      <c r="C358" s="48" t="s">
        <v>441</v>
      </c>
      <c r="D358" s="48" t="s">
        <v>20</v>
      </c>
      <c r="E358" s="48" t="s">
        <v>1548</v>
      </c>
      <c r="F358" s="48" t="s">
        <v>613</v>
      </c>
      <c r="G358" s="48" t="s">
        <v>24</v>
      </c>
      <c r="H358" s="48" t="s">
        <v>613</v>
      </c>
      <c r="I358" s="48" t="s">
        <v>26</v>
      </c>
      <c r="J358" s="48">
        <v>1020106</v>
      </c>
      <c r="K358" s="50">
        <v>101623.2</v>
      </c>
      <c r="L358" s="50">
        <v>1</v>
      </c>
      <c r="M358" s="50">
        <v>101623.2</v>
      </c>
      <c r="N358" s="50">
        <v>0</v>
      </c>
      <c r="O358" s="50">
        <v>101623.2</v>
      </c>
      <c r="P358" s="50">
        <v>0</v>
      </c>
      <c r="Q358" s="87">
        <v>101623.2</v>
      </c>
      <c r="R358" s="152">
        <v>0</v>
      </c>
      <c r="S358" s="174"/>
      <c r="T358" s="74">
        <v>46203</v>
      </c>
      <c r="U358" s="74">
        <v>46203</v>
      </c>
      <c r="V358" s="48"/>
      <c r="W358" s="48"/>
      <c r="X358" s="48"/>
      <c r="Y358" s="48">
        <v>0</v>
      </c>
      <c r="Z358" s="48"/>
      <c r="AA358" s="48" t="s">
        <v>612</v>
      </c>
      <c r="AB358" s="48" t="s">
        <v>27</v>
      </c>
      <c r="AC358" s="48" t="s">
        <v>311</v>
      </c>
      <c r="AD358" s="89" t="s">
        <v>1026</v>
      </c>
    </row>
    <row r="359" spans="1:30" ht="15.75" hidden="1" x14ac:dyDescent="0.25">
      <c r="A359" s="48" t="s">
        <v>1397</v>
      </c>
      <c r="B359" s="74">
        <v>45804</v>
      </c>
      <c r="C359" s="48" t="s">
        <v>441</v>
      </c>
      <c r="D359" s="48" t="s">
        <v>20</v>
      </c>
      <c r="E359" s="48" t="s">
        <v>1391</v>
      </c>
      <c r="F359" s="48" t="s">
        <v>613</v>
      </c>
      <c r="G359" s="48" t="s">
        <v>24</v>
      </c>
      <c r="H359" s="48" t="s">
        <v>613</v>
      </c>
      <c r="I359" s="48" t="s">
        <v>26</v>
      </c>
      <c r="J359" s="48">
        <v>1020106</v>
      </c>
      <c r="K359" s="50">
        <v>552155.25</v>
      </c>
      <c r="L359" s="50">
        <v>1</v>
      </c>
      <c r="M359" s="50">
        <v>552155.25</v>
      </c>
      <c r="N359" s="50">
        <v>552155.25</v>
      </c>
      <c r="O359" s="50">
        <v>0</v>
      </c>
      <c r="P359" s="50">
        <v>0</v>
      </c>
      <c r="Q359" s="87">
        <v>0</v>
      </c>
      <c r="R359" s="152">
        <v>0</v>
      </c>
      <c r="S359" s="174"/>
      <c r="T359" s="74">
        <v>45961</v>
      </c>
      <c r="U359" s="74">
        <v>45961</v>
      </c>
      <c r="V359" s="48"/>
      <c r="W359" s="48"/>
      <c r="X359" s="48"/>
      <c r="Y359" s="48">
        <v>0</v>
      </c>
      <c r="Z359" s="48"/>
      <c r="AA359" s="48" t="s">
        <v>612</v>
      </c>
      <c r="AB359" s="48" t="s">
        <v>27</v>
      </c>
      <c r="AC359" s="48" t="s">
        <v>311</v>
      </c>
      <c r="AD359" s="89" t="s">
        <v>845</v>
      </c>
    </row>
    <row r="360" spans="1:30" ht="15.75" hidden="1" x14ac:dyDescent="0.25">
      <c r="A360" s="48" t="s">
        <v>1752</v>
      </c>
      <c r="B360" s="74">
        <v>45883</v>
      </c>
      <c r="C360" s="48" t="s">
        <v>1727</v>
      </c>
      <c r="D360" s="48" t="s">
        <v>20</v>
      </c>
      <c r="E360" s="48" t="s">
        <v>1714</v>
      </c>
      <c r="F360" s="48" t="s">
        <v>70</v>
      </c>
      <c r="G360" s="48" t="s">
        <v>869</v>
      </c>
      <c r="H360" s="48" t="s">
        <v>1762</v>
      </c>
      <c r="I360" s="48" t="s">
        <v>26</v>
      </c>
      <c r="J360" s="48"/>
      <c r="K360" s="50">
        <v>500339.7</v>
      </c>
      <c r="L360" s="50">
        <v>1</v>
      </c>
      <c r="M360" s="50">
        <v>500339.7</v>
      </c>
      <c r="N360" s="50">
        <v>500339.7</v>
      </c>
      <c r="O360" s="50">
        <v>0</v>
      </c>
      <c r="P360" s="50">
        <v>0</v>
      </c>
      <c r="Q360" s="87">
        <v>0</v>
      </c>
      <c r="R360" s="152">
        <v>0</v>
      </c>
      <c r="S360" s="174"/>
      <c r="T360" s="74">
        <v>45930</v>
      </c>
      <c r="U360" s="74">
        <v>45915</v>
      </c>
      <c r="V360" s="48"/>
      <c r="W360" s="48"/>
      <c r="X360" s="48"/>
      <c r="Y360" s="48"/>
      <c r="Z360" s="48"/>
      <c r="AA360" s="48" t="s">
        <v>62</v>
      </c>
      <c r="AB360" s="48" t="s">
        <v>70</v>
      </c>
      <c r="AC360" s="48" t="s">
        <v>208</v>
      </c>
      <c r="AD360" s="89" t="s">
        <v>845</v>
      </c>
    </row>
    <row r="361" spans="1:30" ht="15.75" hidden="1" x14ac:dyDescent="0.25">
      <c r="A361" s="48" t="s">
        <v>167</v>
      </c>
      <c r="B361" s="74">
        <v>45209</v>
      </c>
      <c r="C361" s="48" t="s">
        <v>1181</v>
      </c>
      <c r="D361" s="48" t="s">
        <v>20</v>
      </c>
      <c r="E361" s="48" t="s">
        <v>168</v>
      </c>
      <c r="F361" s="48" t="s">
        <v>22</v>
      </c>
      <c r="G361" s="48" t="s">
        <v>80</v>
      </c>
      <c r="H361" s="48" t="s">
        <v>81</v>
      </c>
      <c r="I361" s="48" t="s">
        <v>26</v>
      </c>
      <c r="J361" s="48">
        <v>1020070</v>
      </c>
      <c r="K361" s="50">
        <v>2500000</v>
      </c>
      <c r="L361" s="50">
        <v>1</v>
      </c>
      <c r="M361" s="50">
        <v>2500000</v>
      </c>
      <c r="N361" s="50">
        <v>2500000</v>
      </c>
      <c r="O361" s="50">
        <v>0</v>
      </c>
      <c r="P361" s="50">
        <v>0</v>
      </c>
      <c r="Q361" s="87">
        <v>0</v>
      </c>
      <c r="R361" s="152">
        <v>0</v>
      </c>
      <c r="S361" s="174"/>
      <c r="T361" s="74">
        <v>45272</v>
      </c>
      <c r="U361" s="74">
        <v>45272</v>
      </c>
      <c r="V361" s="48"/>
      <c r="W361" s="48"/>
      <c r="X361" s="48"/>
      <c r="Y361" s="48">
        <v>0</v>
      </c>
      <c r="Z361" s="48"/>
      <c r="AA361" s="48" t="s">
        <v>21</v>
      </c>
      <c r="AB361" s="48" t="s">
        <v>70</v>
      </c>
      <c r="AC361" s="48"/>
      <c r="AD361" s="89" t="s">
        <v>845</v>
      </c>
    </row>
    <row r="362" spans="1:30" ht="15.75" hidden="1" x14ac:dyDescent="0.25">
      <c r="A362" s="48" t="s">
        <v>54</v>
      </c>
      <c r="B362" s="74">
        <v>45292</v>
      </c>
      <c r="C362" s="48" t="s">
        <v>441</v>
      </c>
      <c r="D362" s="48" t="s">
        <v>20</v>
      </c>
      <c r="E362" s="48" t="s">
        <v>55</v>
      </c>
      <c r="F362" s="48" t="s">
        <v>22</v>
      </c>
      <c r="G362" s="48" t="s">
        <v>24</v>
      </c>
      <c r="H362" s="48" t="s">
        <v>22</v>
      </c>
      <c r="I362" s="48" t="s">
        <v>26</v>
      </c>
      <c r="J362" s="48">
        <v>1020055</v>
      </c>
      <c r="K362" s="50">
        <v>1500000</v>
      </c>
      <c r="L362" s="50">
        <v>1</v>
      </c>
      <c r="M362" s="50">
        <v>1500000</v>
      </c>
      <c r="N362" s="50">
        <v>1500000</v>
      </c>
      <c r="O362" s="50">
        <v>0</v>
      </c>
      <c r="P362" s="50">
        <v>0</v>
      </c>
      <c r="Q362" s="87">
        <v>0</v>
      </c>
      <c r="R362" s="152">
        <v>0</v>
      </c>
      <c r="S362" s="174"/>
      <c r="T362" s="74">
        <v>45442</v>
      </c>
      <c r="U362" s="74">
        <v>45442</v>
      </c>
      <c r="V362" s="48"/>
      <c r="W362" s="48"/>
      <c r="X362" s="48"/>
      <c r="Y362" s="48">
        <v>0</v>
      </c>
      <c r="Z362" s="48"/>
      <c r="AA362" s="48" t="s">
        <v>21</v>
      </c>
      <c r="AB362" s="48" t="s">
        <v>27</v>
      </c>
      <c r="AC362" s="48" t="s">
        <v>28</v>
      </c>
      <c r="AD362" s="89" t="s">
        <v>845</v>
      </c>
    </row>
    <row r="363" spans="1:30" ht="15.75" hidden="1" x14ac:dyDescent="0.25">
      <c r="A363" s="48" t="s">
        <v>432</v>
      </c>
      <c r="B363" s="74">
        <v>45615</v>
      </c>
      <c r="C363" s="48" t="s">
        <v>441</v>
      </c>
      <c r="D363" s="48" t="s">
        <v>20</v>
      </c>
      <c r="E363" s="48" t="s">
        <v>433</v>
      </c>
      <c r="F363" s="48" t="s">
        <v>96</v>
      </c>
      <c r="G363" s="48" t="s">
        <v>24</v>
      </c>
      <c r="H363" s="48" t="s">
        <v>22</v>
      </c>
      <c r="I363" s="48" t="s">
        <v>26</v>
      </c>
      <c r="J363" s="48">
        <v>1020055</v>
      </c>
      <c r="K363" s="50">
        <v>800000</v>
      </c>
      <c r="L363" s="50">
        <v>1</v>
      </c>
      <c r="M363" s="50">
        <v>800000</v>
      </c>
      <c r="N363" s="50">
        <v>800000</v>
      </c>
      <c r="O363" s="50">
        <v>0</v>
      </c>
      <c r="P363" s="50">
        <v>0</v>
      </c>
      <c r="Q363" s="87">
        <v>0</v>
      </c>
      <c r="R363" s="152">
        <v>0</v>
      </c>
      <c r="S363" s="174"/>
      <c r="T363" s="74">
        <v>45716</v>
      </c>
      <c r="U363" s="74">
        <v>45692</v>
      </c>
      <c r="V363" s="48"/>
      <c r="W363" s="48"/>
      <c r="X363" s="48"/>
      <c r="Y363" s="48">
        <v>0</v>
      </c>
      <c r="Z363" s="48"/>
      <c r="AA363" s="48" t="s">
        <v>95</v>
      </c>
      <c r="AB363" s="48" t="s">
        <v>27</v>
      </c>
      <c r="AC363" s="48" t="s">
        <v>311</v>
      </c>
      <c r="AD363" s="89" t="s">
        <v>845</v>
      </c>
    </row>
    <row r="364" spans="1:30" ht="15.75" hidden="1" x14ac:dyDescent="0.25">
      <c r="A364" s="48" t="s">
        <v>1857</v>
      </c>
      <c r="B364" s="74">
        <v>45911</v>
      </c>
      <c r="C364" s="48" t="s">
        <v>1119</v>
      </c>
      <c r="D364" s="48" t="s">
        <v>20</v>
      </c>
      <c r="E364" s="48" t="s">
        <v>1841</v>
      </c>
      <c r="F364" s="48" t="s">
        <v>367</v>
      </c>
      <c r="G364" s="48" t="s">
        <v>24</v>
      </c>
      <c r="H364" s="48" t="s">
        <v>367</v>
      </c>
      <c r="I364" s="48" t="s">
        <v>26</v>
      </c>
      <c r="J364" s="48">
        <v>1020091</v>
      </c>
      <c r="K364" s="50">
        <v>2000000</v>
      </c>
      <c r="L364" s="50">
        <v>1</v>
      </c>
      <c r="M364" s="50">
        <v>2000000</v>
      </c>
      <c r="N364" s="50">
        <v>2000000</v>
      </c>
      <c r="O364" s="50">
        <v>0</v>
      </c>
      <c r="P364" s="50">
        <v>0</v>
      </c>
      <c r="Q364" s="87">
        <v>0</v>
      </c>
      <c r="R364" s="152">
        <v>0</v>
      </c>
      <c r="S364" s="174"/>
      <c r="T364" s="74">
        <v>46022</v>
      </c>
      <c r="U364" s="74">
        <v>46022</v>
      </c>
      <c r="V364" s="48"/>
      <c r="W364" s="48"/>
      <c r="X364" s="48"/>
      <c r="Y364" s="48">
        <v>0</v>
      </c>
      <c r="Z364" s="48"/>
      <c r="AA364" s="48" t="s">
        <v>366</v>
      </c>
      <c r="AB364" s="48" t="s">
        <v>27</v>
      </c>
      <c r="AC364" s="48" t="s">
        <v>1629</v>
      </c>
      <c r="AD364" s="89" t="s">
        <v>845</v>
      </c>
    </row>
    <row r="365" spans="1:30" ht="15.75" hidden="1" x14ac:dyDescent="0.25">
      <c r="A365" s="48" t="s">
        <v>283</v>
      </c>
      <c r="B365" s="74">
        <v>45495</v>
      </c>
      <c r="C365" s="48" t="s">
        <v>441</v>
      </c>
      <c r="D365" s="48" t="s">
        <v>20</v>
      </c>
      <c r="E365" s="48" t="s">
        <v>284</v>
      </c>
      <c r="F365" s="48" t="s">
        <v>22</v>
      </c>
      <c r="G365" s="48" t="s">
        <v>24</v>
      </c>
      <c r="H365" s="48" t="s">
        <v>22</v>
      </c>
      <c r="I365" s="48" t="s">
        <v>26</v>
      </c>
      <c r="J365" s="48">
        <v>1020055</v>
      </c>
      <c r="K365" s="50">
        <v>2920000</v>
      </c>
      <c r="L365" s="50">
        <v>1</v>
      </c>
      <c r="M365" s="50">
        <v>2920000</v>
      </c>
      <c r="N365" s="50">
        <v>2920000</v>
      </c>
      <c r="O365" s="50">
        <v>0</v>
      </c>
      <c r="P365" s="50">
        <v>0</v>
      </c>
      <c r="Q365" s="87">
        <v>0</v>
      </c>
      <c r="R365" s="152">
        <v>0</v>
      </c>
      <c r="S365" s="174"/>
      <c r="T365" s="74">
        <v>45747</v>
      </c>
      <c r="U365" s="74">
        <v>45747</v>
      </c>
      <c r="V365" s="48"/>
      <c r="W365" s="48"/>
      <c r="X365" s="48"/>
      <c r="Y365" s="48">
        <v>0</v>
      </c>
      <c r="Z365" s="48"/>
      <c r="AA365" s="48" t="s">
        <v>21</v>
      </c>
      <c r="AB365" s="48" t="s">
        <v>27</v>
      </c>
      <c r="AC365" s="48"/>
      <c r="AD365" s="89" t="s">
        <v>845</v>
      </c>
    </row>
    <row r="366" spans="1:30" ht="15.75" hidden="1" x14ac:dyDescent="0.25">
      <c r="A366" s="48" t="s">
        <v>480</v>
      </c>
      <c r="B366" s="74">
        <v>45593</v>
      </c>
      <c r="C366" s="48" t="s">
        <v>509</v>
      </c>
      <c r="D366" s="48" t="s">
        <v>20</v>
      </c>
      <c r="E366" s="48" t="s">
        <v>406</v>
      </c>
      <c r="F366" s="48" t="s">
        <v>22</v>
      </c>
      <c r="G366" s="48" t="s">
        <v>24</v>
      </c>
      <c r="H366" s="48" t="s">
        <v>407</v>
      </c>
      <c r="I366" s="48" t="s">
        <v>26</v>
      </c>
      <c r="J366" s="48">
        <v>1020100</v>
      </c>
      <c r="K366" s="50">
        <v>1400000</v>
      </c>
      <c r="L366" s="50">
        <v>1</v>
      </c>
      <c r="M366" s="50">
        <v>1400000</v>
      </c>
      <c r="N366" s="50">
        <v>1400000</v>
      </c>
      <c r="O366" s="50">
        <v>0</v>
      </c>
      <c r="P366" s="50">
        <v>0</v>
      </c>
      <c r="Q366" s="87">
        <v>0</v>
      </c>
      <c r="R366" s="152">
        <v>0</v>
      </c>
      <c r="S366" s="174"/>
      <c r="T366" s="74">
        <v>45688</v>
      </c>
      <c r="U366" s="74">
        <v>45688</v>
      </c>
      <c r="V366" s="48"/>
      <c r="W366" s="48"/>
      <c r="X366" s="48"/>
      <c r="Y366" s="48">
        <v>0</v>
      </c>
      <c r="Z366" s="48"/>
      <c r="AA366" s="48" t="s">
        <v>21</v>
      </c>
      <c r="AB366" s="48" t="s">
        <v>27</v>
      </c>
      <c r="AC366" s="48" t="s">
        <v>311</v>
      </c>
      <c r="AD366" s="89" t="s">
        <v>845</v>
      </c>
    </row>
    <row r="367" spans="1:30" ht="15.75" hidden="1" x14ac:dyDescent="0.25">
      <c r="A367" s="48" t="s">
        <v>405</v>
      </c>
      <c r="B367" s="74">
        <v>45554</v>
      </c>
      <c r="C367" s="48" t="s">
        <v>509</v>
      </c>
      <c r="D367" s="48" t="s">
        <v>20</v>
      </c>
      <c r="E367" s="48" t="s">
        <v>406</v>
      </c>
      <c r="F367" s="48" t="s">
        <v>96</v>
      </c>
      <c r="G367" s="48" t="s">
        <v>24</v>
      </c>
      <c r="H367" s="48" t="s">
        <v>407</v>
      </c>
      <c r="I367" s="48" t="s">
        <v>26</v>
      </c>
      <c r="J367" s="48">
        <v>1020100</v>
      </c>
      <c r="K367" s="50">
        <v>6000000</v>
      </c>
      <c r="L367" s="50">
        <v>1</v>
      </c>
      <c r="M367" s="50">
        <v>6000000</v>
      </c>
      <c r="N367" s="50">
        <v>6000000</v>
      </c>
      <c r="O367" s="50">
        <v>0</v>
      </c>
      <c r="P367" s="50">
        <v>0</v>
      </c>
      <c r="Q367" s="87">
        <v>0</v>
      </c>
      <c r="R367" s="152">
        <v>0</v>
      </c>
      <c r="S367" s="174"/>
      <c r="T367" s="74">
        <v>45657</v>
      </c>
      <c r="U367" s="74">
        <v>45657</v>
      </c>
      <c r="V367" s="48"/>
      <c r="W367" s="48"/>
      <c r="X367" s="48"/>
      <c r="Y367" s="48">
        <v>0</v>
      </c>
      <c r="Z367" s="48"/>
      <c r="AA367" s="48" t="s">
        <v>95</v>
      </c>
      <c r="AB367" s="48" t="s">
        <v>27</v>
      </c>
      <c r="AC367" s="48" t="s">
        <v>408</v>
      </c>
      <c r="AD367" s="89" t="s">
        <v>845</v>
      </c>
    </row>
    <row r="368" spans="1:30" ht="15.75" hidden="1" x14ac:dyDescent="0.25">
      <c r="A368" s="48" t="s">
        <v>673</v>
      </c>
      <c r="B368" s="74">
        <v>45684</v>
      </c>
      <c r="C368" s="48" t="s">
        <v>509</v>
      </c>
      <c r="D368" s="48" t="s">
        <v>20</v>
      </c>
      <c r="E368" s="48" t="s">
        <v>406</v>
      </c>
      <c r="F368" s="48" t="s">
        <v>96</v>
      </c>
      <c r="G368" s="48" t="s">
        <v>24</v>
      </c>
      <c r="H368" s="48" t="s">
        <v>407</v>
      </c>
      <c r="I368" s="48" t="s">
        <v>26</v>
      </c>
      <c r="J368" s="48">
        <v>1020100</v>
      </c>
      <c r="K368" s="50">
        <v>900000</v>
      </c>
      <c r="L368" s="50">
        <v>1</v>
      </c>
      <c r="M368" s="50">
        <v>900000</v>
      </c>
      <c r="N368" s="50">
        <v>900000</v>
      </c>
      <c r="O368" s="50">
        <v>0</v>
      </c>
      <c r="P368" s="50">
        <v>0</v>
      </c>
      <c r="Q368" s="87">
        <v>0</v>
      </c>
      <c r="R368" s="152">
        <v>0</v>
      </c>
      <c r="S368" s="174"/>
      <c r="T368" s="74">
        <v>45777</v>
      </c>
      <c r="U368" s="74">
        <v>45777</v>
      </c>
      <c r="V368" s="48"/>
      <c r="W368" s="48"/>
      <c r="X368" s="48"/>
      <c r="Y368" s="48">
        <v>0</v>
      </c>
      <c r="Z368" s="48"/>
      <c r="AA368" s="48" t="s">
        <v>95</v>
      </c>
      <c r="AB368" s="48" t="s">
        <v>27</v>
      </c>
      <c r="AC368" s="48" t="s">
        <v>311</v>
      </c>
      <c r="AD368" s="89" t="s">
        <v>845</v>
      </c>
    </row>
    <row r="369" spans="1:30" ht="15.75" hidden="1" x14ac:dyDescent="0.25">
      <c r="A369" s="48" t="s">
        <v>357</v>
      </c>
      <c r="B369" s="74">
        <v>45533</v>
      </c>
      <c r="C369" s="48" t="s">
        <v>441</v>
      </c>
      <c r="D369" s="48" t="s">
        <v>20</v>
      </c>
      <c r="E369" s="48" t="s">
        <v>358</v>
      </c>
      <c r="F369" s="48" t="s">
        <v>96</v>
      </c>
      <c r="G369" s="48" t="s">
        <v>24</v>
      </c>
      <c r="H369" s="48" t="s">
        <v>22</v>
      </c>
      <c r="I369" s="48" t="s">
        <v>26</v>
      </c>
      <c r="J369" s="48">
        <v>1020055</v>
      </c>
      <c r="K369" s="50">
        <v>2000000</v>
      </c>
      <c r="L369" s="50">
        <v>1</v>
      </c>
      <c r="M369" s="50">
        <v>2000000</v>
      </c>
      <c r="N369" s="50">
        <v>2000000</v>
      </c>
      <c r="O369" s="50">
        <v>0</v>
      </c>
      <c r="P369" s="50">
        <v>0</v>
      </c>
      <c r="Q369" s="87">
        <v>0</v>
      </c>
      <c r="R369" s="152">
        <v>0</v>
      </c>
      <c r="S369" s="174"/>
      <c r="T369" s="74">
        <v>45626</v>
      </c>
      <c r="U369" s="74">
        <v>45626</v>
      </c>
      <c r="V369" s="48"/>
      <c r="W369" s="48"/>
      <c r="X369" s="48"/>
      <c r="Y369" s="48">
        <v>0</v>
      </c>
      <c r="Z369" s="48"/>
      <c r="AA369" s="48" t="s">
        <v>95</v>
      </c>
      <c r="AB369" s="48" t="s">
        <v>27</v>
      </c>
      <c r="AC369" s="48" t="s">
        <v>311</v>
      </c>
      <c r="AD369" s="89" t="s">
        <v>845</v>
      </c>
    </row>
    <row r="370" spans="1:30" ht="15.75" hidden="1" x14ac:dyDescent="0.25">
      <c r="A370" s="48" t="s">
        <v>520</v>
      </c>
      <c r="B370" s="74">
        <v>45624</v>
      </c>
      <c r="C370" s="48" t="s">
        <v>441</v>
      </c>
      <c r="D370" s="48" t="s">
        <v>20</v>
      </c>
      <c r="E370" s="48" t="s">
        <v>521</v>
      </c>
      <c r="F370" s="48" t="s">
        <v>22</v>
      </c>
      <c r="G370" s="48" t="s">
        <v>24</v>
      </c>
      <c r="H370" s="48" t="s">
        <v>22</v>
      </c>
      <c r="I370" s="48" t="s">
        <v>26</v>
      </c>
      <c r="J370" s="48">
        <v>1020055</v>
      </c>
      <c r="K370" s="50">
        <v>1000000</v>
      </c>
      <c r="L370" s="50">
        <v>1</v>
      </c>
      <c r="M370" s="50">
        <v>1000000</v>
      </c>
      <c r="N370" s="50">
        <v>1000000</v>
      </c>
      <c r="O370" s="50">
        <v>0</v>
      </c>
      <c r="P370" s="50">
        <v>0</v>
      </c>
      <c r="Q370" s="87">
        <v>0</v>
      </c>
      <c r="R370" s="152">
        <v>0</v>
      </c>
      <c r="S370" s="174"/>
      <c r="T370" s="74">
        <v>45716</v>
      </c>
      <c r="U370" s="74">
        <v>45716</v>
      </c>
      <c r="V370" s="48"/>
      <c r="W370" s="48"/>
      <c r="X370" s="48"/>
      <c r="Y370" s="48">
        <v>0</v>
      </c>
      <c r="Z370" s="48"/>
      <c r="AA370" s="48" t="s">
        <v>21</v>
      </c>
      <c r="AB370" s="48" t="s">
        <v>27</v>
      </c>
      <c r="AC370" s="48" t="s">
        <v>311</v>
      </c>
      <c r="AD370" s="89" t="s">
        <v>845</v>
      </c>
    </row>
    <row r="371" spans="1:30" ht="15.75" hidden="1" x14ac:dyDescent="0.25">
      <c r="A371" s="48" t="s">
        <v>656</v>
      </c>
      <c r="B371" s="74">
        <v>45680</v>
      </c>
      <c r="C371" s="48" t="s">
        <v>441</v>
      </c>
      <c r="D371" s="48" t="s">
        <v>20</v>
      </c>
      <c r="E371" s="48" t="s">
        <v>521</v>
      </c>
      <c r="F371" s="48" t="s">
        <v>22</v>
      </c>
      <c r="G371" s="48" t="s">
        <v>24</v>
      </c>
      <c r="H371" s="48" t="s">
        <v>22</v>
      </c>
      <c r="I371" s="48" t="s">
        <v>26</v>
      </c>
      <c r="J371" s="48">
        <v>1020055</v>
      </c>
      <c r="K371" s="50">
        <v>400000</v>
      </c>
      <c r="L371" s="50">
        <v>1</v>
      </c>
      <c r="M371" s="50">
        <v>400000</v>
      </c>
      <c r="N371" s="50">
        <v>400000</v>
      </c>
      <c r="O371" s="50">
        <v>0</v>
      </c>
      <c r="P371" s="50">
        <v>0</v>
      </c>
      <c r="Q371" s="87">
        <v>0</v>
      </c>
      <c r="R371" s="152">
        <v>0</v>
      </c>
      <c r="S371" s="174"/>
      <c r="T371" s="74">
        <v>45777</v>
      </c>
      <c r="U371" s="74">
        <v>45777</v>
      </c>
      <c r="V371" s="48"/>
      <c r="W371" s="48"/>
      <c r="X371" s="48"/>
      <c r="Y371" s="48">
        <v>0</v>
      </c>
      <c r="Z371" s="48"/>
      <c r="AA371" s="48" t="s">
        <v>21</v>
      </c>
      <c r="AB371" s="48" t="s">
        <v>27</v>
      </c>
      <c r="AC371" s="48" t="s">
        <v>311</v>
      </c>
      <c r="AD371" s="89" t="s">
        <v>845</v>
      </c>
    </row>
    <row r="372" spans="1:30" ht="15.75" hidden="1" x14ac:dyDescent="0.25">
      <c r="A372" s="48" t="s">
        <v>751</v>
      </c>
      <c r="B372" s="74">
        <v>45734</v>
      </c>
      <c r="C372" s="48" t="s">
        <v>509</v>
      </c>
      <c r="D372" s="48" t="s">
        <v>20</v>
      </c>
      <c r="E372" s="48" t="s">
        <v>752</v>
      </c>
      <c r="F372" s="48" t="s">
        <v>22</v>
      </c>
      <c r="G372" s="48" t="s">
        <v>24</v>
      </c>
      <c r="H372" s="48" t="s">
        <v>407</v>
      </c>
      <c r="I372" s="48" t="s">
        <v>26</v>
      </c>
      <c r="J372" s="48">
        <v>1020100</v>
      </c>
      <c r="K372" s="50">
        <v>1250000</v>
      </c>
      <c r="L372" s="50">
        <v>1</v>
      </c>
      <c r="M372" s="50">
        <v>1250000</v>
      </c>
      <c r="N372" s="50">
        <v>1250000</v>
      </c>
      <c r="O372" s="50">
        <v>0</v>
      </c>
      <c r="P372" s="50">
        <v>0</v>
      </c>
      <c r="Q372" s="87">
        <v>0</v>
      </c>
      <c r="R372" s="152">
        <v>0</v>
      </c>
      <c r="S372" s="174"/>
      <c r="T372" s="74">
        <v>45838</v>
      </c>
      <c r="U372" s="74">
        <v>45838</v>
      </c>
      <c r="V372" s="48"/>
      <c r="W372" s="48"/>
      <c r="X372" s="48"/>
      <c r="Y372" s="48">
        <v>0</v>
      </c>
      <c r="Z372" s="48"/>
      <c r="AA372" s="48" t="s">
        <v>21</v>
      </c>
      <c r="AB372" s="48" t="s">
        <v>27</v>
      </c>
      <c r="AC372" s="48" t="s">
        <v>311</v>
      </c>
      <c r="AD372" s="89" t="s">
        <v>845</v>
      </c>
    </row>
    <row r="373" spans="1:30" ht="15.75" hidden="1" x14ac:dyDescent="0.25">
      <c r="A373" s="48" t="s">
        <v>1328</v>
      </c>
      <c r="B373" s="74">
        <v>45789</v>
      </c>
      <c r="C373" s="48" t="s">
        <v>441</v>
      </c>
      <c r="D373" s="48" t="s">
        <v>20</v>
      </c>
      <c r="E373" s="48" t="s">
        <v>521</v>
      </c>
      <c r="F373" s="48" t="s">
        <v>70</v>
      </c>
      <c r="G373" s="48" t="s">
        <v>24</v>
      </c>
      <c r="H373" s="48" t="s">
        <v>22</v>
      </c>
      <c r="I373" s="48" t="s">
        <v>26</v>
      </c>
      <c r="J373" s="48">
        <v>1020055</v>
      </c>
      <c r="K373" s="50">
        <v>4639392.95</v>
      </c>
      <c r="L373" s="50">
        <v>1</v>
      </c>
      <c r="M373" s="50">
        <v>4639392.95</v>
      </c>
      <c r="N373" s="50">
        <v>4639392.95</v>
      </c>
      <c r="O373" s="50">
        <v>0</v>
      </c>
      <c r="P373" s="50">
        <v>0</v>
      </c>
      <c r="Q373" s="87">
        <v>0</v>
      </c>
      <c r="R373" s="152">
        <v>0</v>
      </c>
      <c r="S373" s="174"/>
      <c r="T373" s="74">
        <v>46022</v>
      </c>
      <c r="U373" s="74">
        <v>46022</v>
      </c>
      <c r="V373" s="48"/>
      <c r="W373" s="48"/>
      <c r="X373" s="48"/>
      <c r="Y373" s="48">
        <v>0</v>
      </c>
      <c r="Z373" s="48" t="s">
        <v>1913</v>
      </c>
      <c r="AA373" s="48" t="s">
        <v>373</v>
      </c>
      <c r="AB373" s="48" t="s">
        <v>70</v>
      </c>
      <c r="AC373" s="48" t="s">
        <v>311</v>
      </c>
      <c r="AD373" s="89" t="s">
        <v>845</v>
      </c>
    </row>
    <row r="374" spans="1:30" ht="15.75" hidden="1" x14ac:dyDescent="0.25">
      <c r="A374" s="48" t="s">
        <v>1313</v>
      </c>
      <c r="B374" s="74">
        <v>45788</v>
      </c>
      <c r="C374" s="48" t="s">
        <v>441</v>
      </c>
      <c r="D374" s="48" t="s">
        <v>20</v>
      </c>
      <c r="E374" s="48" t="s">
        <v>752</v>
      </c>
      <c r="F374" s="48" t="s">
        <v>22</v>
      </c>
      <c r="G374" s="48" t="s">
        <v>24</v>
      </c>
      <c r="H374" s="48" t="s">
        <v>22</v>
      </c>
      <c r="I374" s="48" t="s">
        <v>26</v>
      </c>
      <c r="J374" s="48">
        <v>1020055</v>
      </c>
      <c r="K374" s="50">
        <v>891914.65</v>
      </c>
      <c r="L374" s="50">
        <v>1</v>
      </c>
      <c r="M374" s="50">
        <v>891914.65</v>
      </c>
      <c r="N374" s="50">
        <v>891914.65</v>
      </c>
      <c r="O374" s="50">
        <v>0</v>
      </c>
      <c r="P374" s="50">
        <v>0</v>
      </c>
      <c r="Q374" s="87">
        <v>0</v>
      </c>
      <c r="R374" s="152">
        <v>0</v>
      </c>
      <c r="S374" s="174"/>
      <c r="T374" s="74">
        <v>45961</v>
      </c>
      <c r="U374" s="74">
        <v>45961</v>
      </c>
      <c r="V374" s="48"/>
      <c r="W374" s="48"/>
      <c r="X374" s="48"/>
      <c r="Y374" s="48">
        <v>0</v>
      </c>
      <c r="Z374" s="48" t="s">
        <v>1846</v>
      </c>
      <c r="AA374" s="48" t="s">
        <v>21</v>
      </c>
      <c r="AB374" s="48" t="s">
        <v>27</v>
      </c>
      <c r="AC374" s="48" t="s">
        <v>621</v>
      </c>
      <c r="AD374" s="89" t="s">
        <v>845</v>
      </c>
    </row>
    <row r="375" spans="1:30" ht="15.75" hidden="1" x14ac:dyDescent="0.25">
      <c r="A375" s="48" t="s">
        <v>1425</v>
      </c>
      <c r="B375" s="74">
        <v>45809</v>
      </c>
      <c r="C375" s="48" t="s">
        <v>441</v>
      </c>
      <c r="D375" s="48" t="s">
        <v>20</v>
      </c>
      <c r="E375" s="48" t="s">
        <v>521</v>
      </c>
      <c r="F375" s="48" t="s">
        <v>96</v>
      </c>
      <c r="G375" s="48" t="s">
        <v>24</v>
      </c>
      <c r="H375" s="48" t="s">
        <v>22</v>
      </c>
      <c r="I375" s="48" t="s">
        <v>26</v>
      </c>
      <c r="J375" s="48">
        <v>1020055</v>
      </c>
      <c r="K375" s="50">
        <v>400000</v>
      </c>
      <c r="L375" s="50">
        <v>1</v>
      </c>
      <c r="M375" s="50">
        <v>400000</v>
      </c>
      <c r="N375" s="50">
        <v>400000</v>
      </c>
      <c r="O375" s="50">
        <v>0</v>
      </c>
      <c r="P375" s="50">
        <v>0</v>
      </c>
      <c r="Q375" s="87">
        <v>0</v>
      </c>
      <c r="R375" s="152">
        <v>0</v>
      </c>
      <c r="S375" s="174"/>
      <c r="T375" s="74">
        <v>46081</v>
      </c>
      <c r="U375" s="74">
        <v>46081</v>
      </c>
      <c r="V375" s="48"/>
      <c r="W375" s="48"/>
      <c r="X375" s="48"/>
      <c r="Y375" s="48">
        <v>0</v>
      </c>
      <c r="Z375" s="48"/>
      <c r="AA375" s="48" t="s">
        <v>95</v>
      </c>
      <c r="AB375" s="48" t="s">
        <v>27</v>
      </c>
      <c r="AC375" s="48" t="s">
        <v>621</v>
      </c>
      <c r="AD375" s="89" t="s">
        <v>845</v>
      </c>
    </row>
    <row r="376" spans="1:30" ht="15.75" hidden="1" x14ac:dyDescent="0.25">
      <c r="A376" s="48" t="s">
        <v>1499</v>
      </c>
      <c r="B376" s="74">
        <v>45831</v>
      </c>
      <c r="C376" s="48" t="s">
        <v>441</v>
      </c>
      <c r="D376" s="48" t="s">
        <v>20</v>
      </c>
      <c r="E376" s="48" t="s">
        <v>521</v>
      </c>
      <c r="F376" s="48" t="s">
        <v>22</v>
      </c>
      <c r="G376" s="48" t="s">
        <v>24</v>
      </c>
      <c r="H376" s="48" t="s">
        <v>407</v>
      </c>
      <c r="I376" s="48" t="s">
        <v>26</v>
      </c>
      <c r="J376" s="48">
        <v>1020100</v>
      </c>
      <c r="K376" s="50">
        <v>900000</v>
      </c>
      <c r="L376" s="50">
        <v>1</v>
      </c>
      <c r="M376" s="50">
        <v>900000</v>
      </c>
      <c r="N376" s="50">
        <v>900000</v>
      </c>
      <c r="O376" s="50">
        <v>0</v>
      </c>
      <c r="P376" s="50">
        <v>0</v>
      </c>
      <c r="Q376" s="87">
        <v>0</v>
      </c>
      <c r="R376" s="152">
        <v>0</v>
      </c>
      <c r="S376" s="174"/>
      <c r="T376" s="74">
        <v>45900</v>
      </c>
      <c r="U376" s="74">
        <v>45900</v>
      </c>
      <c r="V376" s="48"/>
      <c r="W376" s="48"/>
      <c r="X376" s="48"/>
      <c r="Y376" s="48">
        <v>0</v>
      </c>
      <c r="Z376" s="48"/>
      <c r="AA376" s="48" t="s">
        <v>21</v>
      </c>
      <c r="AB376" s="48" t="s">
        <v>27</v>
      </c>
      <c r="AC376" s="48" t="s">
        <v>621</v>
      </c>
      <c r="AD376" s="89" t="s">
        <v>845</v>
      </c>
    </row>
    <row r="377" spans="1:30" ht="15.75" hidden="1" x14ac:dyDescent="0.25">
      <c r="A377" s="48" t="s">
        <v>1436</v>
      </c>
      <c r="B377" s="74">
        <v>45810</v>
      </c>
      <c r="C377" s="48" t="s">
        <v>441</v>
      </c>
      <c r="D377" s="48" t="s">
        <v>20</v>
      </c>
      <c r="E377" s="48" t="s">
        <v>521</v>
      </c>
      <c r="F377" s="48" t="s">
        <v>710</v>
      </c>
      <c r="G377" s="48" t="s">
        <v>24</v>
      </c>
      <c r="H377" s="48" t="s">
        <v>710</v>
      </c>
      <c r="I377" s="48" t="s">
        <v>26</v>
      </c>
      <c r="J377" s="48">
        <v>1020088</v>
      </c>
      <c r="K377" s="50">
        <v>400000</v>
      </c>
      <c r="L377" s="50">
        <v>1</v>
      </c>
      <c r="M377" s="50">
        <v>400000</v>
      </c>
      <c r="N377" s="50">
        <v>400000</v>
      </c>
      <c r="O377" s="50">
        <v>0</v>
      </c>
      <c r="P377" s="50">
        <v>0</v>
      </c>
      <c r="Q377" s="87">
        <v>0</v>
      </c>
      <c r="R377" s="152">
        <v>0</v>
      </c>
      <c r="S377" s="174"/>
      <c r="T377" s="74">
        <v>45961</v>
      </c>
      <c r="U377" s="74">
        <v>45961</v>
      </c>
      <c r="V377" s="48"/>
      <c r="W377" s="48"/>
      <c r="X377" s="48"/>
      <c r="Y377" s="48">
        <v>0</v>
      </c>
      <c r="Z377" s="48"/>
      <c r="AA377" s="48" t="s">
        <v>366</v>
      </c>
      <c r="AB377" s="48" t="s">
        <v>27</v>
      </c>
      <c r="AC377" s="48" t="s">
        <v>621</v>
      </c>
      <c r="AD377" s="89" t="s">
        <v>845</v>
      </c>
    </row>
    <row r="378" spans="1:30" ht="15.75" hidden="1" x14ac:dyDescent="0.25">
      <c r="A378" s="48" t="s">
        <v>1602</v>
      </c>
      <c r="B378" s="74">
        <v>45862</v>
      </c>
      <c r="C378" s="48" t="s">
        <v>441</v>
      </c>
      <c r="D378" s="48" t="s">
        <v>20</v>
      </c>
      <c r="E378" s="48" t="s">
        <v>521</v>
      </c>
      <c r="F378" s="48" t="s">
        <v>710</v>
      </c>
      <c r="G378" s="48" t="s">
        <v>24</v>
      </c>
      <c r="H378" s="48" t="s">
        <v>710</v>
      </c>
      <c r="I378" s="48" t="s">
        <v>26</v>
      </c>
      <c r="J378" s="48">
        <v>1020088</v>
      </c>
      <c r="K378" s="50">
        <v>250000</v>
      </c>
      <c r="L378" s="50">
        <v>1</v>
      </c>
      <c r="M378" s="50">
        <v>250000</v>
      </c>
      <c r="N378" s="50">
        <v>250000</v>
      </c>
      <c r="O378" s="50">
        <v>0</v>
      </c>
      <c r="P378" s="50">
        <v>0</v>
      </c>
      <c r="Q378" s="87">
        <v>0</v>
      </c>
      <c r="R378" s="152">
        <v>0</v>
      </c>
      <c r="S378" s="174"/>
      <c r="T378" s="74">
        <v>45961</v>
      </c>
      <c r="U378" s="74">
        <v>45961</v>
      </c>
      <c r="V378" s="48"/>
      <c r="W378" s="48"/>
      <c r="X378" s="48"/>
      <c r="Y378" s="48">
        <v>0</v>
      </c>
      <c r="Z378" s="48"/>
      <c r="AA378" s="48" t="s">
        <v>366</v>
      </c>
      <c r="AB378" s="48" t="s">
        <v>27</v>
      </c>
      <c r="AC378" s="48" t="s">
        <v>621</v>
      </c>
      <c r="AD378" s="89" t="s">
        <v>845</v>
      </c>
    </row>
    <row r="379" spans="1:30" ht="15.75" hidden="1" x14ac:dyDescent="0.25">
      <c r="A379" s="48" t="s">
        <v>1638</v>
      </c>
      <c r="B379" s="74">
        <v>45867</v>
      </c>
      <c r="C379" s="48" t="s">
        <v>1119</v>
      </c>
      <c r="D379" s="48" t="s">
        <v>20</v>
      </c>
      <c r="E379" s="48" t="s">
        <v>521</v>
      </c>
      <c r="F379" s="48" t="s">
        <v>367</v>
      </c>
      <c r="G379" s="48" t="s">
        <v>24</v>
      </c>
      <c r="H379" s="48" t="s">
        <v>367</v>
      </c>
      <c r="I379" s="48" t="s">
        <v>26</v>
      </c>
      <c r="J379" s="48">
        <v>1020091</v>
      </c>
      <c r="K379" s="50">
        <v>20000000</v>
      </c>
      <c r="L379" s="50">
        <v>1</v>
      </c>
      <c r="M379" s="50">
        <v>20000000</v>
      </c>
      <c r="N379" s="50">
        <v>20000000</v>
      </c>
      <c r="O379" s="50">
        <v>0</v>
      </c>
      <c r="P379" s="50">
        <v>0</v>
      </c>
      <c r="Q379" s="87">
        <v>0</v>
      </c>
      <c r="R379" s="152">
        <v>0</v>
      </c>
      <c r="S379" s="174"/>
      <c r="T379" s="74">
        <v>45961</v>
      </c>
      <c r="U379" s="74">
        <v>45961</v>
      </c>
      <c r="V379" s="48"/>
      <c r="W379" s="48"/>
      <c r="X379" s="48"/>
      <c r="Y379" s="48">
        <v>0</v>
      </c>
      <c r="Z379" s="48"/>
      <c r="AA379" s="48" t="s">
        <v>366</v>
      </c>
      <c r="AB379" s="48" t="s">
        <v>27</v>
      </c>
      <c r="AC379" s="48" t="s">
        <v>1624</v>
      </c>
      <c r="AD379" s="89" t="s">
        <v>845</v>
      </c>
    </row>
    <row r="380" spans="1:30" ht="15.75" hidden="1" x14ac:dyDescent="0.25">
      <c r="A380" s="48" t="s">
        <v>1736</v>
      </c>
      <c r="B380" s="74">
        <v>45882</v>
      </c>
      <c r="C380" s="48" t="s">
        <v>1119</v>
      </c>
      <c r="D380" s="48" t="s">
        <v>20</v>
      </c>
      <c r="E380" s="48" t="s">
        <v>521</v>
      </c>
      <c r="F380" s="48" t="s">
        <v>367</v>
      </c>
      <c r="G380" s="48" t="s">
        <v>24</v>
      </c>
      <c r="H380" s="48" t="s">
        <v>367</v>
      </c>
      <c r="I380" s="48" t="s">
        <v>26</v>
      </c>
      <c r="J380" s="48">
        <v>1020091</v>
      </c>
      <c r="K380" s="50">
        <v>40000000</v>
      </c>
      <c r="L380" s="50">
        <v>1</v>
      </c>
      <c r="M380" s="50">
        <v>40000000</v>
      </c>
      <c r="N380" s="50">
        <v>40000000</v>
      </c>
      <c r="O380" s="50">
        <v>0</v>
      </c>
      <c r="P380" s="50">
        <v>0</v>
      </c>
      <c r="Q380" s="87">
        <v>0</v>
      </c>
      <c r="R380" s="152">
        <v>0</v>
      </c>
      <c r="S380" s="174"/>
      <c r="T380" s="74">
        <v>45991</v>
      </c>
      <c r="U380" s="74">
        <v>45991</v>
      </c>
      <c r="V380" s="48"/>
      <c r="W380" s="48"/>
      <c r="X380" s="48"/>
      <c r="Y380" s="48">
        <v>0</v>
      </c>
      <c r="Z380" s="48"/>
      <c r="AA380" s="48" t="s">
        <v>366</v>
      </c>
      <c r="AB380" s="48" t="s">
        <v>27</v>
      </c>
      <c r="AC380" s="48" t="s">
        <v>1624</v>
      </c>
      <c r="AD380" s="89" t="s">
        <v>845</v>
      </c>
    </row>
    <row r="381" spans="1:30" ht="15.75" hidden="1" x14ac:dyDescent="0.25">
      <c r="A381" s="48" t="s">
        <v>1816</v>
      </c>
      <c r="B381" s="74">
        <v>45895</v>
      </c>
      <c r="C381" s="48" t="s">
        <v>1181</v>
      </c>
      <c r="D381" s="48" t="s">
        <v>20</v>
      </c>
      <c r="E381" s="48" t="s">
        <v>521</v>
      </c>
      <c r="F381" s="48" t="s">
        <v>710</v>
      </c>
      <c r="G381" s="48" t="s">
        <v>1791</v>
      </c>
      <c r="H381" s="48" t="s">
        <v>81</v>
      </c>
      <c r="I381" s="48" t="s">
        <v>26</v>
      </c>
      <c r="J381" s="48">
        <v>1020070</v>
      </c>
      <c r="K381" s="50">
        <v>809915</v>
      </c>
      <c r="L381" s="50">
        <v>1</v>
      </c>
      <c r="M381" s="50">
        <v>809915</v>
      </c>
      <c r="N381" s="50">
        <v>809915</v>
      </c>
      <c r="O381" s="50">
        <v>0</v>
      </c>
      <c r="P381" s="50">
        <v>0</v>
      </c>
      <c r="Q381" s="87">
        <v>0</v>
      </c>
      <c r="R381" s="152">
        <v>0</v>
      </c>
      <c r="S381" s="174"/>
      <c r="T381" s="74">
        <v>45991</v>
      </c>
      <c r="U381" s="74">
        <v>45991</v>
      </c>
      <c r="V381" s="48"/>
      <c r="W381" s="48"/>
      <c r="X381" s="48"/>
      <c r="Y381" s="48">
        <v>0</v>
      </c>
      <c r="Z381" s="48"/>
      <c r="AA381" s="48" t="s">
        <v>366</v>
      </c>
      <c r="AB381" s="48" t="s">
        <v>27</v>
      </c>
      <c r="AC381" s="48" t="s">
        <v>408</v>
      </c>
      <c r="AD381" s="89" t="s">
        <v>845</v>
      </c>
    </row>
    <row r="382" spans="1:30" ht="15.75" hidden="1" x14ac:dyDescent="0.25">
      <c r="A382" s="48" t="s">
        <v>1912</v>
      </c>
      <c r="B382" s="74">
        <v>45932</v>
      </c>
      <c r="C382" s="48" t="s">
        <v>441</v>
      </c>
      <c r="D382" s="48" t="s">
        <v>20</v>
      </c>
      <c r="E382" s="48" t="s">
        <v>521</v>
      </c>
      <c r="F382" s="48" t="s">
        <v>710</v>
      </c>
      <c r="G382" s="48" t="s">
        <v>24</v>
      </c>
      <c r="H382" s="48" t="s">
        <v>710</v>
      </c>
      <c r="I382" s="48" t="s">
        <v>26</v>
      </c>
      <c r="J382" s="48">
        <v>1020088</v>
      </c>
      <c r="K382" s="50">
        <v>600000</v>
      </c>
      <c r="L382" s="50">
        <v>1</v>
      </c>
      <c r="M382" s="50">
        <v>600000</v>
      </c>
      <c r="N382" s="50">
        <v>600000</v>
      </c>
      <c r="O382" s="50">
        <v>0</v>
      </c>
      <c r="P382" s="50">
        <v>0</v>
      </c>
      <c r="Q382" s="87">
        <v>0</v>
      </c>
      <c r="R382" s="152">
        <v>0</v>
      </c>
      <c r="S382" s="174"/>
      <c r="T382" s="74">
        <v>46022</v>
      </c>
      <c r="U382" s="74">
        <v>46022</v>
      </c>
      <c r="V382" s="48"/>
      <c r="W382" s="48"/>
      <c r="X382" s="48"/>
      <c r="Y382" s="48">
        <v>0</v>
      </c>
      <c r="Z382" s="48"/>
      <c r="AA382" s="48" t="s">
        <v>366</v>
      </c>
      <c r="AB382" s="48" t="s">
        <v>27</v>
      </c>
      <c r="AC382" s="48" t="s">
        <v>621</v>
      </c>
      <c r="AD382" s="89" t="s">
        <v>845</v>
      </c>
    </row>
    <row r="383" spans="1:30" ht="15.75" hidden="1" x14ac:dyDescent="0.25">
      <c r="A383" s="48" t="s">
        <v>3783</v>
      </c>
      <c r="B383" s="74">
        <v>46042</v>
      </c>
      <c r="C383" s="48" t="s">
        <v>1259</v>
      </c>
      <c r="D383" s="48" t="s">
        <v>20</v>
      </c>
      <c r="E383" s="48" t="s">
        <v>521</v>
      </c>
      <c r="F383" s="48" t="s">
        <v>96</v>
      </c>
      <c r="G383" s="48" t="s">
        <v>1791</v>
      </c>
      <c r="H383" s="48" t="s">
        <v>328</v>
      </c>
      <c r="I383" s="48" t="s">
        <v>26</v>
      </c>
      <c r="J383" s="48">
        <v>1020097</v>
      </c>
      <c r="K383" s="50">
        <v>3000000</v>
      </c>
      <c r="L383" s="50">
        <v>1</v>
      </c>
      <c r="M383" s="50">
        <v>3000000</v>
      </c>
      <c r="N383" s="50">
        <v>806924.71</v>
      </c>
      <c r="O383" s="50">
        <v>2193075.29</v>
      </c>
      <c r="P383" s="50">
        <v>0</v>
      </c>
      <c r="Q383" s="87">
        <v>2193075.29</v>
      </c>
      <c r="R383" s="152">
        <v>0</v>
      </c>
      <c r="S383" s="174"/>
      <c r="T383" s="74">
        <v>46081</v>
      </c>
      <c r="U383" s="74">
        <v>46081</v>
      </c>
      <c r="V383" s="48"/>
      <c r="W383" s="48"/>
      <c r="X383" s="48"/>
      <c r="Y383" s="48">
        <v>0</v>
      </c>
      <c r="Z383" s="48"/>
      <c r="AA383" s="48" t="s">
        <v>95</v>
      </c>
      <c r="AB383" s="48" t="s">
        <v>27</v>
      </c>
      <c r="AC383" s="48" t="s">
        <v>28</v>
      </c>
      <c r="AD383" s="89" t="s">
        <v>845</v>
      </c>
    </row>
    <row r="384" spans="1:30" ht="15.75" hidden="1" x14ac:dyDescent="0.25">
      <c r="A384" s="48" t="s">
        <v>3718</v>
      </c>
      <c r="B384" s="74">
        <v>46040</v>
      </c>
      <c r="C384" s="48" t="s">
        <v>1259</v>
      </c>
      <c r="D384" s="48" t="s">
        <v>20</v>
      </c>
      <c r="E384" s="48" t="s">
        <v>521</v>
      </c>
      <c r="F384" s="48" t="s">
        <v>96</v>
      </c>
      <c r="G384" s="48" t="s">
        <v>1791</v>
      </c>
      <c r="H384" s="48" t="s">
        <v>328</v>
      </c>
      <c r="I384" s="48" t="s">
        <v>26</v>
      </c>
      <c r="J384" s="48">
        <v>1020097</v>
      </c>
      <c r="K384" s="50">
        <v>250000</v>
      </c>
      <c r="L384" s="50">
        <v>1</v>
      </c>
      <c r="M384" s="50">
        <v>250000</v>
      </c>
      <c r="N384" s="50">
        <v>250000</v>
      </c>
      <c r="O384" s="50">
        <v>0</v>
      </c>
      <c r="P384" s="50">
        <v>0</v>
      </c>
      <c r="Q384" s="87">
        <v>0</v>
      </c>
      <c r="R384" s="152">
        <v>0</v>
      </c>
      <c r="S384" s="174"/>
      <c r="T384" s="74">
        <v>46081</v>
      </c>
      <c r="U384" s="74">
        <v>46081</v>
      </c>
      <c r="V384" s="48"/>
      <c r="W384" s="48"/>
      <c r="X384" s="48"/>
      <c r="Y384" s="48">
        <v>0</v>
      </c>
      <c r="Z384" s="48"/>
      <c r="AA384" s="48" t="s">
        <v>95</v>
      </c>
      <c r="AB384" s="48" t="s">
        <v>27</v>
      </c>
      <c r="AC384" s="48" t="s">
        <v>28</v>
      </c>
      <c r="AD384" s="89" t="s">
        <v>845</v>
      </c>
    </row>
    <row r="385" spans="1:30" ht="15.75" hidden="1" x14ac:dyDescent="0.25">
      <c r="A385" s="48" t="s">
        <v>3722</v>
      </c>
      <c r="B385" s="74">
        <v>46040</v>
      </c>
      <c r="C385" s="48" t="s">
        <v>1259</v>
      </c>
      <c r="D385" s="48" t="s">
        <v>20</v>
      </c>
      <c r="E385" s="48" t="s">
        <v>521</v>
      </c>
      <c r="F385" s="48" t="s">
        <v>96</v>
      </c>
      <c r="G385" s="48" t="s">
        <v>1791</v>
      </c>
      <c r="H385" s="48" t="s">
        <v>328</v>
      </c>
      <c r="I385" s="48" t="s">
        <v>26</v>
      </c>
      <c r="J385" s="48">
        <v>1020097</v>
      </c>
      <c r="K385" s="50">
        <v>350000</v>
      </c>
      <c r="L385" s="50">
        <v>1</v>
      </c>
      <c r="M385" s="50">
        <v>350000</v>
      </c>
      <c r="N385" s="50">
        <v>350000</v>
      </c>
      <c r="O385" s="50">
        <v>0</v>
      </c>
      <c r="P385" s="50">
        <v>0</v>
      </c>
      <c r="Q385" s="87">
        <v>0</v>
      </c>
      <c r="R385" s="152">
        <v>0</v>
      </c>
      <c r="S385" s="174"/>
      <c r="T385" s="74">
        <v>46112</v>
      </c>
      <c r="U385" s="74">
        <v>46112</v>
      </c>
      <c r="V385" s="48"/>
      <c r="W385" s="48"/>
      <c r="X385" s="48"/>
      <c r="Y385" s="48">
        <v>0</v>
      </c>
      <c r="Z385" s="48"/>
      <c r="AA385" s="48" t="s">
        <v>95</v>
      </c>
      <c r="AB385" s="48" t="s">
        <v>27</v>
      </c>
      <c r="AC385" s="48" t="s">
        <v>28</v>
      </c>
      <c r="AD385" s="89" t="s">
        <v>845</v>
      </c>
    </row>
    <row r="386" spans="1:30" ht="15.75" hidden="1" x14ac:dyDescent="0.25">
      <c r="A386" s="48" t="s">
        <v>3329</v>
      </c>
      <c r="B386" s="74">
        <v>46023</v>
      </c>
      <c r="C386" s="48" t="s">
        <v>1537</v>
      </c>
      <c r="D386" s="48" t="s">
        <v>20</v>
      </c>
      <c r="E386" s="48" t="s">
        <v>521</v>
      </c>
      <c r="F386" s="48" t="s">
        <v>483</v>
      </c>
      <c r="G386" s="48" t="s">
        <v>24</v>
      </c>
      <c r="H386" s="48" t="s">
        <v>483</v>
      </c>
      <c r="I386" s="48" t="s">
        <v>26</v>
      </c>
      <c r="J386" s="48">
        <v>1020096</v>
      </c>
      <c r="K386" s="50">
        <v>1000000</v>
      </c>
      <c r="L386" s="50">
        <v>1</v>
      </c>
      <c r="M386" s="50">
        <v>1000000</v>
      </c>
      <c r="N386" s="50">
        <v>1000000</v>
      </c>
      <c r="O386" s="50">
        <v>0</v>
      </c>
      <c r="P386" s="50">
        <v>0</v>
      </c>
      <c r="Q386" s="87">
        <v>0</v>
      </c>
      <c r="R386" s="152">
        <v>0</v>
      </c>
      <c r="S386" s="174"/>
      <c r="T386" s="74">
        <v>46142</v>
      </c>
      <c r="U386" s="74">
        <v>46142</v>
      </c>
      <c r="V386" s="48"/>
      <c r="W386" s="48"/>
      <c r="X386" s="48"/>
      <c r="Y386" s="48">
        <v>0</v>
      </c>
      <c r="Z386" s="48"/>
      <c r="AA386" s="48" t="s">
        <v>62</v>
      </c>
      <c r="AB386" s="48" t="s">
        <v>27</v>
      </c>
      <c r="AC386" s="48" t="s">
        <v>3229</v>
      </c>
      <c r="AD386" s="89" t="s">
        <v>845</v>
      </c>
    </row>
    <row r="387" spans="1:30" ht="15.75" hidden="1" x14ac:dyDescent="0.25">
      <c r="A387" s="48" t="s">
        <v>3897</v>
      </c>
      <c r="B387" s="74">
        <v>46050</v>
      </c>
      <c r="C387" s="48" t="s">
        <v>441</v>
      </c>
      <c r="D387" s="48" t="s">
        <v>20</v>
      </c>
      <c r="E387" s="48" t="s">
        <v>521</v>
      </c>
      <c r="F387" s="48" t="s">
        <v>710</v>
      </c>
      <c r="G387" s="48" t="s">
        <v>24</v>
      </c>
      <c r="H387" s="48" t="s">
        <v>710</v>
      </c>
      <c r="I387" s="48" t="s">
        <v>26</v>
      </c>
      <c r="J387" s="48">
        <v>1020088</v>
      </c>
      <c r="K387" s="50">
        <v>1000000</v>
      </c>
      <c r="L387" s="50">
        <v>1</v>
      </c>
      <c r="M387" s="50">
        <v>1000000</v>
      </c>
      <c r="N387" s="50">
        <v>1000000</v>
      </c>
      <c r="O387" s="50">
        <v>0</v>
      </c>
      <c r="P387" s="50">
        <v>0</v>
      </c>
      <c r="Q387" s="87">
        <v>0</v>
      </c>
      <c r="R387" s="152">
        <v>0</v>
      </c>
      <c r="S387" s="174"/>
      <c r="T387" s="74">
        <v>46142</v>
      </c>
      <c r="U387" s="74">
        <v>46142</v>
      </c>
      <c r="V387" s="48"/>
      <c r="W387" s="48"/>
      <c r="X387" s="48"/>
      <c r="Y387" s="48">
        <v>0</v>
      </c>
      <c r="Z387" s="48"/>
      <c r="AA387" s="48" t="s">
        <v>366</v>
      </c>
      <c r="AB387" s="48" t="s">
        <v>27</v>
      </c>
      <c r="AC387" s="48" t="s">
        <v>1904</v>
      </c>
      <c r="AD387" s="89" t="s">
        <v>845</v>
      </c>
    </row>
    <row r="388" spans="1:30" ht="15.75" hidden="1" x14ac:dyDescent="0.25">
      <c r="A388" s="48" t="s">
        <v>3948</v>
      </c>
      <c r="B388" s="74">
        <v>46057</v>
      </c>
      <c r="C388" s="48" t="s">
        <v>1537</v>
      </c>
      <c r="D388" s="48" t="s">
        <v>20</v>
      </c>
      <c r="E388" s="48" t="s">
        <v>521</v>
      </c>
      <c r="F388" s="48" t="s">
        <v>483</v>
      </c>
      <c r="G388" s="48" t="s">
        <v>24</v>
      </c>
      <c r="H388" s="48" t="s">
        <v>483</v>
      </c>
      <c r="I388" s="48" t="s">
        <v>26</v>
      </c>
      <c r="J388" s="48">
        <v>1020096</v>
      </c>
      <c r="K388" s="50">
        <v>500000</v>
      </c>
      <c r="L388" s="50">
        <v>1</v>
      </c>
      <c r="M388" s="50">
        <v>500000</v>
      </c>
      <c r="N388" s="50">
        <v>500000</v>
      </c>
      <c r="O388" s="50">
        <v>0</v>
      </c>
      <c r="P388" s="50">
        <v>0</v>
      </c>
      <c r="Q388" s="87">
        <v>0</v>
      </c>
      <c r="R388" s="152">
        <v>0</v>
      </c>
      <c r="S388" s="174"/>
      <c r="T388" s="74">
        <v>46142</v>
      </c>
      <c r="U388" s="74">
        <v>46142</v>
      </c>
      <c r="V388" s="48"/>
      <c r="W388" s="48"/>
      <c r="X388" s="48"/>
      <c r="Y388" s="48">
        <v>0</v>
      </c>
      <c r="Z388" s="48"/>
      <c r="AA388" s="48" t="s">
        <v>62</v>
      </c>
      <c r="AB388" s="48" t="s">
        <v>27</v>
      </c>
      <c r="AC388" s="48" t="s">
        <v>3229</v>
      </c>
      <c r="AD388" s="89" t="s">
        <v>845</v>
      </c>
    </row>
    <row r="389" spans="1:30" ht="15.75" hidden="1" x14ac:dyDescent="0.25">
      <c r="A389" s="48" t="s">
        <v>4564</v>
      </c>
      <c r="B389" s="74">
        <v>46118</v>
      </c>
      <c r="C389" s="48" t="s">
        <v>441</v>
      </c>
      <c r="D389" s="48" t="s">
        <v>20</v>
      </c>
      <c r="E389" s="48" t="s">
        <v>521</v>
      </c>
      <c r="F389" s="48" t="s">
        <v>710</v>
      </c>
      <c r="G389" s="48" t="s">
        <v>24</v>
      </c>
      <c r="H389" s="48" t="s">
        <v>710</v>
      </c>
      <c r="I389" s="48" t="s">
        <v>26</v>
      </c>
      <c r="J389" s="48">
        <v>1020088</v>
      </c>
      <c r="K389" s="50">
        <v>1000000</v>
      </c>
      <c r="L389" s="50">
        <v>1</v>
      </c>
      <c r="M389" s="50">
        <v>1000000</v>
      </c>
      <c r="N389" s="50">
        <v>0</v>
      </c>
      <c r="O389" s="50">
        <v>1000000</v>
      </c>
      <c r="P389" s="50">
        <v>0</v>
      </c>
      <c r="Q389" s="87">
        <v>1000000</v>
      </c>
      <c r="R389" s="152">
        <v>1000000</v>
      </c>
      <c r="S389" s="312"/>
      <c r="T389" s="74">
        <v>46203</v>
      </c>
      <c r="U389" s="74">
        <v>46203</v>
      </c>
      <c r="V389" s="48"/>
      <c r="W389" s="48"/>
      <c r="X389" s="48"/>
      <c r="Y389" s="48">
        <v>0</v>
      </c>
      <c r="Z389" s="48"/>
      <c r="AA389" s="48" t="s">
        <v>366</v>
      </c>
      <c r="AB389" s="48" t="s">
        <v>27</v>
      </c>
      <c r="AC389" s="48" t="s">
        <v>4493</v>
      </c>
      <c r="AD389" s="89" t="s">
        <v>1026</v>
      </c>
    </row>
    <row r="390" spans="1:30" ht="15.75" hidden="1" x14ac:dyDescent="0.25">
      <c r="A390" s="48" t="s">
        <v>4680</v>
      </c>
      <c r="B390" s="74">
        <v>46124</v>
      </c>
      <c r="C390" s="48" t="s">
        <v>1259</v>
      </c>
      <c r="D390" s="48" t="s">
        <v>20</v>
      </c>
      <c r="E390" s="48" t="s">
        <v>521</v>
      </c>
      <c r="F390" s="48" t="s">
        <v>96</v>
      </c>
      <c r="G390" s="48" t="s">
        <v>1791</v>
      </c>
      <c r="H390" s="48" t="s">
        <v>328</v>
      </c>
      <c r="I390" s="48" t="s">
        <v>26</v>
      </c>
      <c r="J390" s="48">
        <v>1020097</v>
      </c>
      <c r="K390" s="50">
        <v>2193076</v>
      </c>
      <c r="L390" s="50">
        <v>1</v>
      </c>
      <c r="M390" s="50">
        <v>2193076</v>
      </c>
      <c r="N390" s="50">
        <v>0</v>
      </c>
      <c r="O390" s="50">
        <v>2193076</v>
      </c>
      <c r="P390" s="50">
        <v>2193076</v>
      </c>
      <c r="Q390" s="87">
        <v>0</v>
      </c>
      <c r="R390" s="152">
        <v>0</v>
      </c>
      <c r="S390" s="174" t="s">
        <v>5081</v>
      </c>
      <c r="T390" s="74">
        <v>46172</v>
      </c>
      <c r="U390" s="74">
        <v>46172</v>
      </c>
      <c r="V390" s="48"/>
      <c r="W390" s="48"/>
      <c r="X390" s="48"/>
      <c r="Y390" s="48">
        <v>0</v>
      </c>
      <c r="Z390" s="48" t="s">
        <v>4622</v>
      </c>
      <c r="AA390" s="48" t="s">
        <v>95</v>
      </c>
      <c r="AB390" s="48" t="s">
        <v>27</v>
      </c>
      <c r="AC390" s="48" t="s">
        <v>28</v>
      </c>
      <c r="AD390" s="89" t="s">
        <v>1026</v>
      </c>
    </row>
    <row r="391" spans="1:30" ht="15.75" hidden="1" x14ac:dyDescent="0.25">
      <c r="A391" s="48" t="s">
        <v>214</v>
      </c>
      <c r="B391" s="74">
        <v>45015</v>
      </c>
      <c r="C391" s="48" t="s">
        <v>1182</v>
      </c>
      <c r="D391" s="48" t="s">
        <v>20</v>
      </c>
      <c r="E391" s="48" t="s">
        <v>39</v>
      </c>
      <c r="F391" s="48" t="s">
        <v>22</v>
      </c>
      <c r="G391" s="48" t="s">
        <v>24</v>
      </c>
      <c r="H391" s="48" t="s">
        <v>90</v>
      </c>
      <c r="I391" s="48" t="s">
        <v>26</v>
      </c>
      <c r="J391" s="48">
        <v>1020001</v>
      </c>
      <c r="K391" s="50">
        <v>9577116</v>
      </c>
      <c r="L391" s="50">
        <v>1</v>
      </c>
      <c r="M391" s="50">
        <v>9577116</v>
      </c>
      <c r="N391" s="50">
        <v>9501205.2300000004</v>
      </c>
      <c r="O391" s="50">
        <v>75910.77</v>
      </c>
      <c r="P391" s="50">
        <v>0</v>
      </c>
      <c r="Q391" s="87">
        <v>75910.77</v>
      </c>
      <c r="R391" s="152">
        <v>0</v>
      </c>
      <c r="S391" s="174"/>
      <c r="T391" s="74">
        <v>45230</v>
      </c>
      <c r="U391" s="74">
        <v>45138</v>
      </c>
      <c r="V391" s="48"/>
      <c r="W391" s="48"/>
      <c r="X391" s="48"/>
      <c r="Y391" s="48">
        <v>0</v>
      </c>
      <c r="Z391" s="48"/>
      <c r="AA391" s="48" t="s">
        <v>21</v>
      </c>
      <c r="AB391" s="48" t="s">
        <v>27</v>
      </c>
      <c r="AC391" s="48"/>
      <c r="AD391" s="89" t="s">
        <v>845</v>
      </c>
    </row>
    <row r="392" spans="1:30" ht="15.75" hidden="1" x14ac:dyDescent="0.25">
      <c r="A392" s="48" t="s">
        <v>249</v>
      </c>
      <c r="B392" s="74">
        <v>45292</v>
      </c>
      <c r="C392" s="48" t="s">
        <v>1182</v>
      </c>
      <c r="D392" s="48" t="s">
        <v>20</v>
      </c>
      <c r="E392" s="48" t="s">
        <v>39</v>
      </c>
      <c r="F392" s="48" t="s">
        <v>22</v>
      </c>
      <c r="G392" s="48" t="s">
        <v>24</v>
      </c>
      <c r="H392" s="48" t="s">
        <v>25</v>
      </c>
      <c r="I392" s="48" t="s">
        <v>26</v>
      </c>
      <c r="J392" s="48">
        <v>1020052</v>
      </c>
      <c r="K392" s="50">
        <v>4998187.67</v>
      </c>
      <c r="L392" s="50">
        <v>1</v>
      </c>
      <c r="M392" s="50">
        <v>4998187.67</v>
      </c>
      <c r="N392" s="50">
        <v>4998187.67</v>
      </c>
      <c r="O392" s="50">
        <v>0</v>
      </c>
      <c r="P392" s="50">
        <v>0</v>
      </c>
      <c r="Q392" s="87">
        <v>0</v>
      </c>
      <c r="R392" s="152">
        <v>0</v>
      </c>
      <c r="S392" s="174"/>
      <c r="T392" s="74">
        <v>45291</v>
      </c>
      <c r="U392" s="74">
        <v>45291</v>
      </c>
      <c r="V392" s="48"/>
      <c r="W392" s="48"/>
      <c r="X392" s="48"/>
      <c r="Y392" s="48">
        <v>0</v>
      </c>
      <c r="Z392" s="48"/>
      <c r="AA392" s="48" t="s">
        <v>21</v>
      </c>
      <c r="AB392" s="48" t="s">
        <v>27</v>
      </c>
      <c r="AC392" s="48"/>
      <c r="AD392" s="89" t="s">
        <v>845</v>
      </c>
    </row>
    <row r="393" spans="1:30" ht="15.75" hidden="1" x14ac:dyDescent="0.25">
      <c r="A393" s="48" t="s">
        <v>173</v>
      </c>
      <c r="B393" s="74">
        <v>45011</v>
      </c>
      <c r="C393" s="48" t="s">
        <v>1182</v>
      </c>
      <c r="D393" s="48" t="s">
        <v>20</v>
      </c>
      <c r="E393" s="48" t="s">
        <v>39</v>
      </c>
      <c r="F393" s="48" t="s">
        <v>22</v>
      </c>
      <c r="G393" s="48" t="s">
        <v>24</v>
      </c>
      <c r="H393" s="48" t="s">
        <v>25</v>
      </c>
      <c r="I393" s="48" t="s">
        <v>26</v>
      </c>
      <c r="J393" s="48">
        <v>1020052</v>
      </c>
      <c r="K393" s="50">
        <v>853853.28</v>
      </c>
      <c r="L393" s="50">
        <v>1</v>
      </c>
      <c r="M393" s="50">
        <v>853853.28</v>
      </c>
      <c r="N393" s="50">
        <v>853853.28</v>
      </c>
      <c r="O393" s="50">
        <v>0</v>
      </c>
      <c r="P393" s="50">
        <v>0</v>
      </c>
      <c r="Q393" s="87">
        <v>0</v>
      </c>
      <c r="R393" s="152">
        <v>0</v>
      </c>
      <c r="S393" s="174"/>
      <c r="T393" s="74">
        <v>45291</v>
      </c>
      <c r="U393" s="74">
        <v>45291</v>
      </c>
      <c r="V393" s="48"/>
      <c r="W393" s="48"/>
      <c r="X393" s="48"/>
      <c r="Y393" s="48">
        <v>0</v>
      </c>
      <c r="Z393" s="48"/>
      <c r="AA393" s="48" t="s">
        <v>21</v>
      </c>
      <c r="AB393" s="48" t="s">
        <v>27</v>
      </c>
      <c r="AC393" s="48"/>
      <c r="AD393" s="89" t="s">
        <v>845</v>
      </c>
    </row>
    <row r="394" spans="1:30" ht="15.75" hidden="1" x14ac:dyDescent="0.25">
      <c r="A394" s="48" t="s">
        <v>174</v>
      </c>
      <c r="B394" s="74">
        <v>45011</v>
      </c>
      <c r="C394" s="48" t="s">
        <v>1182</v>
      </c>
      <c r="D394" s="48" t="s">
        <v>20</v>
      </c>
      <c r="E394" s="48" t="s">
        <v>39</v>
      </c>
      <c r="F394" s="48" t="s">
        <v>22</v>
      </c>
      <c r="G394" s="48" t="s">
        <v>24</v>
      </c>
      <c r="H394" s="48" t="s">
        <v>25</v>
      </c>
      <c r="I394" s="48" t="s">
        <v>26</v>
      </c>
      <c r="J394" s="48">
        <v>1020052</v>
      </c>
      <c r="K394" s="50">
        <v>1707750</v>
      </c>
      <c r="L394" s="50">
        <v>1</v>
      </c>
      <c r="M394" s="50">
        <v>1707750</v>
      </c>
      <c r="N394" s="50">
        <v>1707750</v>
      </c>
      <c r="O394" s="50">
        <v>0</v>
      </c>
      <c r="P394" s="50">
        <v>0</v>
      </c>
      <c r="Q394" s="87">
        <v>0</v>
      </c>
      <c r="R394" s="152">
        <v>0</v>
      </c>
      <c r="S394" s="174"/>
      <c r="T394" s="74">
        <v>45291</v>
      </c>
      <c r="U394" s="74">
        <v>45291</v>
      </c>
      <c r="V394" s="48"/>
      <c r="W394" s="48"/>
      <c r="X394" s="48"/>
      <c r="Y394" s="48">
        <v>0</v>
      </c>
      <c r="Z394" s="48"/>
      <c r="AA394" s="48" t="s">
        <v>21</v>
      </c>
      <c r="AB394" s="48" t="s">
        <v>27</v>
      </c>
      <c r="AC394" s="48"/>
      <c r="AD394" s="89" t="s">
        <v>845</v>
      </c>
    </row>
    <row r="395" spans="1:30" ht="15.75" hidden="1" x14ac:dyDescent="0.25">
      <c r="A395" s="48" t="s">
        <v>38</v>
      </c>
      <c r="B395" s="74">
        <v>45167</v>
      </c>
      <c r="C395" s="48" t="s">
        <v>441</v>
      </c>
      <c r="D395" s="48" t="s">
        <v>20</v>
      </c>
      <c r="E395" s="48" t="s">
        <v>39</v>
      </c>
      <c r="F395" s="48" t="s">
        <v>22</v>
      </c>
      <c r="G395" s="48" t="s">
        <v>24</v>
      </c>
      <c r="H395" s="48" t="s">
        <v>22</v>
      </c>
      <c r="I395" s="48" t="s">
        <v>26</v>
      </c>
      <c r="J395" s="48">
        <v>1020055</v>
      </c>
      <c r="K395" s="50">
        <v>3991924.87</v>
      </c>
      <c r="L395" s="50">
        <v>1</v>
      </c>
      <c r="M395" s="50">
        <v>3991924.87</v>
      </c>
      <c r="N395" s="50">
        <v>3991924.87</v>
      </c>
      <c r="O395" s="50">
        <v>0</v>
      </c>
      <c r="P395" s="50">
        <v>0</v>
      </c>
      <c r="Q395" s="87">
        <v>0</v>
      </c>
      <c r="R395" s="152">
        <v>0</v>
      </c>
      <c r="S395" s="174"/>
      <c r="T395" s="74">
        <v>45474</v>
      </c>
      <c r="U395" s="74">
        <v>45474</v>
      </c>
      <c r="V395" s="48"/>
      <c r="W395" s="48"/>
      <c r="X395" s="48"/>
      <c r="Y395" s="48">
        <v>0</v>
      </c>
      <c r="Z395" s="48"/>
      <c r="AA395" s="48" t="s">
        <v>21</v>
      </c>
      <c r="AB395" s="48" t="s">
        <v>27</v>
      </c>
      <c r="AC395" s="48" t="s">
        <v>28</v>
      </c>
      <c r="AD395" s="89" t="s">
        <v>845</v>
      </c>
    </row>
    <row r="396" spans="1:30" ht="15.75" hidden="1" x14ac:dyDescent="0.25">
      <c r="A396" s="48" t="s">
        <v>153</v>
      </c>
      <c r="B396" s="74">
        <v>45125</v>
      </c>
      <c r="C396" s="48" t="s">
        <v>441</v>
      </c>
      <c r="D396" s="48" t="s">
        <v>20</v>
      </c>
      <c r="E396" s="48" t="s">
        <v>39</v>
      </c>
      <c r="F396" s="48" t="s">
        <v>22</v>
      </c>
      <c r="G396" s="48" t="s">
        <v>24</v>
      </c>
      <c r="H396" s="48" t="s">
        <v>22</v>
      </c>
      <c r="I396" s="48" t="s">
        <v>26</v>
      </c>
      <c r="J396" s="48">
        <v>1020055</v>
      </c>
      <c r="K396" s="50">
        <v>752957.98</v>
      </c>
      <c r="L396" s="50">
        <v>1</v>
      </c>
      <c r="M396" s="50">
        <v>752957.98</v>
      </c>
      <c r="N396" s="50">
        <v>752957.98</v>
      </c>
      <c r="O396" s="50">
        <v>0</v>
      </c>
      <c r="P396" s="50">
        <v>0</v>
      </c>
      <c r="Q396" s="87">
        <v>0</v>
      </c>
      <c r="R396" s="152">
        <v>0</v>
      </c>
      <c r="S396" s="174"/>
      <c r="T396" s="74">
        <v>45260</v>
      </c>
      <c r="U396" s="74">
        <v>45260</v>
      </c>
      <c r="V396" s="48"/>
      <c r="W396" s="48"/>
      <c r="X396" s="48"/>
      <c r="Y396" s="48">
        <v>0</v>
      </c>
      <c r="Z396" s="48"/>
      <c r="AA396" s="48" t="s">
        <v>21</v>
      </c>
      <c r="AB396" s="48" t="s">
        <v>27</v>
      </c>
      <c r="AC396" s="48"/>
      <c r="AD396" s="89" t="s">
        <v>845</v>
      </c>
    </row>
    <row r="397" spans="1:30" ht="15.75" hidden="1" x14ac:dyDescent="0.25">
      <c r="A397" s="48" t="s">
        <v>79</v>
      </c>
      <c r="B397" s="74">
        <v>45283</v>
      </c>
      <c r="C397" s="48" t="s">
        <v>1181</v>
      </c>
      <c r="D397" s="48" t="s">
        <v>20</v>
      </c>
      <c r="E397" s="48" t="s">
        <v>39</v>
      </c>
      <c r="F397" s="48" t="s">
        <v>63</v>
      </c>
      <c r="G397" s="48" t="s">
        <v>80</v>
      </c>
      <c r="H397" s="48" t="s">
        <v>81</v>
      </c>
      <c r="I397" s="48" t="s">
        <v>26</v>
      </c>
      <c r="J397" s="48">
        <v>1020070</v>
      </c>
      <c r="K397" s="50">
        <v>7021761.2000000002</v>
      </c>
      <c r="L397" s="50">
        <v>1</v>
      </c>
      <c r="M397" s="50">
        <v>7021761.2000000002</v>
      </c>
      <c r="N397" s="50">
        <v>7021761.1999999993</v>
      </c>
      <c r="O397" s="50">
        <v>0</v>
      </c>
      <c r="P397" s="50">
        <v>0</v>
      </c>
      <c r="Q397" s="87">
        <v>0</v>
      </c>
      <c r="R397" s="152">
        <v>0</v>
      </c>
      <c r="S397" s="174"/>
      <c r="T397" s="74">
        <v>45473</v>
      </c>
      <c r="U397" s="74">
        <v>45473</v>
      </c>
      <c r="V397" s="48"/>
      <c r="W397" s="48"/>
      <c r="X397" s="48"/>
      <c r="Y397" s="48">
        <v>0</v>
      </c>
      <c r="Z397" s="48"/>
      <c r="AA397" s="48" t="s">
        <v>62</v>
      </c>
      <c r="AB397" s="48" t="s">
        <v>27</v>
      </c>
      <c r="AC397" s="48"/>
      <c r="AD397" s="89" t="s">
        <v>845</v>
      </c>
    </row>
    <row r="398" spans="1:30" ht="15.75" hidden="1" x14ac:dyDescent="0.25">
      <c r="A398" s="48" t="s">
        <v>420</v>
      </c>
      <c r="B398" s="74">
        <v>45554</v>
      </c>
      <c r="C398" s="48" t="s">
        <v>1181</v>
      </c>
      <c r="D398" s="48" t="s">
        <v>20</v>
      </c>
      <c r="E398" s="48" t="s">
        <v>39</v>
      </c>
      <c r="F398" s="48" t="s">
        <v>96</v>
      </c>
      <c r="G398" s="48" t="s">
        <v>80</v>
      </c>
      <c r="H398" s="48" t="s">
        <v>81</v>
      </c>
      <c r="I398" s="48" t="s">
        <v>26</v>
      </c>
      <c r="J398" s="48">
        <v>1020070</v>
      </c>
      <c r="K398" s="50">
        <v>3543660.2</v>
      </c>
      <c r="L398" s="50">
        <v>1</v>
      </c>
      <c r="M398" s="50">
        <v>3543660.2</v>
      </c>
      <c r="N398" s="50">
        <v>3543660.1999999997</v>
      </c>
      <c r="O398" s="50">
        <v>0</v>
      </c>
      <c r="P398" s="50">
        <v>0</v>
      </c>
      <c r="Q398" s="87">
        <v>0</v>
      </c>
      <c r="R398" s="152">
        <v>0</v>
      </c>
      <c r="S398" s="174"/>
      <c r="T398" s="74">
        <v>45657</v>
      </c>
      <c r="U398" s="74">
        <v>45657</v>
      </c>
      <c r="V398" s="48"/>
      <c r="W398" s="48"/>
      <c r="X398" s="48"/>
      <c r="Y398" s="48">
        <v>0</v>
      </c>
      <c r="Z398" s="48"/>
      <c r="AA398" s="48" t="s">
        <v>95</v>
      </c>
      <c r="AB398" s="48" t="s">
        <v>27</v>
      </c>
      <c r="AC398" s="48" t="s">
        <v>408</v>
      </c>
      <c r="AD398" s="89" t="s">
        <v>845</v>
      </c>
    </row>
    <row r="399" spans="1:30" ht="15.75" hidden="1" x14ac:dyDescent="0.25">
      <c r="A399" s="48" t="s">
        <v>150</v>
      </c>
      <c r="B399" s="74">
        <v>45125</v>
      </c>
      <c r="C399" s="48" t="s">
        <v>441</v>
      </c>
      <c r="D399" s="48" t="s">
        <v>20</v>
      </c>
      <c r="E399" s="48" t="s">
        <v>39</v>
      </c>
      <c r="F399" s="48" t="s">
        <v>22</v>
      </c>
      <c r="G399" s="48" t="s">
        <v>24</v>
      </c>
      <c r="H399" s="48" t="s">
        <v>22</v>
      </c>
      <c r="I399" s="48" t="s">
        <v>26</v>
      </c>
      <c r="J399" s="48">
        <v>1020055</v>
      </c>
      <c r="K399" s="50">
        <v>2836813.01</v>
      </c>
      <c r="L399" s="50">
        <v>1</v>
      </c>
      <c r="M399" s="50">
        <v>2836813.01</v>
      </c>
      <c r="N399" s="50">
        <v>2836813.0100000002</v>
      </c>
      <c r="O399" s="50">
        <v>0</v>
      </c>
      <c r="P399" s="50">
        <v>0</v>
      </c>
      <c r="Q399" s="87">
        <v>0</v>
      </c>
      <c r="R399" s="152">
        <v>0</v>
      </c>
      <c r="S399" s="174"/>
      <c r="T399" s="74">
        <v>45260</v>
      </c>
      <c r="U399" s="74">
        <v>45260</v>
      </c>
      <c r="V399" s="48"/>
      <c r="W399" s="48"/>
      <c r="X399" s="48"/>
      <c r="Y399" s="48">
        <v>0</v>
      </c>
      <c r="Z399" s="48"/>
      <c r="AA399" s="48" t="s">
        <v>21</v>
      </c>
      <c r="AB399" s="48" t="s">
        <v>27</v>
      </c>
      <c r="AC399" s="48"/>
      <c r="AD399" s="89" t="s">
        <v>845</v>
      </c>
    </row>
    <row r="400" spans="1:30" ht="15.75" hidden="1" x14ac:dyDescent="0.25">
      <c r="A400" s="48" t="s">
        <v>226</v>
      </c>
      <c r="B400" s="74">
        <v>45167</v>
      </c>
      <c r="C400" s="48" t="s">
        <v>1184</v>
      </c>
      <c r="D400" s="48" t="s">
        <v>20</v>
      </c>
      <c r="E400" s="48" t="s">
        <v>39</v>
      </c>
      <c r="F400" s="48" t="s">
        <v>22</v>
      </c>
      <c r="G400" s="48" t="s">
        <v>80</v>
      </c>
      <c r="H400" s="48" t="s">
        <v>22</v>
      </c>
      <c r="I400" s="48" t="s">
        <v>26</v>
      </c>
      <c r="J400" s="48">
        <v>1020055</v>
      </c>
      <c r="K400" s="50">
        <v>4440950.5599999996</v>
      </c>
      <c r="L400" s="50">
        <v>1</v>
      </c>
      <c r="M400" s="50">
        <v>4440950.5599999996</v>
      </c>
      <c r="N400" s="50">
        <v>4440950.5599999996</v>
      </c>
      <c r="O400" s="50">
        <v>0</v>
      </c>
      <c r="P400" s="50">
        <v>0</v>
      </c>
      <c r="Q400" s="87">
        <v>0</v>
      </c>
      <c r="R400" s="152">
        <v>0</v>
      </c>
      <c r="S400" s="174"/>
      <c r="T400" s="74">
        <v>45260</v>
      </c>
      <c r="U400" s="74">
        <v>45260</v>
      </c>
      <c r="V400" s="48"/>
      <c r="W400" s="48"/>
      <c r="X400" s="48"/>
      <c r="Y400" s="48">
        <v>0</v>
      </c>
      <c r="Z400" s="48"/>
      <c r="AA400" s="48" t="s">
        <v>21</v>
      </c>
      <c r="AB400" s="48" t="s">
        <v>27</v>
      </c>
      <c r="AC400" s="48"/>
      <c r="AD400" s="89" t="s">
        <v>845</v>
      </c>
    </row>
    <row r="401" spans="1:30" ht="15.75" hidden="1" x14ac:dyDescent="0.25">
      <c r="A401" s="48" t="s">
        <v>5419</v>
      </c>
      <c r="B401" s="74">
        <v>46177</v>
      </c>
      <c r="C401" s="48" t="s">
        <v>441</v>
      </c>
      <c r="D401" s="48" t="s">
        <v>20</v>
      </c>
      <c r="E401" s="48" t="s">
        <v>39</v>
      </c>
      <c r="F401" s="48" t="s">
        <v>710</v>
      </c>
      <c r="G401" s="48" t="s">
        <v>24</v>
      </c>
      <c r="H401" s="48" t="s">
        <v>710</v>
      </c>
      <c r="I401" s="48" t="s">
        <v>26</v>
      </c>
      <c r="J401" s="48">
        <v>1020088</v>
      </c>
      <c r="K401" s="50">
        <v>1000000</v>
      </c>
      <c r="L401" s="50">
        <v>1</v>
      </c>
      <c r="M401" s="50">
        <v>1000000</v>
      </c>
      <c r="N401" s="50">
        <v>0</v>
      </c>
      <c r="O401" s="50">
        <v>1000000</v>
      </c>
      <c r="P401" s="50">
        <v>0</v>
      </c>
      <c r="Q401" s="87">
        <v>1000000</v>
      </c>
      <c r="R401" s="152">
        <v>0</v>
      </c>
      <c r="S401" s="174"/>
      <c r="T401" s="74">
        <v>46265</v>
      </c>
      <c r="U401" s="74">
        <v>46265</v>
      </c>
      <c r="V401" s="48"/>
      <c r="W401" s="48"/>
      <c r="X401" s="48"/>
      <c r="Y401" s="48">
        <v>0</v>
      </c>
      <c r="Z401" s="48"/>
      <c r="AA401" s="48" t="s">
        <v>366</v>
      </c>
      <c r="AB401" s="48" t="s">
        <v>27</v>
      </c>
      <c r="AC401" s="48" t="s">
        <v>5175</v>
      </c>
      <c r="AD401" s="89" t="s">
        <v>1026</v>
      </c>
    </row>
    <row r="402" spans="1:30" ht="15.75" hidden="1" x14ac:dyDescent="0.25">
      <c r="A402" s="48" t="s">
        <v>3953</v>
      </c>
      <c r="B402" s="74">
        <v>46057</v>
      </c>
      <c r="C402" s="48" t="s">
        <v>1537</v>
      </c>
      <c r="D402" s="48" t="s">
        <v>20</v>
      </c>
      <c r="E402" s="48" t="s">
        <v>3856</v>
      </c>
      <c r="F402" s="48" t="s">
        <v>483</v>
      </c>
      <c r="G402" s="48" t="s">
        <v>24</v>
      </c>
      <c r="H402" s="48" t="s">
        <v>483</v>
      </c>
      <c r="I402" s="48" t="s">
        <v>26</v>
      </c>
      <c r="J402" s="48">
        <v>1020096</v>
      </c>
      <c r="K402" s="50">
        <v>500000</v>
      </c>
      <c r="L402" s="50">
        <v>1</v>
      </c>
      <c r="M402" s="50">
        <v>500000</v>
      </c>
      <c r="N402" s="50">
        <v>500000</v>
      </c>
      <c r="O402" s="50">
        <v>0</v>
      </c>
      <c r="P402" s="50">
        <v>0</v>
      </c>
      <c r="Q402" s="87">
        <v>0</v>
      </c>
      <c r="R402" s="152">
        <v>0</v>
      </c>
      <c r="S402" s="174"/>
      <c r="T402" s="74">
        <v>46142</v>
      </c>
      <c r="U402" s="74">
        <v>46142</v>
      </c>
      <c r="V402" s="48"/>
      <c r="W402" s="48"/>
      <c r="X402" s="48"/>
      <c r="Y402" s="48">
        <v>0</v>
      </c>
      <c r="Z402" s="48"/>
      <c r="AA402" s="48" t="s">
        <v>62</v>
      </c>
      <c r="AB402" s="48" t="s">
        <v>27</v>
      </c>
      <c r="AC402" s="48" t="s">
        <v>3229</v>
      </c>
      <c r="AD402" s="89" t="s">
        <v>845</v>
      </c>
    </row>
    <row r="403" spans="1:30" ht="15.75" hidden="1" x14ac:dyDescent="0.25">
      <c r="A403" s="48" t="s">
        <v>3721</v>
      </c>
      <c r="B403" s="74">
        <v>46040</v>
      </c>
      <c r="C403" s="48" t="s">
        <v>1259</v>
      </c>
      <c r="D403" s="48" t="s">
        <v>20</v>
      </c>
      <c r="E403" s="48" t="s">
        <v>3618</v>
      </c>
      <c r="F403" s="48" t="s">
        <v>96</v>
      </c>
      <c r="G403" s="48" t="s">
        <v>1791</v>
      </c>
      <c r="H403" s="48" t="s">
        <v>328</v>
      </c>
      <c r="I403" s="48" t="s">
        <v>26</v>
      </c>
      <c r="J403" s="48">
        <v>1020097</v>
      </c>
      <c r="K403" s="50">
        <v>400000</v>
      </c>
      <c r="L403" s="50">
        <v>1</v>
      </c>
      <c r="M403" s="50">
        <v>400000</v>
      </c>
      <c r="N403" s="50">
        <v>400000</v>
      </c>
      <c r="O403" s="50">
        <v>0</v>
      </c>
      <c r="P403" s="50">
        <v>0</v>
      </c>
      <c r="Q403" s="87">
        <v>0</v>
      </c>
      <c r="R403" s="152">
        <v>0</v>
      </c>
      <c r="S403" s="174"/>
      <c r="T403" s="74">
        <v>46172</v>
      </c>
      <c r="U403" s="74">
        <v>46157</v>
      </c>
      <c r="V403" s="48"/>
      <c r="W403" s="48"/>
      <c r="X403" s="48"/>
      <c r="Y403" s="48">
        <v>0</v>
      </c>
      <c r="Z403" s="48"/>
      <c r="AA403" s="48" t="s">
        <v>95</v>
      </c>
      <c r="AB403" s="48" t="s">
        <v>27</v>
      </c>
      <c r="AC403" s="48" t="s">
        <v>28</v>
      </c>
      <c r="AD403" s="89" t="s">
        <v>1026</v>
      </c>
    </row>
    <row r="404" spans="1:30" ht="15.75" hidden="1" x14ac:dyDescent="0.25">
      <c r="A404" s="48" t="s">
        <v>1498</v>
      </c>
      <c r="B404" s="74">
        <v>45831</v>
      </c>
      <c r="C404" s="48" t="s">
        <v>441</v>
      </c>
      <c r="D404" s="48" t="s">
        <v>20</v>
      </c>
      <c r="E404" s="48" t="s">
        <v>1413</v>
      </c>
      <c r="F404" s="48" t="s">
        <v>22</v>
      </c>
      <c r="G404" s="48" t="s">
        <v>24</v>
      </c>
      <c r="H404" s="48" t="s">
        <v>407</v>
      </c>
      <c r="I404" s="48" t="s">
        <v>26</v>
      </c>
      <c r="J404" s="48">
        <v>1020100</v>
      </c>
      <c r="K404" s="50">
        <v>94929.8</v>
      </c>
      <c r="L404" s="50">
        <v>1</v>
      </c>
      <c r="M404" s="50">
        <v>94929.8</v>
      </c>
      <c r="N404" s="50">
        <v>94929.8</v>
      </c>
      <c r="O404" s="50">
        <v>0</v>
      </c>
      <c r="P404" s="50">
        <v>0</v>
      </c>
      <c r="Q404" s="87">
        <v>0</v>
      </c>
      <c r="R404" s="152">
        <v>0</v>
      </c>
      <c r="S404" s="174"/>
      <c r="T404" s="74">
        <v>45900</v>
      </c>
      <c r="U404" s="74">
        <v>45900</v>
      </c>
      <c r="V404" s="48"/>
      <c r="W404" s="48"/>
      <c r="X404" s="48"/>
      <c r="Y404" s="48">
        <v>0</v>
      </c>
      <c r="Z404" s="48"/>
      <c r="AA404" s="48" t="s">
        <v>21</v>
      </c>
      <c r="AB404" s="48" t="s">
        <v>27</v>
      </c>
      <c r="AC404" s="48" t="s">
        <v>621</v>
      </c>
      <c r="AD404" s="89" t="s">
        <v>845</v>
      </c>
    </row>
    <row r="405" spans="1:30" ht="15.75" hidden="1" x14ac:dyDescent="0.25">
      <c r="A405" s="48" t="s">
        <v>4553</v>
      </c>
      <c r="B405" s="74">
        <v>46118</v>
      </c>
      <c r="C405" s="48" t="s">
        <v>441</v>
      </c>
      <c r="D405" s="48" t="s">
        <v>20</v>
      </c>
      <c r="E405" s="48" t="s">
        <v>4503</v>
      </c>
      <c r="F405" s="48" t="s">
        <v>710</v>
      </c>
      <c r="G405" s="48" t="s">
        <v>24</v>
      </c>
      <c r="H405" s="48" t="s">
        <v>710</v>
      </c>
      <c r="I405" s="48" t="s">
        <v>26</v>
      </c>
      <c r="J405" s="48">
        <v>1020088</v>
      </c>
      <c r="K405" s="50">
        <v>150000</v>
      </c>
      <c r="L405" s="50">
        <v>1</v>
      </c>
      <c r="M405" s="50">
        <v>150000</v>
      </c>
      <c r="N405" s="50">
        <v>0</v>
      </c>
      <c r="O405" s="50">
        <v>150000</v>
      </c>
      <c r="P405" s="50">
        <v>0</v>
      </c>
      <c r="Q405" s="87">
        <v>150000</v>
      </c>
      <c r="R405" s="152">
        <v>0</v>
      </c>
      <c r="S405" s="174"/>
      <c r="T405" s="74">
        <v>46203</v>
      </c>
      <c r="U405" s="74">
        <v>46203</v>
      </c>
      <c r="V405" s="48"/>
      <c r="W405" s="48"/>
      <c r="X405" s="48"/>
      <c r="Y405" s="48">
        <v>0</v>
      </c>
      <c r="Z405" s="48"/>
      <c r="AA405" s="48" t="s">
        <v>366</v>
      </c>
      <c r="AB405" s="48" t="s">
        <v>27</v>
      </c>
      <c r="AC405" s="48" t="s">
        <v>4493</v>
      </c>
      <c r="AD405" s="89" t="s">
        <v>1026</v>
      </c>
    </row>
    <row r="406" spans="1:30" ht="15.75" hidden="1" x14ac:dyDescent="0.25">
      <c r="A406" s="48" t="s">
        <v>715</v>
      </c>
      <c r="B406" s="74">
        <v>45726</v>
      </c>
      <c r="C406" s="48" t="s">
        <v>441</v>
      </c>
      <c r="D406" s="48" t="s">
        <v>20</v>
      </c>
      <c r="E406" s="48" t="s">
        <v>716</v>
      </c>
      <c r="F406" s="48" t="s">
        <v>710</v>
      </c>
      <c r="G406" s="48" t="s">
        <v>24</v>
      </c>
      <c r="H406" s="48" t="s">
        <v>710</v>
      </c>
      <c r="I406" s="48" t="s">
        <v>26</v>
      </c>
      <c r="J406" s="48">
        <v>1020088</v>
      </c>
      <c r="K406" s="50">
        <v>4000000</v>
      </c>
      <c r="L406" s="50">
        <v>1</v>
      </c>
      <c r="M406" s="50">
        <v>4000000</v>
      </c>
      <c r="N406" s="50">
        <v>4000000</v>
      </c>
      <c r="O406" s="50">
        <v>0</v>
      </c>
      <c r="P406" s="50">
        <v>0</v>
      </c>
      <c r="Q406" s="87">
        <v>0</v>
      </c>
      <c r="R406" s="152">
        <v>0</v>
      </c>
      <c r="S406" s="174"/>
      <c r="T406" s="74">
        <v>45808</v>
      </c>
      <c r="U406" s="74">
        <v>45808</v>
      </c>
      <c r="V406" s="48"/>
      <c r="W406" s="48"/>
      <c r="X406" s="48"/>
      <c r="Y406" s="48">
        <v>0</v>
      </c>
      <c r="Z406" s="48"/>
      <c r="AA406" s="48" t="s">
        <v>366</v>
      </c>
      <c r="AB406" s="48" t="s">
        <v>27</v>
      </c>
      <c r="AC406" s="48" t="s">
        <v>311</v>
      </c>
      <c r="AD406" s="89" t="s">
        <v>845</v>
      </c>
    </row>
    <row r="407" spans="1:30" ht="15.75" hidden="1" x14ac:dyDescent="0.25">
      <c r="A407" s="48" t="s">
        <v>615</v>
      </c>
      <c r="B407" s="74">
        <v>45684</v>
      </c>
      <c r="C407" s="48" t="s">
        <v>441</v>
      </c>
      <c r="D407" s="48" t="s">
        <v>20</v>
      </c>
      <c r="E407" s="48" t="s">
        <v>616</v>
      </c>
      <c r="F407" s="48" t="s">
        <v>613</v>
      </c>
      <c r="G407" s="48" t="s">
        <v>24</v>
      </c>
      <c r="H407" s="48" t="s">
        <v>613</v>
      </c>
      <c r="I407" s="48" t="s">
        <v>26</v>
      </c>
      <c r="J407" s="48">
        <v>1020106</v>
      </c>
      <c r="K407" s="50">
        <v>2103975.9500000002</v>
      </c>
      <c r="L407" s="50">
        <v>1</v>
      </c>
      <c r="M407" s="50">
        <v>2103975.9500000002</v>
      </c>
      <c r="N407" s="50">
        <v>2103975.9500000002</v>
      </c>
      <c r="O407" s="50">
        <v>0</v>
      </c>
      <c r="P407" s="50">
        <v>0</v>
      </c>
      <c r="Q407" s="87">
        <v>0</v>
      </c>
      <c r="R407" s="152">
        <v>0</v>
      </c>
      <c r="S407" s="174"/>
      <c r="T407" s="74">
        <v>45792</v>
      </c>
      <c r="U407" s="74">
        <v>45777</v>
      </c>
      <c r="V407" s="48"/>
      <c r="W407" s="48"/>
      <c r="X407" s="48"/>
      <c r="Y407" s="48"/>
      <c r="Z407" s="48"/>
      <c r="AA407" s="48" t="s">
        <v>612</v>
      </c>
      <c r="AB407" s="48" t="s">
        <v>27</v>
      </c>
      <c r="AC407" s="48" t="s">
        <v>311</v>
      </c>
      <c r="AD407" s="89" t="s">
        <v>845</v>
      </c>
    </row>
    <row r="408" spans="1:30" ht="15.75" hidden="1" x14ac:dyDescent="0.25">
      <c r="A408" s="48" t="s">
        <v>1493</v>
      </c>
      <c r="B408" s="74">
        <v>45831</v>
      </c>
      <c r="C408" s="48" t="s">
        <v>441</v>
      </c>
      <c r="D408" s="48" t="s">
        <v>20</v>
      </c>
      <c r="E408" s="48" t="s">
        <v>1374</v>
      </c>
      <c r="F408" s="48" t="s">
        <v>22</v>
      </c>
      <c r="G408" s="48" t="s">
        <v>24</v>
      </c>
      <c r="H408" s="48" t="s">
        <v>407</v>
      </c>
      <c r="I408" s="48" t="s">
        <v>26</v>
      </c>
      <c r="J408" s="48">
        <v>1020100</v>
      </c>
      <c r="K408" s="50">
        <v>500000</v>
      </c>
      <c r="L408" s="50">
        <v>1</v>
      </c>
      <c r="M408" s="50">
        <v>500000</v>
      </c>
      <c r="N408" s="50">
        <v>500000</v>
      </c>
      <c r="O408" s="50">
        <v>0</v>
      </c>
      <c r="P408" s="50">
        <v>0</v>
      </c>
      <c r="Q408" s="87">
        <v>0</v>
      </c>
      <c r="R408" s="152">
        <v>0</v>
      </c>
      <c r="S408" s="174"/>
      <c r="T408" s="74">
        <v>45900</v>
      </c>
      <c r="U408" s="74">
        <v>45900</v>
      </c>
      <c r="V408" s="48"/>
      <c r="W408" s="48"/>
      <c r="X408" s="48"/>
      <c r="Y408" s="48">
        <v>0</v>
      </c>
      <c r="Z408" s="48"/>
      <c r="AA408" s="48" t="s">
        <v>21</v>
      </c>
      <c r="AB408" s="48" t="s">
        <v>27</v>
      </c>
      <c r="AC408" s="48" t="s">
        <v>621</v>
      </c>
      <c r="AD408" s="89" t="s">
        <v>845</v>
      </c>
    </row>
    <row r="409" spans="1:30" ht="15.75" hidden="1" x14ac:dyDescent="0.25">
      <c r="A409" s="48" t="s">
        <v>2904</v>
      </c>
      <c r="B409" s="74">
        <v>45992</v>
      </c>
      <c r="C409" s="48" t="s">
        <v>441</v>
      </c>
      <c r="D409" s="48" t="s">
        <v>20</v>
      </c>
      <c r="E409" s="48" t="s">
        <v>1374</v>
      </c>
      <c r="F409" s="48" t="s">
        <v>710</v>
      </c>
      <c r="G409" s="48" t="s">
        <v>24</v>
      </c>
      <c r="H409" s="48" t="s">
        <v>710</v>
      </c>
      <c r="I409" s="48" t="s">
        <v>26</v>
      </c>
      <c r="J409" s="48">
        <v>1020088</v>
      </c>
      <c r="K409" s="50">
        <v>6908467.5099999998</v>
      </c>
      <c r="L409" s="50">
        <v>1</v>
      </c>
      <c r="M409" s="50">
        <v>6908467.5099999998</v>
      </c>
      <c r="N409" s="50">
        <v>6903372.0600000005</v>
      </c>
      <c r="O409" s="50">
        <v>5095.45</v>
      </c>
      <c r="P409" s="50">
        <v>0</v>
      </c>
      <c r="Q409" s="87">
        <v>5095.45</v>
      </c>
      <c r="R409" s="152">
        <v>0</v>
      </c>
      <c r="S409" s="174"/>
      <c r="T409" s="74">
        <v>46142</v>
      </c>
      <c r="U409" s="74">
        <v>46142</v>
      </c>
      <c r="V409" s="48"/>
      <c r="W409" s="48"/>
      <c r="X409" s="48"/>
      <c r="Y409" s="48">
        <v>0</v>
      </c>
      <c r="Z409" s="48"/>
      <c r="AA409" s="48" t="s">
        <v>366</v>
      </c>
      <c r="AB409" s="48" t="s">
        <v>27</v>
      </c>
      <c r="AC409" s="48" t="s">
        <v>621</v>
      </c>
      <c r="AD409" s="89" t="s">
        <v>845</v>
      </c>
    </row>
    <row r="410" spans="1:30" ht="15.75" hidden="1" x14ac:dyDescent="0.25">
      <c r="A410" s="48" t="s">
        <v>4567</v>
      </c>
      <c r="B410" s="74">
        <v>46118</v>
      </c>
      <c r="C410" s="48" t="s">
        <v>441</v>
      </c>
      <c r="D410" s="48" t="s">
        <v>20</v>
      </c>
      <c r="E410" s="48" t="s">
        <v>4499</v>
      </c>
      <c r="F410" s="48" t="s">
        <v>710</v>
      </c>
      <c r="G410" s="48" t="s">
        <v>24</v>
      </c>
      <c r="H410" s="48" t="s">
        <v>710</v>
      </c>
      <c r="I410" s="48" t="s">
        <v>26</v>
      </c>
      <c r="J410" s="48">
        <v>1020088</v>
      </c>
      <c r="K410" s="50">
        <v>1000000</v>
      </c>
      <c r="L410" s="50">
        <v>1</v>
      </c>
      <c r="M410" s="50">
        <v>1000000</v>
      </c>
      <c r="N410" s="50">
        <v>0</v>
      </c>
      <c r="O410" s="50">
        <v>1000000</v>
      </c>
      <c r="P410" s="50">
        <v>995984.82</v>
      </c>
      <c r="Q410" s="87">
        <v>4015.18</v>
      </c>
      <c r="R410" s="152">
        <v>0</v>
      </c>
      <c r="S410" s="174" t="s">
        <v>5543</v>
      </c>
      <c r="T410" s="74">
        <v>46203</v>
      </c>
      <c r="U410" s="74">
        <v>46203</v>
      </c>
      <c r="V410" s="48"/>
      <c r="W410" s="48"/>
      <c r="X410" s="48"/>
      <c r="Y410" s="48">
        <v>0</v>
      </c>
      <c r="Z410" s="48"/>
      <c r="AA410" s="48" t="s">
        <v>366</v>
      </c>
      <c r="AB410" s="48" t="s">
        <v>27</v>
      </c>
      <c r="AC410" s="48" t="s">
        <v>4493</v>
      </c>
      <c r="AD410" s="89" t="s">
        <v>1026</v>
      </c>
    </row>
    <row r="411" spans="1:30" ht="15.75" hidden="1" x14ac:dyDescent="0.25">
      <c r="A411" s="48" t="s">
        <v>5418</v>
      </c>
      <c r="B411" s="74">
        <v>46177</v>
      </c>
      <c r="C411" s="48" t="s">
        <v>441</v>
      </c>
      <c r="D411" s="48" t="s">
        <v>20</v>
      </c>
      <c r="E411" s="48" t="s">
        <v>1374</v>
      </c>
      <c r="F411" s="48" t="s">
        <v>710</v>
      </c>
      <c r="G411" s="48" t="s">
        <v>24</v>
      </c>
      <c r="H411" s="48" t="s">
        <v>710</v>
      </c>
      <c r="I411" s="48" t="s">
        <v>26</v>
      </c>
      <c r="J411" s="48">
        <v>1020088</v>
      </c>
      <c r="K411" s="50">
        <v>1000000</v>
      </c>
      <c r="L411" s="50">
        <v>1</v>
      </c>
      <c r="M411" s="50">
        <v>1000000</v>
      </c>
      <c r="N411" s="50">
        <v>0</v>
      </c>
      <c r="O411" s="50">
        <v>1000000</v>
      </c>
      <c r="P411" s="50">
        <v>0</v>
      </c>
      <c r="Q411" s="87">
        <v>1000000</v>
      </c>
      <c r="R411" s="152">
        <v>0</v>
      </c>
      <c r="S411" s="174"/>
      <c r="T411" s="74">
        <v>46265</v>
      </c>
      <c r="U411" s="74">
        <v>46265</v>
      </c>
      <c r="V411" s="48"/>
      <c r="W411" s="48"/>
      <c r="X411" s="48"/>
      <c r="Y411" s="48">
        <v>0</v>
      </c>
      <c r="Z411" s="48"/>
      <c r="AA411" s="48" t="s">
        <v>366</v>
      </c>
      <c r="AB411" s="48" t="s">
        <v>27</v>
      </c>
      <c r="AC411" s="48" t="s">
        <v>5175</v>
      </c>
      <c r="AD411" s="89" t="s">
        <v>1026</v>
      </c>
    </row>
    <row r="412" spans="1:30" ht="15.75" hidden="1" x14ac:dyDescent="0.25">
      <c r="A412" s="48" t="s">
        <v>1152</v>
      </c>
      <c r="B412" s="74">
        <v>45756</v>
      </c>
      <c r="C412" s="48" t="s">
        <v>441</v>
      </c>
      <c r="D412" s="48" t="s">
        <v>20</v>
      </c>
      <c r="E412" s="48" t="s">
        <v>840</v>
      </c>
      <c r="F412" s="48" t="s">
        <v>613</v>
      </c>
      <c r="G412" s="48" t="s">
        <v>24</v>
      </c>
      <c r="H412" s="48" t="s">
        <v>613</v>
      </c>
      <c r="I412" s="48" t="s">
        <v>26</v>
      </c>
      <c r="J412" s="48">
        <v>1020106</v>
      </c>
      <c r="K412" s="50">
        <v>2139000</v>
      </c>
      <c r="L412" s="50">
        <v>1</v>
      </c>
      <c r="M412" s="50">
        <v>2139000</v>
      </c>
      <c r="N412" s="50">
        <v>2138999.4</v>
      </c>
      <c r="O412" s="50">
        <v>0.6</v>
      </c>
      <c r="P412" s="50">
        <v>0</v>
      </c>
      <c r="Q412" s="87">
        <v>0.6</v>
      </c>
      <c r="R412" s="152">
        <v>0</v>
      </c>
      <c r="S412" s="174"/>
      <c r="T412" s="74">
        <v>45900</v>
      </c>
      <c r="U412" s="74">
        <v>45900</v>
      </c>
      <c r="V412" s="48"/>
      <c r="W412" s="48"/>
      <c r="X412" s="48"/>
      <c r="Y412" s="48">
        <v>0</v>
      </c>
      <c r="Z412" s="48"/>
      <c r="AA412" s="48" t="s">
        <v>612</v>
      </c>
      <c r="AB412" s="48" t="s">
        <v>27</v>
      </c>
      <c r="AC412" s="48" t="s">
        <v>311</v>
      </c>
      <c r="AD412" s="89" t="s">
        <v>845</v>
      </c>
    </row>
    <row r="413" spans="1:30" ht="15.75" hidden="1" x14ac:dyDescent="0.25">
      <c r="A413" s="48" t="s">
        <v>1234</v>
      </c>
      <c r="B413" s="74">
        <v>45775</v>
      </c>
      <c r="C413" s="48" t="s">
        <v>441</v>
      </c>
      <c r="D413" s="48" t="s">
        <v>20</v>
      </c>
      <c r="E413" s="48" t="s">
        <v>840</v>
      </c>
      <c r="F413" s="48" t="s">
        <v>613</v>
      </c>
      <c r="G413" s="48" t="s">
        <v>24</v>
      </c>
      <c r="H413" s="48" t="s">
        <v>613</v>
      </c>
      <c r="I413" s="48" t="s">
        <v>26</v>
      </c>
      <c r="J413" s="48">
        <v>1020106</v>
      </c>
      <c r="K413" s="50">
        <v>499955.6</v>
      </c>
      <c r="L413" s="50">
        <v>1</v>
      </c>
      <c r="M413" s="50">
        <v>499955.6</v>
      </c>
      <c r="N413" s="50">
        <v>499955.6</v>
      </c>
      <c r="O413" s="50">
        <v>0</v>
      </c>
      <c r="P413" s="50">
        <v>0</v>
      </c>
      <c r="Q413" s="87">
        <v>0</v>
      </c>
      <c r="R413" s="152">
        <v>0</v>
      </c>
      <c r="S413" s="174"/>
      <c r="T413" s="74">
        <v>45869</v>
      </c>
      <c r="U413" s="74">
        <v>45869</v>
      </c>
      <c r="V413" s="48"/>
      <c r="W413" s="48"/>
      <c r="X413" s="48"/>
      <c r="Y413" s="48"/>
      <c r="Z413" s="48"/>
      <c r="AA413" s="48" t="s">
        <v>612</v>
      </c>
      <c r="AB413" s="48" t="s">
        <v>27</v>
      </c>
      <c r="AC413" s="48" t="s">
        <v>311</v>
      </c>
      <c r="AD413" s="89" t="s">
        <v>845</v>
      </c>
    </row>
    <row r="414" spans="1:30" ht="15.75" hidden="1" x14ac:dyDescent="0.25">
      <c r="A414" s="48" t="s">
        <v>1876</v>
      </c>
      <c r="B414" s="74">
        <v>45914</v>
      </c>
      <c r="C414" s="48" t="s">
        <v>441</v>
      </c>
      <c r="D414" s="48" t="s">
        <v>20</v>
      </c>
      <c r="E414" s="48" t="s">
        <v>1838</v>
      </c>
      <c r="F414" s="48" t="s">
        <v>710</v>
      </c>
      <c r="G414" s="48" t="s">
        <v>24</v>
      </c>
      <c r="H414" s="48" t="s">
        <v>710</v>
      </c>
      <c r="I414" s="48" t="s">
        <v>26</v>
      </c>
      <c r="J414" s="48">
        <v>1020088</v>
      </c>
      <c r="K414" s="50">
        <v>5000000</v>
      </c>
      <c r="L414" s="50">
        <v>1</v>
      </c>
      <c r="M414" s="50">
        <v>5000000</v>
      </c>
      <c r="N414" s="50">
        <v>4999038.42</v>
      </c>
      <c r="O414" s="50">
        <v>961.58</v>
      </c>
      <c r="P414" s="50">
        <v>0</v>
      </c>
      <c r="Q414" s="87">
        <v>961.58</v>
      </c>
      <c r="R414" s="152">
        <v>0</v>
      </c>
      <c r="S414" s="174"/>
      <c r="T414" s="74">
        <v>46022</v>
      </c>
      <c r="U414" s="74">
        <v>46022</v>
      </c>
      <c r="V414" s="48"/>
      <c r="W414" s="48"/>
      <c r="X414" s="48"/>
      <c r="Y414" s="48">
        <v>0</v>
      </c>
      <c r="Z414" s="48"/>
      <c r="AA414" s="48" t="s">
        <v>366</v>
      </c>
      <c r="AB414" s="48" t="s">
        <v>27</v>
      </c>
      <c r="AC414" s="48" t="s">
        <v>621</v>
      </c>
      <c r="AD414" s="89" t="s">
        <v>845</v>
      </c>
    </row>
    <row r="415" spans="1:30" ht="15.75" hidden="1" x14ac:dyDescent="0.25">
      <c r="A415" s="48" t="s">
        <v>504</v>
      </c>
      <c r="B415" s="74">
        <v>45595</v>
      </c>
      <c r="C415" s="48" t="s">
        <v>441</v>
      </c>
      <c r="D415" s="48" t="s">
        <v>20</v>
      </c>
      <c r="E415" s="48" t="s">
        <v>505</v>
      </c>
      <c r="F415" s="48" t="s">
        <v>96</v>
      </c>
      <c r="G415" s="48" t="s">
        <v>24</v>
      </c>
      <c r="H415" s="48" t="s">
        <v>25</v>
      </c>
      <c r="I415" s="48" t="s">
        <v>26</v>
      </c>
      <c r="J415" s="48">
        <v>1020052</v>
      </c>
      <c r="K415" s="50">
        <v>4626403.66</v>
      </c>
      <c r="L415" s="50">
        <v>1</v>
      </c>
      <c r="M415" s="50">
        <v>4626403.66</v>
      </c>
      <c r="N415" s="50">
        <v>4626403.66</v>
      </c>
      <c r="O415" s="50">
        <v>0</v>
      </c>
      <c r="P415" s="50">
        <v>0</v>
      </c>
      <c r="Q415" s="87">
        <v>0</v>
      </c>
      <c r="R415" s="152">
        <v>0</v>
      </c>
      <c r="S415" s="174"/>
      <c r="T415" s="74">
        <v>45688</v>
      </c>
      <c r="U415" s="74">
        <v>45661</v>
      </c>
      <c r="V415" s="48"/>
      <c r="W415" s="48"/>
      <c r="X415" s="48"/>
      <c r="Y415" s="48">
        <v>0</v>
      </c>
      <c r="Z415" s="48"/>
      <c r="AA415" s="48" t="s">
        <v>95</v>
      </c>
      <c r="AB415" s="48" t="s">
        <v>27</v>
      </c>
      <c r="AC415" s="48" t="s">
        <v>311</v>
      </c>
      <c r="AD415" s="89" t="s">
        <v>845</v>
      </c>
    </row>
    <row r="416" spans="1:30" ht="15.75" hidden="1" x14ac:dyDescent="0.25">
      <c r="A416" s="48" t="s">
        <v>394</v>
      </c>
      <c r="B416" s="74">
        <v>45551</v>
      </c>
      <c r="C416" s="48" t="s">
        <v>441</v>
      </c>
      <c r="D416" s="48" t="s">
        <v>20</v>
      </c>
      <c r="E416" s="48" t="s">
        <v>395</v>
      </c>
      <c r="F416" s="48" t="s">
        <v>96</v>
      </c>
      <c r="G416" s="48" t="s">
        <v>24</v>
      </c>
      <c r="H416" s="48" t="s">
        <v>22</v>
      </c>
      <c r="I416" s="48" t="s">
        <v>26</v>
      </c>
      <c r="J416" s="48">
        <v>1020055</v>
      </c>
      <c r="K416" s="50">
        <v>686893.71</v>
      </c>
      <c r="L416" s="50">
        <v>1</v>
      </c>
      <c r="M416" s="50">
        <v>686893.71</v>
      </c>
      <c r="N416" s="50">
        <v>686893.71</v>
      </c>
      <c r="O416" s="50">
        <v>0</v>
      </c>
      <c r="P416" s="50">
        <v>0</v>
      </c>
      <c r="Q416" s="87">
        <v>0</v>
      </c>
      <c r="R416" s="152">
        <v>0</v>
      </c>
      <c r="S416" s="174"/>
      <c r="T416" s="74">
        <v>45626</v>
      </c>
      <c r="U416" s="74">
        <v>45600</v>
      </c>
      <c r="V416" s="48"/>
      <c r="W416" s="48"/>
      <c r="X416" s="48"/>
      <c r="Y416" s="48">
        <v>0</v>
      </c>
      <c r="Z416" s="48"/>
      <c r="AA416" s="48" t="s">
        <v>95</v>
      </c>
      <c r="AB416" s="48" t="s">
        <v>27</v>
      </c>
      <c r="AC416" s="48" t="s">
        <v>311</v>
      </c>
      <c r="AD416" s="89" t="s">
        <v>845</v>
      </c>
    </row>
    <row r="417" spans="1:30" ht="15.75" hidden="1" x14ac:dyDescent="0.25">
      <c r="A417" s="48" t="s">
        <v>1346</v>
      </c>
      <c r="B417" s="74">
        <v>45792</v>
      </c>
      <c r="C417" s="48" t="s">
        <v>441</v>
      </c>
      <c r="D417" s="48" t="s">
        <v>20</v>
      </c>
      <c r="E417" s="48" t="s">
        <v>395</v>
      </c>
      <c r="F417" s="48" t="s">
        <v>22</v>
      </c>
      <c r="G417" s="48" t="s">
        <v>24</v>
      </c>
      <c r="H417" s="48" t="s">
        <v>22</v>
      </c>
      <c r="I417" s="48" t="s">
        <v>26</v>
      </c>
      <c r="J417" s="48">
        <v>1020055</v>
      </c>
      <c r="K417" s="50">
        <v>391554.28</v>
      </c>
      <c r="L417" s="50">
        <v>1</v>
      </c>
      <c r="M417" s="50">
        <v>391554.28</v>
      </c>
      <c r="N417" s="50">
        <v>391554.28</v>
      </c>
      <c r="O417" s="50">
        <v>0</v>
      </c>
      <c r="P417" s="50">
        <v>0</v>
      </c>
      <c r="Q417" s="87">
        <v>0</v>
      </c>
      <c r="R417" s="152">
        <v>0</v>
      </c>
      <c r="S417" s="174"/>
      <c r="T417" s="74">
        <v>45900</v>
      </c>
      <c r="U417" s="74">
        <v>45900</v>
      </c>
      <c r="V417" s="48"/>
      <c r="W417" s="48"/>
      <c r="X417" s="48"/>
      <c r="Y417" s="48">
        <v>0</v>
      </c>
      <c r="Z417" s="48"/>
      <c r="AA417" s="48" t="s">
        <v>21</v>
      </c>
      <c r="AB417" s="48" t="s">
        <v>27</v>
      </c>
      <c r="AC417" s="48" t="s">
        <v>621</v>
      </c>
      <c r="AD417" s="89" t="s">
        <v>845</v>
      </c>
    </row>
    <row r="418" spans="1:30" ht="15.75" hidden="1" x14ac:dyDescent="0.25">
      <c r="A418" s="48" t="s">
        <v>271</v>
      </c>
      <c r="B418" s="74">
        <v>45435</v>
      </c>
      <c r="C418" s="48" t="s">
        <v>441</v>
      </c>
      <c r="D418" s="48" t="s">
        <v>20</v>
      </c>
      <c r="E418" s="48" t="s">
        <v>121</v>
      </c>
      <c r="F418" s="48" t="s">
        <v>22</v>
      </c>
      <c r="G418" s="48" t="s">
        <v>24</v>
      </c>
      <c r="H418" s="48" t="s">
        <v>22</v>
      </c>
      <c r="I418" s="48" t="s">
        <v>26</v>
      </c>
      <c r="J418" s="48">
        <v>1020055</v>
      </c>
      <c r="K418" s="50">
        <v>700000</v>
      </c>
      <c r="L418" s="50">
        <v>1</v>
      </c>
      <c r="M418" s="50">
        <v>700000</v>
      </c>
      <c r="N418" s="50">
        <v>700000</v>
      </c>
      <c r="O418" s="50">
        <v>0</v>
      </c>
      <c r="P418" s="50">
        <v>0</v>
      </c>
      <c r="Q418" s="87">
        <v>0</v>
      </c>
      <c r="R418" s="152">
        <v>0</v>
      </c>
      <c r="S418" s="174"/>
      <c r="T418" s="74">
        <v>45565</v>
      </c>
      <c r="U418" s="74">
        <v>45565</v>
      </c>
      <c r="V418" s="48"/>
      <c r="W418" s="48"/>
      <c r="X418" s="48"/>
      <c r="Y418" s="48">
        <v>0</v>
      </c>
      <c r="Z418" s="48"/>
      <c r="AA418" s="48" t="s">
        <v>21</v>
      </c>
      <c r="AB418" s="48" t="s">
        <v>27</v>
      </c>
      <c r="AC418" s="48"/>
      <c r="AD418" s="89" t="s">
        <v>845</v>
      </c>
    </row>
    <row r="419" spans="1:30" ht="15.75" hidden="1" x14ac:dyDescent="0.25">
      <c r="A419" s="48" t="s">
        <v>120</v>
      </c>
      <c r="B419" s="74">
        <v>45147</v>
      </c>
      <c r="C419" s="48" t="s">
        <v>441</v>
      </c>
      <c r="D419" s="48" t="s">
        <v>20</v>
      </c>
      <c r="E419" s="48" t="s">
        <v>121</v>
      </c>
      <c r="F419" s="48" t="s">
        <v>22</v>
      </c>
      <c r="G419" s="48" t="s">
        <v>24</v>
      </c>
      <c r="H419" s="48" t="s">
        <v>22</v>
      </c>
      <c r="I419" s="48" t="s">
        <v>26</v>
      </c>
      <c r="J419" s="48">
        <v>1020055</v>
      </c>
      <c r="K419" s="50">
        <v>2200000</v>
      </c>
      <c r="L419" s="50">
        <v>1</v>
      </c>
      <c r="M419" s="50">
        <v>2200000</v>
      </c>
      <c r="N419" s="50">
        <v>2200000</v>
      </c>
      <c r="O419" s="50">
        <v>0</v>
      </c>
      <c r="P419" s="50">
        <v>0</v>
      </c>
      <c r="Q419" s="87">
        <v>0</v>
      </c>
      <c r="R419" s="152">
        <v>0</v>
      </c>
      <c r="S419" s="174"/>
      <c r="T419" s="74">
        <v>45230</v>
      </c>
      <c r="U419" s="74">
        <v>45230</v>
      </c>
      <c r="V419" s="48"/>
      <c r="W419" s="48"/>
      <c r="X419" s="48"/>
      <c r="Y419" s="48">
        <v>0</v>
      </c>
      <c r="Z419" s="48"/>
      <c r="AA419" s="48" t="s">
        <v>21</v>
      </c>
      <c r="AB419" s="48" t="s">
        <v>27</v>
      </c>
      <c r="AC419" s="48" t="s">
        <v>117</v>
      </c>
      <c r="AD419" s="89" t="s">
        <v>845</v>
      </c>
    </row>
    <row r="420" spans="1:30" ht="15.75" hidden="1" x14ac:dyDescent="0.25">
      <c r="A420" s="48" t="s">
        <v>387</v>
      </c>
      <c r="B420" s="74">
        <v>45551</v>
      </c>
      <c r="C420" s="48" t="s">
        <v>441</v>
      </c>
      <c r="D420" s="48" t="s">
        <v>20</v>
      </c>
      <c r="E420" s="48" t="s">
        <v>188</v>
      </c>
      <c r="F420" s="48" t="s">
        <v>96</v>
      </c>
      <c r="G420" s="48" t="s">
        <v>24</v>
      </c>
      <c r="H420" s="48" t="s">
        <v>22</v>
      </c>
      <c r="I420" s="48" t="s">
        <v>26</v>
      </c>
      <c r="J420" s="48">
        <v>1020055</v>
      </c>
      <c r="K420" s="50">
        <v>1000000</v>
      </c>
      <c r="L420" s="50">
        <v>1</v>
      </c>
      <c r="M420" s="50">
        <v>1000000</v>
      </c>
      <c r="N420" s="50">
        <v>1000000</v>
      </c>
      <c r="O420" s="50">
        <v>0</v>
      </c>
      <c r="P420" s="50">
        <v>0</v>
      </c>
      <c r="Q420" s="87">
        <v>0</v>
      </c>
      <c r="R420" s="152">
        <v>0</v>
      </c>
      <c r="S420" s="174"/>
      <c r="T420" s="74">
        <v>45626</v>
      </c>
      <c r="U420" s="74">
        <v>45600</v>
      </c>
      <c r="V420" s="48"/>
      <c r="W420" s="48"/>
      <c r="X420" s="48"/>
      <c r="Y420" s="48">
        <v>0</v>
      </c>
      <c r="Z420" s="48"/>
      <c r="AA420" s="48" t="s">
        <v>95</v>
      </c>
      <c r="AB420" s="48" t="s">
        <v>27</v>
      </c>
      <c r="AC420" s="48" t="s">
        <v>311</v>
      </c>
      <c r="AD420" s="89" t="s">
        <v>845</v>
      </c>
    </row>
    <row r="421" spans="1:30" ht="15.75" hidden="1" x14ac:dyDescent="0.25">
      <c r="A421" s="48" t="s">
        <v>187</v>
      </c>
      <c r="B421" s="74">
        <v>45272</v>
      </c>
      <c r="C421" s="48" t="s">
        <v>441</v>
      </c>
      <c r="D421" s="48" t="s">
        <v>20</v>
      </c>
      <c r="E421" s="48" t="s">
        <v>188</v>
      </c>
      <c r="F421" s="48" t="s">
        <v>22</v>
      </c>
      <c r="G421" s="48" t="s">
        <v>24</v>
      </c>
      <c r="H421" s="48" t="s">
        <v>22</v>
      </c>
      <c r="I421" s="48" t="s">
        <v>26</v>
      </c>
      <c r="J421" s="48">
        <v>1020055</v>
      </c>
      <c r="K421" s="50">
        <v>2000000</v>
      </c>
      <c r="L421" s="50">
        <v>1</v>
      </c>
      <c r="M421" s="50">
        <v>2000000</v>
      </c>
      <c r="N421" s="50">
        <v>2000000.0009999999</v>
      </c>
      <c r="O421" s="50">
        <v>0</v>
      </c>
      <c r="P421" s="50">
        <v>0</v>
      </c>
      <c r="Q421" s="87">
        <v>0</v>
      </c>
      <c r="R421" s="152">
        <v>0</v>
      </c>
      <c r="S421" s="174"/>
      <c r="T421" s="74">
        <v>45350</v>
      </c>
      <c r="U421" s="74">
        <v>45350</v>
      </c>
      <c r="V421" s="48"/>
      <c r="W421" s="48"/>
      <c r="X421" s="48"/>
      <c r="Y421" s="48">
        <v>0</v>
      </c>
      <c r="Z421" s="48"/>
      <c r="AA421" s="48" t="s">
        <v>21</v>
      </c>
      <c r="AB421" s="48" t="s">
        <v>27</v>
      </c>
      <c r="AC421" s="48" t="s">
        <v>117</v>
      </c>
      <c r="AD421" s="89" t="s">
        <v>845</v>
      </c>
    </row>
    <row r="422" spans="1:30" ht="15.75" hidden="1" x14ac:dyDescent="0.25">
      <c r="A422" s="48" t="s">
        <v>639</v>
      </c>
      <c r="B422" s="74">
        <v>45680</v>
      </c>
      <c r="C422" s="48" t="s">
        <v>441</v>
      </c>
      <c r="D422" s="48" t="s">
        <v>20</v>
      </c>
      <c r="E422" s="48" t="s">
        <v>640</v>
      </c>
      <c r="F422" s="48" t="s">
        <v>22</v>
      </c>
      <c r="G422" s="48" t="s">
        <v>24</v>
      </c>
      <c r="H422" s="48" t="s">
        <v>22</v>
      </c>
      <c r="I422" s="48" t="s">
        <v>26</v>
      </c>
      <c r="J422" s="48">
        <v>1020055</v>
      </c>
      <c r="K422" s="50">
        <v>493685.89</v>
      </c>
      <c r="L422" s="50">
        <v>1</v>
      </c>
      <c r="M422" s="50">
        <v>493685.89</v>
      </c>
      <c r="N422" s="50">
        <v>493685.89</v>
      </c>
      <c r="O422" s="50">
        <v>0</v>
      </c>
      <c r="P422" s="50">
        <v>0</v>
      </c>
      <c r="Q422" s="87">
        <v>0</v>
      </c>
      <c r="R422" s="152">
        <v>0</v>
      </c>
      <c r="S422" s="174"/>
      <c r="T422" s="74">
        <v>45777</v>
      </c>
      <c r="U422" s="74">
        <v>45777</v>
      </c>
      <c r="V422" s="48"/>
      <c r="W422" s="48"/>
      <c r="X422" s="48"/>
      <c r="Y422" s="48">
        <v>0</v>
      </c>
      <c r="Z422" s="48"/>
      <c r="AA422" s="48" t="s">
        <v>21</v>
      </c>
      <c r="AB422" s="48" t="s">
        <v>27</v>
      </c>
      <c r="AC422" s="48" t="s">
        <v>311</v>
      </c>
      <c r="AD422" s="89" t="s">
        <v>845</v>
      </c>
    </row>
    <row r="423" spans="1:30" ht="15.75" hidden="1" x14ac:dyDescent="0.25">
      <c r="A423" s="48" t="s">
        <v>577</v>
      </c>
      <c r="B423" s="74">
        <v>45641</v>
      </c>
      <c r="C423" s="48" t="s">
        <v>441</v>
      </c>
      <c r="D423" s="48" t="s">
        <v>20</v>
      </c>
      <c r="E423" s="48" t="s">
        <v>578</v>
      </c>
      <c r="F423" s="48" t="s">
        <v>483</v>
      </c>
      <c r="G423" s="48" t="s">
        <v>24</v>
      </c>
      <c r="H423" s="48" t="s">
        <v>22</v>
      </c>
      <c r="I423" s="48" t="s">
        <v>26</v>
      </c>
      <c r="J423" s="48">
        <v>1020055</v>
      </c>
      <c r="K423" s="50">
        <v>500000</v>
      </c>
      <c r="L423" s="50">
        <v>1</v>
      </c>
      <c r="M423" s="50">
        <v>500000</v>
      </c>
      <c r="N423" s="50">
        <v>500000</v>
      </c>
      <c r="O423" s="50">
        <v>0</v>
      </c>
      <c r="P423" s="50">
        <v>0</v>
      </c>
      <c r="Q423" s="87">
        <v>0</v>
      </c>
      <c r="R423" s="152">
        <v>0</v>
      </c>
      <c r="S423" s="174"/>
      <c r="T423" s="74">
        <v>45747</v>
      </c>
      <c r="U423" s="74">
        <v>45747</v>
      </c>
      <c r="V423" s="48"/>
      <c r="W423" s="48"/>
      <c r="X423" s="48"/>
      <c r="Y423" s="48">
        <v>0</v>
      </c>
      <c r="Z423" s="48"/>
      <c r="AA423" s="48" t="s">
        <v>373</v>
      </c>
      <c r="AB423" s="48" t="s">
        <v>27</v>
      </c>
      <c r="AC423" s="48" t="s">
        <v>311</v>
      </c>
      <c r="AD423" s="89" t="s">
        <v>845</v>
      </c>
    </row>
    <row r="424" spans="1:30" ht="15.75" hidden="1" x14ac:dyDescent="0.25">
      <c r="A424" s="48" t="s">
        <v>793</v>
      </c>
      <c r="B424" s="74">
        <v>45739</v>
      </c>
      <c r="C424" s="48" t="s">
        <v>441</v>
      </c>
      <c r="D424" s="48" t="s">
        <v>20</v>
      </c>
      <c r="E424" s="48" t="s">
        <v>640</v>
      </c>
      <c r="F424" s="48" t="s">
        <v>22</v>
      </c>
      <c r="G424" s="48" t="s">
        <v>24</v>
      </c>
      <c r="H424" s="48" t="s">
        <v>22</v>
      </c>
      <c r="I424" s="48" t="s">
        <v>26</v>
      </c>
      <c r="J424" s="48">
        <v>1020055</v>
      </c>
      <c r="K424" s="50">
        <v>400000</v>
      </c>
      <c r="L424" s="50">
        <v>1</v>
      </c>
      <c r="M424" s="50">
        <v>400000</v>
      </c>
      <c r="N424" s="50">
        <v>400000</v>
      </c>
      <c r="O424" s="50">
        <v>0</v>
      </c>
      <c r="P424" s="50">
        <v>0</v>
      </c>
      <c r="Q424" s="87">
        <v>0</v>
      </c>
      <c r="R424" s="152">
        <v>0</v>
      </c>
      <c r="S424" s="174"/>
      <c r="T424" s="74">
        <v>45900</v>
      </c>
      <c r="U424" s="74">
        <v>45900</v>
      </c>
      <c r="V424" s="48"/>
      <c r="W424" s="48"/>
      <c r="X424" s="48"/>
      <c r="Y424" s="48">
        <v>0</v>
      </c>
      <c r="Z424" s="48"/>
      <c r="AA424" s="48" t="s">
        <v>21</v>
      </c>
      <c r="AB424" s="48" t="s">
        <v>27</v>
      </c>
      <c r="AC424" s="48" t="s">
        <v>311</v>
      </c>
      <c r="AD424" s="89" t="s">
        <v>845</v>
      </c>
    </row>
    <row r="425" spans="1:30" ht="15.75" hidden="1" x14ac:dyDescent="0.25">
      <c r="A425" s="48" t="s">
        <v>1494</v>
      </c>
      <c r="B425" s="74">
        <v>45831</v>
      </c>
      <c r="C425" s="48" t="s">
        <v>441</v>
      </c>
      <c r="D425" s="48" t="s">
        <v>20</v>
      </c>
      <c r="E425" s="48" t="s">
        <v>640</v>
      </c>
      <c r="F425" s="48" t="s">
        <v>22</v>
      </c>
      <c r="G425" s="48" t="s">
        <v>24</v>
      </c>
      <c r="H425" s="48" t="s">
        <v>407</v>
      </c>
      <c r="I425" s="48" t="s">
        <v>26</v>
      </c>
      <c r="J425" s="48">
        <v>1020100</v>
      </c>
      <c r="K425" s="50">
        <v>248951.85</v>
      </c>
      <c r="L425" s="50">
        <v>1</v>
      </c>
      <c r="M425" s="50">
        <v>248951.85</v>
      </c>
      <c r="N425" s="50">
        <v>248951.85</v>
      </c>
      <c r="O425" s="50">
        <v>0</v>
      </c>
      <c r="P425" s="50">
        <v>0</v>
      </c>
      <c r="Q425" s="87">
        <v>0</v>
      </c>
      <c r="R425" s="152">
        <v>0</v>
      </c>
      <c r="S425" s="174"/>
      <c r="T425" s="74">
        <v>45869</v>
      </c>
      <c r="U425" s="74">
        <v>45869</v>
      </c>
      <c r="V425" s="48"/>
      <c r="W425" s="48"/>
      <c r="X425" s="48"/>
      <c r="Y425" s="48"/>
      <c r="Z425" s="48"/>
      <c r="AA425" s="48" t="s">
        <v>21</v>
      </c>
      <c r="AB425" s="48" t="s">
        <v>27</v>
      </c>
      <c r="AC425" s="48" t="s">
        <v>621</v>
      </c>
      <c r="AD425" s="89" t="s">
        <v>845</v>
      </c>
    </row>
    <row r="426" spans="1:30" ht="15.75" hidden="1" x14ac:dyDescent="0.25">
      <c r="A426" s="48" t="s">
        <v>1411</v>
      </c>
      <c r="B426" s="74">
        <v>45804</v>
      </c>
      <c r="C426" s="48" t="s">
        <v>441</v>
      </c>
      <c r="D426" s="48" t="s">
        <v>20</v>
      </c>
      <c r="E426" s="48" t="s">
        <v>1362</v>
      </c>
      <c r="F426" s="48" t="s">
        <v>22</v>
      </c>
      <c r="G426" s="48" t="s">
        <v>24</v>
      </c>
      <c r="H426" s="48" t="s">
        <v>22</v>
      </c>
      <c r="I426" s="48" t="s">
        <v>26</v>
      </c>
      <c r="J426" s="48">
        <v>1020055</v>
      </c>
      <c r="K426" s="50">
        <v>249901.5</v>
      </c>
      <c r="L426" s="50">
        <v>1</v>
      </c>
      <c r="M426" s="50">
        <v>249901.5</v>
      </c>
      <c r="N426" s="50">
        <v>249901.5</v>
      </c>
      <c r="O426" s="50">
        <v>0</v>
      </c>
      <c r="P426" s="50">
        <v>0</v>
      </c>
      <c r="Q426" s="87">
        <v>0</v>
      </c>
      <c r="R426" s="152">
        <v>0</v>
      </c>
      <c r="S426" s="174"/>
      <c r="T426" s="74">
        <v>45900</v>
      </c>
      <c r="U426" s="74">
        <v>45900</v>
      </c>
      <c r="V426" s="48"/>
      <c r="W426" s="48"/>
      <c r="X426" s="48"/>
      <c r="Y426" s="48">
        <v>0</v>
      </c>
      <c r="Z426" s="48"/>
      <c r="AA426" s="48" t="s">
        <v>21</v>
      </c>
      <c r="AB426" s="48" t="s">
        <v>27</v>
      </c>
      <c r="AC426" s="48" t="s">
        <v>621</v>
      </c>
      <c r="AD426" s="89" t="s">
        <v>845</v>
      </c>
    </row>
    <row r="427" spans="1:30" ht="15.75" hidden="1" x14ac:dyDescent="0.25">
      <c r="A427" s="48" t="s">
        <v>1517</v>
      </c>
      <c r="B427" s="74">
        <v>45834</v>
      </c>
      <c r="C427" s="48" t="s">
        <v>441</v>
      </c>
      <c r="D427" s="48" t="s">
        <v>20</v>
      </c>
      <c r="E427" s="48" t="s">
        <v>1462</v>
      </c>
      <c r="F427" s="48" t="s">
        <v>22</v>
      </c>
      <c r="G427" s="48" t="s">
        <v>24</v>
      </c>
      <c r="H427" s="48" t="s">
        <v>407</v>
      </c>
      <c r="I427" s="48" t="s">
        <v>26</v>
      </c>
      <c r="J427" s="48">
        <v>1020100</v>
      </c>
      <c r="K427" s="50">
        <v>378574</v>
      </c>
      <c r="L427" s="50">
        <v>1</v>
      </c>
      <c r="M427" s="50">
        <v>378574</v>
      </c>
      <c r="N427" s="50">
        <v>378574</v>
      </c>
      <c r="O427" s="50">
        <v>0</v>
      </c>
      <c r="P427" s="50">
        <v>0</v>
      </c>
      <c r="Q427" s="87">
        <v>0</v>
      </c>
      <c r="R427" s="152">
        <v>0</v>
      </c>
      <c r="S427" s="174"/>
      <c r="T427" s="74">
        <v>45961</v>
      </c>
      <c r="U427" s="74">
        <v>45961</v>
      </c>
      <c r="V427" s="48"/>
      <c r="W427" s="48"/>
      <c r="X427" s="48"/>
      <c r="Y427" s="48">
        <v>0</v>
      </c>
      <c r="Z427" s="48" t="s">
        <v>1846</v>
      </c>
      <c r="AA427" s="48" t="s">
        <v>21</v>
      </c>
      <c r="AB427" s="48" t="s">
        <v>27</v>
      </c>
      <c r="AC427" s="48" t="s">
        <v>621</v>
      </c>
      <c r="AD427" s="89" t="s">
        <v>845</v>
      </c>
    </row>
    <row r="428" spans="1:30" ht="15.75" hidden="1" x14ac:dyDescent="0.25">
      <c r="A428" s="48" t="s">
        <v>753</v>
      </c>
      <c r="B428" s="74">
        <v>45734</v>
      </c>
      <c r="C428" s="48" t="s">
        <v>509</v>
      </c>
      <c r="D428" s="48" t="s">
        <v>20</v>
      </c>
      <c r="E428" s="48" t="s">
        <v>754</v>
      </c>
      <c r="F428" s="48" t="s">
        <v>22</v>
      </c>
      <c r="G428" s="48" t="s">
        <v>24</v>
      </c>
      <c r="H428" s="48" t="s">
        <v>407</v>
      </c>
      <c r="I428" s="48" t="s">
        <v>26</v>
      </c>
      <c r="J428" s="48">
        <v>1020100</v>
      </c>
      <c r="K428" s="50">
        <v>500000</v>
      </c>
      <c r="L428" s="50">
        <v>1</v>
      </c>
      <c r="M428" s="50">
        <v>500000</v>
      </c>
      <c r="N428" s="50">
        <v>500000</v>
      </c>
      <c r="O428" s="50">
        <v>0</v>
      </c>
      <c r="P428" s="50">
        <v>0</v>
      </c>
      <c r="Q428" s="87">
        <v>0</v>
      </c>
      <c r="R428" s="152">
        <v>0</v>
      </c>
      <c r="S428" s="174"/>
      <c r="T428" s="74">
        <v>45838</v>
      </c>
      <c r="U428" s="74">
        <v>45838</v>
      </c>
      <c r="V428" s="48"/>
      <c r="W428" s="48"/>
      <c r="X428" s="48"/>
      <c r="Y428" s="48">
        <v>0</v>
      </c>
      <c r="Z428" s="48"/>
      <c r="AA428" s="48" t="s">
        <v>21</v>
      </c>
      <c r="AB428" s="48" t="s">
        <v>27</v>
      </c>
      <c r="AC428" s="48" t="s">
        <v>311</v>
      </c>
      <c r="AD428" s="89" t="s">
        <v>845</v>
      </c>
    </row>
    <row r="429" spans="1:30" ht="15.75" hidden="1" x14ac:dyDescent="0.25">
      <c r="A429" s="48" t="s">
        <v>1490</v>
      </c>
      <c r="B429" s="74">
        <v>45831</v>
      </c>
      <c r="C429" s="48" t="s">
        <v>441</v>
      </c>
      <c r="D429" s="48" t="s">
        <v>20</v>
      </c>
      <c r="E429" s="48" t="s">
        <v>1373</v>
      </c>
      <c r="F429" s="48" t="s">
        <v>22</v>
      </c>
      <c r="G429" s="48" t="s">
        <v>24</v>
      </c>
      <c r="H429" s="48" t="s">
        <v>407</v>
      </c>
      <c r="I429" s="48" t="s">
        <v>26</v>
      </c>
      <c r="J429" s="48">
        <v>1020100</v>
      </c>
      <c r="K429" s="50">
        <v>400000</v>
      </c>
      <c r="L429" s="50">
        <v>1</v>
      </c>
      <c r="M429" s="50">
        <v>400000</v>
      </c>
      <c r="N429" s="50">
        <v>0</v>
      </c>
      <c r="O429" s="50">
        <v>400000</v>
      </c>
      <c r="P429" s="50">
        <v>0</v>
      </c>
      <c r="Q429" s="87">
        <v>400000</v>
      </c>
      <c r="R429" s="152">
        <v>0</v>
      </c>
      <c r="S429" s="174"/>
      <c r="T429" s="74">
        <v>45961</v>
      </c>
      <c r="U429" s="74">
        <v>45961</v>
      </c>
      <c r="V429" s="48"/>
      <c r="W429" s="48"/>
      <c r="X429" s="48"/>
      <c r="Y429" s="48">
        <v>0</v>
      </c>
      <c r="Z429" s="48"/>
      <c r="AA429" s="48" t="s">
        <v>21</v>
      </c>
      <c r="AB429" s="48" t="s">
        <v>27</v>
      </c>
      <c r="AC429" s="48" t="s">
        <v>621</v>
      </c>
      <c r="AD429" s="89" t="s">
        <v>845</v>
      </c>
    </row>
    <row r="430" spans="1:30" ht="15.75" hidden="1" x14ac:dyDescent="0.25">
      <c r="A430" s="48" t="s">
        <v>5425</v>
      </c>
      <c r="B430" s="74">
        <v>46177</v>
      </c>
      <c r="C430" s="48" t="s">
        <v>441</v>
      </c>
      <c r="D430" s="48" t="s">
        <v>20</v>
      </c>
      <c r="E430" s="48" t="s">
        <v>5320</v>
      </c>
      <c r="F430" s="48" t="s">
        <v>710</v>
      </c>
      <c r="G430" s="48" t="s">
        <v>24</v>
      </c>
      <c r="H430" s="48" t="s">
        <v>710</v>
      </c>
      <c r="I430" s="48" t="s">
        <v>26</v>
      </c>
      <c r="J430" s="48">
        <v>1020088</v>
      </c>
      <c r="K430" s="50">
        <v>200000</v>
      </c>
      <c r="L430" s="50">
        <v>1</v>
      </c>
      <c r="M430" s="50">
        <v>200000</v>
      </c>
      <c r="N430" s="50">
        <v>0</v>
      </c>
      <c r="O430" s="50">
        <v>200000</v>
      </c>
      <c r="P430" s="50">
        <v>0</v>
      </c>
      <c r="Q430" s="87">
        <v>200000</v>
      </c>
      <c r="R430" s="152">
        <v>0</v>
      </c>
      <c r="S430" s="174"/>
      <c r="T430" s="74">
        <v>46265</v>
      </c>
      <c r="U430" s="74">
        <v>46265</v>
      </c>
      <c r="V430" s="48"/>
      <c r="W430" s="48"/>
      <c r="X430" s="48"/>
      <c r="Y430" s="48">
        <v>0</v>
      </c>
      <c r="Z430" s="48"/>
      <c r="AA430" s="48" t="s">
        <v>366</v>
      </c>
      <c r="AB430" s="48" t="s">
        <v>27</v>
      </c>
      <c r="AC430" s="48" t="s">
        <v>5175</v>
      </c>
      <c r="AD430" s="89" t="s">
        <v>1026</v>
      </c>
    </row>
    <row r="431" spans="1:30" ht="15.75" hidden="1" x14ac:dyDescent="0.25">
      <c r="A431" s="48" t="s">
        <v>667</v>
      </c>
      <c r="B431" s="74">
        <v>45694</v>
      </c>
      <c r="C431" s="48" t="s">
        <v>441</v>
      </c>
      <c r="D431" s="48" t="s">
        <v>20</v>
      </c>
      <c r="E431" s="48" t="s">
        <v>415</v>
      </c>
      <c r="F431" s="48" t="s">
        <v>96</v>
      </c>
      <c r="G431" s="48" t="s">
        <v>24</v>
      </c>
      <c r="H431" s="48" t="s">
        <v>22</v>
      </c>
      <c r="I431" s="48" t="s">
        <v>26</v>
      </c>
      <c r="J431" s="48">
        <v>1020055</v>
      </c>
      <c r="K431" s="50">
        <v>1000000</v>
      </c>
      <c r="L431" s="50">
        <v>1</v>
      </c>
      <c r="M431" s="50">
        <v>1000000</v>
      </c>
      <c r="N431" s="50">
        <v>1000000</v>
      </c>
      <c r="O431" s="50">
        <v>0</v>
      </c>
      <c r="P431" s="50">
        <v>0</v>
      </c>
      <c r="Q431" s="87">
        <v>0</v>
      </c>
      <c r="R431" s="152">
        <v>0</v>
      </c>
      <c r="S431" s="174"/>
      <c r="T431" s="74">
        <v>45777</v>
      </c>
      <c r="U431" s="74">
        <v>45777</v>
      </c>
      <c r="V431" s="48"/>
      <c r="W431" s="48"/>
      <c r="X431" s="48"/>
      <c r="Y431" s="48">
        <v>0</v>
      </c>
      <c r="Z431" s="48"/>
      <c r="AA431" s="48" t="s">
        <v>95</v>
      </c>
      <c r="AB431" s="48" t="s">
        <v>27</v>
      </c>
      <c r="AC431" s="48" t="s">
        <v>311</v>
      </c>
      <c r="AD431" s="89" t="s">
        <v>845</v>
      </c>
    </row>
    <row r="432" spans="1:30" ht="15.75" hidden="1" x14ac:dyDescent="0.25">
      <c r="A432" s="48" t="s">
        <v>414</v>
      </c>
      <c r="B432" s="74">
        <v>45571</v>
      </c>
      <c r="C432" s="48"/>
      <c r="D432" s="48" t="s">
        <v>20</v>
      </c>
      <c r="E432" s="48" t="s">
        <v>415</v>
      </c>
      <c r="F432" s="48" t="s">
        <v>96</v>
      </c>
      <c r="G432" s="48" t="s">
        <v>24</v>
      </c>
      <c r="H432" s="48" t="s">
        <v>413</v>
      </c>
      <c r="I432" s="48" t="s">
        <v>26</v>
      </c>
      <c r="J432" s="48"/>
      <c r="K432" s="50">
        <v>3055634</v>
      </c>
      <c r="L432" s="50">
        <v>1</v>
      </c>
      <c r="M432" s="50">
        <v>3055634</v>
      </c>
      <c r="N432" s="50">
        <v>3055634</v>
      </c>
      <c r="O432" s="50">
        <v>0</v>
      </c>
      <c r="P432" s="50">
        <v>0</v>
      </c>
      <c r="Q432" s="87">
        <v>0</v>
      </c>
      <c r="R432" s="152">
        <v>0</v>
      </c>
      <c r="S432" s="174"/>
      <c r="T432" s="74">
        <v>45657</v>
      </c>
      <c r="U432" s="74">
        <v>45630</v>
      </c>
      <c r="V432" s="48"/>
      <c r="W432" s="48"/>
      <c r="X432" s="48"/>
      <c r="Y432" s="48">
        <v>0</v>
      </c>
      <c r="Z432" s="48"/>
      <c r="AA432" s="48" t="s">
        <v>95</v>
      </c>
      <c r="AB432" s="48" t="s">
        <v>27</v>
      </c>
      <c r="AC432" s="48" t="s">
        <v>311</v>
      </c>
      <c r="AD432" s="89" t="s">
        <v>845</v>
      </c>
    </row>
    <row r="433" spans="1:30" ht="15.75" hidden="1" x14ac:dyDescent="0.25">
      <c r="A433" s="48" t="s">
        <v>1526</v>
      </c>
      <c r="B433" s="74">
        <v>45834</v>
      </c>
      <c r="C433" s="48" t="s">
        <v>441</v>
      </c>
      <c r="D433" s="48" t="s">
        <v>20</v>
      </c>
      <c r="E433" s="48" t="s">
        <v>1467</v>
      </c>
      <c r="F433" s="48" t="s">
        <v>22</v>
      </c>
      <c r="G433" s="48" t="s">
        <v>24</v>
      </c>
      <c r="H433" s="48" t="s">
        <v>407</v>
      </c>
      <c r="I433" s="48" t="s">
        <v>26</v>
      </c>
      <c r="J433" s="48">
        <v>1020100</v>
      </c>
      <c r="K433" s="50">
        <v>123144</v>
      </c>
      <c r="L433" s="50">
        <v>1</v>
      </c>
      <c r="M433" s="50">
        <v>123144</v>
      </c>
      <c r="N433" s="50">
        <v>123144</v>
      </c>
      <c r="O433" s="50">
        <v>0</v>
      </c>
      <c r="P433" s="50">
        <v>0</v>
      </c>
      <c r="Q433" s="87">
        <v>0</v>
      </c>
      <c r="R433" s="152">
        <v>0</v>
      </c>
      <c r="S433" s="312"/>
      <c r="T433" s="74">
        <v>45900</v>
      </c>
      <c r="U433" s="74">
        <v>45900</v>
      </c>
      <c r="V433" s="48"/>
      <c r="W433" s="48"/>
      <c r="X433" s="48"/>
      <c r="Y433" s="48">
        <v>0</v>
      </c>
      <c r="Z433" s="48"/>
      <c r="AA433" s="48" t="s">
        <v>21</v>
      </c>
      <c r="AB433" s="48" t="s">
        <v>27</v>
      </c>
      <c r="AC433" s="48" t="s">
        <v>621</v>
      </c>
      <c r="AD433" s="89" t="s">
        <v>845</v>
      </c>
    </row>
    <row r="434" spans="1:30" ht="15.75" hidden="1" x14ac:dyDescent="0.25">
      <c r="A434" s="48" t="s">
        <v>1748</v>
      </c>
      <c r="B434" s="74">
        <v>45883</v>
      </c>
      <c r="C434" s="48" t="s">
        <v>1727</v>
      </c>
      <c r="D434" s="48" t="s">
        <v>20</v>
      </c>
      <c r="E434" s="48" t="s">
        <v>1715</v>
      </c>
      <c r="F434" s="48" t="s">
        <v>70</v>
      </c>
      <c r="G434" s="48" t="s">
        <v>869</v>
      </c>
      <c r="H434" s="48" t="s">
        <v>1762</v>
      </c>
      <c r="I434" s="48" t="s">
        <v>26</v>
      </c>
      <c r="J434" s="48"/>
      <c r="K434" s="50">
        <v>425000</v>
      </c>
      <c r="L434" s="50">
        <v>1</v>
      </c>
      <c r="M434" s="50">
        <v>425000</v>
      </c>
      <c r="N434" s="50">
        <v>425000</v>
      </c>
      <c r="O434" s="50">
        <v>0</v>
      </c>
      <c r="P434" s="50">
        <v>0</v>
      </c>
      <c r="Q434" s="87">
        <v>0</v>
      </c>
      <c r="R434" s="152">
        <v>0</v>
      </c>
      <c r="S434" s="174"/>
      <c r="T434" s="74">
        <v>45930</v>
      </c>
      <c r="U434" s="74">
        <v>45915</v>
      </c>
      <c r="V434" s="48"/>
      <c r="W434" s="48"/>
      <c r="X434" s="48"/>
      <c r="Y434" s="48"/>
      <c r="Z434" s="48"/>
      <c r="AA434" s="48" t="s">
        <v>62</v>
      </c>
      <c r="AB434" s="48" t="s">
        <v>70</v>
      </c>
      <c r="AC434" s="48" t="s">
        <v>208</v>
      </c>
      <c r="AD434" s="89" t="s">
        <v>845</v>
      </c>
    </row>
    <row r="435" spans="1:30" ht="15.75" hidden="1" x14ac:dyDescent="0.25">
      <c r="A435" s="48" t="s">
        <v>1689</v>
      </c>
      <c r="B435" s="74">
        <v>45875</v>
      </c>
      <c r="C435" s="48" t="s">
        <v>1119</v>
      </c>
      <c r="D435" s="48" t="s">
        <v>20</v>
      </c>
      <c r="E435" s="48" t="s">
        <v>1682</v>
      </c>
      <c r="F435" s="48" t="s">
        <v>367</v>
      </c>
      <c r="G435" s="48" t="s">
        <v>24</v>
      </c>
      <c r="H435" s="48" t="s">
        <v>367</v>
      </c>
      <c r="I435" s="48" t="s">
        <v>26</v>
      </c>
      <c r="J435" s="48">
        <v>1020091</v>
      </c>
      <c r="K435" s="50">
        <v>550000.15</v>
      </c>
      <c r="L435" s="50">
        <v>1</v>
      </c>
      <c r="M435" s="50">
        <v>550000.15</v>
      </c>
      <c r="N435" s="50">
        <v>482497.13</v>
      </c>
      <c r="O435" s="50">
        <v>67503.02</v>
      </c>
      <c r="P435" s="50">
        <v>0</v>
      </c>
      <c r="Q435" s="87">
        <v>67503.02</v>
      </c>
      <c r="R435" s="152">
        <v>0</v>
      </c>
      <c r="S435" s="174"/>
      <c r="T435" s="74">
        <v>46203</v>
      </c>
      <c r="U435" s="74">
        <v>46203</v>
      </c>
      <c r="V435" s="48"/>
      <c r="W435" s="48"/>
      <c r="X435" s="48"/>
      <c r="Y435" s="48">
        <v>0</v>
      </c>
      <c r="Z435" s="48"/>
      <c r="AA435" s="48" t="s">
        <v>366</v>
      </c>
      <c r="AB435" s="48" t="s">
        <v>27</v>
      </c>
      <c r="AC435" s="48" t="s">
        <v>1683</v>
      </c>
      <c r="AD435" s="89" t="s">
        <v>1026</v>
      </c>
    </row>
    <row r="436" spans="1:30" ht="15.75" hidden="1" x14ac:dyDescent="0.25">
      <c r="A436" s="48" t="s">
        <v>1291</v>
      </c>
      <c r="B436" s="74">
        <v>45785</v>
      </c>
      <c r="C436" s="48" t="s">
        <v>509</v>
      </c>
      <c r="D436" s="48" t="s">
        <v>20</v>
      </c>
      <c r="E436" s="48" t="s">
        <v>1208</v>
      </c>
      <c r="F436" s="48" t="s">
        <v>70</v>
      </c>
      <c r="G436" s="48" t="s">
        <v>72</v>
      </c>
      <c r="H436" s="48" t="s">
        <v>407</v>
      </c>
      <c r="I436" s="48" t="s">
        <v>26</v>
      </c>
      <c r="J436" s="48">
        <v>1020100</v>
      </c>
      <c r="K436" s="50">
        <v>5000000</v>
      </c>
      <c r="L436" s="50">
        <v>1</v>
      </c>
      <c r="M436" s="50">
        <v>5000000</v>
      </c>
      <c r="N436" s="50">
        <v>5000000</v>
      </c>
      <c r="O436" s="50">
        <v>0</v>
      </c>
      <c r="P436" s="50">
        <v>0</v>
      </c>
      <c r="Q436" s="87">
        <v>0</v>
      </c>
      <c r="R436" s="152">
        <v>0</v>
      </c>
      <c r="S436" s="174"/>
      <c r="T436" s="74">
        <v>45884</v>
      </c>
      <c r="U436" s="74">
        <v>45807</v>
      </c>
      <c r="V436" s="48"/>
      <c r="W436" s="48"/>
      <c r="X436" s="48"/>
      <c r="Y436" s="48">
        <v>0</v>
      </c>
      <c r="Z436" s="48"/>
      <c r="AA436" s="48" t="s">
        <v>373</v>
      </c>
      <c r="AB436" s="48" t="s">
        <v>70</v>
      </c>
      <c r="AC436" s="48" t="s">
        <v>425</v>
      </c>
      <c r="AD436" s="89" t="s">
        <v>845</v>
      </c>
    </row>
    <row r="437" spans="1:30" ht="15.75" hidden="1" x14ac:dyDescent="0.25">
      <c r="A437" s="48" t="s">
        <v>1418</v>
      </c>
      <c r="B437" s="74">
        <v>45809</v>
      </c>
      <c r="C437" s="48" t="s">
        <v>509</v>
      </c>
      <c r="D437" s="48" t="s">
        <v>20</v>
      </c>
      <c r="E437" s="48" t="s">
        <v>1208</v>
      </c>
      <c r="F437" s="48" t="s">
        <v>96</v>
      </c>
      <c r="G437" s="48" t="s">
        <v>72</v>
      </c>
      <c r="H437" s="48" t="s">
        <v>407</v>
      </c>
      <c r="I437" s="48" t="s">
        <v>26</v>
      </c>
      <c r="J437" s="48">
        <v>1020100</v>
      </c>
      <c r="K437" s="50">
        <v>5000000</v>
      </c>
      <c r="L437" s="50">
        <v>1</v>
      </c>
      <c r="M437" s="50">
        <v>5000000</v>
      </c>
      <c r="N437" s="50">
        <v>5000000</v>
      </c>
      <c r="O437" s="50">
        <v>0</v>
      </c>
      <c r="P437" s="50">
        <v>0</v>
      </c>
      <c r="Q437" s="87">
        <v>0</v>
      </c>
      <c r="R437" s="152">
        <v>0</v>
      </c>
      <c r="S437" s="174"/>
      <c r="T437" s="74">
        <v>45884</v>
      </c>
      <c r="U437" s="74">
        <v>45812</v>
      </c>
      <c r="V437" s="48"/>
      <c r="W437" s="48"/>
      <c r="X437" s="48"/>
      <c r="Y437" s="48"/>
      <c r="Z437" s="48"/>
      <c r="AA437" s="48" t="s">
        <v>95</v>
      </c>
      <c r="AB437" s="48" t="s">
        <v>27</v>
      </c>
      <c r="AC437" s="48" t="s">
        <v>425</v>
      </c>
      <c r="AD437" s="89" t="s">
        <v>845</v>
      </c>
    </row>
    <row r="438" spans="1:30" ht="15.75" hidden="1" x14ac:dyDescent="0.25">
      <c r="A438" s="48" t="s">
        <v>1285</v>
      </c>
      <c r="B438" s="74">
        <v>45785</v>
      </c>
      <c r="C438" s="48" t="s">
        <v>831</v>
      </c>
      <c r="D438" s="48" t="s">
        <v>20</v>
      </c>
      <c r="E438" s="48" t="s">
        <v>833</v>
      </c>
      <c r="F438" s="48" t="s">
        <v>22</v>
      </c>
      <c r="G438" s="48" t="s">
        <v>1791</v>
      </c>
      <c r="H438" s="48" t="s">
        <v>22</v>
      </c>
      <c r="I438" s="48" t="s">
        <v>78</v>
      </c>
      <c r="J438" s="48">
        <v>1020055</v>
      </c>
      <c r="K438" s="50">
        <v>272816.33999999997</v>
      </c>
      <c r="L438" s="50">
        <v>3.75</v>
      </c>
      <c r="M438" s="50">
        <v>1023061.2749999999</v>
      </c>
      <c r="N438" s="50">
        <v>1023061.2750000001</v>
      </c>
      <c r="O438" s="50">
        <v>0</v>
      </c>
      <c r="P438" s="50">
        <v>0</v>
      </c>
      <c r="Q438" s="87">
        <v>0</v>
      </c>
      <c r="R438" s="152">
        <v>0</v>
      </c>
      <c r="S438" s="174"/>
      <c r="T438" s="74">
        <v>45915</v>
      </c>
      <c r="U438" s="74">
        <v>45900</v>
      </c>
      <c r="V438" s="48"/>
      <c r="W438" s="48"/>
      <c r="X438" s="48"/>
      <c r="Y438" s="48"/>
      <c r="Z438" s="48"/>
      <c r="AA438" s="48" t="s">
        <v>21</v>
      </c>
      <c r="AB438" s="48" t="s">
        <v>27</v>
      </c>
      <c r="AC438" s="48" t="s">
        <v>311</v>
      </c>
      <c r="AD438" s="89" t="s">
        <v>845</v>
      </c>
    </row>
    <row r="439" spans="1:30" ht="15.75" hidden="1" x14ac:dyDescent="0.25">
      <c r="A439" s="48" t="s">
        <v>1675</v>
      </c>
      <c r="B439" s="74">
        <v>45872</v>
      </c>
      <c r="C439" s="48" t="s">
        <v>1119</v>
      </c>
      <c r="D439" s="48" t="s">
        <v>20</v>
      </c>
      <c r="E439" s="48" t="s">
        <v>1612</v>
      </c>
      <c r="F439" s="48" t="s">
        <v>367</v>
      </c>
      <c r="G439" s="48" t="s">
        <v>24</v>
      </c>
      <c r="H439" s="48" t="s">
        <v>367</v>
      </c>
      <c r="I439" s="48" t="s">
        <v>26</v>
      </c>
      <c r="J439" s="48">
        <v>1020091</v>
      </c>
      <c r="K439" s="50">
        <v>863207.81</v>
      </c>
      <c r="L439" s="50">
        <v>1</v>
      </c>
      <c r="M439" s="50">
        <v>863207.81</v>
      </c>
      <c r="N439" s="50">
        <v>851717.19</v>
      </c>
      <c r="O439" s="50">
        <v>11490.62</v>
      </c>
      <c r="P439" s="50">
        <v>0</v>
      </c>
      <c r="Q439" s="87">
        <v>11490.62</v>
      </c>
      <c r="R439" s="152">
        <v>0</v>
      </c>
      <c r="S439" s="174"/>
      <c r="T439" s="74">
        <v>45961</v>
      </c>
      <c r="U439" s="74">
        <v>45961</v>
      </c>
      <c r="V439" s="48"/>
      <c r="W439" s="48"/>
      <c r="X439" s="48"/>
      <c r="Y439" s="48">
        <v>0</v>
      </c>
      <c r="Z439" s="48"/>
      <c r="AA439" s="48" t="s">
        <v>366</v>
      </c>
      <c r="AB439" s="48" t="s">
        <v>27</v>
      </c>
      <c r="AC439" s="48" t="s">
        <v>1624</v>
      </c>
      <c r="AD439" s="89" t="s">
        <v>845</v>
      </c>
    </row>
    <row r="440" spans="1:30" ht="15.75" hidden="1" x14ac:dyDescent="0.25">
      <c r="A440" s="48" t="s">
        <v>1812</v>
      </c>
      <c r="B440" s="74">
        <v>45895</v>
      </c>
      <c r="C440" s="48" t="s">
        <v>1181</v>
      </c>
      <c r="D440" s="48" t="s">
        <v>20</v>
      </c>
      <c r="E440" s="48" t="s">
        <v>1759</v>
      </c>
      <c r="F440" s="48" t="s">
        <v>710</v>
      </c>
      <c r="G440" s="48" t="s">
        <v>1791</v>
      </c>
      <c r="H440" s="48" t="s">
        <v>81</v>
      </c>
      <c r="I440" s="48" t="s">
        <v>26</v>
      </c>
      <c r="J440" s="48">
        <v>1020070</v>
      </c>
      <c r="K440" s="50">
        <v>784558</v>
      </c>
      <c r="L440" s="50">
        <v>1</v>
      </c>
      <c r="M440" s="50">
        <v>784558</v>
      </c>
      <c r="N440" s="50">
        <v>784558</v>
      </c>
      <c r="O440" s="50">
        <v>0</v>
      </c>
      <c r="P440" s="50">
        <v>0</v>
      </c>
      <c r="Q440" s="87">
        <v>0</v>
      </c>
      <c r="R440" s="152">
        <v>0</v>
      </c>
      <c r="S440" s="174"/>
      <c r="T440" s="74">
        <v>45930</v>
      </c>
      <c r="U440" s="74">
        <v>45915</v>
      </c>
      <c r="V440" s="48"/>
      <c r="W440" s="48"/>
      <c r="X440" s="48"/>
      <c r="Y440" s="48">
        <v>0</v>
      </c>
      <c r="Z440" s="48"/>
      <c r="AA440" s="48" t="s">
        <v>366</v>
      </c>
      <c r="AB440" s="48" t="s">
        <v>27</v>
      </c>
      <c r="AC440" s="48" t="s">
        <v>408</v>
      </c>
      <c r="AD440" s="89" t="s">
        <v>845</v>
      </c>
    </row>
    <row r="441" spans="1:30" ht="15.75" hidden="1" x14ac:dyDescent="0.25">
      <c r="A441" s="48" t="s">
        <v>1677</v>
      </c>
      <c r="B441" s="74">
        <v>45872</v>
      </c>
      <c r="C441" s="48" t="s">
        <v>1119</v>
      </c>
      <c r="D441" s="48" t="s">
        <v>20</v>
      </c>
      <c r="E441" s="48" t="s">
        <v>1676</v>
      </c>
      <c r="F441" s="48" t="s">
        <v>367</v>
      </c>
      <c r="G441" s="48" t="s">
        <v>24</v>
      </c>
      <c r="H441" s="48" t="s">
        <v>367</v>
      </c>
      <c r="I441" s="48" t="s">
        <v>26</v>
      </c>
      <c r="J441" s="48">
        <v>1020091</v>
      </c>
      <c r="K441" s="50">
        <v>699476</v>
      </c>
      <c r="L441" s="50">
        <v>1</v>
      </c>
      <c r="M441" s="50">
        <v>699476</v>
      </c>
      <c r="N441" s="50">
        <v>699476</v>
      </c>
      <c r="O441" s="50">
        <v>0</v>
      </c>
      <c r="P441" s="50">
        <v>0</v>
      </c>
      <c r="Q441" s="87">
        <v>0</v>
      </c>
      <c r="R441" s="152">
        <v>0</v>
      </c>
      <c r="S441" s="174"/>
      <c r="T441" s="74">
        <v>46022</v>
      </c>
      <c r="U441" s="74">
        <v>46022</v>
      </c>
      <c r="V441" s="48"/>
      <c r="W441" s="48"/>
      <c r="X441" s="48"/>
      <c r="Y441" s="48">
        <v>0</v>
      </c>
      <c r="Z441" s="48"/>
      <c r="AA441" s="48" t="s">
        <v>366</v>
      </c>
      <c r="AB441" s="48" t="s">
        <v>27</v>
      </c>
      <c r="AC441" s="48" t="s">
        <v>1624</v>
      </c>
      <c r="AD441" s="89" t="s">
        <v>845</v>
      </c>
    </row>
    <row r="442" spans="1:30" ht="15.75" hidden="1" x14ac:dyDescent="0.25">
      <c r="A442" s="48" t="s">
        <v>743</v>
      </c>
      <c r="B442" s="74">
        <v>45741</v>
      </c>
      <c r="C442" s="48" t="s">
        <v>1864</v>
      </c>
      <c r="D442" s="48" t="s">
        <v>20</v>
      </c>
      <c r="E442" s="48" t="s">
        <v>744</v>
      </c>
      <c r="F442" s="48" t="s">
        <v>710</v>
      </c>
      <c r="G442" s="48" t="s">
        <v>3221</v>
      </c>
      <c r="H442" s="48" t="s">
        <v>81</v>
      </c>
      <c r="I442" s="48" t="s">
        <v>26</v>
      </c>
      <c r="J442" s="48">
        <v>1020070</v>
      </c>
      <c r="K442" s="50">
        <v>1500000</v>
      </c>
      <c r="L442" s="50">
        <v>1</v>
      </c>
      <c r="M442" s="50">
        <v>1500000</v>
      </c>
      <c r="N442" s="50">
        <v>1500000</v>
      </c>
      <c r="O442" s="50">
        <v>0</v>
      </c>
      <c r="P442" s="50">
        <v>0</v>
      </c>
      <c r="Q442" s="87">
        <v>0</v>
      </c>
      <c r="R442" s="152">
        <v>0</v>
      </c>
      <c r="S442" s="174"/>
      <c r="T442" s="74">
        <v>45808</v>
      </c>
      <c r="U442" s="74">
        <v>45777</v>
      </c>
      <c r="V442" s="48"/>
      <c r="W442" s="48"/>
      <c r="X442" s="48"/>
      <c r="Y442" s="48">
        <v>0</v>
      </c>
      <c r="Z442" s="48"/>
      <c r="AA442" s="48" t="s">
        <v>366</v>
      </c>
      <c r="AB442" s="48" t="s">
        <v>27</v>
      </c>
      <c r="AC442" s="48" t="s">
        <v>208</v>
      </c>
      <c r="AD442" s="89" t="s">
        <v>845</v>
      </c>
    </row>
    <row r="443" spans="1:30" ht="15.75" hidden="1" x14ac:dyDescent="0.25">
      <c r="A443" s="48" t="s">
        <v>508</v>
      </c>
      <c r="B443" s="74">
        <v>45609</v>
      </c>
      <c r="C443" s="48" t="s">
        <v>509</v>
      </c>
      <c r="D443" s="48" t="s">
        <v>20</v>
      </c>
      <c r="E443" s="48" t="s">
        <v>510</v>
      </c>
      <c r="F443" s="48" t="s">
        <v>63</v>
      </c>
      <c r="G443" s="48" t="s">
        <v>72</v>
      </c>
      <c r="H443" s="48" t="s">
        <v>511</v>
      </c>
      <c r="I443" s="48" t="s">
        <v>26</v>
      </c>
      <c r="J443" s="48">
        <v>1020107</v>
      </c>
      <c r="K443" s="50">
        <v>4262455.25</v>
      </c>
      <c r="L443" s="50">
        <v>1</v>
      </c>
      <c r="M443" s="50">
        <v>4262455.25</v>
      </c>
      <c r="N443" s="50">
        <v>4262444.8</v>
      </c>
      <c r="O443" s="50">
        <v>10.45</v>
      </c>
      <c r="P443" s="50">
        <v>0</v>
      </c>
      <c r="Q443" s="87">
        <v>10.45</v>
      </c>
      <c r="R443" s="152">
        <v>0</v>
      </c>
      <c r="S443" s="174"/>
      <c r="T443" s="74">
        <v>45688</v>
      </c>
      <c r="U443" s="74">
        <v>45661</v>
      </c>
      <c r="V443" s="48"/>
      <c r="W443" s="48"/>
      <c r="X443" s="48"/>
      <c r="Y443" s="48">
        <v>0</v>
      </c>
      <c r="Z443" s="48"/>
      <c r="AA443" s="48" t="s">
        <v>373</v>
      </c>
      <c r="AB443" s="48" t="s">
        <v>27</v>
      </c>
      <c r="AC443" s="48" t="s">
        <v>512</v>
      </c>
      <c r="AD443" s="89" t="s">
        <v>845</v>
      </c>
    </row>
    <row r="444" spans="1:30" ht="15.75" hidden="1" x14ac:dyDescent="0.25">
      <c r="A444" s="48" t="s">
        <v>1887</v>
      </c>
      <c r="B444" s="74">
        <v>45924</v>
      </c>
      <c r="C444" s="48" t="s">
        <v>509</v>
      </c>
      <c r="D444" s="48" t="s">
        <v>20</v>
      </c>
      <c r="E444" s="48" t="s">
        <v>510</v>
      </c>
      <c r="F444" s="48" t="s">
        <v>22</v>
      </c>
      <c r="G444" s="48" t="s">
        <v>72</v>
      </c>
      <c r="H444" s="48" t="s">
        <v>511</v>
      </c>
      <c r="I444" s="48" t="s">
        <v>26</v>
      </c>
      <c r="J444" s="48">
        <v>1020107</v>
      </c>
      <c r="K444" s="50">
        <v>5308039.3600000003</v>
      </c>
      <c r="L444" s="50">
        <v>1</v>
      </c>
      <c r="M444" s="50">
        <v>5308039.3600000003</v>
      </c>
      <c r="N444" s="50">
        <v>5072714.3</v>
      </c>
      <c r="O444" s="50">
        <v>235325.06</v>
      </c>
      <c r="P444" s="50">
        <v>0</v>
      </c>
      <c r="Q444" s="87">
        <v>235325.06</v>
      </c>
      <c r="R444" s="152">
        <v>0</v>
      </c>
      <c r="S444" s="174"/>
      <c r="T444" s="74">
        <v>46194</v>
      </c>
      <c r="U444" s="74">
        <v>46173</v>
      </c>
      <c r="V444" s="48"/>
      <c r="W444" s="48"/>
      <c r="X444" s="48"/>
      <c r="Y444" s="48">
        <v>0</v>
      </c>
      <c r="Z444" s="48"/>
      <c r="AA444" s="48" t="s">
        <v>21</v>
      </c>
      <c r="AB444" s="48" t="s">
        <v>27</v>
      </c>
      <c r="AC444" s="48" t="s">
        <v>1882</v>
      </c>
      <c r="AD444" s="89" t="s">
        <v>1026</v>
      </c>
    </row>
    <row r="445" spans="1:30" ht="15.75" hidden="1" x14ac:dyDescent="0.25">
      <c r="A445" s="48" t="s">
        <v>1564</v>
      </c>
      <c r="B445" s="74">
        <v>45855</v>
      </c>
      <c r="C445" s="48" t="s">
        <v>441</v>
      </c>
      <c r="D445" s="48" t="s">
        <v>20</v>
      </c>
      <c r="E445" s="48" t="s">
        <v>1542</v>
      </c>
      <c r="F445" s="48" t="s">
        <v>613</v>
      </c>
      <c r="G445" s="48" t="s">
        <v>24</v>
      </c>
      <c r="H445" s="48" t="s">
        <v>613</v>
      </c>
      <c r="I445" s="48" t="s">
        <v>26</v>
      </c>
      <c r="J445" s="48">
        <v>1020106</v>
      </c>
      <c r="K445" s="50">
        <v>300000</v>
      </c>
      <c r="L445" s="50">
        <v>1</v>
      </c>
      <c r="M445" s="50">
        <v>300000</v>
      </c>
      <c r="N445" s="50">
        <v>300000</v>
      </c>
      <c r="O445" s="50">
        <v>0</v>
      </c>
      <c r="P445" s="50">
        <v>0</v>
      </c>
      <c r="Q445" s="87">
        <v>0</v>
      </c>
      <c r="R445" s="152">
        <v>0</v>
      </c>
      <c r="S445" s="174"/>
      <c r="T445" s="74">
        <v>45930</v>
      </c>
      <c r="U445" s="74">
        <v>45930</v>
      </c>
      <c r="V445" s="48"/>
      <c r="W445" s="48"/>
      <c r="X445" s="48"/>
      <c r="Y445" s="48">
        <v>0</v>
      </c>
      <c r="Z445" s="48"/>
      <c r="AA445" s="48" t="s">
        <v>612</v>
      </c>
      <c r="AB445" s="48" t="s">
        <v>27</v>
      </c>
      <c r="AC445" s="48" t="s">
        <v>311</v>
      </c>
      <c r="AD445" s="89" t="s">
        <v>845</v>
      </c>
    </row>
    <row r="446" spans="1:30" ht="15.75" hidden="1" x14ac:dyDescent="0.25">
      <c r="A446" s="48" t="s">
        <v>5444</v>
      </c>
      <c r="B446" s="74">
        <v>46177</v>
      </c>
      <c r="C446" s="48" t="s">
        <v>441</v>
      </c>
      <c r="D446" s="48" t="s">
        <v>20</v>
      </c>
      <c r="E446" s="48" t="s">
        <v>5318</v>
      </c>
      <c r="F446" s="48" t="s">
        <v>710</v>
      </c>
      <c r="G446" s="48" t="s">
        <v>24</v>
      </c>
      <c r="H446" s="48" t="s">
        <v>710</v>
      </c>
      <c r="I446" s="48" t="s">
        <v>26</v>
      </c>
      <c r="J446" s="48">
        <v>1020088</v>
      </c>
      <c r="K446" s="50">
        <v>300000.01</v>
      </c>
      <c r="L446" s="50">
        <v>1</v>
      </c>
      <c r="M446" s="50">
        <v>300000.01</v>
      </c>
      <c r="N446" s="50">
        <v>0</v>
      </c>
      <c r="O446" s="50">
        <v>300000.01</v>
      </c>
      <c r="P446" s="50">
        <v>0</v>
      </c>
      <c r="Q446" s="87">
        <v>300000.01</v>
      </c>
      <c r="R446" s="152">
        <v>0</v>
      </c>
      <c r="S446" s="174"/>
      <c r="T446" s="74">
        <v>46265</v>
      </c>
      <c r="U446" s="74">
        <v>46265</v>
      </c>
      <c r="V446" s="48"/>
      <c r="W446" s="48"/>
      <c r="X446" s="48"/>
      <c r="Y446" s="48">
        <v>0</v>
      </c>
      <c r="Z446" s="48"/>
      <c r="AA446" s="48" t="s">
        <v>366</v>
      </c>
      <c r="AB446" s="48" t="s">
        <v>27</v>
      </c>
      <c r="AC446" s="48" t="s">
        <v>5175</v>
      </c>
      <c r="AD446" s="89" t="s">
        <v>1026</v>
      </c>
    </row>
    <row r="447" spans="1:30" ht="15.75" hidden="1" x14ac:dyDescent="0.25">
      <c r="A447" s="48" t="s">
        <v>1399</v>
      </c>
      <c r="B447" s="74">
        <v>45804</v>
      </c>
      <c r="C447" s="48" t="s">
        <v>441</v>
      </c>
      <c r="D447" s="48" t="s">
        <v>20</v>
      </c>
      <c r="E447" s="48" t="s">
        <v>1270</v>
      </c>
      <c r="F447" s="48" t="s">
        <v>22</v>
      </c>
      <c r="G447" s="48" t="s">
        <v>24</v>
      </c>
      <c r="H447" s="48" t="s">
        <v>22</v>
      </c>
      <c r="I447" s="48" t="s">
        <v>26</v>
      </c>
      <c r="J447" s="48">
        <v>1020055</v>
      </c>
      <c r="K447" s="50">
        <v>381276.62</v>
      </c>
      <c r="L447" s="50">
        <v>1</v>
      </c>
      <c r="M447" s="50">
        <v>381276.62</v>
      </c>
      <c r="N447" s="50">
        <v>140641.01</v>
      </c>
      <c r="O447" s="50">
        <v>240635.61</v>
      </c>
      <c r="P447" s="50">
        <v>0</v>
      </c>
      <c r="Q447" s="87">
        <v>240635.61</v>
      </c>
      <c r="R447" s="152">
        <v>0</v>
      </c>
      <c r="S447" s="174"/>
      <c r="T447" s="74">
        <v>46169</v>
      </c>
      <c r="U447" s="74">
        <v>46169</v>
      </c>
      <c r="V447" s="48"/>
      <c r="W447" s="48"/>
      <c r="X447" s="48"/>
      <c r="Y447" s="48">
        <v>0</v>
      </c>
      <c r="Z447" s="48"/>
      <c r="AA447" s="48" t="s">
        <v>21</v>
      </c>
      <c r="AB447" s="48" t="s">
        <v>27</v>
      </c>
      <c r="AC447" s="48" t="s">
        <v>621</v>
      </c>
      <c r="AD447" s="89" t="s">
        <v>1026</v>
      </c>
    </row>
    <row r="448" spans="1:30" ht="15.75" hidden="1" x14ac:dyDescent="0.25">
      <c r="A448" s="48" t="s">
        <v>326</v>
      </c>
      <c r="B448" s="74">
        <v>45519</v>
      </c>
      <c r="C448" s="48" t="s">
        <v>1187</v>
      </c>
      <c r="D448" s="48" t="s">
        <v>20</v>
      </c>
      <c r="E448" s="48" t="s">
        <v>327</v>
      </c>
      <c r="F448" s="48" t="s">
        <v>96</v>
      </c>
      <c r="G448" s="48" t="s">
        <v>72</v>
      </c>
      <c r="H448" s="48" t="s">
        <v>328</v>
      </c>
      <c r="I448" s="48" t="s">
        <v>67</v>
      </c>
      <c r="J448" s="48">
        <v>1020097</v>
      </c>
      <c r="K448" s="50">
        <v>1497459.08</v>
      </c>
      <c r="L448" s="50">
        <v>4.2640440899999996</v>
      </c>
      <c r="M448" s="50">
        <v>6385231.5400908366</v>
      </c>
      <c r="N448" s="50">
        <v>6091650.6007849993</v>
      </c>
      <c r="O448" s="50">
        <v>293580.94</v>
      </c>
      <c r="P448" s="50">
        <v>0</v>
      </c>
      <c r="Q448" s="87">
        <v>293580.94</v>
      </c>
      <c r="R448" s="152">
        <v>0</v>
      </c>
      <c r="S448" s="174"/>
      <c r="T448" s="74">
        <v>45596</v>
      </c>
      <c r="U448" s="74">
        <v>45596</v>
      </c>
      <c r="V448" s="48"/>
      <c r="W448" s="48"/>
      <c r="X448" s="48"/>
      <c r="Y448" s="48">
        <v>0</v>
      </c>
      <c r="Z448" s="48"/>
      <c r="AA448" s="48" t="s">
        <v>95</v>
      </c>
      <c r="AB448" s="48" t="s">
        <v>27</v>
      </c>
      <c r="AC448" s="48" t="s">
        <v>329</v>
      </c>
      <c r="AD448" s="89" t="s">
        <v>845</v>
      </c>
    </row>
    <row r="449" spans="1:30" ht="15.75" hidden="1" x14ac:dyDescent="0.25">
      <c r="A449" s="48" t="s">
        <v>1731</v>
      </c>
      <c r="B449" s="74">
        <v>45881</v>
      </c>
      <c r="C449" s="48" t="s">
        <v>1181</v>
      </c>
      <c r="D449" s="48" t="s">
        <v>20</v>
      </c>
      <c r="E449" s="48" t="s">
        <v>1482</v>
      </c>
      <c r="F449" s="48" t="s">
        <v>710</v>
      </c>
      <c r="G449" s="48" t="s">
        <v>72</v>
      </c>
      <c r="H449" s="48" t="s">
        <v>81</v>
      </c>
      <c r="I449" s="48" t="s">
        <v>191</v>
      </c>
      <c r="J449" s="48">
        <v>1020070</v>
      </c>
      <c r="K449" s="50">
        <v>899226.33</v>
      </c>
      <c r="L449" s="50">
        <v>1.021495</v>
      </c>
      <c r="M449" s="50">
        <v>918555.19996334997</v>
      </c>
      <c r="N449" s="50">
        <v>807280.43904000008</v>
      </c>
      <c r="O449" s="50">
        <v>111274.76</v>
      </c>
      <c r="P449" s="50">
        <v>0</v>
      </c>
      <c r="Q449" s="87">
        <v>111274.76</v>
      </c>
      <c r="R449" s="152">
        <v>0</v>
      </c>
      <c r="S449" s="174"/>
      <c r="T449" s="74">
        <v>46053</v>
      </c>
      <c r="U449" s="74">
        <v>46022</v>
      </c>
      <c r="V449" s="48"/>
      <c r="W449" s="48"/>
      <c r="X449" s="48"/>
      <c r="Y449" s="48">
        <v>0</v>
      </c>
      <c r="Z449" s="48"/>
      <c r="AA449" s="48" t="s">
        <v>366</v>
      </c>
      <c r="AB449" s="48" t="s">
        <v>27</v>
      </c>
      <c r="AC449" s="48" t="s">
        <v>461</v>
      </c>
      <c r="AD449" s="89" t="s">
        <v>845</v>
      </c>
    </row>
    <row r="450" spans="1:30" ht="15.75" hidden="1" x14ac:dyDescent="0.25">
      <c r="A450" s="48" t="s">
        <v>3319</v>
      </c>
      <c r="B450" s="74">
        <v>46023</v>
      </c>
      <c r="C450" s="48" t="s">
        <v>3566</v>
      </c>
      <c r="D450" s="48" t="s">
        <v>20</v>
      </c>
      <c r="E450" s="48" t="s">
        <v>3187</v>
      </c>
      <c r="F450" s="48" t="s">
        <v>613</v>
      </c>
      <c r="G450" s="48" t="s">
        <v>72</v>
      </c>
      <c r="H450" s="48" t="s">
        <v>613</v>
      </c>
      <c r="I450" s="48" t="s">
        <v>26</v>
      </c>
      <c r="J450" s="48">
        <v>1020106</v>
      </c>
      <c r="K450" s="50">
        <v>5802900</v>
      </c>
      <c r="L450" s="50">
        <v>1</v>
      </c>
      <c r="M450" s="50">
        <v>5802900</v>
      </c>
      <c r="N450" s="50">
        <v>495832.85</v>
      </c>
      <c r="O450" s="50">
        <v>5307067.1500000004</v>
      </c>
      <c r="P450" s="50">
        <v>112200.9</v>
      </c>
      <c r="Q450" s="87">
        <v>5194866.25</v>
      </c>
      <c r="R450" s="152">
        <v>148788.15</v>
      </c>
      <c r="S450" s="174" t="s">
        <v>5080</v>
      </c>
      <c r="T450" s="74">
        <v>46387</v>
      </c>
      <c r="U450" s="74">
        <v>46387</v>
      </c>
      <c r="V450" s="48"/>
      <c r="W450" s="48"/>
      <c r="X450" s="48"/>
      <c r="Y450" s="48">
        <v>0</v>
      </c>
      <c r="Z450" s="48"/>
      <c r="AA450" s="48" t="s">
        <v>612</v>
      </c>
      <c r="AB450" s="48" t="s">
        <v>27</v>
      </c>
      <c r="AC450" s="48" t="s">
        <v>3188</v>
      </c>
      <c r="AD450" s="89" t="s">
        <v>1026</v>
      </c>
    </row>
    <row r="451" spans="1:30" ht="15.75" hidden="1" x14ac:dyDescent="0.25">
      <c r="A451" s="48" t="s">
        <v>5312</v>
      </c>
      <c r="B451" s="74">
        <v>46160</v>
      </c>
      <c r="C451" s="48" t="s">
        <v>1184</v>
      </c>
      <c r="D451" s="48" t="s">
        <v>20</v>
      </c>
      <c r="E451" s="48" t="s">
        <v>3187</v>
      </c>
      <c r="F451" s="48" t="s">
        <v>22</v>
      </c>
      <c r="G451" s="48" t="s">
        <v>72</v>
      </c>
      <c r="H451" s="48" t="s">
        <v>90</v>
      </c>
      <c r="I451" s="48" t="s">
        <v>26</v>
      </c>
      <c r="J451" s="48">
        <v>1020001</v>
      </c>
      <c r="K451" s="50">
        <v>2000000</v>
      </c>
      <c r="L451" s="50">
        <v>1</v>
      </c>
      <c r="M451" s="50">
        <v>2000000</v>
      </c>
      <c r="N451" s="50">
        <v>0</v>
      </c>
      <c r="O451" s="50">
        <v>2000000</v>
      </c>
      <c r="P451" s="50">
        <v>0</v>
      </c>
      <c r="Q451" s="87">
        <v>2000000</v>
      </c>
      <c r="R451" s="152">
        <v>0</v>
      </c>
      <c r="S451" s="174"/>
      <c r="T451" s="74">
        <v>46265</v>
      </c>
      <c r="U451" s="74">
        <v>46265</v>
      </c>
      <c r="V451" s="48"/>
      <c r="W451" s="48"/>
      <c r="X451" s="48"/>
      <c r="Y451" s="48">
        <v>0</v>
      </c>
      <c r="Z451" s="48"/>
      <c r="AA451" s="48" t="s">
        <v>21</v>
      </c>
      <c r="AB451" s="48" t="s">
        <v>27</v>
      </c>
      <c r="AC451" s="48" t="s">
        <v>1925</v>
      </c>
      <c r="AD451" s="89" t="s">
        <v>1026</v>
      </c>
    </row>
    <row r="452" spans="1:30" ht="15.75" hidden="1" x14ac:dyDescent="0.25">
      <c r="A452" s="48" t="s">
        <v>211</v>
      </c>
      <c r="B452" s="74">
        <v>44999</v>
      </c>
      <c r="C452" s="48" t="s">
        <v>1118</v>
      </c>
      <c r="D452" s="48" t="s">
        <v>20</v>
      </c>
      <c r="E452" s="48" t="s">
        <v>212</v>
      </c>
      <c r="F452" s="48" t="s">
        <v>22</v>
      </c>
      <c r="G452" s="48" t="s">
        <v>72</v>
      </c>
      <c r="H452" s="48" t="s">
        <v>213</v>
      </c>
      <c r="I452" s="48" t="s">
        <v>26</v>
      </c>
      <c r="J452" s="48">
        <v>1020015</v>
      </c>
      <c r="K452" s="50">
        <v>17700000</v>
      </c>
      <c r="L452" s="50">
        <v>1</v>
      </c>
      <c r="M452" s="50">
        <v>17700000</v>
      </c>
      <c r="N452" s="50">
        <v>14422758.899999999</v>
      </c>
      <c r="O452" s="50">
        <v>3277241.1</v>
      </c>
      <c r="P452" s="50">
        <v>0</v>
      </c>
      <c r="Q452" s="87">
        <v>3277241.1</v>
      </c>
      <c r="R452" s="152">
        <v>0</v>
      </c>
      <c r="S452" s="174"/>
      <c r="T452" s="74">
        <v>45275</v>
      </c>
      <c r="U452" s="74">
        <v>45275</v>
      </c>
      <c r="V452" s="48"/>
      <c r="W452" s="48"/>
      <c r="X452" s="48"/>
      <c r="Y452" s="48">
        <v>0</v>
      </c>
      <c r="Z452" s="48"/>
      <c r="AA452" s="48" t="s">
        <v>21</v>
      </c>
      <c r="AB452" s="48" t="s">
        <v>27</v>
      </c>
      <c r="AC452" s="48"/>
      <c r="AD452" s="89" t="s">
        <v>845</v>
      </c>
    </row>
    <row r="453" spans="1:30" ht="15.75" hidden="1" x14ac:dyDescent="0.25">
      <c r="A453" s="48" t="s">
        <v>5687</v>
      </c>
      <c r="B453" s="74">
        <v>46195</v>
      </c>
      <c r="C453" s="48" t="s">
        <v>1259</v>
      </c>
      <c r="D453" s="48" t="s">
        <v>20</v>
      </c>
      <c r="E453" s="48" t="s">
        <v>5458</v>
      </c>
      <c r="F453" s="48" t="s">
        <v>96</v>
      </c>
      <c r="G453" s="48" t="s">
        <v>1791</v>
      </c>
      <c r="H453" s="48" t="s">
        <v>328</v>
      </c>
      <c r="I453" s="48" t="s">
        <v>26</v>
      </c>
      <c r="J453" s="48">
        <v>1020097</v>
      </c>
      <c r="K453" s="50">
        <v>11188186.699999999</v>
      </c>
      <c r="L453" s="50">
        <v>1</v>
      </c>
      <c r="M453" s="50">
        <v>11188186.699999999</v>
      </c>
      <c r="N453" s="50">
        <v>0</v>
      </c>
      <c r="O453" s="50">
        <v>11188186.699999999</v>
      </c>
      <c r="P453" s="50">
        <v>0</v>
      </c>
      <c r="Q453" s="87">
        <v>11188186.699999999</v>
      </c>
      <c r="R453" s="152">
        <v>0</v>
      </c>
      <c r="S453" s="174"/>
      <c r="T453" s="74">
        <v>46244</v>
      </c>
      <c r="U453" s="74">
        <v>46244</v>
      </c>
      <c r="V453" s="48"/>
      <c r="W453" s="48"/>
      <c r="X453" s="48"/>
      <c r="Y453" s="48"/>
      <c r="Z453" s="48"/>
      <c r="AA453" s="48" t="s">
        <v>95</v>
      </c>
      <c r="AB453" s="48" t="s">
        <v>27</v>
      </c>
      <c r="AC453" s="48" t="s">
        <v>311</v>
      </c>
      <c r="AD453" s="89" t="s">
        <v>1026</v>
      </c>
    </row>
    <row r="454" spans="1:30" ht="15.75" hidden="1" x14ac:dyDescent="0.25">
      <c r="A454" s="48" t="s">
        <v>359</v>
      </c>
      <c r="B454" s="74">
        <v>45533</v>
      </c>
      <c r="C454" s="48" t="s">
        <v>441</v>
      </c>
      <c r="D454" s="48" t="s">
        <v>20</v>
      </c>
      <c r="E454" s="48" t="s">
        <v>360</v>
      </c>
      <c r="F454" s="48" t="s">
        <v>96</v>
      </c>
      <c r="G454" s="48" t="s">
        <v>24</v>
      </c>
      <c r="H454" s="48" t="s">
        <v>22</v>
      </c>
      <c r="I454" s="48" t="s">
        <v>26</v>
      </c>
      <c r="J454" s="48">
        <v>1020055</v>
      </c>
      <c r="K454" s="50">
        <v>507987.99</v>
      </c>
      <c r="L454" s="50">
        <v>1</v>
      </c>
      <c r="M454" s="50">
        <v>507987.99</v>
      </c>
      <c r="N454" s="50">
        <v>507987.99</v>
      </c>
      <c r="O454" s="50">
        <v>0</v>
      </c>
      <c r="P454" s="50">
        <v>0</v>
      </c>
      <c r="Q454" s="87">
        <v>0</v>
      </c>
      <c r="R454" s="152">
        <v>0</v>
      </c>
      <c r="S454" s="174"/>
      <c r="T454" s="74">
        <v>45626</v>
      </c>
      <c r="U454" s="74">
        <v>45626</v>
      </c>
      <c r="V454" s="48"/>
      <c r="W454" s="48"/>
      <c r="X454" s="48"/>
      <c r="Y454" s="48">
        <v>0</v>
      </c>
      <c r="Z454" s="48"/>
      <c r="AA454" s="48" t="s">
        <v>95</v>
      </c>
      <c r="AB454" s="48" t="s">
        <v>27</v>
      </c>
      <c r="AC454" s="48" t="s">
        <v>311</v>
      </c>
      <c r="AD454" s="89" t="s">
        <v>845</v>
      </c>
    </row>
    <row r="455" spans="1:30" ht="15.75" hidden="1" x14ac:dyDescent="0.25">
      <c r="A455" s="48" t="s">
        <v>1314</v>
      </c>
      <c r="B455" s="74">
        <v>45788</v>
      </c>
      <c r="C455" s="48" t="s">
        <v>441</v>
      </c>
      <c r="D455" s="48" t="s">
        <v>20</v>
      </c>
      <c r="E455" s="48" t="s">
        <v>1263</v>
      </c>
      <c r="F455" s="48" t="s">
        <v>22</v>
      </c>
      <c r="G455" s="48" t="s">
        <v>24</v>
      </c>
      <c r="H455" s="48" t="s">
        <v>22</v>
      </c>
      <c r="I455" s="48" t="s">
        <v>26</v>
      </c>
      <c r="J455" s="48">
        <v>1020055</v>
      </c>
      <c r="K455" s="50">
        <v>780320.25</v>
      </c>
      <c r="L455" s="50">
        <v>1</v>
      </c>
      <c r="M455" s="50">
        <v>780320.25</v>
      </c>
      <c r="N455" s="50">
        <v>780320.25</v>
      </c>
      <c r="O455" s="50">
        <v>0</v>
      </c>
      <c r="P455" s="50">
        <v>0</v>
      </c>
      <c r="Q455" s="87">
        <v>0</v>
      </c>
      <c r="R455" s="152">
        <v>0</v>
      </c>
      <c r="S455" s="174"/>
      <c r="T455" s="74">
        <v>45900</v>
      </c>
      <c r="U455" s="74">
        <v>45900</v>
      </c>
      <c r="V455" s="48"/>
      <c r="W455" s="48"/>
      <c r="X455" s="48"/>
      <c r="Y455" s="48">
        <v>0</v>
      </c>
      <c r="Z455" s="48"/>
      <c r="AA455" s="48" t="s">
        <v>21</v>
      </c>
      <c r="AB455" s="48" t="s">
        <v>27</v>
      </c>
      <c r="AC455" s="48" t="s">
        <v>621</v>
      </c>
      <c r="AD455" s="89" t="s">
        <v>845</v>
      </c>
    </row>
    <row r="456" spans="1:30" ht="15.75" hidden="1" x14ac:dyDescent="0.25">
      <c r="A456" s="48" t="s">
        <v>1417</v>
      </c>
      <c r="B456" s="74">
        <v>45809</v>
      </c>
      <c r="C456" s="48" t="s">
        <v>441</v>
      </c>
      <c r="D456" s="48" t="s">
        <v>20</v>
      </c>
      <c r="E456" s="48" t="s">
        <v>1329</v>
      </c>
      <c r="F456" s="48" t="s">
        <v>96</v>
      </c>
      <c r="G456" s="48" t="s">
        <v>24</v>
      </c>
      <c r="H456" s="48" t="s">
        <v>22</v>
      </c>
      <c r="I456" s="48" t="s">
        <v>26</v>
      </c>
      <c r="J456" s="48">
        <v>1020055</v>
      </c>
      <c r="K456" s="50">
        <v>524263.78</v>
      </c>
      <c r="L456" s="50">
        <v>1</v>
      </c>
      <c r="M456" s="50">
        <v>524263.78</v>
      </c>
      <c r="N456" s="50">
        <v>524263.78</v>
      </c>
      <c r="O456" s="50">
        <v>0</v>
      </c>
      <c r="P456" s="50">
        <v>0</v>
      </c>
      <c r="Q456" s="87">
        <v>0</v>
      </c>
      <c r="R456" s="152">
        <v>0</v>
      </c>
      <c r="S456" s="174"/>
      <c r="T456" s="74">
        <v>45961</v>
      </c>
      <c r="U456" s="74">
        <v>45961</v>
      </c>
      <c r="V456" s="48"/>
      <c r="W456" s="48"/>
      <c r="X456" s="48"/>
      <c r="Y456" s="48">
        <v>0</v>
      </c>
      <c r="Z456" s="48"/>
      <c r="AA456" s="48" t="s">
        <v>95</v>
      </c>
      <c r="AB456" s="48" t="s">
        <v>27</v>
      </c>
      <c r="AC456" s="48" t="s">
        <v>621</v>
      </c>
      <c r="AD456" s="89" t="s">
        <v>845</v>
      </c>
    </row>
    <row r="457" spans="1:30" ht="15.75" hidden="1" x14ac:dyDescent="0.25">
      <c r="A457" s="48" t="s">
        <v>1488</v>
      </c>
      <c r="B457" s="74">
        <v>45831</v>
      </c>
      <c r="C457" s="48" t="s">
        <v>441</v>
      </c>
      <c r="D457" s="48" t="s">
        <v>20</v>
      </c>
      <c r="E457" s="48" t="s">
        <v>1329</v>
      </c>
      <c r="F457" s="48" t="s">
        <v>22</v>
      </c>
      <c r="G457" s="48" t="s">
        <v>24</v>
      </c>
      <c r="H457" s="48" t="s">
        <v>407</v>
      </c>
      <c r="I457" s="48" t="s">
        <v>26</v>
      </c>
      <c r="J457" s="48">
        <v>1020100</v>
      </c>
      <c r="K457" s="50">
        <v>300000.01</v>
      </c>
      <c r="L457" s="50">
        <v>1</v>
      </c>
      <c r="M457" s="50">
        <v>300000.01</v>
      </c>
      <c r="N457" s="50">
        <v>300000</v>
      </c>
      <c r="O457" s="50">
        <v>0.01</v>
      </c>
      <c r="P457" s="50">
        <v>0</v>
      </c>
      <c r="Q457" s="87">
        <v>0.01</v>
      </c>
      <c r="R457" s="152">
        <v>0</v>
      </c>
      <c r="S457" s="174"/>
      <c r="T457" s="74">
        <v>45900</v>
      </c>
      <c r="U457" s="74">
        <v>45900</v>
      </c>
      <c r="V457" s="48"/>
      <c r="W457" s="48"/>
      <c r="X457" s="48"/>
      <c r="Y457" s="48">
        <v>0</v>
      </c>
      <c r="Z457" s="48"/>
      <c r="AA457" s="48" t="s">
        <v>21</v>
      </c>
      <c r="AB457" s="48" t="s">
        <v>27</v>
      </c>
      <c r="AC457" s="48" t="s">
        <v>621</v>
      </c>
      <c r="AD457" s="89" t="s">
        <v>845</v>
      </c>
    </row>
    <row r="458" spans="1:30" ht="15.75" hidden="1" x14ac:dyDescent="0.25">
      <c r="A458" s="48" t="s">
        <v>2918</v>
      </c>
      <c r="B458" s="74">
        <v>45994</v>
      </c>
      <c r="C458" s="48" t="s">
        <v>441</v>
      </c>
      <c r="D458" s="48" t="s">
        <v>20</v>
      </c>
      <c r="E458" s="48" t="s">
        <v>1329</v>
      </c>
      <c r="F458" s="48" t="s">
        <v>22</v>
      </c>
      <c r="G458" s="48" t="s">
        <v>24</v>
      </c>
      <c r="H458" s="48" t="s">
        <v>22</v>
      </c>
      <c r="I458" s="48" t="s">
        <v>26</v>
      </c>
      <c r="J458" s="48">
        <v>1020055</v>
      </c>
      <c r="K458" s="50">
        <v>2044458.32</v>
      </c>
      <c r="L458" s="50">
        <v>1</v>
      </c>
      <c r="M458" s="50">
        <v>2044458.32</v>
      </c>
      <c r="N458" s="50">
        <v>2044458.32</v>
      </c>
      <c r="O458" s="50">
        <v>0</v>
      </c>
      <c r="P458" s="50">
        <v>0</v>
      </c>
      <c r="Q458" s="87">
        <v>0</v>
      </c>
      <c r="R458" s="152">
        <v>0</v>
      </c>
      <c r="S458" s="174"/>
      <c r="T458" s="74">
        <v>46081</v>
      </c>
      <c r="U458" s="74">
        <v>46081</v>
      </c>
      <c r="V458" s="48"/>
      <c r="W458" s="48"/>
      <c r="X458" s="48"/>
      <c r="Y458" s="48">
        <v>0</v>
      </c>
      <c r="Z458" s="48"/>
      <c r="AA458" s="48" t="s">
        <v>21</v>
      </c>
      <c r="AB458" s="48" t="s">
        <v>27</v>
      </c>
      <c r="AC458" s="48" t="s">
        <v>311</v>
      </c>
      <c r="AD458" s="89" t="s">
        <v>845</v>
      </c>
    </row>
    <row r="459" spans="1:30" ht="15.75" hidden="1" x14ac:dyDescent="0.25">
      <c r="A459" s="48" t="s">
        <v>4560</v>
      </c>
      <c r="B459" s="74">
        <v>46118</v>
      </c>
      <c r="C459" s="48" t="s">
        <v>441</v>
      </c>
      <c r="D459" s="48" t="s">
        <v>20</v>
      </c>
      <c r="E459" s="48" t="s">
        <v>1329</v>
      </c>
      <c r="F459" s="48" t="s">
        <v>710</v>
      </c>
      <c r="G459" s="48" t="s">
        <v>24</v>
      </c>
      <c r="H459" s="48" t="s">
        <v>710</v>
      </c>
      <c r="I459" s="48" t="s">
        <v>26</v>
      </c>
      <c r="J459" s="48">
        <v>1020088</v>
      </c>
      <c r="K459" s="50">
        <v>500000</v>
      </c>
      <c r="L459" s="50">
        <v>1</v>
      </c>
      <c r="M459" s="50">
        <v>500000</v>
      </c>
      <c r="N459" s="50">
        <v>0</v>
      </c>
      <c r="O459" s="50">
        <v>500000</v>
      </c>
      <c r="P459" s="50">
        <v>0</v>
      </c>
      <c r="Q459" s="87">
        <v>500000</v>
      </c>
      <c r="R459" s="152">
        <v>0</v>
      </c>
      <c r="S459" s="174"/>
      <c r="T459" s="74">
        <v>46203</v>
      </c>
      <c r="U459" s="74">
        <v>46203</v>
      </c>
      <c r="V459" s="48"/>
      <c r="W459" s="48"/>
      <c r="X459" s="48"/>
      <c r="Y459" s="48">
        <v>0</v>
      </c>
      <c r="Z459" s="48"/>
      <c r="AA459" s="48" t="s">
        <v>366</v>
      </c>
      <c r="AB459" s="48" t="s">
        <v>27</v>
      </c>
      <c r="AC459" s="48" t="s">
        <v>4493</v>
      </c>
      <c r="AD459" s="89" t="s">
        <v>1026</v>
      </c>
    </row>
    <row r="460" spans="1:30" ht="15.75" hidden="1" x14ac:dyDescent="0.25">
      <c r="A460" s="48" t="s">
        <v>5422</v>
      </c>
      <c r="B460" s="74">
        <v>46177</v>
      </c>
      <c r="C460" s="48" t="s">
        <v>441</v>
      </c>
      <c r="D460" s="48" t="s">
        <v>20</v>
      </c>
      <c r="E460" s="48" t="s">
        <v>1329</v>
      </c>
      <c r="F460" s="48" t="s">
        <v>710</v>
      </c>
      <c r="G460" s="48" t="s">
        <v>24</v>
      </c>
      <c r="H460" s="48" t="s">
        <v>710</v>
      </c>
      <c r="I460" s="48" t="s">
        <v>26</v>
      </c>
      <c r="J460" s="48">
        <v>1020088</v>
      </c>
      <c r="K460" s="50">
        <v>400000</v>
      </c>
      <c r="L460" s="50">
        <v>1</v>
      </c>
      <c r="M460" s="50">
        <v>400000</v>
      </c>
      <c r="N460" s="50">
        <v>0</v>
      </c>
      <c r="O460" s="50">
        <v>400000</v>
      </c>
      <c r="P460" s="50">
        <v>0</v>
      </c>
      <c r="Q460" s="87">
        <v>400000</v>
      </c>
      <c r="R460" s="152">
        <v>0</v>
      </c>
      <c r="S460" s="174"/>
      <c r="T460" s="74">
        <v>46265</v>
      </c>
      <c r="U460" s="74">
        <v>46265</v>
      </c>
      <c r="V460" s="48"/>
      <c r="W460" s="48"/>
      <c r="X460" s="48"/>
      <c r="Y460" s="48">
        <v>0</v>
      </c>
      <c r="Z460" s="48"/>
      <c r="AA460" s="48" t="s">
        <v>366</v>
      </c>
      <c r="AB460" s="48" t="s">
        <v>27</v>
      </c>
      <c r="AC460" s="48" t="s">
        <v>5175</v>
      </c>
      <c r="AD460" s="89" t="s">
        <v>1026</v>
      </c>
    </row>
    <row r="461" spans="1:30" ht="15.75" hidden="1" x14ac:dyDescent="0.25">
      <c r="A461" s="48" t="s">
        <v>816</v>
      </c>
      <c r="B461" s="74">
        <v>45739</v>
      </c>
      <c r="C461" s="48" t="s">
        <v>441</v>
      </c>
      <c r="D461" s="48" t="s">
        <v>20</v>
      </c>
      <c r="E461" s="48" t="s">
        <v>817</v>
      </c>
      <c r="F461" s="48" t="s">
        <v>22</v>
      </c>
      <c r="G461" s="48" t="s">
        <v>24</v>
      </c>
      <c r="H461" s="48" t="s">
        <v>22</v>
      </c>
      <c r="I461" s="48" t="s">
        <v>26</v>
      </c>
      <c r="J461" s="48">
        <v>1020055</v>
      </c>
      <c r="K461" s="50">
        <v>517624.02</v>
      </c>
      <c r="L461" s="50">
        <v>1</v>
      </c>
      <c r="M461" s="50">
        <v>517624.02</v>
      </c>
      <c r="N461" s="50">
        <v>517624.02</v>
      </c>
      <c r="O461" s="50">
        <v>0</v>
      </c>
      <c r="P461" s="50">
        <v>0</v>
      </c>
      <c r="Q461" s="87">
        <v>0</v>
      </c>
      <c r="R461" s="152">
        <v>0</v>
      </c>
      <c r="S461" s="174"/>
      <c r="T461" s="74">
        <v>45838</v>
      </c>
      <c r="U461" s="74">
        <v>45838</v>
      </c>
      <c r="V461" s="48"/>
      <c r="W461" s="48"/>
      <c r="X461" s="48"/>
      <c r="Y461" s="48">
        <v>0</v>
      </c>
      <c r="Z461" s="48"/>
      <c r="AA461" s="48" t="s">
        <v>21</v>
      </c>
      <c r="AB461" s="48" t="s">
        <v>27</v>
      </c>
      <c r="AC461" s="48" t="s">
        <v>311</v>
      </c>
      <c r="AD461" s="89" t="s">
        <v>845</v>
      </c>
    </row>
    <row r="462" spans="1:30" ht="15.75" hidden="1" x14ac:dyDescent="0.25">
      <c r="A462" s="48" t="s">
        <v>2569</v>
      </c>
      <c r="B462" s="74">
        <v>45972</v>
      </c>
      <c r="C462" s="48" t="s">
        <v>1184</v>
      </c>
      <c r="D462" s="48" t="s">
        <v>20</v>
      </c>
      <c r="E462" s="48" t="s">
        <v>2561</v>
      </c>
      <c r="F462" s="48" t="s">
        <v>22</v>
      </c>
      <c r="G462" s="48" t="s">
        <v>72</v>
      </c>
      <c r="H462" s="48" t="s">
        <v>90</v>
      </c>
      <c r="I462" s="48" t="s">
        <v>26</v>
      </c>
      <c r="J462" s="48">
        <v>1020001</v>
      </c>
      <c r="K462" s="50">
        <v>94000000</v>
      </c>
      <c r="L462" s="50">
        <v>1</v>
      </c>
      <c r="M462" s="50">
        <v>94000000</v>
      </c>
      <c r="N462" s="50">
        <v>94000000</v>
      </c>
      <c r="O462" s="50">
        <v>0</v>
      </c>
      <c r="P462" s="50">
        <v>0</v>
      </c>
      <c r="Q462" s="87">
        <v>0</v>
      </c>
      <c r="R462" s="152">
        <v>0</v>
      </c>
      <c r="S462" s="174"/>
      <c r="T462" s="74">
        <v>46053</v>
      </c>
      <c r="U462" s="74">
        <v>46053</v>
      </c>
      <c r="V462" s="48"/>
      <c r="W462" s="48"/>
      <c r="X462" s="48"/>
      <c r="Y462" s="48">
        <v>0</v>
      </c>
      <c r="Z462" s="48"/>
      <c r="AA462" s="48" t="s">
        <v>21</v>
      </c>
      <c r="AB462" s="48" t="s">
        <v>27</v>
      </c>
      <c r="AC462" s="48" t="s">
        <v>1785</v>
      </c>
      <c r="AD462" s="89" t="s">
        <v>845</v>
      </c>
    </row>
    <row r="463" spans="1:30" ht="15.75" hidden="1" x14ac:dyDescent="0.25">
      <c r="A463" s="48" t="s">
        <v>485</v>
      </c>
      <c r="B463" s="74">
        <v>45610</v>
      </c>
      <c r="C463" s="48" t="s">
        <v>509</v>
      </c>
      <c r="D463" s="48" t="s">
        <v>20</v>
      </c>
      <c r="E463" s="48" t="s">
        <v>486</v>
      </c>
      <c r="F463" s="48" t="s">
        <v>22</v>
      </c>
      <c r="G463" s="48" t="s">
        <v>72</v>
      </c>
      <c r="H463" s="48" t="s">
        <v>487</v>
      </c>
      <c r="I463" s="48" t="s">
        <v>26</v>
      </c>
      <c r="J463" s="48">
        <v>1020060</v>
      </c>
      <c r="K463" s="50">
        <v>2026592</v>
      </c>
      <c r="L463" s="50">
        <v>1</v>
      </c>
      <c r="M463" s="50">
        <v>2026592</v>
      </c>
      <c r="N463" s="50">
        <v>2026591.9999999998</v>
      </c>
      <c r="O463" s="50">
        <v>0</v>
      </c>
      <c r="P463" s="50">
        <v>0</v>
      </c>
      <c r="Q463" s="87">
        <v>0</v>
      </c>
      <c r="R463" s="152">
        <v>0</v>
      </c>
      <c r="S463" s="174"/>
      <c r="T463" s="74">
        <v>45688</v>
      </c>
      <c r="U463" s="74">
        <v>45661</v>
      </c>
      <c r="V463" s="48"/>
      <c r="W463" s="48"/>
      <c r="X463" s="48"/>
      <c r="Y463" s="48">
        <v>0</v>
      </c>
      <c r="Z463" s="48"/>
      <c r="AA463" s="48" t="s">
        <v>21</v>
      </c>
      <c r="AB463" s="48" t="s">
        <v>27</v>
      </c>
      <c r="AC463" s="48" t="s">
        <v>305</v>
      </c>
      <c r="AD463" s="89" t="s">
        <v>845</v>
      </c>
    </row>
    <row r="464" spans="1:30" ht="15.75" hidden="1" x14ac:dyDescent="0.25">
      <c r="A464" s="48" t="s">
        <v>1251</v>
      </c>
      <c r="B464" s="74">
        <v>45778</v>
      </c>
      <c r="C464" s="48" t="s">
        <v>509</v>
      </c>
      <c r="D464" s="48" t="s">
        <v>20</v>
      </c>
      <c r="E464" s="48" t="s">
        <v>1200</v>
      </c>
      <c r="F464" s="48" t="s">
        <v>96</v>
      </c>
      <c r="G464" s="48" t="s">
        <v>72</v>
      </c>
      <c r="H464" s="48" t="s">
        <v>511</v>
      </c>
      <c r="I464" s="48" t="s">
        <v>26</v>
      </c>
      <c r="J464" s="48">
        <v>1020107</v>
      </c>
      <c r="K464" s="50">
        <v>3000000</v>
      </c>
      <c r="L464" s="50">
        <v>1</v>
      </c>
      <c r="M464" s="50">
        <v>3000000</v>
      </c>
      <c r="N464" s="50">
        <v>2962743.95</v>
      </c>
      <c r="O464" s="50">
        <v>37256.050000000003</v>
      </c>
      <c r="P464" s="50">
        <v>0</v>
      </c>
      <c r="Q464" s="87">
        <v>37256.050000000003</v>
      </c>
      <c r="R464" s="152">
        <v>0</v>
      </c>
      <c r="S464" s="174"/>
      <c r="T464" s="74">
        <v>45991</v>
      </c>
      <c r="U464" s="74">
        <v>45991</v>
      </c>
      <c r="V464" s="48"/>
      <c r="W464" s="48"/>
      <c r="X464" s="48"/>
      <c r="Y464" s="48">
        <v>0</v>
      </c>
      <c r="Z464" s="48"/>
      <c r="AA464" s="48" t="s">
        <v>95</v>
      </c>
      <c r="AB464" s="48" t="s">
        <v>27</v>
      </c>
      <c r="AC464" s="48" t="s">
        <v>305</v>
      </c>
      <c r="AD464" s="89" t="s">
        <v>845</v>
      </c>
    </row>
    <row r="465" spans="1:30" ht="15.75" hidden="1" x14ac:dyDescent="0.25">
      <c r="A465" s="48" t="s">
        <v>4205</v>
      </c>
      <c r="B465" s="74">
        <v>46082</v>
      </c>
      <c r="C465" s="48" t="s">
        <v>509</v>
      </c>
      <c r="D465" s="48" t="s">
        <v>20</v>
      </c>
      <c r="E465" s="48" t="s">
        <v>1200</v>
      </c>
      <c r="F465" s="48" t="s">
        <v>96</v>
      </c>
      <c r="G465" s="48" t="s">
        <v>72</v>
      </c>
      <c r="H465" s="48" t="s">
        <v>511</v>
      </c>
      <c r="I465" s="48" t="s">
        <v>26</v>
      </c>
      <c r="J465" s="48">
        <v>1020107</v>
      </c>
      <c r="K465" s="50">
        <v>2140124.1600000001</v>
      </c>
      <c r="L465" s="50">
        <v>1</v>
      </c>
      <c r="M465" s="50">
        <v>2140124.1600000001</v>
      </c>
      <c r="N465" s="50">
        <v>1696396.49</v>
      </c>
      <c r="O465" s="50">
        <v>443727.67</v>
      </c>
      <c r="P465" s="50">
        <v>0</v>
      </c>
      <c r="Q465" s="87">
        <v>443727.67</v>
      </c>
      <c r="R465" s="152">
        <v>0</v>
      </c>
      <c r="S465" s="174"/>
      <c r="T465" s="74">
        <v>46235</v>
      </c>
      <c r="U465" s="74">
        <v>46235</v>
      </c>
      <c r="V465" s="48"/>
      <c r="W465" s="48"/>
      <c r="X465" s="48"/>
      <c r="Y465" s="48">
        <v>0</v>
      </c>
      <c r="Z465" s="48"/>
      <c r="AA465" s="48" t="s">
        <v>95</v>
      </c>
      <c r="AB465" s="48" t="s">
        <v>27</v>
      </c>
      <c r="AC465" s="48" t="s">
        <v>305</v>
      </c>
      <c r="AD465" s="89" t="s">
        <v>1026</v>
      </c>
    </row>
    <row r="466" spans="1:30" ht="15.75" hidden="1" x14ac:dyDescent="0.25">
      <c r="A466" s="48" t="s">
        <v>1504</v>
      </c>
      <c r="B466" s="74">
        <v>45831</v>
      </c>
      <c r="C466" s="48" t="s">
        <v>441</v>
      </c>
      <c r="D466" s="48" t="s">
        <v>20</v>
      </c>
      <c r="E466" s="48" t="s">
        <v>1414</v>
      </c>
      <c r="F466" s="48" t="s">
        <v>22</v>
      </c>
      <c r="G466" s="48" t="s">
        <v>24</v>
      </c>
      <c r="H466" s="48" t="s">
        <v>407</v>
      </c>
      <c r="I466" s="48" t="s">
        <v>26</v>
      </c>
      <c r="J466" s="48">
        <v>1020100</v>
      </c>
      <c r="K466" s="50">
        <v>200000</v>
      </c>
      <c r="L466" s="50">
        <v>1</v>
      </c>
      <c r="M466" s="50">
        <v>200000</v>
      </c>
      <c r="N466" s="50">
        <v>200000</v>
      </c>
      <c r="O466" s="50">
        <v>0</v>
      </c>
      <c r="P466" s="50">
        <v>0</v>
      </c>
      <c r="Q466" s="87">
        <v>0</v>
      </c>
      <c r="R466" s="152">
        <v>0</v>
      </c>
      <c r="S466" s="174"/>
      <c r="T466" s="74">
        <v>45961</v>
      </c>
      <c r="U466" s="74">
        <v>45961</v>
      </c>
      <c r="V466" s="48"/>
      <c r="W466" s="48"/>
      <c r="X466" s="48"/>
      <c r="Y466" s="48">
        <v>0</v>
      </c>
      <c r="Z466" s="48" t="s">
        <v>1846</v>
      </c>
      <c r="AA466" s="48" t="s">
        <v>21</v>
      </c>
      <c r="AB466" s="48" t="s">
        <v>27</v>
      </c>
      <c r="AC466" s="48" t="s">
        <v>621</v>
      </c>
      <c r="AD466" s="89" t="s">
        <v>845</v>
      </c>
    </row>
    <row r="467" spans="1:30" ht="15.75" hidden="1" x14ac:dyDescent="0.25">
      <c r="A467" s="48" t="s">
        <v>702</v>
      </c>
      <c r="B467" s="74">
        <v>45718</v>
      </c>
      <c r="C467" s="48" t="s">
        <v>1119</v>
      </c>
      <c r="D467" s="48" t="s">
        <v>20</v>
      </c>
      <c r="E467" s="48" t="s">
        <v>703</v>
      </c>
      <c r="F467" s="48" t="s">
        <v>96</v>
      </c>
      <c r="G467" s="48" t="s">
        <v>704</v>
      </c>
      <c r="H467" s="48" t="s">
        <v>367</v>
      </c>
      <c r="I467" s="48" t="s">
        <v>78</v>
      </c>
      <c r="J467" s="48">
        <v>1020091</v>
      </c>
      <c r="K467" s="50">
        <v>2600115.56</v>
      </c>
      <c r="L467" s="50">
        <v>3.75</v>
      </c>
      <c r="M467" s="50">
        <v>9750433.3499999996</v>
      </c>
      <c r="N467" s="50">
        <v>9746115.0374999978</v>
      </c>
      <c r="O467" s="50">
        <v>4318.3100000000004</v>
      </c>
      <c r="P467" s="50">
        <v>0</v>
      </c>
      <c r="Q467" s="87">
        <v>4318.3100000000004</v>
      </c>
      <c r="R467" s="152">
        <v>0</v>
      </c>
      <c r="S467" s="174"/>
      <c r="T467" s="74">
        <v>45951</v>
      </c>
      <c r="U467" s="74">
        <v>45930</v>
      </c>
      <c r="V467" s="48"/>
      <c r="W467" s="48"/>
      <c r="X467" s="48"/>
      <c r="Y467" s="48"/>
      <c r="Z467" s="48"/>
      <c r="AA467" s="48" t="s">
        <v>95</v>
      </c>
      <c r="AB467" s="48" t="s">
        <v>27</v>
      </c>
      <c r="AC467" s="48" t="s">
        <v>705</v>
      </c>
      <c r="AD467" s="89" t="s">
        <v>845</v>
      </c>
    </row>
    <row r="468" spans="1:30" ht="15.75" hidden="1" x14ac:dyDescent="0.25">
      <c r="A468" s="48" t="s">
        <v>315</v>
      </c>
      <c r="B468" s="74">
        <v>45379</v>
      </c>
      <c r="C468" s="48" t="s">
        <v>1118</v>
      </c>
      <c r="D468" s="48" t="s">
        <v>20</v>
      </c>
      <c r="E468" s="48" t="s">
        <v>316</v>
      </c>
      <c r="F468" s="48" t="s">
        <v>63</v>
      </c>
      <c r="G468" s="48" t="s">
        <v>72</v>
      </c>
      <c r="H468" s="48" t="s">
        <v>213</v>
      </c>
      <c r="I468" s="48" t="s">
        <v>191</v>
      </c>
      <c r="J468" s="48">
        <v>1020015</v>
      </c>
      <c r="K468" s="50">
        <v>25067422.109999999</v>
      </c>
      <c r="L468" s="50">
        <v>1.03</v>
      </c>
      <c r="M468" s="50">
        <v>25819444.7733</v>
      </c>
      <c r="N468" s="50">
        <v>25679477.646225005</v>
      </c>
      <c r="O468" s="50">
        <v>139967.13</v>
      </c>
      <c r="P468" s="50">
        <v>0</v>
      </c>
      <c r="Q468" s="87">
        <v>139967.13</v>
      </c>
      <c r="R468" s="152">
        <v>0</v>
      </c>
      <c r="S468" s="174"/>
      <c r="T468" s="74">
        <v>45550</v>
      </c>
      <c r="U468" s="74">
        <v>45550</v>
      </c>
      <c r="V468" s="48"/>
      <c r="W468" s="48"/>
      <c r="X468" s="48"/>
      <c r="Y468" s="48">
        <v>0</v>
      </c>
      <c r="Z468" s="48"/>
      <c r="AA468" s="48" t="s">
        <v>62</v>
      </c>
      <c r="AB468" s="48" t="s">
        <v>27</v>
      </c>
      <c r="AC468" s="48"/>
      <c r="AD468" s="89" t="s">
        <v>845</v>
      </c>
    </row>
    <row r="469" spans="1:30" ht="15.75" hidden="1" x14ac:dyDescent="0.25">
      <c r="A469" s="48" t="s">
        <v>320</v>
      </c>
      <c r="B469" s="74">
        <v>45529</v>
      </c>
      <c r="C469" s="48" t="s">
        <v>1118</v>
      </c>
      <c r="D469" s="48" t="s">
        <v>20</v>
      </c>
      <c r="E469" s="48" t="s">
        <v>316</v>
      </c>
      <c r="F469" s="48" t="s">
        <v>70</v>
      </c>
      <c r="G469" s="48" t="s">
        <v>72</v>
      </c>
      <c r="H469" s="48" t="s">
        <v>213</v>
      </c>
      <c r="I469" s="48" t="s">
        <v>191</v>
      </c>
      <c r="J469" s="48">
        <v>1020015</v>
      </c>
      <c r="K469" s="50">
        <v>10215283.68</v>
      </c>
      <c r="L469" s="50">
        <v>1.03</v>
      </c>
      <c r="M469" s="50">
        <v>10521742.190400001</v>
      </c>
      <c r="N469" s="50">
        <v>10432413.443347</v>
      </c>
      <c r="O469" s="50">
        <v>89328.75</v>
      </c>
      <c r="P469" s="50">
        <v>0</v>
      </c>
      <c r="Q469" s="87">
        <v>89328.75</v>
      </c>
      <c r="R469" s="152">
        <v>0</v>
      </c>
      <c r="S469" s="174"/>
      <c r="T469" s="74">
        <v>45687</v>
      </c>
      <c r="U469" s="74">
        <v>45657</v>
      </c>
      <c r="V469" s="48"/>
      <c r="W469" s="48"/>
      <c r="X469" s="48"/>
      <c r="Y469" s="48">
        <v>0</v>
      </c>
      <c r="Z469" s="48"/>
      <c r="AA469" s="48" t="s">
        <v>62</v>
      </c>
      <c r="AB469" s="48" t="s">
        <v>70</v>
      </c>
      <c r="AC469" s="48" t="s">
        <v>208</v>
      </c>
      <c r="AD469" s="89" t="s">
        <v>845</v>
      </c>
    </row>
    <row r="470" spans="1:30" ht="15.75" hidden="1" x14ac:dyDescent="0.25">
      <c r="A470" s="48" t="s">
        <v>558</v>
      </c>
      <c r="B470" s="74">
        <v>45638</v>
      </c>
      <c r="C470" s="48" t="s">
        <v>441</v>
      </c>
      <c r="D470" s="48" t="s">
        <v>20</v>
      </c>
      <c r="E470" s="48" t="s">
        <v>435</v>
      </c>
      <c r="F470" s="48" t="s">
        <v>483</v>
      </c>
      <c r="G470" s="48" t="s">
        <v>24</v>
      </c>
      <c r="H470" s="48" t="s">
        <v>22</v>
      </c>
      <c r="I470" s="48" t="s">
        <v>26</v>
      </c>
      <c r="J470" s="48">
        <v>1020055</v>
      </c>
      <c r="K470" s="50">
        <v>2003904.69</v>
      </c>
      <c r="L470" s="50">
        <v>1</v>
      </c>
      <c r="M470" s="50">
        <v>2003904.69</v>
      </c>
      <c r="N470" s="50">
        <v>2003904.69</v>
      </c>
      <c r="O470" s="50">
        <v>0</v>
      </c>
      <c r="P470" s="50">
        <v>0</v>
      </c>
      <c r="Q470" s="87">
        <v>0</v>
      </c>
      <c r="R470" s="152">
        <v>0</v>
      </c>
      <c r="S470" s="174"/>
      <c r="T470" s="74">
        <v>45747</v>
      </c>
      <c r="U470" s="74">
        <v>45747</v>
      </c>
      <c r="V470" s="48"/>
      <c r="W470" s="48"/>
      <c r="X470" s="48"/>
      <c r="Y470" s="48">
        <v>0</v>
      </c>
      <c r="Z470" s="48"/>
      <c r="AA470" s="48" t="s">
        <v>373</v>
      </c>
      <c r="AB470" s="48" t="s">
        <v>27</v>
      </c>
      <c r="AC470" s="48" t="s">
        <v>311</v>
      </c>
      <c r="AD470" s="89" t="s">
        <v>845</v>
      </c>
    </row>
    <row r="471" spans="1:30" ht="15.75" hidden="1" x14ac:dyDescent="0.25">
      <c r="A471" s="48" t="s">
        <v>434</v>
      </c>
      <c r="B471" s="74">
        <v>45588</v>
      </c>
      <c r="C471" s="48" t="s">
        <v>441</v>
      </c>
      <c r="D471" s="48" t="s">
        <v>20</v>
      </c>
      <c r="E471" s="48" t="s">
        <v>435</v>
      </c>
      <c r="F471" s="48" t="s">
        <v>96</v>
      </c>
      <c r="G471" s="48" t="s">
        <v>24</v>
      </c>
      <c r="H471" s="48" t="s">
        <v>22</v>
      </c>
      <c r="I471" s="48" t="s">
        <v>26</v>
      </c>
      <c r="J471" s="48">
        <v>1020055</v>
      </c>
      <c r="K471" s="50">
        <v>1500000</v>
      </c>
      <c r="L471" s="50">
        <v>1</v>
      </c>
      <c r="M471" s="50">
        <v>1500000</v>
      </c>
      <c r="N471" s="50">
        <v>1500000</v>
      </c>
      <c r="O471" s="50">
        <v>0</v>
      </c>
      <c r="P471" s="50">
        <v>0</v>
      </c>
      <c r="Q471" s="87">
        <v>0</v>
      </c>
      <c r="R471" s="152">
        <v>0</v>
      </c>
      <c r="S471" s="312"/>
      <c r="T471" s="74">
        <v>45657</v>
      </c>
      <c r="U471" s="74">
        <v>45630</v>
      </c>
      <c r="V471" s="48"/>
      <c r="W471" s="48"/>
      <c r="X471" s="48"/>
      <c r="Y471" s="48">
        <v>0</v>
      </c>
      <c r="Z471" s="48"/>
      <c r="AA471" s="48" t="s">
        <v>95</v>
      </c>
      <c r="AB471" s="48" t="s">
        <v>27</v>
      </c>
      <c r="AC471" s="48" t="s">
        <v>311</v>
      </c>
      <c r="AD471" s="89" t="s">
        <v>845</v>
      </c>
    </row>
    <row r="472" spans="1:30" ht="15.75" hidden="1" x14ac:dyDescent="0.25">
      <c r="A472" s="48" t="s">
        <v>300</v>
      </c>
      <c r="B472" s="74">
        <v>45526</v>
      </c>
      <c r="C472" s="48" t="s">
        <v>441</v>
      </c>
      <c r="D472" s="48" t="s">
        <v>20</v>
      </c>
      <c r="E472" s="48" t="s">
        <v>301</v>
      </c>
      <c r="F472" s="48" t="s">
        <v>22</v>
      </c>
      <c r="G472" s="48" t="s">
        <v>24</v>
      </c>
      <c r="H472" s="48" t="s">
        <v>22</v>
      </c>
      <c r="I472" s="48" t="s">
        <v>26</v>
      </c>
      <c r="J472" s="48">
        <v>1020055</v>
      </c>
      <c r="K472" s="50">
        <v>2000000</v>
      </c>
      <c r="L472" s="50">
        <v>1</v>
      </c>
      <c r="M472" s="50">
        <v>2000000</v>
      </c>
      <c r="N472" s="50">
        <v>2000000</v>
      </c>
      <c r="O472" s="50">
        <v>0</v>
      </c>
      <c r="P472" s="50">
        <v>0</v>
      </c>
      <c r="Q472" s="87">
        <v>0</v>
      </c>
      <c r="R472" s="152">
        <v>0</v>
      </c>
      <c r="S472" s="174"/>
      <c r="T472" s="74">
        <v>45626</v>
      </c>
      <c r="U472" s="74">
        <v>45626</v>
      </c>
      <c r="V472" s="48"/>
      <c r="W472" s="48"/>
      <c r="X472" s="48"/>
      <c r="Y472" s="48">
        <v>0</v>
      </c>
      <c r="Z472" s="48"/>
      <c r="AA472" s="48" t="s">
        <v>21</v>
      </c>
      <c r="AB472" s="48" t="s">
        <v>27</v>
      </c>
      <c r="AC472" s="48"/>
      <c r="AD472" s="89" t="s">
        <v>845</v>
      </c>
    </row>
    <row r="473" spans="1:30" ht="15.75" hidden="1" x14ac:dyDescent="0.25">
      <c r="A473" s="48" t="s">
        <v>264</v>
      </c>
      <c r="B473" s="74">
        <v>45435</v>
      </c>
      <c r="C473" s="48" t="s">
        <v>441</v>
      </c>
      <c r="D473" s="48" t="s">
        <v>20</v>
      </c>
      <c r="E473" s="48" t="s">
        <v>109</v>
      </c>
      <c r="F473" s="48" t="s">
        <v>22</v>
      </c>
      <c r="G473" s="48" t="s">
        <v>24</v>
      </c>
      <c r="H473" s="48" t="s">
        <v>22</v>
      </c>
      <c r="I473" s="48" t="s">
        <v>26</v>
      </c>
      <c r="J473" s="48">
        <v>1020055</v>
      </c>
      <c r="K473" s="50">
        <v>3000000</v>
      </c>
      <c r="L473" s="50">
        <v>1</v>
      </c>
      <c r="M473" s="50">
        <v>3000000</v>
      </c>
      <c r="N473" s="50">
        <v>3000000</v>
      </c>
      <c r="O473" s="50">
        <v>0</v>
      </c>
      <c r="P473" s="50">
        <v>0</v>
      </c>
      <c r="Q473" s="87">
        <v>0</v>
      </c>
      <c r="R473" s="152">
        <v>0</v>
      </c>
      <c r="S473" s="174"/>
      <c r="T473" s="74">
        <v>45565</v>
      </c>
      <c r="U473" s="74">
        <v>45565</v>
      </c>
      <c r="V473" s="48"/>
      <c r="W473" s="48"/>
      <c r="X473" s="48"/>
      <c r="Y473" s="48">
        <v>0</v>
      </c>
      <c r="Z473" s="48"/>
      <c r="AA473" s="48" t="s">
        <v>21</v>
      </c>
      <c r="AB473" s="48" t="s">
        <v>27</v>
      </c>
      <c r="AC473" s="48"/>
      <c r="AD473" s="89" t="s">
        <v>845</v>
      </c>
    </row>
    <row r="474" spans="1:30" ht="15.75" hidden="1" x14ac:dyDescent="0.25">
      <c r="A474" s="48" t="s">
        <v>108</v>
      </c>
      <c r="B474" s="74">
        <v>45041</v>
      </c>
      <c r="C474" s="48" t="s">
        <v>441</v>
      </c>
      <c r="D474" s="48" t="s">
        <v>20</v>
      </c>
      <c r="E474" s="48" t="s">
        <v>109</v>
      </c>
      <c r="F474" s="48" t="s">
        <v>22</v>
      </c>
      <c r="G474" s="48" t="s">
        <v>24</v>
      </c>
      <c r="H474" s="48" t="s">
        <v>22</v>
      </c>
      <c r="I474" s="48" t="s">
        <v>26</v>
      </c>
      <c r="J474" s="48">
        <v>1020055</v>
      </c>
      <c r="K474" s="50">
        <v>891560.04</v>
      </c>
      <c r="L474" s="50">
        <v>1</v>
      </c>
      <c r="M474" s="50">
        <v>891560.04</v>
      </c>
      <c r="N474" s="50">
        <v>891560.04</v>
      </c>
      <c r="O474" s="50">
        <v>0</v>
      </c>
      <c r="P474" s="50">
        <v>0</v>
      </c>
      <c r="Q474" s="87">
        <v>0</v>
      </c>
      <c r="R474" s="152">
        <v>0</v>
      </c>
      <c r="S474" s="174"/>
      <c r="T474" s="74">
        <v>45107</v>
      </c>
      <c r="U474" s="74">
        <v>45107</v>
      </c>
      <c r="V474" s="48"/>
      <c r="W474" s="48"/>
      <c r="X474" s="48"/>
      <c r="Y474" s="48">
        <v>0</v>
      </c>
      <c r="Z474" s="48"/>
      <c r="AA474" s="48" t="s">
        <v>21</v>
      </c>
      <c r="AB474" s="48" t="s">
        <v>27</v>
      </c>
      <c r="AC474" s="48"/>
      <c r="AD474" s="89" t="s">
        <v>845</v>
      </c>
    </row>
    <row r="475" spans="1:30" ht="15.75" hidden="1" x14ac:dyDescent="0.25">
      <c r="A475" s="48" t="s">
        <v>110</v>
      </c>
      <c r="B475" s="74">
        <v>45041</v>
      </c>
      <c r="C475" s="48" t="s">
        <v>441</v>
      </c>
      <c r="D475" s="48" t="s">
        <v>20</v>
      </c>
      <c r="E475" s="48" t="s">
        <v>109</v>
      </c>
      <c r="F475" s="48" t="s">
        <v>22</v>
      </c>
      <c r="G475" s="48" t="s">
        <v>24</v>
      </c>
      <c r="H475" s="48" t="s">
        <v>22</v>
      </c>
      <c r="I475" s="48" t="s">
        <v>26</v>
      </c>
      <c r="J475" s="48">
        <v>1020055</v>
      </c>
      <c r="K475" s="50">
        <v>7788301.3200000003</v>
      </c>
      <c r="L475" s="50">
        <v>1</v>
      </c>
      <c r="M475" s="50">
        <v>7788301.3200000003</v>
      </c>
      <c r="N475" s="50">
        <v>7788301.3200000003</v>
      </c>
      <c r="O475" s="50">
        <v>0</v>
      </c>
      <c r="P475" s="50">
        <v>0</v>
      </c>
      <c r="Q475" s="87">
        <v>0</v>
      </c>
      <c r="R475" s="152">
        <v>0</v>
      </c>
      <c r="S475" s="174"/>
      <c r="T475" s="74">
        <v>45107</v>
      </c>
      <c r="U475" s="74">
        <v>45107</v>
      </c>
      <c r="V475" s="48"/>
      <c r="W475" s="48"/>
      <c r="X475" s="48"/>
      <c r="Y475" s="48">
        <v>0</v>
      </c>
      <c r="Z475" s="48"/>
      <c r="AA475" s="48" t="s">
        <v>21</v>
      </c>
      <c r="AB475" s="48" t="s">
        <v>27</v>
      </c>
      <c r="AC475" s="48"/>
      <c r="AD475" s="89" t="s">
        <v>845</v>
      </c>
    </row>
    <row r="476" spans="1:30" ht="15.75" hidden="1" x14ac:dyDescent="0.25">
      <c r="A476" s="48" t="s">
        <v>239</v>
      </c>
      <c r="B476" s="74">
        <v>45278</v>
      </c>
      <c r="C476" s="48" t="s">
        <v>441</v>
      </c>
      <c r="D476" s="48" t="s">
        <v>20</v>
      </c>
      <c r="E476" s="48" t="s">
        <v>109</v>
      </c>
      <c r="F476" s="48" t="s">
        <v>22</v>
      </c>
      <c r="G476" s="48" t="s">
        <v>24</v>
      </c>
      <c r="H476" s="48" t="s">
        <v>22</v>
      </c>
      <c r="I476" s="48" t="s">
        <v>26</v>
      </c>
      <c r="J476" s="48">
        <v>1020055</v>
      </c>
      <c r="K476" s="50">
        <v>6084035.2300000004</v>
      </c>
      <c r="L476" s="50">
        <v>1</v>
      </c>
      <c r="M476" s="50">
        <v>6084035.2300000004</v>
      </c>
      <c r="N476" s="50">
        <v>6084035.2300000004</v>
      </c>
      <c r="O476" s="50">
        <v>0</v>
      </c>
      <c r="P476" s="50">
        <v>0</v>
      </c>
      <c r="Q476" s="87">
        <v>0</v>
      </c>
      <c r="R476" s="152">
        <v>0</v>
      </c>
      <c r="S476" s="174"/>
      <c r="T476" s="74">
        <v>45351</v>
      </c>
      <c r="U476" s="74">
        <v>45351</v>
      </c>
      <c r="V476" s="48"/>
      <c r="W476" s="48"/>
      <c r="X476" s="48"/>
      <c r="Y476" s="48">
        <v>0</v>
      </c>
      <c r="Z476" s="48"/>
      <c r="AA476" s="48" t="s">
        <v>21</v>
      </c>
      <c r="AB476" s="48" t="s">
        <v>27</v>
      </c>
      <c r="AC476" s="48"/>
      <c r="AD476" s="89" t="s">
        <v>845</v>
      </c>
    </row>
    <row r="477" spans="1:30" ht="15.75" hidden="1" x14ac:dyDescent="0.25">
      <c r="A477" s="48" t="s">
        <v>588</v>
      </c>
      <c r="B477" s="74">
        <v>45664</v>
      </c>
      <c r="C477" s="48" t="s">
        <v>441</v>
      </c>
      <c r="D477" s="48" t="s">
        <v>20</v>
      </c>
      <c r="E477" s="48" t="s">
        <v>589</v>
      </c>
      <c r="F477" s="48" t="s">
        <v>22</v>
      </c>
      <c r="G477" s="48" t="s">
        <v>24</v>
      </c>
      <c r="H477" s="48" t="s">
        <v>22</v>
      </c>
      <c r="I477" s="48" t="s">
        <v>26</v>
      </c>
      <c r="J477" s="48">
        <v>1020055</v>
      </c>
      <c r="K477" s="50">
        <v>2000000</v>
      </c>
      <c r="L477" s="50">
        <v>1</v>
      </c>
      <c r="M477" s="50">
        <v>2000000</v>
      </c>
      <c r="N477" s="50">
        <v>2000000</v>
      </c>
      <c r="O477" s="50">
        <v>0</v>
      </c>
      <c r="P477" s="50">
        <v>0</v>
      </c>
      <c r="Q477" s="87">
        <v>0</v>
      </c>
      <c r="R477" s="152">
        <v>0</v>
      </c>
      <c r="S477" s="174"/>
      <c r="T477" s="74">
        <v>45747</v>
      </c>
      <c r="U477" s="74">
        <v>45747</v>
      </c>
      <c r="V477" s="48"/>
      <c r="W477" s="48"/>
      <c r="X477" s="48"/>
      <c r="Y477" s="48">
        <v>0</v>
      </c>
      <c r="Z477" s="48"/>
      <c r="AA477" s="48" t="s">
        <v>21</v>
      </c>
      <c r="AB477" s="48" t="s">
        <v>27</v>
      </c>
      <c r="AC477" s="48" t="s">
        <v>311</v>
      </c>
      <c r="AD477" s="89" t="s">
        <v>845</v>
      </c>
    </row>
    <row r="478" spans="1:30" ht="15.75" hidden="1" x14ac:dyDescent="0.25">
      <c r="A478" s="48" t="s">
        <v>362</v>
      </c>
      <c r="B478" s="74">
        <v>45533</v>
      </c>
      <c r="C478" s="48" t="s">
        <v>441</v>
      </c>
      <c r="D478" s="48" t="s">
        <v>20</v>
      </c>
      <c r="E478" s="48" t="s">
        <v>109</v>
      </c>
      <c r="F478" s="48" t="s">
        <v>96</v>
      </c>
      <c r="G478" s="48" t="s">
        <v>24</v>
      </c>
      <c r="H478" s="48" t="s">
        <v>22</v>
      </c>
      <c r="I478" s="48" t="s">
        <v>26</v>
      </c>
      <c r="J478" s="48">
        <v>1020055</v>
      </c>
      <c r="K478" s="50">
        <v>2000000</v>
      </c>
      <c r="L478" s="50">
        <v>1</v>
      </c>
      <c r="M478" s="50">
        <v>2000000</v>
      </c>
      <c r="N478" s="50">
        <v>2000000</v>
      </c>
      <c r="O478" s="50">
        <v>0</v>
      </c>
      <c r="P478" s="50">
        <v>0</v>
      </c>
      <c r="Q478" s="87">
        <v>0</v>
      </c>
      <c r="R478" s="152">
        <v>0</v>
      </c>
      <c r="S478" s="174"/>
      <c r="T478" s="74">
        <v>45626</v>
      </c>
      <c r="U478" s="74">
        <v>45626</v>
      </c>
      <c r="V478" s="48"/>
      <c r="W478" s="48"/>
      <c r="X478" s="48"/>
      <c r="Y478" s="48">
        <v>0</v>
      </c>
      <c r="Z478" s="48"/>
      <c r="AA478" s="48" t="s">
        <v>95</v>
      </c>
      <c r="AB478" s="48" t="s">
        <v>27</v>
      </c>
      <c r="AC478" s="48"/>
      <c r="AD478" s="89" t="s">
        <v>845</v>
      </c>
    </row>
    <row r="479" spans="1:30" ht="15.75" hidden="1" x14ac:dyDescent="0.25">
      <c r="A479" s="48" t="s">
        <v>384</v>
      </c>
      <c r="B479" s="74">
        <v>45551</v>
      </c>
      <c r="C479" s="48" t="s">
        <v>441</v>
      </c>
      <c r="D479" s="48" t="s">
        <v>20</v>
      </c>
      <c r="E479" s="48" t="s">
        <v>109</v>
      </c>
      <c r="F479" s="48" t="s">
        <v>96</v>
      </c>
      <c r="G479" s="48" t="s">
        <v>24</v>
      </c>
      <c r="H479" s="48" t="s">
        <v>22</v>
      </c>
      <c r="I479" s="48" t="s">
        <v>26</v>
      </c>
      <c r="J479" s="48">
        <v>1020055</v>
      </c>
      <c r="K479" s="50">
        <v>1500000</v>
      </c>
      <c r="L479" s="50">
        <v>1</v>
      </c>
      <c r="M479" s="50">
        <v>1500000</v>
      </c>
      <c r="N479" s="50">
        <v>1500000</v>
      </c>
      <c r="O479" s="50">
        <v>0</v>
      </c>
      <c r="P479" s="50">
        <v>0</v>
      </c>
      <c r="Q479" s="87">
        <v>0</v>
      </c>
      <c r="R479" s="152">
        <v>0</v>
      </c>
      <c r="S479" s="174"/>
      <c r="T479" s="74">
        <v>45626</v>
      </c>
      <c r="U479" s="74">
        <v>45600</v>
      </c>
      <c r="V479" s="48"/>
      <c r="W479" s="48"/>
      <c r="X479" s="48"/>
      <c r="Y479" s="48">
        <v>0</v>
      </c>
      <c r="Z479" s="48"/>
      <c r="AA479" s="48" t="s">
        <v>95</v>
      </c>
      <c r="AB479" s="48" t="s">
        <v>27</v>
      </c>
      <c r="AC479" s="48" t="s">
        <v>311</v>
      </c>
      <c r="AD479" s="89" t="s">
        <v>845</v>
      </c>
    </row>
    <row r="480" spans="1:30" ht="15.75" hidden="1" x14ac:dyDescent="0.25">
      <c r="A480" s="48" t="s">
        <v>624</v>
      </c>
      <c r="B480" s="74">
        <v>45693</v>
      </c>
      <c r="C480" s="48" t="s">
        <v>441</v>
      </c>
      <c r="D480" s="48" t="s">
        <v>20</v>
      </c>
      <c r="E480" s="48" t="s">
        <v>589</v>
      </c>
      <c r="F480" s="48" t="s">
        <v>96</v>
      </c>
      <c r="G480" s="48" t="s">
        <v>24</v>
      </c>
      <c r="H480" s="48" t="s">
        <v>22</v>
      </c>
      <c r="I480" s="48" t="s">
        <v>26</v>
      </c>
      <c r="J480" s="48">
        <v>1020055</v>
      </c>
      <c r="K480" s="50">
        <v>500000</v>
      </c>
      <c r="L480" s="50">
        <v>1</v>
      </c>
      <c r="M480" s="50">
        <v>500000</v>
      </c>
      <c r="N480" s="50">
        <v>499999.82</v>
      </c>
      <c r="O480" s="50">
        <v>0.18</v>
      </c>
      <c r="P480" s="50">
        <v>0</v>
      </c>
      <c r="Q480" s="87">
        <v>0.18</v>
      </c>
      <c r="R480" s="152">
        <v>0</v>
      </c>
      <c r="S480" s="174"/>
      <c r="T480" s="74">
        <v>45777</v>
      </c>
      <c r="U480" s="74">
        <v>45777</v>
      </c>
      <c r="V480" s="48"/>
      <c r="W480" s="48"/>
      <c r="X480" s="48"/>
      <c r="Y480" s="48">
        <v>0</v>
      </c>
      <c r="Z480" s="48"/>
      <c r="AA480" s="48" t="s">
        <v>95</v>
      </c>
      <c r="AB480" s="48" t="s">
        <v>27</v>
      </c>
      <c r="AC480" s="48" t="s">
        <v>311</v>
      </c>
      <c r="AD480" s="89" t="s">
        <v>845</v>
      </c>
    </row>
    <row r="481" spans="1:30" ht="15.75" hidden="1" x14ac:dyDescent="0.25">
      <c r="A481" s="48" t="s">
        <v>223</v>
      </c>
      <c r="B481" s="74">
        <v>45237</v>
      </c>
      <c r="C481" s="48" t="s">
        <v>441</v>
      </c>
      <c r="D481" s="48" t="s">
        <v>20</v>
      </c>
      <c r="E481" s="48" t="s">
        <v>109</v>
      </c>
      <c r="F481" s="48" t="s">
        <v>22</v>
      </c>
      <c r="G481" s="48" t="s">
        <v>24</v>
      </c>
      <c r="H481" s="48" t="s">
        <v>22</v>
      </c>
      <c r="I481" s="48" t="s">
        <v>26</v>
      </c>
      <c r="J481" s="48">
        <v>1020055</v>
      </c>
      <c r="K481" s="50">
        <v>2325790.02</v>
      </c>
      <c r="L481" s="50">
        <v>1</v>
      </c>
      <c r="M481" s="50">
        <v>2325790.02</v>
      </c>
      <c r="N481" s="50">
        <v>2325783.02</v>
      </c>
      <c r="O481" s="50">
        <v>7</v>
      </c>
      <c r="P481" s="50">
        <v>0</v>
      </c>
      <c r="Q481" s="87">
        <v>7</v>
      </c>
      <c r="R481" s="152">
        <v>0</v>
      </c>
      <c r="S481" s="174"/>
      <c r="T481" s="74">
        <v>45322</v>
      </c>
      <c r="U481" s="74">
        <v>45322</v>
      </c>
      <c r="V481" s="48"/>
      <c r="W481" s="48"/>
      <c r="X481" s="48"/>
      <c r="Y481" s="48">
        <v>0</v>
      </c>
      <c r="Z481" s="48"/>
      <c r="AA481" s="48" t="s">
        <v>21</v>
      </c>
      <c r="AB481" s="48" t="s">
        <v>27</v>
      </c>
      <c r="AC481" s="48"/>
      <c r="AD481" s="89" t="s">
        <v>845</v>
      </c>
    </row>
    <row r="482" spans="1:30" ht="15.75" hidden="1" x14ac:dyDescent="0.25">
      <c r="A482" s="48" t="s">
        <v>1449</v>
      </c>
      <c r="B482" s="74">
        <v>45812</v>
      </c>
      <c r="C482" s="48" t="s">
        <v>509</v>
      </c>
      <c r="D482" s="48" t="s">
        <v>20</v>
      </c>
      <c r="E482" s="48" t="s">
        <v>1254</v>
      </c>
      <c r="F482" s="48" t="s">
        <v>96</v>
      </c>
      <c r="G482" s="48" t="s">
        <v>72</v>
      </c>
      <c r="H482" s="48" t="s">
        <v>511</v>
      </c>
      <c r="I482" s="48" t="s">
        <v>26</v>
      </c>
      <c r="J482" s="48">
        <v>1020107</v>
      </c>
      <c r="K482" s="50">
        <v>6577809.0999999996</v>
      </c>
      <c r="L482" s="50">
        <v>1</v>
      </c>
      <c r="M482" s="50">
        <v>6577809.0999999996</v>
      </c>
      <c r="N482" s="50">
        <v>1774302.4000000001</v>
      </c>
      <c r="O482" s="50">
        <v>4803506.7</v>
      </c>
      <c r="P482" s="50">
        <v>0</v>
      </c>
      <c r="Q482" s="87">
        <v>4803506.7</v>
      </c>
      <c r="R482" s="152">
        <v>0</v>
      </c>
      <c r="S482" s="174"/>
      <c r="T482" s="74">
        <v>45930</v>
      </c>
      <c r="U482" s="74">
        <v>45907</v>
      </c>
      <c r="V482" s="48"/>
      <c r="W482" s="48"/>
      <c r="X482" s="48"/>
      <c r="Y482" s="48">
        <v>0</v>
      </c>
      <c r="Z482" s="48"/>
      <c r="AA482" s="48" t="s">
        <v>95</v>
      </c>
      <c r="AB482" s="48" t="s">
        <v>27</v>
      </c>
      <c r="AC482" s="48" t="s">
        <v>425</v>
      </c>
      <c r="AD482" s="89" t="s">
        <v>845</v>
      </c>
    </row>
    <row r="483" spans="1:30" ht="15.75" hidden="1" x14ac:dyDescent="0.25">
      <c r="A483" s="48" t="s">
        <v>2915</v>
      </c>
      <c r="B483" s="74">
        <v>45993</v>
      </c>
      <c r="C483" s="48" t="s">
        <v>4206</v>
      </c>
      <c r="D483" s="48" t="s">
        <v>20</v>
      </c>
      <c r="E483" s="48" t="s">
        <v>2363</v>
      </c>
      <c r="F483" s="48" t="s">
        <v>483</v>
      </c>
      <c r="G483" s="48" t="s">
        <v>4207</v>
      </c>
      <c r="H483" s="48" t="s">
        <v>483</v>
      </c>
      <c r="I483" s="48" t="s">
        <v>67</v>
      </c>
      <c r="J483" s="48">
        <v>1020096</v>
      </c>
      <c r="K483" s="50">
        <v>695184.62200000009</v>
      </c>
      <c r="L483" s="50">
        <v>4.32</v>
      </c>
      <c r="M483" s="50">
        <v>3003197.5670400006</v>
      </c>
      <c r="N483" s="50">
        <v>992843.09680000006</v>
      </c>
      <c r="O483" s="50">
        <v>2010354.47</v>
      </c>
      <c r="P483" s="50">
        <v>0</v>
      </c>
      <c r="Q483" s="87">
        <v>2010354.47</v>
      </c>
      <c r="R483" s="152">
        <v>0</v>
      </c>
      <c r="S483" s="174"/>
      <c r="T483" s="74">
        <v>46371</v>
      </c>
      <c r="U483" s="74">
        <v>46341</v>
      </c>
      <c r="V483" s="48"/>
      <c r="W483" s="48"/>
      <c r="X483" s="48"/>
      <c r="Y483" s="48">
        <v>0</v>
      </c>
      <c r="Z483" s="48"/>
      <c r="AA483" s="48" t="s">
        <v>62</v>
      </c>
      <c r="AB483" s="48" t="s">
        <v>27</v>
      </c>
      <c r="AC483" s="48" t="s">
        <v>705</v>
      </c>
      <c r="AD483" s="89" t="s">
        <v>1026</v>
      </c>
    </row>
    <row r="484" spans="1:30" ht="15.75" hidden="1" x14ac:dyDescent="0.25">
      <c r="A484" s="48" t="s">
        <v>2906</v>
      </c>
      <c r="B484" s="74">
        <v>45992</v>
      </c>
      <c r="C484" s="48" t="s">
        <v>4206</v>
      </c>
      <c r="D484" s="48" t="s">
        <v>20</v>
      </c>
      <c r="E484" s="48" t="s">
        <v>2363</v>
      </c>
      <c r="F484" s="48" t="s">
        <v>483</v>
      </c>
      <c r="G484" s="48" t="s">
        <v>4207</v>
      </c>
      <c r="H484" s="48" t="s">
        <v>483</v>
      </c>
      <c r="I484" s="48" t="s">
        <v>78</v>
      </c>
      <c r="J484" s="48">
        <v>1020096</v>
      </c>
      <c r="K484" s="50">
        <v>430873.13500000001</v>
      </c>
      <c r="L484" s="50">
        <v>3.75</v>
      </c>
      <c r="M484" s="50">
        <v>1615774.2562500001</v>
      </c>
      <c r="N484" s="50">
        <v>386882.11667999998</v>
      </c>
      <c r="O484" s="50">
        <v>1228892.1399999999</v>
      </c>
      <c r="P484" s="50">
        <v>0</v>
      </c>
      <c r="Q484" s="87">
        <v>1228892.1399999999</v>
      </c>
      <c r="R484" s="152">
        <v>0</v>
      </c>
      <c r="S484" s="174"/>
      <c r="T484" s="74">
        <v>46371</v>
      </c>
      <c r="U484" s="74">
        <v>46341</v>
      </c>
      <c r="V484" s="48"/>
      <c r="W484" s="48"/>
      <c r="X484" s="48"/>
      <c r="Y484" s="48">
        <v>0</v>
      </c>
      <c r="Z484" s="48" t="s">
        <v>5586</v>
      </c>
      <c r="AA484" s="48" t="s">
        <v>62</v>
      </c>
      <c r="AB484" s="48" t="s">
        <v>27</v>
      </c>
      <c r="AC484" s="48" t="s">
        <v>705</v>
      </c>
      <c r="AD484" s="89" t="s">
        <v>1026</v>
      </c>
    </row>
    <row r="485" spans="1:30" ht="15.75" hidden="1" x14ac:dyDescent="0.25">
      <c r="A485" s="48" t="s">
        <v>348</v>
      </c>
      <c r="B485" s="74">
        <v>45533</v>
      </c>
      <c r="C485" s="48" t="s">
        <v>441</v>
      </c>
      <c r="D485" s="48" t="s">
        <v>20</v>
      </c>
      <c r="E485" s="48" t="s">
        <v>349</v>
      </c>
      <c r="F485" s="48" t="s">
        <v>96</v>
      </c>
      <c r="G485" s="48" t="s">
        <v>24</v>
      </c>
      <c r="H485" s="48" t="s">
        <v>22</v>
      </c>
      <c r="I485" s="48" t="s">
        <v>26</v>
      </c>
      <c r="J485" s="48">
        <v>1020055</v>
      </c>
      <c r="K485" s="50">
        <v>593580.02</v>
      </c>
      <c r="L485" s="50">
        <v>1</v>
      </c>
      <c r="M485" s="50">
        <v>593580.02</v>
      </c>
      <c r="N485" s="50">
        <v>593580.02</v>
      </c>
      <c r="O485" s="50">
        <v>0</v>
      </c>
      <c r="P485" s="50">
        <v>0</v>
      </c>
      <c r="Q485" s="87">
        <v>0</v>
      </c>
      <c r="R485" s="152">
        <v>0</v>
      </c>
      <c r="S485" s="174"/>
      <c r="T485" s="74">
        <v>45626</v>
      </c>
      <c r="U485" s="74">
        <v>45626</v>
      </c>
      <c r="V485" s="48"/>
      <c r="W485" s="48"/>
      <c r="X485" s="48"/>
      <c r="Y485" s="48">
        <v>0</v>
      </c>
      <c r="Z485" s="48"/>
      <c r="AA485" s="48" t="s">
        <v>95</v>
      </c>
      <c r="AB485" s="48" t="s">
        <v>27</v>
      </c>
      <c r="AC485" s="48" t="s">
        <v>311</v>
      </c>
      <c r="AD485" s="89" t="s">
        <v>845</v>
      </c>
    </row>
    <row r="486" spans="1:30" ht="15.75" hidden="1" x14ac:dyDescent="0.25">
      <c r="A486" s="48" t="s">
        <v>1290</v>
      </c>
      <c r="B486" s="74">
        <v>45785</v>
      </c>
      <c r="C486" s="48" t="s">
        <v>441</v>
      </c>
      <c r="D486" s="48" t="s">
        <v>20</v>
      </c>
      <c r="E486" s="48" t="s">
        <v>349</v>
      </c>
      <c r="F486" s="48" t="s">
        <v>70</v>
      </c>
      <c r="G486" s="48" t="s">
        <v>24</v>
      </c>
      <c r="H486" s="48" t="s">
        <v>407</v>
      </c>
      <c r="I486" s="48" t="s">
        <v>26</v>
      </c>
      <c r="J486" s="48">
        <v>1020100</v>
      </c>
      <c r="K486" s="50">
        <v>200000</v>
      </c>
      <c r="L486" s="50">
        <v>1</v>
      </c>
      <c r="M486" s="50">
        <v>200000</v>
      </c>
      <c r="N486" s="50">
        <v>200000</v>
      </c>
      <c r="O486" s="50">
        <v>0</v>
      </c>
      <c r="P486" s="50">
        <v>0</v>
      </c>
      <c r="Q486" s="87">
        <v>0</v>
      </c>
      <c r="R486" s="152">
        <v>0</v>
      </c>
      <c r="S486" s="174"/>
      <c r="T486" s="74">
        <v>45869</v>
      </c>
      <c r="U486" s="74">
        <v>45869</v>
      </c>
      <c r="V486" s="48"/>
      <c r="W486" s="48"/>
      <c r="X486" s="48"/>
      <c r="Y486" s="48">
        <v>0</v>
      </c>
      <c r="Z486" s="48"/>
      <c r="AA486" s="48" t="s">
        <v>373</v>
      </c>
      <c r="AB486" s="48" t="s">
        <v>70</v>
      </c>
      <c r="AC486" s="48" t="s">
        <v>621</v>
      </c>
      <c r="AD486" s="89" t="s">
        <v>845</v>
      </c>
    </row>
    <row r="487" spans="1:30" ht="15.75" hidden="1" x14ac:dyDescent="0.25">
      <c r="A487" s="48" t="s">
        <v>1339</v>
      </c>
      <c r="B487" s="74">
        <v>45792</v>
      </c>
      <c r="C487" s="48" t="s">
        <v>441</v>
      </c>
      <c r="D487" s="48" t="s">
        <v>20</v>
      </c>
      <c r="E487" s="48" t="s">
        <v>349</v>
      </c>
      <c r="F487" s="48" t="s">
        <v>22</v>
      </c>
      <c r="G487" s="48" t="s">
        <v>24</v>
      </c>
      <c r="H487" s="48" t="s">
        <v>22</v>
      </c>
      <c r="I487" s="48" t="s">
        <v>26</v>
      </c>
      <c r="J487" s="48">
        <v>1020055</v>
      </c>
      <c r="K487" s="50">
        <v>302213.12</v>
      </c>
      <c r="L487" s="50">
        <v>1</v>
      </c>
      <c r="M487" s="50">
        <v>302213.12</v>
      </c>
      <c r="N487" s="50">
        <v>295966.52</v>
      </c>
      <c r="O487" s="50">
        <v>6246.6</v>
      </c>
      <c r="P487" s="50">
        <v>0</v>
      </c>
      <c r="Q487" s="87">
        <v>6246.6</v>
      </c>
      <c r="R487" s="152">
        <v>0</v>
      </c>
      <c r="S487" s="174"/>
      <c r="T487" s="74">
        <v>45961</v>
      </c>
      <c r="U487" s="74">
        <v>45961</v>
      </c>
      <c r="V487" s="48"/>
      <c r="W487" s="48"/>
      <c r="X487" s="48"/>
      <c r="Y487" s="48">
        <v>0</v>
      </c>
      <c r="Z487" s="48" t="s">
        <v>1846</v>
      </c>
      <c r="AA487" s="48" t="s">
        <v>21</v>
      </c>
      <c r="AB487" s="48" t="s">
        <v>27</v>
      </c>
      <c r="AC487" s="48" t="s">
        <v>621</v>
      </c>
      <c r="AD487" s="89" t="s">
        <v>845</v>
      </c>
    </row>
    <row r="488" spans="1:30" ht="15.75" hidden="1" x14ac:dyDescent="0.25">
      <c r="A488" s="48" t="s">
        <v>3899</v>
      </c>
      <c r="B488" s="74">
        <v>46050</v>
      </c>
      <c r="C488" s="48" t="s">
        <v>441</v>
      </c>
      <c r="D488" s="48" t="s">
        <v>20</v>
      </c>
      <c r="E488" s="48" t="s">
        <v>349</v>
      </c>
      <c r="F488" s="48" t="s">
        <v>710</v>
      </c>
      <c r="G488" s="48" t="s">
        <v>24</v>
      </c>
      <c r="H488" s="48" t="s">
        <v>710</v>
      </c>
      <c r="I488" s="48" t="s">
        <v>26</v>
      </c>
      <c r="J488" s="48">
        <v>1020088</v>
      </c>
      <c r="K488" s="50">
        <v>500000</v>
      </c>
      <c r="L488" s="50">
        <v>1</v>
      </c>
      <c r="M488" s="50">
        <v>500000</v>
      </c>
      <c r="N488" s="50">
        <v>500000</v>
      </c>
      <c r="O488" s="50">
        <v>0</v>
      </c>
      <c r="P488" s="50">
        <v>0</v>
      </c>
      <c r="Q488" s="87">
        <v>0</v>
      </c>
      <c r="R488" s="152">
        <v>0</v>
      </c>
      <c r="S488" s="174"/>
      <c r="T488" s="74">
        <v>46142</v>
      </c>
      <c r="U488" s="74">
        <v>46142</v>
      </c>
      <c r="V488" s="48"/>
      <c r="W488" s="48"/>
      <c r="X488" s="48"/>
      <c r="Y488" s="48">
        <v>0</v>
      </c>
      <c r="Z488" s="48"/>
      <c r="AA488" s="48" t="s">
        <v>366</v>
      </c>
      <c r="AB488" s="48" t="s">
        <v>27</v>
      </c>
      <c r="AC488" s="48" t="s">
        <v>1904</v>
      </c>
      <c r="AD488" s="89" t="s">
        <v>845</v>
      </c>
    </row>
    <row r="489" spans="1:30" ht="15.75" hidden="1" x14ac:dyDescent="0.25">
      <c r="A489" s="48" t="s">
        <v>3952</v>
      </c>
      <c r="B489" s="74">
        <v>46057</v>
      </c>
      <c r="C489" s="48" t="s">
        <v>1537</v>
      </c>
      <c r="D489" s="48" t="s">
        <v>20</v>
      </c>
      <c r="E489" s="48" t="s">
        <v>3858</v>
      </c>
      <c r="F489" s="48" t="s">
        <v>483</v>
      </c>
      <c r="G489" s="48" t="s">
        <v>24</v>
      </c>
      <c r="H489" s="48" t="s">
        <v>483</v>
      </c>
      <c r="I489" s="48" t="s">
        <v>26</v>
      </c>
      <c r="J489" s="48">
        <v>1020096</v>
      </c>
      <c r="K489" s="50">
        <v>617898.36</v>
      </c>
      <c r="L489" s="50">
        <v>1</v>
      </c>
      <c r="M489" s="50">
        <v>617898.36</v>
      </c>
      <c r="N489" s="50">
        <v>500000</v>
      </c>
      <c r="O489" s="50">
        <v>117898.36</v>
      </c>
      <c r="P489" s="50">
        <v>0</v>
      </c>
      <c r="Q489" s="87">
        <v>117898.36</v>
      </c>
      <c r="R489" s="152">
        <v>0</v>
      </c>
      <c r="S489" s="174"/>
      <c r="T489" s="74">
        <v>46142</v>
      </c>
      <c r="U489" s="74">
        <v>46142</v>
      </c>
      <c r="V489" s="48"/>
      <c r="W489" s="48"/>
      <c r="X489" s="48"/>
      <c r="Y489" s="48">
        <v>0</v>
      </c>
      <c r="Z489" s="48"/>
      <c r="AA489" s="48" t="s">
        <v>62</v>
      </c>
      <c r="AB489" s="48" t="s">
        <v>27</v>
      </c>
      <c r="AC489" s="48" t="s">
        <v>3229</v>
      </c>
      <c r="AD489" s="89" t="s">
        <v>845</v>
      </c>
    </row>
    <row r="490" spans="1:30" ht="15.75" hidden="1" x14ac:dyDescent="0.25">
      <c r="A490" s="48" t="s">
        <v>4548</v>
      </c>
      <c r="B490" s="74">
        <v>46118</v>
      </c>
      <c r="C490" s="48" t="s">
        <v>441</v>
      </c>
      <c r="D490" s="48" t="s">
        <v>20</v>
      </c>
      <c r="E490" s="48" t="s">
        <v>3858</v>
      </c>
      <c r="F490" s="48" t="s">
        <v>710</v>
      </c>
      <c r="G490" s="48" t="s">
        <v>24</v>
      </c>
      <c r="H490" s="48" t="s">
        <v>710</v>
      </c>
      <c r="I490" s="48" t="s">
        <v>26</v>
      </c>
      <c r="J490" s="48">
        <v>1020088</v>
      </c>
      <c r="K490" s="50">
        <v>150000</v>
      </c>
      <c r="L490" s="50">
        <v>1</v>
      </c>
      <c r="M490" s="50">
        <v>150000</v>
      </c>
      <c r="N490" s="50">
        <v>0</v>
      </c>
      <c r="O490" s="50">
        <v>150000</v>
      </c>
      <c r="P490" s="50">
        <v>150000</v>
      </c>
      <c r="Q490" s="87">
        <v>0</v>
      </c>
      <c r="R490" s="152">
        <v>0</v>
      </c>
      <c r="S490" s="174" t="s">
        <v>5080</v>
      </c>
      <c r="T490" s="74">
        <v>46203</v>
      </c>
      <c r="U490" s="74">
        <v>46203</v>
      </c>
      <c r="V490" s="48"/>
      <c r="W490" s="48"/>
      <c r="X490" s="48"/>
      <c r="Y490" s="48">
        <v>0</v>
      </c>
      <c r="Z490" s="48"/>
      <c r="AA490" s="48" t="s">
        <v>366</v>
      </c>
      <c r="AB490" s="48" t="s">
        <v>27</v>
      </c>
      <c r="AC490" s="48" t="s">
        <v>4493</v>
      </c>
      <c r="AD490" s="89" t="s">
        <v>1026</v>
      </c>
    </row>
    <row r="491" spans="1:30" ht="15.75" hidden="1" x14ac:dyDescent="0.25">
      <c r="A491" s="48" t="s">
        <v>806</v>
      </c>
      <c r="B491" s="74">
        <v>45739</v>
      </c>
      <c r="C491" s="48" t="s">
        <v>441</v>
      </c>
      <c r="D491" s="48" t="s">
        <v>20</v>
      </c>
      <c r="E491" s="48" t="s">
        <v>807</v>
      </c>
      <c r="F491" s="48" t="s">
        <v>22</v>
      </c>
      <c r="G491" s="48" t="s">
        <v>24</v>
      </c>
      <c r="H491" s="48" t="s">
        <v>22</v>
      </c>
      <c r="I491" s="48" t="s">
        <v>26</v>
      </c>
      <c r="J491" s="48">
        <v>1020055</v>
      </c>
      <c r="K491" s="50">
        <v>464036.5</v>
      </c>
      <c r="L491" s="50">
        <v>1</v>
      </c>
      <c r="M491" s="50">
        <v>464036.5</v>
      </c>
      <c r="N491" s="50">
        <v>464036.5</v>
      </c>
      <c r="O491" s="50">
        <v>0</v>
      </c>
      <c r="P491" s="50">
        <v>0</v>
      </c>
      <c r="Q491" s="87">
        <v>0</v>
      </c>
      <c r="R491" s="152">
        <v>0</v>
      </c>
      <c r="S491" s="174"/>
      <c r="T491" s="74">
        <v>45838</v>
      </c>
      <c r="U491" s="74">
        <v>45838</v>
      </c>
      <c r="V491" s="48"/>
      <c r="W491" s="48"/>
      <c r="X491" s="48"/>
      <c r="Y491" s="48">
        <v>0</v>
      </c>
      <c r="Z491" s="48"/>
      <c r="AA491" s="48" t="s">
        <v>21</v>
      </c>
      <c r="AB491" s="48" t="s">
        <v>27</v>
      </c>
      <c r="AC491" s="48" t="s">
        <v>311</v>
      </c>
      <c r="AD491" s="89" t="s">
        <v>845</v>
      </c>
    </row>
    <row r="492" spans="1:30" ht="15.75" hidden="1" x14ac:dyDescent="0.25">
      <c r="A492" s="48" t="s">
        <v>1663</v>
      </c>
      <c r="B492" s="74">
        <v>45869</v>
      </c>
      <c r="C492" s="48" t="s">
        <v>1119</v>
      </c>
      <c r="D492" s="48" t="s">
        <v>20</v>
      </c>
      <c r="E492" s="48" t="s">
        <v>1635</v>
      </c>
      <c r="F492" s="48" t="s">
        <v>367</v>
      </c>
      <c r="G492" s="48" t="s">
        <v>24</v>
      </c>
      <c r="H492" s="48" t="s">
        <v>367</v>
      </c>
      <c r="I492" s="48" t="s">
        <v>26</v>
      </c>
      <c r="J492" s="48">
        <v>1020091</v>
      </c>
      <c r="K492" s="50">
        <v>1500000</v>
      </c>
      <c r="L492" s="50">
        <v>1</v>
      </c>
      <c r="M492" s="50">
        <v>1500000</v>
      </c>
      <c r="N492" s="50">
        <v>1500000</v>
      </c>
      <c r="O492" s="50">
        <v>0</v>
      </c>
      <c r="P492" s="50">
        <v>0</v>
      </c>
      <c r="Q492" s="87">
        <v>0</v>
      </c>
      <c r="R492" s="152">
        <v>0</v>
      </c>
      <c r="S492" s="174"/>
      <c r="T492" s="74">
        <v>45961</v>
      </c>
      <c r="U492" s="74">
        <v>45961</v>
      </c>
      <c r="V492" s="48"/>
      <c r="W492" s="48"/>
      <c r="X492" s="48"/>
      <c r="Y492" s="48">
        <v>0</v>
      </c>
      <c r="Z492" s="48"/>
      <c r="AA492" s="48" t="s">
        <v>366</v>
      </c>
      <c r="AB492" s="48" t="s">
        <v>27</v>
      </c>
      <c r="AC492" s="48" t="s">
        <v>1624</v>
      </c>
      <c r="AD492" s="89" t="s">
        <v>845</v>
      </c>
    </row>
    <row r="493" spans="1:30" ht="15.75" hidden="1" x14ac:dyDescent="0.25">
      <c r="A493" s="48" t="s">
        <v>762</v>
      </c>
      <c r="B493" s="74">
        <v>45734</v>
      </c>
      <c r="C493" s="48" t="s">
        <v>509</v>
      </c>
      <c r="D493" s="48" t="s">
        <v>20</v>
      </c>
      <c r="E493" s="48" t="s">
        <v>601</v>
      </c>
      <c r="F493" s="48" t="s">
        <v>22</v>
      </c>
      <c r="G493" s="48" t="s">
        <v>24</v>
      </c>
      <c r="H493" s="48" t="s">
        <v>407</v>
      </c>
      <c r="I493" s="48" t="s">
        <v>26</v>
      </c>
      <c r="J493" s="48">
        <v>1020100</v>
      </c>
      <c r="K493" s="50">
        <v>300000</v>
      </c>
      <c r="L493" s="50">
        <v>1</v>
      </c>
      <c r="M493" s="50">
        <v>300000</v>
      </c>
      <c r="N493" s="50">
        <v>300000</v>
      </c>
      <c r="O493" s="50">
        <v>0</v>
      </c>
      <c r="P493" s="50">
        <v>0</v>
      </c>
      <c r="Q493" s="87">
        <v>0</v>
      </c>
      <c r="R493" s="152">
        <v>0</v>
      </c>
      <c r="S493" s="174"/>
      <c r="T493" s="74">
        <v>45838</v>
      </c>
      <c r="U493" s="74">
        <v>45838</v>
      </c>
      <c r="V493" s="48"/>
      <c r="W493" s="48"/>
      <c r="X493" s="48"/>
      <c r="Y493" s="48">
        <v>0</v>
      </c>
      <c r="Z493" s="48"/>
      <c r="AA493" s="48" t="s">
        <v>21</v>
      </c>
      <c r="AB493" s="48" t="s">
        <v>27</v>
      </c>
      <c r="AC493" s="48" t="s">
        <v>311</v>
      </c>
      <c r="AD493" s="89" t="s">
        <v>845</v>
      </c>
    </row>
    <row r="494" spans="1:30" ht="15.75" hidden="1" x14ac:dyDescent="0.25">
      <c r="A494" s="48" t="s">
        <v>600</v>
      </c>
      <c r="B494" s="74">
        <v>45664</v>
      </c>
      <c r="C494" s="48" t="s">
        <v>441</v>
      </c>
      <c r="D494" s="48" t="s">
        <v>20</v>
      </c>
      <c r="E494" s="48" t="s">
        <v>601</v>
      </c>
      <c r="F494" s="48" t="s">
        <v>63</v>
      </c>
      <c r="G494" s="48" t="s">
        <v>24</v>
      </c>
      <c r="H494" s="48" t="s">
        <v>22</v>
      </c>
      <c r="I494" s="48" t="s">
        <v>26</v>
      </c>
      <c r="J494" s="48">
        <v>1020055</v>
      </c>
      <c r="K494" s="50">
        <v>576618.84</v>
      </c>
      <c r="L494" s="50">
        <v>1</v>
      </c>
      <c r="M494" s="50">
        <v>576618.84</v>
      </c>
      <c r="N494" s="50">
        <v>576618.84</v>
      </c>
      <c r="O494" s="50">
        <v>0</v>
      </c>
      <c r="P494" s="50">
        <v>0</v>
      </c>
      <c r="Q494" s="87">
        <v>0</v>
      </c>
      <c r="R494" s="152">
        <v>0</v>
      </c>
      <c r="S494" s="174"/>
      <c r="T494" s="74">
        <v>45747</v>
      </c>
      <c r="U494" s="74">
        <v>45747</v>
      </c>
      <c r="V494" s="48"/>
      <c r="W494" s="48"/>
      <c r="X494" s="48"/>
      <c r="Y494" s="48">
        <v>0</v>
      </c>
      <c r="Z494" s="48"/>
      <c r="AA494" s="48" t="s">
        <v>373</v>
      </c>
      <c r="AB494" s="48" t="s">
        <v>27</v>
      </c>
      <c r="AC494" s="48" t="s">
        <v>311</v>
      </c>
      <c r="AD494" s="89" t="s">
        <v>845</v>
      </c>
    </row>
    <row r="495" spans="1:30" ht="15.75" hidden="1" x14ac:dyDescent="0.25">
      <c r="A495" s="48" t="s">
        <v>5420</v>
      </c>
      <c r="B495" s="74">
        <v>46177</v>
      </c>
      <c r="C495" s="48" t="s">
        <v>441</v>
      </c>
      <c r="D495" s="48" t="s">
        <v>20</v>
      </c>
      <c r="E495" s="48" t="s">
        <v>601</v>
      </c>
      <c r="F495" s="48" t="s">
        <v>710</v>
      </c>
      <c r="G495" s="48" t="s">
        <v>24</v>
      </c>
      <c r="H495" s="48" t="s">
        <v>710</v>
      </c>
      <c r="I495" s="48" t="s">
        <v>26</v>
      </c>
      <c r="J495" s="48">
        <v>1020088</v>
      </c>
      <c r="K495" s="50">
        <v>300000</v>
      </c>
      <c r="L495" s="50">
        <v>1</v>
      </c>
      <c r="M495" s="50">
        <v>300000</v>
      </c>
      <c r="N495" s="50">
        <v>0</v>
      </c>
      <c r="O495" s="50">
        <v>300000</v>
      </c>
      <c r="P495" s="50">
        <v>0</v>
      </c>
      <c r="Q495" s="87">
        <v>300000</v>
      </c>
      <c r="R495" s="152">
        <v>0</v>
      </c>
      <c r="S495" s="174"/>
      <c r="T495" s="74">
        <v>46265</v>
      </c>
      <c r="U495" s="74">
        <v>46265</v>
      </c>
      <c r="V495" s="48"/>
      <c r="W495" s="48"/>
      <c r="X495" s="48"/>
      <c r="Y495" s="48">
        <v>0</v>
      </c>
      <c r="Z495" s="48"/>
      <c r="AA495" s="48" t="s">
        <v>366</v>
      </c>
      <c r="AB495" s="48" t="s">
        <v>27</v>
      </c>
      <c r="AC495" s="48" t="s">
        <v>5175</v>
      </c>
      <c r="AD495" s="89" t="s">
        <v>1026</v>
      </c>
    </row>
    <row r="496" spans="1:30" ht="15.75" hidden="1" x14ac:dyDescent="0.25">
      <c r="A496" s="48" t="s">
        <v>1370</v>
      </c>
      <c r="B496" s="74">
        <v>45797</v>
      </c>
      <c r="C496" s="48" t="s">
        <v>1864</v>
      </c>
      <c r="D496" s="48" t="s">
        <v>20</v>
      </c>
      <c r="E496" s="48" t="s">
        <v>1296</v>
      </c>
      <c r="F496" s="48" t="s">
        <v>710</v>
      </c>
      <c r="G496" s="48" t="s">
        <v>3221</v>
      </c>
      <c r="H496" s="48" t="s">
        <v>81</v>
      </c>
      <c r="I496" s="48" t="s">
        <v>26</v>
      </c>
      <c r="J496" s="48">
        <v>1020070</v>
      </c>
      <c r="K496" s="50">
        <v>3000000</v>
      </c>
      <c r="L496" s="50">
        <v>1</v>
      </c>
      <c r="M496" s="50">
        <v>3000000</v>
      </c>
      <c r="N496" s="50">
        <v>3000000</v>
      </c>
      <c r="O496" s="50">
        <v>0</v>
      </c>
      <c r="P496" s="50">
        <v>0</v>
      </c>
      <c r="Q496" s="87">
        <v>0</v>
      </c>
      <c r="R496" s="152">
        <v>0</v>
      </c>
      <c r="S496" s="174"/>
      <c r="T496" s="74">
        <v>45838</v>
      </c>
      <c r="U496" s="74">
        <v>45808</v>
      </c>
      <c r="V496" s="48"/>
      <c r="W496" s="48"/>
      <c r="X496" s="48"/>
      <c r="Y496" s="48">
        <v>0</v>
      </c>
      <c r="Z496" s="48"/>
      <c r="AA496" s="48" t="s">
        <v>366</v>
      </c>
      <c r="AB496" s="48" t="s">
        <v>27</v>
      </c>
      <c r="AC496" s="48" t="s">
        <v>621</v>
      </c>
      <c r="AD496" s="89" t="s">
        <v>845</v>
      </c>
    </row>
    <row r="497" spans="1:30" ht="15.75" hidden="1" x14ac:dyDescent="0.25">
      <c r="A497" s="48" t="s">
        <v>4392</v>
      </c>
      <c r="B497" s="74">
        <v>46097</v>
      </c>
      <c r="C497" s="48" t="s">
        <v>1119</v>
      </c>
      <c r="D497" s="48" t="s">
        <v>20</v>
      </c>
      <c r="E497" s="48" t="s">
        <v>1296</v>
      </c>
      <c r="F497" s="48" t="s">
        <v>1450</v>
      </c>
      <c r="G497" s="48" t="s">
        <v>72</v>
      </c>
      <c r="H497" s="48" t="s">
        <v>367</v>
      </c>
      <c r="I497" s="48" t="s">
        <v>26</v>
      </c>
      <c r="J497" s="48">
        <v>1020091</v>
      </c>
      <c r="K497" s="50">
        <v>10000000</v>
      </c>
      <c r="L497" s="50">
        <v>1</v>
      </c>
      <c r="M497" s="50">
        <v>10000000</v>
      </c>
      <c r="N497" s="50">
        <v>0</v>
      </c>
      <c r="O497" s="50">
        <v>10000000</v>
      </c>
      <c r="P497" s="50">
        <v>10000000</v>
      </c>
      <c r="Q497" s="87">
        <v>0</v>
      </c>
      <c r="R497" s="152">
        <v>0</v>
      </c>
      <c r="S497" s="174" t="s">
        <v>4620</v>
      </c>
      <c r="T497" s="74">
        <v>46203</v>
      </c>
      <c r="U497" s="74">
        <v>46203</v>
      </c>
      <c r="V497" s="48"/>
      <c r="W497" s="48"/>
      <c r="X497" s="48"/>
      <c r="Y497" s="48">
        <v>0</v>
      </c>
      <c r="Z497" s="48"/>
      <c r="AA497" s="48" t="s">
        <v>366</v>
      </c>
      <c r="AB497" s="48" t="s">
        <v>27</v>
      </c>
      <c r="AC497" s="48" t="s">
        <v>4358</v>
      </c>
      <c r="AD497" s="89" t="s">
        <v>1026</v>
      </c>
    </row>
    <row r="498" spans="1:30" ht="15.75" hidden="1" x14ac:dyDescent="0.25">
      <c r="A498" s="48" t="s">
        <v>4628</v>
      </c>
      <c r="B498" s="74">
        <v>46120</v>
      </c>
      <c r="C498" s="48" t="s">
        <v>1119</v>
      </c>
      <c r="D498" s="48" t="s">
        <v>20</v>
      </c>
      <c r="E498" s="48" t="s">
        <v>1296</v>
      </c>
      <c r="F498" s="48" t="s">
        <v>22</v>
      </c>
      <c r="G498" s="48" t="s">
        <v>72</v>
      </c>
      <c r="H498" s="48" t="s">
        <v>367</v>
      </c>
      <c r="I498" s="48" t="s">
        <v>26</v>
      </c>
      <c r="J498" s="48">
        <v>1020091</v>
      </c>
      <c r="K498" s="50">
        <v>21481033</v>
      </c>
      <c r="L498" s="50">
        <v>1</v>
      </c>
      <c r="M498" s="50">
        <v>21481033</v>
      </c>
      <c r="N498" s="50">
        <v>0</v>
      </c>
      <c r="O498" s="50">
        <v>21481033</v>
      </c>
      <c r="P498" s="50">
        <v>21481033</v>
      </c>
      <c r="Q498" s="87">
        <v>0</v>
      </c>
      <c r="R498" s="152">
        <v>0</v>
      </c>
      <c r="S498" s="174" t="s">
        <v>5190</v>
      </c>
      <c r="T498" s="74">
        <v>46203</v>
      </c>
      <c r="U498" s="74">
        <v>46203</v>
      </c>
      <c r="V498" s="48"/>
      <c r="W498" s="48"/>
      <c r="X498" s="48"/>
      <c r="Y498" s="48">
        <v>0</v>
      </c>
      <c r="Z498" s="48"/>
      <c r="AA498" s="48" t="s">
        <v>21</v>
      </c>
      <c r="AB498" s="48" t="s">
        <v>27</v>
      </c>
      <c r="AC498" s="48" t="s">
        <v>621</v>
      </c>
      <c r="AD498" s="89" t="s">
        <v>1026</v>
      </c>
    </row>
    <row r="499" spans="1:30" ht="15.75" hidden="1" x14ac:dyDescent="0.25">
      <c r="A499" s="48"/>
      <c r="B499" s="74">
        <v>46125</v>
      </c>
      <c r="C499" s="48" t="s">
        <v>1537</v>
      </c>
      <c r="D499" s="48" t="s">
        <v>728</v>
      </c>
      <c r="E499" s="48" t="s">
        <v>1296</v>
      </c>
      <c r="F499" s="48" t="s">
        <v>483</v>
      </c>
      <c r="G499" s="48" t="s">
        <v>72</v>
      </c>
      <c r="H499" s="48" t="s">
        <v>483</v>
      </c>
      <c r="I499" s="48" t="s">
        <v>26</v>
      </c>
      <c r="J499" s="48">
        <v>1020096</v>
      </c>
      <c r="K499" s="50">
        <v>3000000</v>
      </c>
      <c r="L499" s="50">
        <v>1</v>
      </c>
      <c r="M499" s="50">
        <v>3000000</v>
      </c>
      <c r="N499" s="50">
        <v>0</v>
      </c>
      <c r="O499" s="50">
        <v>3000000</v>
      </c>
      <c r="P499" s="50">
        <v>0</v>
      </c>
      <c r="Q499" s="87">
        <v>3000000</v>
      </c>
      <c r="R499" s="152">
        <v>0</v>
      </c>
      <c r="S499" s="174"/>
      <c r="T499" s="74">
        <v>46234</v>
      </c>
      <c r="U499" s="74">
        <v>46234</v>
      </c>
      <c r="V499" s="48"/>
      <c r="W499" s="48"/>
      <c r="X499" s="48"/>
      <c r="Y499" s="48">
        <v>0</v>
      </c>
      <c r="Z499" s="48" t="s">
        <v>5157</v>
      </c>
      <c r="AA499" s="48" t="s">
        <v>62</v>
      </c>
      <c r="AB499" s="48" t="s">
        <v>27</v>
      </c>
      <c r="AC499" s="48" t="s">
        <v>1925</v>
      </c>
      <c r="AD499" s="89" t="s">
        <v>1026</v>
      </c>
    </row>
    <row r="500" spans="1:30" ht="15.75" hidden="1" x14ac:dyDescent="0.25">
      <c r="A500" s="48" t="s">
        <v>1286</v>
      </c>
      <c r="B500" s="74">
        <v>45785</v>
      </c>
      <c r="C500" s="48" t="s">
        <v>831</v>
      </c>
      <c r="D500" s="48" t="s">
        <v>20</v>
      </c>
      <c r="E500" s="48" t="s">
        <v>832</v>
      </c>
      <c r="F500" s="48" t="s">
        <v>22</v>
      </c>
      <c r="G500" s="48" t="s">
        <v>1791</v>
      </c>
      <c r="H500" s="48" t="s">
        <v>22</v>
      </c>
      <c r="I500" s="48" t="s">
        <v>26</v>
      </c>
      <c r="J500" s="48">
        <v>1020055</v>
      </c>
      <c r="K500" s="50">
        <v>2118694.4500000002</v>
      </c>
      <c r="L500" s="50">
        <v>1</v>
      </c>
      <c r="M500" s="50">
        <v>2118694.4500000002</v>
      </c>
      <c r="N500" s="50">
        <v>2118694.4500000002</v>
      </c>
      <c r="O500" s="50">
        <v>0</v>
      </c>
      <c r="P500" s="50">
        <v>0</v>
      </c>
      <c r="Q500" s="87">
        <v>0</v>
      </c>
      <c r="R500" s="152">
        <v>0</v>
      </c>
      <c r="S500" s="174"/>
      <c r="T500" s="74">
        <v>45798</v>
      </c>
      <c r="U500" s="74">
        <v>45798</v>
      </c>
      <c r="V500" s="48"/>
      <c r="W500" s="48"/>
      <c r="X500" s="48"/>
      <c r="Y500" s="48">
        <v>0</v>
      </c>
      <c r="Z500" s="48"/>
      <c r="AA500" s="48" t="s">
        <v>21</v>
      </c>
      <c r="AB500" s="48" t="s">
        <v>27</v>
      </c>
      <c r="AC500" s="48" t="s">
        <v>621</v>
      </c>
      <c r="AD500" s="89" t="s">
        <v>845</v>
      </c>
    </row>
    <row r="501" spans="1:30" ht="15.75" hidden="1" x14ac:dyDescent="0.25">
      <c r="A501" s="48" t="s">
        <v>4737</v>
      </c>
      <c r="B501" s="74">
        <v>46127</v>
      </c>
      <c r="C501" s="48" t="s">
        <v>1394</v>
      </c>
      <c r="D501" s="48" t="s">
        <v>20</v>
      </c>
      <c r="E501" s="48" t="s">
        <v>4678</v>
      </c>
      <c r="F501" s="48" t="s">
        <v>22</v>
      </c>
      <c r="G501" s="48" t="s">
        <v>80</v>
      </c>
      <c r="H501" s="48" t="s">
        <v>90</v>
      </c>
      <c r="I501" s="48" t="s">
        <v>26</v>
      </c>
      <c r="J501" s="48">
        <v>1020001</v>
      </c>
      <c r="K501" s="50">
        <v>15724333.939999999</v>
      </c>
      <c r="L501" s="50">
        <v>1</v>
      </c>
      <c r="M501" s="50">
        <v>15724333.939999999</v>
      </c>
      <c r="N501" s="50">
        <v>0</v>
      </c>
      <c r="O501" s="50">
        <v>15724333.939999999</v>
      </c>
      <c r="P501" s="50">
        <v>15724333.939999999</v>
      </c>
      <c r="Q501" s="87">
        <v>0</v>
      </c>
      <c r="R501" s="152">
        <v>0</v>
      </c>
      <c r="S501" s="174" t="s">
        <v>5560</v>
      </c>
      <c r="T501" s="74">
        <v>46203</v>
      </c>
      <c r="U501" s="74">
        <v>46193</v>
      </c>
      <c r="V501" s="48"/>
      <c r="W501" s="48"/>
      <c r="X501" s="48"/>
      <c r="Y501" s="48">
        <v>0</v>
      </c>
      <c r="Z501" s="48" t="s">
        <v>5457</v>
      </c>
      <c r="AA501" s="48" t="s">
        <v>21</v>
      </c>
      <c r="AB501" s="48" t="s">
        <v>27</v>
      </c>
      <c r="AC501" s="48" t="s">
        <v>1904</v>
      </c>
      <c r="AD501" s="89" t="s">
        <v>1026</v>
      </c>
    </row>
    <row r="502" spans="1:30" ht="15.75" hidden="1" x14ac:dyDescent="0.25">
      <c r="A502" s="48" t="s">
        <v>421</v>
      </c>
      <c r="B502" s="74">
        <v>45559</v>
      </c>
      <c r="C502" s="48"/>
      <c r="D502" s="48" t="s">
        <v>20</v>
      </c>
      <c r="E502" s="48" t="s">
        <v>422</v>
      </c>
      <c r="F502" s="48" t="s">
        <v>96</v>
      </c>
      <c r="G502" s="48" t="s">
        <v>24</v>
      </c>
      <c r="H502" s="48" t="s">
        <v>413</v>
      </c>
      <c r="I502" s="48" t="s">
        <v>26</v>
      </c>
      <c r="J502" s="48"/>
      <c r="K502" s="50">
        <v>5000000</v>
      </c>
      <c r="L502" s="50">
        <v>1</v>
      </c>
      <c r="M502" s="50">
        <v>5000000</v>
      </c>
      <c r="N502" s="50">
        <v>5000000</v>
      </c>
      <c r="O502" s="50">
        <v>0</v>
      </c>
      <c r="P502" s="50">
        <v>0</v>
      </c>
      <c r="Q502" s="87">
        <v>0</v>
      </c>
      <c r="R502" s="152">
        <v>0</v>
      </c>
      <c r="S502" s="174"/>
      <c r="T502" s="74">
        <v>45657</v>
      </c>
      <c r="U502" s="74">
        <v>45630</v>
      </c>
      <c r="V502" s="48"/>
      <c r="W502" s="48"/>
      <c r="X502" s="48"/>
      <c r="Y502" s="48">
        <v>0</v>
      </c>
      <c r="Z502" s="48"/>
      <c r="AA502" s="48" t="s">
        <v>95</v>
      </c>
      <c r="AB502" s="48" t="s">
        <v>27</v>
      </c>
      <c r="AC502" s="48" t="s">
        <v>311</v>
      </c>
      <c r="AD502" s="89" t="s">
        <v>845</v>
      </c>
    </row>
    <row r="503" spans="1:30" ht="15.75" hidden="1" x14ac:dyDescent="0.25">
      <c r="A503" s="48" t="s">
        <v>713</v>
      </c>
      <c r="B503" s="74">
        <v>45726</v>
      </c>
      <c r="C503" s="48" t="s">
        <v>441</v>
      </c>
      <c r="D503" s="48" t="s">
        <v>20</v>
      </c>
      <c r="E503" s="48" t="s">
        <v>714</v>
      </c>
      <c r="F503" s="48" t="s">
        <v>710</v>
      </c>
      <c r="G503" s="48" t="s">
        <v>24</v>
      </c>
      <c r="H503" s="48" t="s">
        <v>710</v>
      </c>
      <c r="I503" s="48" t="s">
        <v>26</v>
      </c>
      <c r="J503" s="48">
        <v>1020088</v>
      </c>
      <c r="K503" s="50">
        <v>800000</v>
      </c>
      <c r="L503" s="50">
        <v>1</v>
      </c>
      <c r="M503" s="50">
        <v>800000</v>
      </c>
      <c r="N503" s="50">
        <v>780963.37000000011</v>
      </c>
      <c r="O503" s="50">
        <v>19036.63</v>
      </c>
      <c r="P503" s="50">
        <v>0</v>
      </c>
      <c r="Q503" s="87">
        <v>19036.63</v>
      </c>
      <c r="R503" s="152">
        <v>0</v>
      </c>
      <c r="S503" s="174"/>
      <c r="T503" s="74">
        <v>46142</v>
      </c>
      <c r="U503" s="74">
        <v>46142</v>
      </c>
      <c r="V503" s="48"/>
      <c r="W503" s="48"/>
      <c r="X503" s="48"/>
      <c r="Y503" s="48">
        <v>0</v>
      </c>
      <c r="Z503" s="48"/>
      <c r="AA503" s="48" t="s">
        <v>366</v>
      </c>
      <c r="AB503" s="48" t="s">
        <v>27</v>
      </c>
      <c r="AC503" s="48" t="s">
        <v>311</v>
      </c>
      <c r="AD503" s="89" t="s">
        <v>845</v>
      </c>
    </row>
    <row r="504" spans="1:30" ht="15.75" hidden="1" x14ac:dyDescent="0.25">
      <c r="A504" s="48" t="s">
        <v>3898</v>
      </c>
      <c r="B504" s="74">
        <v>46050</v>
      </c>
      <c r="C504" s="48" t="s">
        <v>441</v>
      </c>
      <c r="D504" s="48" t="s">
        <v>20</v>
      </c>
      <c r="E504" s="48" t="s">
        <v>3292</v>
      </c>
      <c r="F504" s="48" t="s">
        <v>710</v>
      </c>
      <c r="G504" s="48" t="s">
        <v>24</v>
      </c>
      <c r="H504" s="48" t="s">
        <v>710</v>
      </c>
      <c r="I504" s="48" t="s">
        <v>26</v>
      </c>
      <c r="J504" s="48">
        <v>1020088</v>
      </c>
      <c r="K504" s="50">
        <v>397090</v>
      </c>
      <c r="L504" s="50">
        <v>1</v>
      </c>
      <c r="M504" s="50">
        <v>397090</v>
      </c>
      <c r="N504" s="50">
        <v>0</v>
      </c>
      <c r="O504" s="50">
        <v>397090</v>
      </c>
      <c r="P504" s="50">
        <v>397090</v>
      </c>
      <c r="Q504" s="87">
        <v>0</v>
      </c>
      <c r="R504" s="152">
        <v>0</v>
      </c>
      <c r="S504" s="174" t="s">
        <v>4684</v>
      </c>
      <c r="T504" s="74">
        <v>46142</v>
      </c>
      <c r="U504" s="74">
        <v>46142</v>
      </c>
      <c r="V504" s="48"/>
      <c r="W504" s="48"/>
      <c r="X504" s="48"/>
      <c r="Y504" s="48">
        <v>0</v>
      </c>
      <c r="Z504" s="48"/>
      <c r="AA504" s="48" t="s">
        <v>366</v>
      </c>
      <c r="AB504" s="48" t="s">
        <v>27</v>
      </c>
      <c r="AC504" s="48" t="s">
        <v>1904</v>
      </c>
      <c r="AD504" s="89" t="s">
        <v>1026</v>
      </c>
    </row>
    <row r="505" spans="1:30" ht="15.75" hidden="1" x14ac:dyDescent="0.25">
      <c r="A505" s="48" t="s">
        <v>1606</v>
      </c>
      <c r="B505" s="74">
        <v>45862</v>
      </c>
      <c r="C505" s="48" t="s">
        <v>441</v>
      </c>
      <c r="D505" s="48" t="s">
        <v>20</v>
      </c>
      <c r="E505" s="48" t="s">
        <v>1575</v>
      </c>
      <c r="F505" s="48" t="s">
        <v>710</v>
      </c>
      <c r="G505" s="48" t="s">
        <v>24</v>
      </c>
      <c r="H505" s="48" t="s">
        <v>710</v>
      </c>
      <c r="I505" s="48" t="s">
        <v>26</v>
      </c>
      <c r="J505" s="48">
        <v>1020088</v>
      </c>
      <c r="K505" s="50">
        <v>250000</v>
      </c>
      <c r="L505" s="50">
        <v>1</v>
      </c>
      <c r="M505" s="50">
        <v>250000</v>
      </c>
      <c r="N505" s="50">
        <v>250000</v>
      </c>
      <c r="O505" s="50">
        <v>0</v>
      </c>
      <c r="P505" s="50">
        <v>0</v>
      </c>
      <c r="Q505" s="87">
        <v>0</v>
      </c>
      <c r="R505" s="152">
        <v>0</v>
      </c>
      <c r="S505" s="174"/>
      <c r="T505" s="74">
        <v>46022</v>
      </c>
      <c r="U505" s="74">
        <v>46022</v>
      </c>
      <c r="V505" s="48"/>
      <c r="W505" s="48"/>
      <c r="X505" s="48"/>
      <c r="Y505" s="48">
        <v>0</v>
      </c>
      <c r="Z505" s="48"/>
      <c r="AA505" s="48" t="s">
        <v>366</v>
      </c>
      <c r="AB505" s="48" t="s">
        <v>27</v>
      </c>
      <c r="AC505" s="48" t="s">
        <v>621</v>
      </c>
      <c r="AD505" s="89" t="s">
        <v>845</v>
      </c>
    </row>
    <row r="506" spans="1:30" ht="15.75" hidden="1" x14ac:dyDescent="0.25">
      <c r="A506" s="48" t="s">
        <v>3570</v>
      </c>
      <c r="B506" s="74">
        <v>46033</v>
      </c>
      <c r="C506" s="48" t="s">
        <v>441</v>
      </c>
      <c r="D506" s="48" t="s">
        <v>20</v>
      </c>
      <c r="E506" s="48" t="s">
        <v>3330</v>
      </c>
      <c r="F506" s="48" t="s">
        <v>613</v>
      </c>
      <c r="G506" s="48" t="s">
        <v>24</v>
      </c>
      <c r="H506" s="48" t="s">
        <v>613</v>
      </c>
      <c r="I506" s="48" t="s">
        <v>26</v>
      </c>
      <c r="J506" s="48">
        <v>1020106</v>
      </c>
      <c r="K506" s="50">
        <v>739450</v>
      </c>
      <c r="L506" s="50">
        <v>1</v>
      </c>
      <c r="M506" s="50">
        <v>739450</v>
      </c>
      <c r="N506" s="50">
        <v>0</v>
      </c>
      <c r="O506" s="50">
        <v>739450</v>
      </c>
      <c r="P506" s="50">
        <v>0</v>
      </c>
      <c r="Q506" s="87">
        <v>739450</v>
      </c>
      <c r="R506" s="152">
        <v>184860.5</v>
      </c>
      <c r="S506" s="174"/>
      <c r="T506" s="74">
        <v>46265</v>
      </c>
      <c r="U506" s="74">
        <v>46265</v>
      </c>
      <c r="V506" s="48"/>
      <c r="W506" s="48"/>
      <c r="X506" s="48"/>
      <c r="Y506" s="48">
        <v>0</v>
      </c>
      <c r="Z506" s="48"/>
      <c r="AA506" s="48" t="s">
        <v>612</v>
      </c>
      <c r="AB506" s="48" t="s">
        <v>27</v>
      </c>
      <c r="AC506" s="48" t="s">
        <v>1904</v>
      </c>
      <c r="AD506" s="89" t="s">
        <v>1026</v>
      </c>
    </row>
    <row r="507" spans="1:30" ht="15.75" hidden="1" x14ac:dyDescent="0.25">
      <c r="A507" s="48" t="s">
        <v>749</v>
      </c>
      <c r="B507" s="74">
        <v>45741</v>
      </c>
      <c r="C507" s="48" t="s">
        <v>1864</v>
      </c>
      <c r="D507" s="48" t="s">
        <v>20</v>
      </c>
      <c r="E507" s="48" t="s">
        <v>750</v>
      </c>
      <c r="F507" s="48" t="s">
        <v>710</v>
      </c>
      <c r="G507" s="48" t="s">
        <v>3221</v>
      </c>
      <c r="H507" s="48" t="s">
        <v>81</v>
      </c>
      <c r="I507" s="48" t="s">
        <v>26</v>
      </c>
      <c r="J507" s="48">
        <v>1020070</v>
      </c>
      <c r="K507" s="50">
        <v>1000000</v>
      </c>
      <c r="L507" s="50">
        <v>1</v>
      </c>
      <c r="M507" s="50">
        <v>1000000</v>
      </c>
      <c r="N507" s="50">
        <v>1000000</v>
      </c>
      <c r="O507" s="50">
        <v>0</v>
      </c>
      <c r="P507" s="50">
        <v>0</v>
      </c>
      <c r="Q507" s="87">
        <v>0</v>
      </c>
      <c r="R507" s="152">
        <v>0</v>
      </c>
      <c r="S507" s="174"/>
      <c r="T507" s="74">
        <v>45808</v>
      </c>
      <c r="U507" s="74">
        <v>45777</v>
      </c>
      <c r="V507" s="48"/>
      <c r="W507" s="48"/>
      <c r="X507" s="48"/>
      <c r="Y507" s="48">
        <v>0</v>
      </c>
      <c r="Z507" s="48"/>
      <c r="AA507" s="48" t="s">
        <v>366</v>
      </c>
      <c r="AB507" s="48" t="s">
        <v>27</v>
      </c>
      <c r="AC507" s="48" t="s">
        <v>208</v>
      </c>
      <c r="AD507" s="89" t="s">
        <v>845</v>
      </c>
    </row>
    <row r="508" spans="1:30" ht="15.75" hidden="1" x14ac:dyDescent="0.25">
      <c r="A508" s="48" t="s">
        <v>1470</v>
      </c>
      <c r="B508" s="74">
        <v>45823</v>
      </c>
      <c r="C508" s="48" t="s">
        <v>1181</v>
      </c>
      <c r="D508" s="48" t="s">
        <v>20</v>
      </c>
      <c r="E508" s="48" t="s">
        <v>750</v>
      </c>
      <c r="F508" s="48" t="s">
        <v>710</v>
      </c>
      <c r="G508" s="48" t="s">
        <v>72</v>
      </c>
      <c r="H508" s="48" t="s">
        <v>81</v>
      </c>
      <c r="I508" s="48" t="s">
        <v>26</v>
      </c>
      <c r="J508" s="48">
        <v>1020070</v>
      </c>
      <c r="K508" s="50">
        <v>1900870.95</v>
      </c>
      <c r="L508" s="50">
        <v>1</v>
      </c>
      <c r="M508" s="50">
        <v>1900870.95</v>
      </c>
      <c r="N508" s="50">
        <v>1900870.95</v>
      </c>
      <c r="O508" s="50">
        <v>0</v>
      </c>
      <c r="P508" s="50">
        <v>0</v>
      </c>
      <c r="Q508" s="87">
        <v>0</v>
      </c>
      <c r="R508" s="152">
        <v>0</v>
      </c>
      <c r="S508" s="174"/>
      <c r="T508" s="74">
        <v>46022</v>
      </c>
      <c r="U508" s="74">
        <v>45991</v>
      </c>
      <c r="V508" s="48"/>
      <c r="W508" s="48"/>
      <c r="X508" s="48"/>
      <c r="Y508" s="48">
        <v>0</v>
      </c>
      <c r="Z508" s="48"/>
      <c r="AA508" s="48" t="s">
        <v>366</v>
      </c>
      <c r="AB508" s="48" t="s">
        <v>27</v>
      </c>
      <c r="AC508" s="48" t="s">
        <v>425</v>
      </c>
      <c r="AD508" s="89" t="s">
        <v>845</v>
      </c>
    </row>
    <row r="509" spans="1:30" ht="15.75" hidden="1" x14ac:dyDescent="0.25">
      <c r="A509" s="48" t="s">
        <v>5258</v>
      </c>
      <c r="B509" s="74">
        <v>46153</v>
      </c>
      <c r="C509" s="48" t="s">
        <v>1181</v>
      </c>
      <c r="D509" s="48" t="s">
        <v>20</v>
      </c>
      <c r="E509" s="48" t="s">
        <v>5188</v>
      </c>
      <c r="F509" s="48" t="s">
        <v>710</v>
      </c>
      <c r="G509" s="48" t="s">
        <v>72</v>
      </c>
      <c r="H509" s="48" t="s">
        <v>81</v>
      </c>
      <c r="I509" s="48" t="s">
        <v>26</v>
      </c>
      <c r="J509" s="48">
        <v>1020070</v>
      </c>
      <c r="K509" s="50">
        <v>1325316</v>
      </c>
      <c r="L509" s="50">
        <v>1</v>
      </c>
      <c r="M509" s="50">
        <v>1325316</v>
      </c>
      <c r="N509" s="50">
        <v>0</v>
      </c>
      <c r="O509" s="50">
        <v>1325316</v>
      </c>
      <c r="P509" s="50">
        <v>0</v>
      </c>
      <c r="Q509" s="87">
        <v>1325316</v>
      </c>
      <c r="R509" s="152">
        <v>1325316</v>
      </c>
      <c r="S509" s="312"/>
      <c r="T509" s="74">
        <v>46235</v>
      </c>
      <c r="U509" s="74">
        <v>46235</v>
      </c>
      <c r="V509" s="48"/>
      <c r="W509" s="48"/>
      <c r="X509" s="48"/>
      <c r="Y509" s="48">
        <v>0</v>
      </c>
      <c r="Z509" s="48"/>
      <c r="AA509" s="48" t="s">
        <v>366</v>
      </c>
      <c r="AB509" s="48" t="s">
        <v>27</v>
      </c>
      <c r="AC509" s="48" t="s">
        <v>3229</v>
      </c>
      <c r="AD509" s="89" t="s">
        <v>1026</v>
      </c>
    </row>
    <row r="510" spans="1:30" ht="15.75" hidden="1" x14ac:dyDescent="0.25">
      <c r="A510" s="48" t="s">
        <v>654</v>
      </c>
      <c r="B510" s="74">
        <v>45680</v>
      </c>
      <c r="C510" s="48" t="s">
        <v>441</v>
      </c>
      <c r="D510" s="48" t="s">
        <v>20</v>
      </c>
      <c r="E510" s="48" t="s">
        <v>655</v>
      </c>
      <c r="F510" s="48" t="s">
        <v>22</v>
      </c>
      <c r="G510" s="48" t="s">
        <v>24</v>
      </c>
      <c r="H510" s="48" t="s">
        <v>22</v>
      </c>
      <c r="I510" s="48" t="s">
        <v>26</v>
      </c>
      <c r="J510" s="48">
        <v>1020055</v>
      </c>
      <c r="K510" s="50">
        <v>500000</v>
      </c>
      <c r="L510" s="50">
        <v>1</v>
      </c>
      <c r="M510" s="50">
        <v>500000</v>
      </c>
      <c r="N510" s="50">
        <v>500000</v>
      </c>
      <c r="O510" s="50">
        <v>0</v>
      </c>
      <c r="P510" s="50">
        <v>0</v>
      </c>
      <c r="Q510" s="87">
        <v>0</v>
      </c>
      <c r="R510" s="152">
        <v>0</v>
      </c>
      <c r="S510" s="174"/>
      <c r="T510" s="74">
        <v>45777</v>
      </c>
      <c r="U510" s="74">
        <v>45777</v>
      </c>
      <c r="V510" s="48"/>
      <c r="W510" s="48"/>
      <c r="X510" s="48"/>
      <c r="Y510" s="48">
        <v>0</v>
      </c>
      <c r="Z510" s="48"/>
      <c r="AA510" s="48" t="s">
        <v>21</v>
      </c>
      <c r="AB510" s="48" t="s">
        <v>27</v>
      </c>
      <c r="AC510" s="48" t="s">
        <v>311</v>
      </c>
      <c r="AD510" s="89" t="s">
        <v>845</v>
      </c>
    </row>
    <row r="511" spans="1:30" ht="15.75" hidden="1" x14ac:dyDescent="0.25">
      <c r="A511" s="48" t="s">
        <v>525</v>
      </c>
      <c r="B511" s="74">
        <v>45624</v>
      </c>
      <c r="C511" s="48" t="s">
        <v>441</v>
      </c>
      <c r="D511" s="48" t="s">
        <v>20</v>
      </c>
      <c r="E511" s="48" t="s">
        <v>526</v>
      </c>
      <c r="F511" s="48" t="s">
        <v>22</v>
      </c>
      <c r="G511" s="48" t="s">
        <v>24</v>
      </c>
      <c r="H511" s="48" t="s">
        <v>22</v>
      </c>
      <c r="I511" s="48" t="s">
        <v>26</v>
      </c>
      <c r="J511" s="48">
        <v>1020055</v>
      </c>
      <c r="K511" s="50">
        <v>809055.91</v>
      </c>
      <c r="L511" s="50">
        <v>1</v>
      </c>
      <c r="M511" s="50">
        <v>809055.91</v>
      </c>
      <c r="N511" s="50">
        <v>809055.91</v>
      </c>
      <c r="O511" s="50">
        <v>0</v>
      </c>
      <c r="P511" s="50">
        <v>0</v>
      </c>
      <c r="Q511" s="87">
        <v>0</v>
      </c>
      <c r="R511" s="152">
        <v>0</v>
      </c>
      <c r="S511" s="174"/>
      <c r="T511" s="74">
        <v>45716</v>
      </c>
      <c r="U511" s="74">
        <v>45716</v>
      </c>
      <c r="V511" s="48"/>
      <c r="W511" s="48"/>
      <c r="X511" s="48"/>
      <c r="Y511" s="48">
        <v>0</v>
      </c>
      <c r="Z511" s="48"/>
      <c r="AA511" s="48" t="s">
        <v>21</v>
      </c>
      <c r="AB511" s="48" t="s">
        <v>27</v>
      </c>
      <c r="AC511" s="48" t="s">
        <v>311</v>
      </c>
      <c r="AD511" s="89" t="s">
        <v>845</v>
      </c>
    </row>
    <row r="512" spans="1:30" ht="15.75" hidden="1" x14ac:dyDescent="0.25">
      <c r="A512" s="48" t="s">
        <v>827</v>
      </c>
      <c r="B512" s="74">
        <v>45739</v>
      </c>
      <c r="C512" s="48" t="s">
        <v>441</v>
      </c>
      <c r="D512" s="48" t="s">
        <v>20</v>
      </c>
      <c r="E512" s="48" t="s">
        <v>828</v>
      </c>
      <c r="F512" s="48" t="s">
        <v>22</v>
      </c>
      <c r="G512" s="48" t="s">
        <v>24</v>
      </c>
      <c r="H512" s="48" t="s">
        <v>22</v>
      </c>
      <c r="I512" s="48" t="s">
        <v>26</v>
      </c>
      <c r="J512" s="48">
        <v>1020055</v>
      </c>
      <c r="K512" s="50">
        <v>200000</v>
      </c>
      <c r="L512" s="50">
        <v>1</v>
      </c>
      <c r="M512" s="50">
        <v>200000</v>
      </c>
      <c r="N512" s="50">
        <v>200000</v>
      </c>
      <c r="O512" s="50">
        <v>0</v>
      </c>
      <c r="P512" s="50">
        <v>0</v>
      </c>
      <c r="Q512" s="87">
        <v>0</v>
      </c>
      <c r="R512" s="152">
        <v>0</v>
      </c>
      <c r="S512" s="174"/>
      <c r="T512" s="74">
        <v>45838</v>
      </c>
      <c r="U512" s="74">
        <v>45838</v>
      </c>
      <c r="V512" s="48"/>
      <c r="W512" s="48"/>
      <c r="X512" s="48"/>
      <c r="Y512" s="48">
        <v>0</v>
      </c>
      <c r="Z512" s="48"/>
      <c r="AA512" s="48" t="s">
        <v>21</v>
      </c>
      <c r="AB512" s="48" t="s">
        <v>27</v>
      </c>
      <c r="AC512" s="48" t="s">
        <v>311</v>
      </c>
      <c r="AD512" s="89" t="s">
        <v>845</v>
      </c>
    </row>
    <row r="513" spans="1:30" ht="15.75" hidden="1" x14ac:dyDescent="0.25">
      <c r="A513" s="48" t="s">
        <v>1855</v>
      </c>
      <c r="B513" s="74">
        <v>45911</v>
      </c>
      <c r="C513" s="48" t="s">
        <v>1537</v>
      </c>
      <c r="D513" s="48" t="s">
        <v>20</v>
      </c>
      <c r="E513" s="48" t="s">
        <v>526</v>
      </c>
      <c r="F513" s="48" t="s">
        <v>70</v>
      </c>
      <c r="G513" s="48" t="s">
        <v>24</v>
      </c>
      <c r="H513" s="48" t="s">
        <v>483</v>
      </c>
      <c r="I513" s="48" t="s">
        <v>26</v>
      </c>
      <c r="J513" s="48">
        <v>1020096</v>
      </c>
      <c r="K513" s="50">
        <v>300000</v>
      </c>
      <c r="L513" s="50">
        <v>1</v>
      </c>
      <c r="M513" s="50">
        <v>300000</v>
      </c>
      <c r="N513" s="50">
        <v>300000</v>
      </c>
      <c r="O513" s="50">
        <v>0</v>
      </c>
      <c r="P513" s="50">
        <v>0</v>
      </c>
      <c r="Q513" s="87">
        <v>0</v>
      </c>
      <c r="R513" s="152">
        <v>0</v>
      </c>
      <c r="S513" s="174"/>
      <c r="T513" s="74">
        <v>45991</v>
      </c>
      <c r="U513" s="74">
        <v>45991</v>
      </c>
      <c r="V513" s="48"/>
      <c r="W513" s="48"/>
      <c r="X513" s="48"/>
      <c r="Y513" s="48">
        <v>0</v>
      </c>
      <c r="Z513" s="48"/>
      <c r="AA513" s="48" t="s">
        <v>62</v>
      </c>
      <c r="AB513" s="48" t="s">
        <v>70</v>
      </c>
      <c r="AC513" s="48" t="s">
        <v>621</v>
      </c>
      <c r="AD513" s="89" t="s">
        <v>845</v>
      </c>
    </row>
    <row r="514" spans="1:30" ht="15.75" hidden="1" x14ac:dyDescent="0.25">
      <c r="A514" s="48" t="s">
        <v>3328</v>
      </c>
      <c r="B514" s="74">
        <v>46023</v>
      </c>
      <c r="C514" s="48" t="s">
        <v>1537</v>
      </c>
      <c r="D514" s="48" t="s">
        <v>20</v>
      </c>
      <c r="E514" s="48" t="s">
        <v>828</v>
      </c>
      <c r="F514" s="48" t="s">
        <v>483</v>
      </c>
      <c r="G514" s="48" t="s">
        <v>24</v>
      </c>
      <c r="H514" s="48" t="s">
        <v>483</v>
      </c>
      <c r="I514" s="48" t="s">
        <v>26</v>
      </c>
      <c r="J514" s="48">
        <v>1020096</v>
      </c>
      <c r="K514" s="50">
        <v>500000</v>
      </c>
      <c r="L514" s="50">
        <v>1</v>
      </c>
      <c r="M514" s="50">
        <v>500000</v>
      </c>
      <c r="N514" s="50">
        <v>0</v>
      </c>
      <c r="O514" s="50">
        <v>500000</v>
      </c>
      <c r="P514" s="50">
        <v>500000</v>
      </c>
      <c r="Q514" s="87">
        <v>0</v>
      </c>
      <c r="R514" s="152">
        <v>0</v>
      </c>
      <c r="S514" s="174" t="s">
        <v>5064</v>
      </c>
      <c r="T514" s="74">
        <v>46142</v>
      </c>
      <c r="U514" s="74">
        <v>46142</v>
      </c>
      <c r="V514" s="48"/>
      <c r="W514" s="48"/>
      <c r="X514" s="48"/>
      <c r="Y514" s="48">
        <v>0</v>
      </c>
      <c r="Z514" s="48"/>
      <c r="AA514" s="48" t="s">
        <v>62</v>
      </c>
      <c r="AB514" s="48" t="s">
        <v>27</v>
      </c>
      <c r="AC514" s="48" t="s">
        <v>3229</v>
      </c>
      <c r="AD514" s="89" t="s">
        <v>1026</v>
      </c>
    </row>
    <row r="515" spans="1:30" ht="15.75" hidden="1" x14ac:dyDescent="0.25">
      <c r="A515" s="48" t="s">
        <v>1129</v>
      </c>
      <c r="B515" s="74">
        <v>45754</v>
      </c>
      <c r="C515" s="48" t="s">
        <v>1878</v>
      </c>
      <c r="D515" s="48" t="s">
        <v>20</v>
      </c>
      <c r="E515" s="48" t="s">
        <v>1130</v>
      </c>
      <c r="F515" s="48" t="s">
        <v>367</v>
      </c>
      <c r="G515" s="48" t="s">
        <v>3220</v>
      </c>
      <c r="H515" s="48" t="s">
        <v>367</v>
      </c>
      <c r="I515" s="48" t="s">
        <v>26</v>
      </c>
      <c r="J515" s="48">
        <v>1020091</v>
      </c>
      <c r="K515" s="50">
        <v>3500000</v>
      </c>
      <c r="L515" s="50">
        <v>1</v>
      </c>
      <c r="M515" s="50">
        <v>3500000</v>
      </c>
      <c r="N515" s="50">
        <v>3500000</v>
      </c>
      <c r="O515" s="50">
        <v>0</v>
      </c>
      <c r="P515" s="50">
        <v>0</v>
      </c>
      <c r="Q515" s="87">
        <v>0</v>
      </c>
      <c r="R515" s="152">
        <v>0</v>
      </c>
      <c r="S515" s="174"/>
      <c r="T515" s="74">
        <v>45976</v>
      </c>
      <c r="U515" s="74">
        <v>45960</v>
      </c>
      <c r="V515" s="48"/>
      <c r="W515" s="48"/>
      <c r="X515" s="48"/>
      <c r="Y515" s="48">
        <v>0</v>
      </c>
      <c r="Z515" s="48"/>
      <c r="AA515" s="48" t="s">
        <v>366</v>
      </c>
      <c r="AB515" s="48" t="s">
        <v>27</v>
      </c>
      <c r="AC515" s="48" t="s">
        <v>461</v>
      </c>
      <c r="AD515" s="89" t="s">
        <v>845</v>
      </c>
    </row>
    <row r="516" spans="1:30" ht="15.75" hidden="1" x14ac:dyDescent="0.25">
      <c r="A516" s="48" t="s">
        <v>452</v>
      </c>
      <c r="B516" s="74">
        <v>45586</v>
      </c>
      <c r="C516" s="48" t="s">
        <v>1119</v>
      </c>
      <c r="D516" s="48" t="s">
        <v>20</v>
      </c>
      <c r="E516" s="48" t="s">
        <v>453</v>
      </c>
      <c r="F516" s="48" t="s">
        <v>367</v>
      </c>
      <c r="G516" s="48" t="s">
        <v>72</v>
      </c>
      <c r="H516" s="48" t="s">
        <v>367</v>
      </c>
      <c r="I516" s="48" t="s">
        <v>191</v>
      </c>
      <c r="J516" s="48">
        <v>1020091</v>
      </c>
      <c r="K516" s="50">
        <v>1680000</v>
      </c>
      <c r="L516" s="50">
        <v>1.026</v>
      </c>
      <c r="M516" s="50">
        <v>1723680</v>
      </c>
      <c r="N516" s="50">
        <v>1723680</v>
      </c>
      <c r="O516" s="50">
        <v>0</v>
      </c>
      <c r="P516" s="50">
        <v>0</v>
      </c>
      <c r="Q516" s="87">
        <v>0</v>
      </c>
      <c r="R516" s="152">
        <v>0</v>
      </c>
      <c r="S516" s="174"/>
      <c r="T516" s="74">
        <v>45657</v>
      </c>
      <c r="U516" s="74">
        <v>45611</v>
      </c>
      <c r="V516" s="48"/>
      <c r="W516" s="48"/>
      <c r="X516" s="48"/>
      <c r="Y516" s="48">
        <v>0</v>
      </c>
      <c r="Z516" s="48"/>
      <c r="AA516" s="48" t="s">
        <v>366</v>
      </c>
      <c r="AB516" s="48" t="s">
        <v>27</v>
      </c>
      <c r="AC516" s="48" t="s">
        <v>208</v>
      </c>
      <c r="AD516" s="89" t="s">
        <v>845</v>
      </c>
    </row>
    <row r="517" spans="1:30" ht="15.75" hidden="1" x14ac:dyDescent="0.25">
      <c r="A517" s="48" t="s">
        <v>470</v>
      </c>
      <c r="B517" s="74">
        <v>45596</v>
      </c>
      <c r="C517" s="48" t="s">
        <v>1119</v>
      </c>
      <c r="D517" s="48" t="s">
        <v>20</v>
      </c>
      <c r="E517" s="48" t="s">
        <v>453</v>
      </c>
      <c r="F517" s="48" t="s">
        <v>367</v>
      </c>
      <c r="G517" s="48" t="s">
        <v>72</v>
      </c>
      <c r="H517" s="48" t="s">
        <v>367</v>
      </c>
      <c r="I517" s="48" t="s">
        <v>191</v>
      </c>
      <c r="J517" s="48">
        <v>1020091</v>
      </c>
      <c r="K517" s="50">
        <v>11192216</v>
      </c>
      <c r="L517" s="50">
        <v>1.03</v>
      </c>
      <c r="M517" s="50">
        <v>11527982.48</v>
      </c>
      <c r="N517" s="50">
        <v>2494026.8997599999</v>
      </c>
      <c r="O517" s="50">
        <v>9033955.5800000001</v>
      </c>
      <c r="P517" s="50">
        <v>0</v>
      </c>
      <c r="Q517" s="87">
        <v>9033955.5800000001</v>
      </c>
      <c r="R517" s="152">
        <v>0</v>
      </c>
      <c r="S517" s="174"/>
      <c r="T517" s="74">
        <v>45688</v>
      </c>
      <c r="U517" s="74">
        <v>45661</v>
      </c>
      <c r="V517" s="48"/>
      <c r="W517" s="48"/>
      <c r="X517" s="48"/>
      <c r="Y517" s="48">
        <v>0</v>
      </c>
      <c r="Z517" s="48"/>
      <c r="AA517" s="48" t="s">
        <v>366</v>
      </c>
      <c r="AB517" s="48" t="s">
        <v>27</v>
      </c>
      <c r="AC517" s="48" t="s">
        <v>208</v>
      </c>
      <c r="AD517" s="89" t="s">
        <v>845</v>
      </c>
    </row>
    <row r="518" spans="1:30" ht="15.75" hidden="1" x14ac:dyDescent="0.25">
      <c r="A518" s="48" t="s">
        <v>185</v>
      </c>
      <c r="B518" s="74">
        <v>45209</v>
      </c>
      <c r="C518" s="48" t="s">
        <v>1181</v>
      </c>
      <c r="D518" s="48" t="s">
        <v>20</v>
      </c>
      <c r="E518" s="48" t="s">
        <v>186</v>
      </c>
      <c r="F518" s="48" t="s">
        <v>22</v>
      </c>
      <c r="G518" s="48" t="s">
        <v>80</v>
      </c>
      <c r="H518" s="48" t="s">
        <v>81</v>
      </c>
      <c r="I518" s="48" t="s">
        <v>26</v>
      </c>
      <c r="J518" s="48">
        <v>1020070</v>
      </c>
      <c r="K518" s="50">
        <v>2000000</v>
      </c>
      <c r="L518" s="50">
        <v>1</v>
      </c>
      <c r="M518" s="50">
        <v>2000000</v>
      </c>
      <c r="N518" s="50">
        <v>1524114.55</v>
      </c>
      <c r="O518" s="50">
        <v>475885.45</v>
      </c>
      <c r="P518" s="50">
        <v>0</v>
      </c>
      <c r="Q518" s="87">
        <v>475885.45</v>
      </c>
      <c r="R518" s="152">
        <v>0</v>
      </c>
      <c r="S518" s="174"/>
      <c r="T518" s="74">
        <v>45272</v>
      </c>
      <c r="U518" s="74">
        <v>45272</v>
      </c>
      <c r="V518" s="48"/>
      <c r="W518" s="48"/>
      <c r="X518" s="48"/>
      <c r="Y518" s="48">
        <v>0</v>
      </c>
      <c r="Z518" s="48"/>
      <c r="AA518" s="48" t="s">
        <v>21</v>
      </c>
      <c r="AB518" s="48" t="s">
        <v>70</v>
      </c>
      <c r="AC518" s="48"/>
      <c r="AD518" s="89" t="s">
        <v>845</v>
      </c>
    </row>
    <row r="519" spans="1:30" ht="15.75" hidden="1" x14ac:dyDescent="0.25">
      <c r="A519" s="48" t="s">
        <v>1662</v>
      </c>
      <c r="B519" s="74">
        <v>45869</v>
      </c>
      <c r="C519" s="48" t="s">
        <v>1119</v>
      </c>
      <c r="D519" s="48" t="s">
        <v>20</v>
      </c>
      <c r="E519" s="48" t="s">
        <v>1630</v>
      </c>
      <c r="F519" s="48" t="s">
        <v>367</v>
      </c>
      <c r="G519" s="48" t="s">
        <v>24</v>
      </c>
      <c r="H519" s="48" t="s">
        <v>367</v>
      </c>
      <c r="I519" s="48" t="s">
        <v>26</v>
      </c>
      <c r="J519" s="48">
        <v>1020091</v>
      </c>
      <c r="K519" s="50">
        <v>1400000</v>
      </c>
      <c r="L519" s="50">
        <v>1</v>
      </c>
      <c r="M519" s="50">
        <v>1400000</v>
      </c>
      <c r="N519" s="50">
        <v>1385426.0200000003</v>
      </c>
      <c r="O519" s="50">
        <v>14573.98</v>
      </c>
      <c r="P519" s="50">
        <v>0</v>
      </c>
      <c r="Q519" s="87">
        <v>14573.98</v>
      </c>
      <c r="R519" s="152">
        <v>0</v>
      </c>
      <c r="S519" s="174"/>
      <c r="T519" s="74">
        <v>46203</v>
      </c>
      <c r="U519" s="74">
        <v>46203</v>
      </c>
      <c r="V519" s="48"/>
      <c r="W519" s="48"/>
      <c r="X519" s="48"/>
      <c r="Y519" s="48">
        <v>0</v>
      </c>
      <c r="Z519" s="48"/>
      <c r="AA519" s="48" t="s">
        <v>366</v>
      </c>
      <c r="AB519" s="48" t="s">
        <v>27</v>
      </c>
      <c r="AC519" s="48" t="s">
        <v>1624</v>
      </c>
      <c r="AD519" s="89" t="s">
        <v>1026</v>
      </c>
    </row>
    <row r="520" spans="1:30" ht="15.75" hidden="1" x14ac:dyDescent="0.25">
      <c r="A520" s="48" t="s">
        <v>598</v>
      </c>
      <c r="B520" s="74">
        <v>45664</v>
      </c>
      <c r="C520" s="48" t="s">
        <v>441</v>
      </c>
      <c r="D520" s="48" t="s">
        <v>20</v>
      </c>
      <c r="E520" s="48" t="s">
        <v>599</v>
      </c>
      <c r="F520" s="48" t="s">
        <v>63</v>
      </c>
      <c r="G520" s="48" t="s">
        <v>24</v>
      </c>
      <c r="H520" s="48" t="s">
        <v>22</v>
      </c>
      <c r="I520" s="48" t="s">
        <v>26</v>
      </c>
      <c r="J520" s="48">
        <v>1020055</v>
      </c>
      <c r="K520" s="50">
        <v>451362.57</v>
      </c>
      <c r="L520" s="50">
        <v>1</v>
      </c>
      <c r="M520" s="50">
        <v>451362.57</v>
      </c>
      <c r="N520" s="50">
        <v>451362.57</v>
      </c>
      <c r="O520" s="50">
        <v>0</v>
      </c>
      <c r="P520" s="50">
        <v>0</v>
      </c>
      <c r="Q520" s="87">
        <v>0</v>
      </c>
      <c r="R520" s="152">
        <v>0</v>
      </c>
      <c r="S520" s="174"/>
      <c r="T520" s="74">
        <v>45747</v>
      </c>
      <c r="U520" s="74">
        <v>45747</v>
      </c>
      <c r="V520" s="48"/>
      <c r="W520" s="48"/>
      <c r="X520" s="48"/>
      <c r="Y520" s="48">
        <v>0</v>
      </c>
      <c r="Z520" s="48"/>
      <c r="AA520" s="48" t="s">
        <v>373</v>
      </c>
      <c r="AB520" s="48" t="s">
        <v>27</v>
      </c>
      <c r="AC520" s="48" t="s">
        <v>311</v>
      </c>
      <c r="AD520" s="89" t="s">
        <v>845</v>
      </c>
    </row>
    <row r="521" spans="1:30" ht="15.75" hidden="1" x14ac:dyDescent="0.25">
      <c r="A521" s="48" t="s">
        <v>647</v>
      </c>
      <c r="B521" s="74">
        <v>45680</v>
      </c>
      <c r="C521" s="48" t="s">
        <v>441</v>
      </c>
      <c r="D521" s="48" t="s">
        <v>20</v>
      </c>
      <c r="E521" s="48" t="s">
        <v>648</v>
      </c>
      <c r="F521" s="48" t="s">
        <v>22</v>
      </c>
      <c r="G521" s="48" t="s">
        <v>24</v>
      </c>
      <c r="H521" s="48" t="s">
        <v>22</v>
      </c>
      <c r="I521" s="48" t="s">
        <v>26</v>
      </c>
      <c r="J521" s="48">
        <v>1020055</v>
      </c>
      <c r="K521" s="50">
        <v>400000</v>
      </c>
      <c r="L521" s="50">
        <v>1</v>
      </c>
      <c r="M521" s="50">
        <v>400000</v>
      </c>
      <c r="N521" s="50">
        <v>400000</v>
      </c>
      <c r="O521" s="50">
        <v>0</v>
      </c>
      <c r="P521" s="50">
        <v>0</v>
      </c>
      <c r="Q521" s="87">
        <v>0</v>
      </c>
      <c r="R521" s="152">
        <v>0</v>
      </c>
      <c r="S521" s="174"/>
      <c r="T521" s="74">
        <v>45777</v>
      </c>
      <c r="U521" s="74">
        <v>45777</v>
      </c>
      <c r="V521" s="48"/>
      <c r="W521" s="48"/>
      <c r="X521" s="48"/>
      <c r="Y521" s="48">
        <v>0</v>
      </c>
      <c r="Z521" s="48"/>
      <c r="AA521" s="48" t="s">
        <v>21</v>
      </c>
      <c r="AB521" s="48" t="s">
        <v>27</v>
      </c>
      <c r="AC521" s="48" t="s">
        <v>311</v>
      </c>
      <c r="AD521" s="89" t="s">
        <v>845</v>
      </c>
    </row>
    <row r="522" spans="1:30" ht="15.75" hidden="1" x14ac:dyDescent="0.25">
      <c r="A522" s="48" t="s">
        <v>1749</v>
      </c>
      <c r="B522" s="74">
        <v>45883</v>
      </c>
      <c r="C522" s="48" t="s">
        <v>1727</v>
      </c>
      <c r="D522" s="48" t="s">
        <v>20</v>
      </c>
      <c r="E522" s="48" t="s">
        <v>1716</v>
      </c>
      <c r="F522" s="48" t="s">
        <v>70</v>
      </c>
      <c r="G522" s="48" t="s">
        <v>869</v>
      </c>
      <c r="H522" s="48" t="s">
        <v>1762</v>
      </c>
      <c r="I522" s="48" t="s">
        <v>26</v>
      </c>
      <c r="J522" s="48"/>
      <c r="K522" s="50">
        <v>349170.7</v>
      </c>
      <c r="L522" s="50">
        <v>1</v>
      </c>
      <c r="M522" s="50">
        <v>349170.7</v>
      </c>
      <c r="N522" s="50">
        <v>349170.7</v>
      </c>
      <c r="O522" s="50">
        <v>0</v>
      </c>
      <c r="P522" s="50">
        <v>0</v>
      </c>
      <c r="Q522" s="87">
        <v>0</v>
      </c>
      <c r="R522" s="152">
        <v>0</v>
      </c>
      <c r="S522" s="174"/>
      <c r="T522" s="74">
        <v>45930</v>
      </c>
      <c r="U522" s="74">
        <v>45915</v>
      </c>
      <c r="V522" s="48"/>
      <c r="W522" s="48"/>
      <c r="X522" s="48"/>
      <c r="Y522" s="48"/>
      <c r="Z522" s="48"/>
      <c r="AA522" s="48" t="s">
        <v>62</v>
      </c>
      <c r="AB522" s="48" t="s">
        <v>70</v>
      </c>
      <c r="AC522" s="48" t="s">
        <v>208</v>
      </c>
      <c r="AD522" s="89" t="s">
        <v>845</v>
      </c>
    </row>
    <row r="523" spans="1:30" ht="15.75" hidden="1" x14ac:dyDescent="0.25">
      <c r="A523" s="48" t="s">
        <v>416</v>
      </c>
      <c r="B523" s="74">
        <v>45572</v>
      </c>
      <c r="C523" s="48"/>
      <c r="D523" s="48" t="s">
        <v>20</v>
      </c>
      <c r="E523" s="48" t="s">
        <v>417</v>
      </c>
      <c r="F523" s="48" t="s">
        <v>96</v>
      </c>
      <c r="G523" s="48" t="s">
        <v>24</v>
      </c>
      <c r="H523" s="48" t="s">
        <v>413</v>
      </c>
      <c r="I523" s="48" t="s">
        <v>26</v>
      </c>
      <c r="J523" s="48"/>
      <c r="K523" s="50">
        <v>5000000</v>
      </c>
      <c r="L523" s="50">
        <v>1</v>
      </c>
      <c r="M523" s="50">
        <v>5000000</v>
      </c>
      <c r="N523" s="50">
        <v>5000000</v>
      </c>
      <c r="O523" s="50">
        <v>0</v>
      </c>
      <c r="P523" s="50">
        <v>0</v>
      </c>
      <c r="Q523" s="87">
        <v>0</v>
      </c>
      <c r="R523" s="152">
        <v>0</v>
      </c>
      <c r="S523" s="174"/>
      <c r="T523" s="74">
        <v>45626</v>
      </c>
      <c r="U523" s="74">
        <v>45600</v>
      </c>
      <c r="V523" s="48"/>
      <c r="W523" s="48"/>
      <c r="X523" s="48"/>
      <c r="Y523" s="48">
        <v>0</v>
      </c>
      <c r="Z523" s="48"/>
      <c r="AA523" s="48" t="s">
        <v>95</v>
      </c>
      <c r="AB523" s="48" t="s">
        <v>27</v>
      </c>
      <c r="AC523" s="48" t="s">
        <v>311</v>
      </c>
      <c r="AD523" s="89" t="s">
        <v>845</v>
      </c>
    </row>
    <row r="524" spans="1:30" ht="15.75" hidden="1" x14ac:dyDescent="0.25">
      <c r="A524" s="48" t="s">
        <v>1834</v>
      </c>
      <c r="B524" s="74">
        <v>45904</v>
      </c>
      <c r="C524" s="48" t="s">
        <v>1537</v>
      </c>
      <c r="D524" s="48" t="s">
        <v>20</v>
      </c>
      <c r="E524" s="48" t="s">
        <v>1647</v>
      </c>
      <c r="F524" s="48" t="s">
        <v>483</v>
      </c>
      <c r="G524" s="48" t="s">
        <v>72</v>
      </c>
      <c r="H524" s="48" t="s">
        <v>483</v>
      </c>
      <c r="I524" s="48" t="s">
        <v>78</v>
      </c>
      <c r="J524" s="48">
        <v>1020096</v>
      </c>
      <c r="K524" s="50">
        <v>7339154</v>
      </c>
      <c r="L524" s="50">
        <v>3.762</v>
      </c>
      <c r="M524" s="50">
        <v>27609897.348000001</v>
      </c>
      <c r="N524" s="50">
        <v>25727757.043026205</v>
      </c>
      <c r="O524" s="50">
        <v>1882140.3</v>
      </c>
      <c r="P524" s="50">
        <v>0</v>
      </c>
      <c r="Q524" s="87">
        <v>1882140.3</v>
      </c>
      <c r="R524" s="152">
        <v>0</v>
      </c>
      <c r="S524" s="174"/>
      <c r="T524" s="74">
        <v>46142</v>
      </c>
      <c r="U524" s="74">
        <v>46122</v>
      </c>
      <c r="V524" s="48"/>
      <c r="W524" s="48"/>
      <c r="X524" s="48"/>
      <c r="Y524" s="48">
        <v>0</v>
      </c>
      <c r="Z524" s="48"/>
      <c r="AA524" s="48" t="s">
        <v>62</v>
      </c>
      <c r="AB524" s="48" t="s">
        <v>27</v>
      </c>
      <c r="AC524" s="48" t="s">
        <v>1937</v>
      </c>
      <c r="AD524" s="89" t="s">
        <v>845</v>
      </c>
    </row>
    <row r="525" spans="1:30" ht="15.75" hidden="1" x14ac:dyDescent="0.25">
      <c r="A525" s="48" t="s">
        <v>1858</v>
      </c>
      <c r="B525" s="74">
        <v>45911</v>
      </c>
      <c r="C525" s="48" t="s">
        <v>1537</v>
      </c>
      <c r="D525" s="48" t="s">
        <v>20</v>
      </c>
      <c r="E525" s="48" t="s">
        <v>1788</v>
      </c>
      <c r="F525" s="48" t="s">
        <v>483</v>
      </c>
      <c r="G525" s="48" t="s">
        <v>24</v>
      </c>
      <c r="H525" s="48" t="s">
        <v>483</v>
      </c>
      <c r="I525" s="48" t="s">
        <v>26</v>
      </c>
      <c r="J525" s="48">
        <v>1020096</v>
      </c>
      <c r="K525" s="50">
        <v>2000000</v>
      </c>
      <c r="L525" s="50">
        <v>1</v>
      </c>
      <c r="M525" s="50">
        <v>2000000</v>
      </c>
      <c r="N525" s="50">
        <v>2000000</v>
      </c>
      <c r="O525" s="50">
        <v>0</v>
      </c>
      <c r="P525" s="50">
        <v>0</v>
      </c>
      <c r="Q525" s="87">
        <v>0</v>
      </c>
      <c r="R525" s="152">
        <v>0</v>
      </c>
      <c r="S525" s="174"/>
      <c r="T525" s="74">
        <v>45991</v>
      </c>
      <c r="U525" s="74">
        <v>45991</v>
      </c>
      <c r="V525" s="48"/>
      <c r="W525" s="48"/>
      <c r="X525" s="48"/>
      <c r="Y525" s="48">
        <v>0</v>
      </c>
      <c r="Z525" s="48"/>
      <c r="AA525" s="48" t="s">
        <v>62</v>
      </c>
      <c r="AB525" s="48" t="s">
        <v>27</v>
      </c>
      <c r="AC525" s="48" t="s">
        <v>621</v>
      </c>
      <c r="AD525" s="89" t="s">
        <v>845</v>
      </c>
    </row>
    <row r="526" spans="1:30" ht="15.75" hidden="1" x14ac:dyDescent="0.25">
      <c r="A526" s="48" t="s">
        <v>5416</v>
      </c>
      <c r="B526" s="74">
        <v>46177</v>
      </c>
      <c r="C526" s="48" t="s">
        <v>441</v>
      </c>
      <c r="D526" s="48" t="s">
        <v>20</v>
      </c>
      <c r="E526" s="48" t="s">
        <v>5328</v>
      </c>
      <c r="F526" s="48" t="s">
        <v>710</v>
      </c>
      <c r="G526" s="48" t="s">
        <v>24</v>
      </c>
      <c r="H526" s="48" t="s">
        <v>710</v>
      </c>
      <c r="I526" s="48" t="s">
        <v>26</v>
      </c>
      <c r="J526" s="48">
        <v>1020088</v>
      </c>
      <c r="K526" s="50">
        <v>500000</v>
      </c>
      <c r="L526" s="50">
        <v>1</v>
      </c>
      <c r="M526" s="50">
        <v>500000</v>
      </c>
      <c r="N526" s="50">
        <v>0</v>
      </c>
      <c r="O526" s="50">
        <v>500000</v>
      </c>
      <c r="P526" s="50">
        <v>0</v>
      </c>
      <c r="Q526" s="87">
        <v>500000</v>
      </c>
      <c r="R526" s="152">
        <v>0</v>
      </c>
      <c r="S526" s="174"/>
      <c r="T526" s="74">
        <v>46265</v>
      </c>
      <c r="U526" s="74">
        <v>46265</v>
      </c>
      <c r="V526" s="48"/>
      <c r="W526" s="48"/>
      <c r="X526" s="48"/>
      <c r="Y526" s="48">
        <v>0</v>
      </c>
      <c r="Z526" s="48"/>
      <c r="AA526" s="48" t="s">
        <v>366</v>
      </c>
      <c r="AB526" s="48" t="s">
        <v>27</v>
      </c>
      <c r="AC526" s="48" t="s">
        <v>5175</v>
      </c>
      <c r="AD526" s="89" t="s">
        <v>1026</v>
      </c>
    </row>
    <row r="527" spans="1:30" ht="15.75" hidden="1" x14ac:dyDescent="0.25">
      <c r="A527" s="48" t="s">
        <v>275</v>
      </c>
      <c r="B527" s="74">
        <v>45488</v>
      </c>
      <c r="C527" s="48" t="s">
        <v>441</v>
      </c>
      <c r="D527" s="48" t="s">
        <v>20</v>
      </c>
      <c r="E527" s="48" t="s">
        <v>276</v>
      </c>
      <c r="F527" s="48" t="s">
        <v>22</v>
      </c>
      <c r="G527" s="48" t="s">
        <v>24</v>
      </c>
      <c r="H527" s="48" t="s">
        <v>22</v>
      </c>
      <c r="I527" s="48" t="s">
        <v>26</v>
      </c>
      <c r="J527" s="48">
        <v>1020055</v>
      </c>
      <c r="K527" s="50">
        <v>9787326</v>
      </c>
      <c r="L527" s="50">
        <v>1</v>
      </c>
      <c r="M527" s="50">
        <v>9787326</v>
      </c>
      <c r="N527" s="50">
        <v>9787326</v>
      </c>
      <c r="O527" s="50">
        <v>0</v>
      </c>
      <c r="P527" s="50">
        <v>0</v>
      </c>
      <c r="Q527" s="87">
        <v>0</v>
      </c>
      <c r="R527" s="152">
        <v>0</v>
      </c>
      <c r="S527" s="174"/>
      <c r="T527" s="74">
        <v>45595</v>
      </c>
      <c r="U527" s="74">
        <v>45595</v>
      </c>
      <c r="V527" s="48"/>
      <c r="W527" s="48"/>
      <c r="X527" s="48"/>
      <c r="Y527" s="48">
        <v>0</v>
      </c>
      <c r="Z527" s="48"/>
      <c r="AA527" s="48" t="s">
        <v>21</v>
      </c>
      <c r="AB527" s="48" t="s">
        <v>27</v>
      </c>
      <c r="AC527" s="48"/>
      <c r="AD527" s="89" t="s">
        <v>845</v>
      </c>
    </row>
    <row r="528" spans="1:30" ht="15.75" hidden="1" x14ac:dyDescent="0.25">
      <c r="A528" s="48" t="s">
        <v>522</v>
      </c>
      <c r="B528" s="74">
        <v>45624</v>
      </c>
      <c r="C528" s="48" t="s">
        <v>441</v>
      </c>
      <c r="D528" s="48" t="s">
        <v>20</v>
      </c>
      <c r="E528" s="48" t="s">
        <v>523</v>
      </c>
      <c r="F528" s="48" t="s">
        <v>22</v>
      </c>
      <c r="G528" s="48" t="s">
        <v>24</v>
      </c>
      <c r="H528" s="48" t="s">
        <v>22</v>
      </c>
      <c r="I528" s="48" t="s">
        <v>26</v>
      </c>
      <c r="J528" s="48">
        <v>1020055</v>
      </c>
      <c r="K528" s="50">
        <v>2500000</v>
      </c>
      <c r="L528" s="50">
        <v>1</v>
      </c>
      <c r="M528" s="50">
        <v>2500000</v>
      </c>
      <c r="N528" s="50">
        <v>2500000</v>
      </c>
      <c r="O528" s="50">
        <v>0</v>
      </c>
      <c r="P528" s="50">
        <v>0</v>
      </c>
      <c r="Q528" s="87">
        <v>0</v>
      </c>
      <c r="R528" s="152">
        <v>0</v>
      </c>
      <c r="S528" s="174"/>
      <c r="T528" s="74">
        <v>45716</v>
      </c>
      <c r="U528" s="74">
        <v>45716</v>
      </c>
      <c r="V528" s="48"/>
      <c r="W528" s="48"/>
      <c r="X528" s="48"/>
      <c r="Y528" s="48">
        <v>0</v>
      </c>
      <c r="Z528" s="48"/>
      <c r="AA528" s="48" t="s">
        <v>21</v>
      </c>
      <c r="AB528" s="48" t="s">
        <v>27</v>
      </c>
      <c r="AC528" s="48" t="s">
        <v>311</v>
      </c>
      <c r="AD528" s="89" t="s">
        <v>845</v>
      </c>
    </row>
    <row r="529" spans="1:30" ht="15.75" hidden="1" x14ac:dyDescent="0.25">
      <c r="A529" s="48" t="s">
        <v>628</v>
      </c>
      <c r="B529" s="74">
        <v>45680</v>
      </c>
      <c r="C529" s="48" t="s">
        <v>441</v>
      </c>
      <c r="D529" s="48" t="s">
        <v>20</v>
      </c>
      <c r="E529" s="48" t="s">
        <v>523</v>
      </c>
      <c r="F529" s="48" t="s">
        <v>22</v>
      </c>
      <c r="G529" s="48" t="s">
        <v>24</v>
      </c>
      <c r="H529" s="48" t="s">
        <v>22</v>
      </c>
      <c r="I529" s="48" t="s">
        <v>26</v>
      </c>
      <c r="J529" s="48">
        <v>1020055</v>
      </c>
      <c r="K529" s="50">
        <v>2000000</v>
      </c>
      <c r="L529" s="50">
        <v>1</v>
      </c>
      <c r="M529" s="50">
        <v>2000000</v>
      </c>
      <c r="N529" s="50">
        <v>2000000</v>
      </c>
      <c r="O529" s="50">
        <v>0</v>
      </c>
      <c r="P529" s="50">
        <v>0</v>
      </c>
      <c r="Q529" s="87">
        <v>0</v>
      </c>
      <c r="R529" s="152">
        <v>0</v>
      </c>
      <c r="S529" s="174"/>
      <c r="T529" s="74">
        <v>45777</v>
      </c>
      <c r="U529" s="74">
        <v>45777</v>
      </c>
      <c r="V529" s="48"/>
      <c r="W529" s="48"/>
      <c r="X529" s="48"/>
      <c r="Y529" s="48">
        <v>0</v>
      </c>
      <c r="Z529" s="48"/>
      <c r="AA529" s="48" t="s">
        <v>21</v>
      </c>
      <c r="AB529" s="48" t="s">
        <v>27</v>
      </c>
      <c r="AC529" s="48" t="s">
        <v>311</v>
      </c>
      <c r="AD529" s="89" t="s">
        <v>845</v>
      </c>
    </row>
    <row r="530" spans="1:30" ht="15.75" hidden="1" x14ac:dyDescent="0.25">
      <c r="A530" s="48" t="s">
        <v>583</v>
      </c>
      <c r="B530" s="74">
        <v>45663</v>
      </c>
      <c r="C530" s="48" t="s">
        <v>441</v>
      </c>
      <c r="D530" s="48" t="s">
        <v>20</v>
      </c>
      <c r="E530" s="48" t="s">
        <v>523</v>
      </c>
      <c r="F530" s="48" t="s">
        <v>63</v>
      </c>
      <c r="G530" s="48" t="s">
        <v>24</v>
      </c>
      <c r="H530" s="48" t="s">
        <v>22</v>
      </c>
      <c r="I530" s="48" t="s">
        <v>26</v>
      </c>
      <c r="J530" s="48">
        <v>1020055</v>
      </c>
      <c r="K530" s="50">
        <v>6700000</v>
      </c>
      <c r="L530" s="50">
        <v>1</v>
      </c>
      <c r="M530" s="50">
        <v>6700000</v>
      </c>
      <c r="N530" s="50">
        <v>6700000</v>
      </c>
      <c r="O530" s="50">
        <v>0</v>
      </c>
      <c r="P530" s="50">
        <v>0</v>
      </c>
      <c r="Q530" s="87">
        <v>0</v>
      </c>
      <c r="R530" s="152">
        <v>0</v>
      </c>
      <c r="S530" s="174"/>
      <c r="T530" s="74">
        <v>45747</v>
      </c>
      <c r="U530" s="74">
        <v>45747</v>
      </c>
      <c r="V530" s="48"/>
      <c r="W530" s="48"/>
      <c r="X530" s="48"/>
      <c r="Y530" s="48">
        <v>0</v>
      </c>
      <c r="Z530" s="48"/>
      <c r="AA530" s="48" t="s">
        <v>373</v>
      </c>
      <c r="AB530" s="48" t="s">
        <v>27</v>
      </c>
      <c r="AC530" s="48" t="s">
        <v>311</v>
      </c>
      <c r="AD530" s="89" t="s">
        <v>845</v>
      </c>
    </row>
    <row r="531" spans="1:30" ht="15.75" hidden="1" x14ac:dyDescent="0.25">
      <c r="A531" s="48" t="s">
        <v>339</v>
      </c>
      <c r="B531" s="74">
        <v>45519</v>
      </c>
      <c r="C531" s="48" t="s">
        <v>441</v>
      </c>
      <c r="D531" s="48" t="s">
        <v>20</v>
      </c>
      <c r="E531" s="48" t="s">
        <v>276</v>
      </c>
      <c r="F531" s="48" t="s">
        <v>96</v>
      </c>
      <c r="G531" s="48" t="s">
        <v>24</v>
      </c>
      <c r="H531" s="48" t="s">
        <v>22</v>
      </c>
      <c r="I531" s="48" t="s">
        <v>26</v>
      </c>
      <c r="J531" s="48">
        <v>1020055</v>
      </c>
      <c r="K531" s="50">
        <v>1749851.86</v>
      </c>
      <c r="L531" s="50">
        <v>1</v>
      </c>
      <c r="M531" s="50">
        <v>1749851.86</v>
      </c>
      <c r="N531" s="50">
        <v>1749851.86</v>
      </c>
      <c r="O531" s="50">
        <v>0</v>
      </c>
      <c r="P531" s="50">
        <v>0</v>
      </c>
      <c r="Q531" s="87">
        <v>0</v>
      </c>
      <c r="R531" s="152">
        <v>0</v>
      </c>
      <c r="S531" s="174"/>
      <c r="T531" s="74">
        <v>45626</v>
      </c>
      <c r="U531" s="74">
        <v>45626</v>
      </c>
      <c r="V531" s="48"/>
      <c r="W531" s="48"/>
      <c r="X531" s="48"/>
      <c r="Y531" s="48">
        <v>0</v>
      </c>
      <c r="Z531" s="48"/>
      <c r="AA531" s="48" t="s">
        <v>95</v>
      </c>
      <c r="AB531" s="48" t="s">
        <v>27</v>
      </c>
      <c r="AC531" s="48" t="s">
        <v>311</v>
      </c>
      <c r="AD531" s="89" t="s">
        <v>845</v>
      </c>
    </row>
    <row r="532" spans="1:30" ht="15.75" hidden="1" x14ac:dyDescent="0.25">
      <c r="A532" s="48" t="s">
        <v>3719</v>
      </c>
      <c r="B532" s="74">
        <v>46040</v>
      </c>
      <c r="C532" s="48" t="s">
        <v>1259</v>
      </c>
      <c r="D532" s="48" t="s">
        <v>20</v>
      </c>
      <c r="E532" s="48" t="s">
        <v>523</v>
      </c>
      <c r="F532" s="48" t="s">
        <v>96</v>
      </c>
      <c r="G532" s="48" t="s">
        <v>1791</v>
      </c>
      <c r="H532" s="48" t="s">
        <v>328</v>
      </c>
      <c r="I532" s="48" t="s">
        <v>26</v>
      </c>
      <c r="J532" s="48">
        <v>1020097</v>
      </c>
      <c r="K532" s="50">
        <v>800000</v>
      </c>
      <c r="L532" s="50">
        <v>1</v>
      </c>
      <c r="M532" s="50">
        <v>800000</v>
      </c>
      <c r="N532" s="50">
        <v>800000</v>
      </c>
      <c r="O532" s="50">
        <v>0</v>
      </c>
      <c r="P532" s="50">
        <v>0</v>
      </c>
      <c r="Q532" s="87">
        <v>0</v>
      </c>
      <c r="R532" s="152">
        <v>0</v>
      </c>
      <c r="S532" s="174"/>
      <c r="T532" s="74">
        <v>46078</v>
      </c>
      <c r="U532" s="74">
        <v>46052</v>
      </c>
      <c r="V532" s="48"/>
      <c r="W532" s="48"/>
      <c r="X532" s="48"/>
      <c r="Y532" s="48">
        <v>0</v>
      </c>
      <c r="Z532" s="48"/>
      <c r="AA532" s="48" t="s">
        <v>95</v>
      </c>
      <c r="AB532" s="48" t="s">
        <v>27</v>
      </c>
      <c r="AC532" s="48" t="s">
        <v>35</v>
      </c>
      <c r="AD532" s="89" t="s">
        <v>845</v>
      </c>
    </row>
    <row r="533" spans="1:30" ht="15.75" hidden="1" x14ac:dyDescent="0.25">
      <c r="A533" s="48" t="s">
        <v>1734</v>
      </c>
      <c r="B533" s="74">
        <v>45882</v>
      </c>
      <c r="C533" s="48" t="s">
        <v>1119</v>
      </c>
      <c r="D533" s="48" t="s">
        <v>20</v>
      </c>
      <c r="E533" s="48" t="s">
        <v>1696</v>
      </c>
      <c r="F533" s="48" t="s">
        <v>367</v>
      </c>
      <c r="G533" s="48" t="s">
        <v>24</v>
      </c>
      <c r="H533" s="48" t="s">
        <v>367</v>
      </c>
      <c r="I533" s="48" t="s">
        <v>26</v>
      </c>
      <c r="J533" s="48">
        <v>1020091</v>
      </c>
      <c r="K533" s="50">
        <v>5000000</v>
      </c>
      <c r="L533" s="50">
        <v>1</v>
      </c>
      <c r="M533" s="50">
        <v>5000000</v>
      </c>
      <c r="N533" s="50">
        <v>5000000</v>
      </c>
      <c r="O533" s="50">
        <v>0</v>
      </c>
      <c r="P533" s="50">
        <v>0</v>
      </c>
      <c r="Q533" s="87">
        <v>0</v>
      </c>
      <c r="R533" s="152">
        <v>0</v>
      </c>
      <c r="S533" s="174"/>
      <c r="T533" s="74">
        <v>45991</v>
      </c>
      <c r="U533" s="74">
        <v>45991</v>
      </c>
      <c r="V533" s="48"/>
      <c r="W533" s="48"/>
      <c r="X533" s="48"/>
      <c r="Y533" s="48">
        <v>0</v>
      </c>
      <c r="Z533" s="48"/>
      <c r="AA533" s="48" t="s">
        <v>366</v>
      </c>
      <c r="AB533" s="48" t="s">
        <v>27</v>
      </c>
      <c r="AC533" s="48" t="s">
        <v>1624</v>
      </c>
      <c r="AD533" s="89" t="s">
        <v>845</v>
      </c>
    </row>
    <row r="534" spans="1:30" ht="15.75" hidden="1" x14ac:dyDescent="0.25">
      <c r="A534" s="48" t="s">
        <v>1597</v>
      </c>
      <c r="B534" s="74">
        <v>45862</v>
      </c>
      <c r="C534" s="48" t="s">
        <v>441</v>
      </c>
      <c r="D534" s="48" t="s">
        <v>20</v>
      </c>
      <c r="E534" s="48" t="s">
        <v>1581</v>
      </c>
      <c r="F534" s="48" t="s">
        <v>710</v>
      </c>
      <c r="G534" s="48" t="s">
        <v>24</v>
      </c>
      <c r="H534" s="48" t="s">
        <v>710</v>
      </c>
      <c r="I534" s="48" t="s">
        <v>26</v>
      </c>
      <c r="J534" s="48">
        <v>1020088</v>
      </c>
      <c r="K534" s="50">
        <v>300000</v>
      </c>
      <c r="L534" s="50">
        <v>1</v>
      </c>
      <c r="M534" s="50">
        <v>300000</v>
      </c>
      <c r="N534" s="50">
        <v>283333.74</v>
      </c>
      <c r="O534" s="50">
        <v>16666.259999999998</v>
      </c>
      <c r="P534" s="50">
        <v>0</v>
      </c>
      <c r="Q534" s="87">
        <v>16666.259999999998</v>
      </c>
      <c r="R534" s="152">
        <v>0</v>
      </c>
      <c r="S534" s="174"/>
      <c r="T534" s="74">
        <v>46142</v>
      </c>
      <c r="U534" s="74">
        <v>46142</v>
      </c>
      <c r="V534" s="48"/>
      <c r="W534" s="48"/>
      <c r="X534" s="48"/>
      <c r="Y534" s="48">
        <v>0</v>
      </c>
      <c r="Z534" s="48"/>
      <c r="AA534" s="48" t="s">
        <v>366</v>
      </c>
      <c r="AB534" s="48" t="s">
        <v>27</v>
      </c>
      <c r="AC534" s="48" t="s">
        <v>621</v>
      </c>
      <c r="AD534" s="89" t="s">
        <v>845</v>
      </c>
    </row>
    <row r="535" spans="1:30" ht="15.75" hidden="1" x14ac:dyDescent="0.25">
      <c r="A535" s="48" t="s">
        <v>4566</v>
      </c>
      <c r="B535" s="74">
        <v>46118</v>
      </c>
      <c r="C535" s="48" t="s">
        <v>441</v>
      </c>
      <c r="D535" s="48" t="s">
        <v>20</v>
      </c>
      <c r="E535" s="48" t="s">
        <v>4494</v>
      </c>
      <c r="F535" s="48" t="s">
        <v>710</v>
      </c>
      <c r="G535" s="48" t="s">
        <v>24</v>
      </c>
      <c r="H535" s="48" t="s">
        <v>710</v>
      </c>
      <c r="I535" s="48" t="s">
        <v>26</v>
      </c>
      <c r="J535" s="48">
        <v>1020088</v>
      </c>
      <c r="K535" s="50">
        <v>1000000</v>
      </c>
      <c r="L535" s="50">
        <v>1</v>
      </c>
      <c r="M535" s="50">
        <v>1000000</v>
      </c>
      <c r="N535" s="50">
        <v>0</v>
      </c>
      <c r="O535" s="50">
        <v>1000000</v>
      </c>
      <c r="P535" s="50">
        <v>0</v>
      </c>
      <c r="Q535" s="87">
        <v>1000000</v>
      </c>
      <c r="R535" s="152">
        <v>0</v>
      </c>
      <c r="S535" s="174"/>
      <c r="T535" s="74">
        <v>46203</v>
      </c>
      <c r="U535" s="74">
        <v>46203</v>
      </c>
      <c r="V535" s="48"/>
      <c r="W535" s="48"/>
      <c r="X535" s="48"/>
      <c r="Y535" s="48">
        <v>0</v>
      </c>
      <c r="Z535" s="48"/>
      <c r="AA535" s="48" t="s">
        <v>366</v>
      </c>
      <c r="AB535" s="48" t="s">
        <v>27</v>
      </c>
      <c r="AC535" s="48" t="s">
        <v>4493</v>
      </c>
      <c r="AD535" s="89" t="s">
        <v>1026</v>
      </c>
    </row>
    <row r="536" spans="1:30" ht="15.75" hidden="1" x14ac:dyDescent="0.25">
      <c r="A536" s="48" t="s">
        <v>549</v>
      </c>
      <c r="B536" s="74">
        <v>45634</v>
      </c>
      <c r="C536" s="48" t="s">
        <v>509</v>
      </c>
      <c r="D536" s="48" t="s">
        <v>20</v>
      </c>
      <c r="E536" s="48" t="s">
        <v>550</v>
      </c>
      <c r="F536" s="48" t="s">
        <v>96</v>
      </c>
      <c r="G536" s="48" t="s">
        <v>24</v>
      </c>
      <c r="H536" s="48" t="s">
        <v>407</v>
      </c>
      <c r="I536" s="48" t="s">
        <v>26</v>
      </c>
      <c r="J536" s="48">
        <v>1020100</v>
      </c>
      <c r="K536" s="50">
        <v>300000</v>
      </c>
      <c r="L536" s="50">
        <v>1</v>
      </c>
      <c r="M536" s="50">
        <v>300000</v>
      </c>
      <c r="N536" s="50">
        <v>300000</v>
      </c>
      <c r="O536" s="50">
        <v>0</v>
      </c>
      <c r="P536" s="50">
        <v>0</v>
      </c>
      <c r="Q536" s="87">
        <v>0</v>
      </c>
      <c r="R536" s="152">
        <v>0</v>
      </c>
      <c r="S536" s="174"/>
      <c r="T536" s="74">
        <v>45716</v>
      </c>
      <c r="U536" s="74">
        <v>45716</v>
      </c>
      <c r="V536" s="48"/>
      <c r="W536" s="48"/>
      <c r="X536" s="48"/>
      <c r="Y536" s="48">
        <v>0</v>
      </c>
      <c r="Z536" s="48"/>
      <c r="AA536" s="48" t="s">
        <v>95</v>
      </c>
      <c r="AB536" s="48" t="s">
        <v>27</v>
      </c>
      <c r="AC536" s="48" t="s">
        <v>311</v>
      </c>
      <c r="AD536" s="89" t="s">
        <v>845</v>
      </c>
    </row>
    <row r="537" spans="1:30" ht="15.75" hidden="1" x14ac:dyDescent="0.25">
      <c r="A537" s="48" t="s">
        <v>1280</v>
      </c>
      <c r="B537" s="74">
        <v>45784</v>
      </c>
      <c r="C537" s="48" t="s">
        <v>441</v>
      </c>
      <c r="D537" s="48" t="s">
        <v>20</v>
      </c>
      <c r="E537" s="48" t="s">
        <v>1239</v>
      </c>
      <c r="F537" s="48" t="s">
        <v>70</v>
      </c>
      <c r="G537" s="48" t="s">
        <v>24</v>
      </c>
      <c r="H537" s="48" t="s">
        <v>407</v>
      </c>
      <c r="I537" s="48" t="s">
        <v>26</v>
      </c>
      <c r="J537" s="48">
        <v>1020100</v>
      </c>
      <c r="K537" s="50">
        <v>500000</v>
      </c>
      <c r="L537" s="50">
        <v>1</v>
      </c>
      <c r="M537" s="50">
        <v>500000</v>
      </c>
      <c r="N537" s="50">
        <v>500000</v>
      </c>
      <c r="O537" s="50">
        <v>0</v>
      </c>
      <c r="P537" s="50">
        <v>0</v>
      </c>
      <c r="Q537" s="87">
        <v>0</v>
      </c>
      <c r="R537" s="152">
        <v>0</v>
      </c>
      <c r="S537" s="174"/>
      <c r="T537" s="74">
        <v>45930</v>
      </c>
      <c r="U537" s="74">
        <v>45930</v>
      </c>
      <c r="V537" s="48"/>
      <c r="W537" s="48"/>
      <c r="X537" s="48">
        <v>141838.25</v>
      </c>
      <c r="Y537" s="48">
        <v>0</v>
      </c>
      <c r="Z537" s="48"/>
      <c r="AA537" s="48" t="s">
        <v>373</v>
      </c>
      <c r="AB537" s="48" t="s">
        <v>70</v>
      </c>
      <c r="AC537" s="48" t="s">
        <v>621</v>
      </c>
      <c r="AD537" s="89" t="s">
        <v>845</v>
      </c>
    </row>
    <row r="538" spans="1:30" ht="15.75" hidden="1" x14ac:dyDescent="0.25">
      <c r="A538" s="48" t="s">
        <v>458</v>
      </c>
      <c r="B538" s="74">
        <v>45580</v>
      </c>
      <c r="C538" s="48" t="s">
        <v>1181</v>
      </c>
      <c r="D538" s="48" t="s">
        <v>20</v>
      </c>
      <c r="E538" s="48" t="s">
        <v>459</v>
      </c>
      <c r="F538" s="48" t="s">
        <v>63</v>
      </c>
      <c r="G538" s="48" t="s">
        <v>72</v>
      </c>
      <c r="H538" s="48" t="s">
        <v>81</v>
      </c>
      <c r="I538" s="48" t="s">
        <v>26</v>
      </c>
      <c r="J538" s="48">
        <v>1020070</v>
      </c>
      <c r="K538" s="50">
        <v>71300</v>
      </c>
      <c r="L538" s="50">
        <v>1</v>
      </c>
      <c r="M538" s="50">
        <v>71300</v>
      </c>
      <c r="N538" s="50">
        <v>0</v>
      </c>
      <c r="O538" s="50">
        <v>71300</v>
      </c>
      <c r="P538" s="50">
        <v>0</v>
      </c>
      <c r="Q538" s="87">
        <v>71300</v>
      </c>
      <c r="R538" s="152">
        <v>0</v>
      </c>
      <c r="S538" s="174"/>
      <c r="T538" s="74">
        <v>45631</v>
      </c>
      <c r="U538" s="74">
        <v>45611</v>
      </c>
      <c r="V538" s="48"/>
      <c r="W538" s="48"/>
      <c r="X538" s="48"/>
      <c r="Y538" s="48">
        <v>0</v>
      </c>
      <c r="Z538" s="48"/>
      <c r="AA538" s="48" t="s">
        <v>373</v>
      </c>
      <c r="AB538" s="48" t="s">
        <v>27</v>
      </c>
      <c r="AC538" s="48" t="s">
        <v>208</v>
      </c>
      <c r="AD538" s="89" t="s">
        <v>845</v>
      </c>
    </row>
    <row r="539" spans="1:30" ht="15.75" hidden="1" x14ac:dyDescent="0.25">
      <c r="A539" s="48" t="s">
        <v>4552</v>
      </c>
      <c r="B539" s="74">
        <v>46118</v>
      </c>
      <c r="C539" s="48" t="s">
        <v>441</v>
      </c>
      <c r="D539" s="48" t="s">
        <v>20</v>
      </c>
      <c r="E539" s="48" t="s">
        <v>4498</v>
      </c>
      <c r="F539" s="48" t="s">
        <v>710</v>
      </c>
      <c r="G539" s="48" t="s">
        <v>24</v>
      </c>
      <c r="H539" s="48" t="s">
        <v>710</v>
      </c>
      <c r="I539" s="48" t="s">
        <v>26</v>
      </c>
      <c r="J539" s="48">
        <v>1020088</v>
      </c>
      <c r="K539" s="50">
        <v>300000.73</v>
      </c>
      <c r="L539" s="50">
        <v>1</v>
      </c>
      <c r="M539" s="50">
        <v>300000.73</v>
      </c>
      <c r="N539" s="50">
        <v>0</v>
      </c>
      <c r="O539" s="50">
        <v>300000.73</v>
      </c>
      <c r="P539" s="50">
        <v>299758.8</v>
      </c>
      <c r="Q539" s="87">
        <v>241.93</v>
      </c>
      <c r="R539" s="152">
        <v>0</v>
      </c>
      <c r="S539" s="174" t="s">
        <v>5543</v>
      </c>
      <c r="T539" s="74">
        <v>46203</v>
      </c>
      <c r="U539" s="74">
        <v>46203</v>
      </c>
      <c r="V539" s="48"/>
      <c r="W539" s="48"/>
      <c r="X539" s="48"/>
      <c r="Y539" s="48">
        <v>0</v>
      </c>
      <c r="Z539" s="48"/>
      <c r="AA539" s="48" t="s">
        <v>366</v>
      </c>
      <c r="AB539" s="48" t="s">
        <v>27</v>
      </c>
      <c r="AC539" s="48" t="s">
        <v>4493</v>
      </c>
      <c r="AD539" s="89" t="s">
        <v>1026</v>
      </c>
    </row>
    <row r="540" spans="1:30" ht="15.75" hidden="1" x14ac:dyDescent="0.25">
      <c r="A540" s="48" t="s">
        <v>5417</v>
      </c>
      <c r="B540" s="74">
        <v>46177</v>
      </c>
      <c r="C540" s="48" t="s">
        <v>441</v>
      </c>
      <c r="D540" s="48" t="s">
        <v>20</v>
      </c>
      <c r="E540" s="48" t="s">
        <v>5326</v>
      </c>
      <c r="F540" s="48" t="s">
        <v>710</v>
      </c>
      <c r="G540" s="48" t="s">
        <v>24</v>
      </c>
      <c r="H540" s="48" t="s">
        <v>710</v>
      </c>
      <c r="I540" s="48" t="s">
        <v>26</v>
      </c>
      <c r="J540" s="48">
        <v>1020088</v>
      </c>
      <c r="K540" s="50">
        <v>250000</v>
      </c>
      <c r="L540" s="50">
        <v>1</v>
      </c>
      <c r="M540" s="50">
        <v>250000</v>
      </c>
      <c r="N540" s="50">
        <v>0</v>
      </c>
      <c r="O540" s="50">
        <v>250000</v>
      </c>
      <c r="P540" s="50">
        <v>0</v>
      </c>
      <c r="Q540" s="87">
        <v>250000</v>
      </c>
      <c r="R540" s="152">
        <v>0</v>
      </c>
      <c r="S540" s="174"/>
      <c r="T540" s="74">
        <v>46265</v>
      </c>
      <c r="U540" s="74">
        <v>46265</v>
      </c>
      <c r="V540" s="48"/>
      <c r="W540" s="48"/>
      <c r="X540" s="48"/>
      <c r="Y540" s="48">
        <v>0</v>
      </c>
      <c r="Z540" s="48"/>
      <c r="AA540" s="48" t="s">
        <v>366</v>
      </c>
      <c r="AB540" s="48" t="s">
        <v>27</v>
      </c>
      <c r="AC540" s="48" t="s">
        <v>5175</v>
      </c>
      <c r="AD540" s="89" t="s">
        <v>1026</v>
      </c>
    </row>
    <row r="541" spans="1:30" ht="15.75" hidden="1" x14ac:dyDescent="0.25">
      <c r="A541" s="48" t="s">
        <v>717</v>
      </c>
      <c r="B541" s="74">
        <v>45715</v>
      </c>
      <c r="C541" s="48" t="s">
        <v>441</v>
      </c>
      <c r="D541" s="48" t="s">
        <v>20</v>
      </c>
      <c r="E541" s="48" t="s">
        <v>718</v>
      </c>
      <c r="F541" s="48" t="s">
        <v>613</v>
      </c>
      <c r="G541" s="48" t="s">
        <v>24</v>
      </c>
      <c r="H541" s="48" t="s">
        <v>613</v>
      </c>
      <c r="I541" s="48" t="s">
        <v>26</v>
      </c>
      <c r="J541" s="48">
        <v>1020106</v>
      </c>
      <c r="K541" s="50">
        <v>646875</v>
      </c>
      <c r="L541" s="50">
        <v>1</v>
      </c>
      <c r="M541" s="50">
        <v>646875</v>
      </c>
      <c r="N541" s="50">
        <v>646875</v>
      </c>
      <c r="O541" s="50">
        <v>0</v>
      </c>
      <c r="P541" s="50">
        <v>0</v>
      </c>
      <c r="Q541" s="87">
        <v>0</v>
      </c>
      <c r="R541" s="152">
        <v>0</v>
      </c>
      <c r="S541" s="174"/>
      <c r="T541" s="74">
        <v>45889</v>
      </c>
      <c r="U541" s="74">
        <v>45889</v>
      </c>
      <c r="V541" s="48"/>
      <c r="W541" s="48"/>
      <c r="X541" s="48"/>
      <c r="Y541" s="48">
        <v>0</v>
      </c>
      <c r="Z541" s="48"/>
      <c r="AA541" s="48" t="s">
        <v>612</v>
      </c>
      <c r="AB541" s="48" t="s">
        <v>27</v>
      </c>
      <c r="AC541" s="48" t="s">
        <v>311</v>
      </c>
      <c r="AD541" s="89" t="s">
        <v>845</v>
      </c>
    </row>
    <row r="542" spans="1:30" ht="15.75" hidden="1" x14ac:dyDescent="0.25">
      <c r="A542" s="48" t="s">
        <v>1491</v>
      </c>
      <c r="B542" s="74">
        <v>45831</v>
      </c>
      <c r="C542" s="48" t="s">
        <v>441</v>
      </c>
      <c r="D542" s="48" t="s">
        <v>20</v>
      </c>
      <c r="E542" s="48" t="s">
        <v>718</v>
      </c>
      <c r="F542" s="48" t="s">
        <v>22</v>
      </c>
      <c r="G542" s="48" t="s">
        <v>24</v>
      </c>
      <c r="H542" s="48" t="s">
        <v>407</v>
      </c>
      <c r="I542" s="48" t="s">
        <v>26</v>
      </c>
      <c r="J542" s="48">
        <v>1020100</v>
      </c>
      <c r="K542" s="50">
        <v>511750</v>
      </c>
      <c r="L542" s="50">
        <v>1</v>
      </c>
      <c r="M542" s="50">
        <v>511750</v>
      </c>
      <c r="N542" s="50">
        <v>511750</v>
      </c>
      <c r="O542" s="50">
        <v>0</v>
      </c>
      <c r="P542" s="50">
        <v>0</v>
      </c>
      <c r="Q542" s="87">
        <v>0</v>
      </c>
      <c r="R542" s="152">
        <v>0</v>
      </c>
      <c r="S542" s="174"/>
      <c r="T542" s="74">
        <v>45961</v>
      </c>
      <c r="U542" s="74">
        <v>45961</v>
      </c>
      <c r="V542" s="48"/>
      <c r="W542" s="48"/>
      <c r="X542" s="48"/>
      <c r="Y542" s="48">
        <v>0</v>
      </c>
      <c r="Z542" s="48" t="s">
        <v>1846</v>
      </c>
      <c r="AA542" s="48" t="s">
        <v>21</v>
      </c>
      <c r="AB542" s="48" t="s">
        <v>27</v>
      </c>
      <c r="AC542" s="48" t="s">
        <v>621</v>
      </c>
      <c r="AD542" s="89" t="s">
        <v>845</v>
      </c>
    </row>
    <row r="543" spans="1:30" ht="15.75" hidden="1" x14ac:dyDescent="0.25">
      <c r="A543" s="48" t="s">
        <v>3951</v>
      </c>
      <c r="B543" s="74">
        <v>46057</v>
      </c>
      <c r="C543" s="48" t="s">
        <v>1537</v>
      </c>
      <c r="D543" s="48" t="s">
        <v>20</v>
      </c>
      <c r="E543" s="48" t="s">
        <v>718</v>
      </c>
      <c r="F543" s="48" t="s">
        <v>483</v>
      </c>
      <c r="G543" s="48" t="s">
        <v>24</v>
      </c>
      <c r="H543" s="48" t="s">
        <v>483</v>
      </c>
      <c r="I543" s="48" t="s">
        <v>26</v>
      </c>
      <c r="J543" s="48">
        <v>1020096</v>
      </c>
      <c r="K543" s="50">
        <v>1000000</v>
      </c>
      <c r="L543" s="50">
        <v>1</v>
      </c>
      <c r="M543" s="50">
        <v>1000000</v>
      </c>
      <c r="N543" s="50">
        <v>0</v>
      </c>
      <c r="O543" s="50">
        <v>1000000</v>
      </c>
      <c r="P543" s="50">
        <v>1000000</v>
      </c>
      <c r="Q543" s="87">
        <v>0</v>
      </c>
      <c r="R543" s="152">
        <v>0</v>
      </c>
      <c r="S543" s="174" t="s">
        <v>5064</v>
      </c>
      <c r="T543" s="74">
        <v>46142</v>
      </c>
      <c r="U543" s="74">
        <v>46142</v>
      </c>
      <c r="V543" s="48"/>
      <c r="W543" s="48"/>
      <c r="X543" s="48"/>
      <c r="Y543" s="48">
        <v>0</v>
      </c>
      <c r="Z543" s="48"/>
      <c r="AA543" s="48" t="s">
        <v>62</v>
      </c>
      <c r="AB543" s="48" t="s">
        <v>27</v>
      </c>
      <c r="AC543" s="48" t="s">
        <v>3229</v>
      </c>
      <c r="AD543" s="89" t="s">
        <v>1026</v>
      </c>
    </row>
    <row r="544" spans="1:30" ht="15.75" hidden="1" x14ac:dyDescent="0.25">
      <c r="A544" s="48" t="s">
        <v>663</v>
      </c>
      <c r="B544" s="74">
        <v>45680</v>
      </c>
      <c r="C544" s="48" t="s">
        <v>441</v>
      </c>
      <c r="D544" s="48" t="s">
        <v>20</v>
      </c>
      <c r="E544" s="48" t="s">
        <v>664</v>
      </c>
      <c r="F544" s="48" t="s">
        <v>22</v>
      </c>
      <c r="G544" s="48" t="s">
        <v>24</v>
      </c>
      <c r="H544" s="48" t="s">
        <v>22</v>
      </c>
      <c r="I544" s="48" t="s">
        <v>26</v>
      </c>
      <c r="J544" s="48">
        <v>1020055</v>
      </c>
      <c r="K544" s="50">
        <v>900400</v>
      </c>
      <c r="L544" s="50">
        <v>1</v>
      </c>
      <c r="M544" s="50">
        <v>900400</v>
      </c>
      <c r="N544" s="50">
        <v>900400</v>
      </c>
      <c r="O544" s="50">
        <v>0</v>
      </c>
      <c r="P544" s="50">
        <v>0</v>
      </c>
      <c r="Q544" s="87">
        <v>0</v>
      </c>
      <c r="R544" s="152">
        <v>0</v>
      </c>
      <c r="S544" s="174"/>
      <c r="T544" s="74">
        <v>45777</v>
      </c>
      <c r="U544" s="74">
        <v>45777</v>
      </c>
      <c r="V544" s="48"/>
      <c r="W544" s="48"/>
      <c r="X544" s="48"/>
      <c r="Y544" s="48">
        <v>0</v>
      </c>
      <c r="Z544" s="48"/>
      <c r="AA544" s="48" t="s">
        <v>21</v>
      </c>
      <c r="AB544" s="48" t="s">
        <v>27</v>
      </c>
      <c r="AC544" s="48" t="s">
        <v>311</v>
      </c>
      <c r="AD544" s="89" t="s">
        <v>845</v>
      </c>
    </row>
    <row r="545" spans="1:30" ht="15.75" hidden="1" x14ac:dyDescent="0.25">
      <c r="A545" s="48" t="s">
        <v>736</v>
      </c>
      <c r="B545" s="74">
        <v>45726</v>
      </c>
      <c r="C545" s="48" t="s">
        <v>1119</v>
      </c>
      <c r="D545" s="48" t="s">
        <v>20</v>
      </c>
      <c r="E545" s="48" t="s">
        <v>737</v>
      </c>
      <c r="F545" s="48" t="s">
        <v>367</v>
      </c>
      <c r="G545" s="48" t="s">
        <v>72</v>
      </c>
      <c r="H545" s="48" t="s">
        <v>367</v>
      </c>
      <c r="I545" s="48" t="s">
        <v>26</v>
      </c>
      <c r="J545" s="48">
        <v>1020091</v>
      </c>
      <c r="K545" s="50">
        <v>11632450.5</v>
      </c>
      <c r="L545" s="50">
        <v>1</v>
      </c>
      <c r="M545" s="50">
        <v>11632450.5</v>
      </c>
      <c r="N545" s="50">
        <v>11069374.060000001</v>
      </c>
      <c r="O545" s="50">
        <v>563076.43999999994</v>
      </c>
      <c r="P545" s="50">
        <v>0</v>
      </c>
      <c r="Q545" s="87">
        <v>563076.43999999994</v>
      </c>
      <c r="R545" s="152">
        <v>0</v>
      </c>
      <c r="S545" s="174"/>
      <c r="T545" s="74">
        <v>45914</v>
      </c>
      <c r="U545" s="74">
        <v>45884</v>
      </c>
      <c r="V545" s="48"/>
      <c r="W545" s="48"/>
      <c r="X545" s="48"/>
      <c r="Y545" s="48"/>
      <c r="Z545" s="48"/>
      <c r="AA545" s="48" t="s">
        <v>366</v>
      </c>
      <c r="AB545" s="48" t="s">
        <v>27</v>
      </c>
      <c r="AC545" s="48" t="s">
        <v>738</v>
      </c>
      <c r="AD545" s="89" t="s">
        <v>845</v>
      </c>
    </row>
    <row r="546" spans="1:30" ht="15.75" hidden="1" x14ac:dyDescent="0.25">
      <c r="A546" s="48" t="s">
        <v>1412</v>
      </c>
      <c r="B546" s="74">
        <v>45804</v>
      </c>
      <c r="C546" s="48" t="s">
        <v>441</v>
      </c>
      <c r="D546" s="48" t="s">
        <v>20</v>
      </c>
      <c r="E546" s="48" t="s">
        <v>1361</v>
      </c>
      <c r="F546" s="48" t="s">
        <v>22</v>
      </c>
      <c r="G546" s="48" t="s">
        <v>24</v>
      </c>
      <c r="H546" s="48" t="s">
        <v>22</v>
      </c>
      <c r="I546" s="48" t="s">
        <v>26</v>
      </c>
      <c r="J546" s="48">
        <v>1020055</v>
      </c>
      <c r="K546" s="50">
        <v>255852.91</v>
      </c>
      <c r="L546" s="50">
        <v>1</v>
      </c>
      <c r="M546" s="50">
        <v>255852.91</v>
      </c>
      <c r="N546" s="50">
        <v>255852.91</v>
      </c>
      <c r="O546" s="50">
        <v>0</v>
      </c>
      <c r="P546" s="50">
        <v>0</v>
      </c>
      <c r="Q546" s="87">
        <v>0</v>
      </c>
      <c r="R546" s="152">
        <v>0</v>
      </c>
      <c r="S546" s="174"/>
      <c r="T546" s="74">
        <v>45900</v>
      </c>
      <c r="U546" s="74">
        <v>45900</v>
      </c>
      <c r="V546" s="48"/>
      <c r="W546" s="48"/>
      <c r="X546" s="48"/>
      <c r="Y546" s="48">
        <v>0</v>
      </c>
      <c r="Z546" s="48" t="s">
        <v>1846</v>
      </c>
      <c r="AA546" s="48" t="s">
        <v>21</v>
      </c>
      <c r="AB546" s="48" t="s">
        <v>27</v>
      </c>
      <c r="AC546" s="48" t="s">
        <v>621</v>
      </c>
      <c r="AD546" s="89" t="s">
        <v>845</v>
      </c>
    </row>
    <row r="547" spans="1:30" ht="15.75" hidden="1" x14ac:dyDescent="0.25">
      <c r="A547" s="48" t="s">
        <v>1741</v>
      </c>
      <c r="B547" s="74">
        <v>45883</v>
      </c>
      <c r="C547" s="48" t="s">
        <v>1727</v>
      </c>
      <c r="D547" s="48" t="s">
        <v>20</v>
      </c>
      <c r="E547" s="48" t="s">
        <v>1711</v>
      </c>
      <c r="F547" s="48" t="s">
        <v>70</v>
      </c>
      <c r="G547" s="48" t="s">
        <v>869</v>
      </c>
      <c r="H547" s="48" t="s">
        <v>1762</v>
      </c>
      <c r="I547" s="48" t="s">
        <v>26</v>
      </c>
      <c r="J547" s="48"/>
      <c r="K547" s="50">
        <v>408291.9</v>
      </c>
      <c r="L547" s="50">
        <v>1</v>
      </c>
      <c r="M547" s="50">
        <v>408291.9</v>
      </c>
      <c r="N547" s="50">
        <v>408291.9</v>
      </c>
      <c r="O547" s="50">
        <v>0</v>
      </c>
      <c r="P547" s="50">
        <v>0</v>
      </c>
      <c r="Q547" s="87">
        <v>0</v>
      </c>
      <c r="R547" s="152">
        <v>0</v>
      </c>
      <c r="S547" s="174"/>
      <c r="T547" s="74">
        <v>45930</v>
      </c>
      <c r="U547" s="74">
        <v>45915</v>
      </c>
      <c r="V547" s="48"/>
      <c r="W547" s="48"/>
      <c r="X547" s="48"/>
      <c r="Y547" s="48"/>
      <c r="Z547" s="48"/>
      <c r="AA547" s="48" t="s">
        <v>62</v>
      </c>
      <c r="AB547" s="48" t="s">
        <v>70</v>
      </c>
      <c r="AC547" s="48" t="s">
        <v>208</v>
      </c>
      <c r="AD547" s="89" t="s">
        <v>845</v>
      </c>
    </row>
    <row r="548" spans="1:30" ht="15.75" hidden="1" x14ac:dyDescent="0.25">
      <c r="A548" s="48" t="s">
        <v>4197</v>
      </c>
      <c r="B548" s="74">
        <v>46082</v>
      </c>
      <c r="C548" s="48" t="s">
        <v>1259</v>
      </c>
      <c r="D548" s="48" t="s">
        <v>20</v>
      </c>
      <c r="E548" s="48" t="s">
        <v>4071</v>
      </c>
      <c r="F548" s="48" t="s">
        <v>96</v>
      </c>
      <c r="G548" s="48" t="s">
        <v>1791</v>
      </c>
      <c r="H548" s="48" t="s">
        <v>328</v>
      </c>
      <c r="I548" s="48" t="s">
        <v>26</v>
      </c>
      <c r="J548" s="48">
        <v>1020097</v>
      </c>
      <c r="K548" s="50">
        <v>400000</v>
      </c>
      <c r="L548" s="50">
        <v>1</v>
      </c>
      <c r="M548" s="50">
        <v>400000</v>
      </c>
      <c r="N548" s="50">
        <v>0</v>
      </c>
      <c r="O548" s="50">
        <v>400000</v>
      </c>
      <c r="P548" s="50">
        <v>0</v>
      </c>
      <c r="Q548" s="87">
        <v>400000</v>
      </c>
      <c r="R548" s="152">
        <v>0</v>
      </c>
      <c r="S548" s="174"/>
      <c r="T548" s="74">
        <v>46204</v>
      </c>
      <c r="U548" s="74">
        <v>46188</v>
      </c>
      <c r="V548" s="48"/>
      <c r="W548" s="48"/>
      <c r="X548" s="48"/>
      <c r="Y548" s="48">
        <v>0</v>
      </c>
      <c r="Z548" s="48"/>
      <c r="AA548" s="48" t="s">
        <v>95</v>
      </c>
      <c r="AB548" s="48" t="s">
        <v>27</v>
      </c>
      <c r="AC548" s="48" t="s">
        <v>3729</v>
      </c>
      <c r="AD548" s="89" t="s">
        <v>1026</v>
      </c>
    </row>
    <row r="549" spans="1:30" ht="15.75" hidden="1" x14ac:dyDescent="0.25">
      <c r="A549" s="48" t="s">
        <v>1522</v>
      </c>
      <c r="B549" s="74">
        <v>45834</v>
      </c>
      <c r="C549" s="48" t="s">
        <v>441</v>
      </c>
      <c r="D549" s="48" t="s">
        <v>20</v>
      </c>
      <c r="E549" s="48" t="s">
        <v>1468</v>
      </c>
      <c r="F549" s="48" t="s">
        <v>22</v>
      </c>
      <c r="G549" s="48" t="s">
        <v>24</v>
      </c>
      <c r="H549" s="48" t="s">
        <v>407</v>
      </c>
      <c r="I549" s="48" t="s">
        <v>26</v>
      </c>
      <c r="J549" s="48">
        <v>1020100</v>
      </c>
      <c r="K549" s="50">
        <v>263032</v>
      </c>
      <c r="L549" s="50">
        <v>1</v>
      </c>
      <c r="M549" s="50">
        <v>263032</v>
      </c>
      <c r="N549" s="50">
        <v>263032</v>
      </c>
      <c r="O549" s="50">
        <v>0</v>
      </c>
      <c r="P549" s="50">
        <v>0</v>
      </c>
      <c r="Q549" s="87">
        <v>0</v>
      </c>
      <c r="R549" s="152">
        <v>0</v>
      </c>
      <c r="S549" s="174"/>
      <c r="T549" s="74">
        <v>45961</v>
      </c>
      <c r="U549" s="74">
        <v>45961</v>
      </c>
      <c r="V549" s="48"/>
      <c r="W549" s="48"/>
      <c r="X549" s="48"/>
      <c r="Y549" s="48">
        <v>0</v>
      </c>
      <c r="Z549" s="48" t="s">
        <v>1846</v>
      </c>
      <c r="AA549" s="48" t="s">
        <v>21</v>
      </c>
      <c r="AB549" s="48" t="s">
        <v>27</v>
      </c>
      <c r="AC549" s="48" t="s">
        <v>621</v>
      </c>
      <c r="AD549" s="89" t="s">
        <v>845</v>
      </c>
    </row>
    <row r="550" spans="1:30" ht="15.75" hidden="1" x14ac:dyDescent="0.25">
      <c r="A550" s="48" t="s">
        <v>277</v>
      </c>
      <c r="B550" s="74">
        <v>45489</v>
      </c>
      <c r="C550" s="48" t="s">
        <v>1184</v>
      </c>
      <c r="D550" s="48" t="s">
        <v>20</v>
      </c>
      <c r="E550" s="48" t="s">
        <v>278</v>
      </c>
      <c r="F550" s="48" t="s">
        <v>22</v>
      </c>
      <c r="G550" s="48" t="s">
        <v>72</v>
      </c>
      <c r="H550" s="48" t="s">
        <v>22</v>
      </c>
      <c r="I550" s="48" t="s">
        <v>26</v>
      </c>
      <c r="J550" s="48">
        <v>1020055</v>
      </c>
      <c r="K550" s="50">
        <v>5319603.3000000007</v>
      </c>
      <c r="L550" s="50">
        <v>1</v>
      </c>
      <c r="M550" s="50">
        <v>5319603.3000000007</v>
      </c>
      <c r="N550" s="50">
        <v>0</v>
      </c>
      <c r="O550" s="50">
        <v>5319603.3</v>
      </c>
      <c r="P550" s="50">
        <v>0</v>
      </c>
      <c r="Q550" s="87">
        <v>5319603.3</v>
      </c>
      <c r="R550" s="152">
        <v>0</v>
      </c>
      <c r="S550" s="174"/>
      <c r="T550" s="74">
        <v>45657</v>
      </c>
      <c r="U550" s="74">
        <v>45657</v>
      </c>
      <c r="V550" s="48"/>
      <c r="W550" s="48"/>
      <c r="X550" s="48"/>
      <c r="Y550" s="48">
        <v>0</v>
      </c>
      <c r="Z550" s="48"/>
      <c r="AA550" s="48" t="s">
        <v>21</v>
      </c>
      <c r="AB550" s="48" t="s">
        <v>27</v>
      </c>
      <c r="AC550" s="48"/>
      <c r="AD550" s="89" t="s">
        <v>845</v>
      </c>
    </row>
    <row r="551" spans="1:30" ht="15.75" hidden="1" x14ac:dyDescent="0.25">
      <c r="A551" s="48" t="s">
        <v>786</v>
      </c>
      <c r="B551" s="74">
        <v>45741</v>
      </c>
      <c r="C551" s="48" t="s">
        <v>1864</v>
      </c>
      <c r="D551" s="48" t="s">
        <v>20</v>
      </c>
      <c r="E551" s="48" t="s">
        <v>787</v>
      </c>
      <c r="F551" s="48" t="s">
        <v>710</v>
      </c>
      <c r="G551" s="48" t="s">
        <v>3221</v>
      </c>
      <c r="H551" s="48" t="s">
        <v>81</v>
      </c>
      <c r="I551" s="48" t="s">
        <v>26</v>
      </c>
      <c r="J551" s="48">
        <v>1020070</v>
      </c>
      <c r="K551" s="50">
        <v>1200000</v>
      </c>
      <c r="L551" s="50">
        <v>1</v>
      </c>
      <c r="M551" s="50">
        <v>1200000</v>
      </c>
      <c r="N551" s="50">
        <v>1200000</v>
      </c>
      <c r="O551" s="50">
        <v>0</v>
      </c>
      <c r="P551" s="50">
        <v>0</v>
      </c>
      <c r="Q551" s="87">
        <v>0</v>
      </c>
      <c r="R551" s="152">
        <v>0</v>
      </c>
      <c r="S551" s="174"/>
      <c r="T551" s="74">
        <v>45808</v>
      </c>
      <c r="U551" s="74">
        <v>45777</v>
      </c>
      <c r="V551" s="48"/>
      <c r="W551" s="48"/>
      <c r="X551" s="48"/>
      <c r="Y551" s="48">
        <v>0</v>
      </c>
      <c r="Z551" s="48"/>
      <c r="AA551" s="48" t="s">
        <v>366</v>
      </c>
      <c r="AB551" s="48" t="s">
        <v>27</v>
      </c>
      <c r="AC551" s="48" t="s">
        <v>208</v>
      </c>
      <c r="AD551" s="89" t="s">
        <v>845</v>
      </c>
    </row>
    <row r="552" spans="1:30" ht="15.75" hidden="1" x14ac:dyDescent="0.25">
      <c r="A552" s="48" t="s">
        <v>228</v>
      </c>
      <c r="B552" s="74">
        <v>45237</v>
      </c>
      <c r="C552" s="48" t="s">
        <v>441</v>
      </c>
      <c r="D552" s="48" t="s">
        <v>20</v>
      </c>
      <c r="E552" s="48" t="s">
        <v>229</v>
      </c>
      <c r="F552" s="48" t="s">
        <v>22</v>
      </c>
      <c r="G552" s="48" t="s">
        <v>24</v>
      </c>
      <c r="H552" s="48" t="s">
        <v>22</v>
      </c>
      <c r="I552" s="48" t="s">
        <v>26</v>
      </c>
      <c r="J552" s="48">
        <v>1020055</v>
      </c>
      <c r="K552" s="50">
        <v>4038899.85</v>
      </c>
      <c r="L552" s="50">
        <v>1</v>
      </c>
      <c r="M552" s="50">
        <v>4038899.85</v>
      </c>
      <c r="N552" s="50">
        <v>4038899.85</v>
      </c>
      <c r="O552" s="50">
        <v>0</v>
      </c>
      <c r="P552" s="50">
        <v>0</v>
      </c>
      <c r="Q552" s="87">
        <v>0</v>
      </c>
      <c r="R552" s="152">
        <v>0</v>
      </c>
      <c r="S552" s="174"/>
      <c r="T552" s="74">
        <v>45322</v>
      </c>
      <c r="U552" s="74">
        <v>45322</v>
      </c>
      <c r="V552" s="48"/>
      <c r="W552" s="48"/>
      <c r="X552" s="48"/>
      <c r="Y552" s="48">
        <v>0</v>
      </c>
      <c r="Z552" s="48"/>
      <c r="AA552" s="48" t="s">
        <v>21</v>
      </c>
      <c r="AB552" s="48" t="s">
        <v>27</v>
      </c>
      <c r="AC552" s="48"/>
      <c r="AD552" s="89" t="s">
        <v>845</v>
      </c>
    </row>
    <row r="553" spans="1:30" ht="15.75" hidden="1" x14ac:dyDescent="0.25">
      <c r="A553" s="48" t="s">
        <v>48</v>
      </c>
      <c r="B553" s="74">
        <v>45277</v>
      </c>
      <c r="C553" s="48" t="s">
        <v>441</v>
      </c>
      <c r="D553" s="48" t="s">
        <v>20</v>
      </c>
      <c r="E553" s="48" t="s">
        <v>49</v>
      </c>
      <c r="F553" s="48" t="s">
        <v>22</v>
      </c>
      <c r="G553" s="48" t="s">
        <v>24</v>
      </c>
      <c r="H553" s="48" t="s">
        <v>22</v>
      </c>
      <c r="I553" s="48" t="s">
        <v>26</v>
      </c>
      <c r="J553" s="48">
        <v>1020055</v>
      </c>
      <c r="K553" s="50">
        <v>9000000</v>
      </c>
      <c r="L553" s="50">
        <v>1</v>
      </c>
      <c r="M553" s="50">
        <v>9000000</v>
      </c>
      <c r="N553" s="50">
        <v>9000000</v>
      </c>
      <c r="O553" s="50">
        <v>0</v>
      </c>
      <c r="P553" s="50">
        <v>0</v>
      </c>
      <c r="Q553" s="87">
        <v>0</v>
      </c>
      <c r="R553" s="152">
        <v>0</v>
      </c>
      <c r="S553" s="174"/>
      <c r="T553" s="74">
        <v>45503</v>
      </c>
      <c r="U553" s="74">
        <v>45503</v>
      </c>
      <c r="V553" s="48"/>
      <c r="W553" s="48"/>
      <c r="X553" s="48"/>
      <c r="Y553" s="48">
        <v>0</v>
      </c>
      <c r="Z553" s="48"/>
      <c r="AA553" s="48" t="s">
        <v>21</v>
      </c>
      <c r="AB553" s="48" t="s">
        <v>27</v>
      </c>
      <c r="AC553" s="48" t="s">
        <v>28</v>
      </c>
      <c r="AD553" s="89" t="s">
        <v>845</v>
      </c>
    </row>
    <row r="554" spans="1:30" ht="15.75" hidden="1" x14ac:dyDescent="0.25">
      <c r="A554" s="48" t="s">
        <v>118</v>
      </c>
      <c r="B554" s="74">
        <v>45113</v>
      </c>
      <c r="C554" s="48" t="s">
        <v>441</v>
      </c>
      <c r="D554" s="48" t="s">
        <v>20</v>
      </c>
      <c r="E554" s="48" t="s">
        <v>119</v>
      </c>
      <c r="F554" s="48" t="s">
        <v>22</v>
      </c>
      <c r="G554" s="48" t="s">
        <v>24</v>
      </c>
      <c r="H554" s="48" t="s">
        <v>22</v>
      </c>
      <c r="I554" s="48" t="s">
        <v>26</v>
      </c>
      <c r="J554" s="48">
        <v>1020055</v>
      </c>
      <c r="K554" s="50">
        <v>7364224.5800000001</v>
      </c>
      <c r="L554" s="50">
        <v>1</v>
      </c>
      <c r="M554" s="50">
        <v>7364224.5800000001</v>
      </c>
      <c r="N554" s="50">
        <v>7364224.5800000001</v>
      </c>
      <c r="O554" s="50">
        <v>0</v>
      </c>
      <c r="P554" s="50">
        <v>0</v>
      </c>
      <c r="Q554" s="87">
        <v>0</v>
      </c>
      <c r="R554" s="152">
        <v>0</v>
      </c>
      <c r="S554" s="174"/>
      <c r="T554" s="74">
        <v>45199</v>
      </c>
      <c r="U554" s="74">
        <v>45199</v>
      </c>
      <c r="V554" s="48"/>
      <c r="W554" s="48"/>
      <c r="X554" s="48"/>
      <c r="Y554" s="48">
        <v>0</v>
      </c>
      <c r="Z554" s="48"/>
      <c r="AA554" s="48" t="s">
        <v>21</v>
      </c>
      <c r="AB554" s="48" t="s">
        <v>27</v>
      </c>
      <c r="AC554" s="48" t="s">
        <v>35</v>
      </c>
      <c r="AD554" s="89" t="s">
        <v>845</v>
      </c>
    </row>
    <row r="555" spans="1:30" ht="15.75" hidden="1" x14ac:dyDescent="0.25">
      <c r="A555" s="48" t="s">
        <v>356</v>
      </c>
      <c r="B555" s="74">
        <v>45533</v>
      </c>
      <c r="C555" s="48" t="s">
        <v>441</v>
      </c>
      <c r="D555" s="48" t="s">
        <v>20</v>
      </c>
      <c r="E555" s="48" t="s">
        <v>119</v>
      </c>
      <c r="F555" s="48" t="s">
        <v>96</v>
      </c>
      <c r="G555" s="48" t="s">
        <v>24</v>
      </c>
      <c r="H555" s="48" t="s">
        <v>22</v>
      </c>
      <c r="I555" s="48" t="s">
        <v>26</v>
      </c>
      <c r="J555" s="48">
        <v>1020055</v>
      </c>
      <c r="K555" s="50">
        <v>3500000</v>
      </c>
      <c r="L555" s="50">
        <v>1</v>
      </c>
      <c r="M555" s="50">
        <v>3500000</v>
      </c>
      <c r="N555" s="50">
        <v>3500000</v>
      </c>
      <c r="O555" s="50">
        <v>0</v>
      </c>
      <c r="P555" s="50">
        <v>0</v>
      </c>
      <c r="Q555" s="87">
        <v>0</v>
      </c>
      <c r="R555" s="152">
        <v>0</v>
      </c>
      <c r="S555" s="174"/>
      <c r="T555" s="74">
        <v>45626</v>
      </c>
      <c r="U555" s="74">
        <v>45626</v>
      </c>
      <c r="V555" s="48"/>
      <c r="W555" s="48"/>
      <c r="X555" s="48"/>
      <c r="Y555" s="48">
        <v>0</v>
      </c>
      <c r="Z555" s="48"/>
      <c r="AA555" s="48" t="s">
        <v>95</v>
      </c>
      <c r="AB555" s="48" t="s">
        <v>27</v>
      </c>
      <c r="AC555" s="48" t="s">
        <v>311</v>
      </c>
      <c r="AD555" s="89" t="s">
        <v>845</v>
      </c>
    </row>
    <row r="556" spans="1:30" ht="15.75" hidden="1" x14ac:dyDescent="0.25">
      <c r="A556" s="48" t="s">
        <v>192</v>
      </c>
      <c r="B556" s="74">
        <v>45209</v>
      </c>
      <c r="C556" s="48" t="s">
        <v>441</v>
      </c>
      <c r="D556" s="48" t="s">
        <v>20</v>
      </c>
      <c r="E556" s="48" t="s">
        <v>119</v>
      </c>
      <c r="F556" s="48" t="s">
        <v>22</v>
      </c>
      <c r="G556" s="48" t="s">
        <v>24</v>
      </c>
      <c r="H556" s="48" t="s">
        <v>22</v>
      </c>
      <c r="I556" s="48" t="s">
        <v>26</v>
      </c>
      <c r="J556" s="48">
        <v>1020055</v>
      </c>
      <c r="K556" s="50">
        <v>4805000</v>
      </c>
      <c r="L556" s="50">
        <v>1</v>
      </c>
      <c r="M556" s="50">
        <v>4805000</v>
      </c>
      <c r="N556" s="50">
        <v>4805000</v>
      </c>
      <c r="O556" s="50">
        <v>0</v>
      </c>
      <c r="P556" s="50">
        <v>0</v>
      </c>
      <c r="Q556" s="87">
        <v>0</v>
      </c>
      <c r="R556" s="152">
        <v>0</v>
      </c>
      <c r="S556" s="174"/>
      <c r="T556" s="74">
        <v>45536</v>
      </c>
      <c r="U556" s="74">
        <v>45536</v>
      </c>
      <c r="V556" s="48"/>
      <c r="W556" s="48"/>
      <c r="X556" s="48"/>
      <c r="Y556" s="48">
        <v>0</v>
      </c>
      <c r="Z556" s="48"/>
      <c r="AA556" s="48" t="s">
        <v>21</v>
      </c>
      <c r="AB556" s="48" t="s">
        <v>27</v>
      </c>
      <c r="AC556" s="48" t="s">
        <v>28</v>
      </c>
      <c r="AD556" s="89" t="s">
        <v>845</v>
      </c>
    </row>
    <row r="557" spans="1:30" ht="15.75" hidden="1" x14ac:dyDescent="0.25">
      <c r="A557" s="48" t="s">
        <v>592</v>
      </c>
      <c r="B557" s="74">
        <v>45663</v>
      </c>
      <c r="C557" s="48" t="s">
        <v>441</v>
      </c>
      <c r="D557" s="48" t="s">
        <v>20</v>
      </c>
      <c r="E557" s="48" t="s">
        <v>593</v>
      </c>
      <c r="F557" s="48" t="s">
        <v>63</v>
      </c>
      <c r="G557" s="48" t="s">
        <v>24</v>
      </c>
      <c r="H557" s="48" t="s">
        <v>22</v>
      </c>
      <c r="I557" s="48" t="s">
        <v>26</v>
      </c>
      <c r="J557" s="48">
        <v>1020055</v>
      </c>
      <c r="K557" s="50">
        <v>3000000</v>
      </c>
      <c r="L557" s="50">
        <v>1</v>
      </c>
      <c r="M557" s="50">
        <v>3000000</v>
      </c>
      <c r="N557" s="50">
        <v>3000000</v>
      </c>
      <c r="O557" s="50">
        <v>0</v>
      </c>
      <c r="P557" s="50">
        <v>0</v>
      </c>
      <c r="Q557" s="87">
        <v>0</v>
      </c>
      <c r="R557" s="152">
        <v>0</v>
      </c>
      <c r="S557" s="174"/>
      <c r="T557" s="74">
        <v>45747</v>
      </c>
      <c r="U557" s="74">
        <v>45747</v>
      </c>
      <c r="V557" s="48"/>
      <c r="W557" s="48"/>
      <c r="X557" s="48"/>
      <c r="Y557" s="48">
        <v>0</v>
      </c>
      <c r="Z557" s="48"/>
      <c r="AA557" s="48" t="s">
        <v>373</v>
      </c>
      <c r="AB557" s="48" t="s">
        <v>27</v>
      </c>
      <c r="AC557" s="48" t="s">
        <v>311</v>
      </c>
      <c r="AD557" s="89" t="s">
        <v>845</v>
      </c>
    </row>
    <row r="558" spans="1:30" ht="15.75" hidden="1" x14ac:dyDescent="0.25">
      <c r="A558" s="48" t="s">
        <v>629</v>
      </c>
      <c r="B558" s="74">
        <v>45680</v>
      </c>
      <c r="C558" s="48" t="s">
        <v>441</v>
      </c>
      <c r="D558" s="48" t="s">
        <v>20</v>
      </c>
      <c r="E558" s="48" t="s">
        <v>593</v>
      </c>
      <c r="F558" s="48" t="s">
        <v>22</v>
      </c>
      <c r="G558" s="48" t="s">
        <v>24</v>
      </c>
      <c r="H558" s="48" t="s">
        <v>22</v>
      </c>
      <c r="I558" s="48" t="s">
        <v>26</v>
      </c>
      <c r="J558" s="48">
        <v>1020055</v>
      </c>
      <c r="K558" s="50">
        <v>900000</v>
      </c>
      <c r="L558" s="50">
        <v>1</v>
      </c>
      <c r="M558" s="50">
        <v>900000</v>
      </c>
      <c r="N558" s="50">
        <v>899345.63</v>
      </c>
      <c r="O558" s="50">
        <v>654.37</v>
      </c>
      <c r="P558" s="50">
        <v>0</v>
      </c>
      <c r="Q558" s="87">
        <v>654.37</v>
      </c>
      <c r="R558" s="152">
        <v>0</v>
      </c>
      <c r="S558" s="174"/>
      <c r="T558" s="74">
        <v>45900</v>
      </c>
      <c r="U558" s="74">
        <v>45900</v>
      </c>
      <c r="V558" s="48"/>
      <c r="W558" s="48"/>
      <c r="X558" s="48"/>
      <c r="Y558" s="48">
        <v>0</v>
      </c>
      <c r="Z558" s="48"/>
      <c r="AA558" s="48" t="s">
        <v>21</v>
      </c>
      <c r="AB558" s="48" t="s">
        <v>27</v>
      </c>
      <c r="AC558" s="48" t="s">
        <v>311</v>
      </c>
      <c r="AD558" s="89" t="s">
        <v>845</v>
      </c>
    </row>
    <row r="559" spans="1:30" ht="15.75" hidden="1" x14ac:dyDescent="0.25">
      <c r="A559" s="48" t="s">
        <v>559</v>
      </c>
      <c r="B559" s="74">
        <v>45638</v>
      </c>
      <c r="C559" s="48" t="s">
        <v>441</v>
      </c>
      <c r="D559" s="48" t="s">
        <v>20</v>
      </c>
      <c r="E559" s="48" t="s">
        <v>560</v>
      </c>
      <c r="F559" s="48" t="s">
        <v>483</v>
      </c>
      <c r="G559" s="48" t="s">
        <v>24</v>
      </c>
      <c r="H559" s="48" t="s">
        <v>22</v>
      </c>
      <c r="I559" s="48" t="s">
        <v>26</v>
      </c>
      <c r="J559" s="48">
        <v>1020055</v>
      </c>
      <c r="K559" s="50">
        <v>3582817.67</v>
      </c>
      <c r="L559" s="50">
        <v>1</v>
      </c>
      <c r="M559" s="50">
        <v>3582817.67</v>
      </c>
      <c r="N559" s="50">
        <v>3582817.67</v>
      </c>
      <c r="O559" s="50">
        <v>0</v>
      </c>
      <c r="P559" s="50">
        <v>0</v>
      </c>
      <c r="Q559" s="87">
        <v>0</v>
      </c>
      <c r="R559" s="152">
        <v>0</v>
      </c>
      <c r="S559" s="174"/>
      <c r="T559" s="74">
        <v>45747</v>
      </c>
      <c r="U559" s="74">
        <v>45747</v>
      </c>
      <c r="V559" s="48"/>
      <c r="W559" s="48"/>
      <c r="X559" s="48"/>
      <c r="Y559" s="48">
        <v>0</v>
      </c>
      <c r="Z559" s="48"/>
      <c r="AA559" s="48" t="s">
        <v>373</v>
      </c>
      <c r="AB559" s="48" t="s">
        <v>27</v>
      </c>
      <c r="AC559" s="48" t="s">
        <v>311</v>
      </c>
      <c r="AD559" s="89" t="s">
        <v>845</v>
      </c>
    </row>
    <row r="560" spans="1:30" ht="15.75" hidden="1" x14ac:dyDescent="0.25">
      <c r="A560" s="48" t="s">
        <v>798</v>
      </c>
      <c r="B560" s="74">
        <v>45739</v>
      </c>
      <c r="C560" s="48" t="s">
        <v>441</v>
      </c>
      <c r="D560" s="48" t="s">
        <v>20</v>
      </c>
      <c r="E560" s="48" t="s">
        <v>560</v>
      </c>
      <c r="F560" s="48" t="s">
        <v>22</v>
      </c>
      <c r="G560" s="48" t="s">
        <v>24</v>
      </c>
      <c r="H560" s="48" t="s">
        <v>22</v>
      </c>
      <c r="I560" s="48" t="s">
        <v>26</v>
      </c>
      <c r="J560" s="48">
        <v>1020055</v>
      </c>
      <c r="K560" s="50">
        <v>800000</v>
      </c>
      <c r="L560" s="50">
        <v>1</v>
      </c>
      <c r="M560" s="50">
        <v>800000</v>
      </c>
      <c r="N560" s="50">
        <v>800000</v>
      </c>
      <c r="O560" s="50">
        <v>0</v>
      </c>
      <c r="P560" s="50">
        <v>0</v>
      </c>
      <c r="Q560" s="87">
        <v>0</v>
      </c>
      <c r="R560" s="152">
        <v>0</v>
      </c>
      <c r="S560" s="174"/>
      <c r="T560" s="74">
        <v>45900</v>
      </c>
      <c r="U560" s="74">
        <v>45900</v>
      </c>
      <c r="V560" s="48"/>
      <c r="W560" s="48"/>
      <c r="X560" s="48"/>
      <c r="Y560" s="48">
        <v>0</v>
      </c>
      <c r="Z560" s="48"/>
      <c r="AA560" s="48" t="s">
        <v>21</v>
      </c>
      <c r="AB560" s="48" t="s">
        <v>27</v>
      </c>
      <c r="AC560" s="48" t="s">
        <v>311</v>
      </c>
      <c r="AD560" s="89" t="s">
        <v>845</v>
      </c>
    </row>
    <row r="561" spans="1:30" ht="15.75" hidden="1" x14ac:dyDescent="0.25">
      <c r="A561" s="48" t="s">
        <v>285</v>
      </c>
      <c r="B561" s="74">
        <v>45505</v>
      </c>
      <c r="C561" s="48" t="s">
        <v>441</v>
      </c>
      <c r="D561" s="48" t="s">
        <v>20</v>
      </c>
      <c r="E561" s="48" t="s">
        <v>286</v>
      </c>
      <c r="F561" s="48" t="s">
        <v>22</v>
      </c>
      <c r="G561" s="48" t="s">
        <v>24</v>
      </c>
      <c r="H561" s="48" t="s">
        <v>22</v>
      </c>
      <c r="I561" s="48" t="s">
        <v>26</v>
      </c>
      <c r="J561" s="48">
        <v>1020055</v>
      </c>
      <c r="K561" s="50">
        <v>300000</v>
      </c>
      <c r="L561" s="50">
        <v>1</v>
      </c>
      <c r="M561" s="50">
        <v>300000</v>
      </c>
      <c r="N561" s="50">
        <v>300000</v>
      </c>
      <c r="O561" s="50">
        <v>0</v>
      </c>
      <c r="P561" s="50">
        <v>0</v>
      </c>
      <c r="Q561" s="87">
        <v>0</v>
      </c>
      <c r="R561" s="152">
        <v>0</v>
      </c>
      <c r="S561" s="174"/>
      <c r="T561" s="74">
        <v>45596</v>
      </c>
      <c r="U561" s="74">
        <v>45596</v>
      </c>
      <c r="V561" s="48"/>
      <c r="W561" s="48"/>
      <c r="X561" s="48"/>
      <c r="Y561" s="48">
        <v>0</v>
      </c>
      <c r="Z561" s="48"/>
      <c r="AA561" s="48" t="s">
        <v>21</v>
      </c>
      <c r="AB561" s="48" t="s">
        <v>27</v>
      </c>
      <c r="AC561" s="48"/>
      <c r="AD561" s="89" t="s">
        <v>845</v>
      </c>
    </row>
    <row r="562" spans="1:30" ht="15.75" hidden="1" x14ac:dyDescent="0.25">
      <c r="A562" s="48" t="s">
        <v>1860</v>
      </c>
      <c r="B562" s="74">
        <v>45911</v>
      </c>
      <c r="C562" s="48" t="s">
        <v>1537</v>
      </c>
      <c r="D562" s="48" t="s">
        <v>20</v>
      </c>
      <c r="E562" s="48" t="s">
        <v>1787</v>
      </c>
      <c r="F562" s="48" t="s">
        <v>70</v>
      </c>
      <c r="G562" s="48" t="s">
        <v>24</v>
      </c>
      <c r="H562" s="48" t="s">
        <v>483</v>
      </c>
      <c r="I562" s="48" t="s">
        <v>26</v>
      </c>
      <c r="J562" s="48">
        <v>1020096</v>
      </c>
      <c r="K562" s="50">
        <v>450000</v>
      </c>
      <c r="L562" s="50">
        <v>1</v>
      </c>
      <c r="M562" s="50">
        <v>450000</v>
      </c>
      <c r="N562" s="50">
        <v>450000</v>
      </c>
      <c r="O562" s="50">
        <v>0</v>
      </c>
      <c r="P562" s="50">
        <v>0</v>
      </c>
      <c r="Q562" s="87">
        <v>0</v>
      </c>
      <c r="R562" s="152">
        <v>0</v>
      </c>
      <c r="S562" s="174"/>
      <c r="T562" s="74">
        <v>46053</v>
      </c>
      <c r="U562" s="74">
        <v>46053</v>
      </c>
      <c r="V562" s="48"/>
      <c r="W562" s="48"/>
      <c r="X562" s="48"/>
      <c r="Y562" s="48">
        <v>0</v>
      </c>
      <c r="Z562" s="48"/>
      <c r="AA562" s="48" t="s">
        <v>62</v>
      </c>
      <c r="AB562" s="48" t="s">
        <v>70</v>
      </c>
      <c r="AC562" s="48" t="s">
        <v>621</v>
      </c>
      <c r="AD562" s="89" t="s">
        <v>845</v>
      </c>
    </row>
    <row r="563" spans="1:30" ht="15.75" hidden="1" x14ac:dyDescent="0.25">
      <c r="A563" s="48" t="s">
        <v>536</v>
      </c>
      <c r="B563" s="74">
        <v>45635</v>
      </c>
      <c r="C563" s="48" t="s">
        <v>534</v>
      </c>
      <c r="D563" s="48" t="s">
        <v>20</v>
      </c>
      <c r="E563" s="48" t="s">
        <v>535</v>
      </c>
      <c r="F563" s="48" t="s">
        <v>22</v>
      </c>
      <c r="G563" s="48" t="s">
        <v>1791</v>
      </c>
      <c r="H563" s="48" t="s">
        <v>22</v>
      </c>
      <c r="I563" s="48" t="s">
        <v>31</v>
      </c>
      <c r="J563" s="48">
        <v>1020055</v>
      </c>
      <c r="K563" s="50">
        <v>373015</v>
      </c>
      <c r="L563" s="50">
        <v>4.7089499999999997</v>
      </c>
      <c r="M563" s="50">
        <v>1756508.98425</v>
      </c>
      <c r="N563" s="50">
        <v>1269454.6215999997</v>
      </c>
      <c r="O563" s="50">
        <v>487054.36</v>
      </c>
      <c r="P563" s="50">
        <v>0</v>
      </c>
      <c r="Q563" s="87">
        <v>487054.36</v>
      </c>
      <c r="R563" s="152">
        <v>0</v>
      </c>
      <c r="S563" s="174"/>
      <c r="T563" s="74">
        <v>45768</v>
      </c>
      <c r="U563" s="74">
        <v>45747</v>
      </c>
      <c r="V563" s="48"/>
      <c r="W563" s="48"/>
      <c r="X563" s="48"/>
      <c r="Y563" s="48">
        <v>0</v>
      </c>
      <c r="Z563" s="48"/>
      <c r="AA563" s="48" t="s">
        <v>21</v>
      </c>
      <c r="AB563" s="48" t="s">
        <v>27</v>
      </c>
      <c r="AC563" s="48" t="s">
        <v>32</v>
      </c>
      <c r="AD563" s="89" t="s">
        <v>845</v>
      </c>
    </row>
    <row r="564" spans="1:30" ht="15.75" hidden="1" x14ac:dyDescent="0.25">
      <c r="A564" s="48" t="s">
        <v>533</v>
      </c>
      <c r="B564" s="74">
        <v>45635</v>
      </c>
      <c r="C564" s="48" t="s">
        <v>534</v>
      </c>
      <c r="D564" s="48" t="s">
        <v>20</v>
      </c>
      <c r="E564" s="48" t="s">
        <v>535</v>
      </c>
      <c r="F564" s="48" t="s">
        <v>22</v>
      </c>
      <c r="G564" s="48" t="s">
        <v>1791</v>
      </c>
      <c r="H564" s="48" t="s">
        <v>22</v>
      </c>
      <c r="I564" s="48" t="s">
        <v>31</v>
      </c>
      <c r="J564" s="48">
        <v>1020055</v>
      </c>
      <c r="K564" s="50">
        <v>131292</v>
      </c>
      <c r="L564" s="50">
        <v>4.7089499999999997</v>
      </c>
      <c r="M564" s="50">
        <v>618247.46340000001</v>
      </c>
      <c r="N564" s="50">
        <v>444354.00079999998</v>
      </c>
      <c r="O564" s="50">
        <v>173893.46</v>
      </c>
      <c r="P564" s="50">
        <v>0</v>
      </c>
      <c r="Q564" s="87">
        <v>173893.46</v>
      </c>
      <c r="R564" s="152">
        <v>0</v>
      </c>
      <c r="S564" s="174"/>
      <c r="T564" s="74">
        <v>45768</v>
      </c>
      <c r="U564" s="74">
        <v>45747</v>
      </c>
      <c r="V564" s="48"/>
      <c r="W564" s="48"/>
      <c r="X564" s="48"/>
      <c r="Y564" s="48">
        <v>0</v>
      </c>
      <c r="Z564" s="48"/>
      <c r="AA564" s="48" t="s">
        <v>21</v>
      </c>
      <c r="AB564" s="48" t="s">
        <v>27</v>
      </c>
      <c r="AC564" s="48" t="s">
        <v>32</v>
      </c>
      <c r="AD564" s="89" t="s">
        <v>845</v>
      </c>
    </row>
    <row r="565" spans="1:30" ht="15.75" hidden="1" x14ac:dyDescent="0.25">
      <c r="A565" s="48" t="s">
        <v>1368</v>
      </c>
      <c r="B565" s="74">
        <v>45796</v>
      </c>
      <c r="C565" s="48" t="s">
        <v>831</v>
      </c>
      <c r="D565" s="48" t="s">
        <v>20</v>
      </c>
      <c r="E565" s="48" t="s">
        <v>535</v>
      </c>
      <c r="F565" s="48" t="s">
        <v>22</v>
      </c>
      <c r="G565" s="48" t="s">
        <v>1791</v>
      </c>
      <c r="H565" s="48" t="s">
        <v>22</v>
      </c>
      <c r="I565" s="48" t="s">
        <v>31</v>
      </c>
      <c r="J565" s="48">
        <v>1020055</v>
      </c>
      <c r="K565" s="50">
        <v>1198730.71</v>
      </c>
      <c r="L565" s="50">
        <v>4.7089499999999997</v>
      </c>
      <c r="M565" s="50">
        <v>5644762.9768544994</v>
      </c>
      <c r="N565" s="50">
        <v>0</v>
      </c>
      <c r="O565" s="50">
        <v>5644762.9800000004</v>
      </c>
      <c r="P565" s="50">
        <v>0</v>
      </c>
      <c r="Q565" s="87">
        <v>5644762.9800000004</v>
      </c>
      <c r="R565" s="152">
        <v>0</v>
      </c>
      <c r="S565" s="174"/>
      <c r="T565" s="74">
        <v>46012</v>
      </c>
      <c r="U565" s="74">
        <v>45869</v>
      </c>
      <c r="V565" s="48"/>
      <c r="W565" s="48"/>
      <c r="X565" s="48"/>
      <c r="Y565" s="48">
        <v>0</v>
      </c>
      <c r="Z565" s="48" t="s">
        <v>2617</v>
      </c>
      <c r="AA565" s="48" t="s">
        <v>21</v>
      </c>
      <c r="AB565" s="48" t="s">
        <v>27</v>
      </c>
      <c r="AC565" s="48" t="s">
        <v>1369</v>
      </c>
      <c r="AD565" s="89" t="s">
        <v>845</v>
      </c>
    </row>
    <row r="566" spans="1:30" ht="15.75" hidden="1" x14ac:dyDescent="0.25">
      <c r="A566" s="48" t="s">
        <v>3228</v>
      </c>
      <c r="B566" s="74">
        <v>46016</v>
      </c>
      <c r="C566" s="48" t="s">
        <v>831</v>
      </c>
      <c r="D566" s="48" t="s">
        <v>20</v>
      </c>
      <c r="E566" s="48" t="s">
        <v>535</v>
      </c>
      <c r="F566" s="48" t="s">
        <v>22</v>
      </c>
      <c r="G566" s="48" t="s">
        <v>80</v>
      </c>
      <c r="H566" s="48" t="s">
        <v>22</v>
      </c>
      <c r="I566" s="48" t="s">
        <v>31</v>
      </c>
      <c r="J566" s="48">
        <v>1020055</v>
      </c>
      <c r="K566" s="50">
        <v>1534181.67</v>
      </c>
      <c r="L566" s="50">
        <v>4.6399999999999997</v>
      </c>
      <c r="M566" s="50">
        <v>7118602.9487999994</v>
      </c>
      <c r="N566" s="50">
        <v>363328.54672888498</v>
      </c>
      <c r="O566" s="50">
        <v>6755274.4000000004</v>
      </c>
      <c r="P566" s="50">
        <v>0</v>
      </c>
      <c r="Q566" s="87">
        <v>6755274.4000000004</v>
      </c>
      <c r="R566" s="152">
        <v>0</v>
      </c>
      <c r="S566" s="174"/>
      <c r="T566" s="74">
        <v>46295</v>
      </c>
      <c r="U566" s="74">
        <v>46295</v>
      </c>
      <c r="V566" s="48"/>
      <c r="W566" s="48"/>
      <c r="X566" s="48"/>
      <c r="Y566" s="48">
        <v>0</v>
      </c>
      <c r="Z566" s="48"/>
      <c r="AA566" s="48" t="s">
        <v>21</v>
      </c>
      <c r="AB566" s="48" t="s">
        <v>27</v>
      </c>
      <c r="AC566" s="48" t="s">
        <v>311</v>
      </c>
      <c r="AD566" s="89" t="s">
        <v>1026</v>
      </c>
    </row>
    <row r="567" spans="1:30" ht="15.75" hidden="1" x14ac:dyDescent="0.25">
      <c r="A567" s="48" t="s">
        <v>2919</v>
      </c>
      <c r="B567" s="74">
        <v>45995</v>
      </c>
      <c r="C567" s="48" t="s">
        <v>831</v>
      </c>
      <c r="D567" s="48" t="s">
        <v>20</v>
      </c>
      <c r="E567" s="48" t="s">
        <v>535</v>
      </c>
      <c r="F567" s="48" t="s">
        <v>22</v>
      </c>
      <c r="G567" s="48" t="s">
        <v>80</v>
      </c>
      <c r="H567" s="48" t="s">
        <v>22</v>
      </c>
      <c r="I567" s="48" t="s">
        <v>31</v>
      </c>
      <c r="J567" s="48">
        <v>1020055</v>
      </c>
      <c r="K567" s="50">
        <v>72830.59</v>
      </c>
      <c r="L567" s="50">
        <v>4.6399999999999997</v>
      </c>
      <c r="M567" s="50">
        <v>337933.93759999995</v>
      </c>
      <c r="N567" s="50">
        <v>0</v>
      </c>
      <c r="O567" s="50">
        <v>337933.94</v>
      </c>
      <c r="P567" s="50">
        <v>0</v>
      </c>
      <c r="Q567" s="87">
        <v>337933.94</v>
      </c>
      <c r="R567" s="152">
        <v>0</v>
      </c>
      <c r="S567" s="174"/>
      <c r="T567" s="74">
        <v>46295</v>
      </c>
      <c r="U567" s="74">
        <v>46295</v>
      </c>
      <c r="V567" s="48"/>
      <c r="W567" s="48"/>
      <c r="X567" s="48"/>
      <c r="Y567" s="48">
        <v>0</v>
      </c>
      <c r="Z567" s="48"/>
      <c r="AA567" s="48" t="s">
        <v>21</v>
      </c>
      <c r="AB567" s="48" t="s">
        <v>27</v>
      </c>
      <c r="AC567" s="48" t="s">
        <v>705</v>
      </c>
      <c r="AD567" s="89" t="s">
        <v>1026</v>
      </c>
    </row>
    <row r="568" spans="1:30" ht="15.75" hidden="1" x14ac:dyDescent="0.25">
      <c r="A568" s="48" t="s">
        <v>4137</v>
      </c>
      <c r="B568" s="74">
        <v>46078</v>
      </c>
      <c r="C568" s="48" t="s">
        <v>831</v>
      </c>
      <c r="D568" s="48" t="s">
        <v>20</v>
      </c>
      <c r="E568" s="48" t="s">
        <v>535</v>
      </c>
      <c r="F568" s="48" t="s">
        <v>22</v>
      </c>
      <c r="G568" s="48" t="s">
        <v>80</v>
      </c>
      <c r="H568" s="48" t="s">
        <v>22</v>
      </c>
      <c r="I568" s="48" t="s">
        <v>31</v>
      </c>
      <c r="J568" s="48">
        <v>1020055</v>
      </c>
      <c r="K568" s="50">
        <v>1198730.71</v>
      </c>
      <c r="L568" s="50">
        <v>5.19</v>
      </c>
      <c r="M568" s="50">
        <v>6221412.3848999999</v>
      </c>
      <c r="N568" s="50">
        <v>6101179.6946869995</v>
      </c>
      <c r="O568" s="50">
        <v>120232.69</v>
      </c>
      <c r="P568" s="50">
        <v>0</v>
      </c>
      <c r="Q568" s="87">
        <v>120232.69</v>
      </c>
      <c r="R568" s="152">
        <v>0</v>
      </c>
      <c r="S568" s="174"/>
      <c r="T568" s="74">
        <v>46142</v>
      </c>
      <c r="U568" s="74">
        <v>46142</v>
      </c>
      <c r="V568" s="48"/>
      <c r="W568" s="48"/>
      <c r="X568" s="48"/>
      <c r="Y568" s="48">
        <v>0</v>
      </c>
      <c r="Z568" s="48"/>
      <c r="AA568" s="48" t="s">
        <v>21</v>
      </c>
      <c r="AB568" s="48" t="s">
        <v>27</v>
      </c>
      <c r="AC568" s="48" t="s">
        <v>311</v>
      </c>
      <c r="AD568" s="89" t="s">
        <v>845</v>
      </c>
    </row>
    <row r="569" spans="1:30" ht="15.75" hidden="1" x14ac:dyDescent="0.25">
      <c r="A569" s="48" t="s">
        <v>253</v>
      </c>
      <c r="B569" s="74">
        <v>45125</v>
      </c>
      <c r="C569" s="48" t="s">
        <v>1184</v>
      </c>
      <c r="D569" s="48" t="s">
        <v>20</v>
      </c>
      <c r="E569" s="48" t="s">
        <v>30</v>
      </c>
      <c r="F569" s="48" t="s">
        <v>22</v>
      </c>
      <c r="G569" s="48" t="s">
        <v>1791</v>
      </c>
      <c r="H569" s="48" t="s">
        <v>22</v>
      </c>
      <c r="I569" s="48" t="s">
        <v>31</v>
      </c>
      <c r="J569" s="48">
        <v>1020055</v>
      </c>
      <c r="K569" s="50">
        <v>3834246</v>
      </c>
      <c r="L569" s="50">
        <v>4.7802300000000004</v>
      </c>
      <c r="M569" s="50">
        <v>18328577.756580003</v>
      </c>
      <c r="N569" s="50">
        <v>17056987.438388038</v>
      </c>
      <c r="O569" s="50">
        <v>1271590.32</v>
      </c>
      <c r="P569" s="50">
        <v>0</v>
      </c>
      <c r="Q569" s="87">
        <v>1271590.32</v>
      </c>
      <c r="R569" s="152">
        <v>0</v>
      </c>
      <c r="S569" s="174"/>
      <c r="T569" s="74">
        <v>45551</v>
      </c>
      <c r="U569" s="74">
        <v>45551</v>
      </c>
      <c r="V569" s="48"/>
      <c r="W569" s="48"/>
      <c r="X569" s="48"/>
      <c r="Y569" s="48">
        <v>0</v>
      </c>
      <c r="Z569" s="48"/>
      <c r="AA569" s="48" t="s">
        <v>21</v>
      </c>
      <c r="AB569" s="48" t="s">
        <v>27</v>
      </c>
      <c r="AC569" s="48" t="s">
        <v>32</v>
      </c>
      <c r="AD569" s="89" t="s">
        <v>845</v>
      </c>
    </row>
    <row r="570" spans="1:30" ht="15.75" hidden="1" x14ac:dyDescent="0.25">
      <c r="A570" s="48" t="s">
        <v>29</v>
      </c>
      <c r="B570" s="74">
        <v>45125</v>
      </c>
      <c r="C570" s="48" t="s">
        <v>1184</v>
      </c>
      <c r="D570" s="48" t="s">
        <v>20</v>
      </c>
      <c r="E570" s="48" t="s">
        <v>30</v>
      </c>
      <c r="F570" s="48" t="s">
        <v>22</v>
      </c>
      <c r="G570" s="48" t="s">
        <v>1791</v>
      </c>
      <c r="H570" s="48" t="s">
        <v>22</v>
      </c>
      <c r="I570" s="48" t="s">
        <v>31</v>
      </c>
      <c r="J570" s="48">
        <v>1020055</v>
      </c>
      <c r="K570" s="50">
        <v>5028295</v>
      </c>
      <c r="L570" s="50">
        <v>4.7553999999999998</v>
      </c>
      <c r="M570" s="50">
        <v>23911554.042999998</v>
      </c>
      <c r="N570" s="50">
        <v>23099166.36806</v>
      </c>
      <c r="O570" s="50">
        <v>812387.67</v>
      </c>
      <c r="P570" s="50">
        <v>0</v>
      </c>
      <c r="Q570" s="87">
        <v>812387.67</v>
      </c>
      <c r="R570" s="152">
        <v>0</v>
      </c>
      <c r="S570" s="174"/>
      <c r="T570" s="74">
        <v>45473</v>
      </c>
      <c r="U570" s="74">
        <v>45473</v>
      </c>
      <c r="V570" s="48"/>
      <c r="W570" s="48"/>
      <c r="X570" s="48"/>
      <c r="Y570" s="48">
        <v>0</v>
      </c>
      <c r="Z570" s="48"/>
      <c r="AA570" s="48" t="s">
        <v>21</v>
      </c>
      <c r="AB570" s="48" t="s">
        <v>27</v>
      </c>
      <c r="AC570" s="48" t="s">
        <v>32</v>
      </c>
      <c r="AD570" s="89" t="s">
        <v>845</v>
      </c>
    </row>
    <row r="571" spans="1:30" ht="15.75" hidden="1" x14ac:dyDescent="0.25">
      <c r="A571" s="48" t="s">
        <v>491</v>
      </c>
      <c r="B571" s="74">
        <v>45610</v>
      </c>
      <c r="C571" s="48" t="s">
        <v>509</v>
      </c>
      <c r="D571" s="48" t="s">
        <v>20</v>
      </c>
      <c r="E571" s="48" t="s">
        <v>492</v>
      </c>
      <c r="F571" s="48" t="s">
        <v>22</v>
      </c>
      <c r="G571" s="48" t="s">
        <v>72</v>
      </c>
      <c r="H571" s="48" t="s">
        <v>487</v>
      </c>
      <c r="I571" s="48" t="s">
        <v>26</v>
      </c>
      <c r="J571" s="48">
        <v>1020060</v>
      </c>
      <c r="K571" s="50">
        <v>807357.5</v>
      </c>
      <c r="L571" s="50">
        <v>1</v>
      </c>
      <c r="M571" s="50">
        <v>807357.5</v>
      </c>
      <c r="N571" s="50">
        <v>0</v>
      </c>
      <c r="O571" s="50">
        <v>807357.5</v>
      </c>
      <c r="P571" s="50">
        <v>0</v>
      </c>
      <c r="Q571" s="87">
        <v>807357.5</v>
      </c>
      <c r="R571" s="152">
        <v>0</v>
      </c>
      <c r="S571" s="174"/>
      <c r="T571" s="74">
        <v>45688</v>
      </c>
      <c r="U571" s="74">
        <v>45661</v>
      </c>
      <c r="V571" s="48"/>
      <c r="W571" s="48"/>
      <c r="X571" s="48"/>
      <c r="Y571" s="48">
        <v>0</v>
      </c>
      <c r="Z571" s="48"/>
      <c r="AA571" s="48" t="s">
        <v>21</v>
      </c>
      <c r="AB571" s="48" t="s">
        <v>27</v>
      </c>
      <c r="AC571" s="48" t="s">
        <v>305</v>
      </c>
      <c r="AD571" s="89" t="s">
        <v>845</v>
      </c>
    </row>
    <row r="572" spans="1:30" ht="15.75" hidden="1" x14ac:dyDescent="0.25">
      <c r="A572" s="48" t="s">
        <v>171</v>
      </c>
      <c r="B572" s="74">
        <v>45245</v>
      </c>
      <c r="C572" s="48" t="s">
        <v>441</v>
      </c>
      <c r="D572" s="48" t="s">
        <v>20</v>
      </c>
      <c r="E572" s="48" t="s">
        <v>172</v>
      </c>
      <c r="F572" s="48" t="s">
        <v>22</v>
      </c>
      <c r="G572" s="48" t="s">
        <v>24</v>
      </c>
      <c r="H572" s="48" t="s">
        <v>22</v>
      </c>
      <c r="I572" s="48" t="s">
        <v>26</v>
      </c>
      <c r="J572" s="48">
        <v>1020055</v>
      </c>
      <c r="K572" s="50">
        <v>405408.51</v>
      </c>
      <c r="L572" s="50">
        <v>1</v>
      </c>
      <c r="M572" s="50">
        <v>405408.51</v>
      </c>
      <c r="N572" s="50">
        <v>0</v>
      </c>
      <c r="O572" s="50">
        <v>405408.51</v>
      </c>
      <c r="P572" s="50">
        <v>0</v>
      </c>
      <c r="Q572" s="87">
        <v>405408.51</v>
      </c>
      <c r="R572" s="152">
        <v>0</v>
      </c>
      <c r="S572" s="174"/>
      <c r="T572" s="74">
        <v>45350</v>
      </c>
      <c r="U572" s="74">
        <v>45350</v>
      </c>
      <c r="V572" s="48"/>
      <c r="W572" s="48"/>
      <c r="X572" s="48"/>
      <c r="Y572" s="48">
        <v>0</v>
      </c>
      <c r="Z572" s="48"/>
      <c r="AA572" s="48" t="s">
        <v>21</v>
      </c>
      <c r="AB572" s="48" t="s">
        <v>27</v>
      </c>
      <c r="AC572" s="48"/>
      <c r="AD572" s="89" t="s">
        <v>845</v>
      </c>
    </row>
    <row r="573" spans="1:30" ht="15.75" hidden="1" x14ac:dyDescent="0.25">
      <c r="A573" s="48" t="s">
        <v>1673</v>
      </c>
      <c r="B573" s="74">
        <v>45872</v>
      </c>
      <c r="C573" s="48" t="s">
        <v>1119</v>
      </c>
      <c r="D573" s="48" t="s">
        <v>20</v>
      </c>
      <c r="E573" s="48" t="s">
        <v>1628</v>
      </c>
      <c r="F573" s="48" t="s">
        <v>367</v>
      </c>
      <c r="G573" s="48" t="s">
        <v>24</v>
      </c>
      <c r="H573" s="48" t="s">
        <v>367</v>
      </c>
      <c r="I573" s="48" t="s">
        <v>26</v>
      </c>
      <c r="J573" s="48">
        <v>1020091</v>
      </c>
      <c r="K573" s="50">
        <v>850000</v>
      </c>
      <c r="L573" s="50">
        <v>1</v>
      </c>
      <c r="M573" s="50">
        <v>850000</v>
      </c>
      <c r="N573" s="50">
        <v>850000</v>
      </c>
      <c r="O573" s="50">
        <v>0</v>
      </c>
      <c r="P573" s="50">
        <v>0</v>
      </c>
      <c r="Q573" s="87">
        <v>0</v>
      </c>
      <c r="R573" s="152">
        <v>0</v>
      </c>
      <c r="S573" s="174"/>
      <c r="T573" s="74">
        <v>46022</v>
      </c>
      <c r="U573" s="74">
        <v>46022</v>
      </c>
      <c r="V573" s="48"/>
      <c r="W573" s="48"/>
      <c r="X573" s="48"/>
      <c r="Y573" s="48">
        <v>0</v>
      </c>
      <c r="Z573" s="48"/>
      <c r="AA573" s="48" t="s">
        <v>366</v>
      </c>
      <c r="AB573" s="48" t="s">
        <v>27</v>
      </c>
      <c r="AC573" s="48" t="s">
        <v>1629</v>
      </c>
      <c r="AD573" s="89" t="s">
        <v>845</v>
      </c>
    </row>
    <row r="574" spans="1:30" ht="15.75" hidden="1" x14ac:dyDescent="0.25">
      <c r="A574" s="48" t="s">
        <v>5445</v>
      </c>
      <c r="B574" s="74">
        <v>46177</v>
      </c>
      <c r="C574" s="48" t="s">
        <v>441</v>
      </c>
      <c r="D574" s="48" t="s">
        <v>20</v>
      </c>
      <c r="E574" s="48" t="s">
        <v>5319</v>
      </c>
      <c r="F574" s="48" t="s">
        <v>710</v>
      </c>
      <c r="G574" s="48" t="s">
        <v>24</v>
      </c>
      <c r="H574" s="48" t="s">
        <v>710</v>
      </c>
      <c r="I574" s="48" t="s">
        <v>26</v>
      </c>
      <c r="J574" s="48">
        <v>1020088</v>
      </c>
      <c r="K574" s="50">
        <v>300000</v>
      </c>
      <c r="L574" s="50">
        <v>1</v>
      </c>
      <c r="M574" s="50">
        <v>300000</v>
      </c>
      <c r="N574" s="50">
        <v>0</v>
      </c>
      <c r="O574" s="50">
        <v>300000</v>
      </c>
      <c r="P574" s="50">
        <v>0</v>
      </c>
      <c r="Q574" s="87">
        <v>300000</v>
      </c>
      <c r="R574" s="152">
        <v>0</v>
      </c>
      <c r="S574" s="174"/>
      <c r="T574" s="74">
        <v>46265</v>
      </c>
      <c r="U574" s="74">
        <v>46265</v>
      </c>
      <c r="V574" s="48"/>
      <c r="W574" s="48"/>
      <c r="X574" s="48"/>
      <c r="Y574" s="48">
        <v>0</v>
      </c>
      <c r="Z574" s="48"/>
      <c r="AA574" s="48" t="s">
        <v>366</v>
      </c>
      <c r="AB574" s="48" t="s">
        <v>27</v>
      </c>
      <c r="AC574" s="48" t="s">
        <v>5175</v>
      </c>
      <c r="AD574" s="89" t="s">
        <v>1026</v>
      </c>
    </row>
    <row r="575" spans="1:30" ht="15.75" hidden="1" x14ac:dyDescent="0.25">
      <c r="A575" s="48" t="s">
        <v>84</v>
      </c>
      <c r="B575" s="74">
        <v>45330</v>
      </c>
      <c r="C575" s="48" t="s">
        <v>509</v>
      </c>
      <c r="D575" s="48" t="s">
        <v>20</v>
      </c>
      <c r="E575" s="48" t="s">
        <v>85</v>
      </c>
      <c r="F575" s="48" t="s">
        <v>63</v>
      </c>
      <c r="G575" s="48" t="s">
        <v>72</v>
      </c>
      <c r="H575" s="48" t="s">
        <v>304</v>
      </c>
      <c r="I575" s="48" t="s">
        <v>26</v>
      </c>
      <c r="J575" s="48">
        <v>1020098</v>
      </c>
      <c r="K575" s="50">
        <v>2685480</v>
      </c>
      <c r="L575" s="50">
        <v>1</v>
      </c>
      <c r="M575" s="50">
        <v>2685480</v>
      </c>
      <c r="N575" s="50">
        <v>2685480</v>
      </c>
      <c r="O575" s="50">
        <v>0</v>
      </c>
      <c r="P575" s="50">
        <v>0</v>
      </c>
      <c r="Q575" s="87">
        <v>0</v>
      </c>
      <c r="R575" s="152">
        <v>0</v>
      </c>
      <c r="S575" s="174"/>
      <c r="T575" s="74">
        <v>45524</v>
      </c>
      <c r="U575" s="74">
        <v>45524</v>
      </c>
      <c r="V575" s="48"/>
      <c r="W575" s="48"/>
      <c r="X575" s="48"/>
      <c r="Y575" s="48">
        <v>0</v>
      </c>
      <c r="Z575" s="48"/>
      <c r="AA575" s="48" t="s">
        <v>62</v>
      </c>
      <c r="AB575" s="48" t="s">
        <v>27</v>
      </c>
      <c r="AC575" s="48"/>
      <c r="AD575" s="89" t="s">
        <v>845</v>
      </c>
    </row>
    <row r="576" spans="1:30" ht="15.75" hidden="1" x14ac:dyDescent="0.25">
      <c r="A576" s="48" t="s">
        <v>87</v>
      </c>
      <c r="B576" s="74">
        <v>45330</v>
      </c>
      <c r="C576" s="48" t="s">
        <v>509</v>
      </c>
      <c r="D576" s="48" t="s">
        <v>20</v>
      </c>
      <c r="E576" s="48" t="s">
        <v>85</v>
      </c>
      <c r="F576" s="48" t="s">
        <v>63</v>
      </c>
      <c r="G576" s="48" t="s">
        <v>72</v>
      </c>
      <c r="H576" s="48" t="s">
        <v>304</v>
      </c>
      <c r="I576" s="48" t="s">
        <v>26</v>
      </c>
      <c r="J576" s="48">
        <v>1020098</v>
      </c>
      <c r="K576" s="50">
        <v>18785537.5</v>
      </c>
      <c r="L576" s="50">
        <v>1</v>
      </c>
      <c r="M576" s="50">
        <v>18785537.5</v>
      </c>
      <c r="N576" s="50">
        <v>18785537.5</v>
      </c>
      <c r="O576" s="50">
        <v>0</v>
      </c>
      <c r="P576" s="50">
        <v>0</v>
      </c>
      <c r="Q576" s="87">
        <v>0</v>
      </c>
      <c r="R576" s="152">
        <v>0</v>
      </c>
      <c r="S576" s="174"/>
      <c r="T576" s="74">
        <v>45443</v>
      </c>
      <c r="U576" s="74">
        <v>45443</v>
      </c>
      <c r="V576" s="48"/>
      <c r="W576" s="48"/>
      <c r="X576" s="48"/>
      <c r="Y576" s="48">
        <v>0</v>
      </c>
      <c r="Z576" s="48"/>
      <c r="AA576" s="48" t="s">
        <v>62</v>
      </c>
      <c r="AB576" s="48" t="s">
        <v>27</v>
      </c>
      <c r="AC576" s="48"/>
      <c r="AD576" s="89" t="s">
        <v>845</v>
      </c>
    </row>
    <row r="577" spans="1:30" ht="15.75" hidden="1" x14ac:dyDescent="0.25">
      <c r="A577" s="48" t="s">
        <v>1519</v>
      </c>
      <c r="B577" s="74">
        <v>45834</v>
      </c>
      <c r="C577" s="48" t="s">
        <v>441</v>
      </c>
      <c r="D577" s="48" t="s">
        <v>20</v>
      </c>
      <c r="E577" s="48" t="s">
        <v>1465</v>
      </c>
      <c r="F577" s="48" t="s">
        <v>22</v>
      </c>
      <c r="G577" s="48" t="s">
        <v>24</v>
      </c>
      <c r="H577" s="48" t="s">
        <v>407</v>
      </c>
      <c r="I577" s="48" t="s">
        <v>26</v>
      </c>
      <c r="J577" s="48">
        <v>1020100</v>
      </c>
      <c r="K577" s="50">
        <v>93771</v>
      </c>
      <c r="L577" s="50">
        <v>1</v>
      </c>
      <c r="M577" s="50">
        <v>93771</v>
      </c>
      <c r="N577" s="50">
        <v>93771</v>
      </c>
      <c r="O577" s="50">
        <v>0</v>
      </c>
      <c r="P577" s="50">
        <v>0</v>
      </c>
      <c r="Q577" s="87">
        <v>0</v>
      </c>
      <c r="R577" s="152">
        <v>0</v>
      </c>
      <c r="S577" s="174"/>
      <c r="T577" s="74">
        <v>46022</v>
      </c>
      <c r="U577" s="74">
        <v>46022</v>
      </c>
      <c r="V577" s="48"/>
      <c r="W577" s="48"/>
      <c r="X577" s="48"/>
      <c r="Y577" s="48">
        <v>0</v>
      </c>
      <c r="Z577" s="48" t="s">
        <v>2397</v>
      </c>
      <c r="AA577" s="48" t="s">
        <v>21</v>
      </c>
      <c r="AB577" s="48" t="s">
        <v>27</v>
      </c>
      <c r="AC577" s="48" t="s">
        <v>621</v>
      </c>
      <c r="AD577" s="89" t="s">
        <v>845</v>
      </c>
    </row>
    <row r="578" spans="1:30" ht="15.75" hidden="1" x14ac:dyDescent="0.25">
      <c r="A578" s="48" t="s">
        <v>1616</v>
      </c>
      <c r="B578" s="74">
        <v>45865</v>
      </c>
      <c r="C578" s="48" t="s">
        <v>441</v>
      </c>
      <c r="D578" s="48" t="s">
        <v>20</v>
      </c>
      <c r="E578" s="48" t="s">
        <v>1567</v>
      </c>
      <c r="F578" s="48" t="s">
        <v>96</v>
      </c>
      <c r="G578" s="48" t="s">
        <v>24</v>
      </c>
      <c r="H578" s="48" t="s">
        <v>407</v>
      </c>
      <c r="I578" s="48" t="s">
        <v>26</v>
      </c>
      <c r="J578" s="48">
        <v>1020100</v>
      </c>
      <c r="K578" s="50">
        <v>150000</v>
      </c>
      <c r="L578" s="50">
        <v>1</v>
      </c>
      <c r="M578" s="50">
        <v>150000</v>
      </c>
      <c r="N578" s="50">
        <v>150000</v>
      </c>
      <c r="O578" s="50">
        <v>0</v>
      </c>
      <c r="P578" s="50">
        <v>0</v>
      </c>
      <c r="Q578" s="87">
        <v>0</v>
      </c>
      <c r="R578" s="152">
        <v>0</v>
      </c>
      <c r="S578" s="174"/>
      <c r="T578" s="74">
        <v>45961</v>
      </c>
      <c r="U578" s="74">
        <v>45961</v>
      </c>
      <c r="V578" s="48"/>
      <c r="W578" s="48"/>
      <c r="X578" s="48"/>
      <c r="Y578" s="48">
        <v>0</v>
      </c>
      <c r="Z578" s="48"/>
      <c r="AA578" s="48" t="s">
        <v>95</v>
      </c>
      <c r="AB578" s="48" t="s">
        <v>27</v>
      </c>
      <c r="AC578" s="48" t="s">
        <v>621</v>
      </c>
      <c r="AD578" s="89" t="s">
        <v>845</v>
      </c>
    </row>
    <row r="579" spans="1:30" ht="15.75" hidden="1" x14ac:dyDescent="0.25">
      <c r="A579" s="48" t="s">
        <v>3145</v>
      </c>
      <c r="B579" s="74">
        <v>46009</v>
      </c>
      <c r="C579" s="48" t="s">
        <v>2928</v>
      </c>
      <c r="D579" s="48" t="s">
        <v>20</v>
      </c>
      <c r="E579" s="48" t="s">
        <v>2926</v>
      </c>
      <c r="F579" s="48" t="s">
        <v>22</v>
      </c>
      <c r="G579" s="48" t="s">
        <v>3287</v>
      </c>
      <c r="H579" s="48" t="s">
        <v>22</v>
      </c>
      <c r="I579" s="48" t="s">
        <v>26</v>
      </c>
      <c r="J579" s="48">
        <v>1020055</v>
      </c>
      <c r="K579" s="50">
        <v>1249991.3500000001</v>
      </c>
      <c r="L579" s="50">
        <v>1</v>
      </c>
      <c r="M579" s="50">
        <v>1249991.3500000001</v>
      </c>
      <c r="N579" s="50">
        <v>1249991.3500000001</v>
      </c>
      <c r="O579" s="50">
        <v>0</v>
      </c>
      <c r="P579" s="50">
        <v>0</v>
      </c>
      <c r="Q579" s="87">
        <v>0</v>
      </c>
      <c r="R579" s="152">
        <v>0</v>
      </c>
      <c r="S579" s="174"/>
      <c r="T579" s="74">
        <v>46081</v>
      </c>
      <c r="U579" s="74">
        <v>46081</v>
      </c>
      <c r="V579" s="48"/>
      <c r="W579" s="48"/>
      <c r="X579" s="48"/>
      <c r="Y579" s="48">
        <v>0</v>
      </c>
      <c r="Z579" s="48"/>
      <c r="AA579" s="48" t="s">
        <v>21</v>
      </c>
      <c r="AB579" s="48" t="s">
        <v>27</v>
      </c>
      <c r="AC579" s="48" t="s">
        <v>311</v>
      </c>
      <c r="AD579" s="89" t="s">
        <v>845</v>
      </c>
    </row>
    <row r="580" spans="1:30" ht="15.75" hidden="1" x14ac:dyDescent="0.25">
      <c r="A580" s="48" t="s">
        <v>759</v>
      </c>
      <c r="B580" s="74">
        <v>45734</v>
      </c>
      <c r="C580" s="48" t="s">
        <v>509</v>
      </c>
      <c r="D580" s="48" t="s">
        <v>20</v>
      </c>
      <c r="E580" s="48" t="s">
        <v>760</v>
      </c>
      <c r="F580" s="48" t="s">
        <v>22</v>
      </c>
      <c r="G580" s="48" t="s">
        <v>24</v>
      </c>
      <c r="H580" s="48" t="s">
        <v>407</v>
      </c>
      <c r="I580" s="48" t="s">
        <v>26</v>
      </c>
      <c r="J580" s="48">
        <v>1020100</v>
      </c>
      <c r="K580" s="50">
        <v>700000</v>
      </c>
      <c r="L580" s="50">
        <v>1</v>
      </c>
      <c r="M580" s="50">
        <v>700000</v>
      </c>
      <c r="N580" s="50">
        <v>700000</v>
      </c>
      <c r="O580" s="50">
        <v>0</v>
      </c>
      <c r="P580" s="50">
        <v>0</v>
      </c>
      <c r="Q580" s="87">
        <v>0</v>
      </c>
      <c r="R580" s="152">
        <v>0</v>
      </c>
      <c r="S580" s="174"/>
      <c r="T580" s="74">
        <v>45838</v>
      </c>
      <c r="U580" s="74">
        <v>45838</v>
      </c>
      <c r="V580" s="48"/>
      <c r="W580" s="48"/>
      <c r="X580" s="48"/>
      <c r="Y580" s="48">
        <v>0</v>
      </c>
      <c r="Z580" s="48"/>
      <c r="AA580" s="48" t="s">
        <v>21</v>
      </c>
      <c r="AB580" s="48" t="s">
        <v>27</v>
      </c>
      <c r="AC580" s="48" t="s">
        <v>311</v>
      </c>
      <c r="AD580" s="89" t="s">
        <v>845</v>
      </c>
    </row>
    <row r="581" spans="1:30" ht="15.75" hidden="1" x14ac:dyDescent="0.25">
      <c r="A581" s="48" t="s">
        <v>1295</v>
      </c>
      <c r="B581" s="74">
        <v>45785</v>
      </c>
      <c r="C581" s="48" t="s">
        <v>441</v>
      </c>
      <c r="D581" s="48" t="s">
        <v>20</v>
      </c>
      <c r="E581" s="48" t="s">
        <v>760</v>
      </c>
      <c r="F581" s="48" t="s">
        <v>70</v>
      </c>
      <c r="G581" s="48" t="s">
        <v>24</v>
      </c>
      <c r="H581" s="48" t="s">
        <v>407</v>
      </c>
      <c r="I581" s="48" t="s">
        <v>26</v>
      </c>
      <c r="J581" s="48">
        <v>1020100</v>
      </c>
      <c r="K581" s="50">
        <v>250000</v>
      </c>
      <c r="L581" s="50">
        <v>1</v>
      </c>
      <c r="M581" s="50">
        <v>250000</v>
      </c>
      <c r="N581" s="50">
        <v>250000</v>
      </c>
      <c r="O581" s="50">
        <v>0</v>
      </c>
      <c r="P581" s="50">
        <v>0</v>
      </c>
      <c r="Q581" s="87">
        <v>0</v>
      </c>
      <c r="R581" s="152">
        <v>0</v>
      </c>
      <c r="S581" s="174"/>
      <c r="T581" s="74">
        <v>45869</v>
      </c>
      <c r="U581" s="74">
        <v>45869</v>
      </c>
      <c r="V581" s="48"/>
      <c r="W581" s="48"/>
      <c r="X581" s="48"/>
      <c r="Y581" s="48">
        <v>0</v>
      </c>
      <c r="Z581" s="48"/>
      <c r="AA581" s="48" t="s">
        <v>373</v>
      </c>
      <c r="AB581" s="48" t="s">
        <v>70</v>
      </c>
      <c r="AC581" s="48" t="s">
        <v>621</v>
      </c>
      <c r="AD581" s="89" t="s">
        <v>845</v>
      </c>
    </row>
    <row r="582" spans="1:30" ht="15.75" hidden="1" x14ac:dyDescent="0.25">
      <c r="A582" s="48" t="s">
        <v>1500</v>
      </c>
      <c r="B582" s="74">
        <v>45831</v>
      </c>
      <c r="C582" s="48" t="s">
        <v>441</v>
      </c>
      <c r="D582" s="48" t="s">
        <v>20</v>
      </c>
      <c r="E582" s="48" t="s">
        <v>760</v>
      </c>
      <c r="F582" s="48" t="s">
        <v>22</v>
      </c>
      <c r="G582" s="48" t="s">
        <v>24</v>
      </c>
      <c r="H582" s="48" t="s">
        <v>407</v>
      </c>
      <c r="I582" s="48" t="s">
        <v>26</v>
      </c>
      <c r="J582" s="48">
        <v>1020100</v>
      </c>
      <c r="K582" s="50">
        <v>342207.75</v>
      </c>
      <c r="L582" s="50">
        <v>1</v>
      </c>
      <c r="M582" s="50">
        <v>342207.75</v>
      </c>
      <c r="N582" s="50">
        <v>340841.26</v>
      </c>
      <c r="O582" s="50">
        <v>1366.49</v>
      </c>
      <c r="P582" s="50">
        <v>0</v>
      </c>
      <c r="Q582" s="87">
        <v>1366.49</v>
      </c>
      <c r="R582" s="152">
        <v>0</v>
      </c>
      <c r="S582" s="174"/>
      <c r="T582" s="74">
        <v>45900</v>
      </c>
      <c r="U582" s="74">
        <v>45900</v>
      </c>
      <c r="V582" s="48"/>
      <c r="W582" s="48"/>
      <c r="X582" s="48"/>
      <c r="Y582" s="48">
        <v>0</v>
      </c>
      <c r="Z582" s="48"/>
      <c r="AA582" s="48" t="s">
        <v>21</v>
      </c>
      <c r="AB582" s="48" t="s">
        <v>27</v>
      </c>
      <c r="AC582" s="48" t="s">
        <v>621</v>
      </c>
      <c r="AD582" s="89" t="s">
        <v>845</v>
      </c>
    </row>
    <row r="583" spans="1:30" ht="15.75" hidden="1" x14ac:dyDescent="0.25">
      <c r="A583" s="48" t="s">
        <v>3322</v>
      </c>
      <c r="B583" s="74">
        <v>46023</v>
      </c>
      <c r="C583" s="48" t="s">
        <v>1537</v>
      </c>
      <c r="D583" s="48" t="s">
        <v>20</v>
      </c>
      <c r="E583" s="48" t="s">
        <v>3230</v>
      </c>
      <c r="F583" s="48" t="s">
        <v>483</v>
      </c>
      <c r="G583" s="48" t="s">
        <v>24</v>
      </c>
      <c r="H583" s="48" t="s">
        <v>483</v>
      </c>
      <c r="I583" s="48" t="s">
        <v>26</v>
      </c>
      <c r="J583" s="48">
        <v>1020096</v>
      </c>
      <c r="K583" s="50">
        <v>550000</v>
      </c>
      <c r="L583" s="50">
        <v>1</v>
      </c>
      <c r="M583" s="50">
        <v>550000</v>
      </c>
      <c r="N583" s="50">
        <v>550000</v>
      </c>
      <c r="O583" s="50">
        <v>0</v>
      </c>
      <c r="P583" s="50">
        <v>0</v>
      </c>
      <c r="Q583" s="87">
        <v>0</v>
      </c>
      <c r="R583" s="152">
        <v>0</v>
      </c>
      <c r="S583" s="174"/>
      <c r="T583" s="74">
        <v>46142</v>
      </c>
      <c r="U583" s="74">
        <v>46142</v>
      </c>
      <c r="V583" s="48"/>
      <c r="W583" s="48"/>
      <c r="X583" s="48"/>
      <c r="Y583" s="48">
        <v>0</v>
      </c>
      <c r="Z583" s="48"/>
      <c r="AA583" s="48" t="s">
        <v>62</v>
      </c>
      <c r="AB583" s="48" t="s">
        <v>27</v>
      </c>
      <c r="AC583" s="48" t="s">
        <v>3229</v>
      </c>
      <c r="AD583" s="89" t="s">
        <v>845</v>
      </c>
    </row>
    <row r="584" spans="1:30" ht="15.75" hidden="1" x14ac:dyDescent="0.25">
      <c r="A584" s="48" t="s">
        <v>3954</v>
      </c>
      <c r="B584" s="74">
        <v>46057</v>
      </c>
      <c r="C584" s="48" t="s">
        <v>1537</v>
      </c>
      <c r="D584" s="48" t="s">
        <v>20</v>
      </c>
      <c r="E584" s="48" t="s">
        <v>3857</v>
      </c>
      <c r="F584" s="48" t="s">
        <v>483</v>
      </c>
      <c r="G584" s="48" t="s">
        <v>24</v>
      </c>
      <c r="H584" s="48" t="s">
        <v>483</v>
      </c>
      <c r="I584" s="48" t="s">
        <v>26</v>
      </c>
      <c r="J584" s="48">
        <v>1020096</v>
      </c>
      <c r="K584" s="50">
        <v>500000</v>
      </c>
      <c r="L584" s="50">
        <v>1</v>
      </c>
      <c r="M584" s="50">
        <v>500000</v>
      </c>
      <c r="N584" s="50">
        <v>500000</v>
      </c>
      <c r="O584" s="50">
        <v>0</v>
      </c>
      <c r="P584" s="50">
        <v>0</v>
      </c>
      <c r="Q584" s="87">
        <v>0</v>
      </c>
      <c r="R584" s="152">
        <v>0</v>
      </c>
      <c r="S584" s="174"/>
      <c r="T584" s="74">
        <v>46142</v>
      </c>
      <c r="U584" s="74">
        <v>46142</v>
      </c>
      <c r="V584" s="48"/>
      <c r="W584" s="48"/>
      <c r="X584" s="48"/>
      <c r="Y584" s="48">
        <v>0</v>
      </c>
      <c r="Z584" s="48"/>
      <c r="AA584" s="48" t="s">
        <v>62</v>
      </c>
      <c r="AB584" s="48" t="s">
        <v>27</v>
      </c>
      <c r="AC584" s="48" t="s">
        <v>3229</v>
      </c>
      <c r="AD584" s="89" t="s">
        <v>845</v>
      </c>
    </row>
    <row r="585" spans="1:30" ht="15.75" hidden="1" x14ac:dyDescent="0.25">
      <c r="A585" s="48" t="s">
        <v>5251</v>
      </c>
      <c r="B585" s="74">
        <v>46149</v>
      </c>
      <c r="C585" s="48" t="s">
        <v>1259</v>
      </c>
      <c r="D585" s="48" t="s">
        <v>20</v>
      </c>
      <c r="E585" s="48" t="s">
        <v>5180</v>
      </c>
      <c r="F585" s="48" t="s">
        <v>96</v>
      </c>
      <c r="G585" s="48" t="s">
        <v>72</v>
      </c>
      <c r="H585" s="48" t="s">
        <v>328</v>
      </c>
      <c r="I585" s="48" t="s">
        <v>26</v>
      </c>
      <c r="J585" s="48">
        <v>1020097</v>
      </c>
      <c r="K585" s="50">
        <v>2896770</v>
      </c>
      <c r="L585" s="50">
        <v>1</v>
      </c>
      <c r="M585" s="50">
        <v>2896770</v>
      </c>
      <c r="N585" s="50">
        <v>0</v>
      </c>
      <c r="O585" s="50">
        <v>2896770</v>
      </c>
      <c r="P585" s="50">
        <v>386858.95</v>
      </c>
      <c r="Q585" s="87">
        <v>2509911.0499999998</v>
      </c>
      <c r="R585" s="152">
        <v>0</v>
      </c>
      <c r="S585" s="174" t="s">
        <v>5686</v>
      </c>
      <c r="T585" s="74">
        <v>46265</v>
      </c>
      <c r="U585" s="74">
        <v>46265</v>
      </c>
      <c r="V585" s="48"/>
      <c r="W585" s="48"/>
      <c r="X585" s="48"/>
      <c r="Y585" s="48">
        <v>0</v>
      </c>
      <c r="Z585" s="48"/>
      <c r="AA585" s="48" t="s">
        <v>95</v>
      </c>
      <c r="AB585" s="48" t="s">
        <v>27</v>
      </c>
      <c r="AC585" s="48" t="s">
        <v>311</v>
      </c>
      <c r="AD585" s="89" t="s">
        <v>1026</v>
      </c>
    </row>
    <row r="586" spans="1:30" ht="15.75" hidden="1" x14ac:dyDescent="0.25">
      <c r="A586" s="48" t="s">
        <v>1353</v>
      </c>
      <c r="B586" s="74">
        <v>45792</v>
      </c>
      <c r="C586" s="48" t="s">
        <v>441</v>
      </c>
      <c r="D586" s="48" t="s">
        <v>20</v>
      </c>
      <c r="E586" s="48" t="s">
        <v>1323</v>
      </c>
      <c r="F586" s="48" t="s">
        <v>22</v>
      </c>
      <c r="G586" s="48" t="s">
        <v>24</v>
      </c>
      <c r="H586" s="48" t="s">
        <v>22</v>
      </c>
      <c r="I586" s="48" t="s">
        <v>26</v>
      </c>
      <c r="J586" s="48">
        <v>1020055</v>
      </c>
      <c r="K586" s="50">
        <v>283912</v>
      </c>
      <c r="L586" s="50">
        <v>1</v>
      </c>
      <c r="M586" s="50">
        <v>283912</v>
      </c>
      <c r="N586" s="50">
        <v>283912</v>
      </c>
      <c r="O586" s="50">
        <v>0</v>
      </c>
      <c r="P586" s="50">
        <v>0</v>
      </c>
      <c r="Q586" s="87">
        <v>0</v>
      </c>
      <c r="R586" s="152">
        <v>0</v>
      </c>
      <c r="S586" s="174"/>
      <c r="T586" s="74">
        <v>45961</v>
      </c>
      <c r="U586" s="74">
        <v>45961</v>
      </c>
      <c r="V586" s="48"/>
      <c r="W586" s="48"/>
      <c r="X586" s="48"/>
      <c r="Y586" s="48">
        <v>0</v>
      </c>
      <c r="Z586" s="48" t="s">
        <v>1846</v>
      </c>
      <c r="AA586" s="48" t="s">
        <v>21</v>
      </c>
      <c r="AB586" s="48" t="s">
        <v>27</v>
      </c>
      <c r="AC586" s="48" t="s">
        <v>621</v>
      </c>
      <c r="AD586" s="89" t="s">
        <v>845</v>
      </c>
    </row>
    <row r="587" spans="1:30" ht="15.75" hidden="1" x14ac:dyDescent="0.25">
      <c r="A587" s="48" t="s">
        <v>822</v>
      </c>
      <c r="B587" s="74">
        <v>45739</v>
      </c>
      <c r="C587" s="48" t="s">
        <v>441</v>
      </c>
      <c r="D587" s="48" t="s">
        <v>20</v>
      </c>
      <c r="E587" s="48" t="s">
        <v>823</v>
      </c>
      <c r="F587" s="48" t="s">
        <v>22</v>
      </c>
      <c r="G587" s="48" t="s">
        <v>24</v>
      </c>
      <c r="H587" s="48" t="s">
        <v>22</v>
      </c>
      <c r="I587" s="48" t="s">
        <v>26</v>
      </c>
      <c r="J587" s="48">
        <v>1020055</v>
      </c>
      <c r="K587" s="50">
        <v>400000</v>
      </c>
      <c r="L587" s="50">
        <v>1</v>
      </c>
      <c r="M587" s="50">
        <v>400000</v>
      </c>
      <c r="N587" s="50">
        <v>400000</v>
      </c>
      <c r="O587" s="50">
        <v>0</v>
      </c>
      <c r="P587" s="50">
        <v>0</v>
      </c>
      <c r="Q587" s="87">
        <v>0</v>
      </c>
      <c r="R587" s="152">
        <v>0</v>
      </c>
      <c r="S587" s="174"/>
      <c r="T587" s="74">
        <v>45838</v>
      </c>
      <c r="U587" s="74">
        <v>45838</v>
      </c>
      <c r="V587" s="48"/>
      <c r="W587" s="48"/>
      <c r="X587" s="48"/>
      <c r="Y587" s="48">
        <v>0</v>
      </c>
      <c r="Z587" s="48"/>
      <c r="AA587" s="48" t="s">
        <v>21</v>
      </c>
      <c r="AB587" s="48" t="s">
        <v>27</v>
      </c>
      <c r="AC587" s="48" t="s">
        <v>311</v>
      </c>
      <c r="AD587" s="89" t="s">
        <v>845</v>
      </c>
    </row>
    <row r="588" spans="1:30" ht="15.75" hidden="1" x14ac:dyDescent="0.25">
      <c r="A588" s="48" t="s">
        <v>567</v>
      </c>
      <c r="B588" s="74">
        <v>45641</v>
      </c>
      <c r="C588" s="48" t="s">
        <v>441</v>
      </c>
      <c r="D588" s="48" t="s">
        <v>20</v>
      </c>
      <c r="E588" s="48" t="s">
        <v>447</v>
      </c>
      <c r="F588" s="48" t="s">
        <v>483</v>
      </c>
      <c r="G588" s="48" t="s">
        <v>24</v>
      </c>
      <c r="H588" s="48" t="s">
        <v>22</v>
      </c>
      <c r="I588" s="48" t="s">
        <v>26</v>
      </c>
      <c r="J588" s="48">
        <v>1020055</v>
      </c>
      <c r="K588" s="50">
        <v>400000</v>
      </c>
      <c r="L588" s="50">
        <v>1</v>
      </c>
      <c r="M588" s="50">
        <v>400000</v>
      </c>
      <c r="N588" s="50">
        <v>400000</v>
      </c>
      <c r="O588" s="50">
        <v>0</v>
      </c>
      <c r="P588" s="50">
        <v>0</v>
      </c>
      <c r="Q588" s="87">
        <v>0</v>
      </c>
      <c r="R588" s="152">
        <v>0</v>
      </c>
      <c r="S588" s="174"/>
      <c r="T588" s="74">
        <v>45747</v>
      </c>
      <c r="U588" s="74">
        <v>45747</v>
      </c>
      <c r="V588" s="48"/>
      <c r="W588" s="48"/>
      <c r="X588" s="48"/>
      <c r="Y588" s="48">
        <v>0</v>
      </c>
      <c r="Z588" s="48"/>
      <c r="AA588" s="48" t="s">
        <v>373</v>
      </c>
      <c r="AB588" s="48" t="s">
        <v>27</v>
      </c>
      <c r="AC588" s="48" t="s">
        <v>311</v>
      </c>
      <c r="AD588" s="89" t="s">
        <v>845</v>
      </c>
    </row>
    <row r="589" spans="1:30" ht="15.75" hidden="1" x14ac:dyDescent="0.25">
      <c r="A589" s="48" t="s">
        <v>446</v>
      </c>
      <c r="B589" s="74">
        <v>45615</v>
      </c>
      <c r="C589" s="48" t="s">
        <v>441</v>
      </c>
      <c r="D589" s="48" t="s">
        <v>20</v>
      </c>
      <c r="E589" s="48" t="s">
        <v>447</v>
      </c>
      <c r="F589" s="48" t="s">
        <v>96</v>
      </c>
      <c r="G589" s="48" t="s">
        <v>24</v>
      </c>
      <c r="H589" s="48" t="s">
        <v>22</v>
      </c>
      <c r="I589" s="48" t="s">
        <v>26</v>
      </c>
      <c r="J589" s="48">
        <v>1020055</v>
      </c>
      <c r="K589" s="50">
        <v>499521.42</v>
      </c>
      <c r="L589" s="50">
        <v>1</v>
      </c>
      <c r="M589" s="50">
        <v>499521.42</v>
      </c>
      <c r="N589" s="50">
        <v>499521.42</v>
      </c>
      <c r="O589" s="50">
        <v>0</v>
      </c>
      <c r="P589" s="50">
        <v>0</v>
      </c>
      <c r="Q589" s="87">
        <v>0</v>
      </c>
      <c r="R589" s="152">
        <v>0</v>
      </c>
      <c r="S589" s="174"/>
      <c r="T589" s="74">
        <v>45777</v>
      </c>
      <c r="U589" s="74">
        <v>45751</v>
      </c>
      <c r="V589" s="48"/>
      <c r="W589" s="48"/>
      <c r="X589" s="48"/>
      <c r="Y589" s="48">
        <v>0</v>
      </c>
      <c r="Z589" s="48"/>
      <c r="AA589" s="48" t="s">
        <v>95</v>
      </c>
      <c r="AB589" s="48" t="s">
        <v>27</v>
      </c>
      <c r="AC589" s="48" t="s">
        <v>311</v>
      </c>
      <c r="AD589" s="89" t="s">
        <v>845</v>
      </c>
    </row>
    <row r="590" spans="1:30" ht="15.75" hidden="1" x14ac:dyDescent="0.25">
      <c r="A590" s="48" t="s">
        <v>273</v>
      </c>
      <c r="B590" s="74">
        <v>45435</v>
      </c>
      <c r="C590" s="48" t="s">
        <v>441</v>
      </c>
      <c r="D590" s="48" t="s">
        <v>20</v>
      </c>
      <c r="E590" s="48" t="s">
        <v>274</v>
      </c>
      <c r="F590" s="48" t="s">
        <v>22</v>
      </c>
      <c r="G590" s="48" t="s">
        <v>24</v>
      </c>
      <c r="H590" s="48" t="s">
        <v>22</v>
      </c>
      <c r="I590" s="48" t="s">
        <v>26</v>
      </c>
      <c r="J590" s="48">
        <v>1020055</v>
      </c>
      <c r="K590" s="50">
        <v>755381.98</v>
      </c>
      <c r="L590" s="50">
        <v>1</v>
      </c>
      <c r="M590" s="50">
        <v>755381.98</v>
      </c>
      <c r="N590" s="50">
        <v>755381.98</v>
      </c>
      <c r="O590" s="50">
        <v>0</v>
      </c>
      <c r="P590" s="50">
        <v>0</v>
      </c>
      <c r="Q590" s="87">
        <v>0</v>
      </c>
      <c r="R590" s="152">
        <v>0</v>
      </c>
      <c r="S590" s="174"/>
      <c r="T590" s="74">
        <v>45565</v>
      </c>
      <c r="U590" s="74">
        <v>45565</v>
      </c>
      <c r="V590" s="48"/>
      <c r="W590" s="48"/>
      <c r="X590" s="48"/>
      <c r="Y590" s="48">
        <v>0</v>
      </c>
      <c r="Z590" s="48"/>
      <c r="AA590" s="48" t="s">
        <v>21</v>
      </c>
      <c r="AB590" s="48" t="s">
        <v>27</v>
      </c>
      <c r="AC590" s="48"/>
      <c r="AD590" s="89" t="s">
        <v>845</v>
      </c>
    </row>
    <row r="591" spans="1:30" ht="15.75" hidden="1" x14ac:dyDescent="0.25">
      <c r="A591" s="48" t="s">
        <v>345</v>
      </c>
      <c r="B591" s="74">
        <v>45533</v>
      </c>
      <c r="C591" s="48" t="s">
        <v>441</v>
      </c>
      <c r="D591" s="48" t="s">
        <v>20</v>
      </c>
      <c r="E591" s="48" t="s">
        <v>346</v>
      </c>
      <c r="F591" s="48" t="s">
        <v>96</v>
      </c>
      <c r="G591" s="48" t="s">
        <v>24</v>
      </c>
      <c r="H591" s="48" t="s">
        <v>22</v>
      </c>
      <c r="I591" s="48" t="s">
        <v>26</v>
      </c>
      <c r="J591" s="48">
        <v>1020055</v>
      </c>
      <c r="K591" s="50">
        <v>700000</v>
      </c>
      <c r="L591" s="50">
        <v>1</v>
      </c>
      <c r="M591" s="50">
        <v>700000</v>
      </c>
      <c r="N591" s="50">
        <v>700000</v>
      </c>
      <c r="O591" s="50">
        <v>0</v>
      </c>
      <c r="P591" s="50">
        <v>0</v>
      </c>
      <c r="Q591" s="87">
        <v>0</v>
      </c>
      <c r="R591" s="152">
        <v>0</v>
      </c>
      <c r="S591" s="174"/>
      <c r="T591" s="74">
        <v>45626</v>
      </c>
      <c r="U591" s="74">
        <v>45626</v>
      </c>
      <c r="V591" s="48"/>
      <c r="W591" s="48"/>
      <c r="X591" s="48"/>
      <c r="Y591" s="48">
        <v>0</v>
      </c>
      <c r="Z591" s="48"/>
      <c r="AA591" s="48" t="s">
        <v>95</v>
      </c>
      <c r="AB591" s="48" t="s">
        <v>27</v>
      </c>
      <c r="AC591" s="48" t="s">
        <v>311</v>
      </c>
      <c r="AD591" s="89" t="s">
        <v>845</v>
      </c>
    </row>
    <row r="592" spans="1:30" ht="15.75" hidden="1" x14ac:dyDescent="0.25">
      <c r="A592" s="48" t="s">
        <v>684</v>
      </c>
      <c r="B592" s="74">
        <v>45684</v>
      </c>
      <c r="C592" s="48" t="s">
        <v>509</v>
      </c>
      <c r="D592" s="48" t="s">
        <v>20</v>
      </c>
      <c r="E592" s="48" t="s">
        <v>685</v>
      </c>
      <c r="F592" s="48" t="s">
        <v>96</v>
      </c>
      <c r="G592" s="48" t="s">
        <v>24</v>
      </c>
      <c r="H592" s="48" t="s">
        <v>407</v>
      </c>
      <c r="I592" s="48" t="s">
        <v>26</v>
      </c>
      <c r="J592" s="48">
        <v>1020100</v>
      </c>
      <c r="K592" s="50">
        <v>400000</v>
      </c>
      <c r="L592" s="50">
        <v>1</v>
      </c>
      <c r="M592" s="50">
        <v>400000</v>
      </c>
      <c r="N592" s="50">
        <v>400000</v>
      </c>
      <c r="O592" s="50">
        <v>0</v>
      </c>
      <c r="P592" s="50">
        <v>0</v>
      </c>
      <c r="Q592" s="87">
        <v>0</v>
      </c>
      <c r="R592" s="152">
        <v>0</v>
      </c>
      <c r="S592" s="174"/>
      <c r="T592" s="74">
        <v>45777</v>
      </c>
      <c r="U592" s="74">
        <v>45777</v>
      </c>
      <c r="V592" s="48"/>
      <c r="W592" s="48"/>
      <c r="X592" s="48"/>
      <c r="Y592" s="48">
        <v>0</v>
      </c>
      <c r="Z592" s="48"/>
      <c r="AA592" s="48" t="s">
        <v>95</v>
      </c>
      <c r="AB592" s="48" t="s">
        <v>27</v>
      </c>
      <c r="AC592" s="48" t="s">
        <v>311</v>
      </c>
      <c r="AD592" s="89" t="s">
        <v>845</v>
      </c>
    </row>
    <row r="593" spans="1:30" ht="15.75" hidden="1" x14ac:dyDescent="0.25">
      <c r="A593" s="48" t="s">
        <v>1733</v>
      </c>
      <c r="B593" s="74">
        <v>45882</v>
      </c>
      <c r="C593" s="48" t="s">
        <v>1119</v>
      </c>
      <c r="D593" s="48" t="s">
        <v>20</v>
      </c>
      <c r="E593" s="48" t="s">
        <v>1695</v>
      </c>
      <c r="F593" s="48" t="s">
        <v>367</v>
      </c>
      <c r="G593" s="48" t="s">
        <v>24</v>
      </c>
      <c r="H593" s="48" t="s">
        <v>367</v>
      </c>
      <c r="I593" s="48" t="s">
        <v>26</v>
      </c>
      <c r="J593" s="48">
        <v>1020091</v>
      </c>
      <c r="K593" s="50">
        <v>600000</v>
      </c>
      <c r="L593" s="50">
        <v>1</v>
      </c>
      <c r="M593" s="50">
        <v>600000</v>
      </c>
      <c r="N593" s="50">
        <v>600000</v>
      </c>
      <c r="O593" s="50">
        <v>0</v>
      </c>
      <c r="P593" s="50">
        <v>0</v>
      </c>
      <c r="Q593" s="87">
        <v>0</v>
      </c>
      <c r="R593" s="152">
        <v>0</v>
      </c>
      <c r="S593" s="174"/>
      <c r="T593" s="74">
        <v>45991</v>
      </c>
      <c r="U593" s="74">
        <v>45991</v>
      </c>
      <c r="V593" s="48"/>
      <c r="W593" s="48"/>
      <c r="X593" s="48"/>
      <c r="Y593" s="48">
        <v>0</v>
      </c>
      <c r="Z593" s="48"/>
      <c r="AA593" s="48" t="s">
        <v>366</v>
      </c>
      <c r="AB593" s="48" t="s">
        <v>27</v>
      </c>
      <c r="AC593" s="48" t="s">
        <v>1683</v>
      </c>
      <c r="AD593" s="89" t="s">
        <v>845</v>
      </c>
    </row>
    <row r="594" spans="1:30" ht="15.75" hidden="1" x14ac:dyDescent="0.25">
      <c r="A594" s="48" t="s">
        <v>1423</v>
      </c>
      <c r="B594" s="74">
        <v>45809</v>
      </c>
      <c r="C594" s="48" t="s">
        <v>441</v>
      </c>
      <c r="D594" s="48" t="s">
        <v>20</v>
      </c>
      <c r="E594" s="48" t="s">
        <v>1327</v>
      </c>
      <c r="F594" s="48" t="s">
        <v>96</v>
      </c>
      <c r="G594" s="48" t="s">
        <v>24</v>
      </c>
      <c r="H594" s="48" t="s">
        <v>22</v>
      </c>
      <c r="I594" s="48" t="s">
        <v>26</v>
      </c>
      <c r="J594" s="48">
        <v>1020055</v>
      </c>
      <c r="K594" s="50">
        <v>547153.36</v>
      </c>
      <c r="L594" s="50">
        <v>1</v>
      </c>
      <c r="M594" s="50">
        <v>547153.36</v>
      </c>
      <c r="N594" s="50">
        <v>547153.37</v>
      </c>
      <c r="O594" s="50">
        <v>-0.01</v>
      </c>
      <c r="P594" s="50">
        <v>0</v>
      </c>
      <c r="Q594" s="87">
        <v>-0.01</v>
      </c>
      <c r="R594" s="152">
        <v>0</v>
      </c>
      <c r="S594" s="174"/>
      <c r="T594" s="74">
        <v>45961</v>
      </c>
      <c r="U594" s="74">
        <v>45961</v>
      </c>
      <c r="V594" s="48"/>
      <c r="W594" s="48"/>
      <c r="X594" s="48"/>
      <c r="Y594" s="48">
        <v>0</v>
      </c>
      <c r="Z594" s="48"/>
      <c r="AA594" s="48" t="s">
        <v>95</v>
      </c>
      <c r="AB594" s="48" t="s">
        <v>27</v>
      </c>
      <c r="AC594" s="48" t="s">
        <v>621</v>
      </c>
      <c r="AD594" s="89" t="s">
        <v>845</v>
      </c>
    </row>
    <row r="595" spans="1:30" ht="15.75" hidden="1" x14ac:dyDescent="0.25">
      <c r="A595" s="48" t="s">
        <v>5433</v>
      </c>
      <c r="B595" s="74">
        <v>46177</v>
      </c>
      <c r="C595" s="48" t="s">
        <v>441</v>
      </c>
      <c r="D595" s="48" t="s">
        <v>20</v>
      </c>
      <c r="E595" s="48" t="s">
        <v>5329</v>
      </c>
      <c r="F595" s="48" t="s">
        <v>710</v>
      </c>
      <c r="G595" s="48" t="s">
        <v>24</v>
      </c>
      <c r="H595" s="48" t="s">
        <v>710</v>
      </c>
      <c r="I595" s="48" t="s">
        <v>26</v>
      </c>
      <c r="J595" s="48">
        <v>1020088</v>
      </c>
      <c r="K595" s="50">
        <v>200000</v>
      </c>
      <c r="L595" s="50">
        <v>1</v>
      </c>
      <c r="M595" s="50">
        <v>200000</v>
      </c>
      <c r="N595" s="50">
        <v>0</v>
      </c>
      <c r="O595" s="50">
        <v>200000</v>
      </c>
      <c r="P595" s="50">
        <v>0</v>
      </c>
      <c r="Q595" s="87">
        <v>200000</v>
      </c>
      <c r="R595" s="152">
        <v>0</v>
      </c>
      <c r="S595" s="174"/>
      <c r="T595" s="74">
        <v>46265</v>
      </c>
      <c r="U595" s="74">
        <v>46265</v>
      </c>
      <c r="V595" s="48"/>
      <c r="W595" s="48"/>
      <c r="X595" s="48"/>
      <c r="Y595" s="48">
        <v>0</v>
      </c>
      <c r="Z595" s="48"/>
      <c r="AA595" s="48" t="s">
        <v>366</v>
      </c>
      <c r="AB595" s="48" t="s">
        <v>27</v>
      </c>
      <c r="AC595" s="48" t="s">
        <v>5175</v>
      </c>
      <c r="AD595" s="89" t="s">
        <v>1026</v>
      </c>
    </row>
    <row r="596" spans="1:30" ht="15.75" hidden="1" x14ac:dyDescent="0.25">
      <c r="A596" s="48" t="s">
        <v>645</v>
      </c>
      <c r="B596" s="74">
        <v>45680</v>
      </c>
      <c r="C596" s="48" t="s">
        <v>441</v>
      </c>
      <c r="D596" s="48" t="s">
        <v>20</v>
      </c>
      <c r="E596" s="48" t="s">
        <v>646</v>
      </c>
      <c r="F596" s="48" t="s">
        <v>22</v>
      </c>
      <c r="G596" s="48" t="s">
        <v>24</v>
      </c>
      <c r="H596" s="48" t="s">
        <v>22</v>
      </c>
      <c r="I596" s="48" t="s">
        <v>26</v>
      </c>
      <c r="J596" s="48">
        <v>1020055</v>
      </c>
      <c r="K596" s="50">
        <v>413369.1</v>
      </c>
      <c r="L596" s="50">
        <v>1</v>
      </c>
      <c r="M596" s="50">
        <v>413369.1</v>
      </c>
      <c r="N596" s="50">
        <v>413369.1</v>
      </c>
      <c r="O596" s="50">
        <v>0</v>
      </c>
      <c r="P596" s="50">
        <v>0</v>
      </c>
      <c r="Q596" s="87">
        <v>0</v>
      </c>
      <c r="R596" s="152">
        <v>0</v>
      </c>
      <c r="S596" s="174"/>
      <c r="T596" s="74">
        <v>45777</v>
      </c>
      <c r="U596" s="74">
        <v>45777</v>
      </c>
      <c r="V596" s="48"/>
      <c r="W596" s="48"/>
      <c r="X596" s="48"/>
      <c r="Y596" s="48">
        <v>0</v>
      </c>
      <c r="Z596" s="48"/>
      <c r="AA596" s="48" t="s">
        <v>21</v>
      </c>
      <c r="AB596" s="48" t="s">
        <v>27</v>
      </c>
      <c r="AC596" s="48" t="s">
        <v>311</v>
      </c>
      <c r="AD596" s="89" t="s">
        <v>845</v>
      </c>
    </row>
    <row r="597" spans="1:30" ht="15.75" hidden="1" x14ac:dyDescent="0.25">
      <c r="A597" s="48" t="s">
        <v>3900</v>
      </c>
      <c r="B597" s="74">
        <v>46050</v>
      </c>
      <c r="C597" s="48" t="s">
        <v>441</v>
      </c>
      <c r="D597" s="48" t="s">
        <v>20</v>
      </c>
      <c r="E597" s="48" t="s">
        <v>3291</v>
      </c>
      <c r="F597" s="48" t="s">
        <v>710</v>
      </c>
      <c r="G597" s="48" t="s">
        <v>24</v>
      </c>
      <c r="H597" s="48" t="s">
        <v>710</v>
      </c>
      <c r="I597" s="48" t="s">
        <v>26</v>
      </c>
      <c r="J597" s="48">
        <v>1020088</v>
      </c>
      <c r="K597" s="50">
        <v>500000</v>
      </c>
      <c r="L597" s="50">
        <v>1</v>
      </c>
      <c r="M597" s="50">
        <v>500000</v>
      </c>
      <c r="N597" s="50">
        <v>500000</v>
      </c>
      <c r="O597" s="50">
        <v>0</v>
      </c>
      <c r="P597" s="50">
        <v>0</v>
      </c>
      <c r="Q597" s="87">
        <v>0</v>
      </c>
      <c r="R597" s="152">
        <v>0</v>
      </c>
      <c r="S597" s="174"/>
      <c r="T597" s="74">
        <v>46142</v>
      </c>
      <c r="U597" s="74">
        <v>46142</v>
      </c>
      <c r="V597" s="48"/>
      <c r="W597" s="48"/>
      <c r="X597" s="48"/>
      <c r="Y597" s="48">
        <v>0</v>
      </c>
      <c r="Z597" s="48"/>
      <c r="AA597" s="48" t="s">
        <v>366</v>
      </c>
      <c r="AB597" s="48" t="s">
        <v>27</v>
      </c>
      <c r="AC597" s="48" t="s">
        <v>1904</v>
      </c>
      <c r="AD597" s="89" t="s">
        <v>845</v>
      </c>
    </row>
    <row r="598" spans="1:30" ht="15.75" hidden="1" x14ac:dyDescent="0.25">
      <c r="A598" s="48" t="s">
        <v>1437</v>
      </c>
      <c r="B598" s="74">
        <v>45810</v>
      </c>
      <c r="C598" s="48" t="s">
        <v>441</v>
      </c>
      <c r="D598" s="48" t="s">
        <v>20</v>
      </c>
      <c r="E598" s="48" t="s">
        <v>1379</v>
      </c>
      <c r="F598" s="48" t="s">
        <v>710</v>
      </c>
      <c r="G598" s="48" t="s">
        <v>24</v>
      </c>
      <c r="H598" s="48" t="s">
        <v>710</v>
      </c>
      <c r="I598" s="48" t="s">
        <v>26</v>
      </c>
      <c r="J598" s="48">
        <v>1020088</v>
      </c>
      <c r="K598" s="50">
        <v>400000</v>
      </c>
      <c r="L598" s="50">
        <v>1</v>
      </c>
      <c r="M598" s="50">
        <v>400000</v>
      </c>
      <c r="N598" s="50">
        <v>400000</v>
      </c>
      <c r="O598" s="50">
        <v>0</v>
      </c>
      <c r="P598" s="50">
        <v>0</v>
      </c>
      <c r="Q598" s="87">
        <v>0</v>
      </c>
      <c r="R598" s="152">
        <v>0</v>
      </c>
      <c r="S598" s="174"/>
      <c r="T598" s="74">
        <v>45900</v>
      </c>
      <c r="U598" s="74">
        <v>45900</v>
      </c>
      <c r="V598" s="48"/>
      <c r="W598" s="48"/>
      <c r="X598" s="48"/>
      <c r="Y598" s="48">
        <v>0</v>
      </c>
      <c r="Z598" s="48"/>
      <c r="AA598" s="48" t="s">
        <v>366</v>
      </c>
      <c r="AB598" s="48" t="s">
        <v>27</v>
      </c>
      <c r="AC598" s="48" t="s">
        <v>621</v>
      </c>
      <c r="AD598" s="89" t="s">
        <v>845</v>
      </c>
    </row>
    <row r="599" spans="1:30" ht="15.75" hidden="1" x14ac:dyDescent="0.25">
      <c r="A599" s="48" t="s">
        <v>1898</v>
      </c>
      <c r="B599" s="74">
        <v>45929</v>
      </c>
      <c r="C599" s="48" t="s">
        <v>441</v>
      </c>
      <c r="D599" s="48" t="s">
        <v>20</v>
      </c>
      <c r="E599" s="48" t="s">
        <v>1379</v>
      </c>
      <c r="F599" s="48" t="s">
        <v>710</v>
      </c>
      <c r="G599" s="48" t="s">
        <v>24</v>
      </c>
      <c r="H599" s="48" t="s">
        <v>710</v>
      </c>
      <c r="I599" s="48" t="s">
        <v>26</v>
      </c>
      <c r="J599" s="48">
        <v>1020088</v>
      </c>
      <c r="K599" s="50">
        <v>550000</v>
      </c>
      <c r="L599" s="50">
        <v>1</v>
      </c>
      <c r="M599" s="50">
        <v>550000</v>
      </c>
      <c r="N599" s="50">
        <v>550000</v>
      </c>
      <c r="O599" s="50">
        <v>0</v>
      </c>
      <c r="P599" s="50">
        <v>0</v>
      </c>
      <c r="Q599" s="87">
        <v>0</v>
      </c>
      <c r="R599" s="152">
        <v>0</v>
      </c>
      <c r="S599" s="312"/>
      <c r="T599" s="74">
        <v>46022</v>
      </c>
      <c r="U599" s="74">
        <v>46022</v>
      </c>
      <c r="V599" s="48"/>
      <c r="W599" s="48"/>
      <c r="X599" s="48"/>
      <c r="Y599" s="48">
        <v>0</v>
      </c>
      <c r="Z599" s="48"/>
      <c r="AA599" s="48" t="s">
        <v>366</v>
      </c>
      <c r="AB599" s="48" t="s">
        <v>27</v>
      </c>
      <c r="AC599" s="48" t="s">
        <v>621</v>
      </c>
      <c r="AD599" s="89" t="s">
        <v>845</v>
      </c>
    </row>
    <row r="600" spans="1:30" ht="15.75" hidden="1" x14ac:dyDescent="0.25">
      <c r="A600" s="48" t="s">
        <v>396</v>
      </c>
      <c r="B600" s="74">
        <v>45551</v>
      </c>
      <c r="C600" s="48" t="s">
        <v>441</v>
      </c>
      <c r="D600" s="48" t="s">
        <v>20</v>
      </c>
      <c r="E600" s="48" t="s">
        <v>397</v>
      </c>
      <c r="F600" s="48" t="s">
        <v>96</v>
      </c>
      <c r="G600" s="48" t="s">
        <v>24</v>
      </c>
      <c r="H600" s="48" t="s">
        <v>22</v>
      </c>
      <c r="I600" s="48" t="s">
        <v>26</v>
      </c>
      <c r="J600" s="48">
        <v>1020055</v>
      </c>
      <c r="K600" s="50">
        <v>897119.6</v>
      </c>
      <c r="L600" s="50">
        <v>1</v>
      </c>
      <c r="M600" s="50">
        <v>897119.6</v>
      </c>
      <c r="N600" s="50">
        <v>897119.6</v>
      </c>
      <c r="O600" s="50">
        <v>0</v>
      </c>
      <c r="P600" s="50">
        <v>0</v>
      </c>
      <c r="Q600" s="87">
        <v>0</v>
      </c>
      <c r="R600" s="152">
        <v>0</v>
      </c>
      <c r="S600" s="174"/>
      <c r="T600" s="74">
        <v>45626</v>
      </c>
      <c r="U600" s="74">
        <v>45600</v>
      </c>
      <c r="V600" s="48"/>
      <c r="W600" s="48"/>
      <c r="X600" s="48"/>
      <c r="Y600" s="48">
        <v>0</v>
      </c>
      <c r="Z600" s="48"/>
      <c r="AA600" s="48" t="s">
        <v>95</v>
      </c>
      <c r="AB600" s="48" t="s">
        <v>27</v>
      </c>
      <c r="AC600" s="48" t="s">
        <v>311</v>
      </c>
      <c r="AD600" s="89" t="s">
        <v>845</v>
      </c>
    </row>
    <row r="601" spans="1:30" ht="15.75" hidden="1" x14ac:dyDescent="0.25">
      <c r="A601" s="48" t="s">
        <v>220</v>
      </c>
      <c r="B601" s="74">
        <v>45147</v>
      </c>
      <c r="C601" s="48"/>
      <c r="D601" s="48" t="s">
        <v>20</v>
      </c>
      <c r="E601" s="48" t="s">
        <v>221</v>
      </c>
      <c r="F601" s="48" t="s">
        <v>22</v>
      </c>
      <c r="G601" s="48" t="s">
        <v>72</v>
      </c>
      <c r="H601" s="48" t="s">
        <v>98</v>
      </c>
      <c r="I601" s="48" t="s">
        <v>191</v>
      </c>
      <c r="J601" s="48"/>
      <c r="K601" s="50">
        <v>25282382.350000001</v>
      </c>
      <c r="L601" s="50">
        <v>1.02</v>
      </c>
      <c r="M601" s="50">
        <v>25788029.997000001</v>
      </c>
      <c r="N601" s="50">
        <v>25352828.721135631</v>
      </c>
      <c r="O601" s="50">
        <v>435201.28000000003</v>
      </c>
      <c r="P601" s="50">
        <v>0</v>
      </c>
      <c r="Q601" s="87">
        <v>435201.28000000003</v>
      </c>
      <c r="R601" s="152">
        <v>0</v>
      </c>
      <c r="S601" s="174"/>
      <c r="T601" s="74">
        <v>45322</v>
      </c>
      <c r="U601" s="74">
        <v>45322</v>
      </c>
      <c r="V601" s="48"/>
      <c r="W601" s="48"/>
      <c r="X601" s="48"/>
      <c r="Y601" s="48">
        <v>0</v>
      </c>
      <c r="Z601" s="48"/>
      <c r="AA601" s="48" t="s">
        <v>21</v>
      </c>
      <c r="AB601" s="48" t="s">
        <v>27</v>
      </c>
      <c r="AC601" s="48"/>
      <c r="AD601" s="89" t="s">
        <v>845</v>
      </c>
    </row>
    <row r="602" spans="1:30" ht="15.75" hidden="1" x14ac:dyDescent="0.25">
      <c r="A602" s="48" t="s">
        <v>409</v>
      </c>
      <c r="B602" s="74">
        <v>45554</v>
      </c>
      <c r="C602" s="48" t="s">
        <v>509</v>
      </c>
      <c r="D602" s="48" t="s">
        <v>20</v>
      </c>
      <c r="E602" s="48" t="s">
        <v>221</v>
      </c>
      <c r="F602" s="48" t="s">
        <v>96</v>
      </c>
      <c r="G602" s="48" t="s">
        <v>66</v>
      </c>
      <c r="H602" s="48" t="s">
        <v>410</v>
      </c>
      <c r="I602" s="48" t="s">
        <v>191</v>
      </c>
      <c r="J602" s="48">
        <v>1020085</v>
      </c>
      <c r="K602" s="50">
        <v>4205828.8</v>
      </c>
      <c r="L602" s="50">
        <v>1.0287999999999999</v>
      </c>
      <c r="M602" s="50">
        <v>4326956.6694399994</v>
      </c>
      <c r="N602" s="50">
        <v>2990244.1374608562</v>
      </c>
      <c r="O602" s="50">
        <v>1336712.53</v>
      </c>
      <c r="P602" s="50">
        <v>0</v>
      </c>
      <c r="Q602" s="87">
        <v>1336712.53</v>
      </c>
      <c r="R602" s="152">
        <v>0</v>
      </c>
      <c r="S602" s="174"/>
      <c r="T602" s="74">
        <v>45808</v>
      </c>
      <c r="U602" s="74">
        <v>45720</v>
      </c>
      <c r="V602" s="48"/>
      <c r="W602" s="48"/>
      <c r="X602" s="48"/>
      <c r="Y602" s="48">
        <v>0</v>
      </c>
      <c r="Z602" s="48"/>
      <c r="AA602" s="48" t="s">
        <v>95</v>
      </c>
      <c r="AB602" s="48" t="s">
        <v>27</v>
      </c>
      <c r="AC602" s="48" t="s">
        <v>208</v>
      </c>
      <c r="AD602" s="89" t="s">
        <v>845</v>
      </c>
    </row>
    <row r="603" spans="1:30" ht="15.75" hidden="1" x14ac:dyDescent="0.25">
      <c r="A603" s="48" t="s">
        <v>5453</v>
      </c>
      <c r="B603" s="74">
        <v>46180</v>
      </c>
      <c r="C603" s="48" t="s">
        <v>1259</v>
      </c>
      <c r="D603" s="48" t="s">
        <v>20</v>
      </c>
      <c r="E603" s="48" t="s">
        <v>5317</v>
      </c>
      <c r="F603" s="48" t="s">
        <v>96</v>
      </c>
      <c r="G603" s="48" t="s">
        <v>1791</v>
      </c>
      <c r="H603" s="48" t="s">
        <v>328</v>
      </c>
      <c r="I603" s="48" t="s">
        <v>26</v>
      </c>
      <c r="J603" s="48">
        <v>1020097</v>
      </c>
      <c r="K603" s="50">
        <v>5000000</v>
      </c>
      <c r="L603" s="50">
        <v>1</v>
      </c>
      <c r="M603" s="50">
        <v>5000000</v>
      </c>
      <c r="N603" s="50">
        <v>0</v>
      </c>
      <c r="O603" s="50">
        <v>5000000</v>
      </c>
      <c r="P603" s="50">
        <v>0</v>
      </c>
      <c r="Q603" s="87">
        <v>5000000</v>
      </c>
      <c r="R603" s="152">
        <v>0</v>
      </c>
      <c r="S603" s="174"/>
      <c r="T603" s="74">
        <v>46303</v>
      </c>
      <c r="U603" s="74">
        <v>46303</v>
      </c>
      <c r="V603" s="48"/>
      <c r="W603" s="48"/>
      <c r="X603" s="48"/>
      <c r="Y603" s="48"/>
      <c r="Z603" s="48"/>
      <c r="AA603" s="48" t="s">
        <v>95</v>
      </c>
      <c r="AB603" s="48" t="s">
        <v>27</v>
      </c>
      <c r="AC603" s="48" t="s">
        <v>3188</v>
      </c>
      <c r="AD603" s="89" t="s">
        <v>1026</v>
      </c>
    </row>
    <row r="604" spans="1:30" ht="15.75" hidden="1" x14ac:dyDescent="0.25">
      <c r="A604" s="48" t="s">
        <v>681</v>
      </c>
      <c r="B604" s="74">
        <v>45684</v>
      </c>
      <c r="C604" s="48" t="s">
        <v>509</v>
      </c>
      <c r="D604" s="48" t="s">
        <v>20</v>
      </c>
      <c r="E604" s="48" t="s">
        <v>542</v>
      </c>
      <c r="F604" s="48" t="s">
        <v>96</v>
      </c>
      <c r="G604" s="48" t="s">
        <v>24</v>
      </c>
      <c r="H604" s="48" t="s">
        <v>407</v>
      </c>
      <c r="I604" s="48" t="s">
        <v>26</v>
      </c>
      <c r="J604" s="48">
        <v>1020100</v>
      </c>
      <c r="K604" s="50">
        <v>400000</v>
      </c>
      <c r="L604" s="50">
        <v>1</v>
      </c>
      <c r="M604" s="50">
        <v>400000</v>
      </c>
      <c r="N604" s="50">
        <v>400000</v>
      </c>
      <c r="O604" s="50">
        <v>0</v>
      </c>
      <c r="P604" s="50">
        <v>0</v>
      </c>
      <c r="Q604" s="87">
        <v>0</v>
      </c>
      <c r="R604" s="152">
        <v>0</v>
      </c>
      <c r="S604" s="174"/>
      <c r="T604" s="74">
        <v>45777</v>
      </c>
      <c r="U604" s="74">
        <v>45777</v>
      </c>
      <c r="V604" s="48"/>
      <c r="W604" s="48"/>
      <c r="X604" s="48"/>
      <c r="Y604" s="48">
        <v>0</v>
      </c>
      <c r="Z604" s="48"/>
      <c r="AA604" s="48" t="s">
        <v>95</v>
      </c>
      <c r="AB604" s="48" t="s">
        <v>27</v>
      </c>
      <c r="AC604" s="48" t="s">
        <v>311</v>
      </c>
      <c r="AD604" s="89" t="s">
        <v>845</v>
      </c>
    </row>
    <row r="605" spans="1:30" ht="15.75" hidden="1" x14ac:dyDescent="0.25">
      <c r="A605" s="48" t="s">
        <v>541</v>
      </c>
      <c r="B605" s="74">
        <v>45634</v>
      </c>
      <c r="C605" s="48" t="s">
        <v>509</v>
      </c>
      <c r="D605" s="48" t="s">
        <v>20</v>
      </c>
      <c r="E605" s="48" t="s">
        <v>542</v>
      </c>
      <c r="F605" s="48" t="s">
        <v>96</v>
      </c>
      <c r="G605" s="48" t="s">
        <v>24</v>
      </c>
      <c r="H605" s="48" t="s">
        <v>407</v>
      </c>
      <c r="I605" s="48" t="s">
        <v>26</v>
      </c>
      <c r="J605" s="48">
        <v>1020100</v>
      </c>
      <c r="K605" s="50">
        <v>800000</v>
      </c>
      <c r="L605" s="50">
        <v>1</v>
      </c>
      <c r="M605" s="50">
        <v>800000</v>
      </c>
      <c r="N605" s="50">
        <v>800000</v>
      </c>
      <c r="O605" s="50">
        <v>0</v>
      </c>
      <c r="P605" s="50">
        <v>0</v>
      </c>
      <c r="Q605" s="87">
        <v>0</v>
      </c>
      <c r="R605" s="152">
        <v>0</v>
      </c>
      <c r="S605" s="174"/>
      <c r="T605" s="74">
        <v>45716</v>
      </c>
      <c r="U605" s="74">
        <v>45716</v>
      </c>
      <c r="V605" s="48"/>
      <c r="W605" s="48"/>
      <c r="X605" s="48"/>
      <c r="Y605" s="48">
        <v>0</v>
      </c>
      <c r="Z605" s="48"/>
      <c r="AA605" s="48" t="s">
        <v>95</v>
      </c>
      <c r="AB605" s="48" t="s">
        <v>27</v>
      </c>
      <c r="AC605" s="48" t="s">
        <v>311</v>
      </c>
      <c r="AD605" s="89" t="s">
        <v>845</v>
      </c>
    </row>
    <row r="606" spans="1:30" ht="15.75" hidden="1" x14ac:dyDescent="0.25">
      <c r="A606" s="48" t="s">
        <v>820</v>
      </c>
      <c r="B606" s="74">
        <v>45739</v>
      </c>
      <c r="C606" s="48" t="s">
        <v>441</v>
      </c>
      <c r="D606" s="48" t="s">
        <v>20</v>
      </c>
      <c r="E606" s="48" t="s">
        <v>821</v>
      </c>
      <c r="F606" s="48" t="s">
        <v>22</v>
      </c>
      <c r="G606" s="48" t="s">
        <v>24</v>
      </c>
      <c r="H606" s="48" t="s">
        <v>22</v>
      </c>
      <c r="I606" s="48" t="s">
        <v>26</v>
      </c>
      <c r="J606" s="48">
        <v>1020055</v>
      </c>
      <c r="K606" s="50">
        <v>413173.15</v>
      </c>
      <c r="L606" s="50">
        <v>1</v>
      </c>
      <c r="M606" s="50">
        <v>413173.15</v>
      </c>
      <c r="N606" s="50">
        <v>413173.15</v>
      </c>
      <c r="O606" s="50">
        <v>0</v>
      </c>
      <c r="P606" s="50">
        <v>0</v>
      </c>
      <c r="Q606" s="87">
        <v>0</v>
      </c>
      <c r="R606" s="152">
        <v>0</v>
      </c>
      <c r="S606" s="174"/>
      <c r="T606" s="74">
        <v>45900</v>
      </c>
      <c r="U606" s="74">
        <v>45900</v>
      </c>
      <c r="V606" s="48"/>
      <c r="W606" s="48"/>
      <c r="X606" s="48"/>
      <c r="Y606" s="48">
        <v>0</v>
      </c>
      <c r="Z606" s="48"/>
      <c r="AA606" s="48" t="s">
        <v>21</v>
      </c>
      <c r="AB606" s="48" t="s">
        <v>27</v>
      </c>
      <c r="AC606" s="48" t="s">
        <v>311</v>
      </c>
      <c r="AD606" s="89" t="s">
        <v>845</v>
      </c>
    </row>
    <row r="607" spans="1:30" ht="15.75" hidden="1" x14ac:dyDescent="0.25">
      <c r="A607" s="48" t="s">
        <v>1607</v>
      </c>
      <c r="B607" s="74">
        <v>45862</v>
      </c>
      <c r="C607" s="48" t="s">
        <v>441</v>
      </c>
      <c r="D607" s="48" t="s">
        <v>20</v>
      </c>
      <c r="E607" s="48" t="s">
        <v>1578</v>
      </c>
      <c r="F607" s="48" t="s">
        <v>710</v>
      </c>
      <c r="G607" s="48" t="s">
        <v>24</v>
      </c>
      <c r="H607" s="48" t="s">
        <v>710</v>
      </c>
      <c r="I607" s="48" t="s">
        <v>26</v>
      </c>
      <c r="J607" s="48">
        <v>1020088</v>
      </c>
      <c r="K607" s="50">
        <v>160462</v>
      </c>
      <c r="L607" s="50">
        <v>1</v>
      </c>
      <c r="M607" s="50">
        <v>160462</v>
      </c>
      <c r="N607" s="50">
        <v>160462</v>
      </c>
      <c r="O607" s="50">
        <v>0</v>
      </c>
      <c r="P607" s="50">
        <v>0</v>
      </c>
      <c r="Q607" s="87">
        <v>0</v>
      </c>
      <c r="R607" s="152">
        <v>0</v>
      </c>
      <c r="S607" s="174"/>
      <c r="T607" s="74">
        <v>45961</v>
      </c>
      <c r="U607" s="74">
        <v>45961</v>
      </c>
      <c r="V607" s="48"/>
      <c r="W607" s="48"/>
      <c r="X607" s="48"/>
      <c r="Y607" s="48">
        <v>0</v>
      </c>
      <c r="Z607" s="48"/>
      <c r="AA607" s="48" t="s">
        <v>366</v>
      </c>
      <c r="AB607" s="48" t="s">
        <v>27</v>
      </c>
      <c r="AC607" s="48" t="s">
        <v>621</v>
      </c>
      <c r="AD607" s="89" t="s">
        <v>845</v>
      </c>
    </row>
    <row r="608" spans="1:30" ht="15.75" hidden="1" x14ac:dyDescent="0.25">
      <c r="A608" s="48" t="s">
        <v>1343</v>
      </c>
      <c r="B608" s="74">
        <v>45792</v>
      </c>
      <c r="C608" s="48" t="s">
        <v>441</v>
      </c>
      <c r="D608" s="48" t="s">
        <v>20</v>
      </c>
      <c r="E608" s="48" t="s">
        <v>1334</v>
      </c>
      <c r="F608" s="48" t="s">
        <v>22</v>
      </c>
      <c r="G608" s="48" t="s">
        <v>24</v>
      </c>
      <c r="H608" s="48" t="s">
        <v>22</v>
      </c>
      <c r="I608" s="48" t="s">
        <v>26</v>
      </c>
      <c r="J608" s="48">
        <v>1020055</v>
      </c>
      <c r="K608" s="50">
        <v>353089.35</v>
      </c>
      <c r="L608" s="50">
        <v>1</v>
      </c>
      <c r="M608" s="50">
        <v>353089.35</v>
      </c>
      <c r="N608" s="50">
        <v>249589.36</v>
      </c>
      <c r="O608" s="50">
        <v>103499.99</v>
      </c>
      <c r="P608" s="50">
        <v>0</v>
      </c>
      <c r="Q608" s="87">
        <v>103499.99</v>
      </c>
      <c r="R608" s="152">
        <v>0</v>
      </c>
      <c r="S608" s="174"/>
      <c r="T608" s="74">
        <v>46157</v>
      </c>
      <c r="U608" s="74">
        <v>46157</v>
      </c>
      <c r="V608" s="48"/>
      <c r="W608" s="48"/>
      <c r="X608" s="48"/>
      <c r="Y608" s="48">
        <v>0</v>
      </c>
      <c r="Z608" s="48"/>
      <c r="AA608" s="48" t="s">
        <v>21</v>
      </c>
      <c r="AB608" s="48" t="s">
        <v>27</v>
      </c>
      <c r="AC608" s="48" t="s">
        <v>1629</v>
      </c>
      <c r="AD608" s="89" t="s">
        <v>845</v>
      </c>
    </row>
    <row r="609" spans="1:30" ht="15.75" hidden="1" x14ac:dyDescent="0.25">
      <c r="A609" s="48" t="s">
        <v>1768</v>
      </c>
      <c r="B609" s="74">
        <v>45887</v>
      </c>
      <c r="C609" s="48" t="s">
        <v>441</v>
      </c>
      <c r="D609" s="48" t="s">
        <v>20</v>
      </c>
      <c r="E609" s="48" t="s">
        <v>1698</v>
      </c>
      <c r="F609" s="48" t="s">
        <v>710</v>
      </c>
      <c r="G609" s="48" t="s">
        <v>24</v>
      </c>
      <c r="H609" s="48" t="s">
        <v>710</v>
      </c>
      <c r="I609" s="48" t="s">
        <v>26</v>
      </c>
      <c r="J609" s="48">
        <v>1020088</v>
      </c>
      <c r="K609" s="50">
        <v>200000</v>
      </c>
      <c r="L609" s="50">
        <v>1</v>
      </c>
      <c r="M609" s="50">
        <v>200000</v>
      </c>
      <c r="N609" s="50">
        <v>200000</v>
      </c>
      <c r="O609" s="50">
        <v>0</v>
      </c>
      <c r="P609" s="50">
        <v>0</v>
      </c>
      <c r="Q609" s="87">
        <v>0</v>
      </c>
      <c r="R609" s="152">
        <v>0</v>
      </c>
      <c r="S609" s="174"/>
      <c r="T609" s="74">
        <v>45991</v>
      </c>
      <c r="U609" s="74">
        <v>45991</v>
      </c>
      <c r="V609" s="48"/>
      <c r="W609" s="48"/>
      <c r="X609" s="48"/>
      <c r="Y609" s="48">
        <v>0</v>
      </c>
      <c r="Z609" s="48"/>
      <c r="AA609" s="48" t="s">
        <v>366</v>
      </c>
      <c r="AB609" s="48" t="s">
        <v>27</v>
      </c>
      <c r="AC609" s="48" t="s">
        <v>621</v>
      </c>
      <c r="AD609" s="89" t="s">
        <v>845</v>
      </c>
    </row>
    <row r="610" spans="1:30" ht="15.75" hidden="1" x14ac:dyDescent="0.25">
      <c r="A610" s="48" t="s">
        <v>3701</v>
      </c>
      <c r="B610" s="74">
        <v>46036</v>
      </c>
      <c r="C610" s="48" t="s">
        <v>441</v>
      </c>
      <c r="D610" s="48" t="s">
        <v>20</v>
      </c>
      <c r="E610" s="48" t="s">
        <v>1698</v>
      </c>
      <c r="F610" s="48" t="s">
        <v>710</v>
      </c>
      <c r="G610" s="48" t="s">
        <v>24</v>
      </c>
      <c r="H610" s="48" t="s">
        <v>710</v>
      </c>
      <c r="I610" s="48" t="s">
        <v>26</v>
      </c>
      <c r="J610" s="48">
        <v>1020088</v>
      </c>
      <c r="K610" s="50">
        <v>500000</v>
      </c>
      <c r="L610" s="50">
        <v>1</v>
      </c>
      <c r="M610" s="50">
        <v>500000</v>
      </c>
      <c r="N610" s="50">
        <v>0</v>
      </c>
      <c r="O610" s="50">
        <v>500000</v>
      </c>
      <c r="P610" s="50">
        <v>500000</v>
      </c>
      <c r="Q610" s="87">
        <v>0</v>
      </c>
      <c r="R610" s="152">
        <v>0</v>
      </c>
      <c r="S610" s="174" t="s">
        <v>5543</v>
      </c>
      <c r="T610" s="74">
        <v>46203</v>
      </c>
      <c r="U610" s="74">
        <v>46203</v>
      </c>
      <c r="V610" s="48"/>
      <c r="W610" s="48"/>
      <c r="X610" s="48"/>
      <c r="Y610" s="48">
        <v>0</v>
      </c>
      <c r="Z610" s="48"/>
      <c r="AA610" s="48" t="s">
        <v>366</v>
      </c>
      <c r="AB610" s="48" t="s">
        <v>27</v>
      </c>
      <c r="AC610" s="48" t="s">
        <v>1904</v>
      </c>
      <c r="AD610" s="89" t="s">
        <v>1026</v>
      </c>
    </row>
    <row r="611" spans="1:30" ht="15.75" hidden="1" x14ac:dyDescent="0.25">
      <c r="A611" s="48" t="s">
        <v>4547</v>
      </c>
      <c r="B611" s="74">
        <v>46118</v>
      </c>
      <c r="C611" s="48" t="s">
        <v>441</v>
      </c>
      <c r="D611" s="48" t="s">
        <v>20</v>
      </c>
      <c r="E611" s="48" t="s">
        <v>1698</v>
      </c>
      <c r="F611" s="48" t="s">
        <v>710</v>
      </c>
      <c r="G611" s="48" t="s">
        <v>24</v>
      </c>
      <c r="H611" s="48" t="s">
        <v>710</v>
      </c>
      <c r="I611" s="48" t="s">
        <v>26</v>
      </c>
      <c r="J611" s="48">
        <v>1020088</v>
      </c>
      <c r="K611" s="50">
        <v>200000</v>
      </c>
      <c r="L611" s="50">
        <v>1</v>
      </c>
      <c r="M611" s="50">
        <v>200000</v>
      </c>
      <c r="N611" s="50">
        <v>0</v>
      </c>
      <c r="O611" s="50">
        <v>200000</v>
      </c>
      <c r="P611" s="50">
        <v>200000</v>
      </c>
      <c r="Q611" s="87">
        <v>0</v>
      </c>
      <c r="R611" s="152">
        <v>0</v>
      </c>
      <c r="S611" s="174" t="s">
        <v>5661</v>
      </c>
      <c r="T611" s="74">
        <v>46203</v>
      </c>
      <c r="U611" s="74">
        <v>46203</v>
      </c>
      <c r="V611" s="48"/>
      <c r="W611" s="48"/>
      <c r="X611" s="48"/>
      <c r="Y611" s="48">
        <v>0</v>
      </c>
      <c r="Z611" s="48"/>
      <c r="AA611" s="48" t="s">
        <v>366</v>
      </c>
      <c r="AB611" s="48" t="s">
        <v>27</v>
      </c>
      <c r="AC611" s="48" t="s">
        <v>4493</v>
      </c>
      <c r="AD611" s="89" t="s">
        <v>1026</v>
      </c>
    </row>
    <row r="612" spans="1:30" ht="15.75" hidden="1" x14ac:dyDescent="0.25">
      <c r="A612" s="48" t="s">
        <v>5415</v>
      </c>
      <c r="B612" s="74">
        <v>46177</v>
      </c>
      <c r="C612" s="48" t="s">
        <v>441</v>
      </c>
      <c r="D612" s="48" t="s">
        <v>20</v>
      </c>
      <c r="E612" s="48" t="s">
        <v>1698</v>
      </c>
      <c r="F612" s="48" t="s">
        <v>710</v>
      </c>
      <c r="G612" s="48" t="s">
        <v>24</v>
      </c>
      <c r="H612" s="48" t="s">
        <v>710</v>
      </c>
      <c r="I612" s="48" t="s">
        <v>26</v>
      </c>
      <c r="J612" s="48">
        <v>1020088</v>
      </c>
      <c r="K612" s="50">
        <v>300000</v>
      </c>
      <c r="L612" s="50">
        <v>1</v>
      </c>
      <c r="M612" s="50">
        <v>300000</v>
      </c>
      <c r="N612" s="50">
        <v>0</v>
      </c>
      <c r="O612" s="50">
        <v>300000</v>
      </c>
      <c r="P612" s="50">
        <v>0</v>
      </c>
      <c r="Q612" s="87">
        <v>300000</v>
      </c>
      <c r="R612" s="152">
        <v>0</v>
      </c>
      <c r="S612" s="174"/>
      <c r="T612" s="74">
        <v>46265</v>
      </c>
      <c r="U612" s="74">
        <v>46265</v>
      </c>
      <c r="V612" s="48"/>
      <c r="W612" s="48"/>
      <c r="X612" s="48"/>
      <c r="Y612" s="48">
        <v>0</v>
      </c>
      <c r="Z612" s="48"/>
      <c r="AA612" s="48" t="s">
        <v>366</v>
      </c>
      <c r="AB612" s="48" t="s">
        <v>27</v>
      </c>
      <c r="AC612" s="48" t="s">
        <v>5175</v>
      </c>
      <c r="AD612" s="89" t="s">
        <v>1026</v>
      </c>
    </row>
    <row r="613" spans="1:30" ht="15.75" hidden="1" x14ac:dyDescent="0.25">
      <c r="A613" s="48" t="s">
        <v>1651</v>
      </c>
      <c r="B613" s="74">
        <v>45869</v>
      </c>
      <c r="C613" s="48" t="s">
        <v>1119</v>
      </c>
      <c r="D613" s="48" t="s">
        <v>20</v>
      </c>
      <c r="E613" s="48" t="s">
        <v>1613</v>
      </c>
      <c r="F613" s="48" t="s">
        <v>367</v>
      </c>
      <c r="G613" s="48" t="s">
        <v>24</v>
      </c>
      <c r="H613" s="48" t="s">
        <v>367</v>
      </c>
      <c r="I613" s="48" t="s">
        <v>26</v>
      </c>
      <c r="J613" s="48">
        <v>1020091</v>
      </c>
      <c r="K613" s="50">
        <v>1800000</v>
      </c>
      <c r="L613" s="50">
        <v>1</v>
      </c>
      <c r="M613" s="50">
        <v>1800000</v>
      </c>
      <c r="N613" s="50">
        <v>1800000</v>
      </c>
      <c r="O613" s="50">
        <v>0</v>
      </c>
      <c r="P613" s="50">
        <v>0</v>
      </c>
      <c r="Q613" s="87">
        <v>0</v>
      </c>
      <c r="R613" s="152">
        <v>0</v>
      </c>
      <c r="S613" s="174"/>
      <c r="T613" s="74">
        <v>45961</v>
      </c>
      <c r="U613" s="74">
        <v>45961</v>
      </c>
      <c r="V613" s="48"/>
      <c r="W613" s="48"/>
      <c r="X613" s="48"/>
      <c r="Y613" s="48">
        <v>0</v>
      </c>
      <c r="Z613" s="48"/>
      <c r="AA613" s="48" t="s">
        <v>366</v>
      </c>
      <c r="AB613" s="48" t="s">
        <v>27</v>
      </c>
      <c r="AC613" s="48" t="s">
        <v>1624</v>
      </c>
      <c r="AD613" s="89" t="s">
        <v>845</v>
      </c>
    </row>
    <row r="614" spans="1:30" ht="15.75" hidden="1" x14ac:dyDescent="0.25">
      <c r="A614" s="48" t="s">
        <v>58</v>
      </c>
      <c r="B614" s="74">
        <v>45299</v>
      </c>
      <c r="C614" s="48" t="s">
        <v>441</v>
      </c>
      <c r="D614" s="48" t="s">
        <v>20</v>
      </c>
      <c r="E614" s="48" t="s">
        <v>59</v>
      </c>
      <c r="F614" s="48" t="s">
        <v>22</v>
      </c>
      <c r="G614" s="48" t="s">
        <v>24</v>
      </c>
      <c r="H614" s="48" t="s">
        <v>22</v>
      </c>
      <c r="I614" s="48" t="s">
        <v>26</v>
      </c>
      <c r="J614" s="48">
        <v>1020055</v>
      </c>
      <c r="K614" s="50">
        <v>422050</v>
      </c>
      <c r="L614" s="50">
        <v>1</v>
      </c>
      <c r="M614" s="50">
        <v>422050</v>
      </c>
      <c r="N614" s="50">
        <v>376050</v>
      </c>
      <c r="O614" s="50">
        <v>46000</v>
      </c>
      <c r="P614" s="50">
        <v>0</v>
      </c>
      <c r="Q614" s="87">
        <v>46000</v>
      </c>
      <c r="R614" s="152">
        <v>0</v>
      </c>
      <c r="S614" s="174"/>
      <c r="T614" s="74">
        <v>45474</v>
      </c>
      <c r="U614" s="74">
        <v>45474</v>
      </c>
      <c r="V614" s="48"/>
      <c r="W614" s="48"/>
      <c r="X614" s="48"/>
      <c r="Y614" s="48">
        <v>0</v>
      </c>
      <c r="Z614" s="48"/>
      <c r="AA614" s="48" t="s">
        <v>21</v>
      </c>
      <c r="AB614" s="48" t="s">
        <v>27</v>
      </c>
      <c r="AC614" s="48" t="s">
        <v>28</v>
      </c>
      <c r="AD614" s="89" t="s">
        <v>845</v>
      </c>
    </row>
    <row r="615" spans="1:30" ht="15.75" hidden="1" x14ac:dyDescent="0.25">
      <c r="A615" s="48" t="s">
        <v>1435</v>
      </c>
      <c r="B615" s="74">
        <v>45810</v>
      </c>
      <c r="C615" s="48" t="s">
        <v>441</v>
      </c>
      <c r="D615" s="48" t="s">
        <v>20</v>
      </c>
      <c r="E615" s="48" t="s">
        <v>1384</v>
      </c>
      <c r="F615" s="48" t="s">
        <v>710</v>
      </c>
      <c r="G615" s="48" t="s">
        <v>24</v>
      </c>
      <c r="H615" s="48" t="s">
        <v>710</v>
      </c>
      <c r="I615" s="48" t="s">
        <v>26</v>
      </c>
      <c r="J615" s="48">
        <v>1020088</v>
      </c>
      <c r="K615" s="50">
        <v>894240</v>
      </c>
      <c r="L615" s="50">
        <v>1</v>
      </c>
      <c r="M615" s="50">
        <v>894240</v>
      </c>
      <c r="N615" s="50">
        <v>894240</v>
      </c>
      <c r="O615" s="50">
        <v>0</v>
      </c>
      <c r="P615" s="50">
        <v>0</v>
      </c>
      <c r="Q615" s="87">
        <v>0</v>
      </c>
      <c r="R615" s="152">
        <v>0</v>
      </c>
      <c r="S615" s="174"/>
      <c r="T615" s="74">
        <v>45900</v>
      </c>
      <c r="U615" s="74">
        <v>45900</v>
      </c>
      <c r="V615" s="48"/>
      <c r="W615" s="48"/>
      <c r="X615" s="48"/>
      <c r="Y615" s="48">
        <v>0</v>
      </c>
      <c r="Z615" s="48"/>
      <c r="AA615" s="48" t="s">
        <v>366</v>
      </c>
      <c r="AB615" s="48" t="s">
        <v>27</v>
      </c>
      <c r="AC615" s="48" t="s">
        <v>621</v>
      </c>
      <c r="AD615" s="89" t="s">
        <v>845</v>
      </c>
    </row>
    <row r="616" spans="1:30" ht="15.75" hidden="1" x14ac:dyDescent="0.25">
      <c r="A616" s="48" t="s">
        <v>3713</v>
      </c>
      <c r="B616" s="74">
        <v>46037</v>
      </c>
      <c r="C616" s="48" t="s">
        <v>441</v>
      </c>
      <c r="D616" s="48" t="s">
        <v>20</v>
      </c>
      <c r="E616" s="48" t="s">
        <v>3290</v>
      </c>
      <c r="F616" s="48" t="s">
        <v>710</v>
      </c>
      <c r="G616" s="48" t="s">
        <v>24</v>
      </c>
      <c r="H616" s="48" t="s">
        <v>710</v>
      </c>
      <c r="I616" s="48" t="s">
        <v>26</v>
      </c>
      <c r="J616" s="48">
        <v>1020088</v>
      </c>
      <c r="K616" s="50">
        <v>500000</v>
      </c>
      <c r="L616" s="50">
        <v>1</v>
      </c>
      <c r="M616" s="50">
        <v>500000</v>
      </c>
      <c r="N616" s="50">
        <v>0</v>
      </c>
      <c r="O616" s="50">
        <v>500000</v>
      </c>
      <c r="P616" s="50">
        <v>0</v>
      </c>
      <c r="Q616" s="87">
        <v>500000</v>
      </c>
      <c r="R616" s="152">
        <v>0</v>
      </c>
      <c r="S616" s="174"/>
      <c r="T616" s="74">
        <v>46203</v>
      </c>
      <c r="U616" s="74">
        <v>46203</v>
      </c>
      <c r="V616" s="48"/>
      <c r="W616" s="48"/>
      <c r="X616" s="48"/>
      <c r="Y616" s="48">
        <v>0</v>
      </c>
      <c r="Z616" s="48"/>
      <c r="AA616" s="48" t="s">
        <v>366</v>
      </c>
      <c r="AB616" s="48" t="s">
        <v>27</v>
      </c>
      <c r="AC616" s="48" t="s">
        <v>1904</v>
      </c>
      <c r="AD616" s="89" t="s">
        <v>1026</v>
      </c>
    </row>
    <row r="617" spans="1:30" ht="15.75" hidden="1" x14ac:dyDescent="0.25">
      <c r="A617" s="48" t="s">
        <v>1598</v>
      </c>
      <c r="B617" s="74">
        <v>45862</v>
      </c>
      <c r="C617" s="48" t="s">
        <v>441</v>
      </c>
      <c r="D617" s="48" t="s">
        <v>20</v>
      </c>
      <c r="E617" s="48" t="s">
        <v>1572</v>
      </c>
      <c r="F617" s="48" t="s">
        <v>710</v>
      </c>
      <c r="G617" s="48" t="s">
        <v>24</v>
      </c>
      <c r="H617" s="48" t="s">
        <v>710</v>
      </c>
      <c r="I617" s="48" t="s">
        <v>26</v>
      </c>
      <c r="J617" s="48">
        <v>1020088</v>
      </c>
      <c r="K617" s="50">
        <v>2250000</v>
      </c>
      <c r="L617" s="50">
        <v>1</v>
      </c>
      <c r="M617" s="50">
        <v>2250000</v>
      </c>
      <c r="N617" s="50">
        <v>2250000</v>
      </c>
      <c r="O617" s="50">
        <v>0</v>
      </c>
      <c r="P617" s="50">
        <v>0</v>
      </c>
      <c r="Q617" s="87">
        <v>0</v>
      </c>
      <c r="R617" s="152">
        <v>0</v>
      </c>
      <c r="S617" s="174"/>
      <c r="T617" s="74">
        <v>45961</v>
      </c>
      <c r="U617" s="74">
        <v>45961</v>
      </c>
      <c r="V617" s="48"/>
      <c r="W617" s="48"/>
      <c r="X617" s="48"/>
      <c r="Y617" s="48">
        <v>0</v>
      </c>
      <c r="Z617" s="48"/>
      <c r="AA617" s="48" t="s">
        <v>366</v>
      </c>
      <c r="AB617" s="48" t="s">
        <v>27</v>
      </c>
      <c r="AC617" s="48" t="s">
        <v>621</v>
      </c>
      <c r="AD617" s="89" t="s">
        <v>845</v>
      </c>
    </row>
    <row r="618" spans="1:30" ht="15.75" hidden="1" x14ac:dyDescent="0.25">
      <c r="A618" s="48" t="s">
        <v>1769</v>
      </c>
      <c r="B618" s="74">
        <v>45887</v>
      </c>
      <c r="C618" s="48" t="s">
        <v>441</v>
      </c>
      <c r="D618" s="48" t="s">
        <v>20</v>
      </c>
      <c r="E618" s="48" t="s">
        <v>1572</v>
      </c>
      <c r="F618" s="48" t="s">
        <v>710</v>
      </c>
      <c r="G618" s="48" t="s">
        <v>24</v>
      </c>
      <c r="H618" s="48" t="s">
        <v>710</v>
      </c>
      <c r="I618" s="48" t="s">
        <v>26</v>
      </c>
      <c r="J618" s="48">
        <v>1020088</v>
      </c>
      <c r="K618" s="50">
        <v>700000</v>
      </c>
      <c r="L618" s="50">
        <v>1</v>
      </c>
      <c r="M618" s="50">
        <v>700000</v>
      </c>
      <c r="N618" s="50">
        <v>700000</v>
      </c>
      <c r="O618" s="50">
        <v>0</v>
      </c>
      <c r="P618" s="50">
        <v>0</v>
      </c>
      <c r="Q618" s="87">
        <v>0</v>
      </c>
      <c r="R618" s="152">
        <v>0</v>
      </c>
      <c r="S618" s="174"/>
      <c r="T618" s="74">
        <v>45991</v>
      </c>
      <c r="U618" s="74">
        <v>45991</v>
      </c>
      <c r="V618" s="48"/>
      <c r="W618" s="48"/>
      <c r="X618" s="48"/>
      <c r="Y618" s="48">
        <v>0</v>
      </c>
      <c r="Z618" s="48"/>
      <c r="AA618" s="48" t="s">
        <v>366</v>
      </c>
      <c r="AB618" s="48" t="s">
        <v>27</v>
      </c>
      <c r="AC618" s="48" t="s">
        <v>621</v>
      </c>
      <c r="AD618" s="89" t="s">
        <v>845</v>
      </c>
    </row>
    <row r="619" spans="1:30" ht="15.75" hidden="1" x14ac:dyDescent="0.25">
      <c r="A619" s="48" t="s">
        <v>3265</v>
      </c>
      <c r="B619" s="74">
        <v>46019</v>
      </c>
      <c r="C619" s="48" t="s">
        <v>441</v>
      </c>
      <c r="D619" s="48" t="s">
        <v>20</v>
      </c>
      <c r="E619" s="48" t="s">
        <v>1572</v>
      </c>
      <c r="F619" s="48" t="s">
        <v>710</v>
      </c>
      <c r="G619" s="48" t="s">
        <v>24</v>
      </c>
      <c r="H619" s="48" t="s">
        <v>710</v>
      </c>
      <c r="I619" s="48" t="s">
        <v>26</v>
      </c>
      <c r="J619" s="48">
        <v>1020088</v>
      </c>
      <c r="K619" s="50">
        <v>8790001.0999999996</v>
      </c>
      <c r="L619" s="50">
        <v>1</v>
      </c>
      <c r="M619" s="50">
        <v>8790001.0999999996</v>
      </c>
      <c r="N619" s="50">
        <v>650518.46</v>
      </c>
      <c r="O619" s="50">
        <v>8139482.6399999997</v>
      </c>
      <c r="P619" s="50">
        <v>0</v>
      </c>
      <c r="Q619" s="87">
        <v>8139482.6399999997</v>
      </c>
      <c r="R619" s="152">
        <v>3318117.9</v>
      </c>
      <c r="S619" s="174"/>
      <c r="T619" s="74">
        <v>46203</v>
      </c>
      <c r="U619" s="74">
        <v>46203</v>
      </c>
      <c r="V619" s="48"/>
      <c r="W619" s="48"/>
      <c r="X619" s="48"/>
      <c r="Y619" s="48">
        <v>0</v>
      </c>
      <c r="Z619" s="48" t="s">
        <v>5083</v>
      </c>
      <c r="AA619" s="48" t="s">
        <v>366</v>
      </c>
      <c r="AB619" s="48" t="s">
        <v>27</v>
      </c>
      <c r="AC619" s="48" t="s">
        <v>621</v>
      </c>
      <c r="AD619" s="89" t="s">
        <v>1026</v>
      </c>
    </row>
    <row r="620" spans="1:30" ht="15.75" hidden="1" x14ac:dyDescent="0.25">
      <c r="A620" s="48" t="s">
        <v>493</v>
      </c>
      <c r="B620" s="74">
        <v>45610</v>
      </c>
      <c r="C620" s="48" t="s">
        <v>509</v>
      </c>
      <c r="D620" s="48" t="s">
        <v>20</v>
      </c>
      <c r="E620" s="48" t="s">
        <v>494</v>
      </c>
      <c r="F620" s="48" t="s">
        <v>22</v>
      </c>
      <c r="G620" s="48" t="s">
        <v>72</v>
      </c>
      <c r="H620" s="48" t="s">
        <v>487</v>
      </c>
      <c r="I620" s="48" t="s">
        <v>26</v>
      </c>
      <c r="J620" s="48">
        <v>1020060</v>
      </c>
      <c r="K620" s="50">
        <v>1253500</v>
      </c>
      <c r="L620" s="50">
        <v>1</v>
      </c>
      <c r="M620" s="50">
        <v>1253500</v>
      </c>
      <c r="N620" s="50">
        <v>1253500</v>
      </c>
      <c r="O620" s="50">
        <v>0</v>
      </c>
      <c r="P620" s="50">
        <v>0</v>
      </c>
      <c r="Q620" s="87">
        <v>0</v>
      </c>
      <c r="R620" s="152">
        <v>0</v>
      </c>
      <c r="S620" s="174"/>
      <c r="T620" s="74">
        <v>45930</v>
      </c>
      <c r="U620" s="74">
        <v>45757</v>
      </c>
      <c r="V620" s="48"/>
      <c r="W620" s="48"/>
      <c r="X620" s="48"/>
      <c r="Y620" s="48">
        <v>0</v>
      </c>
      <c r="Z620" s="48"/>
      <c r="AA620" s="48" t="s">
        <v>21</v>
      </c>
      <c r="AB620" s="48" t="s">
        <v>27</v>
      </c>
      <c r="AC620" s="48" t="s">
        <v>305</v>
      </c>
      <c r="AD620" s="89" t="s">
        <v>845</v>
      </c>
    </row>
    <row r="621" spans="1:30" ht="15.75" hidden="1" x14ac:dyDescent="0.25">
      <c r="A621" s="48" t="s">
        <v>1934</v>
      </c>
      <c r="B621" s="74">
        <v>45904</v>
      </c>
      <c r="C621" s="48" t="s">
        <v>1537</v>
      </c>
      <c r="D621" s="48" t="s">
        <v>20</v>
      </c>
      <c r="E621" s="48" t="s">
        <v>1641</v>
      </c>
      <c r="F621" s="48" t="s">
        <v>483</v>
      </c>
      <c r="G621" s="48" t="s">
        <v>72</v>
      </c>
      <c r="H621" s="48" t="s">
        <v>483</v>
      </c>
      <c r="I621" s="48" t="s">
        <v>26</v>
      </c>
      <c r="J621" s="48">
        <v>1020096</v>
      </c>
      <c r="K621" s="50">
        <v>25907203.759999998</v>
      </c>
      <c r="L621" s="50">
        <v>1</v>
      </c>
      <c r="M621" s="50">
        <v>25907203.759999998</v>
      </c>
      <c r="N621" s="50">
        <v>16605181.220000001</v>
      </c>
      <c r="O621" s="50">
        <v>9302022.5399999991</v>
      </c>
      <c r="P621" s="50">
        <v>752616.68</v>
      </c>
      <c r="Q621" s="87">
        <v>8549405.8599999994</v>
      </c>
      <c r="R621" s="152">
        <v>0</v>
      </c>
      <c r="S621" s="174" t="s">
        <v>5607</v>
      </c>
      <c r="T621" s="74">
        <v>46310</v>
      </c>
      <c r="U621" s="74">
        <v>46289</v>
      </c>
      <c r="V621" s="48"/>
      <c r="W621" s="48"/>
      <c r="X621" s="48"/>
      <c r="Y621" s="48">
        <v>0</v>
      </c>
      <c r="Z621" s="48"/>
      <c r="AA621" s="48" t="s">
        <v>62</v>
      </c>
      <c r="AB621" s="48" t="s">
        <v>27</v>
      </c>
      <c r="AC621" s="48" t="s">
        <v>305</v>
      </c>
      <c r="AD621" s="89" t="s">
        <v>1026</v>
      </c>
    </row>
    <row r="622" spans="1:30" ht="15.75" hidden="1" x14ac:dyDescent="0.25">
      <c r="A622" s="48" t="s">
        <v>2568</v>
      </c>
      <c r="B622" s="74">
        <v>45904</v>
      </c>
      <c r="C622" s="48" t="s">
        <v>1537</v>
      </c>
      <c r="D622" s="48" t="s">
        <v>20</v>
      </c>
      <c r="E622" s="48" t="s">
        <v>1641</v>
      </c>
      <c r="F622" s="48" t="s">
        <v>70</v>
      </c>
      <c r="G622" s="48" t="s">
        <v>72</v>
      </c>
      <c r="H622" s="48" t="s">
        <v>483</v>
      </c>
      <c r="I622" s="48" t="s">
        <v>26</v>
      </c>
      <c r="J622" s="48">
        <v>1020096</v>
      </c>
      <c r="K622" s="50">
        <v>4092796.2399999998</v>
      </c>
      <c r="L622" s="50">
        <v>1</v>
      </c>
      <c r="M622" s="50">
        <v>4092796.2399999998</v>
      </c>
      <c r="N622" s="50">
        <v>4079312.29</v>
      </c>
      <c r="O622" s="50">
        <v>13483.95</v>
      </c>
      <c r="P622" s="50">
        <v>0</v>
      </c>
      <c r="Q622" s="87">
        <v>13483.95</v>
      </c>
      <c r="R622" s="152">
        <v>0</v>
      </c>
      <c r="S622" s="174"/>
      <c r="T622" s="74">
        <v>46310</v>
      </c>
      <c r="U622" s="74">
        <v>46289</v>
      </c>
      <c r="V622" s="48"/>
      <c r="W622" s="48"/>
      <c r="X622" s="48"/>
      <c r="Y622" s="48">
        <v>0</v>
      </c>
      <c r="Z622" s="48"/>
      <c r="AA622" s="48" t="s">
        <v>62</v>
      </c>
      <c r="AB622" s="48" t="s">
        <v>70</v>
      </c>
      <c r="AC622" s="48" t="s">
        <v>305</v>
      </c>
      <c r="AD622" s="89" t="s">
        <v>1026</v>
      </c>
    </row>
    <row r="623" spans="1:30" ht="15.75" hidden="1" x14ac:dyDescent="0.25">
      <c r="A623" s="48" t="s">
        <v>4394</v>
      </c>
      <c r="B623" s="74">
        <v>46105</v>
      </c>
      <c r="C623" s="48" t="s">
        <v>1537</v>
      </c>
      <c r="D623" s="48" t="s">
        <v>20</v>
      </c>
      <c r="E623" s="48" t="s">
        <v>1641</v>
      </c>
      <c r="F623" s="48" t="s">
        <v>483</v>
      </c>
      <c r="G623" s="48" t="s">
        <v>72</v>
      </c>
      <c r="H623" s="48" t="s">
        <v>483</v>
      </c>
      <c r="I623" s="48" t="s">
        <v>26</v>
      </c>
      <c r="J623" s="48">
        <v>1020096</v>
      </c>
      <c r="K623" s="50">
        <v>17932603.559999999</v>
      </c>
      <c r="L623" s="50">
        <v>1</v>
      </c>
      <c r="M623" s="50">
        <v>17932603.559999999</v>
      </c>
      <c r="N623" s="50">
        <v>4576500</v>
      </c>
      <c r="O623" s="50">
        <v>13356103.560000001</v>
      </c>
      <c r="P623" s="50">
        <v>735540</v>
      </c>
      <c r="Q623" s="87">
        <v>12620563.560000001</v>
      </c>
      <c r="R623" s="152">
        <v>0</v>
      </c>
      <c r="S623" s="174" t="s">
        <v>4684</v>
      </c>
      <c r="T623" s="74">
        <v>46264</v>
      </c>
      <c r="U623" s="74">
        <v>46243</v>
      </c>
      <c r="V623" s="48"/>
      <c r="W623" s="48"/>
      <c r="X623" s="48"/>
      <c r="Y623" s="48">
        <v>0</v>
      </c>
      <c r="Z623" s="48"/>
      <c r="AA623" s="48" t="s">
        <v>62</v>
      </c>
      <c r="AB623" s="48" t="s">
        <v>27</v>
      </c>
      <c r="AC623" s="48" t="s">
        <v>4293</v>
      </c>
      <c r="AD623" s="89" t="s">
        <v>1026</v>
      </c>
    </row>
    <row r="624" spans="1:30" ht="15.75" hidden="1" x14ac:dyDescent="0.25">
      <c r="A624" s="48" t="s">
        <v>700</v>
      </c>
      <c r="B624" s="74">
        <v>45733</v>
      </c>
      <c r="C624" s="48" t="s">
        <v>1119</v>
      </c>
      <c r="D624" s="48" t="s">
        <v>20</v>
      </c>
      <c r="E624" s="48" t="s">
        <v>701</v>
      </c>
      <c r="F624" s="48" t="s">
        <v>367</v>
      </c>
      <c r="G624" s="48" t="s">
        <v>72</v>
      </c>
      <c r="H624" s="48" t="s">
        <v>367</v>
      </c>
      <c r="I624" s="48" t="s">
        <v>26</v>
      </c>
      <c r="J624" s="48">
        <v>1020091</v>
      </c>
      <c r="K624" s="50">
        <v>4859479.5600000005</v>
      </c>
      <c r="L624" s="50">
        <v>1</v>
      </c>
      <c r="M624" s="50">
        <v>4859479.5600000005</v>
      </c>
      <c r="N624" s="50">
        <v>4245673.21</v>
      </c>
      <c r="O624" s="50">
        <v>613806.35</v>
      </c>
      <c r="P624" s="50">
        <v>0</v>
      </c>
      <c r="Q624" s="87">
        <v>613806.35</v>
      </c>
      <c r="R624" s="152">
        <v>0</v>
      </c>
      <c r="S624" s="174"/>
      <c r="T624" s="74">
        <v>45934</v>
      </c>
      <c r="U624" s="74">
        <v>45920</v>
      </c>
      <c r="V624" s="48"/>
      <c r="W624" s="48"/>
      <c r="X624" s="48"/>
      <c r="Y624" s="48">
        <v>0</v>
      </c>
      <c r="Z624" s="48"/>
      <c r="AA624" s="48" t="s">
        <v>366</v>
      </c>
      <c r="AB624" s="48" t="s">
        <v>27</v>
      </c>
      <c r="AC624" s="48" t="s">
        <v>311</v>
      </c>
      <c r="AD624" s="89" t="s">
        <v>845</v>
      </c>
    </row>
    <row r="625" spans="1:30" ht="15.75" hidden="1" x14ac:dyDescent="0.25">
      <c r="A625" s="48" t="s">
        <v>825</v>
      </c>
      <c r="B625" s="74">
        <v>45739</v>
      </c>
      <c r="C625" s="48" t="s">
        <v>441</v>
      </c>
      <c r="D625" s="48" t="s">
        <v>20</v>
      </c>
      <c r="E625" s="48" t="s">
        <v>826</v>
      </c>
      <c r="F625" s="48" t="s">
        <v>22</v>
      </c>
      <c r="G625" s="48" t="s">
        <v>24</v>
      </c>
      <c r="H625" s="48" t="s">
        <v>22</v>
      </c>
      <c r="I625" s="48" t="s">
        <v>26</v>
      </c>
      <c r="J625" s="48">
        <v>1020055</v>
      </c>
      <c r="K625" s="50">
        <v>112626.99</v>
      </c>
      <c r="L625" s="50">
        <v>1</v>
      </c>
      <c r="M625" s="50">
        <v>112626.99</v>
      </c>
      <c r="N625" s="50">
        <v>112626.99</v>
      </c>
      <c r="O625" s="50">
        <v>0</v>
      </c>
      <c r="P625" s="50">
        <v>0</v>
      </c>
      <c r="Q625" s="87">
        <v>0</v>
      </c>
      <c r="R625" s="152">
        <v>0</v>
      </c>
      <c r="S625" s="174"/>
      <c r="T625" s="74">
        <v>45838</v>
      </c>
      <c r="U625" s="74">
        <v>45838</v>
      </c>
      <c r="V625" s="48"/>
      <c r="W625" s="48"/>
      <c r="X625" s="48"/>
      <c r="Y625" s="48">
        <v>0</v>
      </c>
      <c r="Z625" s="48"/>
      <c r="AA625" s="48" t="s">
        <v>21</v>
      </c>
      <c r="AB625" s="48" t="s">
        <v>27</v>
      </c>
      <c r="AC625" s="48" t="s">
        <v>311</v>
      </c>
      <c r="AD625" s="89" t="s">
        <v>845</v>
      </c>
    </row>
    <row r="626" spans="1:30" ht="15.75" hidden="1" x14ac:dyDescent="0.25">
      <c r="A626" s="48" t="s">
        <v>1410</v>
      </c>
      <c r="B626" s="74">
        <v>45804</v>
      </c>
      <c r="C626" s="48" t="s">
        <v>441</v>
      </c>
      <c r="D626" s="48" t="s">
        <v>20</v>
      </c>
      <c r="E626" s="48" t="s">
        <v>826</v>
      </c>
      <c r="F626" s="48" t="s">
        <v>22</v>
      </c>
      <c r="G626" s="48" t="s">
        <v>24</v>
      </c>
      <c r="H626" s="48" t="s">
        <v>22</v>
      </c>
      <c r="I626" s="48" t="s">
        <v>26</v>
      </c>
      <c r="J626" s="48">
        <v>1020055</v>
      </c>
      <c r="K626" s="50">
        <v>73962.710000000006</v>
      </c>
      <c r="L626" s="50">
        <v>1</v>
      </c>
      <c r="M626" s="50">
        <v>73962.710000000006</v>
      </c>
      <c r="N626" s="50">
        <v>73962.710000000006</v>
      </c>
      <c r="O626" s="50">
        <v>0</v>
      </c>
      <c r="P626" s="50">
        <v>0</v>
      </c>
      <c r="Q626" s="87">
        <v>0</v>
      </c>
      <c r="R626" s="152">
        <v>0</v>
      </c>
      <c r="S626" s="174"/>
      <c r="T626" s="74">
        <v>46022</v>
      </c>
      <c r="U626" s="74">
        <v>46022</v>
      </c>
      <c r="V626" s="48"/>
      <c r="W626" s="48"/>
      <c r="X626" s="48"/>
      <c r="Y626" s="48">
        <v>0</v>
      </c>
      <c r="Z626" s="48" t="s">
        <v>2397</v>
      </c>
      <c r="AA626" s="48" t="s">
        <v>21</v>
      </c>
      <c r="AB626" s="48" t="s">
        <v>27</v>
      </c>
      <c r="AC626" s="48" t="s">
        <v>621</v>
      </c>
      <c r="AD626" s="89" t="s">
        <v>845</v>
      </c>
    </row>
    <row r="627" spans="1:30" ht="15.75" hidden="1" x14ac:dyDescent="0.25">
      <c r="A627" s="48" t="s">
        <v>1447</v>
      </c>
      <c r="B627" s="74">
        <v>45811</v>
      </c>
      <c r="C627" s="48" t="s">
        <v>441</v>
      </c>
      <c r="D627" s="48" t="s">
        <v>20</v>
      </c>
      <c r="E627" s="48" t="s">
        <v>1416</v>
      </c>
      <c r="F627" s="48" t="s">
        <v>613</v>
      </c>
      <c r="G627" s="48" t="s">
        <v>24</v>
      </c>
      <c r="H627" s="48" t="s">
        <v>613</v>
      </c>
      <c r="I627" s="48" t="s">
        <v>26</v>
      </c>
      <c r="J627" s="48">
        <v>1020106</v>
      </c>
      <c r="K627" s="50">
        <v>2000097.25</v>
      </c>
      <c r="L627" s="50">
        <v>1</v>
      </c>
      <c r="M627" s="50">
        <v>2000097.25</v>
      </c>
      <c r="N627" s="50">
        <v>2000097.25</v>
      </c>
      <c r="O627" s="50">
        <v>0</v>
      </c>
      <c r="P627" s="50">
        <v>0</v>
      </c>
      <c r="Q627" s="87">
        <v>0</v>
      </c>
      <c r="R627" s="152">
        <v>0</v>
      </c>
      <c r="S627" s="174"/>
      <c r="T627" s="74">
        <v>46081</v>
      </c>
      <c r="U627" s="74">
        <v>46081</v>
      </c>
      <c r="V627" s="48"/>
      <c r="W627" s="48"/>
      <c r="X627" s="48"/>
      <c r="Y627" s="48">
        <v>0</v>
      </c>
      <c r="Z627" s="48"/>
      <c r="AA627" s="48" t="s">
        <v>612</v>
      </c>
      <c r="AB627" s="48" t="s">
        <v>27</v>
      </c>
      <c r="AC627" s="48" t="s">
        <v>311</v>
      </c>
      <c r="AD627" s="89" t="s">
        <v>845</v>
      </c>
    </row>
    <row r="628" spans="1:30" ht="15.75" hidden="1" x14ac:dyDescent="0.25">
      <c r="A628" s="48"/>
      <c r="B628" s="74">
        <v>46195</v>
      </c>
      <c r="C628" s="48" t="s">
        <v>441</v>
      </c>
      <c r="D628" s="48" t="s">
        <v>728</v>
      </c>
      <c r="E628" s="48" t="s">
        <v>5688</v>
      </c>
      <c r="F628" s="48" t="s">
        <v>613</v>
      </c>
      <c r="G628" s="48" t="s">
        <v>24</v>
      </c>
      <c r="H628" s="48" t="s">
        <v>613</v>
      </c>
      <c r="I628" s="48" t="s">
        <v>26</v>
      </c>
      <c r="J628" s="48">
        <v>1020106</v>
      </c>
      <c r="K628" s="50">
        <v>3422137.8</v>
      </c>
      <c r="L628" s="50">
        <v>1</v>
      </c>
      <c r="M628" s="50">
        <v>3422137.8</v>
      </c>
      <c r="N628" s="50">
        <v>0</v>
      </c>
      <c r="O628" s="50">
        <v>3422137.8</v>
      </c>
      <c r="P628" s="50">
        <v>0</v>
      </c>
      <c r="Q628" s="87">
        <v>3422137.8</v>
      </c>
      <c r="R628" s="152">
        <v>0</v>
      </c>
      <c r="S628" s="174"/>
      <c r="T628" s="74">
        <v>46295</v>
      </c>
      <c r="U628" s="74">
        <v>46295</v>
      </c>
      <c r="V628" s="48"/>
      <c r="W628" s="48"/>
      <c r="X628" s="48"/>
      <c r="Y628" s="48">
        <v>0</v>
      </c>
      <c r="Z628" s="48" t="s">
        <v>5691</v>
      </c>
      <c r="AA628" s="48" t="s">
        <v>612</v>
      </c>
      <c r="AB628" s="48" t="s">
        <v>27</v>
      </c>
      <c r="AC628" s="48" t="s">
        <v>1904</v>
      </c>
      <c r="AD628" s="89" t="s">
        <v>1026</v>
      </c>
    </row>
    <row r="629" spans="1:30" ht="15.75" hidden="1" x14ac:dyDescent="0.25">
      <c r="A629" s="48" t="s">
        <v>365</v>
      </c>
      <c r="B629" s="74">
        <v>45477</v>
      </c>
      <c r="C629" s="48" t="s">
        <v>1119</v>
      </c>
      <c r="D629" s="48" t="s">
        <v>20</v>
      </c>
      <c r="E629" s="48" t="s">
        <v>368</v>
      </c>
      <c r="F629" s="48" t="s">
        <v>367</v>
      </c>
      <c r="G629" s="48" t="s">
        <v>72</v>
      </c>
      <c r="H629" s="48" t="s">
        <v>367</v>
      </c>
      <c r="I629" s="48" t="s">
        <v>26</v>
      </c>
      <c r="J629" s="48">
        <v>1020091</v>
      </c>
      <c r="K629" s="50">
        <v>583175399</v>
      </c>
      <c r="L629" s="50">
        <v>1</v>
      </c>
      <c r="M629" s="50">
        <v>583175399</v>
      </c>
      <c r="N629" s="50">
        <v>576597366.8499999</v>
      </c>
      <c r="O629" s="50">
        <v>6578032.1500000004</v>
      </c>
      <c r="P629" s="50">
        <v>0</v>
      </c>
      <c r="Q629" s="87">
        <v>6578032.1500000004</v>
      </c>
      <c r="R629" s="152">
        <v>0</v>
      </c>
      <c r="S629" s="174"/>
      <c r="T629" s="74">
        <v>45808</v>
      </c>
      <c r="U629" s="74">
        <v>45808</v>
      </c>
      <c r="V629" s="48"/>
      <c r="W629" s="48"/>
      <c r="X629" s="48"/>
      <c r="Y629" s="48">
        <v>0</v>
      </c>
      <c r="Z629" s="48"/>
      <c r="AA629" s="48" t="s">
        <v>366</v>
      </c>
      <c r="AB629" s="48" t="s">
        <v>27</v>
      </c>
      <c r="AC629" s="48" t="s">
        <v>369</v>
      </c>
      <c r="AD629" s="89" t="s">
        <v>845</v>
      </c>
    </row>
    <row r="630" spans="1:30" ht="15.75" hidden="1" x14ac:dyDescent="0.25">
      <c r="A630" s="48" t="s">
        <v>1610</v>
      </c>
      <c r="B630" s="74">
        <v>45862</v>
      </c>
      <c r="C630" s="48" t="s">
        <v>3566</v>
      </c>
      <c r="D630" s="48" t="s">
        <v>20</v>
      </c>
      <c r="E630" s="48" t="s">
        <v>1556</v>
      </c>
      <c r="F630" s="48" t="s">
        <v>613</v>
      </c>
      <c r="G630" s="48" t="s">
        <v>72</v>
      </c>
      <c r="H630" s="48" t="s">
        <v>613</v>
      </c>
      <c r="I630" s="48" t="s">
        <v>26</v>
      </c>
      <c r="J630" s="48">
        <v>1020106</v>
      </c>
      <c r="K630" s="50">
        <v>12956001.199999999</v>
      </c>
      <c r="L630" s="50">
        <v>1</v>
      </c>
      <c r="M630" s="50">
        <v>12956001.199999999</v>
      </c>
      <c r="N630" s="50">
        <v>1509410.02</v>
      </c>
      <c r="O630" s="50">
        <v>11446591.18</v>
      </c>
      <c r="P630" s="50">
        <v>0</v>
      </c>
      <c r="Q630" s="87">
        <v>11446591.18</v>
      </c>
      <c r="R630" s="152">
        <v>0</v>
      </c>
      <c r="S630" s="174"/>
      <c r="T630" s="74">
        <v>46203</v>
      </c>
      <c r="U630" s="74">
        <v>46203</v>
      </c>
      <c r="V630" s="48"/>
      <c r="W630" s="48"/>
      <c r="X630" s="48"/>
      <c r="Y630" s="48">
        <v>0</v>
      </c>
      <c r="Z630" s="48"/>
      <c r="AA630" s="48" t="s">
        <v>612</v>
      </c>
      <c r="AB630" s="48" t="s">
        <v>27</v>
      </c>
      <c r="AC630" s="48" t="s">
        <v>425</v>
      </c>
      <c r="AD630" s="89" t="s">
        <v>1026</v>
      </c>
    </row>
    <row r="631" spans="1:30" ht="15.75" hidden="1" x14ac:dyDescent="0.25">
      <c r="A631" s="48" t="s">
        <v>1431</v>
      </c>
      <c r="B631" s="74">
        <v>45810</v>
      </c>
      <c r="C631" s="48" t="s">
        <v>441</v>
      </c>
      <c r="D631" s="48" t="s">
        <v>20</v>
      </c>
      <c r="E631" s="48" t="s">
        <v>1377</v>
      </c>
      <c r="F631" s="48" t="s">
        <v>710</v>
      </c>
      <c r="G631" s="48" t="s">
        <v>24</v>
      </c>
      <c r="H631" s="48" t="s">
        <v>710</v>
      </c>
      <c r="I631" s="48" t="s">
        <v>26</v>
      </c>
      <c r="J631" s="48">
        <v>1020088</v>
      </c>
      <c r="K631" s="50">
        <v>700000</v>
      </c>
      <c r="L631" s="50">
        <v>1</v>
      </c>
      <c r="M631" s="50">
        <v>700000</v>
      </c>
      <c r="N631" s="50">
        <v>667529.19999999995</v>
      </c>
      <c r="O631" s="50">
        <v>32470.799999999999</v>
      </c>
      <c r="P631" s="50">
        <v>0</v>
      </c>
      <c r="Q631" s="87">
        <v>32470.799999999999</v>
      </c>
      <c r="R631" s="152">
        <v>0</v>
      </c>
      <c r="S631" s="174"/>
      <c r="T631" s="74">
        <v>46022</v>
      </c>
      <c r="U631" s="74">
        <v>46022</v>
      </c>
      <c r="V631" s="48"/>
      <c r="W631" s="48"/>
      <c r="X631" s="48"/>
      <c r="Y631" s="48">
        <v>0</v>
      </c>
      <c r="Z631" s="48"/>
      <c r="AA631" s="48" t="s">
        <v>366</v>
      </c>
      <c r="AB631" s="48" t="s">
        <v>27</v>
      </c>
      <c r="AC631" s="48" t="s">
        <v>621</v>
      </c>
      <c r="AD631" s="89" t="s">
        <v>845</v>
      </c>
    </row>
    <row r="632" spans="1:30" ht="15.75" hidden="1" x14ac:dyDescent="0.25">
      <c r="A632" s="48" t="s">
        <v>1872</v>
      </c>
      <c r="B632" s="74">
        <v>45914</v>
      </c>
      <c r="C632" s="48" t="s">
        <v>441</v>
      </c>
      <c r="D632" s="48" t="s">
        <v>20</v>
      </c>
      <c r="E632" s="48" t="s">
        <v>1839</v>
      </c>
      <c r="F632" s="48" t="s">
        <v>710</v>
      </c>
      <c r="G632" s="48" t="s">
        <v>24</v>
      </c>
      <c r="H632" s="48" t="s">
        <v>710</v>
      </c>
      <c r="I632" s="48" t="s">
        <v>26</v>
      </c>
      <c r="J632" s="48">
        <v>1020088</v>
      </c>
      <c r="K632" s="50">
        <v>1200000</v>
      </c>
      <c r="L632" s="50">
        <v>1</v>
      </c>
      <c r="M632" s="50">
        <v>1200000</v>
      </c>
      <c r="N632" s="50">
        <v>1200000</v>
      </c>
      <c r="O632" s="50">
        <v>0</v>
      </c>
      <c r="P632" s="50">
        <v>0</v>
      </c>
      <c r="Q632" s="87">
        <v>0</v>
      </c>
      <c r="R632" s="152">
        <v>0</v>
      </c>
      <c r="S632" s="174"/>
      <c r="T632" s="74">
        <v>46081</v>
      </c>
      <c r="U632" s="74">
        <v>46081</v>
      </c>
      <c r="V632" s="48"/>
      <c r="W632" s="48"/>
      <c r="X632" s="48"/>
      <c r="Y632" s="48">
        <v>0</v>
      </c>
      <c r="Z632" s="48"/>
      <c r="AA632" s="48" t="s">
        <v>366</v>
      </c>
      <c r="AB632" s="48" t="s">
        <v>27</v>
      </c>
      <c r="AC632" s="48" t="s">
        <v>621</v>
      </c>
      <c r="AD632" s="89" t="s">
        <v>845</v>
      </c>
    </row>
    <row r="633" spans="1:30" ht="15.75" hidden="1" x14ac:dyDescent="0.25">
      <c r="A633" s="48" t="s">
        <v>3715</v>
      </c>
      <c r="B633" s="74">
        <v>46037</v>
      </c>
      <c r="C633" s="48" t="s">
        <v>441</v>
      </c>
      <c r="D633" s="48" t="s">
        <v>20</v>
      </c>
      <c r="E633" s="48" t="s">
        <v>3289</v>
      </c>
      <c r="F633" s="48" t="s">
        <v>710</v>
      </c>
      <c r="G633" s="48" t="s">
        <v>24</v>
      </c>
      <c r="H633" s="48" t="s">
        <v>710</v>
      </c>
      <c r="I633" s="48" t="s">
        <v>26</v>
      </c>
      <c r="J633" s="48">
        <v>1020088</v>
      </c>
      <c r="K633" s="50">
        <v>900000</v>
      </c>
      <c r="L633" s="50">
        <v>1</v>
      </c>
      <c r="M633" s="50">
        <v>900000</v>
      </c>
      <c r="N633" s="50">
        <v>0</v>
      </c>
      <c r="O633" s="50">
        <v>900000</v>
      </c>
      <c r="P633" s="50">
        <v>900000</v>
      </c>
      <c r="Q633" s="87">
        <v>0</v>
      </c>
      <c r="R633" s="152">
        <v>0</v>
      </c>
      <c r="S633" s="174" t="s">
        <v>4620</v>
      </c>
      <c r="T633" s="74">
        <v>46203</v>
      </c>
      <c r="U633" s="74">
        <v>46203</v>
      </c>
      <c r="V633" s="48"/>
      <c r="W633" s="48"/>
      <c r="X633" s="48"/>
      <c r="Y633" s="48">
        <v>0</v>
      </c>
      <c r="Z633" s="48"/>
      <c r="AA633" s="48" t="s">
        <v>366</v>
      </c>
      <c r="AB633" s="48" t="s">
        <v>27</v>
      </c>
      <c r="AC633" s="48" t="s">
        <v>1904</v>
      </c>
      <c r="AD633" s="89" t="s">
        <v>1026</v>
      </c>
    </row>
    <row r="634" spans="1:30" ht="15.75" hidden="1" x14ac:dyDescent="0.25">
      <c r="A634" s="48" t="s">
        <v>776</v>
      </c>
      <c r="B634" s="74">
        <v>45726</v>
      </c>
      <c r="C634" s="48" t="s">
        <v>441</v>
      </c>
      <c r="D634" s="48" t="s">
        <v>20</v>
      </c>
      <c r="E634" s="48" t="s">
        <v>777</v>
      </c>
      <c r="F634" s="48" t="s">
        <v>710</v>
      </c>
      <c r="G634" s="48" t="s">
        <v>24</v>
      </c>
      <c r="H634" s="48" t="s">
        <v>710</v>
      </c>
      <c r="I634" s="48" t="s">
        <v>26</v>
      </c>
      <c r="J634" s="48">
        <v>1020088</v>
      </c>
      <c r="K634" s="50">
        <v>500000</v>
      </c>
      <c r="L634" s="50">
        <v>1</v>
      </c>
      <c r="M634" s="50">
        <v>500000</v>
      </c>
      <c r="N634" s="50">
        <v>500000</v>
      </c>
      <c r="O634" s="50">
        <v>0</v>
      </c>
      <c r="P634" s="50">
        <v>0</v>
      </c>
      <c r="Q634" s="87">
        <v>0</v>
      </c>
      <c r="R634" s="152">
        <v>0</v>
      </c>
      <c r="S634" s="174"/>
      <c r="T634" s="74">
        <v>45961</v>
      </c>
      <c r="U634" s="74">
        <v>45961</v>
      </c>
      <c r="V634" s="48"/>
      <c r="W634" s="48"/>
      <c r="X634" s="48"/>
      <c r="Y634" s="48">
        <v>0</v>
      </c>
      <c r="Z634" s="48"/>
      <c r="AA634" s="48" t="s">
        <v>366</v>
      </c>
      <c r="AB634" s="48" t="s">
        <v>27</v>
      </c>
      <c r="AC634" s="48" t="s">
        <v>311</v>
      </c>
      <c r="AD634" s="89" t="s">
        <v>845</v>
      </c>
    </row>
    <row r="635" spans="1:30" ht="15.75" hidden="1" x14ac:dyDescent="0.25">
      <c r="A635" s="48" t="s">
        <v>4252</v>
      </c>
      <c r="B635" s="74">
        <v>46086</v>
      </c>
      <c r="C635" s="48" t="s">
        <v>441</v>
      </c>
      <c r="D635" s="48" t="s">
        <v>20</v>
      </c>
      <c r="E635" s="48" t="s">
        <v>4135</v>
      </c>
      <c r="F635" s="48" t="s">
        <v>710</v>
      </c>
      <c r="G635" s="48" t="s">
        <v>24</v>
      </c>
      <c r="H635" s="48" t="s">
        <v>710</v>
      </c>
      <c r="I635" s="48" t="s">
        <v>26</v>
      </c>
      <c r="J635" s="48">
        <v>1020088</v>
      </c>
      <c r="K635" s="50">
        <v>398652.54</v>
      </c>
      <c r="L635" s="50">
        <v>1</v>
      </c>
      <c r="M635" s="50">
        <v>398652.54</v>
      </c>
      <c r="N635" s="50">
        <v>0</v>
      </c>
      <c r="O635" s="50">
        <v>398652.54</v>
      </c>
      <c r="P635" s="50">
        <v>0</v>
      </c>
      <c r="Q635" s="87">
        <v>398652.54</v>
      </c>
      <c r="R635" s="152">
        <v>0</v>
      </c>
      <c r="S635" s="174"/>
      <c r="T635" s="74">
        <v>46265</v>
      </c>
      <c r="U635" s="74">
        <v>46265</v>
      </c>
      <c r="V635" s="48"/>
      <c r="W635" s="48"/>
      <c r="X635" s="48"/>
      <c r="Y635" s="48">
        <v>0</v>
      </c>
      <c r="Z635" s="48"/>
      <c r="AA635" s="48" t="s">
        <v>366</v>
      </c>
      <c r="AB635" s="48" t="s">
        <v>27</v>
      </c>
      <c r="AC635" s="48" t="s">
        <v>1904</v>
      </c>
      <c r="AD635" s="89" t="s">
        <v>1026</v>
      </c>
    </row>
    <row r="636" spans="1:30" ht="15.75" hidden="1" x14ac:dyDescent="0.25">
      <c r="A636" s="48" t="s">
        <v>1409</v>
      </c>
      <c r="B636" s="74">
        <v>45804</v>
      </c>
      <c r="C636" s="48" t="s">
        <v>441</v>
      </c>
      <c r="D636" s="48" t="s">
        <v>20</v>
      </c>
      <c r="E636" s="48" t="s">
        <v>1359</v>
      </c>
      <c r="F636" s="48" t="s">
        <v>22</v>
      </c>
      <c r="G636" s="48" t="s">
        <v>24</v>
      </c>
      <c r="H636" s="48" t="s">
        <v>22</v>
      </c>
      <c r="I636" s="48" t="s">
        <v>26</v>
      </c>
      <c r="J636" s="48">
        <v>1020055</v>
      </c>
      <c r="K636" s="50">
        <v>300000</v>
      </c>
      <c r="L636" s="50">
        <v>1</v>
      </c>
      <c r="M636" s="50">
        <v>300000</v>
      </c>
      <c r="N636" s="50">
        <v>300000</v>
      </c>
      <c r="O636" s="50">
        <v>0</v>
      </c>
      <c r="P636" s="50">
        <v>0</v>
      </c>
      <c r="Q636" s="87">
        <v>0</v>
      </c>
      <c r="R636" s="152">
        <v>0</v>
      </c>
      <c r="S636" s="174"/>
      <c r="T636" s="74">
        <v>45900</v>
      </c>
      <c r="U636" s="74">
        <v>45900</v>
      </c>
      <c r="V636" s="48"/>
      <c r="W636" s="48"/>
      <c r="X636" s="48"/>
      <c r="Y636" s="48">
        <v>0</v>
      </c>
      <c r="Z636" s="48"/>
      <c r="AA636" s="48" t="s">
        <v>21</v>
      </c>
      <c r="AB636" s="48" t="s">
        <v>27</v>
      </c>
      <c r="AC636" s="48" t="s">
        <v>621</v>
      </c>
      <c r="AD636" s="89" t="s">
        <v>845</v>
      </c>
    </row>
    <row r="637" spans="1:30" ht="15.75" hidden="1" x14ac:dyDescent="0.25">
      <c r="A637" s="48" t="s">
        <v>665</v>
      </c>
      <c r="B637" s="74">
        <v>45680</v>
      </c>
      <c r="C637" s="48" t="s">
        <v>441</v>
      </c>
      <c r="D637" s="48" t="s">
        <v>20</v>
      </c>
      <c r="E637" s="48" t="s">
        <v>666</v>
      </c>
      <c r="F637" s="48" t="s">
        <v>22</v>
      </c>
      <c r="G637" s="48" t="s">
        <v>24</v>
      </c>
      <c r="H637" s="48" t="s">
        <v>22</v>
      </c>
      <c r="I637" s="48" t="s">
        <v>26</v>
      </c>
      <c r="J637" s="48">
        <v>1020055</v>
      </c>
      <c r="K637" s="50">
        <v>400000</v>
      </c>
      <c r="L637" s="50">
        <v>1</v>
      </c>
      <c r="M637" s="50">
        <v>400000</v>
      </c>
      <c r="N637" s="50">
        <v>400000</v>
      </c>
      <c r="O637" s="50">
        <v>0</v>
      </c>
      <c r="P637" s="50">
        <v>0</v>
      </c>
      <c r="Q637" s="87">
        <v>0</v>
      </c>
      <c r="R637" s="152">
        <v>0</v>
      </c>
      <c r="S637" s="174"/>
      <c r="T637" s="74">
        <v>45777</v>
      </c>
      <c r="U637" s="74">
        <v>45777</v>
      </c>
      <c r="V637" s="48"/>
      <c r="W637" s="48"/>
      <c r="X637" s="48"/>
      <c r="Y637" s="48">
        <v>0</v>
      </c>
      <c r="Z637" s="48"/>
      <c r="AA637" s="48" t="s">
        <v>21</v>
      </c>
      <c r="AB637" s="48" t="s">
        <v>27</v>
      </c>
      <c r="AC637" s="48" t="s">
        <v>311</v>
      </c>
      <c r="AD637" s="89" t="s">
        <v>845</v>
      </c>
    </row>
    <row r="638" spans="1:30" ht="15.75" hidden="1" x14ac:dyDescent="0.25">
      <c r="A638" s="48" t="s">
        <v>1347</v>
      </c>
      <c r="B638" s="74">
        <v>45792</v>
      </c>
      <c r="C638" s="48" t="s">
        <v>441</v>
      </c>
      <c r="D638" s="48" t="s">
        <v>20</v>
      </c>
      <c r="E638" s="48" t="s">
        <v>666</v>
      </c>
      <c r="F638" s="48" t="s">
        <v>22</v>
      </c>
      <c r="G638" s="48" t="s">
        <v>24</v>
      </c>
      <c r="H638" s="48" t="s">
        <v>22</v>
      </c>
      <c r="I638" s="48" t="s">
        <v>26</v>
      </c>
      <c r="J638" s="48">
        <v>1020055</v>
      </c>
      <c r="K638" s="50">
        <v>254390</v>
      </c>
      <c r="L638" s="50">
        <v>1</v>
      </c>
      <c r="M638" s="50">
        <v>254390</v>
      </c>
      <c r="N638" s="50">
        <v>254390</v>
      </c>
      <c r="O638" s="50">
        <v>0</v>
      </c>
      <c r="P638" s="50">
        <v>0</v>
      </c>
      <c r="Q638" s="87">
        <v>0</v>
      </c>
      <c r="R638" s="152">
        <v>0</v>
      </c>
      <c r="S638" s="174"/>
      <c r="T638" s="74">
        <v>45961</v>
      </c>
      <c r="U638" s="74">
        <v>45961</v>
      </c>
      <c r="V638" s="48"/>
      <c r="W638" s="48"/>
      <c r="X638" s="48"/>
      <c r="Y638" s="48">
        <v>0</v>
      </c>
      <c r="Z638" s="48" t="s">
        <v>1846</v>
      </c>
      <c r="AA638" s="48" t="s">
        <v>21</v>
      </c>
      <c r="AB638" s="48" t="s">
        <v>27</v>
      </c>
      <c r="AC638" s="48" t="s">
        <v>621</v>
      </c>
      <c r="AD638" s="89" t="s">
        <v>845</v>
      </c>
    </row>
    <row r="639" spans="1:30" ht="15.75" hidden="1" x14ac:dyDescent="0.25">
      <c r="A639" s="48" t="s">
        <v>258</v>
      </c>
      <c r="B639" s="74">
        <v>45292</v>
      </c>
      <c r="C639" s="48" t="s">
        <v>441</v>
      </c>
      <c r="D639" s="48" t="s">
        <v>20</v>
      </c>
      <c r="E639" s="48" t="s">
        <v>259</v>
      </c>
      <c r="F639" s="48" t="s">
        <v>22</v>
      </c>
      <c r="G639" s="48" t="s">
        <v>24</v>
      </c>
      <c r="H639" s="48" t="s">
        <v>22</v>
      </c>
      <c r="I639" s="48" t="s">
        <v>26</v>
      </c>
      <c r="J639" s="48">
        <v>1020055</v>
      </c>
      <c r="K639" s="50">
        <v>2846250</v>
      </c>
      <c r="L639" s="50">
        <v>1</v>
      </c>
      <c r="M639" s="50">
        <v>2846250</v>
      </c>
      <c r="N639" s="50">
        <v>2277000</v>
      </c>
      <c r="O639" s="50">
        <v>569250</v>
      </c>
      <c r="P639" s="50">
        <v>0</v>
      </c>
      <c r="Q639" s="87">
        <v>569250</v>
      </c>
      <c r="R639" s="152">
        <v>0</v>
      </c>
      <c r="S639" s="174"/>
      <c r="T639" s="74">
        <v>45688</v>
      </c>
      <c r="U639" s="74">
        <v>45667</v>
      </c>
      <c r="V639" s="48"/>
      <c r="W639" s="48"/>
      <c r="X639" s="48"/>
      <c r="Y639" s="48">
        <v>0</v>
      </c>
      <c r="Z639" s="48"/>
      <c r="AA639" s="48" t="s">
        <v>21</v>
      </c>
      <c r="AB639" s="48" t="s">
        <v>27</v>
      </c>
      <c r="AC639" s="48" t="s">
        <v>117</v>
      </c>
      <c r="AD639" s="89" t="s">
        <v>845</v>
      </c>
    </row>
    <row r="640" spans="1:30" ht="15.75" hidden="1" x14ac:dyDescent="0.25">
      <c r="A640" s="48" t="s">
        <v>1685</v>
      </c>
      <c r="B640" s="74">
        <v>45874</v>
      </c>
      <c r="C640" s="48" t="s">
        <v>1119</v>
      </c>
      <c r="D640" s="48" t="s">
        <v>20</v>
      </c>
      <c r="E640" s="48" t="s">
        <v>1644</v>
      </c>
      <c r="F640" s="48" t="s">
        <v>367</v>
      </c>
      <c r="G640" s="48" t="s">
        <v>24</v>
      </c>
      <c r="H640" s="48" t="s">
        <v>367</v>
      </c>
      <c r="I640" s="48" t="s">
        <v>26</v>
      </c>
      <c r="J640" s="48">
        <v>1020091</v>
      </c>
      <c r="K640" s="50">
        <v>1400000</v>
      </c>
      <c r="L640" s="50">
        <v>1</v>
      </c>
      <c r="M640" s="50">
        <v>1400000</v>
      </c>
      <c r="N640" s="50">
        <v>1400000</v>
      </c>
      <c r="O640" s="50">
        <v>0</v>
      </c>
      <c r="P640" s="50">
        <v>0</v>
      </c>
      <c r="Q640" s="87">
        <v>0</v>
      </c>
      <c r="R640" s="152">
        <v>0</v>
      </c>
      <c r="S640" s="174"/>
      <c r="T640" s="74">
        <v>45961</v>
      </c>
      <c r="U640" s="74">
        <v>45961</v>
      </c>
      <c r="V640" s="48"/>
      <c r="W640" s="48"/>
      <c r="X640" s="48"/>
      <c r="Y640" s="48">
        <v>0</v>
      </c>
      <c r="Z640" s="48"/>
      <c r="AA640" s="48" t="s">
        <v>366</v>
      </c>
      <c r="AB640" s="48" t="s">
        <v>27</v>
      </c>
      <c r="AC640" s="48" t="s">
        <v>1624</v>
      </c>
      <c r="AD640" s="89" t="s">
        <v>845</v>
      </c>
    </row>
    <row r="641" spans="1:30" ht="15.75" hidden="1" x14ac:dyDescent="0.25">
      <c r="A641" s="48" t="s">
        <v>1345</v>
      </c>
      <c r="B641" s="74">
        <v>45792</v>
      </c>
      <c r="C641" s="48" t="s">
        <v>441</v>
      </c>
      <c r="D641" s="48" t="s">
        <v>20</v>
      </c>
      <c r="E641" s="48" t="s">
        <v>1325</v>
      </c>
      <c r="F641" s="48" t="s">
        <v>22</v>
      </c>
      <c r="G641" s="48" t="s">
        <v>24</v>
      </c>
      <c r="H641" s="48" t="s">
        <v>22</v>
      </c>
      <c r="I641" s="48" t="s">
        <v>26</v>
      </c>
      <c r="J641" s="48">
        <v>1020055</v>
      </c>
      <c r="K641" s="50">
        <v>365762.69</v>
      </c>
      <c r="L641" s="50">
        <v>1</v>
      </c>
      <c r="M641" s="50">
        <v>365762.69</v>
      </c>
      <c r="N641" s="50">
        <v>365762.69</v>
      </c>
      <c r="O641" s="50">
        <v>0</v>
      </c>
      <c r="P641" s="50">
        <v>0</v>
      </c>
      <c r="Q641" s="87">
        <v>0</v>
      </c>
      <c r="R641" s="152">
        <v>0</v>
      </c>
      <c r="S641" s="174"/>
      <c r="T641" s="74">
        <v>45900</v>
      </c>
      <c r="U641" s="74">
        <v>45900</v>
      </c>
      <c r="V641" s="48"/>
      <c r="W641" s="48"/>
      <c r="X641" s="48"/>
      <c r="Y641" s="48">
        <v>0</v>
      </c>
      <c r="Z641" s="48"/>
      <c r="AA641" s="48" t="s">
        <v>21</v>
      </c>
      <c r="AB641" s="48" t="s">
        <v>27</v>
      </c>
      <c r="AC641" s="48" t="s">
        <v>621</v>
      </c>
      <c r="AD641" s="89" t="s">
        <v>845</v>
      </c>
    </row>
    <row r="642" spans="1:30" ht="15.75" hidden="1" x14ac:dyDescent="0.25">
      <c r="A642" s="48" t="s">
        <v>1669</v>
      </c>
      <c r="B642" s="74">
        <v>45872</v>
      </c>
      <c r="C642" s="48" t="s">
        <v>1119</v>
      </c>
      <c r="D642" s="48" t="s">
        <v>20</v>
      </c>
      <c r="E642" s="48" t="s">
        <v>1633</v>
      </c>
      <c r="F642" s="48" t="s">
        <v>367</v>
      </c>
      <c r="G642" s="48" t="s">
        <v>24</v>
      </c>
      <c r="H642" s="48" t="s">
        <v>367</v>
      </c>
      <c r="I642" s="48" t="s">
        <v>26</v>
      </c>
      <c r="J642" s="48">
        <v>1020091</v>
      </c>
      <c r="K642" s="50">
        <v>273781</v>
      </c>
      <c r="L642" s="50">
        <v>1</v>
      </c>
      <c r="M642" s="50">
        <v>273781</v>
      </c>
      <c r="N642" s="50">
        <v>273781</v>
      </c>
      <c r="O642" s="50">
        <v>0</v>
      </c>
      <c r="P642" s="50">
        <v>0</v>
      </c>
      <c r="Q642" s="87">
        <v>0</v>
      </c>
      <c r="R642" s="152">
        <v>0</v>
      </c>
      <c r="S642" s="174"/>
      <c r="T642" s="74">
        <v>45961</v>
      </c>
      <c r="U642" s="74">
        <v>45961</v>
      </c>
      <c r="V642" s="48"/>
      <c r="W642" s="48"/>
      <c r="X642" s="48"/>
      <c r="Y642" s="48">
        <v>0</v>
      </c>
      <c r="Z642" s="48"/>
      <c r="AA642" s="48" t="s">
        <v>366</v>
      </c>
      <c r="AB642" s="48" t="s">
        <v>27</v>
      </c>
      <c r="AC642" s="48" t="s">
        <v>1624</v>
      </c>
      <c r="AD642" s="89" t="s">
        <v>845</v>
      </c>
    </row>
    <row r="643" spans="1:30" ht="15.75" hidden="1" x14ac:dyDescent="0.25">
      <c r="A643" s="48" t="s">
        <v>1255</v>
      </c>
      <c r="B643" s="74">
        <v>45760</v>
      </c>
      <c r="C643" s="48" t="s">
        <v>441</v>
      </c>
      <c r="D643" s="48" t="s">
        <v>20</v>
      </c>
      <c r="E643" s="48" t="s">
        <v>837</v>
      </c>
      <c r="F643" s="48" t="s">
        <v>710</v>
      </c>
      <c r="G643" s="48" t="s">
        <v>24</v>
      </c>
      <c r="H643" s="48" t="s">
        <v>710</v>
      </c>
      <c r="I643" s="48" t="s">
        <v>26</v>
      </c>
      <c r="J643" s="48">
        <v>1020088</v>
      </c>
      <c r="K643" s="50">
        <v>475009.53</v>
      </c>
      <c r="L643" s="50">
        <v>1</v>
      </c>
      <c r="M643" s="50">
        <v>475009.53</v>
      </c>
      <c r="N643" s="50">
        <v>475009.52</v>
      </c>
      <c r="O643" s="50">
        <v>0.01</v>
      </c>
      <c r="P643" s="50">
        <v>0</v>
      </c>
      <c r="Q643" s="87">
        <v>0.01</v>
      </c>
      <c r="R643" s="152">
        <v>0</v>
      </c>
      <c r="S643" s="174"/>
      <c r="T643" s="74">
        <v>45838</v>
      </c>
      <c r="U643" s="74">
        <v>45838</v>
      </c>
      <c r="V643" s="48"/>
      <c r="W643" s="48"/>
      <c r="X643" s="48"/>
      <c r="Y643" s="48">
        <v>0</v>
      </c>
      <c r="Z643" s="48"/>
      <c r="AA643" s="48" t="s">
        <v>366</v>
      </c>
      <c r="AB643" s="48" t="s">
        <v>27</v>
      </c>
      <c r="AC643" s="48" t="s">
        <v>311</v>
      </c>
      <c r="AD643" s="89" t="s">
        <v>845</v>
      </c>
    </row>
    <row r="644" spans="1:30" ht="15.75" hidden="1" x14ac:dyDescent="0.25">
      <c r="A644" s="48" t="s">
        <v>2916</v>
      </c>
      <c r="B644" s="74">
        <v>45994</v>
      </c>
      <c r="C644" s="48" t="s">
        <v>441</v>
      </c>
      <c r="D644" s="48" t="s">
        <v>20</v>
      </c>
      <c r="E644" s="48" t="s">
        <v>2799</v>
      </c>
      <c r="F644" s="48" t="s">
        <v>710</v>
      </c>
      <c r="G644" s="48" t="s">
        <v>24</v>
      </c>
      <c r="H644" s="48" t="s">
        <v>710</v>
      </c>
      <c r="I644" s="48" t="s">
        <v>26</v>
      </c>
      <c r="J644" s="48">
        <v>1020088</v>
      </c>
      <c r="K644" s="50">
        <v>1900037.67</v>
      </c>
      <c r="L644" s="50">
        <v>1</v>
      </c>
      <c r="M644" s="50">
        <v>1900037.67</v>
      </c>
      <c r="N644" s="50">
        <v>1900037.67</v>
      </c>
      <c r="O644" s="50">
        <v>0</v>
      </c>
      <c r="P644" s="50">
        <v>0</v>
      </c>
      <c r="Q644" s="87">
        <v>0</v>
      </c>
      <c r="R644" s="152">
        <v>0</v>
      </c>
      <c r="S644" s="174"/>
      <c r="T644" s="74">
        <v>46081</v>
      </c>
      <c r="U644" s="74">
        <v>46081</v>
      </c>
      <c r="V644" s="48"/>
      <c r="W644" s="48"/>
      <c r="X644" s="48"/>
      <c r="Y644" s="48">
        <v>0</v>
      </c>
      <c r="Z644" s="48"/>
      <c r="AA644" s="48" t="s">
        <v>366</v>
      </c>
      <c r="AB644" s="48" t="s">
        <v>27</v>
      </c>
      <c r="AC644" s="48" t="s">
        <v>621</v>
      </c>
      <c r="AD644" s="89" t="s">
        <v>845</v>
      </c>
    </row>
    <row r="645" spans="1:30" ht="15.75" hidden="1" x14ac:dyDescent="0.25">
      <c r="A645" s="48" t="s">
        <v>4549</v>
      </c>
      <c r="B645" s="74">
        <v>46118</v>
      </c>
      <c r="C645" s="48" t="s">
        <v>441</v>
      </c>
      <c r="D645" s="48" t="s">
        <v>20</v>
      </c>
      <c r="E645" s="48" t="s">
        <v>2799</v>
      </c>
      <c r="F645" s="48" t="s">
        <v>710</v>
      </c>
      <c r="G645" s="48" t="s">
        <v>24</v>
      </c>
      <c r="H645" s="48" t="s">
        <v>710</v>
      </c>
      <c r="I645" s="48" t="s">
        <v>26</v>
      </c>
      <c r="J645" s="48">
        <v>1020088</v>
      </c>
      <c r="K645" s="50">
        <v>450000</v>
      </c>
      <c r="L645" s="50">
        <v>1</v>
      </c>
      <c r="M645" s="50">
        <v>450000</v>
      </c>
      <c r="N645" s="50">
        <v>0</v>
      </c>
      <c r="O645" s="50">
        <v>450000</v>
      </c>
      <c r="P645" s="50">
        <v>312768.11</v>
      </c>
      <c r="Q645" s="87">
        <v>137231.89000000001</v>
      </c>
      <c r="R645" s="152">
        <v>0</v>
      </c>
      <c r="S645" s="174" t="s">
        <v>5081</v>
      </c>
      <c r="T645" s="74">
        <v>46203</v>
      </c>
      <c r="U645" s="74">
        <v>46203</v>
      </c>
      <c r="V645" s="48"/>
      <c r="W645" s="48"/>
      <c r="X645" s="48"/>
      <c r="Y645" s="48">
        <v>0</v>
      </c>
      <c r="Z645" s="48"/>
      <c r="AA645" s="48" t="s">
        <v>366</v>
      </c>
      <c r="AB645" s="48" t="s">
        <v>27</v>
      </c>
      <c r="AC645" s="48" t="s">
        <v>4493</v>
      </c>
      <c r="AD645" s="89" t="s">
        <v>1026</v>
      </c>
    </row>
    <row r="646" spans="1:30" ht="15.75" hidden="1" x14ac:dyDescent="0.25">
      <c r="A646" s="48" t="s">
        <v>195</v>
      </c>
      <c r="B646" s="74">
        <v>45167</v>
      </c>
      <c r="C646" s="48" t="s">
        <v>441</v>
      </c>
      <c r="D646" s="48" t="s">
        <v>20</v>
      </c>
      <c r="E646" s="48" t="s">
        <v>196</v>
      </c>
      <c r="F646" s="48" t="s">
        <v>22</v>
      </c>
      <c r="G646" s="48" t="s">
        <v>24</v>
      </c>
      <c r="H646" s="48" t="s">
        <v>22</v>
      </c>
      <c r="I646" s="48" t="s">
        <v>26</v>
      </c>
      <c r="J646" s="48">
        <v>1020055</v>
      </c>
      <c r="K646" s="50">
        <v>500000</v>
      </c>
      <c r="L646" s="50">
        <v>1</v>
      </c>
      <c r="M646" s="50">
        <v>500000</v>
      </c>
      <c r="N646" s="50">
        <v>500000</v>
      </c>
      <c r="O646" s="50">
        <v>0</v>
      </c>
      <c r="P646" s="50">
        <v>0</v>
      </c>
      <c r="Q646" s="87">
        <v>0</v>
      </c>
      <c r="R646" s="152">
        <v>0</v>
      </c>
      <c r="S646" s="174"/>
      <c r="T646" s="74">
        <v>45260</v>
      </c>
      <c r="U646" s="74">
        <v>45260</v>
      </c>
      <c r="V646" s="48"/>
      <c r="W646" s="48"/>
      <c r="X646" s="48"/>
      <c r="Y646" s="48">
        <v>0</v>
      </c>
      <c r="Z646" s="48"/>
      <c r="AA646" s="48" t="s">
        <v>21</v>
      </c>
      <c r="AB646" s="48" t="s">
        <v>27</v>
      </c>
      <c r="AC646" s="48" t="s">
        <v>35</v>
      </c>
      <c r="AD646" s="89" t="s">
        <v>845</v>
      </c>
    </row>
    <row r="647" spans="1:30" ht="15.75" hidden="1" x14ac:dyDescent="0.25">
      <c r="A647" s="48" t="s">
        <v>2620</v>
      </c>
      <c r="B647" s="74">
        <v>45973</v>
      </c>
      <c r="C647" s="48" t="s">
        <v>441</v>
      </c>
      <c r="D647" s="48" t="s">
        <v>20</v>
      </c>
      <c r="E647" s="48" t="s">
        <v>2564</v>
      </c>
      <c r="F647" s="48" t="s">
        <v>22</v>
      </c>
      <c r="G647" s="48" t="s">
        <v>24</v>
      </c>
      <c r="H647" s="48" t="s">
        <v>22</v>
      </c>
      <c r="I647" s="48" t="s">
        <v>26</v>
      </c>
      <c r="J647" s="48">
        <v>1020055</v>
      </c>
      <c r="K647" s="50">
        <v>565057.47</v>
      </c>
      <c r="L647" s="50">
        <v>1</v>
      </c>
      <c r="M647" s="50">
        <v>565057.47</v>
      </c>
      <c r="N647" s="50">
        <v>332244.19</v>
      </c>
      <c r="O647" s="50">
        <v>232813.28</v>
      </c>
      <c r="P647" s="50">
        <v>0</v>
      </c>
      <c r="Q647" s="87">
        <v>232813.28</v>
      </c>
      <c r="R647" s="152">
        <v>0</v>
      </c>
      <c r="S647" s="174"/>
      <c r="T647" s="74">
        <v>46203</v>
      </c>
      <c r="U647" s="74">
        <v>46203</v>
      </c>
      <c r="V647" s="48"/>
      <c r="W647" s="48"/>
      <c r="X647" s="48"/>
      <c r="Y647" s="48">
        <v>0</v>
      </c>
      <c r="Z647" s="48"/>
      <c r="AA647" s="48" t="s">
        <v>21</v>
      </c>
      <c r="AB647" s="48" t="s">
        <v>27</v>
      </c>
      <c r="AC647" s="48" t="s">
        <v>1904</v>
      </c>
      <c r="AD647" s="89" t="s">
        <v>1026</v>
      </c>
    </row>
    <row r="648" spans="1:30" ht="15.75" hidden="1" x14ac:dyDescent="0.25">
      <c r="A648" s="48" t="s">
        <v>1639</v>
      </c>
      <c r="B648" s="74">
        <v>45867</v>
      </c>
      <c r="C648" s="48" t="s">
        <v>509</v>
      </c>
      <c r="D648" s="48" t="s">
        <v>20</v>
      </c>
      <c r="E648" s="48" t="s">
        <v>1582</v>
      </c>
      <c r="F648" s="48" t="s">
        <v>96</v>
      </c>
      <c r="G648" s="48" t="s">
        <v>72</v>
      </c>
      <c r="H648" s="48" t="s">
        <v>511</v>
      </c>
      <c r="I648" s="48" t="s">
        <v>26</v>
      </c>
      <c r="J648" s="48">
        <v>1020107</v>
      </c>
      <c r="K648" s="50">
        <v>2826301.05</v>
      </c>
      <c r="L648" s="50">
        <v>1</v>
      </c>
      <c r="M648" s="50">
        <v>2826301.05</v>
      </c>
      <c r="N648" s="50">
        <v>1261168.18</v>
      </c>
      <c r="O648" s="50">
        <v>1565132.87</v>
      </c>
      <c r="P648" s="50">
        <v>0</v>
      </c>
      <c r="Q648" s="87">
        <v>1565132.87</v>
      </c>
      <c r="R648" s="152">
        <v>0</v>
      </c>
      <c r="S648" s="174"/>
      <c r="T648" s="74">
        <v>46234</v>
      </c>
      <c r="U648" s="74">
        <v>46234</v>
      </c>
      <c r="V648" s="48"/>
      <c r="W648" s="48"/>
      <c r="X648" s="48"/>
      <c r="Y648" s="48">
        <v>0</v>
      </c>
      <c r="Z648" s="48"/>
      <c r="AA648" s="48" t="s">
        <v>95</v>
      </c>
      <c r="AB648" s="48" t="s">
        <v>27</v>
      </c>
      <c r="AC648" s="48" t="s">
        <v>1338</v>
      </c>
      <c r="AD648" s="89" t="s">
        <v>1026</v>
      </c>
    </row>
    <row r="649" spans="1:30" ht="15.75" hidden="1" x14ac:dyDescent="0.25">
      <c r="A649" s="48" t="s">
        <v>1781</v>
      </c>
      <c r="B649" s="74">
        <v>45888</v>
      </c>
      <c r="C649" s="48" t="s">
        <v>1727</v>
      </c>
      <c r="D649" s="48" t="s">
        <v>20</v>
      </c>
      <c r="E649" s="48" t="s">
        <v>1723</v>
      </c>
      <c r="F649" s="48" t="s">
        <v>70</v>
      </c>
      <c r="G649" s="48" t="s">
        <v>869</v>
      </c>
      <c r="H649" s="48" t="s">
        <v>1762</v>
      </c>
      <c r="I649" s="48" t="s">
        <v>26</v>
      </c>
      <c r="J649" s="48"/>
      <c r="K649" s="50">
        <v>355517.15</v>
      </c>
      <c r="L649" s="50">
        <v>1</v>
      </c>
      <c r="M649" s="50">
        <v>355517.15</v>
      </c>
      <c r="N649" s="50">
        <v>355517.15</v>
      </c>
      <c r="O649" s="50">
        <v>0</v>
      </c>
      <c r="P649" s="50">
        <v>0</v>
      </c>
      <c r="Q649" s="87">
        <v>0</v>
      </c>
      <c r="R649" s="152">
        <v>0</v>
      </c>
      <c r="S649" s="174"/>
      <c r="T649" s="74">
        <v>45930</v>
      </c>
      <c r="U649" s="74">
        <v>45915</v>
      </c>
      <c r="V649" s="48"/>
      <c r="W649" s="48"/>
      <c r="X649" s="48"/>
      <c r="Y649" s="48"/>
      <c r="Z649" s="48"/>
      <c r="AA649" s="48" t="s">
        <v>62</v>
      </c>
      <c r="AB649" s="48" t="s">
        <v>70</v>
      </c>
      <c r="AC649" s="48" t="s">
        <v>208</v>
      </c>
      <c r="AD649" s="89" t="s">
        <v>845</v>
      </c>
    </row>
    <row r="650" spans="1:30" ht="15.75" hidden="1" x14ac:dyDescent="0.25">
      <c r="A650" s="48" t="s">
        <v>411</v>
      </c>
      <c r="B650" s="74">
        <v>45572</v>
      </c>
      <c r="C650" s="48"/>
      <c r="D650" s="48" t="s">
        <v>20</v>
      </c>
      <c r="E650" s="48" t="s">
        <v>412</v>
      </c>
      <c r="F650" s="48" t="s">
        <v>96</v>
      </c>
      <c r="G650" s="48" t="s">
        <v>24</v>
      </c>
      <c r="H650" s="48" t="s">
        <v>413</v>
      </c>
      <c r="I650" s="48" t="s">
        <v>26</v>
      </c>
      <c r="J650" s="48"/>
      <c r="K650" s="50">
        <v>1978910.18</v>
      </c>
      <c r="L650" s="50">
        <v>1</v>
      </c>
      <c r="M650" s="50">
        <v>1978910.18</v>
      </c>
      <c r="N650" s="50">
        <v>1978910.18</v>
      </c>
      <c r="O650" s="50">
        <v>0</v>
      </c>
      <c r="P650" s="50">
        <v>0</v>
      </c>
      <c r="Q650" s="87">
        <v>0</v>
      </c>
      <c r="R650" s="152">
        <v>0</v>
      </c>
      <c r="S650" s="174"/>
      <c r="T650" s="74">
        <v>45657</v>
      </c>
      <c r="U650" s="74">
        <v>45630</v>
      </c>
      <c r="V650" s="48"/>
      <c r="W650" s="48"/>
      <c r="X650" s="48"/>
      <c r="Y650" s="48">
        <v>0</v>
      </c>
      <c r="Z650" s="48"/>
      <c r="AA650" s="48" t="s">
        <v>95</v>
      </c>
      <c r="AB650" s="48" t="s">
        <v>27</v>
      </c>
      <c r="AC650" s="48" t="s">
        <v>311</v>
      </c>
      <c r="AD650" s="89" t="s">
        <v>845</v>
      </c>
    </row>
    <row r="651" spans="1:30" ht="15.75" hidden="1" x14ac:dyDescent="0.25">
      <c r="A651" s="48" t="s">
        <v>3567</v>
      </c>
      <c r="B651" s="74">
        <v>46033</v>
      </c>
      <c r="C651" s="48" t="s">
        <v>441</v>
      </c>
      <c r="D651" s="48" t="s">
        <v>20</v>
      </c>
      <c r="E651" s="48" t="s">
        <v>3331</v>
      </c>
      <c r="F651" s="48" t="s">
        <v>613</v>
      </c>
      <c r="G651" s="48" t="s">
        <v>24</v>
      </c>
      <c r="H651" s="48" t="s">
        <v>613</v>
      </c>
      <c r="I651" s="48" t="s">
        <v>26</v>
      </c>
      <c r="J651" s="48">
        <v>1020106</v>
      </c>
      <c r="K651" s="50">
        <v>424699.6</v>
      </c>
      <c r="L651" s="50">
        <v>1</v>
      </c>
      <c r="M651" s="50">
        <v>424699.6</v>
      </c>
      <c r="N651" s="50">
        <v>212349.8</v>
      </c>
      <c r="O651" s="50">
        <v>212349.8</v>
      </c>
      <c r="P651" s="50">
        <v>0</v>
      </c>
      <c r="Q651" s="87">
        <v>212349.8</v>
      </c>
      <c r="R651" s="152">
        <v>0</v>
      </c>
      <c r="S651" s="174"/>
      <c r="T651" s="74">
        <v>46265</v>
      </c>
      <c r="U651" s="74">
        <v>46265</v>
      </c>
      <c r="V651" s="48"/>
      <c r="W651" s="48"/>
      <c r="X651" s="48"/>
      <c r="Y651" s="48">
        <v>0</v>
      </c>
      <c r="Z651" s="48"/>
      <c r="AA651" s="48" t="s">
        <v>612</v>
      </c>
      <c r="AB651" s="48" t="s">
        <v>27</v>
      </c>
      <c r="AC651" s="48" t="s">
        <v>1904</v>
      </c>
      <c r="AD651" s="89" t="s">
        <v>1026</v>
      </c>
    </row>
    <row r="652" spans="1:30" ht="15.75" hidden="1" x14ac:dyDescent="0.25">
      <c r="A652" s="48" t="s">
        <v>799</v>
      </c>
      <c r="B652" s="74">
        <v>45739</v>
      </c>
      <c r="C652" s="48" t="s">
        <v>441</v>
      </c>
      <c r="D652" s="48" t="s">
        <v>20</v>
      </c>
      <c r="E652" s="48" t="s">
        <v>800</v>
      </c>
      <c r="F652" s="48" t="s">
        <v>22</v>
      </c>
      <c r="G652" s="48" t="s">
        <v>24</v>
      </c>
      <c r="H652" s="48" t="s">
        <v>22</v>
      </c>
      <c r="I652" s="48" t="s">
        <v>26</v>
      </c>
      <c r="J652" s="48">
        <v>1020055</v>
      </c>
      <c r="K652" s="50">
        <v>274309.5</v>
      </c>
      <c r="L652" s="50">
        <v>1</v>
      </c>
      <c r="M652" s="50">
        <v>274309.5</v>
      </c>
      <c r="N652" s="50">
        <v>274309.5</v>
      </c>
      <c r="O652" s="50">
        <v>0</v>
      </c>
      <c r="P652" s="50">
        <v>0</v>
      </c>
      <c r="Q652" s="87">
        <v>0</v>
      </c>
      <c r="R652" s="152">
        <v>0</v>
      </c>
      <c r="S652" s="174"/>
      <c r="T652" s="74">
        <v>45900</v>
      </c>
      <c r="U652" s="74">
        <v>45900</v>
      </c>
      <c r="V652" s="48"/>
      <c r="W652" s="48"/>
      <c r="X652" s="48"/>
      <c r="Y652" s="48">
        <v>0</v>
      </c>
      <c r="Z652" s="48"/>
      <c r="AA652" s="48" t="s">
        <v>21</v>
      </c>
      <c r="AB652" s="48" t="s">
        <v>27</v>
      </c>
      <c r="AC652" s="48" t="s">
        <v>311</v>
      </c>
      <c r="AD652" s="89" t="s">
        <v>845</v>
      </c>
    </row>
    <row r="653" spans="1:30" ht="15.75" hidden="1" x14ac:dyDescent="0.25">
      <c r="A653" s="48" t="s">
        <v>1565</v>
      </c>
      <c r="B653" s="74">
        <v>45855</v>
      </c>
      <c r="C653" s="48" t="s">
        <v>441</v>
      </c>
      <c r="D653" s="48" t="s">
        <v>20</v>
      </c>
      <c r="E653" s="48" t="s">
        <v>1543</v>
      </c>
      <c r="F653" s="48" t="s">
        <v>613</v>
      </c>
      <c r="G653" s="48" t="s">
        <v>24</v>
      </c>
      <c r="H653" s="48" t="s">
        <v>613</v>
      </c>
      <c r="I653" s="48" t="s">
        <v>26</v>
      </c>
      <c r="J653" s="48">
        <v>1020106</v>
      </c>
      <c r="K653" s="50">
        <v>100383.5</v>
      </c>
      <c r="L653" s="50">
        <v>1</v>
      </c>
      <c r="M653" s="50">
        <v>100383.5</v>
      </c>
      <c r="N653" s="50">
        <v>89826.5</v>
      </c>
      <c r="O653" s="50">
        <v>10557</v>
      </c>
      <c r="P653" s="50">
        <v>0</v>
      </c>
      <c r="Q653" s="87">
        <v>10557</v>
      </c>
      <c r="R653" s="152">
        <v>0</v>
      </c>
      <c r="S653" s="174"/>
      <c r="T653" s="74">
        <v>46142</v>
      </c>
      <c r="U653" s="74">
        <v>46142</v>
      </c>
      <c r="V653" s="48"/>
      <c r="W653" s="48"/>
      <c r="X653" s="48"/>
      <c r="Y653" s="48">
        <v>0</v>
      </c>
      <c r="Z653" s="48"/>
      <c r="AA653" s="48" t="s">
        <v>612</v>
      </c>
      <c r="AB653" s="48" t="s">
        <v>27</v>
      </c>
      <c r="AC653" s="48" t="s">
        <v>311</v>
      </c>
      <c r="AD653" s="89" t="s">
        <v>845</v>
      </c>
    </row>
    <row r="654" spans="1:30" ht="15.75" hidden="1" x14ac:dyDescent="0.25">
      <c r="A654" s="48" t="s">
        <v>1821</v>
      </c>
      <c r="B654" s="74">
        <v>45895</v>
      </c>
      <c r="C654" s="48" t="s">
        <v>441</v>
      </c>
      <c r="D654" s="48" t="s">
        <v>20</v>
      </c>
      <c r="E654" s="48" t="s">
        <v>1701</v>
      </c>
      <c r="F654" s="48" t="s">
        <v>613</v>
      </c>
      <c r="G654" s="48" t="s">
        <v>24</v>
      </c>
      <c r="H654" s="48" t="s">
        <v>613</v>
      </c>
      <c r="I654" s="48" t="s">
        <v>26</v>
      </c>
      <c r="J654" s="48">
        <v>1020106</v>
      </c>
      <c r="K654" s="50">
        <v>501144.18</v>
      </c>
      <c r="L654" s="50">
        <v>1</v>
      </c>
      <c r="M654" s="50">
        <v>501144.18</v>
      </c>
      <c r="N654" s="50">
        <v>42591.07</v>
      </c>
      <c r="O654" s="50">
        <v>458553.11</v>
      </c>
      <c r="P654" s="50">
        <v>199393.9</v>
      </c>
      <c r="Q654" s="87">
        <v>259159.21</v>
      </c>
      <c r="R654" s="152">
        <v>0</v>
      </c>
      <c r="S654" s="174" t="s">
        <v>5082</v>
      </c>
      <c r="T654" s="74">
        <v>46265</v>
      </c>
      <c r="U654" s="74">
        <v>46265</v>
      </c>
      <c r="V654" s="48"/>
      <c r="W654" s="48"/>
      <c r="X654" s="48"/>
      <c r="Y654" s="48">
        <v>0</v>
      </c>
      <c r="Z654" s="48"/>
      <c r="AA654" s="48" t="s">
        <v>612</v>
      </c>
      <c r="AB654" s="48" t="s">
        <v>27</v>
      </c>
      <c r="AC654" s="48" t="s">
        <v>311</v>
      </c>
      <c r="AD654" s="89" t="s">
        <v>1026</v>
      </c>
    </row>
    <row r="655" spans="1:30" ht="15.75" hidden="1" x14ac:dyDescent="0.25">
      <c r="A655" s="48" t="s">
        <v>694</v>
      </c>
      <c r="B655" s="74">
        <v>45698</v>
      </c>
      <c r="C655" s="48" t="s">
        <v>441</v>
      </c>
      <c r="D655" s="48" t="s">
        <v>20</v>
      </c>
      <c r="E655" s="48" t="s">
        <v>695</v>
      </c>
      <c r="F655" s="48" t="s">
        <v>613</v>
      </c>
      <c r="G655" s="48" t="s">
        <v>24</v>
      </c>
      <c r="H655" s="48" t="s">
        <v>613</v>
      </c>
      <c r="I655" s="48" t="s">
        <v>26</v>
      </c>
      <c r="J655" s="48">
        <v>1020106</v>
      </c>
      <c r="K655" s="50">
        <v>1112374.18</v>
      </c>
      <c r="L655" s="50">
        <v>1</v>
      </c>
      <c r="M655" s="50">
        <v>1112374.18</v>
      </c>
      <c r="N655" s="50">
        <v>1112374.18</v>
      </c>
      <c r="O655" s="50">
        <v>0</v>
      </c>
      <c r="P655" s="50">
        <v>0</v>
      </c>
      <c r="Q655" s="87">
        <v>0</v>
      </c>
      <c r="R655" s="152">
        <v>0</v>
      </c>
      <c r="S655" s="174"/>
      <c r="T655" s="74">
        <v>45961</v>
      </c>
      <c r="U655" s="74">
        <v>45961</v>
      </c>
      <c r="V655" s="48"/>
      <c r="W655" s="48"/>
      <c r="X655" s="48"/>
      <c r="Y655" s="48">
        <v>0</v>
      </c>
      <c r="Z655" s="48"/>
      <c r="AA655" s="48" t="s">
        <v>612</v>
      </c>
      <c r="AB655" s="48" t="s">
        <v>27</v>
      </c>
      <c r="AC655" s="48" t="s">
        <v>311</v>
      </c>
      <c r="AD655" s="89" t="s">
        <v>845</v>
      </c>
    </row>
    <row r="656" spans="1:30" ht="15.75" hidden="1" x14ac:dyDescent="0.25">
      <c r="A656" s="48" t="s">
        <v>1235</v>
      </c>
      <c r="B656" s="74">
        <v>45775</v>
      </c>
      <c r="C656" s="48" t="s">
        <v>441</v>
      </c>
      <c r="D656" s="48" t="s">
        <v>20</v>
      </c>
      <c r="E656" s="48" t="s">
        <v>1205</v>
      </c>
      <c r="F656" s="48" t="s">
        <v>613</v>
      </c>
      <c r="G656" s="48" t="s">
        <v>24</v>
      </c>
      <c r="H656" s="48" t="s">
        <v>613</v>
      </c>
      <c r="I656" s="48" t="s">
        <v>26</v>
      </c>
      <c r="J656" s="48">
        <v>1020106</v>
      </c>
      <c r="K656" s="50">
        <v>284688.25</v>
      </c>
      <c r="L656" s="50">
        <v>1</v>
      </c>
      <c r="M656" s="50">
        <v>284688.25</v>
      </c>
      <c r="N656" s="50">
        <v>284688.25</v>
      </c>
      <c r="O656" s="50">
        <v>0</v>
      </c>
      <c r="P656" s="50">
        <v>0</v>
      </c>
      <c r="Q656" s="87">
        <v>0</v>
      </c>
      <c r="R656" s="152">
        <v>0</v>
      </c>
      <c r="S656" s="174"/>
      <c r="T656" s="74">
        <v>46022</v>
      </c>
      <c r="U656" s="74">
        <v>46022</v>
      </c>
      <c r="V656" s="48"/>
      <c r="W656" s="48"/>
      <c r="X656" s="48"/>
      <c r="Y656" s="48"/>
      <c r="Z656" s="48" t="s">
        <v>1913</v>
      </c>
      <c r="AA656" s="48" t="s">
        <v>612</v>
      </c>
      <c r="AB656" s="48" t="s">
        <v>27</v>
      </c>
      <c r="AC656" s="48" t="s">
        <v>311</v>
      </c>
      <c r="AD656" s="89" t="s">
        <v>845</v>
      </c>
    </row>
    <row r="657" spans="1:30" ht="15.75" hidden="1" x14ac:dyDescent="0.25">
      <c r="A657" s="48" t="s">
        <v>641</v>
      </c>
      <c r="B657" s="74">
        <v>45680</v>
      </c>
      <c r="C657" s="48" t="s">
        <v>441</v>
      </c>
      <c r="D657" s="48" t="s">
        <v>20</v>
      </c>
      <c r="E657" s="48" t="s">
        <v>642</v>
      </c>
      <c r="F657" s="48" t="s">
        <v>22</v>
      </c>
      <c r="G657" s="48" t="s">
        <v>24</v>
      </c>
      <c r="H657" s="48" t="s">
        <v>22</v>
      </c>
      <c r="I657" s="48" t="s">
        <v>26</v>
      </c>
      <c r="J657" s="48">
        <v>1020055</v>
      </c>
      <c r="K657" s="50">
        <v>1458479.28</v>
      </c>
      <c r="L657" s="50">
        <v>1</v>
      </c>
      <c r="M657" s="50">
        <v>1458479.28</v>
      </c>
      <c r="N657" s="50">
        <v>1458479.28</v>
      </c>
      <c r="O657" s="50">
        <v>0</v>
      </c>
      <c r="P657" s="50">
        <v>0</v>
      </c>
      <c r="Q657" s="87">
        <v>0</v>
      </c>
      <c r="R657" s="152">
        <v>0</v>
      </c>
      <c r="S657" s="174"/>
      <c r="T657" s="74">
        <v>45777</v>
      </c>
      <c r="U657" s="74">
        <v>45777</v>
      </c>
      <c r="V657" s="48"/>
      <c r="W657" s="48"/>
      <c r="X657" s="48"/>
      <c r="Y657" s="48">
        <v>0</v>
      </c>
      <c r="Z657" s="48"/>
      <c r="AA657" s="48" t="s">
        <v>21</v>
      </c>
      <c r="AB657" s="48" t="s">
        <v>27</v>
      </c>
      <c r="AC657" s="48" t="s">
        <v>311</v>
      </c>
      <c r="AD657" s="89" t="s">
        <v>845</v>
      </c>
    </row>
    <row r="658" spans="1:30" ht="15.75" hidden="1" x14ac:dyDescent="0.25">
      <c r="A658" s="48" t="s">
        <v>245</v>
      </c>
      <c r="B658" s="74">
        <v>45064</v>
      </c>
      <c r="C658" s="48" t="s">
        <v>1182</v>
      </c>
      <c r="D658" s="48" t="s">
        <v>20</v>
      </c>
      <c r="E658" s="48" t="s">
        <v>246</v>
      </c>
      <c r="F658" s="48" t="s">
        <v>22</v>
      </c>
      <c r="G658" s="48" t="s">
        <v>24</v>
      </c>
      <c r="H658" s="48" t="s">
        <v>25</v>
      </c>
      <c r="I658" s="48" t="s">
        <v>26</v>
      </c>
      <c r="J658" s="48">
        <v>1020052</v>
      </c>
      <c r="K658" s="50">
        <v>947915.1</v>
      </c>
      <c r="L658" s="50">
        <v>1</v>
      </c>
      <c r="M658" s="50">
        <v>947915.1</v>
      </c>
      <c r="N658" s="50">
        <v>447358.06</v>
      </c>
      <c r="O658" s="50">
        <v>500557.04</v>
      </c>
      <c r="P658" s="50">
        <v>0</v>
      </c>
      <c r="Q658" s="87">
        <v>500557.04</v>
      </c>
      <c r="R658" s="152">
        <v>0</v>
      </c>
      <c r="S658" s="174"/>
      <c r="T658" s="74">
        <v>45437</v>
      </c>
      <c r="U658" s="74">
        <v>45437</v>
      </c>
      <c r="V658" s="48"/>
      <c r="W658" s="48"/>
      <c r="X658" s="48"/>
      <c r="Y658" s="48">
        <v>0</v>
      </c>
      <c r="Z658" s="48"/>
      <c r="AA658" s="48" t="s">
        <v>21</v>
      </c>
      <c r="AB658" s="48" t="s">
        <v>27</v>
      </c>
      <c r="AC658" s="48"/>
      <c r="AD658" s="89" t="s">
        <v>845</v>
      </c>
    </row>
    <row r="659" spans="1:30" ht="15.75" hidden="1" x14ac:dyDescent="0.25">
      <c r="A659" s="48" t="s">
        <v>4681</v>
      </c>
      <c r="B659" s="74">
        <v>46124</v>
      </c>
      <c r="C659" s="48" t="s">
        <v>441</v>
      </c>
      <c r="D659" s="48" t="s">
        <v>20</v>
      </c>
      <c r="E659" s="48" t="s">
        <v>4502</v>
      </c>
      <c r="F659" s="48" t="s">
        <v>710</v>
      </c>
      <c r="G659" s="48" t="s">
        <v>24</v>
      </c>
      <c r="H659" s="48" t="s">
        <v>710</v>
      </c>
      <c r="I659" s="48" t="s">
        <v>26</v>
      </c>
      <c r="J659" s="48">
        <v>1020088</v>
      </c>
      <c r="K659" s="50">
        <v>175000</v>
      </c>
      <c r="L659" s="50">
        <v>1</v>
      </c>
      <c r="M659" s="50">
        <v>175000</v>
      </c>
      <c r="N659" s="50">
        <v>0</v>
      </c>
      <c r="O659" s="50">
        <v>175000</v>
      </c>
      <c r="P659" s="50">
        <v>0</v>
      </c>
      <c r="Q659" s="87">
        <v>175000</v>
      </c>
      <c r="R659" s="152">
        <v>175000</v>
      </c>
      <c r="S659" s="174"/>
      <c r="T659" s="74">
        <v>46203</v>
      </c>
      <c r="U659" s="74">
        <v>46203</v>
      </c>
      <c r="V659" s="48"/>
      <c r="W659" s="48"/>
      <c r="X659" s="48"/>
      <c r="Y659" s="48">
        <v>0</v>
      </c>
      <c r="Z659" s="48"/>
      <c r="AA659" s="48" t="s">
        <v>366</v>
      </c>
      <c r="AB659" s="48" t="s">
        <v>27</v>
      </c>
      <c r="AC659" s="48" t="s">
        <v>4493</v>
      </c>
      <c r="AD659" s="89" t="s">
        <v>1026</v>
      </c>
    </row>
    <row r="660" spans="1:30" ht="15.75" hidden="1" x14ac:dyDescent="0.25">
      <c r="A660" s="48" t="s">
        <v>1402</v>
      </c>
      <c r="B660" s="74">
        <v>45804</v>
      </c>
      <c r="C660" s="48" t="s">
        <v>441</v>
      </c>
      <c r="D660" s="48" t="s">
        <v>20</v>
      </c>
      <c r="E660" s="48" t="s">
        <v>1319</v>
      </c>
      <c r="F660" s="48" t="s">
        <v>22</v>
      </c>
      <c r="G660" s="48" t="s">
        <v>24</v>
      </c>
      <c r="H660" s="48" t="s">
        <v>22</v>
      </c>
      <c r="I660" s="48" t="s">
        <v>26</v>
      </c>
      <c r="J660" s="48">
        <v>1020055</v>
      </c>
      <c r="K660" s="50">
        <v>250000</v>
      </c>
      <c r="L660" s="50">
        <v>1</v>
      </c>
      <c r="M660" s="50">
        <v>250000</v>
      </c>
      <c r="N660" s="50">
        <v>250000</v>
      </c>
      <c r="O660" s="50">
        <v>0</v>
      </c>
      <c r="P660" s="50">
        <v>0</v>
      </c>
      <c r="Q660" s="87">
        <v>0</v>
      </c>
      <c r="R660" s="152">
        <v>0</v>
      </c>
      <c r="S660" s="174"/>
      <c r="T660" s="74">
        <v>46081</v>
      </c>
      <c r="U660" s="74">
        <v>46081</v>
      </c>
      <c r="V660" s="48"/>
      <c r="W660" s="48"/>
      <c r="X660" s="48"/>
      <c r="Y660" s="48">
        <v>0</v>
      </c>
      <c r="Z660" s="48"/>
      <c r="AA660" s="48" t="s">
        <v>21</v>
      </c>
      <c r="AB660" s="48" t="s">
        <v>27</v>
      </c>
      <c r="AC660" s="48" t="s">
        <v>1629</v>
      </c>
      <c r="AD660" s="89" t="s">
        <v>845</v>
      </c>
    </row>
    <row r="661" spans="1:30" ht="15.75" hidden="1" x14ac:dyDescent="0.25">
      <c r="A661" s="48" t="s">
        <v>1751</v>
      </c>
      <c r="B661" s="74">
        <v>45883</v>
      </c>
      <c r="C661" s="48" t="s">
        <v>1727</v>
      </c>
      <c r="D661" s="48" t="s">
        <v>20</v>
      </c>
      <c r="E661" s="48" t="s">
        <v>1722</v>
      </c>
      <c r="F661" s="48" t="s">
        <v>70</v>
      </c>
      <c r="G661" s="48" t="s">
        <v>869</v>
      </c>
      <c r="H661" s="48" t="s">
        <v>1762</v>
      </c>
      <c r="I661" s="48" t="s">
        <v>26</v>
      </c>
      <c r="J661" s="48"/>
      <c r="K661" s="50">
        <v>435085.25</v>
      </c>
      <c r="L661" s="50">
        <v>1</v>
      </c>
      <c r="M661" s="50">
        <v>435085.25</v>
      </c>
      <c r="N661" s="50">
        <v>435085.25</v>
      </c>
      <c r="O661" s="50">
        <v>0</v>
      </c>
      <c r="P661" s="50">
        <v>0</v>
      </c>
      <c r="Q661" s="87">
        <v>0</v>
      </c>
      <c r="R661" s="152">
        <v>0</v>
      </c>
      <c r="S661" s="174"/>
      <c r="T661" s="74">
        <v>45930</v>
      </c>
      <c r="U661" s="74">
        <v>45915</v>
      </c>
      <c r="V661" s="48"/>
      <c r="W661" s="48"/>
      <c r="X661" s="48"/>
      <c r="Y661" s="48"/>
      <c r="Z661" s="48"/>
      <c r="AA661" s="48" t="s">
        <v>62</v>
      </c>
      <c r="AB661" s="48" t="s">
        <v>70</v>
      </c>
      <c r="AC661" s="48" t="s">
        <v>208</v>
      </c>
      <c r="AD661" s="89" t="s">
        <v>845</v>
      </c>
    </row>
    <row r="662" spans="1:30" ht="15.75" hidden="1" x14ac:dyDescent="0.25">
      <c r="A662" s="48" t="s">
        <v>288</v>
      </c>
      <c r="B662" s="74">
        <v>45505</v>
      </c>
      <c r="C662" s="48" t="s">
        <v>441</v>
      </c>
      <c r="D662" s="48" t="s">
        <v>20</v>
      </c>
      <c r="E662" s="48" t="s">
        <v>289</v>
      </c>
      <c r="F662" s="48" t="s">
        <v>22</v>
      </c>
      <c r="G662" s="48" t="s">
        <v>24</v>
      </c>
      <c r="H662" s="48" t="s">
        <v>22</v>
      </c>
      <c r="I662" s="48" t="s">
        <v>26</v>
      </c>
      <c r="J662" s="48">
        <v>1020055</v>
      </c>
      <c r="K662" s="50">
        <v>539552.68999999994</v>
      </c>
      <c r="L662" s="50">
        <v>1</v>
      </c>
      <c r="M662" s="50">
        <v>539552.68999999994</v>
      </c>
      <c r="N662" s="50">
        <v>539552.68999999994</v>
      </c>
      <c r="O662" s="50">
        <v>0</v>
      </c>
      <c r="P662" s="50">
        <v>0</v>
      </c>
      <c r="Q662" s="87">
        <v>0</v>
      </c>
      <c r="R662" s="152">
        <v>0</v>
      </c>
      <c r="S662" s="174"/>
      <c r="T662" s="74">
        <v>45596</v>
      </c>
      <c r="U662" s="74">
        <v>45596</v>
      </c>
      <c r="V662" s="48"/>
      <c r="W662" s="48"/>
      <c r="X662" s="48"/>
      <c r="Y662" s="48">
        <v>0</v>
      </c>
      <c r="Z662" s="48"/>
      <c r="AA662" s="48" t="s">
        <v>21</v>
      </c>
      <c r="AB662" s="48" t="s">
        <v>27</v>
      </c>
      <c r="AC662" s="48"/>
      <c r="AD662" s="89" t="s">
        <v>845</v>
      </c>
    </row>
    <row r="663" spans="1:30" ht="15.75" hidden="1" x14ac:dyDescent="0.25">
      <c r="A663" s="48" t="s">
        <v>1686</v>
      </c>
      <c r="B663" s="74">
        <v>45874</v>
      </c>
      <c r="C663" s="48" t="s">
        <v>1119</v>
      </c>
      <c r="D663" s="48" t="s">
        <v>20</v>
      </c>
      <c r="E663" s="48" t="s">
        <v>1643</v>
      </c>
      <c r="F663" s="48" t="s">
        <v>367</v>
      </c>
      <c r="G663" s="48" t="s">
        <v>24</v>
      </c>
      <c r="H663" s="48" t="s">
        <v>367</v>
      </c>
      <c r="I663" s="48" t="s">
        <v>26</v>
      </c>
      <c r="J663" s="48">
        <v>1020091</v>
      </c>
      <c r="K663" s="50">
        <v>4782000</v>
      </c>
      <c r="L663" s="50">
        <v>1</v>
      </c>
      <c r="M663" s="50">
        <v>4782000</v>
      </c>
      <c r="N663" s="50">
        <v>4782000</v>
      </c>
      <c r="O663" s="50">
        <v>0</v>
      </c>
      <c r="P663" s="50">
        <v>0</v>
      </c>
      <c r="Q663" s="87">
        <v>0</v>
      </c>
      <c r="R663" s="152">
        <v>0</v>
      </c>
      <c r="S663" s="174"/>
      <c r="T663" s="74">
        <v>45961</v>
      </c>
      <c r="U663" s="74">
        <v>45961</v>
      </c>
      <c r="V663" s="48"/>
      <c r="W663" s="48"/>
      <c r="X663" s="48"/>
      <c r="Y663" s="48">
        <v>0</v>
      </c>
      <c r="Z663" s="48"/>
      <c r="AA663" s="48" t="s">
        <v>366</v>
      </c>
      <c r="AB663" s="48" t="s">
        <v>27</v>
      </c>
      <c r="AC663" s="48" t="s">
        <v>1629</v>
      </c>
      <c r="AD663" s="89" t="s">
        <v>845</v>
      </c>
    </row>
    <row r="664" spans="1:30" ht="15.75" hidden="1" x14ac:dyDescent="0.25">
      <c r="A664" s="48" t="s">
        <v>4554</v>
      </c>
      <c r="B664" s="74">
        <v>46118</v>
      </c>
      <c r="C664" s="48" t="s">
        <v>441</v>
      </c>
      <c r="D664" s="48" t="s">
        <v>20</v>
      </c>
      <c r="E664" s="48" t="s">
        <v>4542</v>
      </c>
      <c r="F664" s="48" t="s">
        <v>710</v>
      </c>
      <c r="G664" s="48" t="s">
        <v>24</v>
      </c>
      <c r="H664" s="48" t="s">
        <v>710</v>
      </c>
      <c r="I664" s="48" t="s">
        <v>26</v>
      </c>
      <c r="J664" s="48">
        <v>1020088</v>
      </c>
      <c r="K664" s="50">
        <v>500000</v>
      </c>
      <c r="L664" s="50">
        <v>1</v>
      </c>
      <c r="M664" s="50">
        <v>500000</v>
      </c>
      <c r="N664" s="50">
        <v>0</v>
      </c>
      <c r="O664" s="50">
        <v>500000</v>
      </c>
      <c r="P664" s="50">
        <v>500000</v>
      </c>
      <c r="Q664" s="87">
        <v>0</v>
      </c>
      <c r="R664" s="152">
        <v>0</v>
      </c>
      <c r="S664" s="174" t="s">
        <v>5064</v>
      </c>
      <c r="T664" s="74">
        <v>46203</v>
      </c>
      <c r="U664" s="74">
        <v>46203</v>
      </c>
      <c r="V664" s="48"/>
      <c r="W664" s="48"/>
      <c r="X664" s="48"/>
      <c r="Y664" s="48">
        <v>0</v>
      </c>
      <c r="Z664" s="48"/>
      <c r="AA664" s="48" t="s">
        <v>366</v>
      </c>
      <c r="AB664" s="48" t="s">
        <v>27</v>
      </c>
      <c r="AC664" s="48" t="s">
        <v>4493</v>
      </c>
      <c r="AD664" s="89" t="s">
        <v>1026</v>
      </c>
    </row>
    <row r="665" spans="1:30" ht="15.75" hidden="1" x14ac:dyDescent="0.25">
      <c r="A665" s="48" t="s">
        <v>5442</v>
      </c>
      <c r="B665" s="74">
        <v>46177</v>
      </c>
      <c r="C665" s="48" t="s">
        <v>441</v>
      </c>
      <c r="D665" s="48" t="s">
        <v>20</v>
      </c>
      <c r="E665" s="48" t="s">
        <v>5331</v>
      </c>
      <c r="F665" s="48" t="s">
        <v>710</v>
      </c>
      <c r="G665" s="48" t="s">
        <v>24</v>
      </c>
      <c r="H665" s="48" t="s">
        <v>710</v>
      </c>
      <c r="I665" s="48" t="s">
        <v>26</v>
      </c>
      <c r="J665" s="48">
        <v>1020088</v>
      </c>
      <c r="K665" s="50">
        <v>500000</v>
      </c>
      <c r="L665" s="50">
        <v>1</v>
      </c>
      <c r="M665" s="50">
        <v>500000</v>
      </c>
      <c r="N665" s="50">
        <v>0</v>
      </c>
      <c r="O665" s="50">
        <v>500000</v>
      </c>
      <c r="P665" s="50">
        <v>0</v>
      </c>
      <c r="Q665" s="87">
        <v>500000</v>
      </c>
      <c r="R665" s="152">
        <v>0</v>
      </c>
      <c r="S665" s="174"/>
      <c r="T665" s="74">
        <v>46265</v>
      </c>
      <c r="U665" s="74">
        <v>46265</v>
      </c>
      <c r="V665" s="48"/>
      <c r="W665" s="48"/>
      <c r="X665" s="48"/>
      <c r="Y665" s="48">
        <v>0</v>
      </c>
      <c r="Z665" s="48"/>
      <c r="AA665" s="48" t="s">
        <v>366</v>
      </c>
      <c r="AB665" s="48" t="s">
        <v>27</v>
      </c>
      <c r="AC665" s="48" t="s">
        <v>5175</v>
      </c>
      <c r="AD665" s="89" t="s">
        <v>1026</v>
      </c>
    </row>
    <row r="666" spans="1:30" ht="15.75" hidden="1" x14ac:dyDescent="0.25">
      <c r="A666" s="48" t="s">
        <v>156</v>
      </c>
      <c r="B666" s="74">
        <v>45147</v>
      </c>
      <c r="C666" s="48" t="s">
        <v>441</v>
      </c>
      <c r="D666" s="48" t="s">
        <v>20</v>
      </c>
      <c r="E666" s="48" t="s">
        <v>157</v>
      </c>
      <c r="F666" s="48" t="s">
        <v>22</v>
      </c>
      <c r="G666" s="48" t="s">
        <v>24</v>
      </c>
      <c r="H666" s="48" t="s">
        <v>22</v>
      </c>
      <c r="I666" s="48" t="s">
        <v>26</v>
      </c>
      <c r="J666" s="48">
        <v>1020055</v>
      </c>
      <c r="K666" s="50">
        <v>823546.42</v>
      </c>
      <c r="L666" s="50">
        <v>1</v>
      </c>
      <c r="M666" s="50">
        <v>823546.42</v>
      </c>
      <c r="N666" s="50">
        <v>823546.42</v>
      </c>
      <c r="O666" s="50">
        <v>0</v>
      </c>
      <c r="P666" s="50">
        <v>0</v>
      </c>
      <c r="Q666" s="87">
        <v>0</v>
      </c>
      <c r="R666" s="152">
        <v>0</v>
      </c>
      <c r="S666" s="174"/>
      <c r="T666" s="74">
        <v>45230</v>
      </c>
      <c r="U666" s="74">
        <v>45230</v>
      </c>
      <c r="V666" s="48"/>
      <c r="W666" s="48"/>
      <c r="X666" s="48"/>
      <c r="Y666" s="48">
        <v>0</v>
      </c>
      <c r="Z666" s="48"/>
      <c r="AA666" s="48" t="s">
        <v>21</v>
      </c>
      <c r="AB666" s="48" t="s">
        <v>27</v>
      </c>
      <c r="AC666" s="48"/>
      <c r="AD666" s="89" t="s">
        <v>845</v>
      </c>
    </row>
    <row r="667" spans="1:30" ht="15.75" hidden="1" x14ac:dyDescent="0.25">
      <c r="A667" s="48" t="s">
        <v>230</v>
      </c>
      <c r="B667" s="74">
        <v>45237</v>
      </c>
      <c r="C667" s="48" t="s">
        <v>441</v>
      </c>
      <c r="D667" s="48" t="s">
        <v>20</v>
      </c>
      <c r="E667" s="48" t="s">
        <v>231</v>
      </c>
      <c r="F667" s="48" t="s">
        <v>22</v>
      </c>
      <c r="G667" s="48" t="s">
        <v>24</v>
      </c>
      <c r="H667" s="48" t="s">
        <v>22</v>
      </c>
      <c r="I667" s="48" t="s">
        <v>26</v>
      </c>
      <c r="J667" s="48">
        <v>1020055</v>
      </c>
      <c r="K667" s="50">
        <v>950740.65</v>
      </c>
      <c r="L667" s="50">
        <v>1</v>
      </c>
      <c r="M667" s="50">
        <v>950740.65</v>
      </c>
      <c r="N667" s="50">
        <v>950740.65</v>
      </c>
      <c r="O667" s="50">
        <v>0</v>
      </c>
      <c r="P667" s="50">
        <v>0</v>
      </c>
      <c r="Q667" s="87">
        <v>0</v>
      </c>
      <c r="R667" s="152">
        <v>0</v>
      </c>
      <c r="S667" s="174"/>
      <c r="T667" s="74">
        <v>45322</v>
      </c>
      <c r="U667" s="74">
        <v>45322</v>
      </c>
      <c r="V667" s="48"/>
      <c r="W667" s="48"/>
      <c r="X667" s="48"/>
      <c r="Y667" s="48">
        <v>0</v>
      </c>
      <c r="Z667" s="48"/>
      <c r="AA667" s="48" t="s">
        <v>21</v>
      </c>
      <c r="AB667" s="48" t="s">
        <v>27</v>
      </c>
      <c r="AC667" s="48"/>
      <c r="AD667" s="89" t="s">
        <v>845</v>
      </c>
    </row>
    <row r="668" spans="1:30" ht="15.75" hidden="1" x14ac:dyDescent="0.25">
      <c r="A668" s="48" t="s">
        <v>265</v>
      </c>
      <c r="B668" s="74">
        <v>45435</v>
      </c>
      <c r="C668" s="48" t="s">
        <v>441</v>
      </c>
      <c r="D668" s="48" t="s">
        <v>20</v>
      </c>
      <c r="E668" s="48" t="s">
        <v>266</v>
      </c>
      <c r="F668" s="48" t="s">
        <v>22</v>
      </c>
      <c r="G668" s="48" t="s">
        <v>24</v>
      </c>
      <c r="H668" s="48" t="s">
        <v>22</v>
      </c>
      <c r="I668" s="48" t="s">
        <v>26</v>
      </c>
      <c r="J668" s="48">
        <v>1020055</v>
      </c>
      <c r="K668" s="50">
        <v>750000</v>
      </c>
      <c r="L668" s="50">
        <v>1</v>
      </c>
      <c r="M668" s="50">
        <v>750000</v>
      </c>
      <c r="N668" s="50">
        <v>700000</v>
      </c>
      <c r="O668" s="50">
        <v>50000</v>
      </c>
      <c r="P668" s="50">
        <v>0</v>
      </c>
      <c r="Q668" s="87">
        <v>50000</v>
      </c>
      <c r="R668" s="152">
        <v>0</v>
      </c>
      <c r="S668" s="174"/>
      <c r="T668" s="74">
        <v>45565</v>
      </c>
      <c r="U668" s="74">
        <v>45565</v>
      </c>
      <c r="V668" s="48"/>
      <c r="W668" s="48"/>
      <c r="X668" s="48"/>
      <c r="Y668" s="48">
        <v>0</v>
      </c>
      <c r="Z668" s="48"/>
      <c r="AA668" s="48" t="s">
        <v>21</v>
      </c>
      <c r="AB668" s="48" t="s">
        <v>27</v>
      </c>
      <c r="AC668" s="48"/>
      <c r="AD668" s="89" t="s">
        <v>845</v>
      </c>
    </row>
    <row r="669" spans="1:30" ht="15.75" hidden="1" x14ac:dyDescent="0.25">
      <c r="A669" s="48" t="s">
        <v>1193</v>
      </c>
      <c r="B669" s="74">
        <v>45761</v>
      </c>
      <c r="C669" s="48" t="s">
        <v>509</v>
      </c>
      <c r="D669" s="48" t="s">
        <v>20</v>
      </c>
      <c r="E669" s="48" t="s">
        <v>774</v>
      </c>
      <c r="F669" s="48" t="s">
        <v>22</v>
      </c>
      <c r="G669" s="48" t="s">
        <v>24</v>
      </c>
      <c r="H669" s="48" t="s">
        <v>407</v>
      </c>
      <c r="I669" s="48" t="s">
        <v>26</v>
      </c>
      <c r="J669" s="48">
        <v>1020100</v>
      </c>
      <c r="K669" s="50">
        <v>780158</v>
      </c>
      <c r="L669" s="50">
        <v>1</v>
      </c>
      <c r="M669" s="50">
        <v>780158</v>
      </c>
      <c r="N669" s="50">
        <v>761046.3600000001</v>
      </c>
      <c r="O669" s="50">
        <v>19111.64</v>
      </c>
      <c r="P669" s="50">
        <v>0</v>
      </c>
      <c r="Q669" s="87">
        <v>19111.64</v>
      </c>
      <c r="R669" s="152">
        <v>0</v>
      </c>
      <c r="S669" s="174"/>
      <c r="T669" s="74">
        <v>45961</v>
      </c>
      <c r="U669" s="74">
        <v>45961</v>
      </c>
      <c r="V669" s="48"/>
      <c r="W669" s="48"/>
      <c r="X669" s="48"/>
      <c r="Y669" s="48">
        <v>0</v>
      </c>
      <c r="Z669" s="48" t="s">
        <v>1846</v>
      </c>
      <c r="AA669" s="48" t="s">
        <v>21</v>
      </c>
      <c r="AB669" s="48" t="s">
        <v>27</v>
      </c>
      <c r="AC669" s="48" t="s">
        <v>311</v>
      </c>
      <c r="AD669" s="89" t="s">
        <v>845</v>
      </c>
    </row>
    <row r="670" spans="1:30" ht="15.75" hidden="1" x14ac:dyDescent="0.25">
      <c r="A670" s="48" t="s">
        <v>619</v>
      </c>
      <c r="B670" s="74">
        <v>45684</v>
      </c>
      <c r="C670" s="48" t="s">
        <v>441</v>
      </c>
      <c r="D670" s="48" t="s">
        <v>20</v>
      </c>
      <c r="E670" s="48" t="s">
        <v>620</v>
      </c>
      <c r="F670" s="48" t="s">
        <v>613</v>
      </c>
      <c r="G670" s="48" t="s">
        <v>24</v>
      </c>
      <c r="H670" s="48" t="s">
        <v>613</v>
      </c>
      <c r="I670" s="48" t="s">
        <v>26</v>
      </c>
      <c r="J670" s="48">
        <v>1020106</v>
      </c>
      <c r="K670" s="50">
        <v>4370000</v>
      </c>
      <c r="L670" s="50">
        <v>1</v>
      </c>
      <c r="M670" s="50">
        <v>4370000</v>
      </c>
      <c r="N670" s="50">
        <v>4370000</v>
      </c>
      <c r="O670" s="50">
        <v>0</v>
      </c>
      <c r="P670" s="50">
        <v>0</v>
      </c>
      <c r="Q670" s="87">
        <v>0</v>
      </c>
      <c r="R670" s="152">
        <v>0</v>
      </c>
      <c r="S670" s="174"/>
      <c r="T670" s="74">
        <v>45777</v>
      </c>
      <c r="U670" s="74">
        <v>45777</v>
      </c>
      <c r="V670" s="48"/>
      <c r="W670" s="48"/>
      <c r="X670" s="48"/>
      <c r="Y670" s="48">
        <v>0</v>
      </c>
      <c r="Z670" s="48"/>
      <c r="AA670" s="48" t="s">
        <v>612</v>
      </c>
      <c r="AB670" s="48" t="s">
        <v>27</v>
      </c>
      <c r="AC670" s="48" t="s">
        <v>621</v>
      </c>
      <c r="AD670" s="89" t="s">
        <v>845</v>
      </c>
    </row>
    <row r="671" spans="1:30" ht="15.75" hidden="1" x14ac:dyDescent="0.25">
      <c r="A671" s="48" t="s">
        <v>472</v>
      </c>
      <c r="B671" s="74">
        <v>45593</v>
      </c>
      <c r="C671" s="48" t="s">
        <v>509</v>
      </c>
      <c r="D671" s="48" t="s">
        <v>20</v>
      </c>
      <c r="E671" s="48" t="s">
        <v>473</v>
      </c>
      <c r="F671" s="48" t="s">
        <v>22</v>
      </c>
      <c r="G671" s="48" t="s">
        <v>24</v>
      </c>
      <c r="H671" s="48" t="s">
        <v>407</v>
      </c>
      <c r="I671" s="48" t="s">
        <v>26</v>
      </c>
      <c r="J671" s="48">
        <v>1020100</v>
      </c>
      <c r="K671" s="50">
        <v>500000</v>
      </c>
      <c r="L671" s="50">
        <v>1</v>
      </c>
      <c r="M671" s="50">
        <v>500000</v>
      </c>
      <c r="N671" s="50">
        <v>500000</v>
      </c>
      <c r="O671" s="50">
        <v>0</v>
      </c>
      <c r="P671" s="50">
        <v>0</v>
      </c>
      <c r="Q671" s="87">
        <v>0</v>
      </c>
      <c r="R671" s="152">
        <v>0</v>
      </c>
      <c r="S671" s="174"/>
      <c r="T671" s="74">
        <v>45688</v>
      </c>
      <c r="U671" s="74">
        <v>45688</v>
      </c>
      <c r="V671" s="48"/>
      <c r="W671" s="48"/>
      <c r="X671" s="48"/>
      <c r="Y671" s="48">
        <v>0</v>
      </c>
      <c r="Z671" s="48"/>
      <c r="AA671" s="48" t="s">
        <v>21</v>
      </c>
      <c r="AB671" s="48" t="s">
        <v>27</v>
      </c>
      <c r="AC671" s="48" t="s">
        <v>311</v>
      </c>
      <c r="AD671" s="89" t="s">
        <v>845</v>
      </c>
    </row>
    <row r="672" spans="1:30" ht="15.75" hidden="1" x14ac:dyDescent="0.25">
      <c r="A672" s="48" t="s">
        <v>401</v>
      </c>
      <c r="B672" s="74">
        <v>45551</v>
      </c>
      <c r="C672" s="48" t="s">
        <v>441</v>
      </c>
      <c r="D672" s="48" t="s">
        <v>20</v>
      </c>
      <c r="E672" s="48" t="s">
        <v>402</v>
      </c>
      <c r="F672" s="48" t="s">
        <v>96</v>
      </c>
      <c r="G672" s="48" t="s">
        <v>24</v>
      </c>
      <c r="H672" s="48" t="s">
        <v>22</v>
      </c>
      <c r="I672" s="48" t="s">
        <v>26</v>
      </c>
      <c r="J672" s="48">
        <v>1020055</v>
      </c>
      <c r="K672" s="50">
        <v>405299.47</v>
      </c>
      <c r="L672" s="50">
        <v>1</v>
      </c>
      <c r="M672" s="50">
        <v>405299.47</v>
      </c>
      <c r="N672" s="50">
        <v>405299.47</v>
      </c>
      <c r="O672" s="50">
        <v>0</v>
      </c>
      <c r="P672" s="50">
        <v>0</v>
      </c>
      <c r="Q672" s="87">
        <v>0</v>
      </c>
      <c r="R672" s="152">
        <v>0</v>
      </c>
      <c r="S672" s="174"/>
      <c r="T672" s="74">
        <v>45626</v>
      </c>
      <c r="U672" s="74">
        <v>45600</v>
      </c>
      <c r="V672" s="48"/>
      <c r="W672" s="48"/>
      <c r="X672" s="48"/>
      <c r="Y672" s="48">
        <v>0</v>
      </c>
      <c r="Z672" s="48"/>
      <c r="AA672" s="48" t="s">
        <v>95</v>
      </c>
      <c r="AB672" s="48" t="s">
        <v>27</v>
      </c>
      <c r="AC672" s="48" t="s">
        <v>311</v>
      </c>
      <c r="AD672" s="89" t="s">
        <v>845</v>
      </c>
    </row>
    <row r="673" spans="1:30" ht="15.75" hidden="1" x14ac:dyDescent="0.25">
      <c r="A673" s="48" t="s">
        <v>683</v>
      </c>
      <c r="B673" s="74">
        <v>45684</v>
      </c>
      <c r="C673" s="48" t="s">
        <v>509</v>
      </c>
      <c r="D673" s="48" t="s">
        <v>20</v>
      </c>
      <c r="E673" s="48" t="s">
        <v>473</v>
      </c>
      <c r="F673" s="48" t="s">
        <v>96</v>
      </c>
      <c r="G673" s="48" t="s">
        <v>24</v>
      </c>
      <c r="H673" s="48" t="s">
        <v>407</v>
      </c>
      <c r="I673" s="48" t="s">
        <v>26</v>
      </c>
      <c r="J673" s="48">
        <v>1020100</v>
      </c>
      <c r="K673" s="50">
        <v>500000</v>
      </c>
      <c r="L673" s="50">
        <v>1</v>
      </c>
      <c r="M673" s="50">
        <v>500000</v>
      </c>
      <c r="N673" s="50">
        <v>500000</v>
      </c>
      <c r="O673" s="50">
        <v>0</v>
      </c>
      <c r="P673" s="50">
        <v>0</v>
      </c>
      <c r="Q673" s="87">
        <v>0</v>
      </c>
      <c r="R673" s="152">
        <v>0</v>
      </c>
      <c r="S673" s="174"/>
      <c r="T673" s="74">
        <v>45777</v>
      </c>
      <c r="U673" s="74">
        <v>45777</v>
      </c>
      <c r="V673" s="48"/>
      <c r="W673" s="48"/>
      <c r="X673" s="48"/>
      <c r="Y673" s="48">
        <v>0</v>
      </c>
      <c r="Z673" s="48"/>
      <c r="AA673" s="48" t="s">
        <v>95</v>
      </c>
      <c r="AB673" s="48" t="s">
        <v>27</v>
      </c>
      <c r="AC673" s="48" t="s">
        <v>311</v>
      </c>
      <c r="AD673" s="89" t="s">
        <v>845</v>
      </c>
    </row>
    <row r="674" spans="1:30" ht="15.75" hidden="1" x14ac:dyDescent="0.25">
      <c r="A674" s="48" t="s">
        <v>1497</v>
      </c>
      <c r="B674" s="74">
        <v>45831</v>
      </c>
      <c r="C674" s="48" t="s">
        <v>441</v>
      </c>
      <c r="D674" s="48" t="s">
        <v>20</v>
      </c>
      <c r="E674" s="48" t="s">
        <v>473</v>
      </c>
      <c r="F674" s="48" t="s">
        <v>22</v>
      </c>
      <c r="G674" s="48" t="s">
        <v>24</v>
      </c>
      <c r="H674" s="48" t="s">
        <v>407</v>
      </c>
      <c r="I674" s="48" t="s">
        <v>26</v>
      </c>
      <c r="J674" s="48">
        <v>1020100</v>
      </c>
      <c r="K674" s="50">
        <v>300000</v>
      </c>
      <c r="L674" s="50">
        <v>1</v>
      </c>
      <c r="M674" s="50">
        <v>300000</v>
      </c>
      <c r="N674" s="50">
        <v>300000</v>
      </c>
      <c r="O674" s="50">
        <v>0</v>
      </c>
      <c r="P674" s="50">
        <v>0</v>
      </c>
      <c r="Q674" s="87">
        <v>0</v>
      </c>
      <c r="R674" s="152">
        <v>0</v>
      </c>
      <c r="S674" s="174"/>
      <c r="T674" s="74">
        <v>45900</v>
      </c>
      <c r="U674" s="74">
        <v>45900</v>
      </c>
      <c r="V674" s="48"/>
      <c r="W674" s="48"/>
      <c r="X674" s="48"/>
      <c r="Y674" s="48">
        <v>0</v>
      </c>
      <c r="Z674" s="48"/>
      <c r="AA674" s="48" t="s">
        <v>21</v>
      </c>
      <c r="AB674" s="48" t="s">
        <v>27</v>
      </c>
      <c r="AC674" s="48" t="s">
        <v>621</v>
      </c>
      <c r="AD674" s="89" t="s">
        <v>845</v>
      </c>
    </row>
    <row r="675" spans="1:30" ht="15.75" hidden="1" x14ac:dyDescent="0.25">
      <c r="A675" s="48" t="s">
        <v>1430</v>
      </c>
      <c r="B675" s="74">
        <v>45810</v>
      </c>
      <c r="C675" s="48" t="s">
        <v>441</v>
      </c>
      <c r="D675" s="48" t="s">
        <v>20</v>
      </c>
      <c r="E675" s="48" t="s">
        <v>473</v>
      </c>
      <c r="F675" s="48" t="s">
        <v>710</v>
      </c>
      <c r="G675" s="48" t="s">
        <v>24</v>
      </c>
      <c r="H675" s="48" t="s">
        <v>710</v>
      </c>
      <c r="I675" s="48" t="s">
        <v>26</v>
      </c>
      <c r="J675" s="48">
        <v>1020088</v>
      </c>
      <c r="K675" s="50">
        <v>400000</v>
      </c>
      <c r="L675" s="50">
        <v>1</v>
      </c>
      <c r="M675" s="50">
        <v>400000</v>
      </c>
      <c r="N675" s="50">
        <v>400000</v>
      </c>
      <c r="O675" s="50">
        <v>0</v>
      </c>
      <c r="P675" s="50">
        <v>0</v>
      </c>
      <c r="Q675" s="87">
        <v>0</v>
      </c>
      <c r="R675" s="152">
        <v>0</v>
      </c>
      <c r="S675" s="174"/>
      <c r="T675" s="74">
        <v>45900</v>
      </c>
      <c r="U675" s="74">
        <v>45900</v>
      </c>
      <c r="V675" s="48"/>
      <c r="W675" s="48"/>
      <c r="X675" s="48"/>
      <c r="Y675" s="48">
        <v>0</v>
      </c>
      <c r="Z675" s="48"/>
      <c r="AA675" s="48" t="s">
        <v>366</v>
      </c>
      <c r="AB675" s="48" t="s">
        <v>27</v>
      </c>
      <c r="AC675" s="48" t="s">
        <v>621</v>
      </c>
      <c r="AD675" s="89" t="s">
        <v>845</v>
      </c>
    </row>
    <row r="676" spans="1:30" ht="15.75" hidden="1" x14ac:dyDescent="0.25">
      <c r="A676" s="48" t="s">
        <v>3325</v>
      </c>
      <c r="B676" s="74">
        <v>46023</v>
      </c>
      <c r="C676" s="48" t="s">
        <v>1537</v>
      </c>
      <c r="D676" s="48" t="s">
        <v>20</v>
      </c>
      <c r="E676" s="48" t="s">
        <v>473</v>
      </c>
      <c r="F676" s="48" t="s">
        <v>483</v>
      </c>
      <c r="G676" s="48" t="s">
        <v>24</v>
      </c>
      <c r="H676" s="48" t="s">
        <v>483</v>
      </c>
      <c r="I676" s="48" t="s">
        <v>26</v>
      </c>
      <c r="J676" s="48">
        <v>1020096</v>
      </c>
      <c r="K676" s="50">
        <v>500000</v>
      </c>
      <c r="L676" s="50">
        <v>1</v>
      </c>
      <c r="M676" s="50">
        <v>500000</v>
      </c>
      <c r="N676" s="50">
        <v>500000</v>
      </c>
      <c r="O676" s="50">
        <v>0</v>
      </c>
      <c r="P676" s="50">
        <v>0</v>
      </c>
      <c r="Q676" s="87">
        <v>0</v>
      </c>
      <c r="R676" s="152">
        <v>0</v>
      </c>
      <c r="S676" s="174"/>
      <c r="T676" s="74">
        <v>46142</v>
      </c>
      <c r="U676" s="74">
        <v>46142</v>
      </c>
      <c r="V676" s="48"/>
      <c r="W676" s="48"/>
      <c r="X676" s="48"/>
      <c r="Y676" s="48">
        <v>0</v>
      </c>
      <c r="Z676" s="48"/>
      <c r="AA676" s="48" t="s">
        <v>62</v>
      </c>
      <c r="AB676" s="48" t="s">
        <v>27</v>
      </c>
      <c r="AC676" s="48" t="s">
        <v>3229</v>
      </c>
      <c r="AD676" s="89" t="s">
        <v>845</v>
      </c>
    </row>
    <row r="677" spans="1:30" ht="15.75" hidden="1" x14ac:dyDescent="0.25">
      <c r="A677" s="48" t="s">
        <v>4555</v>
      </c>
      <c r="B677" s="74">
        <v>46118</v>
      </c>
      <c r="C677" s="48" t="s">
        <v>441</v>
      </c>
      <c r="D677" s="48" t="s">
        <v>20</v>
      </c>
      <c r="E677" s="48" t="s">
        <v>473</v>
      </c>
      <c r="F677" s="48" t="s">
        <v>710</v>
      </c>
      <c r="G677" s="48" t="s">
        <v>24</v>
      </c>
      <c r="H677" s="48" t="s">
        <v>710</v>
      </c>
      <c r="I677" s="48" t="s">
        <v>26</v>
      </c>
      <c r="J677" s="48">
        <v>1020088</v>
      </c>
      <c r="K677" s="50">
        <v>275000</v>
      </c>
      <c r="L677" s="50">
        <v>1</v>
      </c>
      <c r="M677" s="50">
        <v>275000</v>
      </c>
      <c r="N677" s="50">
        <v>0</v>
      </c>
      <c r="O677" s="50">
        <v>275000</v>
      </c>
      <c r="P677" s="50">
        <v>0</v>
      </c>
      <c r="Q677" s="87">
        <v>275000</v>
      </c>
      <c r="R677" s="152">
        <v>0</v>
      </c>
      <c r="S677" s="174"/>
      <c r="T677" s="74">
        <v>46203</v>
      </c>
      <c r="U677" s="74">
        <v>46203</v>
      </c>
      <c r="V677" s="48"/>
      <c r="W677" s="48"/>
      <c r="X677" s="48"/>
      <c r="Y677" s="48">
        <v>0</v>
      </c>
      <c r="Z677" s="48"/>
      <c r="AA677" s="48" t="s">
        <v>366</v>
      </c>
      <c r="AB677" s="48" t="s">
        <v>27</v>
      </c>
      <c r="AC677" s="48" t="s">
        <v>4493</v>
      </c>
      <c r="AD677" s="89" t="s">
        <v>1026</v>
      </c>
    </row>
    <row r="678" spans="1:30" ht="15.75" hidden="1" x14ac:dyDescent="0.25">
      <c r="A678" s="48" t="s">
        <v>649</v>
      </c>
      <c r="B678" s="74">
        <v>45680</v>
      </c>
      <c r="C678" s="48" t="s">
        <v>441</v>
      </c>
      <c r="D678" s="48" t="s">
        <v>20</v>
      </c>
      <c r="E678" s="48" t="s">
        <v>650</v>
      </c>
      <c r="F678" s="48" t="s">
        <v>22</v>
      </c>
      <c r="G678" s="48" t="s">
        <v>24</v>
      </c>
      <c r="H678" s="48" t="s">
        <v>22</v>
      </c>
      <c r="I678" s="48" t="s">
        <v>26</v>
      </c>
      <c r="J678" s="48">
        <v>1020055</v>
      </c>
      <c r="K678" s="50">
        <v>407334.49</v>
      </c>
      <c r="L678" s="50">
        <v>1</v>
      </c>
      <c r="M678" s="50">
        <v>407334.49</v>
      </c>
      <c r="N678" s="50">
        <v>407334.49</v>
      </c>
      <c r="O678" s="50">
        <v>0</v>
      </c>
      <c r="P678" s="50">
        <v>0</v>
      </c>
      <c r="Q678" s="87">
        <v>0</v>
      </c>
      <c r="R678" s="152">
        <v>0</v>
      </c>
      <c r="S678" s="174"/>
      <c r="T678" s="74">
        <v>45777</v>
      </c>
      <c r="U678" s="74">
        <v>45777</v>
      </c>
      <c r="V678" s="48"/>
      <c r="W678" s="48"/>
      <c r="X678" s="48"/>
      <c r="Y678" s="48">
        <v>0</v>
      </c>
      <c r="Z678" s="48"/>
      <c r="AA678" s="48" t="s">
        <v>21</v>
      </c>
      <c r="AB678" s="48" t="s">
        <v>27</v>
      </c>
      <c r="AC678" s="48" t="s">
        <v>311</v>
      </c>
      <c r="AD678" s="89" t="s">
        <v>845</v>
      </c>
    </row>
    <row r="679" spans="1:30" ht="15.75" hidden="1" x14ac:dyDescent="0.25">
      <c r="A679" s="48" t="s">
        <v>1897</v>
      </c>
      <c r="B679" s="74">
        <v>45929</v>
      </c>
      <c r="C679" s="48" t="s">
        <v>441</v>
      </c>
      <c r="D679" s="48" t="s">
        <v>20</v>
      </c>
      <c r="E679" s="48" t="s">
        <v>1840</v>
      </c>
      <c r="F679" s="48" t="s">
        <v>710</v>
      </c>
      <c r="G679" s="48" t="s">
        <v>24</v>
      </c>
      <c r="H679" s="48" t="s">
        <v>710</v>
      </c>
      <c r="I679" s="48" t="s">
        <v>26</v>
      </c>
      <c r="J679" s="48">
        <v>1020088</v>
      </c>
      <c r="K679" s="50">
        <v>300000</v>
      </c>
      <c r="L679" s="50">
        <v>1</v>
      </c>
      <c r="M679" s="50">
        <v>300000</v>
      </c>
      <c r="N679" s="50">
        <v>299950.92</v>
      </c>
      <c r="O679" s="50">
        <v>49.08</v>
      </c>
      <c r="P679" s="50">
        <v>0</v>
      </c>
      <c r="Q679" s="87">
        <v>49.08</v>
      </c>
      <c r="R679" s="152">
        <v>0</v>
      </c>
      <c r="S679" s="174"/>
      <c r="T679" s="74">
        <v>46022</v>
      </c>
      <c r="U679" s="74">
        <v>46022</v>
      </c>
      <c r="V679" s="48"/>
      <c r="W679" s="48"/>
      <c r="X679" s="48"/>
      <c r="Y679" s="48">
        <v>0</v>
      </c>
      <c r="Z679" s="48"/>
      <c r="AA679" s="48" t="s">
        <v>366</v>
      </c>
      <c r="AB679" s="48" t="s">
        <v>27</v>
      </c>
      <c r="AC679" s="48" t="s">
        <v>621</v>
      </c>
      <c r="AD679" s="89" t="s">
        <v>845</v>
      </c>
    </row>
    <row r="680" spans="1:30" ht="15.75" hidden="1" x14ac:dyDescent="0.25">
      <c r="A680" s="48" t="s">
        <v>818</v>
      </c>
      <c r="B680" s="74">
        <v>45739</v>
      </c>
      <c r="C680" s="48" t="s">
        <v>441</v>
      </c>
      <c r="D680" s="48" t="s">
        <v>20</v>
      </c>
      <c r="E680" s="48" t="s">
        <v>819</v>
      </c>
      <c r="F680" s="48" t="s">
        <v>22</v>
      </c>
      <c r="G680" s="48" t="s">
        <v>24</v>
      </c>
      <c r="H680" s="48" t="s">
        <v>22</v>
      </c>
      <c r="I680" s="48" t="s">
        <v>26</v>
      </c>
      <c r="J680" s="48">
        <v>1020055</v>
      </c>
      <c r="K680" s="50">
        <v>234893.88</v>
      </c>
      <c r="L680" s="50">
        <v>1</v>
      </c>
      <c r="M680" s="50">
        <v>234893.88</v>
      </c>
      <c r="N680" s="50">
        <v>234893.88</v>
      </c>
      <c r="O680" s="50">
        <v>0</v>
      </c>
      <c r="P680" s="50">
        <v>0</v>
      </c>
      <c r="Q680" s="87">
        <v>0</v>
      </c>
      <c r="R680" s="152">
        <v>0</v>
      </c>
      <c r="S680" s="312"/>
      <c r="T680" s="74">
        <v>45838</v>
      </c>
      <c r="U680" s="74">
        <v>45838</v>
      </c>
      <c r="V680" s="48"/>
      <c r="W680" s="48"/>
      <c r="X680" s="48"/>
      <c r="Y680" s="48">
        <v>0</v>
      </c>
      <c r="Z680" s="48"/>
      <c r="AA680" s="48" t="s">
        <v>21</v>
      </c>
      <c r="AB680" s="48" t="s">
        <v>27</v>
      </c>
      <c r="AC680" s="48" t="s">
        <v>311</v>
      </c>
      <c r="AD680" s="89" t="s">
        <v>845</v>
      </c>
    </row>
    <row r="681" spans="1:30" ht="15.75" hidden="1" x14ac:dyDescent="0.25">
      <c r="A681" s="48" t="s">
        <v>761</v>
      </c>
      <c r="B681" s="74">
        <v>45734</v>
      </c>
      <c r="C681" s="48" t="s">
        <v>509</v>
      </c>
      <c r="D681" s="48" t="s">
        <v>20</v>
      </c>
      <c r="E681" s="48" t="s">
        <v>1642</v>
      </c>
      <c r="F681" s="48" t="s">
        <v>22</v>
      </c>
      <c r="G681" s="48" t="s">
        <v>24</v>
      </c>
      <c r="H681" s="48" t="s">
        <v>407</v>
      </c>
      <c r="I681" s="48" t="s">
        <v>26</v>
      </c>
      <c r="J681" s="48">
        <v>1020100</v>
      </c>
      <c r="K681" s="50">
        <v>400000</v>
      </c>
      <c r="L681" s="50">
        <v>1</v>
      </c>
      <c r="M681" s="50">
        <v>400000</v>
      </c>
      <c r="N681" s="50">
        <v>400000</v>
      </c>
      <c r="O681" s="50">
        <v>0</v>
      </c>
      <c r="P681" s="50">
        <v>0</v>
      </c>
      <c r="Q681" s="87">
        <v>0</v>
      </c>
      <c r="R681" s="152">
        <v>0</v>
      </c>
      <c r="S681" s="174"/>
      <c r="T681" s="74">
        <v>45838</v>
      </c>
      <c r="U681" s="74">
        <v>45838</v>
      </c>
      <c r="V681" s="48"/>
      <c r="W681" s="48"/>
      <c r="X681" s="48"/>
      <c r="Y681" s="48">
        <v>0</v>
      </c>
      <c r="Z681" s="48"/>
      <c r="AA681" s="48" t="s">
        <v>21</v>
      </c>
      <c r="AB681" s="48" t="s">
        <v>27</v>
      </c>
      <c r="AC681" s="48" t="s">
        <v>311</v>
      </c>
      <c r="AD681" s="89" t="s">
        <v>845</v>
      </c>
    </row>
    <row r="682" spans="1:30" ht="15.75" hidden="1" x14ac:dyDescent="0.25">
      <c r="A682" s="48" t="s">
        <v>52</v>
      </c>
      <c r="B682" s="74">
        <v>45292</v>
      </c>
      <c r="C682" s="48" t="s">
        <v>441</v>
      </c>
      <c r="D682" s="48" t="s">
        <v>20</v>
      </c>
      <c r="E682" s="48" t="s">
        <v>53</v>
      </c>
      <c r="F682" s="48" t="s">
        <v>22</v>
      </c>
      <c r="G682" s="48" t="s">
        <v>24</v>
      </c>
      <c r="H682" s="48" t="s">
        <v>22</v>
      </c>
      <c r="I682" s="48" t="s">
        <v>26</v>
      </c>
      <c r="J682" s="48">
        <v>1020055</v>
      </c>
      <c r="K682" s="50">
        <v>2565300.11</v>
      </c>
      <c r="L682" s="50">
        <v>1</v>
      </c>
      <c r="M682" s="50">
        <v>2565300.11</v>
      </c>
      <c r="N682" s="50">
        <v>2565300.11</v>
      </c>
      <c r="O682" s="50">
        <v>0</v>
      </c>
      <c r="P682" s="50">
        <v>0</v>
      </c>
      <c r="Q682" s="87">
        <v>0</v>
      </c>
      <c r="R682" s="152">
        <v>0</v>
      </c>
      <c r="S682" s="174"/>
      <c r="T682" s="74">
        <v>45442</v>
      </c>
      <c r="U682" s="74">
        <v>45442</v>
      </c>
      <c r="V682" s="48"/>
      <c r="W682" s="48"/>
      <c r="X682" s="48"/>
      <c r="Y682" s="48">
        <v>0</v>
      </c>
      <c r="Z682" s="48"/>
      <c r="AA682" s="48" t="s">
        <v>21</v>
      </c>
      <c r="AB682" s="48" t="s">
        <v>27</v>
      </c>
      <c r="AC682" s="48" t="s">
        <v>28</v>
      </c>
      <c r="AD682" s="89" t="s">
        <v>845</v>
      </c>
    </row>
    <row r="683" spans="1:30" ht="15.75" hidden="1" x14ac:dyDescent="0.25">
      <c r="A683" s="48" t="s">
        <v>1779</v>
      </c>
      <c r="B683" s="74">
        <v>45888</v>
      </c>
      <c r="C683" s="48" t="s">
        <v>1727</v>
      </c>
      <c r="D683" s="48" t="s">
        <v>20</v>
      </c>
      <c r="E683" s="48" t="s">
        <v>1724</v>
      </c>
      <c r="F683" s="48" t="s">
        <v>70</v>
      </c>
      <c r="G683" s="48" t="s">
        <v>869</v>
      </c>
      <c r="H683" s="48" t="s">
        <v>1762</v>
      </c>
      <c r="I683" s="48" t="s">
        <v>26</v>
      </c>
      <c r="J683" s="48"/>
      <c r="K683" s="50">
        <v>313581.86</v>
      </c>
      <c r="L683" s="50">
        <v>1</v>
      </c>
      <c r="M683" s="50">
        <v>313581.86</v>
      </c>
      <c r="N683" s="50">
        <v>313581.86</v>
      </c>
      <c r="O683" s="50">
        <v>0</v>
      </c>
      <c r="P683" s="50">
        <v>0</v>
      </c>
      <c r="Q683" s="87">
        <v>0</v>
      </c>
      <c r="R683" s="152">
        <v>0</v>
      </c>
      <c r="S683" s="174"/>
      <c r="T683" s="74">
        <v>45930</v>
      </c>
      <c r="U683" s="74">
        <v>45915</v>
      </c>
      <c r="V683" s="48"/>
      <c r="W683" s="48"/>
      <c r="X683" s="48"/>
      <c r="Y683" s="48"/>
      <c r="Z683" s="48"/>
      <c r="AA683" s="48" t="s">
        <v>62</v>
      </c>
      <c r="AB683" s="48" t="s">
        <v>70</v>
      </c>
      <c r="AC683" s="48" t="s">
        <v>208</v>
      </c>
      <c r="AD683" s="89" t="s">
        <v>845</v>
      </c>
    </row>
    <row r="684" spans="1:30" ht="15.75" hidden="1" x14ac:dyDescent="0.25">
      <c r="A684" s="48" t="s">
        <v>755</v>
      </c>
      <c r="B684" s="74">
        <v>45734</v>
      </c>
      <c r="C684" s="48" t="s">
        <v>509</v>
      </c>
      <c r="D684" s="48" t="s">
        <v>20</v>
      </c>
      <c r="E684" s="48" t="s">
        <v>756</v>
      </c>
      <c r="F684" s="48" t="s">
        <v>22</v>
      </c>
      <c r="G684" s="48" t="s">
        <v>24</v>
      </c>
      <c r="H684" s="48" t="s">
        <v>407</v>
      </c>
      <c r="I684" s="48" t="s">
        <v>26</v>
      </c>
      <c r="J684" s="48">
        <v>1020100</v>
      </c>
      <c r="K684" s="50">
        <v>500000</v>
      </c>
      <c r="L684" s="50">
        <v>1</v>
      </c>
      <c r="M684" s="50">
        <v>500000</v>
      </c>
      <c r="N684" s="50">
        <v>500000</v>
      </c>
      <c r="O684" s="50">
        <v>0</v>
      </c>
      <c r="P684" s="50">
        <v>0</v>
      </c>
      <c r="Q684" s="87">
        <v>0</v>
      </c>
      <c r="R684" s="152">
        <v>0</v>
      </c>
      <c r="S684" s="174"/>
      <c r="T684" s="74">
        <v>45838</v>
      </c>
      <c r="U684" s="74">
        <v>45838</v>
      </c>
      <c r="V684" s="48"/>
      <c r="W684" s="48"/>
      <c r="X684" s="48"/>
      <c r="Y684" s="48">
        <v>0</v>
      </c>
      <c r="Z684" s="48"/>
      <c r="AA684" s="48" t="s">
        <v>21</v>
      </c>
      <c r="AB684" s="48" t="s">
        <v>27</v>
      </c>
      <c r="AC684" s="48" t="s">
        <v>311</v>
      </c>
      <c r="AD684" s="89" t="s">
        <v>845</v>
      </c>
    </row>
    <row r="685" spans="1:30" ht="15.75" hidden="1" x14ac:dyDescent="0.25">
      <c r="A685" s="48" t="s">
        <v>4544</v>
      </c>
      <c r="B685" s="74">
        <v>46009</v>
      </c>
      <c r="C685" s="48" t="s">
        <v>4231</v>
      </c>
      <c r="D685" s="48" t="s">
        <v>20</v>
      </c>
      <c r="E685" s="48" t="s">
        <v>2923</v>
      </c>
      <c r="F685" s="48" t="s">
        <v>882</v>
      </c>
      <c r="G685" s="48" t="s">
        <v>72</v>
      </c>
      <c r="H685" s="48" t="s">
        <v>882</v>
      </c>
      <c r="I685" s="48" t="s">
        <v>26</v>
      </c>
      <c r="J685" s="48">
        <v>1020108</v>
      </c>
      <c r="K685" s="50">
        <v>13581536.125</v>
      </c>
      <c r="L685" s="50">
        <v>1</v>
      </c>
      <c r="M685" s="50">
        <v>13581536.125</v>
      </c>
      <c r="N685" s="50">
        <v>0</v>
      </c>
      <c r="O685" s="50">
        <v>13581536.119999999</v>
      </c>
      <c r="P685" s="50">
        <v>0</v>
      </c>
      <c r="Q685" s="87">
        <v>13581536.119999999</v>
      </c>
      <c r="R685" s="152">
        <v>0</v>
      </c>
      <c r="S685" s="174"/>
      <c r="T685" s="74">
        <v>46081</v>
      </c>
      <c r="U685" s="74">
        <v>46081</v>
      </c>
      <c r="V685" s="48"/>
      <c r="W685" s="48"/>
      <c r="X685" s="48"/>
      <c r="Y685" s="48">
        <v>0</v>
      </c>
      <c r="Z685" s="48"/>
      <c r="AA685" s="48" t="s">
        <v>1073</v>
      </c>
      <c r="AB685" s="48" t="s">
        <v>27</v>
      </c>
      <c r="AC685" s="48" t="s">
        <v>425</v>
      </c>
      <c r="AD685" s="89" t="s">
        <v>845</v>
      </c>
    </row>
    <row r="686" spans="1:30" ht="15.75" hidden="1" x14ac:dyDescent="0.25">
      <c r="A686" s="48" t="s">
        <v>1292</v>
      </c>
      <c r="B686" s="74">
        <v>45785</v>
      </c>
      <c r="C686" s="48" t="s">
        <v>441</v>
      </c>
      <c r="D686" s="48" t="s">
        <v>20</v>
      </c>
      <c r="E686" s="48" t="s">
        <v>1243</v>
      </c>
      <c r="F686" s="48" t="s">
        <v>70</v>
      </c>
      <c r="G686" s="48" t="s">
        <v>24</v>
      </c>
      <c r="H686" s="48" t="s">
        <v>407</v>
      </c>
      <c r="I686" s="48" t="s">
        <v>26</v>
      </c>
      <c r="J686" s="48">
        <v>1020100</v>
      </c>
      <c r="K686" s="50">
        <v>200000</v>
      </c>
      <c r="L686" s="50">
        <v>1</v>
      </c>
      <c r="M686" s="50">
        <v>200000</v>
      </c>
      <c r="N686" s="50">
        <v>200000</v>
      </c>
      <c r="O686" s="50">
        <v>0</v>
      </c>
      <c r="P686" s="50">
        <v>0</v>
      </c>
      <c r="Q686" s="87">
        <v>0</v>
      </c>
      <c r="R686" s="152">
        <v>0</v>
      </c>
      <c r="S686" s="174"/>
      <c r="T686" s="74">
        <v>45869</v>
      </c>
      <c r="U686" s="74">
        <v>45869</v>
      </c>
      <c r="V686" s="48"/>
      <c r="W686" s="48"/>
      <c r="X686" s="48"/>
      <c r="Y686" s="48">
        <v>0</v>
      </c>
      <c r="Z686" s="48"/>
      <c r="AA686" s="48" t="s">
        <v>373</v>
      </c>
      <c r="AB686" s="48" t="s">
        <v>70</v>
      </c>
      <c r="AC686" s="48" t="s">
        <v>621</v>
      </c>
      <c r="AD686" s="89" t="s">
        <v>845</v>
      </c>
    </row>
    <row r="687" spans="1:30" ht="15.75" hidden="1" x14ac:dyDescent="0.25">
      <c r="A687" s="48" t="s">
        <v>1603</v>
      </c>
      <c r="B687" s="74">
        <v>45862</v>
      </c>
      <c r="C687" s="48" t="s">
        <v>441</v>
      </c>
      <c r="D687" s="48" t="s">
        <v>20</v>
      </c>
      <c r="E687" s="48" t="s">
        <v>1243</v>
      </c>
      <c r="F687" s="48" t="s">
        <v>710</v>
      </c>
      <c r="G687" s="48" t="s">
        <v>24</v>
      </c>
      <c r="H687" s="48" t="s">
        <v>710</v>
      </c>
      <c r="I687" s="48" t="s">
        <v>26</v>
      </c>
      <c r="J687" s="48">
        <v>1020088</v>
      </c>
      <c r="K687" s="50">
        <v>250000</v>
      </c>
      <c r="L687" s="50">
        <v>1</v>
      </c>
      <c r="M687" s="50">
        <v>250000</v>
      </c>
      <c r="N687" s="50">
        <v>250000</v>
      </c>
      <c r="O687" s="50">
        <v>0</v>
      </c>
      <c r="P687" s="50">
        <v>0</v>
      </c>
      <c r="Q687" s="87">
        <v>0</v>
      </c>
      <c r="R687" s="152">
        <v>0</v>
      </c>
      <c r="S687" s="312"/>
      <c r="T687" s="74">
        <v>45961</v>
      </c>
      <c r="U687" s="74">
        <v>45961</v>
      </c>
      <c r="V687" s="48"/>
      <c r="W687" s="48"/>
      <c r="X687" s="48"/>
      <c r="Y687" s="48">
        <v>0</v>
      </c>
      <c r="Z687" s="48"/>
      <c r="AA687" s="48" t="s">
        <v>366</v>
      </c>
      <c r="AB687" s="48" t="s">
        <v>27</v>
      </c>
      <c r="AC687" s="48" t="s">
        <v>621</v>
      </c>
      <c r="AD687" s="89" t="s">
        <v>845</v>
      </c>
    </row>
    <row r="688" spans="1:30" ht="15.75" hidden="1" x14ac:dyDescent="0.25">
      <c r="A688" s="48" t="s">
        <v>1780</v>
      </c>
      <c r="B688" s="74">
        <v>45888</v>
      </c>
      <c r="C688" s="48" t="s">
        <v>1727</v>
      </c>
      <c r="D688" s="48" t="s">
        <v>20</v>
      </c>
      <c r="E688" s="48" t="s">
        <v>1706</v>
      </c>
      <c r="F688" s="48" t="s">
        <v>70</v>
      </c>
      <c r="G688" s="48" t="s">
        <v>869</v>
      </c>
      <c r="H688" s="48" t="s">
        <v>1762</v>
      </c>
      <c r="I688" s="48" t="s">
        <v>26</v>
      </c>
      <c r="J688" s="48"/>
      <c r="K688" s="50">
        <v>2395477.52</v>
      </c>
      <c r="L688" s="50">
        <v>1</v>
      </c>
      <c r="M688" s="50">
        <v>2395477.52</v>
      </c>
      <c r="N688" s="50">
        <v>2395477.52</v>
      </c>
      <c r="O688" s="50">
        <v>0</v>
      </c>
      <c r="P688" s="50">
        <v>0</v>
      </c>
      <c r="Q688" s="87">
        <v>0</v>
      </c>
      <c r="R688" s="152">
        <v>0</v>
      </c>
      <c r="S688" s="174"/>
      <c r="T688" s="74">
        <v>45930</v>
      </c>
      <c r="U688" s="74">
        <v>45915</v>
      </c>
      <c r="V688" s="48"/>
      <c r="W688" s="48"/>
      <c r="X688" s="48"/>
      <c r="Y688" s="48"/>
      <c r="Z688" s="48"/>
      <c r="AA688" s="48" t="s">
        <v>62</v>
      </c>
      <c r="AB688" s="48" t="s">
        <v>70</v>
      </c>
      <c r="AC688" s="48" t="s">
        <v>208</v>
      </c>
      <c r="AD688" s="89" t="s">
        <v>845</v>
      </c>
    </row>
    <row r="689" spans="1:30" ht="15.75" hidden="1" x14ac:dyDescent="0.25">
      <c r="A689" s="48" t="s">
        <v>5427</v>
      </c>
      <c r="B689" s="74">
        <v>46177</v>
      </c>
      <c r="C689" s="48" t="s">
        <v>441</v>
      </c>
      <c r="D689" s="48" t="s">
        <v>20</v>
      </c>
      <c r="E689" s="48" t="s">
        <v>5325</v>
      </c>
      <c r="F689" s="48" t="s">
        <v>710</v>
      </c>
      <c r="G689" s="48" t="s">
        <v>24</v>
      </c>
      <c r="H689" s="48" t="s">
        <v>710</v>
      </c>
      <c r="I689" s="48" t="s">
        <v>26</v>
      </c>
      <c r="J689" s="48">
        <v>1020088</v>
      </c>
      <c r="K689" s="50">
        <v>500000</v>
      </c>
      <c r="L689" s="50">
        <v>1</v>
      </c>
      <c r="M689" s="50">
        <v>500000</v>
      </c>
      <c r="N689" s="50">
        <v>0</v>
      </c>
      <c r="O689" s="50">
        <v>500000</v>
      </c>
      <c r="P689" s="50">
        <v>0</v>
      </c>
      <c r="Q689" s="87">
        <v>500000</v>
      </c>
      <c r="R689" s="152">
        <v>0</v>
      </c>
      <c r="S689" s="174"/>
      <c r="T689" s="74">
        <v>46265</v>
      </c>
      <c r="U689" s="74">
        <v>46265</v>
      </c>
      <c r="V689" s="48"/>
      <c r="W689" s="48"/>
      <c r="X689" s="48"/>
      <c r="Y689" s="48">
        <v>0</v>
      </c>
      <c r="Z689" s="48"/>
      <c r="AA689" s="48" t="s">
        <v>366</v>
      </c>
      <c r="AB689" s="48" t="s">
        <v>27</v>
      </c>
      <c r="AC689" s="48" t="s">
        <v>5175</v>
      </c>
      <c r="AD689" s="89" t="s">
        <v>1026</v>
      </c>
    </row>
    <row r="690" spans="1:30" ht="15.75" hidden="1" x14ac:dyDescent="0.25">
      <c r="A690" s="48" t="s">
        <v>3730</v>
      </c>
      <c r="B690" s="74">
        <v>46040</v>
      </c>
      <c r="C690" s="48" t="s">
        <v>3222</v>
      </c>
      <c r="D690" s="48" t="s">
        <v>20</v>
      </c>
      <c r="E690" s="48" t="s">
        <v>3266</v>
      </c>
      <c r="F690" s="48" t="s">
        <v>1450</v>
      </c>
      <c r="G690" s="48" t="s">
        <v>3782</v>
      </c>
      <c r="H690" s="48" t="s">
        <v>367</v>
      </c>
      <c r="I690" s="48" t="s">
        <v>26</v>
      </c>
      <c r="J690" s="48">
        <v>1020091</v>
      </c>
      <c r="K690" s="50">
        <v>9979435.5</v>
      </c>
      <c r="L690" s="50">
        <v>1</v>
      </c>
      <c r="M690" s="50">
        <v>9979435.5</v>
      </c>
      <c r="N690" s="50">
        <v>2272515</v>
      </c>
      <c r="O690" s="50">
        <v>7706920.5</v>
      </c>
      <c r="P690" s="50">
        <v>0</v>
      </c>
      <c r="Q690" s="87">
        <v>7706920.5</v>
      </c>
      <c r="R690" s="152">
        <v>0</v>
      </c>
      <c r="S690" s="312"/>
      <c r="T690" s="74">
        <v>46096</v>
      </c>
      <c r="U690" s="74">
        <v>46081</v>
      </c>
      <c r="V690" s="48"/>
      <c r="W690" s="48"/>
      <c r="X690" s="48"/>
      <c r="Y690" s="48">
        <v>0</v>
      </c>
      <c r="Z690" s="48"/>
      <c r="AA690" s="48" t="s">
        <v>366</v>
      </c>
      <c r="AB690" s="48" t="s">
        <v>27</v>
      </c>
      <c r="AC690" s="48" t="s">
        <v>4254</v>
      </c>
      <c r="AD690" s="89" t="s">
        <v>845</v>
      </c>
    </row>
    <row r="691" spans="1:30" ht="15.75" hidden="1" x14ac:dyDescent="0.25">
      <c r="A691" s="48" t="s">
        <v>234</v>
      </c>
      <c r="B691" s="74">
        <v>45245</v>
      </c>
      <c r="C691" s="48" t="s">
        <v>441</v>
      </c>
      <c r="D691" s="48" t="s">
        <v>20</v>
      </c>
      <c r="E691" s="48" t="s">
        <v>235</v>
      </c>
      <c r="F691" s="48" t="s">
        <v>22</v>
      </c>
      <c r="G691" s="48" t="s">
        <v>24</v>
      </c>
      <c r="H691" s="48" t="s">
        <v>22</v>
      </c>
      <c r="I691" s="48" t="s">
        <v>26</v>
      </c>
      <c r="J691" s="48">
        <v>1020055</v>
      </c>
      <c r="K691" s="50">
        <v>4000000</v>
      </c>
      <c r="L691" s="50">
        <v>1</v>
      </c>
      <c r="M691" s="50">
        <v>4000000</v>
      </c>
      <c r="N691" s="50">
        <v>4000000</v>
      </c>
      <c r="O691" s="50">
        <v>0</v>
      </c>
      <c r="P691" s="50">
        <v>0</v>
      </c>
      <c r="Q691" s="87">
        <v>0</v>
      </c>
      <c r="R691" s="152">
        <v>0</v>
      </c>
      <c r="S691" s="174"/>
      <c r="T691" s="74">
        <v>45322</v>
      </c>
      <c r="U691" s="74">
        <v>45322</v>
      </c>
      <c r="V691" s="48"/>
      <c r="W691" s="48"/>
      <c r="X691" s="48"/>
      <c r="Y691" s="48">
        <v>0</v>
      </c>
      <c r="Z691" s="48"/>
      <c r="AA691" s="48" t="s">
        <v>21</v>
      </c>
      <c r="AB691" s="48" t="s">
        <v>27</v>
      </c>
      <c r="AC691" s="48"/>
      <c r="AD691" s="89" t="s">
        <v>845</v>
      </c>
    </row>
    <row r="692" spans="1:30" ht="15.75" hidden="1" x14ac:dyDescent="0.25">
      <c r="A692" s="48" t="s">
        <v>590</v>
      </c>
      <c r="B692" s="74">
        <v>45664</v>
      </c>
      <c r="C692" s="48" t="s">
        <v>441</v>
      </c>
      <c r="D692" s="48" t="s">
        <v>20</v>
      </c>
      <c r="E692" s="48" t="s">
        <v>591</v>
      </c>
      <c r="F692" s="48" t="s">
        <v>22</v>
      </c>
      <c r="G692" s="48" t="s">
        <v>24</v>
      </c>
      <c r="H692" s="48" t="s">
        <v>22</v>
      </c>
      <c r="I692" s="48" t="s">
        <v>26</v>
      </c>
      <c r="J692" s="48">
        <v>1020055</v>
      </c>
      <c r="K692" s="50">
        <v>3000000</v>
      </c>
      <c r="L692" s="50">
        <v>1</v>
      </c>
      <c r="M692" s="50">
        <v>3000000</v>
      </c>
      <c r="N692" s="50">
        <v>3000000</v>
      </c>
      <c r="O692" s="50">
        <v>0</v>
      </c>
      <c r="P692" s="50">
        <v>0</v>
      </c>
      <c r="Q692" s="87">
        <v>0</v>
      </c>
      <c r="R692" s="152">
        <v>0</v>
      </c>
      <c r="S692" s="174"/>
      <c r="T692" s="74">
        <v>45747</v>
      </c>
      <c r="U692" s="74">
        <v>45747</v>
      </c>
      <c r="V692" s="48"/>
      <c r="W692" s="48"/>
      <c r="X692" s="48"/>
      <c r="Y692" s="48">
        <v>0</v>
      </c>
      <c r="Z692" s="48"/>
      <c r="AA692" s="48" t="s">
        <v>21</v>
      </c>
      <c r="AB692" s="48" t="s">
        <v>27</v>
      </c>
      <c r="AC692" s="48" t="s">
        <v>311</v>
      </c>
      <c r="AD692" s="89" t="s">
        <v>845</v>
      </c>
    </row>
    <row r="693" spans="1:30" ht="15.75" hidden="1" x14ac:dyDescent="0.25">
      <c r="A693" s="48" t="s">
        <v>627</v>
      </c>
      <c r="B693" s="74">
        <v>45680</v>
      </c>
      <c r="C693" s="48" t="s">
        <v>441</v>
      </c>
      <c r="D693" s="48" t="s">
        <v>20</v>
      </c>
      <c r="E693" s="48" t="s">
        <v>591</v>
      </c>
      <c r="F693" s="48" t="s">
        <v>22</v>
      </c>
      <c r="G693" s="48" t="s">
        <v>24</v>
      </c>
      <c r="H693" s="48" t="s">
        <v>22</v>
      </c>
      <c r="I693" s="48" t="s">
        <v>26</v>
      </c>
      <c r="J693" s="48">
        <v>1020055</v>
      </c>
      <c r="K693" s="50">
        <v>3000000</v>
      </c>
      <c r="L693" s="50">
        <v>1</v>
      </c>
      <c r="M693" s="50">
        <v>3000000</v>
      </c>
      <c r="N693" s="50">
        <v>3000000</v>
      </c>
      <c r="O693" s="50">
        <v>0</v>
      </c>
      <c r="P693" s="50">
        <v>0</v>
      </c>
      <c r="Q693" s="87">
        <v>0</v>
      </c>
      <c r="R693" s="152">
        <v>0</v>
      </c>
      <c r="S693" s="174"/>
      <c r="T693" s="74">
        <v>45838</v>
      </c>
      <c r="U693" s="74">
        <v>45777</v>
      </c>
      <c r="V693" s="48"/>
      <c r="W693" s="48"/>
      <c r="X693" s="48"/>
      <c r="Y693" s="48">
        <v>0</v>
      </c>
      <c r="Z693" s="48"/>
      <c r="AA693" s="48" t="s">
        <v>21</v>
      </c>
      <c r="AB693" s="48" t="s">
        <v>27</v>
      </c>
      <c r="AC693" s="48" t="s">
        <v>311</v>
      </c>
      <c r="AD693" s="89" t="s">
        <v>845</v>
      </c>
    </row>
    <row r="694" spans="1:30" ht="15.75" hidden="1" x14ac:dyDescent="0.25">
      <c r="A694" s="48" t="s">
        <v>1605</v>
      </c>
      <c r="B694" s="74">
        <v>45862</v>
      </c>
      <c r="C694" s="48" t="s">
        <v>441</v>
      </c>
      <c r="D694" s="48" t="s">
        <v>20</v>
      </c>
      <c r="E694" s="48" t="s">
        <v>1580</v>
      </c>
      <c r="F694" s="48" t="s">
        <v>710</v>
      </c>
      <c r="G694" s="48" t="s">
        <v>24</v>
      </c>
      <c r="H694" s="48" t="s">
        <v>710</v>
      </c>
      <c r="I694" s="48" t="s">
        <v>26</v>
      </c>
      <c r="J694" s="48">
        <v>1020088</v>
      </c>
      <c r="K694" s="50">
        <v>300000</v>
      </c>
      <c r="L694" s="50">
        <v>1</v>
      </c>
      <c r="M694" s="50">
        <v>300000</v>
      </c>
      <c r="N694" s="50">
        <v>300000</v>
      </c>
      <c r="O694" s="50">
        <v>0</v>
      </c>
      <c r="P694" s="50">
        <v>0</v>
      </c>
      <c r="Q694" s="87">
        <v>0</v>
      </c>
      <c r="R694" s="152">
        <v>0</v>
      </c>
      <c r="S694" s="174"/>
      <c r="T694" s="74">
        <v>45961</v>
      </c>
      <c r="U694" s="74">
        <v>45961</v>
      </c>
      <c r="V694" s="48"/>
      <c r="W694" s="48"/>
      <c r="X694" s="48"/>
      <c r="Y694" s="48">
        <v>0</v>
      </c>
      <c r="Z694" s="48"/>
      <c r="AA694" s="48" t="s">
        <v>366</v>
      </c>
      <c r="AB694" s="48" t="s">
        <v>27</v>
      </c>
      <c r="AC694" s="48" t="s">
        <v>621</v>
      </c>
      <c r="AD694" s="89" t="s">
        <v>845</v>
      </c>
    </row>
    <row r="695" spans="1:30" ht="15.75" hidden="1" x14ac:dyDescent="0.25">
      <c r="A695" s="48" t="s">
        <v>141</v>
      </c>
      <c r="B695" s="74">
        <v>45147</v>
      </c>
      <c r="C695" s="48" t="s">
        <v>441</v>
      </c>
      <c r="D695" s="48" t="s">
        <v>20</v>
      </c>
      <c r="E695" s="48" t="s">
        <v>142</v>
      </c>
      <c r="F695" s="48" t="s">
        <v>22</v>
      </c>
      <c r="G695" s="48" t="s">
        <v>24</v>
      </c>
      <c r="H695" s="48" t="s">
        <v>22</v>
      </c>
      <c r="I695" s="48" t="s">
        <v>26</v>
      </c>
      <c r="J695" s="48">
        <v>1020055</v>
      </c>
      <c r="K695" s="50">
        <v>4000000</v>
      </c>
      <c r="L695" s="50">
        <v>1</v>
      </c>
      <c r="M695" s="50">
        <v>4000000</v>
      </c>
      <c r="N695" s="50">
        <v>4000000</v>
      </c>
      <c r="O695" s="50">
        <v>0</v>
      </c>
      <c r="P695" s="50">
        <v>0</v>
      </c>
      <c r="Q695" s="87">
        <v>0</v>
      </c>
      <c r="R695" s="152">
        <v>0</v>
      </c>
      <c r="S695" s="174"/>
      <c r="T695" s="74">
        <v>45230</v>
      </c>
      <c r="U695" s="74">
        <v>45230</v>
      </c>
      <c r="V695" s="48"/>
      <c r="W695" s="48"/>
      <c r="X695" s="48"/>
      <c r="Y695" s="48">
        <v>0</v>
      </c>
      <c r="Z695" s="48"/>
      <c r="AA695" s="48" t="s">
        <v>21</v>
      </c>
      <c r="AB695" s="48" t="s">
        <v>27</v>
      </c>
      <c r="AC695" s="48"/>
      <c r="AD695" s="89" t="s">
        <v>845</v>
      </c>
    </row>
    <row r="696" spans="1:30" ht="15.75" hidden="1" x14ac:dyDescent="0.25">
      <c r="A696" s="48" t="s">
        <v>3169</v>
      </c>
      <c r="B696" s="74">
        <v>46012</v>
      </c>
      <c r="C696" s="48" t="s">
        <v>1184</v>
      </c>
      <c r="D696" s="48" t="s">
        <v>20</v>
      </c>
      <c r="E696" s="48" t="s">
        <v>2622</v>
      </c>
      <c r="F696" s="48" t="s">
        <v>22</v>
      </c>
      <c r="G696" s="48" t="s">
        <v>72</v>
      </c>
      <c r="H696" s="48" t="s">
        <v>90</v>
      </c>
      <c r="I696" s="48" t="s">
        <v>67</v>
      </c>
      <c r="J696" s="48">
        <v>1020001</v>
      </c>
      <c r="K696" s="50">
        <v>5000000</v>
      </c>
      <c r="L696" s="50">
        <v>4.4400000000000004</v>
      </c>
      <c r="M696" s="50">
        <v>22200000.000000004</v>
      </c>
      <c r="N696" s="50">
        <v>20908277</v>
      </c>
      <c r="O696" s="50">
        <v>1291723</v>
      </c>
      <c r="P696" s="50">
        <v>1198665</v>
      </c>
      <c r="Q696" s="87">
        <v>93058</v>
      </c>
      <c r="R696" s="152">
        <v>0</v>
      </c>
      <c r="S696" s="174" t="s">
        <v>5437</v>
      </c>
      <c r="T696" s="74">
        <v>46286</v>
      </c>
      <c r="U696" s="74">
        <v>46265</v>
      </c>
      <c r="V696" s="48"/>
      <c r="W696" s="48"/>
      <c r="X696" s="48"/>
      <c r="Y696" s="48">
        <v>0</v>
      </c>
      <c r="Z696" s="48" t="s">
        <v>3226</v>
      </c>
      <c r="AA696" s="48" t="s">
        <v>21</v>
      </c>
      <c r="AB696" s="48" t="s">
        <v>27</v>
      </c>
      <c r="AC696" s="48" t="s">
        <v>3627</v>
      </c>
      <c r="AD696" s="89" t="s">
        <v>1026</v>
      </c>
    </row>
    <row r="697" spans="1:30" ht="15.75" hidden="1" x14ac:dyDescent="0.25">
      <c r="A697" s="48" t="s">
        <v>218</v>
      </c>
      <c r="B697" s="74">
        <v>45064</v>
      </c>
      <c r="C697" s="48" t="s">
        <v>1182</v>
      </c>
      <c r="D697" s="48" t="s">
        <v>20</v>
      </c>
      <c r="E697" s="48" t="s">
        <v>219</v>
      </c>
      <c r="F697" s="48" t="s">
        <v>22</v>
      </c>
      <c r="G697" s="48" t="s">
        <v>24</v>
      </c>
      <c r="H697" s="48" t="s">
        <v>90</v>
      </c>
      <c r="I697" s="48" t="s">
        <v>26</v>
      </c>
      <c r="J697" s="48">
        <v>1020001</v>
      </c>
      <c r="K697" s="50">
        <v>5602519.9800000004</v>
      </c>
      <c r="L697" s="50">
        <v>1</v>
      </c>
      <c r="M697" s="50">
        <v>5602519.9800000004</v>
      </c>
      <c r="N697" s="50">
        <v>5554715.1200000001</v>
      </c>
      <c r="O697" s="50">
        <v>47804.86</v>
      </c>
      <c r="P697" s="50">
        <v>0</v>
      </c>
      <c r="Q697" s="87">
        <v>47804.86</v>
      </c>
      <c r="R697" s="152">
        <v>0</v>
      </c>
      <c r="S697" s="174"/>
      <c r="T697" s="74">
        <v>45251</v>
      </c>
      <c r="U697" s="74">
        <v>45251</v>
      </c>
      <c r="V697" s="48"/>
      <c r="W697" s="48"/>
      <c r="X697" s="48"/>
      <c r="Y697" s="48">
        <v>0</v>
      </c>
      <c r="Z697" s="48"/>
      <c r="AA697" s="48" t="s">
        <v>21</v>
      </c>
      <c r="AB697" s="48" t="s">
        <v>27</v>
      </c>
      <c r="AC697" s="48"/>
      <c r="AD697" s="89" t="s">
        <v>845</v>
      </c>
    </row>
    <row r="698" spans="1:30" ht="15.75" hidden="1" x14ac:dyDescent="0.25">
      <c r="A698" s="48" t="s">
        <v>207</v>
      </c>
      <c r="B698" s="74">
        <v>45098</v>
      </c>
      <c r="C698" s="48" t="s">
        <v>509</v>
      </c>
      <c r="D698" s="48" t="s">
        <v>20</v>
      </c>
      <c r="E698" s="48" t="s">
        <v>76</v>
      </c>
      <c r="F698" s="48" t="s">
        <v>22</v>
      </c>
      <c r="G698" s="48" t="s">
        <v>72</v>
      </c>
      <c r="H698" s="48" t="s">
        <v>77</v>
      </c>
      <c r="I698" s="48" t="s">
        <v>78</v>
      </c>
      <c r="J698" s="48">
        <v>1020051</v>
      </c>
      <c r="K698" s="50">
        <v>4473396.8600000003</v>
      </c>
      <c r="L698" s="50">
        <v>3.8249998999999999</v>
      </c>
      <c r="M698" s="50">
        <v>17110742.542160314</v>
      </c>
      <c r="N698" s="50">
        <v>16779477.793500002</v>
      </c>
      <c r="O698" s="50">
        <v>331264.75</v>
      </c>
      <c r="P698" s="50">
        <v>0</v>
      </c>
      <c r="Q698" s="87">
        <v>331264.75</v>
      </c>
      <c r="R698" s="152">
        <v>0</v>
      </c>
      <c r="S698" s="174"/>
      <c r="T698" s="74">
        <v>45230</v>
      </c>
      <c r="U698" s="74">
        <v>45230</v>
      </c>
      <c r="V698" s="48"/>
      <c r="W698" s="48"/>
      <c r="X698" s="48"/>
      <c r="Y698" s="48">
        <v>0</v>
      </c>
      <c r="Z698" s="48"/>
      <c r="AA698" s="48" t="s">
        <v>21</v>
      </c>
      <c r="AB698" s="48" t="s">
        <v>27</v>
      </c>
      <c r="AC698" s="48" t="s">
        <v>208</v>
      </c>
      <c r="AD698" s="89" t="s">
        <v>845</v>
      </c>
    </row>
    <row r="699" spans="1:30" ht="15.75" hidden="1" x14ac:dyDescent="0.25">
      <c r="A699" s="48" t="s">
        <v>75</v>
      </c>
      <c r="B699" s="74">
        <v>45280</v>
      </c>
      <c r="C699" s="48" t="s">
        <v>509</v>
      </c>
      <c r="D699" s="48" t="s">
        <v>20</v>
      </c>
      <c r="E699" s="48" t="s">
        <v>76</v>
      </c>
      <c r="F699" s="48" t="s">
        <v>63</v>
      </c>
      <c r="G699" s="48" t="s">
        <v>72</v>
      </c>
      <c r="H699" s="48" t="s">
        <v>77</v>
      </c>
      <c r="I699" s="48" t="s">
        <v>78</v>
      </c>
      <c r="J699" s="48">
        <v>1020051</v>
      </c>
      <c r="K699" s="50">
        <v>6638408.9000000004</v>
      </c>
      <c r="L699" s="50">
        <v>3.7513000000000001</v>
      </c>
      <c r="M699" s="50">
        <v>24902663.306570001</v>
      </c>
      <c r="N699" s="50">
        <v>24902663.306570001</v>
      </c>
      <c r="O699" s="50">
        <v>0</v>
      </c>
      <c r="P699" s="50">
        <v>0</v>
      </c>
      <c r="Q699" s="87">
        <v>0</v>
      </c>
      <c r="R699" s="152">
        <v>0</v>
      </c>
      <c r="S699" s="174"/>
      <c r="T699" s="74">
        <v>45494</v>
      </c>
      <c r="U699" s="74">
        <v>45494</v>
      </c>
      <c r="V699" s="48"/>
      <c r="W699" s="48"/>
      <c r="X699" s="48"/>
      <c r="Y699" s="48">
        <v>0</v>
      </c>
      <c r="Z699" s="48"/>
      <c r="AA699" s="48" t="s">
        <v>62</v>
      </c>
      <c r="AB699" s="48" t="s">
        <v>27</v>
      </c>
      <c r="AC699" s="48" t="s">
        <v>74</v>
      </c>
      <c r="AD699" s="89" t="s">
        <v>845</v>
      </c>
    </row>
    <row r="700" spans="1:30" ht="15.75" hidden="1" x14ac:dyDescent="0.25">
      <c r="A700" s="48" t="s">
        <v>105</v>
      </c>
      <c r="B700" s="74">
        <v>44999</v>
      </c>
      <c r="C700" s="48" t="s">
        <v>509</v>
      </c>
      <c r="D700" s="48" t="s">
        <v>20</v>
      </c>
      <c r="E700" s="48" t="s">
        <v>106</v>
      </c>
      <c r="F700" s="48" t="s">
        <v>22</v>
      </c>
      <c r="G700" s="48" t="s">
        <v>72</v>
      </c>
      <c r="H700" s="48" t="s">
        <v>77</v>
      </c>
      <c r="I700" s="48" t="s">
        <v>78</v>
      </c>
      <c r="J700" s="48">
        <v>1020051</v>
      </c>
      <c r="K700" s="50">
        <v>3911507.59</v>
      </c>
      <c r="L700" s="50">
        <v>1</v>
      </c>
      <c r="M700" s="50">
        <v>3911507.59</v>
      </c>
      <c r="N700" s="50">
        <v>3838403.1565549998</v>
      </c>
      <c r="O700" s="50">
        <v>73104.429999999993</v>
      </c>
      <c r="P700" s="50">
        <v>0</v>
      </c>
      <c r="Q700" s="87">
        <v>73104.429999999993</v>
      </c>
      <c r="R700" s="152">
        <v>0</v>
      </c>
      <c r="S700" s="174"/>
      <c r="T700" s="74">
        <v>45061</v>
      </c>
      <c r="U700" s="74">
        <v>45061</v>
      </c>
      <c r="V700" s="48"/>
      <c r="W700" s="48"/>
      <c r="X700" s="48"/>
      <c r="Y700" s="48">
        <v>0</v>
      </c>
      <c r="Z700" s="48"/>
      <c r="AA700" s="48" t="s">
        <v>21</v>
      </c>
      <c r="AB700" s="48" t="s">
        <v>27</v>
      </c>
      <c r="AC700" s="48"/>
      <c r="AD700" s="89" t="s">
        <v>845</v>
      </c>
    </row>
    <row r="701" spans="1:30" ht="15.75" hidden="1" x14ac:dyDescent="0.25">
      <c r="A701" s="48" t="s">
        <v>107</v>
      </c>
      <c r="B701" s="74">
        <v>44999</v>
      </c>
      <c r="C701" s="48" t="s">
        <v>509</v>
      </c>
      <c r="D701" s="48" t="s">
        <v>20</v>
      </c>
      <c r="E701" s="48" t="s">
        <v>106</v>
      </c>
      <c r="F701" s="48" t="s">
        <v>22</v>
      </c>
      <c r="G701" s="48" t="s">
        <v>72</v>
      </c>
      <c r="H701" s="48" t="s">
        <v>77</v>
      </c>
      <c r="I701" s="48" t="s">
        <v>78</v>
      </c>
      <c r="J701" s="48">
        <v>1020051</v>
      </c>
      <c r="K701" s="50">
        <v>16678375.462499999</v>
      </c>
      <c r="L701" s="50">
        <v>1</v>
      </c>
      <c r="M701" s="50">
        <v>16678375.462499999</v>
      </c>
      <c r="N701" s="50">
        <v>16361252.01774</v>
      </c>
      <c r="O701" s="50">
        <v>317123.44</v>
      </c>
      <c r="P701" s="50">
        <v>0</v>
      </c>
      <c r="Q701" s="87">
        <v>317123.44</v>
      </c>
      <c r="R701" s="152">
        <v>0</v>
      </c>
      <c r="S701" s="174"/>
      <c r="T701" s="74">
        <v>45072</v>
      </c>
      <c r="U701" s="74">
        <v>45072</v>
      </c>
      <c r="V701" s="48"/>
      <c r="W701" s="48"/>
      <c r="X701" s="48"/>
      <c r="Y701" s="48">
        <v>0</v>
      </c>
      <c r="Z701" s="48"/>
      <c r="AA701" s="48" t="s">
        <v>21</v>
      </c>
      <c r="AB701" s="48" t="s">
        <v>27</v>
      </c>
      <c r="AC701" s="48"/>
      <c r="AD701" s="89" t="s">
        <v>845</v>
      </c>
    </row>
    <row r="702" spans="1:30" ht="15.75" hidden="1" x14ac:dyDescent="0.25">
      <c r="A702" s="48" t="s">
        <v>291</v>
      </c>
      <c r="B702" s="74">
        <v>45512</v>
      </c>
      <c r="C702" s="48" t="s">
        <v>441</v>
      </c>
      <c r="D702" s="48" t="s">
        <v>20</v>
      </c>
      <c r="E702" s="48" t="s">
        <v>292</v>
      </c>
      <c r="F702" s="48" t="s">
        <v>22</v>
      </c>
      <c r="G702" s="48" t="s">
        <v>24</v>
      </c>
      <c r="H702" s="48" t="s">
        <v>22</v>
      </c>
      <c r="I702" s="48" t="s">
        <v>26</v>
      </c>
      <c r="J702" s="48">
        <v>1020055</v>
      </c>
      <c r="K702" s="50">
        <v>1000000</v>
      </c>
      <c r="L702" s="50">
        <v>1</v>
      </c>
      <c r="M702" s="50">
        <v>1000000</v>
      </c>
      <c r="N702" s="50">
        <v>1000000</v>
      </c>
      <c r="O702" s="50">
        <v>0</v>
      </c>
      <c r="P702" s="50">
        <v>0</v>
      </c>
      <c r="Q702" s="87">
        <v>0</v>
      </c>
      <c r="R702" s="152">
        <v>0</v>
      </c>
      <c r="S702" s="174"/>
      <c r="T702" s="74">
        <v>45626</v>
      </c>
      <c r="U702" s="74">
        <v>45626</v>
      </c>
      <c r="V702" s="48"/>
      <c r="W702" s="48"/>
      <c r="X702" s="48"/>
      <c r="Y702" s="48">
        <v>0</v>
      </c>
      <c r="Z702" s="48"/>
      <c r="AA702" s="48" t="s">
        <v>21</v>
      </c>
      <c r="AB702" s="48" t="s">
        <v>27</v>
      </c>
      <c r="AC702" s="48"/>
      <c r="AD702" s="89" t="s">
        <v>845</v>
      </c>
    </row>
    <row r="703" spans="1:30" ht="15.75" hidden="1" x14ac:dyDescent="0.25">
      <c r="A703" s="48" t="s">
        <v>537</v>
      </c>
      <c r="B703" s="74">
        <v>45634</v>
      </c>
      <c r="C703" s="48" t="s">
        <v>509</v>
      </c>
      <c r="D703" s="48" t="s">
        <v>20</v>
      </c>
      <c r="E703" s="48" t="s">
        <v>538</v>
      </c>
      <c r="F703" s="48" t="s">
        <v>96</v>
      </c>
      <c r="G703" s="48" t="s">
        <v>24</v>
      </c>
      <c r="H703" s="48" t="s">
        <v>407</v>
      </c>
      <c r="I703" s="48" t="s">
        <v>26</v>
      </c>
      <c r="J703" s="48">
        <v>1020100</v>
      </c>
      <c r="K703" s="50">
        <v>2000000</v>
      </c>
      <c r="L703" s="50">
        <v>1</v>
      </c>
      <c r="M703" s="50">
        <v>2000000</v>
      </c>
      <c r="N703" s="50">
        <v>2000000</v>
      </c>
      <c r="O703" s="50">
        <v>0</v>
      </c>
      <c r="P703" s="50">
        <v>0</v>
      </c>
      <c r="Q703" s="87">
        <v>0</v>
      </c>
      <c r="R703" s="152">
        <v>0</v>
      </c>
      <c r="S703" s="174"/>
      <c r="T703" s="74">
        <v>45716</v>
      </c>
      <c r="U703" s="74">
        <v>45716</v>
      </c>
      <c r="V703" s="48"/>
      <c r="W703" s="48"/>
      <c r="X703" s="48"/>
      <c r="Y703" s="48">
        <v>0</v>
      </c>
      <c r="Z703" s="48"/>
      <c r="AA703" s="48" t="s">
        <v>95</v>
      </c>
      <c r="AB703" s="48" t="s">
        <v>27</v>
      </c>
      <c r="AC703" s="48" t="s">
        <v>311</v>
      </c>
      <c r="AD703" s="89" t="s">
        <v>845</v>
      </c>
    </row>
    <row r="704" spans="1:30" ht="15.75" hidden="1" x14ac:dyDescent="0.25">
      <c r="A704" s="48" t="s">
        <v>676</v>
      </c>
      <c r="B704" s="74">
        <v>45684</v>
      </c>
      <c r="C704" s="48" t="s">
        <v>509</v>
      </c>
      <c r="D704" s="48" t="s">
        <v>20</v>
      </c>
      <c r="E704" s="48" t="s">
        <v>538</v>
      </c>
      <c r="F704" s="48" t="s">
        <v>96</v>
      </c>
      <c r="G704" s="48" t="s">
        <v>24</v>
      </c>
      <c r="H704" s="48" t="s">
        <v>407</v>
      </c>
      <c r="I704" s="48" t="s">
        <v>26</v>
      </c>
      <c r="J704" s="48">
        <v>1020100</v>
      </c>
      <c r="K704" s="50">
        <v>900000</v>
      </c>
      <c r="L704" s="50">
        <v>1</v>
      </c>
      <c r="M704" s="50">
        <v>900000</v>
      </c>
      <c r="N704" s="50">
        <v>900000</v>
      </c>
      <c r="O704" s="50">
        <v>0</v>
      </c>
      <c r="P704" s="50">
        <v>0</v>
      </c>
      <c r="Q704" s="87">
        <v>0</v>
      </c>
      <c r="R704" s="152">
        <v>0</v>
      </c>
      <c r="S704" s="174"/>
      <c r="T704" s="74">
        <v>45777</v>
      </c>
      <c r="U704" s="74">
        <v>45777</v>
      </c>
      <c r="V704" s="48"/>
      <c r="W704" s="48"/>
      <c r="X704" s="48"/>
      <c r="Y704" s="48">
        <v>0</v>
      </c>
      <c r="Z704" s="48"/>
      <c r="AA704" s="48" t="s">
        <v>95</v>
      </c>
      <c r="AB704" s="48" t="s">
        <v>27</v>
      </c>
      <c r="AC704" s="48" t="s">
        <v>311</v>
      </c>
      <c r="AD704" s="89" t="s">
        <v>845</v>
      </c>
    </row>
    <row r="705" spans="1:30" ht="15.75" hidden="1" x14ac:dyDescent="0.25">
      <c r="A705" s="48" t="s">
        <v>331</v>
      </c>
      <c r="B705" s="74">
        <v>45519</v>
      </c>
      <c r="C705" s="48" t="s">
        <v>441</v>
      </c>
      <c r="D705" s="48" t="s">
        <v>20</v>
      </c>
      <c r="E705" s="48" t="s">
        <v>332</v>
      </c>
      <c r="F705" s="48" t="s">
        <v>96</v>
      </c>
      <c r="G705" s="48" t="s">
        <v>24</v>
      </c>
      <c r="H705" s="48" t="s">
        <v>22</v>
      </c>
      <c r="I705" s="48" t="s">
        <v>26</v>
      </c>
      <c r="J705" s="48">
        <v>1020055</v>
      </c>
      <c r="K705" s="50">
        <v>2238238.98</v>
      </c>
      <c r="L705" s="50">
        <v>1</v>
      </c>
      <c r="M705" s="50">
        <v>2238238.98</v>
      </c>
      <c r="N705" s="50">
        <v>2238238.98</v>
      </c>
      <c r="O705" s="50">
        <v>0</v>
      </c>
      <c r="P705" s="50">
        <v>0</v>
      </c>
      <c r="Q705" s="87">
        <v>0</v>
      </c>
      <c r="R705" s="152">
        <v>0</v>
      </c>
      <c r="S705" s="174"/>
      <c r="T705" s="74">
        <v>45626</v>
      </c>
      <c r="U705" s="74">
        <v>45626</v>
      </c>
      <c r="V705" s="48"/>
      <c r="W705" s="48"/>
      <c r="X705" s="48"/>
      <c r="Y705" s="48">
        <v>0</v>
      </c>
      <c r="Z705" s="48"/>
      <c r="AA705" s="48" t="s">
        <v>95</v>
      </c>
      <c r="AB705" s="48" t="s">
        <v>27</v>
      </c>
      <c r="AC705" s="48" t="s">
        <v>311</v>
      </c>
      <c r="AD705" s="89" t="s">
        <v>845</v>
      </c>
    </row>
    <row r="706" spans="1:30" ht="15.75" hidden="1" x14ac:dyDescent="0.25">
      <c r="A706" s="48" t="s">
        <v>478</v>
      </c>
      <c r="B706" s="74">
        <v>45593</v>
      </c>
      <c r="C706" s="48" t="s">
        <v>509</v>
      </c>
      <c r="D706" s="48" t="s">
        <v>20</v>
      </c>
      <c r="E706" s="48" t="s">
        <v>479</v>
      </c>
      <c r="F706" s="48" t="s">
        <v>22</v>
      </c>
      <c r="G706" s="48" t="s">
        <v>24</v>
      </c>
      <c r="H706" s="48" t="s">
        <v>407</v>
      </c>
      <c r="I706" s="48" t="s">
        <v>26</v>
      </c>
      <c r="J706" s="48">
        <v>1020100</v>
      </c>
      <c r="K706" s="50">
        <v>2200000</v>
      </c>
      <c r="L706" s="50">
        <v>1</v>
      </c>
      <c r="M706" s="50">
        <v>2200000</v>
      </c>
      <c r="N706" s="50">
        <v>2200000</v>
      </c>
      <c r="O706" s="50">
        <v>0</v>
      </c>
      <c r="P706" s="50">
        <v>0</v>
      </c>
      <c r="Q706" s="87">
        <v>0</v>
      </c>
      <c r="R706" s="152">
        <v>0</v>
      </c>
      <c r="S706" s="174"/>
      <c r="T706" s="74">
        <v>45688</v>
      </c>
      <c r="U706" s="74">
        <v>45688</v>
      </c>
      <c r="V706" s="48"/>
      <c r="W706" s="48"/>
      <c r="X706" s="48"/>
      <c r="Y706" s="48">
        <v>0</v>
      </c>
      <c r="Z706" s="48"/>
      <c r="AA706" s="48" t="s">
        <v>21</v>
      </c>
      <c r="AB706" s="48" t="s">
        <v>27</v>
      </c>
      <c r="AC706" s="48" t="s">
        <v>311</v>
      </c>
      <c r="AD706" s="89" t="s">
        <v>845</v>
      </c>
    </row>
    <row r="707" spans="1:30" ht="15.75" hidden="1" x14ac:dyDescent="0.25">
      <c r="A707" s="48" t="s">
        <v>158</v>
      </c>
      <c r="B707" s="74">
        <v>45168</v>
      </c>
      <c r="C707" s="48" t="s">
        <v>441</v>
      </c>
      <c r="D707" s="48" t="s">
        <v>20</v>
      </c>
      <c r="E707" s="48" t="s">
        <v>159</v>
      </c>
      <c r="F707" s="48" t="s">
        <v>22</v>
      </c>
      <c r="G707" s="48" t="s">
        <v>24</v>
      </c>
      <c r="H707" s="48" t="s">
        <v>22</v>
      </c>
      <c r="I707" s="48" t="s">
        <v>26</v>
      </c>
      <c r="J707" s="48">
        <v>1020055</v>
      </c>
      <c r="K707" s="50">
        <v>2211315.2999999998</v>
      </c>
      <c r="L707" s="50">
        <v>1</v>
      </c>
      <c r="M707" s="50">
        <v>2211315.2999999998</v>
      </c>
      <c r="N707" s="50">
        <v>2211315.2999999998</v>
      </c>
      <c r="O707" s="50">
        <v>0</v>
      </c>
      <c r="P707" s="50">
        <v>0</v>
      </c>
      <c r="Q707" s="87">
        <v>0</v>
      </c>
      <c r="R707" s="152">
        <v>0</v>
      </c>
      <c r="S707" s="174"/>
      <c r="T707" s="74">
        <v>45260</v>
      </c>
      <c r="U707" s="74">
        <v>45260</v>
      </c>
      <c r="V707" s="48"/>
      <c r="W707" s="48"/>
      <c r="X707" s="48"/>
      <c r="Y707" s="48">
        <v>0</v>
      </c>
      <c r="Z707" s="48"/>
      <c r="AA707" s="48" t="s">
        <v>21</v>
      </c>
      <c r="AB707" s="48" t="s">
        <v>27</v>
      </c>
      <c r="AC707" s="48"/>
      <c r="AD707" s="89" t="s">
        <v>845</v>
      </c>
    </row>
    <row r="708" spans="1:30" ht="15.75" hidden="1" x14ac:dyDescent="0.25">
      <c r="A708" s="48" t="s">
        <v>524</v>
      </c>
      <c r="B708" s="74">
        <v>45624</v>
      </c>
      <c r="C708" s="48" t="s">
        <v>441</v>
      </c>
      <c r="D708" s="48" t="s">
        <v>20</v>
      </c>
      <c r="E708" s="48" t="s">
        <v>479</v>
      </c>
      <c r="F708" s="48" t="s">
        <v>22</v>
      </c>
      <c r="G708" s="48" t="s">
        <v>24</v>
      </c>
      <c r="H708" s="48" t="s">
        <v>22</v>
      </c>
      <c r="I708" s="48" t="s">
        <v>26</v>
      </c>
      <c r="J708" s="48">
        <v>1020055</v>
      </c>
      <c r="K708" s="50">
        <v>2500000</v>
      </c>
      <c r="L708" s="50">
        <v>1</v>
      </c>
      <c r="M708" s="50">
        <v>2500000</v>
      </c>
      <c r="N708" s="50">
        <v>2500000</v>
      </c>
      <c r="O708" s="50">
        <v>0</v>
      </c>
      <c r="P708" s="50">
        <v>0</v>
      </c>
      <c r="Q708" s="87">
        <v>0</v>
      </c>
      <c r="R708" s="152">
        <v>0</v>
      </c>
      <c r="S708" s="174"/>
      <c r="T708" s="74">
        <v>45716</v>
      </c>
      <c r="U708" s="74">
        <v>45716</v>
      </c>
      <c r="V708" s="48"/>
      <c r="W708" s="48"/>
      <c r="X708" s="48"/>
      <c r="Y708" s="48">
        <v>0</v>
      </c>
      <c r="Z708" s="48"/>
      <c r="AA708" s="48" t="s">
        <v>21</v>
      </c>
      <c r="AB708" s="48" t="s">
        <v>27</v>
      </c>
      <c r="AC708" s="48" t="s">
        <v>311</v>
      </c>
      <c r="AD708" s="89" t="s">
        <v>845</v>
      </c>
    </row>
    <row r="709" spans="1:30" ht="15.75" hidden="1" x14ac:dyDescent="0.25">
      <c r="A709" s="48" t="s">
        <v>626</v>
      </c>
      <c r="B709" s="74">
        <v>45680</v>
      </c>
      <c r="C709" s="48" t="s">
        <v>441</v>
      </c>
      <c r="D709" s="48" t="s">
        <v>20</v>
      </c>
      <c r="E709" s="48" t="s">
        <v>479</v>
      </c>
      <c r="F709" s="48" t="s">
        <v>22</v>
      </c>
      <c r="G709" s="48" t="s">
        <v>24</v>
      </c>
      <c r="H709" s="48" t="s">
        <v>22</v>
      </c>
      <c r="I709" s="48" t="s">
        <v>26</v>
      </c>
      <c r="J709" s="48">
        <v>1020055</v>
      </c>
      <c r="K709" s="50">
        <v>2000000</v>
      </c>
      <c r="L709" s="50">
        <v>1</v>
      </c>
      <c r="M709" s="50">
        <v>2000000</v>
      </c>
      <c r="N709" s="50">
        <v>2000000</v>
      </c>
      <c r="O709" s="50">
        <v>0</v>
      </c>
      <c r="P709" s="50">
        <v>0</v>
      </c>
      <c r="Q709" s="87">
        <v>0</v>
      </c>
      <c r="R709" s="152">
        <v>0</v>
      </c>
      <c r="S709" s="174"/>
      <c r="T709" s="74">
        <v>45777</v>
      </c>
      <c r="U709" s="74">
        <v>45777</v>
      </c>
      <c r="V709" s="48"/>
      <c r="W709" s="48"/>
      <c r="X709" s="48"/>
      <c r="Y709" s="48">
        <v>0</v>
      </c>
      <c r="Z709" s="48"/>
      <c r="AA709" s="48" t="s">
        <v>21</v>
      </c>
      <c r="AB709" s="48" t="s">
        <v>27</v>
      </c>
      <c r="AC709" s="48" t="s">
        <v>311</v>
      </c>
      <c r="AD709" s="89" t="s">
        <v>845</v>
      </c>
    </row>
    <row r="710" spans="1:30" ht="15.75" hidden="1" x14ac:dyDescent="0.25">
      <c r="A710" s="48" t="s">
        <v>775</v>
      </c>
      <c r="B710" s="74">
        <v>45726</v>
      </c>
      <c r="C710" s="48" t="s">
        <v>441</v>
      </c>
      <c r="D710" s="48" t="s">
        <v>20</v>
      </c>
      <c r="E710" s="48" t="s">
        <v>479</v>
      </c>
      <c r="F710" s="48" t="s">
        <v>710</v>
      </c>
      <c r="G710" s="48" t="s">
        <v>24</v>
      </c>
      <c r="H710" s="48" t="s">
        <v>710</v>
      </c>
      <c r="I710" s="48" t="s">
        <v>26</v>
      </c>
      <c r="J710" s="48">
        <v>1020088</v>
      </c>
      <c r="K710" s="50">
        <v>1000000</v>
      </c>
      <c r="L710" s="50">
        <v>1</v>
      </c>
      <c r="M710" s="50">
        <v>1000000</v>
      </c>
      <c r="N710" s="50">
        <v>1000000</v>
      </c>
      <c r="O710" s="50">
        <v>0</v>
      </c>
      <c r="P710" s="50">
        <v>0</v>
      </c>
      <c r="Q710" s="87">
        <v>0</v>
      </c>
      <c r="R710" s="152">
        <v>0</v>
      </c>
      <c r="S710" s="174"/>
      <c r="T710" s="74">
        <v>45838</v>
      </c>
      <c r="U710" s="74">
        <v>45838</v>
      </c>
      <c r="V710" s="48"/>
      <c r="W710" s="48"/>
      <c r="X710" s="48"/>
      <c r="Y710" s="48">
        <v>0</v>
      </c>
      <c r="Z710" s="48"/>
      <c r="AA710" s="48" t="s">
        <v>366</v>
      </c>
      <c r="AB710" s="48" t="s">
        <v>27</v>
      </c>
      <c r="AC710" s="48" t="s">
        <v>311</v>
      </c>
      <c r="AD710" s="89" t="s">
        <v>845</v>
      </c>
    </row>
    <row r="711" spans="1:30" ht="15.75" hidden="1" x14ac:dyDescent="0.25">
      <c r="A711" s="48" t="s">
        <v>1875</v>
      </c>
      <c r="B711" s="74">
        <v>45914</v>
      </c>
      <c r="C711" s="48" t="s">
        <v>441</v>
      </c>
      <c r="D711" s="48" t="s">
        <v>20</v>
      </c>
      <c r="E711" s="48" t="s">
        <v>479</v>
      </c>
      <c r="F711" s="48" t="s">
        <v>710</v>
      </c>
      <c r="G711" s="48" t="s">
        <v>24</v>
      </c>
      <c r="H711" s="48" t="s">
        <v>710</v>
      </c>
      <c r="I711" s="48" t="s">
        <v>26</v>
      </c>
      <c r="J711" s="48">
        <v>1020088</v>
      </c>
      <c r="K711" s="50">
        <v>2000000</v>
      </c>
      <c r="L711" s="50">
        <v>1</v>
      </c>
      <c r="M711" s="50">
        <v>2000000</v>
      </c>
      <c r="N711" s="50">
        <v>2000000</v>
      </c>
      <c r="O711" s="50">
        <v>0</v>
      </c>
      <c r="P711" s="50">
        <v>0</v>
      </c>
      <c r="Q711" s="87">
        <v>0</v>
      </c>
      <c r="R711" s="152">
        <v>0</v>
      </c>
      <c r="S711" s="174"/>
      <c r="T711" s="74">
        <v>46022</v>
      </c>
      <c r="U711" s="74">
        <v>46022</v>
      </c>
      <c r="V711" s="48"/>
      <c r="W711" s="48"/>
      <c r="X711" s="48"/>
      <c r="Y711" s="48">
        <v>0</v>
      </c>
      <c r="Z711" s="48"/>
      <c r="AA711" s="48" t="s">
        <v>366</v>
      </c>
      <c r="AB711" s="48" t="s">
        <v>27</v>
      </c>
      <c r="AC711" s="48" t="s">
        <v>621</v>
      </c>
      <c r="AD711" s="89" t="s">
        <v>845</v>
      </c>
    </row>
    <row r="712" spans="1:30" ht="15.75" hidden="1" x14ac:dyDescent="0.25">
      <c r="A712" s="48" t="s">
        <v>2905</v>
      </c>
      <c r="B712" s="74">
        <v>45992</v>
      </c>
      <c r="C712" s="48" t="s">
        <v>441</v>
      </c>
      <c r="D712" s="48" t="s">
        <v>20</v>
      </c>
      <c r="E712" s="48" t="s">
        <v>479</v>
      </c>
      <c r="F712" s="48" t="s">
        <v>710</v>
      </c>
      <c r="G712" s="48" t="s">
        <v>24</v>
      </c>
      <c r="H712" s="48" t="s">
        <v>710</v>
      </c>
      <c r="I712" s="48" t="s">
        <v>26</v>
      </c>
      <c r="J712" s="48">
        <v>1020088</v>
      </c>
      <c r="K712" s="50">
        <v>4000000</v>
      </c>
      <c r="L712" s="50">
        <v>1</v>
      </c>
      <c r="M712" s="50">
        <v>4000000</v>
      </c>
      <c r="N712" s="50">
        <v>0</v>
      </c>
      <c r="O712" s="50">
        <v>4000000</v>
      </c>
      <c r="P712" s="50">
        <v>4000000</v>
      </c>
      <c r="Q712" s="87">
        <v>0</v>
      </c>
      <c r="R712" s="152">
        <v>0</v>
      </c>
      <c r="S712" s="174" t="s">
        <v>5310</v>
      </c>
      <c r="T712" s="74">
        <v>46203</v>
      </c>
      <c r="U712" s="74">
        <v>46203</v>
      </c>
      <c r="V712" s="48"/>
      <c r="W712" s="48"/>
      <c r="X712" s="48"/>
      <c r="Y712" s="48">
        <v>0</v>
      </c>
      <c r="Z712" s="48" t="s">
        <v>5083</v>
      </c>
      <c r="AA712" s="48" t="s">
        <v>366</v>
      </c>
      <c r="AB712" s="48" t="s">
        <v>27</v>
      </c>
      <c r="AC712" s="48" t="s">
        <v>621</v>
      </c>
      <c r="AD712" s="89" t="s">
        <v>1026</v>
      </c>
    </row>
    <row r="713" spans="1:30" ht="15.75" hidden="1" x14ac:dyDescent="0.25">
      <c r="A713" s="48" t="s">
        <v>4559</v>
      </c>
      <c r="B713" s="74">
        <v>46118</v>
      </c>
      <c r="C713" s="48" t="s">
        <v>441</v>
      </c>
      <c r="D713" s="48" t="s">
        <v>20</v>
      </c>
      <c r="E713" s="48" t="s">
        <v>4501</v>
      </c>
      <c r="F713" s="48" t="s">
        <v>710</v>
      </c>
      <c r="G713" s="48" t="s">
        <v>24</v>
      </c>
      <c r="H713" s="48" t="s">
        <v>710</v>
      </c>
      <c r="I713" s="48" t="s">
        <v>26</v>
      </c>
      <c r="J713" s="48">
        <v>1020088</v>
      </c>
      <c r="K713" s="50">
        <v>900000</v>
      </c>
      <c r="L713" s="50">
        <v>1</v>
      </c>
      <c r="M713" s="50">
        <v>900000</v>
      </c>
      <c r="N713" s="50">
        <v>0</v>
      </c>
      <c r="O713" s="50">
        <v>900000</v>
      </c>
      <c r="P713" s="50">
        <v>0</v>
      </c>
      <c r="Q713" s="87">
        <v>900000</v>
      </c>
      <c r="R713" s="152">
        <v>0</v>
      </c>
      <c r="S713" s="174"/>
      <c r="T713" s="74">
        <v>46203</v>
      </c>
      <c r="U713" s="74">
        <v>46203</v>
      </c>
      <c r="V713" s="48"/>
      <c r="W713" s="48"/>
      <c r="X713" s="48"/>
      <c r="Y713" s="48">
        <v>0</v>
      </c>
      <c r="Z713" s="48"/>
      <c r="AA713" s="48" t="s">
        <v>366</v>
      </c>
      <c r="AB713" s="48" t="s">
        <v>27</v>
      </c>
      <c r="AC713" s="48" t="s">
        <v>4493</v>
      </c>
      <c r="AD713" s="89" t="s">
        <v>1026</v>
      </c>
    </row>
    <row r="714" spans="1:30" ht="15.75" hidden="1" x14ac:dyDescent="0.25">
      <c r="A714" s="48" t="s">
        <v>5421</v>
      </c>
      <c r="B714" s="74">
        <v>46177</v>
      </c>
      <c r="C714" s="48" t="s">
        <v>441</v>
      </c>
      <c r="D714" s="48" t="s">
        <v>20</v>
      </c>
      <c r="E714" s="48" t="s">
        <v>159</v>
      </c>
      <c r="F714" s="48" t="s">
        <v>710</v>
      </c>
      <c r="G714" s="48" t="s">
        <v>24</v>
      </c>
      <c r="H714" s="48" t="s">
        <v>710</v>
      </c>
      <c r="I714" s="48" t="s">
        <v>26</v>
      </c>
      <c r="J714" s="48">
        <v>1020088</v>
      </c>
      <c r="K714" s="50">
        <v>500000</v>
      </c>
      <c r="L714" s="50">
        <v>1</v>
      </c>
      <c r="M714" s="50">
        <v>500000</v>
      </c>
      <c r="N714" s="50">
        <v>0</v>
      </c>
      <c r="O714" s="50">
        <v>500000</v>
      </c>
      <c r="P714" s="50">
        <v>0</v>
      </c>
      <c r="Q714" s="87">
        <v>500000</v>
      </c>
      <c r="R714" s="152">
        <v>0</v>
      </c>
      <c r="S714" s="174"/>
      <c r="T714" s="74">
        <v>46265</v>
      </c>
      <c r="U714" s="74">
        <v>46265</v>
      </c>
      <c r="V714" s="48"/>
      <c r="W714" s="48"/>
      <c r="X714" s="48"/>
      <c r="Y714" s="48">
        <v>0</v>
      </c>
      <c r="Z714" s="48"/>
      <c r="AA714" s="48" t="s">
        <v>366</v>
      </c>
      <c r="AB714" s="48" t="s">
        <v>27</v>
      </c>
      <c r="AC714" s="48" t="s">
        <v>5175</v>
      </c>
      <c r="AD714" s="89" t="s">
        <v>1026</v>
      </c>
    </row>
    <row r="715" spans="1:30" ht="15.75" hidden="1" x14ac:dyDescent="0.25">
      <c r="A715" s="48" t="s">
        <v>232</v>
      </c>
      <c r="B715" s="74">
        <v>45245</v>
      </c>
      <c r="C715" s="48" t="s">
        <v>441</v>
      </c>
      <c r="D715" s="48" t="s">
        <v>20</v>
      </c>
      <c r="E715" s="48" t="s">
        <v>233</v>
      </c>
      <c r="F715" s="48" t="s">
        <v>22</v>
      </c>
      <c r="G715" s="48" t="s">
        <v>24</v>
      </c>
      <c r="H715" s="48" t="s">
        <v>22</v>
      </c>
      <c r="I715" s="48" t="s">
        <v>26</v>
      </c>
      <c r="J715" s="48">
        <v>1020055</v>
      </c>
      <c r="K715" s="50">
        <v>2000000</v>
      </c>
      <c r="L715" s="50">
        <v>1</v>
      </c>
      <c r="M715" s="50">
        <v>2000000</v>
      </c>
      <c r="N715" s="50">
        <v>2000000</v>
      </c>
      <c r="O715" s="50">
        <v>0</v>
      </c>
      <c r="P715" s="50">
        <v>0</v>
      </c>
      <c r="Q715" s="87">
        <v>0</v>
      </c>
      <c r="R715" s="152">
        <v>0</v>
      </c>
      <c r="S715" s="174"/>
      <c r="T715" s="74">
        <v>45322</v>
      </c>
      <c r="U715" s="74">
        <v>45322</v>
      </c>
      <c r="V715" s="48"/>
      <c r="W715" s="48"/>
      <c r="X715" s="48"/>
      <c r="Y715" s="48">
        <v>0</v>
      </c>
      <c r="Z715" s="48"/>
      <c r="AA715" s="48" t="s">
        <v>21</v>
      </c>
      <c r="AB715" s="48" t="s">
        <v>27</v>
      </c>
      <c r="AC715" s="48"/>
      <c r="AD715" s="89" t="s">
        <v>845</v>
      </c>
    </row>
    <row r="716" spans="1:30" ht="15.75" hidden="1" x14ac:dyDescent="0.25">
      <c r="A716" s="48" t="s">
        <v>462</v>
      </c>
      <c r="B716" s="74">
        <v>45616</v>
      </c>
      <c r="C716" s="48" t="s">
        <v>441</v>
      </c>
      <c r="D716" s="48" t="s">
        <v>20</v>
      </c>
      <c r="E716" s="48" t="s">
        <v>463</v>
      </c>
      <c r="F716" s="48" t="s">
        <v>96</v>
      </c>
      <c r="G716" s="48" t="s">
        <v>72</v>
      </c>
      <c r="H716" s="48" t="s">
        <v>325</v>
      </c>
      <c r="I716" s="48" t="s">
        <v>26</v>
      </c>
      <c r="J716" s="48">
        <v>1020068</v>
      </c>
      <c r="K716" s="50">
        <v>10000000</v>
      </c>
      <c r="L716" s="50">
        <v>1</v>
      </c>
      <c r="M716" s="50">
        <v>10000000</v>
      </c>
      <c r="N716" s="50">
        <v>10000000</v>
      </c>
      <c r="O716" s="50">
        <v>0</v>
      </c>
      <c r="P716" s="50">
        <v>0</v>
      </c>
      <c r="Q716" s="87">
        <v>0</v>
      </c>
      <c r="R716" s="152">
        <v>0</v>
      </c>
      <c r="S716" s="174"/>
      <c r="T716" s="74">
        <v>45716</v>
      </c>
      <c r="U716" s="74">
        <v>45692</v>
      </c>
      <c r="V716" s="48"/>
      <c r="W716" s="48"/>
      <c r="X716" s="48"/>
      <c r="Y716" s="48">
        <v>0</v>
      </c>
      <c r="Z716" s="48"/>
      <c r="AA716" s="48" t="s">
        <v>95</v>
      </c>
      <c r="AB716" s="48" t="s">
        <v>27</v>
      </c>
      <c r="AC716" s="48" t="s">
        <v>208</v>
      </c>
      <c r="AD716" s="89" t="s">
        <v>845</v>
      </c>
    </row>
    <row r="717" spans="1:30" ht="15.75" hidden="1" x14ac:dyDescent="0.25">
      <c r="A717" s="48" t="s">
        <v>622</v>
      </c>
      <c r="B717" s="74">
        <v>45680</v>
      </c>
      <c r="C717" s="48" t="s">
        <v>441</v>
      </c>
      <c r="D717" s="48" t="s">
        <v>20</v>
      </c>
      <c r="E717" s="48" t="s">
        <v>623</v>
      </c>
      <c r="F717" s="48" t="s">
        <v>22</v>
      </c>
      <c r="G717" s="48" t="s">
        <v>24</v>
      </c>
      <c r="H717" s="48" t="s">
        <v>22</v>
      </c>
      <c r="I717" s="48" t="s">
        <v>26</v>
      </c>
      <c r="J717" s="48">
        <v>1020055</v>
      </c>
      <c r="K717" s="50">
        <v>1420509.01</v>
      </c>
      <c r="L717" s="50">
        <v>1</v>
      </c>
      <c r="M717" s="50">
        <v>1420509.01</v>
      </c>
      <c r="N717" s="50">
        <v>1420509.01</v>
      </c>
      <c r="O717" s="50">
        <v>0</v>
      </c>
      <c r="P717" s="50">
        <v>0</v>
      </c>
      <c r="Q717" s="87">
        <v>0</v>
      </c>
      <c r="R717" s="152">
        <v>0</v>
      </c>
      <c r="S717" s="174"/>
      <c r="T717" s="74">
        <v>45777</v>
      </c>
      <c r="U717" s="74">
        <v>45777</v>
      </c>
      <c r="V717" s="48"/>
      <c r="W717" s="48"/>
      <c r="X717" s="48"/>
      <c r="Y717" s="48">
        <v>0</v>
      </c>
      <c r="Z717" s="48"/>
      <c r="AA717" s="48" t="s">
        <v>21</v>
      </c>
      <c r="AB717" s="48" t="s">
        <v>27</v>
      </c>
      <c r="AC717" s="48" t="s">
        <v>311</v>
      </c>
      <c r="AD717" s="89" t="s">
        <v>845</v>
      </c>
    </row>
    <row r="718" spans="1:30" ht="15.75" hidden="1" x14ac:dyDescent="0.25">
      <c r="A718" s="48" t="s">
        <v>1792</v>
      </c>
      <c r="B718" s="74">
        <v>45893</v>
      </c>
      <c r="C718" s="48" t="s">
        <v>441</v>
      </c>
      <c r="D718" s="48" t="s">
        <v>20</v>
      </c>
      <c r="E718" s="48" t="s">
        <v>1586</v>
      </c>
      <c r="F718" s="48" t="s">
        <v>22</v>
      </c>
      <c r="G718" s="48" t="s">
        <v>24</v>
      </c>
      <c r="H718" s="48" t="s">
        <v>22</v>
      </c>
      <c r="I718" s="48" t="s">
        <v>26</v>
      </c>
      <c r="J718" s="48">
        <v>1020055</v>
      </c>
      <c r="K718" s="50">
        <v>900000</v>
      </c>
      <c r="L718" s="50">
        <v>1</v>
      </c>
      <c r="M718" s="50">
        <v>900000</v>
      </c>
      <c r="N718" s="50">
        <v>900000</v>
      </c>
      <c r="O718" s="50">
        <v>0</v>
      </c>
      <c r="P718" s="50">
        <v>0</v>
      </c>
      <c r="Q718" s="87">
        <v>0</v>
      </c>
      <c r="R718" s="152">
        <v>0</v>
      </c>
      <c r="S718" s="174"/>
      <c r="T718" s="74">
        <v>45991</v>
      </c>
      <c r="U718" s="74">
        <v>45991</v>
      </c>
      <c r="V718" s="48"/>
      <c r="W718" s="48"/>
      <c r="X718" s="48"/>
      <c r="Y718" s="48">
        <v>0</v>
      </c>
      <c r="Z718" s="48"/>
      <c r="AA718" s="48" t="s">
        <v>21</v>
      </c>
      <c r="AB718" s="48" t="s">
        <v>27</v>
      </c>
      <c r="AC718" s="48" t="s">
        <v>621</v>
      </c>
      <c r="AD718" s="89" t="s">
        <v>845</v>
      </c>
    </row>
    <row r="719" spans="1:30" ht="15.75" hidden="1" x14ac:dyDescent="0.25">
      <c r="A719" s="48" t="s">
        <v>812</v>
      </c>
      <c r="B719" s="74">
        <v>45739</v>
      </c>
      <c r="C719" s="48" t="s">
        <v>441</v>
      </c>
      <c r="D719" s="48" t="s">
        <v>20</v>
      </c>
      <c r="E719" s="48" t="s">
        <v>813</v>
      </c>
      <c r="F719" s="48" t="s">
        <v>22</v>
      </c>
      <c r="G719" s="48" t="s">
        <v>24</v>
      </c>
      <c r="H719" s="48" t="s">
        <v>22</v>
      </c>
      <c r="I719" s="48" t="s">
        <v>26</v>
      </c>
      <c r="J719" s="48">
        <v>1020055</v>
      </c>
      <c r="K719" s="50">
        <v>332775</v>
      </c>
      <c r="L719" s="50">
        <v>1</v>
      </c>
      <c r="M719" s="50">
        <v>332775</v>
      </c>
      <c r="N719" s="50">
        <v>332775</v>
      </c>
      <c r="O719" s="50">
        <v>0</v>
      </c>
      <c r="P719" s="50">
        <v>0</v>
      </c>
      <c r="Q719" s="87">
        <v>0</v>
      </c>
      <c r="R719" s="152">
        <v>0</v>
      </c>
      <c r="S719" s="174"/>
      <c r="T719" s="74">
        <v>45838</v>
      </c>
      <c r="U719" s="74">
        <v>45838</v>
      </c>
      <c r="V719" s="48"/>
      <c r="W719" s="48"/>
      <c r="X719" s="48"/>
      <c r="Y719" s="48">
        <v>0</v>
      </c>
      <c r="Z719" s="48"/>
      <c r="AA719" s="48" t="s">
        <v>21</v>
      </c>
      <c r="AB719" s="48" t="s">
        <v>27</v>
      </c>
      <c r="AC719" s="48" t="s">
        <v>311</v>
      </c>
      <c r="AD719" s="89" t="s">
        <v>845</v>
      </c>
    </row>
    <row r="720" spans="1:30" ht="15.75" hidden="1" x14ac:dyDescent="0.25">
      <c r="A720" s="48" t="s">
        <v>1344</v>
      </c>
      <c r="B720" s="74">
        <v>45792</v>
      </c>
      <c r="C720" s="48" t="s">
        <v>441</v>
      </c>
      <c r="D720" s="48" t="s">
        <v>20</v>
      </c>
      <c r="E720" s="48" t="s">
        <v>1318</v>
      </c>
      <c r="F720" s="48" t="s">
        <v>22</v>
      </c>
      <c r="G720" s="48" t="s">
        <v>24</v>
      </c>
      <c r="H720" s="48" t="s">
        <v>22</v>
      </c>
      <c r="I720" s="48" t="s">
        <v>26</v>
      </c>
      <c r="J720" s="48">
        <v>1020055</v>
      </c>
      <c r="K720" s="50">
        <v>613577</v>
      </c>
      <c r="L720" s="50">
        <v>1</v>
      </c>
      <c r="M720" s="50">
        <v>613577</v>
      </c>
      <c r="N720" s="50">
        <v>613577</v>
      </c>
      <c r="O720" s="50">
        <v>0</v>
      </c>
      <c r="P720" s="50">
        <v>0</v>
      </c>
      <c r="Q720" s="87">
        <v>0</v>
      </c>
      <c r="R720" s="152">
        <v>0</v>
      </c>
      <c r="S720" s="174"/>
      <c r="T720" s="74">
        <v>45900</v>
      </c>
      <c r="U720" s="74">
        <v>45900</v>
      </c>
      <c r="V720" s="48"/>
      <c r="W720" s="48"/>
      <c r="X720" s="48"/>
      <c r="Y720" s="48">
        <v>0</v>
      </c>
      <c r="Z720" s="48"/>
      <c r="AA720" s="48" t="s">
        <v>21</v>
      </c>
      <c r="AB720" s="48" t="s">
        <v>27</v>
      </c>
      <c r="AC720" s="48" t="s">
        <v>621</v>
      </c>
      <c r="AD720" s="89" t="s">
        <v>845</v>
      </c>
    </row>
    <row r="721" spans="1:30" ht="15.75" hidden="1" x14ac:dyDescent="0.25">
      <c r="A721" s="48" t="s">
        <v>456</v>
      </c>
      <c r="B721" s="74">
        <v>45580</v>
      </c>
      <c r="C721" s="48" t="s">
        <v>1181</v>
      </c>
      <c r="D721" s="48" t="s">
        <v>20</v>
      </c>
      <c r="E721" s="48" t="s">
        <v>457</v>
      </c>
      <c r="F721" s="48" t="s">
        <v>63</v>
      </c>
      <c r="G721" s="48" t="s">
        <v>72</v>
      </c>
      <c r="H721" s="48" t="s">
        <v>81</v>
      </c>
      <c r="I721" s="48" t="s">
        <v>26</v>
      </c>
      <c r="J721" s="48">
        <v>1020070</v>
      </c>
      <c r="K721" s="50">
        <v>127650</v>
      </c>
      <c r="L721" s="50">
        <v>1</v>
      </c>
      <c r="M721" s="50">
        <v>127650</v>
      </c>
      <c r="N721" s="50">
        <v>127650</v>
      </c>
      <c r="O721" s="50">
        <v>0</v>
      </c>
      <c r="P721" s="50">
        <v>0</v>
      </c>
      <c r="Q721" s="87">
        <v>0</v>
      </c>
      <c r="R721" s="152">
        <v>0</v>
      </c>
      <c r="S721" s="174"/>
      <c r="T721" s="74">
        <v>45631</v>
      </c>
      <c r="U721" s="74">
        <v>45611</v>
      </c>
      <c r="V721" s="48"/>
      <c r="W721" s="48"/>
      <c r="X721" s="48"/>
      <c r="Y721" s="48">
        <v>0</v>
      </c>
      <c r="Z721" s="48"/>
      <c r="AA721" s="48" t="s">
        <v>373</v>
      </c>
      <c r="AB721" s="48" t="s">
        <v>27</v>
      </c>
      <c r="AC721" s="48" t="s">
        <v>208</v>
      </c>
      <c r="AD721" s="89" t="s">
        <v>845</v>
      </c>
    </row>
    <row r="722" spans="1:30" ht="15.75" hidden="1" x14ac:dyDescent="0.25">
      <c r="A722" s="48" t="s">
        <v>617</v>
      </c>
      <c r="B722" s="74">
        <v>45684</v>
      </c>
      <c r="C722" s="48" t="s">
        <v>441</v>
      </c>
      <c r="D722" s="48" t="s">
        <v>20</v>
      </c>
      <c r="E722" s="48" t="s">
        <v>618</v>
      </c>
      <c r="F722" s="48" t="s">
        <v>613</v>
      </c>
      <c r="G722" s="48" t="s">
        <v>24</v>
      </c>
      <c r="H722" s="48" t="s">
        <v>613</v>
      </c>
      <c r="I722" s="48" t="s">
        <v>26</v>
      </c>
      <c r="J722" s="48">
        <v>1020106</v>
      </c>
      <c r="K722" s="50">
        <v>715921</v>
      </c>
      <c r="L722" s="50">
        <v>1</v>
      </c>
      <c r="M722" s="50">
        <v>715921</v>
      </c>
      <c r="N722" s="50">
        <v>715921</v>
      </c>
      <c r="O722" s="50">
        <v>0</v>
      </c>
      <c r="P722" s="50">
        <v>0</v>
      </c>
      <c r="Q722" s="87">
        <v>0</v>
      </c>
      <c r="R722" s="152">
        <v>0</v>
      </c>
      <c r="S722" s="174"/>
      <c r="T722" s="74">
        <v>45777</v>
      </c>
      <c r="U722" s="74">
        <v>45777</v>
      </c>
      <c r="V722" s="48"/>
      <c r="W722" s="48"/>
      <c r="X722" s="48"/>
      <c r="Y722" s="48">
        <v>0</v>
      </c>
      <c r="Z722" s="48"/>
      <c r="AA722" s="48" t="s">
        <v>612</v>
      </c>
      <c r="AB722" s="48" t="s">
        <v>27</v>
      </c>
      <c r="AC722" s="48" t="s">
        <v>425</v>
      </c>
      <c r="AD722" s="89" t="s">
        <v>845</v>
      </c>
    </row>
    <row r="723" spans="1:30" ht="15.75" hidden="1" x14ac:dyDescent="0.25">
      <c r="A723" s="48" t="s">
        <v>1232</v>
      </c>
      <c r="B723" s="74">
        <v>45775</v>
      </c>
      <c r="C723" s="48" t="s">
        <v>441</v>
      </c>
      <c r="D723" s="48" t="s">
        <v>20</v>
      </c>
      <c r="E723" s="48" t="s">
        <v>1206</v>
      </c>
      <c r="F723" s="48" t="s">
        <v>613</v>
      </c>
      <c r="G723" s="48" t="s">
        <v>24</v>
      </c>
      <c r="H723" s="48" t="s">
        <v>613</v>
      </c>
      <c r="I723" s="48" t="s">
        <v>26</v>
      </c>
      <c r="J723" s="48">
        <v>1020106</v>
      </c>
      <c r="K723" s="50">
        <v>1918775</v>
      </c>
      <c r="L723" s="50">
        <v>1</v>
      </c>
      <c r="M723" s="50">
        <v>1918775</v>
      </c>
      <c r="N723" s="50">
        <v>1918775</v>
      </c>
      <c r="O723" s="50">
        <v>0</v>
      </c>
      <c r="P723" s="50">
        <v>0</v>
      </c>
      <c r="Q723" s="87">
        <v>0</v>
      </c>
      <c r="R723" s="152">
        <v>0</v>
      </c>
      <c r="S723" s="174"/>
      <c r="T723" s="74">
        <v>45869</v>
      </c>
      <c r="U723" s="74">
        <v>45869</v>
      </c>
      <c r="V723" s="48"/>
      <c r="W723" s="48"/>
      <c r="X723" s="48"/>
      <c r="Y723" s="48"/>
      <c r="Z723" s="48"/>
      <c r="AA723" s="48" t="s">
        <v>612</v>
      </c>
      <c r="AB723" s="48" t="s">
        <v>27</v>
      </c>
      <c r="AC723" s="48" t="s">
        <v>311</v>
      </c>
      <c r="AD723" s="89" t="s">
        <v>845</v>
      </c>
    </row>
    <row r="724" spans="1:30" ht="15.75" hidden="1" x14ac:dyDescent="0.25">
      <c r="A724" s="48" t="s">
        <v>5446</v>
      </c>
      <c r="B724" s="74">
        <v>46177</v>
      </c>
      <c r="C724" s="48" t="s">
        <v>441</v>
      </c>
      <c r="D724" s="48" t="s">
        <v>20</v>
      </c>
      <c r="E724" s="48" t="s">
        <v>5322</v>
      </c>
      <c r="F724" s="48" t="s">
        <v>710</v>
      </c>
      <c r="G724" s="48" t="s">
        <v>24</v>
      </c>
      <c r="H724" s="48" t="s">
        <v>710</v>
      </c>
      <c r="I724" s="48" t="s">
        <v>26</v>
      </c>
      <c r="J724" s="48">
        <v>1020088</v>
      </c>
      <c r="K724" s="50">
        <v>190080.6</v>
      </c>
      <c r="L724" s="50">
        <v>1</v>
      </c>
      <c r="M724" s="50">
        <v>190080.6</v>
      </c>
      <c r="N724" s="50">
        <v>0</v>
      </c>
      <c r="O724" s="50">
        <v>190080.6</v>
      </c>
      <c r="P724" s="50">
        <v>0</v>
      </c>
      <c r="Q724" s="87">
        <v>190080.6</v>
      </c>
      <c r="R724" s="152">
        <v>0</v>
      </c>
      <c r="S724" s="174"/>
      <c r="T724" s="74">
        <v>46265</v>
      </c>
      <c r="U724" s="74">
        <v>46265</v>
      </c>
      <c r="V724" s="48"/>
      <c r="W724" s="48"/>
      <c r="X724" s="48"/>
      <c r="Y724" s="48">
        <v>0</v>
      </c>
      <c r="Z724" s="48"/>
      <c r="AA724" s="48" t="s">
        <v>366</v>
      </c>
      <c r="AB724" s="48" t="s">
        <v>27</v>
      </c>
      <c r="AC724" s="48" t="s">
        <v>5175</v>
      </c>
      <c r="AD724" s="89" t="s">
        <v>1026</v>
      </c>
    </row>
    <row r="725" spans="1:30" ht="15.75" hidden="1" x14ac:dyDescent="0.25">
      <c r="A725" s="48" t="s">
        <v>808</v>
      </c>
      <c r="B725" s="74">
        <v>45739</v>
      </c>
      <c r="C725" s="48" t="s">
        <v>441</v>
      </c>
      <c r="D725" s="48" t="s">
        <v>20</v>
      </c>
      <c r="E725" s="48" t="s">
        <v>809</v>
      </c>
      <c r="F725" s="48" t="s">
        <v>22</v>
      </c>
      <c r="G725" s="48" t="s">
        <v>24</v>
      </c>
      <c r="H725" s="48" t="s">
        <v>22</v>
      </c>
      <c r="I725" s="48" t="s">
        <v>26</v>
      </c>
      <c r="J725" s="48">
        <v>1020055</v>
      </c>
      <c r="K725" s="50">
        <v>450975.31</v>
      </c>
      <c r="L725" s="50">
        <v>1</v>
      </c>
      <c r="M725" s="50">
        <v>450975.31</v>
      </c>
      <c r="N725" s="50">
        <v>450975.3</v>
      </c>
      <c r="O725" s="50">
        <v>0.01</v>
      </c>
      <c r="P725" s="50">
        <v>0</v>
      </c>
      <c r="Q725" s="87">
        <v>0.01</v>
      </c>
      <c r="R725" s="152">
        <v>0</v>
      </c>
      <c r="S725" s="174"/>
      <c r="T725" s="74">
        <v>45838</v>
      </c>
      <c r="U725" s="74">
        <v>45838</v>
      </c>
      <c r="V725" s="48"/>
      <c r="W725" s="48"/>
      <c r="X725" s="48"/>
      <c r="Y725" s="48">
        <v>0</v>
      </c>
      <c r="Z725" s="48"/>
      <c r="AA725" s="48" t="s">
        <v>21</v>
      </c>
      <c r="AB725" s="48" t="s">
        <v>27</v>
      </c>
      <c r="AC725" s="48" t="s">
        <v>311</v>
      </c>
      <c r="AD725" s="89" t="s">
        <v>845</v>
      </c>
    </row>
    <row r="726" spans="1:30" ht="15.75" hidden="1" x14ac:dyDescent="0.25">
      <c r="A726" s="48" t="s">
        <v>1342</v>
      </c>
      <c r="B726" s="74">
        <v>45792</v>
      </c>
      <c r="C726" s="48" t="s">
        <v>441</v>
      </c>
      <c r="D726" s="48" t="s">
        <v>20</v>
      </c>
      <c r="E726" s="48" t="s">
        <v>1265</v>
      </c>
      <c r="F726" s="48" t="s">
        <v>22</v>
      </c>
      <c r="G726" s="48" t="s">
        <v>24</v>
      </c>
      <c r="H726" s="48" t="s">
        <v>22</v>
      </c>
      <c r="I726" s="48" t="s">
        <v>26</v>
      </c>
      <c r="J726" s="48">
        <v>1020055</v>
      </c>
      <c r="K726" s="50">
        <v>292628.84000000003</v>
      </c>
      <c r="L726" s="50">
        <v>1</v>
      </c>
      <c r="M726" s="50">
        <v>292628.84000000003</v>
      </c>
      <c r="N726" s="50">
        <v>292628.83</v>
      </c>
      <c r="O726" s="50">
        <v>0.01</v>
      </c>
      <c r="P726" s="50">
        <v>0</v>
      </c>
      <c r="Q726" s="87">
        <v>0.01</v>
      </c>
      <c r="R726" s="152">
        <v>0</v>
      </c>
      <c r="S726" s="174"/>
      <c r="T726" s="74">
        <v>45900</v>
      </c>
      <c r="U726" s="74">
        <v>45900</v>
      </c>
      <c r="V726" s="48"/>
      <c r="W726" s="48"/>
      <c r="X726" s="48"/>
      <c r="Y726" s="48">
        <v>0</v>
      </c>
      <c r="Z726" s="48"/>
      <c r="AA726" s="48" t="s">
        <v>21</v>
      </c>
      <c r="AB726" s="48" t="s">
        <v>27</v>
      </c>
      <c r="AC726" s="48" t="s">
        <v>621</v>
      </c>
      <c r="AD726" s="89" t="s">
        <v>845</v>
      </c>
    </row>
    <row r="727" spans="1:30" ht="15.75" hidden="1" x14ac:dyDescent="0.25">
      <c r="A727" s="48" t="s">
        <v>1315</v>
      </c>
      <c r="B727" s="74">
        <v>45788</v>
      </c>
      <c r="C727" s="48" t="s">
        <v>441</v>
      </c>
      <c r="D727" s="48" t="s">
        <v>20</v>
      </c>
      <c r="E727" s="48" t="s">
        <v>1265</v>
      </c>
      <c r="F727" s="48" t="s">
        <v>22</v>
      </c>
      <c r="G727" s="48" t="s">
        <v>24</v>
      </c>
      <c r="H727" s="48" t="s">
        <v>22</v>
      </c>
      <c r="I727" s="48" t="s">
        <v>26</v>
      </c>
      <c r="J727" s="48">
        <v>1020055</v>
      </c>
      <c r="K727" s="50">
        <v>102859.94</v>
      </c>
      <c r="L727" s="50">
        <v>1</v>
      </c>
      <c r="M727" s="50">
        <v>102859.94</v>
      </c>
      <c r="N727" s="50">
        <v>102859.94</v>
      </c>
      <c r="O727" s="50">
        <v>0</v>
      </c>
      <c r="P727" s="50">
        <v>0</v>
      </c>
      <c r="Q727" s="87">
        <v>0</v>
      </c>
      <c r="R727" s="152">
        <v>0</v>
      </c>
      <c r="S727" s="174"/>
      <c r="T727" s="74">
        <v>45961</v>
      </c>
      <c r="U727" s="74">
        <v>45961</v>
      </c>
      <c r="V727" s="48"/>
      <c r="W727" s="48"/>
      <c r="X727" s="48"/>
      <c r="Y727" s="48">
        <v>0</v>
      </c>
      <c r="Z727" s="48" t="s">
        <v>1846</v>
      </c>
      <c r="AA727" s="48" t="s">
        <v>21</v>
      </c>
      <c r="AB727" s="48" t="s">
        <v>27</v>
      </c>
      <c r="AC727" s="48" t="s">
        <v>621</v>
      </c>
      <c r="AD727" s="89" t="s">
        <v>845</v>
      </c>
    </row>
    <row r="728" spans="1:30" ht="15.75" hidden="1" x14ac:dyDescent="0.25">
      <c r="A728" s="48" t="s">
        <v>2395</v>
      </c>
      <c r="B728" s="74">
        <v>45959</v>
      </c>
      <c r="C728" s="48" t="s">
        <v>3566</v>
      </c>
      <c r="D728" s="48" t="s">
        <v>20</v>
      </c>
      <c r="E728" s="48" t="s">
        <v>809</v>
      </c>
      <c r="F728" s="48" t="s">
        <v>613</v>
      </c>
      <c r="G728" s="48" t="s">
        <v>24</v>
      </c>
      <c r="H728" s="48" t="s">
        <v>613</v>
      </c>
      <c r="I728" s="48" t="s">
        <v>26</v>
      </c>
      <c r="J728" s="48">
        <v>1020106</v>
      </c>
      <c r="K728" s="50">
        <v>282279.51</v>
      </c>
      <c r="L728" s="50">
        <v>1</v>
      </c>
      <c r="M728" s="50">
        <v>282279.51</v>
      </c>
      <c r="N728" s="50">
        <v>282279.51</v>
      </c>
      <c r="O728" s="50">
        <v>0</v>
      </c>
      <c r="P728" s="50">
        <v>0</v>
      </c>
      <c r="Q728" s="87">
        <v>0</v>
      </c>
      <c r="R728" s="152">
        <v>0</v>
      </c>
      <c r="S728" s="174"/>
      <c r="T728" s="74">
        <v>45991</v>
      </c>
      <c r="U728" s="74">
        <v>45991</v>
      </c>
      <c r="V728" s="48"/>
      <c r="W728" s="48"/>
      <c r="X728" s="48"/>
      <c r="Y728" s="48">
        <v>0</v>
      </c>
      <c r="Z728" s="48"/>
      <c r="AA728" s="48" t="s">
        <v>612</v>
      </c>
      <c r="AB728" s="48" t="s">
        <v>27</v>
      </c>
      <c r="AC728" s="48" t="s">
        <v>1904</v>
      </c>
      <c r="AD728" s="89" t="s">
        <v>845</v>
      </c>
    </row>
    <row r="729" spans="1:30" ht="15.75" hidden="1" x14ac:dyDescent="0.25">
      <c r="A729" s="48" t="s">
        <v>350</v>
      </c>
      <c r="B729" s="74">
        <v>45533</v>
      </c>
      <c r="C729" s="48" t="s">
        <v>441</v>
      </c>
      <c r="D729" s="48" t="s">
        <v>20</v>
      </c>
      <c r="E729" s="48" t="s">
        <v>351</v>
      </c>
      <c r="F729" s="48" t="s">
        <v>96</v>
      </c>
      <c r="G729" s="48" t="s">
        <v>24</v>
      </c>
      <c r="H729" s="48" t="s">
        <v>22</v>
      </c>
      <c r="I729" s="48" t="s">
        <v>26</v>
      </c>
      <c r="J729" s="48">
        <v>1020055</v>
      </c>
      <c r="K729" s="50">
        <v>458485.39</v>
      </c>
      <c r="L729" s="50">
        <v>1</v>
      </c>
      <c r="M729" s="50">
        <v>458485.39</v>
      </c>
      <c r="N729" s="50">
        <v>458485.39</v>
      </c>
      <c r="O729" s="50">
        <v>0</v>
      </c>
      <c r="P729" s="50">
        <v>0</v>
      </c>
      <c r="Q729" s="87">
        <v>0</v>
      </c>
      <c r="R729" s="152">
        <v>0</v>
      </c>
      <c r="S729" s="174"/>
      <c r="T729" s="74">
        <v>45626</v>
      </c>
      <c r="U729" s="74">
        <v>45626</v>
      </c>
      <c r="V729" s="48"/>
      <c r="W729" s="48"/>
      <c r="X729" s="48"/>
      <c r="Y729" s="48">
        <v>0</v>
      </c>
      <c r="Z729" s="48"/>
      <c r="AA729" s="48" t="s">
        <v>95</v>
      </c>
      <c r="AB729" s="48" t="s">
        <v>27</v>
      </c>
      <c r="AC729" s="48" t="s">
        <v>311</v>
      </c>
      <c r="AD729" s="89" t="s">
        <v>845</v>
      </c>
    </row>
    <row r="730" spans="1:30" ht="15.75" hidden="1" x14ac:dyDescent="0.25">
      <c r="A730" s="48" t="s">
        <v>602</v>
      </c>
      <c r="B730" s="74">
        <v>45664</v>
      </c>
      <c r="C730" s="48" t="s">
        <v>441</v>
      </c>
      <c r="D730" s="48" t="s">
        <v>20</v>
      </c>
      <c r="E730" s="48" t="s">
        <v>603</v>
      </c>
      <c r="F730" s="48" t="s">
        <v>63</v>
      </c>
      <c r="G730" s="48" t="s">
        <v>24</v>
      </c>
      <c r="H730" s="48" t="s">
        <v>22</v>
      </c>
      <c r="I730" s="48" t="s">
        <v>26</v>
      </c>
      <c r="J730" s="48">
        <v>1020055</v>
      </c>
      <c r="K730" s="50">
        <v>507379.58</v>
      </c>
      <c r="L730" s="50">
        <v>1</v>
      </c>
      <c r="M730" s="50">
        <v>507379.58</v>
      </c>
      <c r="N730" s="50">
        <v>507379.57</v>
      </c>
      <c r="O730" s="50">
        <v>0.01</v>
      </c>
      <c r="P730" s="50">
        <v>0</v>
      </c>
      <c r="Q730" s="87">
        <v>0.01</v>
      </c>
      <c r="R730" s="152">
        <v>0</v>
      </c>
      <c r="S730" s="312"/>
      <c r="T730" s="74">
        <v>45747</v>
      </c>
      <c r="U730" s="74">
        <v>45747</v>
      </c>
      <c r="V730" s="48"/>
      <c r="W730" s="48"/>
      <c r="X730" s="48"/>
      <c r="Y730" s="48">
        <v>0</v>
      </c>
      <c r="Z730" s="48"/>
      <c r="AA730" s="48" t="s">
        <v>373</v>
      </c>
      <c r="AB730" s="48" t="s">
        <v>27</v>
      </c>
      <c r="AC730" s="48" t="s">
        <v>311</v>
      </c>
      <c r="AD730" s="89" t="s">
        <v>845</v>
      </c>
    </row>
    <row r="731" spans="1:30" ht="15.75" hidden="1" x14ac:dyDescent="0.25">
      <c r="A731" s="48" t="s">
        <v>444</v>
      </c>
      <c r="B731" s="74">
        <v>45615</v>
      </c>
      <c r="C731" s="48" t="s">
        <v>441</v>
      </c>
      <c r="D731" s="48" t="s">
        <v>20</v>
      </c>
      <c r="E731" s="48" t="s">
        <v>445</v>
      </c>
      <c r="F731" s="48" t="s">
        <v>96</v>
      </c>
      <c r="G731" s="48" t="s">
        <v>24</v>
      </c>
      <c r="H731" s="48" t="s">
        <v>22</v>
      </c>
      <c r="I731" s="48" t="s">
        <v>26</v>
      </c>
      <c r="J731" s="48">
        <v>1020055</v>
      </c>
      <c r="K731" s="50">
        <v>754128.94</v>
      </c>
      <c r="L731" s="50">
        <v>1</v>
      </c>
      <c r="M731" s="50">
        <v>754128.94</v>
      </c>
      <c r="N731" s="50">
        <v>754128.94</v>
      </c>
      <c r="O731" s="50">
        <v>0</v>
      </c>
      <c r="P731" s="50">
        <v>0</v>
      </c>
      <c r="Q731" s="87">
        <v>0</v>
      </c>
      <c r="R731" s="152">
        <v>0</v>
      </c>
      <c r="S731" s="174"/>
      <c r="T731" s="74">
        <v>45716</v>
      </c>
      <c r="U731" s="74">
        <v>45692</v>
      </c>
      <c r="V731" s="48"/>
      <c r="W731" s="48"/>
      <c r="X731" s="48"/>
      <c r="Y731" s="48">
        <v>0</v>
      </c>
      <c r="Z731" s="48"/>
      <c r="AA731" s="48" t="s">
        <v>95</v>
      </c>
      <c r="AB731" s="48" t="s">
        <v>27</v>
      </c>
      <c r="AC731" s="48" t="s">
        <v>311</v>
      </c>
      <c r="AD731" s="89" t="s">
        <v>845</v>
      </c>
    </row>
    <row r="732" spans="1:30" ht="15.75" hidden="1" x14ac:dyDescent="0.25">
      <c r="A732" s="48" t="s">
        <v>1189</v>
      </c>
      <c r="B732" s="74">
        <v>45760</v>
      </c>
      <c r="C732" s="48" t="s">
        <v>441</v>
      </c>
      <c r="D732" s="48" t="s">
        <v>20</v>
      </c>
      <c r="E732" s="48" t="s">
        <v>1122</v>
      </c>
      <c r="F732" s="48" t="s">
        <v>710</v>
      </c>
      <c r="G732" s="48" t="s">
        <v>24</v>
      </c>
      <c r="H732" s="48" t="s">
        <v>710</v>
      </c>
      <c r="I732" s="48" t="s">
        <v>26</v>
      </c>
      <c r="J732" s="48">
        <v>1020088</v>
      </c>
      <c r="K732" s="50">
        <v>1000000</v>
      </c>
      <c r="L732" s="50">
        <v>1</v>
      </c>
      <c r="M732" s="50">
        <v>1000000</v>
      </c>
      <c r="N732" s="50">
        <v>732234.90999999992</v>
      </c>
      <c r="O732" s="50">
        <v>267765.09000000003</v>
      </c>
      <c r="P732" s="50">
        <v>0</v>
      </c>
      <c r="Q732" s="87">
        <v>267765.09000000003</v>
      </c>
      <c r="R732" s="152">
        <v>267765.09000000003</v>
      </c>
      <c r="S732" s="174"/>
      <c r="T732" s="74">
        <v>46203</v>
      </c>
      <c r="U732" s="74">
        <v>46203</v>
      </c>
      <c r="V732" s="48"/>
      <c r="W732" s="48"/>
      <c r="X732" s="48"/>
      <c r="Y732" s="48">
        <v>0</v>
      </c>
      <c r="Z732" s="48"/>
      <c r="AA732" s="48" t="s">
        <v>366</v>
      </c>
      <c r="AB732" s="48" t="s">
        <v>27</v>
      </c>
      <c r="AC732" s="48" t="s">
        <v>425</v>
      </c>
      <c r="AD732" s="89" t="s">
        <v>1026</v>
      </c>
    </row>
    <row r="733" spans="1:30" ht="15.75" hidden="1" x14ac:dyDescent="0.25">
      <c r="A733" s="48" t="s">
        <v>5431</v>
      </c>
      <c r="B733" s="74">
        <v>46177</v>
      </c>
      <c r="C733" s="48" t="s">
        <v>441</v>
      </c>
      <c r="D733" s="48" t="s">
        <v>20</v>
      </c>
      <c r="E733" s="48" t="s">
        <v>5321</v>
      </c>
      <c r="F733" s="48" t="s">
        <v>710</v>
      </c>
      <c r="G733" s="48" t="s">
        <v>24</v>
      </c>
      <c r="H733" s="48" t="s">
        <v>710</v>
      </c>
      <c r="I733" s="48" t="s">
        <v>26</v>
      </c>
      <c r="J733" s="48">
        <v>1020088</v>
      </c>
      <c r="K733" s="50">
        <v>200000</v>
      </c>
      <c r="L733" s="50">
        <v>1</v>
      </c>
      <c r="M733" s="50">
        <v>200000</v>
      </c>
      <c r="N733" s="50">
        <v>0</v>
      </c>
      <c r="O733" s="50">
        <v>200000</v>
      </c>
      <c r="P733" s="50">
        <v>0</v>
      </c>
      <c r="Q733" s="87">
        <v>200000</v>
      </c>
      <c r="R733" s="152">
        <v>0</v>
      </c>
      <c r="S733" s="174"/>
      <c r="T733" s="74">
        <v>46265</v>
      </c>
      <c r="U733" s="74">
        <v>46265</v>
      </c>
      <c r="V733" s="48"/>
      <c r="W733" s="48"/>
      <c r="X733" s="48"/>
      <c r="Y733" s="48">
        <v>0</v>
      </c>
      <c r="Z733" s="48"/>
      <c r="AA733" s="48" t="s">
        <v>366</v>
      </c>
      <c r="AB733" s="48" t="s">
        <v>27</v>
      </c>
      <c r="AC733" s="48" t="s">
        <v>5175</v>
      </c>
      <c r="AD733" s="89" t="s">
        <v>1026</v>
      </c>
    </row>
    <row r="734" spans="1:30" ht="15.75" hidden="1" x14ac:dyDescent="0.25">
      <c r="A734" s="48" t="s">
        <v>4546</v>
      </c>
      <c r="B734" s="74">
        <v>46092</v>
      </c>
      <c r="C734" s="48" t="s">
        <v>4231</v>
      </c>
      <c r="D734" s="48" t="s">
        <v>843</v>
      </c>
      <c r="E734" s="48" t="s">
        <v>4230</v>
      </c>
      <c r="F734" s="48" t="s">
        <v>882</v>
      </c>
      <c r="G734" s="48" t="s">
        <v>72</v>
      </c>
      <c r="H734" s="48" t="s">
        <v>882</v>
      </c>
      <c r="I734" s="48" t="s">
        <v>26</v>
      </c>
      <c r="J734" s="48">
        <v>1020108</v>
      </c>
      <c r="K734" s="50">
        <v>5000000</v>
      </c>
      <c r="L734" s="50">
        <v>1</v>
      </c>
      <c r="M734" s="50">
        <v>5000000</v>
      </c>
      <c r="N734" s="50">
        <v>2707269.5</v>
      </c>
      <c r="O734" s="50">
        <v>2292730.5</v>
      </c>
      <c r="P734" s="50">
        <v>949900</v>
      </c>
      <c r="Q734" s="87">
        <v>1342830.5</v>
      </c>
      <c r="R734" s="152">
        <v>648646</v>
      </c>
      <c r="S734" s="174" t="s">
        <v>5080</v>
      </c>
      <c r="T734" s="74">
        <v>46203</v>
      </c>
      <c r="U734" s="74">
        <v>46203</v>
      </c>
      <c r="V734" s="48"/>
      <c r="W734" s="48"/>
      <c r="X734" s="48"/>
      <c r="Y734" s="48">
        <v>1500000</v>
      </c>
      <c r="Z734" s="48" t="s">
        <v>5702</v>
      </c>
      <c r="AA734" s="48" t="s">
        <v>1073</v>
      </c>
      <c r="AB734" s="48" t="s">
        <v>27</v>
      </c>
      <c r="AC734" s="48" t="s">
        <v>425</v>
      </c>
      <c r="AD734" s="89" t="s">
        <v>1026</v>
      </c>
    </row>
    <row r="735" spans="1:30" ht="15.75" hidden="1" x14ac:dyDescent="0.25">
      <c r="A735" s="48" t="s">
        <v>495</v>
      </c>
      <c r="B735" s="74">
        <v>45610</v>
      </c>
      <c r="C735" s="48" t="s">
        <v>509</v>
      </c>
      <c r="D735" s="48" t="s">
        <v>20</v>
      </c>
      <c r="E735" s="48" t="s">
        <v>496</v>
      </c>
      <c r="F735" s="48" t="s">
        <v>22</v>
      </c>
      <c r="G735" s="48" t="s">
        <v>72</v>
      </c>
      <c r="H735" s="48" t="s">
        <v>487</v>
      </c>
      <c r="I735" s="48" t="s">
        <v>26</v>
      </c>
      <c r="J735" s="48">
        <v>1020060</v>
      </c>
      <c r="K735" s="50">
        <v>455725.45</v>
      </c>
      <c r="L735" s="50">
        <v>1</v>
      </c>
      <c r="M735" s="50">
        <v>455725.45</v>
      </c>
      <c r="N735" s="50">
        <v>91145.09</v>
      </c>
      <c r="O735" s="50">
        <v>364580.36</v>
      </c>
      <c r="P735" s="50">
        <v>0</v>
      </c>
      <c r="Q735" s="87">
        <v>364580.36</v>
      </c>
      <c r="R735" s="152">
        <v>0</v>
      </c>
      <c r="S735" s="174"/>
      <c r="T735" s="74">
        <v>45688</v>
      </c>
      <c r="U735" s="74">
        <v>45661</v>
      </c>
      <c r="V735" s="48"/>
      <c r="W735" s="48"/>
      <c r="X735" s="48"/>
      <c r="Y735" s="48">
        <v>0</v>
      </c>
      <c r="Z735" s="48"/>
      <c r="AA735" s="48" t="s">
        <v>21</v>
      </c>
      <c r="AB735" s="48" t="s">
        <v>27</v>
      </c>
      <c r="AC735" s="48" t="s">
        <v>305</v>
      </c>
      <c r="AD735" s="89" t="s">
        <v>845</v>
      </c>
    </row>
    <row r="736" spans="1:30" ht="15.75" hidden="1" x14ac:dyDescent="0.25">
      <c r="A736" s="48" t="s">
        <v>1694</v>
      </c>
      <c r="B736" s="74">
        <v>45876</v>
      </c>
      <c r="C736" s="48" t="s">
        <v>509</v>
      </c>
      <c r="D736" s="48" t="s">
        <v>20</v>
      </c>
      <c r="E736" s="48" t="s">
        <v>496</v>
      </c>
      <c r="F736" s="48" t="s">
        <v>96</v>
      </c>
      <c r="G736" s="48" t="s">
        <v>72</v>
      </c>
      <c r="H736" s="48" t="s">
        <v>487</v>
      </c>
      <c r="I736" s="48" t="s">
        <v>26</v>
      </c>
      <c r="J736" s="48">
        <v>1020060</v>
      </c>
      <c r="K736" s="50">
        <v>364580.36</v>
      </c>
      <c r="L736" s="50">
        <v>1</v>
      </c>
      <c r="M736" s="50">
        <v>364580.36</v>
      </c>
      <c r="N736" s="50">
        <v>0</v>
      </c>
      <c r="O736" s="50">
        <v>364580.36</v>
      </c>
      <c r="P736" s="50">
        <v>0</v>
      </c>
      <c r="Q736" s="87">
        <v>364580.36</v>
      </c>
      <c r="R736" s="152">
        <v>0</v>
      </c>
      <c r="S736" s="174"/>
      <c r="T736" s="74">
        <v>45936</v>
      </c>
      <c r="U736" s="74">
        <v>45915</v>
      </c>
      <c r="V736" s="48"/>
      <c r="W736" s="48"/>
      <c r="X736" s="48"/>
      <c r="Y736" s="48">
        <v>0</v>
      </c>
      <c r="Z736" s="48"/>
      <c r="AA736" s="48" t="s">
        <v>95</v>
      </c>
      <c r="AB736" s="48" t="s">
        <v>27</v>
      </c>
      <c r="AC736" s="48" t="s">
        <v>305</v>
      </c>
      <c r="AD736" s="89" t="s">
        <v>845</v>
      </c>
    </row>
    <row r="737" spans="1:30" ht="15.75" hidden="1" x14ac:dyDescent="0.25">
      <c r="A737" s="48" t="s">
        <v>206</v>
      </c>
      <c r="B737" s="74">
        <v>45126</v>
      </c>
      <c r="C737" s="48" t="s">
        <v>441</v>
      </c>
      <c r="D737" s="48" t="s">
        <v>20</v>
      </c>
      <c r="E737" s="48" t="s">
        <v>194</v>
      </c>
      <c r="F737" s="48" t="s">
        <v>22</v>
      </c>
      <c r="G737" s="48" t="s">
        <v>24</v>
      </c>
      <c r="H737" s="48" t="s">
        <v>22</v>
      </c>
      <c r="I737" s="48" t="s">
        <v>26</v>
      </c>
      <c r="J737" s="48">
        <v>1020055</v>
      </c>
      <c r="K737" s="50">
        <v>1260873.8</v>
      </c>
      <c r="L737" s="50">
        <v>1</v>
      </c>
      <c r="M737" s="50">
        <v>1260873.8</v>
      </c>
      <c r="N737" s="50">
        <v>1202205.3899999999</v>
      </c>
      <c r="O737" s="50">
        <v>58668.41</v>
      </c>
      <c r="P737" s="50">
        <v>0</v>
      </c>
      <c r="Q737" s="87">
        <v>58668.41</v>
      </c>
      <c r="R737" s="152">
        <v>0</v>
      </c>
      <c r="S737" s="174"/>
      <c r="T737" s="74">
        <v>45215</v>
      </c>
      <c r="U737" s="74">
        <v>45215</v>
      </c>
      <c r="V737" s="48"/>
      <c r="W737" s="48"/>
      <c r="X737" s="48"/>
      <c r="Y737" s="48">
        <v>0</v>
      </c>
      <c r="Z737" s="48"/>
      <c r="AA737" s="48" t="s">
        <v>21</v>
      </c>
      <c r="AB737" s="48" t="s">
        <v>27</v>
      </c>
      <c r="AC737" s="48" t="s">
        <v>28</v>
      </c>
      <c r="AD737" s="89" t="s">
        <v>845</v>
      </c>
    </row>
    <row r="738" spans="1:30" ht="15.75" hidden="1" x14ac:dyDescent="0.25">
      <c r="A738" s="48" t="s">
        <v>193</v>
      </c>
      <c r="B738" s="74">
        <v>45167</v>
      </c>
      <c r="C738" s="48" t="s">
        <v>441</v>
      </c>
      <c r="D738" s="48" t="s">
        <v>20</v>
      </c>
      <c r="E738" s="48" t="s">
        <v>194</v>
      </c>
      <c r="F738" s="48" t="s">
        <v>22</v>
      </c>
      <c r="G738" s="48" t="s">
        <v>24</v>
      </c>
      <c r="H738" s="48" t="s">
        <v>22</v>
      </c>
      <c r="I738" s="48" t="s">
        <v>26</v>
      </c>
      <c r="J738" s="48">
        <v>1020055</v>
      </c>
      <c r="K738" s="50">
        <v>4000000</v>
      </c>
      <c r="L738" s="50">
        <v>1</v>
      </c>
      <c r="M738" s="50">
        <v>4000000</v>
      </c>
      <c r="N738" s="50">
        <v>3998930.02</v>
      </c>
      <c r="O738" s="50">
        <v>1069.98</v>
      </c>
      <c r="P738" s="50">
        <v>0</v>
      </c>
      <c r="Q738" s="87">
        <v>1069.98</v>
      </c>
      <c r="R738" s="152">
        <v>0</v>
      </c>
      <c r="S738" s="174"/>
      <c r="T738" s="74">
        <v>45260</v>
      </c>
      <c r="U738" s="74">
        <v>45260</v>
      </c>
      <c r="V738" s="48"/>
      <c r="W738" s="48"/>
      <c r="X738" s="48"/>
      <c r="Y738" s="48">
        <v>0</v>
      </c>
      <c r="Z738" s="48"/>
      <c r="AA738" s="48" t="s">
        <v>21</v>
      </c>
      <c r="AB738" s="48" t="s">
        <v>27</v>
      </c>
      <c r="AC738" s="48" t="s">
        <v>28</v>
      </c>
      <c r="AD738" s="89" t="s">
        <v>845</v>
      </c>
    </row>
    <row r="739" spans="1:30" ht="15.75" hidden="1" x14ac:dyDescent="0.25">
      <c r="A739" s="48" t="s">
        <v>56</v>
      </c>
      <c r="B739" s="74">
        <v>45292</v>
      </c>
      <c r="C739" s="48" t="s">
        <v>441</v>
      </c>
      <c r="D739" s="48" t="s">
        <v>20</v>
      </c>
      <c r="E739" s="48" t="s">
        <v>57</v>
      </c>
      <c r="F739" s="48" t="s">
        <v>22</v>
      </c>
      <c r="G739" s="48" t="s">
        <v>24</v>
      </c>
      <c r="H739" s="48" t="s">
        <v>22</v>
      </c>
      <c r="I739" s="48" t="s">
        <v>26</v>
      </c>
      <c r="J739" s="48">
        <v>1020055</v>
      </c>
      <c r="K739" s="50">
        <v>4530823.74</v>
      </c>
      <c r="L739" s="50">
        <v>1</v>
      </c>
      <c r="M739" s="50">
        <v>4530823.74</v>
      </c>
      <c r="N739" s="50">
        <v>4530823.74</v>
      </c>
      <c r="O739" s="50">
        <v>0</v>
      </c>
      <c r="P739" s="50">
        <v>0</v>
      </c>
      <c r="Q739" s="87">
        <v>0</v>
      </c>
      <c r="R739" s="152">
        <v>0</v>
      </c>
      <c r="S739" s="174"/>
      <c r="T739" s="74">
        <v>45442</v>
      </c>
      <c r="U739" s="74">
        <v>45442</v>
      </c>
      <c r="V739" s="48"/>
      <c r="W739" s="48"/>
      <c r="X739" s="48"/>
      <c r="Y739" s="48">
        <v>0</v>
      </c>
      <c r="Z739" s="48"/>
      <c r="AA739" s="48" t="s">
        <v>21</v>
      </c>
      <c r="AB739" s="48" t="s">
        <v>27</v>
      </c>
      <c r="AC739" s="48" t="s">
        <v>28</v>
      </c>
      <c r="AD739" s="89" t="s">
        <v>845</v>
      </c>
    </row>
    <row r="740" spans="1:30" ht="15.75" hidden="1" x14ac:dyDescent="0.25">
      <c r="A740" s="48" t="s">
        <v>796</v>
      </c>
      <c r="B740" s="74">
        <v>45739</v>
      </c>
      <c r="C740" s="48" t="s">
        <v>441</v>
      </c>
      <c r="D740" s="48" t="s">
        <v>20</v>
      </c>
      <c r="E740" s="48" t="s">
        <v>431</v>
      </c>
      <c r="F740" s="48" t="s">
        <v>22</v>
      </c>
      <c r="G740" s="48" t="s">
        <v>24</v>
      </c>
      <c r="H740" s="48" t="s">
        <v>22</v>
      </c>
      <c r="I740" s="48" t="s">
        <v>26</v>
      </c>
      <c r="J740" s="48">
        <v>1020055</v>
      </c>
      <c r="K740" s="50">
        <v>1519664.37</v>
      </c>
      <c r="L740" s="50">
        <v>1</v>
      </c>
      <c r="M740" s="50">
        <v>1519664.37</v>
      </c>
      <c r="N740" s="50">
        <v>1499834.16</v>
      </c>
      <c r="O740" s="50">
        <v>19830.21</v>
      </c>
      <c r="P740" s="50">
        <v>0</v>
      </c>
      <c r="Q740" s="87">
        <v>19830.21</v>
      </c>
      <c r="R740" s="152">
        <v>0</v>
      </c>
      <c r="S740" s="174"/>
      <c r="T740" s="74">
        <v>45838</v>
      </c>
      <c r="U740" s="74">
        <v>45838</v>
      </c>
      <c r="V740" s="48"/>
      <c r="W740" s="48"/>
      <c r="X740" s="48"/>
      <c r="Y740" s="48">
        <v>0</v>
      </c>
      <c r="Z740" s="48"/>
      <c r="AA740" s="48" t="s">
        <v>21</v>
      </c>
      <c r="AB740" s="48" t="s">
        <v>27</v>
      </c>
      <c r="AC740" s="48" t="s">
        <v>311</v>
      </c>
      <c r="AD740" s="89" t="s">
        <v>845</v>
      </c>
    </row>
    <row r="741" spans="1:30" ht="15.75" hidden="1" x14ac:dyDescent="0.25">
      <c r="A741" s="48" t="s">
        <v>572</v>
      </c>
      <c r="B741" s="74">
        <v>45641</v>
      </c>
      <c r="C741" s="48" t="s">
        <v>441</v>
      </c>
      <c r="D741" s="48" t="s">
        <v>20</v>
      </c>
      <c r="E741" s="48" t="s">
        <v>431</v>
      </c>
      <c r="F741" s="48" t="s">
        <v>483</v>
      </c>
      <c r="G741" s="48" t="s">
        <v>24</v>
      </c>
      <c r="H741" s="48" t="s">
        <v>22</v>
      </c>
      <c r="I741" s="48" t="s">
        <v>26</v>
      </c>
      <c r="J741" s="48">
        <v>1020055</v>
      </c>
      <c r="K741" s="50">
        <v>531394.88</v>
      </c>
      <c r="L741" s="50">
        <v>1</v>
      </c>
      <c r="M741" s="50">
        <v>531394.88</v>
      </c>
      <c r="N741" s="50">
        <v>492054.91000000003</v>
      </c>
      <c r="O741" s="50">
        <v>39339.97</v>
      </c>
      <c r="P741" s="50">
        <v>0</v>
      </c>
      <c r="Q741" s="87">
        <v>39339.97</v>
      </c>
      <c r="R741" s="152">
        <v>0</v>
      </c>
      <c r="S741" s="174"/>
      <c r="T741" s="74">
        <v>45747</v>
      </c>
      <c r="U741" s="74">
        <v>45747</v>
      </c>
      <c r="V741" s="48"/>
      <c r="W741" s="48"/>
      <c r="X741" s="48"/>
      <c r="Y741" s="48">
        <v>0</v>
      </c>
      <c r="Z741" s="48"/>
      <c r="AA741" s="48" t="s">
        <v>373</v>
      </c>
      <c r="AB741" s="48" t="s">
        <v>27</v>
      </c>
      <c r="AC741" s="48" t="s">
        <v>311</v>
      </c>
      <c r="AD741" s="89" t="s">
        <v>845</v>
      </c>
    </row>
    <row r="742" spans="1:30" ht="15.75" hidden="1" x14ac:dyDescent="0.25">
      <c r="A742" s="48" t="s">
        <v>430</v>
      </c>
      <c r="B742" s="74">
        <v>45615</v>
      </c>
      <c r="C742" s="48" t="s">
        <v>441</v>
      </c>
      <c r="D742" s="48" t="s">
        <v>20</v>
      </c>
      <c r="E742" s="48" t="s">
        <v>431</v>
      </c>
      <c r="F742" s="48" t="s">
        <v>96</v>
      </c>
      <c r="G742" s="48" t="s">
        <v>24</v>
      </c>
      <c r="H742" s="48" t="s">
        <v>22</v>
      </c>
      <c r="I742" s="48" t="s">
        <v>26</v>
      </c>
      <c r="J742" s="48">
        <v>1020055</v>
      </c>
      <c r="K742" s="50">
        <v>530000</v>
      </c>
      <c r="L742" s="50">
        <v>1</v>
      </c>
      <c r="M742" s="50">
        <v>530000</v>
      </c>
      <c r="N742" s="50">
        <v>522689.46</v>
      </c>
      <c r="O742" s="50">
        <v>7310.54</v>
      </c>
      <c r="P742" s="50">
        <v>0</v>
      </c>
      <c r="Q742" s="87">
        <v>7310.54</v>
      </c>
      <c r="R742" s="152">
        <v>0</v>
      </c>
      <c r="S742" s="174"/>
      <c r="T742" s="74">
        <v>45716</v>
      </c>
      <c r="U742" s="74">
        <v>45692</v>
      </c>
      <c r="V742" s="48"/>
      <c r="W742" s="48"/>
      <c r="X742" s="48"/>
      <c r="Y742" s="48">
        <v>0</v>
      </c>
      <c r="Z742" s="48"/>
      <c r="AA742" s="48" t="s">
        <v>95</v>
      </c>
      <c r="AB742" s="48" t="s">
        <v>27</v>
      </c>
      <c r="AC742" s="48" t="s">
        <v>311</v>
      </c>
      <c r="AD742" s="89" t="s">
        <v>845</v>
      </c>
    </row>
    <row r="743" spans="1:30" ht="15.75" hidden="1" x14ac:dyDescent="0.25">
      <c r="A743" s="48" t="s">
        <v>279</v>
      </c>
      <c r="B743" s="74">
        <v>45495</v>
      </c>
      <c r="C743" s="48" t="s">
        <v>441</v>
      </c>
      <c r="D743" s="48" t="s">
        <v>20</v>
      </c>
      <c r="E743" s="48" t="s">
        <v>280</v>
      </c>
      <c r="F743" s="48" t="s">
        <v>22</v>
      </c>
      <c r="G743" s="48" t="s">
        <v>24</v>
      </c>
      <c r="H743" s="48" t="s">
        <v>22</v>
      </c>
      <c r="I743" s="48" t="s">
        <v>26</v>
      </c>
      <c r="J743" s="48">
        <v>1020055</v>
      </c>
      <c r="K743" s="50">
        <v>2000000</v>
      </c>
      <c r="L743" s="50">
        <v>1</v>
      </c>
      <c r="M743" s="50">
        <v>2000000</v>
      </c>
      <c r="N743" s="50">
        <v>1989919.86</v>
      </c>
      <c r="O743" s="50">
        <v>10080.14</v>
      </c>
      <c r="P743" s="50">
        <v>0</v>
      </c>
      <c r="Q743" s="87">
        <v>10080.14</v>
      </c>
      <c r="R743" s="152">
        <v>0</v>
      </c>
      <c r="S743" s="174"/>
      <c r="T743" s="74">
        <v>45596</v>
      </c>
      <c r="U743" s="74">
        <v>45596</v>
      </c>
      <c r="V743" s="48"/>
      <c r="W743" s="48"/>
      <c r="X743" s="48"/>
      <c r="Y743" s="48">
        <v>0</v>
      </c>
      <c r="Z743" s="48"/>
      <c r="AA743" s="48" t="s">
        <v>21</v>
      </c>
      <c r="AB743" s="48" t="s">
        <v>27</v>
      </c>
      <c r="AC743" s="48"/>
      <c r="AD743" s="89" t="s">
        <v>845</v>
      </c>
    </row>
    <row r="744" spans="1:30" ht="15.75" hidden="1" x14ac:dyDescent="0.25">
      <c r="A744" s="48" t="s">
        <v>262</v>
      </c>
      <c r="B744" s="74">
        <v>45435</v>
      </c>
      <c r="C744" s="48" t="s">
        <v>441</v>
      </c>
      <c r="D744" s="48" t="s">
        <v>20</v>
      </c>
      <c r="E744" s="48" t="s">
        <v>263</v>
      </c>
      <c r="F744" s="48" t="s">
        <v>22</v>
      </c>
      <c r="G744" s="48" t="s">
        <v>24</v>
      </c>
      <c r="H744" s="48" t="s">
        <v>22</v>
      </c>
      <c r="I744" s="48" t="s">
        <v>26</v>
      </c>
      <c r="J744" s="48">
        <v>1020055</v>
      </c>
      <c r="K744" s="50">
        <v>3000000</v>
      </c>
      <c r="L744" s="50">
        <v>1</v>
      </c>
      <c r="M744" s="50">
        <v>3000000</v>
      </c>
      <c r="N744" s="50">
        <v>2993950.31</v>
      </c>
      <c r="O744" s="50">
        <v>6049.69</v>
      </c>
      <c r="P744" s="50">
        <v>0</v>
      </c>
      <c r="Q744" s="87">
        <v>6049.69</v>
      </c>
      <c r="R744" s="152">
        <v>0</v>
      </c>
      <c r="S744" s="174"/>
      <c r="T744" s="74">
        <v>45565</v>
      </c>
      <c r="U744" s="74">
        <v>45565</v>
      </c>
      <c r="V744" s="48"/>
      <c r="W744" s="48"/>
      <c r="X744" s="48"/>
      <c r="Y744" s="48">
        <v>0</v>
      </c>
      <c r="Z744" s="48"/>
      <c r="AA744" s="48" t="s">
        <v>21</v>
      </c>
      <c r="AB744" s="48" t="s">
        <v>70</v>
      </c>
      <c r="AC744" s="48"/>
      <c r="AD744" s="89" t="s">
        <v>845</v>
      </c>
    </row>
    <row r="745" spans="1:30" ht="15.75" hidden="1" x14ac:dyDescent="0.25">
      <c r="A745" s="48" t="s">
        <v>336</v>
      </c>
      <c r="B745" s="74">
        <v>45519</v>
      </c>
      <c r="C745" s="48" t="s">
        <v>441</v>
      </c>
      <c r="D745" s="48" t="s">
        <v>20</v>
      </c>
      <c r="E745" s="48" t="s">
        <v>263</v>
      </c>
      <c r="F745" s="48" t="s">
        <v>96</v>
      </c>
      <c r="G745" s="48" t="s">
        <v>24</v>
      </c>
      <c r="H745" s="48" t="s">
        <v>22</v>
      </c>
      <c r="I745" s="48" t="s">
        <v>26</v>
      </c>
      <c r="J745" s="48">
        <v>1020055</v>
      </c>
      <c r="K745" s="50">
        <v>2588066.71</v>
      </c>
      <c r="L745" s="50">
        <v>1</v>
      </c>
      <c r="M745" s="50">
        <v>2588066.71</v>
      </c>
      <c r="N745" s="50">
        <v>2560899.8000000003</v>
      </c>
      <c r="O745" s="50">
        <v>27166.91</v>
      </c>
      <c r="P745" s="50">
        <v>0</v>
      </c>
      <c r="Q745" s="87">
        <v>27166.91</v>
      </c>
      <c r="R745" s="152">
        <v>0</v>
      </c>
      <c r="S745" s="174"/>
      <c r="T745" s="74">
        <v>45626</v>
      </c>
      <c r="U745" s="74">
        <v>45626</v>
      </c>
      <c r="V745" s="48"/>
      <c r="W745" s="48"/>
      <c r="X745" s="48"/>
      <c r="Y745" s="48">
        <v>0</v>
      </c>
      <c r="Z745" s="48"/>
      <c r="AA745" s="48" t="s">
        <v>95</v>
      </c>
      <c r="AB745" s="48" t="s">
        <v>27</v>
      </c>
      <c r="AC745" s="48" t="s">
        <v>311</v>
      </c>
      <c r="AD745" s="89" t="s">
        <v>845</v>
      </c>
    </row>
    <row r="746" spans="1:30" ht="15.75" hidden="1" x14ac:dyDescent="0.25">
      <c r="A746" s="48" t="s">
        <v>382</v>
      </c>
      <c r="B746" s="74">
        <v>45551</v>
      </c>
      <c r="C746" s="48" t="s">
        <v>441</v>
      </c>
      <c r="D746" s="48" t="s">
        <v>20</v>
      </c>
      <c r="E746" s="48" t="s">
        <v>263</v>
      </c>
      <c r="F746" s="48" t="s">
        <v>96</v>
      </c>
      <c r="G746" s="48" t="s">
        <v>24</v>
      </c>
      <c r="H746" s="48" t="s">
        <v>22</v>
      </c>
      <c r="I746" s="48" t="s">
        <v>26</v>
      </c>
      <c r="J746" s="48">
        <v>1020055</v>
      </c>
      <c r="K746" s="50">
        <v>2019034.07</v>
      </c>
      <c r="L746" s="50">
        <v>1</v>
      </c>
      <c r="M746" s="50">
        <v>2019034.07</v>
      </c>
      <c r="N746" s="50">
        <v>2009087.66</v>
      </c>
      <c r="O746" s="50">
        <v>9946.41</v>
      </c>
      <c r="P746" s="50">
        <v>0</v>
      </c>
      <c r="Q746" s="87">
        <v>9946.41</v>
      </c>
      <c r="R746" s="152">
        <v>0</v>
      </c>
      <c r="S746" s="174"/>
      <c r="T746" s="74">
        <v>45626</v>
      </c>
      <c r="U746" s="74">
        <v>45600</v>
      </c>
      <c r="V746" s="48"/>
      <c r="W746" s="48"/>
      <c r="X746" s="48"/>
      <c r="Y746" s="48">
        <v>0</v>
      </c>
      <c r="Z746" s="48"/>
      <c r="AA746" s="48" t="s">
        <v>95</v>
      </c>
      <c r="AB746" s="48" t="s">
        <v>27</v>
      </c>
      <c r="AC746" s="48" t="s">
        <v>311</v>
      </c>
      <c r="AD746" s="89" t="s">
        <v>845</v>
      </c>
    </row>
    <row r="747" spans="1:30" ht="15.75" hidden="1" x14ac:dyDescent="0.25">
      <c r="A747" s="48" t="s">
        <v>653</v>
      </c>
      <c r="B747" s="74">
        <v>45693</v>
      </c>
      <c r="C747" s="48" t="s">
        <v>441</v>
      </c>
      <c r="D747" s="48" t="s">
        <v>20</v>
      </c>
      <c r="E747" s="48" t="s">
        <v>263</v>
      </c>
      <c r="F747" s="48" t="s">
        <v>96</v>
      </c>
      <c r="G747" s="48" t="s">
        <v>24</v>
      </c>
      <c r="H747" s="48" t="s">
        <v>22</v>
      </c>
      <c r="I747" s="48" t="s">
        <v>26</v>
      </c>
      <c r="J747" s="48">
        <v>1020055</v>
      </c>
      <c r="K747" s="50">
        <v>594305.52</v>
      </c>
      <c r="L747" s="50">
        <v>1</v>
      </c>
      <c r="M747" s="50">
        <v>594305.52</v>
      </c>
      <c r="N747" s="50">
        <v>590632.94000000006</v>
      </c>
      <c r="O747" s="50">
        <v>3672.58</v>
      </c>
      <c r="P747" s="50">
        <v>0</v>
      </c>
      <c r="Q747" s="87">
        <v>3672.58</v>
      </c>
      <c r="R747" s="152">
        <v>0</v>
      </c>
      <c r="S747" s="174"/>
      <c r="T747" s="74">
        <v>45777</v>
      </c>
      <c r="U747" s="74">
        <v>45777</v>
      </c>
      <c r="V747" s="48"/>
      <c r="W747" s="48"/>
      <c r="X747" s="48"/>
      <c r="Y747" s="48">
        <v>0</v>
      </c>
      <c r="Z747" s="48"/>
      <c r="AA747" s="48" t="s">
        <v>95</v>
      </c>
      <c r="AB747" s="48" t="s">
        <v>27</v>
      </c>
      <c r="AC747" s="48" t="s">
        <v>311</v>
      </c>
      <c r="AD747" s="89" t="s">
        <v>845</v>
      </c>
    </row>
    <row r="748" spans="1:30" ht="15.75" hidden="1" x14ac:dyDescent="0.25">
      <c r="A748" s="48" t="s">
        <v>1203</v>
      </c>
      <c r="B748" s="74">
        <v>45767</v>
      </c>
      <c r="C748" s="48" t="s">
        <v>441</v>
      </c>
      <c r="D748" s="48" t="s">
        <v>20</v>
      </c>
      <c r="E748" s="48" t="s">
        <v>263</v>
      </c>
      <c r="F748" s="48" t="s">
        <v>96</v>
      </c>
      <c r="G748" s="48" t="s">
        <v>24</v>
      </c>
      <c r="H748" s="48" t="s">
        <v>22</v>
      </c>
      <c r="I748" s="48" t="s">
        <v>26</v>
      </c>
      <c r="J748" s="48">
        <v>1020055</v>
      </c>
      <c r="K748" s="50">
        <v>1000000</v>
      </c>
      <c r="L748" s="50">
        <v>1</v>
      </c>
      <c r="M748" s="50">
        <v>1000000</v>
      </c>
      <c r="N748" s="50">
        <v>1000000</v>
      </c>
      <c r="O748" s="50">
        <v>0</v>
      </c>
      <c r="P748" s="50">
        <v>0</v>
      </c>
      <c r="Q748" s="87">
        <v>0</v>
      </c>
      <c r="R748" s="152">
        <v>0</v>
      </c>
      <c r="S748" s="174"/>
      <c r="T748" s="74">
        <v>45869</v>
      </c>
      <c r="U748" s="74">
        <v>45869</v>
      </c>
      <c r="V748" s="48"/>
      <c r="W748" s="48"/>
      <c r="X748" s="48"/>
      <c r="Y748" s="48">
        <v>0</v>
      </c>
      <c r="Z748" s="48"/>
      <c r="AA748" s="48" t="s">
        <v>95</v>
      </c>
      <c r="AB748" s="48" t="s">
        <v>27</v>
      </c>
      <c r="AC748" s="48" t="s">
        <v>311</v>
      </c>
      <c r="AD748" s="89" t="s">
        <v>845</v>
      </c>
    </row>
    <row r="749" spans="1:30" ht="15.75" hidden="1" x14ac:dyDescent="0.25">
      <c r="A749" s="48" t="s">
        <v>1652</v>
      </c>
      <c r="B749" s="74">
        <v>45869</v>
      </c>
      <c r="C749" s="48" t="s">
        <v>1119</v>
      </c>
      <c r="D749" s="48" t="s">
        <v>20</v>
      </c>
      <c r="E749" s="48" t="s">
        <v>1614</v>
      </c>
      <c r="F749" s="48" t="s">
        <v>367</v>
      </c>
      <c r="G749" s="48" t="s">
        <v>24</v>
      </c>
      <c r="H749" s="48" t="s">
        <v>367</v>
      </c>
      <c r="I749" s="48" t="s">
        <v>26</v>
      </c>
      <c r="J749" s="48">
        <v>1020091</v>
      </c>
      <c r="K749" s="50">
        <v>1600000</v>
      </c>
      <c r="L749" s="50">
        <v>1</v>
      </c>
      <c r="M749" s="50">
        <v>1600000</v>
      </c>
      <c r="N749" s="50">
        <v>1599999.9999999998</v>
      </c>
      <c r="O749" s="50">
        <v>0</v>
      </c>
      <c r="P749" s="50">
        <v>0</v>
      </c>
      <c r="Q749" s="87">
        <v>0</v>
      </c>
      <c r="R749" s="152">
        <v>0</v>
      </c>
      <c r="S749" s="174"/>
      <c r="T749" s="74">
        <v>46081</v>
      </c>
      <c r="U749" s="74">
        <v>46081</v>
      </c>
      <c r="V749" s="48"/>
      <c r="W749" s="48"/>
      <c r="X749" s="48"/>
      <c r="Y749" s="48">
        <v>0</v>
      </c>
      <c r="Z749" s="48"/>
      <c r="AA749" s="48" t="s">
        <v>366</v>
      </c>
      <c r="AB749" s="48" t="s">
        <v>27</v>
      </c>
      <c r="AC749" s="48" t="s">
        <v>1624</v>
      </c>
      <c r="AD749" s="89" t="s">
        <v>845</v>
      </c>
    </row>
    <row r="750" spans="1:30" ht="15.75" hidden="1" x14ac:dyDescent="0.25">
      <c r="A750" s="48" t="s">
        <v>3320</v>
      </c>
      <c r="B750" s="74">
        <v>46023</v>
      </c>
      <c r="C750" s="48" t="s">
        <v>1537</v>
      </c>
      <c r="D750" s="48" t="s">
        <v>20</v>
      </c>
      <c r="E750" s="48" t="s">
        <v>1614</v>
      </c>
      <c r="F750" s="48" t="s">
        <v>483</v>
      </c>
      <c r="G750" s="48" t="s">
        <v>24</v>
      </c>
      <c r="H750" s="48" t="s">
        <v>483</v>
      </c>
      <c r="I750" s="48" t="s">
        <v>26</v>
      </c>
      <c r="J750" s="48">
        <v>1020096</v>
      </c>
      <c r="K750" s="50">
        <v>500000</v>
      </c>
      <c r="L750" s="50">
        <v>1</v>
      </c>
      <c r="M750" s="50">
        <v>500000</v>
      </c>
      <c r="N750" s="50">
        <v>326709.94</v>
      </c>
      <c r="O750" s="50">
        <v>173290.06</v>
      </c>
      <c r="P750" s="50">
        <v>0</v>
      </c>
      <c r="Q750" s="87">
        <v>173290.06</v>
      </c>
      <c r="R750" s="152">
        <v>173290.06</v>
      </c>
      <c r="S750" s="174"/>
      <c r="T750" s="74">
        <v>46296</v>
      </c>
      <c r="U750" s="74">
        <v>46296</v>
      </c>
      <c r="V750" s="48"/>
      <c r="W750" s="48"/>
      <c r="X750" s="48"/>
      <c r="Y750" s="48">
        <v>0</v>
      </c>
      <c r="Z750" s="48" t="s">
        <v>5585</v>
      </c>
      <c r="AA750" s="48" t="s">
        <v>62</v>
      </c>
      <c r="AB750" s="48" t="s">
        <v>27</v>
      </c>
      <c r="AC750" s="48" t="s">
        <v>3229</v>
      </c>
      <c r="AD750" s="89" t="s">
        <v>1026</v>
      </c>
    </row>
    <row r="751" spans="1:30" ht="15.75" hidden="1" x14ac:dyDescent="0.25">
      <c r="A751" s="48" t="s">
        <v>3955</v>
      </c>
      <c r="B751" s="74">
        <v>46057</v>
      </c>
      <c r="C751" s="48" t="s">
        <v>1537</v>
      </c>
      <c r="D751" s="48" t="s">
        <v>20</v>
      </c>
      <c r="E751" s="48" t="s">
        <v>1614</v>
      </c>
      <c r="F751" s="48" t="s">
        <v>483</v>
      </c>
      <c r="G751" s="48" t="s">
        <v>24</v>
      </c>
      <c r="H751" s="48" t="s">
        <v>483</v>
      </c>
      <c r="I751" s="48" t="s">
        <v>26</v>
      </c>
      <c r="J751" s="48">
        <v>1020096</v>
      </c>
      <c r="K751" s="50">
        <v>500000</v>
      </c>
      <c r="L751" s="50">
        <v>1</v>
      </c>
      <c r="M751" s="50">
        <v>500000</v>
      </c>
      <c r="N751" s="50">
        <v>500000</v>
      </c>
      <c r="O751" s="50">
        <v>0</v>
      </c>
      <c r="P751" s="50">
        <v>0</v>
      </c>
      <c r="Q751" s="87">
        <v>0</v>
      </c>
      <c r="R751" s="152">
        <v>0</v>
      </c>
      <c r="S751" s="174"/>
      <c r="T751" s="74">
        <v>46142</v>
      </c>
      <c r="U751" s="74">
        <v>46142</v>
      </c>
      <c r="V751" s="48"/>
      <c r="W751" s="48"/>
      <c r="X751" s="48"/>
      <c r="Y751" s="48">
        <v>0</v>
      </c>
      <c r="Z751" s="48"/>
      <c r="AA751" s="48" t="s">
        <v>62</v>
      </c>
      <c r="AB751" s="48" t="s">
        <v>27</v>
      </c>
      <c r="AC751" s="48" t="s">
        <v>3229</v>
      </c>
      <c r="AD751" s="89" t="s">
        <v>845</v>
      </c>
    </row>
    <row r="752" spans="1:30" ht="15.75" hidden="1" x14ac:dyDescent="0.25">
      <c r="A752" s="48" t="s">
        <v>670</v>
      </c>
      <c r="B752" s="74">
        <v>45693</v>
      </c>
      <c r="C752" s="48" t="s">
        <v>441</v>
      </c>
      <c r="D752" s="48" t="s">
        <v>20</v>
      </c>
      <c r="E752" s="48" t="s">
        <v>671</v>
      </c>
      <c r="F752" s="48" t="s">
        <v>96</v>
      </c>
      <c r="G752" s="48" t="s">
        <v>24</v>
      </c>
      <c r="H752" s="48" t="s">
        <v>22</v>
      </c>
      <c r="I752" s="48" t="s">
        <v>26</v>
      </c>
      <c r="J752" s="48">
        <v>1020055</v>
      </c>
      <c r="K752" s="50">
        <v>2622000</v>
      </c>
      <c r="L752" s="50">
        <v>1</v>
      </c>
      <c r="M752" s="50">
        <v>2622000</v>
      </c>
      <c r="N752" s="50">
        <v>2622000</v>
      </c>
      <c r="O752" s="50">
        <v>0</v>
      </c>
      <c r="P752" s="50">
        <v>0</v>
      </c>
      <c r="Q752" s="87">
        <v>0</v>
      </c>
      <c r="R752" s="152">
        <v>0</v>
      </c>
      <c r="S752" s="174"/>
      <c r="T752" s="74">
        <v>45777</v>
      </c>
      <c r="U752" s="74">
        <v>45777</v>
      </c>
      <c r="V752" s="48"/>
      <c r="W752" s="48"/>
      <c r="X752" s="50"/>
      <c r="Y752" s="48">
        <v>0</v>
      </c>
      <c r="Z752" s="48"/>
      <c r="AA752" s="48" t="s">
        <v>95</v>
      </c>
      <c r="AB752" s="48" t="s">
        <v>27</v>
      </c>
      <c r="AC752" s="48" t="s">
        <v>311</v>
      </c>
      <c r="AD752" s="89" t="s">
        <v>845</v>
      </c>
    </row>
    <row r="753" spans="1:30" ht="15.75" hidden="1" x14ac:dyDescent="0.25">
      <c r="A753" s="48" t="s">
        <v>1257</v>
      </c>
      <c r="B753" s="74">
        <v>45767</v>
      </c>
      <c r="C753" s="48" t="s">
        <v>441</v>
      </c>
      <c r="D753" s="48" t="s">
        <v>20</v>
      </c>
      <c r="E753" s="48" t="s">
        <v>1190</v>
      </c>
      <c r="F753" s="48" t="s">
        <v>96</v>
      </c>
      <c r="G753" s="48" t="s">
        <v>24</v>
      </c>
      <c r="H753" s="48" t="s">
        <v>22</v>
      </c>
      <c r="I753" s="48" t="s">
        <v>26</v>
      </c>
      <c r="J753" s="48">
        <v>1020055</v>
      </c>
      <c r="K753" s="50">
        <v>5113228.88</v>
      </c>
      <c r="L753" s="50">
        <v>1</v>
      </c>
      <c r="M753" s="50">
        <v>5113228.88</v>
      </c>
      <c r="N753" s="50">
        <v>5113228.88</v>
      </c>
      <c r="O753" s="50">
        <v>0</v>
      </c>
      <c r="P753" s="50">
        <v>0</v>
      </c>
      <c r="Q753" s="87">
        <v>0</v>
      </c>
      <c r="R753" s="152">
        <v>0</v>
      </c>
      <c r="S753" s="174"/>
      <c r="T753" s="74">
        <v>45869</v>
      </c>
      <c r="U753" s="74">
        <v>45869</v>
      </c>
      <c r="V753" s="48"/>
      <c r="W753" s="48"/>
      <c r="X753" s="48"/>
      <c r="Y753" s="48">
        <v>0</v>
      </c>
      <c r="Z753" s="48"/>
      <c r="AA753" s="48" t="s">
        <v>95</v>
      </c>
      <c r="AB753" s="48" t="s">
        <v>27</v>
      </c>
      <c r="AC753" s="48" t="s">
        <v>311</v>
      </c>
      <c r="AD753" s="89" t="s">
        <v>845</v>
      </c>
    </row>
    <row r="754" spans="1:30" ht="15.75" hidden="1" x14ac:dyDescent="0.25">
      <c r="A754" s="48" t="s">
        <v>2255</v>
      </c>
      <c r="B754" s="74">
        <v>45949</v>
      </c>
      <c r="C754" s="48" t="s">
        <v>1878</v>
      </c>
      <c r="D754" s="48" t="s">
        <v>20</v>
      </c>
      <c r="E754" s="48" t="s">
        <v>1931</v>
      </c>
      <c r="F754" s="48" t="s">
        <v>367</v>
      </c>
      <c r="G754" s="48" t="s">
        <v>3220</v>
      </c>
      <c r="H754" s="48" t="s">
        <v>367</v>
      </c>
      <c r="I754" s="48" t="s">
        <v>26</v>
      </c>
      <c r="J754" s="48">
        <v>1020091</v>
      </c>
      <c r="K754" s="50">
        <v>3000000</v>
      </c>
      <c r="L754" s="50">
        <v>1</v>
      </c>
      <c r="M754" s="50">
        <v>3000000</v>
      </c>
      <c r="N754" s="50">
        <v>3000000</v>
      </c>
      <c r="O754" s="50">
        <v>0</v>
      </c>
      <c r="P754" s="50">
        <v>0</v>
      </c>
      <c r="Q754" s="87">
        <v>0</v>
      </c>
      <c r="R754" s="152">
        <v>0</v>
      </c>
      <c r="S754" s="312"/>
      <c r="T754" s="74">
        <v>45976</v>
      </c>
      <c r="U754" s="74">
        <v>45960</v>
      </c>
      <c r="V754" s="48"/>
      <c r="W754" s="48"/>
      <c r="X754" s="48"/>
      <c r="Y754" s="48">
        <v>0</v>
      </c>
      <c r="Z754" s="48"/>
      <c r="AA754" s="48" t="s">
        <v>366</v>
      </c>
      <c r="AB754" s="48" t="s">
        <v>27</v>
      </c>
      <c r="AC754" s="48" t="s">
        <v>1932</v>
      </c>
      <c r="AD754" s="89" t="s">
        <v>845</v>
      </c>
    </row>
    <row r="755" spans="1:30" ht="15.75" hidden="1" x14ac:dyDescent="0.25">
      <c r="A755" s="48" t="s">
        <v>468</v>
      </c>
      <c r="B755" s="74">
        <v>45596</v>
      </c>
      <c r="C755" s="48" t="s">
        <v>1119</v>
      </c>
      <c r="D755" s="48" t="s">
        <v>20</v>
      </c>
      <c r="E755" s="48" t="s">
        <v>469</v>
      </c>
      <c r="F755" s="48" t="s">
        <v>367</v>
      </c>
      <c r="G755" s="48" t="s">
        <v>72</v>
      </c>
      <c r="H755" s="48" t="s">
        <v>367</v>
      </c>
      <c r="I755" s="48" t="s">
        <v>191</v>
      </c>
      <c r="J755" s="48">
        <v>1020091</v>
      </c>
      <c r="K755" s="50">
        <v>4156524</v>
      </c>
      <c r="L755" s="50">
        <v>1.026</v>
      </c>
      <c r="M755" s="50">
        <v>4264593.6239999998</v>
      </c>
      <c r="N755" s="50">
        <v>3934905.2673540004</v>
      </c>
      <c r="O755" s="50">
        <v>329688.36</v>
      </c>
      <c r="P755" s="50">
        <v>0</v>
      </c>
      <c r="Q755" s="87">
        <v>329688.36</v>
      </c>
      <c r="R755" s="152">
        <v>0</v>
      </c>
      <c r="S755" s="312"/>
      <c r="T755" s="74">
        <v>45688</v>
      </c>
      <c r="U755" s="74">
        <v>45661</v>
      </c>
      <c r="V755" s="48"/>
      <c r="W755" s="48"/>
      <c r="X755" s="48"/>
      <c r="Y755" s="48">
        <v>0</v>
      </c>
      <c r="Z755" s="48"/>
      <c r="AA755" s="48" t="s">
        <v>366</v>
      </c>
      <c r="AB755" s="48" t="s">
        <v>27</v>
      </c>
      <c r="AC755" s="48" t="s">
        <v>208</v>
      </c>
      <c r="AD755" s="89" t="s">
        <v>845</v>
      </c>
    </row>
    <row r="756" spans="1:30" ht="15.75" hidden="1" x14ac:dyDescent="0.25">
      <c r="A756" s="48" t="s">
        <v>672</v>
      </c>
      <c r="B756" s="74">
        <v>45679</v>
      </c>
      <c r="C756" s="48" t="s">
        <v>1119</v>
      </c>
      <c r="D756" s="48" t="s">
        <v>20</v>
      </c>
      <c r="E756" s="48" t="s">
        <v>469</v>
      </c>
      <c r="F756" s="48" t="s">
        <v>367</v>
      </c>
      <c r="G756" s="48" t="s">
        <v>72</v>
      </c>
      <c r="H756" s="48" t="s">
        <v>367</v>
      </c>
      <c r="I756" s="48" t="s">
        <v>191</v>
      </c>
      <c r="J756" s="48">
        <v>1020091</v>
      </c>
      <c r="K756" s="50">
        <v>12740122</v>
      </c>
      <c r="L756" s="50">
        <v>1.026</v>
      </c>
      <c r="M756" s="50">
        <v>13071365.172</v>
      </c>
      <c r="N756" s="50">
        <v>11962594.868075</v>
      </c>
      <c r="O756" s="50">
        <v>1108770.3</v>
      </c>
      <c r="P756" s="50">
        <v>0</v>
      </c>
      <c r="Q756" s="87">
        <v>1108770.3</v>
      </c>
      <c r="R756" s="152">
        <v>0</v>
      </c>
      <c r="S756" s="174"/>
      <c r="T756" s="74">
        <v>45818</v>
      </c>
      <c r="U756" s="74">
        <v>45747</v>
      </c>
      <c r="V756" s="48"/>
      <c r="W756" s="48"/>
      <c r="X756" s="48"/>
      <c r="Y756" s="48">
        <v>0</v>
      </c>
      <c r="Z756" s="48"/>
      <c r="AA756" s="48" t="s">
        <v>366</v>
      </c>
      <c r="AB756" s="48" t="s">
        <v>27</v>
      </c>
      <c r="AC756" s="48" t="s">
        <v>208</v>
      </c>
      <c r="AD756" s="89" t="s">
        <v>845</v>
      </c>
    </row>
    <row r="757" spans="1:30" ht="15.75" hidden="1" x14ac:dyDescent="0.25">
      <c r="A757" s="48" t="s">
        <v>1622</v>
      </c>
      <c r="B757" s="74">
        <v>45866</v>
      </c>
      <c r="C757" s="48" t="s">
        <v>1119</v>
      </c>
      <c r="D757" s="48" t="s">
        <v>20</v>
      </c>
      <c r="E757" s="48" t="s">
        <v>469</v>
      </c>
      <c r="F757" s="48" t="s">
        <v>367</v>
      </c>
      <c r="G757" s="48" t="s">
        <v>72</v>
      </c>
      <c r="H757" s="48" t="s">
        <v>367</v>
      </c>
      <c r="I757" s="48" t="s">
        <v>191</v>
      </c>
      <c r="J757" s="48">
        <v>1020091</v>
      </c>
      <c r="K757" s="50">
        <v>1248463.2195000001</v>
      </c>
      <c r="L757" s="50">
        <v>1.026</v>
      </c>
      <c r="M757" s="50">
        <v>1280923.2632070002</v>
      </c>
      <c r="N757" s="50">
        <v>1233071.8233</v>
      </c>
      <c r="O757" s="50">
        <v>47851.44</v>
      </c>
      <c r="P757" s="50">
        <v>0</v>
      </c>
      <c r="Q757" s="87">
        <v>47851.44</v>
      </c>
      <c r="R757" s="152">
        <v>0</v>
      </c>
      <c r="S757" s="174"/>
      <c r="T757" s="74">
        <v>45910</v>
      </c>
      <c r="U757" s="74">
        <v>45889</v>
      </c>
      <c r="V757" s="48"/>
      <c r="W757" s="48"/>
      <c r="X757" s="48"/>
      <c r="Y757" s="48">
        <v>0</v>
      </c>
      <c r="Z757" s="48"/>
      <c r="AA757" s="48" t="s">
        <v>366</v>
      </c>
      <c r="AB757" s="48" t="s">
        <v>27</v>
      </c>
      <c r="AC757" s="48" t="s">
        <v>208</v>
      </c>
      <c r="AD757" s="89" t="s">
        <v>845</v>
      </c>
    </row>
    <row r="758" spans="1:30" ht="15.75" hidden="1" x14ac:dyDescent="0.25">
      <c r="A758" s="48" t="s">
        <v>741</v>
      </c>
      <c r="B758" s="74">
        <v>45734</v>
      </c>
      <c r="C758" s="48" t="s">
        <v>441</v>
      </c>
      <c r="D758" s="48" t="s">
        <v>20</v>
      </c>
      <c r="E758" s="48" t="s">
        <v>742</v>
      </c>
      <c r="F758" s="48" t="s">
        <v>22</v>
      </c>
      <c r="G758" s="48" t="s">
        <v>24</v>
      </c>
      <c r="H758" s="48" t="s">
        <v>413</v>
      </c>
      <c r="I758" s="48" t="s">
        <v>26</v>
      </c>
      <c r="J758" s="48"/>
      <c r="K758" s="50">
        <v>2500000</v>
      </c>
      <c r="L758" s="50">
        <v>1</v>
      </c>
      <c r="M758" s="50">
        <v>2500000</v>
      </c>
      <c r="N758" s="50">
        <v>2500000</v>
      </c>
      <c r="O758" s="50">
        <v>0</v>
      </c>
      <c r="P758" s="50">
        <v>0</v>
      </c>
      <c r="Q758" s="87">
        <v>0</v>
      </c>
      <c r="R758" s="152">
        <v>0</v>
      </c>
      <c r="S758" s="174"/>
      <c r="T758" s="74">
        <v>45808</v>
      </c>
      <c r="U758" s="74">
        <v>45808</v>
      </c>
      <c r="V758" s="48"/>
      <c r="W758" s="48"/>
      <c r="X758" s="48"/>
      <c r="Y758" s="48">
        <v>0</v>
      </c>
      <c r="Z758" s="48"/>
      <c r="AA758" s="48" t="s">
        <v>21</v>
      </c>
      <c r="AB758" s="48" t="s">
        <v>27</v>
      </c>
      <c r="AC758" s="48" t="s">
        <v>311</v>
      </c>
      <c r="AD758" s="89" t="s">
        <v>845</v>
      </c>
    </row>
    <row r="759" spans="1:30" ht="15.75" hidden="1" x14ac:dyDescent="0.25">
      <c r="A759" s="48" t="s">
        <v>454</v>
      </c>
      <c r="B759" s="74">
        <v>45572</v>
      </c>
      <c r="C759" s="48" t="s">
        <v>441</v>
      </c>
      <c r="D759" s="48" t="s">
        <v>20</v>
      </c>
      <c r="E759" s="48" t="s">
        <v>455</v>
      </c>
      <c r="F759" s="48" t="s">
        <v>96</v>
      </c>
      <c r="G759" s="48" t="s">
        <v>24</v>
      </c>
      <c r="H759" s="48" t="s">
        <v>413</v>
      </c>
      <c r="I759" s="48" t="s">
        <v>26</v>
      </c>
      <c r="J759" s="48"/>
      <c r="K759" s="50">
        <v>5000000</v>
      </c>
      <c r="L759" s="50">
        <v>1</v>
      </c>
      <c r="M759" s="50">
        <v>5000000</v>
      </c>
      <c r="N759" s="50">
        <v>5000000</v>
      </c>
      <c r="O759" s="50">
        <v>0</v>
      </c>
      <c r="P759" s="50">
        <v>0</v>
      </c>
      <c r="Q759" s="87">
        <v>0</v>
      </c>
      <c r="R759" s="152">
        <v>0</v>
      </c>
      <c r="S759" s="174"/>
      <c r="T759" s="74">
        <v>45747</v>
      </c>
      <c r="U759" s="74">
        <v>45720</v>
      </c>
      <c r="V759" s="48"/>
      <c r="W759" s="48"/>
      <c r="X759" s="48"/>
      <c r="Y759" s="48">
        <v>0</v>
      </c>
      <c r="Z759" s="48"/>
      <c r="AA759" s="48" t="s">
        <v>95</v>
      </c>
      <c r="AB759" s="48" t="s">
        <v>27</v>
      </c>
      <c r="AC759" s="48" t="s">
        <v>311</v>
      </c>
      <c r="AD759" s="89" t="s">
        <v>845</v>
      </c>
    </row>
    <row r="760" spans="1:30" ht="15.75" hidden="1" x14ac:dyDescent="0.25">
      <c r="A760" s="48" t="s">
        <v>178</v>
      </c>
      <c r="B760" s="74">
        <v>45015</v>
      </c>
      <c r="C760" s="48" t="s">
        <v>1182</v>
      </c>
      <c r="D760" s="48" t="s">
        <v>20</v>
      </c>
      <c r="E760" s="48" t="s">
        <v>179</v>
      </c>
      <c r="F760" s="48" t="s">
        <v>22</v>
      </c>
      <c r="G760" s="48" t="s">
        <v>24</v>
      </c>
      <c r="H760" s="48" t="s">
        <v>90</v>
      </c>
      <c r="I760" s="48" t="s">
        <v>26</v>
      </c>
      <c r="J760" s="48">
        <v>1020001</v>
      </c>
      <c r="K760" s="50">
        <v>5713072</v>
      </c>
      <c r="L760" s="50">
        <v>1</v>
      </c>
      <c r="M760" s="50">
        <v>5713072</v>
      </c>
      <c r="N760" s="50">
        <v>5713073</v>
      </c>
      <c r="O760" s="50">
        <v>-1</v>
      </c>
      <c r="P760" s="50">
        <v>0</v>
      </c>
      <c r="Q760" s="87">
        <v>-1</v>
      </c>
      <c r="R760" s="152">
        <v>0</v>
      </c>
      <c r="S760" s="174"/>
      <c r="T760" s="74">
        <v>45199</v>
      </c>
      <c r="U760" s="74">
        <v>45199</v>
      </c>
      <c r="V760" s="48"/>
      <c r="W760" s="48"/>
      <c r="X760" s="48"/>
      <c r="Y760" s="48">
        <v>0</v>
      </c>
      <c r="Z760" s="48"/>
      <c r="AA760" s="48" t="s">
        <v>21</v>
      </c>
      <c r="AB760" s="48" t="s">
        <v>27</v>
      </c>
      <c r="AC760" s="48"/>
      <c r="AD760" s="89" t="s">
        <v>845</v>
      </c>
    </row>
    <row r="761" spans="1:30" ht="15.75" hidden="1" x14ac:dyDescent="0.25">
      <c r="A761" s="48" t="s">
        <v>215</v>
      </c>
      <c r="B761" s="74">
        <v>45015</v>
      </c>
      <c r="C761" s="48" t="s">
        <v>1182</v>
      </c>
      <c r="D761" s="48" t="s">
        <v>20</v>
      </c>
      <c r="E761" s="48" t="s">
        <v>179</v>
      </c>
      <c r="F761" s="48" t="s">
        <v>22</v>
      </c>
      <c r="G761" s="48" t="s">
        <v>24</v>
      </c>
      <c r="H761" s="48" t="s">
        <v>90</v>
      </c>
      <c r="I761" s="48" t="s">
        <v>26</v>
      </c>
      <c r="J761" s="48">
        <v>1020001</v>
      </c>
      <c r="K761" s="50">
        <v>12420000</v>
      </c>
      <c r="L761" s="50">
        <v>1</v>
      </c>
      <c r="M761" s="50">
        <v>12420000</v>
      </c>
      <c r="N761" s="50">
        <v>11730000</v>
      </c>
      <c r="O761" s="50">
        <v>690000</v>
      </c>
      <c r="P761" s="50">
        <v>0</v>
      </c>
      <c r="Q761" s="87">
        <v>690000</v>
      </c>
      <c r="R761" s="152">
        <v>0</v>
      </c>
      <c r="S761" s="174"/>
      <c r="T761" s="74">
        <v>45260</v>
      </c>
      <c r="U761" s="74">
        <v>45260</v>
      </c>
      <c r="V761" s="48"/>
      <c r="W761" s="48"/>
      <c r="X761" s="48"/>
      <c r="Y761" s="48">
        <v>0</v>
      </c>
      <c r="Z761" s="48"/>
      <c r="AA761" s="48" t="s">
        <v>21</v>
      </c>
      <c r="AB761" s="48" t="s">
        <v>27</v>
      </c>
      <c r="AC761" s="48"/>
      <c r="AD761" s="89" t="s">
        <v>845</v>
      </c>
    </row>
    <row r="762" spans="1:30" ht="15.75" hidden="1" x14ac:dyDescent="0.25">
      <c r="A762" s="48" t="s">
        <v>668</v>
      </c>
      <c r="B762" s="74">
        <v>45699</v>
      </c>
      <c r="C762" s="48" t="s">
        <v>441</v>
      </c>
      <c r="D762" s="48" t="s">
        <v>20</v>
      </c>
      <c r="E762" s="48" t="s">
        <v>669</v>
      </c>
      <c r="F762" s="48" t="s">
        <v>96</v>
      </c>
      <c r="G762" s="48" t="s">
        <v>24</v>
      </c>
      <c r="H762" s="48" t="s">
        <v>22</v>
      </c>
      <c r="I762" s="48" t="s">
        <v>26</v>
      </c>
      <c r="J762" s="48">
        <v>1020055</v>
      </c>
      <c r="K762" s="50">
        <v>700000</v>
      </c>
      <c r="L762" s="50">
        <v>1</v>
      </c>
      <c r="M762" s="50">
        <v>700000</v>
      </c>
      <c r="N762" s="50">
        <v>700000</v>
      </c>
      <c r="O762" s="50">
        <v>0</v>
      </c>
      <c r="P762" s="50">
        <v>0</v>
      </c>
      <c r="Q762" s="87">
        <v>0</v>
      </c>
      <c r="R762" s="152">
        <v>0</v>
      </c>
      <c r="S762" s="174"/>
      <c r="T762" s="74">
        <v>45777</v>
      </c>
      <c r="U762" s="74">
        <v>45777</v>
      </c>
      <c r="V762" s="48"/>
      <c r="W762" s="48"/>
      <c r="X762" s="48"/>
      <c r="Y762" s="48">
        <v>0</v>
      </c>
      <c r="Z762" s="48"/>
      <c r="AA762" s="48" t="s">
        <v>95</v>
      </c>
      <c r="AB762" s="48" t="s">
        <v>27</v>
      </c>
      <c r="AC762" s="48" t="s">
        <v>311</v>
      </c>
      <c r="AD762" s="89" t="s">
        <v>845</v>
      </c>
    </row>
    <row r="763" spans="1:30" ht="15.75" hidden="1" x14ac:dyDescent="0.25">
      <c r="A763" s="48" t="s">
        <v>298</v>
      </c>
      <c r="B763" s="74">
        <v>45512</v>
      </c>
      <c r="C763" s="48" t="s">
        <v>441</v>
      </c>
      <c r="D763" s="48" t="s">
        <v>20</v>
      </c>
      <c r="E763" s="48" t="s">
        <v>299</v>
      </c>
      <c r="F763" s="48" t="s">
        <v>22</v>
      </c>
      <c r="G763" s="48" t="s">
        <v>24</v>
      </c>
      <c r="H763" s="48" t="s">
        <v>22</v>
      </c>
      <c r="I763" s="48" t="s">
        <v>26</v>
      </c>
      <c r="J763" s="48">
        <v>1020055</v>
      </c>
      <c r="K763" s="50">
        <v>900000</v>
      </c>
      <c r="L763" s="50">
        <v>1</v>
      </c>
      <c r="M763" s="50">
        <v>900000</v>
      </c>
      <c r="N763" s="50">
        <v>900000</v>
      </c>
      <c r="O763" s="50">
        <v>0</v>
      </c>
      <c r="P763" s="50">
        <v>0</v>
      </c>
      <c r="Q763" s="87">
        <v>0</v>
      </c>
      <c r="R763" s="152">
        <v>0</v>
      </c>
      <c r="S763" s="174"/>
      <c r="T763" s="74">
        <v>45626</v>
      </c>
      <c r="U763" s="74">
        <v>45626</v>
      </c>
      <c r="V763" s="48"/>
      <c r="W763" s="48"/>
      <c r="X763" s="48"/>
      <c r="Y763" s="48">
        <v>0</v>
      </c>
      <c r="Z763" s="48"/>
      <c r="AA763" s="48" t="s">
        <v>21</v>
      </c>
      <c r="AB763" s="48" t="s">
        <v>27</v>
      </c>
      <c r="AC763" s="48"/>
      <c r="AD763" s="89" t="s">
        <v>845</v>
      </c>
    </row>
    <row r="764" spans="1:30" ht="15.75" hidden="1" x14ac:dyDescent="0.25">
      <c r="A764" s="48" t="s">
        <v>236</v>
      </c>
      <c r="B764" s="74">
        <v>45272</v>
      </c>
      <c r="C764" s="48" t="s">
        <v>441</v>
      </c>
      <c r="D764" s="48" t="s">
        <v>20</v>
      </c>
      <c r="E764" s="48" t="s">
        <v>237</v>
      </c>
      <c r="F764" s="48" t="s">
        <v>22</v>
      </c>
      <c r="G764" s="48" t="s">
        <v>24</v>
      </c>
      <c r="H764" s="48" t="s">
        <v>22</v>
      </c>
      <c r="I764" s="48" t="s">
        <v>26</v>
      </c>
      <c r="J764" s="48">
        <v>1020055</v>
      </c>
      <c r="K764" s="50">
        <v>2000000</v>
      </c>
      <c r="L764" s="50">
        <v>1</v>
      </c>
      <c r="M764" s="50">
        <v>2000000</v>
      </c>
      <c r="N764" s="50">
        <v>2000000</v>
      </c>
      <c r="O764" s="50">
        <v>0</v>
      </c>
      <c r="P764" s="50">
        <v>0</v>
      </c>
      <c r="Q764" s="87">
        <v>0</v>
      </c>
      <c r="R764" s="152">
        <v>0</v>
      </c>
      <c r="S764" s="174"/>
      <c r="T764" s="74">
        <v>45350</v>
      </c>
      <c r="U764" s="74">
        <v>45350</v>
      </c>
      <c r="V764" s="48"/>
      <c r="W764" s="48"/>
      <c r="X764" s="48"/>
      <c r="Y764" s="48">
        <v>0</v>
      </c>
      <c r="Z764" s="48"/>
      <c r="AA764" s="48" t="s">
        <v>21</v>
      </c>
      <c r="AB764" s="48" t="s">
        <v>27</v>
      </c>
      <c r="AC764" s="48"/>
      <c r="AD764" s="89" t="s">
        <v>845</v>
      </c>
    </row>
    <row r="765" spans="1:30" ht="15.75" hidden="1" x14ac:dyDescent="0.25">
      <c r="A765" s="48" t="s">
        <v>240</v>
      </c>
      <c r="B765" s="74">
        <v>45315</v>
      </c>
      <c r="C765" s="48" t="s">
        <v>441</v>
      </c>
      <c r="D765" s="48" t="s">
        <v>20</v>
      </c>
      <c r="E765" s="48" t="s">
        <v>237</v>
      </c>
      <c r="F765" s="48" t="s">
        <v>22</v>
      </c>
      <c r="G765" s="48" t="s">
        <v>24</v>
      </c>
      <c r="H765" s="48" t="s">
        <v>22</v>
      </c>
      <c r="I765" s="48" t="s">
        <v>26</v>
      </c>
      <c r="J765" s="48">
        <v>1020055</v>
      </c>
      <c r="K765" s="50">
        <v>1000000</v>
      </c>
      <c r="L765" s="50">
        <v>1</v>
      </c>
      <c r="M765" s="50">
        <v>1000000</v>
      </c>
      <c r="N765" s="50">
        <v>1000000</v>
      </c>
      <c r="O765" s="50">
        <v>0</v>
      </c>
      <c r="P765" s="50">
        <v>0</v>
      </c>
      <c r="Q765" s="87">
        <v>0</v>
      </c>
      <c r="R765" s="152">
        <v>0</v>
      </c>
      <c r="S765" s="312"/>
      <c r="T765" s="74">
        <v>45382</v>
      </c>
      <c r="U765" s="74">
        <v>45382</v>
      </c>
      <c r="V765" s="48"/>
      <c r="W765" s="48"/>
      <c r="X765" s="48"/>
      <c r="Y765" s="48">
        <v>0</v>
      </c>
      <c r="Z765" s="48"/>
      <c r="AA765" s="48" t="s">
        <v>21</v>
      </c>
      <c r="AB765" s="48" t="s">
        <v>27</v>
      </c>
      <c r="AC765" s="48"/>
      <c r="AD765" s="89" t="s">
        <v>845</v>
      </c>
    </row>
    <row r="766" spans="1:30" ht="15.75" hidden="1" x14ac:dyDescent="0.25">
      <c r="A766" s="48" t="s">
        <v>4276</v>
      </c>
      <c r="B766" s="74">
        <v>46089</v>
      </c>
      <c r="C766" s="48" t="s">
        <v>1259</v>
      </c>
      <c r="D766" s="48" t="s">
        <v>20</v>
      </c>
      <c r="E766" s="48" t="s">
        <v>4098</v>
      </c>
      <c r="F766" s="48" t="s">
        <v>96</v>
      </c>
      <c r="G766" s="48" t="s">
        <v>1791</v>
      </c>
      <c r="H766" s="48" t="s">
        <v>328</v>
      </c>
      <c r="I766" s="48" t="s">
        <v>26</v>
      </c>
      <c r="J766" s="48">
        <v>1020097</v>
      </c>
      <c r="K766" s="50">
        <v>500000</v>
      </c>
      <c r="L766" s="50">
        <v>1</v>
      </c>
      <c r="M766" s="50">
        <v>500000</v>
      </c>
      <c r="N766" s="50">
        <v>0</v>
      </c>
      <c r="O766" s="50">
        <v>500000</v>
      </c>
      <c r="P766" s="50">
        <v>500000</v>
      </c>
      <c r="Q766" s="87">
        <v>0</v>
      </c>
      <c r="R766" s="152">
        <v>0</v>
      </c>
      <c r="S766" s="174" t="s">
        <v>5080</v>
      </c>
      <c r="T766" s="74">
        <v>46203</v>
      </c>
      <c r="U766" s="74">
        <v>46193</v>
      </c>
      <c r="V766" s="48"/>
      <c r="W766" s="48"/>
      <c r="X766" s="48"/>
      <c r="Y766" s="48">
        <v>0</v>
      </c>
      <c r="Z766" s="48"/>
      <c r="AA766" s="48" t="s">
        <v>95</v>
      </c>
      <c r="AB766" s="48" t="s">
        <v>27</v>
      </c>
      <c r="AC766" s="48" t="s">
        <v>3729</v>
      </c>
      <c r="AD766" s="89" t="s">
        <v>1026</v>
      </c>
    </row>
    <row r="767" spans="1:30" ht="15.75" hidden="1" x14ac:dyDescent="0.25">
      <c r="A767" s="48" t="s">
        <v>128</v>
      </c>
      <c r="B767" s="74">
        <v>45147</v>
      </c>
      <c r="C767" s="48" t="s">
        <v>441</v>
      </c>
      <c r="D767" s="48" t="s">
        <v>20</v>
      </c>
      <c r="E767" s="48" t="s">
        <v>129</v>
      </c>
      <c r="F767" s="48" t="s">
        <v>22</v>
      </c>
      <c r="G767" s="48" t="s">
        <v>24</v>
      </c>
      <c r="H767" s="48" t="s">
        <v>22</v>
      </c>
      <c r="I767" s="48" t="s">
        <v>26</v>
      </c>
      <c r="J767" s="48">
        <v>1020055</v>
      </c>
      <c r="K767" s="50">
        <v>1476799.72</v>
      </c>
      <c r="L767" s="50">
        <v>1</v>
      </c>
      <c r="M767" s="50">
        <v>1476799.72</v>
      </c>
      <c r="N767" s="50">
        <v>1476799.72</v>
      </c>
      <c r="O767" s="50">
        <v>0</v>
      </c>
      <c r="P767" s="50">
        <v>0</v>
      </c>
      <c r="Q767" s="87">
        <v>0</v>
      </c>
      <c r="R767" s="152">
        <v>0</v>
      </c>
      <c r="S767" s="174"/>
      <c r="T767" s="74">
        <v>45230</v>
      </c>
      <c r="U767" s="74">
        <v>45230</v>
      </c>
      <c r="V767" s="48"/>
      <c r="W767" s="48"/>
      <c r="X767" s="48"/>
      <c r="Y767" s="48">
        <v>0</v>
      </c>
      <c r="Z767" s="48"/>
      <c r="AA767" s="48" t="s">
        <v>21</v>
      </c>
      <c r="AB767" s="48" t="s">
        <v>27</v>
      </c>
      <c r="AC767" s="48"/>
      <c r="AD767" s="89" t="s">
        <v>845</v>
      </c>
    </row>
    <row r="768" spans="1:30" ht="15.75" hidden="1" x14ac:dyDescent="0.25">
      <c r="A768" s="48" t="s">
        <v>1817</v>
      </c>
      <c r="B768" s="74">
        <v>45895</v>
      </c>
      <c r="C768" s="48" t="s">
        <v>1181</v>
      </c>
      <c r="D768" s="48" t="s">
        <v>20</v>
      </c>
      <c r="E768" s="48" t="s">
        <v>1760</v>
      </c>
      <c r="F768" s="48" t="s">
        <v>710</v>
      </c>
      <c r="G768" s="48" t="s">
        <v>1791</v>
      </c>
      <c r="H768" s="48" t="s">
        <v>81</v>
      </c>
      <c r="I768" s="48" t="s">
        <v>26</v>
      </c>
      <c r="J768" s="48">
        <v>1020070</v>
      </c>
      <c r="K768" s="50">
        <v>1180195</v>
      </c>
      <c r="L768" s="50">
        <v>1</v>
      </c>
      <c r="M768" s="50">
        <v>1180195</v>
      </c>
      <c r="N768" s="50">
        <v>1180195</v>
      </c>
      <c r="O768" s="50">
        <v>0</v>
      </c>
      <c r="P768" s="50">
        <v>0</v>
      </c>
      <c r="Q768" s="87">
        <v>0</v>
      </c>
      <c r="R768" s="152">
        <v>0</v>
      </c>
      <c r="S768" s="174"/>
      <c r="T768" s="74">
        <v>46022</v>
      </c>
      <c r="U768" s="74">
        <v>45961</v>
      </c>
      <c r="V768" s="48"/>
      <c r="W768" s="48"/>
      <c r="X768" s="48"/>
      <c r="Y768" s="48">
        <v>0</v>
      </c>
      <c r="Z768" s="48"/>
      <c r="AA768" s="48" t="s">
        <v>366</v>
      </c>
      <c r="AB768" s="48" t="s">
        <v>27</v>
      </c>
      <c r="AC768" s="48" t="s">
        <v>408</v>
      </c>
      <c r="AD768" s="89" t="s">
        <v>845</v>
      </c>
    </row>
    <row r="769" spans="1:30" ht="15.75" hidden="1" x14ac:dyDescent="0.25">
      <c r="A769" s="48" t="s">
        <v>637</v>
      </c>
      <c r="B769" s="74">
        <v>45680</v>
      </c>
      <c r="C769" s="48" t="s">
        <v>441</v>
      </c>
      <c r="D769" s="48" t="s">
        <v>20</v>
      </c>
      <c r="E769" s="48" t="s">
        <v>638</v>
      </c>
      <c r="F769" s="48" t="s">
        <v>22</v>
      </c>
      <c r="G769" s="48" t="s">
        <v>24</v>
      </c>
      <c r="H769" s="48" t="s">
        <v>22</v>
      </c>
      <c r="I769" s="48" t="s">
        <v>26</v>
      </c>
      <c r="J769" s="48">
        <v>1020055</v>
      </c>
      <c r="K769" s="50">
        <v>1500000</v>
      </c>
      <c r="L769" s="50">
        <v>1</v>
      </c>
      <c r="M769" s="50">
        <v>1500000</v>
      </c>
      <c r="N769" s="50">
        <v>1500000</v>
      </c>
      <c r="O769" s="50">
        <v>0</v>
      </c>
      <c r="P769" s="50">
        <v>0</v>
      </c>
      <c r="Q769" s="87">
        <v>0</v>
      </c>
      <c r="R769" s="152">
        <v>0</v>
      </c>
      <c r="S769" s="174"/>
      <c r="T769" s="74">
        <v>45777</v>
      </c>
      <c r="U769" s="74">
        <v>45777</v>
      </c>
      <c r="V769" s="48"/>
      <c r="W769" s="48"/>
      <c r="X769" s="48"/>
      <c r="Y769" s="48">
        <v>0</v>
      </c>
      <c r="Z769" s="48"/>
      <c r="AA769" s="48" t="s">
        <v>21</v>
      </c>
      <c r="AB769" s="48" t="s">
        <v>27</v>
      </c>
      <c r="AC769" s="48" t="s">
        <v>311</v>
      </c>
      <c r="AD769" s="89" t="s">
        <v>845</v>
      </c>
    </row>
    <row r="770" spans="1:30" ht="15.75" hidden="1" x14ac:dyDescent="0.25">
      <c r="A770" s="48" t="s">
        <v>1859</v>
      </c>
      <c r="B770" s="74">
        <v>45911</v>
      </c>
      <c r="C770" s="48" t="s">
        <v>1537</v>
      </c>
      <c r="D770" s="48" t="s">
        <v>20</v>
      </c>
      <c r="E770" s="48" t="s">
        <v>638</v>
      </c>
      <c r="F770" s="48" t="s">
        <v>483</v>
      </c>
      <c r="G770" s="48" t="s">
        <v>24</v>
      </c>
      <c r="H770" s="48" t="s">
        <v>483</v>
      </c>
      <c r="I770" s="48" t="s">
        <v>26</v>
      </c>
      <c r="J770" s="48">
        <v>1020096</v>
      </c>
      <c r="K770" s="50">
        <v>1000000</v>
      </c>
      <c r="L770" s="50">
        <v>1</v>
      </c>
      <c r="M770" s="50">
        <v>1000000</v>
      </c>
      <c r="N770" s="50">
        <v>1000000</v>
      </c>
      <c r="O770" s="50">
        <v>0</v>
      </c>
      <c r="P770" s="50">
        <v>0</v>
      </c>
      <c r="Q770" s="87">
        <v>0</v>
      </c>
      <c r="R770" s="152">
        <v>0</v>
      </c>
      <c r="S770" s="174"/>
      <c r="T770" s="74">
        <v>45991</v>
      </c>
      <c r="U770" s="74">
        <v>45991</v>
      </c>
      <c r="V770" s="48"/>
      <c r="W770" s="48"/>
      <c r="X770" s="48"/>
      <c r="Y770" s="48">
        <v>0</v>
      </c>
      <c r="Z770" s="48"/>
      <c r="AA770" s="48" t="s">
        <v>62</v>
      </c>
      <c r="AB770" s="48" t="s">
        <v>27</v>
      </c>
      <c r="AC770" s="48" t="s">
        <v>621</v>
      </c>
      <c r="AD770" s="89" t="s">
        <v>845</v>
      </c>
    </row>
    <row r="771" spans="1:30" ht="15.75" hidden="1" x14ac:dyDescent="0.25">
      <c r="A771" s="48" t="s">
        <v>824</v>
      </c>
      <c r="B771" s="74">
        <v>45739</v>
      </c>
      <c r="C771" s="48" t="s">
        <v>441</v>
      </c>
      <c r="D771" s="48" t="s">
        <v>20</v>
      </c>
      <c r="E771" s="48" t="s">
        <v>338</v>
      </c>
      <c r="F771" s="48" t="s">
        <v>22</v>
      </c>
      <c r="G771" s="48" t="s">
        <v>24</v>
      </c>
      <c r="H771" s="48" t="s">
        <v>22</v>
      </c>
      <c r="I771" s="48" t="s">
        <v>26</v>
      </c>
      <c r="J771" s="48">
        <v>1020055</v>
      </c>
      <c r="K771" s="50">
        <v>500000</v>
      </c>
      <c r="L771" s="50">
        <v>1</v>
      </c>
      <c r="M771" s="50">
        <v>500000</v>
      </c>
      <c r="N771" s="50">
        <v>500000</v>
      </c>
      <c r="O771" s="50">
        <v>0</v>
      </c>
      <c r="P771" s="50">
        <v>0</v>
      </c>
      <c r="Q771" s="87">
        <v>0</v>
      </c>
      <c r="R771" s="152">
        <v>0</v>
      </c>
      <c r="S771" s="174"/>
      <c r="T771" s="74">
        <v>45838</v>
      </c>
      <c r="U771" s="74">
        <v>45838</v>
      </c>
      <c r="V771" s="48"/>
      <c r="W771" s="48"/>
      <c r="X771" s="48"/>
      <c r="Y771" s="48">
        <v>0</v>
      </c>
      <c r="Z771" s="48"/>
      <c r="AA771" s="48" t="s">
        <v>21</v>
      </c>
      <c r="AB771" s="48" t="s">
        <v>27</v>
      </c>
      <c r="AC771" s="48" t="s">
        <v>311</v>
      </c>
      <c r="AD771" s="89" t="s">
        <v>845</v>
      </c>
    </row>
    <row r="772" spans="1:30" ht="15.75" hidden="1" x14ac:dyDescent="0.25">
      <c r="A772" s="48" t="s">
        <v>568</v>
      </c>
      <c r="B772" s="74">
        <v>45638</v>
      </c>
      <c r="C772" s="48" t="s">
        <v>441</v>
      </c>
      <c r="D772" s="48" t="s">
        <v>20</v>
      </c>
      <c r="E772" s="48" t="s">
        <v>569</v>
      </c>
      <c r="F772" s="48" t="s">
        <v>483</v>
      </c>
      <c r="G772" s="48" t="s">
        <v>24</v>
      </c>
      <c r="H772" s="48" t="s">
        <v>22</v>
      </c>
      <c r="I772" s="48" t="s">
        <v>26</v>
      </c>
      <c r="J772" s="48">
        <v>1020055</v>
      </c>
      <c r="K772" s="50">
        <v>1500000</v>
      </c>
      <c r="L772" s="50">
        <v>1</v>
      </c>
      <c r="M772" s="50">
        <v>1500000</v>
      </c>
      <c r="N772" s="50">
        <v>1500000</v>
      </c>
      <c r="O772" s="50">
        <v>0</v>
      </c>
      <c r="P772" s="50">
        <v>0</v>
      </c>
      <c r="Q772" s="87">
        <v>0</v>
      </c>
      <c r="R772" s="152">
        <v>0</v>
      </c>
      <c r="S772" s="174"/>
      <c r="T772" s="74">
        <v>45747</v>
      </c>
      <c r="U772" s="74">
        <v>45747</v>
      </c>
      <c r="V772" s="48"/>
      <c r="W772" s="48"/>
      <c r="X772" s="48"/>
      <c r="Y772" s="48">
        <v>0</v>
      </c>
      <c r="Z772" s="48"/>
      <c r="AA772" s="48" t="s">
        <v>373</v>
      </c>
      <c r="AB772" s="48" t="s">
        <v>27</v>
      </c>
      <c r="AC772" s="48" t="s">
        <v>311</v>
      </c>
      <c r="AD772" s="89" t="s">
        <v>845</v>
      </c>
    </row>
    <row r="773" spans="1:30" ht="15.75" hidden="1" x14ac:dyDescent="0.25">
      <c r="A773" s="48" t="s">
        <v>337</v>
      </c>
      <c r="B773" s="74">
        <v>45519</v>
      </c>
      <c r="C773" s="48" t="s">
        <v>441</v>
      </c>
      <c r="D773" s="48" t="s">
        <v>20</v>
      </c>
      <c r="E773" s="48" t="s">
        <v>338</v>
      </c>
      <c r="F773" s="48" t="s">
        <v>96</v>
      </c>
      <c r="G773" s="48" t="s">
        <v>24</v>
      </c>
      <c r="H773" s="48" t="s">
        <v>22</v>
      </c>
      <c r="I773" s="48" t="s">
        <v>26</v>
      </c>
      <c r="J773" s="48">
        <v>1020055</v>
      </c>
      <c r="K773" s="50">
        <v>500000</v>
      </c>
      <c r="L773" s="50">
        <v>1</v>
      </c>
      <c r="M773" s="50">
        <v>500000</v>
      </c>
      <c r="N773" s="50">
        <v>500000</v>
      </c>
      <c r="O773" s="50">
        <v>0</v>
      </c>
      <c r="P773" s="50">
        <v>0</v>
      </c>
      <c r="Q773" s="87">
        <v>0</v>
      </c>
      <c r="R773" s="152">
        <v>0</v>
      </c>
      <c r="S773" s="174"/>
      <c r="T773" s="74">
        <v>45626</v>
      </c>
      <c r="U773" s="74">
        <v>45626</v>
      </c>
      <c r="V773" s="48"/>
      <c r="W773" s="48"/>
      <c r="X773" s="48"/>
      <c r="Y773" s="48">
        <v>0</v>
      </c>
      <c r="Z773" s="48"/>
      <c r="AA773" s="48" t="s">
        <v>95</v>
      </c>
      <c r="AB773" s="48" t="s">
        <v>27</v>
      </c>
      <c r="AC773" s="48" t="s">
        <v>311</v>
      </c>
      <c r="AD773" s="89" t="s">
        <v>845</v>
      </c>
    </row>
    <row r="774" spans="1:30" ht="15.75" hidden="1" x14ac:dyDescent="0.25">
      <c r="A774" s="48" t="s">
        <v>388</v>
      </c>
      <c r="B774" s="74">
        <v>45551</v>
      </c>
      <c r="C774" s="48" t="s">
        <v>441</v>
      </c>
      <c r="D774" s="48" t="s">
        <v>20</v>
      </c>
      <c r="E774" s="48" t="s">
        <v>338</v>
      </c>
      <c r="F774" s="48" t="s">
        <v>96</v>
      </c>
      <c r="G774" s="48" t="s">
        <v>24</v>
      </c>
      <c r="H774" s="48" t="s">
        <v>22</v>
      </c>
      <c r="I774" s="48" t="s">
        <v>26</v>
      </c>
      <c r="J774" s="48">
        <v>1020055</v>
      </c>
      <c r="K774" s="50">
        <v>1508807.25</v>
      </c>
      <c r="L774" s="50">
        <v>1</v>
      </c>
      <c r="M774" s="50">
        <v>1508807.25</v>
      </c>
      <c r="N774" s="50">
        <v>1508807.25</v>
      </c>
      <c r="O774" s="50">
        <v>0</v>
      </c>
      <c r="P774" s="50">
        <v>0</v>
      </c>
      <c r="Q774" s="87">
        <v>0</v>
      </c>
      <c r="R774" s="152">
        <v>0</v>
      </c>
      <c r="S774" s="174"/>
      <c r="T774" s="74">
        <v>45626</v>
      </c>
      <c r="U774" s="74">
        <v>45600</v>
      </c>
      <c r="V774" s="48"/>
      <c r="W774" s="48"/>
      <c r="X774" s="48"/>
      <c r="Y774" s="48">
        <v>0</v>
      </c>
      <c r="Z774" s="48"/>
      <c r="AA774" s="48" t="s">
        <v>95</v>
      </c>
      <c r="AB774" s="48" t="s">
        <v>27</v>
      </c>
      <c r="AC774" s="48" t="s">
        <v>311</v>
      </c>
      <c r="AD774" s="89" t="s">
        <v>845</v>
      </c>
    </row>
    <row r="775" spans="1:30" ht="15.75" hidden="1" x14ac:dyDescent="0.25">
      <c r="A775" s="48" t="s">
        <v>1278</v>
      </c>
      <c r="B775" s="74">
        <v>45784</v>
      </c>
      <c r="C775" s="48" t="s">
        <v>441</v>
      </c>
      <c r="D775" s="48" t="s">
        <v>20</v>
      </c>
      <c r="E775" s="48" t="s">
        <v>569</v>
      </c>
      <c r="F775" s="48" t="s">
        <v>70</v>
      </c>
      <c r="G775" s="48" t="s">
        <v>24</v>
      </c>
      <c r="H775" s="48" t="s">
        <v>407</v>
      </c>
      <c r="I775" s="48" t="s">
        <v>26</v>
      </c>
      <c r="J775" s="48">
        <v>1020100</v>
      </c>
      <c r="K775" s="50">
        <v>200000</v>
      </c>
      <c r="L775" s="50">
        <v>1</v>
      </c>
      <c r="M775" s="50">
        <v>200000</v>
      </c>
      <c r="N775" s="50">
        <v>200000</v>
      </c>
      <c r="O775" s="50">
        <v>0</v>
      </c>
      <c r="P775" s="50">
        <v>0</v>
      </c>
      <c r="Q775" s="87">
        <v>0</v>
      </c>
      <c r="R775" s="152">
        <v>0</v>
      </c>
      <c r="S775" s="174"/>
      <c r="T775" s="74">
        <v>45869</v>
      </c>
      <c r="U775" s="74">
        <v>45869</v>
      </c>
      <c r="V775" s="48"/>
      <c r="W775" s="48"/>
      <c r="X775" s="48"/>
      <c r="Y775" s="48">
        <v>0</v>
      </c>
      <c r="Z775" s="48"/>
      <c r="AA775" s="48" t="s">
        <v>373</v>
      </c>
      <c r="AB775" s="48" t="s">
        <v>70</v>
      </c>
      <c r="AC775" s="48" t="s">
        <v>621</v>
      </c>
      <c r="AD775" s="89" t="s">
        <v>845</v>
      </c>
    </row>
    <row r="776" spans="1:30" ht="15.75" hidden="1" x14ac:dyDescent="0.25">
      <c r="A776" s="48" t="s">
        <v>1636</v>
      </c>
      <c r="B776" s="74">
        <v>45867</v>
      </c>
      <c r="C776" s="48" t="s">
        <v>1119</v>
      </c>
      <c r="D776" s="48" t="s">
        <v>20</v>
      </c>
      <c r="E776" s="48" t="s">
        <v>338</v>
      </c>
      <c r="F776" s="48" t="s">
        <v>367</v>
      </c>
      <c r="G776" s="48" t="s">
        <v>24</v>
      </c>
      <c r="H776" s="48" t="s">
        <v>367</v>
      </c>
      <c r="I776" s="48" t="s">
        <v>26</v>
      </c>
      <c r="J776" s="48">
        <v>1020091</v>
      </c>
      <c r="K776" s="50">
        <v>5000000</v>
      </c>
      <c r="L776" s="50">
        <v>1</v>
      </c>
      <c r="M776" s="50">
        <v>5000000</v>
      </c>
      <c r="N776" s="50">
        <v>5000000</v>
      </c>
      <c r="O776" s="50">
        <v>0</v>
      </c>
      <c r="P776" s="50">
        <v>0</v>
      </c>
      <c r="Q776" s="87">
        <v>0</v>
      </c>
      <c r="R776" s="152">
        <v>0</v>
      </c>
      <c r="S776" s="174"/>
      <c r="T776" s="74">
        <v>45961</v>
      </c>
      <c r="U776" s="74">
        <v>45961</v>
      </c>
      <c r="V776" s="48"/>
      <c r="W776" s="48"/>
      <c r="X776" s="48"/>
      <c r="Y776" s="48">
        <v>0</v>
      </c>
      <c r="Z776" s="48"/>
      <c r="AA776" s="48" t="s">
        <v>366</v>
      </c>
      <c r="AB776" s="48" t="s">
        <v>27</v>
      </c>
      <c r="AC776" s="48" t="s">
        <v>1624</v>
      </c>
      <c r="AD776" s="89" t="s">
        <v>845</v>
      </c>
    </row>
    <row r="777" spans="1:30" ht="15.75" hidden="1" x14ac:dyDescent="0.25">
      <c r="A777" s="48" t="s">
        <v>765</v>
      </c>
      <c r="B777" s="74">
        <v>45734</v>
      </c>
      <c r="C777" s="48" t="s">
        <v>509</v>
      </c>
      <c r="D777" s="48" t="s">
        <v>20</v>
      </c>
      <c r="E777" s="48" t="s">
        <v>766</v>
      </c>
      <c r="F777" s="48" t="s">
        <v>22</v>
      </c>
      <c r="G777" s="48" t="s">
        <v>24</v>
      </c>
      <c r="H777" s="48" t="s">
        <v>407</v>
      </c>
      <c r="I777" s="48" t="s">
        <v>26</v>
      </c>
      <c r="J777" s="48">
        <v>1020100</v>
      </c>
      <c r="K777" s="50">
        <v>500000</v>
      </c>
      <c r="L777" s="50">
        <v>1</v>
      </c>
      <c r="M777" s="50">
        <v>500000</v>
      </c>
      <c r="N777" s="50">
        <v>500000</v>
      </c>
      <c r="O777" s="50">
        <v>0</v>
      </c>
      <c r="P777" s="50">
        <v>0</v>
      </c>
      <c r="Q777" s="87">
        <v>0</v>
      </c>
      <c r="R777" s="152">
        <v>0</v>
      </c>
      <c r="S777" s="174"/>
      <c r="T777" s="74">
        <v>45838</v>
      </c>
      <c r="U777" s="74">
        <v>45838</v>
      </c>
      <c r="V777" s="48"/>
      <c r="W777" s="48"/>
      <c r="X777" s="48"/>
      <c r="Y777" s="48">
        <v>0</v>
      </c>
      <c r="Z777" s="48"/>
      <c r="AA777" s="48" t="s">
        <v>21</v>
      </c>
      <c r="AB777" s="48" t="s">
        <v>27</v>
      </c>
      <c r="AC777" s="48" t="s">
        <v>311</v>
      </c>
      <c r="AD777" s="89" t="s">
        <v>845</v>
      </c>
    </row>
    <row r="778" spans="1:30" ht="15.75" hidden="1" x14ac:dyDescent="0.25">
      <c r="A778" s="48" t="s">
        <v>1316</v>
      </c>
      <c r="B778" s="74">
        <v>45788</v>
      </c>
      <c r="C778" s="48" t="s">
        <v>441</v>
      </c>
      <c r="D778" s="48" t="s">
        <v>20</v>
      </c>
      <c r="E778" s="48" t="s">
        <v>766</v>
      </c>
      <c r="F778" s="48" t="s">
        <v>22</v>
      </c>
      <c r="G778" s="48" t="s">
        <v>24</v>
      </c>
      <c r="H778" s="48" t="s">
        <v>22</v>
      </c>
      <c r="I778" s="48" t="s">
        <v>26</v>
      </c>
      <c r="J778" s="48">
        <v>1020055</v>
      </c>
      <c r="K778" s="50">
        <v>1161954.08</v>
      </c>
      <c r="L778" s="50">
        <v>1</v>
      </c>
      <c r="M778" s="50">
        <v>1161954.08</v>
      </c>
      <c r="N778" s="50">
        <v>1161954.08</v>
      </c>
      <c r="O778" s="50">
        <v>0</v>
      </c>
      <c r="P778" s="50">
        <v>0</v>
      </c>
      <c r="Q778" s="87">
        <v>0</v>
      </c>
      <c r="R778" s="152">
        <v>0</v>
      </c>
      <c r="S778" s="312"/>
      <c r="T778" s="74">
        <v>45900</v>
      </c>
      <c r="U778" s="74">
        <v>45900</v>
      </c>
      <c r="V778" s="48"/>
      <c r="W778" s="48"/>
      <c r="X778" s="48"/>
      <c r="Y778" s="48">
        <v>0</v>
      </c>
      <c r="Z778" s="48"/>
      <c r="AA778" s="48" t="s">
        <v>21</v>
      </c>
      <c r="AB778" s="48" t="s">
        <v>27</v>
      </c>
      <c r="AC778" s="48" t="s">
        <v>621</v>
      </c>
      <c r="AD778" s="89" t="s">
        <v>845</v>
      </c>
    </row>
    <row r="779" spans="1:30" ht="15.75" hidden="1" x14ac:dyDescent="0.25">
      <c r="A779" s="48" t="s">
        <v>1341</v>
      </c>
      <c r="B779" s="74">
        <v>45792</v>
      </c>
      <c r="C779" s="48" t="s">
        <v>441</v>
      </c>
      <c r="D779" s="48" t="s">
        <v>20</v>
      </c>
      <c r="E779" s="48" t="s">
        <v>766</v>
      </c>
      <c r="F779" s="48" t="s">
        <v>22</v>
      </c>
      <c r="G779" s="48" t="s">
        <v>24</v>
      </c>
      <c r="H779" s="48" t="s">
        <v>22</v>
      </c>
      <c r="I779" s="48" t="s">
        <v>26</v>
      </c>
      <c r="J779" s="48">
        <v>1020055</v>
      </c>
      <c r="K779" s="50">
        <v>535185.18000000005</v>
      </c>
      <c r="L779" s="50">
        <v>1</v>
      </c>
      <c r="M779" s="50">
        <v>535185.18000000005</v>
      </c>
      <c r="N779" s="50">
        <v>535185.18000000005</v>
      </c>
      <c r="O779" s="50">
        <v>0</v>
      </c>
      <c r="P779" s="50">
        <v>0</v>
      </c>
      <c r="Q779" s="87">
        <v>0</v>
      </c>
      <c r="R779" s="152">
        <v>0</v>
      </c>
      <c r="S779" s="312"/>
      <c r="T779" s="74">
        <v>45900</v>
      </c>
      <c r="U779" s="74">
        <v>45900</v>
      </c>
      <c r="V779" s="48"/>
      <c r="W779" s="48"/>
      <c r="X779" s="48"/>
      <c r="Y779" s="48">
        <v>0</v>
      </c>
      <c r="Z779" s="48"/>
      <c r="AA779" s="48" t="s">
        <v>21</v>
      </c>
      <c r="AB779" s="48" t="s">
        <v>27</v>
      </c>
      <c r="AC779" s="48" t="s">
        <v>621</v>
      </c>
      <c r="AD779" s="89" t="s">
        <v>845</v>
      </c>
    </row>
    <row r="780" spans="1:30" ht="15.75" hidden="1" x14ac:dyDescent="0.25">
      <c r="A780" s="48" t="s">
        <v>1407</v>
      </c>
      <c r="B780" s="74">
        <v>45804</v>
      </c>
      <c r="C780" s="48" t="s">
        <v>441</v>
      </c>
      <c r="D780" s="48" t="s">
        <v>20</v>
      </c>
      <c r="E780" s="48" t="s">
        <v>1365</v>
      </c>
      <c r="F780" s="48" t="s">
        <v>22</v>
      </c>
      <c r="G780" s="48" t="s">
        <v>24</v>
      </c>
      <c r="H780" s="48" t="s">
        <v>22</v>
      </c>
      <c r="I780" s="48" t="s">
        <v>26</v>
      </c>
      <c r="J780" s="48">
        <v>1020055</v>
      </c>
      <c r="K780" s="50">
        <v>150000</v>
      </c>
      <c r="L780" s="50">
        <v>1</v>
      </c>
      <c r="M780" s="50">
        <v>150000</v>
      </c>
      <c r="N780" s="50">
        <v>150000</v>
      </c>
      <c r="O780" s="50">
        <v>0</v>
      </c>
      <c r="P780" s="50">
        <v>0</v>
      </c>
      <c r="Q780" s="87">
        <v>0</v>
      </c>
      <c r="R780" s="152">
        <v>0</v>
      </c>
      <c r="S780" s="174"/>
      <c r="T780" s="74">
        <v>45900</v>
      </c>
      <c r="U780" s="74">
        <v>45900</v>
      </c>
      <c r="V780" s="48"/>
      <c r="W780" s="48"/>
      <c r="X780" s="48"/>
      <c r="Y780" s="48">
        <v>0</v>
      </c>
      <c r="Z780" s="48"/>
      <c r="AA780" s="48" t="s">
        <v>21</v>
      </c>
      <c r="AB780" s="48" t="s">
        <v>27</v>
      </c>
      <c r="AC780" s="48" t="s">
        <v>621</v>
      </c>
      <c r="AD780" s="89" t="s">
        <v>845</v>
      </c>
    </row>
    <row r="781" spans="1:30" ht="15.75" hidden="1" x14ac:dyDescent="0.25">
      <c r="A781" s="48" t="s">
        <v>1520</v>
      </c>
      <c r="B781" s="74">
        <v>45834</v>
      </c>
      <c r="C781" s="48" t="s">
        <v>441</v>
      </c>
      <c r="D781" s="48" t="s">
        <v>20</v>
      </c>
      <c r="E781" s="48" t="s">
        <v>1365</v>
      </c>
      <c r="F781" s="48" t="s">
        <v>22</v>
      </c>
      <c r="G781" s="48" t="s">
        <v>24</v>
      </c>
      <c r="H781" s="48" t="s">
        <v>407</v>
      </c>
      <c r="I781" s="48" t="s">
        <v>26</v>
      </c>
      <c r="J781" s="48">
        <v>1020100</v>
      </c>
      <c r="K781" s="50">
        <v>550000</v>
      </c>
      <c r="L781" s="50">
        <v>1</v>
      </c>
      <c r="M781" s="50">
        <v>550000</v>
      </c>
      <c r="N781" s="50">
        <v>550000</v>
      </c>
      <c r="O781" s="50">
        <v>0</v>
      </c>
      <c r="P781" s="50">
        <v>0</v>
      </c>
      <c r="Q781" s="87">
        <v>0</v>
      </c>
      <c r="R781" s="152">
        <v>0</v>
      </c>
      <c r="S781" s="174"/>
      <c r="T781" s="74">
        <v>45900</v>
      </c>
      <c r="U781" s="74">
        <v>45900</v>
      </c>
      <c r="V781" s="48"/>
      <c r="W781" s="48"/>
      <c r="X781" s="48"/>
      <c r="Y781" s="48">
        <v>0</v>
      </c>
      <c r="Z781" s="48"/>
      <c r="AA781" s="48" t="s">
        <v>21</v>
      </c>
      <c r="AB781" s="48" t="s">
        <v>27</v>
      </c>
      <c r="AC781" s="48" t="s">
        <v>621</v>
      </c>
      <c r="AD781" s="89" t="s">
        <v>845</v>
      </c>
    </row>
    <row r="782" spans="1:30" ht="15.75" hidden="1" x14ac:dyDescent="0.25">
      <c r="A782" s="48" t="s">
        <v>1277</v>
      </c>
      <c r="B782" s="74">
        <v>45784</v>
      </c>
      <c r="C782" s="48" t="s">
        <v>441</v>
      </c>
      <c r="D782" s="48" t="s">
        <v>20</v>
      </c>
      <c r="E782" s="48" t="s">
        <v>1248</v>
      </c>
      <c r="F782" s="48" t="s">
        <v>70</v>
      </c>
      <c r="G782" s="48" t="s">
        <v>24</v>
      </c>
      <c r="H782" s="48" t="s">
        <v>407</v>
      </c>
      <c r="I782" s="48" t="s">
        <v>26</v>
      </c>
      <c r="J782" s="48">
        <v>1020100</v>
      </c>
      <c r="K782" s="50">
        <v>500000</v>
      </c>
      <c r="L782" s="50">
        <v>1</v>
      </c>
      <c r="M782" s="50">
        <v>500000</v>
      </c>
      <c r="N782" s="50">
        <v>500000</v>
      </c>
      <c r="O782" s="50">
        <v>0</v>
      </c>
      <c r="P782" s="50">
        <v>0</v>
      </c>
      <c r="Q782" s="87">
        <v>0</v>
      </c>
      <c r="R782" s="152">
        <v>0</v>
      </c>
      <c r="S782" s="174"/>
      <c r="T782" s="74">
        <v>45869</v>
      </c>
      <c r="U782" s="74">
        <v>45869</v>
      </c>
      <c r="V782" s="48"/>
      <c r="W782" s="48"/>
      <c r="X782" s="48"/>
      <c r="Y782" s="48">
        <v>0</v>
      </c>
      <c r="Z782" s="48"/>
      <c r="AA782" s="48" t="s">
        <v>373</v>
      </c>
      <c r="AB782" s="48" t="s">
        <v>70</v>
      </c>
      <c r="AC782" s="48" t="s">
        <v>621</v>
      </c>
      <c r="AD782" s="89" t="s">
        <v>845</v>
      </c>
    </row>
    <row r="783" spans="1:30" ht="15.75" hidden="1" x14ac:dyDescent="0.25">
      <c r="A783" s="48" t="s">
        <v>1617</v>
      </c>
      <c r="B783" s="74">
        <v>45865</v>
      </c>
      <c r="C783" s="48" t="s">
        <v>441</v>
      </c>
      <c r="D783" s="48" t="s">
        <v>20</v>
      </c>
      <c r="E783" s="48" t="s">
        <v>1571</v>
      </c>
      <c r="F783" s="48" t="s">
        <v>96</v>
      </c>
      <c r="G783" s="48" t="s">
        <v>24</v>
      </c>
      <c r="H783" s="48" t="s">
        <v>407</v>
      </c>
      <c r="I783" s="48" t="s">
        <v>26</v>
      </c>
      <c r="J783" s="48">
        <v>1020100</v>
      </c>
      <c r="K783" s="50">
        <v>200000</v>
      </c>
      <c r="L783" s="50">
        <v>1</v>
      </c>
      <c r="M783" s="50">
        <v>200000</v>
      </c>
      <c r="N783" s="50">
        <v>184701.44</v>
      </c>
      <c r="O783" s="50">
        <v>15298.56</v>
      </c>
      <c r="P783" s="50">
        <v>0</v>
      </c>
      <c r="Q783" s="87">
        <v>15298.56</v>
      </c>
      <c r="R783" s="152">
        <v>0</v>
      </c>
      <c r="S783" s="174"/>
      <c r="T783" s="74">
        <v>45961</v>
      </c>
      <c r="U783" s="74">
        <v>45961</v>
      </c>
      <c r="V783" s="48"/>
      <c r="W783" s="48"/>
      <c r="X783" s="48"/>
      <c r="Y783" s="48">
        <v>0</v>
      </c>
      <c r="Z783" s="48"/>
      <c r="AA783" s="48" t="s">
        <v>95</v>
      </c>
      <c r="AB783" s="48" t="s">
        <v>27</v>
      </c>
      <c r="AC783" s="48" t="s">
        <v>621</v>
      </c>
      <c r="AD783" s="89" t="s">
        <v>845</v>
      </c>
    </row>
    <row r="784" spans="1:30" ht="15.75" hidden="1" x14ac:dyDescent="0.25">
      <c r="A784" s="48" t="s">
        <v>317</v>
      </c>
      <c r="B784" s="74">
        <v>45454</v>
      </c>
      <c r="C784" s="48" t="s">
        <v>1118</v>
      </c>
      <c r="D784" s="48" t="s">
        <v>20</v>
      </c>
      <c r="E784" s="48" t="s">
        <v>318</v>
      </c>
      <c r="F784" s="48" t="s">
        <v>70</v>
      </c>
      <c r="G784" s="48" t="s">
        <v>72</v>
      </c>
      <c r="H784" s="48" t="s">
        <v>213</v>
      </c>
      <c r="I784" s="48" t="s">
        <v>67</v>
      </c>
      <c r="J784" s="48">
        <v>1020015</v>
      </c>
      <c r="K784" s="50">
        <v>308759</v>
      </c>
      <c r="L784" s="50">
        <v>4.6375999999999999</v>
      </c>
      <c r="M784" s="50">
        <v>1431900.7383999999</v>
      </c>
      <c r="N784" s="50">
        <v>1360305.70148</v>
      </c>
      <c r="O784" s="50">
        <v>71595.039999999994</v>
      </c>
      <c r="P784" s="50">
        <v>0</v>
      </c>
      <c r="Q784" s="87">
        <v>71595.039999999994</v>
      </c>
      <c r="R784" s="152">
        <v>0</v>
      </c>
      <c r="S784" s="174"/>
      <c r="T784" s="74">
        <v>46112</v>
      </c>
      <c r="U784" s="74">
        <v>45535</v>
      </c>
      <c r="V784" s="48"/>
      <c r="W784" s="48"/>
      <c r="X784" s="48">
        <v>71595.03</v>
      </c>
      <c r="Y784" s="48">
        <v>0</v>
      </c>
      <c r="Z784" s="48"/>
      <c r="AA784" s="48" t="s">
        <v>62</v>
      </c>
      <c r="AB784" s="48" t="s">
        <v>70</v>
      </c>
      <c r="AC784" s="48" t="s">
        <v>208</v>
      </c>
      <c r="AD784" s="89" t="s">
        <v>845</v>
      </c>
    </row>
    <row r="785" spans="1:30" ht="15.75" hidden="1" x14ac:dyDescent="0.25">
      <c r="A785" s="48" t="s">
        <v>5606</v>
      </c>
      <c r="B785" s="74">
        <v>46190</v>
      </c>
      <c r="C785" s="48" t="s">
        <v>3566</v>
      </c>
      <c r="D785" s="48" t="s">
        <v>20</v>
      </c>
      <c r="E785" s="48" t="s">
        <v>5332</v>
      </c>
      <c r="F785" s="48" t="s">
        <v>613</v>
      </c>
      <c r="G785" s="48" t="s">
        <v>72</v>
      </c>
      <c r="H785" s="48" t="s">
        <v>613</v>
      </c>
      <c r="I785" s="48" t="s">
        <v>26</v>
      </c>
      <c r="J785" s="48">
        <v>1020106</v>
      </c>
      <c r="K785" s="50">
        <v>5000000</v>
      </c>
      <c r="L785" s="50">
        <v>1</v>
      </c>
      <c r="M785" s="50">
        <v>5000000</v>
      </c>
      <c r="N785" s="50">
        <v>0</v>
      </c>
      <c r="O785" s="50">
        <v>5000000</v>
      </c>
      <c r="P785" s="50">
        <v>0</v>
      </c>
      <c r="Q785" s="87">
        <v>5000000</v>
      </c>
      <c r="R785" s="152">
        <v>0</v>
      </c>
      <c r="S785" s="174"/>
      <c r="T785" s="74">
        <v>46326</v>
      </c>
      <c r="U785" s="74">
        <v>46326</v>
      </c>
      <c r="V785" s="48"/>
      <c r="W785" s="48"/>
      <c r="X785" s="48"/>
      <c r="Y785" s="48">
        <v>0</v>
      </c>
      <c r="Z785" s="48"/>
      <c r="AA785" s="48" t="s">
        <v>612</v>
      </c>
      <c r="AB785" s="48" t="s">
        <v>27</v>
      </c>
      <c r="AC785" s="48" t="s">
        <v>5584</v>
      </c>
      <c r="AD785" s="89" t="s">
        <v>1026</v>
      </c>
    </row>
    <row r="786" spans="1:30" ht="15.75" hidden="1" x14ac:dyDescent="0.25">
      <c r="A786" s="48" t="s">
        <v>1289</v>
      </c>
      <c r="B786" s="74">
        <v>45785</v>
      </c>
      <c r="C786" s="48" t="s">
        <v>441</v>
      </c>
      <c r="D786" s="48" t="s">
        <v>20</v>
      </c>
      <c r="E786" s="48" t="s">
        <v>1241</v>
      </c>
      <c r="F786" s="48" t="s">
        <v>70</v>
      </c>
      <c r="G786" s="48" t="s">
        <v>24</v>
      </c>
      <c r="H786" s="48" t="s">
        <v>407</v>
      </c>
      <c r="I786" s="48" t="s">
        <v>26</v>
      </c>
      <c r="J786" s="48">
        <v>1020100</v>
      </c>
      <c r="K786" s="50">
        <v>350000</v>
      </c>
      <c r="L786" s="50">
        <v>1</v>
      </c>
      <c r="M786" s="50">
        <v>350000</v>
      </c>
      <c r="N786" s="50">
        <v>350000</v>
      </c>
      <c r="O786" s="50">
        <v>0</v>
      </c>
      <c r="P786" s="50">
        <v>0</v>
      </c>
      <c r="Q786" s="87">
        <v>0</v>
      </c>
      <c r="R786" s="152">
        <v>0</v>
      </c>
      <c r="S786" s="174"/>
      <c r="T786" s="74">
        <v>45869</v>
      </c>
      <c r="U786" s="74">
        <v>45869</v>
      </c>
      <c r="V786" s="48"/>
      <c r="W786" s="48"/>
      <c r="X786" s="48"/>
      <c r="Y786" s="48">
        <v>0</v>
      </c>
      <c r="Z786" s="48"/>
      <c r="AA786" s="48" t="s">
        <v>373</v>
      </c>
      <c r="AB786" s="48" t="s">
        <v>70</v>
      </c>
      <c r="AC786" s="48" t="s">
        <v>621</v>
      </c>
      <c r="AD786" s="89" t="s">
        <v>845</v>
      </c>
    </row>
    <row r="787" spans="1:30" ht="15.75" hidden="1" x14ac:dyDescent="0.25">
      <c r="A787" s="48" t="s">
        <v>1523</v>
      </c>
      <c r="B787" s="74">
        <v>45834</v>
      </c>
      <c r="C787" s="48" t="s">
        <v>441</v>
      </c>
      <c r="D787" s="48" t="s">
        <v>20</v>
      </c>
      <c r="E787" s="48" t="s">
        <v>1241</v>
      </c>
      <c r="F787" s="48" t="s">
        <v>22</v>
      </c>
      <c r="G787" s="48" t="s">
        <v>24</v>
      </c>
      <c r="H787" s="48" t="s">
        <v>407</v>
      </c>
      <c r="I787" s="48" t="s">
        <v>26</v>
      </c>
      <c r="J787" s="48">
        <v>1020100</v>
      </c>
      <c r="K787" s="50">
        <v>200000</v>
      </c>
      <c r="L787" s="50">
        <v>1</v>
      </c>
      <c r="M787" s="50">
        <v>200000</v>
      </c>
      <c r="N787" s="50">
        <v>200000</v>
      </c>
      <c r="O787" s="50">
        <v>0</v>
      </c>
      <c r="P787" s="50">
        <v>0</v>
      </c>
      <c r="Q787" s="87">
        <v>0</v>
      </c>
      <c r="R787" s="152">
        <v>0</v>
      </c>
      <c r="S787" s="174"/>
      <c r="T787" s="74">
        <v>45900</v>
      </c>
      <c r="U787" s="74">
        <v>45900</v>
      </c>
      <c r="V787" s="48"/>
      <c r="W787" s="48"/>
      <c r="X787" s="48"/>
      <c r="Y787" s="48">
        <v>0</v>
      </c>
      <c r="Z787" s="48"/>
      <c r="AA787" s="48" t="s">
        <v>21</v>
      </c>
      <c r="AB787" s="48" t="s">
        <v>27</v>
      </c>
      <c r="AC787" s="48" t="s">
        <v>621</v>
      </c>
      <c r="AD787" s="89" t="s">
        <v>845</v>
      </c>
    </row>
    <row r="788" spans="1:30" ht="15.75" hidden="1" x14ac:dyDescent="0.25">
      <c r="A788" s="48" t="s">
        <v>1820</v>
      </c>
      <c r="B788" s="74">
        <v>45895</v>
      </c>
      <c r="C788" s="48" t="s">
        <v>441</v>
      </c>
      <c r="D788" s="48" t="s">
        <v>20</v>
      </c>
      <c r="E788" s="48" t="s">
        <v>1702</v>
      </c>
      <c r="F788" s="48" t="s">
        <v>613</v>
      </c>
      <c r="G788" s="48" t="s">
        <v>24</v>
      </c>
      <c r="H788" s="48" t="s">
        <v>613</v>
      </c>
      <c r="I788" s="48" t="s">
        <v>26</v>
      </c>
      <c r="J788" s="48">
        <v>1020106</v>
      </c>
      <c r="K788" s="50">
        <v>148350</v>
      </c>
      <c r="L788" s="50">
        <v>1</v>
      </c>
      <c r="M788" s="50">
        <v>148350</v>
      </c>
      <c r="N788" s="50">
        <v>148350</v>
      </c>
      <c r="O788" s="50">
        <v>0</v>
      </c>
      <c r="P788" s="50">
        <v>0</v>
      </c>
      <c r="Q788" s="87">
        <v>0</v>
      </c>
      <c r="R788" s="152">
        <v>0</v>
      </c>
      <c r="S788" s="312"/>
      <c r="T788" s="74">
        <v>45991</v>
      </c>
      <c r="U788" s="74">
        <v>45991</v>
      </c>
      <c r="V788" s="48"/>
      <c r="W788" s="48"/>
      <c r="X788" s="48"/>
      <c r="Y788" s="48">
        <v>0</v>
      </c>
      <c r="Z788" s="48"/>
      <c r="AA788" s="48" t="s">
        <v>612</v>
      </c>
      <c r="AB788" s="48" t="s">
        <v>27</v>
      </c>
      <c r="AC788" s="48" t="s">
        <v>311</v>
      </c>
      <c r="AD788" s="89" t="s">
        <v>845</v>
      </c>
    </row>
    <row r="789" spans="1:30" ht="15.75" hidden="1" x14ac:dyDescent="0.25">
      <c r="A789" s="48" t="s">
        <v>2396</v>
      </c>
      <c r="B789" s="74">
        <v>45959</v>
      </c>
      <c r="C789" s="48" t="s">
        <v>3566</v>
      </c>
      <c r="D789" s="48" t="s">
        <v>20</v>
      </c>
      <c r="E789" s="48" t="s">
        <v>1924</v>
      </c>
      <c r="F789" s="48" t="s">
        <v>613</v>
      </c>
      <c r="G789" s="48" t="s">
        <v>24</v>
      </c>
      <c r="H789" s="48" t="s">
        <v>613</v>
      </c>
      <c r="I789" s="48" t="s">
        <v>26</v>
      </c>
      <c r="J789" s="48">
        <v>1020106</v>
      </c>
      <c r="K789" s="50">
        <v>526125</v>
      </c>
      <c r="L789" s="50">
        <v>1</v>
      </c>
      <c r="M789" s="50">
        <v>526125</v>
      </c>
      <c r="N789" s="50">
        <v>526125</v>
      </c>
      <c r="O789" s="50">
        <v>0</v>
      </c>
      <c r="P789" s="50">
        <v>0</v>
      </c>
      <c r="Q789" s="87">
        <v>0</v>
      </c>
      <c r="R789" s="152">
        <v>0</v>
      </c>
      <c r="S789" s="174"/>
      <c r="T789" s="74">
        <v>46022</v>
      </c>
      <c r="U789" s="74">
        <v>46022</v>
      </c>
      <c r="V789" s="48"/>
      <c r="W789" s="48"/>
      <c r="X789" s="48"/>
      <c r="Y789" s="48">
        <v>0</v>
      </c>
      <c r="Z789" s="48"/>
      <c r="AA789" s="48" t="s">
        <v>612</v>
      </c>
      <c r="AB789" s="48" t="s">
        <v>27</v>
      </c>
      <c r="AC789" s="48" t="s">
        <v>1925</v>
      </c>
      <c r="AD789" s="89" t="s">
        <v>845</v>
      </c>
    </row>
    <row r="790" spans="1:30" ht="15.75" hidden="1" x14ac:dyDescent="0.25">
      <c r="A790" s="48" t="s">
        <v>2921</v>
      </c>
      <c r="B790" s="74">
        <v>45995</v>
      </c>
      <c r="C790" s="48" t="s">
        <v>1259</v>
      </c>
      <c r="D790" s="48" t="s">
        <v>20</v>
      </c>
      <c r="E790" s="48" t="s">
        <v>1924</v>
      </c>
      <c r="F790" s="48" t="s">
        <v>96</v>
      </c>
      <c r="G790" s="48" t="s">
        <v>72</v>
      </c>
      <c r="H790" s="48" t="s">
        <v>328</v>
      </c>
      <c r="I790" s="48" t="s">
        <v>26</v>
      </c>
      <c r="J790" s="48">
        <v>1020097</v>
      </c>
      <c r="K790" s="50">
        <v>1200600</v>
      </c>
      <c r="L790" s="50">
        <v>1</v>
      </c>
      <c r="M790" s="50">
        <v>1200600</v>
      </c>
      <c r="N790" s="50">
        <v>1200600</v>
      </c>
      <c r="O790" s="50">
        <v>0</v>
      </c>
      <c r="P790" s="50">
        <v>0</v>
      </c>
      <c r="Q790" s="87">
        <v>0</v>
      </c>
      <c r="R790" s="152">
        <v>0</v>
      </c>
      <c r="S790" s="174"/>
      <c r="T790" s="74">
        <v>46081</v>
      </c>
      <c r="U790" s="74">
        <v>46081</v>
      </c>
      <c r="V790" s="48"/>
      <c r="W790" s="48"/>
      <c r="X790" s="48"/>
      <c r="Y790" s="48">
        <v>0</v>
      </c>
      <c r="Z790" s="48"/>
      <c r="AA790" s="48" t="s">
        <v>95</v>
      </c>
      <c r="AB790" s="48" t="s">
        <v>27</v>
      </c>
      <c r="AC790" s="48" t="s">
        <v>311</v>
      </c>
      <c r="AD790" s="89" t="s">
        <v>845</v>
      </c>
    </row>
    <row r="791" spans="1:30" ht="15.75" hidden="1" x14ac:dyDescent="0.25">
      <c r="A791" s="48" t="s">
        <v>1778</v>
      </c>
      <c r="B791" s="74">
        <v>45888</v>
      </c>
      <c r="C791" s="48" t="s">
        <v>1727</v>
      </c>
      <c r="D791" s="48" t="s">
        <v>20</v>
      </c>
      <c r="E791" s="48" t="s">
        <v>1720</v>
      </c>
      <c r="F791" s="48" t="s">
        <v>70</v>
      </c>
      <c r="G791" s="48" t="s">
        <v>869</v>
      </c>
      <c r="H791" s="48" t="s">
        <v>1762</v>
      </c>
      <c r="I791" s="48" t="s">
        <v>26</v>
      </c>
      <c r="J791" s="48"/>
      <c r="K791" s="50">
        <v>711169</v>
      </c>
      <c r="L791" s="50">
        <v>1</v>
      </c>
      <c r="M791" s="50">
        <v>711169</v>
      </c>
      <c r="N791" s="50">
        <v>711169</v>
      </c>
      <c r="O791" s="50">
        <v>0</v>
      </c>
      <c r="P791" s="50">
        <v>0</v>
      </c>
      <c r="Q791" s="87">
        <v>0</v>
      </c>
      <c r="R791" s="152">
        <v>0</v>
      </c>
      <c r="S791" s="174"/>
      <c r="T791" s="74">
        <v>45930</v>
      </c>
      <c r="U791" s="74">
        <v>45915</v>
      </c>
      <c r="V791" s="48"/>
      <c r="W791" s="48"/>
      <c r="X791" s="48"/>
      <c r="Y791" s="48"/>
      <c r="Z791" s="48"/>
      <c r="AA791" s="48" t="s">
        <v>62</v>
      </c>
      <c r="AB791" s="48" t="s">
        <v>70</v>
      </c>
      <c r="AC791" s="48" t="s">
        <v>208</v>
      </c>
      <c r="AD791" s="89" t="s">
        <v>845</v>
      </c>
    </row>
    <row r="792" spans="1:30" ht="15.75" hidden="1" x14ac:dyDescent="0.25">
      <c r="A792" s="48" t="s">
        <v>50</v>
      </c>
      <c r="B792" s="74">
        <v>45292</v>
      </c>
      <c r="C792" s="48" t="s">
        <v>441</v>
      </c>
      <c r="D792" s="48" t="s">
        <v>20</v>
      </c>
      <c r="E792" s="48" t="s">
        <v>51</v>
      </c>
      <c r="F792" s="48" t="s">
        <v>22</v>
      </c>
      <c r="G792" s="48" t="s">
        <v>24</v>
      </c>
      <c r="H792" s="48" t="s">
        <v>22</v>
      </c>
      <c r="I792" s="48" t="s">
        <v>26</v>
      </c>
      <c r="J792" s="48">
        <v>1020055</v>
      </c>
      <c r="K792" s="50">
        <v>1133900</v>
      </c>
      <c r="L792" s="50">
        <v>1</v>
      </c>
      <c r="M792" s="50">
        <v>1133900</v>
      </c>
      <c r="N792" s="50">
        <v>1133900</v>
      </c>
      <c r="O792" s="50">
        <v>0</v>
      </c>
      <c r="P792" s="50">
        <v>0</v>
      </c>
      <c r="Q792" s="87">
        <v>0</v>
      </c>
      <c r="R792" s="152">
        <v>0</v>
      </c>
      <c r="S792" s="174"/>
      <c r="T792" s="74">
        <v>45442</v>
      </c>
      <c r="U792" s="74">
        <v>45442</v>
      </c>
      <c r="V792" s="48"/>
      <c r="W792" s="48"/>
      <c r="X792" s="48"/>
      <c r="Y792" s="48">
        <v>0</v>
      </c>
      <c r="Z792" s="48"/>
      <c r="AA792" s="48" t="s">
        <v>21</v>
      </c>
      <c r="AB792" s="48" t="s">
        <v>27</v>
      </c>
      <c r="AC792" s="48" t="s">
        <v>28</v>
      </c>
      <c r="AD792" s="89" t="s">
        <v>845</v>
      </c>
    </row>
    <row r="793" spans="1:30" ht="15.75" hidden="1" x14ac:dyDescent="0.25">
      <c r="A793" s="48" t="s">
        <v>197</v>
      </c>
      <c r="B793" s="74">
        <v>45167</v>
      </c>
      <c r="C793" s="48" t="s">
        <v>441</v>
      </c>
      <c r="D793" s="48" t="s">
        <v>20</v>
      </c>
      <c r="E793" s="48" t="s">
        <v>1789</v>
      </c>
      <c r="F793" s="48" t="s">
        <v>22</v>
      </c>
      <c r="G793" s="48" t="s">
        <v>24</v>
      </c>
      <c r="H793" s="48" t="s">
        <v>22</v>
      </c>
      <c r="I793" s="48" t="s">
        <v>26</v>
      </c>
      <c r="J793" s="48">
        <v>1020055</v>
      </c>
      <c r="K793" s="50">
        <v>1350000</v>
      </c>
      <c r="L793" s="50">
        <v>1</v>
      </c>
      <c r="M793" s="50">
        <v>1350000</v>
      </c>
      <c r="N793" s="50">
        <v>1350000</v>
      </c>
      <c r="O793" s="50">
        <v>0</v>
      </c>
      <c r="P793" s="50">
        <v>0</v>
      </c>
      <c r="Q793" s="87">
        <v>0</v>
      </c>
      <c r="R793" s="152">
        <v>0</v>
      </c>
      <c r="S793" s="174"/>
      <c r="T793" s="74">
        <v>45260</v>
      </c>
      <c r="U793" s="74">
        <v>45260</v>
      </c>
      <c r="V793" s="48"/>
      <c r="W793" s="48"/>
      <c r="X793" s="48"/>
      <c r="Y793" s="48">
        <v>0</v>
      </c>
      <c r="Z793" s="48"/>
      <c r="AA793" s="48" t="s">
        <v>21</v>
      </c>
      <c r="AB793" s="48" t="s">
        <v>27</v>
      </c>
      <c r="AC793" s="48" t="s">
        <v>28</v>
      </c>
      <c r="AD793" s="89" t="s">
        <v>845</v>
      </c>
    </row>
    <row r="794" spans="1:30" ht="15.75" hidden="1" x14ac:dyDescent="0.25">
      <c r="A794" s="48" t="s">
        <v>814</v>
      </c>
      <c r="B794" s="74">
        <v>45739</v>
      </c>
      <c r="C794" s="48" t="s">
        <v>441</v>
      </c>
      <c r="D794" s="48" t="s">
        <v>20</v>
      </c>
      <c r="E794" s="48" t="s">
        <v>1789</v>
      </c>
      <c r="F794" s="48" t="s">
        <v>22</v>
      </c>
      <c r="G794" s="48" t="s">
        <v>24</v>
      </c>
      <c r="H794" s="48" t="s">
        <v>22</v>
      </c>
      <c r="I794" s="48" t="s">
        <v>26</v>
      </c>
      <c r="J794" s="48">
        <v>1020055</v>
      </c>
      <c r="K794" s="50">
        <v>200422.65</v>
      </c>
      <c r="L794" s="50">
        <v>1</v>
      </c>
      <c r="M794" s="50">
        <v>200422.65</v>
      </c>
      <c r="N794" s="50">
        <v>200422.65</v>
      </c>
      <c r="O794" s="50">
        <v>0</v>
      </c>
      <c r="P794" s="50">
        <v>0</v>
      </c>
      <c r="Q794" s="87">
        <v>0</v>
      </c>
      <c r="R794" s="152">
        <v>0</v>
      </c>
      <c r="S794" s="174"/>
      <c r="T794" s="74">
        <v>45838</v>
      </c>
      <c r="U794" s="74">
        <v>45838</v>
      </c>
      <c r="V794" s="48"/>
      <c r="W794" s="48"/>
      <c r="X794" s="48"/>
      <c r="Y794" s="48">
        <v>0</v>
      </c>
      <c r="Z794" s="48"/>
      <c r="AA794" s="48" t="s">
        <v>21</v>
      </c>
      <c r="AB794" s="48" t="s">
        <v>27</v>
      </c>
      <c r="AC794" s="48" t="s">
        <v>311</v>
      </c>
      <c r="AD794" s="89" t="s">
        <v>845</v>
      </c>
    </row>
    <row r="795" spans="1:30" ht="15.75" hidden="1" x14ac:dyDescent="0.25">
      <c r="A795" s="48" t="s">
        <v>780</v>
      </c>
      <c r="B795" s="74">
        <v>45727</v>
      </c>
      <c r="C795" s="48" t="s">
        <v>441</v>
      </c>
      <c r="D795" s="48" t="s">
        <v>20</v>
      </c>
      <c r="E795" s="48" t="s">
        <v>1789</v>
      </c>
      <c r="F795" s="48" t="s">
        <v>710</v>
      </c>
      <c r="G795" s="48" t="s">
        <v>24</v>
      </c>
      <c r="H795" s="48" t="s">
        <v>710</v>
      </c>
      <c r="I795" s="48" t="s">
        <v>26</v>
      </c>
      <c r="J795" s="48">
        <v>1020088</v>
      </c>
      <c r="K795" s="50">
        <v>500000</v>
      </c>
      <c r="L795" s="50">
        <v>1</v>
      </c>
      <c r="M795" s="50">
        <v>500000</v>
      </c>
      <c r="N795" s="50">
        <v>500000</v>
      </c>
      <c r="O795" s="50">
        <v>0</v>
      </c>
      <c r="P795" s="50">
        <v>0</v>
      </c>
      <c r="Q795" s="87">
        <v>0</v>
      </c>
      <c r="R795" s="152">
        <v>0</v>
      </c>
      <c r="S795" s="312"/>
      <c r="T795" s="74">
        <v>45838</v>
      </c>
      <c r="U795" s="74">
        <v>45838</v>
      </c>
      <c r="V795" s="48"/>
      <c r="W795" s="48"/>
      <c r="X795" s="48"/>
      <c r="Y795" s="48">
        <v>0</v>
      </c>
      <c r="Z795" s="48"/>
      <c r="AA795" s="48" t="s">
        <v>366</v>
      </c>
      <c r="AB795" s="48" t="s">
        <v>27</v>
      </c>
      <c r="AC795" s="48" t="s">
        <v>311</v>
      </c>
      <c r="AD795" s="89" t="s">
        <v>845</v>
      </c>
    </row>
    <row r="796" spans="1:30" ht="15.75" hidden="1" x14ac:dyDescent="0.25">
      <c r="A796" s="48" t="s">
        <v>543</v>
      </c>
      <c r="B796" s="74">
        <v>45634</v>
      </c>
      <c r="C796" s="48" t="s">
        <v>509</v>
      </c>
      <c r="D796" s="48" t="s">
        <v>20</v>
      </c>
      <c r="E796" s="48" t="s">
        <v>1789</v>
      </c>
      <c r="F796" s="48" t="s">
        <v>96</v>
      </c>
      <c r="G796" s="48" t="s">
        <v>24</v>
      </c>
      <c r="H796" s="48" t="s">
        <v>407</v>
      </c>
      <c r="I796" s="48" t="s">
        <v>26</v>
      </c>
      <c r="J796" s="48">
        <v>1020100</v>
      </c>
      <c r="K796" s="50">
        <v>700000</v>
      </c>
      <c r="L796" s="50">
        <v>1</v>
      </c>
      <c r="M796" s="50">
        <v>700000</v>
      </c>
      <c r="N796" s="50">
        <v>650808.41</v>
      </c>
      <c r="O796" s="50">
        <v>49191.59</v>
      </c>
      <c r="P796" s="50">
        <v>0</v>
      </c>
      <c r="Q796" s="87">
        <v>49191.59</v>
      </c>
      <c r="R796" s="152">
        <v>0</v>
      </c>
      <c r="S796" s="174"/>
      <c r="T796" s="74">
        <v>45838</v>
      </c>
      <c r="U796" s="74">
        <v>45751</v>
      </c>
      <c r="V796" s="48"/>
      <c r="W796" s="48"/>
      <c r="X796" s="48"/>
      <c r="Y796" s="48">
        <v>0</v>
      </c>
      <c r="Z796" s="48"/>
      <c r="AA796" s="48" t="s">
        <v>95</v>
      </c>
      <c r="AB796" s="48" t="s">
        <v>27</v>
      </c>
      <c r="AC796" s="48" t="s">
        <v>311</v>
      </c>
      <c r="AD796" s="89" t="s">
        <v>845</v>
      </c>
    </row>
    <row r="797" spans="1:30" ht="15.75" hidden="1" x14ac:dyDescent="0.25">
      <c r="A797" s="48" t="s">
        <v>677</v>
      </c>
      <c r="B797" s="74">
        <v>45684</v>
      </c>
      <c r="C797" s="48" t="s">
        <v>509</v>
      </c>
      <c r="D797" s="48" t="s">
        <v>20</v>
      </c>
      <c r="E797" s="48" t="s">
        <v>1789</v>
      </c>
      <c r="F797" s="48" t="s">
        <v>96</v>
      </c>
      <c r="G797" s="48" t="s">
        <v>24</v>
      </c>
      <c r="H797" s="48" t="s">
        <v>407</v>
      </c>
      <c r="I797" s="48" t="s">
        <v>26</v>
      </c>
      <c r="J797" s="48">
        <v>1020100</v>
      </c>
      <c r="K797" s="50">
        <v>350000</v>
      </c>
      <c r="L797" s="50">
        <v>1</v>
      </c>
      <c r="M797" s="50">
        <v>350000</v>
      </c>
      <c r="N797" s="50">
        <v>350000</v>
      </c>
      <c r="O797" s="50">
        <v>0</v>
      </c>
      <c r="P797" s="50">
        <v>0</v>
      </c>
      <c r="Q797" s="87">
        <v>0</v>
      </c>
      <c r="R797" s="152">
        <v>0</v>
      </c>
      <c r="S797" s="174"/>
      <c r="T797" s="74">
        <v>45777</v>
      </c>
      <c r="U797" s="74">
        <v>45777</v>
      </c>
      <c r="V797" s="48"/>
      <c r="W797" s="48"/>
      <c r="X797" s="48"/>
      <c r="Y797" s="48">
        <v>0</v>
      </c>
      <c r="Z797" s="48"/>
      <c r="AA797" s="48" t="s">
        <v>95</v>
      </c>
      <c r="AB797" s="48" t="s">
        <v>27</v>
      </c>
      <c r="AC797" s="48" t="s">
        <v>311</v>
      </c>
      <c r="AD797" s="89" t="s">
        <v>845</v>
      </c>
    </row>
    <row r="798" spans="1:30" ht="15.75" hidden="1" x14ac:dyDescent="0.25">
      <c r="A798" s="48" t="s">
        <v>361</v>
      </c>
      <c r="B798" s="74">
        <v>45533</v>
      </c>
      <c r="C798" s="48" t="s">
        <v>441</v>
      </c>
      <c r="D798" s="48" t="s">
        <v>20</v>
      </c>
      <c r="E798" s="48" t="s">
        <v>1789</v>
      </c>
      <c r="F798" s="48" t="s">
        <v>96</v>
      </c>
      <c r="G798" s="48" t="s">
        <v>24</v>
      </c>
      <c r="H798" s="48" t="s">
        <v>22</v>
      </c>
      <c r="I798" s="48" t="s">
        <v>26</v>
      </c>
      <c r="J798" s="48">
        <v>1020055</v>
      </c>
      <c r="K798" s="50">
        <v>1053268.1599999999</v>
      </c>
      <c r="L798" s="50">
        <v>1</v>
      </c>
      <c r="M798" s="50">
        <v>1053268.1599999999</v>
      </c>
      <c r="N798" s="50">
        <v>1053268.1599999999</v>
      </c>
      <c r="O798" s="50">
        <v>0</v>
      </c>
      <c r="P798" s="50">
        <v>0</v>
      </c>
      <c r="Q798" s="87">
        <v>0</v>
      </c>
      <c r="R798" s="152">
        <v>0</v>
      </c>
      <c r="S798" s="174"/>
      <c r="T798" s="74">
        <v>45626</v>
      </c>
      <c r="U798" s="74">
        <v>45626</v>
      </c>
      <c r="V798" s="48"/>
      <c r="W798" s="48"/>
      <c r="X798" s="48"/>
      <c r="Y798" s="48">
        <v>0</v>
      </c>
      <c r="Z798" s="48"/>
      <c r="AA798" s="48" t="s">
        <v>95</v>
      </c>
      <c r="AB798" s="48" t="s">
        <v>27</v>
      </c>
      <c r="AC798" s="48" t="s">
        <v>311</v>
      </c>
      <c r="AD798" s="89" t="s">
        <v>845</v>
      </c>
    </row>
    <row r="799" spans="1:30" ht="15.75" hidden="1" x14ac:dyDescent="0.25">
      <c r="A799" s="48" t="s">
        <v>1351</v>
      </c>
      <c r="B799" s="74">
        <v>45792</v>
      </c>
      <c r="C799" s="48" t="s">
        <v>441</v>
      </c>
      <c r="D799" s="48" t="s">
        <v>20</v>
      </c>
      <c r="E799" s="48" t="s">
        <v>1789</v>
      </c>
      <c r="F799" s="48" t="s">
        <v>22</v>
      </c>
      <c r="G799" s="48" t="s">
        <v>24</v>
      </c>
      <c r="H799" s="48" t="s">
        <v>22</v>
      </c>
      <c r="I799" s="48" t="s">
        <v>26</v>
      </c>
      <c r="J799" s="48">
        <v>1020055</v>
      </c>
      <c r="K799" s="50">
        <v>335475.96000000002</v>
      </c>
      <c r="L799" s="50">
        <v>1</v>
      </c>
      <c r="M799" s="50">
        <v>335475.96000000002</v>
      </c>
      <c r="N799" s="50">
        <v>335475.96000000002</v>
      </c>
      <c r="O799" s="50">
        <v>0</v>
      </c>
      <c r="P799" s="50">
        <v>0</v>
      </c>
      <c r="Q799" s="87">
        <v>0</v>
      </c>
      <c r="R799" s="152">
        <v>0</v>
      </c>
      <c r="S799" s="174"/>
      <c r="T799" s="74">
        <v>45900</v>
      </c>
      <c r="U799" s="74">
        <v>45900</v>
      </c>
      <c r="V799" s="48"/>
      <c r="W799" s="48"/>
      <c r="X799" s="48"/>
      <c r="Y799" s="48">
        <v>0</v>
      </c>
      <c r="Z799" s="48"/>
      <c r="AA799" s="48" t="s">
        <v>21</v>
      </c>
      <c r="AB799" s="48" t="s">
        <v>27</v>
      </c>
      <c r="AC799" s="48" t="s">
        <v>621</v>
      </c>
      <c r="AD799" s="89" t="s">
        <v>845</v>
      </c>
    </row>
    <row r="800" spans="1:30" ht="15.75" hidden="1" x14ac:dyDescent="0.25">
      <c r="A800" s="48" t="s">
        <v>1502</v>
      </c>
      <c r="B800" s="74">
        <v>45831</v>
      </c>
      <c r="C800" s="48" t="s">
        <v>441</v>
      </c>
      <c r="D800" s="48" t="s">
        <v>20</v>
      </c>
      <c r="E800" s="48" t="s">
        <v>1789</v>
      </c>
      <c r="F800" s="48" t="s">
        <v>22</v>
      </c>
      <c r="G800" s="48" t="s">
        <v>24</v>
      </c>
      <c r="H800" s="48" t="s">
        <v>407</v>
      </c>
      <c r="I800" s="48" t="s">
        <v>26</v>
      </c>
      <c r="J800" s="48">
        <v>1020100</v>
      </c>
      <c r="K800" s="50">
        <v>400000</v>
      </c>
      <c r="L800" s="50">
        <v>1</v>
      </c>
      <c r="M800" s="50">
        <v>400000</v>
      </c>
      <c r="N800" s="50">
        <v>400000</v>
      </c>
      <c r="O800" s="50">
        <v>0</v>
      </c>
      <c r="P800" s="50">
        <v>0</v>
      </c>
      <c r="Q800" s="87">
        <v>0</v>
      </c>
      <c r="R800" s="152">
        <v>0</v>
      </c>
      <c r="S800" s="174"/>
      <c r="T800" s="74">
        <v>45900</v>
      </c>
      <c r="U800" s="74">
        <v>45900</v>
      </c>
      <c r="V800" s="48"/>
      <c r="W800" s="48"/>
      <c r="X800" s="48"/>
      <c r="Y800" s="48">
        <v>0</v>
      </c>
      <c r="Z800" s="48"/>
      <c r="AA800" s="48" t="s">
        <v>21</v>
      </c>
      <c r="AB800" s="48" t="s">
        <v>27</v>
      </c>
      <c r="AC800" s="48" t="s">
        <v>621</v>
      </c>
      <c r="AD800" s="89" t="s">
        <v>845</v>
      </c>
    </row>
    <row r="801" spans="1:30" ht="15.75" hidden="1" x14ac:dyDescent="0.25">
      <c r="A801" s="48" t="s">
        <v>1440</v>
      </c>
      <c r="B801" s="74">
        <v>45810</v>
      </c>
      <c r="C801" s="48" t="s">
        <v>441</v>
      </c>
      <c r="D801" s="48" t="s">
        <v>20</v>
      </c>
      <c r="E801" s="48" t="s">
        <v>1789</v>
      </c>
      <c r="F801" s="48" t="s">
        <v>710</v>
      </c>
      <c r="G801" s="48" t="s">
        <v>24</v>
      </c>
      <c r="H801" s="48" t="s">
        <v>710</v>
      </c>
      <c r="I801" s="48" t="s">
        <v>26</v>
      </c>
      <c r="J801" s="48">
        <v>1020088</v>
      </c>
      <c r="K801" s="50">
        <v>150000</v>
      </c>
      <c r="L801" s="50">
        <v>1</v>
      </c>
      <c r="M801" s="50">
        <v>150000</v>
      </c>
      <c r="N801" s="50">
        <v>150000</v>
      </c>
      <c r="O801" s="50">
        <v>0</v>
      </c>
      <c r="P801" s="50">
        <v>0</v>
      </c>
      <c r="Q801" s="87">
        <v>0</v>
      </c>
      <c r="R801" s="152">
        <v>0</v>
      </c>
      <c r="S801" s="174"/>
      <c r="T801" s="74">
        <v>45900</v>
      </c>
      <c r="U801" s="74">
        <v>45900</v>
      </c>
      <c r="V801" s="48"/>
      <c r="W801" s="48"/>
      <c r="X801" s="48"/>
      <c r="Y801" s="48">
        <v>0</v>
      </c>
      <c r="Z801" s="48"/>
      <c r="AA801" s="48" t="s">
        <v>366</v>
      </c>
      <c r="AB801" s="48" t="s">
        <v>27</v>
      </c>
      <c r="AC801" s="48" t="s">
        <v>621</v>
      </c>
      <c r="AD801" s="89" t="s">
        <v>845</v>
      </c>
    </row>
    <row r="802" spans="1:30" ht="15.75" hidden="1" x14ac:dyDescent="0.25">
      <c r="A802" s="48" t="s">
        <v>1600</v>
      </c>
      <c r="B802" s="74">
        <v>45862</v>
      </c>
      <c r="C802" s="48" t="s">
        <v>441</v>
      </c>
      <c r="D802" s="48" t="s">
        <v>20</v>
      </c>
      <c r="E802" s="48" t="s">
        <v>1789</v>
      </c>
      <c r="F802" s="48" t="s">
        <v>710</v>
      </c>
      <c r="G802" s="48" t="s">
        <v>24</v>
      </c>
      <c r="H802" s="48" t="s">
        <v>710</v>
      </c>
      <c r="I802" s="48" t="s">
        <v>26</v>
      </c>
      <c r="J802" s="48">
        <v>1020088</v>
      </c>
      <c r="K802" s="50">
        <v>293143.98</v>
      </c>
      <c r="L802" s="50">
        <v>1</v>
      </c>
      <c r="M802" s="50">
        <v>293143.98</v>
      </c>
      <c r="N802" s="50">
        <v>293143.98</v>
      </c>
      <c r="O802" s="50">
        <v>0</v>
      </c>
      <c r="P802" s="50">
        <v>0</v>
      </c>
      <c r="Q802" s="87">
        <v>0</v>
      </c>
      <c r="R802" s="152">
        <v>0</v>
      </c>
      <c r="S802" s="174"/>
      <c r="T802" s="74">
        <v>45961</v>
      </c>
      <c r="U802" s="74">
        <v>45961</v>
      </c>
      <c r="V802" s="48"/>
      <c r="W802" s="48"/>
      <c r="X802" s="48"/>
      <c r="Y802" s="48">
        <v>0</v>
      </c>
      <c r="Z802" s="48"/>
      <c r="AA802" s="48" t="s">
        <v>366</v>
      </c>
      <c r="AB802" s="48" t="s">
        <v>27</v>
      </c>
      <c r="AC802" s="48" t="s">
        <v>621</v>
      </c>
      <c r="AD802" s="89" t="s">
        <v>845</v>
      </c>
    </row>
    <row r="803" spans="1:30" ht="15.75" hidden="1" x14ac:dyDescent="0.25">
      <c r="A803" s="48" t="s">
        <v>1874</v>
      </c>
      <c r="B803" s="74">
        <v>45914</v>
      </c>
      <c r="C803" s="48" t="s">
        <v>441</v>
      </c>
      <c r="D803" s="48" t="s">
        <v>20</v>
      </c>
      <c r="E803" s="48" t="s">
        <v>1789</v>
      </c>
      <c r="F803" s="48" t="s">
        <v>710</v>
      </c>
      <c r="G803" s="48" t="s">
        <v>24</v>
      </c>
      <c r="H803" s="48" t="s">
        <v>710</v>
      </c>
      <c r="I803" s="48" t="s">
        <v>26</v>
      </c>
      <c r="J803" s="48">
        <v>1020088</v>
      </c>
      <c r="K803" s="50">
        <v>2000000</v>
      </c>
      <c r="L803" s="50">
        <v>1</v>
      </c>
      <c r="M803" s="50">
        <v>2000000</v>
      </c>
      <c r="N803" s="50">
        <v>2000000</v>
      </c>
      <c r="O803" s="50">
        <v>0</v>
      </c>
      <c r="P803" s="50">
        <v>0</v>
      </c>
      <c r="Q803" s="87">
        <v>0</v>
      </c>
      <c r="R803" s="152">
        <v>0</v>
      </c>
      <c r="S803" s="174"/>
      <c r="T803" s="74">
        <v>46022</v>
      </c>
      <c r="U803" s="74">
        <v>46022</v>
      </c>
      <c r="V803" s="48"/>
      <c r="W803" s="48"/>
      <c r="X803" s="48"/>
      <c r="Y803" s="48">
        <v>0</v>
      </c>
      <c r="Z803" s="48"/>
      <c r="AA803" s="48" t="s">
        <v>366</v>
      </c>
      <c r="AB803" s="48" t="s">
        <v>27</v>
      </c>
      <c r="AC803" s="48" t="s">
        <v>621</v>
      </c>
      <c r="AD803" s="89" t="s">
        <v>845</v>
      </c>
    </row>
    <row r="804" spans="1:30" ht="15.75" hidden="1" x14ac:dyDescent="0.25">
      <c r="A804" s="48" t="s">
        <v>1861</v>
      </c>
      <c r="B804" s="74">
        <v>45911</v>
      </c>
      <c r="C804" s="48" t="s">
        <v>1537</v>
      </c>
      <c r="D804" s="48" t="s">
        <v>20</v>
      </c>
      <c r="E804" s="48" t="s">
        <v>1789</v>
      </c>
      <c r="F804" s="48" t="s">
        <v>70</v>
      </c>
      <c r="G804" s="48" t="s">
        <v>24</v>
      </c>
      <c r="H804" s="48" t="s">
        <v>483</v>
      </c>
      <c r="I804" s="48" t="s">
        <v>26</v>
      </c>
      <c r="J804" s="48">
        <v>1020096</v>
      </c>
      <c r="K804" s="50">
        <v>600000</v>
      </c>
      <c r="L804" s="50">
        <v>1</v>
      </c>
      <c r="M804" s="50">
        <v>600000</v>
      </c>
      <c r="N804" s="50">
        <v>600000</v>
      </c>
      <c r="O804" s="50">
        <v>0</v>
      </c>
      <c r="P804" s="50">
        <v>0</v>
      </c>
      <c r="Q804" s="87">
        <v>0</v>
      </c>
      <c r="R804" s="152">
        <v>0</v>
      </c>
      <c r="S804" s="174"/>
      <c r="T804" s="74">
        <v>45991</v>
      </c>
      <c r="U804" s="74">
        <v>45991</v>
      </c>
      <c r="V804" s="48"/>
      <c r="W804" s="48"/>
      <c r="X804" s="48"/>
      <c r="Y804" s="48">
        <v>0</v>
      </c>
      <c r="Z804" s="48"/>
      <c r="AA804" s="48" t="s">
        <v>62</v>
      </c>
      <c r="AB804" s="48" t="s">
        <v>70</v>
      </c>
      <c r="AC804" s="48" t="s">
        <v>621</v>
      </c>
      <c r="AD804" s="89" t="s">
        <v>845</v>
      </c>
    </row>
    <row r="805" spans="1:30" ht="15.75" hidden="1" x14ac:dyDescent="0.25">
      <c r="A805" s="48" t="s">
        <v>3896</v>
      </c>
      <c r="B805" s="74">
        <v>46050</v>
      </c>
      <c r="C805" s="48" t="s">
        <v>441</v>
      </c>
      <c r="D805" s="48" t="s">
        <v>20</v>
      </c>
      <c r="E805" s="48" t="s">
        <v>3295</v>
      </c>
      <c r="F805" s="48" t="s">
        <v>710</v>
      </c>
      <c r="G805" s="48" t="s">
        <v>24</v>
      </c>
      <c r="H805" s="48" t="s">
        <v>710</v>
      </c>
      <c r="I805" s="48" t="s">
        <v>26</v>
      </c>
      <c r="J805" s="48">
        <v>1020088</v>
      </c>
      <c r="K805" s="50">
        <v>1000000</v>
      </c>
      <c r="L805" s="50">
        <v>1</v>
      </c>
      <c r="M805" s="50">
        <v>1000000</v>
      </c>
      <c r="N805" s="50">
        <v>1000000</v>
      </c>
      <c r="O805" s="50">
        <v>0</v>
      </c>
      <c r="P805" s="50">
        <v>0</v>
      </c>
      <c r="Q805" s="87">
        <v>0</v>
      </c>
      <c r="R805" s="152">
        <v>0</v>
      </c>
      <c r="S805" s="174"/>
      <c r="T805" s="74">
        <v>46142</v>
      </c>
      <c r="U805" s="74">
        <v>46142</v>
      </c>
      <c r="V805" s="48"/>
      <c r="W805" s="48"/>
      <c r="X805" s="48"/>
      <c r="Y805" s="48">
        <v>0</v>
      </c>
      <c r="Z805" s="48"/>
      <c r="AA805" s="48" t="s">
        <v>366</v>
      </c>
      <c r="AB805" s="48" t="s">
        <v>27</v>
      </c>
      <c r="AC805" s="48" t="s">
        <v>1904</v>
      </c>
      <c r="AD805" s="89" t="s">
        <v>845</v>
      </c>
    </row>
    <row r="806" spans="1:30" ht="15.75" hidden="1" x14ac:dyDescent="0.25">
      <c r="A806" s="48" t="s">
        <v>4562</v>
      </c>
      <c r="B806" s="74">
        <v>46118</v>
      </c>
      <c r="C806" s="48" t="s">
        <v>441</v>
      </c>
      <c r="D806" s="48" t="s">
        <v>20</v>
      </c>
      <c r="E806" s="48" t="s">
        <v>1789</v>
      </c>
      <c r="F806" s="48" t="s">
        <v>710</v>
      </c>
      <c r="G806" s="48" t="s">
        <v>24</v>
      </c>
      <c r="H806" s="48" t="s">
        <v>710</v>
      </c>
      <c r="I806" s="48" t="s">
        <v>26</v>
      </c>
      <c r="J806" s="48">
        <v>1020088</v>
      </c>
      <c r="K806" s="50">
        <v>1000000</v>
      </c>
      <c r="L806" s="50">
        <v>1</v>
      </c>
      <c r="M806" s="50">
        <v>1000000</v>
      </c>
      <c r="N806" s="50">
        <v>0</v>
      </c>
      <c r="O806" s="50">
        <v>1000000</v>
      </c>
      <c r="P806" s="50">
        <v>1000000</v>
      </c>
      <c r="Q806" s="87">
        <v>0</v>
      </c>
      <c r="R806" s="152">
        <v>0</v>
      </c>
      <c r="S806" s="174" t="s">
        <v>5081</v>
      </c>
      <c r="T806" s="74">
        <v>46203</v>
      </c>
      <c r="U806" s="74">
        <v>46203</v>
      </c>
      <c r="V806" s="48"/>
      <c r="W806" s="48"/>
      <c r="X806" s="48"/>
      <c r="Y806" s="48">
        <v>0</v>
      </c>
      <c r="Z806" s="48"/>
      <c r="AA806" s="48" t="s">
        <v>366</v>
      </c>
      <c r="AB806" s="48" t="s">
        <v>27</v>
      </c>
      <c r="AC806" s="48" t="s">
        <v>4493</v>
      </c>
      <c r="AD806" s="89" t="s">
        <v>1026</v>
      </c>
    </row>
    <row r="807" spans="1:30" ht="15.75" hidden="1" x14ac:dyDescent="0.25">
      <c r="A807" s="48" t="s">
        <v>4568</v>
      </c>
      <c r="B807" s="74">
        <v>46119</v>
      </c>
      <c r="C807" s="48" t="s">
        <v>1259</v>
      </c>
      <c r="D807" s="48" t="s">
        <v>20</v>
      </c>
      <c r="E807" s="48" t="s">
        <v>4530</v>
      </c>
      <c r="F807" s="48" t="s">
        <v>96</v>
      </c>
      <c r="G807" s="48" t="s">
        <v>1791</v>
      </c>
      <c r="H807" s="48" t="s">
        <v>328</v>
      </c>
      <c r="I807" s="48" t="s">
        <v>26</v>
      </c>
      <c r="J807" s="48">
        <v>1020097</v>
      </c>
      <c r="K807" s="50">
        <v>650000</v>
      </c>
      <c r="L807" s="50">
        <v>1</v>
      </c>
      <c r="M807" s="50">
        <v>650000</v>
      </c>
      <c r="N807" s="50">
        <v>0</v>
      </c>
      <c r="O807" s="50">
        <v>650000</v>
      </c>
      <c r="P807" s="50">
        <v>0</v>
      </c>
      <c r="Q807" s="87">
        <v>650000</v>
      </c>
      <c r="R807" s="152">
        <v>0</v>
      </c>
      <c r="S807" s="174"/>
      <c r="T807" s="74">
        <v>46182</v>
      </c>
      <c r="U807" s="74">
        <v>46151</v>
      </c>
      <c r="V807" s="48"/>
      <c r="W807" s="48"/>
      <c r="X807" s="48"/>
      <c r="Y807" s="48">
        <v>0</v>
      </c>
      <c r="Z807" s="48"/>
      <c r="AA807" s="48" t="s">
        <v>95</v>
      </c>
      <c r="AB807" s="48" t="s">
        <v>27</v>
      </c>
      <c r="AC807" s="48" t="s">
        <v>3729</v>
      </c>
      <c r="AD807" s="89" t="s">
        <v>1026</v>
      </c>
    </row>
    <row r="808" spans="1:30" ht="15.75" hidden="1" x14ac:dyDescent="0.25">
      <c r="A808" s="48" t="s">
        <v>5424</v>
      </c>
      <c r="B808" s="74">
        <v>46177</v>
      </c>
      <c r="C808" s="48" t="s">
        <v>441</v>
      </c>
      <c r="D808" s="48" t="s">
        <v>20</v>
      </c>
      <c r="E808" s="48" t="s">
        <v>5323</v>
      </c>
      <c r="F808" s="48" t="s">
        <v>710</v>
      </c>
      <c r="G808" s="48" t="s">
        <v>24</v>
      </c>
      <c r="H808" s="48" t="s">
        <v>710</v>
      </c>
      <c r="I808" s="48" t="s">
        <v>26</v>
      </c>
      <c r="J808" s="48">
        <v>1020088</v>
      </c>
      <c r="K808" s="50">
        <v>500000</v>
      </c>
      <c r="L808" s="50">
        <v>1</v>
      </c>
      <c r="M808" s="50">
        <v>500000</v>
      </c>
      <c r="N808" s="50">
        <v>0</v>
      </c>
      <c r="O808" s="50">
        <v>500000</v>
      </c>
      <c r="P808" s="50">
        <v>0</v>
      </c>
      <c r="Q808" s="87">
        <v>500000</v>
      </c>
      <c r="R808" s="152">
        <v>0</v>
      </c>
      <c r="S808" s="174"/>
      <c r="T808" s="74">
        <v>46265</v>
      </c>
      <c r="U808" s="74">
        <v>46265</v>
      </c>
      <c r="V808" s="48"/>
      <c r="W808" s="48"/>
      <c r="X808" s="48"/>
      <c r="Y808" s="48">
        <v>0</v>
      </c>
      <c r="Z808" s="48"/>
      <c r="AA808" s="48" t="s">
        <v>366</v>
      </c>
      <c r="AB808" s="48" t="s">
        <v>27</v>
      </c>
      <c r="AC808" s="48" t="s">
        <v>5175</v>
      </c>
      <c r="AD808" s="89" t="s">
        <v>1026</v>
      </c>
    </row>
    <row r="809" spans="1:30" ht="15.75" hidden="1" x14ac:dyDescent="0.25">
      <c r="A809" s="48" t="s">
        <v>1233</v>
      </c>
      <c r="B809" s="74">
        <v>45775</v>
      </c>
      <c r="C809" s="48" t="s">
        <v>441</v>
      </c>
      <c r="D809" s="48" t="s">
        <v>20</v>
      </c>
      <c r="E809" s="48" t="s">
        <v>1207</v>
      </c>
      <c r="F809" s="48" t="s">
        <v>613</v>
      </c>
      <c r="G809" s="48" t="s">
        <v>24</v>
      </c>
      <c r="H809" s="48" t="s">
        <v>613</v>
      </c>
      <c r="I809" s="48" t="s">
        <v>26</v>
      </c>
      <c r="J809" s="48">
        <v>1020106</v>
      </c>
      <c r="K809" s="50">
        <v>1000000</v>
      </c>
      <c r="L809" s="50">
        <v>1</v>
      </c>
      <c r="M809" s="50">
        <v>1000000</v>
      </c>
      <c r="N809" s="50">
        <v>1000000</v>
      </c>
      <c r="O809" s="50">
        <v>0</v>
      </c>
      <c r="P809" s="50">
        <v>0</v>
      </c>
      <c r="Q809" s="87">
        <v>0</v>
      </c>
      <c r="R809" s="152">
        <v>0</v>
      </c>
      <c r="S809" s="174"/>
      <c r="T809" s="74">
        <v>45930</v>
      </c>
      <c r="U809" s="74">
        <v>45930</v>
      </c>
      <c r="V809" s="48"/>
      <c r="W809" s="48"/>
      <c r="X809" s="48"/>
      <c r="Y809" s="48"/>
      <c r="Z809" s="48"/>
      <c r="AA809" s="48" t="s">
        <v>612</v>
      </c>
      <c r="AB809" s="48" t="s">
        <v>27</v>
      </c>
      <c r="AC809" s="48" t="s">
        <v>311</v>
      </c>
      <c r="AD809" s="89" t="s">
        <v>845</v>
      </c>
    </row>
    <row r="810" spans="1:30" ht="15.75" hidden="1" x14ac:dyDescent="0.25">
      <c r="A810" s="48" t="s">
        <v>1558</v>
      </c>
      <c r="B810" s="74">
        <v>45855</v>
      </c>
      <c r="C810" s="48" t="s">
        <v>441</v>
      </c>
      <c r="D810" s="48" t="s">
        <v>20</v>
      </c>
      <c r="E810" s="48" t="s">
        <v>1544</v>
      </c>
      <c r="F810" s="48" t="s">
        <v>613</v>
      </c>
      <c r="G810" s="48" t="s">
        <v>24</v>
      </c>
      <c r="H810" s="48" t="s">
        <v>613</v>
      </c>
      <c r="I810" s="48" t="s">
        <v>26</v>
      </c>
      <c r="J810" s="48">
        <v>1020106</v>
      </c>
      <c r="K810" s="50">
        <v>1000000.94</v>
      </c>
      <c r="L810" s="50">
        <v>1</v>
      </c>
      <c r="M810" s="50">
        <v>1000000.94</v>
      </c>
      <c r="N810" s="50">
        <v>1000000</v>
      </c>
      <c r="O810" s="50">
        <v>0.94</v>
      </c>
      <c r="P810" s="50">
        <v>0</v>
      </c>
      <c r="Q810" s="87">
        <v>0.94</v>
      </c>
      <c r="R810" s="152">
        <v>0</v>
      </c>
      <c r="S810" s="174"/>
      <c r="T810" s="74">
        <v>45930</v>
      </c>
      <c r="U810" s="74">
        <v>45930</v>
      </c>
      <c r="V810" s="48"/>
      <c r="W810" s="48"/>
      <c r="X810" s="48"/>
      <c r="Y810" s="48">
        <v>0</v>
      </c>
      <c r="Z810" s="48" t="s">
        <v>1913</v>
      </c>
      <c r="AA810" s="48" t="s">
        <v>612</v>
      </c>
      <c r="AB810" s="48" t="s">
        <v>27</v>
      </c>
      <c r="AC810" s="48" t="s">
        <v>311</v>
      </c>
      <c r="AD810" s="89" t="s">
        <v>845</v>
      </c>
    </row>
    <row r="811" spans="1:30" ht="15.75" hidden="1" x14ac:dyDescent="0.25">
      <c r="A811" s="48" t="s">
        <v>1823</v>
      </c>
      <c r="B811" s="74">
        <v>45895</v>
      </c>
      <c r="C811" s="48" t="s">
        <v>441</v>
      </c>
      <c r="D811" s="48" t="s">
        <v>20</v>
      </c>
      <c r="E811" s="48" t="s">
        <v>1700</v>
      </c>
      <c r="F811" s="48" t="s">
        <v>613</v>
      </c>
      <c r="G811" s="48" t="s">
        <v>24</v>
      </c>
      <c r="H811" s="48" t="s">
        <v>613</v>
      </c>
      <c r="I811" s="48" t="s">
        <v>26</v>
      </c>
      <c r="J811" s="48">
        <v>1020106</v>
      </c>
      <c r="K811" s="50">
        <v>750000</v>
      </c>
      <c r="L811" s="50">
        <v>1</v>
      </c>
      <c r="M811" s="50">
        <v>750000</v>
      </c>
      <c r="N811" s="50">
        <v>737540</v>
      </c>
      <c r="O811" s="50">
        <v>12460</v>
      </c>
      <c r="P811" s="50">
        <v>0</v>
      </c>
      <c r="Q811" s="87">
        <v>12460</v>
      </c>
      <c r="R811" s="152">
        <v>0</v>
      </c>
      <c r="S811" s="174"/>
      <c r="T811" s="74">
        <v>46053</v>
      </c>
      <c r="U811" s="74">
        <v>46053</v>
      </c>
      <c r="V811" s="48"/>
      <c r="W811" s="48"/>
      <c r="X811" s="48"/>
      <c r="Y811" s="48">
        <v>0</v>
      </c>
      <c r="Z811" s="48"/>
      <c r="AA811" s="48" t="s">
        <v>612</v>
      </c>
      <c r="AB811" s="48" t="s">
        <v>27</v>
      </c>
      <c r="AC811" s="48" t="s">
        <v>311</v>
      </c>
      <c r="AD811" s="89" t="s">
        <v>845</v>
      </c>
    </row>
    <row r="812" spans="1:30" ht="15.75" hidden="1" x14ac:dyDescent="0.25">
      <c r="A812" s="48" t="s">
        <v>1822</v>
      </c>
      <c r="B812" s="74">
        <v>45895</v>
      </c>
      <c r="C812" s="48" t="s">
        <v>441</v>
      </c>
      <c r="D812" s="48" t="s">
        <v>20</v>
      </c>
      <c r="E812" s="48" t="s">
        <v>1700</v>
      </c>
      <c r="F812" s="48" t="s">
        <v>613</v>
      </c>
      <c r="G812" s="48" t="s">
        <v>24</v>
      </c>
      <c r="H812" s="48" t="s">
        <v>613</v>
      </c>
      <c r="I812" s="48" t="s">
        <v>26</v>
      </c>
      <c r="J812" s="48">
        <v>1020106</v>
      </c>
      <c r="K812" s="50">
        <v>250000</v>
      </c>
      <c r="L812" s="50">
        <v>1</v>
      </c>
      <c r="M812" s="50">
        <v>250000</v>
      </c>
      <c r="N812" s="50">
        <v>0</v>
      </c>
      <c r="O812" s="50">
        <v>250000</v>
      </c>
      <c r="P812" s="50">
        <v>0</v>
      </c>
      <c r="Q812" s="87">
        <v>250000</v>
      </c>
      <c r="R812" s="152">
        <v>0</v>
      </c>
      <c r="S812" s="174"/>
      <c r="T812" s="74">
        <v>46265</v>
      </c>
      <c r="U812" s="74">
        <v>46265</v>
      </c>
      <c r="V812" s="48"/>
      <c r="W812" s="48"/>
      <c r="X812" s="48"/>
      <c r="Y812" s="48">
        <v>0</v>
      </c>
      <c r="Z812" s="48"/>
      <c r="AA812" s="48" t="s">
        <v>612</v>
      </c>
      <c r="AB812" s="48" t="s">
        <v>27</v>
      </c>
      <c r="AC812" s="48" t="s">
        <v>311</v>
      </c>
      <c r="AD812" s="89" t="s">
        <v>1026</v>
      </c>
    </row>
    <row r="813" spans="1:30" ht="15.75" hidden="1" x14ac:dyDescent="0.25">
      <c r="A813" s="48" t="s">
        <v>696</v>
      </c>
      <c r="B813" s="74">
        <v>45698</v>
      </c>
      <c r="C813" s="48" t="s">
        <v>441</v>
      </c>
      <c r="D813" s="48" t="s">
        <v>20</v>
      </c>
      <c r="E813" s="48" t="s">
        <v>697</v>
      </c>
      <c r="F813" s="48" t="s">
        <v>613</v>
      </c>
      <c r="G813" s="48" t="s">
        <v>24</v>
      </c>
      <c r="H813" s="48" t="s">
        <v>613</v>
      </c>
      <c r="I813" s="48" t="s">
        <v>26</v>
      </c>
      <c r="J813" s="48">
        <v>1020106</v>
      </c>
      <c r="K813" s="50">
        <v>1513032.73</v>
      </c>
      <c r="L813" s="50">
        <v>1</v>
      </c>
      <c r="M813" s="50">
        <v>1513032.73</v>
      </c>
      <c r="N813" s="50">
        <v>1513032</v>
      </c>
      <c r="O813" s="50">
        <v>0.73</v>
      </c>
      <c r="P813" s="50">
        <v>0</v>
      </c>
      <c r="Q813" s="87">
        <v>0.73</v>
      </c>
      <c r="R813" s="152">
        <v>0</v>
      </c>
      <c r="S813" s="174"/>
      <c r="T813" s="74">
        <v>45838</v>
      </c>
      <c r="U813" s="74">
        <v>45808</v>
      </c>
      <c r="V813" s="48"/>
      <c r="W813" s="48"/>
      <c r="X813" s="48"/>
      <c r="Y813" s="48">
        <v>0</v>
      </c>
      <c r="Z813" s="48"/>
      <c r="AA813" s="48" t="s">
        <v>612</v>
      </c>
      <c r="AB813" s="48" t="s">
        <v>27</v>
      </c>
      <c r="AC813" s="48" t="s">
        <v>311</v>
      </c>
      <c r="AD813" s="89" t="s">
        <v>845</v>
      </c>
    </row>
    <row r="814" spans="1:30" ht="15.75" hidden="1" x14ac:dyDescent="0.25">
      <c r="A814" s="48" t="s">
        <v>722</v>
      </c>
      <c r="B814" s="74">
        <v>45715</v>
      </c>
      <c r="C814" s="48" t="s">
        <v>441</v>
      </c>
      <c r="D814" s="48" t="s">
        <v>20</v>
      </c>
      <c r="E814" s="48" t="s">
        <v>697</v>
      </c>
      <c r="F814" s="48" t="s">
        <v>613</v>
      </c>
      <c r="G814" s="48" t="s">
        <v>24</v>
      </c>
      <c r="H814" s="48" t="s">
        <v>613</v>
      </c>
      <c r="I814" s="48" t="s">
        <v>26</v>
      </c>
      <c r="J814" s="48">
        <v>1020106</v>
      </c>
      <c r="K814" s="50">
        <v>863693.45</v>
      </c>
      <c r="L814" s="50">
        <v>1</v>
      </c>
      <c r="M814" s="50">
        <v>863693.45</v>
      </c>
      <c r="N814" s="50">
        <v>0</v>
      </c>
      <c r="O814" s="50">
        <v>863693.45</v>
      </c>
      <c r="P814" s="50">
        <v>0</v>
      </c>
      <c r="Q814" s="87">
        <v>863693.45</v>
      </c>
      <c r="R814" s="152">
        <v>0</v>
      </c>
      <c r="S814" s="174"/>
      <c r="T814" s="74">
        <v>46203</v>
      </c>
      <c r="U814" s="74">
        <v>46203</v>
      </c>
      <c r="V814" s="48"/>
      <c r="W814" s="48"/>
      <c r="X814" s="48"/>
      <c r="Y814" s="48">
        <v>0</v>
      </c>
      <c r="Z814" s="48"/>
      <c r="AA814" s="48" t="s">
        <v>612</v>
      </c>
      <c r="AB814" s="48" t="s">
        <v>27</v>
      </c>
      <c r="AC814" s="48" t="s">
        <v>311</v>
      </c>
      <c r="AD814" s="89" t="s">
        <v>1026</v>
      </c>
    </row>
    <row r="815" spans="1:30" ht="15.75" hidden="1" x14ac:dyDescent="0.25">
      <c r="A815" s="48" t="s">
        <v>165</v>
      </c>
      <c r="B815" s="74">
        <v>45224</v>
      </c>
      <c r="C815" s="48"/>
      <c r="D815" s="48" t="s">
        <v>20</v>
      </c>
      <c r="E815" s="48" t="s">
        <v>166</v>
      </c>
      <c r="F815" s="48" t="s">
        <v>22</v>
      </c>
      <c r="G815" s="48" t="s">
        <v>98</v>
      </c>
      <c r="H815" s="48" t="s">
        <v>917</v>
      </c>
      <c r="I815" s="48" t="s">
        <v>67</v>
      </c>
      <c r="J815" s="48"/>
      <c r="K815" s="50">
        <v>1004640</v>
      </c>
      <c r="L815" s="50">
        <v>4.12</v>
      </c>
      <c r="M815" s="50">
        <v>4139116.8000000003</v>
      </c>
      <c r="N815" s="50">
        <v>4130607.4992</v>
      </c>
      <c r="O815" s="50">
        <v>8509.2999999999993</v>
      </c>
      <c r="P815" s="50">
        <v>0</v>
      </c>
      <c r="Q815" s="87">
        <v>8509.2999999999993</v>
      </c>
      <c r="R815" s="152">
        <v>0</v>
      </c>
      <c r="S815" s="174"/>
      <c r="T815" s="74">
        <v>45301</v>
      </c>
      <c r="U815" s="74">
        <v>45301</v>
      </c>
      <c r="V815" s="48"/>
      <c r="W815" s="48"/>
      <c r="X815" s="48"/>
      <c r="Y815" s="48">
        <v>0</v>
      </c>
      <c r="Z815" s="48"/>
      <c r="AA815" s="48" t="s">
        <v>21</v>
      </c>
      <c r="AB815" s="48" t="s">
        <v>70</v>
      </c>
      <c r="AC815" s="48"/>
      <c r="AD815" s="89" t="s">
        <v>845</v>
      </c>
    </row>
    <row r="816" spans="1:30" ht="15.75" hidden="1" x14ac:dyDescent="0.25">
      <c r="A816" s="48" t="s">
        <v>210</v>
      </c>
      <c r="B816" s="74">
        <v>45285</v>
      </c>
      <c r="C816" s="48" t="s">
        <v>509</v>
      </c>
      <c r="D816" s="48" t="s">
        <v>20</v>
      </c>
      <c r="E816" s="48" t="s">
        <v>97</v>
      </c>
      <c r="F816" s="48" t="s">
        <v>63</v>
      </c>
      <c r="G816" s="48" t="s">
        <v>72</v>
      </c>
      <c r="H816" s="48" t="s">
        <v>77</v>
      </c>
      <c r="I816" s="48" t="s">
        <v>67</v>
      </c>
      <c r="J816" s="48">
        <v>1020051</v>
      </c>
      <c r="K816" s="50">
        <v>1004640</v>
      </c>
      <c r="L816" s="50">
        <v>4.12</v>
      </c>
      <c r="M816" s="50">
        <v>4139116.8000000003</v>
      </c>
      <c r="N816" s="50">
        <v>4072810.56</v>
      </c>
      <c r="O816" s="50">
        <v>66306.240000000005</v>
      </c>
      <c r="P816" s="50">
        <v>0</v>
      </c>
      <c r="Q816" s="87">
        <v>66306.240000000005</v>
      </c>
      <c r="R816" s="152">
        <v>0</v>
      </c>
      <c r="S816" s="174"/>
      <c r="T816" s="74">
        <v>45366</v>
      </c>
      <c r="U816" s="74">
        <v>45366</v>
      </c>
      <c r="V816" s="48"/>
      <c r="W816" s="48"/>
      <c r="X816" s="48"/>
      <c r="Y816" s="48">
        <v>0</v>
      </c>
      <c r="Z816" s="48"/>
      <c r="AA816" s="48" t="s">
        <v>62</v>
      </c>
      <c r="AB816" s="48" t="s">
        <v>27</v>
      </c>
      <c r="AC816" s="48"/>
      <c r="AD816" s="89" t="s">
        <v>845</v>
      </c>
    </row>
    <row r="817" spans="1:30" ht="15.75" hidden="1" x14ac:dyDescent="0.25">
      <c r="A817" s="48" t="s">
        <v>94</v>
      </c>
      <c r="B817" s="74">
        <v>45424</v>
      </c>
      <c r="C817" s="48"/>
      <c r="D817" s="48" t="s">
        <v>20</v>
      </c>
      <c r="E817" s="48" t="s">
        <v>97</v>
      </c>
      <c r="F817" s="48" t="s">
        <v>96</v>
      </c>
      <c r="G817" s="48" t="s">
        <v>72</v>
      </c>
      <c r="H817" s="48" t="s">
        <v>98</v>
      </c>
      <c r="I817" s="48" t="s">
        <v>67</v>
      </c>
      <c r="J817" s="48"/>
      <c r="K817" s="50">
        <v>2009280</v>
      </c>
      <c r="L817" s="50">
        <v>4.0279999999999996</v>
      </c>
      <c r="M817" s="50">
        <v>8093379.8399999989</v>
      </c>
      <c r="N817" s="50">
        <v>8096280.0005942406</v>
      </c>
      <c r="O817" s="50">
        <v>-2900.16</v>
      </c>
      <c r="P817" s="50">
        <v>0</v>
      </c>
      <c r="Q817" s="87">
        <v>-2900.16</v>
      </c>
      <c r="R817" s="152">
        <v>0</v>
      </c>
      <c r="S817" s="174"/>
      <c r="T817" s="74">
        <v>45509</v>
      </c>
      <c r="U817" s="74">
        <v>45509</v>
      </c>
      <c r="V817" s="48"/>
      <c r="W817" s="48"/>
      <c r="X817" s="48"/>
      <c r="Y817" s="48">
        <v>0</v>
      </c>
      <c r="Z817" s="48"/>
      <c r="AA817" s="48" t="s">
        <v>95</v>
      </c>
      <c r="AB817" s="48" t="s">
        <v>27</v>
      </c>
      <c r="AC817" s="48"/>
      <c r="AD817" s="89" t="s">
        <v>845</v>
      </c>
    </row>
    <row r="818" spans="1:30" ht="15.75" hidden="1" x14ac:dyDescent="0.25">
      <c r="A818" s="48" t="s">
        <v>99</v>
      </c>
      <c r="B818" s="74">
        <v>45477</v>
      </c>
      <c r="C818" s="48"/>
      <c r="D818" s="48" t="s">
        <v>20</v>
      </c>
      <c r="E818" s="48" t="s">
        <v>97</v>
      </c>
      <c r="F818" s="48" t="s">
        <v>96</v>
      </c>
      <c r="G818" s="48" t="s">
        <v>72</v>
      </c>
      <c r="H818" s="48" t="s">
        <v>98</v>
      </c>
      <c r="I818" s="48" t="s">
        <v>67</v>
      </c>
      <c r="J818" s="48"/>
      <c r="K818" s="50">
        <v>4259713.8498969609</v>
      </c>
      <c r="L818" s="50">
        <v>1</v>
      </c>
      <c r="M818" s="50">
        <v>4259713.8498969609</v>
      </c>
      <c r="N818" s="50">
        <v>4259713.8498969609</v>
      </c>
      <c r="O818" s="50">
        <v>0</v>
      </c>
      <c r="P818" s="50">
        <v>0</v>
      </c>
      <c r="Q818" s="87">
        <v>0</v>
      </c>
      <c r="R818" s="152">
        <v>0</v>
      </c>
      <c r="S818" s="174"/>
      <c r="T818" s="74">
        <v>45519</v>
      </c>
      <c r="U818" s="74">
        <v>45519</v>
      </c>
      <c r="V818" s="48"/>
      <c r="W818" s="48"/>
      <c r="X818" s="48"/>
      <c r="Y818" s="48">
        <v>0</v>
      </c>
      <c r="Z818" s="48"/>
      <c r="AA818" s="48" t="s">
        <v>95</v>
      </c>
      <c r="AB818" s="48" t="s">
        <v>27</v>
      </c>
      <c r="AC818" s="48"/>
      <c r="AD818" s="89" t="s">
        <v>845</v>
      </c>
    </row>
    <row r="819" spans="1:30" ht="15.75" hidden="1" x14ac:dyDescent="0.25">
      <c r="A819" s="48" t="s">
        <v>209</v>
      </c>
      <c r="B819" s="74">
        <v>45285</v>
      </c>
      <c r="C819" s="48" t="s">
        <v>509</v>
      </c>
      <c r="D819" s="48" t="s">
        <v>20</v>
      </c>
      <c r="E819" s="48" t="s">
        <v>97</v>
      </c>
      <c r="F819" s="48" t="s">
        <v>63</v>
      </c>
      <c r="G819" s="48" t="s">
        <v>72</v>
      </c>
      <c r="H819" s="48" t="s">
        <v>77</v>
      </c>
      <c r="I819" s="48" t="s">
        <v>67</v>
      </c>
      <c r="J819" s="48">
        <v>1020051</v>
      </c>
      <c r="K819" s="50">
        <v>1004640</v>
      </c>
      <c r="L819" s="50">
        <v>4.12</v>
      </c>
      <c r="M819" s="50">
        <v>4139116.8000000003</v>
      </c>
      <c r="N819" s="50">
        <v>4121033.2800000003</v>
      </c>
      <c r="O819" s="50">
        <v>18083.52</v>
      </c>
      <c r="P819" s="50">
        <v>0</v>
      </c>
      <c r="Q819" s="87">
        <v>18083.52</v>
      </c>
      <c r="R819" s="152">
        <v>0</v>
      </c>
      <c r="S819" s="174"/>
      <c r="T819" s="74">
        <v>45361</v>
      </c>
      <c r="U819" s="74">
        <v>45361</v>
      </c>
      <c r="V819" s="48"/>
      <c r="W819" s="48"/>
      <c r="X819" s="48"/>
      <c r="Y819" s="48">
        <v>0</v>
      </c>
      <c r="Z819" s="48"/>
      <c r="AA819" s="48" t="s">
        <v>62</v>
      </c>
      <c r="AB819" s="48" t="s">
        <v>27</v>
      </c>
      <c r="AC819" s="48"/>
      <c r="AD819" s="89" t="s">
        <v>845</v>
      </c>
    </row>
    <row r="820" spans="1:30" ht="15.75" hidden="1" x14ac:dyDescent="0.25">
      <c r="A820" s="48" t="s">
        <v>1896</v>
      </c>
      <c r="B820" s="74">
        <v>45928</v>
      </c>
      <c r="C820" s="48" t="s">
        <v>509</v>
      </c>
      <c r="D820" s="48" t="s">
        <v>20</v>
      </c>
      <c r="E820" s="48" t="s">
        <v>1883</v>
      </c>
      <c r="F820" s="48" t="s">
        <v>22</v>
      </c>
      <c r="G820" s="48" t="s">
        <v>72</v>
      </c>
      <c r="H820" s="48" t="s">
        <v>511</v>
      </c>
      <c r="I820" s="48" t="s">
        <v>26</v>
      </c>
      <c r="J820" s="48">
        <v>1020107</v>
      </c>
      <c r="K820" s="50">
        <v>7670500</v>
      </c>
      <c r="L820" s="50">
        <v>1</v>
      </c>
      <c r="M820" s="50">
        <v>7670500</v>
      </c>
      <c r="N820" s="50">
        <v>4347795.32</v>
      </c>
      <c r="O820" s="50">
        <v>3322704.68</v>
      </c>
      <c r="P820" s="50">
        <v>412500</v>
      </c>
      <c r="Q820" s="87">
        <v>2910204.68</v>
      </c>
      <c r="R820" s="152">
        <v>0</v>
      </c>
      <c r="S820" s="174" t="s">
        <v>5573</v>
      </c>
      <c r="T820" s="74">
        <v>46173</v>
      </c>
      <c r="U820" s="74">
        <v>46173</v>
      </c>
      <c r="V820" s="48"/>
      <c r="W820" s="48"/>
      <c r="X820" s="48"/>
      <c r="Y820" s="48">
        <v>0</v>
      </c>
      <c r="Z820" s="48"/>
      <c r="AA820" s="48" t="s">
        <v>21</v>
      </c>
      <c r="AB820" s="48" t="s">
        <v>27</v>
      </c>
      <c r="AC820" s="48" t="s">
        <v>117</v>
      </c>
      <c r="AD820" s="89" t="s">
        <v>1026</v>
      </c>
    </row>
    <row r="821" spans="1:30" ht="15.75" hidden="1" x14ac:dyDescent="0.25">
      <c r="A821" s="48" t="s">
        <v>1438</v>
      </c>
      <c r="B821" s="74">
        <v>45810</v>
      </c>
      <c r="C821" s="48" t="s">
        <v>441</v>
      </c>
      <c r="D821" s="48" t="s">
        <v>20</v>
      </c>
      <c r="E821" s="48" t="s">
        <v>1380</v>
      </c>
      <c r="F821" s="48" t="s">
        <v>710</v>
      </c>
      <c r="G821" s="48" t="s">
        <v>24</v>
      </c>
      <c r="H821" s="48" t="s">
        <v>710</v>
      </c>
      <c r="I821" s="48" t="s">
        <v>26</v>
      </c>
      <c r="J821" s="48">
        <v>1020088</v>
      </c>
      <c r="K821" s="50">
        <v>524686.5</v>
      </c>
      <c r="L821" s="50">
        <v>1</v>
      </c>
      <c r="M821" s="50">
        <v>524686.5</v>
      </c>
      <c r="N821" s="50">
        <v>524686.5</v>
      </c>
      <c r="O821" s="50">
        <v>0</v>
      </c>
      <c r="P821" s="50">
        <v>0</v>
      </c>
      <c r="Q821" s="87">
        <v>0</v>
      </c>
      <c r="R821" s="152">
        <v>0</v>
      </c>
      <c r="S821" s="174"/>
      <c r="T821" s="74">
        <v>45900</v>
      </c>
      <c r="U821" s="74">
        <v>45900</v>
      </c>
      <c r="V821" s="48"/>
      <c r="W821" s="48"/>
      <c r="X821" s="48"/>
      <c r="Y821" s="48">
        <v>0</v>
      </c>
      <c r="Z821" s="48"/>
      <c r="AA821" s="48" t="s">
        <v>366</v>
      </c>
      <c r="AB821" s="48" t="s">
        <v>27</v>
      </c>
      <c r="AC821" s="48" t="s">
        <v>621</v>
      </c>
      <c r="AD821" s="89" t="s">
        <v>845</v>
      </c>
    </row>
    <row r="822" spans="1:30" ht="15.75" hidden="1" x14ac:dyDescent="0.25">
      <c r="A822" s="48" t="s">
        <v>145</v>
      </c>
      <c r="B822" s="74">
        <v>45061</v>
      </c>
      <c r="C822" s="48" t="s">
        <v>1182</v>
      </c>
      <c r="D822" s="48" t="s">
        <v>20</v>
      </c>
      <c r="E822" s="48" t="s">
        <v>146</v>
      </c>
      <c r="F822" s="48" t="s">
        <v>22</v>
      </c>
      <c r="G822" s="48" t="s">
        <v>24</v>
      </c>
      <c r="H822" s="48" t="s">
        <v>25</v>
      </c>
      <c r="I822" s="48" t="s">
        <v>26</v>
      </c>
      <c r="J822" s="48">
        <v>1020052</v>
      </c>
      <c r="K822" s="50">
        <v>3443026.15</v>
      </c>
      <c r="L822" s="50">
        <v>1</v>
      </c>
      <c r="M822" s="50">
        <v>3443026.15</v>
      </c>
      <c r="N822" s="50">
        <v>3442182.0599999996</v>
      </c>
      <c r="O822" s="50">
        <v>844.09</v>
      </c>
      <c r="P822" s="50">
        <v>0</v>
      </c>
      <c r="Q822" s="87">
        <v>844.09</v>
      </c>
      <c r="R822" s="152">
        <v>0</v>
      </c>
      <c r="S822" s="174"/>
      <c r="T822" s="74">
        <v>45199</v>
      </c>
      <c r="U822" s="74">
        <v>45199</v>
      </c>
      <c r="V822" s="48"/>
      <c r="W822" s="48"/>
      <c r="X822" s="48"/>
      <c r="Y822" s="48">
        <v>0</v>
      </c>
      <c r="Z822" s="48"/>
      <c r="AA822" s="48" t="s">
        <v>21</v>
      </c>
      <c r="AB822" s="48" t="s">
        <v>27</v>
      </c>
      <c r="AC822" s="48"/>
      <c r="AD822" s="89" t="s">
        <v>845</v>
      </c>
    </row>
    <row r="823" spans="1:30" ht="15.75" hidden="1" x14ac:dyDescent="0.25">
      <c r="A823" s="48" t="s">
        <v>5441</v>
      </c>
      <c r="B823" s="74">
        <v>46177</v>
      </c>
      <c r="C823" s="48" t="s">
        <v>1259</v>
      </c>
      <c r="D823" s="48" t="s">
        <v>20</v>
      </c>
      <c r="E823" s="48" t="s">
        <v>5189</v>
      </c>
      <c r="F823" s="48" t="s">
        <v>96</v>
      </c>
      <c r="G823" s="48" t="s">
        <v>1791</v>
      </c>
      <c r="H823" s="48" t="s">
        <v>328</v>
      </c>
      <c r="I823" s="48" t="s">
        <v>26</v>
      </c>
      <c r="J823" s="48">
        <v>1020097</v>
      </c>
      <c r="K823" s="50">
        <v>700000</v>
      </c>
      <c r="L823" s="50">
        <v>1</v>
      </c>
      <c r="M823" s="50">
        <v>700000</v>
      </c>
      <c r="N823" s="50">
        <v>0</v>
      </c>
      <c r="O823" s="50">
        <v>700000</v>
      </c>
      <c r="P823" s="50">
        <v>0</v>
      </c>
      <c r="Q823" s="87">
        <v>700000</v>
      </c>
      <c r="R823" s="152">
        <v>700000</v>
      </c>
      <c r="S823" s="174"/>
      <c r="T823" s="74">
        <v>46236</v>
      </c>
      <c r="U823" s="74">
        <v>46236</v>
      </c>
      <c r="V823" s="48"/>
      <c r="W823" s="48"/>
      <c r="X823" s="48"/>
      <c r="Y823" s="48"/>
      <c r="Z823" s="48"/>
      <c r="AA823" s="48" t="s">
        <v>95</v>
      </c>
      <c r="AB823" s="48" t="s">
        <v>27</v>
      </c>
      <c r="AC823" s="48" t="s">
        <v>5175</v>
      </c>
      <c r="AD823" s="89" t="s">
        <v>1026</v>
      </c>
    </row>
    <row r="824" spans="1:30" ht="15.75" hidden="1" x14ac:dyDescent="0.25">
      <c r="A824" s="48" t="s">
        <v>1151</v>
      </c>
      <c r="B824" s="74">
        <v>45756</v>
      </c>
      <c r="C824" s="48" t="s">
        <v>441</v>
      </c>
      <c r="D824" s="48" t="s">
        <v>20</v>
      </c>
      <c r="E824" s="48" t="s">
        <v>1104</v>
      </c>
      <c r="F824" s="48" t="s">
        <v>613</v>
      </c>
      <c r="G824" s="48" t="s">
        <v>24</v>
      </c>
      <c r="H824" s="48" t="s">
        <v>613</v>
      </c>
      <c r="I824" s="48" t="s">
        <v>26</v>
      </c>
      <c r="J824" s="48">
        <v>1020106</v>
      </c>
      <c r="K824" s="50">
        <v>1033453.25</v>
      </c>
      <c r="L824" s="50">
        <v>1</v>
      </c>
      <c r="M824" s="50">
        <v>1033453.25</v>
      </c>
      <c r="N824" s="50">
        <v>391176.24</v>
      </c>
      <c r="O824" s="50">
        <v>642277.01</v>
      </c>
      <c r="P824" s="50">
        <v>0</v>
      </c>
      <c r="Q824" s="87">
        <v>642277.01</v>
      </c>
      <c r="R824" s="152">
        <v>0</v>
      </c>
      <c r="S824" s="174"/>
      <c r="T824" s="74">
        <v>46203</v>
      </c>
      <c r="U824" s="74">
        <v>46203</v>
      </c>
      <c r="V824" s="48"/>
      <c r="W824" s="48"/>
      <c r="X824" s="48"/>
      <c r="Y824" s="48">
        <v>0</v>
      </c>
      <c r="Z824" s="48"/>
      <c r="AA824" s="48" t="s">
        <v>612</v>
      </c>
      <c r="AB824" s="48" t="s">
        <v>27</v>
      </c>
      <c r="AC824" s="48" t="s">
        <v>311</v>
      </c>
      <c r="AD824" s="89" t="s">
        <v>1026</v>
      </c>
    </row>
    <row r="825" spans="1:30" ht="15.75" hidden="1" x14ac:dyDescent="0.25">
      <c r="A825" s="48" t="s">
        <v>125</v>
      </c>
      <c r="B825" s="74">
        <v>45061</v>
      </c>
      <c r="C825" s="48" t="s">
        <v>1182</v>
      </c>
      <c r="D825" s="48" t="s">
        <v>20</v>
      </c>
      <c r="E825" s="48" t="s">
        <v>126</v>
      </c>
      <c r="F825" s="48" t="s">
        <v>22</v>
      </c>
      <c r="G825" s="48" t="s">
        <v>24</v>
      </c>
      <c r="H825" s="48" t="s">
        <v>90</v>
      </c>
      <c r="I825" s="48" t="s">
        <v>26</v>
      </c>
      <c r="J825" s="48">
        <v>1020001</v>
      </c>
      <c r="K825" s="50">
        <v>2101567.5</v>
      </c>
      <c r="L825" s="50">
        <v>1</v>
      </c>
      <c r="M825" s="50">
        <v>2101567.5</v>
      </c>
      <c r="N825" s="50">
        <v>2101567.5</v>
      </c>
      <c r="O825" s="50">
        <v>0</v>
      </c>
      <c r="P825" s="50">
        <v>0</v>
      </c>
      <c r="Q825" s="87">
        <v>0</v>
      </c>
      <c r="R825" s="152">
        <v>0</v>
      </c>
      <c r="S825" s="174"/>
      <c r="T825" s="74">
        <v>45291</v>
      </c>
      <c r="U825" s="74">
        <v>45291</v>
      </c>
      <c r="V825" s="48"/>
      <c r="W825" s="48"/>
      <c r="X825" s="48"/>
      <c r="Y825" s="48">
        <v>0</v>
      </c>
      <c r="Z825" s="48"/>
      <c r="AA825" s="48" t="s">
        <v>21</v>
      </c>
      <c r="AB825" s="48" t="s">
        <v>27</v>
      </c>
      <c r="AC825" s="48" t="s">
        <v>127</v>
      </c>
      <c r="AD825" s="89" t="s">
        <v>845</v>
      </c>
    </row>
    <row r="826" spans="1:30" ht="15.75" hidden="1" x14ac:dyDescent="0.25">
      <c r="A826" s="48" t="s">
        <v>1487</v>
      </c>
      <c r="B826" s="74">
        <v>45831</v>
      </c>
      <c r="C826" s="48" t="s">
        <v>441</v>
      </c>
      <c r="D826" s="48" t="s">
        <v>20</v>
      </c>
      <c r="E826" s="48" t="s">
        <v>1372</v>
      </c>
      <c r="F826" s="48" t="s">
        <v>22</v>
      </c>
      <c r="G826" s="48" t="s">
        <v>24</v>
      </c>
      <c r="H826" s="48" t="s">
        <v>407</v>
      </c>
      <c r="I826" s="48" t="s">
        <v>26</v>
      </c>
      <c r="J826" s="48">
        <v>1020100</v>
      </c>
      <c r="K826" s="50">
        <v>578910</v>
      </c>
      <c r="L826" s="50">
        <v>1</v>
      </c>
      <c r="M826" s="50">
        <v>578910</v>
      </c>
      <c r="N826" s="50">
        <v>578910</v>
      </c>
      <c r="O826" s="50">
        <v>0</v>
      </c>
      <c r="P826" s="50">
        <v>0</v>
      </c>
      <c r="Q826" s="87">
        <v>0</v>
      </c>
      <c r="R826" s="152">
        <v>0</v>
      </c>
      <c r="S826" s="174"/>
      <c r="T826" s="74">
        <v>45961</v>
      </c>
      <c r="U826" s="74">
        <v>45961</v>
      </c>
      <c r="V826" s="48"/>
      <c r="W826" s="48"/>
      <c r="X826" s="48"/>
      <c r="Y826" s="48">
        <v>0</v>
      </c>
      <c r="Z826" s="48" t="s">
        <v>1846</v>
      </c>
      <c r="AA826" s="48" t="s">
        <v>21</v>
      </c>
      <c r="AB826" s="48" t="s">
        <v>27</v>
      </c>
      <c r="AC826" s="48" t="s">
        <v>621</v>
      </c>
      <c r="AD826" s="89" t="s">
        <v>845</v>
      </c>
    </row>
    <row r="827" spans="1:30" ht="15.75" hidden="1" x14ac:dyDescent="0.25">
      <c r="A827" s="48" t="s">
        <v>3324</v>
      </c>
      <c r="B827" s="74">
        <v>46023</v>
      </c>
      <c r="C827" s="48" t="s">
        <v>1537</v>
      </c>
      <c r="D827" s="48" t="s">
        <v>20</v>
      </c>
      <c r="E827" s="48" t="s">
        <v>1372</v>
      </c>
      <c r="F827" s="48" t="s">
        <v>483</v>
      </c>
      <c r="G827" s="48" t="s">
        <v>24</v>
      </c>
      <c r="H827" s="48" t="s">
        <v>483</v>
      </c>
      <c r="I827" s="48" t="s">
        <v>26</v>
      </c>
      <c r="J827" s="48">
        <v>1020096</v>
      </c>
      <c r="K827" s="50">
        <v>1350790.07</v>
      </c>
      <c r="L827" s="50">
        <v>1</v>
      </c>
      <c r="M827" s="50">
        <v>1350790.07</v>
      </c>
      <c r="N827" s="50">
        <v>0</v>
      </c>
      <c r="O827" s="50">
        <v>1350790.07</v>
      </c>
      <c r="P827" s="50">
        <v>0</v>
      </c>
      <c r="Q827" s="87">
        <v>1350790.07</v>
      </c>
      <c r="R827" s="152">
        <v>0</v>
      </c>
      <c r="S827" s="174"/>
      <c r="T827" s="74">
        <v>46296</v>
      </c>
      <c r="U827" s="74">
        <v>46296</v>
      </c>
      <c r="V827" s="48"/>
      <c r="W827" s="48"/>
      <c r="X827" s="48"/>
      <c r="Y827" s="48">
        <v>0</v>
      </c>
      <c r="Z827" s="48"/>
      <c r="AA827" s="48" t="s">
        <v>62</v>
      </c>
      <c r="AB827" s="48" t="s">
        <v>27</v>
      </c>
      <c r="AC827" s="48" t="s">
        <v>3229</v>
      </c>
      <c r="AD827" s="89" t="s">
        <v>1026</v>
      </c>
    </row>
    <row r="828" spans="1:30" ht="15.75" hidden="1" x14ac:dyDescent="0.25">
      <c r="A828" s="48" t="s">
        <v>3950</v>
      </c>
      <c r="B828" s="74">
        <v>46057</v>
      </c>
      <c r="C828" s="48" t="s">
        <v>1537</v>
      </c>
      <c r="D828" s="48" t="s">
        <v>20</v>
      </c>
      <c r="E828" s="48" t="s">
        <v>3859</v>
      </c>
      <c r="F828" s="48" t="s">
        <v>483</v>
      </c>
      <c r="G828" s="48" t="s">
        <v>24</v>
      </c>
      <c r="H828" s="48" t="s">
        <v>483</v>
      </c>
      <c r="I828" s="48" t="s">
        <v>26</v>
      </c>
      <c r="J828" s="48">
        <v>1020096</v>
      </c>
      <c r="K828" s="50">
        <v>750000</v>
      </c>
      <c r="L828" s="50">
        <v>1</v>
      </c>
      <c r="M828" s="50">
        <v>750000</v>
      </c>
      <c r="N828" s="50">
        <v>0</v>
      </c>
      <c r="O828" s="50">
        <v>750000</v>
      </c>
      <c r="P828" s="50">
        <v>710700</v>
      </c>
      <c r="Q828" s="87">
        <v>39300</v>
      </c>
      <c r="R828" s="152">
        <v>0</v>
      </c>
      <c r="S828" s="174" t="s">
        <v>5064</v>
      </c>
      <c r="T828" s="74">
        <v>46142</v>
      </c>
      <c r="U828" s="74">
        <v>46142</v>
      </c>
      <c r="V828" s="48"/>
      <c r="W828" s="48"/>
      <c r="X828" s="48"/>
      <c r="Y828" s="48">
        <v>0</v>
      </c>
      <c r="Z828" s="48"/>
      <c r="AA828" s="48" t="s">
        <v>62</v>
      </c>
      <c r="AB828" s="48" t="s">
        <v>27</v>
      </c>
      <c r="AC828" s="48" t="s">
        <v>3229</v>
      </c>
      <c r="AD828" s="89" t="s">
        <v>1026</v>
      </c>
    </row>
    <row r="829" spans="1:30" ht="15.75" hidden="1" x14ac:dyDescent="0.25">
      <c r="A829" s="48" t="s">
        <v>1127</v>
      </c>
      <c r="B829" s="74">
        <v>45754</v>
      </c>
      <c r="C829" s="48" t="s">
        <v>1878</v>
      </c>
      <c r="D829" s="48" t="s">
        <v>20</v>
      </c>
      <c r="E829" s="48" t="s">
        <v>729</v>
      </c>
      <c r="F829" s="48" t="s">
        <v>367</v>
      </c>
      <c r="G829" s="48" t="s">
        <v>3220</v>
      </c>
      <c r="H829" s="48" t="s">
        <v>367</v>
      </c>
      <c r="I829" s="48" t="s">
        <v>191</v>
      </c>
      <c r="J829" s="48">
        <v>1020091</v>
      </c>
      <c r="K829" s="50">
        <v>4750000</v>
      </c>
      <c r="L829" s="50">
        <v>1.026</v>
      </c>
      <c r="M829" s="50">
        <v>4873500</v>
      </c>
      <c r="N829" s="50">
        <v>4721720.4628079999</v>
      </c>
      <c r="O829" s="50">
        <v>151779.54</v>
      </c>
      <c r="P829" s="50">
        <v>0</v>
      </c>
      <c r="Q829" s="87">
        <v>151779.54</v>
      </c>
      <c r="R829" s="152">
        <v>0</v>
      </c>
      <c r="S829" s="174"/>
      <c r="T829" s="74">
        <v>45945</v>
      </c>
      <c r="U829" s="74">
        <v>45930</v>
      </c>
      <c r="V829" s="48"/>
      <c r="W829" s="48"/>
      <c r="X829" s="48"/>
      <c r="Y829" s="48">
        <v>0</v>
      </c>
      <c r="Z829" s="48"/>
      <c r="AA829" s="48" t="s">
        <v>366</v>
      </c>
      <c r="AB829" s="48" t="s">
        <v>27</v>
      </c>
      <c r="AC829" s="48" t="s">
        <v>425</v>
      </c>
      <c r="AD829" s="89" t="s">
        <v>845</v>
      </c>
    </row>
    <row r="830" spans="1:30" ht="15.75" hidden="1" x14ac:dyDescent="0.25">
      <c r="A830" s="48" t="s">
        <v>1753</v>
      </c>
      <c r="B830" s="74">
        <v>45883</v>
      </c>
      <c r="C830" s="48" t="s">
        <v>1727</v>
      </c>
      <c r="D830" s="48" t="s">
        <v>20</v>
      </c>
      <c r="E830" s="48" t="s">
        <v>1719</v>
      </c>
      <c r="F830" s="48" t="s">
        <v>70</v>
      </c>
      <c r="G830" s="48" t="s">
        <v>869</v>
      </c>
      <c r="H830" s="48" t="s">
        <v>1762</v>
      </c>
      <c r="I830" s="48" t="s">
        <v>26</v>
      </c>
      <c r="J830" s="48"/>
      <c r="K830" s="50">
        <v>500000</v>
      </c>
      <c r="L830" s="50">
        <v>1</v>
      </c>
      <c r="M830" s="50">
        <v>500000</v>
      </c>
      <c r="N830" s="50">
        <v>500000</v>
      </c>
      <c r="O830" s="50">
        <v>0</v>
      </c>
      <c r="P830" s="50">
        <v>0</v>
      </c>
      <c r="Q830" s="87">
        <v>0</v>
      </c>
      <c r="R830" s="152">
        <v>0</v>
      </c>
      <c r="S830" s="174"/>
      <c r="T830" s="74">
        <v>45930</v>
      </c>
      <c r="U830" s="74">
        <v>45915</v>
      </c>
      <c r="V830" s="48"/>
      <c r="W830" s="48"/>
      <c r="X830" s="48"/>
      <c r="Y830" s="48"/>
      <c r="Z830" s="48"/>
      <c r="AA830" s="48" t="s">
        <v>62</v>
      </c>
      <c r="AB830" s="48" t="s">
        <v>70</v>
      </c>
      <c r="AC830" s="48" t="s">
        <v>208</v>
      </c>
      <c r="AD830" s="89" t="s">
        <v>845</v>
      </c>
    </row>
    <row r="831" spans="1:30" ht="15.75" hidden="1" x14ac:dyDescent="0.25">
      <c r="A831" s="48" t="s">
        <v>4073</v>
      </c>
      <c r="B831" s="74">
        <v>46065</v>
      </c>
      <c r="C831" s="48" t="s">
        <v>1181</v>
      </c>
      <c r="D831" s="48" t="s">
        <v>20</v>
      </c>
      <c r="E831" s="48" t="s">
        <v>1782</v>
      </c>
      <c r="F831" s="48" t="s">
        <v>710</v>
      </c>
      <c r="G831" s="48" t="s">
        <v>1791</v>
      </c>
      <c r="H831" s="48" t="s">
        <v>81</v>
      </c>
      <c r="I831" s="48" t="s">
        <v>26</v>
      </c>
      <c r="J831" s="48">
        <v>1020070</v>
      </c>
      <c r="K831" s="50">
        <v>817725</v>
      </c>
      <c r="L831" s="50">
        <v>1</v>
      </c>
      <c r="M831" s="50">
        <v>817725</v>
      </c>
      <c r="N831" s="50">
        <v>667115</v>
      </c>
      <c r="O831" s="50">
        <v>150610</v>
      </c>
      <c r="P831" s="50">
        <v>0</v>
      </c>
      <c r="Q831" s="87">
        <v>150610</v>
      </c>
      <c r="R831" s="152">
        <v>0</v>
      </c>
      <c r="S831" s="174"/>
      <c r="T831" s="74">
        <v>46142</v>
      </c>
      <c r="U831" s="74">
        <v>46127</v>
      </c>
      <c r="V831" s="48"/>
      <c r="W831" s="48"/>
      <c r="X831" s="48"/>
      <c r="Y831" s="48">
        <v>0</v>
      </c>
      <c r="Z831" s="48"/>
      <c r="AA831" s="48" t="s">
        <v>366</v>
      </c>
      <c r="AB831" s="48" t="s">
        <v>27</v>
      </c>
      <c r="AC831" s="48" t="s">
        <v>408</v>
      </c>
      <c r="AD831" s="89" t="s">
        <v>845</v>
      </c>
    </row>
    <row r="832" spans="1:30" ht="15.75" hidden="1" x14ac:dyDescent="0.25">
      <c r="A832" s="48" t="s">
        <v>1813</v>
      </c>
      <c r="B832" s="74">
        <v>45895</v>
      </c>
      <c r="C832" s="48" t="s">
        <v>1181</v>
      </c>
      <c r="D832" s="48" t="s">
        <v>20</v>
      </c>
      <c r="E832" s="48" t="s">
        <v>1782</v>
      </c>
      <c r="F832" s="48" t="s">
        <v>710</v>
      </c>
      <c r="G832" s="48" t="s">
        <v>1791</v>
      </c>
      <c r="H832" s="48" t="s">
        <v>81</v>
      </c>
      <c r="I832" s="48" t="s">
        <v>26</v>
      </c>
      <c r="J832" s="48">
        <v>1020070</v>
      </c>
      <c r="K832" s="50">
        <v>817725</v>
      </c>
      <c r="L832" s="50">
        <v>1</v>
      </c>
      <c r="M832" s="50">
        <v>817725</v>
      </c>
      <c r="N832" s="50">
        <v>0</v>
      </c>
      <c r="O832" s="50">
        <v>817725</v>
      </c>
      <c r="P832" s="50">
        <v>0</v>
      </c>
      <c r="Q832" s="87">
        <v>817725</v>
      </c>
      <c r="R832" s="152">
        <v>0</v>
      </c>
      <c r="S832" s="174"/>
      <c r="T832" s="74">
        <v>45991</v>
      </c>
      <c r="U832" s="74">
        <v>45991</v>
      </c>
      <c r="V832" s="48"/>
      <c r="W832" s="48"/>
      <c r="X832" s="48"/>
      <c r="Y832" s="48">
        <v>0</v>
      </c>
      <c r="Z832" s="48"/>
      <c r="AA832" s="48" t="s">
        <v>366</v>
      </c>
      <c r="AB832" s="48" t="s">
        <v>27</v>
      </c>
      <c r="AC832" s="48" t="s">
        <v>408</v>
      </c>
      <c r="AD832" s="89" t="s">
        <v>845</v>
      </c>
    </row>
    <row r="833" spans="1:30" ht="15.75" hidden="1" x14ac:dyDescent="0.25">
      <c r="A833" s="48" t="s">
        <v>1281</v>
      </c>
      <c r="B833" s="74">
        <v>45784</v>
      </c>
      <c r="C833" s="48" t="s">
        <v>441</v>
      </c>
      <c r="D833" s="48" t="s">
        <v>20</v>
      </c>
      <c r="E833" s="48" t="s">
        <v>1240</v>
      </c>
      <c r="F833" s="48" t="s">
        <v>70</v>
      </c>
      <c r="G833" s="48" t="s">
        <v>24</v>
      </c>
      <c r="H833" s="48" t="s">
        <v>407</v>
      </c>
      <c r="I833" s="48" t="s">
        <v>26</v>
      </c>
      <c r="J833" s="48">
        <v>1020100</v>
      </c>
      <c r="K833" s="50">
        <v>200000</v>
      </c>
      <c r="L833" s="50">
        <v>1</v>
      </c>
      <c r="M833" s="50">
        <v>200000</v>
      </c>
      <c r="N833" s="50">
        <v>200000</v>
      </c>
      <c r="O833" s="50">
        <v>0</v>
      </c>
      <c r="P833" s="50">
        <v>0</v>
      </c>
      <c r="Q833" s="87">
        <v>0</v>
      </c>
      <c r="R833" s="152">
        <v>0</v>
      </c>
      <c r="S833" s="174"/>
      <c r="T833" s="74">
        <v>45869</v>
      </c>
      <c r="U833" s="74">
        <v>45869</v>
      </c>
      <c r="V833" s="48"/>
      <c r="W833" s="48"/>
      <c r="X833" s="48"/>
      <c r="Y833" s="48">
        <v>0</v>
      </c>
      <c r="Z833" s="48"/>
      <c r="AA833" s="48" t="s">
        <v>373</v>
      </c>
      <c r="AB833" s="48" t="s">
        <v>70</v>
      </c>
      <c r="AC833" s="48" t="s">
        <v>621</v>
      </c>
      <c r="AD833" s="89" t="s">
        <v>845</v>
      </c>
    </row>
    <row r="834" spans="1:30" ht="15.75" hidden="1" x14ac:dyDescent="0.25">
      <c r="A834" s="48" t="s">
        <v>790</v>
      </c>
      <c r="B834" s="74">
        <v>45741</v>
      </c>
      <c r="C834" s="48" t="s">
        <v>1864</v>
      </c>
      <c r="D834" s="48" t="s">
        <v>20</v>
      </c>
      <c r="E834" s="48" t="s">
        <v>791</v>
      </c>
      <c r="F834" s="48" t="s">
        <v>710</v>
      </c>
      <c r="G834" s="48" t="s">
        <v>3221</v>
      </c>
      <c r="H834" s="48" t="s">
        <v>81</v>
      </c>
      <c r="I834" s="48" t="s">
        <v>191</v>
      </c>
      <c r="J834" s="48">
        <v>1020070</v>
      </c>
      <c r="K834" s="50">
        <v>850000</v>
      </c>
      <c r="L834" s="50">
        <v>1.0264</v>
      </c>
      <c r="M834" s="50">
        <v>872440</v>
      </c>
      <c r="N834" s="50">
        <v>872440</v>
      </c>
      <c r="O834" s="50">
        <v>0</v>
      </c>
      <c r="P834" s="50">
        <v>0</v>
      </c>
      <c r="Q834" s="87">
        <v>0</v>
      </c>
      <c r="R834" s="152">
        <v>0</v>
      </c>
      <c r="S834" s="174"/>
      <c r="T834" s="74">
        <v>45853</v>
      </c>
      <c r="U834" s="74">
        <v>45853</v>
      </c>
      <c r="V834" s="48"/>
      <c r="W834" s="48"/>
      <c r="X834" s="48"/>
      <c r="Y834" s="48">
        <v>0</v>
      </c>
      <c r="Z834" s="48"/>
      <c r="AA834" s="48" t="s">
        <v>366</v>
      </c>
      <c r="AB834" s="48" t="s">
        <v>27</v>
      </c>
      <c r="AC834" s="48" t="s">
        <v>621</v>
      </c>
      <c r="AD834" s="89" t="s">
        <v>845</v>
      </c>
    </row>
    <row r="835" spans="1:30" ht="15.75" hidden="1" x14ac:dyDescent="0.25">
      <c r="A835" s="48" t="s">
        <v>3146</v>
      </c>
      <c r="B835" s="74">
        <v>46009</v>
      </c>
      <c r="C835" s="48" t="s">
        <v>2928</v>
      </c>
      <c r="D835" s="48" t="s">
        <v>20</v>
      </c>
      <c r="E835" s="48" t="s">
        <v>2927</v>
      </c>
      <c r="F835" s="48" t="s">
        <v>22</v>
      </c>
      <c r="G835" s="48" t="s">
        <v>3287</v>
      </c>
      <c r="H835" s="48" t="s">
        <v>22</v>
      </c>
      <c r="I835" s="48" t="s">
        <v>26</v>
      </c>
      <c r="J835" s="48">
        <v>1020055</v>
      </c>
      <c r="K835" s="50">
        <v>7259198.5</v>
      </c>
      <c r="L835" s="50">
        <v>1</v>
      </c>
      <c r="M835" s="50">
        <v>7259198.5</v>
      </c>
      <c r="N835" s="50">
        <v>7259198.5</v>
      </c>
      <c r="O835" s="50">
        <v>0</v>
      </c>
      <c r="P835" s="50">
        <v>0</v>
      </c>
      <c r="Q835" s="87">
        <v>0</v>
      </c>
      <c r="R835" s="152">
        <v>0</v>
      </c>
      <c r="S835" s="174"/>
      <c r="T835" s="74">
        <v>46081</v>
      </c>
      <c r="U835" s="74">
        <v>46081</v>
      </c>
      <c r="V835" s="48"/>
      <c r="W835" s="48"/>
      <c r="X835" s="48"/>
      <c r="Y835" s="48">
        <v>0</v>
      </c>
      <c r="Z835" s="48"/>
      <c r="AA835" s="48" t="s">
        <v>21</v>
      </c>
      <c r="AB835" s="48" t="s">
        <v>27</v>
      </c>
      <c r="AC835" s="48" t="s">
        <v>311</v>
      </c>
      <c r="AD835" s="89" t="s">
        <v>845</v>
      </c>
    </row>
    <row r="836" spans="1:30" ht="15.75" hidden="1" x14ac:dyDescent="0.25">
      <c r="A836" s="48" t="s">
        <v>1818</v>
      </c>
      <c r="B836" s="74">
        <v>45895</v>
      </c>
      <c r="C836" s="48" t="s">
        <v>1181</v>
      </c>
      <c r="D836" s="48" t="s">
        <v>20</v>
      </c>
      <c r="E836" s="48" t="s">
        <v>1784</v>
      </c>
      <c r="F836" s="48" t="s">
        <v>710</v>
      </c>
      <c r="G836" s="48" t="s">
        <v>72</v>
      </c>
      <c r="H836" s="48" t="s">
        <v>81</v>
      </c>
      <c r="I836" s="48" t="s">
        <v>26</v>
      </c>
      <c r="J836" s="48">
        <v>1020070</v>
      </c>
      <c r="K836" s="50">
        <v>2741025</v>
      </c>
      <c r="L836" s="50">
        <v>1</v>
      </c>
      <c r="M836" s="50">
        <v>2741025</v>
      </c>
      <c r="N836" s="50">
        <v>1641337.5</v>
      </c>
      <c r="O836" s="50">
        <v>1099687.5</v>
      </c>
      <c r="P836" s="50">
        <v>1099687.5</v>
      </c>
      <c r="Q836" s="87">
        <v>0</v>
      </c>
      <c r="R836" s="152">
        <v>0</v>
      </c>
      <c r="S836" s="174" t="s">
        <v>5587</v>
      </c>
      <c r="T836" s="74">
        <v>46203</v>
      </c>
      <c r="U836" s="74">
        <v>46188</v>
      </c>
      <c r="V836" s="48"/>
      <c r="W836" s="48"/>
      <c r="X836" s="48"/>
      <c r="Y836" s="48">
        <v>0</v>
      </c>
      <c r="Z836" s="48"/>
      <c r="AA836" s="48" t="s">
        <v>366</v>
      </c>
      <c r="AB836" s="48" t="s">
        <v>27</v>
      </c>
      <c r="AC836" s="48" t="s">
        <v>1785</v>
      </c>
      <c r="AD836" s="89" t="s">
        <v>1026</v>
      </c>
    </row>
    <row r="837" spans="1:30" ht="15.75" hidden="1" x14ac:dyDescent="0.25">
      <c r="A837" s="48" t="s">
        <v>1739</v>
      </c>
      <c r="B837" s="74">
        <v>45883</v>
      </c>
      <c r="C837" s="48" t="s">
        <v>1727</v>
      </c>
      <c r="D837" s="48" t="s">
        <v>20</v>
      </c>
      <c r="E837" s="48" t="s">
        <v>1718</v>
      </c>
      <c r="F837" s="48" t="s">
        <v>70</v>
      </c>
      <c r="G837" s="48" t="s">
        <v>869</v>
      </c>
      <c r="H837" s="48" t="s">
        <v>1762</v>
      </c>
      <c r="I837" s="48" t="s">
        <v>26</v>
      </c>
      <c r="J837" s="48"/>
      <c r="K837" s="50">
        <v>345402.56</v>
      </c>
      <c r="L837" s="50">
        <v>1</v>
      </c>
      <c r="M837" s="50">
        <v>345402.56</v>
      </c>
      <c r="N837" s="50">
        <v>345402.56</v>
      </c>
      <c r="O837" s="50">
        <v>0</v>
      </c>
      <c r="P837" s="50">
        <v>0</v>
      </c>
      <c r="Q837" s="87">
        <v>0</v>
      </c>
      <c r="R837" s="152">
        <v>0</v>
      </c>
      <c r="S837" s="174"/>
      <c r="T837" s="74">
        <v>45930</v>
      </c>
      <c r="U837" s="74">
        <v>45915</v>
      </c>
      <c r="V837" s="48"/>
      <c r="W837" s="48"/>
      <c r="X837" s="48"/>
      <c r="Y837" s="48"/>
      <c r="Z837" s="48"/>
      <c r="AA837" s="48" t="s">
        <v>62</v>
      </c>
      <c r="AB837" s="48" t="s">
        <v>70</v>
      </c>
      <c r="AC837" s="48" t="s">
        <v>208</v>
      </c>
      <c r="AD837" s="89" t="s">
        <v>845</v>
      </c>
    </row>
    <row r="838" spans="1:30" ht="15.75" hidden="1" x14ac:dyDescent="0.25">
      <c r="A838" s="48" t="s">
        <v>1178</v>
      </c>
      <c r="B838" s="74">
        <v>45757</v>
      </c>
      <c r="C838" s="48" t="s">
        <v>441</v>
      </c>
      <c r="D838" s="48" t="s">
        <v>20</v>
      </c>
      <c r="E838" s="48" t="s">
        <v>839</v>
      </c>
      <c r="F838" s="48" t="s">
        <v>710</v>
      </c>
      <c r="G838" s="48" t="s">
        <v>24</v>
      </c>
      <c r="H838" s="48" t="s">
        <v>710</v>
      </c>
      <c r="I838" s="48" t="s">
        <v>26</v>
      </c>
      <c r="J838" s="48">
        <v>1020088</v>
      </c>
      <c r="K838" s="50">
        <v>168705.07</v>
      </c>
      <c r="L838" s="50">
        <v>1</v>
      </c>
      <c r="M838" s="50">
        <v>168705.07</v>
      </c>
      <c r="N838" s="50">
        <v>168705.07</v>
      </c>
      <c r="O838" s="50">
        <v>0</v>
      </c>
      <c r="P838" s="50">
        <v>0</v>
      </c>
      <c r="Q838" s="87">
        <v>0</v>
      </c>
      <c r="R838" s="152">
        <v>0</v>
      </c>
      <c r="S838" s="174"/>
      <c r="T838" s="74">
        <v>45838</v>
      </c>
      <c r="U838" s="74">
        <v>45838</v>
      </c>
      <c r="V838" s="48"/>
      <c r="W838" s="48"/>
      <c r="X838" s="48"/>
      <c r="Y838" s="48">
        <v>0</v>
      </c>
      <c r="Z838" s="48"/>
      <c r="AA838" s="48" t="s">
        <v>366</v>
      </c>
      <c r="AB838" s="48" t="s">
        <v>27</v>
      </c>
      <c r="AC838" s="48" t="s">
        <v>311</v>
      </c>
      <c r="AD838" s="89" t="s">
        <v>845</v>
      </c>
    </row>
    <row r="839" spans="1:30" ht="15.75" hidden="1" x14ac:dyDescent="0.25">
      <c r="A839" s="48" t="s">
        <v>1870</v>
      </c>
      <c r="B839" s="74">
        <v>45914</v>
      </c>
      <c r="C839" s="48" t="s">
        <v>441</v>
      </c>
      <c r="D839" s="48" t="s">
        <v>20</v>
      </c>
      <c r="E839" s="48" t="s">
        <v>839</v>
      </c>
      <c r="F839" s="48" t="s">
        <v>710</v>
      </c>
      <c r="G839" s="48" t="s">
        <v>24</v>
      </c>
      <c r="H839" s="48" t="s">
        <v>710</v>
      </c>
      <c r="I839" s="48" t="s">
        <v>26</v>
      </c>
      <c r="J839" s="48">
        <v>1020088</v>
      </c>
      <c r="K839" s="50">
        <v>300000</v>
      </c>
      <c r="L839" s="50">
        <v>1</v>
      </c>
      <c r="M839" s="50">
        <v>300000</v>
      </c>
      <c r="N839" s="50">
        <v>0</v>
      </c>
      <c r="O839" s="50">
        <v>300000</v>
      </c>
      <c r="P839" s="50">
        <v>0</v>
      </c>
      <c r="Q839" s="87">
        <v>300000</v>
      </c>
      <c r="R839" s="152">
        <v>0</v>
      </c>
      <c r="S839" s="174"/>
      <c r="T839" s="74">
        <v>46203</v>
      </c>
      <c r="U839" s="74">
        <v>46203</v>
      </c>
      <c r="V839" s="48"/>
      <c r="W839" s="48"/>
      <c r="X839" s="48"/>
      <c r="Y839" s="48">
        <v>0</v>
      </c>
      <c r="Z839" s="48"/>
      <c r="AA839" s="48" t="s">
        <v>366</v>
      </c>
      <c r="AB839" s="48" t="s">
        <v>27</v>
      </c>
      <c r="AC839" s="48" t="s">
        <v>621</v>
      </c>
      <c r="AD839" s="89" t="s">
        <v>1026</v>
      </c>
    </row>
    <row r="840" spans="1:30" ht="15.75" hidden="1" x14ac:dyDescent="0.25">
      <c r="A840" s="48" t="s">
        <v>734</v>
      </c>
      <c r="B840" s="74">
        <v>45722</v>
      </c>
      <c r="C840" s="48" t="s">
        <v>441</v>
      </c>
      <c r="D840" s="48" t="s">
        <v>20</v>
      </c>
      <c r="E840" s="48" t="s">
        <v>735</v>
      </c>
      <c r="F840" s="48" t="s">
        <v>613</v>
      </c>
      <c r="G840" s="48" t="s">
        <v>24</v>
      </c>
      <c r="H840" s="48" t="s">
        <v>613</v>
      </c>
      <c r="I840" s="48" t="s">
        <v>26</v>
      </c>
      <c r="J840" s="48">
        <v>1020106</v>
      </c>
      <c r="K840" s="50">
        <v>527850.01</v>
      </c>
      <c r="L840" s="50">
        <v>1</v>
      </c>
      <c r="M840" s="50">
        <v>527850.01</v>
      </c>
      <c r="N840" s="50">
        <v>263925</v>
      </c>
      <c r="O840" s="50">
        <v>263925.01</v>
      </c>
      <c r="P840" s="50">
        <v>0</v>
      </c>
      <c r="Q840" s="87">
        <v>263925.01</v>
      </c>
      <c r="R840" s="152">
        <v>0</v>
      </c>
      <c r="S840" s="174"/>
      <c r="T840" s="74">
        <v>46203</v>
      </c>
      <c r="U840" s="74">
        <v>46203</v>
      </c>
      <c r="V840" s="48"/>
      <c r="W840" s="48"/>
      <c r="X840" s="48"/>
      <c r="Y840" s="48">
        <v>0</v>
      </c>
      <c r="Z840" s="48"/>
      <c r="AA840" s="48" t="s">
        <v>612</v>
      </c>
      <c r="AB840" s="48" t="s">
        <v>27</v>
      </c>
      <c r="AC840" s="48" t="s">
        <v>425</v>
      </c>
      <c r="AD840" s="89" t="s">
        <v>1026</v>
      </c>
    </row>
    <row r="841" spans="1:30" ht="15.75" hidden="1" x14ac:dyDescent="0.25">
      <c r="A841" s="48" t="s">
        <v>1195</v>
      </c>
      <c r="B841" s="74">
        <v>45761</v>
      </c>
      <c r="C841" s="48" t="s">
        <v>509</v>
      </c>
      <c r="D841" s="48" t="s">
        <v>20</v>
      </c>
      <c r="E841" s="48" t="s">
        <v>772</v>
      </c>
      <c r="F841" s="48" t="s">
        <v>22</v>
      </c>
      <c r="G841" s="48" t="s">
        <v>24</v>
      </c>
      <c r="H841" s="48" t="s">
        <v>407</v>
      </c>
      <c r="I841" s="48" t="s">
        <v>26</v>
      </c>
      <c r="J841" s="48">
        <v>1020100</v>
      </c>
      <c r="K841" s="50">
        <v>303361.71999999997</v>
      </c>
      <c r="L841" s="50">
        <v>1</v>
      </c>
      <c r="M841" s="50">
        <v>303361.71999999997</v>
      </c>
      <c r="N841" s="50">
        <v>0</v>
      </c>
      <c r="O841" s="50">
        <v>303361.71999999997</v>
      </c>
      <c r="P841" s="50">
        <v>0</v>
      </c>
      <c r="Q841" s="87">
        <v>303361.71999999997</v>
      </c>
      <c r="R841" s="152">
        <v>0</v>
      </c>
      <c r="S841" s="174"/>
      <c r="T841" s="74">
        <v>46126</v>
      </c>
      <c r="U841" s="74">
        <v>46126</v>
      </c>
      <c r="V841" s="48"/>
      <c r="W841" s="48"/>
      <c r="X841" s="48"/>
      <c r="Y841" s="48">
        <v>0</v>
      </c>
      <c r="Z841" s="48" t="s">
        <v>5133</v>
      </c>
      <c r="AA841" s="48" t="s">
        <v>21</v>
      </c>
      <c r="AB841" s="48" t="s">
        <v>27</v>
      </c>
      <c r="AC841" s="48" t="s">
        <v>311</v>
      </c>
      <c r="AD841" s="89" t="s">
        <v>845</v>
      </c>
    </row>
    <row r="842" spans="1:30" ht="15.75" hidden="1" x14ac:dyDescent="0.25">
      <c r="A842" s="48" t="s">
        <v>1503</v>
      </c>
      <c r="B842" s="74">
        <v>45831</v>
      </c>
      <c r="C842" s="48" t="s">
        <v>441</v>
      </c>
      <c r="D842" s="48" t="s">
        <v>20</v>
      </c>
      <c r="E842" s="48" t="s">
        <v>772</v>
      </c>
      <c r="F842" s="48" t="s">
        <v>22</v>
      </c>
      <c r="G842" s="48" t="s">
        <v>24</v>
      </c>
      <c r="H842" s="48" t="s">
        <v>407</v>
      </c>
      <c r="I842" s="48" t="s">
        <v>26</v>
      </c>
      <c r="J842" s="48">
        <v>1020100</v>
      </c>
      <c r="K842" s="50">
        <v>922106.57</v>
      </c>
      <c r="L842" s="50">
        <v>1</v>
      </c>
      <c r="M842" s="50">
        <v>922106.57</v>
      </c>
      <c r="N842" s="50">
        <v>207691.38</v>
      </c>
      <c r="O842" s="50">
        <v>714415.19</v>
      </c>
      <c r="P842" s="50">
        <v>702587.67</v>
      </c>
      <c r="Q842" s="87">
        <v>11827.52</v>
      </c>
      <c r="R842" s="152">
        <v>0</v>
      </c>
      <c r="S842" s="174" t="s">
        <v>5191</v>
      </c>
      <c r="T842" s="74">
        <v>46196</v>
      </c>
      <c r="U842" s="74">
        <v>46196</v>
      </c>
      <c r="V842" s="48"/>
      <c r="W842" s="48"/>
      <c r="X842" s="48"/>
      <c r="Y842" s="48">
        <v>0</v>
      </c>
      <c r="Z842" s="48"/>
      <c r="AA842" s="48" t="s">
        <v>21</v>
      </c>
      <c r="AB842" s="48" t="s">
        <v>27</v>
      </c>
      <c r="AC842" s="48" t="s">
        <v>621</v>
      </c>
      <c r="AD842" s="89" t="s">
        <v>1026</v>
      </c>
    </row>
    <row r="843" spans="1:30" ht="15.75" hidden="1" x14ac:dyDescent="0.25">
      <c r="A843" s="48" t="s">
        <v>3321</v>
      </c>
      <c r="B843" s="74">
        <v>46023</v>
      </c>
      <c r="C843" s="48" t="s">
        <v>1537</v>
      </c>
      <c r="D843" s="48" t="s">
        <v>20</v>
      </c>
      <c r="E843" s="48" t="s">
        <v>3231</v>
      </c>
      <c r="F843" s="48" t="s">
        <v>483</v>
      </c>
      <c r="G843" s="48" t="s">
        <v>24</v>
      </c>
      <c r="H843" s="48" t="s">
        <v>483</v>
      </c>
      <c r="I843" s="48" t="s">
        <v>26</v>
      </c>
      <c r="J843" s="48">
        <v>1020096</v>
      </c>
      <c r="K843" s="50">
        <v>500000</v>
      </c>
      <c r="L843" s="50">
        <v>1</v>
      </c>
      <c r="M843" s="50">
        <v>500000</v>
      </c>
      <c r="N843" s="50">
        <v>0</v>
      </c>
      <c r="O843" s="50">
        <v>500000</v>
      </c>
      <c r="P843" s="50">
        <v>500000</v>
      </c>
      <c r="Q843" s="87">
        <v>0</v>
      </c>
      <c r="R843" s="152">
        <v>0</v>
      </c>
      <c r="S843" s="174" t="s">
        <v>5081</v>
      </c>
      <c r="T843" s="74">
        <v>46142</v>
      </c>
      <c r="U843" s="74">
        <v>46142</v>
      </c>
      <c r="V843" s="48"/>
      <c r="W843" s="48"/>
      <c r="X843" s="48"/>
      <c r="Y843" s="48">
        <v>0</v>
      </c>
      <c r="Z843" s="48"/>
      <c r="AA843" s="48" t="s">
        <v>62</v>
      </c>
      <c r="AB843" s="48" t="s">
        <v>27</v>
      </c>
      <c r="AC843" s="48" t="s">
        <v>3229</v>
      </c>
      <c r="AD843" s="89" t="s">
        <v>1026</v>
      </c>
    </row>
    <row r="844" spans="1:30" ht="15.75" hidden="1" x14ac:dyDescent="0.25">
      <c r="A844" s="48" t="s">
        <v>3956</v>
      </c>
      <c r="B844" s="74">
        <v>46057</v>
      </c>
      <c r="C844" s="48" t="s">
        <v>1537</v>
      </c>
      <c r="D844" s="48" t="s">
        <v>20</v>
      </c>
      <c r="E844" s="48" t="s">
        <v>3231</v>
      </c>
      <c r="F844" s="48" t="s">
        <v>483</v>
      </c>
      <c r="G844" s="48" t="s">
        <v>24</v>
      </c>
      <c r="H844" s="48" t="s">
        <v>483</v>
      </c>
      <c r="I844" s="48" t="s">
        <v>26</v>
      </c>
      <c r="J844" s="48">
        <v>1020096</v>
      </c>
      <c r="K844" s="50">
        <v>500000</v>
      </c>
      <c r="L844" s="50">
        <v>1</v>
      </c>
      <c r="M844" s="50">
        <v>500000</v>
      </c>
      <c r="N844" s="50">
        <v>0</v>
      </c>
      <c r="O844" s="50">
        <v>500000</v>
      </c>
      <c r="P844" s="50">
        <v>500000</v>
      </c>
      <c r="Q844" s="87">
        <v>0</v>
      </c>
      <c r="R844" s="152">
        <v>0</v>
      </c>
      <c r="S844" s="174" t="s">
        <v>4684</v>
      </c>
      <c r="T844" s="74">
        <v>46142</v>
      </c>
      <c r="U844" s="74">
        <v>46142</v>
      </c>
      <c r="V844" s="48"/>
      <c r="W844" s="48"/>
      <c r="X844" s="48"/>
      <c r="Y844" s="48">
        <v>0</v>
      </c>
      <c r="Z844" s="48"/>
      <c r="AA844" s="48" t="s">
        <v>62</v>
      </c>
      <c r="AB844" s="48" t="s">
        <v>27</v>
      </c>
      <c r="AC844" s="48" t="s">
        <v>3229</v>
      </c>
      <c r="AD844" s="89" t="s">
        <v>1026</v>
      </c>
    </row>
    <row r="845" spans="1:30" ht="15.75" hidden="1" x14ac:dyDescent="0.25">
      <c r="A845" s="48" t="s">
        <v>784</v>
      </c>
      <c r="B845" s="74">
        <v>45741</v>
      </c>
      <c r="C845" s="48" t="s">
        <v>1864</v>
      </c>
      <c r="D845" s="48" t="s">
        <v>20</v>
      </c>
      <c r="E845" s="48" t="s">
        <v>785</v>
      </c>
      <c r="F845" s="48" t="s">
        <v>710</v>
      </c>
      <c r="G845" s="48" t="s">
        <v>3221</v>
      </c>
      <c r="H845" s="48" t="s">
        <v>81</v>
      </c>
      <c r="I845" s="48" t="s">
        <v>26</v>
      </c>
      <c r="J845" s="48">
        <v>1020070</v>
      </c>
      <c r="K845" s="50">
        <v>1548105.39</v>
      </c>
      <c r="L845" s="50">
        <v>1</v>
      </c>
      <c r="M845" s="50">
        <v>1548105.39</v>
      </c>
      <c r="N845" s="50">
        <v>1548105.39</v>
      </c>
      <c r="O845" s="50">
        <v>0</v>
      </c>
      <c r="P845" s="50">
        <v>0</v>
      </c>
      <c r="Q845" s="87">
        <v>0</v>
      </c>
      <c r="R845" s="152">
        <v>0</v>
      </c>
      <c r="S845" s="174"/>
      <c r="T845" s="74">
        <v>45808</v>
      </c>
      <c r="U845" s="74">
        <v>45777</v>
      </c>
      <c r="V845" s="48"/>
      <c r="W845" s="48"/>
      <c r="X845" s="48"/>
      <c r="Y845" s="48">
        <v>0</v>
      </c>
      <c r="Z845" s="48"/>
      <c r="AA845" s="48" t="s">
        <v>366</v>
      </c>
      <c r="AB845" s="48" t="s">
        <v>27</v>
      </c>
      <c r="AC845" s="48" t="s">
        <v>621</v>
      </c>
      <c r="AD845" s="89" t="s">
        <v>845</v>
      </c>
    </row>
    <row r="846" spans="1:30" ht="15.75" hidden="1" x14ac:dyDescent="0.25">
      <c r="A846" s="48" t="s">
        <v>423</v>
      </c>
      <c r="B846" s="74">
        <v>45559</v>
      </c>
      <c r="C846" s="48" t="s">
        <v>1182</v>
      </c>
      <c r="D846" s="48" t="s">
        <v>20</v>
      </c>
      <c r="E846" s="48" t="s">
        <v>424</v>
      </c>
      <c r="F846" s="48" t="s">
        <v>96</v>
      </c>
      <c r="G846" s="48" t="s">
        <v>24</v>
      </c>
      <c r="H846" s="48" t="s">
        <v>25</v>
      </c>
      <c r="I846" s="48" t="s">
        <v>26</v>
      </c>
      <c r="J846" s="48">
        <v>1020052</v>
      </c>
      <c r="K846" s="50">
        <v>1000000</v>
      </c>
      <c r="L846" s="50">
        <v>1</v>
      </c>
      <c r="M846" s="50">
        <v>1000000</v>
      </c>
      <c r="N846" s="50">
        <v>1000000</v>
      </c>
      <c r="O846" s="50">
        <v>0</v>
      </c>
      <c r="P846" s="50">
        <v>0</v>
      </c>
      <c r="Q846" s="87">
        <v>0</v>
      </c>
      <c r="R846" s="152">
        <v>0</v>
      </c>
      <c r="S846" s="174"/>
      <c r="T846" s="74">
        <v>45657</v>
      </c>
      <c r="U846" s="74">
        <v>45630</v>
      </c>
      <c r="V846" s="48"/>
      <c r="W846" s="48"/>
      <c r="X846" s="48"/>
      <c r="Y846" s="48">
        <v>0</v>
      </c>
      <c r="Z846" s="48"/>
      <c r="AA846" s="48" t="s">
        <v>95</v>
      </c>
      <c r="AB846" s="48" t="s">
        <v>27</v>
      </c>
      <c r="AC846" s="48" t="s">
        <v>425</v>
      </c>
      <c r="AD846" s="89" t="s">
        <v>845</v>
      </c>
    </row>
    <row r="847" spans="1:30" ht="15.75" hidden="1" x14ac:dyDescent="0.25">
      <c r="A847" s="48" t="s">
        <v>731</v>
      </c>
      <c r="B847" s="74">
        <v>45725</v>
      </c>
      <c r="C847" s="48" t="s">
        <v>509</v>
      </c>
      <c r="D847" s="48" t="s">
        <v>20</v>
      </c>
      <c r="E847" s="48" t="s">
        <v>732</v>
      </c>
      <c r="F847" s="48" t="s">
        <v>483</v>
      </c>
      <c r="G847" s="48" t="s">
        <v>72</v>
      </c>
      <c r="H847" s="48" t="s">
        <v>304</v>
      </c>
      <c r="I847" s="48" t="s">
        <v>26</v>
      </c>
      <c r="J847" s="48">
        <v>1020098</v>
      </c>
      <c r="K847" s="50">
        <v>17471352</v>
      </c>
      <c r="L847" s="50">
        <v>1</v>
      </c>
      <c r="M847" s="50">
        <v>17471352</v>
      </c>
      <c r="N847" s="50">
        <v>0</v>
      </c>
      <c r="O847" s="50">
        <v>17471352</v>
      </c>
      <c r="P847" s="50">
        <v>0</v>
      </c>
      <c r="Q847" s="87">
        <v>17471352</v>
      </c>
      <c r="R847" s="152">
        <v>0</v>
      </c>
      <c r="S847" s="174"/>
      <c r="T847" s="74">
        <v>45792</v>
      </c>
      <c r="U847" s="74">
        <v>45767</v>
      </c>
      <c r="V847" s="48"/>
      <c r="W847" s="48"/>
      <c r="X847" s="48"/>
      <c r="Y847" s="48">
        <v>0</v>
      </c>
      <c r="Z847" s="48"/>
      <c r="AA847" s="48" t="s">
        <v>373</v>
      </c>
      <c r="AB847" s="48" t="s">
        <v>27</v>
      </c>
      <c r="AC847" s="48" t="s">
        <v>305</v>
      </c>
      <c r="AD847" s="89" t="s">
        <v>845</v>
      </c>
    </row>
    <row r="848" spans="1:30" ht="15.75" hidden="1" x14ac:dyDescent="0.25">
      <c r="A848" s="48" t="s">
        <v>531</v>
      </c>
      <c r="B848" s="74">
        <v>45622</v>
      </c>
      <c r="C848" s="48" t="s">
        <v>509</v>
      </c>
      <c r="D848" s="48" t="s">
        <v>20</v>
      </c>
      <c r="E848" s="48" t="s">
        <v>532</v>
      </c>
      <c r="F848" s="48" t="s">
        <v>483</v>
      </c>
      <c r="G848" s="48" t="s">
        <v>72</v>
      </c>
      <c r="H848" s="48" t="s">
        <v>304</v>
      </c>
      <c r="I848" s="48" t="s">
        <v>26</v>
      </c>
      <c r="J848" s="48">
        <v>1020098</v>
      </c>
      <c r="K848" s="50">
        <v>9000429</v>
      </c>
      <c r="L848" s="50">
        <v>1</v>
      </c>
      <c r="M848" s="50">
        <v>9000429</v>
      </c>
      <c r="N848" s="50">
        <v>8652634.5</v>
      </c>
      <c r="O848" s="50">
        <v>347794.5</v>
      </c>
      <c r="P848" s="50">
        <v>0</v>
      </c>
      <c r="Q848" s="87">
        <v>347794.5</v>
      </c>
      <c r="R848" s="152">
        <v>0</v>
      </c>
      <c r="S848" s="174"/>
      <c r="T848" s="74">
        <v>45747</v>
      </c>
      <c r="U848" s="74">
        <v>45720</v>
      </c>
      <c r="V848" s="48"/>
      <c r="W848" s="48"/>
      <c r="X848" s="48"/>
      <c r="Y848" s="48">
        <v>0</v>
      </c>
      <c r="Z848" s="48"/>
      <c r="AA848" s="48" t="s">
        <v>373</v>
      </c>
      <c r="AB848" s="48" t="s">
        <v>27</v>
      </c>
      <c r="AC848" s="48" t="s">
        <v>461</v>
      </c>
      <c r="AD848" s="89" t="s">
        <v>845</v>
      </c>
    </row>
    <row r="849" spans="1:30" ht="15.75" hidden="1" x14ac:dyDescent="0.25">
      <c r="A849" s="48" t="s">
        <v>610</v>
      </c>
      <c r="B849" s="74">
        <v>45669</v>
      </c>
      <c r="C849" s="48" t="s">
        <v>509</v>
      </c>
      <c r="D849" s="48" t="s">
        <v>20</v>
      </c>
      <c r="E849" s="48" t="s">
        <v>532</v>
      </c>
      <c r="F849" s="48" t="s">
        <v>96</v>
      </c>
      <c r="G849" s="48" t="s">
        <v>72</v>
      </c>
      <c r="H849" s="48" t="s">
        <v>304</v>
      </c>
      <c r="I849" s="48" t="s">
        <v>26</v>
      </c>
      <c r="J849" s="48">
        <v>1020098</v>
      </c>
      <c r="K849" s="50">
        <v>18879540</v>
      </c>
      <c r="L849" s="50">
        <v>1</v>
      </c>
      <c r="M849" s="50">
        <v>18879540</v>
      </c>
      <c r="N849" s="50">
        <v>18806709</v>
      </c>
      <c r="O849" s="50">
        <v>72831</v>
      </c>
      <c r="P849" s="50">
        <v>0</v>
      </c>
      <c r="Q849" s="87">
        <v>72831</v>
      </c>
      <c r="R849" s="152">
        <v>0</v>
      </c>
      <c r="S849" s="174"/>
      <c r="T849" s="74">
        <v>45747</v>
      </c>
      <c r="U849" s="74">
        <v>45720</v>
      </c>
      <c r="V849" s="48"/>
      <c r="W849" s="48"/>
      <c r="X849" s="48"/>
      <c r="Y849" s="48">
        <v>0</v>
      </c>
      <c r="Z849" s="48"/>
      <c r="AA849" s="48" t="s">
        <v>95</v>
      </c>
      <c r="AB849" s="48" t="s">
        <v>27</v>
      </c>
      <c r="AC849" s="48" t="s">
        <v>461</v>
      </c>
      <c r="AD849" s="89" t="s">
        <v>845</v>
      </c>
    </row>
    <row r="850" spans="1:30" ht="15.75" hidden="1" x14ac:dyDescent="0.25">
      <c r="A850" s="48" t="s">
        <v>730</v>
      </c>
      <c r="B850" s="74">
        <v>45714</v>
      </c>
      <c r="C850" s="48" t="s">
        <v>509</v>
      </c>
      <c r="D850" s="48" t="s">
        <v>20</v>
      </c>
      <c r="E850" s="48" t="s">
        <v>532</v>
      </c>
      <c r="F850" s="48" t="s">
        <v>483</v>
      </c>
      <c r="G850" s="48" t="s">
        <v>72</v>
      </c>
      <c r="H850" s="48" t="s">
        <v>304</v>
      </c>
      <c r="I850" s="48" t="s">
        <v>26</v>
      </c>
      <c r="J850" s="48">
        <v>1020098</v>
      </c>
      <c r="K850" s="50">
        <v>30000000</v>
      </c>
      <c r="L850" s="50">
        <v>1</v>
      </c>
      <c r="M850" s="50">
        <v>30000000</v>
      </c>
      <c r="N850" s="50">
        <v>30000000</v>
      </c>
      <c r="O850" s="50">
        <v>0</v>
      </c>
      <c r="P850" s="50">
        <v>0</v>
      </c>
      <c r="Q850" s="87">
        <v>0</v>
      </c>
      <c r="R850" s="152">
        <v>0</v>
      </c>
      <c r="S850" s="174"/>
      <c r="T850" s="74">
        <v>45808</v>
      </c>
      <c r="U850" s="74">
        <v>45720</v>
      </c>
      <c r="V850" s="48"/>
      <c r="W850" s="48"/>
      <c r="X850" s="48"/>
      <c r="Y850" s="48">
        <v>0</v>
      </c>
      <c r="Z850" s="48"/>
      <c r="AA850" s="48" t="s">
        <v>373</v>
      </c>
      <c r="AB850" s="48" t="s">
        <v>27</v>
      </c>
      <c r="AC850" s="48" t="s">
        <v>461</v>
      </c>
      <c r="AD850" s="89" t="s">
        <v>845</v>
      </c>
    </row>
    <row r="851" spans="1:30" ht="15.75" hidden="1" x14ac:dyDescent="0.25">
      <c r="A851" s="48" t="s">
        <v>1336</v>
      </c>
      <c r="B851" s="74">
        <v>45792</v>
      </c>
      <c r="C851" s="48" t="s">
        <v>509</v>
      </c>
      <c r="D851" s="48" t="s">
        <v>20</v>
      </c>
      <c r="E851" s="48" t="s">
        <v>532</v>
      </c>
      <c r="F851" s="48" t="s">
        <v>96</v>
      </c>
      <c r="G851" s="48" t="s">
        <v>72</v>
      </c>
      <c r="H851" s="48" t="s">
        <v>304</v>
      </c>
      <c r="I851" s="48" t="s">
        <v>26</v>
      </c>
      <c r="J851" s="48">
        <v>1020098</v>
      </c>
      <c r="K851" s="50">
        <v>23391922.5</v>
      </c>
      <c r="L851" s="50">
        <v>1</v>
      </c>
      <c r="M851" s="50">
        <v>23391922.5</v>
      </c>
      <c r="N851" s="50">
        <v>23391922.5</v>
      </c>
      <c r="O851" s="50">
        <v>0</v>
      </c>
      <c r="P851" s="50">
        <v>0</v>
      </c>
      <c r="Q851" s="87">
        <v>0</v>
      </c>
      <c r="R851" s="152">
        <v>0</v>
      </c>
      <c r="S851" s="174"/>
      <c r="T851" s="74">
        <v>45900</v>
      </c>
      <c r="U851" s="74">
        <v>45873</v>
      </c>
      <c r="V851" s="48"/>
      <c r="W851" s="48"/>
      <c r="X851" s="48"/>
      <c r="Y851" s="48"/>
      <c r="Z851" s="48"/>
      <c r="AA851" s="48" t="s">
        <v>95</v>
      </c>
      <c r="AB851" s="48" t="s">
        <v>27</v>
      </c>
      <c r="AC851" s="48" t="s">
        <v>461</v>
      </c>
      <c r="AD851" s="89" t="s">
        <v>845</v>
      </c>
    </row>
    <row r="852" spans="1:30" ht="15.75" hidden="1" x14ac:dyDescent="0.25">
      <c r="A852" s="48" t="s">
        <v>1511</v>
      </c>
      <c r="B852" s="74">
        <v>45833</v>
      </c>
      <c r="C852" s="48" t="s">
        <v>509</v>
      </c>
      <c r="D852" s="48" t="s">
        <v>20</v>
      </c>
      <c r="E852" s="48" t="s">
        <v>532</v>
      </c>
      <c r="F852" s="48" t="s">
        <v>613</v>
      </c>
      <c r="G852" s="48" t="s">
        <v>72</v>
      </c>
      <c r="H852" s="48" t="s">
        <v>304</v>
      </c>
      <c r="I852" s="48" t="s">
        <v>26</v>
      </c>
      <c r="J852" s="48">
        <v>1020098</v>
      </c>
      <c r="K852" s="50">
        <v>14000000</v>
      </c>
      <c r="L852" s="50">
        <v>1</v>
      </c>
      <c r="M852" s="50">
        <v>14000000</v>
      </c>
      <c r="N852" s="50">
        <v>14000000</v>
      </c>
      <c r="O852" s="50">
        <v>0</v>
      </c>
      <c r="P852" s="50">
        <v>0</v>
      </c>
      <c r="Q852" s="87">
        <v>0</v>
      </c>
      <c r="R852" s="152">
        <v>0</v>
      </c>
      <c r="S852" s="174"/>
      <c r="T852" s="74">
        <v>45900</v>
      </c>
      <c r="U852" s="74">
        <v>45873</v>
      </c>
      <c r="V852" s="48"/>
      <c r="W852" s="48"/>
      <c r="X852" s="48"/>
      <c r="Y852" s="48">
        <v>0</v>
      </c>
      <c r="Z852" s="48"/>
      <c r="AA852" s="48" t="s">
        <v>612</v>
      </c>
      <c r="AB852" s="48" t="s">
        <v>27</v>
      </c>
      <c r="AC852" s="48" t="s">
        <v>461</v>
      </c>
      <c r="AD852" s="89" t="s">
        <v>845</v>
      </c>
    </row>
    <row r="853" spans="1:30" ht="15.75" hidden="1" x14ac:dyDescent="0.25">
      <c r="A853" s="48" t="s">
        <v>1801</v>
      </c>
      <c r="B853" s="74">
        <v>45894</v>
      </c>
      <c r="C853" s="48" t="s">
        <v>1181</v>
      </c>
      <c r="D853" s="48" t="s">
        <v>20</v>
      </c>
      <c r="E853" s="48" t="s">
        <v>1765</v>
      </c>
      <c r="F853" s="48" t="s">
        <v>710</v>
      </c>
      <c r="G853" s="48" t="s">
        <v>1791</v>
      </c>
      <c r="H853" s="48" t="s">
        <v>81</v>
      </c>
      <c r="I853" s="48" t="s">
        <v>26</v>
      </c>
      <c r="J853" s="48">
        <v>1020070</v>
      </c>
      <c r="K853" s="50">
        <v>1500000</v>
      </c>
      <c r="L853" s="50">
        <v>1</v>
      </c>
      <c r="M853" s="50">
        <v>1500000</v>
      </c>
      <c r="N853" s="50">
        <v>1500000</v>
      </c>
      <c r="O853" s="50">
        <v>0</v>
      </c>
      <c r="P853" s="50">
        <v>0</v>
      </c>
      <c r="Q853" s="87">
        <v>0</v>
      </c>
      <c r="R853" s="152">
        <v>0</v>
      </c>
      <c r="S853" s="174"/>
      <c r="T853" s="74">
        <v>45961</v>
      </c>
      <c r="U853" s="74">
        <v>45961</v>
      </c>
      <c r="V853" s="48"/>
      <c r="W853" s="48"/>
      <c r="X853" s="48"/>
      <c r="Y853" s="48">
        <v>0</v>
      </c>
      <c r="Z853" s="48"/>
      <c r="AA853" s="48" t="s">
        <v>366</v>
      </c>
      <c r="AB853" s="48" t="s">
        <v>27</v>
      </c>
      <c r="AC853" s="48" t="s">
        <v>1761</v>
      </c>
      <c r="AD853" s="89" t="s">
        <v>845</v>
      </c>
    </row>
    <row r="854" spans="1:30" ht="15.75" hidden="1" x14ac:dyDescent="0.25">
      <c r="A854" s="48" t="s">
        <v>313</v>
      </c>
      <c r="B854" s="74">
        <v>45379</v>
      </c>
      <c r="C854" s="48" t="s">
        <v>1182</v>
      </c>
      <c r="D854" s="48" t="s">
        <v>20</v>
      </c>
      <c r="E854" s="48" t="s">
        <v>314</v>
      </c>
      <c r="F854" s="48" t="s">
        <v>70</v>
      </c>
      <c r="G854" s="48" t="s">
        <v>80</v>
      </c>
      <c r="H854" s="48" t="s">
        <v>90</v>
      </c>
      <c r="I854" s="48" t="s">
        <v>26</v>
      </c>
      <c r="J854" s="48">
        <v>1020001</v>
      </c>
      <c r="K854" s="50">
        <v>4219083.67</v>
      </c>
      <c r="L854" s="50">
        <v>1</v>
      </c>
      <c r="M854" s="50">
        <v>4219083.67</v>
      </c>
      <c r="N854" s="50">
        <v>4219083.67</v>
      </c>
      <c r="O854" s="50">
        <v>0</v>
      </c>
      <c r="P854" s="50">
        <v>0</v>
      </c>
      <c r="Q854" s="87">
        <v>0</v>
      </c>
      <c r="R854" s="152">
        <v>0</v>
      </c>
      <c r="S854" s="174"/>
      <c r="T854" s="74">
        <v>45625</v>
      </c>
      <c r="U854" s="74">
        <v>45625</v>
      </c>
      <c r="V854" s="48"/>
      <c r="W854" s="48"/>
      <c r="X854" s="48"/>
      <c r="Y854" s="48">
        <v>0</v>
      </c>
      <c r="Z854" s="48"/>
      <c r="AA854" s="48" t="s">
        <v>62</v>
      </c>
      <c r="AB854" s="48" t="s">
        <v>70</v>
      </c>
      <c r="AC854" s="48"/>
      <c r="AD854" s="89" t="s">
        <v>845</v>
      </c>
    </row>
    <row r="855" spans="1:30" ht="15.75" hidden="1" x14ac:dyDescent="0.25">
      <c r="A855" s="48" t="s">
        <v>513</v>
      </c>
      <c r="B855" s="74">
        <v>45379</v>
      </c>
      <c r="C855" s="48" t="s">
        <v>1182</v>
      </c>
      <c r="D855" s="48" t="s">
        <v>20</v>
      </c>
      <c r="E855" s="48" t="s">
        <v>314</v>
      </c>
      <c r="F855" s="48" t="s">
        <v>63</v>
      </c>
      <c r="G855" s="48" t="s">
        <v>80</v>
      </c>
      <c r="H855" s="48" t="s">
        <v>90</v>
      </c>
      <c r="I855" s="48" t="s">
        <v>26</v>
      </c>
      <c r="J855" s="48">
        <v>1020001</v>
      </c>
      <c r="K855" s="50">
        <v>8343884.8700000001</v>
      </c>
      <c r="L855" s="50">
        <v>1</v>
      </c>
      <c r="M855" s="50">
        <v>8343884.8700000001</v>
      </c>
      <c r="N855" s="50">
        <v>8343884.8699999992</v>
      </c>
      <c r="O855" s="50">
        <v>0</v>
      </c>
      <c r="P855" s="50">
        <v>0</v>
      </c>
      <c r="Q855" s="87">
        <v>0</v>
      </c>
      <c r="R855" s="152">
        <v>0</v>
      </c>
      <c r="S855" s="174"/>
      <c r="T855" s="74">
        <v>45625</v>
      </c>
      <c r="U855" s="74">
        <v>45625</v>
      </c>
      <c r="V855" s="48"/>
      <c r="W855" s="48"/>
      <c r="X855" s="48"/>
      <c r="Y855" s="48">
        <v>0</v>
      </c>
      <c r="Z855" s="48"/>
      <c r="AA855" s="48" t="s">
        <v>62</v>
      </c>
      <c r="AB855" s="48" t="s">
        <v>27</v>
      </c>
      <c r="AC855" s="48"/>
      <c r="AD855" s="89" t="s">
        <v>845</v>
      </c>
    </row>
    <row r="856" spans="1:30" ht="15.75" hidden="1" x14ac:dyDescent="0.25">
      <c r="A856" s="48" t="s">
        <v>5426</v>
      </c>
      <c r="B856" s="74">
        <v>46177</v>
      </c>
      <c r="C856" s="48" t="s">
        <v>441</v>
      </c>
      <c r="D856" s="48" t="s">
        <v>20</v>
      </c>
      <c r="E856" s="48" t="s">
        <v>5327</v>
      </c>
      <c r="F856" s="48" t="s">
        <v>710</v>
      </c>
      <c r="G856" s="48" t="s">
        <v>24</v>
      </c>
      <c r="H856" s="48" t="s">
        <v>710</v>
      </c>
      <c r="I856" s="48" t="s">
        <v>26</v>
      </c>
      <c r="J856" s="48">
        <v>1020088</v>
      </c>
      <c r="K856" s="50">
        <v>250000</v>
      </c>
      <c r="L856" s="50">
        <v>1</v>
      </c>
      <c r="M856" s="50">
        <v>250000</v>
      </c>
      <c r="N856" s="50">
        <v>0</v>
      </c>
      <c r="O856" s="50">
        <v>250000</v>
      </c>
      <c r="P856" s="50">
        <v>0</v>
      </c>
      <c r="Q856" s="87">
        <v>250000</v>
      </c>
      <c r="R856" s="152">
        <v>0</v>
      </c>
      <c r="S856" s="174"/>
      <c r="T856" s="74">
        <v>46265</v>
      </c>
      <c r="U856" s="74">
        <v>46265</v>
      </c>
      <c r="V856" s="48"/>
      <c r="W856" s="48"/>
      <c r="X856" s="48"/>
      <c r="Y856" s="48">
        <v>0</v>
      </c>
      <c r="Z856" s="48"/>
      <c r="AA856" s="48" t="s">
        <v>366</v>
      </c>
      <c r="AB856" s="48" t="s">
        <v>27</v>
      </c>
      <c r="AC856" s="48" t="s">
        <v>5175</v>
      </c>
      <c r="AD856" s="89" t="s">
        <v>1026</v>
      </c>
    </row>
    <row r="857" spans="1:30" ht="15.75" hidden="1" x14ac:dyDescent="0.25">
      <c r="A857" s="48" t="s">
        <v>1525</v>
      </c>
      <c r="B857" s="74">
        <v>45834</v>
      </c>
      <c r="C857" s="48" t="s">
        <v>441</v>
      </c>
      <c r="D857" s="48" t="s">
        <v>20</v>
      </c>
      <c r="E857" s="48" t="s">
        <v>1469</v>
      </c>
      <c r="F857" s="48" t="s">
        <v>22</v>
      </c>
      <c r="G857" s="48" t="s">
        <v>24</v>
      </c>
      <c r="H857" s="48" t="s">
        <v>407</v>
      </c>
      <c r="I857" s="48" t="s">
        <v>26</v>
      </c>
      <c r="J857" s="48">
        <v>1020100</v>
      </c>
      <c r="K857" s="50">
        <v>250000</v>
      </c>
      <c r="L857" s="50">
        <v>1</v>
      </c>
      <c r="M857" s="50">
        <v>250000</v>
      </c>
      <c r="N857" s="50">
        <v>0</v>
      </c>
      <c r="O857" s="50">
        <v>250000</v>
      </c>
      <c r="P857" s="50">
        <v>0</v>
      </c>
      <c r="Q857" s="87">
        <v>250000</v>
      </c>
      <c r="R857" s="152">
        <v>0</v>
      </c>
      <c r="S857" s="174"/>
      <c r="T857" s="74">
        <v>46199</v>
      </c>
      <c r="U857" s="74">
        <v>46199</v>
      </c>
      <c r="V857" s="48"/>
      <c r="W857" s="48"/>
      <c r="X857" s="48"/>
      <c r="Y857" s="48">
        <v>0</v>
      </c>
      <c r="Z857" s="48"/>
      <c r="AA857" s="48" t="s">
        <v>21</v>
      </c>
      <c r="AB857" s="48" t="s">
        <v>27</v>
      </c>
      <c r="AC857" s="48" t="s">
        <v>621</v>
      </c>
      <c r="AD857" s="89" t="s">
        <v>1026</v>
      </c>
    </row>
    <row r="858" spans="1:30" ht="15.75" hidden="1" x14ac:dyDescent="0.25">
      <c r="A858" s="48" t="s">
        <v>1794</v>
      </c>
      <c r="B858" s="74">
        <v>45893</v>
      </c>
      <c r="C858" s="48" t="s">
        <v>441</v>
      </c>
      <c r="D858" s="48" t="s">
        <v>20</v>
      </c>
      <c r="E858" s="48" t="s">
        <v>1764</v>
      </c>
      <c r="F858" s="48" t="s">
        <v>22</v>
      </c>
      <c r="G858" s="48" t="s">
        <v>24</v>
      </c>
      <c r="H858" s="48" t="s">
        <v>22</v>
      </c>
      <c r="I858" s="48" t="s">
        <v>26</v>
      </c>
      <c r="J858" s="48">
        <v>1020055</v>
      </c>
      <c r="K858" s="50">
        <v>200000</v>
      </c>
      <c r="L858" s="50">
        <v>1</v>
      </c>
      <c r="M858" s="50">
        <v>200000</v>
      </c>
      <c r="N858" s="50">
        <v>200000</v>
      </c>
      <c r="O858" s="50">
        <v>0</v>
      </c>
      <c r="P858" s="50">
        <v>0</v>
      </c>
      <c r="Q858" s="87">
        <v>0</v>
      </c>
      <c r="R858" s="152">
        <v>0</v>
      </c>
      <c r="S858" s="174"/>
      <c r="T858" s="74">
        <v>45991</v>
      </c>
      <c r="U858" s="74">
        <v>45991</v>
      </c>
      <c r="V858" s="48"/>
      <c r="W858" s="48"/>
      <c r="X858" s="48"/>
      <c r="Y858" s="48">
        <v>0</v>
      </c>
      <c r="Z858" s="48"/>
      <c r="AA858" s="48" t="s">
        <v>21</v>
      </c>
      <c r="AB858" s="48" t="s">
        <v>27</v>
      </c>
      <c r="AC858" s="48" t="s">
        <v>621</v>
      </c>
      <c r="AD858" s="89" t="s">
        <v>845</v>
      </c>
    </row>
    <row r="859" spans="1:30" ht="15.75" hidden="1" x14ac:dyDescent="0.25">
      <c r="A859" s="48" t="s">
        <v>1276</v>
      </c>
      <c r="B859" s="74">
        <v>45784</v>
      </c>
      <c r="C859" s="48" t="s">
        <v>441</v>
      </c>
      <c r="D859" s="48" t="s">
        <v>20</v>
      </c>
      <c r="E859" s="48" t="s">
        <v>1250</v>
      </c>
      <c r="F859" s="48" t="s">
        <v>70</v>
      </c>
      <c r="G859" s="48" t="s">
        <v>24</v>
      </c>
      <c r="H859" s="48" t="s">
        <v>407</v>
      </c>
      <c r="I859" s="48" t="s">
        <v>26</v>
      </c>
      <c r="J859" s="48">
        <v>1020100</v>
      </c>
      <c r="K859" s="50">
        <v>500000</v>
      </c>
      <c r="L859" s="50">
        <v>1</v>
      </c>
      <c r="M859" s="50">
        <v>500000</v>
      </c>
      <c r="N859" s="50">
        <v>500000</v>
      </c>
      <c r="O859" s="50">
        <v>0</v>
      </c>
      <c r="P859" s="50">
        <v>0</v>
      </c>
      <c r="Q859" s="87">
        <v>0</v>
      </c>
      <c r="R859" s="152">
        <v>0</v>
      </c>
      <c r="S859" s="174"/>
      <c r="T859" s="74">
        <v>45869</v>
      </c>
      <c r="U859" s="74">
        <v>45869</v>
      </c>
      <c r="V859" s="48"/>
      <c r="W859" s="48"/>
      <c r="X859" s="48"/>
      <c r="Y859" s="48">
        <v>0</v>
      </c>
      <c r="Z859" s="48"/>
      <c r="AA859" s="48" t="s">
        <v>373</v>
      </c>
      <c r="AB859" s="48" t="s">
        <v>70</v>
      </c>
      <c r="AC859" s="48" t="s">
        <v>621</v>
      </c>
      <c r="AD859" s="89" t="s">
        <v>845</v>
      </c>
    </row>
    <row r="860" spans="1:30" ht="15.75" hidden="1" x14ac:dyDescent="0.25">
      <c r="A860" s="48" t="s">
        <v>482</v>
      </c>
      <c r="B860" s="74">
        <v>45623</v>
      </c>
      <c r="C860" s="48" t="s">
        <v>509</v>
      </c>
      <c r="D860" s="48" t="s">
        <v>20</v>
      </c>
      <c r="E860" s="48" t="s">
        <v>484</v>
      </c>
      <c r="F860" s="48" t="s">
        <v>70</v>
      </c>
      <c r="G860" s="48" t="s">
        <v>72</v>
      </c>
      <c r="H860" s="48" t="s">
        <v>407</v>
      </c>
      <c r="I860" s="48" t="s">
        <v>67</v>
      </c>
      <c r="J860" s="48">
        <v>1020100</v>
      </c>
      <c r="K860" s="50">
        <v>965047</v>
      </c>
      <c r="L860" s="50">
        <v>4.6084500000000004</v>
      </c>
      <c r="M860" s="50">
        <v>4447370.8471500007</v>
      </c>
      <c r="N860" s="50">
        <v>4447370.8485483956</v>
      </c>
      <c r="O860" s="50">
        <v>0</v>
      </c>
      <c r="P860" s="50">
        <v>0</v>
      </c>
      <c r="Q860" s="87">
        <v>0</v>
      </c>
      <c r="R860" s="152">
        <v>0</v>
      </c>
      <c r="S860" s="174"/>
      <c r="T860" s="74">
        <v>45945</v>
      </c>
      <c r="U860" s="74">
        <v>45930</v>
      </c>
      <c r="V860" s="48"/>
      <c r="W860" s="48"/>
      <c r="X860" s="48"/>
      <c r="Y860" s="48">
        <v>0</v>
      </c>
      <c r="Z860" s="48"/>
      <c r="AA860" s="48" t="s">
        <v>373</v>
      </c>
      <c r="AB860" s="48" t="s">
        <v>70</v>
      </c>
      <c r="AC860" s="48" t="s">
        <v>208</v>
      </c>
      <c r="AD860" s="89" t="s">
        <v>845</v>
      </c>
    </row>
    <row r="861" spans="1:30" ht="15.75" hidden="1" x14ac:dyDescent="0.25">
      <c r="A861" s="48" t="s">
        <v>1194</v>
      </c>
      <c r="B861" s="74">
        <v>45761</v>
      </c>
      <c r="C861" s="48" t="s">
        <v>509</v>
      </c>
      <c r="D861" s="48" t="s">
        <v>20</v>
      </c>
      <c r="E861" s="48" t="s">
        <v>769</v>
      </c>
      <c r="F861" s="48" t="s">
        <v>22</v>
      </c>
      <c r="G861" s="48" t="s">
        <v>24</v>
      </c>
      <c r="H861" s="48" t="s">
        <v>407</v>
      </c>
      <c r="I861" s="48" t="s">
        <v>26</v>
      </c>
      <c r="J861" s="48">
        <v>1020100</v>
      </c>
      <c r="K861" s="50">
        <v>500000</v>
      </c>
      <c r="L861" s="50">
        <v>1</v>
      </c>
      <c r="M861" s="50">
        <v>500000</v>
      </c>
      <c r="N861" s="50">
        <v>500000</v>
      </c>
      <c r="O861" s="50">
        <v>0</v>
      </c>
      <c r="P861" s="50">
        <v>0</v>
      </c>
      <c r="Q861" s="87">
        <v>0</v>
      </c>
      <c r="R861" s="152">
        <v>0</v>
      </c>
      <c r="S861" s="174"/>
      <c r="T861" s="74">
        <v>45961</v>
      </c>
      <c r="U861" s="74">
        <v>45961</v>
      </c>
      <c r="V861" s="48"/>
      <c r="W861" s="48"/>
      <c r="X861" s="48"/>
      <c r="Y861" s="48">
        <v>0</v>
      </c>
      <c r="Z861" s="48" t="s">
        <v>1846</v>
      </c>
      <c r="AA861" s="48" t="s">
        <v>21</v>
      </c>
      <c r="AB861" s="48" t="s">
        <v>27</v>
      </c>
      <c r="AC861" s="48" t="s">
        <v>311</v>
      </c>
      <c r="AD861" s="89" t="s">
        <v>845</v>
      </c>
    </row>
    <row r="862" spans="1:30" ht="15.75" hidden="1" x14ac:dyDescent="0.25">
      <c r="A862" s="48" t="s">
        <v>1672</v>
      </c>
      <c r="B862" s="74">
        <v>45872</v>
      </c>
      <c r="C862" s="48" t="s">
        <v>1119</v>
      </c>
      <c r="D862" s="48" t="s">
        <v>20</v>
      </c>
      <c r="E862" s="48" t="s">
        <v>1632</v>
      </c>
      <c r="F862" s="48" t="s">
        <v>367</v>
      </c>
      <c r="G862" s="48" t="s">
        <v>24</v>
      </c>
      <c r="H862" s="48" t="s">
        <v>367</v>
      </c>
      <c r="I862" s="48" t="s">
        <v>26</v>
      </c>
      <c r="J862" s="48">
        <v>1020091</v>
      </c>
      <c r="K862" s="50">
        <v>120000</v>
      </c>
      <c r="L862" s="50">
        <v>1</v>
      </c>
      <c r="M862" s="50">
        <v>120000</v>
      </c>
      <c r="N862" s="50">
        <v>119128.29999999999</v>
      </c>
      <c r="O862" s="50">
        <v>871.7</v>
      </c>
      <c r="P862" s="50">
        <v>0</v>
      </c>
      <c r="Q862" s="87">
        <v>871.7</v>
      </c>
      <c r="R862" s="152">
        <v>0</v>
      </c>
      <c r="S862" s="174"/>
      <c r="T862" s="74">
        <v>46081</v>
      </c>
      <c r="U862" s="74">
        <v>46081</v>
      </c>
      <c r="V862" s="48"/>
      <c r="W862" s="48"/>
      <c r="X862" s="48"/>
      <c r="Y862" s="48">
        <v>0</v>
      </c>
      <c r="Z862" s="48"/>
      <c r="AA862" s="48" t="s">
        <v>366</v>
      </c>
      <c r="AB862" s="48" t="s">
        <v>27</v>
      </c>
      <c r="AC862" s="48" t="s">
        <v>1624</v>
      </c>
      <c r="AD862" s="89" t="s">
        <v>845</v>
      </c>
    </row>
    <row r="863" spans="1:30" ht="15.75" hidden="1" x14ac:dyDescent="0.25">
      <c r="A863" s="48" t="s">
        <v>3949</v>
      </c>
      <c r="B863" s="74">
        <v>46057</v>
      </c>
      <c r="C863" s="48" t="s">
        <v>1537</v>
      </c>
      <c r="D863" s="48" t="s">
        <v>20</v>
      </c>
      <c r="E863" s="48" t="s">
        <v>769</v>
      </c>
      <c r="F863" s="48" t="s">
        <v>483</v>
      </c>
      <c r="G863" s="48" t="s">
        <v>24</v>
      </c>
      <c r="H863" s="48" t="s">
        <v>483</v>
      </c>
      <c r="I863" s="48" t="s">
        <v>26</v>
      </c>
      <c r="J863" s="48">
        <v>1020096</v>
      </c>
      <c r="K863" s="50">
        <v>500000</v>
      </c>
      <c r="L863" s="50">
        <v>1</v>
      </c>
      <c r="M863" s="50">
        <v>500000</v>
      </c>
      <c r="N863" s="50">
        <v>0</v>
      </c>
      <c r="O863" s="50">
        <v>500000</v>
      </c>
      <c r="P863" s="50">
        <v>0</v>
      </c>
      <c r="Q863" s="87">
        <v>500000</v>
      </c>
      <c r="R863" s="152">
        <v>0</v>
      </c>
      <c r="S863" s="174"/>
      <c r="T863" s="74">
        <v>46296</v>
      </c>
      <c r="U863" s="74">
        <v>46296</v>
      </c>
      <c r="V863" s="48"/>
      <c r="W863" s="48"/>
      <c r="X863" s="48"/>
      <c r="Y863" s="48">
        <v>0</v>
      </c>
      <c r="Z863" s="48"/>
      <c r="AA863" s="48" t="s">
        <v>62</v>
      </c>
      <c r="AB863" s="48" t="s">
        <v>27</v>
      </c>
      <c r="AC863" s="48" t="s">
        <v>3229</v>
      </c>
      <c r="AD863" s="89" t="s">
        <v>1026</v>
      </c>
    </row>
    <row r="864" spans="1:30" ht="15.75" hidden="1" x14ac:dyDescent="0.25">
      <c r="A864" s="48" t="s">
        <v>5448</v>
      </c>
      <c r="B864" s="74">
        <v>46177</v>
      </c>
      <c r="C864" s="48" t="s">
        <v>441</v>
      </c>
      <c r="D864" s="48" t="s">
        <v>20</v>
      </c>
      <c r="E864" s="48" t="s">
        <v>769</v>
      </c>
      <c r="F864" s="48" t="s">
        <v>710</v>
      </c>
      <c r="G864" s="48" t="s">
        <v>24</v>
      </c>
      <c r="H864" s="48" t="s">
        <v>710</v>
      </c>
      <c r="I864" s="48" t="s">
        <v>26</v>
      </c>
      <c r="J864" s="48">
        <v>1020088</v>
      </c>
      <c r="K864" s="50">
        <v>300000</v>
      </c>
      <c r="L864" s="50">
        <v>1</v>
      </c>
      <c r="M864" s="50">
        <v>300000</v>
      </c>
      <c r="N864" s="50">
        <v>0</v>
      </c>
      <c r="O864" s="50">
        <v>300000</v>
      </c>
      <c r="P864" s="50">
        <v>0</v>
      </c>
      <c r="Q864" s="87">
        <v>300000</v>
      </c>
      <c r="R864" s="152">
        <v>0</v>
      </c>
      <c r="S864" s="174"/>
      <c r="T864" s="74">
        <v>46265</v>
      </c>
      <c r="U864" s="74">
        <v>46265</v>
      </c>
      <c r="V864" s="48"/>
      <c r="W864" s="48"/>
      <c r="X864" s="48"/>
      <c r="Y864" s="48">
        <v>0</v>
      </c>
      <c r="Z864" s="48"/>
      <c r="AA864" s="48" t="s">
        <v>366</v>
      </c>
      <c r="AB864" s="48" t="s">
        <v>27</v>
      </c>
      <c r="AC864" s="48" t="s">
        <v>5175</v>
      </c>
      <c r="AD864" s="89" t="s">
        <v>1026</v>
      </c>
    </row>
    <row r="865" spans="1:30" ht="15.75" hidden="1" x14ac:dyDescent="0.25">
      <c r="A865" s="48" t="s">
        <v>204</v>
      </c>
      <c r="B865" s="74">
        <v>45147</v>
      </c>
      <c r="C865" s="48" t="s">
        <v>441</v>
      </c>
      <c r="D865" s="48" t="s">
        <v>20</v>
      </c>
      <c r="E865" s="48" t="s">
        <v>205</v>
      </c>
      <c r="F865" s="48" t="s">
        <v>22</v>
      </c>
      <c r="G865" s="48" t="s">
        <v>24</v>
      </c>
      <c r="H865" s="48" t="s">
        <v>22</v>
      </c>
      <c r="I865" s="48" t="s">
        <v>26</v>
      </c>
      <c r="J865" s="48">
        <v>1020055</v>
      </c>
      <c r="K865" s="50">
        <v>661990.6</v>
      </c>
      <c r="L865" s="50">
        <v>1</v>
      </c>
      <c r="M865" s="50">
        <v>661990.6</v>
      </c>
      <c r="N865" s="50">
        <v>661990.6</v>
      </c>
      <c r="O865" s="50">
        <v>0</v>
      </c>
      <c r="P865" s="50">
        <v>0</v>
      </c>
      <c r="Q865" s="87">
        <v>0</v>
      </c>
      <c r="R865" s="152">
        <v>0</v>
      </c>
      <c r="S865" s="174"/>
      <c r="T865" s="74">
        <v>45291</v>
      </c>
      <c r="U865" s="74">
        <v>45291</v>
      </c>
      <c r="V865" s="48"/>
      <c r="W865" s="48"/>
      <c r="X865" s="48"/>
      <c r="Y865" s="48">
        <v>0</v>
      </c>
      <c r="Z865" s="48"/>
      <c r="AA865" s="48" t="s">
        <v>21</v>
      </c>
      <c r="AB865" s="48" t="s">
        <v>27</v>
      </c>
      <c r="AC865" s="48" t="s">
        <v>35</v>
      </c>
      <c r="AD865" s="89" t="s">
        <v>845</v>
      </c>
    </row>
    <row r="866" spans="1:30" ht="15.75" hidden="1" x14ac:dyDescent="0.25">
      <c r="A866" s="48" t="s">
        <v>514</v>
      </c>
      <c r="B866" s="74">
        <v>45643</v>
      </c>
      <c r="C866" s="48" t="s">
        <v>509</v>
      </c>
      <c r="D866" s="48" t="s">
        <v>20</v>
      </c>
      <c r="E866" s="48" t="s">
        <v>515</v>
      </c>
      <c r="F866" s="48" t="s">
        <v>96</v>
      </c>
      <c r="G866" s="48" t="s">
        <v>72</v>
      </c>
      <c r="H866" s="48" t="s">
        <v>487</v>
      </c>
      <c r="I866" s="48" t="s">
        <v>26</v>
      </c>
      <c r="J866" s="48">
        <v>1020060</v>
      </c>
      <c r="K866" s="50">
        <v>999349.72</v>
      </c>
      <c r="L866" s="50">
        <v>1</v>
      </c>
      <c r="M866" s="50">
        <v>999349.72</v>
      </c>
      <c r="N866" s="50">
        <v>999349.72</v>
      </c>
      <c r="O866" s="50">
        <v>0</v>
      </c>
      <c r="P866" s="50">
        <v>0</v>
      </c>
      <c r="Q866" s="87">
        <v>0</v>
      </c>
      <c r="R866" s="152">
        <v>0</v>
      </c>
      <c r="S866" s="174"/>
      <c r="T866" s="74">
        <v>45716</v>
      </c>
      <c r="U866" s="74">
        <v>45692</v>
      </c>
      <c r="V866" s="48"/>
      <c r="W866" s="48"/>
      <c r="X866" s="48"/>
      <c r="Y866" s="48">
        <v>0</v>
      </c>
      <c r="Z866" s="48"/>
      <c r="AA866" s="48" t="s">
        <v>95</v>
      </c>
      <c r="AB866" s="48" t="s">
        <v>27</v>
      </c>
      <c r="AC866" s="48" t="s">
        <v>305</v>
      </c>
      <c r="AD866" s="89" t="s">
        <v>845</v>
      </c>
    </row>
    <row r="867" spans="1:30" ht="15.75" hidden="1" x14ac:dyDescent="0.25">
      <c r="A867" s="48" t="s">
        <v>553</v>
      </c>
      <c r="B867" s="74">
        <v>45634</v>
      </c>
      <c r="C867" s="48" t="s">
        <v>509</v>
      </c>
      <c r="D867" s="48" t="s">
        <v>20</v>
      </c>
      <c r="E867" s="48" t="s">
        <v>554</v>
      </c>
      <c r="F867" s="48" t="s">
        <v>96</v>
      </c>
      <c r="G867" s="48" t="s">
        <v>24</v>
      </c>
      <c r="H867" s="48" t="s">
        <v>407</v>
      </c>
      <c r="I867" s="48" t="s">
        <v>26</v>
      </c>
      <c r="J867" s="48">
        <v>1020100</v>
      </c>
      <c r="K867" s="50">
        <v>300000</v>
      </c>
      <c r="L867" s="50">
        <v>1</v>
      </c>
      <c r="M867" s="50">
        <v>300000</v>
      </c>
      <c r="N867" s="50">
        <v>300000</v>
      </c>
      <c r="O867" s="50">
        <v>0</v>
      </c>
      <c r="P867" s="50">
        <v>0</v>
      </c>
      <c r="Q867" s="87">
        <v>0</v>
      </c>
      <c r="R867" s="152">
        <v>0</v>
      </c>
      <c r="S867" s="174"/>
      <c r="T867" s="74">
        <v>45716</v>
      </c>
      <c r="U867" s="74">
        <v>45716</v>
      </c>
      <c r="V867" s="48"/>
      <c r="W867" s="48"/>
      <c r="X867" s="48"/>
      <c r="Y867" s="48">
        <v>0</v>
      </c>
      <c r="Z867" s="48"/>
      <c r="AA867" s="48" t="s">
        <v>95</v>
      </c>
      <c r="AB867" s="48" t="s">
        <v>27</v>
      </c>
      <c r="AC867" s="48" t="s">
        <v>311</v>
      </c>
      <c r="AD867" s="89" t="s">
        <v>845</v>
      </c>
    </row>
    <row r="868" spans="1:30" ht="15.75" hidden="1" x14ac:dyDescent="0.25">
      <c r="A868" s="48" t="s">
        <v>1658</v>
      </c>
      <c r="B868" s="74">
        <v>45869</v>
      </c>
      <c r="C868" s="48" t="s">
        <v>441</v>
      </c>
      <c r="D868" s="48" t="s">
        <v>20</v>
      </c>
      <c r="E868" s="48" t="s">
        <v>1589</v>
      </c>
      <c r="F868" s="48" t="s">
        <v>22</v>
      </c>
      <c r="G868" s="48" t="s">
        <v>24</v>
      </c>
      <c r="H868" s="48" t="s">
        <v>22</v>
      </c>
      <c r="I868" s="48" t="s">
        <v>26</v>
      </c>
      <c r="J868" s="48">
        <v>1020055</v>
      </c>
      <c r="K868" s="50">
        <v>395588.5</v>
      </c>
      <c r="L868" s="50">
        <v>1</v>
      </c>
      <c r="M868" s="50">
        <v>395588.5</v>
      </c>
      <c r="N868" s="50">
        <v>395588.5</v>
      </c>
      <c r="O868" s="50">
        <v>0</v>
      </c>
      <c r="P868" s="50">
        <v>0</v>
      </c>
      <c r="Q868" s="87">
        <v>0</v>
      </c>
      <c r="R868" s="152">
        <v>0</v>
      </c>
      <c r="S868" s="174"/>
      <c r="T868" s="74">
        <v>45961</v>
      </c>
      <c r="U868" s="74">
        <v>45961</v>
      </c>
      <c r="V868" s="48"/>
      <c r="W868" s="48"/>
      <c r="X868" s="48"/>
      <c r="Y868" s="48">
        <v>0</v>
      </c>
      <c r="Z868" s="48"/>
      <c r="AA868" s="48" t="s">
        <v>21</v>
      </c>
      <c r="AB868" s="48" t="s">
        <v>27</v>
      </c>
      <c r="AC868" s="48" t="s">
        <v>621</v>
      </c>
      <c r="AD868" s="89" t="s">
        <v>845</v>
      </c>
    </row>
    <row r="869" spans="1:30" ht="15.75" hidden="1" x14ac:dyDescent="0.25">
      <c r="A869" s="48" t="s">
        <v>1310</v>
      </c>
      <c r="B869" s="74">
        <v>45788</v>
      </c>
      <c r="C869" s="48" t="s">
        <v>441</v>
      </c>
      <c r="D869" s="48" t="s">
        <v>20</v>
      </c>
      <c r="E869" s="48" t="s">
        <v>1266</v>
      </c>
      <c r="F869" s="48" t="s">
        <v>22</v>
      </c>
      <c r="G869" s="48" t="s">
        <v>24</v>
      </c>
      <c r="H869" s="48" t="s">
        <v>22</v>
      </c>
      <c r="I869" s="48" t="s">
        <v>26</v>
      </c>
      <c r="J869" s="48">
        <v>1020055</v>
      </c>
      <c r="K869" s="50">
        <v>300000</v>
      </c>
      <c r="L869" s="50">
        <v>1</v>
      </c>
      <c r="M869" s="50">
        <v>300000</v>
      </c>
      <c r="N869" s="50">
        <v>300000</v>
      </c>
      <c r="O869" s="50">
        <v>0</v>
      </c>
      <c r="P869" s="50">
        <v>0</v>
      </c>
      <c r="Q869" s="87">
        <v>0</v>
      </c>
      <c r="R869" s="152">
        <v>0</v>
      </c>
      <c r="S869" s="174"/>
      <c r="T869" s="74">
        <v>45900</v>
      </c>
      <c r="U869" s="74">
        <v>45900</v>
      </c>
      <c r="V869" s="48"/>
      <c r="W869" s="48"/>
      <c r="X869" s="48"/>
      <c r="Y869" s="48">
        <v>0</v>
      </c>
      <c r="Z869" s="48"/>
      <c r="AA869" s="48" t="s">
        <v>21</v>
      </c>
      <c r="AB869" s="48" t="s">
        <v>27</v>
      </c>
      <c r="AC869" s="48" t="s">
        <v>621</v>
      </c>
      <c r="AD869" s="89" t="s">
        <v>845</v>
      </c>
    </row>
    <row r="870" spans="1:30" ht="15.75" hidden="1" x14ac:dyDescent="0.25">
      <c r="A870" s="48" t="s">
        <v>810</v>
      </c>
      <c r="B870" s="74">
        <v>45739</v>
      </c>
      <c r="C870" s="48" t="s">
        <v>441</v>
      </c>
      <c r="D870" s="48" t="s">
        <v>20</v>
      </c>
      <c r="E870" s="48" t="s">
        <v>811</v>
      </c>
      <c r="F870" s="48" t="s">
        <v>22</v>
      </c>
      <c r="G870" s="48" t="s">
        <v>24</v>
      </c>
      <c r="H870" s="48" t="s">
        <v>22</v>
      </c>
      <c r="I870" s="48" t="s">
        <v>26</v>
      </c>
      <c r="J870" s="48">
        <v>1020055</v>
      </c>
      <c r="K870" s="50">
        <v>450163.23</v>
      </c>
      <c r="L870" s="50">
        <v>1</v>
      </c>
      <c r="M870" s="50">
        <v>450163.23</v>
      </c>
      <c r="N870" s="50">
        <v>450163.23</v>
      </c>
      <c r="O870" s="50">
        <v>0</v>
      </c>
      <c r="P870" s="50">
        <v>0</v>
      </c>
      <c r="Q870" s="87">
        <v>0</v>
      </c>
      <c r="R870" s="152">
        <v>0</v>
      </c>
      <c r="S870" s="174"/>
      <c r="T870" s="74">
        <v>45900</v>
      </c>
      <c r="U870" s="74">
        <v>45900</v>
      </c>
      <c r="V870" s="48"/>
      <c r="W870" s="48"/>
      <c r="X870" s="48"/>
      <c r="Y870" s="48">
        <v>0</v>
      </c>
      <c r="Z870" s="48" t="s">
        <v>1846</v>
      </c>
      <c r="AA870" s="48" t="s">
        <v>21</v>
      </c>
      <c r="AB870" s="48" t="s">
        <v>27</v>
      </c>
      <c r="AC870" s="48" t="s">
        <v>311</v>
      </c>
      <c r="AD870" s="89" t="s">
        <v>845</v>
      </c>
    </row>
    <row r="871" spans="1:30" ht="15.75" hidden="1" x14ac:dyDescent="0.25">
      <c r="A871" s="48" t="s">
        <v>739</v>
      </c>
      <c r="B871" s="74">
        <v>45725</v>
      </c>
      <c r="C871" s="48" t="s">
        <v>509</v>
      </c>
      <c r="D871" s="48" t="s">
        <v>20</v>
      </c>
      <c r="E871" s="48" t="s">
        <v>740</v>
      </c>
      <c r="F871" s="48" t="s">
        <v>63</v>
      </c>
      <c r="G871" s="48" t="s">
        <v>72</v>
      </c>
      <c r="H871" s="48" t="s">
        <v>304</v>
      </c>
      <c r="I871" s="48" t="s">
        <v>26</v>
      </c>
      <c r="J871" s="48">
        <v>1020098</v>
      </c>
      <c r="K871" s="50">
        <v>7566370.25</v>
      </c>
      <c r="L871" s="50">
        <v>1</v>
      </c>
      <c r="M871" s="50">
        <v>7566370.25</v>
      </c>
      <c r="N871" s="50">
        <v>7566369.8300000001</v>
      </c>
      <c r="O871" s="50">
        <v>0.42</v>
      </c>
      <c r="P871" s="50">
        <v>0</v>
      </c>
      <c r="Q871" s="87">
        <v>0.42</v>
      </c>
      <c r="R871" s="152">
        <v>0</v>
      </c>
      <c r="S871" s="174"/>
      <c r="T871" s="74">
        <v>45808</v>
      </c>
      <c r="U871" s="74">
        <v>45747</v>
      </c>
      <c r="V871" s="48"/>
      <c r="W871" s="48"/>
      <c r="X871" s="48"/>
      <c r="Y871" s="48">
        <v>0</v>
      </c>
      <c r="Z871" s="48"/>
      <c r="AA871" s="48" t="s">
        <v>373</v>
      </c>
      <c r="AB871" s="48" t="s">
        <v>27</v>
      </c>
      <c r="AC871" s="48" t="s">
        <v>461</v>
      </c>
      <c r="AD871" s="89" t="s">
        <v>845</v>
      </c>
    </row>
    <row r="872" spans="1:30" ht="15.75" hidden="1" x14ac:dyDescent="0.25">
      <c r="A872" s="48" t="s">
        <v>1279</v>
      </c>
      <c r="B872" s="74">
        <v>45784</v>
      </c>
      <c r="C872" s="48" t="s">
        <v>441</v>
      </c>
      <c r="D872" s="48" t="s">
        <v>20</v>
      </c>
      <c r="E872" s="48" t="s">
        <v>1242</v>
      </c>
      <c r="F872" s="48" t="s">
        <v>70</v>
      </c>
      <c r="G872" s="48" t="s">
        <v>24</v>
      </c>
      <c r="H872" s="48" t="s">
        <v>407</v>
      </c>
      <c r="I872" s="48" t="s">
        <v>26</v>
      </c>
      <c r="J872" s="48">
        <v>1020100</v>
      </c>
      <c r="K872" s="50">
        <v>270000</v>
      </c>
      <c r="L872" s="50">
        <v>1</v>
      </c>
      <c r="M872" s="50">
        <v>270000</v>
      </c>
      <c r="N872" s="50">
        <v>270000</v>
      </c>
      <c r="O872" s="50">
        <v>0</v>
      </c>
      <c r="P872" s="50">
        <v>0</v>
      </c>
      <c r="Q872" s="87">
        <v>0</v>
      </c>
      <c r="R872" s="152">
        <v>0</v>
      </c>
      <c r="S872" s="174"/>
      <c r="T872" s="74">
        <v>45869</v>
      </c>
      <c r="U872" s="74">
        <v>45869</v>
      </c>
      <c r="V872" s="48"/>
      <c r="W872" s="48"/>
      <c r="X872" s="48"/>
      <c r="Y872" s="48">
        <v>0</v>
      </c>
      <c r="Z872" s="48"/>
      <c r="AA872" s="48" t="s">
        <v>373</v>
      </c>
      <c r="AB872" s="48" t="s">
        <v>70</v>
      </c>
      <c r="AC872" s="48" t="s">
        <v>621</v>
      </c>
      <c r="AD872" s="89" t="s">
        <v>845</v>
      </c>
    </row>
    <row r="873" spans="1:30" ht="15.75" hidden="1" x14ac:dyDescent="0.25">
      <c r="A873" s="48" t="s">
        <v>608</v>
      </c>
      <c r="B873" s="74">
        <v>45662</v>
      </c>
      <c r="C873" s="48" t="s">
        <v>509</v>
      </c>
      <c r="D873" s="48" t="s">
        <v>20</v>
      </c>
      <c r="E873" s="48" t="s">
        <v>609</v>
      </c>
      <c r="F873" s="48" t="s">
        <v>96</v>
      </c>
      <c r="G873" s="48" t="s">
        <v>72</v>
      </c>
      <c r="H873" s="48" t="s">
        <v>304</v>
      </c>
      <c r="I873" s="48" t="s">
        <v>26</v>
      </c>
      <c r="J873" s="48">
        <v>1020098</v>
      </c>
      <c r="K873" s="50">
        <v>12603195</v>
      </c>
      <c r="L873" s="50">
        <v>1</v>
      </c>
      <c r="M873" s="50">
        <v>12603195</v>
      </c>
      <c r="N873" s="50">
        <v>12603195</v>
      </c>
      <c r="O873" s="50">
        <v>0</v>
      </c>
      <c r="P873" s="50">
        <v>0</v>
      </c>
      <c r="Q873" s="87">
        <v>0</v>
      </c>
      <c r="R873" s="152">
        <v>0</v>
      </c>
      <c r="S873" s="174"/>
      <c r="T873" s="74">
        <v>45703</v>
      </c>
      <c r="U873" s="74">
        <v>45698</v>
      </c>
      <c r="V873" s="48"/>
      <c r="W873" s="48"/>
      <c r="X873" s="48"/>
      <c r="Y873" s="48">
        <v>0</v>
      </c>
      <c r="Z873" s="48"/>
      <c r="AA873" s="48" t="s">
        <v>95</v>
      </c>
      <c r="AB873" s="48" t="s">
        <v>27</v>
      </c>
      <c r="AC873" s="48" t="s">
        <v>305</v>
      </c>
      <c r="AD873" s="89" t="s">
        <v>845</v>
      </c>
    </row>
    <row r="874" spans="1:30" ht="15.75" hidden="1" x14ac:dyDescent="0.25">
      <c r="A874" s="48" t="s">
        <v>686</v>
      </c>
      <c r="B874" s="74">
        <v>45685</v>
      </c>
      <c r="C874" s="48" t="s">
        <v>509</v>
      </c>
      <c r="D874" s="48" t="s">
        <v>20</v>
      </c>
      <c r="E874" s="48" t="s">
        <v>609</v>
      </c>
      <c r="F874" s="48" t="s">
        <v>96</v>
      </c>
      <c r="G874" s="48" t="s">
        <v>72</v>
      </c>
      <c r="H874" s="48" t="s">
        <v>304</v>
      </c>
      <c r="I874" s="48" t="s">
        <v>26</v>
      </c>
      <c r="J874" s="48">
        <v>1020098</v>
      </c>
      <c r="K874" s="50">
        <v>5208739.97</v>
      </c>
      <c r="L874" s="50">
        <v>1</v>
      </c>
      <c r="M874" s="50">
        <v>5208739.97</v>
      </c>
      <c r="N874" s="50">
        <v>4911189.34</v>
      </c>
      <c r="O874" s="50">
        <v>297550.63</v>
      </c>
      <c r="P874" s="50">
        <v>0</v>
      </c>
      <c r="Q874" s="87">
        <v>297550.63</v>
      </c>
      <c r="R874" s="152">
        <v>0</v>
      </c>
      <c r="S874" s="174"/>
      <c r="T874" s="74">
        <v>45747</v>
      </c>
      <c r="U874" s="74">
        <v>45731</v>
      </c>
      <c r="V874" s="48"/>
      <c r="W874" s="48"/>
      <c r="X874" s="48"/>
      <c r="Y874" s="48">
        <v>0</v>
      </c>
      <c r="Z874" s="48"/>
      <c r="AA874" s="48" t="s">
        <v>95</v>
      </c>
      <c r="AB874" s="48" t="s">
        <v>27</v>
      </c>
      <c r="AC874" s="48" t="s">
        <v>305</v>
      </c>
      <c r="AD874" s="89" t="s">
        <v>845</v>
      </c>
    </row>
    <row r="875" spans="1:30" ht="15.75" hidden="1" x14ac:dyDescent="0.25">
      <c r="A875" s="48" t="s">
        <v>706</v>
      </c>
      <c r="B875" s="74">
        <v>45713</v>
      </c>
      <c r="C875" s="48" t="s">
        <v>509</v>
      </c>
      <c r="D875" s="48" t="s">
        <v>20</v>
      </c>
      <c r="E875" s="48" t="s">
        <v>609</v>
      </c>
      <c r="F875" s="48" t="s">
        <v>483</v>
      </c>
      <c r="G875" s="48" t="s">
        <v>72</v>
      </c>
      <c r="H875" s="48" t="s">
        <v>304</v>
      </c>
      <c r="I875" s="48" t="s">
        <v>26</v>
      </c>
      <c r="J875" s="48">
        <v>1020098</v>
      </c>
      <c r="K875" s="50">
        <v>11821448</v>
      </c>
      <c r="L875" s="50">
        <v>1</v>
      </c>
      <c r="M875" s="50">
        <v>11821448</v>
      </c>
      <c r="N875" s="50">
        <v>11804060</v>
      </c>
      <c r="O875" s="50">
        <v>17388</v>
      </c>
      <c r="P875" s="50">
        <v>0</v>
      </c>
      <c r="Q875" s="87">
        <v>17388</v>
      </c>
      <c r="R875" s="152">
        <v>0</v>
      </c>
      <c r="S875" s="174"/>
      <c r="T875" s="74">
        <v>45802</v>
      </c>
      <c r="U875" s="74">
        <v>45731</v>
      </c>
      <c r="V875" s="48"/>
      <c r="W875" s="48"/>
      <c r="X875" s="48"/>
      <c r="Y875" s="48">
        <v>0</v>
      </c>
      <c r="Z875" s="48"/>
      <c r="AA875" s="48" t="s">
        <v>373</v>
      </c>
      <c r="AB875" s="48" t="s">
        <v>27</v>
      </c>
      <c r="AC875" s="48" t="s">
        <v>305</v>
      </c>
      <c r="AD875" s="89" t="s">
        <v>845</v>
      </c>
    </row>
    <row r="876" spans="1:30" ht="15.75" hidden="1" x14ac:dyDescent="0.25">
      <c r="A876" s="48" t="s">
        <v>1454</v>
      </c>
      <c r="B876" s="74">
        <v>45822</v>
      </c>
      <c r="C876" s="48" t="s">
        <v>509</v>
      </c>
      <c r="D876" s="48" t="s">
        <v>20</v>
      </c>
      <c r="E876" s="48" t="s">
        <v>609</v>
      </c>
      <c r="F876" s="48" t="s">
        <v>96</v>
      </c>
      <c r="G876" s="48" t="s">
        <v>72</v>
      </c>
      <c r="H876" s="48" t="s">
        <v>304</v>
      </c>
      <c r="I876" s="48" t="s">
        <v>26</v>
      </c>
      <c r="J876" s="48">
        <v>1020098</v>
      </c>
      <c r="K876" s="50">
        <v>6947334</v>
      </c>
      <c r="L876" s="50">
        <v>1</v>
      </c>
      <c r="M876" s="50">
        <v>6947334</v>
      </c>
      <c r="N876" s="50">
        <v>6947334</v>
      </c>
      <c r="O876" s="50">
        <v>0</v>
      </c>
      <c r="P876" s="50">
        <v>0</v>
      </c>
      <c r="Q876" s="87">
        <v>0</v>
      </c>
      <c r="R876" s="152">
        <v>0</v>
      </c>
      <c r="S876" s="174"/>
      <c r="T876" s="74">
        <v>45900</v>
      </c>
      <c r="U876" s="74">
        <v>45900</v>
      </c>
      <c r="V876" s="48"/>
      <c r="W876" s="48"/>
      <c r="X876" s="48"/>
      <c r="Y876" s="48"/>
      <c r="Z876" s="48"/>
      <c r="AA876" s="48" t="s">
        <v>95</v>
      </c>
      <c r="AB876" s="48" t="s">
        <v>27</v>
      </c>
      <c r="AC876" s="48" t="s">
        <v>305</v>
      </c>
      <c r="AD876" s="89" t="s">
        <v>845</v>
      </c>
    </row>
    <row r="877" spans="1:30" ht="15.75" hidden="1" x14ac:dyDescent="0.25">
      <c r="A877" s="48" t="s">
        <v>100</v>
      </c>
      <c r="B877" s="74">
        <v>44899</v>
      </c>
      <c r="C877" s="48" t="s">
        <v>441</v>
      </c>
      <c r="D877" s="48" t="s">
        <v>20</v>
      </c>
      <c r="E877" s="48" t="s">
        <v>101</v>
      </c>
      <c r="F877" s="48" t="s">
        <v>22</v>
      </c>
      <c r="G877" s="48" t="s">
        <v>72</v>
      </c>
      <c r="H877" s="48" t="s">
        <v>22</v>
      </c>
      <c r="I877" s="48" t="s">
        <v>78</v>
      </c>
      <c r="J877" s="48">
        <v>1020055</v>
      </c>
      <c r="K877" s="50">
        <v>14820421.75</v>
      </c>
      <c r="L877" s="50">
        <v>3.75</v>
      </c>
      <c r="M877" s="50">
        <v>55576581.5625</v>
      </c>
      <c r="N877" s="50">
        <v>53278706.214680009</v>
      </c>
      <c r="O877" s="50">
        <v>2297875.35</v>
      </c>
      <c r="P877" s="50">
        <v>0</v>
      </c>
      <c r="Q877" s="87">
        <v>2297875.35</v>
      </c>
      <c r="R877" s="152">
        <v>0</v>
      </c>
      <c r="S877" s="174"/>
      <c r="T877" s="74">
        <v>45041</v>
      </c>
      <c r="U877" s="74">
        <v>45041</v>
      </c>
      <c r="V877" s="48"/>
      <c r="W877" s="48"/>
      <c r="X877" s="48"/>
      <c r="Y877" s="48">
        <v>0</v>
      </c>
      <c r="Z877" s="48"/>
      <c r="AA877" s="48" t="s">
        <v>21</v>
      </c>
      <c r="AB877" s="48" t="s">
        <v>27</v>
      </c>
      <c r="AC877" s="48"/>
      <c r="AD877" s="89" t="s">
        <v>845</v>
      </c>
    </row>
    <row r="878" spans="1:30" ht="15.75" hidden="1" x14ac:dyDescent="0.25">
      <c r="A878" s="48" t="s">
        <v>2237</v>
      </c>
      <c r="B878" s="74">
        <v>45946</v>
      </c>
      <c r="C878" s="48" t="s">
        <v>441</v>
      </c>
      <c r="D878" s="48" t="s">
        <v>20</v>
      </c>
      <c r="E878" s="48" t="s">
        <v>1845</v>
      </c>
      <c r="F878" s="48" t="s">
        <v>710</v>
      </c>
      <c r="G878" s="48" t="s">
        <v>24</v>
      </c>
      <c r="H878" s="48" t="s">
        <v>710</v>
      </c>
      <c r="I878" s="48" t="s">
        <v>26</v>
      </c>
      <c r="J878" s="48">
        <v>1020088</v>
      </c>
      <c r="K878" s="50">
        <v>500000</v>
      </c>
      <c r="L878" s="50">
        <v>1</v>
      </c>
      <c r="M878" s="50">
        <v>500000</v>
      </c>
      <c r="N878" s="50">
        <v>336122.53</v>
      </c>
      <c r="O878" s="50">
        <v>163877.47</v>
      </c>
      <c r="P878" s="50">
        <v>99498</v>
      </c>
      <c r="Q878" s="87">
        <v>64379.47</v>
      </c>
      <c r="R878" s="152">
        <v>0</v>
      </c>
      <c r="S878" s="174" t="s">
        <v>5169</v>
      </c>
      <c r="T878" s="74">
        <v>46203</v>
      </c>
      <c r="U878" s="74">
        <v>46203</v>
      </c>
      <c r="V878" s="48"/>
      <c r="W878" s="48"/>
      <c r="X878" s="48"/>
      <c r="Y878" s="48">
        <v>0</v>
      </c>
      <c r="Z878" s="48"/>
      <c r="AA878" s="48" t="s">
        <v>366</v>
      </c>
      <c r="AB878" s="48" t="s">
        <v>27</v>
      </c>
      <c r="AC878" s="48" t="s">
        <v>621</v>
      </c>
      <c r="AD878" s="89" t="s">
        <v>1026</v>
      </c>
    </row>
    <row r="879" spans="1:30" ht="15.75" hidden="1" x14ac:dyDescent="0.25">
      <c r="A879" s="48" t="s">
        <v>69</v>
      </c>
      <c r="B879" s="74">
        <v>45207</v>
      </c>
      <c r="C879" s="48" t="s">
        <v>1118</v>
      </c>
      <c r="D879" s="48" t="s">
        <v>20</v>
      </c>
      <c r="E879" s="48" t="s">
        <v>71</v>
      </c>
      <c r="F879" s="48" t="s">
        <v>70</v>
      </c>
      <c r="G879" s="48" t="s">
        <v>72</v>
      </c>
      <c r="H879" s="48" t="s">
        <v>213</v>
      </c>
      <c r="I879" s="48" t="s">
        <v>67</v>
      </c>
      <c r="J879" s="48">
        <v>1020015</v>
      </c>
      <c r="K879" s="50">
        <v>5927186</v>
      </c>
      <c r="L879" s="50">
        <v>4.2151211000000002</v>
      </c>
      <c r="M879" s="50">
        <v>24983806.772224601</v>
      </c>
      <c r="N879" s="50">
        <v>24250543.522939995</v>
      </c>
      <c r="O879" s="50">
        <v>733263.25</v>
      </c>
      <c r="P879" s="50">
        <v>0</v>
      </c>
      <c r="Q879" s="87">
        <v>733263.25</v>
      </c>
      <c r="R879" s="152">
        <v>0</v>
      </c>
      <c r="S879" s="174"/>
      <c r="T879" s="74">
        <v>45489</v>
      </c>
      <c r="U879" s="74">
        <v>45489</v>
      </c>
      <c r="V879" s="48"/>
      <c r="W879" s="48"/>
      <c r="X879" s="48"/>
      <c r="Y879" s="48">
        <v>0</v>
      </c>
      <c r="Z879" s="48"/>
      <c r="AA879" s="48" t="s">
        <v>62</v>
      </c>
      <c r="AB879" s="48" t="s">
        <v>70</v>
      </c>
      <c r="AC879" s="48" t="s">
        <v>74</v>
      </c>
      <c r="AD879" s="89" t="s">
        <v>845</v>
      </c>
    </row>
    <row r="880" spans="1:30" ht="15.75" hidden="1" x14ac:dyDescent="0.25">
      <c r="A880" s="48" t="s">
        <v>91</v>
      </c>
      <c r="B880" s="74">
        <v>45379</v>
      </c>
      <c r="C880" s="48" t="s">
        <v>1118</v>
      </c>
      <c r="D880" s="48" t="s">
        <v>20</v>
      </c>
      <c r="E880" s="48" t="s">
        <v>71</v>
      </c>
      <c r="F880" s="48" t="s">
        <v>63</v>
      </c>
      <c r="G880" s="48" t="s">
        <v>72</v>
      </c>
      <c r="H880" s="48" t="s">
        <v>213</v>
      </c>
      <c r="I880" s="48" t="s">
        <v>67</v>
      </c>
      <c r="J880" s="48">
        <v>1020015</v>
      </c>
      <c r="K880" s="50">
        <v>1440242</v>
      </c>
      <c r="L880" s="50">
        <v>4.0999999999999996</v>
      </c>
      <c r="M880" s="50">
        <v>5904992.1999999993</v>
      </c>
      <c r="N880" s="50">
        <v>5877097.7354299994</v>
      </c>
      <c r="O880" s="50">
        <v>27894.46</v>
      </c>
      <c r="P880" s="50">
        <v>0</v>
      </c>
      <c r="Q880" s="87">
        <v>27894.46</v>
      </c>
      <c r="R880" s="152">
        <v>0</v>
      </c>
      <c r="S880" s="174"/>
      <c r="T880" s="74">
        <v>45503</v>
      </c>
      <c r="U880" s="74">
        <v>45503</v>
      </c>
      <c r="V880" s="48"/>
      <c r="W880" s="48"/>
      <c r="X880" s="48"/>
      <c r="Y880" s="48">
        <v>0</v>
      </c>
      <c r="Z880" s="48"/>
      <c r="AA880" s="48" t="s">
        <v>62</v>
      </c>
      <c r="AB880" s="48" t="s">
        <v>27</v>
      </c>
      <c r="AC880" s="48"/>
      <c r="AD880" s="89" t="s">
        <v>845</v>
      </c>
    </row>
    <row r="881" spans="1:30" ht="15.75" hidden="1" x14ac:dyDescent="0.25">
      <c r="A881" s="48" t="s">
        <v>319</v>
      </c>
      <c r="B881" s="74">
        <v>45529</v>
      </c>
      <c r="C881" s="48" t="s">
        <v>1118</v>
      </c>
      <c r="D881" s="48" t="s">
        <v>20</v>
      </c>
      <c r="E881" s="48" t="s">
        <v>71</v>
      </c>
      <c r="F881" s="48" t="s">
        <v>70</v>
      </c>
      <c r="G881" s="48" t="s">
        <v>72</v>
      </c>
      <c r="H881" s="48" t="s">
        <v>213</v>
      </c>
      <c r="I881" s="48" t="s">
        <v>67</v>
      </c>
      <c r="J881" s="48">
        <v>1020015</v>
      </c>
      <c r="K881" s="50">
        <v>964422.8</v>
      </c>
      <c r="L881" s="50">
        <v>4.8235000000000001</v>
      </c>
      <c r="M881" s="50">
        <v>4651893.3758000005</v>
      </c>
      <c r="N881" s="50">
        <v>3529473.1941499999</v>
      </c>
      <c r="O881" s="50">
        <v>1122420.18</v>
      </c>
      <c r="P881" s="50">
        <v>0</v>
      </c>
      <c r="Q881" s="87">
        <v>1122420.18</v>
      </c>
      <c r="R881" s="152">
        <v>0</v>
      </c>
      <c r="S881" s="174"/>
      <c r="T881" s="74">
        <v>45657</v>
      </c>
      <c r="U881" s="74">
        <v>45626</v>
      </c>
      <c r="V881" s="48"/>
      <c r="W881" s="48"/>
      <c r="X881" s="48"/>
      <c r="Y881" s="48">
        <v>0</v>
      </c>
      <c r="Z881" s="48"/>
      <c r="AA881" s="48" t="s">
        <v>62</v>
      </c>
      <c r="AB881" s="48" t="s">
        <v>70</v>
      </c>
      <c r="AC881" s="48"/>
      <c r="AD881" s="89" t="s">
        <v>845</v>
      </c>
    </row>
    <row r="882" spans="1:30" ht="15.75" hidden="1" x14ac:dyDescent="0.25">
      <c r="A882" s="48" t="s">
        <v>757</v>
      </c>
      <c r="B882" s="74">
        <v>45734</v>
      </c>
      <c r="C882" s="48" t="s">
        <v>509</v>
      </c>
      <c r="D882" s="48" t="s">
        <v>20</v>
      </c>
      <c r="E882" s="48" t="s">
        <v>758</v>
      </c>
      <c r="F882" s="48" t="s">
        <v>22</v>
      </c>
      <c r="G882" s="48" t="s">
        <v>24</v>
      </c>
      <c r="H882" s="48" t="s">
        <v>407</v>
      </c>
      <c r="I882" s="48" t="s">
        <v>26</v>
      </c>
      <c r="J882" s="48">
        <v>1020100</v>
      </c>
      <c r="K882" s="50">
        <v>250000</v>
      </c>
      <c r="L882" s="50">
        <v>1</v>
      </c>
      <c r="M882" s="50">
        <v>250000</v>
      </c>
      <c r="N882" s="50">
        <v>250000</v>
      </c>
      <c r="O882" s="50">
        <v>0</v>
      </c>
      <c r="P882" s="50">
        <v>0</v>
      </c>
      <c r="Q882" s="87">
        <v>0</v>
      </c>
      <c r="R882" s="152">
        <v>0</v>
      </c>
      <c r="S882" s="174"/>
      <c r="T882" s="74">
        <v>45838</v>
      </c>
      <c r="U882" s="74">
        <v>45838</v>
      </c>
      <c r="V882" s="48"/>
      <c r="W882" s="48"/>
      <c r="X882" s="48"/>
      <c r="Y882" s="48">
        <v>0</v>
      </c>
      <c r="Z882" s="48"/>
      <c r="AA882" s="48" t="s">
        <v>21</v>
      </c>
      <c r="AB882" s="48" t="s">
        <v>27</v>
      </c>
      <c r="AC882" s="48" t="s">
        <v>311</v>
      </c>
      <c r="AD882" s="89" t="s">
        <v>845</v>
      </c>
    </row>
    <row r="883" spans="1:30" ht="15.75" hidden="1" x14ac:dyDescent="0.25">
      <c r="A883" s="48" t="s">
        <v>1349</v>
      </c>
      <c r="B883" s="74">
        <v>45792</v>
      </c>
      <c r="C883" s="48" t="s">
        <v>441</v>
      </c>
      <c r="D883" s="48" t="s">
        <v>20</v>
      </c>
      <c r="E883" s="48" t="s">
        <v>758</v>
      </c>
      <c r="F883" s="48" t="s">
        <v>22</v>
      </c>
      <c r="G883" s="48" t="s">
        <v>24</v>
      </c>
      <c r="H883" s="48" t="s">
        <v>22</v>
      </c>
      <c r="I883" s="48" t="s">
        <v>26</v>
      </c>
      <c r="J883" s="48">
        <v>1020055</v>
      </c>
      <c r="K883" s="50">
        <v>124712.48</v>
      </c>
      <c r="L883" s="50">
        <v>1</v>
      </c>
      <c r="M883" s="50">
        <v>124712.48</v>
      </c>
      <c r="N883" s="50">
        <v>124712.48</v>
      </c>
      <c r="O883" s="50">
        <v>0</v>
      </c>
      <c r="P883" s="50">
        <v>0</v>
      </c>
      <c r="Q883" s="87">
        <v>0</v>
      </c>
      <c r="R883" s="152">
        <v>0</v>
      </c>
      <c r="S883" s="174"/>
      <c r="T883" s="74">
        <v>45900</v>
      </c>
      <c r="U883" s="74">
        <v>45900</v>
      </c>
      <c r="V883" s="48"/>
      <c r="W883" s="48"/>
      <c r="X883" s="48"/>
      <c r="Y883" s="48">
        <v>0</v>
      </c>
      <c r="Z883" s="48"/>
      <c r="AA883" s="48" t="s">
        <v>21</v>
      </c>
      <c r="AB883" s="48" t="s">
        <v>27</v>
      </c>
      <c r="AC883" s="48" t="s">
        <v>621</v>
      </c>
      <c r="AD883" s="89" t="s">
        <v>845</v>
      </c>
    </row>
    <row r="884" spans="1:30" ht="15.75" hidden="1" x14ac:dyDescent="0.25">
      <c r="A884" s="48" t="s">
        <v>1596</v>
      </c>
      <c r="B884" s="74">
        <v>45862</v>
      </c>
      <c r="C884" s="48" t="s">
        <v>441</v>
      </c>
      <c r="D884" s="48" t="s">
        <v>20</v>
      </c>
      <c r="E884" s="48" t="s">
        <v>1577</v>
      </c>
      <c r="F884" s="48" t="s">
        <v>710</v>
      </c>
      <c r="G884" s="48" t="s">
        <v>24</v>
      </c>
      <c r="H884" s="48" t="s">
        <v>710</v>
      </c>
      <c r="I884" s="48" t="s">
        <v>26</v>
      </c>
      <c r="J884" s="48">
        <v>1020088</v>
      </c>
      <c r="K884" s="50">
        <v>250000</v>
      </c>
      <c r="L884" s="50">
        <v>1</v>
      </c>
      <c r="M884" s="50">
        <v>250000</v>
      </c>
      <c r="N884" s="50">
        <v>250000</v>
      </c>
      <c r="O884" s="50">
        <v>0</v>
      </c>
      <c r="P884" s="50">
        <v>0</v>
      </c>
      <c r="Q884" s="87">
        <v>0</v>
      </c>
      <c r="R884" s="152">
        <v>0</v>
      </c>
      <c r="S884" s="174"/>
      <c r="T884" s="74">
        <v>45961</v>
      </c>
      <c r="U884" s="74">
        <v>45961</v>
      </c>
      <c r="V884" s="48"/>
      <c r="W884" s="48"/>
      <c r="X884" s="48"/>
      <c r="Y884" s="48">
        <v>0</v>
      </c>
      <c r="Z884" s="48"/>
      <c r="AA884" s="48" t="s">
        <v>366</v>
      </c>
      <c r="AB884" s="48" t="s">
        <v>27</v>
      </c>
      <c r="AC884" s="48" t="s">
        <v>621</v>
      </c>
      <c r="AD884" s="89" t="s">
        <v>845</v>
      </c>
    </row>
    <row r="885" spans="1:30" ht="15.75" hidden="1" x14ac:dyDescent="0.25">
      <c r="A885" s="48" t="s">
        <v>5447</v>
      </c>
      <c r="B885" s="74">
        <v>46177</v>
      </c>
      <c r="C885" s="48" t="s">
        <v>441</v>
      </c>
      <c r="D885" s="48" t="s">
        <v>20</v>
      </c>
      <c r="E885" s="48" t="s">
        <v>1577</v>
      </c>
      <c r="F885" s="48" t="s">
        <v>710</v>
      </c>
      <c r="G885" s="48" t="s">
        <v>24</v>
      </c>
      <c r="H885" s="48" t="s">
        <v>710</v>
      </c>
      <c r="I885" s="48" t="s">
        <v>26</v>
      </c>
      <c r="J885" s="48">
        <v>1020088</v>
      </c>
      <c r="K885" s="50">
        <v>200000</v>
      </c>
      <c r="L885" s="50">
        <v>1</v>
      </c>
      <c r="M885" s="50">
        <v>200000</v>
      </c>
      <c r="N885" s="50">
        <v>0</v>
      </c>
      <c r="O885" s="50">
        <v>200000</v>
      </c>
      <c r="P885" s="50">
        <v>0</v>
      </c>
      <c r="Q885" s="87">
        <v>200000</v>
      </c>
      <c r="R885" s="152">
        <v>0</v>
      </c>
      <c r="S885" s="174"/>
      <c r="T885" s="74">
        <v>46265</v>
      </c>
      <c r="U885" s="74">
        <v>46265</v>
      </c>
      <c r="V885" s="48"/>
      <c r="W885" s="48"/>
      <c r="X885" s="48"/>
      <c r="Y885" s="48">
        <v>0</v>
      </c>
      <c r="Z885" s="48"/>
      <c r="AA885" s="48" t="s">
        <v>366</v>
      </c>
      <c r="AB885" s="48" t="s">
        <v>27</v>
      </c>
      <c r="AC885" s="48" t="s">
        <v>5175</v>
      </c>
      <c r="AD885" s="89" t="s">
        <v>1026</v>
      </c>
    </row>
    <row r="886" spans="1:30" ht="15.75" hidden="1" x14ac:dyDescent="0.25">
      <c r="A886" s="48" t="s">
        <v>1272</v>
      </c>
      <c r="B886" s="74">
        <v>45784</v>
      </c>
      <c r="C886" s="48" t="s">
        <v>441</v>
      </c>
      <c r="D886" s="48" t="s">
        <v>20</v>
      </c>
      <c r="E886" s="48" t="s">
        <v>1238</v>
      </c>
      <c r="F886" s="48" t="s">
        <v>70</v>
      </c>
      <c r="G886" s="48" t="s">
        <v>24</v>
      </c>
      <c r="H886" s="48" t="s">
        <v>407</v>
      </c>
      <c r="I886" s="48" t="s">
        <v>26</v>
      </c>
      <c r="J886" s="48">
        <v>1020100</v>
      </c>
      <c r="K886" s="50">
        <v>200000</v>
      </c>
      <c r="L886" s="50">
        <v>1</v>
      </c>
      <c r="M886" s="50">
        <v>200000</v>
      </c>
      <c r="N886" s="50">
        <v>200000</v>
      </c>
      <c r="O886" s="50">
        <v>0</v>
      </c>
      <c r="P886" s="50">
        <v>0</v>
      </c>
      <c r="Q886" s="87">
        <v>0</v>
      </c>
      <c r="R886" s="152">
        <v>0</v>
      </c>
      <c r="S886" s="174"/>
      <c r="T886" s="74">
        <v>45869</v>
      </c>
      <c r="U886" s="74">
        <v>45869</v>
      </c>
      <c r="V886" s="48"/>
      <c r="W886" s="48"/>
      <c r="X886" s="48"/>
      <c r="Y886" s="48">
        <v>0</v>
      </c>
      <c r="Z886" s="48"/>
      <c r="AA886" s="48" t="s">
        <v>373</v>
      </c>
      <c r="AB886" s="48" t="s">
        <v>70</v>
      </c>
      <c r="AC886" s="48" t="s">
        <v>621</v>
      </c>
      <c r="AD886" s="89" t="s">
        <v>845</v>
      </c>
    </row>
    <row r="887" spans="1:30" ht="15.75" hidden="1" x14ac:dyDescent="0.25">
      <c r="A887" s="48" t="s">
        <v>1284</v>
      </c>
      <c r="B887" s="74">
        <v>45785</v>
      </c>
      <c r="C887" s="48" t="s">
        <v>441</v>
      </c>
      <c r="D887" s="48" t="s">
        <v>20</v>
      </c>
      <c r="E887" s="48" t="s">
        <v>1246</v>
      </c>
      <c r="F887" s="48" t="s">
        <v>70</v>
      </c>
      <c r="G887" s="48" t="s">
        <v>24</v>
      </c>
      <c r="H887" s="48" t="s">
        <v>407</v>
      </c>
      <c r="I887" s="48" t="s">
        <v>26</v>
      </c>
      <c r="J887" s="48">
        <v>1020100</v>
      </c>
      <c r="K887" s="50">
        <v>606049</v>
      </c>
      <c r="L887" s="50">
        <v>1</v>
      </c>
      <c r="M887" s="50">
        <v>606049</v>
      </c>
      <c r="N887" s="50">
        <v>606049</v>
      </c>
      <c r="O887" s="50">
        <v>0</v>
      </c>
      <c r="P887" s="50">
        <v>0</v>
      </c>
      <c r="Q887" s="87">
        <v>0</v>
      </c>
      <c r="R887" s="152">
        <v>0</v>
      </c>
      <c r="S887" s="174"/>
      <c r="T887" s="74">
        <v>45869</v>
      </c>
      <c r="U887" s="74">
        <v>45869</v>
      </c>
      <c r="V887" s="48"/>
      <c r="W887" s="48"/>
      <c r="X887" s="48"/>
      <c r="Y887" s="48">
        <v>0</v>
      </c>
      <c r="Z887" s="48"/>
      <c r="AA887" s="48" t="s">
        <v>373</v>
      </c>
      <c r="AB887" s="48" t="s">
        <v>70</v>
      </c>
      <c r="AC887" s="48" t="s">
        <v>621</v>
      </c>
      <c r="AD887" s="89" t="s">
        <v>845</v>
      </c>
    </row>
    <row r="888" spans="1:30" ht="15.75" hidden="1" x14ac:dyDescent="0.25">
      <c r="A888" s="48" t="s">
        <v>1496</v>
      </c>
      <c r="B888" s="74">
        <v>45831</v>
      </c>
      <c r="C888" s="48" t="s">
        <v>441</v>
      </c>
      <c r="D888" s="48" t="s">
        <v>20</v>
      </c>
      <c r="E888" s="48" t="s">
        <v>1246</v>
      </c>
      <c r="F888" s="48" t="s">
        <v>22</v>
      </c>
      <c r="G888" s="48" t="s">
        <v>24</v>
      </c>
      <c r="H888" s="48" t="s">
        <v>407</v>
      </c>
      <c r="I888" s="48" t="s">
        <v>26</v>
      </c>
      <c r="J888" s="48">
        <v>1020100</v>
      </c>
      <c r="K888" s="50">
        <v>309487</v>
      </c>
      <c r="L888" s="50">
        <v>1</v>
      </c>
      <c r="M888" s="50">
        <v>309487</v>
      </c>
      <c r="N888" s="50">
        <v>309487</v>
      </c>
      <c r="O888" s="50">
        <v>0</v>
      </c>
      <c r="P888" s="50">
        <v>0</v>
      </c>
      <c r="Q888" s="87">
        <v>0</v>
      </c>
      <c r="R888" s="152">
        <v>0</v>
      </c>
      <c r="S888" s="174"/>
      <c r="T888" s="74">
        <v>45900</v>
      </c>
      <c r="U888" s="74">
        <v>45900</v>
      </c>
      <c r="V888" s="48"/>
      <c r="W888" s="48"/>
      <c r="X888" s="48"/>
      <c r="Y888" s="48">
        <v>0</v>
      </c>
      <c r="Z888" s="48"/>
      <c r="AA888" s="48" t="s">
        <v>21</v>
      </c>
      <c r="AB888" s="48" t="s">
        <v>27</v>
      </c>
      <c r="AC888" s="48" t="s">
        <v>621</v>
      </c>
      <c r="AD888" s="89" t="s">
        <v>845</v>
      </c>
    </row>
    <row r="889" spans="1:30" ht="15.75" hidden="1" x14ac:dyDescent="0.25">
      <c r="A889" s="48" t="s">
        <v>1871</v>
      </c>
      <c r="B889" s="74">
        <v>45914</v>
      </c>
      <c r="C889" s="48" t="s">
        <v>441</v>
      </c>
      <c r="D889" s="48" t="s">
        <v>20</v>
      </c>
      <c r="E889" s="48" t="s">
        <v>1246</v>
      </c>
      <c r="F889" s="48" t="s">
        <v>710</v>
      </c>
      <c r="G889" s="48" t="s">
        <v>24</v>
      </c>
      <c r="H889" s="48" t="s">
        <v>710</v>
      </c>
      <c r="I889" s="48" t="s">
        <v>26</v>
      </c>
      <c r="J889" s="48">
        <v>1020088</v>
      </c>
      <c r="K889" s="50">
        <v>500000</v>
      </c>
      <c r="L889" s="50">
        <v>1</v>
      </c>
      <c r="M889" s="50">
        <v>500000</v>
      </c>
      <c r="N889" s="50">
        <v>500000</v>
      </c>
      <c r="O889" s="50">
        <v>0</v>
      </c>
      <c r="P889" s="50">
        <v>0</v>
      </c>
      <c r="Q889" s="87">
        <v>0</v>
      </c>
      <c r="R889" s="152">
        <v>0</v>
      </c>
      <c r="S889" s="174"/>
      <c r="T889" s="74">
        <v>46022</v>
      </c>
      <c r="U889" s="74">
        <v>46022</v>
      </c>
      <c r="V889" s="48"/>
      <c r="W889" s="48"/>
      <c r="X889" s="48"/>
      <c r="Y889" s="48">
        <v>0</v>
      </c>
      <c r="Z889" s="48"/>
      <c r="AA889" s="48" t="s">
        <v>366</v>
      </c>
      <c r="AB889" s="48" t="s">
        <v>27</v>
      </c>
      <c r="AC889" s="48" t="s">
        <v>621</v>
      </c>
      <c r="AD889" s="89" t="s">
        <v>845</v>
      </c>
    </row>
    <row r="890" spans="1:30" ht="15.75" hidden="1" x14ac:dyDescent="0.25">
      <c r="A890" s="48" t="s">
        <v>5438</v>
      </c>
      <c r="B890" s="74">
        <v>46177</v>
      </c>
      <c r="C890" s="48" t="s">
        <v>441</v>
      </c>
      <c r="D890" s="48" t="s">
        <v>20</v>
      </c>
      <c r="E890" s="48" t="s">
        <v>5324</v>
      </c>
      <c r="F890" s="48" t="s">
        <v>710</v>
      </c>
      <c r="G890" s="48" t="s">
        <v>24</v>
      </c>
      <c r="H890" s="48" t="s">
        <v>710</v>
      </c>
      <c r="I890" s="48" t="s">
        <v>26</v>
      </c>
      <c r="J890" s="48">
        <v>1020088</v>
      </c>
      <c r="K890" s="50">
        <v>450000</v>
      </c>
      <c r="L890" s="50">
        <v>1</v>
      </c>
      <c r="M890" s="50">
        <v>450000</v>
      </c>
      <c r="N890" s="50">
        <v>0</v>
      </c>
      <c r="O890" s="50">
        <v>450000</v>
      </c>
      <c r="P890" s="50">
        <v>0</v>
      </c>
      <c r="Q890" s="87">
        <v>450000</v>
      </c>
      <c r="R890" s="152">
        <v>0</v>
      </c>
      <c r="S890" s="174"/>
      <c r="T890" s="74">
        <v>46265</v>
      </c>
      <c r="U890" s="74">
        <v>46265</v>
      </c>
      <c r="V890" s="48"/>
      <c r="W890" s="48"/>
      <c r="X890" s="48"/>
      <c r="Y890" s="48">
        <v>0</v>
      </c>
      <c r="Z890" s="48"/>
      <c r="AA890" s="48" t="s">
        <v>366</v>
      </c>
      <c r="AB890" s="48" t="s">
        <v>27</v>
      </c>
      <c r="AC890" s="48" t="s">
        <v>5175</v>
      </c>
      <c r="AD890" s="89" t="s">
        <v>1026</v>
      </c>
    </row>
    <row r="891" spans="1:30" ht="15.75" hidden="1" x14ac:dyDescent="0.25">
      <c r="A891" s="48" t="s">
        <v>1771</v>
      </c>
      <c r="B891" s="74">
        <v>45887</v>
      </c>
      <c r="C891" s="48" t="s">
        <v>441</v>
      </c>
      <c r="D891" s="48" t="s">
        <v>20</v>
      </c>
      <c r="E891" s="48" t="s">
        <v>1697</v>
      </c>
      <c r="F891" s="48" t="s">
        <v>710</v>
      </c>
      <c r="G891" s="48" t="s">
        <v>24</v>
      </c>
      <c r="H891" s="48" t="s">
        <v>710</v>
      </c>
      <c r="I891" s="48" t="s">
        <v>26</v>
      </c>
      <c r="J891" s="48">
        <v>1020088</v>
      </c>
      <c r="K891" s="50">
        <v>300000</v>
      </c>
      <c r="L891" s="50">
        <v>1</v>
      </c>
      <c r="M891" s="50">
        <v>300000</v>
      </c>
      <c r="N891" s="50">
        <v>300000</v>
      </c>
      <c r="O891" s="50">
        <v>0</v>
      </c>
      <c r="P891" s="50">
        <v>0</v>
      </c>
      <c r="Q891" s="87">
        <v>0</v>
      </c>
      <c r="R891" s="152">
        <v>0</v>
      </c>
      <c r="S891" s="174"/>
      <c r="T891" s="74">
        <v>45991</v>
      </c>
      <c r="U891" s="74">
        <v>45991</v>
      </c>
      <c r="V891" s="48"/>
      <c r="W891" s="48"/>
      <c r="X891" s="48"/>
      <c r="Y891" s="48">
        <v>0</v>
      </c>
      <c r="Z891" s="48"/>
      <c r="AA891" s="48" t="s">
        <v>366</v>
      </c>
      <c r="AB891" s="48" t="s">
        <v>27</v>
      </c>
      <c r="AC891" s="48" t="s">
        <v>621</v>
      </c>
      <c r="AD891" s="89" t="s">
        <v>845</v>
      </c>
    </row>
    <row r="892" spans="1:30" ht="15.75" hidden="1" x14ac:dyDescent="0.25">
      <c r="A892" s="48" t="s">
        <v>3327</v>
      </c>
      <c r="B892" s="74">
        <v>46023</v>
      </c>
      <c r="C892" s="48" t="s">
        <v>1537</v>
      </c>
      <c r="D892" s="48" t="s">
        <v>20</v>
      </c>
      <c r="E892" s="48" t="s">
        <v>3232</v>
      </c>
      <c r="F892" s="48" t="s">
        <v>483</v>
      </c>
      <c r="G892" s="48" t="s">
        <v>24</v>
      </c>
      <c r="H892" s="48" t="s">
        <v>483</v>
      </c>
      <c r="I892" s="48" t="s">
        <v>26</v>
      </c>
      <c r="J892" s="48">
        <v>1020096</v>
      </c>
      <c r="K892" s="50">
        <v>500000</v>
      </c>
      <c r="L892" s="50">
        <v>1</v>
      </c>
      <c r="M892" s="50">
        <v>500000</v>
      </c>
      <c r="N892" s="50">
        <v>0</v>
      </c>
      <c r="O892" s="50">
        <v>500000</v>
      </c>
      <c r="P892" s="50">
        <v>489669.97</v>
      </c>
      <c r="Q892" s="87">
        <v>10330.030000000001</v>
      </c>
      <c r="R892" s="152">
        <v>0</v>
      </c>
      <c r="S892" s="174" t="s">
        <v>4620</v>
      </c>
      <c r="T892" s="74">
        <v>46203</v>
      </c>
      <c r="U892" s="74">
        <v>46203</v>
      </c>
      <c r="V892" s="48"/>
      <c r="W892" s="48"/>
      <c r="X892" s="48"/>
      <c r="Y892" s="48">
        <v>0</v>
      </c>
      <c r="Z892" s="48"/>
      <c r="AA892" s="48" t="s">
        <v>62</v>
      </c>
      <c r="AB892" s="48" t="s">
        <v>27</v>
      </c>
      <c r="AC892" s="48" t="s">
        <v>3229</v>
      </c>
      <c r="AD892" s="89" t="s">
        <v>1026</v>
      </c>
    </row>
    <row r="893" spans="1:30" ht="15.75" hidden="1" x14ac:dyDescent="0.25">
      <c r="A893" s="48" t="s">
        <v>1637</v>
      </c>
      <c r="B893" s="74">
        <v>45867</v>
      </c>
      <c r="C893" s="48" t="s">
        <v>1119</v>
      </c>
      <c r="D893" s="48" t="s">
        <v>20</v>
      </c>
      <c r="E893" s="48" t="s">
        <v>4277</v>
      </c>
      <c r="F893" s="48" t="s">
        <v>367</v>
      </c>
      <c r="G893" s="48" t="s">
        <v>24</v>
      </c>
      <c r="H893" s="48" t="s">
        <v>367</v>
      </c>
      <c r="I893" s="48" t="s">
        <v>26</v>
      </c>
      <c r="J893" s="48">
        <v>1020091</v>
      </c>
      <c r="K893" s="50">
        <v>40540825</v>
      </c>
      <c r="L893" s="50">
        <v>1</v>
      </c>
      <c r="M893" s="50">
        <v>40540825</v>
      </c>
      <c r="N893" s="50">
        <v>40540825</v>
      </c>
      <c r="O893" s="50">
        <v>0</v>
      </c>
      <c r="P893" s="50">
        <v>0</v>
      </c>
      <c r="Q893" s="87">
        <v>0</v>
      </c>
      <c r="R893" s="152">
        <v>0</v>
      </c>
      <c r="S893" s="174"/>
      <c r="T893" s="74">
        <v>45991</v>
      </c>
      <c r="U893" s="74">
        <v>45991</v>
      </c>
      <c r="V893" s="48"/>
      <c r="W893" s="48"/>
      <c r="X893" s="48"/>
      <c r="Y893" s="48"/>
      <c r="Z893" s="48" t="s">
        <v>2309</v>
      </c>
      <c r="AA893" s="48" t="s">
        <v>366</v>
      </c>
      <c r="AB893" s="48" t="s">
        <v>27</v>
      </c>
      <c r="AC893" s="48" t="s">
        <v>425</v>
      </c>
      <c r="AD893" s="89" t="s">
        <v>845</v>
      </c>
    </row>
    <row r="894" spans="1:30" ht="15.75" hidden="1" x14ac:dyDescent="0.25">
      <c r="A894" s="48" t="s">
        <v>4054</v>
      </c>
      <c r="B894" s="74">
        <v>46064</v>
      </c>
      <c r="C894" s="48" t="s">
        <v>441</v>
      </c>
      <c r="D894" s="48" t="s">
        <v>20</v>
      </c>
      <c r="E894" s="48" t="s">
        <v>4277</v>
      </c>
      <c r="F894" s="48" t="s">
        <v>22</v>
      </c>
      <c r="G894" s="48" t="s">
        <v>24</v>
      </c>
      <c r="H894" s="48" t="s">
        <v>213</v>
      </c>
      <c r="I894" s="48" t="s">
        <v>26</v>
      </c>
      <c r="J894" s="48">
        <v>1020015</v>
      </c>
      <c r="K894" s="50">
        <v>12000000</v>
      </c>
      <c r="L894" s="50">
        <v>1</v>
      </c>
      <c r="M894" s="50">
        <v>12000000</v>
      </c>
      <c r="N894" s="50">
        <v>12000000</v>
      </c>
      <c r="O894" s="50">
        <v>0</v>
      </c>
      <c r="P894" s="50">
        <v>0</v>
      </c>
      <c r="Q894" s="87">
        <v>0</v>
      </c>
      <c r="R894" s="152">
        <v>0</v>
      </c>
      <c r="S894" s="174"/>
      <c r="T894" s="74">
        <v>46203</v>
      </c>
      <c r="U894" s="74">
        <v>46203</v>
      </c>
      <c r="V894" s="48"/>
      <c r="W894" s="48"/>
      <c r="X894" s="48"/>
      <c r="Y894" s="48">
        <v>0</v>
      </c>
      <c r="Z894" s="48" t="s">
        <v>4292</v>
      </c>
      <c r="AA894" s="48" t="s">
        <v>21</v>
      </c>
      <c r="AB894" s="48" t="s">
        <v>27</v>
      </c>
      <c r="AC894" s="48" t="s">
        <v>311</v>
      </c>
      <c r="AD894" s="89" t="s">
        <v>1026</v>
      </c>
    </row>
    <row r="895" spans="1:30" ht="15.75" hidden="1" x14ac:dyDescent="0.25">
      <c r="A895" s="48" t="s">
        <v>4055</v>
      </c>
      <c r="B895" s="74">
        <v>46064</v>
      </c>
      <c r="C895" s="48" t="s">
        <v>441</v>
      </c>
      <c r="D895" s="48" t="s">
        <v>20</v>
      </c>
      <c r="E895" s="48" t="s">
        <v>4277</v>
      </c>
      <c r="F895" s="48" t="s">
        <v>22</v>
      </c>
      <c r="G895" s="48" t="s">
        <v>24</v>
      </c>
      <c r="H895" s="48" t="s">
        <v>90</v>
      </c>
      <c r="I895" s="48" t="s">
        <v>26</v>
      </c>
      <c r="J895" s="48">
        <v>1020001</v>
      </c>
      <c r="K895" s="50">
        <v>19000000</v>
      </c>
      <c r="L895" s="50">
        <v>1</v>
      </c>
      <c r="M895" s="50">
        <v>19000000</v>
      </c>
      <c r="N895" s="50">
        <v>13000000</v>
      </c>
      <c r="O895" s="50">
        <v>6000000</v>
      </c>
      <c r="P895" s="50">
        <v>6000000</v>
      </c>
      <c r="Q895" s="87">
        <v>0</v>
      </c>
      <c r="R895" s="152">
        <v>0</v>
      </c>
      <c r="S895" s="174" t="s">
        <v>5303</v>
      </c>
      <c r="T895" s="74">
        <v>46203</v>
      </c>
      <c r="U895" s="74">
        <v>46203</v>
      </c>
      <c r="V895" s="48"/>
      <c r="W895" s="48"/>
      <c r="X895" s="48"/>
      <c r="Y895" s="48"/>
      <c r="Z895" s="48" t="s">
        <v>4490</v>
      </c>
      <c r="AA895" s="48" t="s">
        <v>21</v>
      </c>
      <c r="AB895" s="48" t="s">
        <v>27</v>
      </c>
      <c r="AC895" s="48" t="s">
        <v>311</v>
      </c>
      <c r="AD895" s="89" t="s">
        <v>1026</v>
      </c>
    </row>
    <row r="896" spans="1:30" ht="15.75" hidden="1" x14ac:dyDescent="0.25">
      <c r="A896" s="48" t="s">
        <v>4295</v>
      </c>
      <c r="B896" s="74">
        <v>46091</v>
      </c>
      <c r="C896" s="48" t="s">
        <v>441</v>
      </c>
      <c r="D896" s="48" t="s">
        <v>20</v>
      </c>
      <c r="E896" s="48" t="s">
        <v>4277</v>
      </c>
      <c r="F896" s="48" t="s">
        <v>22</v>
      </c>
      <c r="G896" s="48" t="s">
        <v>24</v>
      </c>
      <c r="H896" s="48" t="s">
        <v>367</v>
      </c>
      <c r="I896" s="48" t="s">
        <v>26</v>
      </c>
      <c r="J896" s="48">
        <v>1020091</v>
      </c>
      <c r="K896" s="50">
        <v>50000000</v>
      </c>
      <c r="L896" s="50">
        <v>1</v>
      </c>
      <c r="M896" s="50">
        <v>50000000</v>
      </c>
      <c r="N896" s="50">
        <v>50000000</v>
      </c>
      <c r="O896" s="50">
        <v>0</v>
      </c>
      <c r="P896" s="50">
        <v>0</v>
      </c>
      <c r="Q896" s="87">
        <v>0</v>
      </c>
      <c r="R896" s="152">
        <v>0</v>
      </c>
      <c r="S896" s="174"/>
      <c r="T896" s="74">
        <v>46203</v>
      </c>
      <c r="U896" s="74">
        <v>46203</v>
      </c>
      <c r="V896" s="48"/>
      <c r="W896" s="48"/>
      <c r="X896" s="48"/>
      <c r="Y896" s="48">
        <v>0</v>
      </c>
      <c r="Z896" s="48"/>
      <c r="AA896" s="48" t="s">
        <v>21</v>
      </c>
      <c r="AB896" s="48" t="s">
        <v>27</v>
      </c>
      <c r="AC896" s="48" t="s">
        <v>311</v>
      </c>
      <c r="AD896" s="89" t="s">
        <v>1026</v>
      </c>
    </row>
    <row r="897" spans="1:30" ht="15.75" x14ac:dyDescent="0.25">
      <c r="A897" s="48" t="s">
        <v>4304</v>
      </c>
      <c r="B897" s="74">
        <v>46091</v>
      </c>
      <c r="C897" s="48" t="s">
        <v>441</v>
      </c>
      <c r="D897" s="48" t="s">
        <v>843</v>
      </c>
      <c r="E897" s="48" t="s">
        <v>4277</v>
      </c>
      <c r="F897" s="48" t="s">
        <v>613</v>
      </c>
      <c r="G897" s="48" t="s">
        <v>24</v>
      </c>
      <c r="H897" s="48" t="s">
        <v>367</v>
      </c>
      <c r="I897" s="48" t="s">
        <v>26</v>
      </c>
      <c r="J897" s="48">
        <v>1020091</v>
      </c>
      <c r="K897" s="50">
        <v>67000000</v>
      </c>
      <c r="L897" s="50">
        <v>1</v>
      </c>
      <c r="M897" s="50">
        <v>67000000</v>
      </c>
      <c r="N897" s="50">
        <v>25000000</v>
      </c>
      <c r="O897" s="50">
        <v>42000000</v>
      </c>
      <c r="P897" s="50">
        <v>42000000</v>
      </c>
      <c r="Q897" s="87">
        <v>0</v>
      </c>
      <c r="R897" s="152">
        <v>0</v>
      </c>
      <c r="S897" s="174" t="s">
        <v>5303</v>
      </c>
      <c r="T897" s="74">
        <v>46203</v>
      </c>
      <c r="U897" s="74">
        <v>46203</v>
      </c>
      <c r="V897" s="48"/>
      <c r="W897" s="48"/>
      <c r="X897" s="48"/>
      <c r="Y897" s="48">
        <v>25000000</v>
      </c>
      <c r="Z897" s="48" t="s">
        <v>5703</v>
      </c>
      <c r="AA897" s="48" t="s">
        <v>612</v>
      </c>
      <c r="AB897" s="48" t="s">
        <v>27</v>
      </c>
      <c r="AC897" s="48" t="s">
        <v>311</v>
      </c>
      <c r="AD897" s="89" t="s">
        <v>1026</v>
      </c>
    </row>
    <row r="898" spans="1:30" ht="15.75" hidden="1" x14ac:dyDescent="0.25">
      <c r="A898" s="48" t="s">
        <v>4393</v>
      </c>
      <c r="B898" s="74">
        <v>46097</v>
      </c>
      <c r="C898" s="48" t="s">
        <v>441</v>
      </c>
      <c r="D898" s="48" t="s">
        <v>20</v>
      </c>
      <c r="E898" s="48" t="s">
        <v>4277</v>
      </c>
      <c r="F898" s="48" t="s">
        <v>710</v>
      </c>
      <c r="G898" s="48" t="s">
        <v>24</v>
      </c>
      <c r="H898" s="48" t="s">
        <v>710</v>
      </c>
      <c r="I898" s="48" t="s">
        <v>26</v>
      </c>
      <c r="J898" s="48">
        <v>1020088</v>
      </c>
      <c r="K898" s="50">
        <v>14000000</v>
      </c>
      <c r="L898" s="50">
        <v>1</v>
      </c>
      <c r="M898" s="50">
        <v>14000000</v>
      </c>
      <c r="N898" s="50">
        <v>10000000</v>
      </c>
      <c r="O898" s="50">
        <v>4000000</v>
      </c>
      <c r="P898" s="50">
        <v>4000000</v>
      </c>
      <c r="Q898" s="87">
        <v>0</v>
      </c>
      <c r="R898" s="152">
        <v>0</v>
      </c>
      <c r="S898" s="174" t="s">
        <v>5575</v>
      </c>
      <c r="T898" s="74">
        <v>46265</v>
      </c>
      <c r="U898" s="74">
        <v>46265</v>
      </c>
      <c r="V898" s="48"/>
      <c r="W898" s="48"/>
      <c r="X898" s="48"/>
      <c r="Y898" s="48">
        <v>0</v>
      </c>
      <c r="Z898" s="48"/>
      <c r="AA898" s="48" t="s">
        <v>366</v>
      </c>
      <c r="AB898" s="48" t="s">
        <v>27</v>
      </c>
      <c r="AC898" s="48" t="s">
        <v>311</v>
      </c>
      <c r="AD898" s="89" t="s">
        <v>1026</v>
      </c>
    </row>
    <row r="899" spans="1:30" ht="15.75" hidden="1" x14ac:dyDescent="0.25">
      <c r="A899" s="48" t="s">
        <v>1738</v>
      </c>
      <c r="B899" s="74">
        <v>45883</v>
      </c>
      <c r="C899" s="48" t="s">
        <v>1727</v>
      </c>
      <c r="D899" s="48" t="s">
        <v>20</v>
      </c>
      <c r="E899" s="48" t="s">
        <v>1717</v>
      </c>
      <c r="F899" s="48" t="s">
        <v>70</v>
      </c>
      <c r="G899" s="48" t="s">
        <v>869</v>
      </c>
      <c r="H899" s="48" t="s">
        <v>1762</v>
      </c>
      <c r="I899" s="48" t="s">
        <v>26</v>
      </c>
      <c r="J899" s="48"/>
      <c r="K899" s="50">
        <v>303062.95</v>
      </c>
      <c r="L899" s="50">
        <v>1</v>
      </c>
      <c r="M899" s="50">
        <v>303062.95</v>
      </c>
      <c r="N899" s="50">
        <v>303062.95</v>
      </c>
      <c r="O899" s="50">
        <v>0</v>
      </c>
      <c r="P899" s="50">
        <v>0</v>
      </c>
      <c r="Q899" s="87">
        <v>0</v>
      </c>
      <c r="R899" s="152">
        <v>0</v>
      </c>
      <c r="S899" s="174"/>
      <c r="T899" s="74">
        <v>45930</v>
      </c>
      <c r="U899" s="74">
        <v>45915</v>
      </c>
      <c r="V899" s="48"/>
      <c r="W899" s="48"/>
      <c r="X899" s="48"/>
      <c r="Y899" s="48"/>
      <c r="Z899" s="48"/>
      <c r="AA899" s="48" t="s">
        <v>62</v>
      </c>
      <c r="AB899" s="48" t="s">
        <v>70</v>
      </c>
      <c r="AC899" s="48" t="s">
        <v>208</v>
      </c>
      <c r="AD899" s="89" t="s">
        <v>845</v>
      </c>
    </row>
    <row r="900" spans="1:30" ht="15.75" hidden="1" x14ac:dyDescent="0.25">
      <c r="A900" s="48" t="s">
        <v>200</v>
      </c>
      <c r="B900" s="74">
        <v>45168</v>
      </c>
      <c r="C900" s="48" t="s">
        <v>441</v>
      </c>
      <c r="D900" s="48" t="s">
        <v>20</v>
      </c>
      <c r="E900" s="48" t="s">
        <v>201</v>
      </c>
      <c r="F900" s="48" t="s">
        <v>22</v>
      </c>
      <c r="G900" s="48" t="s">
        <v>24</v>
      </c>
      <c r="H900" s="48" t="s">
        <v>22</v>
      </c>
      <c r="I900" s="48" t="s">
        <v>26</v>
      </c>
      <c r="J900" s="48">
        <v>1020055</v>
      </c>
      <c r="K900" s="50">
        <v>1000000</v>
      </c>
      <c r="L900" s="50">
        <v>1</v>
      </c>
      <c r="M900" s="50">
        <v>1000000</v>
      </c>
      <c r="N900" s="50">
        <v>999478.92999999993</v>
      </c>
      <c r="O900" s="50">
        <v>521.07000000000005</v>
      </c>
      <c r="P900" s="50">
        <v>0</v>
      </c>
      <c r="Q900" s="87">
        <v>521.07000000000005</v>
      </c>
      <c r="R900" s="152">
        <v>0</v>
      </c>
      <c r="S900" s="174"/>
      <c r="T900" s="74">
        <v>45260</v>
      </c>
      <c r="U900" s="74">
        <v>45260</v>
      </c>
      <c r="V900" s="48"/>
      <c r="W900" s="48"/>
      <c r="X900" s="48"/>
      <c r="Y900" s="48">
        <v>0</v>
      </c>
      <c r="Z900" s="48"/>
      <c r="AA900" s="48" t="s">
        <v>21</v>
      </c>
      <c r="AB900" s="48" t="s">
        <v>27</v>
      </c>
      <c r="AC900" s="48" t="s">
        <v>28</v>
      </c>
      <c r="AD900" s="89" t="s">
        <v>845</v>
      </c>
    </row>
    <row r="901" spans="1:30" ht="15.75" hidden="1" x14ac:dyDescent="0.25">
      <c r="A901" s="48" t="s">
        <v>330</v>
      </c>
      <c r="B901" s="74">
        <v>45528</v>
      </c>
      <c r="C901" s="48" t="s">
        <v>441</v>
      </c>
      <c r="D901" s="48" t="s">
        <v>20</v>
      </c>
      <c r="E901" s="48" t="s">
        <v>201</v>
      </c>
      <c r="F901" s="48" t="s">
        <v>96</v>
      </c>
      <c r="G901" s="48" t="s">
        <v>24</v>
      </c>
      <c r="H901" s="48" t="s">
        <v>22</v>
      </c>
      <c r="I901" s="48" t="s">
        <v>26</v>
      </c>
      <c r="J901" s="48">
        <v>1020055</v>
      </c>
      <c r="K901" s="50">
        <v>500000</v>
      </c>
      <c r="L901" s="50">
        <v>1</v>
      </c>
      <c r="M901" s="50">
        <v>500000</v>
      </c>
      <c r="N901" s="50">
        <v>500000</v>
      </c>
      <c r="O901" s="50">
        <v>0</v>
      </c>
      <c r="P901" s="50">
        <v>0</v>
      </c>
      <c r="Q901" s="87">
        <v>0</v>
      </c>
      <c r="R901" s="152">
        <v>0</v>
      </c>
      <c r="S901" s="174"/>
      <c r="T901" s="74">
        <v>45626</v>
      </c>
      <c r="U901" s="74">
        <v>45626</v>
      </c>
      <c r="V901" s="48"/>
      <c r="W901" s="48"/>
      <c r="X901" s="48"/>
      <c r="Y901" s="48">
        <v>0</v>
      </c>
      <c r="Z901" s="48"/>
      <c r="AA901" s="48" t="s">
        <v>95</v>
      </c>
      <c r="AB901" s="48" t="s">
        <v>27</v>
      </c>
      <c r="AC901" s="48" t="s">
        <v>311</v>
      </c>
      <c r="AD901" s="89" t="s">
        <v>845</v>
      </c>
    </row>
    <row r="902" spans="1:30" ht="15.75" hidden="1" x14ac:dyDescent="0.25">
      <c r="A902" s="48" t="s">
        <v>1274</v>
      </c>
      <c r="B902" s="74">
        <v>45784</v>
      </c>
      <c r="C902" s="48" t="s">
        <v>441</v>
      </c>
      <c r="D902" s="48" t="s">
        <v>20</v>
      </c>
      <c r="E902" s="48" t="s">
        <v>201</v>
      </c>
      <c r="F902" s="48" t="s">
        <v>70</v>
      </c>
      <c r="G902" s="48" t="s">
        <v>24</v>
      </c>
      <c r="H902" s="48" t="s">
        <v>407</v>
      </c>
      <c r="I902" s="48" t="s">
        <v>26</v>
      </c>
      <c r="J902" s="48">
        <v>1020100</v>
      </c>
      <c r="K902" s="50">
        <v>200000</v>
      </c>
      <c r="L902" s="50">
        <v>1</v>
      </c>
      <c r="M902" s="50">
        <v>200000</v>
      </c>
      <c r="N902" s="50">
        <v>200000</v>
      </c>
      <c r="O902" s="50">
        <v>0</v>
      </c>
      <c r="P902" s="50">
        <v>0</v>
      </c>
      <c r="Q902" s="87">
        <v>0</v>
      </c>
      <c r="R902" s="152">
        <v>0</v>
      </c>
      <c r="S902" s="174"/>
      <c r="T902" s="74">
        <v>45869</v>
      </c>
      <c r="U902" s="74">
        <v>45869</v>
      </c>
      <c r="V902" s="48"/>
      <c r="W902" s="48"/>
      <c r="X902" s="48"/>
      <c r="Y902" s="48">
        <v>0</v>
      </c>
      <c r="Z902" s="48"/>
      <c r="AA902" s="48" t="s">
        <v>373</v>
      </c>
      <c r="AB902" s="48" t="s">
        <v>70</v>
      </c>
      <c r="AC902" s="48" t="s">
        <v>621</v>
      </c>
      <c r="AD902" s="89" t="s">
        <v>845</v>
      </c>
    </row>
    <row r="903" spans="1:30" ht="15.75" hidden="1" x14ac:dyDescent="0.25">
      <c r="A903" s="48" t="s">
        <v>527</v>
      </c>
      <c r="B903" s="74">
        <v>45624</v>
      </c>
      <c r="C903" s="48" t="s">
        <v>441</v>
      </c>
      <c r="D903" s="48" t="s">
        <v>20</v>
      </c>
      <c r="E903" s="48" t="s">
        <v>528</v>
      </c>
      <c r="F903" s="48" t="s">
        <v>22</v>
      </c>
      <c r="G903" s="48" t="s">
        <v>24</v>
      </c>
      <c r="H903" s="48" t="s">
        <v>22</v>
      </c>
      <c r="I903" s="48" t="s">
        <v>26</v>
      </c>
      <c r="J903" s="48">
        <v>1020055</v>
      </c>
      <c r="K903" s="50">
        <v>301761.59999999998</v>
      </c>
      <c r="L903" s="50">
        <v>1</v>
      </c>
      <c r="M903" s="50">
        <v>301761.59999999998</v>
      </c>
      <c r="N903" s="50">
        <v>301761.59999999998</v>
      </c>
      <c r="O903" s="50">
        <v>0</v>
      </c>
      <c r="P903" s="50">
        <v>0</v>
      </c>
      <c r="Q903" s="87">
        <v>0</v>
      </c>
      <c r="R903" s="152">
        <v>0</v>
      </c>
      <c r="S903" s="174"/>
      <c r="T903" s="74">
        <v>45716</v>
      </c>
      <c r="U903" s="74">
        <v>45716</v>
      </c>
      <c r="V903" s="48"/>
      <c r="W903" s="48"/>
      <c r="X903" s="48"/>
      <c r="Y903" s="48">
        <v>0</v>
      </c>
      <c r="Z903" s="48"/>
      <c r="AA903" s="48" t="s">
        <v>21</v>
      </c>
      <c r="AB903" s="48" t="s">
        <v>27</v>
      </c>
      <c r="AC903" s="48" t="s">
        <v>311</v>
      </c>
      <c r="AD903" s="89" t="s">
        <v>845</v>
      </c>
    </row>
    <row r="904" spans="1:30" ht="15.75" hidden="1" x14ac:dyDescent="0.25">
      <c r="A904" s="48" t="s">
        <v>42</v>
      </c>
      <c r="B904" s="74">
        <v>45245</v>
      </c>
      <c r="C904" s="48" t="s">
        <v>441</v>
      </c>
      <c r="D904" s="48" t="s">
        <v>20</v>
      </c>
      <c r="E904" s="48" t="s">
        <v>43</v>
      </c>
      <c r="F904" s="48" t="s">
        <v>22</v>
      </c>
      <c r="G904" s="48" t="s">
        <v>24</v>
      </c>
      <c r="H904" s="48" t="s">
        <v>22</v>
      </c>
      <c r="I904" s="48" t="s">
        <v>26</v>
      </c>
      <c r="J904" s="48">
        <v>1020055</v>
      </c>
      <c r="K904" s="50">
        <v>2000000</v>
      </c>
      <c r="L904" s="50">
        <v>1</v>
      </c>
      <c r="M904" s="50">
        <v>2000000</v>
      </c>
      <c r="N904" s="50">
        <v>1999510.76</v>
      </c>
      <c r="O904" s="50">
        <v>489.24</v>
      </c>
      <c r="P904" s="50">
        <v>0</v>
      </c>
      <c r="Q904" s="87">
        <v>489.24</v>
      </c>
      <c r="R904" s="152">
        <v>0</v>
      </c>
      <c r="S904" s="174"/>
      <c r="T904" s="74">
        <v>45474</v>
      </c>
      <c r="U904" s="74">
        <v>45474</v>
      </c>
      <c r="V904" s="48"/>
      <c r="W904" s="48"/>
      <c r="X904" s="48"/>
      <c r="Y904" s="48">
        <v>0</v>
      </c>
      <c r="Z904" s="48"/>
      <c r="AA904" s="48" t="s">
        <v>21</v>
      </c>
      <c r="AB904" s="48" t="s">
        <v>27</v>
      </c>
      <c r="AC904" s="48" t="s">
        <v>28</v>
      </c>
      <c r="AD904" s="89" t="s">
        <v>845</v>
      </c>
    </row>
    <row r="905" spans="1:30" ht="15.75" hidden="1" x14ac:dyDescent="0.25">
      <c r="A905" s="48" t="s">
        <v>60</v>
      </c>
      <c r="B905" s="74">
        <v>45299</v>
      </c>
      <c r="C905" s="48" t="s">
        <v>441</v>
      </c>
      <c r="D905" s="48" t="s">
        <v>20</v>
      </c>
      <c r="E905" s="48" t="s">
        <v>43</v>
      </c>
      <c r="F905" s="48" t="s">
        <v>22</v>
      </c>
      <c r="G905" s="48" t="s">
        <v>24</v>
      </c>
      <c r="H905" s="48" t="s">
        <v>22</v>
      </c>
      <c r="I905" s="48" t="s">
        <v>26</v>
      </c>
      <c r="J905" s="48">
        <v>1020055</v>
      </c>
      <c r="K905" s="50">
        <v>500000</v>
      </c>
      <c r="L905" s="50">
        <v>1</v>
      </c>
      <c r="M905" s="50">
        <v>500000</v>
      </c>
      <c r="N905" s="50">
        <v>499320.68</v>
      </c>
      <c r="O905" s="50">
        <v>679.32</v>
      </c>
      <c r="P905" s="50">
        <v>0</v>
      </c>
      <c r="Q905" s="87">
        <v>679.32</v>
      </c>
      <c r="R905" s="152">
        <v>0</v>
      </c>
      <c r="S905" s="174"/>
      <c r="T905" s="74">
        <v>45474</v>
      </c>
      <c r="U905" s="74">
        <v>45474</v>
      </c>
      <c r="V905" s="48"/>
      <c r="W905" s="48"/>
      <c r="X905" s="48"/>
      <c r="Y905" s="48">
        <v>0</v>
      </c>
      <c r="Z905" s="48"/>
      <c r="AA905" s="48" t="s">
        <v>21</v>
      </c>
      <c r="AB905" s="48" t="s">
        <v>27</v>
      </c>
      <c r="AC905" s="48" t="s">
        <v>28</v>
      </c>
      <c r="AD905" s="89" t="s">
        <v>845</v>
      </c>
    </row>
    <row r="906" spans="1:30" ht="15.75" hidden="1" x14ac:dyDescent="0.25">
      <c r="A906" s="48" t="s">
        <v>290</v>
      </c>
      <c r="B906" s="74">
        <v>45505</v>
      </c>
      <c r="C906" s="48" t="s">
        <v>441</v>
      </c>
      <c r="D906" s="48" t="s">
        <v>20</v>
      </c>
      <c r="E906" s="48" t="s">
        <v>43</v>
      </c>
      <c r="F906" s="48" t="s">
        <v>22</v>
      </c>
      <c r="G906" s="48" t="s">
        <v>24</v>
      </c>
      <c r="H906" s="48" t="s">
        <v>22</v>
      </c>
      <c r="I906" s="48" t="s">
        <v>26</v>
      </c>
      <c r="J906" s="48">
        <v>1020055</v>
      </c>
      <c r="K906" s="50">
        <v>327750</v>
      </c>
      <c r="L906" s="50">
        <v>1</v>
      </c>
      <c r="M906" s="50">
        <v>327750</v>
      </c>
      <c r="N906" s="50">
        <v>327750</v>
      </c>
      <c r="O906" s="50">
        <v>0</v>
      </c>
      <c r="P906" s="50">
        <v>0</v>
      </c>
      <c r="Q906" s="87">
        <v>0</v>
      </c>
      <c r="R906" s="152">
        <v>0</v>
      </c>
      <c r="S906" s="174"/>
      <c r="T906" s="74">
        <v>45596</v>
      </c>
      <c r="U906" s="74">
        <v>45596</v>
      </c>
      <c r="V906" s="48"/>
      <c r="W906" s="48"/>
      <c r="X906" s="48"/>
      <c r="Y906" s="48">
        <v>0</v>
      </c>
      <c r="Z906" s="48"/>
      <c r="AA906" s="48" t="s">
        <v>21</v>
      </c>
      <c r="AB906" s="48" t="s">
        <v>27</v>
      </c>
      <c r="AC906" s="48"/>
      <c r="AD906" s="89" t="s">
        <v>845</v>
      </c>
    </row>
    <row r="907" spans="1:30" ht="15.75" hidden="1" x14ac:dyDescent="0.25">
      <c r="A907" s="48" t="s">
        <v>1744</v>
      </c>
      <c r="B907" s="74">
        <v>45883</v>
      </c>
      <c r="C907" s="48" t="s">
        <v>1727</v>
      </c>
      <c r="D907" s="48" t="s">
        <v>20</v>
      </c>
      <c r="E907" s="48" t="s">
        <v>1721</v>
      </c>
      <c r="F907" s="48" t="s">
        <v>70</v>
      </c>
      <c r="G907" s="48" t="s">
        <v>869</v>
      </c>
      <c r="H907" s="48" t="s">
        <v>1762</v>
      </c>
      <c r="I907" s="48" t="s">
        <v>26</v>
      </c>
      <c r="J907" s="48"/>
      <c r="K907" s="50">
        <v>567886.03</v>
      </c>
      <c r="L907" s="50">
        <v>1</v>
      </c>
      <c r="M907" s="50">
        <v>567886.03</v>
      </c>
      <c r="N907" s="50">
        <v>567886.03</v>
      </c>
      <c r="O907" s="50">
        <v>0</v>
      </c>
      <c r="P907" s="50">
        <v>0</v>
      </c>
      <c r="Q907" s="87">
        <v>0</v>
      </c>
      <c r="R907" s="152">
        <v>0</v>
      </c>
      <c r="S907" s="174"/>
      <c r="T907" s="74">
        <v>45930</v>
      </c>
      <c r="U907" s="74">
        <v>45915</v>
      </c>
      <c r="V907" s="48"/>
      <c r="W907" s="48"/>
      <c r="X907" s="48"/>
      <c r="Y907" s="48"/>
      <c r="Z907" s="48"/>
      <c r="AA907" s="48" t="s">
        <v>62</v>
      </c>
      <c r="AB907" s="48" t="s">
        <v>70</v>
      </c>
      <c r="AC907" s="48" t="s">
        <v>208</v>
      </c>
      <c r="AD907" s="89" t="s">
        <v>845</v>
      </c>
    </row>
    <row r="908" spans="1:30" ht="15.75" hidden="1" x14ac:dyDescent="0.25">
      <c r="A908" s="48" t="s">
        <v>82</v>
      </c>
      <c r="B908" s="74">
        <v>45283</v>
      </c>
      <c r="C908" s="48" t="s">
        <v>1181</v>
      </c>
      <c r="D908" s="48" t="s">
        <v>20</v>
      </c>
      <c r="E908" s="48" t="s">
        <v>83</v>
      </c>
      <c r="F908" s="48" t="s">
        <v>63</v>
      </c>
      <c r="G908" s="48" t="s">
        <v>80</v>
      </c>
      <c r="H908" s="48" t="s">
        <v>81</v>
      </c>
      <c r="I908" s="48" t="s">
        <v>26</v>
      </c>
      <c r="J908" s="48">
        <v>1020070</v>
      </c>
      <c r="K908" s="50">
        <v>934375</v>
      </c>
      <c r="L908" s="50">
        <v>1</v>
      </c>
      <c r="M908" s="50">
        <v>934375</v>
      </c>
      <c r="N908" s="50">
        <v>934375</v>
      </c>
      <c r="O908" s="50">
        <v>0</v>
      </c>
      <c r="P908" s="50">
        <v>0</v>
      </c>
      <c r="Q908" s="87">
        <v>0</v>
      </c>
      <c r="R908" s="152">
        <v>0</v>
      </c>
      <c r="S908" s="174"/>
      <c r="T908" s="74">
        <v>45473</v>
      </c>
      <c r="U908" s="74">
        <v>45473</v>
      </c>
      <c r="V908" s="48"/>
      <c r="W908" s="48"/>
      <c r="X908" s="48"/>
      <c r="Y908" s="48">
        <v>0</v>
      </c>
      <c r="Z908" s="48"/>
      <c r="AA908" s="48" t="s">
        <v>62</v>
      </c>
      <c r="AB908" s="48" t="s">
        <v>27</v>
      </c>
      <c r="AC908" s="48"/>
      <c r="AD908" s="89" t="s">
        <v>845</v>
      </c>
    </row>
    <row r="909" spans="1:30" ht="15.75" hidden="1" x14ac:dyDescent="0.25">
      <c r="A909" s="48" t="s">
        <v>5311</v>
      </c>
      <c r="B909" s="74">
        <v>46161</v>
      </c>
      <c r="C909" s="48" t="s">
        <v>1181</v>
      </c>
      <c r="D909" s="48" t="s">
        <v>20</v>
      </c>
      <c r="E909" s="48" t="s">
        <v>83</v>
      </c>
      <c r="F909" s="48" t="s">
        <v>710</v>
      </c>
      <c r="G909" s="48" t="s">
        <v>1791</v>
      </c>
      <c r="H909" s="48" t="s">
        <v>81</v>
      </c>
      <c r="I909" s="48" t="s">
        <v>26</v>
      </c>
      <c r="J909" s="48">
        <v>1020070</v>
      </c>
      <c r="K909" s="50">
        <v>772046</v>
      </c>
      <c r="L909" s="50">
        <v>1</v>
      </c>
      <c r="M909" s="50">
        <v>772046</v>
      </c>
      <c r="N909" s="50">
        <v>0</v>
      </c>
      <c r="O909" s="50">
        <v>772046</v>
      </c>
      <c r="P909" s="50">
        <v>0</v>
      </c>
      <c r="Q909" s="87">
        <v>772046</v>
      </c>
      <c r="R909" s="152">
        <v>0</v>
      </c>
      <c r="S909" s="174"/>
      <c r="T909" s="74">
        <v>46234</v>
      </c>
      <c r="U909" s="74">
        <v>46213</v>
      </c>
      <c r="V909" s="48"/>
      <c r="W909" s="48"/>
      <c r="X909" s="48"/>
      <c r="Y909" s="48">
        <v>0</v>
      </c>
      <c r="Z909" s="48"/>
      <c r="AA909" s="48" t="s">
        <v>366</v>
      </c>
      <c r="AB909" s="48" t="s">
        <v>27</v>
      </c>
      <c r="AC909" s="48" t="s">
        <v>3229</v>
      </c>
      <c r="AD909" s="89" t="s">
        <v>1026</v>
      </c>
    </row>
    <row r="910" spans="1:30" ht="15.75" hidden="1" x14ac:dyDescent="0.25">
      <c r="A910" s="48" t="s">
        <v>1275</v>
      </c>
      <c r="B910" s="74">
        <v>45784</v>
      </c>
      <c r="C910" s="48" t="s">
        <v>441</v>
      </c>
      <c r="D910" s="48" t="s">
        <v>20</v>
      </c>
      <c r="E910" s="48" t="s">
        <v>1245</v>
      </c>
      <c r="F910" s="48" t="s">
        <v>70</v>
      </c>
      <c r="G910" s="48" t="s">
        <v>24</v>
      </c>
      <c r="H910" s="48" t="s">
        <v>407</v>
      </c>
      <c r="I910" s="48" t="s">
        <v>26</v>
      </c>
      <c r="J910" s="48">
        <v>1020100</v>
      </c>
      <c r="K910" s="50">
        <v>200000</v>
      </c>
      <c r="L910" s="50">
        <v>1</v>
      </c>
      <c r="M910" s="50">
        <v>200000</v>
      </c>
      <c r="N910" s="50">
        <v>200000</v>
      </c>
      <c r="O910" s="50">
        <v>0</v>
      </c>
      <c r="P910" s="50">
        <v>0</v>
      </c>
      <c r="Q910" s="87">
        <v>0</v>
      </c>
      <c r="R910" s="152">
        <v>0</v>
      </c>
      <c r="S910" s="174"/>
      <c r="T910" s="74">
        <v>45889</v>
      </c>
      <c r="U910" s="74">
        <v>45889</v>
      </c>
      <c r="V910" s="48"/>
      <c r="W910" s="48"/>
      <c r="X910" s="48"/>
      <c r="Y910" s="48">
        <v>0</v>
      </c>
      <c r="Z910" s="48"/>
      <c r="AA910" s="48" t="s">
        <v>373</v>
      </c>
      <c r="AB910" s="48" t="s">
        <v>70</v>
      </c>
      <c r="AC910" s="48" t="s">
        <v>621</v>
      </c>
      <c r="AD910" s="89" t="s">
        <v>845</v>
      </c>
    </row>
    <row r="911" spans="1:30" ht="15.75" hidden="1" x14ac:dyDescent="0.25">
      <c r="A911" s="48" t="s">
        <v>698</v>
      </c>
      <c r="B911" s="74">
        <v>45698</v>
      </c>
      <c r="C911" s="48" t="s">
        <v>441</v>
      </c>
      <c r="D911" s="48" t="s">
        <v>20</v>
      </c>
      <c r="E911" s="48" t="s">
        <v>699</v>
      </c>
      <c r="F911" s="48" t="s">
        <v>613</v>
      </c>
      <c r="G911" s="48" t="s">
        <v>24</v>
      </c>
      <c r="H911" s="48" t="s">
        <v>613</v>
      </c>
      <c r="I911" s="48" t="s">
        <v>26</v>
      </c>
      <c r="J911" s="48">
        <v>1020106</v>
      </c>
      <c r="K911" s="50">
        <v>666690.68999999994</v>
      </c>
      <c r="L911" s="50">
        <v>1</v>
      </c>
      <c r="M911" s="50">
        <v>666690.68999999994</v>
      </c>
      <c r="N911" s="50">
        <v>622981.28</v>
      </c>
      <c r="O911" s="50">
        <v>43709.41</v>
      </c>
      <c r="P911" s="50">
        <v>0</v>
      </c>
      <c r="Q911" s="87">
        <v>43709.41</v>
      </c>
      <c r="R911" s="152">
        <v>0</v>
      </c>
      <c r="S911" s="174"/>
      <c r="T911" s="74">
        <v>45961</v>
      </c>
      <c r="U911" s="74">
        <v>45961</v>
      </c>
      <c r="V911" s="48"/>
      <c r="W911" s="48"/>
      <c r="X911" s="48"/>
      <c r="Y911" s="48">
        <v>0</v>
      </c>
      <c r="Z911" s="48"/>
      <c r="AA911" s="48" t="s">
        <v>612</v>
      </c>
      <c r="AB911" s="48" t="s">
        <v>27</v>
      </c>
      <c r="AC911" s="48" t="s">
        <v>311</v>
      </c>
      <c r="AD911" s="89" t="s">
        <v>845</v>
      </c>
    </row>
    <row r="912" spans="1:30" ht="15.75" hidden="1" x14ac:dyDescent="0.25">
      <c r="A912" s="48" t="s">
        <v>657</v>
      </c>
      <c r="B912" s="74">
        <v>45693</v>
      </c>
      <c r="C912" s="48" t="s">
        <v>441</v>
      </c>
      <c r="D912" s="48" t="s">
        <v>20</v>
      </c>
      <c r="E912" s="48" t="s">
        <v>658</v>
      </c>
      <c r="F912" s="48" t="s">
        <v>96</v>
      </c>
      <c r="G912" s="48" t="s">
        <v>24</v>
      </c>
      <c r="H912" s="48" t="s">
        <v>22</v>
      </c>
      <c r="I912" s="48" t="s">
        <v>26</v>
      </c>
      <c r="J912" s="48">
        <v>1020055</v>
      </c>
      <c r="K912" s="50">
        <v>649056.68999999994</v>
      </c>
      <c r="L912" s="50">
        <v>1</v>
      </c>
      <c r="M912" s="50">
        <v>649056.68999999994</v>
      </c>
      <c r="N912" s="50">
        <v>649056.68999999994</v>
      </c>
      <c r="O912" s="50">
        <v>0</v>
      </c>
      <c r="P912" s="50">
        <v>0</v>
      </c>
      <c r="Q912" s="87">
        <v>0</v>
      </c>
      <c r="R912" s="152">
        <v>0</v>
      </c>
      <c r="S912" s="174"/>
      <c r="T912" s="74">
        <v>45777</v>
      </c>
      <c r="U912" s="74">
        <v>45777</v>
      </c>
      <c r="V912" s="48"/>
      <c r="W912" s="48"/>
      <c r="X912" s="48"/>
      <c r="Y912" s="48">
        <v>0</v>
      </c>
      <c r="Z912" s="48" t="s">
        <v>625</v>
      </c>
      <c r="AA912" s="48" t="s">
        <v>95</v>
      </c>
      <c r="AB912" s="48" t="s">
        <v>27</v>
      </c>
      <c r="AC912" s="48" t="s">
        <v>311</v>
      </c>
      <c r="AD912" s="89" t="s">
        <v>845</v>
      </c>
    </row>
    <row r="913" spans="1:30" ht="15.75" hidden="1" x14ac:dyDescent="0.25">
      <c r="A913" s="48" t="s">
        <v>1559</v>
      </c>
      <c r="B913" s="74">
        <v>45855</v>
      </c>
      <c r="C913" s="48" t="s">
        <v>441</v>
      </c>
      <c r="D913" s="48" t="s">
        <v>20</v>
      </c>
      <c r="E913" s="48" t="s">
        <v>1545</v>
      </c>
      <c r="F913" s="48" t="s">
        <v>613</v>
      </c>
      <c r="G913" s="48" t="s">
        <v>24</v>
      </c>
      <c r="H913" s="48" t="s">
        <v>613</v>
      </c>
      <c r="I913" s="48" t="s">
        <v>26</v>
      </c>
      <c r="J913" s="48">
        <v>1020106</v>
      </c>
      <c r="K913" s="50">
        <v>225103.44</v>
      </c>
      <c r="L913" s="50">
        <v>1</v>
      </c>
      <c r="M913" s="50">
        <v>225103.44</v>
      </c>
      <c r="N913" s="50">
        <v>225103.44</v>
      </c>
      <c r="O913" s="50">
        <v>0</v>
      </c>
      <c r="P913" s="50">
        <v>0</v>
      </c>
      <c r="Q913" s="87">
        <v>0</v>
      </c>
      <c r="R913" s="152">
        <v>0</v>
      </c>
      <c r="S913" s="174"/>
      <c r="T913" s="74">
        <v>45930</v>
      </c>
      <c r="U913" s="74">
        <v>45930</v>
      </c>
      <c r="V913" s="48"/>
      <c r="W913" s="48"/>
      <c r="X913" s="48"/>
      <c r="Y913" s="48">
        <v>0</v>
      </c>
      <c r="Z913" s="48"/>
      <c r="AA913" s="48" t="s">
        <v>612</v>
      </c>
      <c r="AB913" s="48" t="s">
        <v>27</v>
      </c>
      <c r="AC913" s="48" t="s">
        <v>311</v>
      </c>
      <c r="AD913" s="89" t="s">
        <v>845</v>
      </c>
    </row>
    <row r="914" spans="1:30" ht="15.75" hidden="1" x14ac:dyDescent="0.25">
      <c r="A914" s="48" t="s">
        <v>1317</v>
      </c>
      <c r="B914" s="74">
        <v>45788</v>
      </c>
      <c r="C914" s="48" t="s">
        <v>441</v>
      </c>
      <c r="D914" s="48" t="s">
        <v>20</v>
      </c>
      <c r="E914" s="48" t="s">
        <v>1267</v>
      </c>
      <c r="F914" s="48" t="s">
        <v>22</v>
      </c>
      <c r="G914" s="48" t="s">
        <v>24</v>
      </c>
      <c r="H914" s="48" t="s">
        <v>22</v>
      </c>
      <c r="I914" s="48" t="s">
        <v>26</v>
      </c>
      <c r="J914" s="48">
        <v>1020055</v>
      </c>
      <c r="K914" s="50">
        <v>304087.03999999998</v>
      </c>
      <c r="L914" s="50">
        <v>1</v>
      </c>
      <c r="M914" s="50">
        <v>304087.03999999998</v>
      </c>
      <c r="N914" s="50">
        <v>304087.03999999998</v>
      </c>
      <c r="O914" s="50">
        <v>0</v>
      </c>
      <c r="P914" s="50">
        <v>0</v>
      </c>
      <c r="Q914" s="87">
        <v>0</v>
      </c>
      <c r="R914" s="152">
        <v>0</v>
      </c>
      <c r="S914" s="174"/>
      <c r="T914" s="74">
        <v>45900</v>
      </c>
      <c r="U914" s="74">
        <v>45900</v>
      </c>
      <c r="V914" s="48"/>
      <c r="W914" s="48"/>
      <c r="X914" s="48"/>
      <c r="Y914" s="48">
        <v>0</v>
      </c>
      <c r="Z914" s="48"/>
      <c r="AA914" s="48" t="s">
        <v>21</v>
      </c>
      <c r="AB914" s="48" t="s">
        <v>27</v>
      </c>
      <c r="AC914" s="48" t="s">
        <v>621</v>
      </c>
      <c r="AD914" s="89" t="s">
        <v>845</v>
      </c>
    </row>
    <row r="915" spans="1:30" ht="15.75" hidden="1" x14ac:dyDescent="0.25">
      <c r="A915" s="48" t="s">
        <v>529</v>
      </c>
      <c r="B915" s="74">
        <v>45624</v>
      </c>
      <c r="C915" s="48" t="s">
        <v>441</v>
      </c>
      <c r="D915" s="48" t="s">
        <v>20</v>
      </c>
      <c r="E915" s="48" t="s">
        <v>530</v>
      </c>
      <c r="F915" s="48" t="s">
        <v>22</v>
      </c>
      <c r="G915" s="48" t="s">
        <v>24</v>
      </c>
      <c r="H915" s="48" t="s">
        <v>22</v>
      </c>
      <c r="I915" s="48" t="s">
        <v>26</v>
      </c>
      <c r="J915" s="48">
        <v>1020055</v>
      </c>
      <c r="K915" s="50">
        <v>359810.57</v>
      </c>
      <c r="L915" s="50">
        <v>1</v>
      </c>
      <c r="M915" s="50">
        <v>359810.57</v>
      </c>
      <c r="N915" s="50">
        <v>359810.57</v>
      </c>
      <c r="O915" s="50">
        <v>0</v>
      </c>
      <c r="P915" s="50">
        <v>0</v>
      </c>
      <c r="Q915" s="87">
        <v>0</v>
      </c>
      <c r="R915" s="152">
        <v>0</v>
      </c>
      <c r="S915" s="174"/>
      <c r="T915" s="74">
        <v>45716</v>
      </c>
      <c r="U915" s="74">
        <v>45716</v>
      </c>
      <c r="V915" s="48"/>
      <c r="W915" s="48"/>
      <c r="X915" s="48"/>
      <c r="Y915" s="48">
        <v>0</v>
      </c>
      <c r="Z915" s="48"/>
      <c r="AA915" s="48" t="s">
        <v>21</v>
      </c>
      <c r="AB915" s="48" t="s">
        <v>27</v>
      </c>
      <c r="AC915" s="48" t="s">
        <v>311</v>
      </c>
      <c r="AD915" s="89" t="s">
        <v>845</v>
      </c>
    </row>
    <row r="916" spans="1:30" ht="15.75" hidden="1" x14ac:dyDescent="0.25">
      <c r="A916" s="48" t="s">
        <v>466</v>
      </c>
      <c r="B916" s="74">
        <v>45592</v>
      </c>
      <c r="C916" s="48" t="s">
        <v>441</v>
      </c>
      <c r="D916" s="48" t="s">
        <v>20</v>
      </c>
      <c r="E916" s="48" t="s">
        <v>467</v>
      </c>
      <c r="F916" s="48" t="s">
        <v>96</v>
      </c>
      <c r="G916" s="48" t="s">
        <v>72</v>
      </c>
      <c r="H916" s="48" t="s">
        <v>325</v>
      </c>
      <c r="I916" s="48" t="s">
        <v>26</v>
      </c>
      <c r="J916" s="48">
        <v>1020068</v>
      </c>
      <c r="K916" s="50">
        <v>12000000</v>
      </c>
      <c r="L916" s="50">
        <v>1</v>
      </c>
      <c r="M916" s="50">
        <v>12000000</v>
      </c>
      <c r="N916" s="50">
        <v>12000000</v>
      </c>
      <c r="O916" s="50">
        <v>0</v>
      </c>
      <c r="P916" s="50">
        <v>0</v>
      </c>
      <c r="Q916" s="87">
        <v>0</v>
      </c>
      <c r="R916" s="152">
        <v>0</v>
      </c>
      <c r="S916" s="174"/>
      <c r="T916" s="74">
        <v>45688</v>
      </c>
      <c r="U916" s="74">
        <v>45661</v>
      </c>
      <c r="V916" s="48"/>
      <c r="W916" s="48"/>
      <c r="X916" s="48"/>
      <c r="Y916" s="48">
        <v>0</v>
      </c>
      <c r="Z916" s="48"/>
      <c r="AA916" s="48" t="s">
        <v>95</v>
      </c>
      <c r="AB916" s="48" t="s">
        <v>27</v>
      </c>
      <c r="AC916" s="48" t="s">
        <v>461</v>
      </c>
      <c r="AD916" s="89" t="s">
        <v>845</v>
      </c>
    </row>
    <row r="917" spans="1:30" ht="15.75" hidden="1" x14ac:dyDescent="0.25">
      <c r="A917" s="48" t="s">
        <v>112</v>
      </c>
      <c r="B917" s="74">
        <v>45041</v>
      </c>
      <c r="C917" s="48" t="s">
        <v>441</v>
      </c>
      <c r="D917" s="48" t="s">
        <v>20</v>
      </c>
      <c r="E917" s="48" t="s">
        <v>113</v>
      </c>
      <c r="F917" s="48" t="s">
        <v>22</v>
      </c>
      <c r="G917" s="48" t="s">
        <v>24</v>
      </c>
      <c r="H917" s="48" t="s">
        <v>22</v>
      </c>
      <c r="I917" s="48" t="s">
        <v>26</v>
      </c>
      <c r="J917" s="48">
        <v>1020055</v>
      </c>
      <c r="K917" s="50">
        <v>2846250</v>
      </c>
      <c r="L917" s="50">
        <v>1</v>
      </c>
      <c r="M917" s="50">
        <v>2846250</v>
      </c>
      <c r="N917" s="50">
        <v>2846250</v>
      </c>
      <c r="O917" s="50">
        <v>0</v>
      </c>
      <c r="P917" s="50">
        <v>0</v>
      </c>
      <c r="Q917" s="87">
        <v>0</v>
      </c>
      <c r="R917" s="152">
        <v>0</v>
      </c>
      <c r="S917" s="174"/>
      <c r="T917" s="74">
        <v>45107</v>
      </c>
      <c r="U917" s="74">
        <v>45107</v>
      </c>
      <c r="V917" s="48"/>
      <c r="W917" s="48"/>
      <c r="X917" s="48"/>
      <c r="Y917" s="48">
        <v>0</v>
      </c>
      <c r="Z917" s="48"/>
      <c r="AA917" s="48" t="s">
        <v>21</v>
      </c>
      <c r="AB917" s="48" t="s">
        <v>27</v>
      </c>
      <c r="AC917" s="48"/>
      <c r="AD917" s="89" t="s">
        <v>845</v>
      </c>
    </row>
    <row r="918" spans="1:30" ht="15.75" hidden="1" x14ac:dyDescent="0.25">
      <c r="A918" s="48" t="s">
        <v>723</v>
      </c>
      <c r="B918" s="74">
        <v>45718</v>
      </c>
      <c r="C918" s="48" t="s">
        <v>441</v>
      </c>
      <c r="D918" s="48" t="s">
        <v>20</v>
      </c>
      <c r="E918" s="48" t="s">
        <v>724</v>
      </c>
      <c r="F918" s="48" t="s">
        <v>613</v>
      </c>
      <c r="G918" s="48" t="s">
        <v>24</v>
      </c>
      <c r="H918" s="48" t="s">
        <v>613</v>
      </c>
      <c r="I918" s="48" t="s">
        <v>26</v>
      </c>
      <c r="J918" s="48">
        <v>1020106</v>
      </c>
      <c r="K918" s="50">
        <v>753402</v>
      </c>
      <c r="L918" s="50">
        <v>1</v>
      </c>
      <c r="M918" s="50">
        <v>753402</v>
      </c>
      <c r="N918" s="50">
        <v>753402.01</v>
      </c>
      <c r="O918" s="50">
        <v>-0.01</v>
      </c>
      <c r="P918" s="50">
        <v>0</v>
      </c>
      <c r="Q918" s="87">
        <v>-0.01</v>
      </c>
      <c r="R918" s="152">
        <v>0</v>
      </c>
      <c r="S918" s="174"/>
      <c r="T918" s="74">
        <v>46022</v>
      </c>
      <c r="U918" s="74">
        <v>46022</v>
      </c>
      <c r="V918" s="48"/>
      <c r="W918" s="48"/>
      <c r="X918" s="48"/>
      <c r="Y918" s="48">
        <v>0</v>
      </c>
      <c r="Z918" s="48" t="s">
        <v>1913</v>
      </c>
      <c r="AA918" s="48" t="s">
        <v>612</v>
      </c>
      <c r="AB918" s="48" t="s">
        <v>27</v>
      </c>
      <c r="AC918" s="48" t="s">
        <v>311</v>
      </c>
      <c r="AD918" s="89" t="s">
        <v>845</v>
      </c>
    </row>
    <row r="919" spans="1:30" ht="15.75" hidden="1" x14ac:dyDescent="0.25">
      <c r="A919" s="48" t="s">
        <v>1819</v>
      </c>
      <c r="B919" s="74">
        <v>45895</v>
      </c>
      <c r="C919" s="48" t="s">
        <v>441</v>
      </c>
      <c r="D919" s="48" t="s">
        <v>20</v>
      </c>
      <c r="E919" s="48" t="s">
        <v>1703</v>
      </c>
      <c r="F919" s="48" t="s">
        <v>613</v>
      </c>
      <c r="G919" s="48" t="s">
        <v>24</v>
      </c>
      <c r="H919" s="48" t="s">
        <v>613</v>
      </c>
      <c r="I919" s="48" t="s">
        <v>26</v>
      </c>
      <c r="J919" s="48">
        <v>1020106</v>
      </c>
      <c r="K919" s="50">
        <v>251134</v>
      </c>
      <c r="L919" s="50">
        <v>1</v>
      </c>
      <c r="M919" s="50">
        <v>251134</v>
      </c>
      <c r="N919" s="50">
        <v>251134</v>
      </c>
      <c r="O919" s="50">
        <v>0</v>
      </c>
      <c r="P919" s="50">
        <v>0</v>
      </c>
      <c r="Q919" s="87">
        <v>0</v>
      </c>
      <c r="R919" s="152">
        <v>0</v>
      </c>
      <c r="S919" s="174"/>
      <c r="T919" s="74">
        <v>46053</v>
      </c>
      <c r="U919" s="74">
        <v>46053</v>
      </c>
      <c r="V919" s="48"/>
      <c r="W919" s="48"/>
      <c r="X919" s="48"/>
      <c r="Y919" s="48">
        <v>0</v>
      </c>
      <c r="Z919" s="48"/>
      <c r="AA919" s="48" t="s">
        <v>612</v>
      </c>
      <c r="AB919" s="48" t="s">
        <v>27</v>
      </c>
      <c r="AC919" s="48" t="s">
        <v>311</v>
      </c>
      <c r="AD919" s="89" t="s">
        <v>845</v>
      </c>
    </row>
    <row r="920" spans="1:30" ht="15.75" hidden="1" x14ac:dyDescent="0.25">
      <c r="A920" s="48" t="s">
        <v>3569</v>
      </c>
      <c r="B920" s="74">
        <v>46033</v>
      </c>
      <c r="C920" s="48" t="s">
        <v>441</v>
      </c>
      <c r="D920" s="48" t="s">
        <v>20</v>
      </c>
      <c r="E920" s="48" t="s">
        <v>1703</v>
      </c>
      <c r="F920" s="48" t="s">
        <v>613</v>
      </c>
      <c r="G920" s="48" t="s">
        <v>24</v>
      </c>
      <c r="H920" s="48" t="s">
        <v>613</v>
      </c>
      <c r="I920" s="48" t="s">
        <v>26</v>
      </c>
      <c r="J920" s="48">
        <v>1020106</v>
      </c>
      <c r="K920" s="50">
        <v>252107.36</v>
      </c>
      <c r="L920" s="50">
        <v>1</v>
      </c>
      <c r="M920" s="50">
        <v>252107.36</v>
      </c>
      <c r="N920" s="50">
        <v>252107.36</v>
      </c>
      <c r="O920" s="50">
        <v>0</v>
      </c>
      <c r="P920" s="50">
        <v>0</v>
      </c>
      <c r="Q920" s="87">
        <v>0</v>
      </c>
      <c r="R920" s="152">
        <v>0</v>
      </c>
      <c r="S920" s="174"/>
      <c r="T920" s="74">
        <v>46112</v>
      </c>
      <c r="U920" s="74">
        <v>46112</v>
      </c>
      <c r="V920" s="48"/>
      <c r="W920" s="48"/>
      <c r="X920" s="48"/>
      <c r="Y920" s="48">
        <v>0</v>
      </c>
      <c r="Z920" s="48"/>
      <c r="AA920" s="48" t="s">
        <v>612</v>
      </c>
      <c r="AB920" s="48" t="s">
        <v>27</v>
      </c>
      <c r="AC920" s="48" t="s">
        <v>1904</v>
      </c>
      <c r="AD920" s="89" t="s">
        <v>845</v>
      </c>
    </row>
    <row r="921" spans="1:30" ht="15.75" hidden="1" x14ac:dyDescent="0.25">
      <c r="A921" s="48" t="s">
        <v>497</v>
      </c>
      <c r="B921" s="74">
        <v>45610</v>
      </c>
      <c r="C921" s="48" t="s">
        <v>509</v>
      </c>
      <c r="D921" s="48" t="s">
        <v>20</v>
      </c>
      <c r="E921" s="48" t="s">
        <v>498</v>
      </c>
      <c r="F921" s="48" t="s">
        <v>22</v>
      </c>
      <c r="G921" s="48" t="s">
        <v>72</v>
      </c>
      <c r="H921" s="48" t="s">
        <v>487</v>
      </c>
      <c r="I921" s="48" t="s">
        <v>26</v>
      </c>
      <c r="J921" s="48">
        <v>1020060</v>
      </c>
      <c r="K921" s="50">
        <v>1181656.28</v>
      </c>
      <c r="L921" s="50">
        <v>1</v>
      </c>
      <c r="M921" s="50">
        <v>1181656.28</v>
      </c>
      <c r="N921" s="50">
        <v>0</v>
      </c>
      <c r="O921" s="50">
        <v>1181656.28</v>
      </c>
      <c r="P921" s="50">
        <v>0</v>
      </c>
      <c r="Q921" s="87">
        <v>1181656.28</v>
      </c>
      <c r="R921" s="152">
        <v>0</v>
      </c>
      <c r="S921" s="174"/>
      <c r="T921" s="74">
        <v>45688</v>
      </c>
      <c r="U921" s="74">
        <v>45661</v>
      </c>
      <c r="V921" s="48"/>
      <c r="W921" s="48"/>
      <c r="X921" s="48"/>
      <c r="Y921" s="48">
        <v>0</v>
      </c>
      <c r="Z921" s="48" t="s">
        <v>499</v>
      </c>
      <c r="AA921" s="48" t="s">
        <v>21</v>
      </c>
      <c r="AB921" s="48" t="s">
        <v>27</v>
      </c>
      <c r="AC921" s="48" t="s">
        <v>305</v>
      </c>
      <c r="AD921" s="89" t="s">
        <v>845</v>
      </c>
    </row>
    <row r="922" spans="1:30" ht="15.75" hidden="1" x14ac:dyDescent="0.25">
      <c r="A922" s="48" t="s">
        <v>604</v>
      </c>
      <c r="B922" s="74">
        <v>45664</v>
      </c>
      <c r="C922" s="48" t="s">
        <v>441</v>
      </c>
      <c r="D922" s="48" t="s">
        <v>20</v>
      </c>
      <c r="E922" s="48" t="s">
        <v>605</v>
      </c>
      <c r="F922" s="48" t="s">
        <v>63</v>
      </c>
      <c r="G922" s="48" t="s">
        <v>24</v>
      </c>
      <c r="H922" s="48" t="s">
        <v>22</v>
      </c>
      <c r="I922" s="48" t="s">
        <v>26</v>
      </c>
      <c r="J922" s="48">
        <v>1020055</v>
      </c>
      <c r="K922" s="50">
        <v>431393.05</v>
      </c>
      <c r="L922" s="50">
        <v>1</v>
      </c>
      <c r="M922" s="50">
        <v>431393.05</v>
      </c>
      <c r="N922" s="50">
        <v>431393.05</v>
      </c>
      <c r="O922" s="50">
        <v>0</v>
      </c>
      <c r="P922" s="50">
        <v>0</v>
      </c>
      <c r="Q922" s="87">
        <v>0</v>
      </c>
      <c r="R922" s="152">
        <v>0</v>
      </c>
      <c r="S922" s="174"/>
      <c r="T922" s="74">
        <v>45747</v>
      </c>
      <c r="U922" s="74">
        <v>45747</v>
      </c>
      <c r="V922" s="48"/>
      <c r="W922" s="48"/>
      <c r="X922" s="48"/>
      <c r="Y922" s="48">
        <v>0</v>
      </c>
      <c r="Z922" s="48"/>
      <c r="AA922" s="48" t="s">
        <v>373</v>
      </c>
      <c r="AB922" s="48" t="s">
        <v>27</v>
      </c>
      <c r="AC922" s="48" t="s">
        <v>311</v>
      </c>
      <c r="AD922" s="89" t="s">
        <v>845</v>
      </c>
    </row>
    <row r="923" spans="1:30" ht="15.75" hidden="1" x14ac:dyDescent="0.25">
      <c r="A923" s="48" t="s">
        <v>1406</v>
      </c>
      <c r="B923" s="74">
        <v>45804</v>
      </c>
      <c r="C923" s="48" t="s">
        <v>441</v>
      </c>
      <c r="D923" s="48" t="s">
        <v>20</v>
      </c>
      <c r="E923" s="48" t="s">
        <v>1364</v>
      </c>
      <c r="F923" s="48" t="s">
        <v>22</v>
      </c>
      <c r="G923" s="48" t="s">
        <v>24</v>
      </c>
      <c r="H923" s="48" t="s">
        <v>22</v>
      </c>
      <c r="I923" s="48" t="s">
        <v>26</v>
      </c>
      <c r="J923" s="48">
        <v>1020055</v>
      </c>
      <c r="K923" s="50">
        <v>200000</v>
      </c>
      <c r="L923" s="50">
        <v>1</v>
      </c>
      <c r="M923" s="50">
        <v>200000</v>
      </c>
      <c r="N923" s="50">
        <v>200000</v>
      </c>
      <c r="O923" s="50">
        <v>0</v>
      </c>
      <c r="P923" s="50">
        <v>0</v>
      </c>
      <c r="Q923" s="87">
        <v>0</v>
      </c>
      <c r="R923" s="152">
        <v>0</v>
      </c>
      <c r="S923" s="174"/>
      <c r="T923" s="74">
        <v>45900</v>
      </c>
      <c r="U923" s="74">
        <v>45900</v>
      </c>
      <c r="V923" s="48"/>
      <c r="W923" s="48"/>
      <c r="X923" s="48"/>
      <c r="Y923" s="48">
        <v>0</v>
      </c>
      <c r="Z923" s="48"/>
      <c r="AA923" s="48" t="s">
        <v>21</v>
      </c>
      <c r="AB923" s="48" t="s">
        <v>27</v>
      </c>
      <c r="AC923" s="48" t="s">
        <v>621</v>
      </c>
      <c r="AD923" s="89" t="s">
        <v>845</v>
      </c>
    </row>
    <row r="924" spans="1:30" ht="15.75" hidden="1" x14ac:dyDescent="0.25">
      <c r="A924" s="48" t="s">
        <v>392</v>
      </c>
      <c r="B924" s="74">
        <v>45551</v>
      </c>
      <c r="C924" s="48" t="s">
        <v>441</v>
      </c>
      <c r="D924" s="48" t="s">
        <v>20</v>
      </c>
      <c r="E924" s="48" t="s">
        <v>393</v>
      </c>
      <c r="F924" s="48" t="s">
        <v>96</v>
      </c>
      <c r="G924" s="48" t="s">
        <v>24</v>
      </c>
      <c r="H924" s="48" t="s">
        <v>22</v>
      </c>
      <c r="I924" s="48" t="s">
        <v>26</v>
      </c>
      <c r="J924" s="48">
        <v>1020055</v>
      </c>
      <c r="K924" s="50">
        <v>670471.5</v>
      </c>
      <c r="L924" s="50">
        <v>1</v>
      </c>
      <c r="M924" s="50">
        <v>670471.5</v>
      </c>
      <c r="N924" s="50">
        <v>670471.5</v>
      </c>
      <c r="O924" s="50">
        <v>0</v>
      </c>
      <c r="P924" s="50">
        <v>0</v>
      </c>
      <c r="Q924" s="87">
        <v>0</v>
      </c>
      <c r="R924" s="152">
        <v>0</v>
      </c>
      <c r="S924" s="174"/>
      <c r="T924" s="74">
        <v>45626</v>
      </c>
      <c r="U924" s="74">
        <v>45600</v>
      </c>
      <c r="V924" s="48"/>
      <c r="W924" s="48"/>
      <c r="X924" s="48"/>
      <c r="Y924" s="48">
        <v>0</v>
      </c>
      <c r="Z924" s="48"/>
      <c r="AA924" s="48" t="s">
        <v>95</v>
      </c>
      <c r="AB924" s="48" t="s">
        <v>27</v>
      </c>
      <c r="AC924" s="48" t="s">
        <v>311</v>
      </c>
      <c r="AD924" s="89" t="s">
        <v>845</v>
      </c>
    </row>
    <row r="925" spans="1:30" ht="15.75" hidden="1" x14ac:dyDescent="0.25">
      <c r="A925" s="48" t="s">
        <v>829</v>
      </c>
      <c r="B925" s="74">
        <v>45739</v>
      </c>
      <c r="C925" s="48" t="s">
        <v>441</v>
      </c>
      <c r="D925" s="48" t="s">
        <v>20</v>
      </c>
      <c r="E925" s="48" t="s">
        <v>393</v>
      </c>
      <c r="F925" s="48" t="s">
        <v>22</v>
      </c>
      <c r="G925" s="48" t="s">
        <v>24</v>
      </c>
      <c r="H925" s="48" t="s">
        <v>22</v>
      </c>
      <c r="I925" s="48" t="s">
        <v>26</v>
      </c>
      <c r="J925" s="48">
        <v>1020055</v>
      </c>
      <c r="K925" s="50">
        <v>300597.8</v>
      </c>
      <c r="L925" s="50">
        <v>1</v>
      </c>
      <c r="M925" s="50">
        <v>300597.8</v>
      </c>
      <c r="N925" s="50">
        <v>300597.8</v>
      </c>
      <c r="O925" s="50">
        <v>0</v>
      </c>
      <c r="P925" s="50">
        <v>0</v>
      </c>
      <c r="Q925" s="87">
        <v>0</v>
      </c>
      <c r="R925" s="152">
        <v>0</v>
      </c>
      <c r="S925" s="174"/>
      <c r="T925" s="74">
        <v>45838</v>
      </c>
      <c r="U925" s="74">
        <v>45838</v>
      </c>
      <c r="V925" s="48"/>
      <c r="W925" s="48"/>
      <c r="X925" s="48"/>
      <c r="Y925" s="48">
        <v>0</v>
      </c>
      <c r="Z925" s="48"/>
      <c r="AA925" s="48" t="s">
        <v>21</v>
      </c>
      <c r="AB925" s="48" t="s">
        <v>27</v>
      </c>
      <c r="AC925" s="48" t="s">
        <v>311</v>
      </c>
      <c r="AD925" s="89" t="s">
        <v>845</v>
      </c>
    </row>
    <row r="926" spans="1:30" ht="15.75" hidden="1" x14ac:dyDescent="0.25">
      <c r="A926" s="48" t="s">
        <v>1229</v>
      </c>
      <c r="B926" s="74">
        <v>45775</v>
      </c>
      <c r="C926" s="48" t="s">
        <v>1878</v>
      </c>
      <c r="D926" s="48" t="s">
        <v>20</v>
      </c>
      <c r="E926" s="48" t="s">
        <v>1192</v>
      </c>
      <c r="F926" s="48" t="s">
        <v>367</v>
      </c>
      <c r="G926" s="48" t="s">
        <v>3220</v>
      </c>
      <c r="H926" s="48" t="s">
        <v>367</v>
      </c>
      <c r="I926" s="48" t="s">
        <v>191</v>
      </c>
      <c r="J926" s="48">
        <v>1020091</v>
      </c>
      <c r="K926" s="50">
        <v>6500000</v>
      </c>
      <c r="L926" s="50">
        <v>1.03</v>
      </c>
      <c r="M926" s="50">
        <v>6695000</v>
      </c>
      <c r="N926" s="50">
        <v>6679465.7599999998</v>
      </c>
      <c r="O926" s="50">
        <v>15534.24</v>
      </c>
      <c r="P926" s="50">
        <v>0</v>
      </c>
      <c r="Q926" s="87">
        <v>15534.24</v>
      </c>
      <c r="R926" s="152">
        <v>0</v>
      </c>
      <c r="S926" s="174"/>
      <c r="T926" s="74">
        <v>45951</v>
      </c>
      <c r="U926" s="74">
        <v>45930</v>
      </c>
      <c r="V926" s="48"/>
      <c r="W926" s="48"/>
      <c r="X926" s="48"/>
      <c r="Y926" s="48">
        <v>0</v>
      </c>
      <c r="Z926" s="48"/>
      <c r="AA926" s="48" t="s">
        <v>366</v>
      </c>
      <c r="AB926" s="48" t="s">
        <v>27</v>
      </c>
      <c r="AC926" s="48" t="s">
        <v>208</v>
      </c>
      <c r="AD926" s="89" t="s">
        <v>845</v>
      </c>
    </row>
    <row r="927" spans="1:30" ht="15.75" hidden="1" x14ac:dyDescent="0.25">
      <c r="A927" s="48" t="s">
        <v>321</v>
      </c>
      <c r="B927" s="74">
        <v>45529</v>
      </c>
      <c r="C927" s="48" t="s">
        <v>1118</v>
      </c>
      <c r="D927" s="48" t="s">
        <v>20</v>
      </c>
      <c r="E927" s="48" t="s">
        <v>322</v>
      </c>
      <c r="F927" s="48" t="s">
        <v>70</v>
      </c>
      <c r="G927" s="48" t="s">
        <v>72</v>
      </c>
      <c r="H927" s="48" t="s">
        <v>213</v>
      </c>
      <c r="I927" s="48" t="s">
        <v>26</v>
      </c>
      <c r="J927" s="48">
        <v>1020015</v>
      </c>
      <c r="K927" s="50">
        <v>16327500.880000001</v>
      </c>
      <c r="L927" s="50">
        <v>1</v>
      </c>
      <c r="M927" s="50">
        <v>16327500.880000001</v>
      </c>
      <c r="N927" s="50">
        <v>15446722.59</v>
      </c>
      <c r="O927" s="50">
        <v>880778.29</v>
      </c>
      <c r="P927" s="50">
        <v>0</v>
      </c>
      <c r="Q927" s="87">
        <v>880778.29</v>
      </c>
      <c r="R927" s="152">
        <v>0</v>
      </c>
      <c r="S927" s="174"/>
      <c r="T927" s="74">
        <v>46203</v>
      </c>
      <c r="U927" s="74">
        <v>45657</v>
      </c>
      <c r="V927" s="48"/>
      <c r="W927" s="48"/>
      <c r="X927" s="48"/>
      <c r="Y927" s="48">
        <v>0</v>
      </c>
      <c r="Z927" s="48"/>
      <c r="AA927" s="48" t="s">
        <v>62</v>
      </c>
      <c r="AB927" s="48" t="s">
        <v>70</v>
      </c>
      <c r="AC927" s="48" t="s">
        <v>127</v>
      </c>
      <c r="AD927" s="89" t="s">
        <v>1026</v>
      </c>
    </row>
    <row r="928" spans="1:30" ht="15.75" hidden="1" x14ac:dyDescent="0.25">
      <c r="A928" s="48" t="s">
        <v>1395</v>
      </c>
      <c r="B928" s="74">
        <v>45804</v>
      </c>
      <c r="C928" s="48" t="s">
        <v>441</v>
      </c>
      <c r="D928" s="48" t="s">
        <v>20</v>
      </c>
      <c r="E928" s="48" t="s">
        <v>1392</v>
      </c>
      <c r="F928" s="48" t="s">
        <v>613</v>
      </c>
      <c r="G928" s="48" t="s">
        <v>24</v>
      </c>
      <c r="H928" s="48" t="s">
        <v>613</v>
      </c>
      <c r="I928" s="48" t="s">
        <v>26</v>
      </c>
      <c r="J928" s="48">
        <v>1020106</v>
      </c>
      <c r="K928" s="50">
        <v>618700.01</v>
      </c>
      <c r="L928" s="50">
        <v>1</v>
      </c>
      <c r="M928" s="50">
        <v>618700.01</v>
      </c>
      <c r="N928" s="50">
        <v>618700</v>
      </c>
      <c r="O928" s="50">
        <v>0.01</v>
      </c>
      <c r="P928" s="50">
        <v>0</v>
      </c>
      <c r="Q928" s="87">
        <v>0.01</v>
      </c>
      <c r="R928" s="152">
        <v>0</v>
      </c>
      <c r="S928" s="174"/>
      <c r="T928" s="74">
        <v>45961</v>
      </c>
      <c r="U928" s="74">
        <v>45961</v>
      </c>
      <c r="V928" s="48"/>
      <c r="W928" s="48"/>
      <c r="X928" s="48"/>
      <c r="Y928" s="48">
        <v>0</v>
      </c>
      <c r="Z928" s="48"/>
      <c r="AA928" s="48" t="s">
        <v>612</v>
      </c>
      <c r="AB928" s="48" t="s">
        <v>27</v>
      </c>
      <c r="AC928" s="48" t="s">
        <v>311</v>
      </c>
      <c r="AD928" s="89" t="s">
        <v>845</v>
      </c>
    </row>
    <row r="929" spans="1:30" ht="15.75" hidden="1" x14ac:dyDescent="0.25">
      <c r="A929" s="48" t="s">
        <v>1230</v>
      </c>
      <c r="B929" s="74">
        <v>45775</v>
      </c>
      <c r="C929" s="48" t="s">
        <v>441</v>
      </c>
      <c r="D929" s="48" t="s">
        <v>20</v>
      </c>
      <c r="E929" s="48" t="s">
        <v>1204</v>
      </c>
      <c r="F929" s="48" t="s">
        <v>613</v>
      </c>
      <c r="G929" s="48" t="s">
        <v>72</v>
      </c>
      <c r="H929" s="48" t="s">
        <v>613</v>
      </c>
      <c r="I929" s="48" t="s">
        <v>26</v>
      </c>
      <c r="J929" s="48">
        <v>1020106</v>
      </c>
      <c r="K929" s="50">
        <v>11042622</v>
      </c>
      <c r="L929" s="50">
        <v>1</v>
      </c>
      <c r="M929" s="50">
        <v>11042622</v>
      </c>
      <c r="N929" s="50">
        <v>11042622</v>
      </c>
      <c r="O929" s="50">
        <v>0</v>
      </c>
      <c r="P929" s="50">
        <v>0</v>
      </c>
      <c r="Q929" s="87">
        <v>0</v>
      </c>
      <c r="R929" s="152">
        <v>0</v>
      </c>
      <c r="S929" s="174"/>
      <c r="T929" s="74">
        <v>45869</v>
      </c>
      <c r="U929" s="74">
        <v>45869</v>
      </c>
      <c r="V929" s="48"/>
      <c r="W929" s="48"/>
      <c r="X929" s="48"/>
      <c r="Y929" s="48">
        <v>0</v>
      </c>
      <c r="Z929" s="48"/>
      <c r="AA929" s="48" t="s">
        <v>612</v>
      </c>
      <c r="AB929" s="48" t="s">
        <v>27</v>
      </c>
      <c r="AC929" s="48" t="s">
        <v>311</v>
      </c>
      <c r="AD929" s="89" t="s">
        <v>845</v>
      </c>
    </row>
    <row r="930" spans="1:30" ht="15.75" hidden="1" x14ac:dyDescent="0.25">
      <c r="A930" s="48" t="s">
        <v>180</v>
      </c>
      <c r="B930" s="74">
        <v>45175</v>
      </c>
      <c r="C930" s="48" t="s">
        <v>1184</v>
      </c>
      <c r="D930" s="48" t="s">
        <v>20</v>
      </c>
      <c r="E930" s="48" t="s">
        <v>181</v>
      </c>
      <c r="F930" s="48" t="s">
        <v>22</v>
      </c>
      <c r="G930" s="48" t="s">
        <v>80</v>
      </c>
      <c r="H930" s="48" t="s">
        <v>22</v>
      </c>
      <c r="I930" s="48" t="s">
        <v>26</v>
      </c>
      <c r="J930" s="48">
        <v>1020055</v>
      </c>
      <c r="K930" s="50">
        <v>5972293</v>
      </c>
      <c r="L930" s="50">
        <v>1</v>
      </c>
      <c r="M930" s="50">
        <v>5972293</v>
      </c>
      <c r="N930" s="50">
        <v>5972293</v>
      </c>
      <c r="O930" s="50">
        <v>0</v>
      </c>
      <c r="P930" s="50">
        <v>0</v>
      </c>
      <c r="Q930" s="87">
        <v>0</v>
      </c>
      <c r="R930" s="152">
        <v>0</v>
      </c>
      <c r="S930" s="174"/>
      <c r="T930" s="74">
        <v>45260</v>
      </c>
      <c r="U930" s="74">
        <v>45260</v>
      </c>
      <c r="V930" s="48"/>
      <c r="W930" s="48"/>
      <c r="X930" s="48"/>
      <c r="Y930" s="48">
        <v>0</v>
      </c>
      <c r="Z930" s="48"/>
      <c r="AA930" s="48" t="s">
        <v>21</v>
      </c>
      <c r="AB930" s="48" t="s">
        <v>27</v>
      </c>
      <c r="AC930" s="48"/>
      <c r="AD930" s="89" t="s">
        <v>845</v>
      </c>
    </row>
    <row r="931" spans="1:30" ht="15.75" hidden="1" x14ac:dyDescent="0.25">
      <c r="A931" s="48" t="s">
        <v>1403</v>
      </c>
      <c r="B931" s="74">
        <v>45804</v>
      </c>
      <c r="C931" s="48" t="s">
        <v>441</v>
      </c>
      <c r="D931" s="48" t="s">
        <v>20</v>
      </c>
      <c r="E931" s="48" t="s">
        <v>1360</v>
      </c>
      <c r="F931" s="48" t="s">
        <v>22</v>
      </c>
      <c r="G931" s="48" t="s">
        <v>24</v>
      </c>
      <c r="H931" s="48" t="s">
        <v>22</v>
      </c>
      <c r="I931" s="48" t="s">
        <v>26</v>
      </c>
      <c r="J931" s="48">
        <v>1020055</v>
      </c>
      <c r="K931" s="50">
        <v>381871.86</v>
      </c>
      <c r="L931" s="50">
        <v>1</v>
      </c>
      <c r="M931" s="50">
        <v>381871.86</v>
      </c>
      <c r="N931" s="50">
        <v>381871.86</v>
      </c>
      <c r="O931" s="50">
        <v>0</v>
      </c>
      <c r="P931" s="50">
        <v>0</v>
      </c>
      <c r="Q931" s="87">
        <v>0</v>
      </c>
      <c r="R931" s="152">
        <v>0</v>
      </c>
      <c r="S931" s="174"/>
      <c r="T931" s="74">
        <v>45961</v>
      </c>
      <c r="U931" s="74">
        <v>45961</v>
      </c>
      <c r="V931" s="48"/>
      <c r="W931" s="48"/>
      <c r="X931" s="48"/>
      <c r="Y931" s="48">
        <v>0</v>
      </c>
      <c r="Z931" s="48" t="s">
        <v>1846</v>
      </c>
      <c r="AA931" s="48" t="s">
        <v>21</v>
      </c>
      <c r="AB931" s="48" t="s">
        <v>27</v>
      </c>
      <c r="AC931" s="48" t="s">
        <v>621</v>
      </c>
      <c r="AD931" s="89" t="s">
        <v>845</v>
      </c>
    </row>
    <row r="932" spans="1:30" ht="15.75" hidden="1" x14ac:dyDescent="0.25">
      <c r="A932" s="48" t="s">
        <v>1661</v>
      </c>
      <c r="B932" s="74">
        <v>45869</v>
      </c>
      <c r="C932" s="48" t="s">
        <v>441</v>
      </c>
      <c r="D932" s="48" t="s">
        <v>20</v>
      </c>
      <c r="E932" s="48" t="s">
        <v>1588</v>
      </c>
      <c r="F932" s="48" t="s">
        <v>22</v>
      </c>
      <c r="G932" s="48" t="s">
        <v>24</v>
      </c>
      <c r="H932" s="48" t="s">
        <v>22</v>
      </c>
      <c r="I932" s="48" t="s">
        <v>26</v>
      </c>
      <c r="J932" s="48">
        <v>1020055</v>
      </c>
      <c r="K932" s="50">
        <v>4106471.65</v>
      </c>
      <c r="L932" s="50">
        <v>1</v>
      </c>
      <c r="M932" s="50">
        <v>4106471.65</v>
      </c>
      <c r="N932" s="50">
        <v>4106471.65</v>
      </c>
      <c r="O932" s="50">
        <v>0</v>
      </c>
      <c r="P932" s="50">
        <v>0</v>
      </c>
      <c r="Q932" s="87">
        <v>0</v>
      </c>
      <c r="R932" s="152">
        <v>0</v>
      </c>
      <c r="S932" s="174"/>
      <c r="T932" s="74">
        <v>45961</v>
      </c>
      <c r="U932" s="74">
        <v>45961</v>
      </c>
      <c r="V932" s="48"/>
      <c r="W932" s="48"/>
      <c r="X932" s="48"/>
      <c r="Y932" s="48">
        <v>0</v>
      </c>
      <c r="Z932" s="48" t="s">
        <v>1621</v>
      </c>
      <c r="AA932" s="48" t="s">
        <v>21</v>
      </c>
      <c r="AB932" s="48" t="s">
        <v>27</v>
      </c>
      <c r="AC932" s="48" t="s">
        <v>621</v>
      </c>
      <c r="AD932" s="89" t="s">
        <v>845</v>
      </c>
    </row>
    <row r="933" spans="1:30" ht="15.75" hidden="1" x14ac:dyDescent="0.25">
      <c r="A933" s="48" t="s">
        <v>143</v>
      </c>
      <c r="B933" s="74">
        <v>45015</v>
      </c>
      <c r="C933" s="48" t="s">
        <v>1182</v>
      </c>
      <c r="D933" s="48" t="s">
        <v>20</v>
      </c>
      <c r="E933" s="48" t="s">
        <v>144</v>
      </c>
      <c r="F933" s="48" t="s">
        <v>22</v>
      </c>
      <c r="G933" s="48" t="s">
        <v>24</v>
      </c>
      <c r="H933" s="48" t="s">
        <v>25</v>
      </c>
      <c r="I933" s="48" t="s">
        <v>26</v>
      </c>
      <c r="J933" s="48">
        <v>1020052</v>
      </c>
      <c r="K933" s="50">
        <v>10518119</v>
      </c>
      <c r="L933" s="50">
        <v>1</v>
      </c>
      <c r="M933" s="50">
        <v>10518119</v>
      </c>
      <c r="N933" s="50">
        <v>10518119</v>
      </c>
      <c r="O933" s="50">
        <v>0</v>
      </c>
      <c r="P933" s="50">
        <v>0</v>
      </c>
      <c r="Q933" s="87">
        <v>0</v>
      </c>
      <c r="R933" s="152">
        <v>0</v>
      </c>
      <c r="S933" s="174"/>
      <c r="T933" s="74">
        <v>45199</v>
      </c>
      <c r="U933" s="74">
        <v>45199</v>
      </c>
      <c r="V933" s="48"/>
      <c r="W933" s="48"/>
      <c r="X933" s="48"/>
      <c r="Y933" s="48">
        <v>0</v>
      </c>
      <c r="Z933" s="48"/>
      <c r="AA933" s="48" t="s">
        <v>21</v>
      </c>
      <c r="AB933" s="48" t="s">
        <v>27</v>
      </c>
      <c r="AC933" s="48"/>
      <c r="AD933" s="89" t="s">
        <v>845</v>
      </c>
    </row>
    <row r="934" spans="1:30" ht="15.75" hidden="1" x14ac:dyDescent="0.25">
      <c r="A934" s="48" t="s">
        <v>267</v>
      </c>
      <c r="B934" s="74">
        <v>45435</v>
      </c>
      <c r="C934" s="48" t="s">
        <v>441</v>
      </c>
      <c r="D934" s="48" t="s">
        <v>20</v>
      </c>
      <c r="E934" s="48" t="s">
        <v>268</v>
      </c>
      <c r="F934" s="48" t="s">
        <v>22</v>
      </c>
      <c r="G934" s="48" t="s">
        <v>24</v>
      </c>
      <c r="H934" s="48" t="s">
        <v>22</v>
      </c>
      <c r="I934" s="48" t="s">
        <v>26</v>
      </c>
      <c r="J934" s="48">
        <v>1020055</v>
      </c>
      <c r="K934" s="50">
        <v>3794618.02</v>
      </c>
      <c r="L934" s="50">
        <v>1</v>
      </c>
      <c r="M934" s="50">
        <v>3794618.02</v>
      </c>
      <c r="N934" s="50">
        <v>3794618.02</v>
      </c>
      <c r="O934" s="50">
        <v>0</v>
      </c>
      <c r="P934" s="50">
        <v>0</v>
      </c>
      <c r="Q934" s="87">
        <v>0</v>
      </c>
      <c r="R934" s="152">
        <v>0</v>
      </c>
      <c r="S934" s="174"/>
      <c r="T934" s="74">
        <v>45565</v>
      </c>
      <c r="U934" s="74">
        <v>45565</v>
      </c>
      <c r="V934" s="48"/>
      <c r="W934" s="48"/>
      <c r="X934" s="48"/>
      <c r="Y934" s="48">
        <v>0</v>
      </c>
      <c r="Z934" s="48"/>
      <c r="AA934" s="48" t="s">
        <v>21</v>
      </c>
      <c r="AB934" s="48" t="s">
        <v>27</v>
      </c>
      <c r="AC934" s="48"/>
      <c r="AD934" s="89" t="s">
        <v>845</v>
      </c>
    </row>
    <row r="935" spans="1:30" ht="15.75" hidden="1" x14ac:dyDescent="0.25">
      <c r="A935" s="548" t="s">
        <v>334</v>
      </c>
      <c r="B935" s="549">
        <v>45519</v>
      </c>
      <c r="C935" s="548" t="s">
        <v>441</v>
      </c>
      <c r="D935" s="548" t="s">
        <v>20</v>
      </c>
      <c r="E935" s="548" t="s">
        <v>335</v>
      </c>
      <c r="F935" s="548" t="s">
        <v>96</v>
      </c>
      <c r="G935" s="548" t="s">
        <v>24</v>
      </c>
      <c r="H935" s="548" t="s">
        <v>22</v>
      </c>
      <c r="I935" s="548" t="s">
        <v>26</v>
      </c>
      <c r="J935" s="548">
        <v>1020055</v>
      </c>
      <c r="K935" s="54">
        <v>2754688.47</v>
      </c>
      <c r="L935" s="54">
        <v>1</v>
      </c>
      <c r="M935" s="54">
        <v>2754688.47</v>
      </c>
      <c r="N935" s="54">
        <v>2754688.47</v>
      </c>
      <c r="O935" s="54">
        <v>0</v>
      </c>
      <c r="P935" s="54">
        <v>0</v>
      </c>
      <c r="Q935" s="583">
        <v>0</v>
      </c>
      <c r="R935" s="584">
        <v>0</v>
      </c>
      <c r="S935" s="300"/>
      <c r="T935" s="549">
        <v>45626</v>
      </c>
      <c r="U935" s="549">
        <v>45626</v>
      </c>
      <c r="V935" s="548"/>
      <c r="W935" s="548"/>
      <c r="X935" s="548"/>
      <c r="Y935" s="548">
        <v>0</v>
      </c>
      <c r="Z935" s="548"/>
      <c r="AA935" s="548" t="s">
        <v>95</v>
      </c>
      <c r="AB935" s="548" t="s">
        <v>27</v>
      </c>
      <c r="AC935" s="548"/>
      <c r="AD935" s="585" t="s">
        <v>845</v>
      </c>
    </row>
    <row r="937" spans="1:30" x14ac:dyDescent="0.25">
      <c r="R937" s="8"/>
    </row>
    <row r="938" spans="1:30" x14ac:dyDescent="0.25">
      <c r="O938" s="8"/>
      <c r="Q938" s="8"/>
      <c r="R938" s="8"/>
    </row>
    <row r="944" spans="1:30" x14ac:dyDescent="0.25">
      <c r="O944" s="313"/>
      <c r="P944" s="8"/>
    </row>
    <row r="945" spans="15:15" x14ac:dyDescent="0.25">
      <c r="O945" s="314"/>
    </row>
    <row r="946" spans="15:15" x14ac:dyDescent="0.25">
      <c r="O946" s="8"/>
    </row>
  </sheetData>
  <mergeCells count="1">
    <mergeCell ref="C3:J3"/>
  </mergeCells>
  <phoneticPr fontId="24" type="noConversion"/>
  <conditionalFormatting sqref="A5:A402">
    <cfRule type="duplicateValues" dxfId="1600" priority="225"/>
  </conditionalFormatting>
  <conditionalFormatting sqref="A2">
    <cfRule type="expression" dxfId="1599" priority="1">
      <formula>$Q2="Cash"</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Remove_Filter">
                <anchor moveWithCells="1" sizeWithCells="1">
                  <from>
                    <xdr:col>0</xdr:col>
                    <xdr:colOff>57150</xdr:colOff>
                    <xdr:row>0</xdr:row>
                    <xdr:rowOff>76200</xdr:rowOff>
                  </from>
                  <to>
                    <xdr:col>0</xdr:col>
                    <xdr:colOff>781050</xdr:colOff>
                    <xdr:row>0</xdr:row>
                    <xdr:rowOff>361950</xdr:rowOff>
                  </to>
                </anchor>
              </controlPr>
            </control>
          </mc:Choice>
        </mc:AlternateContent>
        <mc:AlternateContent xmlns:mc="http://schemas.openxmlformats.org/markup-compatibility/2006">
          <mc:Choice Requires="x14">
            <control shapeId="18434" r:id="rId5" name="Button 2">
              <controlPr defaultSize="0" autoFill="0" autoPict="0" macro="[0]!Check_Summary">
                <anchor moveWithCells="1" sizeWithCells="1">
                  <from>
                    <xdr:col>1</xdr:col>
                    <xdr:colOff>228600</xdr:colOff>
                    <xdr:row>1</xdr:row>
                    <xdr:rowOff>0</xdr:rowOff>
                  </from>
                  <to>
                    <xdr:col>1</xdr:col>
                    <xdr:colOff>647700</xdr:colOff>
                    <xdr:row>2</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Amt_Recd_For_Sign">
                <anchor moveWithCells="1" sizeWithCells="1">
                  <from>
                    <xdr:col>0</xdr:col>
                    <xdr:colOff>866775</xdr:colOff>
                    <xdr:row>0</xdr:row>
                    <xdr:rowOff>95250</xdr:rowOff>
                  </from>
                  <to>
                    <xdr:col>2</xdr:col>
                    <xdr:colOff>142875</xdr:colOff>
                    <xdr:row>0</xdr:row>
                    <xdr:rowOff>371475</xdr:rowOff>
                  </to>
                </anchor>
              </controlPr>
            </control>
          </mc:Choice>
        </mc:AlternateContent>
      </controls>
    </mc:Choice>
  </mc:AlternateContent>
  <tableParts count="1">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828BE-A458-491B-93B8-641B20F760DD}">
  <sheetPr codeName="Sheet7">
    <tabColor rgb="FFFFFF00"/>
  </sheetPr>
  <dimension ref="A4:AU39"/>
  <sheetViews>
    <sheetView showGridLines="0" workbookViewId="0">
      <selection activeCell="A5" sqref="A5:J19"/>
    </sheetView>
  </sheetViews>
  <sheetFormatPr defaultColWidth="23.28515625" defaultRowHeight="15" x14ac:dyDescent="0.25"/>
  <cols>
    <col min="1" max="1" width="16.28515625" bestFit="1" customWidth="1"/>
    <col min="2" max="2" width="18.42578125" bestFit="1" customWidth="1"/>
    <col min="3" max="4" width="15.7109375" customWidth="1"/>
    <col min="5" max="6" width="15.28515625" customWidth="1"/>
    <col min="7" max="7" width="14.7109375" customWidth="1"/>
    <col min="8" max="8" width="17.85546875" customWidth="1"/>
    <col min="9" max="9" width="17.42578125" customWidth="1"/>
    <col min="10" max="15" width="16.7109375" customWidth="1"/>
    <col min="16" max="16" width="18.28515625" customWidth="1"/>
    <col min="17" max="18" width="17.7109375" customWidth="1"/>
    <col min="19" max="19" width="14.7109375" customWidth="1"/>
    <col min="20" max="24" width="14.7109375" bestFit="1" customWidth="1"/>
    <col min="25" max="25" width="18.42578125" bestFit="1" customWidth="1"/>
    <col min="26" max="26" width="14.85546875" bestFit="1" customWidth="1"/>
    <col min="27" max="27" width="15.140625" customWidth="1"/>
    <col min="28" max="28" width="15.28515625" bestFit="1" customWidth="1"/>
    <col min="29" max="29" width="16.7109375" customWidth="1"/>
    <col min="30" max="30" width="14.28515625" bestFit="1" customWidth="1"/>
    <col min="31" max="32" width="15.140625" bestFit="1" customWidth="1"/>
    <col min="33" max="33" width="18.85546875" bestFit="1" customWidth="1"/>
    <col min="34" max="34" width="14.28515625" bestFit="1" customWidth="1"/>
    <col min="35" max="36" width="15.140625" bestFit="1" customWidth="1"/>
    <col min="37" max="37" width="25.85546875" bestFit="1" customWidth="1"/>
    <col min="38" max="38" width="15.28515625" bestFit="1" customWidth="1"/>
    <col min="39" max="40" width="15.140625" bestFit="1" customWidth="1"/>
    <col min="41" max="41" width="12.7109375" bestFit="1" customWidth="1"/>
    <col min="42" max="42" width="14.28515625" bestFit="1" customWidth="1"/>
    <col min="44" max="44" width="13.140625" bestFit="1" customWidth="1"/>
    <col min="45" max="45" width="15.140625" bestFit="1" customWidth="1"/>
    <col min="46" max="46" width="9" bestFit="1" customWidth="1"/>
    <col min="47" max="48" width="15.28515625" bestFit="1" customWidth="1"/>
  </cols>
  <sheetData>
    <row r="4" spans="1:47" ht="21" thickBot="1" x14ac:dyDescent="0.35">
      <c r="A4" s="630" t="s">
        <v>1836</v>
      </c>
      <c r="B4" s="630"/>
      <c r="C4" s="630"/>
      <c r="D4" s="630"/>
      <c r="E4" s="630"/>
      <c r="F4" s="630"/>
      <c r="M4" s="212" t="s">
        <v>908</v>
      </c>
      <c r="N4" s="629" t="s">
        <v>1150</v>
      </c>
      <c r="O4" s="629"/>
      <c r="P4" s="629"/>
      <c r="Q4" s="629"/>
      <c r="R4" s="213"/>
      <c r="S4" s="213"/>
      <c r="T4" s="213"/>
      <c r="U4" s="213"/>
      <c r="AA4" s="279" t="s">
        <v>4099</v>
      </c>
      <c r="AB4" s="204"/>
      <c r="AC4" s="204"/>
      <c r="AE4" s="204" t="s">
        <v>4100</v>
      </c>
      <c r="AF4" s="204"/>
      <c r="AG4" s="204"/>
      <c r="AI4" s="204" t="s">
        <v>1535</v>
      </c>
      <c r="AJ4" s="204"/>
      <c r="AK4" s="204"/>
    </row>
    <row r="5" spans="1:47" ht="15.75" thickBot="1" x14ac:dyDescent="0.3">
      <c r="A5" s="200" t="s">
        <v>1031</v>
      </c>
      <c r="B5" s="200" t="s">
        <v>3</v>
      </c>
      <c r="C5" s="200" t="s">
        <v>1032</v>
      </c>
      <c r="D5" s="200" t="s">
        <v>1033</v>
      </c>
      <c r="E5" s="200" t="s">
        <v>1199</v>
      </c>
      <c r="F5" s="200" t="s">
        <v>1034</v>
      </c>
      <c r="G5" s="200" t="s">
        <v>1535</v>
      </c>
      <c r="H5" s="535" t="s">
        <v>5306</v>
      </c>
      <c r="I5" s="200" t="s">
        <v>1035</v>
      </c>
      <c r="J5" s="200" t="s">
        <v>1036</v>
      </c>
      <c r="M5" s="93" t="s">
        <v>0</v>
      </c>
      <c r="N5" s="94" t="s">
        <v>1039</v>
      </c>
      <c r="O5" s="94" t="s">
        <v>3852</v>
      </c>
      <c r="P5" s="94" t="s">
        <v>1153</v>
      </c>
      <c r="Q5" s="94" t="s">
        <v>4</v>
      </c>
      <c r="R5" s="94" t="s">
        <v>1025</v>
      </c>
      <c r="S5" s="94" t="s">
        <v>1148</v>
      </c>
      <c r="T5" s="94" t="s">
        <v>1237</v>
      </c>
      <c r="U5" s="94" t="s">
        <v>1149</v>
      </c>
      <c r="V5" s="94" t="s">
        <v>3853</v>
      </c>
      <c r="W5" s="94" t="s">
        <v>3854</v>
      </c>
      <c r="X5" s="94" t="s">
        <v>3855</v>
      </c>
      <c r="AA5" s="27" t="s">
        <v>850</v>
      </c>
      <c r="AB5" s="27" t="s">
        <v>3</v>
      </c>
      <c r="AC5" s="32" t="s">
        <v>1262</v>
      </c>
      <c r="AE5" s="568" t="s">
        <v>850</v>
      </c>
      <c r="AF5" s="568" t="s">
        <v>3</v>
      </c>
      <c r="AG5" s="569" t="s">
        <v>1030</v>
      </c>
      <c r="AI5" s="568" t="s">
        <v>850</v>
      </c>
      <c r="AJ5" s="568" t="s">
        <v>3</v>
      </c>
      <c r="AK5" s="569" t="s">
        <v>1037</v>
      </c>
      <c r="AM5" s="534" t="s">
        <v>850</v>
      </c>
      <c r="AN5" s="534" t="s">
        <v>3</v>
      </c>
      <c r="AO5" s="534" t="s">
        <v>5305</v>
      </c>
    </row>
    <row r="6" spans="1:47" x14ac:dyDescent="0.25">
      <c r="A6" s="201" t="s">
        <v>21</v>
      </c>
      <c r="B6" s="201" t="s">
        <v>22</v>
      </c>
      <c r="C6" s="202">
        <v>400000000</v>
      </c>
      <c r="D6" s="202" cm="1">
        <f t="array" ref="D6">Alinma_Loans[[#All],[Alinma_Loans]]</f>
        <v>50000000</v>
      </c>
      <c r="E6" s="203">
        <f t="shared" ref="E6:E19" si="0">SUMIFS(AC:AC,AA:AA,A6,AB:AB,B6)</f>
        <v>100601706.93000002</v>
      </c>
      <c r="F6" s="203">
        <f t="shared" ref="F6:F19" si="1">SUMIFS(AG:AG,AE:AE,A6,AF:AF,B6)</f>
        <v>0</v>
      </c>
      <c r="G6" s="203">
        <f t="shared" ref="G6:G19" si="2">SUMIFS(AK:AK,AI:AI,A6,AJ:AJ,B6)</f>
        <v>0</v>
      </c>
      <c r="H6" s="203">
        <f t="shared" ref="H6:H16" si="3">SUMIFS(AO:AO,AM:AM,A6,AN:AN,B6)</f>
        <v>0</v>
      </c>
      <c r="I6" s="203">
        <f t="shared" ref="I6:I12" si="4">C6-D6-E6-F6-G6</f>
        <v>249398293.06999999</v>
      </c>
      <c r="J6" s="203">
        <f t="shared" ref="J6:J12" si="5">F6+G6+I6</f>
        <v>249398293.06999999</v>
      </c>
      <c r="M6" s="260" t="s">
        <v>5255</v>
      </c>
      <c r="N6" s="261">
        <v>735855</v>
      </c>
      <c r="O6" s="346">
        <v>46195</v>
      </c>
      <c r="P6" s="565">
        <f>SUMIFS(Main_Presentation[[#All],[ Invoice Amt (SAR)]],Main_Presentation[[#All],[LC Number]],'Facility Space'!M6,Main_Presentation[[#All],[Status]],'Facility Space'!$M$4)</f>
        <v>735855</v>
      </c>
      <c r="Q6" s="348" t="str">
        <f>VLOOKUP(M6,LC_Summary[],5,0)</f>
        <v>DAIKIN AIR CONDITIONING SAUDI ARABIA LLC</v>
      </c>
      <c r="R6" s="389">
        <f>VLOOKUP(M6,LC_Summary[],17,0)-N6-Table10[[#This Row],[Recd. For Sign]]</f>
        <v>-735855</v>
      </c>
      <c r="S6" s="92">
        <f>VLOOKUP(M6,LC_Summary[],20,0)</f>
        <v>46203</v>
      </c>
      <c r="T6" s="389">
        <f ca="1">Table10[[#This Row],[LC Expiry]]-TODAY()</f>
        <v>6</v>
      </c>
      <c r="U6" s="390" t="str">
        <f>VLOOKUP(M6,LC_Summary[],30,0)</f>
        <v>Active</v>
      </c>
      <c r="V6" s="379" t="str">
        <f>LEFT(Table10[[#This Row],[Tenor]],3)</f>
        <v xml:space="preserve">90 </v>
      </c>
      <c r="W6" s="393">
        <f>O6+V6</f>
        <v>46285</v>
      </c>
      <c r="X6" s="1" t="str">
        <f>VLOOKUP(M6,LC_Summary[],29,0)</f>
        <v>90 Days from Appln Rep Sign on Invoice</v>
      </c>
      <c r="AA6" s="609" t="s">
        <v>21</v>
      </c>
      <c r="AB6" s="609" t="s">
        <v>22</v>
      </c>
      <c r="AC6" s="611">
        <v>100601706.93000002</v>
      </c>
      <c r="AE6" s="623" t="s">
        <v>612</v>
      </c>
      <c r="AF6" s="509" t="s">
        <v>613</v>
      </c>
      <c r="AG6" s="621">
        <v>3422137.8</v>
      </c>
      <c r="AI6" s="589" t="s">
        <v>612</v>
      </c>
      <c r="AJ6" s="589" t="s">
        <v>613</v>
      </c>
      <c r="AK6" s="590">
        <v>25000000</v>
      </c>
      <c r="AM6" s="534" t="s">
        <v>62</v>
      </c>
      <c r="AN6" s="534" t="s">
        <v>483</v>
      </c>
      <c r="AO6" s="534">
        <v>19178491.640000001</v>
      </c>
    </row>
    <row r="7" spans="1:47" x14ac:dyDescent="0.25">
      <c r="A7" s="201" t="s">
        <v>95</v>
      </c>
      <c r="B7" s="201" t="s">
        <v>96</v>
      </c>
      <c r="C7" s="202">
        <f>114918974+100000000</f>
        <v>214918974</v>
      </c>
      <c r="D7" s="202" cm="1">
        <f t="array" ref="D7">SNB_Loans[[#All],[SNB_Loans]]</f>
        <v>100000000</v>
      </c>
      <c r="E7" s="203">
        <f t="shared" si="0"/>
        <v>96570151.980000004</v>
      </c>
      <c r="F7" s="203">
        <f t="shared" si="1"/>
        <v>1017646</v>
      </c>
      <c r="G7" s="203">
        <f t="shared" si="2"/>
        <v>0</v>
      </c>
      <c r="H7" s="203">
        <f t="shared" si="3"/>
        <v>8200000</v>
      </c>
      <c r="I7" s="203">
        <f t="shared" si="4"/>
        <v>17331176.019999996</v>
      </c>
      <c r="J7" s="203">
        <f t="shared" si="5"/>
        <v>18348822.019999996</v>
      </c>
      <c r="M7" s="260"/>
      <c r="N7" s="261"/>
      <c r="O7" s="346"/>
      <c r="P7" s="91">
        <f>SUMIFS(Main_Presentation[[#All],[ Invoice Amt (SAR)]],Main_Presentation[[#All],[LC Number]],'Facility Space'!M7,Main_Presentation[[#All],[Status]],'Facility Space'!$M$4)</f>
        <v>0</v>
      </c>
      <c r="Q7" s="90" t="e">
        <f>VLOOKUP(M7,LC_Summary[],5,0)</f>
        <v>#N/A</v>
      </c>
      <c r="R7" s="389" t="e">
        <f>VLOOKUP(M7,LC_Summary[],17,0)-N7-Table10[[#This Row],[Recd. For Sign]]</f>
        <v>#N/A</v>
      </c>
      <c r="S7" s="92" t="e">
        <f>VLOOKUP(M7,LC_Summary[],20,0)</f>
        <v>#N/A</v>
      </c>
      <c r="T7" s="389" t="e">
        <f ca="1">Table10[[#This Row],[LC Expiry]]-TODAY()</f>
        <v>#N/A</v>
      </c>
      <c r="U7" s="390" t="e">
        <f>VLOOKUP(M7,LC_Summary[],30,0)</f>
        <v>#N/A</v>
      </c>
      <c r="V7" s="379" t="e">
        <f>LEFT(Table10[[#This Row],[Tenor]],3)</f>
        <v>#N/A</v>
      </c>
      <c r="W7" s="393" t="e">
        <f t="shared" ref="W7:W16" si="6">O7+V7</f>
        <v>#N/A</v>
      </c>
      <c r="X7" s="1" t="e">
        <f>VLOOKUP(M7,LC_Summary[],29,0)</f>
        <v>#N/A</v>
      </c>
      <c r="AA7" s="609" t="s">
        <v>612</v>
      </c>
      <c r="AB7" s="609" t="s">
        <v>613</v>
      </c>
      <c r="AC7" s="611">
        <v>86032425.629999995</v>
      </c>
      <c r="AE7" s="623" t="s">
        <v>95</v>
      </c>
      <c r="AF7" s="509" t="s">
        <v>96</v>
      </c>
      <c r="AG7" s="621">
        <v>1017646</v>
      </c>
      <c r="AI7" s="186" t="s">
        <v>1073</v>
      </c>
      <c r="AJ7" s="186" t="s">
        <v>882</v>
      </c>
      <c r="AK7" s="588">
        <v>1500000</v>
      </c>
      <c r="AM7" s="534" t="s">
        <v>366</v>
      </c>
      <c r="AN7" s="534" t="s">
        <v>710</v>
      </c>
      <c r="AO7" s="534">
        <v>37490379</v>
      </c>
    </row>
    <row r="8" spans="1:47" x14ac:dyDescent="0.25">
      <c r="A8" s="201" t="s">
        <v>612</v>
      </c>
      <c r="B8" s="201" t="s">
        <v>613</v>
      </c>
      <c r="C8" s="202">
        <v>250000000</v>
      </c>
      <c r="D8" s="202">
        <v>0</v>
      </c>
      <c r="E8" s="203">
        <f t="shared" si="0"/>
        <v>86032425.629999995</v>
      </c>
      <c r="F8" s="203">
        <f t="shared" si="1"/>
        <v>3422137.8</v>
      </c>
      <c r="G8" s="203">
        <f t="shared" si="2"/>
        <v>25000000</v>
      </c>
      <c r="H8" s="203">
        <f t="shared" si="3"/>
        <v>0</v>
      </c>
      <c r="I8" s="203">
        <f>C8-D8-E8-F8-G8</f>
        <v>135545436.56999999</v>
      </c>
      <c r="J8" s="203">
        <f t="shared" si="5"/>
        <v>163967574.37</v>
      </c>
      <c r="K8" s="215"/>
      <c r="L8" s="215"/>
      <c r="M8" s="260"/>
      <c r="N8" s="261"/>
      <c r="O8" s="346"/>
      <c r="P8" s="550">
        <f>SUMIFS(Main_Presentation[[#All],[ Invoice Amt (SAR)]],Main_Presentation[[#All],[LC Number]],'Facility Space'!M8,Main_Presentation[[#All],[Status]],'Facility Space'!$M$4)</f>
        <v>0</v>
      </c>
      <c r="Q8" s="90" t="e">
        <f>VLOOKUP(M8,LC_Summary[],5,0)</f>
        <v>#N/A</v>
      </c>
      <c r="R8" s="389" t="e">
        <f>VLOOKUP(M8,LC_Summary[],17,0)-N8-Table10[[#This Row],[Recd. For Sign]]</f>
        <v>#N/A</v>
      </c>
      <c r="S8" s="92" t="e">
        <f>VLOOKUP(M8,LC_Summary[],20,0)</f>
        <v>#N/A</v>
      </c>
      <c r="T8" s="389" t="e">
        <f ca="1">Table10[[#This Row],[LC Expiry]]-TODAY()</f>
        <v>#N/A</v>
      </c>
      <c r="U8" s="390" t="e">
        <f>VLOOKUP(M8,LC_Summary[],30,0)</f>
        <v>#N/A</v>
      </c>
      <c r="V8" s="379" t="e">
        <f>LEFT(Table10[[#This Row],[Tenor]],3)</f>
        <v>#N/A</v>
      </c>
      <c r="W8" s="393" t="e">
        <f t="shared" si="6"/>
        <v>#N/A</v>
      </c>
      <c r="X8" s="1" t="e">
        <f>VLOOKUP(M8,LC_Summary[],29,0)</f>
        <v>#N/A</v>
      </c>
      <c r="AA8" s="609" t="s">
        <v>366</v>
      </c>
      <c r="AB8" s="609" t="s">
        <v>367</v>
      </c>
      <c r="AC8" s="611">
        <v>483205.4</v>
      </c>
      <c r="AE8" s="623" t="s">
        <v>62</v>
      </c>
      <c r="AF8" s="623" t="s">
        <v>483</v>
      </c>
      <c r="AG8" s="621">
        <v>3000000</v>
      </c>
      <c r="AM8" s="534" t="s">
        <v>95</v>
      </c>
      <c r="AN8" s="534" t="s">
        <v>96</v>
      </c>
      <c r="AO8" s="534">
        <v>8200000</v>
      </c>
    </row>
    <row r="9" spans="1:47" x14ac:dyDescent="0.25">
      <c r="A9" s="201" t="s">
        <v>366</v>
      </c>
      <c r="B9" s="201" t="s">
        <v>710</v>
      </c>
      <c r="C9" s="202">
        <v>60000000</v>
      </c>
      <c r="D9" s="202">
        <v>0</v>
      </c>
      <c r="E9" s="203">
        <f t="shared" si="0"/>
        <v>53189952.460000001</v>
      </c>
      <c r="F9" s="203">
        <f t="shared" si="1"/>
        <v>0</v>
      </c>
      <c r="G9" s="203">
        <f t="shared" si="2"/>
        <v>0</v>
      </c>
      <c r="H9" s="203">
        <f t="shared" si="3"/>
        <v>37490379</v>
      </c>
      <c r="I9" s="203">
        <f>C9-D9-E9-F9-G9</f>
        <v>6810047.5399999991</v>
      </c>
      <c r="J9" s="203">
        <f t="shared" si="5"/>
        <v>6810047.5399999991</v>
      </c>
      <c r="K9" s="216"/>
      <c r="L9" s="216"/>
      <c r="M9" s="260"/>
      <c r="N9" s="261"/>
      <c r="O9" s="346"/>
      <c r="P9" s="550">
        <f>SUMIFS(Main_Presentation[[#All],[ Invoice Amt (SAR)]],Main_Presentation[[#All],[LC Number]],'Facility Space'!M9,Main_Presentation[[#All],[Status]],'Facility Space'!$M$4)</f>
        <v>0</v>
      </c>
      <c r="Q9" s="90" t="e">
        <f>VLOOKUP(M9,LC_Summary[],5,0)</f>
        <v>#N/A</v>
      </c>
      <c r="R9" s="389" t="e">
        <f>VLOOKUP(M9,LC_Summary[],17,0)-N9-Table10[[#This Row],[Recd. For Sign]]</f>
        <v>#N/A</v>
      </c>
      <c r="S9" s="92" t="e">
        <f>VLOOKUP(M9,LC_Summary[],20,0)</f>
        <v>#N/A</v>
      </c>
      <c r="T9" s="389" t="e">
        <f ca="1">Table10[[#This Row],[LC Expiry]]-TODAY()</f>
        <v>#N/A</v>
      </c>
      <c r="U9" s="390" t="e">
        <f>VLOOKUP(M9,LC_Summary[],30,0)</f>
        <v>#N/A</v>
      </c>
      <c r="V9" s="379" t="e">
        <f>LEFT(Table10[[#This Row],[Tenor]],3)</f>
        <v>#N/A</v>
      </c>
      <c r="W9" s="393" t="e">
        <f t="shared" si="6"/>
        <v>#N/A</v>
      </c>
      <c r="X9" s="1" t="e">
        <f>VLOOKUP(M9,LC_Summary[],29,0)</f>
        <v>#N/A</v>
      </c>
      <c r="AA9" s="610" t="s">
        <v>366</v>
      </c>
      <c r="AB9" s="612" t="s">
        <v>710</v>
      </c>
      <c r="AC9" s="613">
        <v>53189952.460000001</v>
      </c>
      <c r="AE9" s="624" t="s">
        <v>3764</v>
      </c>
      <c r="AF9" s="469" t="s">
        <v>4739</v>
      </c>
      <c r="AG9" s="622">
        <v>286671836.5</v>
      </c>
      <c r="AM9" s="534" t="s">
        <v>1073</v>
      </c>
      <c r="AN9" s="534" t="s">
        <v>882</v>
      </c>
      <c r="AO9" s="534">
        <v>12500000</v>
      </c>
    </row>
    <row r="10" spans="1:47" x14ac:dyDescent="0.25">
      <c r="A10" s="201" t="s">
        <v>366</v>
      </c>
      <c r="B10" s="201" t="s">
        <v>1450</v>
      </c>
      <c r="C10" s="202">
        <v>29500000</v>
      </c>
      <c r="D10" s="202">
        <v>0</v>
      </c>
      <c r="E10" s="203">
        <f t="shared" si="0"/>
        <v>11269458.029999999</v>
      </c>
      <c r="F10" s="203">
        <f t="shared" si="1"/>
        <v>0</v>
      </c>
      <c r="G10" s="203">
        <f t="shared" si="2"/>
        <v>0</v>
      </c>
      <c r="H10" s="203">
        <f t="shared" si="3"/>
        <v>0</v>
      </c>
      <c r="I10" s="203">
        <f>C10-D10-E10-F10-G10</f>
        <v>18230541.969999999</v>
      </c>
      <c r="J10" s="203">
        <f t="shared" si="5"/>
        <v>18230541.969999999</v>
      </c>
      <c r="K10" s="216"/>
      <c r="L10" s="216"/>
      <c r="M10" s="260"/>
      <c r="N10" s="261"/>
      <c r="O10" s="346"/>
      <c r="P10" s="91">
        <f>SUMIFS(Main_Presentation[[#All],[ Invoice Amt (SAR)]],Main_Presentation[[#All],[LC Number]],'Facility Space'!M10,Main_Presentation[[#All],[Status]],'Facility Space'!$M$4)</f>
        <v>0</v>
      </c>
      <c r="Q10" s="90" t="e">
        <f>VLOOKUP(M10,LC_Summary[],5,0)</f>
        <v>#N/A</v>
      </c>
      <c r="R10" s="389" t="e">
        <f>VLOOKUP(M10,LC_Summary[],17,0)-N10-Table10[[#This Row],[Recd. For Sign]]</f>
        <v>#N/A</v>
      </c>
      <c r="S10" s="92" t="e">
        <f>VLOOKUP(M10,LC_Summary[],20,0)</f>
        <v>#N/A</v>
      </c>
      <c r="T10" s="389" t="e">
        <f ca="1">Table10[[#This Row],[LC Expiry]]-TODAY()</f>
        <v>#N/A</v>
      </c>
      <c r="U10" s="390" t="e">
        <f>VLOOKUP(M10,LC_Summary[],30,0)</f>
        <v>#N/A</v>
      </c>
      <c r="V10" s="379" t="e">
        <f>LEFT(Table10[[#This Row],[Tenor]],3)</f>
        <v>#N/A</v>
      </c>
      <c r="W10" s="393" t="e">
        <f t="shared" si="6"/>
        <v>#N/A</v>
      </c>
      <c r="X10" s="1" t="e">
        <f>VLOOKUP(M10,LC_Summary[],29,0)</f>
        <v>#N/A</v>
      </c>
      <c r="AA10" s="610" t="s">
        <v>366</v>
      </c>
      <c r="AB10" s="280" t="s">
        <v>1450</v>
      </c>
      <c r="AC10" s="613">
        <v>11269458.029999999</v>
      </c>
    </row>
    <row r="11" spans="1:47" x14ac:dyDescent="0.25">
      <c r="A11" s="201" t="s">
        <v>1073</v>
      </c>
      <c r="B11" s="201" t="s">
        <v>882</v>
      </c>
      <c r="C11" s="203">
        <v>30000000</v>
      </c>
      <c r="D11" s="203">
        <v>0</v>
      </c>
      <c r="E11" s="203">
        <f t="shared" si="0"/>
        <v>2292730.5</v>
      </c>
      <c r="F11" s="203">
        <f t="shared" si="1"/>
        <v>0</v>
      </c>
      <c r="G11" s="203">
        <f t="shared" si="2"/>
        <v>1500000</v>
      </c>
      <c r="H11" s="203">
        <f t="shared" si="3"/>
        <v>12500000</v>
      </c>
      <c r="I11" s="203">
        <f t="shared" si="4"/>
        <v>26207269.5</v>
      </c>
      <c r="J11" s="203">
        <f t="shared" si="5"/>
        <v>27707269.5</v>
      </c>
      <c r="K11" s="216"/>
      <c r="L11" s="216"/>
      <c r="M11" s="260"/>
      <c r="N11" s="261"/>
      <c r="O11" s="346"/>
      <c r="P11" s="550">
        <f>SUMIFS(Main_Presentation[[#All],[ Invoice Amt (SAR)]],Main_Presentation[[#All],[LC Number]],'Facility Space'!M11,Main_Presentation[[#All],[Status]],'Facility Space'!$M$4)</f>
        <v>0</v>
      </c>
      <c r="Q11" s="90" t="e">
        <f>VLOOKUP(M11,LC_Summary[],5,0)</f>
        <v>#N/A</v>
      </c>
      <c r="R11" s="389" t="e">
        <f>VLOOKUP(M11,LC_Summary[],17,0)-N11-Table10[[#This Row],[Recd. For Sign]]</f>
        <v>#N/A</v>
      </c>
      <c r="S11" s="92" t="e">
        <f>VLOOKUP(M11,LC_Summary[],20,0)</f>
        <v>#N/A</v>
      </c>
      <c r="T11" s="389" t="e">
        <f ca="1">Table10[[#This Row],[LC Expiry]]-TODAY()</f>
        <v>#N/A</v>
      </c>
      <c r="U11" s="390" t="e">
        <f>VLOOKUP(M11,LC_Summary[],30,0)</f>
        <v>#N/A</v>
      </c>
      <c r="V11" s="379" t="e">
        <f>LEFT(Table10[[#This Row],[Tenor]],3)</f>
        <v>#N/A</v>
      </c>
      <c r="W11" s="393" t="e">
        <f t="shared" si="6"/>
        <v>#N/A</v>
      </c>
      <c r="X11" s="1" t="e">
        <f>VLOOKUP(M11,LC_Summary[],29,0)</f>
        <v>#N/A</v>
      </c>
      <c r="AA11" s="609" t="s">
        <v>95</v>
      </c>
      <c r="AB11" s="609" t="s">
        <v>96</v>
      </c>
      <c r="AC11" s="611">
        <v>96570151.980000004</v>
      </c>
      <c r="AT11" t="s">
        <v>1704</v>
      </c>
      <c r="AU11" t="s">
        <v>5413</v>
      </c>
    </row>
    <row r="12" spans="1:47" x14ac:dyDescent="0.25">
      <c r="A12" s="201" t="s">
        <v>1073</v>
      </c>
      <c r="B12" s="201" t="s">
        <v>70</v>
      </c>
      <c r="C12" s="202">
        <v>8697146</v>
      </c>
      <c r="D12" s="202">
        <v>0</v>
      </c>
      <c r="E12" s="203">
        <f t="shared" si="0"/>
        <v>0</v>
      </c>
      <c r="F12" s="203">
        <f t="shared" si="1"/>
        <v>0</v>
      </c>
      <c r="G12" s="203">
        <f t="shared" si="2"/>
        <v>0</v>
      </c>
      <c r="H12" s="203">
        <f t="shared" si="3"/>
        <v>0</v>
      </c>
      <c r="I12" s="203">
        <f t="shared" si="4"/>
        <v>8697146</v>
      </c>
      <c r="J12" s="203">
        <f t="shared" si="5"/>
        <v>8697146</v>
      </c>
      <c r="K12" s="216" t="s">
        <v>70</v>
      </c>
      <c r="L12" s="216"/>
      <c r="M12" s="260"/>
      <c r="N12" s="261"/>
      <c r="O12" s="346"/>
      <c r="P12" s="91">
        <f>SUMIFS(Main_Presentation[[#All],[ Invoice Amt (SAR)]],Main_Presentation[[#All],[LC Number]],'Facility Space'!M12,Main_Presentation[[#All],[Status]],'Facility Space'!$M$4)</f>
        <v>0</v>
      </c>
      <c r="Q12" s="90" t="e">
        <f>VLOOKUP(M12,LC_Summary[],5,0)</f>
        <v>#N/A</v>
      </c>
      <c r="R12" s="389" t="e">
        <f>VLOOKUP(M12,LC_Summary[],17,0)-N12-Table10[[#This Row],[Recd. For Sign]]</f>
        <v>#N/A</v>
      </c>
      <c r="S12" s="92" t="e">
        <f>VLOOKUP(M12,LC_Summary[],20,0)</f>
        <v>#N/A</v>
      </c>
      <c r="T12" s="389" t="e">
        <f ca="1">Table10[[#This Row],[LC Expiry]]-TODAY()</f>
        <v>#N/A</v>
      </c>
      <c r="U12" s="390" t="e">
        <f>VLOOKUP(M12,LC_Summary[],30,0)</f>
        <v>#N/A</v>
      </c>
      <c r="V12" s="379" t="e">
        <f>LEFT(Table10[[#This Row],[Tenor]],3)</f>
        <v>#N/A</v>
      </c>
      <c r="W12" s="393" t="e">
        <f t="shared" si="6"/>
        <v>#N/A</v>
      </c>
      <c r="X12" s="1" t="e">
        <f>VLOOKUP(M12,LC_Summary[],29,0)</f>
        <v>#N/A</v>
      </c>
      <c r="AA12" s="609" t="s">
        <v>62</v>
      </c>
      <c r="AB12" s="609" t="s">
        <v>483</v>
      </c>
      <c r="AC12" s="611">
        <v>32716306.289999995</v>
      </c>
      <c r="AT12">
        <v>50000000</v>
      </c>
      <c r="AU12" s="214">
        <v>100000000</v>
      </c>
    </row>
    <row r="13" spans="1:47" x14ac:dyDescent="0.25">
      <c r="A13" s="201" t="s">
        <v>3764</v>
      </c>
      <c r="B13" s="201" t="s">
        <v>4739</v>
      </c>
      <c r="C13" s="202">
        <v>500000000</v>
      </c>
      <c r="D13" s="202">
        <v>0</v>
      </c>
      <c r="E13" s="203">
        <f t="shared" si="0"/>
        <v>0</v>
      </c>
      <c r="F13" s="203">
        <f t="shared" si="1"/>
        <v>286671836.5</v>
      </c>
      <c r="G13" s="203">
        <f t="shared" si="2"/>
        <v>0</v>
      </c>
      <c r="H13" s="203">
        <f t="shared" si="3"/>
        <v>0</v>
      </c>
      <c r="I13" s="203">
        <f t="shared" ref="I13" si="7">C13-D13-E13-F13-G13</f>
        <v>213328163.5</v>
      </c>
      <c r="J13" s="203">
        <f t="shared" ref="J13" si="8">F13+G13+I13</f>
        <v>500000000</v>
      </c>
      <c r="L13" s="216"/>
      <c r="M13" s="260"/>
      <c r="N13" s="261"/>
      <c r="O13" s="346"/>
      <c r="P13" s="134">
        <f>SUMIFS(Main_Presentation[[#All],[ Invoice Amt (SAR)]],Main_Presentation[[#All],[LC Number]],'Facility Space'!M13,Main_Presentation[[#All],[Status]],'Facility Space'!$M$4)</f>
        <v>0</v>
      </c>
      <c r="Q13" s="135" t="e">
        <f>VLOOKUP(M13,LC_Summary[],5,0)</f>
        <v>#N/A</v>
      </c>
      <c r="R13" s="391" t="e">
        <f>VLOOKUP(M13,LC_Summary[],17,0)-N13-Table10[[#This Row],[Recd. For Sign]]</f>
        <v>#N/A</v>
      </c>
      <c r="S13" s="136" t="e">
        <f>VLOOKUP(M13,LC_Summary[],20,0)</f>
        <v>#N/A</v>
      </c>
      <c r="T13" s="389" t="e">
        <f ca="1">Table10[[#This Row],[LC Expiry]]-TODAY()</f>
        <v>#N/A</v>
      </c>
      <c r="U13" s="392" t="e">
        <f>VLOOKUP(M13,LC_Summary[],30,0)</f>
        <v>#N/A</v>
      </c>
      <c r="V13" s="379" t="e">
        <f>LEFT(Table10[[#This Row],[Tenor]],3)</f>
        <v>#N/A</v>
      </c>
      <c r="W13" s="393" t="e">
        <f t="shared" si="6"/>
        <v>#N/A</v>
      </c>
      <c r="X13" s="1" t="e">
        <f>VLOOKUP(M13,LC_Summary[],29,0)</f>
        <v>#N/A</v>
      </c>
      <c r="AA13" s="610" t="s">
        <v>62</v>
      </c>
      <c r="AB13" s="280" t="s">
        <v>70</v>
      </c>
      <c r="AC13" s="613">
        <v>2024556.23</v>
      </c>
    </row>
    <row r="14" spans="1:47" x14ac:dyDescent="0.25">
      <c r="A14" s="543" t="s">
        <v>62</v>
      </c>
      <c r="B14" s="543" t="s">
        <v>63</v>
      </c>
      <c r="C14" s="544">
        <v>600000000</v>
      </c>
      <c r="D14" s="544">
        <v>454937466</v>
      </c>
      <c r="E14" s="545">
        <f t="shared" si="0"/>
        <v>0</v>
      </c>
      <c r="F14" s="545">
        <f t="shared" si="1"/>
        <v>0</v>
      </c>
      <c r="G14" s="545">
        <f t="shared" si="2"/>
        <v>0</v>
      </c>
      <c r="H14" s="545">
        <f t="shared" si="3"/>
        <v>0</v>
      </c>
      <c r="I14" s="545">
        <f t="shared" ref="I14:I19" si="9">C14-D14-E14-F14-G14</f>
        <v>145062534</v>
      </c>
      <c r="J14" s="545">
        <f t="shared" ref="J14:J19" si="10">F14+G14+I14</f>
        <v>145062534</v>
      </c>
      <c r="K14" s="216"/>
      <c r="L14" s="216"/>
      <c r="M14" s="260"/>
      <c r="N14" s="261"/>
      <c r="O14" s="346"/>
      <c r="P14" s="134">
        <f>SUMIFS(Main_Presentation[[#All],[ Invoice Amt (SAR)]],Main_Presentation[[#All],[LC Number]],'Facility Space'!M14,Main_Presentation[[#All],[Status]],'Facility Space'!$M$4)</f>
        <v>0</v>
      </c>
      <c r="Q14" s="135" t="e">
        <f>VLOOKUP(M14,LC_Summary[],5,0)</f>
        <v>#N/A</v>
      </c>
      <c r="R14" s="391" t="e">
        <f>VLOOKUP(M14,LC_Summary[],17,0)-N14-Table10[[#This Row],[Recd. For Sign]]</f>
        <v>#N/A</v>
      </c>
      <c r="S14" s="136" t="e">
        <f>VLOOKUP(M14,LC_Summary[],20,0)</f>
        <v>#N/A</v>
      </c>
      <c r="T14" s="389" t="e">
        <f ca="1">Table10[[#This Row],[LC Expiry]]-TODAY()</f>
        <v>#N/A</v>
      </c>
      <c r="U14" s="392" t="e">
        <f>VLOOKUP(M14,LC_Summary[],30,0)</f>
        <v>#N/A</v>
      </c>
      <c r="V14" s="379" t="e">
        <f>LEFT(Table10[[#This Row],[Tenor]],3)</f>
        <v>#N/A</v>
      </c>
      <c r="W14" s="393" t="e">
        <f t="shared" si="6"/>
        <v>#N/A</v>
      </c>
      <c r="X14" s="1" t="e">
        <f>VLOOKUP(M14,LC_Summary[],29,0)</f>
        <v>#N/A</v>
      </c>
      <c r="AA14" s="614" t="s">
        <v>1073</v>
      </c>
      <c r="AB14" s="541" t="s">
        <v>882</v>
      </c>
      <c r="AC14" s="615">
        <v>2292730.5</v>
      </c>
    </row>
    <row r="15" spans="1:47" x14ac:dyDescent="0.25">
      <c r="A15" s="543" t="s">
        <v>366</v>
      </c>
      <c r="B15" s="543" t="s">
        <v>367</v>
      </c>
      <c r="C15" s="544">
        <v>320000000</v>
      </c>
      <c r="D15" s="544">
        <v>0</v>
      </c>
      <c r="E15" s="545">
        <f t="shared" si="0"/>
        <v>483205.4</v>
      </c>
      <c r="F15" s="545">
        <f t="shared" si="1"/>
        <v>0</v>
      </c>
      <c r="G15" s="545">
        <f t="shared" si="2"/>
        <v>0</v>
      </c>
      <c r="H15" s="545">
        <f t="shared" si="3"/>
        <v>0</v>
      </c>
      <c r="I15" s="545">
        <f t="shared" si="9"/>
        <v>319516794.60000002</v>
      </c>
      <c r="J15" s="545">
        <f t="shared" si="10"/>
        <v>319516794.60000002</v>
      </c>
      <c r="K15" s="216" t="s">
        <v>4529</v>
      </c>
      <c r="L15" s="216"/>
      <c r="M15" s="260"/>
      <c r="N15" s="262"/>
      <c r="O15" s="346"/>
      <c r="P15" s="134">
        <f>SUMIFS(Main_Presentation[[#All],[ Invoice Amt (SAR)]],Main_Presentation[[#All],[LC Number]],'Facility Space'!M15,Main_Presentation[[#All],[Status]],'Facility Space'!$M$4)</f>
        <v>0</v>
      </c>
      <c r="Q15" s="135" t="e">
        <f>VLOOKUP(M15,LC_Summary[],5,0)</f>
        <v>#N/A</v>
      </c>
      <c r="R15" s="391" t="e">
        <f>VLOOKUP(M15,LC_Summary[],17,0)-N15-Table10[[#This Row],[Recd. For Sign]]</f>
        <v>#N/A</v>
      </c>
      <c r="S15" s="136" t="e">
        <f>VLOOKUP(M15,LC_Summary[],20,0)</f>
        <v>#N/A</v>
      </c>
      <c r="T15" s="389" t="e">
        <f ca="1">Table10[[#This Row],[LC Expiry]]-TODAY()</f>
        <v>#N/A</v>
      </c>
      <c r="U15" s="392" t="e">
        <f>VLOOKUP(M15,LC_Summary[],30,0)</f>
        <v>#N/A</v>
      </c>
      <c r="V15" s="379" t="e">
        <f>LEFT(Table10[[#This Row],[Tenor]],3)</f>
        <v>#N/A</v>
      </c>
      <c r="W15" s="393" t="e">
        <f t="shared" si="6"/>
        <v>#N/A</v>
      </c>
      <c r="X15" s="1" t="e">
        <f>VLOOKUP(M15,LC_Summary[],29,0)</f>
        <v>#N/A</v>
      </c>
    </row>
    <row r="16" spans="1:47" x14ac:dyDescent="0.25">
      <c r="A16" s="543" t="s">
        <v>62</v>
      </c>
      <c r="B16" s="543" t="s">
        <v>483</v>
      </c>
      <c r="C16" s="544">
        <v>100000000</v>
      </c>
      <c r="D16" s="544">
        <v>0</v>
      </c>
      <c r="E16" s="545">
        <f t="shared" si="0"/>
        <v>32716306.289999995</v>
      </c>
      <c r="F16" s="545">
        <f t="shared" si="1"/>
        <v>3000000</v>
      </c>
      <c r="G16" s="545">
        <f t="shared" si="2"/>
        <v>0</v>
      </c>
      <c r="H16" s="545">
        <f t="shared" si="3"/>
        <v>19178491.640000001</v>
      </c>
      <c r="I16" s="545">
        <f t="shared" si="9"/>
        <v>64283693.710000008</v>
      </c>
      <c r="J16" s="545">
        <f t="shared" si="10"/>
        <v>67283693.710000008</v>
      </c>
      <c r="K16" s="216" t="s">
        <v>5307</v>
      </c>
      <c r="L16" s="216"/>
      <c r="M16" s="260"/>
      <c r="N16" s="262"/>
      <c r="O16" s="347"/>
      <c r="P16" s="259">
        <f>SUMIFS(Main_Presentation[[#All],[ Invoice Amt (SAR)]],Main_Presentation[[#All],[LC Number]],'Facility Space'!M16,Main_Presentation[[#All],[Status]],'Facility Space'!$M$4)</f>
        <v>0</v>
      </c>
      <c r="Q16" s="135" t="e">
        <f>VLOOKUP(M16,LC_Summary[],5,0)</f>
        <v>#N/A</v>
      </c>
      <c r="R16" s="391" t="e">
        <f>VLOOKUP(M16,LC_Summary[],17,0)-N16-Table10[[#This Row],[Recd. For Sign]]</f>
        <v>#N/A</v>
      </c>
      <c r="S16" s="136" t="e">
        <f>VLOOKUP(M16,LC_Summary[],20,0)</f>
        <v>#N/A</v>
      </c>
      <c r="T16" s="389" t="e">
        <f ca="1">Table10[[#This Row],[LC Expiry]]-TODAY()</f>
        <v>#N/A</v>
      </c>
      <c r="U16" s="392" t="e">
        <f>VLOOKUP(M16,LC_Summary[],30,0)</f>
        <v>#N/A</v>
      </c>
      <c r="V16" s="379" t="e">
        <f>LEFT(Table10[[#This Row],[Tenor]],3)</f>
        <v>#N/A</v>
      </c>
      <c r="W16" s="393" t="e">
        <f t="shared" si="6"/>
        <v>#N/A</v>
      </c>
      <c r="X16" s="1" t="e">
        <f>VLOOKUP(M16,LC_Summary[],29,0)</f>
        <v>#N/A</v>
      </c>
    </row>
    <row r="17" spans="1:45" x14ac:dyDescent="0.25">
      <c r="A17" s="219" t="s">
        <v>95</v>
      </c>
      <c r="B17" s="219" t="s">
        <v>63</v>
      </c>
      <c r="C17" s="220">
        <v>20000000</v>
      </c>
      <c r="D17" s="220">
        <v>0</v>
      </c>
      <c r="E17" s="221">
        <f t="shared" si="0"/>
        <v>0</v>
      </c>
      <c r="F17" s="221">
        <f t="shared" si="1"/>
        <v>0</v>
      </c>
      <c r="G17" s="221">
        <f t="shared" si="2"/>
        <v>0</v>
      </c>
      <c r="H17" s="221">
        <f>SUMIFS(AL:AL,AJ:AJ,B17,AK:AK,C17)</f>
        <v>0</v>
      </c>
      <c r="I17" s="221">
        <f t="shared" si="9"/>
        <v>20000000</v>
      </c>
      <c r="J17" s="221">
        <f t="shared" si="10"/>
        <v>20000000</v>
      </c>
      <c r="K17" s="216" t="s">
        <v>1531</v>
      </c>
    </row>
    <row r="18" spans="1:45" ht="20.25" x14ac:dyDescent="0.3">
      <c r="A18" s="219" t="s">
        <v>373</v>
      </c>
      <c r="B18" s="219" t="s">
        <v>483</v>
      </c>
      <c r="C18" s="220">
        <v>93000000</v>
      </c>
      <c r="D18" s="220">
        <v>0</v>
      </c>
      <c r="E18" s="221">
        <f t="shared" si="0"/>
        <v>0</v>
      </c>
      <c r="F18" s="221">
        <f t="shared" si="1"/>
        <v>0</v>
      </c>
      <c r="G18" s="221">
        <f t="shared" si="2"/>
        <v>0</v>
      </c>
      <c r="H18" s="221">
        <f>SUMIFS(AL:AL,AJ:AJ,B18,AK:AK,C18)</f>
        <v>0</v>
      </c>
      <c r="I18" s="221">
        <f t="shared" si="9"/>
        <v>93000000</v>
      </c>
      <c r="J18" s="220">
        <f t="shared" si="10"/>
        <v>93000000</v>
      </c>
      <c r="K18" s="216" t="s">
        <v>1415</v>
      </c>
      <c r="N18" s="388"/>
      <c r="O18" s="388"/>
      <c r="P18" s="388"/>
      <c r="Q18" s="388"/>
      <c r="R18" s="388"/>
      <c r="S18" s="388"/>
      <c r="T18" s="388"/>
      <c r="U18" s="388"/>
    </row>
    <row r="19" spans="1:45" ht="20.25" x14ac:dyDescent="0.3">
      <c r="A19" s="219" t="s">
        <v>373</v>
      </c>
      <c r="B19" s="219" t="s">
        <v>63</v>
      </c>
      <c r="C19" s="220">
        <v>300000000</v>
      </c>
      <c r="D19" s="220">
        <v>238084619.11000001</v>
      </c>
      <c r="E19" s="221">
        <f t="shared" si="0"/>
        <v>0</v>
      </c>
      <c r="F19" s="221">
        <f t="shared" si="1"/>
        <v>0</v>
      </c>
      <c r="G19" s="221">
        <f t="shared" si="2"/>
        <v>0</v>
      </c>
      <c r="H19" s="221">
        <f>SUMIFS(AL:AL,AJ:AJ,B19,AK:AK,C19)</f>
        <v>0</v>
      </c>
      <c r="I19" s="221">
        <f t="shared" si="9"/>
        <v>61915380.889999986</v>
      </c>
      <c r="J19" s="220">
        <f t="shared" si="10"/>
        <v>61915380.889999986</v>
      </c>
      <c r="K19" s="216" t="s">
        <v>1415</v>
      </c>
      <c r="N19" s="388"/>
      <c r="O19" s="388"/>
      <c r="P19" s="388"/>
      <c r="Q19" s="388"/>
      <c r="R19" s="388"/>
      <c r="S19" s="388"/>
      <c r="T19" s="388"/>
      <c r="U19" s="388"/>
    </row>
    <row r="20" spans="1:45" x14ac:dyDescent="0.25">
      <c r="J20" s="216"/>
    </row>
    <row r="21" spans="1:45" ht="20.25" x14ac:dyDescent="0.3">
      <c r="A21" s="629" t="s">
        <v>1510</v>
      </c>
      <c r="B21" s="629"/>
      <c r="C21" s="629"/>
      <c r="D21" s="629"/>
      <c r="E21" s="629"/>
      <c r="F21" s="629"/>
      <c r="V21" s="629" t="s">
        <v>1509</v>
      </c>
      <c r="W21" s="629"/>
      <c r="X21" s="629"/>
      <c r="Y21" s="629"/>
      <c r="Z21" s="629"/>
      <c r="AA21" s="629"/>
    </row>
    <row r="22" spans="1:45" x14ac:dyDescent="0.25">
      <c r="A22" s="27" t="s">
        <v>1117</v>
      </c>
      <c r="B22" s="28"/>
      <c r="C22" s="27" t="s">
        <v>1028</v>
      </c>
      <c r="D22" s="28" t="s">
        <v>1029</v>
      </c>
      <c r="E22" s="28"/>
      <c r="F22" s="28"/>
      <c r="G22" s="28"/>
      <c r="H22" s="28"/>
      <c r="I22" s="28"/>
      <c r="J22" s="28"/>
      <c r="K22" s="28"/>
      <c r="L22" s="28"/>
      <c r="M22" s="28"/>
      <c r="N22" s="28"/>
      <c r="O22" s="31"/>
      <c r="T22" s="167" t="s">
        <v>1507</v>
      </c>
      <c r="U22" s="167"/>
      <c r="V22" s="167" t="s">
        <v>1028</v>
      </c>
      <c r="W22" s="167" t="s">
        <v>1029</v>
      </c>
      <c r="X22" s="167"/>
      <c r="Y22" s="167"/>
      <c r="Z22" s="167"/>
      <c r="AA22" s="167"/>
      <c r="AB22" s="167"/>
      <c r="AC22" s="167"/>
      <c r="AD22" s="167"/>
      <c r="AE22" s="167"/>
      <c r="AF22" s="167"/>
      <c r="AG22" s="167"/>
      <c r="AH22" s="167"/>
      <c r="AI22" s="167"/>
      <c r="AJ22" s="167"/>
      <c r="AK22" s="167"/>
      <c r="AL22" s="167"/>
      <c r="AM22" s="167"/>
      <c r="AN22" s="167"/>
      <c r="AO22" s="167"/>
      <c r="AP22" s="167"/>
      <c r="AQ22" s="167"/>
      <c r="AR22" s="167"/>
      <c r="AS22" s="167"/>
    </row>
    <row r="23" spans="1:45" x14ac:dyDescent="0.25">
      <c r="A23" s="29"/>
      <c r="B23" s="30"/>
      <c r="C23" s="449">
        <v>46194</v>
      </c>
      <c r="D23" s="449">
        <v>46201</v>
      </c>
      <c r="E23" s="449">
        <v>46208</v>
      </c>
      <c r="F23" s="449">
        <v>46215</v>
      </c>
      <c r="G23" s="449">
        <v>46222</v>
      </c>
      <c r="H23" s="449">
        <v>46229</v>
      </c>
      <c r="I23" s="449">
        <v>46236</v>
      </c>
      <c r="J23" s="449">
        <v>46243</v>
      </c>
      <c r="K23" s="449">
        <v>46250</v>
      </c>
      <c r="L23" s="449">
        <v>46257</v>
      </c>
      <c r="M23" s="449">
        <v>46264</v>
      </c>
      <c r="N23" s="450">
        <v>46278</v>
      </c>
      <c r="O23" s="10" t="s">
        <v>1027</v>
      </c>
      <c r="T23" s="167"/>
      <c r="U23" s="167"/>
      <c r="V23" s="449">
        <v>46194</v>
      </c>
      <c r="W23" s="449">
        <v>46201</v>
      </c>
      <c r="X23" s="449">
        <v>46208</v>
      </c>
      <c r="Y23" s="449">
        <v>46215</v>
      </c>
      <c r="Z23" s="449">
        <v>46222</v>
      </c>
      <c r="AA23" s="449">
        <v>46229</v>
      </c>
      <c r="AB23" s="449">
        <v>46236</v>
      </c>
      <c r="AC23" s="449">
        <v>46257</v>
      </c>
      <c r="AD23" s="449">
        <v>46264</v>
      </c>
      <c r="AE23" s="449">
        <v>46271</v>
      </c>
      <c r="AF23" s="449">
        <v>46278</v>
      </c>
      <c r="AG23" s="449">
        <v>46292</v>
      </c>
      <c r="AH23" s="449">
        <v>46313</v>
      </c>
      <c r="AI23" s="449">
        <v>46320</v>
      </c>
      <c r="AJ23" s="449">
        <v>46327</v>
      </c>
      <c r="AK23" s="449">
        <v>46334</v>
      </c>
      <c r="AL23" s="449">
        <v>46341</v>
      </c>
      <c r="AM23" s="449">
        <v>46355</v>
      </c>
      <c r="AN23" s="449">
        <v>46376</v>
      </c>
      <c r="AO23" s="449">
        <v>46397</v>
      </c>
      <c r="AP23" s="449">
        <v>46411</v>
      </c>
      <c r="AQ23" s="449">
        <v>46418</v>
      </c>
      <c r="AR23" s="449">
        <v>46439</v>
      </c>
      <c r="AS23" s="167" t="s">
        <v>1027</v>
      </c>
    </row>
    <row r="24" spans="1:45" x14ac:dyDescent="0.25">
      <c r="A24" s="27" t="s">
        <v>850</v>
      </c>
      <c r="B24" s="27" t="s">
        <v>6</v>
      </c>
      <c r="C24" s="451">
        <v>46200</v>
      </c>
      <c r="D24" s="452">
        <v>46207</v>
      </c>
      <c r="E24" s="452">
        <v>46214</v>
      </c>
      <c r="F24" s="452">
        <v>46221</v>
      </c>
      <c r="G24" s="451">
        <v>46228</v>
      </c>
      <c r="H24" s="451">
        <v>46235</v>
      </c>
      <c r="I24" s="451">
        <v>46242</v>
      </c>
      <c r="J24" s="451">
        <v>46249</v>
      </c>
      <c r="K24" s="451">
        <v>46256</v>
      </c>
      <c r="L24" s="451">
        <v>46263</v>
      </c>
      <c r="M24" s="451">
        <v>46270</v>
      </c>
      <c r="N24" s="451">
        <v>46284</v>
      </c>
      <c r="O24" s="171"/>
      <c r="T24" s="167" t="s">
        <v>850</v>
      </c>
      <c r="U24" s="185" t="s">
        <v>6</v>
      </c>
      <c r="V24" s="449">
        <v>46200</v>
      </c>
      <c r="W24" s="449">
        <v>46207</v>
      </c>
      <c r="X24" s="449">
        <v>46214</v>
      </c>
      <c r="Y24" s="449">
        <v>46221</v>
      </c>
      <c r="Z24" s="449">
        <v>46228</v>
      </c>
      <c r="AA24" s="449">
        <v>46235</v>
      </c>
      <c r="AB24" s="449">
        <v>46242</v>
      </c>
      <c r="AC24" s="449">
        <v>46263</v>
      </c>
      <c r="AD24" s="449">
        <v>46270</v>
      </c>
      <c r="AE24" s="449">
        <v>46277</v>
      </c>
      <c r="AF24" s="449">
        <v>46284</v>
      </c>
      <c r="AG24" s="449">
        <v>46298</v>
      </c>
      <c r="AH24" s="449">
        <v>46319</v>
      </c>
      <c r="AI24" s="449">
        <v>46326</v>
      </c>
      <c r="AJ24" s="449">
        <v>46333</v>
      </c>
      <c r="AK24" s="449">
        <v>46340</v>
      </c>
      <c r="AL24" s="449">
        <v>46347</v>
      </c>
      <c r="AM24" s="449">
        <v>46361</v>
      </c>
      <c r="AN24" s="449">
        <v>46382</v>
      </c>
      <c r="AO24" s="449">
        <v>46403</v>
      </c>
      <c r="AP24" s="449">
        <v>46417</v>
      </c>
      <c r="AQ24" s="449">
        <v>46424</v>
      </c>
      <c r="AR24" s="449">
        <v>46445</v>
      </c>
      <c r="AS24" s="167"/>
    </row>
    <row r="25" spans="1:45" x14ac:dyDescent="0.25">
      <c r="A25" s="27" t="s">
        <v>21</v>
      </c>
      <c r="B25" s="383" t="s">
        <v>367</v>
      </c>
      <c r="C25" s="306">
        <v>0</v>
      </c>
      <c r="D25" s="306">
        <v>0</v>
      </c>
      <c r="E25" s="306">
        <v>0</v>
      </c>
      <c r="F25" s="306">
        <v>0</v>
      </c>
      <c r="G25" s="306">
        <v>0</v>
      </c>
      <c r="H25" s="306">
        <v>0</v>
      </c>
      <c r="I25" s="306">
        <v>21481033</v>
      </c>
      <c r="J25" s="306">
        <v>0</v>
      </c>
      <c r="K25" s="306">
        <v>0</v>
      </c>
      <c r="L25" s="306">
        <v>0</v>
      </c>
      <c r="M25" s="306">
        <v>0</v>
      </c>
      <c r="N25" s="306">
        <v>0</v>
      </c>
      <c r="O25" s="616">
        <v>21481033</v>
      </c>
      <c r="T25" s="167" t="s">
        <v>21</v>
      </c>
      <c r="U25" s="415" t="s">
        <v>90</v>
      </c>
      <c r="V25" s="306">
        <v>0</v>
      </c>
      <c r="W25" s="306">
        <v>0</v>
      </c>
      <c r="X25" s="306">
        <v>0</v>
      </c>
      <c r="Y25" s="306">
        <v>0</v>
      </c>
      <c r="Z25" s="306">
        <v>5693645.4199999999</v>
      </c>
      <c r="AA25" s="306">
        <v>0</v>
      </c>
      <c r="AB25" s="306">
        <v>0</v>
      </c>
      <c r="AC25" s="306">
        <v>0</v>
      </c>
      <c r="AD25" s="306">
        <v>0</v>
      </c>
      <c r="AE25" s="306">
        <v>0</v>
      </c>
      <c r="AF25" s="306">
        <v>0</v>
      </c>
      <c r="AG25" s="306">
        <v>7120131</v>
      </c>
      <c r="AH25" s="306">
        <v>93058</v>
      </c>
      <c r="AI25" s="306">
        <v>0</v>
      </c>
      <c r="AJ25" s="306">
        <v>0</v>
      </c>
      <c r="AK25" s="306">
        <v>0</v>
      </c>
      <c r="AL25" s="306">
        <v>0</v>
      </c>
      <c r="AM25" s="306">
        <v>0</v>
      </c>
      <c r="AN25" s="306">
        <v>0</v>
      </c>
      <c r="AO25" s="306">
        <v>0</v>
      </c>
      <c r="AP25" s="306">
        <v>0</v>
      </c>
      <c r="AQ25" s="306">
        <v>0</v>
      </c>
      <c r="AR25" s="306">
        <v>0</v>
      </c>
      <c r="AS25" s="168">
        <v>12906834.42</v>
      </c>
    </row>
    <row r="26" spans="1:45" x14ac:dyDescent="0.25">
      <c r="A26" s="29"/>
      <c r="B26" s="445" t="s">
        <v>407</v>
      </c>
      <c r="C26" s="306">
        <v>0</v>
      </c>
      <c r="D26" s="306">
        <v>0</v>
      </c>
      <c r="E26" s="306">
        <v>0</v>
      </c>
      <c r="F26" s="306">
        <v>0</v>
      </c>
      <c r="G26" s="306">
        <v>0</v>
      </c>
      <c r="H26" s="306">
        <v>702587.67</v>
      </c>
      <c r="I26" s="306">
        <v>0</v>
      </c>
      <c r="J26" s="306">
        <v>0</v>
      </c>
      <c r="K26" s="306">
        <v>0</v>
      </c>
      <c r="L26" s="306">
        <v>0</v>
      </c>
      <c r="M26" s="306">
        <v>0</v>
      </c>
      <c r="N26" s="306">
        <v>0</v>
      </c>
      <c r="O26" s="616">
        <v>702587.67</v>
      </c>
      <c r="T26" s="167"/>
      <c r="U26" s="415" t="s">
        <v>407</v>
      </c>
      <c r="V26" s="306">
        <v>0</v>
      </c>
      <c r="W26" s="306">
        <v>0</v>
      </c>
      <c r="X26" s="306">
        <v>0</v>
      </c>
      <c r="Y26" s="306">
        <v>0</v>
      </c>
      <c r="Z26" s="306">
        <v>0</v>
      </c>
      <c r="AA26" s="306">
        <v>261827.52</v>
      </c>
      <c r="AB26" s="306">
        <v>0</v>
      </c>
      <c r="AC26" s="306">
        <v>0</v>
      </c>
      <c r="AD26" s="306">
        <v>0</v>
      </c>
      <c r="AE26" s="306">
        <v>0</v>
      </c>
      <c r="AF26" s="306">
        <v>0</v>
      </c>
      <c r="AG26" s="306">
        <v>0</v>
      </c>
      <c r="AH26" s="306">
        <v>0</v>
      </c>
      <c r="AI26" s="306">
        <v>0</v>
      </c>
      <c r="AJ26" s="306">
        <v>0</v>
      </c>
      <c r="AK26" s="306">
        <v>0</v>
      </c>
      <c r="AL26" s="306">
        <v>0</v>
      </c>
      <c r="AM26" s="306">
        <v>0</v>
      </c>
      <c r="AN26" s="306">
        <v>0</v>
      </c>
      <c r="AO26" s="306">
        <v>0</v>
      </c>
      <c r="AP26" s="306">
        <v>0</v>
      </c>
      <c r="AQ26" s="306">
        <v>0</v>
      </c>
      <c r="AR26" s="306">
        <v>0</v>
      </c>
      <c r="AS26" s="168">
        <v>261827.52</v>
      </c>
    </row>
    <row r="27" spans="1:45" x14ac:dyDescent="0.25">
      <c r="A27" s="29"/>
      <c r="B27" s="445" t="s">
        <v>22</v>
      </c>
      <c r="C27" s="306">
        <v>0</v>
      </c>
      <c r="D27" s="306">
        <v>0</v>
      </c>
      <c r="E27" s="306">
        <v>0</v>
      </c>
      <c r="F27" s="306">
        <v>0</v>
      </c>
      <c r="G27" s="306">
        <v>5643717.4500000002</v>
      </c>
      <c r="H27" s="306">
        <v>0</v>
      </c>
      <c r="I27" s="306">
        <v>0</v>
      </c>
      <c r="J27" s="306">
        <v>2593391.5299999998</v>
      </c>
      <c r="K27" s="306">
        <v>0</v>
      </c>
      <c r="L27" s="306">
        <v>0</v>
      </c>
      <c r="M27" s="306">
        <v>0</v>
      </c>
      <c r="N27" s="306">
        <v>0</v>
      </c>
      <c r="O27" s="616">
        <v>8237108.9800000004</v>
      </c>
      <c r="T27" s="167"/>
      <c r="U27" s="415" t="s">
        <v>22</v>
      </c>
      <c r="V27" s="306">
        <v>240635.61</v>
      </c>
      <c r="W27" s="306">
        <v>0</v>
      </c>
      <c r="X27" s="306">
        <v>0</v>
      </c>
      <c r="Y27" s="306">
        <v>0</v>
      </c>
      <c r="Z27" s="306">
        <v>0</v>
      </c>
      <c r="AA27" s="306">
        <v>1729979.68</v>
      </c>
      <c r="AB27" s="306">
        <v>0</v>
      </c>
      <c r="AC27" s="306">
        <v>0</v>
      </c>
      <c r="AD27" s="306">
        <v>0</v>
      </c>
      <c r="AE27" s="306">
        <v>0</v>
      </c>
      <c r="AF27" s="306">
        <v>0</v>
      </c>
      <c r="AG27" s="306">
        <v>0</v>
      </c>
      <c r="AH27" s="306">
        <v>0</v>
      </c>
      <c r="AI27" s="306">
        <v>7093208.3400000008</v>
      </c>
      <c r="AJ27" s="306">
        <v>0</v>
      </c>
      <c r="AK27" s="306">
        <v>0</v>
      </c>
      <c r="AL27" s="306">
        <v>0</v>
      </c>
      <c r="AM27" s="306">
        <v>11762891.02</v>
      </c>
      <c r="AN27" s="306">
        <v>0</v>
      </c>
      <c r="AO27" s="306">
        <v>0</v>
      </c>
      <c r="AP27" s="306">
        <v>6889354.8499999996</v>
      </c>
      <c r="AQ27" s="306">
        <v>0</v>
      </c>
      <c r="AR27" s="306">
        <v>0</v>
      </c>
      <c r="AS27" s="168">
        <v>27716069.5</v>
      </c>
    </row>
    <row r="28" spans="1:45" x14ac:dyDescent="0.25">
      <c r="A28" s="29"/>
      <c r="B28" s="446" t="s">
        <v>511</v>
      </c>
      <c r="C28" s="306">
        <v>0</v>
      </c>
      <c r="D28" s="306">
        <v>412500</v>
      </c>
      <c r="E28" s="306">
        <v>0</v>
      </c>
      <c r="F28" s="306">
        <v>0</v>
      </c>
      <c r="G28" s="306">
        <v>0</v>
      </c>
      <c r="H28" s="306">
        <v>0</v>
      </c>
      <c r="I28" s="306">
        <v>0</v>
      </c>
      <c r="J28" s="306">
        <v>0</v>
      </c>
      <c r="K28" s="306">
        <v>0</v>
      </c>
      <c r="L28" s="306">
        <v>0</v>
      </c>
      <c r="M28" s="306">
        <v>0</v>
      </c>
      <c r="N28" s="306">
        <v>0</v>
      </c>
      <c r="O28" s="616">
        <v>412500</v>
      </c>
      <c r="T28" s="167"/>
      <c r="U28" s="415" t="s">
        <v>511</v>
      </c>
      <c r="V28" s="306">
        <v>0</v>
      </c>
      <c r="W28" s="306">
        <v>2910204.68</v>
      </c>
      <c r="X28" s="306">
        <v>0</v>
      </c>
      <c r="Y28" s="306">
        <v>0</v>
      </c>
      <c r="Z28" s="306">
        <v>235325.06</v>
      </c>
      <c r="AA28" s="306">
        <v>708991.99</v>
      </c>
      <c r="AB28" s="306">
        <v>0</v>
      </c>
      <c r="AC28" s="306">
        <v>0</v>
      </c>
      <c r="AD28" s="306">
        <v>947180.14</v>
      </c>
      <c r="AE28" s="306">
        <v>0</v>
      </c>
      <c r="AF28" s="306">
        <v>1159045.03</v>
      </c>
      <c r="AG28" s="306">
        <v>0</v>
      </c>
      <c r="AH28" s="306">
        <v>0</v>
      </c>
      <c r="AI28" s="306">
        <v>0</v>
      </c>
      <c r="AJ28" s="306">
        <v>0</v>
      </c>
      <c r="AK28" s="306">
        <v>0</v>
      </c>
      <c r="AL28" s="306">
        <v>0</v>
      </c>
      <c r="AM28" s="306">
        <v>0</v>
      </c>
      <c r="AN28" s="306">
        <v>0</v>
      </c>
      <c r="AO28" s="306">
        <v>0</v>
      </c>
      <c r="AP28" s="306">
        <v>0</v>
      </c>
      <c r="AQ28" s="306">
        <v>0</v>
      </c>
      <c r="AR28" s="306">
        <v>0</v>
      </c>
      <c r="AS28" s="168">
        <v>5960746.9000000004</v>
      </c>
    </row>
    <row r="29" spans="1:45" x14ac:dyDescent="0.25">
      <c r="A29" s="29"/>
      <c r="B29" s="445" t="s">
        <v>90</v>
      </c>
      <c r="C29" s="306">
        <v>1198665</v>
      </c>
      <c r="D29" s="306">
        <v>6000000</v>
      </c>
      <c r="E29" s="306">
        <v>0</v>
      </c>
      <c r="F29" s="306">
        <v>11724333.940000001</v>
      </c>
      <c r="G29" s="306">
        <v>4000000</v>
      </c>
      <c r="H29" s="306">
        <v>0</v>
      </c>
      <c r="I29" s="306">
        <v>0</v>
      </c>
      <c r="J29" s="306">
        <v>0</v>
      </c>
      <c r="K29" s="306">
        <v>0</v>
      </c>
      <c r="L29" s="306">
        <v>0</v>
      </c>
      <c r="M29" s="306">
        <v>0</v>
      </c>
      <c r="N29" s="306">
        <v>0</v>
      </c>
      <c r="O29" s="616">
        <v>22922998.940000001</v>
      </c>
      <c r="T29" s="167" t="s">
        <v>612</v>
      </c>
      <c r="U29" s="415" t="s">
        <v>613</v>
      </c>
      <c r="V29" s="306">
        <v>0</v>
      </c>
      <c r="W29" s="306">
        <v>21745.119999999999</v>
      </c>
      <c r="X29" s="306">
        <v>0</v>
      </c>
      <c r="Y29" s="306">
        <v>0</v>
      </c>
      <c r="Z29" s="306">
        <v>0</v>
      </c>
      <c r="AA29" s="306">
        <v>24367412.850000001</v>
      </c>
      <c r="AB29" s="306">
        <v>0</v>
      </c>
      <c r="AC29" s="306">
        <v>0</v>
      </c>
      <c r="AD29" s="306">
        <v>600000</v>
      </c>
      <c r="AE29" s="306">
        <v>0</v>
      </c>
      <c r="AF29" s="306">
        <v>0</v>
      </c>
      <c r="AG29" s="306">
        <v>1460959.01</v>
      </c>
      <c r="AH29" s="306">
        <v>0</v>
      </c>
      <c r="AI29" s="306">
        <v>3422137.8</v>
      </c>
      <c r="AJ29" s="306">
        <v>0</v>
      </c>
      <c r="AK29" s="306">
        <v>0</v>
      </c>
      <c r="AL29" s="306">
        <v>0</v>
      </c>
      <c r="AM29" s="306">
        <v>5000000</v>
      </c>
      <c r="AN29" s="306">
        <v>0</v>
      </c>
      <c r="AO29" s="306">
        <v>0</v>
      </c>
      <c r="AP29" s="306">
        <v>0</v>
      </c>
      <c r="AQ29" s="306">
        <v>12270713.85</v>
      </c>
      <c r="AR29" s="306">
        <v>0</v>
      </c>
      <c r="AS29" s="168">
        <v>47142968.630000003</v>
      </c>
    </row>
    <row r="30" spans="1:45" x14ac:dyDescent="0.25">
      <c r="A30" s="27" t="s">
        <v>612</v>
      </c>
      <c r="B30" s="383" t="s">
        <v>367</v>
      </c>
      <c r="C30" s="306">
        <v>0</v>
      </c>
      <c r="D30" s="306">
        <v>42000000</v>
      </c>
      <c r="E30" s="306">
        <v>0</v>
      </c>
      <c r="F30" s="306">
        <v>0</v>
      </c>
      <c r="G30" s="306">
        <v>0</v>
      </c>
      <c r="H30" s="306">
        <v>0</v>
      </c>
      <c r="I30" s="306">
        <v>0</v>
      </c>
      <c r="J30" s="306">
        <v>0</v>
      </c>
      <c r="K30" s="306">
        <v>0</v>
      </c>
      <c r="L30" s="306">
        <v>0</v>
      </c>
      <c r="M30" s="306">
        <v>0</v>
      </c>
      <c r="N30" s="306">
        <v>0</v>
      </c>
      <c r="O30" s="616">
        <v>42000000</v>
      </c>
      <c r="T30" s="167" t="s">
        <v>62</v>
      </c>
      <c r="U30" s="415" t="s">
        <v>213</v>
      </c>
      <c r="V30" s="306">
        <v>0</v>
      </c>
      <c r="W30" s="306">
        <v>0</v>
      </c>
      <c r="X30" s="306">
        <v>0</v>
      </c>
      <c r="Y30" s="306">
        <v>0</v>
      </c>
      <c r="Z30" s="306">
        <v>0</v>
      </c>
      <c r="AA30" s="306">
        <v>2011072.28</v>
      </c>
      <c r="AB30" s="306">
        <v>0</v>
      </c>
      <c r="AC30" s="306">
        <v>0</v>
      </c>
      <c r="AD30" s="306">
        <v>0</v>
      </c>
      <c r="AE30" s="306">
        <v>0</v>
      </c>
      <c r="AF30" s="306">
        <v>0</v>
      </c>
      <c r="AG30" s="306">
        <v>0</v>
      </c>
      <c r="AH30" s="306">
        <v>0</v>
      </c>
      <c r="AI30" s="306">
        <v>0</v>
      </c>
      <c r="AJ30" s="306">
        <v>0</v>
      </c>
      <c r="AK30" s="306">
        <v>0</v>
      </c>
      <c r="AL30" s="306">
        <v>0</v>
      </c>
      <c r="AM30" s="306">
        <v>0</v>
      </c>
      <c r="AN30" s="306">
        <v>0</v>
      </c>
      <c r="AO30" s="306">
        <v>0</v>
      </c>
      <c r="AP30" s="306">
        <v>0</v>
      </c>
      <c r="AQ30" s="306">
        <v>0</v>
      </c>
      <c r="AR30" s="306">
        <v>0</v>
      </c>
      <c r="AS30" s="168">
        <v>2011072.28</v>
      </c>
    </row>
    <row r="31" spans="1:45" x14ac:dyDescent="0.25">
      <c r="A31" s="29"/>
      <c r="B31" s="445" t="s">
        <v>613</v>
      </c>
      <c r="C31" s="306">
        <v>0</v>
      </c>
      <c r="D31" s="306">
        <v>0</v>
      </c>
      <c r="E31" s="306">
        <v>199393.9</v>
      </c>
      <c r="F31" s="306">
        <v>112200.9</v>
      </c>
      <c r="G31" s="306">
        <v>0</v>
      </c>
      <c r="H31" s="306">
        <v>0</v>
      </c>
      <c r="I31" s="306">
        <v>0</v>
      </c>
      <c r="J31" s="306">
        <v>0</v>
      </c>
      <c r="K31" s="306">
        <v>0</v>
      </c>
      <c r="L31" s="306">
        <v>0</v>
      </c>
      <c r="M31" s="306">
        <v>0</v>
      </c>
      <c r="N31" s="306">
        <v>0</v>
      </c>
      <c r="O31" s="616">
        <v>311594.8</v>
      </c>
      <c r="T31" s="167"/>
      <c r="U31" s="415" t="s">
        <v>483</v>
      </c>
      <c r="V31" s="306">
        <v>0</v>
      </c>
      <c r="W31" s="306">
        <v>0</v>
      </c>
      <c r="X31" s="306">
        <v>0</v>
      </c>
      <c r="Y31" s="306">
        <v>39300</v>
      </c>
      <c r="Z31" s="306">
        <v>0</v>
      </c>
      <c r="AA31" s="306">
        <v>0</v>
      </c>
      <c r="AB31" s="306">
        <v>10330.030000000001</v>
      </c>
      <c r="AC31" s="306">
        <v>0</v>
      </c>
      <c r="AD31" s="306">
        <v>3000000</v>
      </c>
      <c r="AE31" s="306">
        <v>0</v>
      </c>
      <c r="AF31" s="306">
        <v>0</v>
      </c>
      <c r="AG31" s="306">
        <v>12620563.560000001</v>
      </c>
      <c r="AH31" s="306">
        <v>0</v>
      </c>
      <c r="AI31" s="306">
        <v>0</v>
      </c>
      <c r="AJ31" s="306">
        <v>2501190.31</v>
      </c>
      <c r="AK31" s="306">
        <v>0</v>
      </c>
      <c r="AL31" s="306">
        <v>8562889.8099999987</v>
      </c>
      <c r="AM31" s="306">
        <v>0</v>
      </c>
      <c r="AN31" s="306">
        <v>0</v>
      </c>
      <c r="AO31" s="306">
        <v>3239246.61</v>
      </c>
      <c r="AP31" s="306">
        <v>0</v>
      </c>
      <c r="AQ31" s="306">
        <v>0</v>
      </c>
      <c r="AR31" s="306">
        <v>0</v>
      </c>
      <c r="AS31" s="168">
        <v>29973520.319999997</v>
      </c>
    </row>
    <row r="32" spans="1:45" x14ac:dyDescent="0.25">
      <c r="A32" s="27" t="s">
        <v>62</v>
      </c>
      <c r="B32" s="383" t="s">
        <v>483</v>
      </c>
      <c r="C32" s="306">
        <v>0</v>
      </c>
      <c r="D32" s="306">
        <v>284755.58</v>
      </c>
      <c r="E32" s="306">
        <v>1703401.1</v>
      </c>
      <c r="F32" s="306">
        <v>2210700</v>
      </c>
      <c r="G32" s="306">
        <v>500000</v>
      </c>
      <c r="H32" s="306">
        <v>0</v>
      </c>
      <c r="I32" s="306">
        <v>1057413.24</v>
      </c>
      <c r="J32" s="306">
        <v>0</v>
      </c>
      <c r="K32" s="306">
        <v>0</v>
      </c>
      <c r="L32" s="306">
        <v>0</v>
      </c>
      <c r="M32" s="306">
        <v>0</v>
      </c>
      <c r="N32" s="306">
        <v>0</v>
      </c>
      <c r="O32" s="616">
        <v>5756269.9199999999</v>
      </c>
      <c r="T32" s="167" t="s">
        <v>366</v>
      </c>
      <c r="U32" s="415" t="s">
        <v>81</v>
      </c>
      <c r="V32" s="306">
        <v>0</v>
      </c>
      <c r="W32" s="306">
        <v>0</v>
      </c>
      <c r="X32" s="306">
        <v>0</v>
      </c>
      <c r="Y32" s="306">
        <v>0</v>
      </c>
      <c r="Z32" s="306">
        <v>0</v>
      </c>
      <c r="AA32" s="306">
        <v>735855</v>
      </c>
      <c r="AB32" s="306">
        <v>0</v>
      </c>
      <c r="AC32" s="306">
        <v>0</v>
      </c>
      <c r="AD32" s="306">
        <v>2097362</v>
      </c>
      <c r="AE32" s="306">
        <v>0</v>
      </c>
      <c r="AF32" s="306">
        <v>0</v>
      </c>
      <c r="AG32" s="306">
        <v>0</v>
      </c>
      <c r="AH32" s="306">
        <v>0</v>
      </c>
      <c r="AI32" s="306">
        <v>0</v>
      </c>
      <c r="AJ32" s="306">
        <v>0</v>
      </c>
      <c r="AK32" s="306">
        <v>0</v>
      </c>
      <c r="AL32" s="306">
        <v>0</v>
      </c>
      <c r="AM32" s="306">
        <v>0</v>
      </c>
      <c r="AN32" s="306">
        <v>2000000</v>
      </c>
      <c r="AO32" s="306">
        <v>0</v>
      </c>
      <c r="AP32" s="306">
        <v>0</v>
      </c>
      <c r="AQ32" s="306">
        <v>0</v>
      </c>
      <c r="AR32" s="306">
        <v>0</v>
      </c>
      <c r="AS32" s="168">
        <v>4833217</v>
      </c>
    </row>
    <row r="33" spans="1:45" x14ac:dyDescent="0.25">
      <c r="A33" s="27" t="s">
        <v>95</v>
      </c>
      <c r="B33" s="383" t="s">
        <v>328</v>
      </c>
      <c r="C33" s="306">
        <v>4960446.9619200006</v>
      </c>
      <c r="D33" s="306">
        <v>5219395.7481600009</v>
      </c>
      <c r="E33" s="306">
        <v>0</v>
      </c>
      <c r="F33" s="306">
        <v>500000</v>
      </c>
      <c r="G33" s="306">
        <v>2193076</v>
      </c>
      <c r="H33" s="306">
        <v>0</v>
      </c>
      <c r="I33" s="306">
        <v>0</v>
      </c>
      <c r="J33" s="306">
        <v>0</v>
      </c>
      <c r="K33" s="306">
        <v>386858.95</v>
      </c>
      <c r="L33" s="306">
        <v>0</v>
      </c>
      <c r="M33" s="306">
        <v>0</v>
      </c>
      <c r="N33" s="306">
        <v>0</v>
      </c>
      <c r="O33" s="616">
        <v>13259777.660080001</v>
      </c>
      <c r="T33" s="167"/>
      <c r="U33" s="415" t="s">
        <v>367</v>
      </c>
      <c r="V33" s="306">
        <v>0</v>
      </c>
      <c r="W33" s="306">
        <v>1269458.03</v>
      </c>
      <c r="X33" s="306">
        <v>0</v>
      </c>
      <c r="Y33" s="306">
        <v>0</v>
      </c>
      <c r="Z33" s="306">
        <v>0</v>
      </c>
      <c r="AA33" s="306">
        <v>483205.4</v>
      </c>
      <c r="AB33" s="306">
        <v>0</v>
      </c>
      <c r="AC33" s="306">
        <v>0</v>
      </c>
      <c r="AD33" s="306">
        <v>0</v>
      </c>
      <c r="AE33" s="306">
        <v>0</v>
      </c>
      <c r="AF33" s="306">
        <v>0</v>
      </c>
      <c r="AG33" s="306">
        <v>0</v>
      </c>
      <c r="AH33" s="306">
        <v>0</v>
      </c>
      <c r="AI33" s="306">
        <v>0</v>
      </c>
      <c r="AJ33" s="306">
        <v>0</v>
      </c>
      <c r="AK33" s="306">
        <v>0</v>
      </c>
      <c r="AL33" s="306">
        <v>0</v>
      </c>
      <c r="AM33" s="306">
        <v>0</v>
      </c>
      <c r="AN33" s="306">
        <v>0</v>
      </c>
      <c r="AO33" s="306">
        <v>0</v>
      </c>
      <c r="AP33" s="306">
        <v>0</v>
      </c>
      <c r="AQ33" s="306">
        <v>0</v>
      </c>
      <c r="AR33" s="306">
        <v>0</v>
      </c>
      <c r="AS33" s="168">
        <v>1752663.4300000002</v>
      </c>
    </row>
    <row r="34" spans="1:45" x14ac:dyDescent="0.25">
      <c r="A34" s="27" t="s">
        <v>366</v>
      </c>
      <c r="B34" s="383" t="s">
        <v>81</v>
      </c>
      <c r="C34" s="306">
        <v>902623.5</v>
      </c>
      <c r="D34" s="306">
        <v>0</v>
      </c>
      <c r="E34" s="306">
        <v>0</v>
      </c>
      <c r="F34" s="306">
        <v>0</v>
      </c>
      <c r="G34" s="306">
        <v>0</v>
      </c>
      <c r="H34" s="306">
        <v>0</v>
      </c>
      <c r="I34" s="306">
        <v>0</v>
      </c>
      <c r="J34" s="306">
        <v>0</v>
      </c>
      <c r="K34" s="306">
        <v>0</v>
      </c>
      <c r="L34" s="306">
        <v>0</v>
      </c>
      <c r="M34" s="306">
        <v>0</v>
      </c>
      <c r="N34" s="306">
        <v>197064</v>
      </c>
      <c r="O34" s="616">
        <v>1099687.5</v>
      </c>
      <c r="T34" s="167"/>
      <c r="U34" s="415" t="s">
        <v>710</v>
      </c>
      <c r="V34" s="306">
        <v>0</v>
      </c>
      <c r="W34" s="306">
        <v>0</v>
      </c>
      <c r="X34" s="306">
        <v>0</v>
      </c>
      <c r="Y34" s="306">
        <v>0</v>
      </c>
      <c r="Z34" s="306">
        <v>0</v>
      </c>
      <c r="AA34" s="306">
        <v>15539680.430000002</v>
      </c>
      <c r="AB34" s="306">
        <v>122268.28</v>
      </c>
      <c r="AC34" s="306">
        <v>140540.12</v>
      </c>
      <c r="AD34" s="306">
        <v>4257.1099999999997</v>
      </c>
      <c r="AE34" s="306">
        <v>0</v>
      </c>
      <c r="AF34" s="306">
        <v>0</v>
      </c>
      <c r="AG34" s="306">
        <v>11838157.890000001</v>
      </c>
      <c r="AH34" s="306">
        <v>0</v>
      </c>
      <c r="AI34" s="306">
        <v>0</v>
      </c>
      <c r="AJ34" s="306">
        <v>0</v>
      </c>
      <c r="AK34" s="306">
        <v>0</v>
      </c>
      <c r="AL34" s="306">
        <v>0</v>
      </c>
      <c r="AM34" s="306">
        <v>0</v>
      </c>
      <c r="AN34" s="306">
        <v>0</v>
      </c>
      <c r="AO34" s="306">
        <v>0</v>
      </c>
      <c r="AP34" s="306">
        <v>0</v>
      </c>
      <c r="AQ34" s="306">
        <v>0</v>
      </c>
      <c r="AR34" s="306">
        <v>0</v>
      </c>
      <c r="AS34" s="168">
        <v>27644903.829999998</v>
      </c>
    </row>
    <row r="35" spans="1:45" x14ac:dyDescent="0.25">
      <c r="A35" s="29"/>
      <c r="B35" s="445" t="s">
        <v>367</v>
      </c>
      <c r="C35" s="306">
        <v>0</v>
      </c>
      <c r="D35" s="306">
        <v>0</v>
      </c>
      <c r="E35" s="306">
        <v>0</v>
      </c>
      <c r="F35" s="306">
        <v>0</v>
      </c>
      <c r="G35" s="306">
        <v>0</v>
      </c>
      <c r="H35" s="306">
        <v>0</v>
      </c>
      <c r="I35" s="306">
        <v>10000000</v>
      </c>
      <c r="J35" s="306">
        <v>0</v>
      </c>
      <c r="K35" s="306">
        <v>0</v>
      </c>
      <c r="L35" s="306">
        <v>0</v>
      </c>
      <c r="M35" s="306">
        <v>0</v>
      </c>
      <c r="N35" s="306">
        <v>0</v>
      </c>
      <c r="O35" s="616">
        <v>10000000</v>
      </c>
      <c r="T35" s="167" t="s">
        <v>95</v>
      </c>
      <c r="U35" s="415" t="s">
        <v>407</v>
      </c>
      <c r="V35" s="306">
        <v>0</v>
      </c>
      <c r="W35" s="306">
        <v>0</v>
      </c>
      <c r="X35" s="306">
        <v>0</v>
      </c>
      <c r="Y35" s="306">
        <v>0</v>
      </c>
      <c r="Z35" s="306">
        <v>0</v>
      </c>
      <c r="AA35" s="306">
        <v>118208.72</v>
      </c>
      <c r="AB35" s="306">
        <v>0</v>
      </c>
      <c r="AC35" s="306">
        <v>0</v>
      </c>
      <c r="AD35" s="306">
        <v>0</v>
      </c>
      <c r="AE35" s="306">
        <v>0</v>
      </c>
      <c r="AF35" s="306">
        <v>0</v>
      </c>
      <c r="AG35" s="306">
        <v>0</v>
      </c>
      <c r="AH35" s="306">
        <v>0</v>
      </c>
      <c r="AI35" s="306">
        <v>0</v>
      </c>
      <c r="AJ35" s="306">
        <v>0</v>
      </c>
      <c r="AK35" s="306">
        <v>0</v>
      </c>
      <c r="AL35" s="306">
        <v>0</v>
      </c>
      <c r="AM35" s="306">
        <v>0</v>
      </c>
      <c r="AN35" s="306">
        <v>0</v>
      </c>
      <c r="AO35" s="306">
        <v>0</v>
      </c>
      <c r="AP35" s="306">
        <v>0</v>
      </c>
      <c r="AQ35" s="306">
        <v>0</v>
      </c>
      <c r="AR35" s="306">
        <v>0</v>
      </c>
      <c r="AS35" s="168">
        <v>118208.72</v>
      </c>
    </row>
    <row r="36" spans="1:45" x14ac:dyDescent="0.25">
      <c r="A36" s="29"/>
      <c r="B36" s="445" t="s">
        <v>710</v>
      </c>
      <c r="C36" s="306">
        <v>0</v>
      </c>
      <c r="D36" s="306">
        <v>106205.87</v>
      </c>
      <c r="E36" s="306">
        <v>2474827.52</v>
      </c>
      <c r="F36" s="306">
        <v>5894849.0099999998</v>
      </c>
      <c r="G36" s="306">
        <v>1437768.1099999999</v>
      </c>
      <c r="H36" s="306">
        <v>193353.09</v>
      </c>
      <c r="I36" s="306">
        <v>2330491.2399999998</v>
      </c>
      <c r="J36" s="306">
        <v>200000</v>
      </c>
      <c r="K36" s="306">
        <v>0</v>
      </c>
      <c r="L36" s="306">
        <v>278905.67</v>
      </c>
      <c r="M36" s="306">
        <v>6695743.6200000001</v>
      </c>
      <c r="N36" s="306">
        <v>0</v>
      </c>
      <c r="O36" s="616">
        <v>19612144.129999999</v>
      </c>
      <c r="T36" s="167"/>
      <c r="U36" s="415" t="s">
        <v>328</v>
      </c>
      <c r="V36" s="306">
        <v>0</v>
      </c>
      <c r="W36" s="306">
        <v>674384</v>
      </c>
      <c r="X36" s="306">
        <v>650000</v>
      </c>
      <c r="Y36" s="306">
        <v>0</v>
      </c>
      <c r="Z36" s="306">
        <v>0</v>
      </c>
      <c r="AA36" s="306">
        <v>400000</v>
      </c>
      <c r="AB36" s="306">
        <v>0</v>
      </c>
      <c r="AC36" s="306">
        <v>0</v>
      </c>
      <c r="AD36" s="306">
        <v>700000</v>
      </c>
      <c r="AE36" s="306">
        <v>11188186.699999999</v>
      </c>
      <c r="AF36" s="306">
        <v>0</v>
      </c>
      <c r="AG36" s="306">
        <v>3425642.8</v>
      </c>
      <c r="AH36" s="306">
        <v>0</v>
      </c>
      <c r="AI36" s="306">
        <v>5901929.9500000002</v>
      </c>
      <c r="AJ36" s="306">
        <v>0</v>
      </c>
      <c r="AK36" s="306">
        <v>5000000</v>
      </c>
      <c r="AL36" s="306">
        <v>0</v>
      </c>
      <c r="AM36" s="306">
        <v>6000000</v>
      </c>
      <c r="AN36" s="306">
        <v>0</v>
      </c>
      <c r="AO36" s="306">
        <v>0</v>
      </c>
      <c r="AP36" s="306">
        <v>0</v>
      </c>
      <c r="AQ36" s="306">
        <v>26518417.460000001</v>
      </c>
      <c r="AR36" s="306">
        <v>20724744.149999999</v>
      </c>
      <c r="AS36" s="168">
        <v>81183305.060000002</v>
      </c>
    </row>
    <row r="37" spans="1:45" x14ac:dyDescent="0.25">
      <c r="A37" s="27" t="s">
        <v>1073</v>
      </c>
      <c r="B37" s="383" t="s">
        <v>882</v>
      </c>
      <c r="C37" s="306">
        <v>0</v>
      </c>
      <c r="D37" s="306">
        <v>0</v>
      </c>
      <c r="E37" s="306">
        <v>0</v>
      </c>
      <c r="F37" s="306">
        <v>949900</v>
      </c>
      <c r="G37" s="306">
        <v>0</v>
      </c>
      <c r="H37" s="306">
        <v>0</v>
      </c>
      <c r="I37" s="306">
        <v>0</v>
      </c>
      <c r="J37" s="306">
        <v>0</v>
      </c>
      <c r="K37" s="306">
        <v>0</v>
      </c>
      <c r="L37" s="306">
        <v>0</v>
      </c>
      <c r="M37" s="306">
        <v>0</v>
      </c>
      <c r="N37" s="306">
        <v>0</v>
      </c>
      <c r="O37" s="616">
        <v>949900</v>
      </c>
      <c r="T37" s="167"/>
      <c r="U37" s="415" t="s">
        <v>511</v>
      </c>
      <c r="V37" s="306">
        <v>0</v>
      </c>
      <c r="W37" s="306">
        <v>0</v>
      </c>
      <c r="X37" s="306">
        <v>0</v>
      </c>
      <c r="Y37" s="306">
        <v>0</v>
      </c>
      <c r="Z37" s="306">
        <v>0</v>
      </c>
      <c r="AA37" s="306">
        <v>0</v>
      </c>
      <c r="AB37" s="306">
        <v>0</v>
      </c>
      <c r="AC37" s="306">
        <v>0</v>
      </c>
      <c r="AD37" s="306">
        <v>2008860.54</v>
      </c>
      <c r="AE37" s="306">
        <v>0</v>
      </c>
      <c r="AF37" s="306">
        <v>0</v>
      </c>
      <c r="AG37" s="306">
        <v>0</v>
      </c>
      <c r="AH37" s="306">
        <v>0</v>
      </c>
      <c r="AI37" s="306">
        <v>0</v>
      </c>
      <c r="AJ37" s="306">
        <v>0</v>
      </c>
      <c r="AK37" s="306">
        <v>0</v>
      </c>
      <c r="AL37" s="306">
        <v>0</v>
      </c>
      <c r="AM37" s="306">
        <v>1017646</v>
      </c>
      <c r="AN37" s="306">
        <v>0</v>
      </c>
      <c r="AO37" s="306">
        <v>0</v>
      </c>
      <c r="AP37" s="306">
        <v>0</v>
      </c>
      <c r="AQ37" s="306">
        <v>0</v>
      </c>
      <c r="AR37" s="306">
        <v>0</v>
      </c>
      <c r="AS37" s="168">
        <v>3026506.54</v>
      </c>
    </row>
    <row r="38" spans="1:45" x14ac:dyDescent="0.25">
      <c r="A38" s="11" t="s">
        <v>1027</v>
      </c>
      <c r="B38" s="172"/>
      <c r="C38" s="11">
        <v>7061735.4619200006</v>
      </c>
      <c r="D38" s="11">
        <v>54022857.19816</v>
      </c>
      <c r="E38" s="11">
        <v>4377622.5199999996</v>
      </c>
      <c r="F38" s="11">
        <v>21391983.850000001</v>
      </c>
      <c r="G38" s="11">
        <v>13774561.559999999</v>
      </c>
      <c r="H38" s="11">
        <v>895940.76</v>
      </c>
      <c r="I38" s="11">
        <v>34868937.479999997</v>
      </c>
      <c r="J38" s="11">
        <v>2793391.53</v>
      </c>
      <c r="K38" s="11">
        <v>386858.95</v>
      </c>
      <c r="L38" s="11">
        <v>278905.67</v>
      </c>
      <c r="M38" s="11">
        <v>6695743.6200000001</v>
      </c>
      <c r="N38" s="11">
        <v>197064</v>
      </c>
      <c r="O38" s="12">
        <v>146745602.60008001</v>
      </c>
      <c r="T38" s="167" t="s">
        <v>1073</v>
      </c>
      <c r="U38" s="415" t="s">
        <v>882</v>
      </c>
      <c r="V38" s="306">
        <v>0</v>
      </c>
      <c r="W38" s="306">
        <v>0</v>
      </c>
      <c r="X38" s="306">
        <v>0</v>
      </c>
      <c r="Y38" s="306">
        <v>0</v>
      </c>
      <c r="Z38" s="306">
        <v>0</v>
      </c>
      <c r="AA38" s="306">
        <v>1342830.5</v>
      </c>
      <c r="AB38" s="306">
        <v>0</v>
      </c>
      <c r="AC38" s="306">
        <v>0</v>
      </c>
      <c r="AD38" s="306">
        <v>0</v>
      </c>
      <c r="AE38" s="306">
        <v>0</v>
      </c>
      <c r="AF38" s="306">
        <v>0</v>
      </c>
      <c r="AG38" s="306">
        <v>0</v>
      </c>
      <c r="AH38" s="306">
        <v>0</v>
      </c>
      <c r="AI38" s="306">
        <v>0</v>
      </c>
      <c r="AJ38" s="306">
        <v>0</v>
      </c>
      <c r="AK38" s="306">
        <v>0</v>
      </c>
      <c r="AL38" s="306">
        <v>0</v>
      </c>
      <c r="AM38" s="306">
        <v>0</v>
      </c>
      <c r="AN38" s="306">
        <v>0</v>
      </c>
      <c r="AO38" s="306">
        <v>0</v>
      </c>
      <c r="AP38" s="306">
        <v>0</v>
      </c>
      <c r="AQ38" s="306">
        <v>0</v>
      </c>
      <c r="AR38" s="306">
        <v>0</v>
      </c>
      <c r="AS38" s="168">
        <v>1342830.5</v>
      </c>
    </row>
    <row r="39" spans="1:45" x14ac:dyDescent="0.25">
      <c r="T39" s="169" t="s">
        <v>1027</v>
      </c>
      <c r="U39" s="169"/>
      <c r="V39" s="169">
        <v>240635.61</v>
      </c>
      <c r="W39" s="169">
        <v>4875791.83</v>
      </c>
      <c r="X39" s="169">
        <v>650000</v>
      </c>
      <c r="Y39" s="169">
        <v>39300</v>
      </c>
      <c r="Z39" s="169">
        <v>5928970.4799999995</v>
      </c>
      <c r="AA39" s="169">
        <v>47699064.370000005</v>
      </c>
      <c r="AB39" s="169">
        <v>132598.31</v>
      </c>
      <c r="AC39" s="169">
        <v>140540.12</v>
      </c>
      <c r="AD39" s="169">
        <v>9357659.790000001</v>
      </c>
      <c r="AE39" s="169">
        <v>11188186.699999999</v>
      </c>
      <c r="AF39" s="169">
        <v>1159045.03</v>
      </c>
      <c r="AG39" s="169">
        <v>36465454.259999998</v>
      </c>
      <c r="AH39" s="169">
        <v>93058</v>
      </c>
      <c r="AI39" s="169">
        <v>16417276.09</v>
      </c>
      <c r="AJ39" s="169">
        <v>2501190.31</v>
      </c>
      <c r="AK39" s="169">
        <v>5000000</v>
      </c>
      <c r="AL39" s="169">
        <v>8562889.8099999987</v>
      </c>
      <c r="AM39" s="169">
        <v>23780537.02</v>
      </c>
      <c r="AN39" s="169">
        <v>2000000</v>
      </c>
      <c r="AO39" s="169">
        <v>3239246.61</v>
      </c>
      <c r="AP39" s="169">
        <v>6889354.8499999996</v>
      </c>
      <c r="AQ39" s="169">
        <v>38789131.310000002</v>
      </c>
      <c r="AR39" s="169">
        <v>20724744.149999999</v>
      </c>
      <c r="AS39" s="168">
        <v>245874674.64999998</v>
      </c>
    </row>
  </sheetData>
  <mergeCells count="4">
    <mergeCell ref="A21:F21"/>
    <mergeCell ref="A4:F4"/>
    <mergeCell ref="N4:Q4"/>
    <mergeCell ref="V21:AA21"/>
  </mergeCells>
  <conditionalFormatting sqref="U6:U16">
    <cfRule type="expression" dxfId="1566" priority="30">
      <formula>$U6 = "Cancelled"</formula>
    </cfRule>
  </conditionalFormatting>
  <conditionalFormatting sqref="M6:M16">
    <cfRule type="expression" dxfId="1565" priority="22">
      <formula>#REF!="Cash"</formula>
    </cfRule>
  </conditionalFormatting>
  <conditionalFormatting sqref="M6:M16">
    <cfRule type="expression" dxfId="1564" priority="21">
      <formula>#REF!="Applicant Signatures"</formula>
    </cfRule>
  </conditionalFormatting>
  <conditionalFormatting sqref="N6:N16">
    <cfRule type="expression" dxfId="1563" priority="20">
      <formula>#REF!="Cash"</formula>
    </cfRule>
  </conditionalFormatting>
  <conditionalFormatting sqref="N6:N16">
    <cfRule type="expression" dxfId="1562" priority="19">
      <formula>#REF!="Applicant Signatures"</formula>
    </cfRule>
  </conditionalFormatting>
  <conditionalFormatting sqref="O6:O16">
    <cfRule type="expression" dxfId="1561" priority="18">
      <formula>#REF!="Cash"</formula>
    </cfRule>
  </conditionalFormatting>
  <conditionalFormatting sqref="O6:O16">
    <cfRule type="expression" dxfId="1560" priority="17">
      <formula>#REF!="Applicant Signatures"</formula>
    </cfRule>
  </conditionalFormatting>
  <conditionalFormatting sqref="V6:V16">
    <cfRule type="expression" dxfId="1559" priority="16">
      <formula>#REF!="Cash"</formula>
    </cfRule>
  </conditionalFormatting>
  <conditionalFormatting sqref="V6:V16">
    <cfRule type="expression" dxfId="1558" priority="15">
      <formula>#REF!="Applicant Signatures"</formula>
    </cfRule>
  </conditionalFormatting>
  <conditionalFormatting sqref="W6:W16">
    <cfRule type="expression" dxfId="1557" priority="14">
      <formula>#REF!="Cash"</formula>
    </cfRule>
  </conditionalFormatting>
  <conditionalFormatting sqref="W6:W16">
    <cfRule type="expression" dxfId="1556" priority="13">
      <formula>#REF!="Applicant Signatures"</formula>
    </cfRule>
  </conditionalFormatting>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20484" r:id="rId10" name="Button 4">
              <controlPr defaultSize="0" print="0" autoFill="0" autoPict="0" macro="[0]!New_Window_Presentation">
                <anchor moveWithCells="1" sizeWithCells="1">
                  <from>
                    <xdr:col>12</xdr:col>
                    <xdr:colOff>47625</xdr:colOff>
                    <xdr:row>1</xdr:row>
                    <xdr:rowOff>28575</xdr:rowOff>
                  </from>
                  <to>
                    <xdr:col>12</xdr:col>
                    <xdr:colOff>1219200</xdr:colOff>
                    <xdr:row>3</xdr:row>
                    <xdr:rowOff>28575</xdr:rowOff>
                  </to>
                </anchor>
              </controlPr>
            </control>
          </mc:Choice>
        </mc:AlternateContent>
      </controls>
    </mc:Choice>
  </mc:AlternateContent>
  <tableParts count="3">
    <tablePart r:id="rId11"/>
    <tablePart r:id="rId12"/>
    <tablePart r:id="rId1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81AC9-0106-4700-9C30-A4E30DB610A3}">
  <sheetPr codeName="Sheet14">
    <tabColor rgb="FFFFFF00"/>
  </sheetPr>
  <dimension ref="A1:AH74"/>
  <sheetViews>
    <sheetView showGridLines="0" topLeftCell="J1" zoomScaleNormal="100" workbookViewId="0">
      <selection activeCell="O6" sqref="O6:Q10"/>
    </sheetView>
  </sheetViews>
  <sheetFormatPr defaultRowHeight="15" x14ac:dyDescent="0.25"/>
  <cols>
    <col min="1" max="1" width="18.42578125" bestFit="1" customWidth="1"/>
    <col min="2" max="2" width="8.140625" customWidth="1"/>
    <col min="3" max="3" width="7.7109375" customWidth="1"/>
    <col min="4" max="4" width="8.140625" customWidth="1"/>
    <col min="5" max="6" width="9" customWidth="1"/>
    <col min="7" max="7" width="11.85546875" customWidth="1"/>
    <col min="8" max="8" width="9.85546875" bestFit="1" customWidth="1"/>
    <col min="9" max="9" width="27.42578125" bestFit="1" customWidth="1"/>
    <col min="10" max="10" width="43.5703125" bestFit="1" customWidth="1"/>
    <col min="11" max="11" width="52.42578125" bestFit="1" customWidth="1"/>
    <col min="12" max="12" width="18" bestFit="1" customWidth="1"/>
    <col min="13" max="13" width="18.7109375" bestFit="1" customWidth="1"/>
    <col min="14" max="14" width="24" bestFit="1" customWidth="1"/>
    <col min="15" max="15" width="7" bestFit="1" customWidth="1"/>
    <col min="16" max="16" width="20.140625" bestFit="1" customWidth="1"/>
    <col min="17" max="17" width="20.28515625" bestFit="1" customWidth="1"/>
    <col min="18" max="18" width="5.7109375" customWidth="1"/>
    <col min="19" max="19" width="13.140625" bestFit="1" customWidth="1"/>
    <col min="20" max="20" width="18.5703125" bestFit="1" customWidth="1"/>
    <col min="21" max="21" width="17" bestFit="1" customWidth="1"/>
    <col min="22" max="22" width="11.28515625" bestFit="1" customWidth="1"/>
    <col min="23" max="23" width="9" customWidth="1"/>
    <col min="24" max="24" width="5.7109375" customWidth="1"/>
    <col min="25" max="25" width="24.85546875" bestFit="1" customWidth="1"/>
    <col min="26" max="26" width="17.85546875" bestFit="1" customWidth="1"/>
    <col min="27" max="27" width="14.7109375" bestFit="1" customWidth="1"/>
    <col min="28" max="28" width="18.140625" bestFit="1" customWidth="1"/>
    <col min="29" max="29" width="6.28515625" bestFit="1" customWidth="1"/>
    <col min="30" max="30" width="17" bestFit="1" customWidth="1"/>
    <col min="31" max="31" width="11.85546875" bestFit="1" customWidth="1"/>
    <col min="32" max="32" width="5.85546875" bestFit="1" customWidth="1"/>
    <col min="33" max="33" width="16" bestFit="1" customWidth="1"/>
    <col min="34" max="34" width="11.5703125" bestFit="1" customWidth="1"/>
  </cols>
  <sheetData>
    <row r="1" spans="1:34" ht="15.75" x14ac:dyDescent="0.25">
      <c r="N1" s="151"/>
      <c r="O1" s="151"/>
      <c r="P1" s="151"/>
      <c r="Q1" s="151"/>
      <c r="R1" s="151"/>
      <c r="X1" s="151"/>
    </row>
    <row r="2" spans="1:34" ht="16.5" thickBot="1" x14ac:dyDescent="0.3">
      <c r="A2" s="634" t="s">
        <v>1225</v>
      </c>
      <c r="B2" s="635"/>
      <c r="C2" s="635"/>
      <c r="D2" s="635"/>
      <c r="E2" s="635"/>
      <c r="F2" s="151"/>
      <c r="G2" s="151"/>
      <c r="H2" s="631" t="s">
        <v>1115</v>
      </c>
      <c r="I2" s="632"/>
      <c r="J2" s="632"/>
      <c r="K2" s="632"/>
      <c r="L2" s="632"/>
      <c r="M2" s="632"/>
      <c r="S2" s="633" t="s">
        <v>1797</v>
      </c>
      <c r="T2" s="633"/>
      <c r="U2" s="633"/>
      <c r="V2" s="151"/>
      <c r="W2" s="151"/>
      <c r="Y2" s="633" t="s">
        <v>1798</v>
      </c>
      <c r="Z2" s="633"/>
      <c r="AB2" s="633" t="s">
        <v>1833</v>
      </c>
      <c r="AC2" s="633"/>
      <c r="AE2" s="631" t="s">
        <v>4375</v>
      </c>
      <c r="AF2" s="632"/>
      <c r="AG2" s="632"/>
      <c r="AH2" s="632"/>
    </row>
    <row r="3" spans="1:34" ht="15.75" thickBot="1" x14ac:dyDescent="0.3">
      <c r="A3" s="222" t="s">
        <v>1227</v>
      </c>
      <c r="B3" s="222" t="s">
        <v>1212</v>
      </c>
      <c r="C3" s="224"/>
      <c r="D3" s="222"/>
      <c r="E3" s="304"/>
      <c r="H3" s="194" t="s">
        <v>850</v>
      </c>
      <c r="I3" s="194" t="s">
        <v>0</v>
      </c>
      <c r="J3" s="194" t="s">
        <v>6</v>
      </c>
      <c r="K3" s="194" t="s">
        <v>13</v>
      </c>
      <c r="L3" s="194" t="s">
        <v>7</v>
      </c>
      <c r="M3" s="194" t="s">
        <v>1561</v>
      </c>
      <c r="O3" s="196" t="s">
        <v>2</v>
      </c>
      <c r="P3" t="s">
        <v>830</v>
      </c>
      <c r="S3" s="197"/>
      <c r="T3" s="197" t="s">
        <v>1796</v>
      </c>
      <c r="U3" s="198"/>
      <c r="Y3" s="133" t="s">
        <v>1026</v>
      </c>
      <c r="Z3" s="1" t="s">
        <v>1026</v>
      </c>
      <c r="AB3" s="167" t="s">
        <v>1508</v>
      </c>
      <c r="AC3" s="167" t="s">
        <v>1557</v>
      </c>
      <c r="AE3" s="167" t="s">
        <v>4376</v>
      </c>
      <c r="AF3" s="167" t="s">
        <v>850</v>
      </c>
      <c r="AG3" s="167" t="s">
        <v>4377</v>
      </c>
      <c r="AH3" s="167" t="s">
        <v>1039</v>
      </c>
    </row>
    <row r="4" spans="1:34" ht="15.75" thickBot="1" x14ac:dyDescent="0.3">
      <c r="A4" s="223" t="s">
        <v>1226</v>
      </c>
      <c r="B4" s="225">
        <v>2023</v>
      </c>
      <c r="C4" s="225">
        <v>2024</v>
      </c>
      <c r="D4" s="223">
        <v>2025</v>
      </c>
      <c r="E4" s="305">
        <v>2026</v>
      </c>
      <c r="H4" s="1" t="s">
        <v>3931</v>
      </c>
      <c r="I4" s="1" t="s">
        <v>3931</v>
      </c>
      <c r="J4" s="1" t="s">
        <v>3931</v>
      </c>
      <c r="K4" s="178" t="s">
        <v>3931</v>
      </c>
      <c r="L4" s="1" t="s">
        <v>3931</v>
      </c>
      <c r="M4" s="420"/>
      <c r="S4" s="194"/>
      <c r="T4" s="1"/>
      <c r="U4" s="1"/>
      <c r="Y4" s="133" t="s">
        <v>2</v>
      </c>
      <c r="Z4" t="s">
        <v>5559</v>
      </c>
      <c r="AB4" s="307">
        <v>46200</v>
      </c>
      <c r="AC4" s="194">
        <v>1</v>
      </c>
      <c r="AE4" s="307">
        <v>46065</v>
      </c>
      <c r="AF4" s="307" t="s">
        <v>62</v>
      </c>
      <c r="AG4" s="1" t="s">
        <v>1082</v>
      </c>
      <c r="AH4" s="13">
        <v>25083.8</v>
      </c>
    </row>
    <row r="5" spans="1:34" ht="15.75" x14ac:dyDescent="0.25">
      <c r="A5" s="1" t="s">
        <v>1213</v>
      </c>
      <c r="B5" s="1">
        <v>1</v>
      </c>
      <c r="C5" s="1">
        <v>12</v>
      </c>
      <c r="D5" s="1">
        <v>55</v>
      </c>
      <c r="E5" s="1">
        <v>41</v>
      </c>
      <c r="O5" s="196" t="s">
        <v>3270</v>
      </c>
      <c r="P5" s="196" t="s">
        <v>3269</v>
      </c>
      <c r="Q5" s="196" t="s">
        <v>3190</v>
      </c>
      <c r="S5" s="258" t="s">
        <v>1795</v>
      </c>
      <c r="T5" s="1"/>
      <c r="U5" s="1"/>
      <c r="Y5" s="182"/>
      <c r="Z5" s="182"/>
      <c r="AB5" s="307">
        <v>46204</v>
      </c>
      <c r="AC5" s="194">
        <v>3</v>
      </c>
      <c r="AE5" s="307">
        <v>46096</v>
      </c>
      <c r="AF5" s="307" t="s">
        <v>62</v>
      </c>
      <c r="AG5" s="1" t="s">
        <v>4014</v>
      </c>
      <c r="AH5" s="13">
        <v>284625</v>
      </c>
    </row>
    <row r="6" spans="1:34" x14ac:dyDescent="0.25">
      <c r="A6" s="1" t="s">
        <v>1214</v>
      </c>
      <c r="B6" s="1"/>
      <c r="C6" s="1">
        <v>2</v>
      </c>
      <c r="D6" s="1">
        <v>24</v>
      </c>
      <c r="E6" s="1">
        <v>15</v>
      </c>
      <c r="O6" s="181" t="s">
        <v>710</v>
      </c>
      <c r="P6" s="375">
        <v>24490379</v>
      </c>
      <c r="Q6" s="181">
        <v>1</v>
      </c>
      <c r="Y6" s="195" t="s">
        <v>1795</v>
      </c>
      <c r="Z6" s="195" t="s">
        <v>1557</v>
      </c>
      <c r="AB6" s="307">
        <v>46205</v>
      </c>
      <c r="AC6" s="194">
        <v>2</v>
      </c>
      <c r="AE6" s="307">
        <v>46113</v>
      </c>
      <c r="AF6" s="307" t="s">
        <v>612</v>
      </c>
      <c r="AG6" s="300" t="s">
        <v>4388</v>
      </c>
      <c r="AH6" s="13">
        <v>8538.36</v>
      </c>
    </row>
    <row r="7" spans="1:34" x14ac:dyDescent="0.25">
      <c r="A7" s="1" t="s">
        <v>1215</v>
      </c>
      <c r="B7" s="1">
        <v>12</v>
      </c>
      <c r="C7" s="1">
        <v>7</v>
      </c>
      <c r="D7" s="1">
        <v>63</v>
      </c>
      <c r="E7" s="1">
        <v>14</v>
      </c>
      <c r="O7" s="181" t="s">
        <v>483</v>
      </c>
      <c r="P7" s="375">
        <v>19178491.639999997</v>
      </c>
      <c r="Q7" s="181">
        <v>12</v>
      </c>
      <c r="Y7" s="276" t="s">
        <v>81</v>
      </c>
      <c r="Z7" s="648">
        <v>5</v>
      </c>
      <c r="AB7" s="307">
        <v>46213</v>
      </c>
      <c r="AC7" s="194">
        <v>1</v>
      </c>
      <c r="AE7" s="307">
        <v>46135</v>
      </c>
      <c r="AF7" s="307" t="s">
        <v>62</v>
      </c>
      <c r="AG7" s="300" t="s">
        <v>2920</v>
      </c>
      <c r="AH7" s="13">
        <v>63918.15</v>
      </c>
    </row>
    <row r="8" spans="1:34" x14ac:dyDescent="0.25">
      <c r="A8" s="1" t="s">
        <v>1216</v>
      </c>
      <c r="B8" s="1">
        <v>9</v>
      </c>
      <c r="C8" s="1"/>
      <c r="D8" s="1">
        <v>28</v>
      </c>
      <c r="E8" s="1">
        <v>29</v>
      </c>
      <c r="O8" s="181" t="s">
        <v>328</v>
      </c>
      <c r="P8" s="375">
        <v>8200000</v>
      </c>
      <c r="Q8" s="181">
        <v>1</v>
      </c>
      <c r="Y8" s="277" t="s">
        <v>72</v>
      </c>
      <c r="Z8" s="653">
        <v>3</v>
      </c>
      <c r="AB8" s="307">
        <v>46217</v>
      </c>
      <c r="AC8" s="194">
        <v>1</v>
      </c>
      <c r="AG8" s="416" t="s">
        <v>4378</v>
      </c>
      <c r="AH8" s="406">
        <f>SUM(AH4:AH7)</f>
        <v>382165.31</v>
      </c>
    </row>
    <row r="9" spans="1:34" x14ac:dyDescent="0.25">
      <c r="A9" s="1" t="s">
        <v>1217</v>
      </c>
      <c r="B9" s="1">
        <v>9</v>
      </c>
      <c r="C9" s="1">
        <v>9</v>
      </c>
      <c r="D9" s="1">
        <v>74</v>
      </c>
      <c r="E9" s="1">
        <v>8</v>
      </c>
      <c r="H9" s="101"/>
      <c r="O9" s="547" t="s">
        <v>81</v>
      </c>
      <c r="P9" s="546">
        <v>13000000</v>
      </c>
      <c r="Q9" s="618">
        <v>2</v>
      </c>
      <c r="Y9" s="275" t="s">
        <v>366</v>
      </c>
      <c r="Z9" s="652">
        <v>3</v>
      </c>
      <c r="AB9" s="307">
        <v>46224</v>
      </c>
      <c r="AC9" s="194">
        <v>1</v>
      </c>
    </row>
    <row r="10" spans="1:34" ht="15.75" x14ac:dyDescent="0.25">
      <c r="A10" s="1" t="s">
        <v>1218</v>
      </c>
      <c r="B10" s="1">
        <v>1</v>
      </c>
      <c r="C10" s="1">
        <v>3</v>
      </c>
      <c r="D10" s="1">
        <v>63</v>
      </c>
      <c r="E10" s="1">
        <v>33</v>
      </c>
      <c r="H10" s="633" t="s">
        <v>1554</v>
      </c>
      <c r="I10" s="633"/>
      <c r="J10" s="633"/>
      <c r="K10" s="633"/>
      <c r="L10" s="633"/>
      <c r="M10" s="633"/>
      <c r="O10" s="547" t="s">
        <v>882</v>
      </c>
      <c r="P10" s="546">
        <v>12500000</v>
      </c>
      <c r="Q10" s="618">
        <v>4</v>
      </c>
      <c r="Y10" s="277" t="s">
        <v>1791</v>
      </c>
      <c r="Z10" s="653">
        <v>2</v>
      </c>
      <c r="AB10" s="307">
        <v>46225</v>
      </c>
      <c r="AC10" s="194">
        <v>1</v>
      </c>
    </row>
    <row r="11" spans="1:34" ht="15.75" x14ac:dyDescent="0.25">
      <c r="A11" s="1" t="s">
        <v>1219</v>
      </c>
      <c r="B11" s="1">
        <v>11</v>
      </c>
      <c r="C11" s="1">
        <v>8</v>
      </c>
      <c r="D11" s="1">
        <v>52</v>
      </c>
      <c r="E11" s="1"/>
      <c r="H11" s="633" t="s">
        <v>1553</v>
      </c>
      <c r="I11" s="633"/>
      <c r="J11" s="633"/>
      <c r="K11" s="633"/>
      <c r="L11" s="633"/>
      <c r="M11" s="633"/>
      <c r="O11" s="284" t="s">
        <v>1027</v>
      </c>
      <c r="P11" s="298">
        <v>77368870.640000001</v>
      </c>
      <c r="Q11" s="617">
        <v>20</v>
      </c>
      <c r="Y11" s="275" t="s">
        <v>366</v>
      </c>
      <c r="Z11" s="652">
        <v>2</v>
      </c>
      <c r="AB11" s="307">
        <v>46230</v>
      </c>
      <c r="AC11" s="194">
        <v>2</v>
      </c>
    </row>
    <row r="12" spans="1:34" x14ac:dyDescent="0.25">
      <c r="A12" s="1" t="s">
        <v>1220</v>
      </c>
      <c r="B12" s="1">
        <v>27</v>
      </c>
      <c r="C12" s="1">
        <v>36</v>
      </c>
      <c r="D12" s="1">
        <v>73</v>
      </c>
      <c r="E12" s="1"/>
      <c r="H12" s="194" t="s">
        <v>1552</v>
      </c>
      <c r="I12" s="194" t="s">
        <v>0</v>
      </c>
      <c r="J12" s="194" t="s">
        <v>378</v>
      </c>
      <c r="K12" s="194" t="s">
        <v>4</v>
      </c>
      <c r="L12" s="194" t="s">
        <v>7</v>
      </c>
      <c r="M12" s="194" t="s">
        <v>1640</v>
      </c>
      <c r="Y12" s="276" t="s">
        <v>90</v>
      </c>
      <c r="Z12" s="648">
        <v>6</v>
      </c>
      <c r="AB12" s="307">
        <v>46232</v>
      </c>
      <c r="AC12" s="194">
        <v>1</v>
      </c>
    </row>
    <row r="13" spans="1:34" x14ac:dyDescent="0.25">
      <c r="A13" s="1" t="s">
        <v>1221</v>
      </c>
      <c r="B13" s="1">
        <v>2</v>
      </c>
      <c r="C13" s="1">
        <v>23</v>
      </c>
      <c r="D13" s="1">
        <v>32</v>
      </c>
      <c r="E13" s="1"/>
      <c r="Y13" s="277" t="s">
        <v>24</v>
      </c>
      <c r="Z13" s="653">
        <v>1</v>
      </c>
      <c r="AB13" s="307">
        <v>46233</v>
      </c>
      <c r="AC13" s="194">
        <v>1</v>
      </c>
    </row>
    <row r="14" spans="1:34" x14ac:dyDescent="0.25">
      <c r="A14" s="1" t="s">
        <v>1222</v>
      </c>
      <c r="B14" s="1">
        <v>8</v>
      </c>
      <c r="C14" s="1">
        <v>21</v>
      </c>
      <c r="D14" s="1">
        <v>8</v>
      </c>
      <c r="E14" s="1"/>
      <c r="Y14" s="275" t="s">
        <v>21</v>
      </c>
      <c r="Z14" s="651">
        <v>1</v>
      </c>
      <c r="AB14" s="307">
        <v>46234</v>
      </c>
      <c r="AC14" s="194">
        <v>36</v>
      </c>
    </row>
    <row r="15" spans="1:34" x14ac:dyDescent="0.25">
      <c r="A15" s="1" t="s">
        <v>1223</v>
      </c>
      <c r="B15" s="1">
        <v>10</v>
      </c>
      <c r="C15" s="1">
        <v>32</v>
      </c>
      <c r="D15" s="1">
        <v>5</v>
      </c>
      <c r="E15" s="1"/>
      <c r="Y15" s="277" t="s">
        <v>80</v>
      </c>
      <c r="Z15" s="653">
        <v>3</v>
      </c>
      <c r="AB15" s="307">
        <v>46235</v>
      </c>
      <c r="AC15" s="194">
        <v>2</v>
      </c>
    </row>
    <row r="16" spans="1:34" ht="16.5" thickBot="1" x14ac:dyDescent="0.3">
      <c r="A16" s="1" t="s">
        <v>1224</v>
      </c>
      <c r="B16" s="1">
        <v>16</v>
      </c>
      <c r="C16" s="1">
        <v>32</v>
      </c>
      <c r="D16" s="1">
        <v>22</v>
      </c>
      <c r="E16" s="1"/>
      <c r="O16" s="633" t="s">
        <v>1799</v>
      </c>
      <c r="P16" s="633"/>
      <c r="Q16" s="633"/>
      <c r="Y16" s="193" t="s">
        <v>21</v>
      </c>
      <c r="Z16" s="650">
        <v>3</v>
      </c>
      <c r="AB16" s="307">
        <v>46236</v>
      </c>
      <c r="AC16" s="194">
        <v>2</v>
      </c>
    </row>
    <row r="17" spans="1:29" ht="15.75" thickBot="1" x14ac:dyDescent="0.3">
      <c r="A17" s="285" t="s">
        <v>1027</v>
      </c>
      <c r="B17" s="285">
        <v>106</v>
      </c>
      <c r="C17" s="620">
        <v>185</v>
      </c>
      <c r="D17" s="619">
        <v>499</v>
      </c>
      <c r="E17" s="620">
        <v>140</v>
      </c>
      <c r="O17" s="199" t="s">
        <v>1795</v>
      </c>
      <c r="Y17" s="277" t="s">
        <v>72</v>
      </c>
      <c r="Z17" s="653">
        <v>2</v>
      </c>
      <c r="AB17" s="307">
        <v>46258</v>
      </c>
      <c r="AC17" s="194">
        <v>1</v>
      </c>
    </row>
    <row r="18" spans="1:29" x14ac:dyDescent="0.25">
      <c r="Y18" s="275" t="s">
        <v>21</v>
      </c>
      <c r="Z18" s="651">
        <v>2</v>
      </c>
      <c r="AB18" s="307">
        <v>46264</v>
      </c>
      <c r="AC18" s="194">
        <v>2</v>
      </c>
    </row>
    <row r="19" spans="1:29" x14ac:dyDescent="0.25">
      <c r="Y19" s="276" t="s">
        <v>367</v>
      </c>
      <c r="Z19" s="648">
        <v>7</v>
      </c>
      <c r="AB19" s="307">
        <v>46265</v>
      </c>
      <c r="AC19" s="194">
        <v>4</v>
      </c>
    </row>
    <row r="20" spans="1:29" ht="16.5" thickBot="1" x14ac:dyDescent="0.3">
      <c r="A20" s="633" t="s">
        <v>1618</v>
      </c>
      <c r="B20" s="633"/>
      <c r="C20" s="633"/>
      <c r="D20" s="633"/>
      <c r="E20" s="633"/>
      <c r="Y20" s="277" t="s">
        <v>24</v>
      </c>
      <c r="Z20" s="653">
        <v>4</v>
      </c>
      <c r="AB20" s="307">
        <v>46266</v>
      </c>
      <c r="AC20" s="194">
        <v>3</v>
      </c>
    </row>
    <row r="21" spans="1:29" ht="15.75" thickBot="1" x14ac:dyDescent="0.3">
      <c r="A21" s="222" t="s">
        <v>1228</v>
      </c>
      <c r="B21" s="222" t="s">
        <v>1212</v>
      </c>
      <c r="C21" s="222"/>
      <c r="D21" s="302"/>
      <c r="E21" s="286"/>
      <c r="Y21" s="275" t="s">
        <v>21</v>
      </c>
      <c r="Z21" s="651">
        <v>1</v>
      </c>
      <c r="AB21" s="307">
        <v>46267</v>
      </c>
      <c r="AC21" s="194">
        <v>1</v>
      </c>
    </row>
    <row r="22" spans="1:29" ht="15.75" thickBot="1" x14ac:dyDescent="0.3">
      <c r="A22" s="223" t="s">
        <v>1226</v>
      </c>
      <c r="B22" s="287">
        <v>2023</v>
      </c>
      <c r="C22" s="288">
        <v>2024</v>
      </c>
      <c r="D22" s="287">
        <v>2025</v>
      </c>
      <c r="E22" s="303">
        <v>2026</v>
      </c>
      <c r="Y22" s="275" t="s">
        <v>366</v>
      </c>
      <c r="Z22" s="652">
        <v>3</v>
      </c>
      <c r="AB22" s="307">
        <v>46275</v>
      </c>
      <c r="AC22" s="194">
        <v>1</v>
      </c>
    </row>
    <row r="23" spans="1:29" ht="15.75" x14ac:dyDescent="0.25">
      <c r="A23" s="1" t="s">
        <v>1213</v>
      </c>
      <c r="B23" s="1">
        <v>4</v>
      </c>
      <c r="C23" s="1">
        <v>34</v>
      </c>
      <c r="D23" s="1">
        <v>72</v>
      </c>
      <c r="E23" s="1">
        <v>42</v>
      </c>
      <c r="G23" s="101"/>
      <c r="H23" s="254"/>
      <c r="L23" s="182"/>
      <c r="M23" s="182"/>
      <c r="Y23" s="277" t="s">
        <v>72</v>
      </c>
      <c r="Z23" s="653">
        <v>2</v>
      </c>
      <c r="AB23" s="307">
        <v>46283</v>
      </c>
      <c r="AC23" s="194">
        <v>1</v>
      </c>
    </row>
    <row r="24" spans="1:29" ht="15.75" x14ac:dyDescent="0.25">
      <c r="A24" s="1" t="s">
        <v>1214</v>
      </c>
      <c r="B24" s="1">
        <v>9</v>
      </c>
      <c r="C24" s="1">
        <v>25</v>
      </c>
      <c r="D24" s="1">
        <v>48</v>
      </c>
      <c r="E24" s="1">
        <v>41</v>
      </c>
      <c r="H24" s="633" t="s">
        <v>2349</v>
      </c>
      <c r="I24" s="633"/>
      <c r="J24" s="633"/>
      <c r="K24" s="633"/>
      <c r="L24" s="633"/>
      <c r="M24" s="633"/>
      <c r="N24" s="633"/>
      <c r="O24" s="633"/>
      <c r="P24" s="633"/>
      <c r="Q24" s="633"/>
      <c r="Y24" s="275" t="s">
        <v>21</v>
      </c>
      <c r="Z24" s="651">
        <v>1</v>
      </c>
      <c r="AB24" s="307">
        <v>46295</v>
      </c>
      <c r="AC24" s="194">
        <v>1</v>
      </c>
    </row>
    <row r="25" spans="1:29" x14ac:dyDescent="0.25">
      <c r="A25" s="1" t="s">
        <v>1215</v>
      </c>
      <c r="B25" s="1">
        <v>13</v>
      </c>
      <c r="C25" s="1">
        <v>23</v>
      </c>
      <c r="D25" s="1">
        <v>70</v>
      </c>
      <c r="E25" s="1">
        <v>46</v>
      </c>
      <c r="H25" s="185" t="s">
        <v>1041</v>
      </c>
      <c r="I25" s="185" t="s">
        <v>2</v>
      </c>
      <c r="J25" s="185" t="s">
        <v>17</v>
      </c>
      <c r="K25" s="185" t="s">
        <v>4</v>
      </c>
      <c r="L25" s="185" t="s">
        <v>0</v>
      </c>
      <c r="M25" s="185" t="s">
        <v>850</v>
      </c>
      <c r="N25" s="185" t="s">
        <v>2348</v>
      </c>
      <c r="O25" s="185" t="s">
        <v>7</v>
      </c>
      <c r="P25" s="185" t="s">
        <v>2347</v>
      </c>
      <c r="Q25" s="185" t="s">
        <v>2346</v>
      </c>
      <c r="Y25" s="275" t="s">
        <v>366</v>
      </c>
      <c r="Z25" s="652">
        <v>1</v>
      </c>
      <c r="AB25" s="307">
        <v>46296</v>
      </c>
      <c r="AC25" s="194">
        <v>38</v>
      </c>
    </row>
    <row r="26" spans="1:29" x14ac:dyDescent="0.25">
      <c r="A26" s="1" t="s">
        <v>1216</v>
      </c>
      <c r="B26" s="1">
        <v>8</v>
      </c>
      <c r="C26" s="1">
        <v>13</v>
      </c>
      <c r="D26" s="1">
        <v>45</v>
      </c>
      <c r="E26" s="1">
        <v>47</v>
      </c>
      <c r="H26" s="1" t="s">
        <v>5654</v>
      </c>
      <c r="I26" s="1" t="s">
        <v>728</v>
      </c>
      <c r="J26" s="1" t="s">
        <v>5544</v>
      </c>
      <c r="K26" s="1" t="s">
        <v>5401</v>
      </c>
      <c r="L26" s="1" t="s">
        <v>3931</v>
      </c>
      <c r="M26" s="1" t="s">
        <v>5315</v>
      </c>
      <c r="N26" s="1" t="s">
        <v>5655</v>
      </c>
      <c r="O26" s="1" t="s">
        <v>26</v>
      </c>
      <c r="P26" s="532"/>
      <c r="Q26" s="532">
        <v>5200000</v>
      </c>
      <c r="Y26" s="283" t="s">
        <v>3782</v>
      </c>
      <c r="Z26" s="648">
        <v>1</v>
      </c>
      <c r="AB26" s="307">
        <v>46317</v>
      </c>
      <c r="AC26" s="194">
        <v>1</v>
      </c>
    </row>
    <row r="27" spans="1:29" x14ac:dyDescent="0.25">
      <c r="A27" s="1" t="s">
        <v>1217</v>
      </c>
      <c r="B27" s="1">
        <v>18</v>
      </c>
      <c r="C27" s="1">
        <v>30</v>
      </c>
      <c r="D27" s="1">
        <v>94</v>
      </c>
      <c r="E27" s="1">
        <v>34</v>
      </c>
      <c r="Y27" s="193" t="s">
        <v>366</v>
      </c>
      <c r="Z27" s="649">
        <v>1</v>
      </c>
      <c r="AB27" s="307">
        <v>46326</v>
      </c>
      <c r="AC27" s="194">
        <v>5</v>
      </c>
    </row>
    <row r="28" spans="1:29" x14ac:dyDescent="0.25">
      <c r="A28" s="1" t="s">
        <v>1218</v>
      </c>
      <c r="B28" s="1">
        <v>12</v>
      </c>
      <c r="C28" s="1">
        <v>15</v>
      </c>
      <c r="D28" s="1">
        <v>54</v>
      </c>
      <c r="E28" s="1">
        <v>25</v>
      </c>
      <c r="Y28" s="276" t="s">
        <v>407</v>
      </c>
      <c r="Z28" s="648">
        <v>3</v>
      </c>
      <c r="AB28" s="307">
        <v>46327</v>
      </c>
      <c r="AC28" s="194">
        <v>4</v>
      </c>
    </row>
    <row r="29" spans="1:29" x14ac:dyDescent="0.25">
      <c r="A29" s="1" t="s">
        <v>1219</v>
      </c>
      <c r="B29" s="1">
        <v>2</v>
      </c>
      <c r="C29" s="1">
        <v>25</v>
      </c>
      <c r="D29" s="1">
        <v>88</v>
      </c>
      <c r="E29" s="1"/>
      <c r="Y29" s="277" t="s">
        <v>24</v>
      </c>
      <c r="Z29" s="653">
        <v>3</v>
      </c>
      <c r="AB29" s="307">
        <v>46334</v>
      </c>
      <c r="AC29" s="194">
        <v>1</v>
      </c>
    </row>
    <row r="30" spans="1:29" x14ac:dyDescent="0.25">
      <c r="A30" s="1" t="s">
        <v>1220</v>
      </c>
      <c r="B30" s="1">
        <v>10</v>
      </c>
      <c r="C30" s="1">
        <v>18</v>
      </c>
      <c r="D30" s="1">
        <v>58</v>
      </c>
      <c r="E30" s="1"/>
      <c r="Y30" s="275" t="s">
        <v>21</v>
      </c>
      <c r="Z30" s="651">
        <v>2</v>
      </c>
      <c r="AB30" s="307">
        <v>46341</v>
      </c>
      <c r="AC30" s="194">
        <v>2</v>
      </c>
    </row>
    <row r="31" spans="1:29" x14ac:dyDescent="0.25">
      <c r="A31" s="1" t="s">
        <v>1221</v>
      </c>
      <c r="B31" s="1">
        <v>26</v>
      </c>
      <c r="C31" s="1">
        <v>34</v>
      </c>
      <c r="D31" s="1">
        <v>101</v>
      </c>
      <c r="E31" s="1"/>
      <c r="Y31" s="275" t="s">
        <v>95</v>
      </c>
      <c r="Z31" s="652">
        <v>1</v>
      </c>
      <c r="AB31" s="307">
        <v>46356</v>
      </c>
      <c r="AC31" s="194">
        <v>1</v>
      </c>
    </row>
    <row r="32" spans="1:29" x14ac:dyDescent="0.25">
      <c r="A32" s="1" t="s">
        <v>1222</v>
      </c>
      <c r="B32" s="1">
        <v>27</v>
      </c>
      <c r="C32" s="1">
        <v>38</v>
      </c>
      <c r="D32" s="1">
        <v>93</v>
      </c>
      <c r="E32" s="1"/>
      <c r="Y32" s="276" t="s">
        <v>22</v>
      </c>
      <c r="Z32" s="648">
        <v>7</v>
      </c>
      <c r="AB32" s="307">
        <v>46357</v>
      </c>
      <c r="AC32" s="194">
        <v>3</v>
      </c>
    </row>
    <row r="33" spans="1:29" x14ac:dyDescent="0.25">
      <c r="A33" s="1" t="s">
        <v>1223</v>
      </c>
      <c r="B33" s="1">
        <v>26</v>
      </c>
      <c r="C33" s="1">
        <v>28</v>
      </c>
      <c r="D33" s="1">
        <v>61</v>
      </c>
      <c r="E33" s="1"/>
      <c r="Y33" s="277" t="s">
        <v>24</v>
      </c>
      <c r="Z33" s="653">
        <v>3</v>
      </c>
      <c r="AB33" s="307">
        <v>46377</v>
      </c>
      <c r="AC33" s="194">
        <v>1</v>
      </c>
    </row>
    <row r="34" spans="1:29" ht="15.75" thickBot="1" x14ac:dyDescent="0.3">
      <c r="A34" s="1" t="s">
        <v>1224</v>
      </c>
      <c r="B34" s="1">
        <v>35</v>
      </c>
      <c r="C34" s="1">
        <v>56</v>
      </c>
      <c r="D34" s="1">
        <v>46</v>
      </c>
      <c r="E34" s="1"/>
      <c r="Y34" s="275" t="s">
        <v>21</v>
      </c>
      <c r="Z34" s="651">
        <v>3</v>
      </c>
      <c r="AB34" s="307">
        <v>46402</v>
      </c>
      <c r="AC34" s="194">
        <v>2</v>
      </c>
    </row>
    <row r="35" spans="1:29" ht="15.75" thickBot="1" x14ac:dyDescent="0.3">
      <c r="A35" s="222" t="s">
        <v>1027</v>
      </c>
      <c r="B35" s="286">
        <v>190</v>
      </c>
      <c r="C35" s="302">
        <v>339</v>
      </c>
      <c r="D35" s="222">
        <v>830</v>
      </c>
      <c r="E35" s="286">
        <v>235</v>
      </c>
      <c r="Y35" s="277" t="s">
        <v>80</v>
      </c>
      <c r="Z35" s="653">
        <v>3</v>
      </c>
      <c r="AB35" s="307">
        <v>46412</v>
      </c>
      <c r="AC35" s="194">
        <v>1</v>
      </c>
    </row>
    <row r="36" spans="1:29" x14ac:dyDescent="0.25">
      <c r="Y36" s="193" t="s">
        <v>21</v>
      </c>
      <c r="Z36" s="650">
        <v>3</v>
      </c>
      <c r="AB36" s="307">
        <v>46418</v>
      </c>
      <c r="AC36" s="194">
        <v>3</v>
      </c>
    </row>
    <row r="37" spans="1:29" x14ac:dyDescent="0.25">
      <c r="Y37" s="277" t="s">
        <v>72</v>
      </c>
      <c r="Z37" s="653">
        <v>1</v>
      </c>
      <c r="AB37" s="307">
        <v>46439</v>
      </c>
      <c r="AC37" s="194">
        <v>1</v>
      </c>
    </row>
    <row r="38" spans="1:29" x14ac:dyDescent="0.25">
      <c r="Y38" s="275" t="s">
        <v>21</v>
      </c>
      <c r="Z38" s="651">
        <v>1</v>
      </c>
      <c r="AB38" s="169" t="s">
        <v>1027</v>
      </c>
      <c r="AC38" s="194">
        <v>131</v>
      </c>
    </row>
    <row r="39" spans="1:29" x14ac:dyDescent="0.25">
      <c r="Y39" s="276" t="s">
        <v>213</v>
      </c>
      <c r="Z39" s="648">
        <v>3</v>
      </c>
    </row>
    <row r="40" spans="1:29" x14ac:dyDescent="0.25">
      <c r="Y40" s="277" t="s">
        <v>24</v>
      </c>
      <c r="Z40" s="653">
        <v>1</v>
      </c>
    </row>
    <row r="41" spans="1:29" x14ac:dyDescent="0.25">
      <c r="Y41" s="275" t="s">
        <v>21</v>
      </c>
      <c r="Z41" s="651">
        <v>1</v>
      </c>
    </row>
    <row r="42" spans="1:29" x14ac:dyDescent="0.25">
      <c r="Y42" s="277" t="s">
        <v>72</v>
      </c>
      <c r="Z42" s="653">
        <v>2</v>
      </c>
    </row>
    <row r="43" spans="1:29" x14ac:dyDescent="0.25">
      <c r="Y43" s="275" t="s">
        <v>62</v>
      </c>
      <c r="Z43" s="652">
        <v>2</v>
      </c>
    </row>
    <row r="44" spans="1:29" x14ac:dyDescent="0.25">
      <c r="Y44" s="276" t="s">
        <v>710</v>
      </c>
      <c r="Z44" s="648">
        <v>68</v>
      </c>
    </row>
    <row r="45" spans="1:29" x14ac:dyDescent="0.25">
      <c r="Y45" s="277" t="s">
        <v>24</v>
      </c>
      <c r="Z45" s="653">
        <v>68</v>
      </c>
    </row>
    <row r="46" spans="1:29" x14ac:dyDescent="0.25">
      <c r="Y46" s="275" t="s">
        <v>366</v>
      </c>
      <c r="Z46" s="652">
        <v>68</v>
      </c>
    </row>
    <row r="47" spans="1:29" x14ac:dyDescent="0.25">
      <c r="Y47" s="276" t="s">
        <v>483</v>
      </c>
      <c r="Z47" s="648">
        <v>15</v>
      </c>
    </row>
    <row r="48" spans="1:29" x14ac:dyDescent="0.25">
      <c r="Y48" s="277" t="s">
        <v>24</v>
      </c>
      <c r="Z48" s="653">
        <v>10</v>
      </c>
    </row>
    <row r="49" spans="25:26" x14ac:dyDescent="0.25">
      <c r="Y49" s="275" t="s">
        <v>62</v>
      </c>
      <c r="Z49" s="652">
        <v>10</v>
      </c>
    </row>
    <row r="50" spans="25:26" x14ac:dyDescent="0.25">
      <c r="Y50" s="277" t="s">
        <v>72</v>
      </c>
      <c r="Z50" s="653">
        <v>3</v>
      </c>
    </row>
    <row r="51" spans="25:26" x14ac:dyDescent="0.25">
      <c r="Y51" s="275" t="s">
        <v>62</v>
      </c>
      <c r="Z51" s="652">
        <v>3</v>
      </c>
    </row>
    <row r="52" spans="25:26" x14ac:dyDescent="0.25">
      <c r="Y52" s="283" t="s">
        <v>4207</v>
      </c>
      <c r="Z52" s="648">
        <v>2</v>
      </c>
    </row>
    <row r="53" spans="25:26" x14ac:dyDescent="0.25">
      <c r="Y53" s="193" t="s">
        <v>62</v>
      </c>
      <c r="Z53" s="649">
        <v>2</v>
      </c>
    </row>
    <row r="54" spans="25:26" x14ac:dyDescent="0.25">
      <c r="Y54" s="276" t="s">
        <v>328</v>
      </c>
      <c r="Z54" s="648">
        <v>17</v>
      </c>
    </row>
    <row r="55" spans="25:26" x14ac:dyDescent="0.25">
      <c r="Y55" s="277" t="s">
        <v>72</v>
      </c>
      <c r="Z55" s="653">
        <v>1</v>
      </c>
    </row>
    <row r="56" spans="25:26" x14ac:dyDescent="0.25">
      <c r="Y56" s="275" t="s">
        <v>95</v>
      </c>
      <c r="Z56" s="652">
        <v>1</v>
      </c>
    </row>
    <row r="57" spans="25:26" x14ac:dyDescent="0.25">
      <c r="Y57" s="277" t="s">
        <v>1791</v>
      </c>
      <c r="Z57" s="653">
        <v>12</v>
      </c>
    </row>
    <row r="58" spans="25:26" x14ac:dyDescent="0.25">
      <c r="Y58" s="275" t="s">
        <v>95</v>
      </c>
      <c r="Z58" s="652">
        <v>12</v>
      </c>
    </row>
    <row r="59" spans="25:26" x14ac:dyDescent="0.25">
      <c r="Y59" s="283" t="s">
        <v>3219</v>
      </c>
      <c r="Z59" s="648">
        <v>2</v>
      </c>
    </row>
    <row r="60" spans="25:26" x14ac:dyDescent="0.25">
      <c r="Y60" s="193" t="s">
        <v>95</v>
      </c>
      <c r="Z60" s="649">
        <v>2</v>
      </c>
    </row>
    <row r="61" spans="25:26" x14ac:dyDescent="0.25">
      <c r="Y61" s="283" t="s">
        <v>5172</v>
      </c>
      <c r="Z61" s="648">
        <v>1</v>
      </c>
    </row>
    <row r="62" spans="25:26" x14ac:dyDescent="0.25">
      <c r="Y62" s="193" t="s">
        <v>95</v>
      </c>
      <c r="Z62" s="649">
        <v>1</v>
      </c>
    </row>
    <row r="63" spans="25:26" x14ac:dyDescent="0.25">
      <c r="Y63" s="283" t="s">
        <v>5134</v>
      </c>
      <c r="Z63" s="648">
        <v>1</v>
      </c>
    </row>
    <row r="64" spans="25:26" x14ac:dyDescent="0.25">
      <c r="Y64" s="193" t="s">
        <v>95</v>
      </c>
      <c r="Z64" s="649">
        <v>1</v>
      </c>
    </row>
    <row r="65" spans="25:26" x14ac:dyDescent="0.25">
      <c r="Y65" s="276" t="s">
        <v>511</v>
      </c>
      <c r="Z65" s="648">
        <v>7</v>
      </c>
    </row>
    <row r="66" spans="25:26" x14ac:dyDescent="0.25">
      <c r="Y66" s="277" t="s">
        <v>72</v>
      </c>
      <c r="Z66" s="653">
        <v>7</v>
      </c>
    </row>
    <row r="67" spans="25:26" x14ac:dyDescent="0.25">
      <c r="Y67" s="275" t="s">
        <v>21</v>
      </c>
      <c r="Z67" s="651">
        <v>5</v>
      </c>
    </row>
    <row r="68" spans="25:26" x14ac:dyDescent="0.25">
      <c r="Y68" s="275" t="s">
        <v>95</v>
      </c>
      <c r="Z68" s="652">
        <v>2</v>
      </c>
    </row>
    <row r="69" spans="25:26" x14ac:dyDescent="0.25">
      <c r="Y69" s="276" t="s">
        <v>613</v>
      </c>
      <c r="Z69" s="648">
        <v>16</v>
      </c>
    </row>
    <row r="70" spans="25:26" x14ac:dyDescent="0.25">
      <c r="Y70" s="277" t="s">
        <v>24</v>
      </c>
      <c r="Z70" s="653">
        <v>10</v>
      </c>
    </row>
    <row r="71" spans="25:26" x14ac:dyDescent="0.25">
      <c r="Y71" s="275" t="s">
        <v>612</v>
      </c>
      <c r="Z71" s="652">
        <v>10</v>
      </c>
    </row>
    <row r="72" spans="25:26" x14ac:dyDescent="0.25">
      <c r="Y72" s="277" t="s">
        <v>72</v>
      </c>
      <c r="Z72" s="653">
        <v>6</v>
      </c>
    </row>
    <row r="73" spans="25:26" x14ac:dyDescent="0.25">
      <c r="Y73" s="275" t="s">
        <v>612</v>
      </c>
      <c r="Z73" s="652">
        <v>6</v>
      </c>
    </row>
    <row r="74" spans="25:26" x14ac:dyDescent="0.25">
      <c r="Y74" s="133" t="s">
        <v>1027</v>
      </c>
      <c r="Z74" s="647">
        <v>154</v>
      </c>
    </row>
  </sheetData>
  <mergeCells count="11">
    <mergeCell ref="AE2:AH2"/>
    <mergeCell ref="A20:E20"/>
    <mergeCell ref="A2:E2"/>
    <mergeCell ref="H24:Q24"/>
    <mergeCell ref="AB2:AC2"/>
    <mergeCell ref="O16:Q16"/>
    <mergeCell ref="Y2:Z2"/>
    <mergeCell ref="S2:U2"/>
    <mergeCell ref="H10:M10"/>
    <mergeCell ref="H11:M11"/>
    <mergeCell ref="H2:M2"/>
  </mergeCells>
  <conditionalFormatting pivot="1" sqref="B5:E16">
    <cfRule type="dataBar" priority="8">
      <dataBar>
        <cfvo type="min"/>
        <cfvo type="max"/>
        <color rgb="FF008AEF"/>
      </dataBar>
      <extLst>
        <ext xmlns:x14="http://schemas.microsoft.com/office/spreadsheetml/2009/9/main" uri="{B025F937-C7B1-47D3-B67F-A62EFF666E3E}">
          <x14:id>{6CE19978-3FC8-4AB9-A3CF-2526456B6D3D}</x14:id>
        </ext>
      </extLst>
    </cfRule>
  </conditionalFormatting>
  <conditionalFormatting pivot="1" sqref="B23:E23 B24:E24 B25:E25 B26:E26 B27:E27 B28:E28 B29:E29 B30:E30 B31:E31 B32:E32 B33:E33 B34:E34">
    <cfRule type="dataBar" priority="6">
      <dataBar>
        <cfvo type="min"/>
        <cfvo type="max"/>
        <color rgb="FF008AEF"/>
      </dataBar>
      <extLst>
        <ext xmlns:x14="http://schemas.microsoft.com/office/spreadsheetml/2009/9/main" uri="{B025F937-C7B1-47D3-B67F-A62EFF666E3E}">
          <x14:id>{FC88B4DE-5CC5-40EA-B8ED-EF97EFE77DD5}</x14:id>
        </ext>
      </extLst>
    </cfRule>
  </conditionalFormatting>
  <conditionalFormatting sqref="AB4:AB38 AF4:AF7">
    <cfRule type="timePeriod" dxfId="1235" priority="2" timePeriod="thisWeek">
      <formula>AND(TODAY()-ROUNDDOWN(AB4,0)&lt;=WEEKDAY(TODAY())-1,ROUNDDOWN(AB4,0)-TODAY()&lt;=7-WEEKDAY(TODAY()))</formula>
    </cfRule>
  </conditionalFormatting>
  <conditionalFormatting sqref="AE4">
    <cfRule type="timePeriod" dxfId="1234" priority="1" timePeriod="thisWeek">
      <formula>AND(TODAY()-ROUNDDOWN(AE4,0)&lt;=WEEKDAY(TODAY())-1,ROUNDDOWN(AE4,0)-TODAY()&lt;=7-WEEKDAY(TODAY()))</formula>
    </cfRule>
  </conditionalFormatting>
  <pageMargins left="0.7" right="0.7" top="0.75" bottom="0.75" header="0.3" footer="0.3"/>
  <pageSetup orientation="portrait" r:id="rId11"/>
  <drawing r:id="rId12"/>
  <extLst>
    <ext xmlns:x14="http://schemas.microsoft.com/office/spreadsheetml/2009/9/main" uri="{78C0D931-6437-407d-A8EE-F0AAD7539E65}">
      <x14:conditionalFormattings>
        <x14:conditionalFormatting xmlns:xm="http://schemas.microsoft.com/office/excel/2006/main" pivot="1">
          <x14:cfRule type="dataBar" id="{6CE19978-3FC8-4AB9-A3CF-2526456B6D3D}">
            <x14:dataBar minLength="0" maxLength="100" border="1" negativeBarBorderColorSameAsPositive="0">
              <x14:cfvo type="autoMin"/>
              <x14:cfvo type="autoMax"/>
              <x14:borderColor rgb="FF008AEF"/>
              <x14:negativeFillColor rgb="FFFF0000"/>
              <x14:negativeBorderColor rgb="FFFF0000"/>
              <x14:axisColor rgb="FF000000"/>
            </x14:dataBar>
          </x14:cfRule>
          <xm:sqref>B5:E16</xm:sqref>
        </x14:conditionalFormatting>
        <x14:conditionalFormatting xmlns:xm="http://schemas.microsoft.com/office/excel/2006/main" pivot="1">
          <x14:cfRule type="dataBar" id="{FC88B4DE-5CC5-40EA-B8ED-EF97EFE77DD5}">
            <x14:dataBar minLength="0" maxLength="100" border="1" negativeBarBorderColorSameAsPositive="0">
              <x14:cfvo type="autoMin"/>
              <x14:cfvo type="autoMax"/>
              <x14:borderColor rgb="FF008AEF"/>
              <x14:negativeFillColor rgb="FFFF0000"/>
              <x14:negativeBorderColor rgb="FFFF0000"/>
              <x14:axisColor rgb="FF000000"/>
            </x14:dataBar>
          </x14:cfRule>
          <xm:sqref>B23:E23 B24:E24 B25:E25 B26:E26 B27:E27 B28:E28 B29:E29 B30:E30 B31:E31 B32:E32 B33:E33 B34:E34</xm:sqref>
        </x14:conditionalFormatting>
      </x14:conditionalFormattings>
    </ext>
    <ext xmlns:x14="http://schemas.microsoft.com/office/spreadsheetml/2009/9/main" uri="{A8765BA9-456A-4dab-B4F3-ACF838C121DE}">
      <x14:slicerList>
        <x14:slicer r:id="rId13"/>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30E62-F383-4A39-8B6A-8BA0120CBF06}">
  <sheetPr codeName="Sheet8"/>
  <dimension ref="A3:AA76"/>
  <sheetViews>
    <sheetView workbookViewId="0">
      <selection activeCell="I31" sqref="I31"/>
    </sheetView>
  </sheetViews>
  <sheetFormatPr defaultRowHeight="15" x14ac:dyDescent="0.25"/>
  <cols>
    <col min="1" max="1" width="22.85546875" bestFit="1" customWidth="1"/>
    <col min="2" max="2" width="20.85546875" bestFit="1" customWidth="1"/>
    <col min="3" max="3" width="22" bestFit="1" customWidth="1"/>
    <col min="4" max="5" width="11" bestFit="1" customWidth="1"/>
    <col min="6" max="6" width="20.28515625" bestFit="1" customWidth="1"/>
    <col min="9" max="9" width="27.42578125" bestFit="1" customWidth="1"/>
    <col min="16" max="16" width="15.28515625" bestFit="1" customWidth="1"/>
    <col min="17" max="17" width="23" bestFit="1" customWidth="1"/>
    <col min="18" max="18" width="11" bestFit="1" customWidth="1"/>
    <col min="19" max="19" width="12.85546875" bestFit="1" customWidth="1"/>
    <col min="20" max="20" width="13.28515625" bestFit="1" customWidth="1"/>
    <col min="22" max="23" width="15.28515625" bestFit="1" customWidth="1"/>
    <col min="24" max="24" width="11" bestFit="1" customWidth="1"/>
    <col min="25" max="25" width="18.7109375" bestFit="1" customWidth="1"/>
    <col min="26" max="26" width="13.28515625" bestFit="1" customWidth="1"/>
    <col min="27" max="27" width="11.5703125" bestFit="1" customWidth="1"/>
  </cols>
  <sheetData>
    <row r="3" spans="3:27" x14ac:dyDescent="0.25">
      <c r="C3" t="s">
        <v>1452</v>
      </c>
      <c r="F3" t="s">
        <v>830</v>
      </c>
      <c r="I3" t="s">
        <v>908</v>
      </c>
    </row>
    <row r="4" spans="3:27" x14ac:dyDescent="0.25">
      <c r="C4" t="s">
        <v>1124</v>
      </c>
      <c r="F4" t="s">
        <v>771</v>
      </c>
      <c r="I4" t="s">
        <v>911</v>
      </c>
    </row>
    <row r="5" spans="3:27" x14ac:dyDescent="0.25">
      <c r="C5" t="s">
        <v>771</v>
      </c>
      <c r="F5" t="s">
        <v>728</v>
      </c>
      <c r="I5" t="s">
        <v>909</v>
      </c>
    </row>
    <row r="6" spans="3:27" x14ac:dyDescent="0.25">
      <c r="C6" t="s">
        <v>728</v>
      </c>
      <c r="F6" t="s">
        <v>842</v>
      </c>
      <c r="I6" t="s">
        <v>913</v>
      </c>
    </row>
    <row r="7" spans="3:27" x14ac:dyDescent="0.25">
      <c r="C7" t="s">
        <v>1453</v>
      </c>
      <c r="F7" t="s">
        <v>843</v>
      </c>
      <c r="I7" t="s">
        <v>1123</v>
      </c>
    </row>
    <row r="8" spans="3:27" x14ac:dyDescent="0.25">
      <c r="C8" t="s">
        <v>20</v>
      </c>
      <c r="F8" t="s">
        <v>20</v>
      </c>
      <c r="I8" t="s">
        <v>910</v>
      </c>
    </row>
    <row r="9" spans="3:27" x14ac:dyDescent="0.25">
      <c r="C9" t="s">
        <v>845</v>
      </c>
      <c r="F9" t="s">
        <v>845</v>
      </c>
      <c r="I9" t="s">
        <v>912</v>
      </c>
    </row>
    <row r="10" spans="3:27" ht="15.75" x14ac:dyDescent="0.25">
      <c r="I10" t="s">
        <v>20</v>
      </c>
      <c r="O10" s="636" t="s">
        <v>2449</v>
      </c>
      <c r="P10" s="636"/>
      <c r="Q10" s="636"/>
      <c r="R10" s="636"/>
      <c r="S10" s="636"/>
      <c r="T10" s="636"/>
      <c r="U10" s="636" t="s">
        <v>3147</v>
      </c>
      <c r="V10" s="636"/>
      <c r="W10" s="636"/>
      <c r="X10" s="636"/>
      <c r="Y10" s="636"/>
      <c r="Z10" s="636"/>
    </row>
    <row r="11" spans="3:27" ht="15.75" thickBot="1" x14ac:dyDescent="0.3">
      <c r="O11" s="100"/>
      <c r="T11" s="102"/>
      <c r="U11" s="100"/>
      <c r="Z11" s="102"/>
    </row>
    <row r="12" spans="3:27" ht="15.75" thickBot="1" x14ac:dyDescent="0.3">
      <c r="O12" s="100"/>
      <c r="P12" s="255" t="s">
        <v>1173</v>
      </c>
      <c r="Q12" s="294" t="s">
        <v>3240</v>
      </c>
      <c r="T12" s="102"/>
      <c r="U12" s="100"/>
      <c r="V12" s="255" t="s">
        <v>1173</v>
      </c>
      <c r="W12" s="294" t="s">
        <v>3240</v>
      </c>
      <c r="Z12" s="102"/>
    </row>
    <row r="13" spans="3:27" x14ac:dyDescent="0.25">
      <c r="O13" s="100"/>
      <c r="P13" s="103" t="s">
        <v>1039</v>
      </c>
      <c r="Q13" s="103" t="s">
        <v>1164</v>
      </c>
      <c r="T13" s="102"/>
      <c r="U13" s="100"/>
      <c r="V13" s="103" t="s">
        <v>1039</v>
      </c>
      <c r="W13" s="103" t="s">
        <v>1164</v>
      </c>
      <c r="Z13" s="102"/>
    </row>
    <row r="14" spans="3:27" x14ac:dyDescent="0.25">
      <c r="O14" s="100"/>
      <c r="P14" s="104">
        <v>11573945</v>
      </c>
      <c r="Q14">
        <v>2</v>
      </c>
      <c r="T14" s="102"/>
      <c r="U14" s="100"/>
      <c r="V14" s="104">
        <v>300000</v>
      </c>
      <c r="W14">
        <v>2</v>
      </c>
      <c r="Z14" s="102"/>
    </row>
    <row r="15" spans="3:27" ht="15.75" thickBot="1" x14ac:dyDescent="0.3">
      <c r="O15" s="100"/>
      <c r="T15" s="102"/>
      <c r="U15" s="100"/>
      <c r="Z15" s="102"/>
    </row>
    <row r="16" spans="3:27" x14ac:dyDescent="0.25">
      <c r="O16" s="100"/>
      <c r="Q16" s="101" t="s">
        <v>1039</v>
      </c>
      <c r="R16" s="101" t="s">
        <v>1168</v>
      </c>
      <c r="S16" s="101" t="s">
        <v>1164</v>
      </c>
      <c r="T16" s="105" t="s">
        <v>1169</v>
      </c>
      <c r="U16" s="100"/>
      <c r="W16" s="101" t="s">
        <v>1039</v>
      </c>
      <c r="X16" s="101" t="s">
        <v>1168</v>
      </c>
      <c r="Y16" s="101" t="s">
        <v>1164</v>
      </c>
      <c r="Z16" s="105" t="s">
        <v>1169</v>
      </c>
      <c r="AA16" s="291" t="s">
        <v>3234</v>
      </c>
    </row>
    <row r="17" spans="15:27" x14ac:dyDescent="0.25">
      <c r="O17" s="100"/>
      <c r="P17">
        <v>1</v>
      </c>
      <c r="Q17" s="104">
        <f>IF(P14&gt;400000,400000,P14)</f>
        <v>400000</v>
      </c>
      <c r="R17" s="106">
        <v>2.5000000000000001E-3</v>
      </c>
      <c r="S17">
        <f>IF(Q14&gt;3,3,Q14)</f>
        <v>2</v>
      </c>
      <c r="T17" s="107">
        <f>IF((Q17*R17)&lt;1000,1000,(Q17*R17))</f>
        <v>1000</v>
      </c>
      <c r="U17" s="100"/>
      <c r="V17">
        <v>1</v>
      </c>
      <c r="W17" s="104">
        <f>V14</f>
        <v>300000</v>
      </c>
      <c r="X17" s="106">
        <v>5.0000000000000001E-3</v>
      </c>
      <c r="Y17">
        <f>IF(W14&gt;3,3,W14)</f>
        <v>2</v>
      </c>
      <c r="Z17" s="107">
        <f>IF((W17*X17*Y17/12)&lt;=1250,ROUNDUP(W17*X17*Y17/12,0),1250)</f>
        <v>250</v>
      </c>
      <c r="AA17" s="292"/>
    </row>
    <row r="18" spans="15:27" x14ac:dyDescent="0.25">
      <c r="O18" s="100"/>
      <c r="P18">
        <v>2</v>
      </c>
      <c r="Q18" s="8">
        <f>IF(P14&gt;40000,P14-Q17,0)</f>
        <v>11173945</v>
      </c>
      <c r="R18" s="108">
        <v>1.25E-3</v>
      </c>
      <c r="S18">
        <f>IF(Q14&gt;3,3,Q14)</f>
        <v>2</v>
      </c>
      <c r="T18" s="107">
        <f>(Q18*R18)</f>
        <v>13967.43125</v>
      </c>
      <c r="U18" s="100"/>
      <c r="Y18" t="s">
        <v>1175</v>
      </c>
      <c r="Z18" s="107">
        <f>SUM(Z17:Z17)</f>
        <v>250</v>
      </c>
      <c r="AA18" s="292"/>
    </row>
    <row r="19" spans="15:27" x14ac:dyDescent="0.25">
      <c r="O19" s="100"/>
      <c r="P19">
        <v>3</v>
      </c>
      <c r="Q19" s="104">
        <f>IF(Q14&gt;3,P14,0)</f>
        <v>0</v>
      </c>
      <c r="R19" s="109">
        <v>6.2500000000000001E-4</v>
      </c>
      <c r="S19">
        <f>Q14</f>
        <v>2</v>
      </c>
      <c r="T19" s="107">
        <f>Q19*R19*S19</f>
        <v>0</v>
      </c>
      <c r="U19" s="100"/>
      <c r="Y19" t="s">
        <v>3201</v>
      </c>
      <c r="Z19" s="107">
        <v>0</v>
      </c>
      <c r="AA19" s="292"/>
    </row>
    <row r="20" spans="15:27" x14ac:dyDescent="0.25">
      <c r="O20" s="100"/>
      <c r="S20" t="s">
        <v>1175</v>
      </c>
      <c r="T20" s="107">
        <f>SUM(T17:T19)</f>
        <v>14967.43125</v>
      </c>
      <c r="U20" s="100"/>
      <c r="Y20" t="s">
        <v>3200</v>
      </c>
      <c r="Z20" s="107" t="s">
        <v>3239</v>
      </c>
      <c r="AA20" s="292"/>
    </row>
    <row r="21" spans="15:27" ht="15.75" thickBot="1" x14ac:dyDescent="0.3">
      <c r="O21" s="100"/>
      <c r="S21" t="s">
        <v>1176</v>
      </c>
      <c r="T21" s="107">
        <v>700</v>
      </c>
      <c r="U21" s="100"/>
      <c r="Y21" t="s">
        <v>3234</v>
      </c>
      <c r="Z21" s="290" t="s">
        <v>3238</v>
      </c>
      <c r="AA21" s="292">
        <v>457.5</v>
      </c>
    </row>
    <row r="22" spans="15:27" ht="15.75" thickBot="1" x14ac:dyDescent="0.3">
      <c r="O22" s="100"/>
      <c r="S22" t="s">
        <v>1174</v>
      </c>
      <c r="T22" s="107">
        <f>(T20+T21)*15%</f>
        <v>2350.1146874999999</v>
      </c>
      <c r="U22" s="100"/>
      <c r="Y22" s="101" t="s">
        <v>1174</v>
      </c>
      <c r="Z22" s="289">
        <f>SUM(Z18:Z20)*0.15</f>
        <v>37.5</v>
      </c>
      <c r="AA22" s="292"/>
    </row>
    <row r="23" spans="15:27" ht="15.75" thickBot="1" x14ac:dyDescent="0.3">
      <c r="O23" s="100"/>
      <c r="T23" s="183">
        <f>T20+T22</f>
        <v>17317.545937499999</v>
      </c>
      <c r="U23" s="111"/>
      <c r="V23" s="111"/>
      <c r="W23" s="111"/>
      <c r="X23" s="111"/>
      <c r="Y23" s="111" t="s">
        <v>1175</v>
      </c>
      <c r="Z23" s="289">
        <f>SUM(Z18:Z22)</f>
        <v>287.5</v>
      </c>
      <c r="AA23" s="293"/>
    </row>
    <row r="24" spans="15:27" x14ac:dyDescent="0.25">
      <c r="O24" s="100"/>
      <c r="S24" t="s">
        <v>1176</v>
      </c>
      <c r="T24" s="107">
        <v>700</v>
      </c>
      <c r="U24" s="100"/>
    </row>
    <row r="25" spans="15:27" ht="15.75" thickBot="1" x14ac:dyDescent="0.3">
      <c r="O25" s="110"/>
      <c r="P25" s="111"/>
      <c r="Q25" s="111"/>
      <c r="R25" s="111"/>
      <c r="S25" s="111"/>
      <c r="T25" s="282">
        <f>T23+T24</f>
        <v>18017.545937499999</v>
      </c>
    </row>
    <row r="26" spans="15:27" ht="15.75" thickBot="1" x14ac:dyDescent="0.3">
      <c r="O26" s="349"/>
      <c r="P26" s="350"/>
      <c r="Q26" s="366" t="s">
        <v>3895</v>
      </c>
      <c r="R26" s="350"/>
      <c r="S26" s="350"/>
      <c r="T26" s="351"/>
      <c r="U26" s="100"/>
      <c r="Z26" s="102"/>
    </row>
    <row r="27" spans="15:27" ht="15.75" thickBot="1" x14ac:dyDescent="0.3">
      <c r="O27" s="352"/>
      <c r="P27" s="353" t="s">
        <v>1179</v>
      </c>
      <c r="Q27" s="354"/>
      <c r="R27" s="354"/>
      <c r="S27" s="354"/>
      <c r="T27" s="355"/>
      <c r="U27" s="100"/>
      <c r="V27" s="255" t="s">
        <v>3235</v>
      </c>
      <c r="W27" s="294" t="s">
        <v>3240</v>
      </c>
      <c r="Z27" s="102"/>
    </row>
    <row r="28" spans="15:27" x14ac:dyDescent="0.25">
      <c r="O28" s="352"/>
      <c r="P28" s="356" t="s">
        <v>1039</v>
      </c>
      <c r="Q28" s="356" t="s">
        <v>1164</v>
      </c>
      <c r="R28" s="354"/>
      <c r="S28" s="354"/>
      <c r="T28" s="355"/>
      <c r="U28" s="100"/>
      <c r="V28" s="103" t="s">
        <v>1039</v>
      </c>
      <c r="W28" s="103" t="s">
        <v>1164</v>
      </c>
      <c r="Z28" s="102"/>
    </row>
    <row r="29" spans="15:27" x14ac:dyDescent="0.25">
      <c r="O29" s="352"/>
      <c r="P29" s="357">
        <v>500000</v>
      </c>
      <c r="Q29" s="354">
        <v>3</v>
      </c>
      <c r="R29" s="358">
        <f>P29*0.5%</f>
        <v>2500</v>
      </c>
      <c r="S29" s="354"/>
      <c r="T29" s="355"/>
      <c r="U29" s="100"/>
      <c r="V29" s="104">
        <v>300000</v>
      </c>
      <c r="W29">
        <v>2</v>
      </c>
      <c r="Z29" s="102"/>
    </row>
    <row r="30" spans="15:27" ht="15.75" thickBot="1" x14ac:dyDescent="0.3">
      <c r="O30" s="352"/>
      <c r="P30" s="354"/>
      <c r="Q30" s="354"/>
      <c r="R30" s="354"/>
      <c r="S30" s="354"/>
      <c r="T30" s="355"/>
      <c r="U30" s="100"/>
      <c r="Z30" s="102"/>
    </row>
    <row r="31" spans="15:27" x14ac:dyDescent="0.25">
      <c r="O31" s="352"/>
      <c r="P31" s="354"/>
      <c r="Q31" s="359" t="s">
        <v>1039</v>
      </c>
      <c r="R31" s="359" t="s">
        <v>1168</v>
      </c>
      <c r="S31" s="359" t="s">
        <v>1164</v>
      </c>
      <c r="T31" s="360" t="s">
        <v>1169</v>
      </c>
      <c r="U31" s="100"/>
      <c r="W31" s="101" t="s">
        <v>1039</v>
      </c>
      <c r="X31" s="101" t="s">
        <v>1168</v>
      </c>
      <c r="Y31" s="101" t="s">
        <v>1164</v>
      </c>
      <c r="Z31" s="105" t="s">
        <v>1169</v>
      </c>
      <c r="AA31" s="291" t="s">
        <v>3234</v>
      </c>
    </row>
    <row r="32" spans="15:27" x14ac:dyDescent="0.25">
      <c r="O32" s="352"/>
      <c r="P32" s="354">
        <v>1</v>
      </c>
      <c r="Q32" s="357">
        <f>P29</f>
        <v>500000</v>
      </c>
      <c r="R32" s="361">
        <v>5.0000000000000001E-3</v>
      </c>
      <c r="S32" s="354">
        <f>IF(Q29&gt;3,3,Q29)</f>
        <v>3</v>
      </c>
      <c r="T32" s="362">
        <f>(Q32*R32)</f>
        <v>2500</v>
      </c>
      <c r="U32" s="100"/>
      <c r="V32">
        <v>1</v>
      </c>
      <c r="W32" s="104">
        <f>V29</f>
        <v>300000</v>
      </c>
      <c r="X32" s="106">
        <v>5.0000000000000001E-3</v>
      </c>
      <c r="Y32">
        <f>IF(W29&gt;3,3,W29)</f>
        <v>2</v>
      </c>
      <c r="Z32" s="107">
        <f>IF((W32*X32*Y32/12)&lt;=1250,ROUNDUP(W32*X32*Y32/12,0),250)</f>
        <v>250</v>
      </c>
      <c r="AA32" s="292"/>
    </row>
    <row r="33" spans="3:27" x14ac:dyDescent="0.25">
      <c r="O33" s="352"/>
      <c r="P33" s="354"/>
      <c r="Q33" s="354"/>
      <c r="R33" s="354"/>
      <c r="S33" s="354" t="s">
        <v>1175</v>
      </c>
      <c r="T33" s="362">
        <f>SUM(T32:T32)</f>
        <v>2500</v>
      </c>
      <c r="U33" s="100"/>
      <c r="Y33" t="s">
        <v>1175</v>
      </c>
      <c r="Z33" s="107">
        <f>SUM(Z32:Z32)</f>
        <v>250</v>
      </c>
      <c r="AA33" s="292"/>
    </row>
    <row r="34" spans="3:27" x14ac:dyDescent="0.25">
      <c r="O34" s="352"/>
      <c r="P34" s="354"/>
      <c r="Q34" s="354" t="s">
        <v>1180</v>
      </c>
      <c r="R34" s="354"/>
      <c r="S34" s="354" t="s">
        <v>1176</v>
      </c>
      <c r="T34" s="362">
        <v>200</v>
      </c>
      <c r="U34" s="100"/>
      <c r="Y34" t="s">
        <v>3201</v>
      </c>
      <c r="Z34" s="107">
        <v>100</v>
      </c>
      <c r="AA34" s="292"/>
    </row>
    <row r="35" spans="3:27" x14ac:dyDescent="0.25">
      <c r="O35" s="352"/>
      <c r="P35" s="354"/>
      <c r="Q35" s="354"/>
      <c r="R35" s="354"/>
      <c r="S35" s="354" t="s">
        <v>1174</v>
      </c>
      <c r="T35" s="362">
        <f>(T33+T34)*15%</f>
        <v>405</v>
      </c>
      <c r="U35" s="100"/>
      <c r="Y35" t="s">
        <v>3200</v>
      </c>
      <c r="Z35" s="107">
        <v>200</v>
      </c>
      <c r="AA35" s="292"/>
    </row>
    <row r="36" spans="3:27" ht="15.75" thickBot="1" x14ac:dyDescent="0.3">
      <c r="O36" s="352"/>
      <c r="P36" s="354"/>
      <c r="Q36" s="354"/>
      <c r="R36" s="354"/>
      <c r="S36" s="354"/>
      <c r="T36" s="362">
        <f>T33+T35</f>
        <v>2905</v>
      </c>
      <c r="U36" s="100"/>
      <c r="Y36" t="s">
        <v>3234</v>
      </c>
      <c r="Z36" s="290" t="s">
        <v>3238</v>
      </c>
      <c r="AA36" s="292">
        <v>550</v>
      </c>
    </row>
    <row r="37" spans="3:27" ht="15.75" thickBot="1" x14ac:dyDescent="0.3">
      <c r="C37" s="370"/>
      <c r="O37" s="363"/>
      <c r="P37" s="364"/>
      <c r="Q37" s="364"/>
      <c r="R37" s="364"/>
      <c r="S37" s="364" t="s">
        <v>1177</v>
      </c>
      <c r="T37" s="365">
        <f>T36+T34</f>
        <v>3105</v>
      </c>
      <c r="U37" s="100"/>
      <c r="Y37" s="101" t="s">
        <v>1174</v>
      </c>
      <c r="Z37" s="289">
        <f>SUM(Z33:Z35)*0.15</f>
        <v>82.5</v>
      </c>
      <c r="AA37" s="292"/>
    </row>
    <row r="38" spans="3:27" ht="15.75" thickBot="1" x14ac:dyDescent="0.3">
      <c r="O38" s="100"/>
      <c r="T38" s="102"/>
      <c r="U38" s="100"/>
      <c r="V38" s="111"/>
      <c r="W38" s="111"/>
      <c r="X38" s="111"/>
      <c r="Y38" s="111" t="s">
        <v>1175</v>
      </c>
      <c r="Z38" s="289">
        <f>SUM(Z33:Z37)</f>
        <v>632.5</v>
      </c>
      <c r="AA38" s="293"/>
    </row>
    <row r="39" spans="3:27" x14ac:dyDescent="0.25">
      <c r="C39" s="106"/>
      <c r="O39" s="100"/>
      <c r="P39" s="256" t="s">
        <v>2452</v>
      </c>
      <c r="T39" s="102"/>
    </row>
    <row r="40" spans="3:27" ht="15.75" thickBot="1" x14ac:dyDescent="0.3">
      <c r="C40" s="314"/>
      <c r="E40" s="314"/>
      <c r="O40" s="100"/>
      <c r="P40" s="257" t="s">
        <v>1039</v>
      </c>
      <c r="Q40" s="257" t="s">
        <v>1164</v>
      </c>
      <c r="T40" s="102"/>
    </row>
    <row r="41" spans="3:27" ht="15.75" thickBot="1" x14ac:dyDescent="0.3">
      <c r="O41" s="100"/>
      <c r="P41" s="13">
        <v>100000000</v>
      </c>
      <c r="Q41" s="181">
        <v>12</v>
      </c>
      <c r="T41" s="102"/>
      <c r="V41" s="95"/>
      <c r="W41" s="95"/>
      <c r="X41" s="95"/>
      <c r="Y41" s="95"/>
      <c r="Z41" s="99"/>
    </row>
    <row r="42" spans="3:27" ht="15.75" thickBot="1" x14ac:dyDescent="0.3">
      <c r="O42" s="100"/>
      <c r="T42" s="102"/>
      <c r="V42" s="256" t="s">
        <v>2451</v>
      </c>
      <c r="Z42" s="102"/>
    </row>
    <row r="43" spans="3:27" x14ac:dyDescent="0.25">
      <c r="O43" s="100"/>
      <c r="Q43" s="101" t="s">
        <v>1039</v>
      </c>
      <c r="R43" s="101" t="s">
        <v>1168</v>
      </c>
      <c r="S43" s="101" t="s">
        <v>1164</v>
      </c>
      <c r="T43" s="105" t="s">
        <v>1169</v>
      </c>
      <c r="U43" s="98"/>
      <c r="V43" s="257" t="s">
        <v>1039</v>
      </c>
      <c r="W43" s="257" t="s">
        <v>1164</v>
      </c>
      <c r="Z43" s="102"/>
    </row>
    <row r="44" spans="3:27" x14ac:dyDescent="0.25">
      <c r="O44" s="100"/>
      <c r="P44">
        <v>1</v>
      </c>
      <c r="Q44" s="104">
        <f>IF(P41&gt;400000,400000,P41)</f>
        <v>400000</v>
      </c>
      <c r="R44" s="106">
        <v>2.5000000000000001E-3</v>
      </c>
      <c r="S44">
        <f>IF(Q41&gt;3,3,Q41)</f>
        <v>3</v>
      </c>
      <c r="T44" s="107">
        <f>IF((Q44*R44)&lt;1000,1000,(Q44*R44))</f>
        <v>1000</v>
      </c>
      <c r="U44" s="100"/>
      <c r="V44" s="13">
        <v>100000000</v>
      </c>
      <c r="W44" s="181">
        <v>12</v>
      </c>
      <c r="Z44" s="102"/>
    </row>
    <row r="45" spans="3:27" x14ac:dyDescent="0.25">
      <c r="O45" s="100"/>
      <c r="P45">
        <v>2</v>
      </c>
      <c r="Q45" s="8">
        <f>IF(P41&gt;40000,P41-Q44,0)</f>
        <v>99600000</v>
      </c>
      <c r="R45" s="108">
        <f>R44/2</f>
        <v>1.25E-3</v>
      </c>
      <c r="S45">
        <f>IF(Q41&gt;3,3,Q41)</f>
        <v>3</v>
      </c>
      <c r="T45" s="107">
        <f>(Q45*R45)</f>
        <v>124500</v>
      </c>
      <c r="U45" s="100"/>
      <c r="Z45" s="102"/>
    </row>
    <row r="46" spans="3:27" x14ac:dyDescent="0.25">
      <c r="O46" s="100"/>
      <c r="P46">
        <v>3</v>
      </c>
      <c r="Q46" s="104">
        <f>IF(Q41&gt;3,P41,0)</f>
        <v>100000000</v>
      </c>
      <c r="R46" s="109">
        <f>R45/2</f>
        <v>6.2500000000000001E-4</v>
      </c>
      <c r="S46">
        <f>Q41</f>
        <v>12</v>
      </c>
      <c r="T46" s="107">
        <f>Q46*R46*S46</f>
        <v>750000</v>
      </c>
      <c r="U46" s="100"/>
      <c r="W46" s="101" t="s">
        <v>1039</v>
      </c>
      <c r="X46" s="101" t="s">
        <v>1168</v>
      </c>
      <c r="Y46" s="101" t="s">
        <v>1164</v>
      </c>
      <c r="Z46" s="105" t="s">
        <v>1169</v>
      </c>
    </row>
    <row r="47" spans="3:27" x14ac:dyDescent="0.25">
      <c r="C47" s="367"/>
      <c r="D47" s="367"/>
      <c r="O47" s="100"/>
      <c r="S47" t="s">
        <v>1175</v>
      </c>
      <c r="T47" s="107">
        <f>SUM(T44:T46)</f>
        <v>875500</v>
      </c>
      <c r="U47" s="100"/>
      <c r="V47">
        <v>1</v>
      </c>
      <c r="W47" s="104">
        <v>100000000</v>
      </c>
      <c r="X47" s="106">
        <v>7.4999999999999997E-3</v>
      </c>
      <c r="Y47">
        <f>W44</f>
        <v>12</v>
      </c>
      <c r="Z47" s="107">
        <f>IF((W47*X47)&lt;1250,1250,(W47*X47))</f>
        <v>750000</v>
      </c>
    </row>
    <row r="48" spans="3:27" x14ac:dyDescent="0.25">
      <c r="O48" s="100"/>
      <c r="S48" t="s">
        <v>1174</v>
      </c>
      <c r="T48" s="107">
        <f>T47*15%</f>
        <v>131325</v>
      </c>
      <c r="U48" s="100"/>
      <c r="W48" s="8"/>
      <c r="X48" s="108"/>
      <c r="Z48" s="107"/>
    </row>
    <row r="49" spans="3:26" x14ac:dyDescent="0.25">
      <c r="C49" s="314"/>
      <c r="O49" s="100"/>
      <c r="T49" s="183">
        <f>T47+T48</f>
        <v>1006825</v>
      </c>
      <c r="U49" s="100"/>
      <c r="W49" s="104"/>
      <c r="X49" s="109"/>
      <c r="Z49" s="107"/>
    </row>
    <row r="50" spans="3:26" x14ac:dyDescent="0.25">
      <c r="O50" s="100"/>
      <c r="S50" t="s">
        <v>1176</v>
      </c>
      <c r="T50" s="107"/>
      <c r="U50" s="100"/>
      <c r="Y50" t="s">
        <v>1175</v>
      </c>
      <c r="Z50" s="107">
        <f>SUM(Z47:Z49)</f>
        <v>750000</v>
      </c>
    </row>
    <row r="51" spans="3:26" ht="15.75" thickBot="1" x14ac:dyDescent="0.3">
      <c r="O51" s="110"/>
      <c r="P51" s="111"/>
      <c r="Q51" s="111"/>
      <c r="R51" s="111"/>
      <c r="S51" s="111"/>
      <c r="T51" s="112"/>
      <c r="U51" s="100"/>
      <c r="Y51" t="s">
        <v>1174</v>
      </c>
      <c r="Z51" s="107">
        <f>Z50*15%</f>
        <v>112500</v>
      </c>
    </row>
    <row r="52" spans="3:26" ht="15.75" thickBot="1" x14ac:dyDescent="0.3">
      <c r="O52" s="100"/>
      <c r="T52" s="102"/>
      <c r="U52" s="100"/>
      <c r="Z52" s="183">
        <f>Z50+Z51</f>
        <v>862500</v>
      </c>
    </row>
    <row r="53" spans="3:26" x14ac:dyDescent="0.25">
      <c r="O53" s="100"/>
      <c r="P53" s="256" t="s">
        <v>2450</v>
      </c>
      <c r="T53" s="102"/>
      <c r="U53" s="100"/>
      <c r="Y53" t="s">
        <v>1176</v>
      </c>
      <c r="Z53" s="107"/>
    </row>
    <row r="54" spans="3:26" ht="15.75" thickBot="1" x14ac:dyDescent="0.3">
      <c r="O54" s="100"/>
      <c r="P54" s="257" t="s">
        <v>1039</v>
      </c>
      <c r="Q54" s="257" t="s">
        <v>1164</v>
      </c>
      <c r="T54" s="102"/>
      <c r="U54" s="100"/>
      <c r="V54" s="111"/>
      <c r="W54" s="111"/>
      <c r="X54" s="111"/>
      <c r="Y54" s="111"/>
      <c r="Z54" s="112"/>
    </row>
    <row r="55" spans="3:26" ht="15.75" thickBot="1" x14ac:dyDescent="0.3">
      <c r="O55" s="100"/>
      <c r="P55" s="13">
        <v>100000000</v>
      </c>
      <c r="Q55" s="181">
        <v>12</v>
      </c>
      <c r="T55" s="102"/>
      <c r="U55" s="100"/>
      <c r="V55" s="95"/>
      <c r="W55" s="95"/>
      <c r="X55" s="95"/>
      <c r="Y55" s="95"/>
      <c r="Z55" s="99"/>
    </row>
    <row r="56" spans="3:26" ht="15.75" thickBot="1" x14ac:dyDescent="0.3">
      <c r="O56" s="100"/>
      <c r="T56" s="102"/>
      <c r="U56" s="110"/>
      <c r="V56" s="256" t="s">
        <v>3202</v>
      </c>
      <c r="Z56" s="102"/>
    </row>
    <row r="57" spans="3:26" x14ac:dyDescent="0.25">
      <c r="O57" s="100"/>
      <c r="Q57" s="101" t="s">
        <v>1039</v>
      </c>
      <c r="R57" s="101" t="s">
        <v>1168</v>
      </c>
      <c r="S57" s="101" t="s">
        <v>1164</v>
      </c>
      <c r="T57" s="105" t="s">
        <v>1169</v>
      </c>
      <c r="U57" s="98"/>
      <c r="V57" s="257" t="s">
        <v>1039</v>
      </c>
      <c r="W57" s="257" t="s">
        <v>1164</v>
      </c>
      <c r="Z57" s="102"/>
    </row>
    <row r="58" spans="3:26" x14ac:dyDescent="0.25">
      <c r="O58" s="100"/>
      <c r="P58">
        <v>1</v>
      </c>
      <c r="Q58" s="104">
        <f>IF(P55&gt;400000,400000,P55)</f>
        <v>400000</v>
      </c>
      <c r="R58" s="106">
        <v>7.4999999999999997E-3</v>
      </c>
      <c r="S58">
        <f>IF(Q55&gt;3,3,Q55)</f>
        <v>3</v>
      </c>
      <c r="T58" s="107">
        <f>IF((Q58*R58)&lt;1000,1000,(Q58*R58))</f>
        <v>3000</v>
      </c>
      <c r="U58" s="100"/>
      <c r="V58" s="13">
        <v>15003.16</v>
      </c>
      <c r="W58" s="181">
        <v>3</v>
      </c>
      <c r="Z58" s="102"/>
    </row>
    <row r="59" spans="3:26" x14ac:dyDescent="0.25">
      <c r="O59" s="100"/>
      <c r="P59">
        <v>2</v>
      </c>
      <c r="Q59" s="8">
        <f>IF(P55&gt;40000,P55-Q58,0)</f>
        <v>99600000</v>
      </c>
      <c r="R59" s="108">
        <f>R58/2</f>
        <v>3.7499999999999999E-3</v>
      </c>
      <c r="S59">
        <f>IF(Q55&gt;3,3,Q55)</f>
        <v>3</v>
      </c>
      <c r="T59" s="107">
        <f>(Q59*R59)</f>
        <v>373500</v>
      </c>
      <c r="U59" s="100"/>
      <c r="Z59" s="102"/>
    </row>
    <row r="60" spans="3:26" x14ac:dyDescent="0.25">
      <c r="O60" s="100"/>
      <c r="P60">
        <v>3</v>
      </c>
      <c r="Q60" s="104">
        <f>IF(Q55&gt;3,P55,0)</f>
        <v>100000000</v>
      </c>
      <c r="R60" s="109">
        <f>R59/2</f>
        <v>1.8749999999999999E-3</v>
      </c>
      <c r="S60">
        <f>Q55</f>
        <v>12</v>
      </c>
      <c r="T60" s="107">
        <f>Q60*R60*S60</f>
        <v>2250000</v>
      </c>
      <c r="U60" s="100"/>
      <c r="W60" s="101" t="s">
        <v>1039</v>
      </c>
      <c r="X60" s="101" t="s">
        <v>1168</v>
      </c>
      <c r="Y60" s="101" t="s">
        <v>1164</v>
      </c>
      <c r="Z60" s="105" t="s">
        <v>1169</v>
      </c>
    </row>
    <row r="61" spans="3:26" x14ac:dyDescent="0.25">
      <c r="O61" s="100"/>
      <c r="S61" t="s">
        <v>1175</v>
      </c>
      <c r="T61" s="107">
        <f>SUM(T58:T60)</f>
        <v>2626500</v>
      </c>
      <c r="U61" s="100"/>
      <c r="V61">
        <v>1</v>
      </c>
      <c r="W61" s="104">
        <v>100000000</v>
      </c>
      <c r="X61" s="106">
        <v>1.4999999999999999E-2</v>
      </c>
      <c r="Y61">
        <f>W58</f>
        <v>3</v>
      </c>
      <c r="Z61" s="107">
        <f>IF((W61*X61)&lt;1250,1250,(W61*X61))</f>
        <v>1500000</v>
      </c>
    </row>
    <row r="62" spans="3:26" x14ac:dyDescent="0.25">
      <c r="O62" s="100"/>
      <c r="S62" t="s">
        <v>1174</v>
      </c>
      <c r="T62" s="107">
        <f>T61*15%</f>
        <v>393975</v>
      </c>
      <c r="U62" s="100"/>
      <c r="W62" s="8"/>
      <c r="X62" s="108"/>
      <c r="Z62" s="107"/>
    </row>
    <row r="63" spans="3:26" x14ac:dyDescent="0.25">
      <c r="O63" s="100"/>
      <c r="T63" s="183">
        <f>T61+T62</f>
        <v>3020475</v>
      </c>
      <c r="U63" s="100"/>
      <c r="W63" s="104"/>
      <c r="X63" s="109"/>
      <c r="Z63" s="107"/>
    </row>
    <row r="64" spans="3:26" x14ac:dyDescent="0.25">
      <c r="O64" s="100"/>
      <c r="S64" t="s">
        <v>1176</v>
      </c>
      <c r="T64" s="107"/>
      <c r="U64" s="100"/>
      <c r="Y64" t="s">
        <v>1175</v>
      </c>
      <c r="Z64" s="107">
        <f>SUM(Z61:Z63)</f>
        <v>1500000</v>
      </c>
    </row>
    <row r="65" spans="1:26" ht="15.75" thickBot="1" x14ac:dyDescent="0.3">
      <c r="O65" s="110"/>
      <c r="P65" s="111"/>
      <c r="Q65" s="111"/>
      <c r="R65" s="111"/>
      <c r="S65" s="111"/>
      <c r="T65" s="112"/>
      <c r="U65" s="100"/>
      <c r="Y65" t="s">
        <v>1174</v>
      </c>
      <c r="Z65" s="107">
        <f>Z64*15%</f>
        <v>225000</v>
      </c>
    </row>
    <row r="66" spans="1:26" x14ac:dyDescent="0.25">
      <c r="U66" s="100"/>
      <c r="Z66" s="183">
        <f>Z64+Z65</f>
        <v>1725000</v>
      </c>
    </row>
    <row r="67" spans="1:26" x14ac:dyDescent="0.25">
      <c r="U67" s="100"/>
      <c r="Y67" t="s">
        <v>1176</v>
      </c>
      <c r="Z67" s="107"/>
    </row>
    <row r="68" spans="1:26" ht="15.75" thickBot="1" x14ac:dyDescent="0.3">
      <c r="U68" s="100"/>
      <c r="V68" s="111"/>
      <c r="W68" s="111"/>
      <c r="X68" s="111"/>
      <c r="Y68" s="111"/>
      <c r="Z68" s="112"/>
    </row>
    <row r="69" spans="1:26" x14ac:dyDescent="0.25">
      <c r="U69" s="100"/>
    </row>
    <row r="70" spans="1:26" ht="15.75" thickBot="1" x14ac:dyDescent="0.3">
      <c r="U70" s="110"/>
    </row>
    <row r="71" spans="1:26" x14ac:dyDescent="0.25">
      <c r="B71" t="s">
        <v>612</v>
      </c>
      <c r="C71" t="s">
        <v>21</v>
      </c>
      <c r="D71" t="s">
        <v>366</v>
      </c>
      <c r="E71" t="s">
        <v>1073</v>
      </c>
      <c r="F71" t="s">
        <v>95</v>
      </c>
    </row>
    <row r="72" spans="1:26" x14ac:dyDescent="0.25">
      <c r="A72" t="s">
        <v>3201</v>
      </c>
      <c r="B72">
        <v>100</v>
      </c>
      <c r="C72">
        <v>0</v>
      </c>
    </row>
    <row r="73" spans="1:26" x14ac:dyDescent="0.25">
      <c r="A73" t="s">
        <v>3199</v>
      </c>
      <c r="B73" t="s">
        <v>3233</v>
      </c>
      <c r="C73" t="s">
        <v>3236</v>
      </c>
    </row>
    <row r="74" spans="1:26" x14ac:dyDescent="0.25">
      <c r="A74" t="s">
        <v>3200</v>
      </c>
      <c r="B74">
        <v>200</v>
      </c>
      <c r="C74" t="s">
        <v>3237</v>
      </c>
    </row>
    <row r="75" spans="1:26" x14ac:dyDescent="0.25">
      <c r="A75" t="s">
        <v>3234</v>
      </c>
      <c r="B75">
        <v>550</v>
      </c>
      <c r="C75">
        <v>457.5</v>
      </c>
    </row>
    <row r="76" spans="1:26" x14ac:dyDescent="0.25">
      <c r="A76" t="s">
        <v>2616</v>
      </c>
    </row>
  </sheetData>
  <mergeCells count="2">
    <mergeCell ref="O10:T10"/>
    <mergeCell ref="U10:Z10"/>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25F97-75D4-48AE-B88D-C027EC13FFF2}">
  <sheetPr codeName="Sheet12">
    <tabColor rgb="FF0070C0"/>
  </sheetPr>
  <dimension ref="A1:R2929"/>
  <sheetViews>
    <sheetView showGridLines="0" workbookViewId="0">
      <selection activeCell="D32" sqref="D32"/>
    </sheetView>
  </sheetViews>
  <sheetFormatPr defaultRowHeight="15" x14ac:dyDescent="0.25"/>
  <cols>
    <col min="1" max="1" width="7.42578125" customWidth="1"/>
    <col min="2" max="2" width="17.85546875" customWidth="1"/>
    <col min="3" max="3" width="16.140625" bestFit="1" customWidth="1"/>
    <col min="4" max="4" width="107.5703125" customWidth="1"/>
    <col min="5" max="5" width="15.42578125" bestFit="1" customWidth="1"/>
    <col min="6" max="6" width="19.42578125" bestFit="1" customWidth="1"/>
    <col min="7" max="7" width="6.85546875" customWidth="1"/>
    <col min="8" max="8" width="14.28515625" bestFit="1" customWidth="1"/>
    <col min="9" max="9" width="13.28515625" bestFit="1" customWidth="1"/>
    <col min="10" max="10" width="14.85546875" customWidth="1"/>
    <col min="11" max="11" width="10.42578125" bestFit="1" customWidth="1"/>
    <col min="12" max="12" width="52.5703125" customWidth="1"/>
    <col min="13" max="13" width="14.28515625" customWidth="1"/>
    <col min="14" max="14" width="16.42578125" customWidth="1"/>
    <col min="15" max="17" width="10.140625" customWidth="1"/>
    <col min="18" max="18" width="24.42578125" bestFit="1" customWidth="1"/>
  </cols>
  <sheetData>
    <row r="1" spans="1:18" ht="28.5" customHeight="1" x14ac:dyDescent="0.25"/>
    <row r="2" spans="1:18" ht="28.5" customHeight="1" x14ac:dyDescent="0.25"/>
    <row r="3" spans="1:18" ht="28.5" customHeight="1" x14ac:dyDescent="0.25"/>
    <row r="4" spans="1:18" x14ac:dyDescent="0.25">
      <c r="A4" s="252" t="s">
        <v>850</v>
      </c>
      <c r="B4" s="252" t="s">
        <v>1945</v>
      </c>
      <c r="C4" s="252" t="s">
        <v>1946</v>
      </c>
      <c r="D4" s="252" t="s">
        <v>1947</v>
      </c>
      <c r="E4" s="252" t="s">
        <v>0</v>
      </c>
      <c r="F4" s="252" t="s">
        <v>1948</v>
      </c>
      <c r="G4" s="252" t="s">
        <v>7</v>
      </c>
      <c r="H4" s="252" t="s">
        <v>1949</v>
      </c>
      <c r="I4" s="252" t="s">
        <v>27</v>
      </c>
      <c r="J4" s="252" t="s">
        <v>1950</v>
      </c>
      <c r="K4" s="252" t="s">
        <v>2</v>
      </c>
      <c r="L4" s="252" t="s">
        <v>4</v>
      </c>
      <c r="M4" s="252" t="s">
        <v>5</v>
      </c>
      <c r="N4" s="252" t="s">
        <v>6</v>
      </c>
      <c r="O4" s="252" t="s">
        <v>846</v>
      </c>
      <c r="P4" s="252" t="s">
        <v>1226</v>
      </c>
      <c r="Q4" s="252" t="s">
        <v>1212</v>
      </c>
      <c r="R4" s="252" t="s">
        <v>17</v>
      </c>
    </row>
    <row r="5" spans="1:18" hidden="1" x14ac:dyDescent="0.25">
      <c r="A5" s="1" t="s">
        <v>62</v>
      </c>
      <c r="B5" s="178">
        <v>45937</v>
      </c>
      <c r="C5" s="1" t="s">
        <v>2039</v>
      </c>
      <c r="D5" s="1" t="s">
        <v>2040</v>
      </c>
      <c r="E5" s="1" t="s">
        <v>321</v>
      </c>
      <c r="F5" s="1" t="s">
        <v>321</v>
      </c>
      <c r="G5" s="1" t="s">
        <v>26</v>
      </c>
      <c r="H5" s="13">
        <v>1494</v>
      </c>
      <c r="I5" s="13">
        <v>0</v>
      </c>
      <c r="J5" s="1" t="s">
        <v>2041</v>
      </c>
      <c r="K5" s="1" t="s">
        <v>2025</v>
      </c>
      <c r="L5" s="447" t="str">
        <f>VLOOKUP(Advices[[#This Row],[LC Number]],'Combine_List'!A:D,2,0)</f>
        <v>Visio INC</v>
      </c>
      <c r="M5" s="447" t="str">
        <f>VLOOKUP(Advices[[#This Row],[LC Number]],'Combine_List'!A:D,3,0)</f>
        <v>MBL</v>
      </c>
      <c r="N5" s="447" t="str">
        <f>VLOOKUP(Advices[[#This Row],[LC Number]],'Combine_List'!A:D,4,0)</f>
        <v>L01-YAMMAMA</v>
      </c>
      <c r="O5" s="447">
        <f>VLOOKUP(Advices[[#This Row],[LC Number]],'Combine_List'!A:E,5,0)</f>
        <v>1020015</v>
      </c>
      <c r="P5" s="536">
        <f>MONTH(Advices[[#This Row],[Transaction Date]])</f>
        <v>10</v>
      </c>
      <c r="Q5" s="536">
        <f>YEAR(Advices[[#This Row],[Transaction Date]])</f>
        <v>2025</v>
      </c>
      <c r="R5" s="308"/>
    </row>
    <row r="6" spans="1:18" hidden="1" x14ac:dyDescent="0.25">
      <c r="A6" s="1" t="s">
        <v>62</v>
      </c>
      <c r="B6" s="178">
        <v>45937</v>
      </c>
      <c r="C6" s="1" t="s">
        <v>2042</v>
      </c>
      <c r="D6" s="1" t="s">
        <v>2043</v>
      </c>
      <c r="E6" s="1" t="s">
        <v>1828</v>
      </c>
      <c r="F6" s="1" t="s">
        <v>1828</v>
      </c>
      <c r="G6" s="1" t="s">
        <v>26</v>
      </c>
      <c r="H6" s="13">
        <v>57.5</v>
      </c>
      <c r="I6" s="13">
        <v>0</v>
      </c>
      <c r="J6" s="1" t="s">
        <v>2041</v>
      </c>
      <c r="K6" s="1" t="s">
        <v>2025</v>
      </c>
      <c r="L6" s="1" t="str">
        <f>VLOOKUP(Advices[[#This Row],[LC Number]],'Combine_List'!A:D,2,0)</f>
        <v>Advance - SAUDI ENTERTAINMENT VENTURES COMPANY (SEVEN)</v>
      </c>
      <c r="M6" s="447">
        <f>VLOOKUP(Advices[[#This Row],[LC Number]],'Combine_List'!A:D,3,0)</f>
        <v>0</v>
      </c>
      <c r="N6" s="447" t="str">
        <f>VLOOKUP(Advices[[#This Row],[LC Number]],'Combine_List'!A:D,4,0)</f>
        <v>ABHA</v>
      </c>
      <c r="O6" s="447" t="str">
        <f>VLOOKUP(Advices[[#This Row],[LC Number]],'Combine_List'!A:E,5,0)</f>
        <v>1020070</v>
      </c>
      <c r="P6" s="447">
        <f>MONTH(Advices[[#This Row],[Transaction Date]])</f>
        <v>10</v>
      </c>
      <c r="Q6" s="447">
        <f>YEAR(Advices[[#This Row],[Transaction Date]])</f>
        <v>2025</v>
      </c>
      <c r="R6" s="1"/>
    </row>
    <row r="7" spans="1:18" hidden="1" x14ac:dyDescent="0.25">
      <c r="A7" s="1" t="s">
        <v>62</v>
      </c>
      <c r="B7" s="178">
        <v>45938</v>
      </c>
      <c r="C7" s="1" t="s">
        <v>2039</v>
      </c>
      <c r="D7" s="1" t="s">
        <v>2044</v>
      </c>
      <c r="E7" s="1" t="s">
        <v>1893</v>
      </c>
      <c r="F7" s="1" t="s">
        <v>1893</v>
      </c>
      <c r="G7" s="1" t="s">
        <v>26</v>
      </c>
      <c r="H7" s="13">
        <v>57.5</v>
      </c>
      <c r="I7" s="13">
        <v>0</v>
      </c>
      <c r="J7" s="1" t="s">
        <v>2041</v>
      </c>
      <c r="K7" s="1" t="s">
        <v>2025</v>
      </c>
      <c r="L7" s="1" t="str">
        <f>VLOOKUP(Advices[[#This Row],[LC Number]],'Combine_List'!A:D,2,0)</f>
        <v>Bid - Al Diriyah Company</v>
      </c>
      <c r="M7" s="447" t="str">
        <f>VLOOKUP(Advices[[#This Row],[LC Number]],'Combine_List'!A:D,3,0)</f>
        <v>IFAS</v>
      </c>
      <c r="N7" s="447">
        <f>VLOOKUP(Advices[[#This Row],[LC Number]],'Combine_List'!A:D,4,0)</f>
        <v>0</v>
      </c>
      <c r="O7" s="447" t="str">
        <f>VLOOKUP(Advices[[#This Row],[LC Number]],'Combine_List'!A:E,5,0)</f>
        <v>0</v>
      </c>
      <c r="P7" s="447">
        <f>MONTH(Advices[[#This Row],[Transaction Date]])</f>
        <v>10</v>
      </c>
      <c r="Q7" s="447">
        <f>YEAR(Advices[[#This Row],[Transaction Date]])</f>
        <v>2025</v>
      </c>
      <c r="R7" s="1"/>
    </row>
    <row r="8" spans="1:18" hidden="1" x14ac:dyDescent="0.25">
      <c r="A8" s="1" t="s">
        <v>62</v>
      </c>
      <c r="B8" s="178">
        <v>45938</v>
      </c>
      <c r="C8" s="1" t="s">
        <v>2039</v>
      </c>
      <c r="D8" s="1" t="s">
        <v>2045</v>
      </c>
      <c r="E8" s="1" t="s">
        <v>1910</v>
      </c>
      <c r="F8" s="1" t="s">
        <v>1910</v>
      </c>
      <c r="G8" s="1" t="s">
        <v>26</v>
      </c>
      <c r="H8" s="13">
        <v>57.5</v>
      </c>
      <c r="I8" s="13">
        <v>0</v>
      </c>
      <c r="J8" s="1" t="s">
        <v>2041</v>
      </c>
      <c r="K8" s="1" t="s">
        <v>2025</v>
      </c>
      <c r="L8" s="1" t="str">
        <f>VLOOKUP(Advices[[#This Row],[LC Number]],'Combine_List'!A:D,2,0)</f>
        <v>Bid - Diriyah Company</v>
      </c>
      <c r="M8" s="447" t="str">
        <f>VLOOKUP(Advices[[#This Row],[LC Number]],'Combine_List'!A:D,3,0)</f>
        <v>IFAS</v>
      </c>
      <c r="N8" s="447">
        <f>VLOOKUP(Advices[[#This Row],[LC Number]],'Combine_List'!A:D,4,0)</f>
        <v>0</v>
      </c>
      <c r="O8" s="447" t="str">
        <f>VLOOKUP(Advices[[#This Row],[LC Number]],'Combine_List'!A:E,5,0)</f>
        <v>0</v>
      </c>
      <c r="P8" s="447">
        <f>MONTH(Advices[[#This Row],[Transaction Date]])</f>
        <v>10</v>
      </c>
      <c r="Q8" s="447">
        <f>YEAR(Advices[[#This Row],[Transaction Date]])</f>
        <v>2025</v>
      </c>
      <c r="R8" s="1"/>
    </row>
    <row r="9" spans="1:18" hidden="1" x14ac:dyDescent="0.25">
      <c r="A9" s="1" t="s">
        <v>62</v>
      </c>
      <c r="B9" s="178">
        <v>45939</v>
      </c>
      <c r="C9" s="1" t="s">
        <v>2039</v>
      </c>
      <c r="D9" s="1" t="s">
        <v>2046</v>
      </c>
      <c r="E9" s="1" t="s">
        <v>1861</v>
      </c>
      <c r="F9" s="1" t="s">
        <v>1861</v>
      </c>
      <c r="G9" s="1" t="s">
        <v>26</v>
      </c>
      <c r="H9" s="13">
        <v>600000</v>
      </c>
      <c r="I9" s="13">
        <v>0</v>
      </c>
      <c r="J9" s="1" t="s">
        <v>2041</v>
      </c>
      <c r="K9" s="1" t="s">
        <v>2025</v>
      </c>
      <c r="L9" s="1" t="str">
        <f>VLOOKUP(Advices[[#This Row],[LC Number]],'Combine_List'!A:D,2,0)</f>
        <v>Saudi Electric Supply Company</v>
      </c>
      <c r="M9" s="447" t="str">
        <f>VLOOKUP(Advices[[#This Row],[LC Number]],'Combine_List'!A:D,3,0)</f>
        <v>FIRST FIX</v>
      </c>
      <c r="N9" s="447" t="str">
        <f>VLOOKUP(Advices[[#This Row],[LC Number]],'Combine_List'!A:D,4,0)</f>
        <v>Oceanarium</v>
      </c>
      <c r="O9" s="447">
        <f>VLOOKUP(Advices[[#This Row],[LC Number]],'Combine_List'!A:E,5,0)</f>
        <v>1020096</v>
      </c>
      <c r="P9" s="447">
        <f>MONTH(Advices[[#This Row],[Transaction Date]])</f>
        <v>10</v>
      </c>
      <c r="Q9" s="447">
        <f>YEAR(Advices[[#This Row],[Transaction Date]])</f>
        <v>2025</v>
      </c>
      <c r="R9" s="1"/>
    </row>
    <row r="10" spans="1:18" hidden="1" x14ac:dyDescent="0.25">
      <c r="A10" s="1" t="s">
        <v>62</v>
      </c>
      <c r="B10" s="178">
        <v>45939</v>
      </c>
      <c r="C10" s="1" t="s">
        <v>2039</v>
      </c>
      <c r="D10" s="1" t="s">
        <v>2047</v>
      </c>
      <c r="E10" s="1" t="s">
        <v>1860</v>
      </c>
      <c r="F10" s="1" t="s">
        <v>1860</v>
      </c>
      <c r="G10" s="1" t="s">
        <v>26</v>
      </c>
      <c r="H10" s="13">
        <v>450000</v>
      </c>
      <c r="I10" s="13">
        <v>0</v>
      </c>
      <c r="J10" s="1" t="s">
        <v>2041</v>
      </c>
      <c r="K10" s="1" t="s">
        <v>2025</v>
      </c>
      <c r="L10" s="1" t="str">
        <f>VLOOKUP(Advices[[#This Row],[LC Number]],'Combine_List'!A:D,2,0)</f>
        <v>lmdadat Al Jazera Al Arabia Trading Co.</v>
      </c>
      <c r="M10" s="447" t="str">
        <f>VLOOKUP(Advices[[#This Row],[LC Number]],'Combine_List'!A:D,3,0)</f>
        <v>FIRST FIX</v>
      </c>
      <c r="N10" s="447" t="str">
        <f>VLOOKUP(Advices[[#This Row],[LC Number]],'Combine_List'!A:D,4,0)</f>
        <v>Oceanarium</v>
      </c>
      <c r="O10" s="447">
        <f>VLOOKUP(Advices[[#This Row],[LC Number]],'Combine_List'!A:E,5,0)</f>
        <v>1020096</v>
      </c>
      <c r="P10" s="447">
        <f>MONTH(Advices[[#This Row],[Transaction Date]])</f>
        <v>10</v>
      </c>
      <c r="Q10" s="447">
        <f>YEAR(Advices[[#This Row],[Transaction Date]])</f>
        <v>2025</v>
      </c>
      <c r="R10" s="1"/>
    </row>
    <row r="11" spans="1:18" hidden="1" x14ac:dyDescent="0.25">
      <c r="A11" s="1" t="s">
        <v>62</v>
      </c>
      <c r="B11" s="178">
        <v>45939</v>
      </c>
      <c r="C11" s="1" t="s">
        <v>2039</v>
      </c>
      <c r="D11" s="1" t="s">
        <v>2048</v>
      </c>
      <c r="E11" s="1" t="s">
        <v>1927</v>
      </c>
      <c r="F11" s="1" t="s">
        <v>3925</v>
      </c>
      <c r="G11" s="1" t="s">
        <v>26</v>
      </c>
      <c r="H11" s="13">
        <v>333060.53999999998</v>
      </c>
      <c r="I11" s="13">
        <v>0</v>
      </c>
      <c r="J11" s="1" t="s">
        <v>2041</v>
      </c>
      <c r="K11" s="1" t="s">
        <v>2025</v>
      </c>
      <c r="L11" s="1" t="str">
        <f>VLOOKUP(Advices[[#This Row],[LC Number]],'Combine_List'!A:D,2,0)</f>
        <v>Arabian Point Eight Power Co.Ltd.</v>
      </c>
      <c r="M11" s="447" t="str">
        <f>VLOOKUP(Advices[[#This Row],[LC Number]],'Combine_List'!A:D,3,0)</f>
        <v>FIRST FIX</v>
      </c>
      <c r="N11" s="447" t="str">
        <f>VLOOKUP(Advices[[#This Row],[LC Number]],'Combine_List'!A:D,4,0)</f>
        <v>Oceanarium</v>
      </c>
      <c r="O11" s="447">
        <f>VLOOKUP(Advices[[#This Row],[LC Number]],'Combine_List'!A:E,5,0)</f>
        <v>1020096</v>
      </c>
      <c r="P11" s="447">
        <f>MONTH(Advices[[#This Row],[Transaction Date]])</f>
        <v>10</v>
      </c>
      <c r="Q11" s="447">
        <f>YEAR(Advices[[#This Row],[Transaction Date]])</f>
        <v>2025</v>
      </c>
      <c r="R11" s="1"/>
    </row>
    <row r="12" spans="1:18" hidden="1" x14ac:dyDescent="0.25">
      <c r="A12" s="1" t="s">
        <v>62</v>
      </c>
      <c r="B12" s="178">
        <v>45939</v>
      </c>
      <c r="C12" s="1" t="s">
        <v>2039</v>
      </c>
      <c r="D12" s="1" t="s">
        <v>2049</v>
      </c>
      <c r="E12" s="1" t="s">
        <v>1855</v>
      </c>
      <c r="F12" s="1" t="s">
        <v>1855</v>
      </c>
      <c r="G12" s="1" t="s">
        <v>26</v>
      </c>
      <c r="H12" s="13">
        <v>300000</v>
      </c>
      <c r="I12" s="13">
        <v>0</v>
      </c>
      <c r="J12" s="1" t="s">
        <v>2041</v>
      </c>
      <c r="K12" s="1" t="s">
        <v>2025</v>
      </c>
      <c r="L12" s="1" t="str">
        <f>VLOOKUP(Advices[[#This Row],[LC Number]],'Combine_List'!A:D,2,0)</f>
        <v>Isam Kabbani &amp; Partners Ltd-Unitech</v>
      </c>
      <c r="M12" s="447" t="str">
        <f>VLOOKUP(Advices[[#This Row],[LC Number]],'Combine_List'!A:D,3,0)</f>
        <v>FIRST FIX</v>
      </c>
      <c r="N12" s="447" t="str">
        <f>VLOOKUP(Advices[[#This Row],[LC Number]],'Combine_List'!A:D,4,0)</f>
        <v>Oceanarium</v>
      </c>
      <c r="O12" s="447">
        <f>VLOOKUP(Advices[[#This Row],[LC Number]],'Combine_List'!A:E,5,0)</f>
        <v>1020096</v>
      </c>
      <c r="P12" s="447">
        <f>MONTH(Advices[[#This Row],[Transaction Date]])</f>
        <v>10</v>
      </c>
      <c r="Q12" s="447">
        <f>YEAR(Advices[[#This Row],[Transaction Date]])</f>
        <v>2025</v>
      </c>
      <c r="R12" s="1"/>
    </row>
    <row r="13" spans="1:18" hidden="1" x14ac:dyDescent="0.25">
      <c r="A13" s="1" t="s">
        <v>62</v>
      </c>
      <c r="B13" s="178">
        <v>45939</v>
      </c>
      <c r="C13" s="1" t="s">
        <v>2039</v>
      </c>
      <c r="D13" s="1" t="s">
        <v>2050</v>
      </c>
      <c r="E13" s="1" t="s">
        <v>1862</v>
      </c>
      <c r="F13" s="1" t="s">
        <v>1862</v>
      </c>
      <c r="G13" s="1" t="s">
        <v>26</v>
      </c>
      <c r="H13" s="13">
        <v>250000</v>
      </c>
      <c r="I13" s="13">
        <v>0</v>
      </c>
      <c r="J13" s="1" t="s">
        <v>2041</v>
      </c>
      <c r="K13" s="1" t="s">
        <v>2025</v>
      </c>
      <c r="L13" s="1" t="str">
        <f>VLOOKUP(Advices[[#This Row],[LC Number]],'Combine_List'!A:D,2,0)</f>
        <v>Al Othman Industrial Marketing Co.</v>
      </c>
      <c r="M13" s="447" t="str">
        <f>VLOOKUP(Advices[[#This Row],[LC Number]],'Combine_List'!A:D,3,0)</f>
        <v>FIRST FIX</v>
      </c>
      <c r="N13" s="447" t="str">
        <f>VLOOKUP(Advices[[#This Row],[LC Number]],'Combine_List'!A:D,4,0)</f>
        <v>Oceanarium</v>
      </c>
      <c r="O13" s="447">
        <f>VLOOKUP(Advices[[#This Row],[LC Number]],'Combine_List'!A:E,5,0)</f>
        <v>1020096</v>
      </c>
      <c r="P13" s="447">
        <f>MONTH(Advices[[#This Row],[Transaction Date]])</f>
        <v>10</v>
      </c>
      <c r="Q13" s="447">
        <f>YEAR(Advices[[#This Row],[Transaction Date]])</f>
        <v>2025</v>
      </c>
      <c r="R13" s="1"/>
    </row>
    <row r="14" spans="1:18" hidden="1" x14ac:dyDescent="0.25">
      <c r="A14" s="1" t="s">
        <v>62</v>
      </c>
      <c r="B14" s="178">
        <v>45939</v>
      </c>
      <c r="C14" s="1" t="s">
        <v>2042</v>
      </c>
      <c r="D14" s="1" t="s">
        <v>2051</v>
      </c>
      <c r="E14" s="1" t="s">
        <v>1852</v>
      </c>
      <c r="F14" s="1" t="s">
        <v>1852</v>
      </c>
      <c r="G14" s="1" t="s">
        <v>26</v>
      </c>
      <c r="H14" s="13">
        <v>57.5</v>
      </c>
      <c r="I14" s="13">
        <v>0</v>
      </c>
      <c r="J14" s="1" t="s">
        <v>2041</v>
      </c>
      <c r="K14" s="1" t="s">
        <v>2025</v>
      </c>
      <c r="L14" s="1" t="str">
        <f>VLOOKUP(Advices[[#This Row],[LC Number]],'Combine_List'!A:D,2,0)</f>
        <v>Performance - NEOM Company</v>
      </c>
      <c r="M14" s="447">
        <f>VLOOKUP(Advices[[#This Row],[LC Number]],'Combine_List'!A:D,3,0)</f>
        <v>0</v>
      </c>
      <c r="N14" s="447">
        <f>VLOOKUP(Advices[[#This Row],[LC Number]],'Combine_List'!A:D,4,0)</f>
        <v>0</v>
      </c>
      <c r="O14" s="447" t="str">
        <f>VLOOKUP(Advices[[#This Row],[LC Number]],'Combine_List'!A:E,5,0)</f>
        <v>1020065</v>
      </c>
      <c r="P14" s="447">
        <f>MONTH(Advices[[#This Row],[Transaction Date]])</f>
        <v>10</v>
      </c>
      <c r="Q14" s="447">
        <f>YEAR(Advices[[#This Row],[Transaction Date]])</f>
        <v>2025</v>
      </c>
      <c r="R14" s="1"/>
    </row>
    <row r="15" spans="1:18" hidden="1" x14ac:dyDescent="0.25">
      <c r="A15" s="1" t="s">
        <v>62</v>
      </c>
      <c r="B15" s="178">
        <v>45943</v>
      </c>
      <c r="C15" s="1" t="s">
        <v>2039</v>
      </c>
      <c r="D15" s="1" t="s">
        <v>2052</v>
      </c>
      <c r="E15" s="1" t="s">
        <v>1779</v>
      </c>
      <c r="F15" s="1" t="s">
        <v>1779</v>
      </c>
      <c r="G15" s="1" t="s">
        <v>26</v>
      </c>
      <c r="H15" s="13">
        <v>313581.86</v>
      </c>
      <c r="I15" s="13">
        <v>0</v>
      </c>
      <c r="J15" s="1" t="s">
        <v>2041</v>
      </c>
      <c r="K15" s="1" t="s">
        <v>2025</v>
      </c>
      <c r="L15" s="1" t="str">
        <f>VLOOKUP(Advices[[#This Row],[LC Number]],'Combine_List'!A:D,2,0)</f>
        <v>Nesma Nibras Maintenance &amp; Cleaning International Co.</v>
      </c>
      <c r="M15" s="447" t="str">
        <f>VLOOKUP(Advices[[#This Row],[LC Number]],'Combine_List'!A:D,3,0)</f>
        <v>IFAS</v>
      </c>
      <c r="N15" s="447" t="str">
        <f>VLOOKUP(Advices[[#This Row],[LC Number]],'Combine_List'!A:D,4,0)</f>
        <v>IFAS - Various Projects</v>
      </c>
      <c r="O15" s="447">
        <f>VLOOKUP(Advices[[#This Row],[LC Number]],'Combine_List'!A:E,5,0)</f>
        <v>0</v>
      </c>
      <c r="P15" s="447">
        <f>MONTH(Advices[[#This Row],[Transaction Date]])</f>
        <v>10</v>
      </c>
      <c r="Q15" s="447">
        <f>YEAR(Advices[[#This Row],[Transaction Date]])</f>
        <v>2025</v>
      </c>
      <c r="R15" s="1"/>
    </row>
    <row r="16" spans="1:18" hidden="1" x14ac:dyDescent="0.25">
      <c r="A16" s="1" t="s">
        <v>62</v>
      </c>
      <c r="B16" s="178">
        <v>45943</v>
      </c>
      <c r="C16" s="1" t="s">
        <v>2039</v>
      </c>
      <c r="D16" s="1" t="s">
        <v>2053</v>
      </c>
      <c r="E16" s="1" t="s">
        <v>1939</v>
      </c>
      <c r="F16" s="1" t="s">
        <v>1939</v>
      </c>
      <c r="G16" s="1" t="s">
        <v>26</v>
      </c>
      <c r="H16" s="13">
        <v>244375</v>
      </c>
      <c r="I16" s="13">
        <v>0</v>
      </c>
      <c r="J16" s="1" t="s">
        <v>2041</v>
      </c>
      <c r="K16" s="1" t="s">
        <v>2025</v>
      </c>
      <c r="L16" s="1" t="str">
        <f>VLOOKUP(Advices[[#This Row],[LC Number]],'Combine_List'!A:D,2,0)</f>
        <v>Bid - Ministry of Defense</v>
      </c>
      <c r="M16" s="447" t="str">
        <f>VLOOKUP(Advices[[#This Row],[LC Number]],'Combine_List'!A:D,3,0)</f>
        <v>MBL</v>
      </c>
      <c r="N16" s="447">
        <f>VLOOKUP(Advices[[#This Row],[LC Number]],'Combine_List'!A:D,4,0)</f>
        <v>0</v>
      </c>
      <c r="O16" s="447" t="str">
        <f>VLOOKUP(Advices[[#This Row],[LC Number]],'Combine_List'!A:E,5,0)</f>
        <v>0</v>
      </c>
      <c r="P16" s="447">
        <f>MONTH(Advices[[#This Row],[Transaction Date]])</f>
        <v>10</v>
      </c>
      <c r="Q16" s="447">
        <f>YEAR(Advices[[#This Row],[Transaction Date]])</f>
        <v>2025</v>
      </c>
      <c r="R16" s="1"/>
    </row>
    <row r="17" spans="1:18" hidden="1" x14ac:dyDescent="0.25">
      <c r="A17" s="1" t="s">
        <v>62</v>
      </c>
      <c r="B17" s="178">
        <v>45943</v>
      </c>
      <c r="C17" s="1" t="s">
        <v>2039</v>
      </c>
      <c r="D17" s="1" t="s">
        <v>2054</v>
      </c>
      <c r="E17" s="1" t="s">
        <v>1779</v>
      </c>
      <c r="F17" s="1" t="s">
        <v>1779</v>
      </c>
      <c r="G17" s="1" t="s">
        <v>26</v>
      </c>
      <c r="H17" s="13">
        <v>0</v>
      </c>
      <c r="I17" s="13">
        <v>313581.86</v>
      </c>
      <c r="J17" s="1" t="s">
        <v>2041</v>
      </c>
      <c r="K17" s="1" t="s">
        <v>2025</v>
      </c>
      <c r="L17" s="1" t="str">
        <f>VLOOKUP(Advices[[#This Row],[LC Number]],'Combine_List'!A:D,2,0)</f>
        <v>Nesma Nibras Maintenance &amp; Cleaning International Co.</v>
      </c>
      <c r="M17" s="447" t="str">
        <f>VLOOKUP(Advices[[#This Row],[LC Number]],'Combine_List'!A:D,3,0)</f>
        <v>IFAS</v>
      </c>
      <c r="N17" s="447" t="str">
        <f>VLOOKUP(Advices[[#This Row],[LC Number]],'Combine_List'!A:D,4,0)</f>
        <v>IFAS - Various Projects</v>
      </c>
      <c r="O17" s="447">
        <f>VLOOKUP(Advices[[#This Row],[LC Number]],'Combine_List'!A:E,5,0)</f>
        <v>0</v>
      </c>
      <c r="P17" s="447">
        <f>MONTH(Advices[[#This Row],[Transaction Date]])</f>
        <v>10</v>
      </c>
      <c r="Q17" s="447">
        <f>YEAR(Advices[[#This Row],[Transaction Date]])</f>
        <v>2025</v>
      </c>
      <c r="R17" s="1"/>
    </row>
    <row r="18" spans="1:18" hidden="1" x14ac:dyDescent="0.25">
      <c r="A18" s="1" t="s">
        <v>62</v>
      </c>
      <c r="B18" s="178">
        <v>45943</v>
      </c>
      <c r="C18" s="1" t="s">
        <v>2055</v>
      </c>
      <c r="D18" s="1" t="s">
        <v>2056</v>
      </c>
      <c r="E18" s="1" t="s">
        <v>1834</v>
      </c>
      <c r="F18" s="1" t="s">
        <v>1834</v>
      </c>
      <c r="G18" s="1" t="s">
        <v>78</v>
      </c>
      <c r="H18" s="13">
        <v>351822.69</v>
      </c>
      <c r="I18" s="13">
        <v>0</v>
      </c>
      <c r="J18" s="1" t="s">
        <v>2041</v>
      </c>
      <c r="K18" s="1" t="s">
        <v>2025</v>
      </c>
      <c r="L18" s="1" t="str">
        <f>VLOOKUP(Advices[[#This Row],[LC Number]],'Combine_List'!A:D,2,0)</f>
        <v>Jiangsu Donchamp New Materials Technology Co.Ltd.</v>
      </c>
      <c r="M18" s="447" t="str">
        <f>VLOOKUP(Advices[[#This Row],[LC Number]],'Combine_List'!A:D,3,0)</f>
        <v>MBL</v>
      </c>
      <c r="N18" s="447" t="str">
        <f>VLOOKUP(Advices[[#This Row],[LC Number]],'Combine_List'!A:D,4,0)</f>
        <v>Oceanarium</v>
      </c>
      <c r="O18" s="447">
        <f>VLOOKUP(Advices[[#This Row],[LC Number]],'Combine_List'!A:E,5,0)</f>
        <v>1020096</v>
      </c>
      <c r="P18" s="447">
        <f>MONTH(Advices[[#This Row],[Transaction Date]])</f>
        <v>10</v>
      </c>
      <c r="Q18" s="447">
        <f>YEAR(Advices[[#This Row],[Transaction Date]])</f>
        <v>2025</v>
      </c>
      <c r="R18" s="1"/>
    </row>
    <row r="19" spans="1:18" x14ac:dyDescent="0.25">
      <c r="A19" s="1" t="s">
        <v>21</v>
      </c>
      <c r="B19" s="178">
        <v>45931</v>
      </c>
      <c r="C19" s="1" t="s">
        <v>1951</v>
      </c>
      <c r="D19" s="1" t="s">
        <v>1952</v>
      </c>
      <c r="E19" s="1" t="s">
        <v>1311</v>
      </c>
      <c r="F19" s="1" t="s">
        <v>1953</v>
      </c>
      <c r="G19" s="1" t="s">
        <v>26</v>
      </c>
      <c r="H19" s="13">
        <v>187.5</v>
      </c>
      <c r="I19" s="13">
        <v>0</v>
      </c>
      <c r="J19" s="1" t="s">
        <v>1174</v>
      </c>
      <c r="K19" s="1" t="s">
        <v>2025</v>
      </c>
      <c r="L19" s="1" t="str">
        <f>VLOOKUP(Advices[[#This Row],[LC Number]],'Combine_List'!A:D,2,0)</f>
        <v>AFAQ AL MALAZ TRADING CO.LTD</v>
      </c>
      <c r="M19" s="447" t="str">
        <f>VLOOKUP(Advices[[#This Row],[LC Number]],'Combine_List'!A:D,3,0)</f>
        <v>FIRST FIX</v>
      </c>
      <c r="N19" s="447" t="str">
        <f>VLOOKUP(Advices[[#This Row],[LC Number]],'Combine_List'!A:D,4,0)</f>
        <v>KSP</v>
      </c>
      <c r="O19" s="447">
        <f>VLOOKUP(Advices[[#This Row],[LC Number]],'Combine_List'!A:E,5,0)</f>
        <v>1020055</v>
      </c>
      <c r="P19" s="447">
        <f>MONTH(Advices[[#This Row],[Transaction Date]])</f>
        <v>10</v>
      </c>
      <c r="Q19" s="447">
        <f>YEAR(Advices[[#This Row],[Transaction Date]])</f>
        <v>2025</v>
      </c>
      <c r="R19" s="1"/>
    </row>
    <row r="20" spans="1:18" x14ac:dyDescent="0.25">
      <c r="A20" s="1" t="s">
        <v>21</v>
      </c>
      <c r="B20" s="178">
        <v>45931</v>
      </c>
      <c r="C20" s="1" t="s">
        <v>1951</v>
      </c>
      <c r="D20" s="1" t="s">
        <v>1954</v>
      </c>
      <c r="E20" s="1" t="s">
        <v>1311</v>
      </c>
      <c r="F20" s="1" t="s">
        <v>1953</v>
      </c>
      <c r="G20" s="1" t="s">
        <v>26</v>
      </c>
      <c r="H20" s="13">
        <v>1250</v>
      </c>
      <c r="I20" s="13">
        <v>0</v>
      </c>
      <c r="J20" s="1" t="s">
        <v>1125</v>
      </c>
      <c r="K20" s="1" t="s">
        <v>2025</v>
      </c>
      <c r="L20" s="1" t="str">
        <f>VLOOKUP(Advices[[#This Row],[LC Number]],'Combine_List'!A:D,2,0)</f>
        <v>AFAQ AL MALAZ TRADING CO.LTD</v>
      </c>
      <c r="M20" s="447" t="str">
        <f>VLOOKUP(Advices[[#This Row],[LC Number]],'Combine_List'!A:D,3,0)</f>
        <v>FIRST FIX</v>
      </c>
      <c r="N20" s="447" t="str">
        <f>VLOOKUP(Advices[[#This Row],[LC Number]],'Combine_List'!A:D,4,0)</f>
        <v>KSP</v>
      </c>
      <c r="O20" s="447">
        <f>VLOOKUP(Advices[[#This Row],[LC Number]],'Combine_List'!A:E,5,0)</f>
        <v>1020055</v>
      </c>
      <c r="P20" s="447">
        <f>MONTH(Advices[[#This Row],[Transaction Date]])</f>
        <v>10</v>
      </c>
      <c r="Q20" s="447">
        <f>YEAR(Advices[[#This Row],[Transaction Date]])</f>
        <v>2025</v>
      </c>
      <c r="R20" s="1"/>
    </row>
    <row r="21" spans="1:18" x14ac:dyDescent="0.25">
      <c r="A21" s="1" t="s">
        <v>21</v>
      </c>
      <c r="B21" s="178">
        <v>45931</v>
      </c>
      <c r="C21" s="1" t="s">
        <v>1951</v>
      </c>
      <c r="D21" s="1" t="s">
        <v>1952</v>
      </c>
      <c r="E21" s="1" t="s">
        <v>1522</v>
      </c>
      <c r="F21" s="1" t="s">
        <v>1955</v>
      </c>
      <c r="G21" s="1" t="s">
        <v>26</v>
      </c>
      <c r="H21" s="13">
        <v>187.5</v>
      </c>
      <c r="I21" s="13">
        <v>0</v>
      </c>
      <c r="J21" s="1" t="s">
        <v>1174</v>
      </c>
      <c r="K21" s="1" t="s">
        <v>2025</v>
      </c>
      <c r="L21" s="1" t="str">
        <f>VLOOKUP(Advices[[#This Row],[LC Number]],'Combine_List'!A:D,2,0)</f>
        <v>LAILA M.BIN ABDULLAH AL-FARAJ FOR GENERAL CONT.EST</v>
      </c>
      <c r="M21" s="447" t="str">
        <f>VLOOKUP(Advices[[#This Row],[LC Number]],'Combine_List'!A:D,3,0)</f>
        <v>FIRST FIX</v>
      </c>
      <c r="N21" s="447" t="str">
        <f>VLOOKUP(Advices[[#This Row],[LC Number]],'Combine_List'!A:D,4,0)</f>
        <v>JCD SPMI</v>
      </c>
      <c r="O21" s="447">
        <f>VLOOKUP(Advices[[#This Row],[LC Number]],'Combine_List'!A:E,5,0)</f>
        <v>1020100</v>
      </c>
      <c r="P21" s="447">
        <f>MONTH(Advices[[#This Row],[Transaction Date]])</f>
        <v>10</v>
      </c>
      <c r="Q21" s="447">
        <f>YEAR(Advices[[#This Row],[Transaction Date]])</f>
        <v>2025</v>
      </c>
      <c r="R21" s="1"/>
    </row>
    <row r="22" spans="1:18" x14ac:dyDescent="0.25">
      <c r="A22" s="1" t="s">
        <v>21</v>
      </c>
      <c r="B22" s="178">
        <v>45931</v>
      </c>
      <c r="C22" s="1" t="s">
        <v>1951</v>
      </c>
      <c r="D22" s="1" t="s">
        <v>1956</v>
      </c>
      <c r="E22" s="1" t="s">
        <v>1522</v>
      </c>
      <c r="F22" s="1" t="s">
        <v>1955</v>
      </c>
      <c r="G22" s="1" t="s">
        <v>26</v>
      </c>
      <c r="H22" s="13">
        <v>1250</v>
      </c>
      <c r="I22" s="13">
        <v>0</v>
      </c>
      <c r="J22" s="1" t="s">
        <v>1125</v>
      </c>
      <c r="K22" s="1" t="s">
        <v>2025</v>
      </c>
      <c r="L22" s="1" t="str">
        <f>VLOOKUP(Advices[[#This Row],[LC Number]],'Combine_List'!A:D,2,0)</f>
        <v>LAILA M.BIN ABDULLAH AL-FARAJ FOR GENERAL CONT.EST</v>
      </c>
      <c r="M22" s="447" t="str">
        <f>VLOOKUP(Advices[[#This Row],[LC Number]],'Combine_List'!A:D,3,0)</f>
        <v>FIRST FIX</v>
      </c>
      <c r="N22" s="447" t="str">
        <f>VLOOKUP(Advices[[#This Row],[LC Number]],'Combine_List'!A:D,4,0)</f>
        <v>JCD SPMI</v>
      </c>
      <c r="O22" s="447">
        <f>VLOOKUP(Advices[[#This Row],[LC Number]],'Combine_List'!A:E,5,0)</f>
        <v>1020100</v>
      </c>
      <c r="P22" s="447">
        <f>MONTH(Advices[[#This Row],[Transaction Date]])</f>
        <v>10</v>
      </c>
      <c r="Q22" s="447">
        <f>YEAR(Advices[[#This Row],[Transaction Date]])</f>
        <v>2025</v>
      </c>
      <c r="R22" s="1"/>
    </row>
    <row r="23" spans="1:18" x14ac:dyDescent="0.25">
      <c r="A23" s="1" t="s">
        <v>21</v>
      </c>
      <c r="B23" s="178">
        <v>45931</v>
      </c>
      <c r="C23" s="1" t="s">
        <v>1951</v>
      </c>
      <c r="D23" s="1" t="s">
        <v>1957</v>
      </c>
      <c r="E23" s="1" t="s">
        <v>1654</v>
      </c>
      <c r="F23" s="1" t="s">
        <v>1958</v>
      </c>
      <c r="G23" s="1" t="s">
        <v>26</v>
      </c>
      <c r="H23" s="13">
        <v>233.68</v>
      </c>
      <c r="I23" s="13">
        <v>0</v>
      </c>
      <c r="J23" s="1" t="s">
        <v>1174</v>
      </c>
      <c r="K23" s="1" t="s">
        <v>2025</v>
      </c>
      <c r="L23" s="1" t="str">
        <f>VLOOKUP(Advices[[#This Row],[LC Number]],'Combine_List'!A:D,2,0)</f>
        <v>ATLANTIC SUPPLIES FOR TRADING</v>
      </c>
      <c r="M23" s="447" t="str">
        <f>VLOOKUP(Advices[[#This Row],[LC Number]],'Combine_List'!A:D,3,0)</f>
        <v>FIRST FIX</v>
      </c>
      <c r="N23" s="447" t="str">
        <f>VLOOKUP(Advices[[#This Row],[LC Number]],'Combine_List'!A:D,4,0)</f>
        <v>KSP</v>
      </c>
      <c r="O23" s="447">
        <f>VLOOKUP(Advices[[#This Row],[LC Number]],'Combine_List'!A:E,5,0)</f>
        <v>1020055</v>
      </c>
      <c r="P23" s="447">
        <f>MONTH(Advices[[#This Row],[Transaction Date]])</f>
        <v>10</v>
      </c>
      <c r="Q23" s="447">
        <f>YEAR(Advices[[#This Row],[Transaction Date]])</f>
        <v>2025</v>
      </c>
      <c r="R23" s="1"/>
    </row>
    <row r="24" spans="1:18" x14ac:dyDescent="0.25">
      <c r="A24" s="1" t="s">
        <v>21</v>
      </c>
      <c r="B24" s="178">
        <v>45931</v>
      </c>
      <c r="C24" s="1" t="s">
        <v>1951</v>
      </c>
      <c r="D24" s="1" t="s">
        <v>1959</v>
      </c>
      <c r="E24" s="1" t="s">
        <v>1654</v>
      </c>
      <c r="F24" s="1" t="s">
        <v>1958</v>
      </c>
      <c r="G24" s="1" t="s">
        <v>26</v>
      </c>
      <c r="H24" s="13">
        <v>1557.86</v>
      </c>
      <c r="I24" s="13">
        <v>0</v>
      </c>
      <c r="J24" s="1" t="s">
        <v>1125</v>
      </c>
      <c r="K24" s="1" t="s">
        <v>2025</v>
      </c>
      <c r="L24" s="1" t="str">
        <f>VLOOKUP(Advices[[#This Row],[LC Number]],'Combine_List'!A:D,2,0)</f>
        <v>ATLANTIC SUPPLIES FOR TRADING</v>
      </c>
      <c r="M24" s="447" t="str">
        <f>VLOOKUP(Advices[[#This Row],[LC Number]],'Combine_List'!A:D,3,0)</f>
        <v>FIRST FIX</v>
      </c>
      <c r="N24" s="447" t="str">
        <f>VLOOKUP(Advices[[#This Row],[LC Number]],'Combine_List'!A:D,4,0)</f>
        <v>KSP</v>
      </c>
      <c r="O24" s="447">
        <f>VLOOKUP(Advices[[#This Row],[LC Number]],'Combine_List'!A:E,5,0)</f>
        <v>1020055</v>
      </c>
      <c r="P24" s="447">
        <f>MONTH(Advices[[#This Row],[Transaction Date]])</f>
        <v>10</v>
      </c>
      <c r="Q24" s="447">
        <f>YEAR(Advices[[#This Row],[Transaction Date]])</f>
        <v>2025</v>
      </c>
      <c r="R24" s="1"/>
    </row>
    <row r="25" spans="1:18" x14ac:dyDescent="0.25">
      <c r="A25" s="1" t="s">
        <v>21</v>
      </c>
      <c r="B25" s="178">
        <v>45932</v>
      </c>
      <c r="C25" s="1" t="s">
        <v>1951</v>
      </c>
      <c r="D25" s="1" t="s">
        <v>1960</v>
      </c>
      <c r="E25" s="1" t="s">
        <v>1194</v>
      </c>
      <c r="F25" s="1" t="s">
        <v>1961</v>
      </c>
      <c r="G25" s="1" t="s">
        <v>26</v>
      </c>
      <c r="H25" s="13">
        <v>11.25</v>
      </c>
      <c r="I25" s="13">
        <v>0</v>
      </c>
      <c r="J25" s="1" t="s">
        <v>1174</v>
      </c>
      <c r="K25" s="1" t="s">
        <v>2025</v>
      </c>
      <c r="L25" s="1" t="str">
        <f>VLOOKUP(Advices[[#This Row],[LC Number]],'Combine_List'!A:D,2,0)</f>
        <v>Systemair For Electrical Equipment Co.</v>
      </c>
      <c r="M25" s="447" t="str">
        <f>VLOOKUP(Advices[[#This Row],[LC Number]],'Combine_List'!A:D,3,0)</f>
        <v>FIRST FIX</v>
      </c>
      <c r="N25" s="447" t="str">
        <f>VLOOKUP(Advices[[#This Row],[LC Number]],'Combine_List'!A:D,4,0)</f>
        <v>JCD SPMI</v>
      </c>
      <c r="O25" s="447">
        <f>VLOOKUP(Advices[[#This Row],[LC Number]],'Combine_List'!A:E,5,0)</f>
        <v>1020100</v>
      </c>
      <c r="P25" s="447">
        <f>MONTH(Advices[[#This Row],[Transaction Date]])</f>
        <v>10</v>
      </c>
      <c r="Q25" s="447">
        <f>YEAR(Advices[[#This Row],[Transaction Date]])</f>
        <v>2025</v>
      </c>
      <c r="R25" s="1"/>
    </row>
    <row r="26" spans="1:18" x14ac:dyDescent="0.25">
      <c r="A26" s="1" t="s">
        <v>21</v>
      </c>
      <c r="B26" s="178">
        <v>45932</v>
      </c>
      <c r="C26" s="1" t="s">
        <v>1951</v>
      </c>
      <c r="D26" s="1" t="s">
        <v>1962</v>
      </c>
      <c r="E26" s="1" t="s">
        <v>1194</v>
      </c>
      <c r="F26" s="1" t="s">
        <v>1961</v>
      </c>
      <c r="G26" s="1" t="s">
        <v>26</v>
      </c>
      <c r="H26" s="13">
        <v>75</v>
      </c>
      <c r="I26" s="13">
        <v>0</v>
      </c>
      <c r="J26" s="1" t="s">
        <v>1963</v>
      </c>
      <c r="K26" s="1" t="s">
        <v>2025</v>
      </c>
      <c r="L26" s="1" t="str">
        <f>VLOOKUP(Advices[[#This Row],[LC Number]],'Combine_List'!A:D,2,0)</f>
        <v>Systemair For Electrical Equipment Co.</v>
      </c>
      <c r="M26" s="447" t="str">
        <f>VLOOKUP(Advices[[#This Row],[LC Number]],'Combine_List'!A:D,3,0)</f>
        <v>FIRST FIX</v>
      </c>
      <c r="N26" s="447" t="str">
        <f>VLOOKUP(Advices[[#This Row],[LC Number]],'Combine_List'!A:D,4,0)</f>
        <v>JCD SPMI</v>
      </c>
      <c r="O26" s="447">
        <f>VLOOKUP(Advices[[#This Row],[LC Number]],'Combine_List'!A:E,5,0)</f>
        <v>1020100</v>
      </c>
      <c r="P26" s="447">
        <f>MONTH(Advices[[#This Row],[Transaction Date]])</f>
        <v>10</v>
      </c>
      <c r="Q26" s="447">
        <f>YEAR(Advices[[#This Row],[Transaction Date]])</f>
        <v>2025</v>
      </c>
      <c r="R26" s="1"/>
    </row>
    <row r="27" spans="1:18" x14ac:dyDescent="0.25">
      <c r="A27" s="1" t="s">
        <v>21</v>
      </c>
      <c r="B27" s="178">
        <v>45932</v>
      </c>
      <c r="C27" s="1" t="s">
        <v>1951</v>
      </c>
      <c r="D27" s="1" t="s">
        <v>1964</v>
      </c>
      <c r="E27" s="1" t="s">
        <v>1194</v>
      </c>
      <c r="F27" s="1" t="s">
        <v>1961</v>
      </c>
      <c r="G27" s="1" t="s">
        <v>26</v>
      </c>
      <c r="H27" s="13">
        <v>295697.42</v>
      </c>
      <c r="I27" s="13">
        <v>0</v>
      </c>
      <c r="J27" s="1" t="s">
        <v>1126</v>
      </c>
      <c r="K27" s="1" t="s">
        <v>2025</v>
      </c>
      <c r="L27" s="1" t="str">
        <f>VLOOKUP(Advices[[#This Row],[LC Number]],'Combine_List'!A:D,2,0)</f>
        <v>Systemair For Electrical Equipment Co.</v>
      </c>
      <c r="M27" s="447" t="str">
        <f>VLOOKUP(Advices[[#This Row],[LC Number]],'Combine_List'!A:D,3,0)</f>
        <v>FIRST FIX</v>
      </c>
      <c r="N27" s="447" t="str">
        <f>VLOOKUP(Advices[[#This Row],[LC Number]],'Combine_List'!A:D,4,0)</f>
        <v>JCD SPMI</v>
      </c>
      <c r="O27" s="447">
        <f>VLOOKUP(Advices[[#This Row],[LC Number]],'Combine_List'!A:E,5,0)</f>
        <v>1020100</v>
      </c>
      <c r="P27" s="447">
        <f>MONTH(Advices[[#This Row],[Transaction Date]])</f>
        <v>10</v>
      </c>
      <c r="Q27" s="447">
        <f>YEAR(Advices[[#This Row],[Transaction Date]])</f>
        <v>2025</v>
      </c>
      <c r="R27" s="1"/>
    </row>
    <row r="28" spans="1:18" x14ac:dyDescent="0.25">
      <c r="A28" s="1" t="s">
        <v>21</v>
      </c>
      <c r="B28" s="178">
        <v>45932</v>
      </c>
      <c r="C28" s="1" t="s">
        <v>1951</v>
      </c>
      <c r="D28" s="1" t="s">
        <v>1960</v>
      </c>
      <c r="E28" s="1" t="s">
        <v>1408</v>
      </c>
      <c r="F28" s="1" t="s">
        <v>1965</v>
      </c>
      <c r="G28" s="1" t="s">
        <v>26</v>
      </c>
      <c r="H28" s="13">
        <v>11.25</v>
      </c>
      <c r="I28" s="13">
        <v>0</v>
      </c>
      <c r="J28" s="1" t="s">
        <v>1174</v>
      </c>
      <c r="K28" s="1" t="s">
        <v>2025</v>
      </c>
      <c r="L28" s="1" t="str">
        <f>VLOOKUP(Advices[[#This Row],[LC Number]],'Combine_List'!A:D,2,0)</f>
        <v>ARAB EAGLE TRANSPORT CO.</v>
      </c>
      <c r="M28" s="447" t="str">
        <f>VLOOKUP(Advices[[#This Row],[LC Number]],'Combine_List'!A:D,3,0)</f>
        <v>FIRST FIX</v>
      </c>
      <c r="N28" s="447" t="str">
        <f>VLOOKUP(Advices[[#This Row],[LC Number]],'Combine_List'!A:D,4,0)</f>
        <v>KSP</v>
      </c>
      <c r="O28" s="447">
        <f>VLOOKUP(Advices[[#This Row],[LC Number]],'Combine_List'!A:E,5,0)</f>
        <v>1020055</v>
      </c>
      <c r="P28" s="447">
        <f>MONTH(Advices[[#This Row],[Transaction Date]])</f>
        <v>10</v>
      </c>
      <c r="Q28" s="447">
        <f>YEAR(Advices[[#This Row],[Transaction Date]])</f>
        <v>2025</v>
      </c>
      <c r="R28" s="1"/>
    </row>
    <row r="29" spans="1:18" x14ac:dyDescent="0.25">
      <c r="A29" s="1" t="s">
        <v>21</v>
      </c>
      <c r="B29" s="178">
        <v>45932</v>
      </c>
      <c r="C29" s="1" t="s">
        <v>1951</v>
      </c>
      <c r="D29" s="1" t="s">
        <v>1966</v>
      </c>
      <c r="E29" s="1" t="s">
        <v>1408</v>
      </c>
      <c r="F29" s="1" t="s">
        <v>1965</v>
      </c>
      <c r="G29" s="1" t="s">
        <v>26</v>
      </c>
      <c r="H29" s="13">
        <v>75</v>
      </c>
      <c r="I29" s="13">
        <v>0</v>
      </c>
      <c r="J29" s="1" t="s">
        <v>1963</v>
      </c>
      <c r="K29" s="1" t="s">
        <v>2025</v>
      </c>
      <c r="L29" s="1" t="str">
        <f>VLOOKUP(Advices[[#This Row],[LC Number]],'Combine_List'!A:D,2,0)</f>
        <v>ARAB EAGLE TRANSPORT CO.</v>
      </c>
      <c r="M29" s="447" t="str">
        <f>VLOOKUP(Advices[[#This Row],[LC Number]],'Combine_List'!A:D,3,0)</f>
        <v>FIRST FIX</v>
      </c>
      <c r="N29" s="447" t="str">
        <f>VLOOKUP(Advices[[#This Row],[LC Number]],'Combine_List'!A:D,4,0)</f>
        <v>KSP</v>
      </c>
      <c r="O29" s="447">
        <f>VLOOKUP(Advices[[#This Row],[LC Number]],'Combine_List'!A:E,5,0)</f>
        <v>1020055</v>
      </c>
      <c r="P29" s="447">
        <f>MONTH(Advices[[#This Row],[Transaction Date]])</f>
        <v>10</v>
      </c>
      <c r="Q29" s="447">
        <f>YEAR(Advices[[#This Row],[Transaction Date]])</f>
        <v>2025</v>
      </c>
      <c r="R29" s="1"/>
    </row>
    <row r="30" spans="1:18" x14ac:dyDescent="0.25">
      <c r="A30" s="1" t="s">
        <v>21</v>
      </c>
      <c r="B30" s="178">
        <v>45932</v>
      </c>
      <c r="C30" s="1" t="s">
        <v>1951</v>
      </c>
      <c r="D30" s="1" t="s">
        <v>1967</v>
      </c>
      <c r="E30" s="1" t="s">
        <v>1408</v>
      </c>
      <c r="F30" s="1" t="s">
        <v>1965</v>
      </c>
      <c r="G30" s="1" t="s">
        <v>26</v>
      </c>
      <c r="H30" s="13">
        <v>300000</v>
      </c>
      <c r="I30" s="13">
        <v>0</v>
      </c>
      <c r="J30" s="1" t="s">
        <v>1126</v>
      </c>
      <c r="K30" s="1" t="s">
        <v>2025</v>
      </c>
      <c r="L30" s="1" t="str">
        <f>VLOOKUP(Advices[[#This Row],[LC Number]],'Combine_List'!A:D,2,0)</f>
        <v>ARAB EAGLE TRANSPORT CO.</v>
      </c>
      <c r="M30" s="447" t="str">
        <f>VLOOKUP(Advices[[#This Row],[LC Number]],'Combine_List'!A:D,3,0)</f>
        <v>FIRST FIX</v>
      </c>
      <c r="N30" s="447" t="str">
        <f>VLOOKUP(Advices[[#This Row],[LC Number]],'Combine_List'!A:D,4,0)</f>
        <v>KSP</v>
      </c>
      <c r="O30" s="447">
        <f>VLOOKUP(Advices[[#This Row],[LC Number]],'Combine_List'!A:E,5,0)</f>
        <v>1020055</v>
      </c>
      <c r="P30" s="447">
        <f>MONTH(Advices[[#This Row],[Transaction Date]])</f>
        <v>10</v>
      </c>
      <c r="Q30" s="447">
        <f>YEAR(Advices[[#This Row],[Transaction Date]])</f>
        <v>2025</v>
      </c>
      <c r="R30" s="1"/>
    </row>
    <row r="31" spans="1:18" x14ac:dyDescent="0.25">
      <c r="A31" s="1" t="s">
        <v>21</v>
      </c>
      <c r="B31" s="178">
        <v>45935</v>
      </c>
      <c r="C31" s="1" t="s">
        <v>1951</v>
      </c>
      <c r="D31" s="1" t="s">
        <v>1960</v>
      </c>
      <c r="E31" s="1" t="s">
        <v>629</v>
      </c>
      <c r="F31" s="1" t="s">
        <v>1968</v>
      </c>
      <c r="G31" s="1" t="s">
        <v>26</v>
      </c>
      <c r="H31" s="13">
        <v>11.25</v>
      </c>
      <c r="I31" s="13">
        <v>0</v>
      </c>
      <c r="J31" s="1" t="s">
        <v>1174</v>
      </c>
      <c r="K31" s="1" t="s">
        <v>2025</v>
      </c>
      <c r="L31" s="1" t="str">
        <f>VLOOKUP(Advices[[#This Row],[LC Number]],'Combine_List'!A:D,2,0)</f>
        <v>Light Technologies Company LTD / Lightech.</v>
      </c>
      <c r="M31" s="447" t="str">
        <f>VLOOKUP(Advices[[#This Row],[LC Number]],'Combine_List'!A:D,3,0)</f>
        <v>FIRST FIX</v>
      </c>
      <c r="N31" s="447" t="str">
        <f>VLOOKUP(Advices[[#This Row],[LC Number]],'Combine_List'!A:D,4,0)</f>
        <v>KSP</v>
      </c>
      <c r="O31" s="447">
        <f>VLOOKUP(Advices[[#This Row],[LC Number]],'Combine_List'!A:E,5,0)</f>
        <v>1020055</v>
      </c>
      <c r="P31" s="447">
        <f>MONTH(Advices[[#This Row],[Transaction Date]])</f>
        <v>10</v>
      </c>
      <c r="Q31" s="447">
        <f>YEAR(Advices[[#This Row],[Transaction Date]])</f>
        <v>2025</v>
      </c>
      <c r="R31" s="1"/>
    </row>
    <row r="32" spans="1:18" x14ac:dyDescent="0.25">
      <c r="A32" s="1" t="s">
        <v>21</v>
      </c>
      <c r="B32" s="178">
        <v>45935</v>
      </c>
      <c r="C32" s="1" t="s">
        <v>1951</v>
      </c>
      <c r="D32" s="1" t="s">
        <v>1969</v>
      </c>
      <c r="E32" s="1" t="s">
        <v>629</v>
      </c>
      <c r="F32" s="1" t="s">
        <v>1968</v>
      </c>
      <c r="G32" s="1" t="s">
        <v>26</v>
      </c>
      <c r="H32" s="13">
        <v>75</v>
      </c>
      <c r="I32" s="13">
        <v>0</v>
      </c>
      <c r="J32" s="1" t="s">
        <v>1963</v>
      </c>
      <c r="K32" s="1" t="s">
        <v>2025</v>
      </c>
      <c r="L32" s="1" t="str">
        <f>VLOOKUP(Advices[[#This Row],[LC Number]],'Combine_List'!A:D,2,0)</f>
        <v>Light Technologies Company LTD / Lightech.</v>
      </c>
      <c r="M32" s="447" t="str">
        <f>VLOOKUP(Advices[[#This Row],[LC Number]],'Combine_List'!A:D,3,0)</f>
        <v>FIRST FIX</v>
      </c>
      <c r="N32" s="447" t="str">
        <f>VLOOKUP(Advices[[#This Row],[LC Number]],'Combine_List'!A:D,4,0)</f>
        <v>KSP</v>
      </c>
      <c r="O32" s="447">
        <f>VLOOKUP(Advices[[#This Row],[LC Number]],'Combine_List'!A:E,5,0)</f>
        <v>1020055</v>
      </c>
      <c r="P32" s="447">
        <f>MONTH(Advices[[#This Row],[Transaction Date]])</f>
        <v>10</v>
      </c>
      <c r="Q32" s="447">
        <f>YEAR(Advices[[#This Row],[Transaction Date]])</f>
        <v>2025</v>
      </c>
      <c r="R32" s="1"/>
    </row>
    <row r="33" spans="1:18" x14ac:dyDescent="0.25">
      <c r="A33" s="1" t="s">
        <v>21</v>
      </c>
      <c r="B33" s="178">
        <v>45935</v>
      </c>
      <c r="C33" s="1" t="s">
        <v>1951</v>
      </c>
      <c r="D33" s="1" t="s">
        <v>1970</v>
      </c>
      <c r="E33" s="1" t="s">
        <v>629</v>
      </c>
      <c r="F33" s="1" t="s">
        <v>1968</v>
      </c>
      <c r="G33" s="1" t="s">
        <v>26</v>
      </c>
      <c r="H33" s="13">
        <v>899345.63</v>
      </c>
      <c r="I33" s="13">
        <v>0</v>
      </c>
      <c r="J33" s="1" t="s">
        <v>1126</v>
      </c>
      <c r="K33" s="1" t="s">
        <v>2025</v>
      </c>
      <c r="L33" s="1" t="str">
        <f>VLOOKUP(Advices[[#This Row],[LC Number]],'Combine_List'!A:D,2,0)</f>
        <v>Light Technologies Company LTD / Lightech.</v>
      </c>
      <c r="M33" s="447" t="str">
        <f>VLOOKUP(Advices[[#This Row],[LC Number]],'Combine_List'!A:D,3,0)</f>
        <v>FIRST FIX</v>
      </c>
      <c r="N33" s="447" t="str">
        <f>VLOOKUP(Advices[[#This Row],[LC Number]],'Combine_List'!A:D,4,0)</f>
        <v>KSP</v>
      </c>
      <c r="O33" s="447">
        <f>VLOOKUP(Advices[[#This Row],[LC Number]],'Combine_List'!A:E,5,0)</f>
        <v>1020055</v>
      </c>
      <c r="P33" s="447">
        <f>MONTH(Advices[[#This Row],[Transaction Date]])</f>
        <v>10</v>
      </c>
      <c r="Q33" s="447">
        <f>YEAR(Advices[[#This Row],[Transaction Date]])</f>
        <v>2025</v>
      </c>
      <c r="R33" s="1"/>
    </row>
    <row r="34" spans="1:18" x14ac:dyDescent="0.25">
      <c r="A34" s="1" t="s">
        <v>21</v>
      </c>
      <c r="B34" s="178">
        <v>45935</v>
      </c>
      <c r="C34" s="1" t="s">
        <v>1951</v>
      </c>
      <c r="D34" s="1" t="s">
        <v>1960</v>
      </c>
      <c r="E34" s="1" t="s">
        <v>799</v>
      </c>
      <c r="F34" s="1" t="s">
        <v>1971</v>
      </c>
      <c r="G34" s="1" t="s">
        <v>26</v>
      </c>
      <c r="H34" s="13">
        <v>11.25</v>
      </c>
      <c r="I34" s="13">
        <v>0</v>
      </c>
      <c r="J34" s="1" t="s">
        <v>1174</v>
      </c>
      <c r="K34" s="1" t="s">
        <v>2025</v>
      </c>
      <c r="L34" s="1" t="str">
        <f>VLOOKUP(Advices[[#This Row],[LC Number]],'Combine_List'!A:D,2,0)</f>
        <v>MOHAMMED MASOUD AL-KHALDI EST</v>
      </c>
      <c r="M34" s="447" t="str">
        <f>VLOOKUP(Advices[[#This Row],[LC Number]],'Combine_List'!A:D,3,0)</f>
        <v>FIRST FIX</v>
      </c>
      <c r="N34" s="447" t="str">
        <f>VLOOKUP(Advices[[#This Row],[LC Number]],'Combine_List'!A:D,4,0)</f>
        <v>KSP</v>
      </c>
      <c r="O34" s="447">
        <f>VLOOKUP(Advices[[#This Row],[LC Number]],'Combine_List'!A:E,5,0)</f>
        <v>1020055</v>
      </c>
      <c r="P34" s="447">
        <f>MONTH(Advices[[#This Row],[Transaction Date]])</f>
        <v>10</v>
      </c>
      <c r="Q34" s="447">
        <f>YEAR(Advices[[#This Row],[Transaction Date]])</f>
        <v>2025</v>
      </c>
      <c r="R34" s="1"/>
    </row>
    <row r="35" spans="1:18" x14ac:dyDescent="0.25">
      <c r="A35" s="1" t="s">
        <v>21</v>
      </c>
      <c r="B35" s="178">
        <v>45935</v>
      </c>
      <c r="C35" s="1" t="s">
        <v>1951</v>
      </c>
      <c r="D35" s="1" t="s">
        <v>1972</v>
      </c>
      <c r="E35" s="1" t="s">
        <v>799</v>
      </c>
      <c r="F35" s="1" t="s">
        <v>1971</v>
      </c>
      <c r="G35" s="1" t="s">
        <v>26</v>
      </c>
      <c r="H35" s="13">
        <v>75</v>
      </c>
      <c r="I35" s="13">
        <v>0</v>
      </c>
      <c r="J35" s="1" t="s">
        <v>1963</v>
      </c>
      <c r="K35" s="1" t="s">
        <v>2025</v>
      </c>
      <c r="L35" s="1" t="str">
        <f>VLOOKUP(Advices[[#This Row],[LC Number]],'Combine_List'!A:D,2,0)</f>
        <v>MOHAMMED MASOUD AL-KHALDI EST</v>
      </c>
      <c r="M35" s="447" t="str">
        <f>VLOOKUP(Advices[[#This Row],[LC Number]],'Combine_List'!A:D,3,0)</f>
        <v>FIRST FIX</v>
      </c>
      <c r="N35" s="447" t="str">
        <f>VLOOKUP(Advices[[#This Row],[LC Number]],'Combine_List'!A:D,4,0)</f>
        <v>KSP</v>
      </c>
      <c r="O35" s="447">
        <f>VLOOKUP(Advices[[#This Row],[LC Number]],'Combine_List'!A:E,5,0)</f>
        <v>1020055</v>
      </c>
      <c r="P35" s="447">
        <f>MONTH(Advices[[#This Row],[Transaction Date]])</f>
        <v>10</v>
      </c>
      <c r="Q35" s="447">
        <f>YEAR(Advices[[#This Row],[Transaction Date]])</f>
        <v>2025</v>
      </c>
      <c r="R35" s="1"/>
    </row>
    <row r="36" spans="1:18" x14ac:dyDescent="0.25">
      <c r="A36" s="1" t="s">
        <v>21</v>
      </c>
      <c r="B36" s="178">
        <v>45935</v>
      </c>
      <c r="C36" s="1" t="s">
        <v>1951</v>
      </c>
      <c r="D36" s="1" t="s">
        <v>1973</v>
      </c>
      <c r="E36" s="1" t="s">
        <v>799</v>
      </c>
      <c r="F36" s="1" t="s">
        <v>1971</v>
      </c>
      <c r="G36" s="1" t="s">
        <v>26</v>
      </c>
      <c r="H36" s="13">
        <v>274309</v>
      </c>
      <c r="I36" s="13">
        <v>0</v>
      </c>
      <c r="J36" s="1" t="s">
        <v>1126</v>
      </c>
      <c r="K36" s="1" t="s">
        <v>2025</v>
      </c>
      <c r="L36" s="1" t="str">
        <f>VLOOKUP(Advices[[#This Row],[LC Number]],'Combine_List'!A:D,2,0)</f>
        <v>MOHAMMED MASOUD AL-KHALDI EST</v>
      </c>
      <c r="M36" s="447" t="str">
        <f>VLOOKUP(Advices[[#This Row],[LC Number]],'Combine_List'!A:D,3,0)</f>
        <v>FIRST FIX</v>
      </c>
      <c r="N36" s="447" t="str">
        <f>VLOOKUP(Advices[[#This Row],[LC Number]],'Combine_List'!A:D,4,0)</f>
        <v>KSP</v>
      </c>
      <c r="O36" s="447">
        <f>VLOOKUP(Advices[[#This Row],[LC Number]],'Combine_List'!A:E,5,0)</f>
        <v>1020055</v>
      </c>
      <c r="P36" s="447">
        <f>MONTH(Advices[[#This Row],[Transaction Date]])</f>
        <v>10</v>
      </c>
      <c r="Q36" s="447">
        <f>YEAR(Advices[[#This Row],[Transaction Date]])</f>
        <v>2025</v>
      </c>
      <c r="R36" s="1"/>
    </row>
    <row r="37" spans="1:18" x14ac:dyDescent="0.25">
      <c r="A37" s="1" t="s">
        <v>21</v>
      </c>
      <c r="B37" s="178">
        <v>45935</v>
      </c>
      <c r="C37" s="1" t="s">
        <v>1951</v>
      </c>
      <c r="D37" s="1" t="s">
        <v>1960</v>
      </c>
      <c r="E37" s="1" t="s">
        <v>798</v>
      </c>
      <c r="F37" s="1" t="s">
        <v>1974</v>
      </c>
      <c r="G37" s="1" t="s">
        <v>26</v>
      </c>
      <c r="H37" s="13">
        <v>11.25</v>
      </c>
      <c r="I37" s="13">
        <v>0</v>
      </c>
      <c r="J37" s="1" t="s">
        <v>1174</v>
      </c>
      <c r="K37" s="1" t="s">
        <v>2025</v>
      </c>
      <c r="L37" s="1" t="str">
        <f>VLOOKUP(Advices[[#This Row],[LC Number]],'Combine_List'!A:D,2,0)</f>
        <v>Light Technologies Company Ltd. (Lightech)</v>
      </c>
      <c r="M37" s="447" t="str">
        <f>VLOOKUP(Advices[[#This Row],[LC Number]],'Combine_List'!A:D,3,0)</f>
        <v>FIRST FIX</v>
      </c>
      <c r="N37" s="447" t="str">
        <f>VLOOKUP(Advices[[#This Row],[LC Number]],'Combine_List'!A:D,4,0)</f>
        <v>KSP</v>
      </c>
      <c r="O37" s="447">
        <f>VLOOKUP(Advices[[#This Row],[LC Number]],'Combine_List'!A:E,5,0)</f>
        <v>1020055</v>
      </c>
      <c r="P37" s="447">
        <f>MONTH(Advices[[#This Row],[Transaction Date]])</f>
        <v>10</v>
      </c>
      <c r="Q37" s="447">
        <f>YEAR(Advices[[#This Row],[Transaction Date]])</f>
        <v>2025</v>
      </c>
      <c r="R37" s="1"/>
    </row>
    <row r="38" spans="1:18" x14ac:dyDescent="0.25">
      <c r="A38" s="1" t="s">
        <v>21</v>
      </c>
      <c r="B38" s="178">
        <v>45935</v>
      </c>
      <c r="C38" s="1" t="s">
        <v>1951</v>
      </c>
      <c r="D38" s="1" t="s">
        <v>1975</v>
      </c>
      <c r="E38" s="1" t="s">
        <v>798</v>
      </c>
      <c r="F38" s="1" t="s">
        <v>1974</v>
      </c>
      <c r="G38" s="1" t="s">
        <v>26</v>
      </c>
      <c r="H38" s="13">
        <v>75</v>
      </c>
      <c r="I38" s="13">
        <v>0</v>
      </c>
      <c r="J38" s="1" t="s">
        <v>1963</v>
      </c>
      <c r="K38" s="1" t="s">
        <v>2025</v>
      </c>
      <c r="L38" s="1" t="str">
        <f>VLOOKUP(Advices[[#This Row],[LC Number]],'Combine_List'!A:D,2,0)</f>
        <v>Light Technologies Company Ltd. (Lightech)</v>
      </c>
      <c r="M38" s="447" t="str">
        <f>VLOOKUP(Advices[[#This Row],[LC Number]],'Combine_List'!A:D,3,0)</f>
        <v>FIRST FIX</v>
      </c>
      <c r="N38" s="447" t="str">
        <f>VLOOKUP(Advices[[#This Row],[LC Number]],'Combine_List'!A:D,4,0)</f>
        <v>KSP</v>
      </c>
      <c r="O38" s="447">
        <f>VLOOKUP(Advices[[#This Row],[LC Number]],'Combine_List'!A:E,5,0)</f>
        <v>1020055</v>
      </c>
      <c r="P38" s="447">
        <f>MONTH(Advices[[#This Row],[Transaction Date]])</f>
        <v>10</v>
      </c>
      <c r="Q38" s="447">
        <f>YEAR(Advices[[#This Row],[Transaction Date]])</f>
        <v>2025</v>
      </c>
      <c r="R38" s="1"/>
    </row>
    <row r="39" spans="1:18" x14ac:dyDescent="0.25">
      <c r="A39" s="1" t="s">
        <v>21</v>
      </c>
      <c r="B39" s="178">
        <v>45935</v>
      </c>
      <c r="C39" s="1" t="s">
        <v>1951</v>
      </c>
      <c r="D39" s="1" t="s">
        <v>1976</v>
      </c>
      <c r="E39" s="1" t="s">
        <v>798</v>
      </c>
      <c r="F39" s="1" t="s">
        <v>1974</v>
      </c>
      <c r="G39" s="1" t="s">
        <v>26</v>
      </c>
      <c r="H39" s="13">
        <v>800000</v>
      </c>
      <c r="I39" s="13">
        <v>0</v>
      </c>
      <c r="J39" s="1" t="s">
        <v>1126</v>
      </c>
      <c r="K39" s="1" t="s">
        <v>2025</v>
      </c>
      <c r="L39" s="1" t="str">
        <f>VLOOKUP(Advices[[#This Row],[LC Number]],'Combine_List'!A:D,2,0)</f>
        <v>Light Technologies Company Ltd. (Lightech)</v>
      </c>
      <c r="M39" s="447" t="str">
        <f>VLOOKUP(Advices[[#This Row],[LC Number]],'Combine_List'!A:D,3,0)</f>
        <v>FIRST FIX</v>
      </c>
      <c r="N39" s="447" t="str">
        <f>VLOOKUP(Advices[[#This Row],[LC Number]],'Combine_List'!A:D,4,0)</f>
        <v>KSP</v>
      </c>
      <c r="O39" s="447">
        <f>VLOOKUP(Advices[[#This Row],[LC Number]],'Combine_List'!A:E,5,0)</f>
        <v>1020055</v>
      </c>
      <c r="P39" s="447">
        <f>MONTH(Advices[[#This Row],[Transaction Date]])</f>
        <v>10</v>
      </c>
      <c r="Q39" s="447">
        <f>YEAR(Advices[[#This Row],[Transaction Date]])</f>
        <v>2025</v>
      </c>
      <c r="R39" s="1"/>
    </row>
    <row r="40" spans="1:18" x14ac:dyDescent="0.25">
      <c r="A40" s="1" t="s">
        <v>21</v>
      </c>
      <c r="B40" s="178">
        <v>45935</v>
      </c>
      <c r="C40" s="1" t="s">
        <v>1951</v>
      </c>
      <c r="D40" s="1" t="s">
        <v>1960</v>
      </c>
      <c r="E40" s="1" t="s">
        <v>1502</v>
      </c>
      <c r="F40" s="1" t="s">
        <v>1977</v>
      </c>
      <c r="G40" s="1" t="s">
        <v>26</v>
      </c>
      <c r="H40" s="13">
        <v>11.25</v>
      </c>
      <c r="I40" s="13">
        <v>0</v>
      </c>
      <c r="J40" s="1" t="s">
        <v>1174</v>
      </c>
      <c r="K40" s="1" t="s">
        <v>2025</v>
      </c>
      <c r="L40" s="1" t="str">
        <f>VLOOKUP(Advices[[#This Row],[LC Number]],'Combine_List'!A:D,2,0)</f>
        <v>Saudi Electric Supply Company</v>
      </c>
      <c r="M40" s="447" t="str">
        <f>VLOOKUP(Advices[[#This Row],[LC Number]],'Combine_List'!A:D,3,0)</f>
        <v>FIRST FIX</v>
      </c>
      <c r="N40" s="447" t="str">
        <f>VLOOKUP(Advices[[#This Row],[LC Number]],'Combine_List'!A:D,4,0)</f>
        <v>JCD SPMI</v>
      </c>
      <c r="O40" s="447">
        <f>VLOOKUP(Advices[[#This Row],[LC Number]],'Combine_List'!A:E,5,0)</f>
        <v>1020100</v>
      </c>
      <c r="P40" s="447">
        <f>MONTH(Advices[[#This Row],[Transaction Date]])</f>
        <v>10</v>
      </c>
      <c r="Q40" s="447">
        <f>YEAR(Advices[[#This Row],[Transaction Date]])</f>
        <v>2025</v>
      </c>
      <c r="R40" s="1"/>
    </row>
    <row r="41" spans="1:18" x14ac:dyDescent="0.25">
      <c r="A41" s="1" t="s">
        <v>21</v>
      </c>
      <c r="B41" s="178">
        <v>45935</v>
      </c>
      <c r="C41" s="1" t="s">
        <v>1951</v>
      </c>
      <c r="D41" s="1" t="s">
        <v>1978</v>
      </c>
      <c r="E41" s="1" t="s">
        <v>1502</v>
      </c>
      <c r="F41" s="1" t="s">
        <v>1977</v>
      </c>
      <c r="G41" s="1" t="s">
        <v>26</v>
      </c>
      <c r="H41" s="13">
        <v>75</v>
      </c>
      <c r="I41" s="13">
        <v>0</v>
      </c>
      <c r="J41" s="1" t="s">
        <v>1963</v>
      </c>
      <c r="K41" s="1" t="s">
        <v>2025</v>
      </c>
      <c r="L41" s="1" t="str">
        <f>VLOOKUP(Advices[[#This Row],[LC Number]],'Combine_List'!A:D,2,0)</f>
        <v>Saudi Electric Supply Company</v>
      </c>
      <c r="M41" s="447" t="str">
        <f>VLOOKUP(Advices[[#This Row],[LC Number]],'Combine_List'!A:D,3,0)</f>
        <v>FIRST FIX</v>
      </c>
      <c r="N41" s="447" t="str">
        <f>VLOOKUP(Advices[[#This Row],[LC Number]],'Combine_List'!A:D,4,0)</f>
        <v>JCD SPMI</v>
      </c>
      <c r="O41" s="447">
        <f>VLOOKUP(Advices[[#This Row],[LC Number]],'Combine_List'!A:E,5,0)</f>
        <v>1020100</v>
      </c>
      <c r="P41" s="447">
        <f>MONTH(Advices[[#This Row],[Transaction Date]])</f>
        <v>10</v>
      </c>
      <c r="Q41" s="447">
        <f>YEAR(Advices[[#This Row],[Transaction Date]])</f>
        <v>2025</v>
      </c>
      <c r="R41" s="1"/>
    </row>
    <row r="42" spans="1:18" x14ac:dyDescent="0.25">
      <c r="A42" s="1" t="s">
        <v>21</v>
      </c>
      <c r="B42" s="178">
        <v>45935</v>
      </c>
      <c r="C42" s="1" t="s">
        <v>1951</v>
      </c>
      <c r="D42" s="1" t="s">
        <v>1979</v>
      </c>
      <c r="E42" s="1" t="s">
        <v>1502</v>
      </c>
      <c r="F42" s="1" t="s">
        <v>1977</v>
      </c>
      <c r="G42" s="1" t="s">
        <v>26</v>
      </c>
      <c r="H42" s="13">
        <v>400000</v>
      </c>
      <c r="I42" s="13">
        <v>0</v>
      </c>
      <c r="J42" s="1" t="s">
        <v>1126</v>
      </c>
      <c r="K42" s="1" t="s">
        <v>2025</v>
      </c>
      <c r="L42" s="1" t="str">
        <f>VLOOKUP(Advices[[#This Row],[LC Number]],'Combine_List'!A:D,2,0)</f>
        <v>Saudi Electric Supply Company</v>
      </c>
      <c r="M42" s="447" t="str">
        <f>VLOOKUP(Advices[[#This Row],[LC Number]],'Combine_List'!A:D,3,0)</f>
        <v>FIRST FIX</v>
      </c>
      <c r="N42" s="447" t="str">
        <f>VLOOKUP(Advices[[#This Row],[LC Number]],'Combine_List'!A:D,4,0)</f>
        <v>JCD SPMI</v>
      </c>
      <c r="O42" s="447">
        <f>VLOOKUP(Advices[[#This Row],[LC Number]],'Combine_List'!A:E,5,0)</f>
        <v>1020100</v>
      </c>
      <c r="P42" s="447">
        <f>MONTH(Advices[[#This Row],[Transaction Date]])</f>
        <v>10</v>
      </c>
      <c r="Q42" s="447">
        <f>YEAR(Advices[[#This Row],[Transaction Date]])</f>
        <v>2025</v>
      </c>
      <c r="R42" s="1"/>
    </row>
    <row r="43" spans="1:18" x14ac:dyDescent="0.25">
      <c r="A43" s="1" t="s">
        <v>21</v>
      </c>
      <c r="B43" s="178">
        <v>45936</v>
      </c>
      <c r="C43" s="1" t="s">
        <v>1951</v>
      </c>
      <c r="D43" s="1" t="s">
        <v>1960</v>
      </c>
      <c r="E43" s="1" t="s">
        <v>1316</v>
      </c>
      <c r="F43" s="1" t="s">
        <v>1980</v>
      </c>
      <c r="G43" s="1" t="s">
        <v>26</v>
      </c>
      <c r="H43" s="13">
        <v>11.25</v>
      </c>
      <c r="I43" s="13">
        <v>0</v>
      </c>
      <c r="J43" s="1" t="s">
        <v>1174</v>
      </c>
      <c r="K43" s="1" t="s">
        <v>2025</v>
      </c>
      <c r="L43" s="1" t="str">
        <f>VLOOKUP(Advices[[#This Row],[LC Number]],'Combine_List'!A:D,2,0)</f>
        <v>SAFID CO.LTD.</v>
      </c>
      <c r="M43" s="447" t="str">
        <f>VLOOKUP(Advices[[#This Row],[LC Number]],'Combine_List'!A:D,3,0)</f>
        <v>FIRST FIX</v>
      </c>
      <c r="N43" s="447" t="str">
        <f>VLOOKUP(Advices[[#This Row],[LC Number]],'Combine_List'!A:D,4,0)</f>
        <v>KSP</v>
      </c>
      <c r="O43" s="447">
        <f>VLOOKUP(Advices[[#This Row],[LC Number]],'Combine_List'!A:E,5,0)</f>
        <v>1020055</v>
      </c>
      <c r="P43" s="447">
        <f>MONTH(Advices[[#This Row],[Transaction Date]])</f>
        <v>10</v>
      </c>
      <c r="Q43" s="447">
        <f>YEAR(Advices[[#This Row],[Transaction Date]])</f>
        <v>2025</v>
      </c>
      <c r="R43" s="1"/>
    </row>
    <row r="44" spans="1:18" x14ac:dyDescent="0.25">
      <c r="A44" s="1" t="s">
        <v>21</v>
      </c>
      <c r="B44" s="178">
        <v>45936</v>
      </c>
      <c r="C44" s="1" t="s">
        <v>1951</v>
      </c>
      <c r="D44" s="1" t="s">
        <v>1981</v>
      </c>
      <c r="E44" s="1" t="s">
        <v>1316</v>
      </c>
      <c r="F44" s="1" t="s">
        <v>1980</v>
      </c>
      <c r="G44" s="1" t="s">
        <v>26</v>
      </c>
      <c r="H44" s="13">
        <v>75</v>
      </c>
      <c r="I44" s="13">
        <v>0</v>
      </c>
      <c r="J44" s="1" t="s">
        <v>1963</v>
      </c>
      <c r="K44" s="1" t="s">
        <v>2025</v>
      </c>
      <c r="L44" s="1" t="str">
        <f>VLOOKUP(Advices[[#This Row],[LC Number]],'Combine_List'!A:D,2,0)</f>
        <v>SAFID CO.LTD.</v>
      </c>
      <c r="M44" s="447" t="str">
        <f>VLOOKUP(Advices[[#This Row],[LC Number]],'Combine_List'!A:D,3,0)</f>
        <v>FIRST FIX</v>
      </c>
      <c r="N44" s="447" t="str">
        <f>VLOOKUP(Advices[[#This Row],[LC Number]],'Combine_List'!A:D,4,0)</f>
        <v>KSP</v>
      </c>
      <c r="O44" s="447">
        <f>VLOOKUP(Advices[[#This Row],[LC Number]],'Combine_List'!A:E,5,0)</f>
        <v>1020055</v>
      </c>
      <c r="P44" s="447">
        <f>MONTH(Advices[[#This Row],[Transaction Date]])</f>
        <v>10</v>
      </c>
      <c r="Q44" s="447">
        <f>YEAR(Advices[[#This Row],[Transaction Date]])</f>
        <v>2025</v>
      </c>
      <c r="R44" s="1"/>
    </row>
    <row r="45" spans="1:18" x14ac:dyDescent="0.25">
      <c r="A45" s="1" t="s">
        <v>21</v>
      </c>
      <c r="B45" s="178">
        <v>45936</v>
      </c>
      <c r="C45" s="1" t="s">
        <v>1951</v>
      </c>
      <c r="D45" s="1" t="s">
        <v>1982</v>
      </c>
      <c r="E45" s="1" t="s">
        <v>1316</v>
      </c>
      <c r="F45" s="1" t="s">
        <v>1980</v>
      </c>
      <c r="G45" s="1" t="s">
        <v>26</v>
      </c>
      <c r="H45" s="13">
        <v>1161954.08</v>
      </c>
      <c r="I45" s="13">
        <v>0</v>
      </c>
      <c r="J45" s="1" t="s">
        <v>1126</v>
      </c>
      <c r="K45" s="1" t="s">
        <v>2025</v>
      </c>
      <c r="L45" s="1" t="str">
        <f>VLOOKUP(Advices[[#This Row],[LC Number]],'Combine_List'!A:D,2,0)</f>
        <v>SAFID CO.LTD.</v>
      </c>
      <c r="M45" s="447" t="str">
        <f>VLOOKUP(Advices[[#This Row],[LC Number]],'Combine_List'!A:D,3,0)</f>
        <v>FIRST FIX</v>
      </c>
      <c r="N45" s="447" t="str">
        <f>VLOOKUP(Advices[[#This Row],[LC Number]],'Combine_List'!A:D,4,0)</f>
        <v>KSP</v>
      </c>
      <c r="O45" s="447">
        <f>VLOOKUP(Advices[[#This Row],[LC Number]],'Combine_List'!A:E,5,0)</f>
        <v>1020055</v>
      </c>
      <c r="P45" s="447">
        <f>MONTH(Advices[[#This Row],[Transaction Date]])</f>
        <v>10</v>
      </c>
      <c r="Q45" s="447">
        <f>YEAR(Advices[[#This Row],[Transaction Date]])</f>
        <v>2025</v>
      </c>
      <c r="R45" s="1"/>
    </row>
    <row r="46" spans="1:18" x14ac:dyDescent="0.25">
      <c r="A46" s="1" t="s">
        <v>21</v>
      </c>
      <c r="B46" s="178">
        <v>45937</v>
      </c>
      <c r="C46" s="1" t="s">
        <v>1951</v>
      </c>
      <c r="D46" s="1" t="s">
        <v>1983</v>
      </c>
      <c r="E46" s="1" t="s">
        <v>1332</v>
      </c>
      <c r="F46" s="1" t="s">
        <v>1984</v>
      </c>
      <c r="G46" s="1" t="s">
        <v>26</v>
      </c>
      <c r="H46" s="13">
        <v>190.15</v>
      </c>
      <c r="I46" s="13">
        <v>0</v>
      </c>
      <c r="J46" s="1" t="s">
        <v>1174</v>
      </c>
      <c r="K46" s="1" t="s">
        <v>2025</v>
      </c>
      <c r="L46" s="1" t="str">
        <f>VLOOKUP(Advices[[#This Row],[LC Number]],'Combine_List'!A:D,2,0)</f>
        <v>AKNAN ALKHAIR TRADING EST</v>
      </c>
      <c r="M46" s="447" t="str">
        <f>VLOOKUP(Advices[[#This Row],[LC Number]],'Combine_List'!A:D,3,0)</f>
        <v>FIRST FIX</v>
      </c>
      <c r="N46" s="447" t="str">
        <f>VLOOKUP(Advices[[#This Row],[LC Number]],'Combine_List'!A:D,4,0)</f>
        <v>KSP</v>
      </c>
      <c r="O46" s="447">
        <f>VLOOKUP(Advices[[#This Row],[LC Number]],'Combine_List'!A:E,5,0)</f>
        <v>1020055</v>
      </c>
      <c r="P46" s="447">
        <f>MONTH(Advices[[#This Row],[Transaction Date]])</f>
        <v>10</v>
      </c>
      <c r="Q46" s="447">
        <f>YEAR(Advices[[#This Row],[Transaction Date]])</f>
        <v>2025</v>
      </c>
      <c r="R46" s="1"/>
    </row>
    <row r="47" spans="1:18" x14ac:dyDescent="0.25">
      <c r="A47" s="1" t="s">
        <v>21</v>
      </c>
      <c r="B47" s="178">
        <v>45937</v>
      </c>
      <c r="C47" s="1" t="s">
        <v>1951</v>
      </c>
      <c r="D47" s="1" t="s">
        <v>1985</v>
      </c>
      <c r="E47" s="1" t="s">
        <v>1332</v>
      </c>
      <c r="F47" s="1" t="s">
        <v>1984</v>
      </c>
      <c r="G47" s="1" t="s">
        <v>26</v>
      </c>
      <c r="H47" s="13">
        <v>1267.69</v>
      </c>
      <c r="I47" s="13">
        <v>0</v>
      </c>
      <c r="J47" s="1" t="s">
        <v>1125</v>
      </c>
      <c r="K47" s="1" t="s">
        <v>2025</v>
      </c>
      <c r="L47" s="1" t="str">
        <f>VLOOKUP(Advices[[#This Row],[LC Number]],'Combine_List'!A:D,2,0)</f>
        <v>AKNAN ALKHAIR TRADING EST</v>
      </c>
      <c r="M47" s="447" t="str">
        <f>VLOOKUP(Advices[[#This Row],[LC Number]],'Combine_List'!A:D,3,0)</f>
        <v>FIRST FIX</v>
      </c>
      <c r="N47" s="447" t="str">
        <f>VLOOKUP(Advices[[#This Row],[LC Number]],'Combine_List'!A:D,4,0)</f>
        <v>KSP</v>
      </c>
      <c r="O47" s="447">
        <f>VLOOKUP(Advices[[#This Row],[LC Number]],'Combine_List'!A:E,5,0)</f>
        <v>1020055</v>
      </c>
      <c r="P47" s="447">
        <f>MONTH(Advices[[#This Row],[Transaction Date]])</f>
        <v>10</v>
      </c>
      <c r="Q47" s="447">
        <f>YEAR(Advices[[#This Row],[Transaction Date]])</f>
        <v>2025</v>
      </c>
      <c r="R47" s="1"/>
    </row>
    <row r="48" spans="1:18" x14ac:dyDescent="0.25">
      <c r="A48" s="1" t="s">
        <v>21</v>
      </c>
      <c r="B48" s="178">
        <v>45937</v>
      </c>
      <c r="C48" s="1" t="s">
        <v>1951</v>
      </c>
      <c r="D48" s="1" t="s">
        <v>1960</v>
      </c>
      <c r="E48" s="1" t="s">
        <v>1404</v>
      </c>
      <c r="F48" s="1" t="s">
        <v>1986</v>
      </c>
      <c r="G48" s="1" t="s">
        <v>26</v>
      </c>
      <c r="H48" s="13">
        <v>11.25</v>
      </c>
      <c r="I48" s="13">
        <v>0</v>
      </c>
      <c r="J48" s="1" t="s">
        <v>1174</v>
      </c>
      <c r="K48" s="1" t="s">
        <v>2025</v>
      </c>
      <c r="L48" s="1" t="str">
        <f>VLOOKUP(Advices[[#This Row],[LC Number]],'Combine_List'!A:D,2,0)</f>
        <v>DANIA AIR CONTROL SYSTEM FACTORY</v>
      </c>
      <c r="M48" s="447" t="str">
        <f>VLOOKUP(Advices[[#This Row],[LC Number]],'Combine_List'!A:D,3,0)</f>
        <v>FIRST FIX</v>
      </c>
      <c r="N48" s="447" t="str">
        <f>VLOOKUP(Advices[[#This Row],[LC Number]],'Combine_List'!A:D,4,0)</f>
        <v>KSP</v>
      </c>
      <c r="O48" s="447">
        <f>VLOOKUP(Advices[[#This Row],[LC Number]],'Combine_List'!A:E,5,0)</f>
        <v>1020055</v>
      </c>
      <c r="P48" s="447">
        <f>MONTH(Advices[[#This Row],[Transaction Date]])</f>
        <v>10</v>
      </c>
      <c r="Q48" s="447">
        <f>YEAR(Advices[[#This Row],[Transaction Date]])</f>
        <v>2025</v>
      </c>
      <c r="R48" s="1"/>
    </row>
    <row r="49" spans="1:18" x14ac:dyDescent="0.25">
      <c r="A49" s="1" t="s">
        <v>21</v>
      </c>
      <c r="B49" s="178">
        <v>45937</v>
      </c>
      <c r="C49" s="1" t="s">
        <v>1951</v>
      </c>
      <c r="D49" s="1" t="s">
        <v>1987</v>
      </c>
      <c r="E49" s="1" t="s">
        <v>1404</v>
      </c>
      <c r="F49" s="1" t="s">
        <v>1986</v>
      </c>
      <c r="G49" s="1" t="s">
        <v>26</v>
      </c>
      <c r="H49" s="13">
        <v>75</v>
      </c>
      <c r="I49" s="13">
        <v>0</v>
      </c>
      <c r="J49" s="1" t="s">
        <v>1963</v>
      </c>
      <c r="K49" s="1" t="s">
        <v>2025</v>
      </c>
      <c r="L49" s="1" t="str">
        <f>VLOOKUP(Advices[[#This Row],[LC Number]],'Combine_List'!A:D,2,0)</f>
        <v>DANIA AIR CONTROL SYSTEM FACTORY</v>
      </c>
      <c r="M49" s="447" t="str">
        <f>VLOOKUP(Advices[[#This Row],[LC Number]],'Combine_List'!A:D,3,0)</f>
        <v>FIRST FIX</v>
      </c>
      <c r="N49" s="447" t="str">
        <f>VLOOKUP(Advices[[#This Row],[LC Number]],'Combine_List'!A:D,4,0)</f>
        <v>KSP</v>
      </c>
      <c r="O49" s="447">
        <f>VLOOKUP(Advices[[#This Row],[LC Number]],'Combine_List'!A:E,5,0)</f>
        <v>1020055</v>
      </c>
      <c r="P49" s="447">
        <f>MONTH(Advices[[#This Row],[Transaction Date]])</f>
        <v>10</v>
      </c>
      <c r="Q49" s="447">
        <f>YEAR(Advices[[#This Row],[Transaction Date]])</f>
        <v>2025</v>
      </c>
      <c r="R49" s="1"/>
    </row>
    <row r="50" spans="1:18" x14ac:dyDescent="0.25">
      <c r="A50" s="1" t="s">
        <v>21</v>
      </c>
      <c r="B50" s="178">
        <v>45937</v>
      </c>
      <c r="C50" s="1" t="s">
        <v>1951</v>
      </c>
      <c r="D50" s="1" t="s">
        <v>1988</v>
      </c>
      <c r="E50" s="1" t="s">
        <v>1404</v>
      </c>
      <c r="F50" s="1" t="s">
        <v>1986</v>
      </c>
      <c r="G50" s="1" t="s">
        <v>26</v>
      </c>
      <c r="H50" s="13">
        <v>197999</v>
      </c>
      <c r="I50" s="13">
        <v>0</v>
      </c>
      <c r="J50" s="1" t="s">
        <v>1126</v>
      </c>
      <c r="K50" s="1" t="s">
        <v>2025</v>
      </c>
      <c r="L50" s="1" t="str">
        <f>VLOOKUP(Advices[[#This Row],[LC Number]],'Combine_List'!A:D,2,0)</f>
        <v>DANIA AIR CONTROL SYSTEM FACTORY</v>
      </c>
      <c r="M50" s="447" t="str">
        <f>VLOOKUP(Advices[[#This Row],[LC Number]],'Combine_List'!A:D,3,0)</f>
        <v>FIRST FIX</v>
      </c>
      <c r="N50" s="447" t="str">
        <f>VLOOKUP(Advices[[#This Row],[LC Number]],'Combine_List'!A:D,4,0)</f>
        <v>KSP</v>
      </c>
      <c r="O50" s="447">
        <f>VLOOKUP(Advices[[#This Row],[LC Number]],'Combine_List'!A:E,5,0)</f>
        <v>1020055</v>
      </c>
      <c r="P50" s="447">
        <f>MONTH(Advices[[#This Row],[Transaction Date]])</f>
        <v>10</v>
      </c>
      <c r="Q50" s="447">
        <f>YEAR(Advices[[#This Row],[Transaction Date]])</f>
        <v>2025</v>
      </c>
      <c r="R50" s="1"/>
    </row>
    <row r="51" spans="1:18" x14ac:dyDescent="0.25">
      <c r="A51" s="1" t="s">
        <v>21</v>
      </c>
      <c r="B51" s="178">
        <v>45937</v>
      </c>
      <c r="C51" s="1" t="s">
        <v>1951</v>
      </c>
      <c r="D51" s="1" t="s">
        <v>1989</v>
      </c>
      <c r="E51" s="1" t="s">
        <v>1487</v>
      </c>
      <c r="F51" s="1" t="s">
        <v>1990</v>
      </c>
      <c r="G51" s="1" t="s">
        <v>26</v>
      </c>
      <c r="H51" s="13">
        <v>434.18</v>
      </c>
      <c r="I51" s="13">
        <v>0</v>
      </c>
      <c r="J51" s="1" t="s">
        <v>1174</v>
      </c>
      <c r="K51" s="1" t="s">
        <v>2025</v>
      </c>
      <c r="L51" s="1" t="str">
        <f>VLOOKUP(Advices[[#This Row],[LC Number]],'Combine_List'!A:D,2,0)</f>
        <v>SCHNEIDER ELECTRIC SAUDI ARABIA CO</v>
      </c>
      <c r="M51" s="447" t="str">
        <f>VLOOKUP(Advices[[#This Row],[LC Number]],'Combine_List'!A:D,3,0)</f>
        <v>FIRST FIX</v>
      </c>
      <c r="N51" s="447" t="str">
        <f>VLOOKUP(Advices[[#This Row],[LC Number]],'Combine_List'!A:D,4,0)</f>
        <v>JCD SPMI</v>
      </c>
      <c r="O51" s="447">
        <f>VLOOKUP(Advices[[#This Row],[LC Number]],'Combine_List'!A:E,5,0)</f>
        <v>1020100</v>
      </c>
      <c r="P51" s="447">
        <f>MONTH(Advices[[#This Row],[Transaction Date]])</f>
        <v>10</v>
      </c>
      <c r="Q51" s="447">
        <f>YEAR(Advices[[#This Row],[Transaction Date]])</f>
        <v>2025</v>
      </c>
      <c r="R51" s="1"/>
    </row>
    <row r="52" spans="1:18" x14ac:dyDescent="0.25">
      <c r="A52" s="1" t="s">
        <v>21</v>
      </c>
      <c r="B52" s="178">
        <v>45937</v>
      </c>
      <c r="C52" s="1" t="s">
        <v>1951</v>
      </c>
      <c r="D52" s="1" t="s">
        <v>1991</v>
      </c>
      <c r="E52" s="1" t="s">
        <v>1487</v>
      </c>
      <c r="F52" s="1" t="s">
        <v>1990</v>
      </c>
      <c r="G52" s="1" t="s">
        <v>26</v>
      </c>
      <c r="H52" s="13">
        <v>2894.55</v>
      </c>
      <c r="I52" s="13">
        <v>0</v>
      </c>
      <c r="J52" s="1" t="s">
        <v>1125</v>
      </c>
      <c r="K52" s="1" t="s">
        <v>2025</v>
      </c>
      <c r="L52" s="1" t="str">
        <f>VLOOKUP(Advices[[#This Row],[LC Number]],'Combine_List'!A:D,2,0)</f>
        <v>SCHNEIDER ELECTRIC SAUDI ARABIA CO</v>
      </c>
      <c r="M52" s="447" t="str">
        <f>VLOOKUP(Advices[[#This Row],[LC Number]],'Combine_List'!A:D,3,0)</f>
        <v>FIRST FIX</v>
      </c>
      <c r="N52" s="447" t="str">
        <f>VLOOKUP(Advices[[#This Row],[LC Number]],'Combine_List'!A:D,4,0)</f>
        <v>JCD SPMI</v>
      </c>
      <c r="O52" s="447">
        <f>VLOOKUP(Advices[[#This Row],[LC Number]],'Combine_List'!A:E,5,0)</f>
        <v>1020100</v>
      </c>
      <c r="P52" s="447">
        <f>MONTH(Advices[[#This Row],[Transaction Date]])</f>
        <v>10</v>
      </c>
      <c r="Q52" s="447">
        <f>YEAR(Advices[[#This Row],[Transaction Date]])</f>
        <v>2025</v>
      </c>
      <c r="R52" s="1"/>
    </row>
    <row r="53" spans="1:18" x14ac:dyDescent="0.25">
      <c r="A53" s="1" t="s">
        <v>21</v>
      </c>
      <c r="B53" s="178">
        <v>45938</v>
      </c>
      <c r="C53" s="1" t="s">
        <v>1951</v>
      </c>
      <c r="D53" s="1" t="s">
        <v>1952</v>
      </c>
      <c r="E53" s="1" t="s">
        <v>1315</v>
      </c>
      <c r="F53" s="1" t="s">
        <v>1992</v>
      </c>
      <c r="G53" s="1" t="s">
        <v>26</v>
      </c>
      <c r="H53" s="13">
        <v>187.5</v>
      </c>
      <c r="I53" s="13">
        <v>0</v>
      </c>
      <c r="J53" s="1" t="s">
        <v>1174</v>
      </c>
      <c r="K53" s="1" t="s">
        <v>2025</v>
      </c>
      <c r="L53" s="1" t="str">
        <f>VLOOKUP(Advices[[#This Row],[LC Number]],'Combine_List'!A:D,2,0)</f>
        <v>RAWABI AL MAHFAR TRADING CO.</v>
      </c>
      <c r="M53" s="447" t="str">
        <f>VLOOKUP(Advices[[#This Row],[LC Number]],'Combine_List'!A:D,3,0)</f>
        <v>FIRST FIX</v>
      </c>
      <c r="N53" s="447" t="str">
        <f>VLOOKUP(Advices[[#This Row],[LC Number]],'Combine_List'!A:D,4,0)</f>
        <v>KSP</v>
      </c>
      <c r="O53" s="447">
        <f>VLOOKUP(Advices[[#This Row],[LC Number]],'Combine_List'!A:E,5,0)</f>
        <v>1020055</v>
      </c>
      <c r="P53" s="447">
        <f>MONTH(Advices[[#This Row],[Transaction Date]])</f>
        <v>10</v>
      </c>
      <c r="Q53" s="447">
        <f>YEAR(Advices[[#This Row],[Transaction Date]])</f>
        <v>2025</v>
      </c>
      <c r="R53" s="1"/>
    </row>
    <row r="54" spans="1:18" x14ac:dyDescent="0.25">
      <c r="A54" s="1" t="s">
        <v>21</v>
      </c>
      <c r="B54" s="178">
        <v>45938</v>
      </c>
      <c r="C54" s="1" t="s">
        <v>1951</v>
      </c>
      <c r="D54" s="1" t="s">
        <v>1993</v>
      </c>
      <c r="E54" s="1" t="s">
        <v>1315</v>
      </c>
      <c r="F54" s="1" t="s">
        <v>1992</v>
      </c>
      <c r="G54" s="1" t="s">
        <v>26</v>
      </c>
      <c r="H54" s="13">
        <v>1250</v>
      </c>
      <c r="I54" s="13">
        <v>0</v>
      </c>
      <c r="J54" s="1" t="s">
        <v>1125</v>
      </c>
      <c r="K54" s="1" t="s">
        <v>2025</v>
      </c>
      <c r="L54" s="1" t="str">
        <f>VLOOKUP(Advices[[#This Row],[LC Number]],'Combine_List'!A:D,2,0)</f>
        <v>RAWABI AL MAHFAR TRADING CO.</v>
      </c>
      <c r="M54" s="447" t="str">
        <f>VLOOKUP(Advices[[#This Row],[LC Number]],'Combine_List'!A:D,3,0)</f>
        <v>FIRST FIX</v>
      </c>
      <c r="N54" s="447" t="str">
        <f>VLOOKUP(Advices[[#This Row],[LC Number]],'Combine_List'!A:D,4,0)</f>
        <v>KSP</v>
      </c>
      <c r="O54" s="447">
        <f>VLOOKUP(Advices[[#This Row],[LC Number]],'Combine_List'!A:E,5,0)</f>
        <v>1020055</v>
      </c>
      <c r="P54" s="447">
        <f>MONTH(Advices[[#This Row],[Transaction Date]])</f>
        <v>10</v>
      </c>
      <c r="Q54" s="447">
        <f>YEAR(Advices[[#This Row],[Transaction Date]])</f>
        <v>2025</v>
      </c>
      <c r="R54" s="1"/>
    </row>
    <row r="55" spans="1:18" x14ac:dyDescent="0.25">
      <c r="A55" s="1" t="s">
        <v>21</v>
      </c>
      <c r="B55" s="178">
        <v>45938</v>
      </c>
      <c r="C55" s="1" t="s">
        <v>1951</v>
      </c>
      <c r="D55" s="1" t="s">
        <v>1952</v>
      </c>
      <c r="E55" s="1" t="s">
        <v>1399</v>
      </c>
      <c r="F55" s="1" t="s">
        <v>1994</v>
      </c>
      <c r="G55" s="1" t="s">
        <v>26</v>
      </c>
      <c r="H55" s="13">
        <v>187.5</v>
      </c>
      <c r="I55" s="13">
        <v>0</v>
      </c>
      <c r="J55" s="1" t="s">
        <v>1174</v>
      </c>
      <c r="K55" s="1" t="s">
        <v>2025</v>
      </c>
      <c r="L55" s="1" t="str">
        <f>VLOOKUP(Advices[[#This Row],[LC Number]],'Combine_List'!A:D,2,0)</f>
        <v>GAS SOLUTIONS</v>
      </c>
      <c r="M55" s="447" t="str">
        <f>VLOOKUP(Advices[[#This Row],[LC Number]],'Combine_List'!A:D,3,0)</f>
        <v>FIRST FIX</v>
      </c>
      <c r="N55" s="447" t="str">
        <f>VLOOKUP(Advices[[#This Row],[LC Number]],'Combine_List'!A:D,4,0)</f>
        <v>KSP</v>
      </c>
      <c r="O55" s="447">
        <f>VLOOKUP(Advices[[#This Row],[LC Number]],'Combine_List'!A:E,5,0)</f>
        <v>1020055</v>
      </c>
      <c r="P55" s="447">
        <f>MONTH(Advices[[#This Row],[Transaction Date]])</f>
        <v>10</v>
      </c>
      <c r="Q55" s="447">
        <f>YEAR(Advices[[#This Row],[Transaction Date]])</f>
        <v>2025</v>
      </c>
      <c r="R55" s="1"/>
    </row>
    <row r="56" spans="1:18" x14ac:dyDescent="0.25">
      <c r="A56" s="1" t="s">
        <v>21</v>
      </c>
      <c r="B56" s="178">
        <v>45938</v>
      </c>
      <c r="C56" s="1" t="s">
        <v>1951</v>
      </c>
      <c r="D56" s="1" t="s">
        <v>1995</v>
      </c>
      <c r="E56" s="1" t="s">
        <v>1399</v>
      </c>
      <c r="F56" s="1" t="s">
        <v>1994</v>
      </c>
      <c r="G56" s="1" t="s">
        <v>26</v>
      </c>
      <c r="H56" s="13">
        <v>1250</v>
      </c>
      <c r="I56" s="13">
        <v>0</v>
      </c>
      <c r="J56" s="1" t="s">
        <v>1125</v>
      </c>
      <c r="K56" s="1" t="s">
        <v>2025</v>
      </c>
      <c r="L56" s="1" t="str">
        <f>VLOOKUP(Advices[[#This Row],[LC Number]],'Combine_List'!A:D,2,0)</f>
        <v>GAS SOLUTIONS</v>
      </c>
      <c r="M56" s="447" t="str">
        <f>VLOOKUP(Advices[[#This Row],[LC Number]],'Combine_List'!A:D,3,0)</f>
        <v>FIRST FIX</v>
      </c>
      <c r="N56" s="447" t="str">
        <f>VLOOKUP(Advices[[#This Row],[LC Number]],'Combine_List'!A:D,4,0)</f>
        <v>KSP</v>
      </c>
      <c r="O56" s="447">
        <f>VLOOKUP(Advices[[#This Row],[LC Number]],'Combine_List'!A:E,5,0)</f>
        <v>1020055</v>
      </c>
      <c r="P56" s="447">
        <f>MONTH(Advices[[#This Row],[Transaction Date]])</f>
        <v>10</v>
      </c>
      <c r="Q56" s="447">
        <f>YEAR(Advices[[#This Row],[Transaction Date]])</f>
        <v>2025</v>
      </c>
      <c r="R56" s="1"/>
    </row>
    <row r="57" spans="1:18" x14ac:dyDescent="0.25">
      <c r="A57" s="1" t="s">
        <v>21</v>
      </c>
      <c r="B57" s="178">
        <v>45938</v>
      </c>
      <c r="C57" s="1" t="s">
        <v>1951</v>
      </c>
      <c r="D57" s="1" t="s">
        <v>1996</v>
      </c>
      <c r="E57" s="1" t="s">
        <v>1551</v>
      </c>
      <c r="F57" s="1" t="s">
        <v>1551</v>
      </c>
      <c r="G57" s="1" t="s">
        <v>26</v>
      </c>
      <c r="H57" s="13">
        <v>37.5</v>
      </c>
      <c r="I57" s="13">
        <v>0</v>
      </c>
      <c r="J57" s="1" t="s">
        <v>1174</v>
      </c>
      <c r="K57" s="1" t="s">
        <v>2025</v>
      </c>
      <c r="L57" s="1" t="str">
        <f>VLOOKUP(Advices[[#This Row],[LC Number]],'Combine_List'!A:D,2,0)</f>
        <v>BBH-CHEMTROL INTERNATIONAL ORGANIZATION S.L</v>
      </c>
      <c r="M57" s="447" t="str">
        <f>VLOOKUP(Advices[[#This Row],[LC Number]],'Combine_List'!A:D,3,0)</f>
        <v>MBL/ICAD</v>
      </c>
      <c r="N57" s="447" t="str">
        <f>VLOOKUP(Advices[[#This Row],[LC Number]],'Combine_List'!A:D,4,0)</f>
        <v>KSP</v>
      </c>
      <c r="O57" s="447">
        <f>VLOOKUP(Advices[[#This Row],[LC Number]],'Combine_List'!A:E,5,0)</f>
        <v>1020055</v>
      </c>
      <c r="P57" s="447">
        <f>MONTH(Advices[[#This Row],[Transaction Date]])</f>
        <v>10</v>
      </c>
      <c r="Q57" s="447">
        <f>YEAR(Advices[[#This Row],[Transaction Date]])</f>
        <v>2025</v>
      </c>
      <c r="R57" s="1"/>
    </row>
    <row r="58" spans="1:18" x14ac:dyDescent="0.25">
      <c r="A58" s="1" t="s">
        <v>21</v>
      </c>
      <c r="B58" s="178">
        <v>45938</v>
      </c>
      <c r="C58" s="1" t="s">
        <v>1951</v>
      </c>
      <c r="D58" s="1" t="s">
        <v>1996</v>
      </c>
      <c r="E58" s="1" t="s">
        <v>1551</v>
      </c>
      <c r="F58" s="1" t="s">
        <v>1551</v>
      </c>
      <c r="G58" s="1" t="s">
        <v>26</v>
      </c>
      <c r="H58" s="13">
        <v>75</v>
      </c>
      <c r="I58" s="13">
        <v>0</v>
      </c>
      <c r="J58" s="1" t="s">
        <v>1174</v>
      </c>
      <c r="K58" s="1" t="s">
        <v>2025</v>
      </c>
      <c r="L58" s="1" t="str">
        <f>VLOOKUP(Advices[[#This Row],[LC Number]],'Combine_List'!A:D,2,0)</f>
        <v>BBH-CHEMTROL INTERNATIONAL ORGANIZATION S.L</v>
      </c>
      <c r="M58" s="447" t="str">
        <f>VLOOKUP(Advices[[#This Row],[LC Number]],'Combine_List'!A:D,3,0)</f>
        <v>MBL/ICAD</v>
      </c>
      <c r="N58" s="447" t="str">
        <f>VLOOKUP(Advices[[#This Row],[LC Number]],'Combine_List'!A:D,4,0)</f>
        <v>KSP</v>
      </c>
      <c r="O58" s="447">
        <f>VLOOKUP(Advices[[#This Row],[LC Number]],'Combine_List'!A:E,5,0)</f>
        <v>1020055</v>
      </c>
      <c r="P58" s="447">
        <f>MONTH(Advices[[#This Row],[Transaction Date]])</f>
        <v>10</v>
      </c>
      <c r="Q58" s="447">
        <f>YEAR(Advices[[#This Row],[Transaction Date]])</f>
        <v>2025</v>
      </c>
      <c r="R58" s="1"/>
    </row>
    <row r="59" spans="1:18" x14ac:dyDescent="0.25">
      <c r="A59" s="1" t="s">
        <v>21</v>
      </c>
      <c r="B59" s="178">
        <v>45938</v>
      </c>
      <c r="C59" s="1" t="s">
        <v>1951</v>
      </c>
      <c r="D59" s="1" t="s">
        <v>1997</v>
      </c>
      <c r="E59" s="1" t="s">
        <v>1551</v>
      </c>
      <c r="F59" s="1" t="s">
        <v>1551</v>
      </c>
      <c r="G59" s="1" t="s">
        <v>26</v>
      </c>
      <c r="H59" s="13">
        <v>250</v>
      </c>
      <c r="I59" s="13">
        <v>0</v>
      </c>
      <c r="J59" s="1" t="s">
        <v>1963</v>
      </c>
      <c r="K59" s="1" t="s">
        <v>2025</v>
      </c>
      <c r="L59" s="1" t="str">
        <f>VLOOKUP(Advices[[#This Row],[LC Number]],'Combine_List'!A:D,2,0)</f>
        <v>BBH-CHEMTROL INTERNATIONAL ORGANIZATION S.L</v>
      </c>
      <c r="M59" s="447" t="str">
        <f>VLOOKUP(Advices[[#This Row],[LC Number]],'Combine_List'!A:D,3,0)</f>
        <v>MBL/ICAD</v>
      </c>
      <c r="N59" s="447" t="str">
        <f>VLOOKUP(Advices[[#This Row],[LC Number]],'Combine_List'!A:D,4,0)</f>
        <v>KSP</v>
      </c>
      <c r="O59" s="447">
        <f>VLOOKUP(Advices[[#This Row],[LC Number]],'Combine_List'!A:E,5,0)</f>
        <v>1020055</v>
      </c>
      <c r="P59" s="447">
        <f>MONTH(Advices[[#This Row],[Transaction Date]])</f>
        <v>10</v>
      </c>
      <c r="Q59" s="447">
        <f>YEAR(Advices[[#This Row],[Transaction Date]])</f>
        <v>2025</v>
      </c>
      <c r="R59" s="1"/>
    </row>
    <row r="60" spans="1:18" x14ac:dyDescent="0.25">
      <c r="A60" s="1" t="s">
        <v>21</v>
      </c>
      <c r="B60" s="178">
        <v>45938</v>
      </c>
      <c r="C60" s="1" t="s">
        <v>1951</v>
      </c>
      <c r="D60" s="1" t="s">
        <v>1998</v>
      </c>
      <c r="E60" s="1" t="s">
        <v>1551</v>
      </c>
      <c r="F60" s="1" t="s">
        <v>1551</v>
      </c>
      <c r="G60" s="1" t="s">
        <v>26</v>
      </c>
      <c r="H60" s="13">
        <v>500</v>
      </c>
      <c r="I60" s="13">
        <v>0</v>
      </c>
      <c r="J60" s="1" t="s">
        <v>1124</v>
      </c>
      <c r="K60" s="1" t="s">
        <v>2025</v>
      </c>
      <c r="L60" s="1" t="str">
        <f>VLOOKUP(Advices[[#This Row],[LC Number]],'Combine_List'!A:D,2,0)</f>
        <v>BBH-CHEMTROL INTERNATIONAL ORGANIZATION S.L</v>
      </c>
      <c r="M60" s="447" t="str">
        <f>VLOOKUP(Advices[[#This Row],[LC Number]],'Combine_List'!A:D,3,0)</f>
        <v>MBL/ICAD</v>
      </c>
      <c r="N60" s="447" t="str">
        <f>VLOOKUP(Advices[[#This Row],[LC Number]],'Combine_List'!A:D,4,0)</f>
        <v>KSP</v>
      </c>
      <c r="O60" s="447">
        <f>VLOOKUP(Advices[[#This Row],[LC Number]],'Combine_List'!A:E,5,0)</f>
        <v>1020055</v>
      </c>
      <c r="P60" s="447">
        <f>MONTH(Advices[[#This Row],[Transaction Date]])</f>
        <v>10</v>
      </c>
      <c r="Q60" s="447">
        <f>YEAR(Advices[[#This Row],[Transaction Date]])</f>
        <v>2025</v>
      </c>
      <c r="R60" s="1"/>
    </row>
    <row r="61" spans="1:18" x14ac:dyDescent="0.25">
      <c r="A61" s="1" t="s">
        <v>21</v>
      </c>
      <c r="B61" s="178">
        <v>45942</v>
      </c>
      <c r="C61" s="1" t="s">
        <v>1951</v>
      </c>
      <c r="D61" s="1" t="s">
        <v>1952</v>
      </c>
      <c r="E61" s="1" t="s">
        <v>1191</v>
      </c>
      <c r="F61" s="1" t="s">
        <v>1999</v>
      </c>
      <c r="G61" s="1" t="s">
        <v>26</v>
      </c>
      <c r="H61" s="13">
        <v>187.5</v>
      </c>
      <c r="I61" s="13">
        <v>0</v>
      </c>
      <c r="J61" s="1" t="s">
        <v>1174</v>
      </c>
      <c r="K61" s="1" t="s">
        <v>2025</v>
      </c>
      <c r="L61" s="1" t="str">
        <f>VLOOKUP(Advices[[#This Row],[LC Number]],'Combine_List'!A:D,2,0)</f>
        <v>Awtad Jeddah for General Contracting Company</v>
      </c>
      <c r="M61" s="447" t="str">
        <f>VLOOKUP(Advices[[#This Row],[LC Number]],'Combine_List'!A:D,3,0)</f>
        <v>MBL</v>
      </c>
      <c r="N61" s="447" t="str">
        <f>VLOOKUP(Advices[[#This Row],[LC Number]],'Combine_List'!A:D,4,0)</f>
        <v>Rabigh Power Plant</v>
      </c>
      <c r="O61" s="447">
        <f>VLOOKUP(Advices[[#This Row],[LC Number]],'Combine_List'!A:E,5,0)</f>
        <v>1020107</v>
      </c>
      <c r="P61" s="447">
        <f>MONTH(Advices[[#This Row],[Transaction Date]])</f>
        <v>10</v>
      </c>
      <c r="Q61" s="447">
        <f>YEAR(Advices[[#This Row],[Transaction Date]])</f>
        <v>2025</v>
      </c>
      <c r="R61" s="1"/>
    </row>
    <row r="62" spans="1:18" x14ac:dyDescent="0.25">
      <c r="A62" s="1" t="s">
        <v>21</v>
      </c>
      <c r="B62" s="178">
        <v>45942</v>
      </c>
      <c r="C62" s="1" t="s">
        <v>1951</v>
      </c>
      <c r="D62" s="1" t="s">
        <v>2000</v>
      </c>
      <c r="E62" s="1" t="s">
        <v>1191</v>
      </c>
      <c r="F62" s="1" t="s">
        <v>1999</v>
      </c>
      <c r="G62" s="1" t="s">
        <v>26</v>
      </c>
      <c r="H62" s="13">
        <v>1250</v>
      </c>
      <c r="I62" s="13">
        <v>0</v>
      </c>
      <c r="J62" s="1" t="s">
        <v>1125</v>
      </c>
      <c r="K62" s="1" t="s">
        <v>2025</v>
      </c>
      <c r="L62" s="1" t="str">
        <f>VLOOKUP(Advices[[#This Row],[LC Number]],'Combine_List'!A:D,2,0)</f>
        <v>Awtad Jeddah for General Contracting Company</v>
      </c>
      <c r="M62" s="447" t="str">
        <f>VLOOKUP(Advices[[#This Row],[LC Number]],'Combine_List'!A:D,3,0)</f>
        <v>MBL</v>
      </c>
      <c r="N62" s="447" t="str">
        <f>VLOOKUP(Advices[[#This Row],[LC Number]],'Combine_List'!A:D,4,0)</f>
        <v>Rabigh Power Plant</v>
      </c>
      <c r="O62" s="447">
        <f>VLOOKUP(Advices[[#This Row],[LC Number]],'Combine_List'!A:E,5,0)</f>
        <v>1020107</v>
      </c>
      <c r="P62" s="447">
        <f>MONTH(Advices[[#This Row],[Transaction Date]])</f>
        <v>10</v>
      </c>
      <c r="Q62" s="447">
        <f>YEAR(Advices[[#This Row],[Transaction Date]])</f>
        <v>2025</v>
      </c>
      <c r="R62" s="1"/>
    </row>
    <row r="63" spans="1:18" x14ac:dyDescent="0.25">
      <c r="A63" s="1" t="s">
        <v>21</v>
      </c>
      <c r="B63" s="178">
        <v>45942</v>
      </c>
      <c r="C63" s="1" t="s">
        <v>1951</v>
      </c>
      <c r="D63" s="1" t="s">
        <v>2001</v>
      </c>
      <c r="E63" s="1" t="s">
        <v>1191</v>
      </c>
      <c r="F63" s="1" t="s">
        <v>2002</v>
      </c>
      <c r="G63" s="1" t="s">
        <v>26</v>
      </c>
      <c r="H63" s="13">
        <v>380.3</v>
      </c>
      <c r="I63" s="13">
        <v>0</v>
      </c>
      <c r="J63" s="1" t="s">
        <v>1174</v>
      </c>
      <c r="K63" s="1" t="s">
        <v>2025</v>
      </c>
      <c r="L63" s="1" t="str">
        <f>VLOOKUP(Advices[[#This Row],[LC Number]],'Combine_List'!A:D,2,0)</f>
        <v>Awtad Jeddah for General Contracting Company</v>
      </c>
      <c r="M63" s="447" t="str">
        <f>VLOOKUP(Advices[[#This Row],[LC Number]],'Combine_List'!A:D,3,0)</f>
        <v>MBL</v>
      </c>
      <c r="N63" s="447" t="str">
        <f>VLOOKUP(Advices[[#This Row],[LC Number]],'Combine_List'!A:D,4,0)</f>
        <v>Rabigh Power Plant</v>
      </c>
      <c r="O63" s="447">
        <f>VLOOKUP(Advices[[#This Row],[LC Number]],'Combine_List'!A:E,5,0)</f>
        <v>1020107</v>
      </c>
      <c r="P63" s="447">
        <f>MONTH(Advices[[#This Row],[Transaction Date]])</f>
        <v>10</v>
      </c>
      <c r="Q63" s="447">
        <f>YEAR(Advices[[#This Row],[Transaction Date]])</f>
        <v>2025</v>
      </c>
      <c r="R63" s="1"/>
    </row>
    <row r="64" spans="1:18" x14ac:dyDescent="0.25">
      <c r="A64" s="1" t="s">
        <v>21</v>
      </c>
      <c r="B64" s="178">
        <v>45942</v>
      </c>
      <c r="C64" s="1" t="s">
        <v>1951</v>
      </c>
      <c r="D64" s="1" t="s">
        <v>2003</v>
      </c>
      <c r="E64" s="1" t="s">
        <v>1191</v>
      </c>
      <c r="F64" s="1" t="s">
        <v>2002</v>
      </c>
      <c r="G64" s="1" t="s">
        <v>26</v>
      </c>
      <c r="H64" s="13">
        <v>2535.3200000000002</v>
      </c>
      <c r="I64" s="13">
        <v>0</v>
      </c>
      <c r="J64" s="1" t="s">
        <v>1125</v>
      </c>
      <c r="K64" s="1" t="s">
        <v>2025</v>
      </c>
      <c r="L64" s="1" t="str">
        <f>VLOOKUP(Advices[[#This Row],[LC Number]],'Combine_List'!A:D,2,0)</f>
        <v>Awtad Jeddah for General Contracting Company</v>
      </c>
      <c r="M64" s="447" t="str">
        <f>VLOOKUP(Advices[[#This Row],[LC Number]],'Combine_List'!A:D,3,0)</f>
        <v>MBL</v>
      </c>
      <c r="N64" s="447" t="str">
        <f>VLOOKUP(Advices[[#This Row],[LC Number]],'Combine_List'!A:D,4,0)</f>
        <v>Rabigh Power Plant</v>
      </c>
      <c r="O64" s="447">
        <f>VLOOKUP(Advices[[#This Row],[LC Number]],'Combine_List'!A:E,5,0)</f>
        <v>1020107</v>
      </c>
      <c r="P64" s="447">
        <f>MONTH(Advices[[#This Row],[Transaction Date]])</f>
        <v>10</v>
      </c>
      <c r="Q64" s="447">
        <f>YEAR(Advices[[#This Row],[Transaction Date]])</f>
        <v>2025</v>
      </c>
      <c r="R64" s="1"/>
    </row>
    <row r="65" spans="1:18" x14ac:dyDescent="0.25">
      <c r="A65" s="1" t="s">
        <v>21</v>
      </c>
      <c r="B65" s="178">
        <v>45942</v>
      </c>
      <c r="C65" s="1" t="s">
        <v>1951</v>
      </c>
      <c r="D65" s="1" t="s">
        <v>1952</v>
      </c>
      <c r="E65" s="1" t="s">
        <v>1339</v>
      </c>
      <c r="F65" s="1" t="s">
        <v>2004</v>
      </c>
      <c r="G65" s="1" t="s">
        <v>26</v>
      </c>
      <c r="H65" s="13">
        <v>187.5</v>
      </c>
      <c r="I65" s="13">
        <v>0</v>
      </c>
      <c r="J65" s="1" t="s">
        <v>1174</v>
      </c>
      <c r="K65" s="1" t="s">
        <v>2025</v>
      </c>
      <c r="L65" s="1" t="str">
        <f>VLOOKUP(Advices[[#This Row],[LC Number]],'Combine_List'!A:D,2,0)</f>
        <v>IDEAL CALIBER COMPANY</v>
      </c>
      <c r="M65" s="447" t="str">
        <f>VLOOKUP(Advices[[#This Row],[LC Number]],'Combine_List'!A:D,3,0)</f>
        <v>FIRST FIX</v>
      </c>
      <c r="N65" s="447" t="str">
        <f>VLOOKUP(Advices[[#This Row],[LC Number]],'Combine_List'!A:D,4,0)</f>
        <v>KSP</v>
      </c>
      <c r="O65" s="447">
        <f>VLOOKUP(Advices[[#This Row],[LC Number]],'Combine_List'!A:E,5,0)</f>
        <v>1020055</v>
      </c>
      <c r="P65" s="447">
        <f>MONTH(Advices[[#This Row],[Transaction Date]])</f>
        <v>10</v>
      </c>
      <c r="Q65" s="447">
        <f>YEAR(Advices[[#This Row],[Transaction Date]])</f>
        <v>2025</v>
      </c>
      <c r="R65" s="1"/>
    </row>
    <row r="66" spans="1:18" x14ac:dyDescent="0.25">
      <c r="A66" s="1" t="s">
        <v>21</v>
      </c>
      <c r="B66" s="178">
        <v>45942</v>
      </c>
      <c r="C66" s="1" t="s">
        <v>1951</v>
      </c>
      <c r="D66" s="1" t="s">
        <v>2005</v>
      </c>
      <c r="E66" s="1" t="s">
        <v>1339</v>
      </c>
      <c r="F66" s="1" t="s">
        <v>2004</v>
      </c>
      <c r="G66" s="1" t="s">
        <v>26</v>
      </c>
      <c r="H66" s="13">
        <v>1250</v>
      </c>
      <c r="I66" s="13">
        <v>0</v>
      </c>
      <c r="J66" s="1" t="s">
        <v>1125</v>
      </c>
      <c r="K66" s="1" t="s">
        <v>2025</v>
      </c>
      <c r="L66" s="1" t="str">
        <f>VLOOKUP(Advices[[#This Row],[LC Number]],'Combine_List'!A:D,2,0)</f>
        <v>IDEAL CALIBER COMPANY</v>
      </c>
      <c r="M66" s="447" t="str">
        <f>VLOOKUP(Advices[[#This Row],[LC Number]],'Combine_List'!A:D,3,0)</f>
        <v>FIRST FIX</v>
      </c>
      <c r="N66" s="447" t="str">
        <f>VLOOKUP(Advices[[#This Row],[LC Number]],'Combine_List'!A:D,4,0)</f>
        <v>KSP</v>
      </c>
      <c r="O66" s="447">
        <f>VLOOKUP(Advices[[#This Row],[LC Number]],'Combine_List'!A:E,5,0)</f>
        <v>1020055</v>
      </c>
      <c r="P66" s="447">
        <f>MONTH(Advices[[#This Row],[Transaction Date]])</f>
        <v>10</v>
      </c>
      <c r="Q66" s="447">
        <f>YEAR(Advices[[#This Row],[Transaction Date]])</f>
        <v>2025</v>
      </c>
      <c r="R66" s="1"/>
    </row>
    <row r="67" spans="1:18" x14ac:dyDescent="0.25">
      <c r="A67" s="1" t="s">
        <v>21</v>
      </c>
      <c r="B67" s="178">
        <v>45942</v>
      </c>
      <c r="C67" s="1" t="s">
        <v>1951</v>
      </c>
      <c r="D67" s="1" t="s">
        <v>1960</v>
      </c>
      <c r="E67" s="1" t="s">
        <v>1495</v>
      </c>
      <c r="F67" s="1" t="s">
        <v>2006</v>
      </c>
      <c r="G67" s="1" t="s">
        <v>26</v>
      </c>
      <c r="H67" s="13">
        <v>11.25</v>
      </c>
      <c r="I67" s="13">
        <v>0</v>
      </c>
      <c r="J67" s="1" t="s">
        <v>1174</v>
      </c>
      <c r="K67" s="1" t="s">
        <v>2025</v>
      </c>
      <c r="L67" s="1" t="str">
        <f>VLOOKUP(Advices[[#This Row],[LC Number]],'Combine_List'!A:D,2,0)</f>
        <v>Almansha Almubasher Trading Company</v>
      </c>
      <c r="M67" s="447" t="str">
        <f>VLOOKUP(Advices[[#This Row],[LC Number]],'Combine_List'!A:D,3,0)</f>
        <v>FIRST FIX</v>
      </c>
      <c r="N67" s="447" t="str">
        <f>VLOOKUP(Advices[[#This Row],[LC Number]],'Combine_List'!A:D,4,0)</f>
        <v>JCD SPMI</v>
      </c>
      <c r="O67" s="447">
        <f>VLOOKUP(Advices[[#This Row],[LC Number]],'Combine_List'!A:E,5,0)</f>
        <v>1020100</v>
      </c>
      <c r="P67" s="447">
        <f>MONTH(Advices[[#This Row],[Transaction Date]])</f>
        <v>10</v>
      </c>
      <c r="Q67" s="447">
        <f>YEAR(Advices[[#This Row],[Transaction Date]])</f>
        <v>2025</v>
      </c>
      <c r="R67" s="1"/>
    </row>
    <row r="68" spans="1:18" x14ac:dyDescent="0.25">
      <c r="A68" s="1" t="s">
        <v>21</v>
      </c>
      <c r="B68" s="178">
        <v>45942</v>
      </c>
      <c r="C68" s="1" t="s">
        <v>1951</v>
      </c>
      <c r="D68" s="1" t="s">
        <v>2007</v>
      </c>
      <c r="E68" s="1" t="s">
        <v>1495</v>
      </c>
      <c r="F68" s="1" t="s">
        <v>2006</v>
      </c>
      <c r="G68" s="1" t="s">
        <v>26</v>
      </c>
      <c r="H68" s="13">
        <v>75</v>
      </c>
      <c r="I68" s="13">
        <v>0</v>
      </c>
      <c r="J68" s="1" t="s">
        <v>1963</v>
      </c>
      <c r="K68" s="1" t="s">
        <v>2025</v>
      </c>
      <c r="L68" s="1" t="str">
        <f>VLOOKUP(Advices[[#This Row],[LC Number]],'Combine_List'!A:D,2,0)</f>
        <v>Almansha Almubasher Trading Company</v>
      </c>
      <c r="M68" s="447" t="str">
        <f>VLOOKUP(Advices[[#This Row],[LC Number]],'Combine_List'!A:D,3,0)</f>
        <v>FIRST FIX</v>
      </c>
      <c r="N68" s="447" t="str">
        <f>VLOOKUP(Advices[[#This Row],[LC Number]],'Combine_List'!A:D,4,0)</f>
        <v>JCD SPMI</v>
      </c>
      <c r="O68" s="447">
        <f>VLOOKUP(Advices[[#This Row],[LC Number]],'Combine_List'!A:E,5,0)</f>
        <v>1020100</v>
      </c>
      <c r="P68" s="447">
        <f>MONTH(Advices[[#This Row],[Transaction Date]])</f>
        <v>10</v>
      </c>
      <c r="Q68" s="447">
        <f>YEAR(Advices[[#This Row],[Transaction Date]])</f>
        <v>2025</v>
      </c>
      <c r="R68" s="1"/>
    </row>
    <row r="69" spans="1:18" x14ac:dyDescent="0.25">
      <c r="A69" s="1" t="s">
        <v>21</v>
      </c>
      <c r="B69" s="178">
        <v>45942</v>
      </c>
      <c r="C69" s="1" t="s">
        <v>1951</v>
      </c>
      <c r="D69" s="1" t="s">
        <v>2008</v>
      </c>
      <c r="E69" s="1" t="s">
        <v>1495</v>
      </c>
      <c r="F69" s="1" t="s">
        <v>2006</v>
      </c>
      <c r="G69" s="1" t="s">
        <v>26</v>
      </c>
      <c r="H69" s="13">
        <v>362250</v>
      </c>
      <c r="I69" s="13">
        <v>0</v>
      </c>
      <c r="J69" s="1" t="s">
        <v>1126</v>
      </c>
      <c r="K69" s="1" t="s">
        <v>2025</v>
      </c>
      <c r="L69" s="1" t="str">
        <f>VLOOKUP(Advices[[#This Row],[LC Number]],'Combine_List'!A:D,2,0)</f>
        <v>Almansha Almubasher Trading Company</v>
      </c>
      <c r="M69" s="447" t="str">
        <f>VLOOKUP(Advices[[#This Row],[LC Number]],'Combine_List'!A:D,3,0)</f>
        <v>FIRST FIX</v>
      </c>
      <c r="N69" s="447" t="str">
        <f>VLOOKUP(Advices[[#This Row],[LC Number]],'Combine_List'!A:D,4,0)</f>
        <v>JCD SPMI</v>
      </c>
      <c r="O69" s="447">
        <f>VLOOKUP(Advices[[#This Row],[LC Number]],'Combine_List'!A:E,5,0)</f>
        <v>1020100</v>
      </c>
      <c r="P69" s="447">
        <f>MONTH(Advices[[#This Row],[Transaction Date]])</f>
        <v>10</v>
      </c>
      <c r="Q69" s="447">
        <f>YEAR(Advices[[#This Row],[Transaction Date]])</f>
        <v>2025</v>
      </c>
      <c r="R69" s="1"/>
    </row>
    <row r="70" spans="1:18" x14ac:dyDescent="0.25">
      <c r="A70" s="1" t="s">
        <v>21</v>
      </c>
      <c r="B70" s="178">
        <v>45943</v>
      </c>
      <c r="C70" s="1" t="s">
        <v>1951</v>
      </c>
      <c r="D70" s="1" t="s">
        <v>1960</v>
      </c>
      <c r="E70" s="1" t="s">
        <v>1345</v>
      </c>
      <c r="F70" s="1" t="s">
        <v>2009</v>
      </c>
      <c r="G70" s="1" t="s">
        <v>26</v>
      </c>
      <c r="H70" s="13">
        <v>11.25</v>
      </c>
      <c r="I70" s="13">
        <v>0</v>
      </c>
      <c r="J70" s="1" t="s">
        <v>1174</v>
      </c>
      <c r="K70" s="1" t="s">
        <v>2025</v>
      </c>
      <c r="L70" s="1" t="str">
        <f>VLOOKUP(Advices[[#This Row],[LC Number]],'Combine_List'!A:D,2,0)</f>
        <v>MODON ADVANCE SERVICES TECH CO (MASTTE)</v>
      </c>
      <c r="M70" s="447" t="str">
        <f>VLOOKUP(Advices[[#This Row],[LC Number]],'Combine_List'!A:D,3,0)</f>
        <v>FIRST FIX</v>
      </c>
      <c r="N70" s="447" t="str">
        <f>VLOOKUP(Advices[[#This Row],[LC Number]],'Combine_List'!A:D,4,0)</f>
        <v>KSP</v>
      </c>
      <c r="O70" s="447">
        <f>VLOOKUP(Advices[[#This Row],[LC Number]],'Combine_List'!A:E,5,0)</f>
        <v>1020055</v>
      </c>
      <c r="P70" s="447">
        <f>MONTH(Advices[[#This Row],[Transaction Date]])</f>
        <v>10</v>
      </c>
      <c r="Q70" s="447">
        <f>YEAR(Advices[[#This Row],[Transaction Date]])</f>
        <v>2025</v>
      </c>
      <c r="R70" s="1"/>
    </row>
    <row r="71" spans="1:18" x14ac:dyDescent="0.25">
      <c r="A71" s="1" t="s">
        <v>21</v>
      </c>
      <c r="B71" s="178">
        <v>45943</v>
      </c>
      <c r="C71" s="1" t="s">
        <v>1951</v>
      </c>
      <c r="D71" s="1" t="s">
        <v>2010</v>
      </c>
      <c r="E71" s="1" t="s">
        <v>1345</v>
      </c>
      <c r="F71" s="1" t="s">
        <v>2009</v>
      </c>
      <c r="G71" s="1" t="s">
        <v>26</v>
      </c>
      <c r="H71" s="13">
        <v>75</v>
      </c>
      <c r="I71" s="13">
        <v>0</v>
      </c>
      <c r="J71" s="1" t="s">
        <v>1963</v>
      </c>
      <c r="K71" s="1" t="s">
        <v>2025</v>
      </c>
      <c r="L71" s="1" t="str">
        <f>VLOOKUP(Advices[[#This Row],[LC Number]],'Combine_List'!A:D,2,0)</f>
        <v>MODON ADVANCE SERVICES TECH CO (MASTTE)</v>
      </c>
      <c r="M71" s="447" t="str">
        <f>VLOOKUP(Advices[[#This Row],[LC Number]],'Combine_List'!A:D,3,0)</f>
        <v>FIRST FIX</v>
      </c>
      <c r="N71" s="447" t="str">
        <f>VLOOKUP(Advices[[#This Row],[LC Number]],'Combine_List'!A:D,4,0)</f>
        <v>KSP</v>
      </c>
      <c r="O71" s="447">
        <f>VLOOKUP(Advices[[#This Row],[LC Number]],'Combine_List'!A:E,5,0)</f>
        <v>1020055</v>
      </c>
      <c r="P71" s="447">
        <f>MONTH(Advices[[#This Row],[Transaction Date]])</f>
        <v>10</v>
      </c>
      <c r="Q71" s="447">
        <f>YEAR(Advices[[#This Row],[Transaction Date]])</f>
        <v>2025</v>
      </c>
      <c r="R71" s="1"/>
    </row>
    <row r="72" spans="1:18" x14ac:dyDescent="0.25">
      <c r="A72" s="1" t="s">
        <v>21</v>
      </c>
      <c r="B72" s="178">
        <v>45943</v>
      </c>
      <c r="C72" s="1" t="s">
        <v>1951</v>
      </c>
      <c r="D72" s="1" t="s">
        <v>2011</v>
      </c>
      <c r="E72" s="1" t="s">
        <v>1345</v>
      </c>
      <c r="F72" s="1" t="s">
        <v>2009</v>
      </c>
      <c r="G72" s="1" t="s">
        <v>26</v>
      </c>
      <c r="H72" s="13">
        <v>365762.69</v>
      </c>
      <c r="I72" s="13">
        <v>0</v>
      </c>
      <c r="J72" s="1" t="s">
        <v>1126</v>
      </c>
      <c r="K72" s="1" t="s">
        <v>2025</v>
      </c>
      <c r="L72" s="1" t="str">
        <f>VLOOKUP(Advices[[#This Row],[LC Number]],'Combine_List'!A:D,2,0)</f>
        <v>MODON ADVANCE SERVICES TECH CO (MASTTE)</v>
      </c>
      <c r="M72" s="447" t="str">
        <f>VLOOKUP(Advices[[#This Row],[LC Number]],'Combine_List'!A:D,3,0)</f>
        <v>FIRST FIX</v>
      </c>
      <c r="N72" s="447" t="str">
        <f>VLOOKUP(Advices[[#This Row],[LC Number]],'Combine_List'!A:D,4,0)</f>
        <v>KSP</v>
      </c>
      <c r="O72" s="447">
        <f>VLOOKUP(Advices[[#This Row],[LC Number]],'Combine_List'!A:E,5,0)</f>
        <v>1020055</v>
      </c>
      <c r="P72" s="447">
        <f>MONTH(Advices[[#This Row],[Transaction Date]])</f>
        <v>10</v>
      </c>
      <c r="Q72" s="447">
        <f>YEAR(Advices[[#This Row],[Transaction Date]])</f>
        <v>2025</v>
      </c>
      <c r="R72" s="1"/>
    </row>
    <row r="73" spans="1:18" x14ac:dyDescent="0.25">
      <c r="A73" s="1" t="s">
        <v>21</v>
      </c>
      <c r="B73" s="178">
        <v>45943</v>
      </c>
      <c r="C73" s="1" t="s">
        <v>1951</v>
      </c>
      <c r="D73" s="1" t="s">
        <v>1952</v>
      </c>
      <c r="E73" s="1" t="s">
        <v>1353</v>
      </c>
      <c r="F73" s="1" t="s">
        <v>2012</v>
      </c>
      <c r="G73" s="1" t="s">
        <v>26</v>
      </c>
      <c r="H73" s="13">
        <v>187.5</v>
      </c>
      <c r="I73" s="13">
        <v>0</v>
      </c>
      <c r="J73" s="1" t="s">
        <v>1174</v>
      </c>
      <c r="K73" s="1" t="s">
        <v>2025</v>
      </c>
      <c r="L73" s="1" t="str">
        <f>VLOOKUP(Advices[[#This Row],[LC Number]],'Combine_List'!A:D,2,0)</f>
        <v>MANATIQ GENERAL CONTRACTING COMPANY</v>
      </c>
      <c r="M73" s="447" t="str">
        <f>VLOOKUP(Advices[[#This Row],[LC Number]],'Combine_List'!A:D,3,0)</f>
        <v>FIRST FIX</v>
      </c>
      <c r="N73" s="447" t="str">
        <f>VLOOKUP(Advices[[#This Row],[LC Number]],'Combine_List'!A:D,4,0)</f>
        <v>KSP</v>
      </c>
      <c r="O73" s="447">
        <f>VLOOKUP(Advices[[#This Row],[LC Number]],'Combine_List'!A:E,5,0)</f>
        <v>1020055</v>
      </c>
      <c r="P73" s="447">
        <f>MONTH(Advices[[#This Row],[Transaction Date]])</f>
        <v>10</v>
      </c>
      <c r="Q73" s="447">
        <f>YEAR(Advices[[#This Row],[Transaction Date]])</f>
        <v>2025</v>
      </c>
      <c r="R73" s="1"/>
    </row>
    <row r="74" spans="1:18" x14ac:dyDescent="0.25">
      <c r="A74" s="1" t="s">
        <v>21</v>
      </c>
      <c r="B74" s="178">
        <v>45943</v>
      </c>
      <c r="C74" s="1" t="s">
        <v>1951</v>
      </c>
      <c r="D74" s="1" t="s">
        <v>2013</v>
      </c>
      <c r="E74" s="1" t="s">
        <v>1353</v>
      </c>
      <c r="F74" s="1" t="s">
        <v>2012</v>
      </c>
      <c r="G74" s="1" t="s">
        <v>26</v>
      </c>
      <c r="H74" s="13">
        <v>1250</v>
      </c>
      <c r="I74" s="13">
        <v>0</v>
      </c>
      <c r="J74" s="1" t="s">
        <v>1125</v>
      </c>
      <c r="K74" s="1" t="s">
        <v>2025</v>
      </c>
      <c r="L74" s="1" t="str">
        <f>VLOOKUP(Advices[[#This Row],[LC Number]],'Combine_List'!A:D,2,0)</f>
        <v>MANATIQ GENERAL CONTRACTING COMPANY</v>
      </c>
      <c r="M74" s="447" t="str">
        <f>VLOOKUP(Advices[[#This Row],[LC Number]],'Combine_List'!A:D,3,0)</f>
        <v>FIRST FIX</v>
      </c>
      <c r="N74" s="447" t="str">
        <f>VLOOKUP(Advices[[#This Row],[LC Number]],'Combine_List'!A:D,4,0)</f>
        <v>KSP</v>
      </c>
      <c r="O74" s="447">
        <f>VLOOKUP(Advices[[#This Row],[LC Number]],'Combine_List'!A:E,5,0)</f>
        <v>1020055</v>
      </c>
      <c r="P74" s="447">
        <f>MONTH(Advices[[#This Row],[Transaction Date]])</f>
        <v>10</v>
      </c>
      <c r="Q74" s="447">
        <f>YEAR(Advices[[#This Row],[Transaction Date]])</f>
        <v>2025</v>
      </c>
      <c r="R74" s="1"/>
    </row>
    <row r="75" spans="1:18" x14ac:dyDescent="0.25">
      <c r="A75" s="1" t="s">
        <v>21</v>
      </c>
      <c r="B75" s="178">
        <v>45943</v>
      </c>
      <c r="C75" s="1" t="s">
        <v>1951</v>
      </c>
      <c r="D75" s="1" t="s">
        <v>2014</v>
      </c>
      <c r="E75" s="1" t="s">
        <v>1518</v>
      </c>
      <c r="F75" s="1" t="s">
        <v>2015</v>
      </c>
      <c r="G75" s="1" t="s">
        <v>26</v>
      </c>
      <c r="H75" s="13">
        <v>262.85000000000002</v>
      </c>
      <c r="I75" s="13">
        <v>0</v>
      </c>
      <c r="J75" s="1" t="s">
        <v>1174</v>
      </c>
      <c r="K75" s="1" t="s">
        <v>2025</v>
      </c>
      <c r="L75" s="1" t="str">
        <f>VLOOKUP(Advices[[#This Row],[LC Number]],'Combine_List'!A:D,2,0)</f>
        <v>AL RAWNAQ AL THAHABI ENGINEERING CONSULTING. CO.</v>
      </c>
      <c r="M75" s="447" t="str">
        <f>VLOOKUP(Advices[[#This Row],[LC Number]],'Combine_List'!A:D,3,0)</f>
        <v>FIRST FIX</v>
      </c>
      <c r="N75" s="447" t="str">
        <f>VLOOKUP(Advices[[#This Row],[LC Number]],'Combine_List'!A:D,4,0)</f>
        <v>JCD SPMI</v>
      </c>
      <c r="O75" s="447">
        <f>VLOOKUP(Advices[[#This Row],[LC Number]],'Combine_List'!A:E,5,0)</f>
        <v>1020100</v>
      </c>
      <c r="P75" s="447">
        <f>MONTH(Advices[[#This Row],[Transaction Date]])</f>
        <v>10</v>
      </c>
      <c r="Q75" s="447">
        <f>YEAR(Advices[[#This Row],[Transaction Date]])</f>
        <v>2025</v>
      </c>
      <c r="R75" s="1"/>
    </row>
    <row r="76" spans="1:18" x14ac:dyDescent="0.25">
      <c r="A76" s="1" t="s">
        <v>21</v>
      </c>
      <c r="B76" s="178">
        <v>45943</v>
      </c>
      <c r="C76" s="1" t="s">
        <v>1951</v>
      </c>
      <c r="D76" s="1" t="s">
        <v>2016</v>
      </c>
      <c r="E76" s="1" t="s">
        <v>1518</v>
      </c>
      <c r="F76" s="1" t="s">
        <v>2015</v>
      </c>
      <c r="G76" s="1" t="s">
        <v>26</v>
      </c>
      <c r="H76" s="13">
        <v>1752.31</v>
      </c>
      <c r="I76" s="13">
        <v>0</v>
      </c>
      <c r="J76" s="1" t="s">
        <v>1125</v>
      </c>
      <c r="K76" s="1" t="s">
        <v>2025</v>
      </c>
      <c r="L76" s="1" t="str">
        <f>VLOOKUP(Advices[[#This Row],[LC Number]],'Combine_List'!A:D,2,0)</f>
        <v>AL RAWNAQ AL THAHABI ENGINEERING CONSULTING. CO.</v>
      </c>
      <c r="M76" s="447" t="str">
        <f>VLOOKUP(Advices[[#This Row],[LC Number]],'Combine_List'!A:D,3,0)</f>
        <v>FIRST FIX</v>
      </c>
      <c r="N76" s="447" t="str">
        <f>VLOOKUP(Advices[[#This Row],[LC Number]],'Combine_List'!A:D,4,0)</f>
        <v>JCD SPMI</v>
      </c>
      <c r="O76" s="447">
        <f>VLOOKUP(Advices[[#This Row],[LC Number]],'Combine_List'!A:E,5,0)</f>
        <v>1020100</v>
      </c>
      <c r="P76" s="447">
        <f>MONTH(Advices[[#This Row],[Transaction Date]])</f>
        <v>10</v>
      </c>
      <c r="Q76" s="447">
        <f>YEAR(Advices[[#This Row],[Transaction Date]])</f>
        <v>2025</v>
      </c>
      <c r="R76" s="1"/>
    </row>
    <row r="77" spans="1:18" x14ac:dyDescent="0.25">
      <c r="A77" s="1" t="s">
        <v>21</v>
      </c>
      <c r="B77" s="178">
        <v>45943</v>
      </c>
      <c r="C77" s="1" t="s">
        <v>1951</v>
      </c>
      <c r="D77" s="1" t="s">
        <v>1952</v>
      </c>
      <c r="E77" s="1" t="s">
        <v>1680</v>
      </c>
      <c r="F77" s="1" t="s">
        <v>2017</v>
      </c>
      <c r="G77" s="1" t="s">
        <v>26</v>
      </c>
      <c r="H77" s="13">
        <v>187.5</v>
      </c>
      <c r="I77" s="13">
        <v>0</v>
      </c>
      <c r="J77" s="1" t="s">
        <v>1174</v>
      </c>
      <c r="K77" s="1" t="s">
        <v>2025</v>
      </c>
      <c r="L77" s="1" t="str">
        <f>VLOOKUP(Advices[[#This Row],[LC Number]],'Combine_List'!A:D,2,0)</f>
        <v>DELHAM ALJANOUB FOR TRADING CONTRACTING</v>
      </c>
      <c r="M77" s="447" t="str">
        <f>VLOOKUP(Advices[[#This Row],[LC Number]],'Combine_List'!A:D,3,0)</f>
        <v>FIRST FIX</v>
      </c>
      <c r="N77" s="447" t="str">
        <f>VLOOKUP(Advices[[#This Row],[LC Number]],'Combine_List'!A:D,4,0)</f>
        <v>KSP</v>
      </c>
      <c r="O77" s="447">
        <f>VLOOKUP(Advices[[#This Row],[LC Number]],'Combine_List'!A:E,5,0)</f>
        <v>1020055</v>
      </c>
      <c r="P77" s="447">
        <f>MONTH(Advices[[#This Row],[Transaction Date]])</f>
        <v>10</v>
      </c>
      <c r="Q77" s="447">
        <f>YEAR(Advices[[#This Row],[Transaction Date]])</f>
        <v>2025</v>
      </c>
      <c r="R77" s="1"/>
    </row>
    <row r="78" spans="1:18" x14ac:dyDescent="0.25">
      <c r="A78" s="1" t="s">
        <v>21</v>
      </c>
      <c r="B78" s="178">
        <v>45943</v>
      </c>
      <c r="C78" s="1" t="s">
        <v>1951</v>
      </c>
      <c r="D78" s="1" t="s">
        <v>2018</v>
      </c>
      <c r="E78" s="1" t="s">
        <v>1680</v>
      </c>
      <c r="F78" s="1" t="s">
        <v>2017</v>
      </c>
      <c r="G78" s="1" t="s">
        <v>26</v>
      </c>
      <c r="H78" s="13">
        <v>1250</v>
      </c>
      <c r="I78" s="13">
        <v>0</v>
      </c>
      <c r="J78" s="1" t="s">
        <v>1125</v>
      </c>
      <c r="K78" s="1" t="s">
        <v>2025</v>
      </c>
      <c r="L78" s="1" t="str">
        <f>VLOOKUP(Advices[[#This Row],[LC Number]],'Combine_List'!A:D,2,0)</f>
        <v>DELHAM ALJANOUB FOR TRADING CONTRACTING</v>
      </c>
      <c r="M78" s="447" t="str">
        <f>VLOOKUP(Advices[[#This Row],[LC Number]],'Combine_List'!A:D,3,0)</f>
        <v>FIRST FIX</v>
      </c>
      <c r="N78" s="447" t="str">
        <f>VLOOKUP(Advices[[#This Row],[LC Number]],'Combine_List'!A:D,4,0)</f>
        <v>KSP</v>
      </c>
      <c r="O78" s="447">
        <f>VLOOKUP(Advices[[#This Row],[LC Number]],'Combine_List'!A:E,5,0)</f>
        <v>1020055</v>
      </c>
      <c r="P78" s="447">
        <f>MONTH(Advices[[#This Row],[Transaction Date]])</f>
        <v>10</v>
      </c>
      <c r="Q78" s="447">
        <f>YEAR(Advices[[#This Row],[Transaction Date]])</f>
        <v>2025</v>
      </c>
      <c r="R78" s="1"/>
    </row>
    <row r="79" spans="1:18" x14ac:dyDescent="0.25">
      <c r="A79" s="1" t="s">
        <v>21</v>
      </c>
      <c r="B79" s="178">
        <v>45943</v>
      </c>
      <c r="C79" s="1" t="s">
        <v>1951</v>
      </c>
      <c r="D79" s="1" t="s">
        <v>2019</v>
      </c>
      <c r="E79" s="1" t="s">
        <v>1792</v>
      </c>
      <c r="F79" s="1" t="s">
        <v>2020</v>
      </c>
      <c r="G79" s="1" t="s">
        <v>26</v>
      </c>
      <c r="H79" s="13">
        <v>675</v>
      </c>
      <c r="I79" s="13">
        <v>0</v>
      </c>
      <c r="J79" s="1" t="s">
        <v>1174</v>
      </c>
      <c r="K79" s="1" t="s">
        <v>2025</v>
      </c>
      <c r="L79" s="1" t="str">
        <f>VLOOKUP(Advices[[#This Row],[LC Number]],'Combine_List'!A:D,2,0)</f>
        <v>Prime Star Technologies Company Limited</v>
      </c>
      <c r="M79" s="447" t="str">
        <f>VLOOKUP(Advices[[#This Row],[LC Number]],'Combine_List'!A:D,3,0)</f>
        <v>FIRST FIX</v>
      </c>
      <c r="N79" s="447" t="str">
        <f>VLOOKUP(Advices[[#This Row],[LC Number]],'Combine_List'!A:D,4,0)</f>
        <v>KSP</v>
      </c>
      <c r="O79" s="447">
        <f>VLOOKUP(Advices[[#This Row],[LC Number]],'Combine_List'!A:E,5,0)</f>
        <v>1020055</v>
      </c>
      <c r="P79" s="447">
        <f>MONTH(Advices[[#This Row],[Transaction Date]])</f>
        <v>10</v>
      </c>
      <c r="Q79" s="447">
        <f>YEAR(Advices[[#This Row],[Transaction Date]])</f>
        <v>2025</v>
      </c>
      <c r="R79" s="1"/>
    </row>
    <row r="80" spans="1:18" x14ac:dyDescent="0.25">
      <c r="A80" s="1" t="s">
        <v>21</v>
      </c>
      <c r="B80" s="178">
        <v>45943</v>
      </c>
      <c r="C80" s="1" t="s">
        <v>1951</v>
      </c>
      <c r="D80" s="1" t="s">
        <v>2021</v>
      </c>
      <c r="E80" s="1" t="s">
        <v>1792</v>
      </c>
      <c r="F80" s="1" t="s">
        <v>2020</v>
      </c>
      <c r="G80" s="1" t="s">
        <v>26</v>
      </c>
      <c r="H80" s="13">
        <v>4500</v>
      </c>
      <c r="I80" s="13">
        <v>0</v>
      </c>
      <c r="J80" s="1" t="s">
        <v>1125</v>
      </c>
      <c r="K80" s="1" t="s">
        <v>2025</v>
      </c>
      <c r="L80" s="1" t="str">
        <f>VLOOKUP(Advices[[#This Row],[LC Number]],'Combine_List'!A:D,2,0)</f>
        <v>Prime Star Technologies Company Limited</v>
      </c>
      <c r="M80" s="447" t="str">
        <f>VLOOKUP(Advices[[#This Row],[LC Number]],'Combine_List'!A:D,3,0)</f>
        <v>FIRST FIX</v>
      </c>
      <c r="N80" s="447" t="str">
        <f>VLOOKUP(Advices[[#This Row],[LC Number]],'Combine_List'!A:D,4,0)</f>
        <v>KSP</v>
      </c>
      <c r="O80" s="447">
        <f>VLOOKUP(Advices[[#This Row],[LC Number]],'Combine_List'!A:E,5,0)</f>
        <v>1020055</v>
      </c>
      <c r="P80" s="447">
        <f>MONTH(Advices[[#This Row],[Transaction Date]])</f>
        <v>10</v>
      </c>
      <c r="Q80" s="447">
        <f>YEAR(Advices[[#This Row],[Transaction Date]])</f>
        <v>2025</v>
      </c>
      <c r="R80" s="1"/>
    </row>
    <row r="81" spans="1:18" hidden="1" x14ac:dyDescent="0.25">
      <c r="A81" s="1" t="s">
        <v>95</v>
      </c>
      <c r="B81" s="178">
        <v>45935</v>
      </c>
      <c r="C81" s="1" t="s">
        <v>2026</v>
      </c>
      <c r="D81" s="1" t="s">
        <v>2027</v>
      </c>
      <c r="E81" s="1" t="s">
        <v>1201</v>
      </c>
      <c r="F81" s="1" t="s">
        <v>2028</v>
      </c>
      <c r="G81" s="1" t="s">
        <v>26</v>
      </c>
      <c r="H81" s="13">
        <v>76520.850000000006</v>
      </c>
      <c r="I81" s="13">
        <v>0</v>
      </c>
      <c r="J81" s="1" t="s">
        <v>1126</v>
      </c>
      <c r="K81" s="1" t="s">
        <v>2025</v>
      </c>
      <c r="L81" s="1" t="str">
        <f>VLOOKUP(Advices[[#This Row],[LC Number]],'Combine_List'!A:D,2,0)</f>
        <v>ALFANAR ELECTRICAL SYSTEMS</v>
      </c>
      <c r="M81" s="447" t="str">
        <f>VLOOKUP(Advices[[#This Row],[LC Number]],'Combine_List'!A:D,3,0)</f>
        <v>FIRST FIX</v>
      </c>
      <c r="N81" s="447" t="str">
        <f>VLOOKUP(Advices[[#This Row],[LC Number]],'Combine_List'!A:D,4,0)</f>
        <v>KSP</v>
      </c>
      <c r="O81" s="447">
        <f>VLOOKUP(Advices[[#This Row],[LC Number]],'Combine_List'!A:E,5,0)</f>
        <v>1020055</v>
      </c>
      <c r="P81" s="447">
        <f>MONTH(Advices[[#This Row],[Transaction Date]])</f>
        <v>10</v>
      </c>
      <c r="Q81" s="447">
        <f>YEAR(Advices[[#This Row],[Transaction Date]])</f>
        <v>2025</v>
      </c>
      <c r="R81" s="1"/>
    </row>
    <row r="82" spans="1:18" hidden="1" x14ac:dyDescent="0.25">
      <c r="A82" s="1" t="s">
        <v>95</v>
      </c>
      <c r="B82" s="178">
        <v>45937</v>
      </c>
      <c r="C82" s="1" t="s">
        <v>2026</v>
      </c>
      <c r="D82" s="1" t="s">
        <v>2029</v>
      </c>
      <c r="E82" s="1" t="s">
        <v>1617</v>
      </c>
      <c r="F82" s="1" t="s">
        <v>2030</v>
      </c>
      <c r="G82" s="1" t="s">
        <v>26</v>
      </c>
      <c r="H82" s="13">
        <v>925.28</v>
      </c>
      <c r="I82" s="13">
        <v>0</v>
      </c>
      <c r="J82" s="1" t="s">
        <v>1125</v>
      </c>
      <c r="K82" s="1" t="s">
        <v>2025</v>
      </c>
      <c r="L82" s="1" t="str">
        <f>VLOOKUP(Advices[[#This Row],[LC Number]],'Combine_List'!A:D,2,0)</f>
        <v>Sami Yousee Bin Abdel Rahim Alharbi Foundation</v>
      </c>
      <c r="M82" s="447" t="str">
        <f>VLOOKUP(Advices[[#This Row],[LC Number]],'Combine_List'!A:D,3,0)</f>
        <v>FIRST FIX</v>
      </c>
      <c r="N82" s="447" t="str">
        <f>VLOOKUP(Advices[[#This Row],[LC Number]],'Combine_List'!A:D,4,0)</f>
        <v>JCD SPMI</v>
      </c>
      <c r="O82" s="447">
        <f>VLOOKUP(Advices[[#This Row],[LC Number]],'Combine_List'!A:E,5,0)</f>
        <v>1020100</v>
      </c>
      <c r="P82" s="447">
        <f>MONTH(Advices[[#This Row],[Transaction Date]])</f>
        <v>10</v>
      </c>
      <c r="Q82" s="447">
        <f>YEAR(Advices[[#This Row],[Transaction Date]])</f>
        <v>2025</v>
      </c>
      <c r="R82" s="1"/>
    </row>
    <row r="83" spans="1:18" hidden="1" x14ac:dyDescent="0.25">
      <c r="A83" s="1" t="s">
        <v>95</v>
      </c>
      <c r="B83" s="178">
        <v>45937</v>
      </c>
      <c r="C83" s="1" t="s">
        <v>2026</v>
      </c>
      <c r="D83" s="1" t="s">
        <v>2031</v>
      </c>
      <c r="E83" s="1" t="s">
        <v>1424</v>
      </c>
      <c r="F83" s="1" t="s">
        <v>2032</v>
      </c>
      <c r="G83" s="1" t="s">
        <v>26</v>
      </c>
      <c r="H83" s="13">
        <v>3557.9</v>
      </c>
      <c r="I83" s="13">
        <v>0</v>
      </c>
      <c r="J83" s="1" t="s">
        <v>1125</v>
      </c>
      <c r="K83" s="1" t="s">
        <v>2025</v>
      </c>
      <c r="L83" s="1" t="str">
        <f>VLOOKUP(Advices[[#This Row],[LC Number]],'Combine_List'!A:D,2,0)</f>
        <v>AL-SAYED CENTER A/C FOR MATERIALS COMPANY</v>
      </c>
      <c r="M83" s="447" t="str">
        <f>VLOOKUP(Advices[[#This Row],[LC Number]],'Combine_List'!A:D,3,0)</f>
        <v>FIRST FIX</v>
      </c>
      <c r="N83" s="447" t="str">
        <f>VLOOKUP(Advices[[#This Row],[LC Number]],'Combine_List'!A:D,4,0)</f>
        <v>KSP</v>
      </c>
      <c r="O83" s="447">
        <f>VLOOKUP(Advices[[#This Row],[LC Number]],'Combine_List'!A:E,5,0)</f>
        <v>1020055</v>
      </c>
      <c r="P83" s="447">
        <f>MONTH(Advices[[#This Row],[Transaction Date]])</f>
        <v>10</v>
      </c>
      <c r="Q83" s="447">
        <f>YEAR(Advices[[#This Row],[Transaction Date]])</f>
        <v>2025</v>
      </c>
      <c r="R83" s="1"/>
    </row>
    <row r="84" spans="1:18" hidden="1" x14ac:dyDescent="0.25">
      <c r="A84" s="1" t="s">
        <v>95</v>
      </c>
      <c r="B84" s="178">
        <v>45937</v>
      </c>
      <c r="C84" s="1" t="s">
        <v>2026</v>
      </c>
      <c r="D84" s="1" t="s">
        <v>2033</v>
      </c>
      <c r="E84" s="1" t="s">
        <v>1426</v>
      </c>
      <c r="F84" s="1" t="s">
        <v>2034</v>
      </c>
      <c r="G84" s="1" t="s">
        <v>26</v>
      </c>
      <c r="H84" s="13">
        <v>4831.92</v>
      </c>
      <c r="I84" s="13">
        <v>0</v>
      </c>
      <c r="J84" s="1" t="s">
        <v>1125</v>
      </c>
      <c r="K84" s="1" t="s">
        <v>2025</v>
      </c>
      <c r="L84" s="1" t="str">
        <f>VLOOKUP(Advices[[#This Row],[LC Number]],'Combine_List'!A:D,2,0)</f>
        <v>ARABIAN INTERNATIONAL COMPANY FOR CONTRACTING</v>
      </c>
      <c r="M84" s="447" t="str">
        <f>VLOOKUP(Advices[[#This Row],[LC Number]],'Combine_List'!A:D,3,0)</f>
        <v>FIRST FIX</v>
      </c>
      <c r="N84" s="447" t="str">
        <f>VLOOKUP(Advices[[#This Row],[LC Number]],'Combine_List'!A:D,4,0)</f>
        <v>KSP</v>
      </c>
      <c r="O84" s="447">
        <f>VLOOKUP(Advices[[#This Row],[LC Number]],'Combine_List'!A:E,5,0)</f>
        <v>1020055</v>
      </c>
      <c r="P84" s="447">
        <f>MONTH(Advices[[#This Row],[Transaction Date]])</f>
        <v>10</v>
      </c>
      <c r="Q84" s="447">
        <f>YEAR(Advices[[#This Row],[Transaction Date]])</f>
        <v>2025</v>
      </c>
      <c r="R84" s="1"/>
    </row>
    <row r="85" spans="1:18" hidden="1" x14ac:dyDescent="0.25">
      <c r="A85" s="1" t="s">
        <v>95</v>
      </c>
      <c r="B85" s="178">
        <v>45943</v>
      </c>
      <c r="C85" s="1" t="s">
        <v>2026</v>
      </c>
      <c r="D85" s="1" t="s">
        <v>2035</v>
      </c>
      <c r="E85" s="1" t="s">
        <v>1419</v>
      </c>
      <c r="F85" s="1" t="s">
        <v>2036</v>
      </c>
      <c r="G85" s="1" t="s">
        <v>26</v>
      </c>
      <c r="H85" s="13">
        <v>1500000</v>
      </c>
      <c r="I85" s="13">
        <v>0</v>
      </c>
      <c r="J85" s="1" t="s">
        <v>1126</v>
      </c>
      <c r="K85" s="1" t="s">
        <v>2025</v>
      </c>
      <c r="L85" s="1" t="str">
        <f>VLOOKUP(Advices[[#This Row],[LC Number]],'Combine_List'!A:D,2,0)</f>
        <v>AL MABANI AL UMUMIYYAH LTD</v>
      </c>
      <c r="M85" s="447" t="str">
        <f>VLOOKUP(Advices[[#This Row],[LC Number]],'Combine_List'!A:D,3,0)</f>
        <v>FIRST FIX</v>
      </c>
      <c r="N85" s="447" t="str">
        <f>VLOOKUP(Advices[[#This Row],[LC Number]],'Combine_List'!A:D,4,0)</f>
        <v>KSP</v>
      </c>
      <c r="O85" s="447">
        <f>VLOOKUP(Advices[[#This Row],[LC Number]],'Combine_List'!A:E,5,0)</f>
        <v>1020055</v>
      </c>
      <c r="P85" s="447">
        <f>MONTH(Advices[[#This Row],[Transaction Date]])</f>
        <v>10</v>
      </c>
      <c r="Q85" s="447">
        <f>YEAR(Advices[[#This Row],[Transaction Date]])</f>
        <v>2025</v>
      </c>
      <c r="R85" s="1"/>
    </row>
    <row r="86" spans="1:18" hidden="1" x14ac:dyDescent="0.25">
      <c r="A86" s="1" t="s">
        <v>95</v>
      </c>
      <c r="B86" s="178">
        <v>45943</v>
      </c>
      <c r="C86" s="1" t="s">
        <v>2026</v>
      </c>
      <c r="D86" s="1" t="s">
        <v>2037</v>
      </c>
      <c r="E86" s="1" t="s">
        <v>1446</v>
      </c>
      <c r="F86" s="1" t="s">
        <v>2038</v>
      </c>
      <c r="G86" s="1" t="s">
        <v>26</v>
      </c>
      <c r="H86" s="13">
        <v>4891.07</v>
      </c>
      <c r="I86" s="13">
        <v>0</v>
      </c>
      <c r="J86" s="1" t="s">
        <v>1125</v>
      </c>
      <c r="K86" s="1" t="s">
        <v>2025</v>
      </c>
      <c r="L86" s="1" t="str">
        <f>VLOOKUP(Advices[[#This Row],[LC Number]],'Combine_List'!A:D,2,0)</f>
        <v>Al Arabia Construction &amp; Building Co.</v>
      </c>
      <c r="M86" s="447" t="str">
        <f>VLOOKUP(Advices[[#This Row],[LC Number]],'Combine_List'!A:D,3,0)</f>
        <v>MBL</v>
      </c>
      <c r="N86" s="447" t="str">
        <f>VLOOKUP(Advices[[#This Row],[LC Number]],'Combine_List'!A:D,4,0)</f>
        <v>Rabigh Power Plant</v>
      </c>
      <c r="O86" s="447">
        <f>VLOOKUP(Advices[[#This Row],[LC Number]],'Combine_List'!A:E,5,0)</f>
        <v>1020107</v>
      </c>
      <c r="P86" s="447">
        <f>MONTH(Advices[[#This Row],[Transaction Date]])</f>
        <v>10</v>
      </c>
      <c r="Q86" s="447">
        <f>YEAR(Advices[[#This Row],[Transaction Date]])</f>
        <v>2025</v>
      </c>
      <c r="R86" s="1"/>
    </row>
    <row r="87" spans="1:18" hidden="1" x14ac:dyDescent="0.25">
      <c r="A87" s="1" t="s">
        <v>366</v>
      </c>
      <c r="B87" s="178">
        <v>45931</v>
      </c>
      <c r="C87" s="1" t="s">
        <v>2057</v>
      </c>
      <c r="D87" s="1" t="s">
        <v>2058</v>
      </c>
      <c r="E87" s="1" t="s">
        <v>1736</v>
      </c>
      <c r="F87" s="1" t="s">
        <v>3401</v>
      </c>
      <c r="G87" s="1" t="s">
        <v>26</v>
      </c>
      <c r="H87" s="13">
        <v>53906.25</v>
      </c>
      <c r="I87" s="13">
        <v>0</v>
      </c>
      <c r="J87" s="1" t="s">
        <v>2041</v>
      </c>
      <c r="K87" s="1" t="s">
        <v>2025</v>
      </c>
      <c r="L87" s="1" t="str">
        <f>VLOOKUP(Advices[[#This Row],[LC Number]],'Combine_List'!A:D,2,0)</f>
        <v>Electric House Trading Company L.L.C.</v>
      </c>
      <c r="M87" s="447" t="str">
        <f>VLOOKUP(Advices[[#This Row],[LC Number]],'Combine_List'!A:D,3,0)</f>
        <v>FIRST FIX</v>
      </c>
      <c r="N87" s="447" t="str">
        <f>VLOOKUP(Advices[[#This Row],[LC Number]],'Combine_List'!A:D,4,0)</f>
        <v>CEER</v>
      </c>
      <c r="O87" s="447">
        <f>VLOOKUP(Advices[[#This Row],[LC Number]],'Combine_List'!A:E,5,0)</f>
        <v>1020091</v>
      </c>
      <c r="P87" s="447">
        <f>MONTH(Advices[[#This Row],[Transaction Date]])</f>
        <v>10</v>
      </c>
      <c r="Q87" s="447">
        <f>YEAR(Advices[[#This Row],[Transaction Date]])</f>
        <v>2025</v>
      </c>
      <c r="R87" s="1"/>
    </row>
    <row r="88" spans="1:18" hidden="1" x14ac:dyDescent="0.25">
      <c r="A88" s="1" t="s">
        <v>366</v>
      </c>
      <c r="B88" s="178">
        <v>45931</v>
      </c>
      <c r="C88" s="1" t="s">
        <v>2057</v>
      </c>
      <c r="D88" s="1" t="s">
        <v>2059</v>
      </c>
      <c r="E88" s="1" t="s">
        <v>1636</v>
      </c>
      <c r="F88" s="1" t="s">
        <v>3402</v>
      </c>
      <c r="G88" s="1" t="s">
        <v>26</v>
      </c>
      <c r="H88" s="13">
        <v>10781.25</v>
      </c>
      <c r="I88" s="13">
        <v>0</v>
      </c>
      <c r="J88" s="1" t="s">
        <v>2041</v>
      </c>
      <c r="K88" s="1" t="s">
        <v>2025</v>
      </c>
      <c r="L88" s="1" t="str">
        <f>VLOOKUP(Advices[[#This Row],[LC Number]],'Combine_List'!A:D,2,0)</f>
        <v>SAFID CO.LTD</v>
      </c>
      <c r="M88" s="447" t="str">
        <f>VLOOKUP(Advices[[#This Row],[LC Number]],'Combine_List'!A:D,3,0)</f>
        <v>FIRST FIX</v>
      </c>
      <c r="N88" s="447" t="str">
        <f>VLOOKUP(Advices[[#This Row],[LC Number]],'Combine_List'!A:D,4,0)</f>
        <v>CEER</v>
      </c>
      <c r="O88" s="447">
        <f>VLOOKUP(Advices[[#This Row],[LC Number]],'Combine_List'!A:E,5,0)</f>
        <v>1020091</v>
      </c>
      <c r="P88" s="447">
        <f>MONTH(Advices[[#This Row],[Transaction Date]])</f>
        <v>10</v>
      </c>
      <c r="Q88" s="447">
        <f>YEAR(Advices[[#This Row],[Transaction Date]])</f>
        <v>2025</v>
      </c>
      <c r="R88" s="1"/>
    </row>
    <row r="89" spans="1:18" hidden="1" x14ac:dyDescent="0.25">
      <c r="A89" s="1" t="s">
        <v>366</v>
      </c>
      <c r="B89" s="178">
        <v>45931</v>
      </c>
      <c r="C89" s="1" t="s">
        <v>2060</v>
      </c>
      <c r="D89" s="1" t="s">
        <v>2061</v>
      </c>
      <c r="E89" s="1" t="s">
        <v>1127</v>
      </c>
      <c r="F89" s="1" t="s">
        <v>3403</v>
      </c>
      <c r="G89" s="1" t="s">
        <v>26</v>
      </c>
      <c r="H89" s="13">
        <v>456.95</v>
      </c>
      <c r="I89" s="13">
        <v>0</v>
      </c>
      <c r="J89" s="1" t="s">
        <v>2041</v>
      </c>
      <c r="K89" s="1" t="s">
        <v>2025</v>
      </c>
      <c r="L89" s="1" t="str">
        <f>VLOOKUP(Advices[[#This Row],[LC Number]],'Combine_List'!A:D,2,0)</f>
        <v>SCHUCO MIDDLE EAST WINDOWS AND FACADE SYSTEMS LLC</v>
      </c>
      <c r="M89" s="447" t="str">
        <f>VLOOKUP(Advices[[#This Row],[LC Number]],'Combine_List'!A:D,3,0)</f>
        <v>MBL/Premium</v>
      </c>
      <c r="N89" s="447" t="str">
        <f>VLOOKUP(Advices[[#This Row],[LC Number]],'Combine_List'!A:D,4,0)</f>
        <v>CEER</v>
      </c>
      <c r="O89" s="447">
        <f>VLOOKUP(Advices[[#This Row],[LC Number]],'Combine_List'!A:E,5,0)</f>
        <v>1020091</v>
      </c>
      <c r="P89" s="447">
        <f>MONTH(Advices[[#This Row],[Transaction Date]])</f>
        <v>10</v>
      </c>
      <c r="Q89" s="447">
        <f>YEAR(Advices[[#This Row],[Transaction Date]])</f>
        <v>2025</v>
      </c>
      <c r="R89" s="1"/>
    </row>
    <row r="90" spans="1:18" hidden="1" x14ac:dyDescent="0.25">
      <c r="A90" s="1" t="s">
        <v>366</v>
      </c>
      <c r="B90" s="178">
        <v>45931</v>
      </c>
      <c r="C90" s="1" t="s">
        <v>2060</v>
      </c>
      <c r="D90" s="1" t="s">
        <v>2062</v>
      </c>
      <c r="E90" s="1" t="s">
        <v>1127</v>
      </c>
      <c r="F90" s="1" t="s">
        <v>3403</v>
      </c>
      <c r="G90" s="1" t="s">
        <v>26</v>
      </c>
      <c r="H90" s="13">
        <v>317887.82</v>
      </c>
      <c r="I90" s="13">
        <v>0</v>
      </c>
      <c r="J90" s="1" t="s">
        <v>2041</v>
      </c>
      <c r="K90" s="1" t="s">
        <v>2025</v>
      </c>
      <c r="L90" s="1" t="str">
        <f>VLOOKUP(Advices[[#This Row],[LC Number]],'Combine_List'!A:D,2,0)</f>
        <v>SCHUCO MIDDLE EAST WINDOWS AND FACADE SYSTEMS LLC</v>
      </c>
      <c r="M90" s="447" t="str">
        <f>VLOOKUP(Advices[[#This Row],[LC Number]],'Combine_List'!A:D,3,0)</f>
        <v>MBL/Premium</v>
      </c>
      <c r="N90" s="447" t="str">
        <f>VLOOKUP(Advices[[#This Row],[LC Number]],'Combine_List'!A:D,4,0)</f>
        <v>CEER</v>
      </c>
      <c r="O90" s="447">
        <f>VLOOKUP(Advices[[#This Row],[LC Number]],'Combine_List'!A:E,5,0)</f>
        <v>1020091</v>
      </c>
      <c r="P90" s="447">
        <f>MONTH(Advices[[#This Row],[Transaction Date]])</f>
        <v>10</v>
      </c>
      <c r="Q90" s="447">
        <f>YEAR(Advices[[#This Row],[Transaction Date]])</f>
        <v>2025</v>
      </c>
      <c r="R90" s="1"/>
    </row>
    <row r="91" spans="1:18" hidden="1" x14ac:dyDescent="0.25">
      <c r="A91" s="1" t="s">
        <v>366</v>
      </c>
      <c r="B91" s="178">
        <v>45931</v>
      </c>
      <c r="C91" s="1" t="s">
        <v>2060</v>
      </c>
      <c r="D91" s="1" t="s">
        <v>2063</v>
      </c>
      <c r="E91" s="1" t="s">
        <v>1771</v>
      </c>
      <c r="F91" s="1" t="s">
        <v>3404</v>
      </c>
      <c r="G91" s="1" t="s">
        <v>26</v>
      </c>
      <c r="H91" s="13">
        <v>2617.5</v>
      </c>
      <c r="I91" s="13">
        <v>0</v>
      </c>
      <c r="J91" s="1" t="s">
        <v>2041</v>
      </c>
      <c r="K91" s="1" t="s">
        <v>2025</v>
      </c>
      <c r="L91" s="1" t="str">
        <f>VLOOKUP(Advices[[#This Row],[LC Number]],'Combine_List'!A:D,2,0)</f>
        <v>TEN POINTS TRADING EST</v>
      </c>
      <c r="M91" s="447" t="str">
        <f>VLOOKUP(Advices[[#This Row],[LC Number]],'Combine_List'!A:D,3,0)</f>
        <v>FIRST FIX</v>
      </c>
      <c r="N91" s="447" t="str">
        <f>VLOOKUP(Advices[[#This Row],[LC Number]],'Combine_List'!A:D,4,0)</f>
        <v>MP1</v>
      </c>
      <c r="O91" s="447">
        <f>VLOOKUP(Advices[[#This Row],[LC Number]],'Combine_List'!A:E,5,0)</f>
        <v>1020088</v>
      </c>
      <c r="P91" s="447">
        <f>MONTH(Advices[[#This Row],[Transaction Date]])</f>
        <v>10</v>
      </c>
      <c r="Q91" s="447">
        <f>YEAR(Advices[[#This Row],[Transaction Date]])</f>
        <v>2025</v>
      </c>
      <c r="R91" s="1"/>
    </row>
    <row r="92" spans="1:18" hidden="1" x14ac:dyDescent="0.25">
      <c r="A92" s="1" t="s">
        <v>366</v>
      </c>
      <c r="B92" s="178">
        <v>45932</v>
      </c>
      <c r="C92" s="1" t="s">
        <v>2057</v>
      </c>
      <c r="D92" s="1" t="s">
        <v>2064</v>
      </c>
      <c r="E92" s="1" t="s">
        <v>1530</v>
      </c>
      <c r="F92" s="1" t="s">
        <v>1530</v>
      </c>
      <c r="G92" s="1" t="s">
        <v>26</v>
      </c>
      <c r="H92" s="13">
        <v>575</v>
      </c>
      <c r="I92" s="13">
        <v>0</v>
      </c>
      <c r="J92" s="1" t="s">
        <v>2041</v>
      </c>
      <c r="K92" s="1" t="s">
        <v>2025</v>
      </c>
      <c r="L92" s="1" t="str">
        <f>VLOOKUP(Advices[[#This Row],[LC Number]],'Combine_List'!A:D,2,0)</f>
        <v>Aluminium Products company (ALUPCO)</v>
      </c>
      <c r="M92" s="447" t="str">
        <f>VLOOKUP(Advices[[#This Row],[LC Number]],'Combine_List'!A:D,3,0)</f>
        <v>MBL/Premium</v>
      </c>
      <c r="N92" s="447" t="str">
        <f>VLOOKUP(Advices[[#This Row],[LC Number]],'Combine_List'!A:D,4,0)</f>
        <v>CEER</v>
      </c>
      <c r="O92" s="447">
        <f>VLOOKUP(Advices[[#This Row],[LC Number]],'Combine_List'!A:E,5,0)</f>
        <v>1020091</v>
      </c>
      <c r="P92" s="447">
        <f>MONTH(Advices[[#This Row],[Transaction Date]])</f>
        <v>10</v>
      </c>
      <c r="Q92" s="447">
        <f>YEAR(Advices[[#This Row],[Transaction Date]])</f>
        <v>2025</v>
      </c>
      <c r="R92" s="1"/>
    </row>
    <row r="93" spans="1:18" hidden="1" x14ac:dyDescent="0.25">
      <c r="A93" s="1" t="s">
        <v>366</v>
      </c>
      <c r="B93" s="178">
        <v>45932</v>
      </c>
      <c r="C93" s="1" t="s">
        <v>2060</v>
      </c>
      <c r="D93" s="1" t="s">
        <v>2065</v>
      </c>
      <c r="E93" s="1" t="s">
        <v>1129</v>
      </c>
      <c r="F93" s="1" t="s">
        <v>3405</v>
      </c>
      <c r="G93" s="1" t="s">
        <v>26</v>
      </c>
      <c r="H93" s="13">
        <v>431.25</v>
      </c>
      <c r="I93" s="13">
        <v>0</v>
      </c>
      <c r="J93" s="1" t="s">
        <v>2041</v>
      </c>
      <c r="K93" s="1" t="s">
        <v>2025</v>
      </c>
      <c r="L93" s="1" t="str">
        <f>VLOOKUP(Advices[[#This Row],[LC Number]],'Combine_List'!A:D,2,0)</f>
        <v>ISAM MUAMMED KHAIRI KABBANI GLASS (IKK Glass)</v>
      </c>
      <c r="M93" s="447" t="str">
        <f>VLOOKUP(Advices[[#This Row],[LC Number]],'Combine_List'!A:D,3,0)</f>
        <v>MBL/Premium</v>
      </c>
      <c r="N93" s="447" t="str">
        <f>VLOOKUP(Advices[[#This Row],[LC Number]],'Combine_List'!A:D,4,0)</f>
        <v>CEER</v>
      </c>
      <c r="O93" s="447">
        <f>VLOOKUP(Advices[[#This Row],[LC Number]],'Combine_List'!A:E,5,0)</f>
        <v>1020091</v>
      </c>
      <c r="P93" s="447">
        <f>MONTH(Advices[[#This Row],[Transaction Date]])</f>
        <v>10</v>
      </c>
      <c r="Q93" s="447">
        <f>YEAR(Advices[[#This Row],[Transaction Date]])</f>
        <v>2025</v>
      </c>
      <c r="R93" s="1"/>
    </row>
    <row r="94" spans="1:18" hidden="1" x14ac:dyDescent="0.25">
      <c r="A94" s="1" t="s">
        <v>366</v>
      </c>
      <c r="B94" s="178">
        <v>45932</v>
      </c>
      <c r="C94" s="1" t="s">
        <v>2060</v>
      </c>
      <c r="D94" s="1" t="s">
        <v>2066</v>
      </c>
      <c r="E94" s="1" t="s">
        <v>1912</v>
      </c>
      <c r="F94" s="1" t="s">
        <v>1912</v>
      </c>
      <c r="G94" s="1" t="s">
        <v>26</v>
      </c>
      <c r="H94" s="13">
        <v>1523.75</v>
      </c>
      <c r="I94" s="13">
        <v>0</v>
      </c>
      <c r="J94" s="1" t="s">
        <v>2041</v>
      </c>
      <c r="K94" s="1" t="s">
        <v>2025</v>
      </c>
      <c r="L94" s="1" t="str">
        <f>VLOOKUP(Advices[[#This Row],[LC Number]],'Combine_List'!A:D,2,0)</f>
        <v>Electric House Trading Company L.L.C.</v>
      </c>
      <c r="M94" s="447" t="str">
        <f>VLOOKUP(Advices[[#This Row],[LC Number]],'Combine_List'!A:D,3,0)</f>
        <v>FIRST FIX</v>
      </c>
      <c r="N94" s="447" t="str">
        <f>VLOOKUP(Advices[[#This Row],[LC Number]],'Combine_List'!A:D,4,0)</f>
        <v>MP1</v>
      </c>
      <c r="O94" s="447">
        <f>VLOOKUP(Advices[[#This Row],[LC Number]],'Combine_List'!A:E,5,0)</f>
        <v>1020088</v>
      </c>
      <c r="P94" s="447">
        <f>MONTH(Advices[[#This Row],[Transaction Date]])</f>
        <v>10</v>
      </c>
      <c r="Q94" s="447">
        <f>YEAR(Advices[[#This Row],[Transaction Date]])</f>
        <v>2025</v>
      </c>
      <c r="R94" s="1"/>
    </row>
    <row r="95" spans="1:18" hidden="1" x14ac:dyDescent="0.25">
      <c r="A95" s="1" t="s">
        <v>366</v>
      </c>
      <c r="B95" s="178">
        <v>45932</v>
      </c>
      <c r="C95" s="1" t="s">
        <v>2057</v>
      </c>
      <c r="D95" s="1" t="s">
        <v>2067</v>
      </c>
      <c r="E95" s="1" t="s">
        <v>1530</v>
      </c>
      <c r="F95" s="1" t="s">
        <v>1530</v>
      </c>
      <c r="G95" s="1" t="s">
        <v>26</v>
      </c>
      <c r="H95" s="13">
        <v>690</v>
      </c>
      <c r="I95" s="13">
        <v>0</v>
      </c>
      <c r="J95" s="1" t="s">
        <v>2041</v>
      </c>
      <c r="K95" s="1" t="s">
        <v>2025</v>
      </c>
      <c r="L95" s="1" t="str">
        <f>VLOOKUP(Advices[[#This Row],[LC Number]],'Combine_List'!A:D,2,0)</f>
        <v>Aluminium Products company (ALUPCO)</v>
      </c>
      <c r="M95" s="447" t="str">
        <f>VLOOKUP(Advices[[#This Row],[LC Number]],'Combine_List'!A:D,3,0)</f>
        <v>MBL/Premium</v>
      </c>
      <c r="N95" s="447" t="str">
        <f>VLOOKUP(Advices[[#This Row],[LC Number]],'Combine_List'!A:D,4,0)</f>
        <v>CEER</v>
      </c>
      <c r="O95" s="447">
        <f>VLOOKUP(Advices[[#This Row],[LC Number]],'Combine_List'!A:E,5,0)</f>
        <v>1020091</v>
      </c>
      <c r="P95" s="447">
        <f>MONTH(Advices[[#This Row],[Transaction Date]])</f>
        <v>10</v>
      </c>
      <c r="Q95" s="447">
        <f>YEAR(Advices[[#This Row],[Transaction Date]])</f>
        <v>2025</v>
      </c>
      <c r="R95" s="1"/>
    </row>
    <row r="96" spans="1:18" hidden="1" x14ac:dyDescent="0.25">
      <c r="A96" s="1" t="s">
        <v>366</v>
      </c>
      <c r="B96" s="178">
        <v>45932</v>
      </c>
      <c r="C96" s="1" t="s">
        <v>2057</v>
      </c>
      <c r="D96" s="1" t="s">
        <v>2068</v>
      </c>
      <c r="E96" s="1" t="s">
        <v>1229</v>
      </c>
      <c r="F96" s="1" t="s">
        <v>3477</v>
      </c>
      <c r="G96" s="1" t="s">
        <v>26</v>
      </c>
      <c r="H96" s="13">
        <v>779760</v>
      </c>
      <c r="I96" s="13">
        <v>0</v>
      </c>
      <c r="J96" s="1" t="s">
        <v>2041</v>
      </c>
      <c r="K96" s="1" t="s">
        <v>2025</v>
      </c>
      <c r="L96" s="1" t="str">
        <f>VLOOKUP(Advices[[#This Row],[LC Number]],'Combine_List'!A:D,2,0)</f>
        <v>VENTLINE AIR CONDITIONING REQUISITES MANUFACTURING LLC</v>
      </c>
      <c r="M96" s="447" t="str">
        <f>VLOOKUP(Advices[[#This Row],[LC Number]],'Combine_List'!A:D,3,0)</f>
        <v>MBL/Premium</v>
      </c>
      <c r="N96" s="447" t="str">
        <f>VLOOKUP(Advices[[#This Row],[LC Number]],'Combine_List'!A:D,4,0)</f>
        <v>CEER</v>
      </c>
      <c r="O96" s="447">
        <f>VLOOKUP(Advices[[#This Row],[LC Number]],'Combine_List'!A:E,5,0)</f>
        <v>1020091</v>
      </c>
      <c r="P96" s="447">
        <f>MONTH(Advices[[#This Row],[Transaction Date]])</f>
        <v>10</v>
      </c>
      <c r="Q96" s="447">
        <f>YEAR(Advices[[#This Row],[Transaction Date]])</f>
        <v>2025</v>
      </c>
      <c r="R96" s="1"/>
    </row>
    <row r="97" spans="1:18" hidden="1" x14ac:dyDescent="0.25">
      <c r="A97" s="1" t="s">
        <v>366</v>
      </c>
      <c r="B97" s="178">
        <v>45932</v>
      </c>
      <c r="C97" s="1" t="s">
        <v>2057</v>
      </c>
      <c r="D97" s="1" t="s">
        <v>2069</v>
      </c>
      <c r="E97" s="1" t="s">
        <v>1229</v>
      </c>
      <c r="F97" s="1" t="s">
        <v>3477</v>
      </c>
      <c r="G97" s="1" t="s">
        <v>26</v>
      </c>
      <c r="H97" s="13">
        <v>661.25</v>
      </c>
      <c r="I97" s="13">
        <v>0</v>
      </c>
      <c r="J97" s="1" t="s">
        <v>2041</v>
      </c>
      <c r="K97" s="1" t="s">
        <v>2025</v>
      </c>
      <c r="L97" s="1" t="str">
        <f>VLOOKUP(Advices[[#This Row],[LC Number]],'Combine_List'!A:D,2,0)</f>
        <v>VENTLINE AIR CONDITIONING REQUISITES MANUFACTURING LLC</v>
      </c>
      <c r="M97" s="447" t="str">
        <f>VLOOKUP(Advices[[#This Row],[LC Number]],'Combine_List'!A:D,3,0)</f>
        <v>MBL/Premium</v>
      </c>
      <c r="N97" s="447" t="str">
        <f>VLOOKUP(Advices[[#This Row],[LC Number]],'Combine_List'!A:D,4,0)</f>
        <v>CEER</v>
      </c>
      <c r="O97" s="447">
        <f>VLOOKUP(Advices[[#This Row],[LC Number]],'Combine_List'!A:E,5,0)</f>
        <v>1020091</v>
      </c>
      <c r="P97" s="447">
        <f>MONTH(Advices[[#This Row],[Transaction Date]])</f>
        <v>10</v>
      </c>
      <c r="Q97" s="447">
        <f>YEAR(Advices[[#This Row],[Transaction Date]])</f>
        <v>2025</v>
      </c>
      <c r="R97" s="1"/>
    </row>
    <row r="98" spans="1:18" hidden="1" x14ac:dyDescent="0.25">
      <c r="A98" s="1" t="s">
        <v>366</v>
      </c>
      <c r="B98" s="178">
        <v>45932</v>
      </c>
      <c r="C98" s="1" t="s">
        <v>2057</v>
      </c>
      <c r="D98" s="1" t="s">
        <v>2070</v>
      </c>
      <c r="E98" s="1" t="s">
        <v>1651</v>
      </c>
      <c r="F98" s="1" t="s">
        <v>3406</v>
      </c>
      <c r="G98" s="1" t="s">
        <v>26</v>
      </c>
      <c r="H98" s="13">
        <v>3881.25</v>
      </c>
      <c r="I98" s="13">
        <v>0</v>
      </c>
      <c r="J98" s="1" t="s">
        <v>2041</v>
      </c>
      <c r="K98" s="1" t="s">
        <v>2025</v>
      </c>
      <c r="L98" s="1" t="str">
        <f>VLOOKUP(Advices[[#This Row],[LC Number]],'Combine_List'!A:D,2,0)</f>
        <v xml:space="preserve">Masdar Technical Supplies Co. </v>
      </c>
      <c r="M98" s="447" t="str">
        <f>VLOOKUP(Advices[[#This Row],[LC Number]],'Combine_List'!A:D,3,0)</f>
        <v>FIRST FIX</v>
      </c>
      <c r="N98" s="447" t="str">
        <f>VLOOKUP(Advices[[#This Row],[LC Number]],'Combine_List'!A:D,4,0)</f>
        <v>CEER</v>
      </c>
      <c r="O98" s="447">
        <f>VLOOKUP(Advices[[#This Row],[LC Number]],'Combine_List'!A:E,5,0)</f>
        <v>1020091</v>
      </c>
      <c r="P98" s="447">
        <f>MONTH(Advices[[#This Row],[Transaction Date]])</f>
        <v>10</v>
      </c>
      <c r="Q98" s="447">
        <f>YEAR(Advices[[#This Row],[Transaction Date]])</f>
        <v>2025</v>
      </c>
      <c r="R98" s="1"/>
    </row>
    <row r="99" spans="1:18" hidden="1" x14ac:dyDescent="0.25">
      <c r="A99" s="1" t="s">
        <v>366</v>
      </c>
      <c r="B99" s="178">
        <v>45932</v>
      </c>
      <c r="C99" s="1" t="s">
        <v>2060</v>
      </c>
      <c r="D99" s="1" t="s">
        <v>2071</v>
      </c>
      <c r="E99" s="1" t="s">
        <v>736</v>
      </c>
      <c r="F99" s="1" t="s">
        <v>3407</v>
      </c>
      <c r="G99" s="1" t="s">
        <v>26</v>
      </c>
      <c r="H99" s="13">
        <v>13351.17</v>
      </c>
      <c r="I99" s="13">
        <v>0</v>
      </c>
      <c r="J99" s="1" t="s">
        <v>2041</v>
      </c>
      <c r="K99" s="1" t="s">
        <v>2025</v>
      </c>
      <c r="L99" s="1" t="str">
        <f>VLOOKUP(Advices[[#This Row],[LC Number]],'Combine_List'!A:D,2,0)</f>
        <v>Kingspan Insulated Panels Manufacturing LLC</v>
      </c>
      <c r="M99" s="447" t="str">
        <f>VLOOKUP(Advices[[#This Row],[LC Number]],'Combine_List'!A:D,3,0)</f>
        <v>MBL</v>
      </c>
      <c r="N99" s="447" t="str">
        <f>VLOOKUP(Advices[[#This Row],[LC Number]],'Combine_List'!A:D,4,0)</f>
        <v>CEER</v>
      </c>
      <c r="O99" s="447">
        <f>VLOOKUP(Advices[[#This Row],[LC Number]],'Combine_List'!A:E,5,0)</f>
        <v>1020091</v>
      </c>
      <c r="P99" s="447">
        <f>MONTH(Advices[[#This Row],[Transaction Date]])</f>
        <v>10</v>
      </c>
      <c r="Q99" s="447">
        <f>YEAR(Advices[[#This Row],[Transaction Date]])</f>
        <v>2025</v>
      </c>
      <c r="R99" s="1"/>
    </row>
    <row r="100" spans="1:18" hidden="1" x14ac:dyDescent="0.25">
      <c r="A100" s="1" t="s">
        <v>366</v>
      </c>
      <c r="B100" s="178">
        <v>45936</v>
      </c>
      <c r="C100" s="1" t="s">
        <v>2057</v>
      </c>
      <c r="D100" s="1" t="s">
        <v>2072</v>
      </c>
      <c r="E100" s="1" t="s">
        <v>700</v>
      </c>
      <c r="F100" s="1" t="s">
        <v>3478</v>
      </c>
      <c r="G100" s="1" t="s">
        <v>26</v>
      </c>
      <c r="H100" s="13">
        <v>496480.71</v>
      </c>
      <c r="I100" s="13">
        <v>0</v>
      </c>
      <c r="J100" s="1" t="s">
        <v>2041</v>
      </c>
      <c r="K100" s="1" t="s">
        <v>2025</v>
      </c>
      <c r="L100" s="1" t="str">
        <f>VLOOKUP(Advices[[#This Row],[LC Number]],'Combine_List'!A:D,2,0)</f>
        <v>MATERIALS SYSTEMS AND INDUSTRIAL SOLUTIONS COMPANY</v>
      </c>
      <c r="M100" s="447" t="str">
        <f>VLOOKUP(Advices[[#This Row],[LC Number]],'Combine_List'!A:D,3,0)</f>
        <v>MBL</v>
      </c>
      <c r="N100" s="447" t="str">
        <f>VLOOKUP(Advices[[#This Row],[LC Number]],'Combine_List'!A:D,4,0)</f>
        <v>CEER</v>
      </c>
      <c r="O100" s="447">
        <f>VLOOKUP(Advices[[#This Row],[LC Number]],'Combine_List'!A:E,5,0)</f>
        <v>1020091</v>
      </c>
      <c r="P100" s="447">
        <f>MONTH(Advices[[#This Row],[Transaction Date]])</f>
        <v>10</v>
      </c>
      <c r="Q100" s="447">
        <f>YEAR(Advices[[#This Row],[Transaction Date]])</f>
        <v>2025</v>
      </c>
      <c r="R100" s="1"/>
    </row>
    <row r="101" spans="1:18" hidden="1" x14ac:dyDescent="0.25">
      <c r="A101" s="1" t="s">
        <v>366</v>
      </c>
      <c r="B101" s="178">
        <v>45937</v>
      </c>
      <c r="C101" s="1" t="s">
        <v>2057</v>
      </c>
      <c r="D101" s="1" t="s">
        <v>2073</v>
      </c>
      <c r="E101" s="1" t="s">
        <v>736</v>
      </c>
      <c r="F101" s="1" t="s">
        <v>3479</v>
      </c>
      <c r="G101" s="1" t="s">
        <v>26</v>
      </c>
      <c r="H101" s="13">
        <v>1481071.75</v>
      </c>
      <c r="I101" s="13">
        <v>0</v>
      </c>
      <c r="J101" s="1" t="s">
        <v>2041</v>
      </c>
      <c r="K101" s="1" t="s">
        <v>2025</v>
      </c>
      <c r="L101" s="1" t="str">
        <f>VLOOKUP(Advices[[#This Row],[LC Number]],'Combine_List'!A:D,2,0)</f>
        <v>Kingspan Insulated Panels Manufacturing LLC</v>
      </c>
      <c r="M101" s="447" t="str">
        <f>VLOOKUP(Advices[[#This Row],[LC Number]],'Combine_List'!A:D,3,0)</f>
        <v>MBL</v>
      </c>
      <c r="N101" s="447" t="str">
        <f>VLOOKUP(Advices[[#This Row],[LC Number]],'Combine_List'!A:D,4,0)</f>
        <v>CEER</v>
      </c>
      <c r="O101" s="447">
        <f>VLOOKUP(Advices[[#This Row],[LC Number]],'Combine_List'!A:E,5,0)</f>
        <v>1020091</v>
      </c>
      <c r="P101" s="447">
        <f>MONTH(Advices[[#This Row],[Transaction Date]])</f>
        <v>10</v>
      </c>
      <c r="Q101" s="447">
        <f>YEAR(Advices[[#This Row],[Transaction Date]])</f>
        <v>2025</v>
      </c>
      <c r="R101" s="1"/>
    </row>
    <row r="102" spans="1:18" hidden="1" x14ac:dyDescent="0.25">
      <c r="A102" s="1" t="s">
        <v>366</v>
      </c>
      <c r="B102" s="178">
        <v>45937</v>
      </c>
      <c r="C102" s="1" t="s">
        <v>2060</v>
      </c>
      <c r="D102" s="1" t="s">
        <v>2074</v>
      </c>
      <c r="E102" s="1" t="s">
        <v>778</v>
      </c>
      <c r="F102" s="1" t="s">
        <v>3408</v>
      </c>
      <c r="G102" s="1" t="s">
        <v>26</v>
      </c>
      <c r="H102" s="13">
        <v>1002.12</v>
      </c>
      <c r="I102" s="13">
        <v>0</v>
      </c>
      <c r="J102" s="1" t="s">
        <v>2041</v>
      </c>
      <c r="K102" s="1" t="s">
        <v>2025</v>
      </c>
      <c r="L102" s="1" t="str">
        <f>VLOOKUP(Advices[[#This Row],[LC Number]],'Combine_List'!A:D,2,0)</f>
        <v>Alfanar Electrical Systems</v>
      </c>
      <c r="M102" s="447" t="str">
        <f>VLOOKUP(Advices[[#This Row],[LC Number]],'Combine_List'!A:D,3,0)</f>
        <v>FIRST FIX</v>
      </c>
      <c r="N102" s="447" t="str">
        <f>VLOOKUP(Advices[[#This Row],[LC Number]],'Combine_List'!A:D,4,0)</f>
        <v>MP1</v>
      </c>
      <c r="O102" s="447">
        <f>VLOOKUP(Advices[[#This Row],[LC Number]],'Combine_List'!A:E,5,0)</f>
        <v>1020088</v>
      </c>
      <c r="P102" s="447">
        <f>MONTH(Advices[[#This Row],[Transaction Date]])</f>
        <v>10</v>
      </c>
      <c r="Q102" s="447">
        <f>YEAR(Advices[[#This Row],[Transaction Date]])</f>
        <v>2025</v>
      </c>
      <c r="R102" s="1"/>
    </row>
    <row r="103" spans="1:18" hidden="1" x14ac:dyDescent="0.25">
      <c r="A103" s="1" t="s">
        <v>366</v>
      </c>
      <c r="B103" s="178">
        <v>45937</v>
      </c>
      <c r="C103" s="1" t="s">
        <v>2057</v>
      </c>
      <c r="D103" s="1" t="s">
        <v>2075</v>
      </c>
      <c r="E103" s="1" t="s">
        <v>1530</v>
      </c>
      <c r="F103" s="1" t="s">
        <v>3409</v>
      </c>
      <c r="G103" s="1" t="s">
        <v>26</v>
      </c>
      <c r="H103" s="13">
        <v>1229.97</v>
      </c>
      <c r="I103" s="13">
        <v>0</v>
      </c>
      <c r="J103" s="1" t="s">
        <v>2041</v>
      </c>
      <c r="K103" s="1" t="s">
        <v>2025</v>
      </c>
      <c r="L103" s="1" t="str">
        <f>VLOOKUP(Advices[[#This Row],[LC Number]],'Combine_List'!A:D,2,0)</f>
        <v>Aluminium Products company (ALUPCO)</v>
      </c>
      <c r="M103" s="447" t="str">
        <f>VLOOKUP(Advices[[#This Row],[LC Number]],'Combine_List'!A:D,3,0)</f>
        <v>MBL/Premium</v>
      </c>
      <c r="N103" s="447" t="str">
        <f>VLOOKUP(Advices[[#This Row],[LC Number]],'Combine_List'!A:D,4,0)</f>
        <v>CEER</v>
      </c>
      <c r="O103" s="447">
        <f>VLOOKUP(Advices[[#This Row],[LC Number]],'Combine_List'!A:E,5,0)</f>
        <v>1020091</v>
      </c>
      <c r="P103" s="447">
        <f>MONTH(Advices[[#This Row],[Transaction Date]])</f>
        <v>10</v>
      </c>
      <c r="Q103" s="447">
        <f>YEAR(Advices[[#This Row],[Transaction Date]])</f>
        <v>2025</v>
      </c>
      <c r="R103" s="1"/>
    </row>
    <row r="104" spans="1:18" hidden="1" x14ac:dyDescent="0.25">
      <c r="A104" s="1" t="s">
        <v>366</v>
      </c>
      <c r="B104" s="178">
        <v>45938</v>
      </c>
      <c r="C104" s="1" t="s">
        <v>2057</v>
      </c>
      <c r="D104" s="1" t="s">
        <v>2076</v>
      </c>
      <c r="E104" s="1" t="s">
        <v>689</v>
      </c>
      <c r="F104" s="1" t="s">
        <v>3410</v>
      </c>
      <c r="G104" s="1" t="s">
        <v>26</v>
      </c>
      <c r="H104" s="13">
        <v>1780.49</v>
      </c>
      <c r="I104" s="13">
        <v>0</v>
      </c>
      <c r="J104" s="1" t="s">
        <v>2041</v>
      </c>
      <c r="K104" s="1" t="s">
        <v>2025</v>
      </c>
      <c r="L104" s="1" t="str">
        <f>VLOOKUP(Advices[[#This Row],[LC Number]],'Combine_List'!A:D,2,0)</f>
        <v>Arnon Plastic Industries Co Ltd</v>
      </c>
      <c r="M104" s="447" t="str">
        <f>VLOOKUP(Advices[[#This Row],[LC Number]],'Combine_List'!A:D,3,0)</f>
        <v>MBL</v>
      </c>
      <c r="N104" s="447" t="str">
        <f>VLOOKUP(Advices[[#This Row],[LC Number]],'Combine_List'!A:D,4,0)</f>
        <v>CEER</v>
      </c>
      <c r="O104" s="447">
        <f>VLOOKUP(Advices[[#This Row],[LC Number]],'Combine_List'!A:E,5,0)</f>
        <v>1020091</v>
      </c>
      <c r="P104" s="447">
        <f>MONTH(Advices[[#This Row],[Transaction Date]])</f>
        <v>10</v>
      </c>
      <c r="Q104" s="447">
        <f>YEAR(Advices[[#This Row],[Transaction Date]])</f>
        <v>2025</v>
      </c>
      <c r="R104" s="1"/>
    </row>
    <row r="105" spans="1:18" hidden="1" x14ac:dyDescent="0.25">
      <c r="A105" s="1" t="s">
        <v>366</v>
      </c>
      <c r="B105" s="178">
        <v>45938</v>
      </c>
      <c r="C105" s="1" t="s">
        <v>2057</v>
      </c>
      <c r="D105" s="1" t="s">
        <v>2077</v>
      </c>
      <c r="E105" s="1" t="s">
        <v>1129</v>
      </c>
      <c r="F105" s="1" t="s">
        <v>3405</v>
      </c>
      <c r="G105" s="1" t="s">
        <v>26</v>
      </c>
      <c r="H105" s="13">
        <v>600000</v>
      </c>
      <c r="I105" s="13">
        <v>0</v>
      </c>
      <c r="J105" s="1" t="s">
        <v>2041</v>
      </c>
      <c r="K105" s="1" t="s">
        <v>2025</v>
      </c>
      <c r="L105" s="1" t="str">
        <f>VLOOKUP(Advices[[#This Row],[LC Number]],'Combine_List'!A:D,2,0)</f>
        <v>ISAM MUAMMED KHAIRI KABBANI GLASS (IKK Glass)</v>
      </c>
      <c r="M105" s="447" t="str">
        <f>VLOOKUP(Advices[[#This Row],[LC Number]],'Combine_List'!A:D,3,0)</f>
        <v>MBL/Premium</v>
      </c>
      <c r="N105" s="447" t="str">
        <f>VLOOKUP(Advices[[#This Row],[LC Number]],'Combine_List'!A:D,4,0)</f>
        <v>CEER</v>
      </c>
      <c r="O105" s="447">
        <f>VLOOKUP(Advices[[#This Row],[LC Number]],'Combine_List'!A:E,5,0)</f>
        <v>1020091</v>
      </c>
      <c r="P105" s="447">
        <f>MONTH(Advices[[#This Row],[Transaction Date]])</f>
        <v>10</v>
      </c>
      <c r="Q105" s="447">
        <f>YEAR(Advices[[#This Row],[Transaction Date]])</f>
        <v>2025</v>
      </c>
      <c r="R105" s="1"/>
    </row>
    <row r="106" spans="1:18" hidden="1" x14ac:dyDescent="0.25">
      <c r="A106" s="1" t="s">
        <v>366</v>
      </c>
      <c r="B106" s="178">
        <v>45938</v>
      </c>
      <c r="C106" s="1" t="s">
        <v>2057</v>
      </c>
      <c r="D106" s="1" t="s">
        <v>2078</v>
      </c>
      <c r="E106" s="1" t="s">
        <v>689</v>
      </c>
      <c r="F106" s="1" t="s">
        <v>3411</v>
      </c>
      <c r="G106" s="1" t="s">
        <v>26</v>
      </c>
      <c r="H106" s="13">
        <v>2941.68</v>
      </c>
      <c r="I106" s="13">
        <v>0</v>
      </c>
      <c r="J106" s="1" t="s">
        <v>2041</v>
      </c>
      <c r="K106" s="1" t="s">
        <v>2025</v>
      </c>
      <c r="L106" s="1" t="str">
        <f>VLOOKUP(Advices[[#This Row],[LC Number]],'Combine_List'!A:D,2,0)</f>
        <v>Arnon Plastic Industries Co Ltd</v>
      </c>
      <c r="M106" s="447" t="str">
        <f>VLOOKUP(Advices[[#This Row],[LC Number]],'Combine_List'!A:D,3,0)</f>
        <v>MBL</v>
      </c>
      <c r="N106" s="447" t="str">
        <f>VLOOKUP(Advices[[#This Row],[LC Number]],'Combine_List'!A:D,4,0)</f>
        <v>CEER</v>
      </c>
      <c r="O106" s="447">
        <f>VLOOKUP(Advices[[#This Row],[LC Number]],'Combine_List'!A:E,5,0)</f>
        <v>1020091</v>
      </c>
      <c r="P106" s="447">
        <f>MONTH(Advices[[#This Row],[Transaction Date]])</f>
        <v>10</v>
      </c>
      <c r="Q106" s="447">
        <f>YEAR(Advices[[#This Row],[Transaction Date]])</f>
        <v>2025</v>
      </c>
      <c r="R106" s="1"/>
    </row>
    <row r="107" spans="1:18" hidden="1" x14ac:dyDescent="0.25">
      <c r="A107" s="1" t="s">
        <v>366</v>
      </c>
      <c r="B107" s="178">
        <v>45938</v>
      </c>
      <c r="C107" s="1" t="s">
        <v>2057</v>
      </c>
      <c r="D107" s="1" t="s">
        <v>2079</v>
      </c>
      <c r="E107" s="1" t="s">
        <v>1673</v>
      </c>
      <c r="F107" s="1" t="s">
        <v>3412</v>
      </c>
      <c r="G107" s="1" t="s">
        <v>26</v>
      </c>
      <c r="H107" s="13">
        <v>689</v>
      </c>
      <c r="I107" s="13">
        <v>0</v>
      </c>
      <c r="J107" s="1" t="s">
        <v>2041</v>
      </c>
      <c r="K107" s="1" t="s">
        <v>2025</v>
      </c>
      <c r="L107" s="1" t="str">
        <f>VLOOKUP(Advices[[#This Row],[LC Number]],'Combine_List'!A:D,2,0)</f>
        <v>Mab United For Trading &amp; Contracting Co</v>
      </c>
      <c r="M107" s="447" t="str">
        <f>VLOOKUP(Advices[[#This Row],[LC Number]],'Combine_List'!A:D,3,0)</f>
        <v>FIRST FIX</v>
      </c>
      <c r="N107" s="447" t="str">
        <f>VLOOKUP(Advices[[#This Row],[LC Number]],'Combine_List'!A:D,4,0)</f>
        <v>CEER</v>
      </c>
      <c r="O107" s="447">
        <f>VLOOKUP(Advices[[#This Row],[LC Number]],'Combine_List'!A:E,5,0)</f>
        <v>1020091</v>
      </c>
      <c r="P107" s="447">
        <f>MONTH(Advices[[#This Row],[Transaction Date]])</f>
        <v>10</v>
      </c>
      <c r="Q107" s="447">
        <f>YEAR(Advices[[#This Row],[Transaction Date]])</f>
        <v>2025</v>
      </c>
      <c r="R107" s="1"/>
    </row>
    <row r="108" spans="1:18" hidden="1" x14ac:dyDescent="0.25">
      <c r="A108" s="1" t="s">
        <v>366</v>
      </c>
      <c r="B108" s="178">
        <v>45938</v>
      </c>
      <c r="C108" s="1" t="s">
        <v>2057</v>
      </c>
      <c r="D108" s="1" t="s">
        <v>2080</v>
      </c>
      <c r="E108" s="1" t="s">
        <v>1442</v>
      </c>
      <c r="F108" s="1" t="s">
        <v>3480</v>
      </c>
      <c r="G108" s="1" t="s">
        <v>26</v>
      </c>
      <c r="H108" s="13">
        <v>800000</v>
      </c>
      <c r="I108" s="13">
        <v>0</v>
      </c>
      <c r="J108" s="1" t="s">
        <v>2041</v>
      </c>
      <c r="K108" s="1" t="s">
        <v>2025</v>
      </c>
      <c r="L108" s="1" t="str">
        <f>VLOOKUP(Advices[[#This Row],[LC Number]],'Combine_List'!A:D,2,0)</f>
        <v>Al Maymanah for Contracting Co. Ltd.</v>
      </c>
      <c r="M108" s="447" t="str">
        <f>VLOOKUP(Advices[[#This Row],[LC Number]],'Combine_List'!A:D,3,0)</f>
        <v>FIRST FIX</v>
      </c>
      <c r="N108" s="447" t="str">
        <f>VLOOKUP(Advices[[#This Row],[LC Number]],'Combine_List'!A:D,4,0)</f>
        <v>MP1</v>
      </c>
      <c r="O108" s="447">
        <f>VLOOKUP(Advices[[#This Row],[LC Number]],'Combine_List'!A:E,5,0)</f>
        <v>1020088</v>
      </c>
      <c r="P108" s="447">
        <f>MONTH(Advices[[#This Row],[Transaction Date]])</f>
        <v>10</v>
      </c>
      <c r="Q108" s="447">
        <f>YEAR(Advices[[#This Row],[Transaction Date]])</f>
        <v>2025</v>
      </c>
      <c r="R108" s="1"/>
    </row>
    <row r="109" spans="1:18" hidden="1" x14ac:dyDescent="0.25">
      <c r="A109" s="1" t="s">
        <v>366</v>
      </c>
      <c r="B109" s="178">
        <v>45938</v>
      </c>
      <c r="C109" s="1" t="s">
        <v>2060</v>
      </c>
      <c r="D109" s="1" t="s">
        <v>2081</v>
      </c>
      <c r="E109" s="1" t="s">
        <v>1808</v>
      </c>
      <c r="F109" s="1" t="s">
        <v>3413</v>
      </c>
      <c r="G109" s="1" t="s">
        <v>26</v>
      </c>
      <c r="H109" s="13">
        <v>3016.02</v>
      </c>
      <c r="I109" s="13">
        <v>0</v>
      </c>
      <c r="J109" s="1" t="s">
        <v>2041</v>
      </c>
      <c r="K109" s="1" t="s">
        <v>2025</v>
      </c>
      <c r="L109" s="1" t="str">
        <f>VLOOKUP(Advices[[#This Row],[LC Number]],'Combine_List'!A:D,2,0)</f>
        <v>Al Saadeh Trading Establishment</v>
      </c>
      <c r="M109" s="447" t="str">
        <f>VLOOKUP(Advices[[#This Row],[LC Number]],'Combine_List'!A:D,3,0)</f>
        <v>MBL/ICAD</v>
      </c>
      <c r="N109" s="447" t="str">
        <f>VLOOKUP(Advices[[#This Row],[LC Number]],'Combine_List'!A:D,4,0)</f>
        <v>ABHA</v>
      </c>
      <c r="O109" s="447">
        <f>VLOOKUP(Advices[[#This Row],[LC Number]],'Combine_List'!A:E,5,0)</f>
        <v>1020070</v>
      </c>
      <c r="P109" s="447">
        <f>MONTH(Advices[[#This Row],[Transaction Date]])</f>
        <v>10</v>
      </c>
      <c r="Q109" s="447">
        <f>YEAR(Advices[[#This Row],[Transaction Date]])</f>
        <v>2025</v>
      </c>
      <c r="R109" s="1"/>
    </row>
    <row r="110" spans="1:18" hidden="1" x14ac:dyDescent="0.25">
      <c r="A110" s="1" t="s">
        <v>366</v>
      </c>
      <c r="B110" s="178">
        <v>45938</v>
      </c>
      <c r="C110" s="1" t="s">
        <v>2060</v>
      </c>
      <c r="D110" s="1" t="s">
        <v>2082</v>
      </c>
      <c r="E110" s="1" t="s">
        <v>1440</v>
      </c>
      <c r="F110" s="1" t="s">
        <v>3481</v>
      </c>
      <c r="G110" s="1" t="s">
        <v>26</v>
      </c>
      <c r="H110" s="13">
        <v>150000</v>
      </c>
      <c r="I110" s="13">
        <v>0</v>
      </c>
      <c r="J110" s="1" t="s">
        <v>2041</v>
      </c>
      <c r="K110" s="1" t="s">
        <v>2025</v>
      </c>
      <c r="L110" s="1" t="str">
        <f>VLOOKUP(Advices[[#This Row],[LC Number]],'Combine_List'!A:D,2,0)</f>
        <v>Saudi Electric Supply Company</v>
      </c>
      <c r="M110" s="447" t="str">
        <f>VLOOKUP(Advices[[#This Row],[LC Number]],'Combine_List'!A:D,3,0)</f>
        <v>FIRST FIX</v>
      </c>
      <c r="N110" s="447" t="str">
        <f>VLOOKUP(Advices[[#This Row],[LC Number]],'Combine_List'!A:D,4,0)</f>
        <v>MP1</v>
      </c>
      <c r="O110" s="447">
        <f>VLOOKUP(Advices[[#This Row],[LC Number]],'Combine_List'!A:E,5,0)</f>
        <v>1020088</v>
      </c>
      <c r="P110" s="447">
        <f>MONTH(Advices[[#This Row],[Transaction Date]])</f>
        <v>10</v>
      </c>
      <c r="Q110" s="447">
        <f>YEAR(Advices[[#This Row],[Transaction Date]])</f>
        <v>2025</v>
      </c>
      <c r="R110" s="1"/>
    </row>
    <row r="111" spans="1:18" hidden="1" x14ac:dyDescent="0.25">
      <c r="A111" s="1" t="s">
        <v>366</v>
      </c>
      <c r="B111" s="178">
        <v>45938</v>
      </c>
      <c r="C111" s="1" t="s">
        <v>2060</v>
      </c>
      <c r="D111" s="1" t="s">
        <v>2083</v>
      </c>
      <c r="E111" s="1" t="s">
        <v>1439</v>
      </c>
      <c r="F111" s="1" t="s">
        <v>3414</v>
      </c>
      <c r="G111" s="1" t="s">
        <v>26</v>
      </c>
      <c r="H111" s="13">
        <v>1774.68</v>
      </c>
      <c r="I111" s="13">
        <v>0</v>
      </c>
      <c r="J111" s="1" t="s">
        <v>2041</v>
      </c>
      <c r="K111" s="1" t="s">
        <v>2025</v>
      </c>
      <c r="L111" s="1" t="str">
        <f>VLOOKUP(Advices[[#This Row],[LC Number]],'Combine_List'!A:D,2,0)</f>
        <v>Al-Sayed Center A/C for Materials Company</v>
      </c>
      <c r="M111" s="447" t="str">
        <f>VLOOKUP(Advices[[#This Row],[LC Number]],'Combine_List'!A:D,3,0)</f>
        <v>FIRST FIX</v>
      </c>
      <c r="N111" s="447" t="str">
        <f>VLOOKUP(Advices[[#This Row],[LC Number]],'Combine_List'!A:D,4,0)</f>
        <v>MP1</v>
      </c>
      <c r="O111" s="447">
        <f>VLOOKUP(Advices[[#This Row],[LC Number]],'Combine_List'!A:E,5,0)</f>
        <v>1020088</v>
      </c>
      <c r="P111" s="447">
        <f>MONTH(Advices[[#This Row],[Transaction Date]])</f>
        <v>10</v>
      </c>
      <c r="Q111" s="447">
        <f>YEAR(Advices[[#This Row],[Transaction Date]])</f>
        <v>2025</v>
      </c>
      <c r="R111" s="1"/>
    </row>
    <row r="112" spans="1:18" hidden="1" x14ac:dyDescent="0.25">
      <c r="A112" s="1" t="s">
        <v>366</v>
      </c>
      <c r="B112" s="178">
        <v>45938</v>
      </c>
      <c r="C112" s="1" t="s">
        <v>2057</v>
      </c>
      <c r="D112" s="1" t="s">
        <v>2084</v>
      </c>
      <c r="E112" s="1" t="s">
        <v>1851</v>
      </c>
      <c r="F112" s="1" t="s">
        <v>3415</v>
      </c>
      <c r="G112" s="1" t="s">
        <v>26</v>
      </c>
      <c r="H112" s="13">
        <v>718.75</v>
      </c>
      <c r="I112" s="13">
        <v>0</v>
      </c>
      <c r="J112" s="1" t="s">
        <v>2041</v>
      </c>
      <c r="K112" s="1" t="s">
        <v>2025</v>
      </c>
      <c r="L112" s="1" t="str">
        <f>VLOOKUP(Advices[[#This Row],[LC Number]],'Combine_List'!A:D,2,0)</f>
        <v>Company Alabwab Aldulaya For Contracting</v>
      </c>
      <c r="M112" s="447" t="str">
        <f>VLOOKUP(Advices[[#This Row],[LC Number]],'Combine_List'!A:D,3,0)</f>
        <v>MBL/Premium</v>
      </c>
      <c r="N112" s="447" t="str">
        <f>VLOOKUP(Advices[[#This Row],[LC Number]],'Combine_List'!A:D,4,0)</f>
        <v>CEER</v>
      </c>
      <c r="O112" s="447">
        <f>VLOOKUP(Advices[[#This Row],[LC Number]],'Combine_List'!A:E,5,0)</f>
        <v>1020091</v>
      </c>
      <c r="P112" s="447">
        <f>MONTH(Advices[[#This Row],[Transaction Date]])</f>
        <v>10</v>
      </c>
      <c r="Q112" s="447">
        <f>YEAR(Advices[[#This Row],[Transaction Date]])</f>
        <v>2025</v>
      </c>
      <c r="R112" s="1"/>
    </row>
    <row r="113" spans="1:18" hidden="1" x14ac:dyDescent="0.25">
      <c r="A113" s="1" t="s">
        <v>366</v>
      </c>
      <c r="B113" s="178">
        <v>45942</v>
      </c>
      <c r="C113" s="1" t="s">
        <v>2057</v>
      </c>
      <c r="D113" s="1" t="s">
        <v>2085</v>
      </c>
      <c r="E113" s="1" t="s">
        <v>1735</v>
      </c>
      <c r="F113" s="1" t="s">
        <v>3416</v>
      </c>
      <c r="G113" s="1" t="s">
        <v>26</v>
      </c>
      <c r="H113" s="13">
        <v>1738.69</v>
      </c>
      <c r="I113" s="13">
        <v>0</v>
      </c>
      <c r="J113" s="1" t="s">
        <v>2041</v>
      </c>
      <c r="K113" s="1" t="s">
        <v>2025</v>
      </c>
      <c r="L113" s="1" t="str">
        <f>VLOOKUP(Advices[[#This Row],[LC Number]],'Combine_List'!A:D,2,0)</f>
        <v>ALFANAR ELECTRICAL SYSTEMS</v>
      </c>
      <c r="M113" s="447" t="str">
        <f>VLOOKUP(Advices[[#This Row],[LC Number]],'Combine_List'!A:D,3,0)</f>
        <v>FIRST FIX</v>
      </c>
      <c r="N113" s="447" t="str">
        <f>VLOOKUP(Advices[[#This Row],[LC Number]],'Combine_List'!A:D,4,0)</f>
        <v>CEER</v>
      </c>
      <c r="O113" s="447">
        <f>VLOOKUP(Advices[[#This Row],[LC Number]],'Combine_List'!A:E,5,0)</f>
        <v>1020091</v>
      </c>
      <c r="P113" s="447">
        <f>MONTH(Advices[[#This Row],[Transaction Date]])</f>
        <v>10</v>
      </c>
      <c r="Q113" s="447">
        <f>YEAR(Advices[[#This Row],[Transaction Date]])</f>
        <v>2025</v>
      </c>
      <c r="R113" s="1"/>
    </row>
    <row r="114" spans="1:18" hidden="1" x14ac:dyDescent="0.25">
      <c r="A114" s="1" t="s">
        <v>366</v>
      </c>
      <c r="B114" s="178">
        <v>45942</v>
      </c>
      <c r="C114" s="1" t="s">
        <v>2057</v>
      </c>
      <c r="D114" s="1" t="s">
        <v>2086</v>
      </c>
      <c r="E114" s="1" t="s">
        <v>689</v>
      </c>
      <c r="F114" s="1" t="s">
        <v>3417</v>
      </c>
      <c r="G114" s="1" t="s">
        <v>26</v>
      </c>
      <c r="H114" s="13">
        <v>2948.59</v>
      </c>
      <c r="I114" s="13">
        <v>0</v>
      </c>
      <c r="J114" s="1" t="s">
        <v>2041</v>
      </c>
      <c r="K114" s="1" t="s">
        <v>2025</v>
      </c>
      <c r="L114" s="1" t="str">
        <f>VLOOKUP(Advices[[#This Row],[LC Number]],'Combine_List'!A:D,2,0)</f>
        <v>Arnon Plastic Industries Co Ltd</v>
      </c>
      <c r="M114" s="447" t="str">
        <f>VLOOKUP(Advices[[#This Row],[LC Number]],'Combine_List'!A:D,3,0)</f>
        <v>MBL</v>
      </c>
      <c r="N114" s="447" t="str">
        <f>VLOOKUP(Advices[[#This Row],[LC Number]],'Combine_List'!A:D,4,0)</f>
        <v>CEER</v>
      </c>
      <c r="O114" s="447">
        <f>VLOOKUP(Advices[[#This Row],[LC Number]],'Combine_List'!A:E,5,0)</f>
        <v>1020091</v>
      </c>
      <c r="P114" s="447">
        <f>MONTH(Advices[[#This Row],[Transaction Date]])</f>
        <v>10</v>
      </c>
      <c r="Q114" s="447">
        <f>YEAR(Advices[[#This Row],[Transaction Date]])</f>
        <v>2025</v>
      </c>
      <c r="R114" s="1"/>
    </row>
    <row r="115" spans="1:18" hidden="1" x14ac:dyDescent="0.25">
      <c r="A115" s="1" t="s">
        <v>366</v>
      </c>
      <c r="B115" s="178">
        <v>45942</v>
      </c>
      <c r="C115" s="1" t="s">
        <v>2060</v>
      </c>
      <c r="D115" s="1" t="s">
        <v>2087</v>
      </c>
      <c r="E115" s="1" t="s">
        <v>776</v>
      </c>
      <c r="F115" s="1" t="s">
        <v>3482</v>
      </c>
      <c r="G115" s="1" t="s">
        <v>26</v>
      </c>
      <c r="H115" s="13">
        <v>500000</v>
      </c>
      <c r="I115" s="13">
        <v>0</v>
      </c>
      <c r="J115" s="1" t="s">
        <v>2041</v>
      </c>
      <c r="K115" s="1" t="s">
        <v>2025</v>
      </c>
      <c r="L115" s="1" t="str">
        <f>VLOOKUP(Advices[[#This Row],[LC Number]],'Combine_List'!A:D,2,0)</f>
        <v>Mimar For Construction Tools And Trading Ltd</v>
      </c>
      <c r="M115" s="447" t="str">
        <f>VLOOKUP(Advices[[#This Row],[LC Number]],'Combine_List'!A:D,3,0)</f>
        <v>FIRST FIX</v>
      </c>
      <c r="N115" s="447" t="str">
        <f>VLOOKUP(Advices[[#This Row],[LC Number]],'Combine_List'!A:D,4,0)</f>
        <v>MP1</v>
      </c>
      <c r="O115" s="447">
        <f>VLOOKUP(Advices[[#This Row],[LC Number]],'Combine_List'!A:E,5,0)</f>
        <v>1020088</v>
      </c>
      <c r="P115" s="447">
        <f>MONTH(Advices[[#This Row],[Transaction Date]])</f>
        <v>10</v>
      </c>
      <c r="Q115" s="447">
        <f>YEAR(Advices[[#This Row],[Transaction Date]])</f>
        <v>2025</v>
      </c>
      <c r="R115" s="1"/>
    </row>
    <row r="116" spans="1:18" hidden="1" x14ac:dyDescent="0.25">
      <c r="A116" s="1" t="s">
        <v>366</v>
      </c>
      <c r="B116" s="178">
        <v>45942</v>
      </c>
      <c r="C116" s="1" t="s">
        <v>2060</v>
      </c>
      <c r="D116" s="1" t="s">
        <v>2088</v>
      </c>
      <c r="E116" s="1" t="s">
        <v>1935</v>
      </c>
      <c r="F116" s="1" t="s">
        <v>1935</v>
      </c>
      <c r="G116" s="1" t="s">
        <v>26</v>
      </c>
      <c r="H116" s="13">
        <v>565377.02</v>
      </c>
      <c r="I116" s="13">
        <v>0</v>
      </c>
      <c r="J116" s="1" t="s">
        <v>2041</v>
      </c>
      <c r="K116" s="1" t="s">
        <v>2025</v>
      </c>
      <c r="L116" s="1" t="str">
        <f>VLOOKUP(Advices[[#This Row],[LC Number]],'Combine_List'!A:D,2,0)</f>
        <v>Performance - NEOM COMPANY</v>
      </c>
      <c r="M116" s="447" t="str">
        <f>VLOOKUP(Advices[[#This Row],[LC Number]],'Combine_List'!A:D,3,0)</f>
        <v>MBL</v>
      </c>
      <c r="N116" s="447">
        <f>VLOOKUP(Advices[[#This Row],[LC Number]],'Combine_List'!A:D,4,0)</f>
        <v>0</v>
      </c>
      <c r="O116" s="447" t="str">
        <f>VLOOKUP(Advices[[#This Row],[LC Number]],'Combine_List'!A:E,5,0)</f>
        <v>1020098</v>
      </c>
      <c r="P116" s="447">
        <f>MONTH(Advices[[#This Row],[Transaction Date]])</f>
        <v>10</v>
      </c>
      <c r="Q116" s="447">
        <f>YEAR(Advices[[#This Row],[Transaction Date]])</f>
        <v>2025</v>
      </c>
      <c r="R116" s="1"/>
    </row>
    <row r="117" spans="1:18" hidden="1" x14ac:dyDescent="0.25">
      <c r="A117" s="1" t="s">
        <v>2089</v>
      </c>
      <c r="B117" s="178">
        <v>45935</v>
      </c>
      <c r="C117" s="1" t="s">
        <v>2090</v>
      </c>
      <c r="D117" s="174" t="s">
        <v>2091</v>
      </c>
      <c r="E117" s="174" t="s">
        <v>1273</v>
      </c>
      <c r="F117" s="174" t="s">
        <v>2092</v>
      </c>
      <c r="G117" s="1" t="s">
        <v>26</v>
      </c>
      <c r="H117" s="251">
        <v>300</v>
      </c>
      <c r="I117" s="13">
        <v>0</v>
      </c>
      <c r="J117" s="1" t="s">
        <v>2041</v>
      </c>
      <c r="K117" s="1" t="s">
        <v>2025</v>
      </c>
      <c r="L117" s="1" t="str">
        <f>VLOOKUP(Advices[[#This Row],[LC Number]],'Combine_List'!A:D,2,0)</f>
        <v>AFAQ AL MALAZ TRADING CO LTD.</v>
      </c>
      <c r="M117" s="447" t="str">
        <f>VLOOKUP(Advices[[#This Row],[LC Number]],'Combine_List'!A:D,3,0)</f>
        <v>FIRST FIX</v>
      </c>
      <c r="N117" s="447" t="str">
        <f>VLOOKUP(Advices[[#This Row],[LC Number]],'Combine_List'!A:D,4,0)</f>
        <v>JCD SPMI</v>
      </c>
      <c r="O117" s="447">
        <f>VLOOKUP(Advices[[#This Row],[LC Number]],'Combine_List'!A:E,5,0)</f>
        <v>1020100</v>
      </c>
      <c r="P117" s="447">
        <f>MONTH(Advices[[#This Row],[Transaction Date]])</f>
        <v>10</v>
      </c>
      <c r="Q117" s="447">
        <f>YEAR(Advices[[#This Row],[Transaction Date]])</f>
        <v>2025</v>
      </c>
      <c r="R117" s="1"/>
    </row>
    <row r="118" spans="1:18" hidden="1" x14ac:dyDescent="0.25">
      <c r="A118" s="1" t="s">
        <v>2089</v>
      </c>
      <c r="B118" s="178">
        <v>45935</v>
      </c>
      <c r="C118" s="1" t="s">
        <v>2093</v>
      </c>
      <c r="D118" s="174" t="s">
        <v>1174</v>
      </c>
      <c r="E118" s="174" t="s">
        <v>1280</v>
      </c>
      <c r="F118" s="174" t="s">
        <v>2094</v>
      </c>
      <c r="G118" s="1" t="s">
        <v>26</v>
      </c>
      <c r="H118" s="251">
        <v>22.5</v>
      </c>
      <c r="I118" s="13">
        <v>0</v>
      </c>
      <c r="J118" s="1" t="s">
        <v>2041</v>
      </c>
      <c r="K118" s="1" t="s">
        <v>2025</v>
      </c>
      <c r="L118" s="1" t="str">
        <f>VLOOKUP(Advices[[#This Row],[LC Number]],'Combine_List'!A:D,2,0)</f>
        <v>KENZ SARAB MACHINERY AND EQUIPMENT COMPANY</v>
      </c>
      <c r="M118" s="447" t="str">
        <f>VLOOKUP(Advices[[#This Row],[LC Number]],'Combine_List'!A:D,3,0)</f>
        <v>FIRST FIX</v>
      </c>
      <c r="N118" s="447" t="str">
        <f>VLOOKUP(Advices[[#This Row],[LC Number]],'Combine_List'!A:D,4,0)</f>
        <v>JCD SPMI</v>
      </c>
      <c r="O118" s="447">
        <f>VLOOKUP(Advices[[#This Row],[LC Number]],'Combine_List'!A:E,5,0)</f>
        <v>1020100</v>
      </c>
      <c r="P118" s="447">
        <f>MONTH(Advices[[#This Row],[Transaction Date]])</f>
        <v>10</v>
      </c>
      <c r="Q118" s="447">
        <f>YEAR(Advices[[#This Row],[Transaction Date]])</f>
        <v>2025</v>
      </c>
      <c r="R118" s="1"/>
    </row>
    <row r="119" spans="1:18" hidden="1" x14ac:dyDescent="0.25">
      <c r="A119" s="1" t="s">
        <v>2089</v>
      </c>
      <c r="B119" s="178">
        <v>45935</v>
      </c>
      <c r="C119" s="1" t="s">
        <v>2093</v>
      </c>
      <c r="D119" s="174" t="s">
        <v>1174</v>
      </c>
      <c r="E119" s="174" t="s">
        <v>1280</v>
      </c>
      <c r="F119" s="174" t="s">
        <v>2094</v>
      </c>
      <c r="G119" s="1" t="s">
        <v>26</v>
      </c>
      <c r="H119" s="251">
        <v>90</v>
      </c>
      <c r="I119" s="13">
        <v>0</v>
      </c>
      <c r="J119" s="1" t="s">
        <v>2041</v>
      </c>
      <c r="K119" s="1" t="s">
        <v>2025</v>
      </c>
      <c r="L119" s="1" t="str">
        <f>VLOOKUP(Advices[[#This Row],[LC Number]],'Combine_List'!A:D,2,0)</f>
        <v>KENZ SARAB MACHINERY AND EQUIPMENT COMPANY</v>
      </c>
      <c r="M119" s="447" t="str">
        <f>VLOOKUP(Advices[[#This Row],[LC Number]],'Combine_List'!A:D,3,0)</f>
        <v>FIRST FIX</v>
      </c>
      <c r="N119" s="447" t="str">
        <f>VLOOKUP(Advices[[#This Row],[LC Number]],'Combine_List'!A:D,4,0)</f>
        <v>JCD SPMI</v>
      </c>
      <c r="O119" s="447">
        <f>VLOOKUP(Advices[[#This Row],[LC Number]],'Combine_List'!A:E,5,0)</f>
        <v>1020100</v>
      </c>
      <c r="P119" s="447">
        <f>MONTH(Advices[[#This Row],[Transaction Date]])</f>
        <v>10</v>
      </c>
      <c r="Q119" s="447">
        <f>YEAR(Advices[[#This Row],[Transaction Date]])</f>
        <v>2025</v>
      </c>
      <c r="R119" s="1"/>
    </row>
    <row r="120" spans="1:18" hidden="1" x14ac:dyDescent="0.25">
      <c r="A120" s="1" t="s">
        <v>2089</v>
      </c>
      <c r="B120" s="178">
        <v>45935</v>
      </c>
      <c r="C120" s="1" t="s">
        <v>2093</v>
      </c>
      <c r="D120" s="174" t="s">
        <v>2095</v>
      </c>
      <c r="E120" s="174" t="s">
        <v>1280</v>
      </c>
      <c r="F120" s="174" t="s">
        <v>2094</v>
      </c>
      <c r="G120" s="1" t="s">
        <v>26</v>
      </c>
      <c r="H120" s="251">
        <v>150</v>
      </c>
      <c r="I120" s="13">
        <v>0</v>
      </c>
      <c r="J120" s="1" t="s">
        <v>2041</v>
      </c>
      <c r="K120" s="1" t="s">
        <v>2025</v>
      </c>
      <c r="L120" s="1" t="str">
        <f>VLOOKUP(Advices[[#This Row],[LC Number]],'Combine_List'!A:D,2,0)</f>
        <v>KENZ SARAB MACHINERY AND EQUIPMENT COMPANY</v>
      </c>
      <c r="M120" s="447" t="str">
        <f>VLOOKUP(Advices[[#This Row],[LC Number]],'Combine_List'!A:D,3,0)</f>
        <v>FIRST FIX</v>
      </c>
      <c r="N120" s="447" t="str">
        <f>VLOOKUP(Advices[[#This Row],[LC Number]],'Combine_List'!A:D,4,0)</f>
        <v>JCD SPMI</v>
      </c>
      <c r="O120" s="447">
        <f>VLOOKUP(Advices[[#This Row],[LC Number]],'Combine_List'!A:E,5,0)</f>
        <v>1020100</v>
      </c>
      <c r="P120" s="447">
        <f>MONTH(Advices[[#This Row],[Transaction Date]])</f>
        <v>10</v>
      </c>
      <c r="Q120" s="447">
        <f>YEAR(Advices[[#This Row],[Transaction Date]])</f>
        <v>2025</v>
      </c>
      <c r="R120" s="1"/>
    </row>
    <row r="121" spans="1:18" hidden="1" x14ac:dyDescent="0.25">
      <c r="A121" s="1" t="s">
        <v>2089</v>
      </c>
      <c r="B121" s="178">
        <v>45935</v>
      </c>
      <c r="C121" s="1" t="s">
        <v>2093</v>
      </c>
      <c r="D121" s="174" t="s">
        <v>2096</v>
      </c>
      <c r="E121" s="174" t="s">
        <v>1280</v>
      </c>
      <c r="F121" s="174" t="s">
        <v>2094</v>
      </c>
      <c r="G121" s="1" t="s">
        <v>26</v>
      </c>
      <c r="H121" s="251">
        <v>600</v>
      </c>
      <c r="I121" s="13">
        <v>0</v>
      </c>
      <c r="J121" s="1" t="s">
        <v>2041</v>
      </c>
      <c r="K121" s="1" t="s">
        <v>2025</v>
      </c>
      <c r="L121" s="1" t="str">
        <f>VLOOKUP(Advices[[#This Row],[LC Number]],'Combine_List'!A:D,2,0)</f>
        <v>KENZ SARAB MACHINERY AND EQUIPMENT COMPANY</v>
      </c>
      <c r="M121" s="447" t="str">
        <f>VLOOKUP(Advices[[#This Row],[LC Number]],'Combine_List'!A:D,3,0)</f>
        <v>FIRST FIX</v>
      </c>
      <c r="N121" s="447" t="str">
        <f>VLOOKUP(Advices[[#This Row],[LC Number]],'Combine_List'!A:D,4,0)</f>
        <v>JCD SPMI</v>
      </c>
      <c r="O121" s="447">
        <f>VLOOKUP(Advices[[#This Row],[LC Number]],'Combine_List'!A:E,5,0)</f>
        <v>1020100</v>
      </c>
      <c r="P121" s="447">
        <f>MONTH(Advices[[#This Row],[Transaction Date]])</f>
        <v>10</v>
      </c>
      <c r="Q121" s="447">
        <f>YEAR(Advices[[#This Row],[Transaction Date]])</f>
        <v>2025</v>
      </c>
      <c r="R121" s="1"/>
    </row>
    <row r="122" spans="1:18" hidden="1" x14ac:dyDescent="0.25">
      <c r="A122" s="1" t="s">
        <v>2089</v>
      </c>
      <c r="B122" s="178">
        <v>45935</v>
      </c>
      <c r="C122" s="1" t="s">
        <v>2093</v>
      </c>
      <c r="D122" s="174" t="s">
        <v>1174</v>
      </c>
      <c r="E122" s="174" t="s">
        <v>1294</v>
      </c>
      <c r="F122" s="174" t="s">
        <v>2097</v>
      </c>
      <c r="G122" s="1" t="s">
        <v>26</v>
      </c>
      <c r="H122" s="251">
        <v>3</v>
      </c>
      <c r="I122" s="13">
        <v>0</v>
      </c>
      <c r="J122" s="1" t="s">
        <v>2041</v>
      </c>
      <c r="K122" s="1" t="s">
        <v>2025</v>
      </c>
      <c r="L122" s="1" t="str">
        <f>VLOOKUP(Advices[[#This Row],[LC Number]],'Combine_List'!A:D,2,0)</f>
        <v>BRC Industrial (Saudia) Company</v>
      </c>
      <c r="M122" s="447" t="str">
        <f>VLOOKUP(Advices[[#This Row],[LC Number]],'Combine_List'!A:D,3,0)</f>
        <v>MBL</v>
      </c>
      <c r="N122" s="447" t="str">
        <f>VLOOKUP(Advices[[#This Row],[LC Number]],'Combine_List'!A:D,4,0)</f>
        <v>Rabigh Power Plant</v>
      </c>
      <c r="O122" s="447">
        <f>VLOOKUP(Advices[[#This Row],[LC Number]],'Combine_List'!A:E,5,0)</f>
        <v>1020107</v>
      </c>
      <c r="P122" s="447">
        <f>MONTH(Advices[[#This Row],[Transaction Date]])</f>
        <v>10</v>
      </c>
      <c r="Q122" s="447">
        <f>YEAR(Advices[[#This Row],[Transaction Date]])</f>
        <v>2025</v>
      </c>
      <c r="R122" s="1"/>
    </row>
    <row r="123" spans="1:18" hidden="1" x14ac:dyDescent="0.25">
      <c r="A123" s="1" t="s">
        <v>2089</v>
      </c>
      <c r="B123" s="178">
        <v>45935</v>
      </c>
      <c r="C123" s="1" t="s">
        <v>2093</v>
      </c>
      <c r="D123" s="174" t="s">
        <v>2098</v>
      </c>
      <c r="E123" s="174" t="s">
        <v>1294</v>
      </c>
      <c r="F123" s="174" t="s">
        <v>2097</v>
      </c>
      <c r="G123" s="1" t="s">
        <v>26</v>
      </c>
      <c r="H123" s="251">
        <v>20</v>
      </c>
      <c r="I123" s="13">
        <v>0</v>
      </c>
      <c r="J123" s="1" t="s">
        <v>2041</v>
      </c>
      <c r="K123" s="1" t="s">
        <v>2025</v>
      </c>
      <c r="L123" s="1" t="str">
        <f>VLOOKUP(Advices[[#This Row],[LC Number]],'Combine_List'!A:D,2,0)</f>
        <v>BRC Industrial (Saudia) Company</v>
      </c>
      <c r="M123" s="447" t="str">
        <f>VLOOKUP(Advices[[#This Row],[LC Number]],'Combine_List'!A:D,3,0)</f>
        <v>MBL</v>
      </c>
      <c r="N123" s="447" t="str">
        <f>VLOOKUP(Advices[[#This Row],[LC Number]],'Combine_List'!A:D,4,0)</f>
        <v>Rabigh Power Plant</v>
      </c>
      <c r="O123" s="447">
        <f>VLOOKUP(Advices[[#This Row],[LC Number]],'Combine_List'!A:E,5,0)</f>
        <v>1020107</v>
      </c>
      <c r="P123" s="447">
        <f>MONTH(Advices[[#This Row],[Transaction Date]])</f>
        <v>10</v>
      </c>
      <c r="Q123" s="447">
        <f>YEAR(Advices[[#This Row],[Transaction Date]])</f>
        <v>2025</v>
      </c>
      <c r="R123" s="1"/>
    </row>
    <row r="124" spans="1:18" hidden="1" x14ac:dyDescent="0.25">
      <c r="A124" s="1" t="s">
        <v>2089</v>
      </c>
      <c r="B124" s="178">
        <v>45935</v>
      </c>
      <c r="C124" s="1" t="s">
        <v>2093</v>
      </c>
      <c r="D124" s="174" t="s">
        <v>1174</v>
      </c>
      <c r="E124" s="174" t="s">
        <v>1294</v>
      </c>
      <c r="F124" s="174" t="s">
        <v>2097</v>
      </c>
      <c r="G124" s="1" t="s">
        <v>26</v>
      </c>
      <c r="H124" s="251">
        <v>22.5</v>
      </c>
      <c r="I124" s="13">
        <v>0</v>
      </c>
      <c r="J124" s="1" t="s">
        <v>2041</v>
      </c>
      <c r="K124" s="1" t="s">
        <v>2025</v>
      </c>
      <c r="L124" s="1" t="str">
        <f>VLOOKUP(Advices[[#This Row],[LC Number]],'Combine_List'!A:D,2,0)</f>
        <v>BRC Industrial (Saudia) Company</v>
      </c>
      <c r="M124" s="447" t="str">
        <f>VLOOKUP(Advices[[#This Row],[LC Number]],'Combine_List'!A:D,3,0)</f>
        <v>MBL</v>
      </c>
      <c r="N124" s="447" t="str">
        <f>VLOOKUP(Advices[[#This Row],[LC Number]],'Combine_List'!A:D,4,0)</f>
        <v>Rabigh Power Plant</v>
      </c>
      <c r="O124" s="447">
        <f>VLOOKUP(Advices[[#This Row],[LC Number]],'Combine_List'!A:E,5,0)</f>
        <v>1020107</v>
      </c>
      <c r="P124" s="447">
        <f>MONTH(Advices[[#This Row],[Transaction Date]])</f>
        <v>10</v>
      </c>
      <c r="Q124" s="447">
        <f>YEAR(Advices[[#This Row],[Transaction Date]])</f>
        <v>2025</v>
      </c>
      <c r="R124" s="1"/>
    </row>
    <row r="125" spans="1:18" hidden="1" x14ac:dyDescent="0.25">
      <c r="A125" s="1" t="s">
        <v>2089</v>
      </c>
      <c r="B125" s="178">
        <v>45935</v>
      </c>
      <c r="C125" s="1" t="s">
        <v>2093</v>
      </c>
      <c r="D125" s="174" t="s">
        <v>2095</v>
      </c>
      <c r="E125" s="174" t="s">
        <v>1294</v>
      </c>
      <c r="F125" s="174" t="s">
        <v>2097</v>
      </c>
      <c r="G125" s="1" t="s">
        <v>26</v>
      </c>
      <c r="H125" s="251">
        <v>150</v>
      </c>
      <c r="I125" s="13">
        <v>0</v>
      </c>
      <c r="J125" s="1" t="s">
        <v>2041</v>
      </c>
      <c r="K125" s="1" t="s">
        <v>2025</v>
      </c>
      <c r="L125" s="1" t="str">
        <f>VLOOKUP(Advices[[#This Row],[LC Number]],'Combine_List'!A:D,2,0)</f>
        <v>BRC Industrial (Saudia) Company</v>
      </c>
      <c r="M125" s="447" t="str">
        <f>VLOOKUP(Advices[[#This Row],[LC Number]],'Combine_List'!A:D,3,0)</f>
        <v>MBL</v>
      </c>
      <c r="N125" s="447" t="str">
        <f>VLOOKUP(Advices[[#This Row],[LC Number]],'Combine_List'!A:D,4,0)</f>
        <v>Rabigh Power Plant</v>
      </c>
      <c r="O125" s="447">
        <f>VLOOKUP(Advices[[#This Row],[LC Number]],'Combine_List'!A:E,5,0)</f>
        <v>1020107</v>
      </c>
      <c r="P125" s="447">
        <f>MONTH(Advices[[#This Row],[Transaction Date]])</f>
        <v>10</v>
      </c>
      <c r="Q125" s="447">
        <f>YEAR(Advices[[#This Row],[Transaction Date]])</f>
        <v>2025</v>
      </c>
      <c r="R125" s="1"/>
    </row>
    <row r="126" spans="1:18" hidden="1" x14ac:dyDescent="0.25">
      <c r="A126" s="1" t="s">
        <v>2089</v>
      </c>
      <c r="B126" s="178">
        <v>45935</v>
      </c>
      <c r="C126" s="1" t="s">
        <v>2093</v>
      </c>
      <c r="D126" s="174" t="s">
        <v>1174</v>
      </c>
      <c r="E126" s="174" t="s">
        <v>1294</v>
      </c>
      <c r="F126" s="174" t="s">
        <v>2097</v>
      </c>
      <c r="G126" s="1" t="s">
        <v>26</v>
      </c>
      <c r="H126" s="251">
        <v>925.33</v>
      </c>
      <c r="I126" s="13">
        <v>0</v>
      </c>
      <c r="J126" s="1" t="s">
        <v>2041</v>
      </c>
      <c r="K126" s="1" t="s">
        <v>2025</v>
      </c>
      <c r="L126" s="1" t="str">
        <f>VLOOKUP(Advices[[#This Row],[LC Number]],'Combine_List'!A:D,2,0)</f>
        <v>BRC Industrial (Saudia) Company</v>
      </c>
      <c r="M126" s="447" t="str">
        <f>VLOOKUP(Advices[[#This Row],[LC Number]],'Combine_List'!A:D,3,0)</f>
        <v>MBL</v>
      </c>
      <c r="N126" s="447" t="str">
        <f>VLOOKUP(Advices[[#This Row],[LC Number]],'Combine_List'!A:D,4,0)</f>
        <v>Rabigh Power Plant</v>
      </c>
      <c r="O126" s="447">
        <f>VLOOKUP(Advices[[#This Row],[LC Number]],'Combine_List'!A:E,5,0)</f>
        <v>1020107</v>
      </c>
      <c r="P126" s="447">
        <f>MONTH(Advices[[#This Row],[Transaction Date]])</f>
        <v>10</v>
      </c>
      <c r="Q126" s="447">
        <f>YEAR(Advices[[#This Row],[Transaction Date]])</f>
        <v>2025</v>
      </c>
      <c r="R126" s="1"/>
    </row>
    <row r="127" spans="1:18" hidden="1" x14ac:dyDescent="0.25">
      <c r="A127" s="1" t="s">
        <v>2089</v>
      </c>
      <c r="B127" s="178">
        <v>45935</v>
      </c>
      <c r="C127" s="1" t="s">
        <v>2093</v>
      </c>
      <c r="D127" s="174" t="s">
        <v>2096</v>
      </c>
      <c r="E127" s="174" t="s">
        <v>1294</v>
      </c>
      <c r="F127" s="174" t="s">
        <v>2097</v>
      </c>
      <c r="G127" s="1" t="s">
        <v>26</v>
      </c>
      <c r="H127" s="251">
        <v>6168.85</v>
      </c>
      <c r="I127" s="13">
        <v>0</v>
      </c>
      <c r="J127" s="1" t="s">
        <v>2041</v>
      </c>
      <c r="K127" s="1" t="s">
        <v>2025</v>
      </c>
      <c r="L127" s="1" t="str">
        <f>VLOOKUP(Advices[[#This Row],[LC Number]],'Combine_List'!A:D,2,0)</f>
        <v>BRC Industrial (Saudia) Company</v>
      </c>
      <c r="M127" s="447" t="str">
        <f>VLOOKUP(Advices[[#This Row],[LC Number]],'Combine_List'!A:D,3,0)</f>
        <v>MBL</v>
      </c>
      <c r="N127" s="447" t="str">
        <f>VLOOKUP(Advices[[#This Row],[LC Number]],'Combine_List'!A:D,4,0)</f>
        <v>Rabigh Power Plant</v>
      </c>
      <c r="O127" s="447">
        <f>VLOOKUP(Advices[[#This Row],[LC Number]],'Combine_List'!A:E,5,0)</f>
        <v>1020107</v>
      </c>
      <c r="P127" s="447">
        <f>MONTH(Advices[[#This Row],[Transaction Date]])</f>
        <v>10</v>
      </c>
      <c r="Q127" s="447">
        <f>YEAR(Advices[[#This Row],[Transaction Date]])</f>
        <v>2025</v>
      </c>
      <c r="R127" s="1"/>
    </row>
    <row r="128" spans="1:18" hidden="1" x14ac:dyDescent="0.25">
      <c r="A128" s="1" t="s">
        <v>2089</v>
      </c>
      <c r="B128" s="178">
        <v>45935</v>
      </c>
      <c r="C128" s="1" t="s">
        <v>2090</v>
      </c>
      <c r="D128" s="174" t="s">
        <v>1174</v>
      </c>
      <c r="E128" s="174" t="s">
        <v>1273</v>
      </c>
      <c r="F128" s="174" t="s">
        <v>2092</v>
      </c>
      <c r="G128" s="1" t="s">
        <v>26</v>
      </c>
      <c r="H128" s="251">
        <v>37.5</v>
      </c>
      <c r="I128" s="13">
        <v>0</v>
      </c>
      <c r="J128" s="1" t="s">
        <v>2041</v>
      </c>
      <c r="K128" s="1" t="s">
        <v>2025</v>
      </c>
      <c r="L128" s="1" t="str">
        <f>VLOOKUP(Advices[[#This Row],[LC Number]],'Combine_List'!A:D,2,0)</f>
        <v>AFAQ AL MALAZ TRADING CO LTD.</v>
      </c>
      <c r="M128" s="447" t="str">
        <f>VLOOKUP(Advices[[#This Row],[LC Number]],'Combine_List'!A:D,3,0)</f>
        <v>FIRST FIX</v>
      </c>
      <c r="N128" s="447" t="str">
        <f>VLOOKUP(Advices[[#This Row],[LC Number]],'Combine_List'!A:D,4,0)</f>
        <v>JCD SPMI</v>
      </c>
      <c r="O128" s="447">
        <f>VLOOKUP(Advices[[#This Row],[LC Number]],'Combine_List'!A:E,5,0)</f>
        <v>1020100</v>
      </c>
      <c r="P128" s="447">
        <f>MONTH(Advices[[#This Row],[Transaction Date]])</f>
        <v>10</v>
      </c>
      <c r="Q128" s="447">
        <f>YEAR(Advices[[#This Row],[Transaction Date]])</f>
        <v>2025</v>
      </c>
      <c r="R128" s="1"/>
    </row>
    <row r="129" spans="1:18" hidden="1" x14ac:dyDescent="0.25">
      <c r="A129" s="1" t="s">
        <v>2089</v>
      </c>
      <c r="B129" s="178">
        <v>45935</v>
      </c>
      <c r="C129" s="1" t="s">
        <v>2090</v>
      </c>
      <c r="D129" s="174" t="s">
        <v>1174</v>
      </c>
      <c r="E129" s="174" t="s">
        <v>1273</v>
      </c>
      <c r="F129" s="174" t="s">
        <v>2092</v>
      </c>
      <c r="G129" s="1" t="s">
        <v>26</v>
      </c>
      <c r="H129" s="251">
        <v>45</v>
      </c>
      <c r="I129" s="13">
        <v>0</v>
      </c>
      <c r="J129" s="1" t="s">
        <v>2041</v>
      </c>
      <c r="K129" s="1" t="s">
        <v>2025</v>
      </c>
      <c r="L129" s="1" t="str">
        <f>VLOOKUP(Advices[[#This Row],[LC Number]],'Combine_List'!A:D,2,0)</f>
        <v>AFAQ AL MALAZ TRADING CO LTD.</v>
      </c>
      <c r="M129" s="447" t="str">
        <f>VLOOKUP(Advices[[#This Row],[LC Number]],'Combine_List'!A:D,3,0)</f>
        <v>FIRST FIX</v>
      </c>
      <c r="N129" s="447" t="str">
        <f>VLOOKUP(Advices[[#This Row],[LC Number]],'Combine_List'!A:D,4,0)</f>
        <v>JCD SPMI</v>
      </c>
      <c r="O129" s="447">
        <f>VLOOKUP(Advices[[#This Row],[LC Number]],'Combine_List'!A:E,5,0)</f>
        <v>1020100</v>
      </c>
      <c r="P129" s="447">
        <f>MONTH(Advices[[#This Row],[Transaction Date]])</f>
        <v>10</v>
      </c>
      <c r="Q129" s="447">
        <f>YEAR(Advices[[#This Row],[Transaction Date]])</f>
        <v>2025</v>
      </c>
      <c r="R129" s="1"/>
    </row>
    <row r="130" spans="1:18" hidden="1" x14ac:dyDescent="0.25">
      <c r="A130" s="1" t="s">
        <v>2089</v>
      </c>
      <c r="B130" s="178">
        <v>45935</v>
      </c>
      <c r="C130" s="1" t="s">
        <v>2090</v>
      </c>
      <c r="D130" s="174" t="s">
        <v>2099</v>
      </c>
      <c r="E130" s="174" t="s">
        <v>1273</v>
      </c>
      <c r="F130" s="174" t="s">
        <v>2092</v>
      </c>
      <c r="G130" s="1" t="s">
        <v>26</v>
      </c>
      <c r="H130" s="251">
        <v>250</v>
      </c>
      <c r="I130" s="13">
        <v>0</v>
      </c>
      <c r="J130" s="1" t="s">
        <v>2041</v>
      </c>
      <c r="K130" s="1" t="s">
        <v>2025</v>
      </c>
      <c r="L130" s="1" t="str">
        <f>VLOOKUP(Advices[[#This Row],[LC Number]],'Combine_List'!A:D,2,0)</f>
        <v>AFAQ AL MALAZ TRADING CO LTD.</v>
      </c>
      <c r="M130" s="447" t="str">
        <f>VLOOKUP(Advices[[#This Row],[LC Number]],'Combine_List'!A:D,3,0)</f>
        <v>FIRST FIX</v>
      </c>
      <c r="N130" s="447" t="str">
        <f>VLOOKUP(Advices[[#This Row],[LC Number]],'Combine_List'!A:D,4,0)</f>
        <v>JCD SPMI</v>
      </c>
      <c r="O130" s="447">
        <f>VLOOKUP(Advices[[#This Row],[LC Number]],'Combine_List'!A:E,5,0)</f>
        <v>1020100</v>
      </c>
      <c r="P130" s="447">
        <f>MONTH(Advices[[#This Row],[Transaction Date]])</f>
        <v>10</v>
      </c>
      <c r="Q130" s="447">
        <f>YEAR(Advices[[#This Row],[Transaction Date]])</f>
        <v>2025</v>
      </c>
      <c r="R130" s="1"/>
    </row>
    <row r="131" spans="1:18" hidden="1" x14ac:dyDescent="0.25">
      <c r="A131" s="1" t="s">
        <v>2089</v>
      </c>
      <c r="B131" s="178">
        <v>45935</v>
      </c>
      <c r="C131" s="1" t="s">
        <v>2093</v>
      </c>
      <c r="D131" s="174" t="s">
        <v>2098</v>
      </c>
      <c r="E131" s="174" t="s">
        <v>1280</v>
      </c>
      <c r="F131" s="174" t="s">
        <v>2094</v>
      </c>
      <c r="G131" s="1" t="s">
        <v>26</v>
      </c>
      <c r="H131" s="251">
        <v>20</v>
      </c>
      <c r="I131" s="13">
        <v>0</v>
      </c>
      <c r="J131" s="1" t="s">
        <v>2041</v>
      </c>
      <c r="K131" s="1" t="s">
        <v>2025</v>
      </c>
      <c r="L131" s="1" t="str">
        <f>VLOOKUP(Advices[[#This Row],[LC Number]],'Combine_List'!A:D,2,0)</f>
        <v>KENZ SARAB MACHINERY AND EQUIPMENT COMPANY</v>
      </c>
      <c r="M131" s="447" t="str">
        <f>VLOOKUP(Advices[[#This Row],[LC Number]],'Combine_List'!A:D,3,0)</f>
        <v>FIRST FIX</v>
      </c>
      <c r="N131" s="447" t="str">
        <f>VLOOKUP(Advices[[#This Row],[LC Number]],'Combine_List'!A:D,4,0)</f>
        <v>JCD SPMI</v>
      </c>
      <c r="O131" s="447">
        <f>VLOOKUP(Advices[[#This Row],[LC Number]],'Combine_List'!A:E,5,0)</f>
        <v>1020100</v>
      </c>
      <c r="P131" s="447">
        <f>MONTH(Advices[[#This Row],[Transaction Date]])</f>
        <v>10</v>
      </c>
      <c r="Q131" s="447">
        <f>YEAR(Advices[[#This Row],[Transaction Date]])</f>
        <v>2025</v>
      </c>
      <c r="R131" s="1"/>
    </row>
    <row r="132" spans="1:18" hidden="1" x14ac:dyDescent="0.25">
      <c r="A132" s="1" t="s">
        <v>2089</v>
      </c>
      <c r="B132" s="178">
        <v>45935</v>
      </c>
      <c r="C132" s="1" t="s">
        <v>2093</v>
      </c>
      <c r="D132" s="174" t="s">
        <v>1174</v>
      </c>
      <c r="E132" s="174" t="s">
        <v>1280</v>
      </c>
      <c r="F132" s="174" t="s">
        <v>2094</v>
      </c>
      <c r="G132" s="1" t="s">
        <v>26</v>
      </c>
      <c r="H132" s="251">
        <v>3</v>
      </c>
      <c r="I132" s="13">
        <v>0</v>
      </c>
      <c r="J132" s="1" t="s">
        <v>2041</v>
      </c>
      <c r="K132" s="1" t="s">
        <v>2025</v>
      </c>
      <c r="L132" s="1" t="str">
        <f>VLOOKUP(Advices[[#This Row],[LC Number]],'Combine_List'!A:D,2,0)</f>
        <v>KENZ SARAB MACHINERY AND EQUIPMENT COMPANY</v>
      </c>
      <c r="M132" s="447" t="str">
        <f>VLOOKUP(Advices[[#This Row],[LC Number]],'Combine_List'!A:D,3,0)</f>
        <v>FIRST FIX</v>
      </c>
      <c r="N132" s="447" t="str">
        <f>VLOOKUP(Advices[[#This Row],[LC Number]],'Combine_List'!A:D,4,0)</f>
        <v>JCD SPMI</v>
      </c>
      <c r="O132" s="447">
        <f>VLOOKUP(Advices[[#This Row],[LC Number]],'Combine_List'!A:E,5,0)</f>
        <v>1020100</v>
      </c>
      <c r="P132" s="447">
        <f>MONTH(Advices[[#This Row],[Transaction Date]])</f>
        <v>10</v>
      </c>
      <c r="Q132" s="447">
        <f>YEAR(Advices[[#This Row],[Transaction Date]])</f>
        <v>2025</v>
      </c>
      <c r="R132" s="1"/>
    </row>
    <row r="133" spans="1:18" hidden="1" x14ac:dyDescent="0.25">
      <c r="A133" s="1" t="s">
        <v>2089</v>
      </c>
      <c r="B133" s="178">
        <v>45936</v>
      </c>
      <c r="C133" s="1" t="s">
        <v>2093</v>
      </c>
      <c r="D133" s="174" t="s">
        <v>1174</v>
      </c>
      <c r="E133" s="174" t="s">
        <v>1328</v>
      </c>
      <c r="F133" s="174" t="s">
        <v>2100</v>
      </c>
      <c r="G133" s="1" t="s">
        <v>26</v>
      </c>
      <c r="H133" s="251">
        <v>37.5</v>
      </c>
      <c r="I133" s="13">
        <v>0</v>
      </c>
      <c r="J133" s="1" t="s">
        <v>2041</v>
      </c>
      <c r="K133" s="1" t="s">
        <v>2025</v>
      </c>
      <c r="L133" s="1" t="str">
        <f>VLOOKUP(Advices[[#This Row],[LC Number]],'Combine_List'!A:D,2,0)</f>
        <v>Electric House Trading Company L.L.C.</v>
      </c>
      <c r="M133" s="447" t="str">
        <f>VLOOKUP(Advices[[#This Row],[LC Number]],'Combine_List'!A:D,3,0)</f>
        <v>FIRST FIX</v>
      </c>
      <c r="N133" s="447" t="str">
        <f>VLOOKUP(Advices[[#This Row],[LC Number]],'Combine_List'!A:D,4,0)</f>
        <v>KSP</v>
      </c>
      <c r="O133" s="447">
        <f>VLOOKUP(Advices[[#This Row],[LC Number]],'Combine_List'!A:E,5,0)</f>
        <v>1020055</v>
      </c>
      <c r="P133" s="447">
        <f>MONTH(Advices[[#This Row],[Transaction Date]])</f>
        <v>10</v>
      </c>
      <c r="Q133" s="447">
        <f>YEAR(Advices[[#This Row],[Transaction Date]])</f>
        <v>2025</v>
      </c>
      <c r="R133" s="1"/>
    </row>
    <row r="134" spans="1:18" hidden="1" x14ac:dyDescent="0.25">
      <c r="A134" s="1" t="s">
        <v>2089</v>
      </c>
      <c r="B134" s="178">
        <v>45936</v>
      </c>
      <c r="C134" s="1" t="s">
        <v>2093</v>
      </c>
      <c r="D134" s="174" t="s">
        <v>2099</v>
      </c>
      <c r="E134" s="174" t="s">
        <v>1328</v>
      </c>
      <c r="F134" s="174" t="s">
        <v>2100</v>
      </c>
      <c r="G134" s="1" t="s">
        <v>26</v>
      </c>
      <c r="H134" s="251">
        <v>250</v>
      </c>
      <c r="I134" s="13">
        <v>0</v>
      </c>
      <c r="J134" s="1" t="s">
        <v>2041</v>
      </c>
      <c r="K134" s="1" t="s">
        <v>2025</v>
      </c>
      <c r="L134" s="1" t="str">
        <f>VLOOKUP(Advices[[#This Row],[LC Number]],'Combine_List'!A:D,2,0)</f>
        <v>Electric House Trading Company L.L.C.</v>
      </c>
      <c r="M134" s="447" t="str">
        <f>VLOOKUP(Advices[[#This Row],[LC Number]],'Combine_List'!A:D,3,0)</f>
        <v>FIRST FIX</v>
      </c>
      <c r="N134" s="447" t="str">
        <f>VLOOKUP(Advices[[#This Row],[LC Number]],'Combine_List'!A:D,4,0)</f>
        <v>KSP</v>
      </c>
      <c r="O134" s="447">
        <f>VLOOKUP(Advices[[#This Row],[LC Number]],'Combine_List'!A:E,5,0)</f>
        <v>1020055</v>
      </c>
      <c r="P134" s="447">
        <f>MONTH(Advices[[#This Row],[Transaction Date]])</f>
        <v>10</v>
      </c>
      <c r="Q134" s="447">
        <f>YEAR(Advices[[#This Row],[Transaction Date]])</f>
        <v>2025</v>
      </c>
      <c r="R134" s="1"/>
    </row>
    <row r="135" spans="1:18" hidden="1" x14ac:dyDescent="0.25">
      <c r="A135" s="1" t="s">
        <v>2089</v>
      </c>
      <c r="B135" s="178">
        <v>45936</v>
      </c>
      <c r="C135" s="1" t="s">
        <v>2093</v>
      </c>
      <c r="D135" s="174" t="s">
        <v>1174</v>
      </c>
      <c r="E135" s="174" t="s">
        <v>1328</v>
      </c>
      <c r="F135" s="174" t="s">
        <v>2100</v>
      </c>
      <c r="G135" s="1" t="s">
        <v>26</v>
      </c>
      <c r="H135" s="251">
        <v>893.81</v>
      </c>
      <c r="I135" s="13">
        <v>0</v>
      </c>
      <c r="J135" s="1" t="s">
        <v>2041</v>
      </c>
      <c r="K135" s="1" t="s">
        <v>2025</v>
      </c>
      <c r="L135" s="1" t="str">
        <f>VLOOKUP(Advices[[#This Row],[LC Number]],'Combine_List'!A:D,2,0)</f>
        <v>Electric House Trading Company L.L.C.</v>
      </c>
      <c r="M135" s="447" t="str">
        <f>VLOOKUP(Advices[[#This Row],[LC Number]],'Combine_List'!A:D,3,0)</f>
        <v>FIRST FIX</v>
      </c>
      <c r="N135" s="447" t="str">
        <f>VLOOKUP(Advices[[#This Row],[LC Number]],'Combine_List'!A:D,4,0)</f>
        <v>KSP</v>
      </c>
      <c r="O135" s="447">
        <f>VLOOKUP(Advices[[#This Row],[LC Number]],'Combine_List'!A:E,5,0)</f>
        <v>1020055</v>
      </c>
      <c r="P135" s="447">
        <f>MONTH(Advices[[#This Row],[Transaction Date]])</f>
        <v>10</v>
      </c>
      <c r="Q135" s="447">
        <f>YEAR(Advices[[#This Row],[Transaction Date]])</f>
        <v>2025</v>
      </c>
      <c r="R135" s="1"/>
    </row>
    <row r="136" spans="1:18" hidden="1" x14ac:dyDescent="0.25">
      <c r="A136" s="1" t="s">
        <v>2089</v>
      </c>
      <c r="B136" s="178">
        <v>45936</v>
      </c>
      <c r="C136" s="1" t="s">
        <v>2093</v>
      </c>
      <c r="D136" s="174" t="s">
        <v>2091</v>
      </c>
      <c r="E136" s="174" t="s">
        <v>1328</v>
      </c>
      <c r="F136" s="174" t="s">
        <v>2100</v>
      </c>
      <c r="G136" s="1" t="s">
        <v>26</v>
      </c>
      <c r="H136" s="251">
        <v>5958.72</v>
      </c>
      <c r="I136" s="13">
        <v>0</v>
      </c>
      <c r="J136" s="1" t="s">
        <v>2041</v>
      </c>
      <c r="K136" s="1" t="s">
        <v>2025</v>
      </c>
      <c r="L136" s="1" t="str">
        <f>VLOOKUP(Advices[[#This Row],[LC Number]],'Combine_List'!A:D,2,0)</f>
        <v>Electric House Trading Company L.L.C.</v>
      </c>
      <c r="M136" s="447" t="str">
        <f>VLOOKUP(Advices[[#This Row],[LC Number]],'Combine_List'!A:D,3,0)</f>
        <v>FIRST FIX</v>
      </c>
      <c r="N136" s="447" t="str">
        <f>VLOOKUP(Advices[[#This Row],[LC Number]],'Combine_List'!A:D,4,0)</f>
        <v>KSP</v>
      </c>
      <c r="O136" s="447">
        <f>VLOOKUP(Advices[[#This Row],[LC Number]],'Combine_List'!A:E,5,0)</f>
        <v>1020055</v>
      </c>
      <c r="P136" s="447">
        <f>MONTH(Advices[[#This Row],[Transaction Date]])</f>
        <v>10</v>
      </c>
      <c r="Q136" s="447">
        <f>YEAR(Advices[[#This Row],[Transaction Date]])</f>
        <v>2025</v>
      </c>
      <c r="R136" s="1"/>
    </row>
    <row r="137" spans="1:18" hidden="1" x14ac:dyDescent="0.25">
      <c r="A137" s="1" t="s">
        <v>612</v>
      </c>
      <c r="B137" s="178">
        <v>45935</v>
      </c>
      <c r="C137" s="1" t="s">
        <v>2101</v>
      </c>
      <c r="D137" s="1" t="s">
        <v>2102</v>
      </c>
      <c r="E137" s="1" t="s">
        <v>719</v>
      </c>
      <c r="F137" s="1" t="s">
        <v>2041</v>
      </c>
      <c r="G137" s="1" t="s">
        <v>26</v>
      </c>
      <c r="H137" s="13">
        <v>100</v>
      </c>
      <c r="I137" s="13">
        <v>0</v>
      </c>
      <c r="J137" s="1" t="s">
        <v>2041</v>
      </c>
      <c r="K137" s="1" t="s">
        <v>2025</v>
      </c>
      <c r="L137" s="1" t="str">
        <f>VLOOKUP(Advices[[#This Row],[LC Number]],'Combine_List'!A:D,2,0)</f>
        <v>Al Wasail Industrial Company</v>
      </c>
      <c r="M137" s="447" t="str">
        <f>VLOOKUP(Advices[[#This Row],[LC Number]],'Combine_List'!A:D,3,0)</f>
        <v>FIRST FIX</v>
      </c>
      <c r="N137" s="447" t="str">
        <f>VLOOKUP(Advices[[#This Row],[LC Number]],'Combine_List'!A:D,4,0)</f>
        <v>RCRC</v>
      </c>
      <c r="O137" s="447">
        <f>VLOOKUP(Advices[[#This Row],[LC Number]],'Combine_List'!A:E,5,0)</f>
        <v>1020106</v>
      </c>
      <c r="P137" s="447">
        <f>MONTH(Advices[[#This Row],[Transaction Date]])</f>
        <v>10</v>
      </c>
      <c r="Q137" s="447">
        <f>YEAR(Advices[[#This Row],[Transaction Date]])</f>
        <v>2025</v>
      </c>
      <c r="R137" s="1"/>
    </row>
    <row r="138" spans="1:18" hidden="1" x14ac:dyDescent="0.25">
      <c r="A138" s="1" t="s">
        <v>612</v>
      </c>
      <c r="B138" s="178">
        <v>45935</v>
      </c>
      <c r="C138" s="1" t="s">
        <v>2101</v>
      </c>
      <c r="D138" s="1" t="s">
        <v>2103</v>
      </c>
      <c r="E138" s="1" t="s">
        <v>719</v>
      </c>
      <c r="F138" s="1" t="s">
        <v>2041</v>
      </c>
      <c r="G138" s="1" t="s">
        <v>26</v>
      </c>
      <c r="H138" s="13">
        <v>15</v>
      </c>
      <c r="I138" s="13">
        <v>0</v>
      </c>
      <c r="J138" s="1" t="s">
        <v>2041</v>
      </c>
      <c r="K138" s="1" t="s">
        <v>2025</v>
      </c>
      <c r="L138" s="1" t="str">
        <f>VLOOKUP(Advices[[#This Row],[LC Number]],'Combine_List'!A:D,2,0)</f>
        <v>Al Wasail Industrial Company</v>
      </c>
      <c r="M138" s="447" t="str">
        <f>VLOOKUP(Advices[[#This Row],[LC Number]],'Combine_List'!A:D,3,0)</f>
        <v>FIRST FIX</v>
      </c>
      <c r="N138" s="447" t="str">
        <f>VLOOKUP(Advices[[#This Row],[LC Number]],'Combine_List'!A:D,4,0)</f>
        <v>RCRC</v>
      </c>
      <c r="O138" s="447">
        <f>VLOOKUP(Advices[[#This Row],[LC Number]],'Combine_List'!A:E,5,0)</f>
        <v>1020106</v>
      </c>
      <c r="P138" s="447">
        <f>MONTH(Advices[[#This Row],[Transaction Date]])</f>
        <v>10</v>
      </c>
      <c r="Q138" s="447">
        <f>YEAR(Advices[[#This Row],[Transaction Date]])</f>
        <v>2025</v>
      </c>
      <c r="R138" s="1"/>
    </row>
    <row r="139" spans="1:18" hidden="1" x14ac:dyDescent="0.25">
      <c r="A139" s="1" t="s">
        <v>612</v>
      </c>
      <c r="B139" s="178">
        <v>45935</v>
      </c>
      <c r="C139" s="1" t="s">
        <v>2101</v>
      </c>
      <c r="D139" s="1" t="s">
        <v>2104</v>
      </c>
      <c r="E139" s="1" t="s">
        <v>719</v>
      </c>
      <c r="F139" s="1" t="s">
        <v>2041</v>
      </c>
      <c r="G139" s="1" t="s">
        <v>26</v>
      </c>
      <c r="H139" s="13">
        <v>289</v>
      </c>
      <c r="I139" s="13">
        <v>0</v>
      </c>
      <c r="J139" s="1" t="s">
        <v>2041</v>
      </c>
      <c r="K139" s="1" t="s">
        <v>2025</v>
      </c>
      <c r="L139" s="1" t="str">
        <f>VLOOKUP(Advices[[#This Row],[LC Number]],'Combine_List'!A:D,2,0)</f>
        <v>Al Wasail Industrial Company</v>
      </c>
      <c r="M139" s="447" t="str">
        <f>VLOOKUP(Advices[[#This Row],[LC Number]],'Combine_List'!A:D,3,0)</f>
        <v>FIRST FIX</v>
      </c>
      <c r="N139" s="447" t="str">
        <f>VLOOKUP(Advices[[#This Row],[LC Number]],'Combine_List'!A:D,4,0)</f>
        <v>RCRC</v>
      </c>
      <c r="O139" s="447">
        <f>VLOOKUP(Advices[[#This Row],[LC Number]],'Combine_List'!A:E,5,0)</f>
        <v>1020106</v>
      </c>
      <c r="P139" s="447">
        <f>MONTH(Advices[[#This Row],[Transaction Date]])</f>
        <v>10</v>
      </c>
      <c r="Q139" s="447">
        <f>YEAR(Advices[[#This Row],[Transaction Date]])</f>
        <v>2025</v>
      </c>
      <c r="R139" s="1"/>
    </row>
    <row r="140" spans="1:18" hidden="1" x14ac:dyDescent="0.25">
      <c r="A140" s="1" t="s">
        <v>612</v>
      </c>
      <c r="B140" s="178">
        <v>45935</v>
      </c>
      <c r="C140" s="1" t="s">
        <v>2101</v>
      </c>
      <c r="D140" s="1" t="s">
        <v>2105</v>
      </c>
      <c r="E140" s="1" t="s">
        <v>719</v>
      </c>
      <c r="F140" s="1" t="s">
        <v>2041</v>
      </c>
      <c r="G140" s="1" t="s">
        <v>26</v>
      </c>
      <c r="H140" s="13">
        <v>43.35</v>
      </c>
      <c r="I140" s="13">
        <v>0</v>
      </c>
      <c r="J140" s="1" t="s">
        <v>2041</v>
      </c>
      <c r="K140" s="1" t="s">
        <v>2025</v>
      </c>
      <c r="L140" s="1" t="str">
        <f>VLOOKUP(Advices[[#This Row],[LC Number]],'Combine_List'!A:D,2,0)</f>
        <v>Al Wasail Industrial Company</v>
      </c>
      <c r="M140" s="447" t="str">
        <f>VLOOKUP(Advices[[#This Row],[LC Number]],'Combine_List'!A:D,3,0)</f>
        <v>FIRST FIX</v>
      </c>
      <c r="N140" s="447" t="str">
        <f>VLOOKUP(Advices[[#This Row],[LC Number]],'Combine_List'!A:D,4,0)</f>
        <v>RCRC</v>
      </c>
      <c r="O140" s="447">
        <f>VLOOKUP(Advices[[#This Row],[LC Number]],'Combine_List'!A:E,5,0)</f>
        <v>1020106</v>
      </c>
      <c r="P140" s="447">
        <f>MONTH(Advices[[#This Row],[Transaction Date]])</f>
        <v>10</v>
      </c>
      <c r="Q140" s="447">
        <f>YEAR(Advices[[#This Row],[Transaction Date]])</f>
        <v>2025</v>
      </c>
      <c r="R140" s="1"/>
    </row>
    <row r="141" spans="1:18" hidden="1" x14ac:dyDescent="0.25">
      <c r="A141" s="1" t="s">
        <v>612</v>
      </c>
      <c r="B141" s="178">
        <v>45935</v>
      </c>
      <c r="C141" s="1" t="s">
        <v>2101</v>
      </c>
      <c r="D141" s="1" t="s">
        <v>2106</v>
      </c>
      <c r="E141" s="1" t="s">
        <v>719</v>
      </c>
      <c r="F141" s="1" t="s">
        <v>2041</v>
      </c>
      <c r="G141" s="1" t="s">
        <v>26</v>
      </c>
      <c r="H141" s="13">
        <v>200</v>
      </c>
      <c r="I141" s="13">
        <v>0</v>
      </c>
      <c r="J141" s="1" t="s">
        <v>2041</v>
      </c>
      <c r="K141" s="1" t="s">
        <v>2025</v>
      </c>
      <c r="L141" s="1" t="str">
        <f>VLOOKUP(Advices[[#This Row],[LC Number]],'Combine_List'!A:D,2,0)</f>
        <v>Al Wasail Industrial Company</v>
      </c>
      <c r="M141" s="447" t="str">
        <f>VLOOKUP(Advices[[#This Row],[LC Number]],'Combine_List'!A:D,3,0)</f>
        <v>FIRST FIX</v>
      </c>
      <c r="N141" s="447" t="str">
        <f>VLOOKUP(Advices[[#This Row],[LC Number]],'Combine_List'!A:D,4,0)</f>
        <v>RCRC</v>
      </c>
      <c r="O141" s="447">
        <f>VLOOKUP(Advices[[#This Row],[LC Number]],'Combine_List'!A:E,5,0)</f>
        <v>1020106</v>
      </c>
      <c r="P141" s="447">
        <f>MONTH(Advices[[#This Row],[Transaction Date]])</f>
        <v>10</v>
      </c>
      <c r="Q141" s="447">
        <f>YEAR(Advices[[#This Row],[Transaction Date]])</f>
        <v>2025</v>
      </c>
      <c r="R141" s="1"/>
    </row>
    <row r="142" spans="1:18" hidden="1" x14ac:dyDescent="0.25">
      <c r="A142" s="1" t="s">
        <v>612</v>
      </c>
      <c r="B142" s="178">
        <v>45935</v>
      </c>
      <c r="C142" s="1" t="s">
        <v>2101</v>
      </c>
      <c r="D142" s="1" t="s">
        <v>2107</v>
      </c>
      <c r="E142" s="1" t="s">
        <v>719</v>
      </c>
      <c r="F142" s="1" t="s">
        <v>2041</v>
      </c>
      <c r="G142" s="1" t="s">
        <v>26</v>
      </c>
      <c r="H142" s="13">
        <v>30</v>
      </c>
      <c r="I142" s="13">
        <v>0</v>
      </c>
      <c r="J142" s="1" t="s">
        <v>2041</v>
      </c>
      <c r="K142" s="1" t="s">
        <v>2025</v>
      </c>
      <c r="L142" s="1" t="str">
        <f>VLOOKUP(Advices[[#This Row],[LC Number]],'Combine_List'!A:D,2,0)</f>
        <v>Al Wasail Industrial Company</v>
      </c>
      <c r="M142" s="447" t="str">
        <f>VLOOKUP(Advices[[#This Row],[LC Number]],'Combine_List'!A:D,3,0)</f>
        <v>FIRST FIX</v>
      </c>
      <c r="N142" s="447" t="str">
        <f>VLOOKUP(Advices[[#This Row],[LC Number]],'Combine_List'!A:D,4,0)</f>
        <v>RCRC</v>
      </c>
      <c r="O142" s="447">
        <f>VLOOKUP(Advices[[#This Row],[LC Number]],'Combine_List'!A:E,5,0)</f>
        <v>1020106</v>
      </c>
      <c r="P142" s="447">
        <f>MONTH(Advices[[#This Row],[Transaction Date]])</f>
        <v>10</v>
      </c>
      <c r="Q142" s="447">
        <f>YEAR(Advices[[#This Row],[Transaction Date]])</f>
        <v>2025</v>
      </c>
      <c r="R142" s="1"/>
    </row>
    <row r="143" spans="1:18" hidden="1" x14ac:dyDescent="0.25">
      <c r="A143" s="1" t="s">
        <v>612</v>
      </c>
      <c r="B143" s="178">
        <v>45935</v>
      </c>
      <c r="C143" s="1" t="s">
        <v>2101</v>
      </c>
      <c r="D143" s="1" t="s">
        <v>2108</v>
      </c>
      <c r="E143" s="1" t="s">
        <v>719</v>
      </c>
      <c r="F143" s="1" t="s">
        <v>2041</v>
      </c>
      <c r="G143" s="1" t="s">
        <v>26</v>
      </c>
      <c r="H143" s="13">
        <v>231336.88</v>
      </c>
      <c r="I143" s="13">
        <v>0</v>
      </c>
      <c r="J143" s="1" t="s">
        <v>2041</v>
      </c>
      <c r="K143" s="1" t="s">
        <v>2025</v>
      </c>
      <c r="L143" s="1" t="str">
        <f>VLOOKUP(Advices[[#This Row],[LC Number]],'Combine_List'!A:D,2,0)</f>
        <v>Al Wasail Industrial Company</v>
      </c>
      <c r="M143" s="447" t="str">
        <f>VLOOKUP(Advices[[#This Row],[LC Number]],'Combine_List'!A:D,3,0)</f>
        <v>FIRST FIX</v>
      </c>
      <c r="N143" s="447" t="str">
        <f>VLOOKUP(Advices[[#This Row],[LC Number]],'Combine_List'!A:D,4,0)</f>
        <v>RCRC</v>
      </c>
      <c r="O143" s="447">
        <f>VLOOKUP(Advices[[#This Row],[LC Number]],'Combine_List'!A:E,5,0)</f>
        <v>1020106</v>
      </c>
      <c r="P143" s="447">
        <f>MONTH(Advices[[#This Row],[Transaction Date]])</f>
        <v>10</v>
      </c>
      <c r="Q143" s="447">
        <f>YEAR(Advices[[#This Row],[Transaction Date]])</f>
        <v>2025</v>
      </c>
      <c r="R143" s="1"/>
    </row>
    <row r="144" spans="1:18" hidden="1" x14ac:dyDescent="0.25">
      <c r="A144" s="1" t="s">
        <v>612</v>
      </c>
      <c r="B144" s="178">
        <v>45935</v>
      </c>
      <c r="C144" s="1" t="s">
        <v>2101</v>
      </c>
      <c r="D144" s="1" t="s">
        <v>2109</v>
      </c>
      <c r="E144" s="1" t="s">
        <v>1558</v>
      </c>
      <c r="F144" s="1" t="s">
        <v>2041</v>
      </c>
      <c r="G144" s="1" t="s">
        <v>26</v>
      </c>
      <c r="H144" s="13">
        <v>100</v>
      </c>
      <c r="I144" s="13">
        <v>0</v>
      </c>
      <c r="J144" s="1" t="s">
        <v>2041</v>
      </c>
      <c r="K144" s="1" t="s">
        <v>2025</v>
      </c>
      <c r="L144" s="1" t="str">
        <f>VLOOKUP(Advices[[#This Row],[LC Number]],'Combine_List'!A:D,2,0)</f>
        <v>Saudi Hepco Co Ltd</v>
      </c>
      <c r="M144" s="447" t="str">
        <f>VLOOKUP(Advices[[#This Row],[LC Number]],'Combine_List'!A:D,3,0)</f>
        <v>FIRST FIX</v>
      </c>
      <c r="N144" s="447" t="str">
        <f>VLOOKUP(Advices[[#This Row],[LC Number]],'Combine_List'!A:D,4,0)</f>
        <v>RCRC</v>
      </c>
      <c r="O144" s="447">
        <f>VLOOKUP(Advices[[#This Row],[LC Number]],'Combine_List'!A:E,5,0)</f>
        <v>1020106</v>
      </c>
      <c r="P144" s="447">
        <f>MONTH(Advices[[#This Row],[Transaction Date]])</f>
        <v>10</v>
      </c>
      <c r="Q144" s="447">
        <f>YEAR(Advices[[#This Row],[Transaction Date]])</f>
        <v>2025</v>
      </c>
      <c r="R144" s="1"/>
    </row>
    <row r="145" spans="1:18" hidden="1" x14ac:dyDescent="0.25">
      <c r="A145" s="1" t="s">
        <v>612</v>
      </c>
      <c r="B145" s="178">
        <v>45935</v>
      </c>
      <c r="C145" s="1" t="s">
        <v>2101</v>
      </c>
      <c r="D145" s="1" t="s">
        <v>2110</v>
      </c>
      <c r="E145" s="1" t="s">
        <v>1558</v>
      </c>
      <c r="F145" s="1" t="s">
        <v>2041</v>
      </c>
      <c r="G145" s="1" t="s">
        <v>26</v>
      </c>
      <c r="H145" s="13">
        <v>15</v>
      </c>
      <c r="I145" s="13">
        <v>0</v>
      </c>
      <c r="J145" s="1" t="s">
        <v>2041</v>
      </c>
      <c r="K145" s="1" t="s">
        <v>2025</v>
      </c>
      <c r="L145" s="1" t="str">
        <f>VLOOKUP(Advices[[#This Row],[LC Number]],'Combine_List'!A:D,2,0)</f>
        <v>Saudi Hepco Co Ltd</v>
      </c>
      <c r="M145" s="447" t="str">
        <f>VLOOKUP(Advices[[#This Row],[LC Number]],'Combine_List'!A:D,3,0)</f>
        <v>FIRST FIX</v>
      </c>
      <c r="N145" s="447" t="str">
        <f>VLOOKUP(Advices[[#This Row],[LC Number]],'Combine_List'!A:D,4,0)</f>
        <v>RCRC</v>
      </c>
      <c r="O145" s="447">
        <f>VLOOKUP(Advices[[#This Row],[LC Number]],'Combine_List'!A:E,5,0)</f>
        <v>1020106</v>
      </c>
      <c r="P145" s="447">
        <f>MONTH(Advices[[#This Row],[Transaction Date]])</f>
        <v>10</v>
      </c>
      <c r="Q145" s="447">
        <f>YEAR(Advices[[#This Row],[Transaction Date]])</f>
        <v>2025</v>
      </c>
      <c r="R145" s="1"/>
    </row>
    <row r="146" spans="1:18" hidden="1" x14ac:dyDescent="0.25">
      <c r="A146" s="1" t="s">
        <v>612</v>
      </c>
      <c r="B146" s="178">
        <v>45935</v>
      </c>
      <c r="C146" s="1" t="s">
        <v>2101</v>
      </c>
      <c r="D146" s="1" t="s">
        <v>2111</v>
      </c>
      <c r="E146" s="1" t="s">
        <v>1558</v>
      </c>
      <c r="F146" s="1" t="s">
        <v>2041</v>
      </c>
      <c r="G146" s="1" t="s">
        <v>26</v>
      </c>
      <c r="H146" s="13">
        <v>660</v>
      </c>
      <c r="I146" s="13">
        <v>0</v>
      </c>
      <c r="J146" s="1" t="s">
        <v>2041</v>
      </c>
      <c r="K146" s="1" t="s">
        <v>2025</v>
      </c>
      <c r="L146" s="1" t="str">
        <f>VLOOKUP(Advices[[#This Row],[LC Number]],'Combine_List'!A:D,2,0)</f>
        <v>Saudi Hepco Co Ltd</v>
      </c>
      <c r="M146" s="447" t="str">
        <f>VLOOKUP(Advices[[#This Row],[LC Number]],'Combine_List'!A:D,3,0)</f>
        <v>FIRST FIX</v>
      </c>
      <c r="N146" s="447" t="str">
        <f>VLOOKUP(Advices[[#This Row],[LC Number]],'Combine_List'!A:D,4,0)</f>
        <v>RCRC</v>
      </c>
      <c r="O146" s="447">
        <f>VLOOKUP(Advices[[#This Row],[LC Number]],'Combine_List'!A:E,5,0)</f>
        <v>1020106</v>
      </c>
      <c r="P146" s="447">
        <f>MONTH(Advices[[#This Row],[Transaction Date]])</f>
        <v>10</v>
      </c>
      <c r="Q146" s="447">
        <f>YEAR(Advices[[#This Row],[Transaction Date]])</f>
        <v>2025</v>
      </c>
      <c r="R146" s="1"/>
    </row>
    <row r="147" spans="1:18" hidden="1" x14ac:dyDescent="0.25">
      <c r="A147" s="1" t="s">
        <v>612</v>
      </c>
      <c r="B147" s="178">
        <v>45935</v>
      </c>
      <c r="C147" s="1" t="s">
        <v>2101</v>
      </c>
      <c r="D147" s="1" t="s">
        <v>2112</v>
      </c>
      <c r="E147" s="1" t="s">
        <v>1558</v>
      </c>
      <c r="F147" s="1" t="s">
        <v>2041</v>
      </c>
      <c r="G147" s="1" t="s">
        <v>26</v>
      </c>
      <c r="H147" s="13">
        <v>99</v>
      </c>
      <c r="I147" s="13">
        <v>0</v>
      </c>
      <c r="J147" s="1" t="s">
        <v>2041</v>
      </c>
      <c r="K147" s="1" t="s">
        <v>2025</v>
      </c>
      <c r="L147" s="1" t="str">
        <f>VLOOKUP(Advices[[#This Row],[LC Number]],'Combine_List'!A:D,2,0)</f>
        <v>Saudi Hepco Co Ltd</v>
      </c>
      <c r="M147" s="447" t="str">
        <f>VLOOKUP(Advices[[#This Row],[LC Number]],'Combine_List'!A:D,3,0)</f>
        <v>FIRST FIX</v>
      </c>
      <c r="N147" s="447" t="str">
        <f>VLOOKUP(Advices[[#This Row],[LC Number]],'Combine_List'!A:D,4,0)</f>
        <v>RCRC</v>
      </c>
      <c r="O147" s="447">
        <f>VLOOKUP(Advices[[#This Row],[LC Number]],'Combine_List'!A:E,5,0)</f>
        <v>1020106</v>
      </c>
      <c r="P147" s="447">
        <f>MONTH(Advices[[#This Row],[Transaction Date]])</f>
        <v>10</v>
      </c>
      <c r="Q147" s="447">
        <f>YEAR(Advices[[#This Row],[Transaction Date]])</f>
        <v>2025</v>
      </c>
      <c r="R147" s="1"/>
    </row>
    <row r="148" spans="1:18" hidden="1" x14ac:dyDescent="0.25">
      <c r="A148" s="1" t="s">
        <v>612</v>
      </c>
      <c r="B148" s="178">
        <v>45935</v>
      </c>
      <c r="C148" s="1" t="s">
        <v>2101</v>
      </c>
      <c r="D148" s="1" t="s">
        <v>2113</v>
      </c>
      <c r="E148" s="1" t="s">
        <v>1558</v>
      </c>
      <c r="F148" s="1" t="s">
        <v>2041</v>
      </c>
      <c r="G148" s="1" t="s">
        <v>26</v>
      </c>
      <c r="H148" s="13">
        <v>200</v>
      </c>
      <c r="I148" s="13">
        <v>0</v>
      </c>
      <c r="J148" s="1" t="s">
        <v>2041</v>
      </c>
      <c r="K148" s="1" t="s">
        <v>2025</v>
      </c>
      <c r="L148" s="1" t="str">
        <f>VLOOKUP(Advices[[#This Row],[LC Number]],'Combine_List'!A:D,2,0)</f>
        <v>Saudi Hepco Co Ltd</v>
      </c>
      <c r="M148" s="447" t="str">
        <f>VLOOKUP(Advices[[#This Row],[LC Number]],'Combine_List'!A:D,3,0)</f>
        <v>FIRST FIX</v>
      </c>
      <c r="N148" s="447" t="str">
        <f>VLOOKUP(Advices[[#This Row],[LC Number]],'Combine_List'!A:D,4,0)</f>
        <v>RCRC</v>
      </c>
      <c r="O148" s="447">
        <f>VLOOKUP(Advices[[#This Row],[LC Number]],'Combine_List'!A:E,5,0)</f>
        <v>1020106</v>
      </c>
      <c r="P148" s="447">
        <f>MONTH(Advices[[#This Row],[Transaction Date]])</f>
        <v>10</v>
      </c>
      <c r="Q148" s="447">
        <f>YEAR(Advices[[#This Row],[Transaction Date]])</f>
        <v>2025</v>
      </c>
      <c r="R148" s="1"/>
    </row>
    <row r="149" spans="1:18" hidden="1" x14ac:dyDescent="0.25">
      <c r="A149" s="1" t="s">
        <v>612</v>
      </c>
      <c r="B149" s="178">
        <v>45935</v>
      </c>
      <c r="C149" s="1" t="s">
        <v>2101</v>
      </c>
      <c r="D149" s="1" t="s">
        <v>2114</v>
      </c>
      <c r="E149" s="1" t="s">
        <v>1558</v>
      </c>
      <c r="F149" s="1" t="s">
        <v>2041</v>
      </c>
      <c r="G149" s="1" t="s">
        <v>26</v>
      </c>
      <c r="H149" s="13">
        <v>30</v>
      </c>
      <c r="I149" s="13">
        <v>0</v>
      </c>
      <c r="J149" s="1" t="s">
        <v>2041</v>
      </c>
      <c r="K149" s="1" t="s">
        <v>2025</v>
      </c>
      <c r="L149" s="1" t="str">
        <f>VLOOKUP(Advices[[#This Row],[LC Number]],'Combine_List'!A:D,2,0)</f>
        <v>Saudi Hepco Co Ltd</v>
      </c>
      <c r="M149" s="447" t="str">
        <f>VLOOKUP(Advices[[#This Row],[LC Number]],'Combine_List'!A:D,3,0)</f>
        <v>FIRST FIX</v>
      </c>
      <c r="N149" s="447" t="str">
        <f>VLOOKUP(Advices[[#This Row],[LC Number]],'Combine_List'!A:D,4,0)</f>
        <v>RCRC</v>
      </c>
      <c r="O149" s="447">
        <f>VLOOKUP(Advices[[#This Row],[LC Number]],'Combine_List'!A:E,5,0)</f>
        <v>1020106</v>
      </c>
      <c r="P149" s="447">
        <f>MONTH(Advices[[#This Row],[Transaction Date]])</f>
        <v>10</v>
      </c>
      <c r="Q149" s="447">
        <f>YEAR(Advices[[#This Row],[Transaction Date]])</f>
        <v>2025</v>
      </c>
      <c r="R149" s="1"/>
    </row>
    <row r="150" spans="1:18" hidden="1" x14ac:dyDescent="0.25">
      <c r="A150" s="1" t="s">
        <v>612</v>
      </c>
      <c r="B150" s="178">
        <v>45935</v>
      </c>
      <c r="C150" s="1" t="s">
        <v>2101</v>
      </c>
      <c r="D150" s="1" t="s">
        <v>2115</v>
      </c>
      <c r="E150" s="1" t="s">
        <v>1610</v>
      </c>
      <c r="F150" s="1" t="s">
        <v>2041</v>
      </c>
      <c r="G150" s="1" t="s">
        <v>26</v>
      </c>
      <c r="H150" s="13">
        <v>100</v>
      </c>
      <c r="I150" s="13">
        <v>0</v>
      </c>
      <c r="J150" s="1" t="s">
        <v>2041</v>
      </c>
      <c r="K150" s="1" t="s">
        <v>2025</v>
      </c>
      <c r="L150" s="1" t="str">
        <f>VLOOKUP(Advices[[#This Row],[LC Number]],'Combine_List'!A:D,2,0)</f>
        <v>Metten Al-Arabia Ltd Co (METARA)</v>
      </c>
      <c r="M150" s="447" t="str">
        <f>VLOOKUP(Advices[[#This Row],[LC Number]],'Combine_List'!A:D,3,0)</f>
        <v>MBL</v>
      </c>
      <c r="N150" s="447" t="str">
        <f>VLOOKUP(Advices[[#This Row],[LC Number]],'Combine_List'!A:D,4,0)</f>
        <v>RCRC</v>
      </c>
      <c r="O150" s="447">
        <f>VLOOKUP(Advices[[#This Row],[LC Number]],'Combine_List'!A:E,5,0)</f>
        <v>1020106</v>
      </c>
      <c r="P150" s="447">
        <f>MONTH(Advices[[#This Row],[Transaction Date]])</f>
        <v>10</v>
      </c>
      <c r="Q150" s="447">
        <f>YEAR(Advices[[#This Row],[Transaction Date]])</f>
        <v>2025</v>
      </c>
      <c r="R150" s="1"/>
    </row>
    <row r="151" spans="1:18" hidden="1" x14ac:dyDescent="0.25">
      <c r="A151" s="1" t="s">
        <v>612</v>
      </c>
      <c r="B151" s="178">
        <v>45935</v>
      </c>
      <c r="C151" s="1" t="s">
        <v>2101</v>
      </c>
      <c r="D151" s="1" t="s">
        <v>2116</v>
      </c>
      <c r="E151" s="1" t="s">
        <v>1610</v>
      </c>
      <c r="F151" s="1" t="s">
        <v>2041</v>
      </c>
      <c r="G151" s="1" t="s">
        <v>26</v>
      </c>
      <c r="H151" s="13">
        <v>15</v>
      </c>
      <c r="I151" s="13">
        <v>0</v>
      </c>
      <c r="J151" s="1" t="s">
        <v>2041</v>
      </c>
      <c r="K151" s="1" t="s">
        <v>2025</v>
      </c>
      <c r="L151" s="1" t="str">
        <f>VLOOKUP(Advices[[#This Row],[LC Number]],'Combine_List'!A:D,2,0)</f>
        <v>Metten Al-Arabia Ltd Co (METARA)</v>
      </c>
      <c r="M151" s="447" t="str">
        <f>VLOOKUP(Advices[[#This Row],[LC Number]],'Combine_List'!A:D,3,0)</f>
        <v>MBL</v>
      </c>
      <c r="N151" s="447" t="str">
        <f>VLOOKUP(Advices[[#This Row],[LC Number]],'Combine_List'!A:D,4,0)</f>
        <v>RCRC</v>
      </c>
      <c r="O151" s="447">
        <f>VLOOKUP(Advices[[#This Row],[LC Number]],'Combine_List'!A:E,5,0)</f>
        <v>1020106</v>
      </c>
      <c r="P151" s="447">
        <f>MONTH(Advices[[#This Row],[Transaction Date]])</f>
        <v>10</v>
      </c>
      <c r="Q151" s="447">
        <f>YEAR(Advices[[#This Row],[Transaction Date]])</f>
        <v>2025</v>
      </c>
      <c r="R151" s="1"/>
    </row>
    <row r="152" spans="1:18" hidden="1" x14ac:dyDescent="0.25">
      <c r="A152" s="1" t="s">
        <v>612</v>
      </c>
      <c r="B152" s="178">
        <v>45935</v>
      </c>
      <c r="C152" s="1" t="s">
        <v>2101</v>
      </c>
      <c r="D152" s="1" t="s">
        <v>2117</v>
      </c>
      <c r="E152" s="1" t="s">
        <v>1610</v>
      </c>
      <c r="F152" s="1" t="s">
        <v>2041</v>
      </c>
      <c r="G152" s="1" t="s">
        <v>26</v>
      </c>
      <c r="H152" s="13">
        <v>376</v>
      </c>
      <c r="I152" s="13">
        <v>0</v>
      </c>
      <c r="J152" s="1" t="s">
        <v>2041</v>
      </c>
      <c r="K152" s="1" t="s">
        <v>2025</v>
      </c>
      <c r="L152" s="1" t="str">
        <f>VLOOKUP(Advices[[#This Row],[LC Number]],'Combine_List'!A:D,2,0)</f>
        <v>Metten Al-Arabia Ltd Co (METARA)</v>
      </c>
      <c r="M152" s="447" t="str">
        <f>VLOOKUP(Advices[[#This Row],[LC Number]],'Combine_List'!A:D,3,0)</f>
        <v>MBL</v>
      </c>
      <c r="N152" s="447" t="str">
        <f>VLOOKUP(Advices[[#This Row],[LC Number]],'Combine_List'!A:D,4,0)</f>
        <v>RCRC</v>
      </c>
      <c r="O152" s="447">
        <f>VLOOKUP(Advices[[#This Row],[LC Number]],'Combine_List'!A:E,5,0)</f>
        <v>1020106</v>
      </c>
      <c r="P152" s="447">
        <f>MONTH(Advices[[#This Row],[Transaction Date]])</f>
        <v>10</v>
      </c>
      <c r="Q152" s="447">
        <f>YEAR(Advices[[#This Row],[Transaction Date]])</f>
        <v>2025</v>
      </c>
      <c r="R152" s="1"/>
    </row>
    <row r="153" spans="1:18" hidden="1" x14ac:dyDescent="0.25">
      <c r="A153" s="1" t="s">
        <v>612</v>
      </c>
      <c r="B153" s="178">
        <v>45935</v>
      </c>
      <c r="C153" s="1" t="s">
        <v>2101</v>
      </c>
      <c r="D153" s="1" t="s">
        <v>2118</v>
      </c>
      <c r="E153" s="1" t="s">
        <v>1610</v>
      </c>
      <c r="F153" s="1" t="s">
        <v>2041</v>
      </c>
      <c r="G153" s="1" t="s">
        <v>26</v>
      </c>
      <c r="H153" s="13">
        <v>56.4</v>
      </c>
      <c r="I153" s="13">
        <v>0</v>
      </c>
      <c r="J153" s="1" t="s">
        <v>2041</v>
      </c>
      <c r="K153" s="1" t="s">
        <v>2025</v>
      </c>
      <c r="L153" s="1" t="str">
        <f>VLOOKUP(Advices[[#This Row],[LC Number]],'Combine_List'!A:D,2,0)</f>
        <v>Metten Al-Arabia Ltd Co (METARA)</v>
      </c>
      <c r="M153" s="447" t="str">
        <f>VLOOKUP(Advices[[#This Row],[LC Number]],'Combine_List'!A:D,3,0)</f>
        <v>MBL</v>
      </c>
      <c r="N153" s="447" t="str">
        <f>VLOOKUP(Advices[[#This Row],[LC Number]],'Combine_List'!A:D,4,0)</f>
        <v>RCRC</v>
      </c>
      <c r="O153" s="447">
        <f>VLOOKUP(Advices[[#This Row],[LC Number]],'Combine_List'!A:E,5,0)</f>
        <v>1020106</v>
      </c>
      <c r="P153" s="447">
        <f>MONTH(Advices[[#This Row],[Transaction Date]])</f>
        <v>10</v>
      </c>
      <c r="Q153" s="447">
        <f>YEAR(Advices[[#This Row],[Transaction Date]])</f>
        <v>2025</v>
      </c>
      <c r="R153" s="1"/>
    </row>
    <row r="154" spans="1:18" hidden="1" x14ac:dyDescent="0.25">
      <c r="A154" s="1" t="s">
        <v>612</v>
      </c>
      <c r="B154" s="178">
        <v>45935</v>
      </c>
      <c r="C154" s="1" t="s">
        <v>2101</v>
      </c>
      <c r="D154" s="1" t="s">
        <v>2119</v>
      </c>
      <c r="E154" s="1" t="s">
        <v>1610</v>
      </c>
      <c r="F154" s="1" t="s">
        <v>2041</v>
      </c>
      <c r="G154" s="1" t="s">
        <v>26</v>
      </c>
      <c r="H154" s="13">
        <v>200</v>
      </c>
      <c r="I154" s="13">
        <v>0</v>
      </c>
      <c r="J154" s="1" t="s">
        <v>2041</v>
      </c>
      <c r="K154" s="1" t="s">
        <v>2025</v>
      </c>
      <c r="L154" s="1" t="str">
        <f>VLOOKUP(Advices[[#This Row],[LC Number]],'Combine_List'!A:D,2,0)</f>
        <v>Metten Al-Arabia Ltd Co (METARA)</v>
      </c>
      <c r="M154" s="447" t="str">
        <f>VLOOKUP(Advices[[#This Row],[LC Number]],'Combine_List'!A:D,3,0)</f>
        <v>MBL</v>
      </c>
      <c r="N154" s="447" t="str">
        <f>VLOOKUP(Advices[[#This Row],[LC Number]],'Combine_List'!A:D,4,0)</f>
        <v>RCRC</v>
      </c>
      <c r="O154" s="447">
        <f>VLOOKUP(Advices[[#This Row],[LC Number]],'Combine_List'!A:E,5,0)</f>
        <v>1020106</v>
      </c>
      <c r="P154" s="447">
        <f>MONTH(Advices[[#This Row],[Transaction Date]])</f>
        <v>10</v>
      </c>
      <c r="Q154" s="447">
        <f>YEAR(Advices[[#This Row],[Transaction Date]])</f>
        <v>2025</v>
      </c>
      <c r="R154" s="1"/>
    </row>
    <row r="155" spans="1:18" hidden="1" x14ac:dyDescent="0.25">
      <c r="A155" s="1" t="s">
        <v>612</v>
      </c>
      <c r="B155" s="178">
        <v>45935</v>
      </c>
      <c r="C155" s="1" t="s">
        <v>2101</v>
      </c>
      <c r="D155" s="1" t="s">
        <v>2120</v>
      </c>
      <c r="E155" s="1" t="s">
        <v>1610</v>
      </c>
      <c r="F155" s="1" t="s">
        <v>2041</v>
      </c>
      <c r="G155" s="1" t="s">
        <v>26</v>
      </c>
      <c r="H155" s="13">
        <v>30</v>
      </c>
      <c r="I155" s="13">
        <v>0</v>
      </c>
      <c r="J155" s="1" t="s">
        <v>2041</v>
      </c>
      <c r="K155" s="1" t="s">
        <v>2025</v>
      </c>
      <c r="L155" s="1" t="str">
        <f>VLOOKUP(Advices[[#This Row],[LC Number]],'Combine_List'!A:D,2,0)</f>
        <v>Metten Al-Arabia Ltd Co (METARA)</v>
      </c>
      <c r="M155" s="447" t="str">
        <f>VLOOKUP(Advices[[#This Row],[LC Number]],'Combine_List'!A:D,3,0)</f>
        <v>MBL</v>
      </c>
      <c r="N155" s="447" t="str">
        <f>VLOOKUP(Advices[[#This Row],[LC Number]],'Combine_List'!A:D,4,0)</f>
        <v>RCRC</v>
      </c>
      <c r="O155" s="447">
        <f>VLOOKUP(Advices[[#This Row],[LC Number]],'Combine_List'!A:E,5,0)</f>
        <v>1020106</v>
      </c>
      <c r="P155" s="447">
        <f>MONTH(Advices[[#This Row],[Transaction Date]])</f>
        <v>10</v>
      </c>
      <c r="Q155" s="447">
        <f>YEAR(Advices[[#This Row],[Transaction Date]])</f>
        <v>2025</v>
      </c>
      <c r="R155" s="1"/>
    </row>
    <row r="156" spans="1:18" hidden="1" x14ac:dyDescent="0.25">
      <c r="A156" s="1" t="s">
        <v>612</v>
      </c>
      <c r="B156" s="178">
        <v>45936</v>
      </c>
      <c r="C156" s="1" t="s">
        <v>2101</v>
      </c>
      <c r="D156" s="1" t="s">
        <v>2121</v>
      </c>
      <c r="E156" s="1" t="s">
        <v>1447</v>
      </c>
      <c r="F156" s="1" t="s">
        <v>2041</v>
      </c>
      <c r="G156" s="1" t="s">
        <v>26</v>
      </c>
      <c r="H156" s="13">
        <v>100</v>
      </c>
      <c r="I156" s="13">
        <v>0</v>
      </c>
      <c r="J156" s="1" t="s">
        <v>2041</v>
      </c>
      <c r="K156" s="1" t="s">
        <v>2025</v>
      </c>
      <c r="L156" s="1" t="str">
        <f>VLOOKUP(Advices[[#This Row],[LC Number]],'Combine_List'!A:D,2,0)</f>
        <v>Metal and Glass Trading Co</v>
      </c>
      <c r="M156" s="447" t="str">
        <f>VLOOKUP(Advices[[#This Row],[LC Number]],'Combine_List'!A:D,3,0)</f>
        <v>FIRST FIX</v>
      </c>
      <c r="N156" s="447" t="str">
        <f>VLOOKUP(Advices[[#This Row],[LC Number]],'Combine_List'!A:D,4,0)</f>
        <v>RCRC</v>
      </c>
      <c r="O156" s="447">
        <f>VLOOKUP(Advices[[#This Row],[LC Number]],'Combine_List'!A:E,5,0)</f>
        <v>1020106</v>
      </c>
      <c r="P156" s="447">
        <f>MONTH(Advices[[#This Row],[Transaction Date]])</f>
        <v>10</v>
      </c>
      <c r="Q156" s="447">
        <f>YEAR(Advices[[#This Row],[Transaction Date]])</f>
        <v>2025</v>
      </c>
      <c r="R156" s="1"/>
    </row>
    <row r="157" spans="1:18" hidden="1" x14ac:dyDescent="0.25">
      <c r="A157" s="1" t="s">
        <v>612</v>
      </c>
      <c r="B157" s="178">
        <v>45936</v>
      </c>
      <c r="C157" s="1" t="s">
        <v>2101</v>
      </c>
      <c r="D157" s="1" t="s">
        <v>2122</v>
      </c>
      <c r="E157" s="1" t="s">
        <v>1447</v>
      </c>
      <c r="F157" s="1" t="s">
        <v>2041</v>
      </c>
      <c r="G157" s="1" t="s">
        <v>26</v>
      </c>
      <c r="H157" s="13">
        <v>15</v>
      </c>
      <c r="I157" s="13">
        <v>0</v>
      </c>
      <c r="J157" s="1" t="s">
        <v>2041</v>
      </c>
      <c r="K157" s="1" t="s">
        <v>2025</v>
      </c>
      <c r="L157" s="1" t="str">
        <f>VLOOKUP(Advices[[#This Row],[LC Number]],'Combine_List'!A:D,2,0)</f>
        <v>Metal and Glass Trading Co</v>
      </c>
      <c r="M157" s="447" t="str">
        <f>VLOOKUP(Advices[[#This Row],[LC Number]],'Combine_List'!A:D,3,0)</f>
        <v>FIRST FIX</v>
      </c>
      <c r="N157" s="447" t="str">
        <f>VLOOKUP(Advices[[#This Row],[LC Number]],'Combine_List'!A:D,4,0)</f>
        <v>RCRC</v>
      </c>
      <c r="O157" s="447">
        <f>VLOOKUP(Advices[[#This Row],[LC Number]],'Combine_List'!A:E,5,0)</f>
        <v>1020106</v>
      </c>
      <c r="P157" s="447">
        <f>MONTH(Advices[[#This Row],[Transaction Date]])</f>
        <v>10</v>
      </c>
      <c r="Q157" s="447">
        <f>YEAR(Advices[[#This Row],[Transaction Date]])</f>
        <v>2025</v>
      </c>
      <c r="R157" s="1"/>
    </row>
    <row r="158" spans="1:18" hidden="1" x14ac:dyDescent="0.25">
      <c r="A158" s="1" t="s">
        <v>612</v>
      </c>
      <c r="B158" s="178">
        <v>45936</v>
      </c>
      <c r="C158" s="1" t="s">
        <v>2101</v>
      </c>
      <c r="D158" s="1" t="s">
        <v>2123</v>
      </c>
      <c r="E158" s="1" t="s">
        <v>1447</v>
      </c>
      <c r="F158" s="1" t="s">
        <v>2041</v>
      </c>
      <c r="G158" s="1" t="s">
        <v>26</v>
      </c>
      <c r="H158" s="13">
        <v>706</v>
      </c>
      <c r="I158" s="13">
        <v>0</v>
      </c>
      <c r="J158" s="1" t="s">
        <v>2041</v>
      </c>
      <c r="K158" s="1" t="s">
        <v>2025</v>
      </c>
      <c r="L158" s="1" t="str">
        <f>VLOOKUP(Advices[[#This Row],[LC Number]],'Combine_List'!A:D,2,0)</f>
        <v>Metal and Glass Trading Co</v>
      </c>
      <c r="M158" s="447" t="str">
        <f>VLOOKUP(Advices[[#This Row],[LC Number]],'Combine_List'!A:D,3,0)</f>
        <v>FIRST FIX</v>
      </c>
      <c r="N158" s="447" t="str">
        <f>VLOOKUP(Advices[[#This Row],[LC Number]],'Combine_List'!A:D,4,0)</f>
        <v>RCRC</v>
      </c>
      <c r="O158" s="447">
        <f>VLOOKUP(Advices[[#This Row],[LC Number]],'Combine_List'!A:E,5,0)</f>
        <v>1020106</v>
      </c>
      <c r="P158" s="447">
        <f>MONTH(Advices[[#This Row],[Transaction Date]])</f>
        <v>10</v>
      </c>
      <c r="Q158" s="447">
        <f>YEAR(Advices[[#This Row],[Transaction Date]])</f>
        <v>2025</v>
      </c>
      <c r="R158" s="1"/>
    </row>
    <row r="159" spans="1:18" hidden="1" x14ac:dyDescent="0.25">
      <c r="A159" s="1" t="s">
        <v>612</v>
      </c>
      <c r="B159" s="178">
        <v>45936</v>
      </c>
      <c r="C159" s="1" t="s">
        <v>2101</v>
      </c>
      <c r="D159" s="1" t="s">
        <v>2124</v>
      </c>
      <c r="E159" s="1" t="s">
        <v>1447</v>
      </c>
      <c r="F159" s="1" t="s">
        <v>2041</v>
      </c>
      <c r="G159" s="1" t="s">
        <v>26</v>
      </c>
      <c r="H159" s="13">
        <v>105.9</v>
      </c>
      <c r="I159" s="13">
        <v>0</v>
      </c>
      <c r="J159" s="1" t="s">
        <v>2041</v>
      </c>
      <c r="K159" s="1" t="s">
        <v>2025</v>
      </c>
      <c r="L159" s="1" t="str">
        <f>VLOOKUP(Advices[[#This Row],[LC Number]],'Combine_List'!A:D,2,0)</f>
        <v>Metal and Glass Trading Co</v>
      </c>
      <c r="M159" s="447" t="str">
        <f>VLOOKUP(Advices[[#This Row],[LC Number]],'Combine_List'!A:D,3,0)</f>
        <v>FIRST FIX</v>
      </c>
      <c r="N159" s="447" t="str">
        <f>VLOOKUP(Advices[[#This Row],[LC Number]],'Combine_List'!A:D,4,0)</f>
        <v>RCRC</v>
      </c>
      <c r="O159" s="447">
        <f>VLOOKUP(Advices[[#This Row],[LC Number]],'Combine_List'!A:E,5,0)</f>
        <v>1020106</v>
      </c>
      <c r="P159" s="447">
        <f>MONTH(Advices[[#This Row],[Transaction Date]])</f>
        <v>10</v>
      </c>
      <c r="Q159" s="447">
        <f>YEAR(Advices[[#This Row],[Transaction Date]])</f>
        <v>2025</v>
      </c>
      <c r="R159" s="1"/>
    </row>
    <row r="160" spans="1:18" hidden="1" x14ac:dyDescent="0.25">
      <c r="A160" s="1" t="s">
        <v>612</v>
      </c>
      <c r="B160" s="178">
        <v>45936</v>
      </c>
      <c r="C160" s="1" t="s">
        <v>2101</v>
      </c>
      <c r="D160" s="1" t="s">
        <v>2125</v>
      </c>
      <c r="E160" s="1" t="s">
        <v>1447</v>
      </c>
      <c r="F160" s="1" t="s">
        <v>2041</v>
      </c>
      <c r="G160" s="1" t="s">
        <v>26</v>
      </c>
      <c r="H160" s="13">
        <v>200</v>
      </c>
      <c r="I160" s="13">
        <v>0</v>
      </c>
      <c r="J160" s="1" t="s">
        <v>2041</v>
      </c>
      <c r="K160" s="1" t="s">
        <v>2025</v>
      </c>
      <c r="L160" s="1" t="str">
        <f>VLOOKUP(Advices[[#This Row],[LC Number]],'Combine_List'!A:D,2,0)</f>
        <v>Metal and Glass Trading Co</v>
      </c>
      <c r="M160" s="447" t="str">
        <f>VLOOKUP(Advices[[#This Row],[LC Number]],'Combine_List'!A:D,3,0)</f>
        <v>FIRST FIX</v>
      </c>
      <c r="N160" s="447" t="str">
        <f>VLOOKUP(Advices[[#This Row],[LC Number]],'Combine_List'!A:D,4,0)</f>
        <v>RCRC</v>
      </c>
      <c r="O160" s="447">
        <f>VLOOKUP(Advices[[#This Row],[LC Number]],'Combine_List'!A:E,5,0)</f>
        <v>1020106</v>
      </c>
      <c r="P160" s="447">
        <f>MONTH(Advices[[#This Row],[Transaction Date]])</f>
        <v>10</v>
      </c>
      <c r="Q160" s="447">
        <f>YEAR(Advices[[#This Row],[Transaction Date]])</f>
        <v>2025</v>
      </c>
      <c r="R160" s="1"/>
    </row>
    <row r="161" spans="1:18" hidden="1" x14ac:dyDescent="0.25">
      <c r="A161" s="1" t="s">
        <v>612</v>
      </c>
      <c r="B161" s="178">
        <v>45936</v>
      </c>
      <c r="C161" s="1" t="s">
        <v>2101</v>
      </c>
      <c r="D161" s="1" t="s">
        <v>2126</v>
      </c>
      <c r="E161" s="1" t="s">
        <v>1447</v>
      </c>
      <c r="F161" s="1" t="s">
        <v>2041</v>
      </c>
      <c r="G161" s="1" t="s">
        <v>26</v>
      </c>
      <c r="H161" s="13">
        <v>30</v>
      </c>
      <c r="I161" s="13">
        <v>0</v>
      </c>
      <c r="J161" s="1" t="s">
        <v>2041</v>
      </c>
      <c r="K161" s="1" t="s">
        <v>2025</v>
      </c>
      <c r="L161" s="1" t="str">
        <f>VLOOKUP(Advices[[#This Row],[LC Number]],'Combine_List'!A:D,2,0)</f>
        <v>Metal and Glass Trading Co</v>
      </c>
      <c r="M161" s="447" t="str">
        <f>VLOOKUP(Advices[[#This Row],[LC Number]],'Combine_List'!A:D,3,0)</f>
        <v>FIRST FIX</v>
      </c>
      <c r="N161" s="447" t="str">
        <f>VLOOKUP(Advices[[#This Row],[LC Number]],'Combine_List'!A:D,4,0)</f>
        <v>RCRC</v>
      </c>
      <c r="O161" s="447">
        <f>VLOOKUP(Advices[[#This Row],[LC Number]],'Combine_List'!A:E,5,0)</f>
        <v>1020106</v>
      </c>
      <c r="P161" s="447">
        <f>MONTH(Advices[[#This Row],[Transaction Date]])</f>
        <v>10</v>
      </c>
      <c r="Q161" s="447">
        <f>YEAR(Advices[[#This Row],[Transaction Date]])</f>
        <v>2025</v>
      </c>
      <c r="R161" s="1"/>
    </row>
    <row r="162" spans="1:18" hidden="1" x14ac:dyDescent="0.25">
      <c r="A162" s="1" t="s">
        <v>612</v>
      </c>
      <c r="B162" s="178">
        <v>45936</v>
      </c>
      <c r="C162" s="1" t="s">
        <v>2101</v>
      </c>
      <c r="D162" s="1" t="s">
        <v>2127</v>
      </c>
      <c r="E162" s="1" t="s">
        <v>722</v>
      </c>
      <c r="F162" s="1" t="s">
        <v>2041</v>
      </c>
      <c r="G162" s="1" t="s">
        <v>26</v>
      </c>
      <c r="H162" s="13">
        <v>1619.43</v>
      </c>
      <c r="I162" s="13">
        <v>0</v>
      </c>
      <c r="J162" s="1" t="s">
        <v>2041</v>
      </c>
      <c r="K162" s="1" t="s">
        <v>2025</v>
      </c>
      <c r="L162" s="1" t="str">
        <f>VLOOKUP(Advices[[#This Row],[LC Number]],'Combine_List'!A:D,2,0)</f>
        <v>Saudi Hepco Co. Ltd</v>
      </c>
      <c r="M162" s="447" t="str">
        <f>VLOOKUP(Advices[[#This Row],[LC Number]],'Combine_List'!A:D,3,0)</f>
        <v>FIRST FIX</v>
      </c>
      <c r="N162" s="447" t="str">
        <f>VLOOKUP(Advices[[#This Row],[LC Number]],'Combine_List'!A:D,4,0)</f>
        <v>RCRC</v>
      </c>
      <c r="O162" s="447">
        <f>VLOOKUP(Advices[[#This Row],[LC Number]],'Combine_List'!A:E,5,0)</f>
        <v>1020106</v>
      </c>
      <c r="P162" s="447">
        <f>MONTH(Advices[[#This Row],[Transaction Date]])</f>
        <v>10</v>
      </c>
      <c r="Q162" s="447">
        <f>YEAR(Advices[[#This Row],[Transaction Date]])</f>
        <v>2025</v>
      </c>
      <c r="R162" s="1"/>
    </row>
    <row r="163" spans="1:18" hidden="1" x14ac:dyDescent="0.25">
      <c r="A163" s="1" t="s">
        <v>612</v>
      </c>
      <c r="B163" s="178">
        <v>45936</v>
      </c>
      <c r="C163" s="1" t="s">
        <v>2101</v>
      </c>
      <c r="D163" s="1" t="s">
        <v>2128</v>
      </c>
      <c r="E163" s="1" t="s">
        <v>722</v>
      </c>
      <c r="F163" s="1" t="s">
        <v>2041</v>
      </c>
      <c r="G163" s="1" t="s">
        <v>26</v>
      </c>
      <c r="H163" s="13">
        <v>242.91</v>
      </c>
      <c r="I163" s="13">
        <v>0</v>
      </c>
      <c r="J163" s="1" t="s">
        <v>2041</v>
      </c>
      <c r="K163" s="1" t="s">
        <v>2025</v>
      </c>
      <c r="L163" s="1" t="str">
        <f>VLOOKUP(Advices[[#This Row],[LC Number]],'Combine_List'!A:D,2,0)</f>
        <v>Saudi Hepco Co. Ltd</v>
      </c>
      <c r="M163" s="447" t="str">
        <f>VLOOKUP(Advices[[#This Row],[LC Number]],'Combine_List'!A:D,3,0)</f>
        <v>FIRST FIX</v>
      </c>
      <c r="N163" s="447" t="str">
        <f>VLOOKUP(Advices[[#This Row],[LC Number]],'Combine_List'!A:D,4,0)</f>
        <v>RCRC</v>
      </c>
      <c r="O163" s="447">
        <f>VLOOKUP(Advices[[#This Row],[LC Number]],'Combine_List'!A:E,5,0)</f>
        <v>1020106</v>
      </c>
      <c r="P163" s="447">
        <f>MONTH(Advices[[#This Row],[Transaction Date]])</f>
        <v>10</v>
      </c>
      <c r="Q163" s="447">
        <f>YEAR(Advices[[#This Row],[Transaction Date]])</f>
        <v>2025</v>
      </c>
      <c r="R163" s="1"/>
    </row>
    <row r="164" spans="1:18" hidden="1" x14ac:dyDescent="0.25">
      <c r="A164" s="1" t="s">
        <v>612</v>
      </c>
      <c r="B164" s="178">
        <v>45936</v>
      </c>
      <c r="C164" s="1" t="s">
        <v>2101</v>
      </c>
      <c r="D164" s="1" t="s">
        <v>2129</v>
      </c>
      <c r="E164" s="1" t="s">
        <v>722</v>
      </c>
      <c r="F164" s="1" t="s">
        <v>2041</v>
      </c>
      <c r="G164" s="1" t="s">
        <v>26</v>
      </c>
      <c r="H164" s="13">
        <v>400</v>
      </c>
      <c r="I164" s="13">
        <v>0</v>
      </c>
      <c r="J164" s="1" t="s">
        <v>2041</v>
      </c>
      <c r="K164" s="1" t="s">
        <v>2025</v>
      </c>
      <c r="L164" s="1" t="str">
        <f>VLOOKUP(Advices[[#This Row],[LC Number]],'Combine_List'!A:D,2,0)</f>
        <v>Saudi Hepco Co. Ltd</v>
      </c>
      <c r="M164" s="447" t="str">
        <f>VLOOKUP(Advices[[#This Row],[LC Number]],'Combine_List'!A:D,3,0)</f>
        <v>FIRST FIX</v>
      </c>
      <c r="N164" s="447" t="str">
        <f>VLOOKUP(Advices[[#This Row],[LC Number]],'Combine_List'!A:D,4,0)</f>
        <v>RCRC</v>
      </c>
      <c r="O164" s="447">
        <f>VLOOKUP(Advices[[#This Row],[LC Number]],'Combine_List'!A:E,5,0)</f>
        <v>1020106</v>
      </c>
      <c r="P164" s="447">
        <f>MONTH(Advices[[#This Row],[Transaction Date]])</f>
        <v>10</v>
      </c>
      <c r="Q164" s="447">
        <f>YEAR(Advices[[#This Row],[Transaction Date]])</f>
        <v>2025</v>
      </c>
      <c r="R164" s="1"/>
    </row>
    <row r="165" spans="1:18" hidden="1" x14ac:dyDescent="0.25">
      <c r="A165" s="1" t="s">
        <v>612</v>
      </c>
      <c r="B165" s="178">
        <v>45936</v>
      </c>
      <c r="C165" s="1" t="s">
        <v>2101</v>
      </c>
      <c r="D165" s="1" t="s">
        <v>2130</v>
      </c>
      <c r="E165" s="1" t="s">
        <v>722</v>
      </c>
      <c r="F165" s="1" t="s">
        <v>2041</v>
      </c>
      <c r="G165" s="1" t="s">
        <v>26</v>
      </c>
      <c r="H165" s="13">
        <v>60</v>
      </c>
      <c r="I165" s="13">
        <v>0</v>
      </c>
      <c r="J165" s="1" t="s">
        <v>2041</v>
      </c>
      <c r="K165" s="1" t="s">
        <v>2025</v>
      </c>
      <c r="L165" s="1" t="str">
        <f>VLOOKUP(Advices[[#This Row],[LC Number]],'Combine_List'!A:D,2,0)</f>
        <v>Saudi Hepco Co. Ltd</v>
      </c>
      <c r="M165" s="447" t="str">
        <f>VLOOKUP(Advices[[#This Row],[LC Number]],'Combine_List'!A:D,3,0)</f>
        <v>FIRST FIX</v>
      </c>
      <c r="N165" s="447" t="str">
        <f>VLOOKUP(Advices[[#This Row],[LC Number]],'Combine_List'!A:D,4,0)</f>
        <v>RCRC</v>
      </c>
      <c r="O165" s="447">
        <f>VLOOKUP(Advices[[#This Row],[LC Number]],'Combine_List'!A:E,5,0)</f>
        <v>1020106</v>
      </c>
      <c r="P165" s="447">
        <f>MONTH(Advices[[#This Row],[Transaction Date]])</f>
        <v>10</v>
      </c>
      <c r="Q165" s="447">
        <f>YEAR(Advices[[#This Row],[Transaction Date]])</f>
        <v>2025</v>
      </c>
      <c r="R165" s="1"/>
    </row>
    <row r="166" spans="1:18" hidden="1" x14ac:dyDescent="0.25">
      <c r="A166" s="1" t="s">
        <v>612</v>
      </c>
      <c r="B166" s="178">
        <v>45936</v>
      </c>
      <c r="C166" s="1" t="s">
        <v>2101</v>
      </c>
      <c r="D166" s="1" t="s">
        <v>2131</v>
      </c>
      <c r="E166" s="1" t="s">
        <v>1566</v>
      </c>
      <c r="F166" s="1" t="s">
        <v>2041</v>
      </c>
      <c r="G166" s="1" t="s">
        <v>26</v>
      </c>
      <c r="H166" s="13">
        <v>500</v>
      </c>
      <c r="I166" s="13">
        <v>0</v>
      </c>
      <c r="J166" s="1" t="s">
        <v>2041</v>
      </c>
      <c r="K166" s="1" t="s">
        <v>2025</v>
      </c>
      <c r="L166" s="1" t="str">
        <f>VLOOKUP(Advices[[#This Row],[LC Number]],'Combine_List'!A:D,2,0)</f>
        <v>Alpha Limit Trading and Contracting Company</v>
      </c>
      <c r="M166" s="447" t="str">
        <f>VLOOKUP(Advices[[#This Row],[LC Number]],'Combine_List'!A:D,3,0)</f>
        <v>FIRST FIX</v>
      </c>
      <c r="N166" s="447" t="str">
        <f>VLOOKUP(Advices[[#This Row],[LC Number]],'Combine_List'!A:D,4,0)</f>
        <v>RCRC</v>
      </c>
      <c r="O166" s="447">
        <f>VLOOKUP(Advices[[#This Row],[LC Number]],'Combine_List'!A:E,5,0)</f>
        <v>1020106</v>
      </c>
      <c r="P166" s="447">
        <f>MONTH(Advices[[#This Row],[Transaction Date]])</f>
        <v>10</v>
      </c>
      <c r="Q166" s="447">
        <f>YEAR(Advices[[#This Row],[Transaction Date]])</f>
        <v>2025</v>
      </c>
      <c r="R166" s="1"/>
    </row>
    <row r="167" spans="1:18" hidden="1" x14ac:dyDescent="0.25">
      <c r="A167" s="1" t="s">
        <v>612</v>
      </c>
      <c r="B167" s="178">
        <v>45936</v>
      </c>
      <c r="C167" s="1" t="s">
        <v>2101</v>
      </c>
      <c r="D167" s="1" t="s">
        <v>2132</v>
      </c>
      <c r="E167" s="1" t="s">
        <v>1566</v>
      </c>
      <c r="F167" s="1" t="s">
        <v>2041</v>
      </c>
      <c r="G167" s="1" t="s">
        <v>26</v>
      </c>
      <c r="H167" s="13">
        <v>75</v>
      </c>
      <c r="I167" s="13">
        <v>0</v>
      </c>
      <c r="J167" s="1" t="s">
        <v>2041</v>
      </c>
      <c r="K167" s="1" t="s">
        <v>2025</v>
      </c>
      <c r="L167" s="1" t="str">
        <f>VLOOKUP(Advices[[#This Row],[LC Number]],'Combine_List'!A:D,2,0)</f>
        <v>Alpha Limit Trading and Contracting Company</v>
      </c>
      <c r="M167" s="447" t="str">
        <f>VLOOKUP(Advices[[#This Row],[LC Number]],'Combine_List'!A:D,3,0)</f>
        <v>FIRST FIX</v>
      </c>
      <c r="N167" s="447" t="str">
        <f>VLOOKUP(Advices[[#This Row],[LC Number]],'Combine_List'!A:D,4,0)</f>
        <v>RCRC</v>
      </c>
      <c r="O167" s="447">
        <f>VLOOKUP(Advices[[#This Row],[LC Number]],'Combine_List'!A:E,5,0)</f>
        <v>1020106</v>
      </c>
      <c r="P167" s="447">
        <f>MONTH(Advices[[#This Row],[Transaction Date]])</f>
        <v>10</v>
      </c>
      <c r="Q167" s="447">
        <f>YEAR(Advices[[#This Row],[Transaction Date]])</f>
        <v>2025</v>
      </c>
      <c r="R167" s="1"/>
    </row>
    <row r="168" spans="1:18" hidden="1" x14ac:dyDescent="0.25">
      <c r="A168" s="1" t="s">
        <v>612</v>
      </c>
      <c r="B168" s="178">
        <v>45936</v>
      </c>
      <c r="C168" s="1" t="s">
        <v>2101</v>
      </c>
      <c r="D168" s="1" t="s">
        <v>2133</v>
      </c>
      <c r="E168" s="1" t="s">
        <v>1566</v>
      </c>
      <c r="F168" s="1" t="s">
        <v>2041</v>
      </c>
      <c r="G168" s="1" t="s">
        <v>26</v>
      </c>
      <c r="H168" s="13">
        <v>400</v>
      </c>
      <c r="I168" s="13">
        <v>0</v>
      </c>
      <c r="J168" s="1" t="s">
        <v>2041</v>
      </c>
      <c r="K168" s="1" t="s">
        <v>2025</v>
      </c>
      <c r="L168" s="1" t="str">
        <f>VLOOKUP(Advices[[#This Row],[LC Number]],'Combine_List'!A:D,2,0)</f>
        <v>Alpha Limit Trading and Contracting Company</v>
      </c>
      <c r="M168" s="447" t="str">
        <f>VLOOKUP(Advices[[#This Row],[LC Number]],'Combine_List'!A:D,3,0)</f>
        <v>FIRST FIX</v>
      </c>
      <c r="N168" s="447" t="str">
        <f>VLOOKUP(Advices[[#This Row],[LC Number]],'Combine_List'!A:D,4,0)</f>
        <v>RCRC</v>
      </c>
      <c r="O168" s="447">
        <f>VLOOKUP(Advices[[#This Row],[LC Number]],'Combine_List'!A:E,5,0)</f>
        <v>1020106</v>
      </c>
      <c r="P168" s="447">
        <f>MONTH(Advices[[#This Row],[Transaction Date]])</f>
        <v>10</v>
      </c>
      <c r="Q168" s="447">
        <f>YEAR(Advices[[#This Row],[Transaction Date]])</f>
        <v>2025</v>
      </c>
      <c r="R168" s="1"/>
    </row>
    <row r="169" spans="1:18" hidden="1" x14ac:dyDescent="0.25">
      <c r="A169" s="1" t="s">
        <v>612</v>
      </c>
      <c r="B169" s="178">
        <v>45936</v>
      </c>
      <c r="C169" s="1" t="s">
        <v>2101</v>
      </c>
      <c r="D169" s="1" t="s">
        <v>2134</v>
      </c>
      <c r="E169" s="1" t="s">
        <v>1566</v>
      </c>
      <c r="F169" s="1" t="s">
        <v>2041</v>
      </c>
      <c r="G169" s="1" t="s">
        <v>26</v>
      </c>
      <c r="H169" s="13">
        <v>60</v>
      </c>
      <c r="I169" s="13">
        <v>0</v>
      </c>
      <c r="J169" s="1" t="s">
        <v>2041</v>
      </c>
      <c r="K169" s="1" t="s">
        <v>2025</v>
      </c>
      <c r="L169" s="1" t="str">
        <f>VLOOKUP(Advices[[#This Row],[LC Number]],'Combine_List'!A:D,2,0)</f>
        <v>Alpha Limit Trading and Contracting Company</v>
      </c>
      <c r="M169" s="447" t="str">
        <f>VLOOKUP(Advices[[#This Row],[LC Number]],'Combine_List'!A:D,3,0)</f>
        <v>FIRST FIX</v>
      </c>
      <c r="N169" s="447" t="str">
        <f>VLOOKUP(Advices[[#This Row],[LC Number]],'Combine_List'!A:D,4,0)</f>
        <v>RCRC</v>
      </c>
      <c r="O169" s="447">
        <f>VLOOKUP(Advices[[#This Row],[LC Number]],'Combine_List'!A:E,5,0)</f>
        <v>1020106</v>
      </c>
      <c r="P169" s="447">
        <f>MONTH(Advices[[#This Row],[Transaction Date]])</f>
        <v>10</v>
      </c>
      <c r="Q169" s="447">
        <f>YEAR(Advices[[#This Row],[Transaction Date]])</f>
        <v>2025</v>
      </c>
      <c r="R169" s="1"/>
    </row>
    <row r="170" spans="1:18" hidden="1" x14ac:dyDescent="0.25">
      <c r="A170" s="1" t="s">
        <v>612</v>
      </c>
      <c r="B170" s="178">
        <v>45936</v>
      </c>
      <c r="C170" s="1" t="s">
        <v>2101</v>
      </c>
      <c r="D170" s="1" t="s">
        <v>2135</v>
      </c>
      <c r="E170" s="1" t="s">
        <v>721</v>
      </c>
      <c r="F170" s="1" t="s">
        <v>2041</v>
      </c>
      <c r="G170" s="1" t="s">
        <v>26</v>
      </c>
      <c r="H170" s="13">
        <v>3368.49</v>
      </c>
      <c r="I170" s="13">
        <v>0</v>
      </c>
      <c r="J170" s="1" t="s">
        <v>2041</v>
      </c>
      <c r="K170" s="1" t="s">
        <v>2025</v>
      </c>
      <c r="L170" s="1" t="str">
        <f>VLOOKUP(Advices[[#This Row],[LC Number]],'Combine_List'!A:D,2,0)</f>
        <v>ALFANAR ELECTRICAL SYSTEMS</v>
      </c>
      <c r="M170" s="447" t="str">
        <f>VLOOKUP(Advices[[#This Row],[LC Number]],'Combine_List'!A:D,3,0)</f>
        <v>FIRST FIX</v>
      </c>
      <c r="N170" s="447" t="str">
        <f>VLOOKUP(Advices[[#This Row],[LC Number]],'Combine_List'!A:D,4,0)</f>
        <v>RCRC</v>
      </c>
      <c r="O170" s="447">
        <f>VLOOKUP(Advices[[#This Row],[LC Number]],'Combine_List'!A:E,5,0)</f>
        <v>1020106</v>
      </c>
      <c r="P170" s="447">
        <f>MONTH(Advices[[#This Row],[Transaction Date]])</f>
        <v>10</v>
      </c>
      <c r="Q170" s="447">
        <f>YEAR(Advices[[#This Row],[Transaction Date]])</f>
        <v>2025</v>
      </c>
      <c r="R170" s="1"/>
    </row>
    <row r="171" spans="1:18" hidden="1" x14ac:dyDescent="0.25">
      <c r="A171" s="1" t="s">
        <v>612</v>
      </c>
      <c r="B171" s="178">
        <v>45936</v>
      </c>
      <c r="C171" s="1" t="s">
        <v>2101</v>
      </c>
      <c r="D171" s="1" t="s">
        <v>2136</v>
      </c>
      <c r="E171" s="1" t="s">
        <v>721</v>
      </c>
      <c r="F171" s="1" t="s">
        <v>2041</v>
      </c>
      <c r="G171" s="1" t="s">
        <v>26</v>
      </c>
      <c r="H171" s="13">
        <v>505.27</v>
      </c>
      <c r="I171" s="13">
        <v>0</v>
      </c>
      <c r="J171" s="1" t="s">
        <v>2041</v>
      </c>
      <c r="K171" s="1" t="s">
        <v>2025</v>
      </c>
      <c r="L171" s="1" t="str">
        <f>VLOOKUP(Advices[[#This Row],[LC Number]],'Combine_List'!A:D,2,0)</f>
        <v>ALFANAR ELECTRICAL SYSTEMS</v>
      </c>
      <c r="M171" s="447" t="str">
        <f>VLOOKUP(Advices[[#This Row],[LC Number]],'Combine_List'!A:D,3,0)</f>
        <v>FIRST FIX</v>
      </c>
      <c r="N171" s="447" t="str">
        <f>VLOOKUP(Advices[[#This Row],[LC Number]],'Combine_List'!A:D,4,0)</f>
        <v>RCRC</v>
      </c>
      <c r="O171" s="447">
        <f>VLOOKUP(Advices[[#This Row],[LC Number]],'Combine_List'!A:E,5,0)</f>
        <v>1020106</v>
      </c>
      <c r="P171" s="447">
        <f>MONTH(Advices[[#This Row],[Transaction Date]])</f>
        <v>10</v>
      </c>
      <c r="Q171" s="447">
        <f>YEAR(Advices[[#This Row],[Transaction Date]])</f>
        <v>2025</v>
      </c>
      <c r="R171" s="1"/>
    </row>
    <row r="172" spans="1:18" hidden="1" x14ac:dyDescent="0.25">
      <c r="A172" s="1" t="s">
        <v>612</v>
      </c>
      <c r="B172" s="178">
        <v>45936</v>
      </c>
      <c r="C172" s="1" t="s">
        <v>2101</v>
      </c>
      <c r="D172" s="1" t="s">
        <v>2137</v>
      </c>
      <c r="E172" s="1" t="s">
        <v>721</v>
      </c>
      <c r="F172" s="1" t="s">
        <v>2041</v>
      </c>
      <c r="G172" s="1" t="s">
        <v>26</v>
      </c>
      <c r="H172" s="13">
        <v>400</v>
      </c>
      <c r="I172" s="13">
        <v>0</v>
      </c>
      <c r="J172" s="1" t="s">
        <v>2041</v>
      </c>
      <c r="K172" s="1" t="s">
        <v>2025</v>
      </c>
      <c r="L172" s="1" t="str">
        <f>VLOOKUP(Advices[[#This Row],[LC Number]],'Combine_List'!A:D,2,0)</f>
        <v>ALFANAR ELECTRICAL SYSTEMS</v>
      </c>
      <c r="M172" s="447" t="str">
        <f>VLOOKUP(Advices[[#This Row],[LC Number]],'Combine_List'!A:D,3,0)</f>
        <v>FIRST FIX</v>
      </c>
      <c r="N172" s="447" t="str">
        <f>VLOOKUP(Advices[[#This Row],[LC Number]],'Combine_List'!A:D,4,0)</f>
        <v>RCRC</v>
      </c>
      <c r="O172" s="447">
        <f>VLOOKUP(Advices[[#This Row],[LC Number]],'Combine_List'!A:E,5,0)</f>
        <v>1020106</v>
      </c>
      <c r="P172" s="447">
        <f>MONTH(Advices[[#This Row],[Transaction Date]])</f>
        <v>10</v>
      </c>
      <c r="Q172" s="447">
        <f>YEAR(Advices[[#This Row],[Transaction Date]])</f>
        <v>2025</v>
      </c>
      <c r="R172" s="1"/>
    </row>
    <row r="173" spans="1:18" hidden="1" x14ac:dyDescent="0.25">
      <c r="A173" s="1" t="s">
        <v>612</v>
      </c>
      <c r="B173" s="178">
        <v>45936</v>
      </c>
      <c r="C173" s="1" t="s">
        <v>2101</v>
      </c>
      <c r="D173" s="1" t="s">
        <v>2138</v>
      </c>
      <c r="E173" s="1" t="s">
        <v>721</v>
      </c>
      <c r="F173" s="1" t="s">
        <v>2041</v>
      </c>
      <c r="G173" s="1" t="s">
        <v>26</v>
      </c>
      <c r="H173" s="13">
        <v>60</v>
      </c>
      <c r="I173" s="13">
        <v>0</v>
      </c>
      <c r="J173" s="1" t="s">
        <v>2041</v>
      </c>
      <c r="K173" s="1" t="s">
        <v>2025</v>
      </c>
      <c r="L173" s="1" t="str">
        <f>VLOOKUP(Advices[[#This Row],[LC Number]],'Combine_List'!A:D,2,0)</f>
        <v>ALFANAR ELECTRICAL SYSTEMS</v>
      </c>
      <c r="M173" s="447" t="str">
        <f>VLOOKUP(Advices[[#This Row],[LC Number]],'Combine_List'!A:D,3,0)</f>
        <v>FIRST FIX</v>
      </c>
      <c r="N173" s="447" t="str">
        <f>VLOOKUP(Advices[[#This Row],[LC Number]],'Combine_List'!A:D,4,0)</f>
        <v>RCRC</v>
      </c>
      <c r="O173" s="447">
        <f>VLOOKUP(Advices[[#This Row],[LC Number]],'Combine_List'!A:E,5,0)</f>
        <v>1020106</v>
      </c>
      <c r="P173" s="447">
        <f>MONTH(Advices[[#This Row],[Transaction Date]])</f>
        <v>10</v>
      </c>
      <c r="Q173" s="447">
        <f>YEAR(Advices[[#This Row],[Transaction Date]])</f>
        <v>2025</v>
      </c>
      <c r="R173" s="1"/>
    </row>
    <row r="174" spans="1:18" hidden="1" x14ac:dyDescent="0.25">
      <c r="A174" s="1" t="s">
        <v>612</v>
      </c>
      <c r="B174" s="178">
        <v>45936</v>
      </c>
      <c r="C174" s="1" t="s">
        <v>2101</v>
      </c>
      <c r="D174" s="1" t="s">
        <v>2139</v>
      </c>
      <c r="E174" s="1" t="s">
        <v>1560</v>
      </c>
      <c r="F174" s="1" t="s">
        <v>2041</v>
      </c>
      <c r="G174" s="1" t="s">
        <v>26</v>
      </c>
      <c r="H174" s="13">
        <v>500</v>
      </c>
      <c r="I174" s="13">
        <v>0</v>
      </c>
      <c r="J174" s="1" t="s">
        <v>2041</v>
      </c>
      <c r="K174" s="1" t="s">
        <v>2025</v>
      </c>
      <c r="L174" s="1" t="str">
        <f>VLOOKUP(Advices[[#This Row],[LC Number]],'Combine_List'!A:D,2,0)</f>
        <v>Ealla For General Contracting</v>
      </c>
      <c r="M174" s="447" t="str">
        <f>VLOOKUP(Advices[[#This Row],[LC Number]],'Combine_List'!A:D,3,0)</f>
        <v>FIRST FIX</v>
      </c>
      <c r="N174" s="447" t="str">
        <f>VLOOKUP(Advices[[#This Row],[LC Number]],'Combine_List'!A:D,4,0)</f>
        <v>RCRC</v>
      </c>
      <c r="O174" s="447">
        <f>VLOOKUP(Advices[[#This Row],[LC Number]],'Combine_List'!A:E,5,0)</f>
        <v>1020106</v>
      </c>
      <c r="P174" s="447">
        <f>MONTH(Advices[[#This Row],[Transaction Date]])</f>
        <v>10</v>
      </c>
      <c r="Q174" s="447">
        <f>YEAR(Advices[[#This Row],[Transaction Date]])</f>
        <v>2025</v>
      </c>
      <c r="R174" s="1"/>
    </row>
    <row r="175" spans="1:18" hidden="1" x14ac:dyDescent="0.25">
      <c r="A175" s="1" t="s">
        <v>612</v>
      </c>
      <c r="B175" s="178">
        <v>45936</v>
      </c>
      <c r="C175" s="1" t="s">
        <v>2101</v>
      </c>
      <c r="D175" s="1" t="s">
        <v>2140</v>
      </c>
      <c r="E175" s="1" t="s">
        <v>1560</v>
      </c>
      <c r="F175" s="1" t="s">
        <v>2041</v>
      </c>
      <c r="G175" s="1" t="s">
        <v>26</v>
      </c>
      <c r="H175" s="13">
        <v>75</v>
      </c>
      <c r="I175" s="13">
        <v>0</v>
      </c>
      <c r="J175" s="1" t="s">
        <v>2041</v>
      </c>
      <c r="K175" s="1" t="s">
        <v>2025</v>
      </c>
      <c r="L175" s="1" t="str">
        <f>VLOOKUP(Advices[[#This Row],[LC Number]],'Combine_List'!A:D,2,0)</f>
        <v>Ealla For General Contracting</v>
      </c>
      <c r="M175" s="447" t="str">
        <f>VLOOKUP(Advices[[#This Row],[LC Number]],'Combine_List'!A:D,3,0)</f>
        <v>FIRST FIX</v>
      </c>
      <c r="N175" s="447" t="str">
        <f>VLOOKUP(Advices[[#This Row],[LC Number]],'Combine_List'!A:D,4,0)</f>
        <v>RCRC</v>
      </c>
      <c r="O175" s="447">
        <f>VLOOKUP(Advices[[#This Row],[LC Number]],'Combine_List'!A:E,5,0)</f>
        <v>1020106</v>
      </c>
      <c r="P175" s="447">
        <f>MONTH(Advices[[#This Row],[Transaction Date]])</f>
        <v>10</v>
      </c>
      <c r="Q175" s="447">
        <f>YEAR(Advices[[#This Row],[Transaction Date]])</f>
        <v>2025</v>
      </c>
      <c r="R175" s="1"/>
    </row>
    <row r="176" spans="1:18" hidden="1" x14ac:dyDescent="0.25">
      <c r="A176" s="1" t="s">
        <v>612</v>
      </c>
      <c r="B176" s="178">
        <v>45936</v>
      </c>
      <c r="C176" s="1" t="s">
        <v>2101</v>
      </c>
      <c r="D176" s="1" t="s">
        <v>2141</v>
      </c>
      <c r="E176" s="1" t="s">
        <v>1569</v>
      </c>
      <c r="F176" s="1" t="s">
        <v>2041</v>
      </c>
      <c r="G176" s="1" t="s">
        <v>26</v>
      </c>
      <c r="H176" s="13">
        <v>2633.28</v>
      </c>
      <c r="I176" s="13">
        <v>0</v>
      </c>
      <c r="J176" s="1" t="s">
        <v>2041</v>
      </c>
      <c r="K176" s="1" t="s">
        <v>2025</v>
      </c>
      <c r="L176" s="1" t="str">
        <f>VLOOKUP(Advices[[#This Row],[LC Number]],'Combine_List'!A:D,2,0)</f>
        <v>ALFANAR ELECTRICAL SYSTEMS</v>
      </c>
      <c r="M176" s="447" t="str">
        <f>VLOOKUP(Advices[[#This Row],[LC Number]],'Combine_List'!A:D,3,0)</f>
        <v>FIRST FIX</v>
      </c>
      <c r="N176" s="447" t="str">
        <f>VLOOKUP(Advices[[#This Row],[LC Number]],'Combine_List'!A:D,4,0)</f>
        <v>RCRC</v>
      </c>
      <c r="O176" s="447">
        <f>VLOOKUP(Advices[[#This Row],[LC Number]],'Combine_List'!A:E,5,0)</f>
        <v>1020106</v>
      </c>
      <c r="P176" s="447">
        <f>MONTH(Advices[[#This Row],[Transaction Date]])</f>
        <v>10</v>
      </c>
      <c r="Q176" s="447">
        <f>YEAR(Advices[[#This Row],[Transaction Date]])</f>
        <v>2025</v>
      </c>
      <c r="R176" s="1"/>
    </row>
    <row r="177" spans="1:18" hidden="1" x14ac:dyDescent="0.25">
      <c r="A177" s="1" t="s">
        <v>612</v>
      </c>
      <c r="B177" s="178">
        <v>45936</v>
      </c>
      <c r="C177" s="1" t="s">
        <v>2101</v>
      </c>
      <c r="D177" s="1" t="s">
        <v>2142</v>
      </c>
      <c r="E177" s="1" t="s">
        <v>1569</v>
      </c>
      <c r="F177" s="1" t="s">
        <v>2041</v>
      </c>
      <c r="G177" s="1" t="s">
        <v>26</v>
      </c>
      <c r="H177" s="13">
        <v>394.99</v>
      </c>
      <c r="I177" s="13">
        <v>0</v>
      </c>
      <c r="J177" s="1" t="s">
        <v>2041</v>
      </c>
      <c r="K177" s="1" t="s">
        <v>2025</v>
      </c>
      <c r="L177" s="1" t="str">
        <f>VLOOKUP(Advices[[#This Row],[LC Number]],'Combine_List'!A:D,2,0)</f>
        <v>ALFANAR ELECTRICAL SYSTEMS</v>
      </c>
      <c r="M177" s="447" t="str">
        <f>VLOOKUP(Advices[[#This Row],[LC Number]],'Combine_List'!A:D,3,0)</f>
        <v>FIRST FIX</v>
      </c>
      <c r="N177" s="447" t="str">
        <f>VLOOKUP(Advices[[#This Row],[LC Number]],'Combine_List'!A:D,4,0)</f>
        <v>RCRC</v>
      </c>
      <c r="O177" s="447">
        <f>VLOOKUP(Advices[[#This Row],[LC Number]],'Combine_List'!A:E,5,0)</f>
        <v>1020106</v>
      </c>
      <c r="P177" s="447">
        <f>MONTH(Advices[[#This Row],[Transaction Date]])</f>
        <v>10</v>
      </c>
      <c r="Q177" s="447">
        <f>YEAR(Advices[[#This Row],[Transaction Date]])</f>
        <v>2025</v>
      </c>
      <c r="R177" s="1"/>
    </row>
    <row r="178" spans="1:18" hidden="1" x14ac:dyDescent="0.25">
      <c r="A178" s="1" t="s">
        <v>612</v>
      </c>
      <c r="B178" s="178">
        <v>45936</v>
      </c>
      <c r="C178" s="1" t="s">
        <v>2101</v>
      </c>
      <c r="D178" s="1" t="s">
        <v>2143</v>
      </c>
      <c r="E178" s="1" t="s">
        <v>1569</v>
      </c>
      <c r="F178" s="1" t="s">
        <v>2041</v>
      </c>
      <c r="G178" s="1" t="s">
        <v>26</v>
      </c>
      <c r="H178" s="13">
        <v>400</v>
      </c>
      <c r="I178" s="13">
        <v>0</v>
      </c>
      <c r="J178" s="1" t="s">
        <v>2041</v>
      </c>
      <c r="K178" s="1" t="s">
        <v>2025</v>
      </c>
      <c r="L178" s="1" t="str">
        <f>VLOOKUP(Advices[[#This Row],[LC Number]],'Combine_List'!A:D,2,0)</f>
        <v>ALFANAR ELECTRICAL SYSTEMS</v>
      </c>
      <c r="M178" s="447" t="str">
        <f>VLOOKUP(Advices[[#This Row],[LC Number]],'Combine_List'!A:D,3,0)</f>
        <v>FIRST FIX</v>
      </c>
      <c r="N178" s="447" t="str">
        <f>VLOOKUP(Advices[[#This Row],[LC Number]],'Combine_List'!A:D,4,0)</f>
        <v>RCRC</v>
      </c>
      <c r="O178" s="447">
        <f>VLOOKUP(Advices[[#This Row],[LC Number]],'Combine_List'!A:E,5,0)</f>
        <v>1020106</v>
      </c>
      <c r="P178" s="447">
        <f>MONTH(Advices[[#This Row],[Transaction Date]])</f>
        <v>10</v>
      </c>
      <c r="Q178" s="447">
        <f>YEAR(Advices[[#This Row],[Transaction Date]])</f>
        <v>2025</v>
      </c>
      <c r="R178" s="1"/>
    </row>
    <row r="179" spans="1:18" hidden="1" x14ac:dyDescent="0.25">
      <c r="A179" s="1" t="s">
        <v>612</v>
      </c>
      <c r="B179" s="178">
        <v>45936</v>
      </c>
      <c r="C179" s="1" t="s">
        <v>2101</v>
      </c>
      <c r="D179" s="1" t="s">
        <v>2144</v>
      </c>
      <c r="E179" s="1" t="s">
        <v>1569</v>
      </c>
      <c r="F179" s="1" t="s">
        <v>2041</v>
      </c>
      <c r="G179" s="1" t="s">
        <v>26</v>
      </c>
      <c r="H179" s="13">
        <v>60</v>
      </c>
      <c r="I179" s="13">
        <v>0</v>
      </c>
      <c r="J179" s="1" t="s">
        <v>2041</v>
      </c>
      <c r="K179" s="1" t="s">
        <v>2025</v>
      </c>
      <c r="L179" s="1" t="str">
        <f>VLOOKUP(Advices[[#This Row],[LC Number]],'Combine_List'!A:D,2,0)</f>
        <v>ALFANAR ELECTRICAL SYSTEMS</v>
      </c>
      <c r="M179" s="447" t="str">
        <f>VLOOKUP(Advices[[#This Row],[LC Number]],'Combine_List'!A:D,3,0)</f>
        <v>FIRST FIX</v>
      </c>
      <c r="N179" s="447" t="str">
        <f>VLOOKUP(Advices[[#This Row],[LC Number]],'Combine_List'!A:D,4,0)</f>
        <v>RCRC</v>
      </c>
      <c r="O179" s="447">
        <f>VLOOKUP(Advices[[#This Row],[LC Number]],'Combine_List'!A:E,5,0)</f>
        <v>1020106</v>
      </c>
      <c r="P179" s="447">
        <f>MONTH(Advices[[#This Row],[Transaction Date]])</f>
        <v>10</v>
      </c>
      <c r="Q179" s="447">
        <f>YEAR(Advices[[#This Row],[Transaction Date]])</f>
        <v>2025</v>
      </c>
      <c r="R179" s="1"/>
    </row>
    <row r="180" spans="1:18" hidden="1" x14ac:dyDescent="0.25">
      <c r="A180" s="1" t="s">
        <v>612</v>
      </c>
      <c r="B180" s="178">
        <v>45936</v>
      </c>
      <c r="C180" s="1" t="s">
        <v>2101</v>
      </c>
      <c r="D180" s="1" t="s">
        <v>2145</v>
      </c>
      <c r="E180" s="1" t="s">
        <v>1235</v>
      </c>
      <c r="F180" s="1" t="s">
        <v>2041</v>
      </c>
      <c r="G180" s="1" t="s">
        <v>26</v>
      </c>
      <c r="H180" s="13">
        <v>500</v>
      </c>
      <c r="I180" s="13">
        <v>0</v>
      </c>
      <c r="J180" s="1" t="s">
        <v>2041</v>
      </c>
      <c r="K180" s="1" t="s">
        <v>2025</v>
      </c>
      <c r="L180" s="1" t="str">
        <f>VLOOKUP(Advices[[#This Row],[LC Number]],'Combine_List'!A:D,2,0)</f>
        <v>MOHAMMED RAMADAN SHAT FACTORY FOR METAL INDUSTRIES</v>
      </c>
      <c r="M180" s="447" t="str">
        <f>VLOOKUP(Advices[[#This Row],[LC Number]],'Combine_List'!A:D,3,0)</f>
        <v>FIRST FIX</v>
      </c>
      <c r="N180" s="447" t="str">
        <f>VLOOKUP(Advices[[#This Row],[LC Number]],'Combine_List'!A:D,4,0)</f>
        <v>RCRC</v>
      </c>
      <c r="O180" s="447">
        <f>VLOOKUP(Advices[[#This Row],[LC Number]],'Combine_List'!A:E,5,0)</f>
        <v>1020106</v>
      </c>
      <c r="P180" s="447">
        <f>MONTH(Advices[[#This Row],[Transaction Date]])</f>
        <v>10</v>
      </c>
      <c r="Q180" s="447">
        <f>YEAR(Advices[[#This Row],[Transaction Date]])</f>
        <v>2025</v>
      </c>
      <c r="R180" s="1"/>
    </row>
    <row r="181" spans="1:18" hidden="1" x14ac:dyDescent="0.25">
      <c r="A181" s="1" t="s">
        <v>612</v>
      </c>
      <c r="B181" s="178">
        <v>45936</v>
      </c>
      <c r="C181" s="1" t="s">
        <v>2101</v>
      </c>
      <c r="D181" s="1" t="s">
        <v>2146</v>
      </c>
      <c r="E181" s="1" t="s">
        <v>1235</v>
      </c>
      <c r="F181" s="1" t="s">
        <v>2041</v>
      </c>
      <c r="G181" s="1" t="s">
        <v>26</v>
      </c>
      <c r="H181" s="13">
        <v>75</v>
      </c>
      <c r="I181" s="13">
        <v>0</v>
      </c>
      <c r="J181" s="1" t="s">
        <v>2041</v>
      </c>
      <c r="K181" s="1" t="s">
        <v>2025</v>
      </c>
      <c r="L181" s="1" t="str">
        <f>VLOOKUP(Advices[[#This Row],[LC Number]],'Combine_List'!A:D,2,0)</f>
        <v>MOHAMMED RAMADAN SHAT FACTORY FOR METAL INDUSTRIES</v>
      </c>
      <c r="M181" s="447" t="str">
        <f>VLOOKUP(Advices[[#This Row],[LC Number]],'Combine_List'!A:D,3,0)</f>
        <v>FIRST FIX</v>
      </c>
      <c r="N181" s="447" t="str">
        <f>VLOOKUP(Advices[[#This Row],[LC Number]],'Combine_List'!A:D,4,0)</f>
        <v>RCRC</v>
      </c>
      <c r="O181" s="447">
        <f>VLOOKUP(Advices[[#This Row],[LC Number]],'Combine_List'!A:E,5,0)</f>
        <v>1020106</v>
      </c>
      <c r="P181" s="447">
        <f>MONTH(Advices[[#This Row],[Transaction Date]])</f>
        <v>10</v>
      </c>
      <c r="Q181" s="447">
        <f>YEAR(Advices[[#This Row],[Transaction Date]])</f>
        <v>2025</v>
      </c>
      <c r="R181" s="1"/>
    </row>
    <row r="182" spans="1:18" hidden="1" x14ac:dyDescent="0.25">
      <c r="A182" s="1" t="s">
        <v>612</v>
      </c>
      <c r="B182" s="178">
        <v>45936</v>
      </c>
      <c r="C182" s="1" t="s">
        <v>2101</v>
      </c>
      <c r="D182" s="1" t="s">
        <v>2147</v>
      </c>
      <c r="E182" s="1" t="s">
        <v>1235</v>
      </c>
      <c r="F182" s="1" t="s">
        <v>2041</v>
      </c>
      <c r="G182" s="1" t="s">
        <v>26</v>
      </c>
      <c r="H182" s="13">
        <v>400</v>
      </c>
      <c r="I182" s="13">
        <v>0</v>
      </c>
      <c r="J182" s="1" t="s">
        <v>2041</v>
      </c>
      <c r="K182" s="1" t="s">
        <v>2025</v>
      </c>
      <c r="L182" s="1" t="str">
        <f>VLOOKUP(Advices[[#This Row],[LC Number]],'Combine_List'!A:D,2,0)</f>
        <v>MOHAMMED RAMADAN SHAT FACTORY FOR METAL INDUSTRIES</v>
      </c>
      <c r="M182" s="447" t="str">
        <f>VLOOKUP(Advices[[#This Row],[LC Number]],'Combine_List'!A:D,3,0)</f>
        <v>FIRST FIX</v>
      </c>
      <c r="N182" s="447" t="str">
        <f>VLOOKUP(Advices[[#This Row],[LC Number]],'Combine_List'!A:D,4,0)</f>
        <v>RCRC</v>
      </c>
      <c r="O182" s="447">
        <f>VLOOKUP(Advices[[#This Row],[LC Number]],'Combine_List'!A:E,5,0)</f>
        <v>1020106</v>
      </c>
      <c r="P182" s="447">
        <f>MONTH(Advices[[#This Row],[Transaction Date]])</f>
        <v>10</v>
      </c>
      <c r="Q182" s="447">
        <f>YEAR(Advices[[#This Row],[Transaction Date]])</f>
        <v>2025</v>
      </c>
      <c r="R182" s="1"/>
    </row>
    <row r="183" spans="1:18" hidden="1" x14ac:dyDescent="0.25">
      <c r="A183" s="1" t="s">
        <v>612</v>
      </c>
      <c r="B183" s="178">
        <v>45936</v>
      </c>
      <c r="C183" s="1" t="s">
        <v>2101</v>
      </c>
      <c r="D183" s="1" t="s">
        <v>2148</v>
      </c>
      <c r="E183" s="1" t="s">
        <v>1235</v>
      </c>
      <c r="F183" s="1" t="s">
        <v>2041</v>
      </c>
      <c r="G183" s="1" t="s">
        <v>26</v>
      </c>
      <c r="H183" s="13">
        <v>60</v>
      </c>
      <c r="I183" s="13">
        <v>0</v>
      </c>
      <c r="J183" s="1" t="s">
        <v>2041</v>
      </c>
      <c r="K183" s="1" t="s">
        <v>2025</v>
      </c>
      <c r="L183" s="1" t="str">
        <f>VLOOKUP(Advices[[#This Row],[LC Number]],'Combine_List'!A:D,2,0)</f>
        <v>MOHAMMED RAMADAN SHAT FACTORY FOR METAL INDUSTRIES</v>
      </c>
      <c r="M183" s="447" t="str">
        <f>VLOOKUP(Advices[[#This Row],[LC Number]],'Combine_List'!A:D,3,0)</f>
        <v>FIRST FIX</v>
      </c>
      <c r="N183" s="447" t="str">
        <f>VLOOKUP(Advices[[#This Row],[LC Number]],'Combine_List'!A:D,4,0)</f>
        <v>RCRC</v>
      </c>
      <c r="O183" s="447">
        <f>VLOOKUP(Advices[[#This Row],[LC Number]],'Combine_List'!A:E,5,0)</f>
        <v>1020106</v>
      </c>
      <c r="P183" s="447">
        <f>MONTH(Advices[[#This Row],[Transaction Date]])</f>
        <v>10</v>
      </c>
      <c r="Q183" s="447">
        <f>YEAR(Advices[[#This Row],[Transaction Date]])</f>
        <v>2025</v>
      </c>
      <c r="R183" s="1"/>
    </row>
    <row r="184" spans="1:18" hidden="1" x14ac:dyDescent="0.25">
      <c r="A184" s="1" t="s">
        <v>612</v>
      </c>
      <c r="B184" s="178">
        <v>45936</v>
      </c>
      <c r="C184" s="1" t="s">
        <v>2101</v>
      </c>
      <c r="D184" s="1" t="s">
        <v>2149</v>
      </c>
      <c r="E184" s="1" t="s">
        <v>723</v>
      </c>
      <c r="F184" s="1" t="s">
        <v>2041</v>
      </c>
      <c r="G184" s="1" t="s">
        <v>26</v>
      </c>
      <c r="H184" s="13">
        <v>500</v>
      </c>
      <c r="I184" s="13">
        <v>0</v>
      </c>
      <c r="J184" s="1" t="s">
        <v>2041</v>
      </c>
      <c r="K184" s="1" t="s">
        <v>2025</v>
      </c>
      <c r="L184" s="1" t="str">
        <f>VLOOKUP(Advices[[#This Row],[LC Number]],'Combine_List'!A:D,2,0)</f>
        <v>UNITED PARK CO</v>
      </c>
      <c r="M184" s="447" t="str">
        <f>VLOOKUP(Advices[[#This Row],[LC Number]],'Combine_List'!A:D,3,0)</f>
        <v>FIRST FIX</v>
      </c>
      <c r="N184" s="447" t="str">
        <f>VLOOKUP(Advices[[#This Row],[LC Number]],'Combine_List'!A:D,4,0)</f>
        <v>RCRC</v>
      </c>
      <c r="O184" s="447">
        <f>VLOOKUP(Advices[[#This Row],[LC Number]],'Combine_List'!A:E,5,0)</f>
        <v>1020106</v>
      </c>
      <c r="P184" s="447">
        <f>MONTH(Advices[[#This Row],[Transaction Date]])</f>
        <v>10</v>
      </c>
      <c r="Q184" s="447">
        <f>YEAR(Advices[[#This Row],[Transaction Date]])</f>
        <v>2025</v>
      </c>
      <c r="R184" s="1"/>
    </row>
    <row r="185" spans="1:18" hidden="1" x14ac:dyDescent="0.25">
      <c r="A185" s="1" t="s">
        <v>612</v>
      </c>
      <c r="B185" s="178">
        <v>45936</v>
      </c>
      <c r="C185" s="1" t="s">
        <v>2101</v>
      </c>
      <c r="D185" s="1" t="s">
        <v>2150</v>
      </c>
      <c r="E185" s="1" t="s">
        <v>723</v>
      </c>
      <c r="F185" s="1" t="s">
        <v>2041</v>
      </c>
      <c r="G185" s="1" t="s">
        <v>26</v>
      </c>
      <c r="H185" s="13">
        <v>75</v>
      </c>
      <c r="I185" s="13">
        <v>0</v>
      </c>
      <c r="J185" s="1" t="s">
        <v>2041</v>
      </c>
      <c r="K185" s="1" t="s">
        <v>2025</v>
      </c>
      <c r="L185" s="1" t="str">
        <f>VLOOKUP(Advices[[#This Row],[LC Number]],'Combine_List'!A:D,2,0)</f>
        <v>UNITED PARK CO</v>
      </c>
      <c r="M185" s="447" t="str">
        <f>VLOOKUP(Advices[[#This Row],[LC Number]],'Combine_List'!A:D,3,0)</f>
        <v>FIRST FIX</v>
      </c>
      <c r="N185" s="447" t="str">
        <f>VLOOKUP(Advices[[#This Row],[LC Number]],'Combine_List'!A:D,4,0)</f>
        <v>RCRC</v>
      </c>
      <c r="O185" s="447">
        <f>VLOOKUP(Advices[[#This Row],[LC Number]],'Combine_List'!A:E,5,0)</f>
        <v>1020106</v>
      </c>
      <c r="P185" s="447">
        <f>MONTH(Advices[[#This Row],[Transaction Date]])</f>
        <v>10</v>
      </c>
      <c r="Q185" s="447">
        <f>YEAR(Advices[[#This Row],[Transaction Date]])</f>
        <v>2025</v>
      </c>
      <c r="R185" s="1"/>
    </row>
    <row r="186" spans="1:18" hidden="1" x14ac:dyDescent="0.25">
      <c r="A186" s="1" t="s">
        <v>612</v>
      </c>
      <c r="B186" s="178">
        <v>45936</v>
      </c>
      <c r="C186" s="1" t="s">
        <v>2101</v>
      </c>
      <c r="D186" s="1" t="s">
        <v>2151</v>
      </c>
      <c r="E186" s="1" t="s">
        <v>723</v>
      </c>
      <c r="F186" s="1" t="s">
        <v>2041</v>
      </c>
      <c r="G186" s="1" t="s">
        <v>26</v>
      </c>
      <c r="H186" s="13">
        <v>400</v>
      </c>
      <c r="I186" s="13">
        <v>0</v>
      </c>
      <c r="J186" s="1" t="s">
        <v>2041</v>
      </c>
      <c r="K186" s="1" t="s">
        <v>2025</v>
      </c>
      <c r="L186" s="1" t="str">
        <f>VLOOKUP(Advices[[#This Row],[LC Number]],'Combine_List'!A:D,2,0)</f>
        <v>UNITED PARK CO</v>
      </c>
      <c r="M186" s="447" t="str">
        <f>VLOOKUP(Advices[[#This Row],[LC Number]],'Combine_List'!A:D,3,0)</f>
        <v>FIRST FIX</v>
      </c>
      <c r="N186" s="447" t="str">
        <f>VLOOKUP(Advices[[#This Row],[LC Number]],'Combine_List'!A:D,4,0)</f>
        <v>RCRC</v>
      </c>
      <c r="O186" s="447">
        <f>VLOOKUP(Advices[[#This Row],[LC Number]],'Combine_List'!A:E,5,0)</f>
        <v>1020106</v>
      </c>
      <c r="P186" s="447">
        <f>MONTH(Advices[[#This Row],[Transaction Date]])</f>
        <v>10</v>
      </c>
      <c r="Q186" s="447">
        <f>YEAR(Advices[[#This Row],[Transaction Date]])</f>
        <v>2025</v>
      </c>
      <c r="R186" s="1"/>
    </row>
    <row r="187" spans="1:18" hidden="1" x14ac:dyDescent="0.25">
      <c r="A187" s="1" t="s">
        <v>612</v>
      </c>
      <c r="B187" s="178">
        <v>45936</v>
      </c>
      <c r="C187" s="1" t="s">
        <v>2101</v>
      </c>
      <c r="D187" s="1" t="s">
        <v>2152</v>
      </c>
      <c r="E187" s="1" t="s">
        <v>723</v>
      </c>
      <c r="F187" s="1" t="s">
        <v>2041</v>
      </c>
      <c r="G187" s="1" t="s">
        <v>26</v>
      </c>
      <c r="H187" s="13">
        <v>60</v>
      </c>
      <c r="I187" s="13">
        <v>0</v>
      </c>
      <c r="J187" s="1" t="s">
        <v>2041</v>
      </c>
      <c r="K187" s="1" t="s">
        <v>2025</v>
      </c>
      <c r="L187" s="1" t="str">
        <f>VLOOKUP(Advices[[#This Row],[LC Number]],'Combine_List'!A:D,2,0)</f>
        <v>UNITED PARK CO</v>
      </c>
      <c r="M187" s="447" t="str">
        <f>VLOOKUP(Advices[[#This Row],[LC Number]],'Combine_List'!A:D,3,0)</f>
        <v>FIRST FIX</v>
      </c>
      <c r="N187" s="447" t="str">
        <f>VLOOKUP(Advices[[#This Row],[LC Number]],'Combine_List'!A:D,4,0)</f>
        <v>RCRC</v>
      </c>
      <c r="O187" s="447">
        <f>VLOOKUP(Advices[[#This Row],[LC Number]],'Combine_List'!A:E,5,0)</f>
        <v>1020106</v>
      </c>
      <c r="P187" s="447">
        <f>MONTH(Advices[[#This Row],[Transaction Date]])</f>
        <v>10</v>
      </c>
      <c r="Q187" s="447">
        <f>YEAR(Advices[[#This Row],[Transaction Date]])</f>
        <v>2025</v>
      </c>
      <c r="R187" s="1"/>
    </row>
    <row r="188" spans="1:18" hidden="1" x14ac:dyDescent="0.25">
      <c r="A188" s="1" t="s">
        <v>612</v>
      </c>
      <c r="B188" s="178">
        <v>45936</v>
      </c>
      <c r="C188" s="1" t="s">
        <v>2101</v>
      </c>
      <c r="D188" s="1" t="s">
        <v>2153</v>
      </c>
      <c r="E188" s="1" t="s">
        <v>1565</v>
      </c>
      <c r="F188" s="1" t="s">
        <v>2041</v>
      </c>
      <c r="G188" s="1" t="s">
        <v>26</v>
      </c>
      <c r="H188" s="13">
        <v>500</v>
      </c>
      <c r="I188" s="13">
        <v>0</v>
      </c>
      <c r="J188" s="1" t="s">
        <v>2041</v>
      </c>
      <c r="K188" s="1" t="s">
        <v>2025</v>
      </c>
      <c r="L188" s="1" t="str">
        <f>VLOOKUP(Advices[[#This Row],[LC Number]],'Combine_List'!A:D,2,0)</f>
        <v>Mohammed Ramadan Shat</v>
      </c>
      <c r="M188" s="447" t="str">
        <f>VLOOKUP(Advices[[#This Row],[LC Number]],'Combine_List'!A:D,3,0)</f>
        <v>FIRST FIX</v>
      </c>
      <c r="N188" s="447" t="str">
        <f>VLOOKUP(Advices[[#This Row],[LC Number]],'Combine_List'!A:D,4,0)</f>
        <v>RCRC</v>
      </c>
      <c r="O188" s="447">
        <f>VLOOKUP(Advices[[#This Row],[LC Number]],'Combine_List'!A:E,5,0)</f>
        <v>1020106</v>
      </c>
      <c r="P188" s="447">
        <f>MONTH(Advices[[#This Row],[Transaction Date]])</f>
        <v>10</v>
      </c>
      <c r="Q188" s="447">
        <f>YEAR(Advices[[#This Row],[Transaction Date]])</f>
        <v>2025</v>
      </c>
      <c r="R188" s="1"/>
    </row>
    <row r="189" spans="1:18" hidden="1" x14ac:dyDescent="0.25">
      <c r="A189" s="1" t="s">
        <v>612</v>
      </c>
      <c r="B189" s="178">
        <v>45936</v>
      </c>
      <c r="C189" s="1" t="s">
        <v>2101</v>
      </c>
      <c r="D189" s="1" t="s">
        <v>2154</v>
      </c>
      <c r="E189" s="1" t="s">
        <v>1565</v>
      </c>
      <c r="F189" s="1" t="s">
        <v>2041</v>
      </c>
      <c r="G189" s="1" t="s">
        <v>26</v>
      </c>
      <c r="H189" s="13">
        <v>75</v>
      </c>
      <c r="I189" s="13">
        <v>0</v>
      </c>
      <c r="J189" s="1" t="s">
        <v>2041</v>
      </c>
      <c r="K189" s="1" t="s">
        <v>2025</v>
      </c>
      <c r="L189" s="1" t="str">
        <f>VLOOKUP(Advices[[#This Row],[LC Number]],'Combine_List'!A:D,2,0)</f>
        <v>Mohammed Ramadan Shat</v>
      </c>
      <c r="M189" s="447" t="str">
        <f>VLOOKUP(Advices[[#This Row],[LC Number]],'Combine_List'!A:D,3,0)</f>
        <v>FIRST FIX</v>
      </c>
      <c r="N189" s="447" t="str">
        <f>VLOOKUP(Advices[[#This Row],[LC Number]],'Combine_List'!A:D,4,0)</f>
        <v>RCRC</v>
      </c>
      <c r="O189" s="447">
        <f>VLOOKUP(Advices[[#This Row],[LC Number]],'Combine_List'!A:E,5,0)</f>
        <v>1020106</v>
      </c>
      <c r="P189" s="447">
        <f>MONTH(Advices[[#This Row],[Transaction Date]])</f>
        <v>10</v>
      </c>
      <c r="Q189" s="447">
        <f>YEAR(Advices[[#This Row],[Transaction Date]])</f>
        <v>2025</v>
      </c>
      <c r="R189" s="1"/>
    </row>
    <row r="190" spans="1:18" hidden="1" x14ac:dyDescent="0.25">
      <c r="A190" s="1" t="s">
        <v>612</v>
      </c>
      <c r="B190" s="178">
        <v>45936</v>
      </c>
      <c r="C190" s="1" t="s">
        <v>2101</v>
      </c>
      <c r="D190" s="1" t="s">
        <v>2155</v>
      </c>
      <c r="E190" s="1" t="s">
        <v>1565</v>
      </c>
      <c r="F190" s="1" t="s">
        <v>2041</v>
      </c>
      <c r="G190" s="1" t="s">
        <v>26</v>
      </c>
      <c r="H190" s="13">
        <v>400</v>
      </c>
      <c r="I190" s="13">
        <v>0</v>
      </c>
      <c r="J190" s="1" t="s">
        <v>2041</v>
      </c>
      <c r="K190" s="1" t="s">
        <v>2025</v>
      </c>
      <c r="L190" s="1" t="str">
        <f>VLOOKUP(Advices[[#This Row],[LC Number]],'Combine_List'!A:D,2,0)</f>
        <v>Mohammed Ramadan Shat</v>
      </c>
      <c r="M190" s="447" t="str">
        <f>VLOOKUP(Advices[[#This Row],[LC Number]],'Combine_List'!A:D,3,0)</f>
        <v>FIRST FIX</v>
      </c>
      <c r="N190" s="447" t="str">
        <f>VLOOKUP(Advices[[#This Row],[LC Number]],'Combine_List'!A:D,4,0)</f>
        <v>RCRC</v>
      </c>
      <c r="O190" s="447">
        <f>VLOOKUP(Advices[[#This Row],[LC Number]],'Combine_List'!A:E,5,0)</f>
        <v>1020106</v>
      </c>
      <c r="P190" s="447">
        <f>MONTH(Advices[[#This Row],[Transaction Date]])</f>
        <v>10</v>
      </c>
      <c r="Q190" s="447">
        <f>YEAR(Advices[[#This Row],[Transaction Date]])</f>
        <v>2025</v>
      </c>
      <c r="R190" s="1"/>
    </row>
    <row r="191" spans="1:18" hidden="1" x14ac:dyDescent="0.25">
      <c r="A191" s="1" t="s">
        <v>612</v>
      </c>
      <c r="B191" s="178">
        <v>45936</v>
      </c>
      <c r="C191" s="1" t="s">
        <v>2101</v>
      </c>
      <c r="D191" s="1" t="s">
        <v>2156</v>
      </c>
      <c r="E191" s="1" t="s">
        <v>1565</v>
      </c>
      <c r="F191" s="1" t="s">
        <v>2041</v>
      </c>
      <c r="G191" s="1" t="s">
        <v>26</v>
      </c>
      <c r="H191" s="13">
        <v>60</v>
      </c>
      <c r="I191" s="13">
        <v>0</v>
      </c>
      <c r="J191" s="1" t="s">
        <v>2041</v>
      </c>
      <c r="K191" s="1" t="s">
        <v>2025</v>
      </c>
      <c r="L191" s="1" t="str">
        <f>VLOOKUP(Advices[[#This Row],[LC Number]],'Combine_List'!A:D,2,0)</f>
        <v>Mohammed Ramadan Shat</v>
      </c>
      <c r="M191" s="447" t="str">
        <f>VLOOKUP(Advices[[#This Row],[LC Number]],'Combine_List'!A:D,3,0)</f>
        <v>FIRST FIX</v>
      </c>
      <c r="N191" s="447" t="str">
        <f>VLOOKUP(Advices[[#This Row],[LC Number]],'Combine_List'!A:D,4,0)</f>
        <v>RCRC</v>
      </c>
      <c r="O191" s="447">
        <f>VLOOKUP(Advices[[#This Row],[LC Number]],'Combine_List'!A:E,5,0)</f>
        <v>1020106</v>
      </c>
      <c r="P191" s="447">
        <f>MONTH(Advices[[#This Row],[Transaction Date]])</f>
        <v>10</v>
      </c>
      <c r="Q191" s="447">
        <f>YEAR(Advices[[#This Row],[Transaction Date]])</f>
        <v>2025</v>
      </c>
      <c r="R191" s="1"/>
    </row>
    <row r="192" spans="1:18" hidden="1" x14ac:dyDescent="0.25">
      <c r="A192" s="1" t="s">
        <v>612</v>
      </c>
      <c r="B192" s="178">
        <v>45936</v>
      </c>
      <c r="C192" s="1" t="s">
        <v>2101</v>
      </c>
      <c r="D192" s="1" t="s">
        <v>2157</v>
      </c>
      <c r="E192" s="1" t="s">
        <v>734</v>
      </c>
      <c r="F192" s="1" t="s">
        <v>2041</v>
      </c>
      <c r="G192" s="1" t="s">
        <v>26</v>
      </c>
      <c r="H192" s="13">
        <v>989.73</v>
      </c>
      <c r="I192" s="13">
        <v>0</v>
      </c>
      <c r="J192" s="1" t="s">
        <v>2041</v>
      </c>
      <c r="K192" s="1" t="s">
        <v>2025</v>
      </c>
      <c r="L192" s="1" t="str">
        <f>VLOOKUP(Advices[[#This Row],[LC Number]],'Combine_List'!A:D,2,0)</f>
        <v>SITE TECHNOLOGY SAUDI ARABIA LTD</v>
      </c>
      <c r="M192" s="447" t="str">
        <f>VLOOKUP(Advices[[#This Row],[LC Number]],'Combine_List'!A:D,3,0)</f>
        <v>FIRST FIX</v>
      </c>
      <c r="N192" s="447" t="str">
        <f>VLOOKUP(Advices[[#This Row],[LC Number]],'Combine_List'!A:D,4,0)</f>
        <v>RCRC</v>
      </c>
      <c r="O192" s="447">
        <f>VLOOKUP(Advices[[#This Row],[LC Number]],'Combine_List'!A:E,5,0)</f>
        <v>1020106</v>
      </c>
      <c r="P192" s="447">
        <f>MONTH(Advices[[#This Row],[Transaction Date]])</f>
        <v>10</v>
      </c>
      <c r="Q192" s="447">
        <f>YEAR(Advices[[#This Row],[Transaction Date]])</f>
        <v>2025</v>
      </c>
      <c r="R192" s="1"/>
    </row>
    <row r="193" spans="1:18" hidden="1" x14ac:dyDescent="0.25">
      <c r="A193" s="1" t="s">
        <v>612</v>
      </c>
      <c r="B193" s="178">
        <v>45936</v>
      </c>
      <c r="C193" s="1" t="s">
        <v>2101</v>
      </c>
      <c r="D193" s="1" t="s">
        <v>2158</v>
      </c>
      <c r="E193" s="1" t="s">
        <v>734</v>
      </c>
      <c r="F193" s="1" t="s">
        <v>2041</v>
      </c>
      <c r="G193" s="1" t="s">
        <v>26</v>
      </c>
      <c r="H193" s="13">
        <v>148.46</v>
      </c>
      <c r="I193" s="13">
        <v>0</v>
      </c>
      <c r="J193" s="1" t="s">
        <v>2041</v>
      </c>
      <c r="K193" s="1" t="s">
        <v>2025</v>
      </c>
      <c r="L193" s="1" t="str">
        <f>VLOOKUP(Advices[[#This Row],[LC Number]],'Combine_List'!A:D,2,0)</f>
        <v>SITE TECHNOLOGY SAUDI ARABIA LTD</v>
      </c>
      <c r="M193" s="447" t="str">
        <f>VLOOKUP(Advices[[#This Row],[LC Number]],'Combine_List'!A:D,3,0)</f>
        <v>FIRST FIX</v>
      </c>
      <c r="N193" s="447" t="str">
        <f>VLOOKUP(Advices[[#This Row],[LC Number]],'Combine_List'!A:D,4,0)</f>
        <v>RCRC</v>
      </c>
      <c r="O193" s="447">
        <f>VLOOKUP(Advices[[#This Row],[LC Number]],'Combine_List'!A:E,5,0)</f>
        <v>1020106</v>
      </c>
      <c r="P193" s="447">
        <f>MONTH(Advices[[#This Row],[Transaction Date]])</f>
        <v>10</v>
      </c>
      <c r="Q193" s="447">
        <f>YEAR(Advices[[#This Row],[Transaction Date]])</f>
        <v>2025</v>
      </c>
      <c r="R193" s="1"/>
    </row>
    <row r="194" spans="1:18" hidden="1" x14ac:dyDescent="0.25">
      <c r="A194" s="1" t="s">
        <v>612</v>
      </c>
      <c r="B194" s="178">
        <v>45936</v>
      </c>
      <c r="C194" s="1" t="s">
        <v>2101</v>
      </c>
      <c r="D194" s="1" t="s">
        <v>2159</v>
      </c>
      <c r="E194" s="1" t="s">
        <v>734</v>
      </c>
      <c r="F194" s="1" t="s">
        <v>2041</v>
      </c>
      <c r="G194" s="1" t="s">
        <v>26</v>
      </c>
      <c r="H194" s="13">
        <v>400</v>
      </c>
      <c r="I194" s="13">
        <v>0</v>
      </c>
      <c r="J194" s="1" t="s">
        <v>2041</v>
      </c>
      <c r="K194" s="1" t="s">
        <v>2025</v>
      </c>
      <c r="L194" s="1" t="str">
        <f>VLOOKUP(Advices[[#This Row],[LC Number]],'Combine_List'!A:D,2,0)</f>
        <v>SITE TECHNOLOGY SAUDI ARABIA LTD</v>
      </c>
      <c r="M194" s="447" t="str">
        <f>VLOOKUP(Advices[[#This Row],[LC Number]],'Combine_List'!A:D,3,0)</f>
        <v>FIRST FIX</v>
      </c>
      <c r="N194" s="447" t="str">
        <f>VLOOKUP(Advices[[#This Row],[LC Number]],'Combine_List'!A:D,4,0)</f>
        <v>RCRC</v>
      </c>
      <c r="O194" s="447">
        <f>VLOOKUP(Advices[[#This Row],[LC Number]],'Combine_List'!A:E,5,0)</f>
        <v>1020106</v>
      </c>
      <c r="P194" s="447">
        <f>MONTH(Advices[[#This Row],[Transaction Date]])</f>
        <v>10</v>
      </c>
      <c r="Q194" s="447">
        <f>YEAR(Advices[[#This Row],[Transaction Date]])</f>
        <v>2025</v>
      </c>
      <c r="R194" s="1"/>
    </row>
    <row r="195" spans="1:18" hidden="1" x14ac:dyDescent="0.25">
      <c r="A195" s="1" t="s">
        <v>612</v>
      </c>
      <c r="B195" s="178">
        <v>45936</v>
      </c>
      <c r="C195" s="1" t="s">
        <v>2101</v>
      </c>
      <c r="D195" s="1" t="s">
        <v>2160</v>
      </c>
      <c r="E195" s="1" t="s">
        <v>734</v>
      </c>
      <c r="F195" s="1" t="s">
        <v>2041</v>
      </c>
      <c r="G195" s="1" t="s">
        <v>26</v>
      </c>
      <c r="H195" s="13">
        <v>60</v>
      </c>
      <c r="I195" s="13">
        <v>0</v>
      </c>
      <c r="J195" s="1" t="s">
        <v>2041</v>
      </c>
      <c r="K195" s="1" t="s">
        <v>2025</v>
      </c>
      <c r="L195" s="1" t="str">
        <f>VLOOKUP(Advices[[#This Row],[LC Number]],'Combine_List'!A:D,2,0)</f>
        <v>SITE TECHNOLOGY SAUDI ARABIA LTD</v>
      </c>
      <c r="M195" s="447" t="str">
        <f>VLOOKUP(Advices[[#This Row],[LC Number]],'Combine_List'!A:D,3,0)</f>
        <v>FIRST FIX</v>
      </c>
      <c r="N195" s="447" t="str">
        <f>VLOOKUP(Advices[[#This Row],[LC Number]],'Combine_List'!A:D,4,0)</f>
        <v>RCRC</v>
      </c>
      <c r="O195" s="447">
        <f>VLOOKUP(Advices[[#This Row],[LC Number]],'Combine_List'!A:E,5,0)</f>
        <v>1020106</v>
      </c>
      <c r="P195" s="447">
        <f>MONTH(Advices[[#This Row],[Transaction Date]])</f>
        <v>10</v>
      </c>
      <c r="Q195" s="447">
        <f>YEAR(Advices[[#This Row],[Transaction Date]])</f>
        <v>2025</v>
      </c>
      <c r="R195" s="1"/>
    </row>
    <row r="196" spans="1:18" hidden="1" x14ac:dyDescent="0.25">
      <c r="A196" s="1" t="s">
        <v>612</v>
      </c>
      <c r="B196" s="178">
        <v>45937</v>
      </c>
      <c r="C196" s="1" t="s">
        <v>2101</v>
      </c>
      <c r="D196" s="1" t="s">
        <v>2161</v>
      </c>
      <c r="E196" s="1" t="s">
        <v>721</v>
      </c>
      <c r="F196" s="1" t="s">
        <v>2041</v>
      </c>
      <c r="G196" s="1" t="s">
        <v>26</v>
      </c>
      <c r="H196" s="13">
        <v>452640</v>
      </c>
      <c r="I196" s="13">
        <v>0</v>
      </c>
      <c r="J196" s="1" t="s">
        <v>2041</v>
      </c>
      <c r="K196" s="1" t="s">
        <v>2025</v>
      </c>
      <c r="L196" s="1" t="str">
        <f>VLOOKUP(Advices[[#This Row],[LC Number]],'Combine_List'!A:D,2,0)</f>
        <v>ALFANAR ELECTRICAL SYSTEMS</v>
      </c>
      <c r="M196" s="447" t="str">
        <f>VLOOKUP(Advices[[#This Row],[LC Number]],'Combine_List'!A:D,3,0)</f>
        <v>FIRST FIX</v>
      </c>
      <c r="N196" s="447" t="str">
        <f>VLOOKUP(Advices[[#This Row],[LC Number]],'Combine_List'!A:D,4,0)</f>
        <v>RCRC</v>
      </c>
      <c r="O196" s="447">
        <f>VLOOKUP(Advices[[#This Row],[LC Number]],'Combine_List'!A:E,5,0)</f>
        <v>1020106</v>
      </c>
      <c r="P196" s="447">
        <f>MONTH(Advices[[#This Row],[Transaction Date]])</f>
        <v>10</v>
      </c>
      <c r="Q196" s="447">
        <f>YEAR(Advices[[#This Row],[Transaction Date]])</f>
        <v>2025</v>
      </c>
      <c r="R196" s="1"/>
    </row>
    <row r="197" spans="1:18" hidden="1" x14ac:dyDescent="0.25">
      <c r="A197" s="1" t="s">
        <v>612</v>
      </c>
      <c r="B197" s="178">
        <v>45942</v>
      </c>
      <c r="C197" s="1" t="s">
        <v>2101</v>
      </c>
      <c r="D197" s="1" t="s">
        <v>2162</v>
      </c>
      <c r="E197" s="1" t="s">
        <v>692</v>
      </c>
      <c r="F197" s="1" t="s">
        <v>692</v>
      </c>
      <c r="G197" s="1" t="s">
        <v>26</v>
      </c>
      <c r="H197" s="13">
        <v>84210.02</v>
      </c>
      <c r="I197" s="13">
        <v>0</v>
      </c>
      <c r="J197" s="1" t="s">
        <v>2041</v>
      </c>
      <c r="K197" s="1" t="s">
        <v>2025</v>
      </c>
      <c r="L197" s="1" t="str">
        <f>VLOOKUP(Advices[[#This Row],[LC Number]],'Combine_List'!A:D,2,0)</f>
        <v>Alpha Limit Trading and Contracting Company</v>
      </c>
      <c r="M197" s="447" t="str">
        <f>VLOOKUP(Advices[[#This Row],[LC Number]],'Combine_List'!A:D,3,0)</f>
        <v>FIRST FIX</v>
      </c>
      <c r="N197" s="447" t="str">
        <f>VLOOKUP(Advices[[#This Row],[LC Number]],'Combine_List'!A:D,4,0)</f>
        <v>RCRC</v>
      </c>
      <c r="O197" s="447">
        <f>VLOOKUP(Advices[[#This Row],[LC Number]],'Combine_List'!A:E,5,0)</f>
        <v>1020106</v>
      </c>
      <c r="P197" s="447">
        <f>MONTH(Advices[[#This Row],[Transaction Date]])</f>
        <v>10</v>
      </c>
      <c r="Q197" s="447">
        <f>YEAR(Advices[[#This Row],[Transaction Date]])</f>
        <v>2025</v>
      </c>
      <c r="R197" s="1"/>
    </row>
    <row r="198" spans="1:18" hidden="1" x14ac:dyDescent="0.25">
      <c r="A198" s="1" t="s">
        <v>612</v>
      </c>
      <c r="B198" s="178">
        <v>45942</v>
      </c>
      <c r="C198" s="1" t="s">
        <v>2101</v>
      </c>
      <c r="D198" s="1" t="s">
        <v>2163</v>
      </c>
      <c r="E198" s="1" t="s">
        <v>1233</v>
      </c>
      <c r="F198" s="1" t="s">
        <v>1233</v>
      </c>
      <c r="G198" s="1" t="s">
        <v>26</v>
      </c>
      <c r="H198" s="13">
        <v>456166</v>
      </c>
      <c r="I198" s="13">
        <v>0</v>
      </c>
      <c r="J198" s="1" t="s">
        <v>2041</v>
      </c>
      <c r="K198" s="1" t="s">
        <v>2025</v>
      </c>
      <c r="L198" s="1" t="str">
        <f>VLOOKUP(Advices[[#This Row],[LC Number]],'Combine_List'!A:D,2,0)</f>
        <v>SAUDI HEPCO</v>
      </c>
      <c r="M198" s="447" t="str">
        <f>VLOOKUP(Advices[[#This Row],[LC Number]],'Combine_List'!A:D,3,0)</f>
        <v>FIRST FIX</v>
      </c>
      <c r="N198" s="447" t="str">
        <f>VLOOKUP(Advices[[#This Row],[LC Number]],'Combine_List'!A:D,4,0)</f>
        <v>RCRC</v>
      </c>
      <c r="O198" s="447">
        <f>VLOOKUP(Advices[[#This Row],[LC Number]],'Combine_List'!A:E,5,0)</f>
        <v>1020106</v>
      </c>
      <c r="P198" s="447">
        <f>MONTH(Advices[[#This Row],[Transaction Date]])</f>
        <v>10</v>
      </c>
      <c r="Q198" s="447">
        <f>YEAR(Advices[[#This Row],[Transaction Date]])</f>
        <v>2025</v>
      </c>
      <c r="R198" s="1"/>
    </row>
    <row r="199" spans="1:18" hidden="1" x14ac:dyDescent="0.25">
      <c r="A199" s="1" t="s">
        <v>612</v>
      </c>
      <c r="B199" s="178">
        <v>45942</v>
      </c>
      <c r="C199" s="1" t="s">
        <v>2101</v>
      </c>
      <c r="D199" s="1" t="s">
        <v>2164</v>
      </c>
      <c r="E199" s="1" t="s">
        <v>1566</v>
      </c>
      <c r="F199" s="1" t="s">
        <v>1566</v>
      </c>
      <c r="G199" s="1" t="s">
        <v>26</v>
      </c>
      <c r="H199" s="13">
        <v>154977.42000000001</v>
      </c>
      <c r="I199" s="13">
        <v>0</v>
      </c>
      <c r="J199" s="1" t="s">
        <v>2041</v>
      </c>
      <c r="K199" s="1" t="s">
        <v>2025</v>
      </c>
      <c r="L199" s="1" t="str">
        <f>VLOOKUP(Advices[[#This Row],[LC Number]],'Combine_List'!A:D,2,0)</f>
        <v>Alpha Limit Trading and Contracting Company</v>
      </c>
      <c r="M199" s="447" t="str">
        <f>VLOOKUP(Advices[[#This Row],[LC Number]],'Combine_List'!A:D,3,0)</f>
        <v>FIRST FIX</v>
      </c>
      <c r="N199" s="447" t="str">
        <f>VLOOKUP(Advices[[#This Row],[LC Number]],'Combine_List'!A:D,4,0)</f>
        <v>RCRC</v>
      </c>
      <c r="O199" s="447">
        <f>VLOOKUP(Advices[[#This Row],[LC Number]],'Combine_List'!A:E,5,0)</f>
        <v>1020106</v>
      </c>
      <c r="P199" s="447">
        <f>MONTH(Advices[[#This Row],[Transaction Date]])</f>
        <v>10</v>
      </c>
      <c r="Q199" s="447">
        <f>YEAR(Advices[[#This Row],[Transaction Date]])</f>
        <v>2025</v>
      </c>
      <c r="R199" s="1"/>
    </row>
    <row r="200" spans="1:18" hidden="1" x14ac:dyDescent="0.25">
      <c r="A200" s="1" t="s">
        <v>612</v>
      </c>
      <c r="B200" s="178">
        <v>45942</v>
      </c>
      <c r="C200" s="1" t="s">
        <v>2101</v>
      </c>
      <c r="D200" s="1" t="s">
        <v>2165</v>
      </c>
      <c r="E200" s="1" t="s">
        <v>1610</v>
      </c>
      <c r="F200" s="1" t="s">
        <v>1610</v>
      </c>
      <c r="G200" s="1" t="s">
        <v>26</v>
      </c>
      <c r="H200" s="13">
        <v>100</v>
      </c>
      <c r="I200" s="13">
        <v>0</v>
      </c>
      <c r="J200" s="1" t="s">
        <v>2041</v>
      </c>
      <c r="K200" s="1" t="s">
        <v>2025</v>
      </c>
      <c r="L200" s="1" t="str">
        <f>VLOOKUP(Advices[[#This Row],[LC Number]],'Combine_List'!A:D,2,0)</f>
        <v>Metten Al-Arabia Ltd Co (METARA)</v>
      </c>
      <c r="M200" s="447" t="str">
        <f>VLOOKUP(Advices[[#This Row],[LC Number]],'Combine_List'!A:D,3,0)</f>
        <v>MBL</v>
      </c>
      <c r="N200" s="447" t="str">
        <f>VLOOKUP(Advices[[#This Row],[LC Number]],'Combine_List'!A:D,4,0)</f>
        <v>RCRC</v>
      </c>
      <c r="O200" s="447">
        <f>VLOOKUP(Advices[[#This Row],[LC Number]],'Combine_List'!A:E,5,0)</f>
        <v>1020106</v>
      </c>
      <c r="P200" s="447">
        <f>MONTH(Advices[[#This Row],[Transaction Date]])</f>
        <v>10</v>
      </c>
      <c r="Q200" s="447">
        <f>YEAR(Advices[[#This Row],[Transaction Date]])</f>
        <v>2025</v>
      </c>
      <c r="R200" s="1"/>
    </row>
    <row r="201" spans="1:18" hidden="1" x14ac:dyDescent="0.25">
      <c r="A201" s="1" t="s">
        <v>612</v>
      </c>
      <c r="B201" s="178">
        <v>45942</v>
      </c>
      <c r="C201" s="1" t="s">
        <v>2101</v>
      </c>
      <c r="D201" s="1" t="s">
        <v>2166</v>
      </c>
      <c r="E201" s="1" t="s">
        <v>1610</v>
      </c>
      <c r="F201" s="1" t="s">
        <v>1610</v>
      </c>
      <c r="G201" s="1" t="s">
        <v>26</v>
      </c>
      <c r="H201" s="13">
        <v>15</v>
      </c>
      <c r="I201" s="13">
        <v>0</v>
      </c>
      <c r="J201" s="1" t="s">
        <v>2041</v>
      </c>
      <c r="K201" s="1" t="s">
        <v>2025</v>
      </c>
      <c r="L201" s="1" t="str">
        <f>VLOOKUP(Advices[[#This Row],[LC Number]],'Combine_List'!A:D,2,0)</f>
        <v>Metten Al-Arabia Ltd Co (METARA)</v>
      </c>
      <c r="M201" s="447" t="str">
        <f>VLOOKUP(Advices[[#This Row],[LC Number]],'Combine_List'!A:D,3,0)</f>
        <v>MBL</v>
      </c>
      <c r="N201" s="447" t="str">
        <f>VLOOKUP(Advices[[#This Row],[LC Number]],'Combine_List'!A:D,4,0)</f>
        <v>RCRC</v>
      </c>
      <c r="O201" s="447">
        <f>VLOOKUP(Advices[[#This Row],[LC Number]],'Combine_List'!A:E,5,0)</f>
        <v>1020106</v>
      </c>
      <c r="P201" s="447">
        <f>MONTH(Advices[[#This Row],[Transaction Date]])</f>
        <v>10</v>
      </c>
      <c r="Q201" s="447">
        <f>YEAR(Advices[[#This Row],[Transaction Date]])</f>
        <v>2025</v>
      </c>
      <c r="R201" s="1"/>
    </row>
    <row r="202" spans="1:18" hidden="1" x14ac:dyDescent="0.25">
      <c r="A202" s="1" t="s">
        <v>612</v>
      </c>
      <c r="B202" s="178">
        <v>45942</v>
      </c>
      <c r="C202" s="1" t="s">
        <v>2101</v>
      </c>
      <c r="D202" s="1" t="s">
        <v>2167</v>
      </c>
      <c r="E202" s="1" t="s">
        <v>1610</v>
      </c>
      <c r="F202" s="1" t="s">
        <v>1610</v>
      </c>
      <c r="G202" s="1" t="s">
        <v>26</v>
      </c>
      <c r="H202" s="13">
        <v>299</v>
      </c>
      <c r="I202" s="13">
        <v>0</v>
      </c>
      <c r="J202" s="1" t="s">
        <v>2041</v>
      </c>
      <c r="K202" s="1" t="s">
        <v>2025</v>
      </c>
      <c r="L202" s="1" t="str">
        <f>VLOOKUP(Advices[[#This Row],[LC Number]],'Combine_List'!A:D,2,0)</f>
        <v>Metten Al-Arabia Ltd Co (METARA)</v>
      </c>
      <c r="M202" s="447" t="str">
        <f>VLOOKUP(Advices[[#This Row],[LC Number]],'Combine_List'!A:D,3,0)</f>
        <v>MBL</v>
      </c>
      <c r="N202" s="447" t="str">
        <f>VLOOKUP(Advices[[#This Row],[LC Number]],'Combine_List'!A:D,4,0)</f>
        <v>RCRC</v>
      </c>
      <c r="O202" s="447">
        <f>VLOOKUP(Advices[[#This Row],[LC Number]],'Combine_List'!A:E,5,0)</f>
        <v>1020106</v>
      </c>
      <c r="P202" s="447">
        <f>MONTH(Advices[[#This Row],[Transaction Date]])</f>
        <v>10</v>
      </c>
      <c r="Q202" s="447">
        <f>YEAR(Advices[[#This Row],[Transaction Date]])</f>
        <v>2025</v>
      </c>
      <c r="R202" s="1"/>
    </row>
    <row r="203" spans="1:18" hidden="1" x14ac:dyDescent="0.25">
      <c r="A203" s="1" t="s">
        <v>612</v>
      </c>
      <c r="B203" s="178">
        <v>45942</v>
      </c>
      <c r="C203" s="1" t="s">
        <v>2101</v>
      </c>
      <c r="D203" s="1" t="s">
        <v>2168</v>
      </c>
      <c r="E203" s="1" t="s">
        <v>1610</v>
      </c>
      <c r="F203" s="1" t="s">
        <v>1610</v>
      </c>
      <c r="G203" s="1" t="s">
        <v>26</v>
      </c>
      <c r="H203" s="13">
        <v>44.85</v>
      </c>
      <c r="I203" s="13">
        <v>0</v>
      </c>
      <c r="J203" s="1" t="s">
        <v>2041</v>
      </c>
      <c r="K203" s="1" t="s">
        <v>2025</v>
      </c>
      <c r="L203" s="1" t="str">
        <f>VLOOKUP(Advices[[#This Row],[LC Number]],'Combine_List'!A:D,2,0)</f>
        <v>Metten Al-Arabia Ltd Co (METARA)</v>
      </c>
      <c r="M203" s="447" t="str">
        <f>VLOOKUP(Advices[[#This Row],[LC Number]],'Combine_List'!A:D,3,0)</f>
        <v>MBL</v>
      </c>
      <c r="N203" s="447" t="str">
        <f>VLOOKUP(Advices[[#This Row],[LC Number]],'Combine_List'!A:D,4,0)</f>
        <v>RCRC</v>
      </c>
      <c r="O203" s="447">
        <f>VLOOKUP(Advices[[#This Row],[LC Number]],'Combine_List'!A:E,5,0)</f>
        <v>1020106</v>
      </c>
      <c r="P203" s="447">
        <f>MONTH(Advices[[#This Row],[Transaction Date]])</f>
        <v>10</v>
      </c>
      <c r="Q203" s="447">
        <f>YEAR(Advices[[#This Row],[Transaction Date]])</f>
        <v>2025</v>
      </c>
      <c r="R203" s="1"/>
    </row>
    <row r="204" spans="1:18" hidden="1" x14ac:dyDescent="0.25">
      <c r="A204" s="1" t="s">
        <v>612</v>
      </c>
      <c r="B204" s="178">
        <v>45942</v>
      </c>
      <c r="C204" s="1" t="s">
        <v>2101</v>
      </c>
      <c r="D204" s="1" t="s">
        <v>2169</v>
      </c>
      <c r="E204" s="1" t="s">
        <v>1610</v>
      </c>
      <c r="F204" s="1" t="s">
        <v>1610</v>
      </c>
      <c r="G204" s="1" t="s">
        <v>26</v>
      </c>
      <c r="H204" s="13">
        <v>200</v>
      </c>
      <c r="I204" s="13">
        <v>0</v>
      </c>
      <c r="J204" s="1" t="s">
        <v>2041</v>
      </c>
      <c r="K204" s="1" t="s">
        <v>2025</v>
      </c>
      <c r="L204" s="1" t="str">
        <f>VLOOKUP(Advices[[#This Row],[LC Number]],'Combine_List'!A:D,2,0)</f>
        <v>Metten Al-Arabia Ltd Co (METARA)</v>
      </c>
      <c r="M204" s="447" t="str">
        <f>VLOOKUP(Advices[[#This Row],[LC Number]],'Combine_List'!A:D,3,0)</f>
        <v>MBL</v>
      </c>
      <c r="N204" s="447" t="str">
        <f>VLOOKUP(Advices[[#This Row],[LC Number]],'Combine_List'!A:D,4,0)</f>
        <v>RCRC</v>
      </c>
      <c r="O204" s="447">
        <f>VLOOKUP(Advices[[#This Row],[LC Number]],'Combine_List'!A:E,5,0)</f>
        <v>1020106</v>
      </c>
      <c r="P204" s="447">
        <f>MONTH(Advices[[#This Row],[Transaction Date]])</f>
        <v>10</v>
      </c>
      <c r="Q204" s="447">
        <f>YEAR(Advices[[#This Row],[Transaction Date]])</f>
        <v>2025</v>
      </c>
      <c r="R204" s="1"/>
    </row>
    <row r="205" spans="1:18" hidden="1" x14ac:dyDescent="0.25">
      <c r="A205" s="1" t="s">
        <v>612</v>
      </c>
      <c r="B205" s="178">
        <v>45942</v>
      </c>
      <c r="C205" s="1" t="s">
        <v>2101</v>
      </c>
      <c r="D205" s="1" t="s">
        <v>2170</v>
      </c>
      <c r="E205" s="1" t="s">
        <v>1610</v>
      </c>
      <c r="F205" s="1" t="s">
        <v>1610</v>
      </c>
      <c r="G205" s="1" t="s">
        <v>26</v>
      </c>
      <c r="H205" s="13">
        <v>30</v>
      </c>
      <c r="I205" s="13">
        <v>0</v>
      </c>
      <c r="J205" s="1" t="s">
        <v>2041</v>
      </c>
      <c r="K205" s="1" t="s">
        <v>2025</v>
      </c>
      <c r="L205" s="1" t="str">
        <f>VLOOKUP(Advices[[#This Row],[LC Number]],'Combine_List'!A:D,2,0)</f>
        <v>Metten Al-Arabia Ltd Co (METARA)</v>
      </c>
      <c r="M205" s="447" t="str">
        <f>VLOOKUP(Advices[[#This Row],[LC Number]],'Combine_List'!A:D,3,0)</f>
        <v>MBL</v>
      </c>
      <c r="N205" s="447" t="str">
        <f>VLOOKUP(Advices[[#This Row],[LC Number]],'Combine_List'!A:D,4,0)</f>
        <v>RCRC</v>
      </c>
      <c r="O205" s="447">
        <f>VLOOKUP(Advices[[#This Row],[LC Number]],'Combine_List'!A:E,5,0)</f>
        <v>1020106</v>
      </c>
      <c r="P205" s="447">
        <f>MONTH(Advices[[#This Row],[Transaction Date]])</f>
        <v>10</v>
      </c>
      <c r="Q205" s="447">
        <f>YEAR(Advices[[#This Row],[Transaction Date]])</f>
        <v>2025</v>
      </c>
      <c r="R205" s="1"/>
    </row>
    <row r="206" spans="1:18" hidden="1" x14ac:dyDescent="0.25">
      <c r="A206" s="1" t="s">
        <v>612</v>
      </c>
      <c r="B206" s="178">
        <v>45942</v>
      </c>
      <c r="C206" s="1" t="s">
        <v>2101</v>
      </c>
      <c r="D206" s="1" t="s">
        <v>2171</v>
      </c>
      <c r="E206" s="1" t="s">
        <v>719</v>
      </c>
      <c r="F206" s="1" t="s">
        <v>719</v>
      </c>
      <c r="G206" s="1" t="s">
        <v>26</v>
      </c>
      <c r="H206" s="13">
        <v>100</v>
      </c>
      <c r="I206" s="13">
        <v>0</v>
      </c>
      <c r="J206" s="1" t="s">
        <v>2041</v>
      </c>
      <c r="K206" s="1" t="s">
        <v>2025</v>
      </c>
      <c r="L206" s="1" t="str">
        <f>VLOOKUP(Advices[[#This Row],[LC Number]],'Combine_List'!A:D,2,0)</f>
        <v>Al Wasail Industrial Company</v>
      </c>
      <c r="M206" s="447" t="str">
        <f>VLOOKUP(Advices[[#This Row],[LC Number]],'Combine_List'!A:D,3,0)</f>
        <v>FIRST FIX</v>
      </c>
      <c r="N206" s="447" t="str">
        <f>VLOOKUP(Advices[[#This Row],[LC Number]],'Combine_List'!A:D,4,0)</f>
        <v>RCRC</v>
      </c>
      <c r="O206" s="447">
        <f>VLOOKUP(Advices[[#This Row],[LC Number]],'Combine_List'!A:E,5,0)</f>
        <v>1020106</v>
      </c>
      <c r="P206" s="447">
        <f>MONTH(Advices[[#This Row],[Transaction Date]])</f>
        <v>10</v>
      </c>
      <c r="Q206" s="447">
        <f>YEAR(Advices[[#This Row],[Transaction Date]])</f>
        <v>2025</v>
      </c>
      <c r="R206" s="1"/>
    </row>
    <row r="207" spans="1:18" hidden="1" x14ac:dyDescent="0.25">
      <c r="A207" s="1" t="s">
        <v>612</v>
      </c>
      <c r="B207" s="178">
        <v>45942</v>
      </c>
      <c r="C207" s="1" t="s">
        <v>2101</v>
      </c>
      <c r="D207" s="1" t="s">
        <v>2172</v>
      </c>
      <c r="E207" s="1" t="s">
        <v>719</v>
      </c>
      <c r="F207" s="1" t="s">
        <v>719</v>
      </c>
      <c r="G207" s="1" t="s">
        <v>26</v>
      </c>
      <c r="H207" s="13">
        <v>15</v>
      </c>
      <c r="I207" s="13">
        <v>0</v>
      </c>
      <c r="J207" s="1" t="s">
        <v>2041</v>
      </c>
      <c r="K207" s="1" t="s">
        <v>2025</v>
      </c>
      <c r="L207" s="1" t="str">
        <f>VLOOKUP(Advices[[#This Row],[LC Number]],'Combine_List'!A:D,2,0)</f>
        <v>Al Wasail Industrial Company</v>
      </c>
      <c r="M207" s="447" t="str">
        <f>VLOOKUP(Advices[[#This Row],[LC Number]],'Combine_List'!A:D,3,0)</f>
        <v>FIRST FIX</v>
      </c>
      <c r="N207" s="447" t="str">
        <f>VLOOKUP(Advices[[#This Row],[LC Number]],'Combine_List'!A:D,4,0)</f>
        <v>RCRC</v>
      </c>
      <c r="O207" s="447">
        <f>VLOOKUP(Advices[[#This Row],[LC Number]],'Combine_List'!A:E,5,0)</f>
        <v>1020106</v>
      </c>
      <c r="P207" s="447">
        <f>MONTH(Advices[[#This Row],[Transaction Date]])</f>
        <v>10</v>
      </c>
      <c r="Q207" s="447">
        <f>YEAR(Advices[[#This Row],[Transaction Date]])</f>
        <v>2025</v>
      </c>
      <c r="R207" s="1"/>
    </row>
    <row r="208" spans="1:18" hidden="1" x14ac:dyDescent="0.25">
      <c r="A208" s="1" t="s">
        <v>612</v>
      </c>
      <c r="B208" s="178">
        <v>45942</v>
      </c>
      <c r="C208" s="1" t="s">
        <v>2101</v>
      </c>
      <c r="D208" s="1" t="s">
        <v>2173</v>
      </c>
      <c r="E208" s="1" t="s">
        <v>719</v>
      </c>
      <c r="F208" s="1" t="s">
        <v>719</v>
      </c>
      <c r="G208" s="1" t="s">
        <v>26</v>
      </c>
      <c r="H208" s="13">
        <v>250</v>
      </c>
      <c r="I208" s="13">
        <v>0</v>
      </c>
      <c r="J208" s="1" t="s">
        <v>2041</v>
      </c>
      <c r="K208" s="1" t="s">
        <v>2025</v>
      </c>
      <c r="L208" s="1" t="str">
        <f>VLOOKUP(Advices[[#This Row],[LC Number]],'Combine_List'!A:D,2,0)</f>
        <v>Al Wasail Industrial Company</v>
      </c>
      <c r="M208" s="447" t="str">
        <f>VLOOKUP(Advices[[#This Row],[LC Number]],'Combine_List'!A:D,3,0)</f>
        <v>FIRST FIX</v>
      </c>
      <c r="N208" s="447" t="str">
        <f>VLOOKUP(Advices[[#This Row],[LC Number]],'Combine_List'!A:D,4,0)</f>
        <v>RCRC</v>
      </c>
      <c r="O208" s="447">
        <f>VLOOKUP(Advices[[#This Row],[LC Number]],'Combine_List'!A:E,5,0)</f>
        <v>1020106</v>
      </c>
      <c r="P208" s="447">
        <f>MONTH(Advices[[#This Row],[Transaction Date]])</f>
        <v>10</v>
      </c>
      <c r="Q208" s="447">
        <f>YEAR(Advices[[#This Row],[Transaction Date]])</f>
        <v>2025</v>
      </c>
      <c r="R208" s="1"/>
    </row>
    <row r="209" spans="1:18" hidden="1" x14ac:dyDescent="0.25">
      <c r="A209" s="1" t="s">
        <v>612</v>
      </c>
      <c r="B209" s="178">
        <v>45942</v>
      </c>
      <c r="C209" s="1" t="s">
        <v>2101</v>
      </c>
      <c r="D209" s="1" t="s">
        <v>2174</v>
      </c>
      <c r="E209" s="1" t="s">
        <v>719</v>
      </c>
      <c r="F209" s="1" t="s">
        <v>719</v>
      </c>
      <c r="G209" s="1" t="s">
        <v>26</v>
      </c>
      <c r="H209" s="13">
        <v>37.5</v>
      </c>
      <c r="I209" s="13">
        <v>0</v>
      </c>
      <c r="J209" s="1" t="s">
        <v>2041</v>
      </c>
      <c r="K209" s="1" t="s">
        <v>2025</v>
      </c>
      <c r="L209" s="1" t="str">
        <f>VLOOKUP(Advices[[#This Row],[LC Number]],'Combine_List'!A:D,2,0)</f>
        <v>Al Wasail Industrial Company</v>
      </c>
      <c r="M209" s="447" t="str">
        <f>VLOOKUP(Advices[[#This Row],[LC Number]],'Combine_List'!A:D,3,0)</f>
        <v>FIRST FIX</v>
      </c>
      <c r="N209" s="447" t="str">
        <f>VLOOKUP(Advices[[#This Row],[LC Number]],'Combine_List'!A:D,4,0)</f>
        <v>RCRC</v>
      </c>
      <c r="O209" s="447">
        <f>VLOOKUP(Advices[[#This Row],[LC Number]],'Combine_List'!A:E,5,0)</f>
        <v>1020106</v>
      </c>
      <c r="P209" s="447">
        <f>MONTH(Advices[[#This Row],[Transaction Date]])</f>
        <v>10</v>
      </c>
      <c r="Q209" s="447">
        <f>YEAR(Advices[[#This Row],[Transaction Date]])</f>
        <v>2025</v>
      </c>
      <c r="R209" s="1"/>
    </row>
    <row r="210" spans="1:18" hidden="1" x14ac:dyDescent="0.25">
      <c r="A210" s="1" t="s">
        <v>612</v>
      </c>
      <c r="B210" s="178">
        <v>45942</v>
      </c>
      <c r="C210" s="1" t="s">
        <v>2101</v>
      </c>
      <c r="D210" s="1" t="s">
        <v>2175</v>
      </c>
      <c r="E210" s="1" t="s">
        <v>719</v>
      </c>
      <c r="F210" s="1" t="s">
        <v>719</v>
      </c>
      <c r="G210" s="1" t="s">
        <v>26</v>
      </c>
      <c r="H210" s="13">
        <v>200</v>
      </c>
      <c r="I210" s="13">
        <v>0</v>
      </c>
      <c r="J210" s="1" t="s">
        <v>2041</v>
      </c>
      <c r="K210" s="1" t="s">
        <v>2025</v>
      </c>
      <c r="L210" s="1" t="str">
        <f>VLOOKUP(Advices[[#This Row],[LC Number]],'Combine_List'!A:D,2,0)</f>
        <v>Al Wasail Industrial Company</v>
      </c>
      <c r="M210" s="447" t="str">
        <f>VLOOKUP(Advices[[#This Row],[LC Number]],'Combine_List'!A:D,3,0)</f>
        <v>FIRST FIX</v>
      </c>
      <c r="N210" s="447" t="str">
        <f>VLOOKUP(Advices[[#This Row],[LC Number]],'Combine_List'!A:D,4,0)</f>
        <v>RCRC</v>
      </c>
      <c r="O210" s="447">
        <f>VLOOKUP(Advices[[#This Row],[LC Number]],'Combine_List'!A:E,5,0)</f>
        <v>1020106</v>
      </c>
      <c r="P210" s="447">
        <f>MONTH(Advices[[#This Row],[Transaction Date]])</f>
        <v>10</v>
      </c>
      <c r="Q210" s="447">
        <f>YEAR(Advices[[#This Row],[Transaction Date]])</f>
        <v>2025</v>
      </c>
      <c r="R210" s="1"/>
    </row>
    <row r="211" spans="1:18" hidden="1" x14ac:dyDescent="0.25">
      <c r="A211" s="1" t="s">
        <v>612</v>
      </c>
      <c r="B211" s="178">
        <v>45942</v>
      </c>
      <c r="C211" s="1" t="s">
        <v>2101</v>
      </c>
      <c r="D211" s="1" t="s">
        <v>2176</v>
      </c>
      <c r="E211" s="1" t="s">
        <v>719</v>
      </c>
      <c r="F211" s="1" t="s">
        <v>719</v>
      </c>
      <c r="G211" s="1" t="s">
        <v>26</v>
      </c>
      <c r="H211" s="13">
        <v>30</v>
      </c>
      <c r="I211" s="13">
        <v>0</v>
      </c>
      <c r="J211" s="1" t="s">
        <v>2041</v>
      </c>
      <c r="K211" s="1" t="s">
        <v>2025</v>
      </c>
      <c r="L211" s="1" t="str">
        <f>VLOOKUP(Advices[[#This Row],[LC Number]],'Combine_List'!A:D,2,0)</f>
        <v>Al Wasail Industrial Company</v>
      </c>
      <c r="M211" s="447" t="str">
        <f>VLOOKUP(Advices[[#This Row],[LC Number]],'Combine_List'!A:D,3,0)</f>
        <v>FIRST FIX</v>
      </c>
      <c r="N211" s="447" t="str">
        <f>VLOOKUP(Advices[[#This Row],[LC Number]],'Combine_List'!A:D,4,0)</f>
        <v>RCRC</v>
      </c>
      <c r="O211" s="447">
        <f>VLOOKUP(Advices[[#This Row],[LC Number]],'Combine_List'!A:E,5,0)</f>
        <v>1020106</v>
      </c>
      <c r="P211" s="447">
        <f>MONTH(Advices[[#This Row],[Transaction Date]])</f>
        <v>10</v>
      </c>
      <c r="Q211" s="447">
        <f>YEAR(Advices[[#This Row],[Transaction Date]])</f>
        <v>2025</v>
      </c>
      <c r="R211" s="1"/>
    </row>
    <row r="212" spans="1:18" hidden="1" x14ac:dyDescent="0.25">
      <c r="A212" s="1" t="s">
        <v>612</v>
      </c>
      <c r="B212" s="178">
        <v>45943</v>
      </c>
      <c r="C212" s="1" t="s">
        <v>2101</v>
      </c>
      <c r="D212" s="1" t="s">
        <v>2177</v>
      </c>
      <c r="E212" s="1" t="s">
        <v>1810</v>
      </c>
      <c r="F212" s="1" t="s">
        <v>1810</v>
      </c>
      <c r="G212" s="1" t="s">
        <v>26</v>
      </c>
      <c r="H212" s="13">
        <v>100</v>
      </c>
      <c r="I212" s="13">
        <v>0</v>
      </c>
      <c r="J212" s="1" t="s">
        <v>2041</v>
      </c>
      <c r="K212" s="1" t="s">
        <v>2025</v>
      </c>
      <c r="L212" s="1" t="str">
        <f>VLOOKUP(Advices[[#This Row],[LC Number]],'Combine_List'!A:D,2,0)</f>
        <v>AL FALWA CO. LTD. FOR READYMIX CONCRETE</v>
      </c>
      <c r="M212" s="447" t="str">
        <f>VLOOKUP(Advices[[#This Row],[LC Number]],'Combine_List'!A:D,3,0)</f>
        <v>MBL</v>
      </c>
      <c r="N212" s="447" t="str">
        <f>VLOOKUP(Advices[[#This Row],[LC Number]],'Combine_List'!A:D,4,0)</f>
        <v>RCRC</v>
      </c>
      <c r="O212" s="447">
        <f>VLOOKUP(Advices[[#This Row],[LC Number]],'Combine_List'!A:E,5,0)</f>
        <v>1020106</v>
      </c>
      <c r="P212" s="447">
        <f>MONTH(Advices[[#This Row],[Transaction Date]])</f>
        <v>10</v>
      </c>
      <c r="Q212" s="447">
        <f>YEAR(Advices[[#This Row],[Transaction Date]])</f>
        <v>2025</v>
      </c>
      <c r="R212" s="1"/>
    </row>
    <row r="213" spans="1:18" hidden="1" x14ac:dyDescent="0.25">
      <c r="A213" s="1" t="s">
        <v>612</v>
      </c>
      <c r="B213" s="178">
        <v>45943</v>
      </c>
      <c r="C213" s="1" t="s">
        <v>2101</v>
      </c>
      <c r="D213" s="1" t="s">
        <v>2178</v>
      </c>
      <c r="E213" s="1" t="s">
        <v>1810</v>
      </c>
      <c r="F213" s="1" t="s">
        <v>1810</v>
      </c>
      <c r="G213" s="1" t="s">
        <v>26</v>
      </c>
      <c r="H213" s="13">
        <v>15</v>
      </c>
      <c r="I213" s="13">
        <v>0</v>
      </c>
      <c r="J213" s="1" t="s">
        <v>2041</v>
      </c>
      <c r="K213" s="1" t="s">
        <v>2025</v>
      </c>
      <c r="L213" s="1" t="str">
        <f>VLOOKUP(Advices[[#This Row],[LC Number]],'Combine_List'!A:D,2,0)</f>
        <v>AL FALWA CO. LTD. FOR READYMIX CONCRETE</v>
      </c>
      <c r="M213" s="447" t="str">
        <f>VLOOKUP(Advices[[#This Row],[LC Number]],'Combine_List'!A:D,3,0)</f>
        <v>MBL</v>
      </c>
      <c r="N213" s="447" t="str">
        <f>VLOOKUP(Advices[[#This Row],[LC Number]],'Combine_List'!A:D,4,0)</f>
        <v>RCRC</v>
      </c>
      <c r="O213" s="447">
        <f>VLOOKUP(Advices[[#This Row],[LC Number]],'Combine_List'!A:E,5,0)</f>
        <v>1020106</v>
      </c>
      <c r="P213" s="447">
        <f>MONTH(Advices[[#This Row],[Transaction Date]])</f>
        <v>10</v>
      </c>
      <c r="Q213" s="447">
        <f>YEAR(Advices[[#This Row],[Transaction Date]])</f>
        <v>2025</v>
      </c>
      <c r="R213" s="1"/>
    </row>
    <row r="214" spans="1:18" hidden="1" x14ac:dyDescent="0.25">
      <c r="A214" s="1" t="s">
        <v>612</v>
      </c>
      <c r="B214" s="178">
        <v>45943</v>
      </c>
      <c r="C214" s="1" t="s">
        <v>2101</v>
      </c>
      <c r="D214" s="1" t="s">
        <v>2179</v>
      </c>
      <c r="E214" s="1" t="s">
        <v>1810</v>
      </c>
      <c r="F214" s="1" t="s">
        <v>1810</v>
      </c>
      <c r="G214" s="1" t="s">
        <v>26</v>
      </c>
      <c r="H214" s="13">
        <v>336</v>
      </c>
      <c r="I214" s="13">
        <v>0</v>
      </c>
      <c r="J214" s="1" t="s">
        <v>2041</v>
      </c>
      <c r="K214" s="1" t="s">
        <v>2025</v>
      </c>
      <c r="L214" s="1" t="str">
        <f>VLOOKUP(Advices[[#This Row],[LC Number]],'Combine_List'!A:D,2,0)</f>
        <v>AL FALWA CO. LTD. FOR READYMIX CONCRETE</v>
      </c>
      <c r="M214" s="447" t="str">
        <f>VLOOKUP(Advices[[#This Row],[LC Number]],'Combine_List'!A:D,3,0)</f>
        <v>MBL</v>
      </c>
      <c r="N214" s="447" t="str">
        <f>VLOOKUP(Advices[[#This Row],[LC Number]],'Combine_List'!A:D,4,0)</f>
        <v>RCRC</v>
      </c>
      <c r="O214" s="447">
        <f>VLOOKUP(Advices[[#This Row],[LC Number]],'Combine_List'!A:E,5,0)</f>
        <v>1020106</v>
      </c>
      <c r="P214" s="447">
        <f>MONTH(Advices[[#This Row],[Transaction Date]])</f>
        <v>10</v>
      </c>
      <c r="Q214" s="447">
        <f>YEAR(Advices[[#This Row],[Transaction Date]])</f>
        <v>2025</v>
      </c>
      <c r="R214" s="1"/>
    </row>
    <row r="215" spans="1:18" hidden="1" x14ac:dyDescent="0.25">
      <c r="A215" s="1" t="s">
        <v>612</v>
      </c>
      <c r="B215" s="178">
        <v>45943</v>
      </c>
      <c r="C215" s="1" t="s">
        <v>2101</v>
      </c>
      <c r="D215" s="1" t="s">
        <v>2180</v>
      </c>
      <c r="E215" s="1" t="s">
        <v>1810</v>
      </c>
      <c r="F215" s="1" t="s">
        <v>1810</v>
      </c>
      <c r="G215" s="1" t="s">
        <v>26</v>
      </c>
      <c r="H215" s="13">
        <v>50.4</v>
      </c>
      <c r="I215" s="13">
        <v>0</v>
      </c>
      <c r="J215" s="1" t="s">
        <v>2041</v>
      </c>
      <c r="K215" s="1" t="s">
        <v>2025</v>
      </c>
      <c r="L215" s="1" t="str">
        <f>VLOOKUP(Advices[[#This Row],[LC Number]],'Combine_List'!A:D,2,0)</f>
        <v>AL FALWA CO. LTD. FOR READYMIX CONCRETE</v>
      </c>
      <c r="M215" s="447" t="str">
        <f>VLOOKUP(Advices[[#This Row],[LC Number]],'Combine_List'!A:D,3,0)</f>
        <v>MBL</v>
      </c>
      <c r="N215" s="447" t="str">
        <f>VLOOKUP(Advices[[#This Row],[LC Number]],'Combine_List'!A:D,4,0)</f>
        <v>RCRC</v>
      </c>
      <c r="O215" s="447">
        <f>VLOOKUP(Advices[[#This Row],[LC Number]],'Combine_List'!A:E,5,0)</f>
        <v>1020106</v>
      </c>
      <c r="P215" s="447">
        <f>MONTH(Advices[[#This Row],[Transaction Date]])</f>
        <v>10</v>
      </c>
      <c r="Q215" s="447">
        <f>YEAR(Advices[[#This Row],[Transaction Date]])</f>
        <v>2025</v>
      </c>
      <c r="R215" s="1"/>
    </row>
    <row r="216" spans="1:18" hidden="1" x14ac:dyDescent="0.25">
      <c r="A216" s="1" t="s">
        <v>612</v>
      </c>
      <c r="B216" s="178">
        <v>45943</v>
      </c>
      <c r="C216" s="1" t="s">
        <v>2101</v>
      </c>
      <c r="D216" s="1" t="s">
        <v>2181</v>
      </c>
      <c r="E216" s="1" t="s">
        <v>1810</v>
      </c>
      <c r="F216" s="1" t="s">
        <v>1810</v>
      </c>
      <c r="G216" s="1" t="s">
        <v>26</v>
      </c>
      <c r="H216" s="13">
        <v>200</v>
      </c>
      <c r="I216" s="13">
        <v>0</v>
      </c>
      <c r="J216" s="1" t="s">
        <v>2041</v>
      </c>
      <c r="K216" s="1" t="s">
        <v>2025</v>
      </c>
      <c r="L216" s="1" t="str">
        <f>VLOOKUP(Advices[[#This Row],[LC Number]],'Combine_List'!A:D,2,0)</f>
        <v>AL FALWA CO. LTD. FOR READYMIX CONCRETE</v>
      </c>
      <c r="M216" s="447" t="str">
        <f>VLOOKUP(Advices[[#This Row],[LC Number]],'Combine_List'!A:D,3,0)</f>
        <v>MBL</v>
      </c>
      <c r="N216" s="447" t="str">
        <f>VLOOKUP(Advices[[#This Row],[LC Number]],'Combine_List'!A:D,4,0)</f>
        <v>RCRC</v>
      </c>
      <c r="O216" s="447">
        <f>VLOOKUP(Advices[[#This Row],[LC Number]],'Combine_List'!A:E,5,0)</f>
        <v>1020106</v>
      </c>
      <c r="P216" s="447">
        <f>MONTH(Advices[[#This Row],[Transaction Date]])</f>
        <v>10</v>
      </c>
      <c r="Q216" s="447">
        <f>YEAR(Advices[[#This Row],[Transaction Date]])</f>
        <v>2025</v>
      </c>
      <c r="R216" s="1"/>
    </row>
    <row r="217" spans="1:18" hidden="1" x14ac:dyDescent="0.25">
      <c r="A217" s="1" t="s">
        <v>612</v>
      </c>
      <c r="B217" s="178">
        <v>45943</v>
      </c>
      <c r="C217" s="1" t="s">
        <v>2101</v>
      </c>
      <c r="D217" s="1" t="s">
        <v>2182</v>
      </c>
      <c r="E217" s="1" t="s">
        <v>1810</v>
      </c>
      <c r="F217" s="1" t="s">
        <v>1810</v>
      </c>
      <c r="G217" s="1" t="s">
        <v>26</v>
      </c>
      <c r="H217" s="13">
        <v>30</v>
      </c>
      <c r="I217" s="13">
        <v>0</v>
      </c>
      <c r="J217" s="1" t="s">
        <v>2041</v>
      </c>
      <c r="K217" s="1" t="s">
        <v>2025</v>
      </c>
      <c r="L217" s="1" t="str">
        <f>VLOOKUP(Advices[[#This Row],[LC Number]],'Combine_List'!A:D,2,0)</f>
        <v>AL FALWA CO. LTD. FOR READYMIX CONCRETE</v>
      </c>
      <c r="M217" s="447" t="str">
        <f>VLOOKUP(Advices[[#This Row],[LC Number]],'Combine_List'!A:D,3,0)</f>
        <v>MBL</v>
      </c>
      <c r="N217" s="447" t="str">
        <f>VLOOKUP(Advices[[#This Row],[LC Number]],'Combine_List'!A:D,4,0)</f>
        <v>RCRC</v>
      </c>
      <c r="O217" s="447">
        <f>VLOOKUP(Advices[[#This Row],[LC Number]],'Combine_List'!A:E,5,0)</f>
        <v>1020106</v>
      </c>
      <c r="P217" s="447">
        <f>MONTH(Advices[[#This Row],[Transaction Date]])</f>
        <v>10</v>
      </c>
      <c r="Q217" s="447">
        <f>YEAR(Advices[[#This Row],[Transaction Date]])</f>
        <v>2025</v>
      </c>
      <c r="R217" s="1"/>
    </row>
    <row r="218" spans="1:18" hidden="1" x14ac:dyDescent="0.25">
      <c r="A218" s="1" t="s">
        <v>612</v>
      </c>
      <c r="B218" s="178">
        <v>45943</v>
      </c>
      <c r="C218" s="1" t="s">
        <v>2101</v>
      </c>
      <c r="D218" s="1" t="s">
        <v>2183</v>
      </c>
      <c r="E218" s="1" t="s">
        <v>717</v>
      </c>
      <c r="F218" s="1" t="s">
        <v>717</v>
      </c>
      <c r="G218" s="1" t="s">
        <v>26</v>
      </c>
      <c r="H218" s="13">
        <v>646875</v>
      </c>
      <c r="I218" s="13">
        <v>0</v>
      </c>
      <c r="J218" s="1" t="s">
        <v>2041</v>
      </c>
      <c r="K218" s="1" t="s">
        <v>2025</v>
      </c>
      <c r="L218" s="1" t="str">
        <f>VLOOKUP(Advices[[#This Row],[LC Number]],'Combine_List'!A:D,2,0)</f>
        <v>Khorayef Industries</v>
      </c>
      <c r="M218" s="447" t="str">
        <f>VLOOKUP(Advices[[#This Row],[LC Number]],'Combine_List'!A:D,3,0)</f>
        <v>FIRST FIX</v>
      </c>
      <c r="N218" s="447" t="str">
        <f>VLOOKUP(Advices[[#This Row],[LC Number]],'Combine_List'!A:D,4,0)</f>
        <v>RCRC</v>
      </c>
      <c r="O218" s="447">
        <f>VLOOKUP(Advices[[#This Row],[LC Number]],'Combine_List'!A:E,5,0)</f>
        <v>1020106</v>
      </c>
      <c r="P218" s="447">
        <f>MONTH(Advices[[#This Row],[Transaction Date]])</f>
        <v>10</v>
      </c>
      <c r="Q218" s="447">
        <f>YEAR(Advices[[#This Row],[Transaction Date]])</f>
        <v>2025</v>
      </c>
      <c r="R218" s="1"/>
    </row>
    <row r="219" spans="1:18" hidden="1" x14ac:dyDescent="0.25">
      <c r="A219" s="1" t="s">
        <v>612</v>
      </c>
      <c r="B219" s="178">
        <v>45943</v>
      </c>
      <c r="C219" s="1" t="s">
        <v>2101</v>
      </c>
      <c r="D219" s="1" t="s">
        <v>2184</v>
      </c>
      <c r="E219" s="1" t="s">
        <v>1396</v>
      </c>
      <c r="F219" s="1" t="s">
        <v>1396</v>
      </c>
      <c r="G219" s="1" t="s">
        <v>26</v>
      </c>
      <c r="H219" s="13">
        <v>125131.5</v>
      </c>
      <c r="I219" s="13">
        <v>0</v>
      </c>
      <c r="J219" s="1" t="s">
        <v>2041</v>
      </c>
      <c r="K219" s="1" t="s">
        <v>2025</v>
      </c>
      <c r="L219" s="1" t="str">
        <f>VLOOKUP(Advices[[#This Row],[LC Number]],'Combine_List'!A:D,2,0)</f>
        <v>Baamer Group for Trading Company</v>
      </c>
      <c r="M219" s="447" t="str">
        <f>VLOOKUP(Advices[[#This Row],[LC Number]],'Combine_List'!A:D,3,0)</f>
        <v>FIRST FIX</v>
      </c>
      <c r="N219" s="447" t="str">
        <f>VLOOKUP(Advices[[#This Row],[LC Number]],'Combine_List'!A:D,4,0)</f>
        <v>RCRC</v>
      </c>
      <c r="O219" s="447">
        <f>VLOOKUP(Advices[[#This Row],[LC Number]],'Combine_List'!A:E,5,0)</f>
        <v>1020106</v>
      </c>
      <c r="P219" s="447">
        <f>MONTH(Advices[[#This Row],[Transaction Date]])</f>
        <v>10</v>
      </c>
      <c r="Q219" s="447">
        <f>YEAR(Advices[[#This Row],[Transaction Date]])</f>
        <v>2025</v>
      </c>
      <c r="R219" s="1"/>
    </row>
    <row r="220" spans="1:18" hidden="1" x14ac:dyDescent="0.25">
      <c r="A220" s="1" t="s">
        <v>612</v>
      </c>
      <c r="B220" s="178">
        <v>45943</v>
      </c>
      <c r="C220" s="1" t="s">
        <v>2101</v>
      </c>
      <c r="D220" s="1" t="s">
        <v>2185</v>
      </c>
      <c r="E220" s="1" t="s">
        <v>1610</v>
      </c>
      <c r="F220" s="1" t="s">
        <v>1610</v>
      </c>
      <c r="G220" s="1" t="s">
        <v>26</v>
      </c>
      <c r="H220" s="13">
        <v>359031.77</v>
      </c>
      <c r="I220" s="13">
        <v>0</v>
      </c>
      <c r="J220" s="1" t="s">
        <v>2041</v>
      </c>
      <c r="K220" s="1" t="s">
        <v>2025</v>
      </c>
      <c r="L220" s="1" t="str">
        <f>VLOOKUP(Advices[[#This Row],[LC Number]],'Combine_List'!A:D,2,0)</f>
        <v>Metten Al-Arabia Ltd Co (METARA)</v>
      </c>
      <c r="M220" s="447" t="str">
        <f>VLOOKUP(Advices[[#This Row],[LC Number]],'Combine_List'!A:D,3,0)</f>
        <v>MBL</v>
      </c>
      <c r="N220" s="447" t="str">
        <f>VLOOKUP(Advices[[#This Row],[LC Number]],'Combine_List'!A:D,4,0)</f>
        <v>RCRC</v>
      </c>
      <c r="O220" s="447">
        <f>VLOOKUP(Advices[[#This Row],[LC Number]],'Combine_List'!A:E,5,0)</f>
        <v>1020106</v>
      </c>
      <c r="P220" s="447">
        <f>MONTH(Advices[[#This Row],[Transaction Date]])</f>
        <v>10</v>
      </c>
      <c r="Q220" s="447">
        <f>YEAR(Advices[[#This Row],[Transaction Date]])</f>
        <v>2025</v>
      </c>
      <c r="R220" s="1"/>
    </row>
    <row r="221" spans="1:18" x14ac:dyDescent="0.25">
      <c r="A221" s="1" t="s">
        <v>21</v>
      </c>
      <c r="B221" s="178">
        <v>45944</v>
      </c>
      <c r="C221" s="1" t="s">
        <v>1951</v>
      </c>
      <c r="D221" s="1" t="s">
        <v>1960</v>
      </c>
      <c r="E221" s="1" t="s">
        <v>770</v>
      </c>
      <c r="F221" s="1" t="s">
        <v>2186</v>
      </c>
      <c r="G221" s="1" t="s">
        <v>26</v>
      </c>
      <c r="H221" s="13">
        <v>11.25</v>
      </c>
      <c r="I221" s="13">
        <v>0</v>
      </c>
      <c r="J221" s="1" t="s">
        <v>1174</v>
      </c>
      <c r="K221" s="1" t="s">
        <v>2025</v>
      </c>
      <c r="L221" s="1" t="str">
        <f>VLOOKUP(Advices[[#This Row],[LC Number]],'Combine_List'!A:D,2,0)</f>
        <v>ALFANAR ELECTRICAL SYSTEMS.</v>
      </c>
      <c r="M221" s="447" t="str">
        <f>VLOOKUP(Advices[[#This Row],[LC Number]],'Combine_List'!A:D,3,0)</f>
        <v>FIRST FIX</v>
      </c>
      <c r="N221" s="447" t="str">
        <f>VLOOKUP(Advices[[#This Row],[LC Number]],'Combine_List'!A:D,4,0)</f>
        <v>JCD SPMI</v>
      </c>
      <c r="O221" s="447">
        <f>VLOOKUP(Advices[[#This Row],[LC Number]],'Combine_List'!A:E,5,0)</f>
        <v>1020100</v>
      </c>
      <c r="P221" s="447">
        <f>MONTH(Advices[[#This Row],[Transaction Date]])</f>
        <v>10</v>
      </c>
      <c r="Q221" s="447">
        <f>YEAR(Advices[[#This Row],[Transaction Date]])</f>
        <v>2025</v>
      </c>
      <c r="R221" s="1"/>
    </row>
    <row r="222" spans="1:18" x14ac:dyDescent="0.25">
      <c r="A222" s="1" t="s">
        <v>21</v>
      </c>
      <c r="B222" s="178">
        <v>45944</v>
      </c>
      <c r="C222" s="1" t="s">
        <v>1951</v>
      </c>
      <c r="D222" s="1" t="s">
        <v>2187</v>
      </c>
      <c r="E222" s="1" t="s">
        <v>770</v>
      </c>
      <c r="F222" s="1" t="s">
        <v>2186</v>
      </c>
      <c r="G222" s="1" t="s">
        <v>26</v>
      </c>
      <c r="H222" s="13">
        <v>75</v>
      </c>
      <c r="I222" s="13">
        <v>0</v>
      </c>
      <c r="J222" s="1" t="s">
        <v>1963</v>
      </c>
      <c r="K222" s="1" t="s">
        <v>2025</v>
      </c>
      <c r="L222" s="1" t="str">
        <f>VLOOKUP(Advices[[#This Row],[LC Number]],'Combine_List'!A:D,2,0)</f>
        <v>ALFANAR ELECTRICAL SYSTEMS.</v>
      </c>
      <c r="M222" s="447" t="str">
        <f>VLOOKUP(Advices[[#This Row],[LC Number]],'Combine_List'!A:D,3,0)</f>
        <v>FIRST FIX</v>
      </c>
      <c r="N222" s="447" t="str">
        <f>VLOOKUP(Advices[[#This Row],[LC Number]],'Combine_List'!A:D,4,0)</f>
        <v>JCD SPMI</v>
      </c>
      <c r="O222" s="447">
        <f>VLOOKUP(Advices[[#This Row],[LC Number]],'Combine_List'!A:E,5,0)</f>
        <v>1020100</v>
      </c>
      <c r="P222" s="447">
        <f>MONTH(Advices[[#This Row],[Transaction Date]])</f>
        <v>10</v>
      </c>
      <c r="Q222" s="447">
        <f>YEAR(Advices[[#This Row],[Transaction Date]])</f>
        <v>2025</v>
      </c>
      <c r="R222" s="1"/>
    </row>
    <row r="223" spans="1:18" x14ac:dyDescent="0.25">
      <c r="A223" s="1" t="s">
        <v>21</v>
      </c>
      <c r="B223" s="178">
        <v>45944</v>
      </c>
      <c r="C223" s="1" t="s">
        <v>1951</v>
      </c>
      <c r="D223" s="1" t="s">
        <v>2188</v>
      </c>
      <c r="E223" s="1" t="s">
        <v>770</v>
      </c>
      <c r="F223" s="1" t="s">
        <v>2186</v>
      </c>
      <c r="G223" s="1" t="s">
        <v>26</v>
      </c>
      <c r="H223" s="13">
        <v>400000</v>
      </c>
      <c r="I223" s="13">
        <v>0</v>
      </c>
      <c r="J223" s="1" t="s">
        <v>1126</v>
      </c>
      <c r="K223" s="1" t="s">
        <v>2025</v>
      </c>
      <c r="L223" s="1" t="str">
        <f>VLOOKUP(Advices[[#This Row],[LC Number]],'Combine_List'!A:D,2,0)</f>
        <v>ALFANAR ELECTRICAL SYSTEMS.</v>
      </c>
      <c r="M223" s="447" t="str">
        <f>VLOOKUP(Advices[[#This Row],[LC Number]],'Combine_List'!A:D,3,0)</f>
        <v>FIRST FIX</v>
      </c>
      <c r="N223" s="447" t="str">
        <f>VLOOKUP(Advices[[#This Row],[LC Number]],'Combine_List'!A:D,4,0)</f>
        <v>JCD SPMI</v>
      </c>
      <c r="O223" s="447">
        <f>VLOOKUP(Advices[[#This Row],[LC Number]],'Combine_List'!A:E,5,0)</f>
        <v>1020100</v>
      </c>
      <c r="P223" s="447">
        <f>MONTH(Advices[[#This Row],[Transaction Date]])</f>
        <v>10</v>
      </c>
      <c r="Q223" s="447">
        <f>YEAR(Advices[[#This Row],[Transaction Date]])</f>
        <v>2025</v>
      </c>
      <c r="R223" s="1"/>
    </row>
    <row r="224" spans="1:18" x14ac:dyDescent="0.25">
      <c r="A224" s="1" t="s">
        <v>21</v>
      </c>
      <c r="B224" s="178">
        <v>45944</v>
      </c>
      <c r="C224" s="1" t="s">
        <v>1951</v>
      </c>
      <c r="D224" s="1" t="s">
        <v>1960</v>
      </c>
      <c r="E224" s="1" t="s">
        <v>820</v>
      </c>
      <c r="F224" s="1" t="s">
        <v>2189</v>
      </c>
      <c r="G224" s="1" t="s">
        <v>26</v>
      </c>
      <c r="H224" s="13">
        <v>11.25</v>
      </c>
      <c r="I224" s="13">
        <v>0</v>
      </c>
      <c r="J224" s="1" t="s">
        <v>1174</v>
      </c>
      <c r="K224" s="1" t="s">
        <v>2025</v>
      </c>
      <c r="L224" s="1" t="str">
        <f>VLOOKUP(Advices[[#This Row],[LC Number]],'Combine_List'!A:D,2,0)</f>
        <v>Masdar Technical Supplies Co</v>
      </c>
      <c r="M224" s="447" t="str">
        <f>VLOOKUP(Advices[[#This Row],[LC Number]],'Combine_List'!A:D,3,0)</f>
        <v>FIRST FIX</v>
      </c>
      <c r="N224" s="447" t="str">
        <f>VLOOKUP(Advices[[#This Row],[LC Number]],'Combine_List'!A:D,4,0)</f>
        <v>KSP</v>
      </c>
      <c r="O224" s="447">
        <f>VLOOKUP(Advices[[#This Row],[LC Number]],'Combine_List'!A:E,5,0)</f>
        <v>1020055</v>
      </c>
      <c r="P224" s="447">
        <f>MONTH(Advices[[#This Row],[Transaction Date]])</f>
        <v>10</v>
      </c>
      <c r="Q224" s="447">
        <f>YEAR(Advices[[#This Row],[Transaction Date]])</f>
        <v>2025</v>
      </c>
      <c r="R224" s="1"/>
    </row>
    <row r="225" spans="1:18" x14ac:dyDescent="0.25">
      <c r="A225" s="1" t="s">
        <v>21</v>
      </c>
      <c r="B225" s="178">
        <v>45944</v>
      </c>
      <c r="C225" s="1" t="s">
        <v>1951</v>
      </c>
      <c r="D225" s="1" t="s">
        <v>2190</v>
      </c>
      <c r="E225" s="1" t="s">
        <v>820</v>
      </c>
      <c r="F225" s="1" t="s">
        <v>2189</v>
      </c>
      <c r="G225" s="1" t="s">
        <v>26</v>
      </c>
      <c r="H225" s="13">
        <v>75</v>
      </c>
      <c r="I225" s="13">
        <v>0</v>
      </c>
      <c r="J225" s="1" t="s">
        <v>1963</v>
      </c>
      <c r="K225" s="1" t="s">
        <v>2025</v>
      </c>
      <c r="L225" s="1" t="str">
        <f>VLOOKUP(Advices[[#This Row],[LC Number]],'Combine_List'!A:D,2,0)</f>
        <v>Masdar Technical Supplies Co</v>
      </c>
      <c r="M225" s="447" t="str">
        <f>VLOOKUP(Advices[[#This Row],[LC Number]],'Combine_List'!A:D,3,0)</f>
        <v>FIRST FIX</v>
      </c>
      <c r="N225" s="447" t="str">
        <f>VLOOKUP(Advices[[#This Row],[LC Number]],'Combine_List'!A:D,4,0)</f>
        <v>KSP</v>
      </c>
      <c r="O225" s="447">
        <f>VLOOKUP(Advices[[#This Row],[LC Number]],'Combine_List'!A:E,5,0)</f>
        <v>1020055</v>
      </c>
      <c r="P225" s="447">
        <f>MONTH(Advices[[#This Row],[Transaction Date]])</f>
        <v>10</v>
      </c>
      <c r="Q225" s="447">
        <f>YEAR(Advices[[#This Row],[Transaction Date]])</f>
        <v>2025</v>
      </c>
      <c r="R225" s="1"/>
    </row>
    <row r="226" spans="1:18" x14ac:dyDescent="0.25">
      <c r="A226" s="1" t="s">
        <v>21</v>
      </c>
      <c r="B226" s="178">
        <v>45944</v>
      </c>
      <c r="C226" s="1" t="s">
        <v>1951</v>
      </c>
      <c r="D226" s="1" t="s">
        <v>2191</v>
      </c>
      <c r="E226" s="1" t="s">
        <v>820</v>
      </c>
      <c r="F226" s="1" t="s">
        <v>2189</v>
      </c>
      <c r="G226" s="1" t="s">
        <v>26</v>
      </c>
      <c r="H226" s="13">
        <v>413173.15</v>
      </c>
      <c r="I226" s="13">
        <v>0</v>
      </c>
      <c r="J226" s="1" t="s">
        <v>1126</v>
      </c>
      <c r="K226" s="1" t="s">
        <v>2025</v>
      </c>
      <c r="L226" s="1" t="str">
        <f>VLOOKUP(Advices[[#This Row],[LC Number]],'Combine_List'!A:D,2,0)</f>
        <v>Masdar Technical Supplies Co</v>
      </c>
      <c r="M226" s="447" t="str">
        <f>VLOOKUP(Advices[[#This Row],[LC Number]],'Combine_List'!A:D,3,0)</f>
        <v>FIRST FIX</v>
      </c>
      <c r="N226" s="447" t="str">
        <f>VLOOKUP(Advices[[#This Row],[LC Number]],'Combine_List'!A:D,4,0)</f>
        <v>KSP</v>
      </c>
      <c r="O226" s="447">
        <f>VLOOKUP(Advices[[#This Row],[LC Number]],'Combine_List'!A:E,5,0)</f>
        <v>1020055</v>
      </c>
      <c r="P226" s="447">
        <f>MONTH(Advices[[#This Row],[Transaction Date]])</f>
        <v>10</v>
      </c>
      <c r="Q226" s="447">
        <f>YEAR(Advices[[#This Row],[Transaction Date]])</f>
        <v>2025</v>
      </c>
      <c r="R226" s="1"/>
    </row>
    <row r="227" spans="1:18" x14ac:dyDescent="0.25">
      <c r="A227" s="1" t="s">
        <v>21</v>
      </c>
      <c r="B227" s="178">
        <v>45944</v>
      </c>
      <c r="C227" s="1" t="s">
        <v>1951</v>
      </c>
      <c r="D227" s="1" t="s">
        <v>1960</v>
      </c>
      <c r="E227" s="1" t="s">
        <v>1500</v>
      </c>
      <c r="F227" s="1" t="s">
        <v>2192</v>
      </c>
      <c r="G227" s="1" t="s">
        <v>26</v>
      </c>
      <c r="H227" s="13">
        <v>11.25</v>
      </c>
      <c r="I227" s="13">
        <v>0</v>
      </c>
      <c r="J227" s="1" t="s">
        <v>1174</v>
      </c>
      <c r="K227" s="1" t="s">
        <v>2025</v>
      </c>
      <c r="L227" s="1" t="str">
        <f>VLOOKUP(Advices[[#This Row],[LC Number]],'Combine_List'!A:D,2,0)</f>
        <v>MAHMOUD ALTAHENI &amp; PARTNERS TRADING CO.</v>
      </c>
      <c r="M227" s="447" t="str">
        <f>VLOOKUP(Advices[[#This Row],[LC Number]],'Combine_List'!A:D,3,0)</f>
        <v>FIRST FIX</v>
      </c>
      <c r="N227" s="447" t="str">
        <f>VLOOKUP(Advices[[#This Row],[LC Number]],'Combine_List'!A:D,4,0)</f>
        <v>JCD SPMI</v>
      </c>
      <c r="O227" s="447">
        <f>VLOOKUP(Advices[[#This Row],[LC Number]],'Combine_List'!A:E,5,0)</f>
        <v>1020100</v>
      </c>
      <c r="P227" s="447">
        <f>MONTH(Advices[[#This Row],[Transaction Date]])</f>
        <v>10</v>
      </c>
      <c r="Q227" s="447">
        <f>YEAR(Advices[[#This Row],[Transaction Date]])</f>
        <v>2025</v>
      </c>
      <c r="R227" s="1"/>
    </row>
    <row r="228" spans="1:18" x14ac:dyDescent="0.25">
      <c r="A228" s="1" t="s">
        <v>21</v>
      </c>
      <c r="B228" s="178">
        <v>45944</v>
      </c>
      <c r="C228" s="1" t="s">
        <v>1951</v>
      </c>
      <c r="D228" s="1" t="s">
        <v>2193</v>
      </c>
      <c r="E228" s="1" t="s">
        <v>1500</v>
      </c>
      <c r="F228" s="1" t="s">
        <v>2192</v>
      </c>
      <c r="G228" s="1" t="s">
        <v>26</v>
      </c>
      <c r="H228" s="13">
        <v>75</v>
      </c>
      <c r="I228" s="13">
        <v>0</v>
      </c>
      <c r="J228" s="1" t="s">
        <v>1963</v>
      </c>
      <c r="K228" s="1" t="s">
        <v>2025</v>
      </c>
      <c r="L228" s="1" t="str">
        <f>VLOOKUP(Advices[[#This Row],[LC Number]],'Combine_List'!A:D,2,0)</f>
        <v>MAHMOUD ALTAHENI &amp; PARTNERS TRADING CO.</v>
      </c>
      <c r="M228" s="447" t="str">
        <f>VLOOKUP(Advices[[#This Row],[LC Number]],'Combine_List'!A:D,3,0)</f>
        <v>FIRST FIX</v>
      </c>
      <c r="N228" s="447" t="str">
        <f>VLOOKUP(Advices[[#This Row],[LC Number]],'Combine_List'!A:D,4,0)</f>
        <v>JCD SPMI</v>
      </c>
      <c r="O228" s="447">
        <f>VLOOKUP(Advices[[#This Row],[LC Number]],'Combine_List'!A:E,5,0)</f>
        <v>1020100</v>
      </c>
      <c r="P228" s="447">
        <f>MONTH(Advices[[#This Row],[Transaction Date]])</f>
        <v>10</v>
      </c>
      <c r="Q228" s="447">
        <f>YEAR(Advices[[#This Row],[Transaction Date]])</f>
        <v>2025</v>
      </c>
      <c r="R228" s="1"/>
    </row>
    <row r="229" spans="1:18" x14ac:dyDescent="0.25">
      <c r="A229" s="1" t="s">
        <v>21</v>
      </c>
      <c r="B229" s="178">
        <v>45944</v>
      </c>
      <c r="C229" s="1" t="s">
        <v>1951</v>
      </c>
      <c r="D229" s="1" t="s">
        <v>2194</v>
      </c>
      <c r="E229" s="1" t="s">
        <v>1500</v>
      </c>
      <c r="F229" s="1" t="s">
        <v>2192</v>
      </c>
      <c r="G229" s="1" t="s">
        <v>26</v>
      </c>
      <c r="H229" s="13">
        <v>340841.26</v>
      </c>
      <c r="I229" s="13">
        <v>0</v>
      </c>
      <c r="J229" s="1" t="s">
        <v>1126</v>
      </c>
      <c r="K229" s="1" t="s">
        <v>2025</v>
      </c>
      <c r="L229" s="1" t="str">
        <f>VLOOKUP(Advices[[#This Row],[LC Number]],'Combine_List'!A:D,2,0)</f>
        <v>MAHMOUD ALTAHENI &amp; PARTNERS TRADING CO.</v>
      </c>
      <c r="M229" s="447" t="str">
        <f>VLOOKUP(Advices[[#This Row],[LC Number]],'Combine_List'!A:D,3,0)</f>
        <v>FIRST FIX</v>
      </c>
      <c r="N229" s="447" t="str">
        <f>VLOOKUP(Advices[[#This Row],[LC Number]],'Combine_List'!A:D,4,0)</f>
        <v>JCD SPMI</v>
      </c>
      <c r="O229" s="447">
        <f>VLOOKUP(Advices[[#This Row],[LC Number]],'Combine_List'!A:E,5,0)</f>
        <v>1020100</v>
      </c>
      <c r="P229" s="447">
        <f>MONTH(Advices[[#This Row],[Transaction Date]])</f>
        <v>10</v>
      </c>
      <c r="Q229" s="447">
        <f>YEAR(Advices[[#This Row],[Transaction Date]])</f>
        <v>2025</v>
      </c>
      <c r="R229" s="1"/>
    </row>
    <row r="230" spans="1:18" x14ac:dyDescent="0.25">
      <c r="A230" s="1" t="s">
        <v>21</v>
      </c>
      <c r="B230" s="178">
        <v>45944</v>
      </c>
      <c r="C230" s="1" t="s">
        <v>1951</v>
      </c>
      <c r="D230" s="1" t="s">
        <v>2195</v>
      </c>
      <c r="E230" s="1" t="s">
        <v>1895</v>
      </c>
      <c r="F230" s="1" t="s">
        <v>1895</v>
      </c>
      <c r="G230" s="1" t="s">
        <v>26</v>
      </c>
      <c r="H230" s="13">
        <v>37.5</v>
      </c>
      <c r="I230" s="13">
        <v>0</v>
      </c>
      <c r="J230" s="1" t="s">
        <v>1174</v>
      </c>
      <c r="K230" s="1" t="s">
        <v>2025</v>
      </c>
      <c r="L230" s="1" t="str">
        <f>VLOOKUP(Advices[[#This Row],[LC Number]],'Combine_List'!A:D,2,0)</f>
        <v>BRC Industrial (Saudia) Company</v>
      </c>
      <c r="M230" s="447" t="str">
        <f>VLOOKUP(Advices[[#This Row],[LC Number]],'Combine_List'!A:D,3,0)</f>
        <v>MBL</v>
      </c>
      <c r="N230" s="447" t="str">
        <f>VLOOKUP(Advices[[#This Row],[LC Number]],'Combine_List'!A:D,4,0)</f>
        <v>Rabigh Power Plant</v>
      </c>
      <c r="O230" s="447">
        <f>VLOOKUP(Advices[[#This Row],[LC Number]],'Combine_List'!A:E,5,0)</f>
        <v>1020107</v>
      </c>
      <c r="P230" s="447">
        <f>MONTH(Advices[[#This Row],[Transaction Date]])</f>
        <v>10</v>
      </c>
      <c r="Q230" s="447">
        <f>YEAR(Advices[[#This Row],[Transaction Date]])</f>
        <v>2025</v>
      </c>
      <c r="R230" s="1"/>
    </row>
    <row r="231" spans="1:18" x14ac:dyDescent="0.25">
      <c r="A231" s="1" t="s">
        <v>21</v>
      </c>
      <c r="B231" s="178">
        <v>45944</v>
      </c>
      <c r="C231" s="1" t="s">
        <v>1951</v>
      </c>
      <c r="D231" s="1" t="s">
        <v>2196</v>
      </c>
      <c r="E231" s="1" t="s">
        <v>1895</v>
      </c>
      <c r="F231" s="1" t="s">
        <v>1895</v>
      </c>
      <c r="G231" s="1" t="s">
        <v>26</v>
      </c>
      <c r="H231" s="13">
        <v>250</v>
      </c>
      <c r="I231" s="13">
        <v>0</v>
      </c>
      <c r="J231" s="1" t="s">
        <v>1963</v>
      </c>
      <c r="K231" s="1" t="s">
        <v>2025</v>
      </c>
      <c r="L231" s="1" t="str">
        <f>VLOOKUP(Advices[[#This Row],[LC Number]],'Combine_List'!A:D,2,0)</f>
        <v>BRC Industrial (Saudia) Company</v>
      </c>
      <c r="M231" s="447" t="str">
        <f>VLOOKUP(Advices[[#This Row],[LC Number]],'Combine_List'!A:D,3,0)</f>
        <v>MBL</v>
      </c>
      <c r="N231" s="447" t="str">
        <f>VLOOKUP(Advices[[#This Row],[LC Number]],'Combine_List'!A:D,4,0)</f>
        <v>Rabigh Power Plant</v>
      </c>
      <c r="O231" s="447">
        <f>VLOOKUP(Advices[[#This Row],[LC Number]],'Combine_List'!A:E,5,0)</f>
        <v>1020107</v>
      </c>
      <c r="P231" s="447">
        <f>MONTH(Advices[[#This Row],[Transaction Date]])</f>
        <v>10</v>
      </c>
      <c r="Q231" s="447">
        <f>YEAR(Advices[[#This Row],[Transaction Date]])</f>
        <v>2025</v>
      </c>
      <c r="R231" s="1"/>
    </row>
    <row r="232" spans="1:18" x14ac:dyDescent="0.25">
      <c r="A232" s="1" t="s">
        <v>21</v>
      </c>
      <c r="B232" s="178">
        <v>45944</v>
      </c>
      <c r="C232" s="1" t="s">
        <v>1951</v>
      </c>
      <c r="D232" s="1" t="s">
        <v>2195</v>
      </c>
      <c r="E232" s="1" t="s">
        <v>1895</v>
      </c>
      <c r="F232" s="1" t="s">
        <v>1895</v>
      </c>
      <c r="G232" s="1" t="s">
        <v>26</v>
      </c>
      <c r="H232" s="13">
        <v>432.88</v>
      </c>
      <c r="I232" s="13">
        <v>0</v>
      </c>
      <c r="J232" s="1" t="s">
        <v>1174</v>
      </c>
      <c r="K232" s="1" t="s">
        <v>2025</v>
      </c>
      <c r="L232" s="1" t="str">
        <f>VLOOKUP(Advices[[#This Row],[LC Number]],'Combine_List'!A:D,2,0)</f>
        <v>BRC Industrial (Saudia) Company</v>
      </c>
      <c r="M232" s="447" t="str">
        <f>VLOOKUP(Advices[[#This Row],[LC Number]],'Combine_List'!A:D,3,0)</f>
        <v>MBL</v>
      </c>
      <c r="N232" s="447" t="str">
        <f>VLOOKUP(Advices[[#This Row],[LC Number]],'Combine_List'!A:D,4,0)</f>
        <v>Rabigh Power Plant</v>
      </c>
      <c r="O232" s="447">
        <f>VLOOKUP(Advices[[#This Row],[LC Number]],'Combine_List'!A:E,5,0)</f>
        <v>1020107</v>
      </c>
      <c r="P232" s="447">
        <f>MONTH(Advices[[#This Row],[Transaction Date]])</f>
        <v>10</v>
      </c>
      <c r="Q232" s="447">
        <f>YEAR(Advices[[#This Row],[Transaction Date]])</f>
        <v>2025</v>
      </c>
      <c r="R232" s="1"/>
    </row>
    <row r="233" spans="1:18" x14ac:dyDescent="0.25">
      <c r="A233" s="1" t="s">
        <v>21</v>
      </c>
      <c r="B233" s="178">
        <v>45944</v>
      </c>
      <c r="C233" s="1" t="s">
        <v>1951</v>
      </c>
      <c r="D233" s="1" t="s">
        <v>2197</v>
      </c>
      <c r="E233" s="1" t="s">
        <v>1895</v>
      </c>
      <c r="F233" s="1" t="s">
        <v>1895</v>
      </c>
      <c r="G233" s="1" t="s">
        <v>26</v>
      </c>
      <c r="H233" s="13">
        <v>2885.89</v>
      </c>
      <c r="I233" s="13">
        <v>0</v>
      </c>
      <c r="J233" s="1" t="s">
        <v>1124</v>
      </c>
      <c r="K233" s="1" t="s">
        <v>2025</v>
      </c>
      <c r="L233" s="1" t="str">
        <f>VLOOKUP(Advices[[#This Row],[LC Number]],'Combine_List'!A:D,2,0)</f>
        <v>BRC Industrial (Saudia) Company</v>
      </c>
      <c r="M233" s="447" t="str">
        <f>VLOOKUP(Advices[[#This Row],[LC Number]],'Combine_List'!A:D,3,0)</f>
        <v>MBL</v>
      </c>
      <c r="N233" s="447" t="str">
        <f>VLOOKUP(Advices[[#This Row],[LC Number]],'Combine_List'!A:D,4,0)</f>
        <v>Rabigh Power Plant</v>
      </c>
      <c r="O233" s="447">
        <f>VLOOKUP(Advices[[#This Row],[LC Number]],'Combine_List'!A:E,5,0)</f>
        <v>1020107</v>
      </c>
      <c r="P233" s="447">
        <f>MONTH(Advices[[#This Row],[Transaction Date]])</f>
        <v>10</v>
      </c>
      <c r="Q233" s="447">
        <f>YEAR(Advices[[#This Row],[Transaction Date]])</f>
        <v>2025</v>
      </c>
      <c r="R233" s="1"/>
    </row>
    <row r="234" spans="1:18" hidden="1" x14ac:dyDescent="0.25">
      <c r="A234" s="1" t="s">
        <v>612</v>
      </c>
      <c r="B234" s="178">
        <v>45944</v>
      </c>
      <c r="C234" s="1" t="s">
        <v>2101</v>
      </c>
      <c r="D234" s="1" t="s">
        <v>2198</v>
      </c>
      <c r="E234" s="1" t="s">
        <v>1235</v>
      </c>
      <c r="F234" s="1" t="s">
        <v>1235</v>
      </c>
      <c r="G234" s="1" t="s">
        <v>26</v>
      </c>
      <c r="H234" s="13">
        <v>153844.13</v>
      </c>
      <c r="I234" s="13">
        <v>0</v>
      </c>
      <c r="J234" s="1" t="s">
        <v>2041</v>
      </c>
      <c r="K234" s="1" t="s">
        <v>2025</v>
      </c>
      <c r="L234" s="1" t="str">
        <f>VLOOKUP(Advices[[#This Row],[LC Number]],'Combine_List'!A:D,2,0)</f>
        <v>MOHAMMED RAMADAN SHAT FACTORY FOR METAL INDUSTRIES</v>
      </c>
      <c r="M234" s="447" t="str">
        <f>VLOOKUP(Advices[[#This Row],[LC Number]],'Combine_List'!A:D,3,0)</f>
        <v>FIRST FIX</v>
      </c>
      <c r="N234" s="447" t="str">
        <f>VLOOKUP(Advices[[#This Row],[LC Number]],'Combine_List'!A:D,4,0)</f>
        <v>RCRC</v>
      </c>
      <c r="O234" s="447">
        <f>VLOOKUP(Advices[[#This Row],[LC Number]],'Combine_List'!A:E,5,0)</f>
        <v>1020106</v>
      </c>
      <c r="P234" s="447">
        <f>MONTH(Advices[[#This Row],[Transaction Date]])</f>
        <v>10</v>
      </c>
      <c r="Q234" s="447">
        <f>YEAR(Advices[[#This Row],[Transaction Date]])</f>
        <v>2025</v>
      </c>
      <c r="R234" s="1"/>
    </row>
    <row r="235" spans="1:18" hidden="1" x14ac:dyDescent="0.25">
      <c r="A235" s="1" t="s">
        <v>612</v>
      </c>
      <c r="B235" s="178">
        <v>45944</v>
      </c>
      <c r="C235" s="1" t="s">
        <v>2101</v>
      </c>
      <c r="D235" s="1" t="s">
        <v>2199</v>
      </c>
      <c r="E235" s="1" t="s">
        <v>1820</v>
      </c>
      <c r="F235" s="1" t="s">
        <v>1820</v>
      </c>
      <c r="G235" s="1" t="s">
        <v>26</v>
      </c>
      <c r="H235" s="13">
        <v>100</v>
      </c>
      <c r="I235" s="13">
        <v>0</v>
      </c>
      <c r="J235" s="1" t="s">
        <v>2041</v>
      </c>
      <c r="K235" s="1" t="s">
        <v>2025</v>
      </c>
      <c r="L235" s="1" t="str">
        <f>VLOOKUP(Advices[[#This Row],[LC Number]],'Combine_List'!A:D,2,0)</f>
        <v>Saudi Benaa Company for Building Materials</v>
      </c>
      <c r="M235" s="447" t="str">
        <f>VLOOKUP(Advices[[#This Row],[LC Number]],'Combine_List'!A:D,3,0)</f>
        <v>FIRST FIX</v>
      </c>
      <c r="N235" s="447" t="str">
        <f>VLOOKUP(Advices[[#This Row],[LC Number]],'Combine_List'!A:D,4,0)</f>
        <v>RCRC</v>
      </c>
      <c r="O235" s="447">
        <f>VLOOKUP(Advices[[#This Row],[LC Number]],'Combine_List'!A:E,5,0)</f>
        <v>1020106</v>
      </c>
      <c r="P235" s="447">
        <f>MONTH(Advices[[#This Row],[Transaction Date]])</f>
        <v>10</v>
      </c>
      <c r="Q235" s="447">
        <f>YEAR(Advices[[#This Row],[Transaction Date]])</f>
        <v>2025</v>
      </c>
      <c r="R235" s="1"/>
    </row>
    <row r="236" spans="1:18" hidden="1" x14ac:dyDescent="0.25">
      <c r="A236" s="1" t="s">
        <v>612</v>
      </c>
      <c r="B236" s="178">
        <v>45944</v>
      </c>
      <c r="C236" s="1" t="s">
        <v>2101</v>
      </c>
      <c r="D236" s="1" t="s">
        <v>2200</v>
      </c>
      <c r="E236" s="1" t="s">
        <v>1820</v>
      </c>
      <c r="F236" s="1" t="s">
        <v>1820</v>
      </c>
      <c r="G236" s="1" t="s">
        <v>26</v>
      </c>
      <c r="H236" s="13">
        <v>15</v>
      </c>
      <c r="I236" s="13">
        <v>0</v>
      </c>
      <c r="J236" s="1" t="s">
        <v>2041</v>
      </c>
      <c r="K236" s="1" t="s">
        <v>2025</v>
      </c>
      <c r="L236" s="1" t="str">
        <f>VLOOKUP(Advices[[#This Row],[LC Number]],'Combine_List'!A:D,2,0)</f>
        <v>Saudi Benaa Company for Building Materials</v>
      </c>
      <c r="M236" s="447" t="str">
        <f>VLOOKUP(Advices[[#This Row],[LC Number]],'Combine_List'!A:D,3,0)</f>
        <v>FIRST FIX</v>
      </c>
      <c r="N236" s="447" t="str">
        <f>VLOOKUP(Advices[[#This Row],[LC Number]],'Combine_List'!A:D,4,0)</f>
        <v>RCRC</v>
      </c>
      <c r="O236" s="447">
        <f>VLOOKUP(Advices[[#This Row],[LC Number]],'Combine_List'!A:E,5,0)</f>
        <v>1020106</v>
      </c>
      <c r="P236" s="447">
        <f>MONTH(Advices[[#This Row],[Transaction Date]])</f>
        <v>10</v>
      </c>
      <c r="Q236" s="447">
        <f>YEAR(Advices[[#This Row],[Transaction Date]])</f>
        <v>2025</v>
      </c>
      <c r="R236" s="1"/>
    </row>
    <row r="237" spans="1:18" hidden="1" x14ac:dyDescent="0.25">
      <c r="A237" s="1" t="s">
        <v>612</v>
      </c>
      <c r="B237" s="178">
        <v>45944</v>
      </c>
      <c r="C237" s="1" t="s">
        <v>2101</v>
      </c>
      <c r="D237" s="1" t="s">
        <v>2201</v>
      </c>
      <c r="E237" s="1" t="s">
        <v>1820</v>
      </c>
      <c r="F237" s="1" t="s">
        <v>1820</v>
      </c>
      <c r="G237" s="1" t="s">
        <v>26</v>
      </c>
      <c r="H237" s="13">
        <v>250</v>
      </c>
      <c r="I237" s="13">
        <v>0</v>
      </c>
      <c r="J237" s="1" t="s">
        <v>2041</v>
      </c>
      <c r="K237" s="1" t="s">
        <v>2025</v>
      </c>
      <c r="L237" s="1" t="str">
        <f>VLOOKUP(Advices[[#This Row],[LC Number]],'Combine_List'!A:D,2,0)</f>
        <v>Saudi Benaa Company for Building Materials</v>
      </c>
      <c r="M237" s="447" t="str">
        <f>VLOOKUP(Advices[[#This Row],[LC Number]],'Combine_List'!A:D,3,0)</f>
        <v>FIRST FIX</v>
      </c>
      <c r="N237" s="447" t="str">
        <f>VLOOKUP(Advices[[#This Row],[LC Number]],'Combine_List'!A:D,4,0)</f>
        <v>RCRC</v>
      </c>
      <c r="O237" s="447">
        <f>VLOOKUP(Advices[[#This Row],[LC Number]],'Combine_List'!A:E,5,0)</f>
        <v>1020106</v>
      </c>
      <c r="P237" s="447">
        <f>MONTH(Advices[[#This Row],[Transaction Date]])</f>
        <v>10</v>
      </c>
      <c r="Q237" s="447">
        <f>YEAR(Advices[[#This Row],[Transaction Date]])</f>
        <v>2025</v>
      </c>
      <c r="R237" s="1"/>
    </row>
    <row r="238" spans="1:18" hidden="1" x14ac:dyDescent="0.25">
      <c r="A238" s="1" t="s">
        <v>612</v>
      </c>
      <c r="B238" s="178">
        <v>45944</v>
      </c>
      <c r="C238" s="1" t="s">
        <v>2101</v>
      </c>
      <c r="D238" s="1" t="s">
        <v>2202</v>
      </c>
      <c r="E238" s="1" t="s">
        <v>1820</v>
      </c>
      <c r="F238" s="1" t="s">
        <v>1820</v>
      </c>
      <c r="G238" s="1" t="s">
        <v>26</v>
      </c>
      <c r="H238" s="13">
        <v>37.5</v>
      </c>
      <c r="I238" s="13">
        <v>0</v>
      </c>
      <c r="J238" s="1" t="s">
        <v>2041</v>
      </c>
      <c r="K238" s="1" t="s">
        <v>2025</v>
      </c>
      <c r="L238" s="1" t="str">
        <f>VLOOKUP(Advices[[#This Row],[LC Number]],'Combine_List'!A:D,2,0)</f>
        <v>Saudi Benaa Company for Building Materials</v>
      </c>
      <c r="M238" s="447" t="str">
        <f>VLOOKUP(Advices[[#This Row],[LC Number]],'Combine_List'!A:D,3,0)</f>
        <v>FIRST FIX</v>
      </c>
      <c r="N238" s="447" t="str">
        <f>VLOOKUP(Advices[[#This Row],[LC Number]],'Combine_List'!A:D,4,0)</f>
        <v>RCRC</v>
      </c>
      <c r="O238" s="447">
        <f>VLOOKUP(Advices[[#This Row],[LC Number]],'Combine_List'!A:E,5,0)</f>
        <v>1020106</v>
      </c>
      <c r="P238" s="447">
        <f>MONTH(Advices[[#This Row],[Transaction Date]])</f>
        <v>10</v>
      </c>
      <c r="Q238" s="447">
        <f>YEAR(Advices[[#This Row],[Transaction Date]])</f>
        <v>2025</v>
      </c>
      <c r="R238" s="1"/>
    </row>
    <row r="239" spans="1:18" hidden="1" x14ac:dyDescent="0.25">
      <c r="A239" s="1" t="s">
        <v>612</v>
      </c>
      <c r="B239" s="178">
        <v>45944</v>
      </c>
      <c r="C239" s="1" t="s">
        <v>2101</v>
      </c>
      <c r="D239" s="1" t="s">
        <v>2203</v>
      </c>
      <c r="E239" s="1" t="s">
        <v>1820</v>
      </c>
      <c r="F239" s="1" t="s">
        <v>1820</v>
      </c>
      <c r="G239" s="1" t="s">
        <v>26</v>
      </c>
      <c r="H239" s="13">
        <v>200</v>
      </c>
      <c r="I239" s="13">
        <v>0</v>
      </c>
      <c r="J239" s="1" t="s">
        <v>2041</v>
      </c>
      <c r="K239" s="1" t="s">
        <v>2025</v>
      </c>
      <c r="L239" s="1" t="str">
        <f>VLOOKUP(Advices[[#This Row],[LC Number]],'Combine_List'!A:D,2,0)</f>
        <v>Saudi Benaa Company for Building Materials</v>
      </c>
      <c r="M239" s="447" t="str">
        <f>VLOOKUP(Advices[[#This Row],[LC Number]],'Combine_List'!A:D,3,0)</f>
        <v>FIRST FIX</v>
      </c>
      <c r="N239" s="447" t="str">
        <f>VLOOKUP(Advices[[#This Row],[LC Number]],'Combine_List'!A:D,4,0)</f>
        <v>RCRC</v>
      </c>
      <c r="O239" s="447">
        <f>VLOOKUP(Advices[[#This Row],[LC Number]],'Combine_List'!A:E,5,0)</f>
        <v>1020106</v>
      </c>
      <c r="P239" s="447">
        <f>MONTH(Advices[[#This Row],[Transaction Date]])</f>
        <v>10</v>
      </c>
      <c r="Q239" s="447">
        <f>YEAR(Advices[[#This Row],[Transaction Date]])</f>
        <v>2025</v>
      </c>
      <c r="R239" s="1"/>
    </row>
    <row r="240" spans="1:18" hidden="1" x14ac:dyDescent="0.25">
      <c r="A240" s="1" t="s">
        <v>612</v>
      </c>
      <c r="B240" s="178">
        <v>45944</v>
      </c>
      <c r="C240" s="1" t="s">
        <v>2101</v>
      </c>
      <c r="D240" s="1" t="s">
        <v>2204</v>
      </c>
      <c r="E240" s="1" t="s">
        <v>1820</v>
      </c>
      <c r="F240" s="1" t="s">
        <v>1820</v>
      </c>
      <c r="G240" s="1" t="s">
        <v>26</v>
      </c>
      <c r="H240" s="13">
        <v>30</v>
      </c>
      <c r="I240" s="13">
        <v>0</v>
      </c>
      <c r="J240" s="1" t="s">
        <v>2041</v>
      </c>
      <c r="K240" s="1" t="s">
        <v>2025</v>
      </c>
      <c r="L240" s="1" t="str">
        <f>VLOOKUP(Advices[[#This Row],[LC Number]],'Combine_List'!A:D,2,0)</f>
        <v>Saudi Benaa Company for Building Materials</v>
      </c>
      <c r="M240" s="447" t="str">
        <f>VLOOKUP(Advices[[#This Row],[LC Number]],'Combine_List'!A:D,3,0)</f>
        <v>FIRST FIX</v>
      </c>
      <c r="N240" s="447" t="str">
        <f>VLOOKUP(Advices[[#This Row],[LC Number]],'Combine_List'!A:D,4,0)</f>
        <v>RCRC</v>
      </c>
      <c r="O240" s="447">
        <f>VLOOKUP(Advices[[#This Row],[LC Number]],'Combine_List'!A:E,5,0)</f>
        <v>1020106</v>
      </c>
      <c r="P240" s="447">
        <f>MONTH(Advices[[#This Row],[Transaction Date]])</f>
        <v>10</v>
      </c>
      <c r="Q240" s="447">
        <f>YEAR(Advices[[#This Row],[Transaction Date]])</f>
        <v>2025</v>
      </c>
      <c r="R240" s="1"/>
    </row>
    <row r="241" spans="1:18" x14ac:dyDescent="0.25">
      <c r="A241" s="1" t="s">
        <v>21</v>
      </c>
      <c r="B241" s="178">
        <v>45945</v>
      </c>
      <c r="C241" s="1" t="s">
        <v>1951</v>
      </c>
      <c r="D241" s="1" t="s">
        <v>2205</v>
      </c>
      <c r="E241" s="1" t="s">
        <v>1285</v>
      </c>
      <c r="F241" s="1" t="s">
        <v>2206</v>
      </c>
      <c r="G241" s="1" t="s">
        <v>26</v>
      </c>
      <c r="H241" s="13">
        <v>22.5</v>
      </c>
      <c r="I241" s="13">
        <v>0</v>
      </c>
      <c r="J241" s="1" t="s">
        <v>1174</v>
      </c>
      <c r="K241" s="1" t="s">
        <v>2025</v>
      </c>
      <c r="L241" s="1" t="str">
        <f>VLOOKUP(Advices[[#This Row],[LC Number]],'Combine_List'!A:D,2,0)</f>
        <v>Extron Electronics Middle East FZE</v>
      </c>
      <c r="M241" s="447" t="str">
        <f>VLOOKUP(Advices[[#This Row],[LC Number]],'Combine_List'!A:D,3,0)</f>
        <v>MBL/ICAD</v>
      </c>
      <c r="N241" s="447" t="str">
        <f>VLOOKUP(Advices[[#This Row],[LC Number]],'Combine_List'!A:D,4,0)</f>
        <v>KSP</v>
      </c>
      <c r="O241" s="447">
        <f>VLOOKUP(Advices[[#This Row],[LC Number]],'Combine_List'!A:E,5,0)</f>
        <v>1020055</v>
      </c>
      <c r="P241" s="447">
        <f>MONTH(Advices[[#This Row],[Transaction Date]])</f>
        <v>10</v>
      </c>
      <c r="Q241" s="447">
        <f>YEAR(Advices[[#This Row],[Transaction Date]])</f>
        <v>2025</v>
      </c>
      <c r="R241" s="1"/>
    </row>
    <row r="242" spans="1:18" x14ac:dyDescent="0.25">
      <c r="A242" s="1" t="s">
        <v>21</v>
      </c>
      <c r="B242" s="178">
        <v>45945</v>
      </c>
      <c r="C242" s="1" t="s">
        <v>1951</v>
      </c>
      <c r="D242" s="1" t="s">
        <v>2207</v>
      </c>
      <c r="E242" s="1" t="s">
        <v>1285</v>
      </c>
      <c r="F242" s="1" t="s">
        <v>2206</v>
      </c>
      <c r="G242" s="1" t="s">
        <v>26</v>
      </c>
      <c r="H242" s="13">
        <v>150</v>
      </c>
      <c r="I242" s="13">
        <v>0</v>
      </c>
      <c r="J242" s="1" t="s">
        <v>1963</v>
      </c>
      <c r="K242" s="1" t="s">
        <v>2025</v>
      </c>
      <c r="L242" s="1" t="str">
        <f>VLOOKUP(Advices[[#This Row],[LC Number]],'Combine_List'!A:D,2,0)</f>
        <v>Extron Electronics Middle East FZE</v>
      </c>
      <c r="M242" s="447" t="str">
        <f>VLOOKUP(Advices[[#This Row],[LC Number]],'Combine_List'!A:D,3,0)</f>
        <v>MBL/ICAD</v>
      </c>
      <c r="N242" s="447" t="str">
        <f>VLOOKUP(Advices[[#This Row],[LC Number]],'Combine_List'!A:D,4,0)</f>
        <v>KSP</v>
      </c>
      <c r="O242" s="447">
        <f>VLOOKUP(Advices[[#This Row],[LC Number]],'Combine_List'!A:E,5,0)</f>
        <v>1020055</v>
      </c>
      <c r="P242" s="447">
        <f>MONTH(Advices[[#This Row],[Transaction Date]])</f>
        <v>10</v>
      </c>
      <c r="Q242" s="447">
        <f>YEAR(Advices[[#This Row],[Transaction Date]])</f>
        <v>2025</v>
      </c>
      <c r="R242" s="1"/>
    </row>
    <row r="243" spans="1:18" x14ac:dyDescent="0.25">
      <c r="A243" s="1" t="s">
        <v>21</v>
      </c>
      <c r="B243" s="178">
        <v>45945</v>
      </c>
      <c r="C243" s="1" t="s">
        <v>1951</v>
      </c>
      <c r="D243" s="1" t="s">
        <v>2208</v>
      </c>
      <c r="E243" s="1" t="s">
        <v>1285</v>
      </c>
      <c r="F243" s="1" t="s">
        <v>2206</v>
      </c>
      <c r="G243" s="1" t="s">
        <v>26</v>
      </c>
      <c r="H243" s="13">
        <v>1024016.13</v>
      </c>
      <c r="I243" s="13">
        <v>0</v>
      </c>
      <c r="J243" s="1" t="s">
        <v>1126</v>
      </c>
      <c r="K243" s="1" t="s">
        <v>2025</v>
      </c>
      <c r="L243" s="1" t="str">
        <f>VLOOKUP(Advices[[#This Row],[LC Number]],'Combine_List'!A:D,2,0)</f>
        <v>Extron Electronics Middle East FZE</v>
      </c>
      <c r="M243" s="447" t="str">
        <f>VLOOKUP(Advices[[#This Row],[LC Number]],'Combine_List'!A:D,3,0)</f>
        <v>MBL/ICAD</v>
      </c>
      <c r="N243" s="447" t="str">
        <f>VLOOKUP(Advices[[#This Row],[LC Number]],'Combine_List'!A:D,4,0)</f>
        <v>KSP</v>
      </c>
      <c r="O243" s="447">
        <f>VLOOKUP(Advices[[#This Row],[LC Number]],'Combine_List'!A:E,5,0)</f>
        <v>1020055</v>
      </c>
      <c r="P243" s="447">
        <f>MONTH(Advices[[#This Row],[Transaction Date]])</f>
        <v>10</v>
      </c>
      <c r="Q243" s="447">
        <f>YEAR(Advices[[#This Row],[Transaction Date]])</f>
        <v>2025</v>
      </c>
      <c r="R243" s="1"/>
    </row>
    <row r="244" spans="1:18" x14ac:dyDescent="0.25">
      <c r="A244" s="1" t="s">
        <v>21</v>
      </c>
      <c r="B244" s="178">
        <v>45945</v>
      </c>
      <c r="C244" s="1" t="s">
        <v>1951</v>
      </c>
      <c r="D244" s="1" t="s">
        <v>1960</v>
      </c>
      <c r="E244" s="1" t="s">
        <v>1493</v>
      </c>
      <c r="F244" s="1" t="s">
        <v>2209</v>
      </c>
      <c r="G244" s="1" t="s">
        <v>26</v>
      </c>
      <c r="H244" s="13">
        <v>11.25</v>
      </c>
      <c r="I244" s="13">
        <v>0</v>
      </c>
      <c r="J244" s="1" t="s">
        <v>1174</v>
      </c>
      <c r="K244" s="1" t="s">
        <v>2025</v>
      </c>
      <c r="L244" s="1" t="str">
        <f>VLOOKUP(Advices[[#This Row],[LC Number]],'Combine_List'!A:D,2,0)</f>
        <v>ELSEWEDY CABLES CO. LIMITED</v>
      </c>
      <c r="M244" s="447" t="str">
        <f>VLOOKUP(Advices[[#This Row],[LC Number]],'Combine_List'!A:D,3,0)</f>
        <v>FIRST FIX</v>
      </c>
      <c r="N244" s="447" t="str">
        <f>VLOOKUP(Advices[[#This Row],[LC Number]],'Combine_List'!A:D,4,0)</f>
        <v>JCD SPMI</v>
      </c>
      <c r="O244" s="447">
        <f>VLOOKUP(Advices[[#This Row],[LC Number]],'Combine_List'!A:E,5,0)</f>
        <v>1020100</v>
      </c>
      <c r="P244" s="447">
        <f>MONTH(Advices[[#This Row],[Transaction Date]])</f>
        <v>10</v>
      </c>
      <c r="Q244" s="447">
        <f>YEAR(Advices[[#This Row],[Transaction Date]])</f>
        <v>2025</v>
      </c>
      <c r="R244" s="1"/>
    </row>
    <row r="245" spans="1:18" x14ac:dyDescent="0.25">
      <c r="A245" s="1" t="s">
        <v>21</v>
      </c>
      <c r="B245" s="178">
        <v>45945</v>
      </c>
      <c r="C245" s="1" t="s">
        <v>1951</v>
      </c>
      <c r="D245" s="1" t="s">
        <v>2210</v>
      </c>
      <c r="E245" s="1" t="s">
        <v>1493</v>
      </c>
      <c r="F245" s="1" t="s">
        <v>2209</v>
      </c>
      <c r="G245" s="1" t="s">
        <v>26</v>
      </c>
      <c r="H245" s="13">
        <v>75</v>
      </c>
      <c r="I245" s="13">
        <v>0</v>
      </c>
      <c r="J245" s="1" t="s">
        <v>1963</v>
      </c>
      <c r="K245" s="1" t="s">
        <v>2025</v>
      </c>
      <c r="L245" s="1" t="str">
        <f>VLOOKUP(Advices[[#This Row],[LC Number]],'Combine_List'!A:D,2,0)</f>
        <v>ELSEWEDY CABLES CO. LIMITED</v>
      </c>
      <c r="M245" s="447" t="str">
        <f>VLOOKUP(Advices[[#This Row],[LC Number]],'Combine_List'!A:D,3,0)</f>
        <v>FIRST FIX</v>
      </c>
      <c r="N245" s="447" t="str">
        <f>VLOOKUP(Advices[[#This Row],[LC Number]],'Combine_List'!A:D,4,0)</f>
        <v>JCD SPMI</v>
      </c>
      <c r="O245" s="447">
        <f>VLOOKUP(Advices[[#This Row],[LC Number]],'Combine_List'!A:E,5,0)</f>
        <v>1020100</v>
      </c>
      <c r="P245" s="447">
        <f>MONTH(Advices[[#This Row],[Transaction Date]])</f>
        <v>10</v>
      </c>
      <c r="Q245" s="447">
        <f>YEAR(Advices[[#This Row],[Transaction Date]])</f>
        <v>2025</v>
      </c>
      <c r="R245" s="1"/>
    </row>
    <row r="246" spans="1:18" x14ac:dyDescent="0.25">
      <c r="A246" s="1" t="s">
        <v>21</v>
      </c>
      <c r="B246" s="178">
        <v>45945</v>
      </c>
      <c r="C246" s="1" t="s">
        <v>1951</v>
      </c>
      <c r="D246" s="1" t="s">
        <v>2211</v>
      </c>
      <c r="E246" s="1" t="s">
        <v>1493</v>
      </c>
      <c r="F246" s="1" t="s">
        <v>2209</v>
      </c>
      <c r="G246" s="1" t="s">
        <v>26</v>
      </c>
      <c r="H246" s="13">
        <v>500000</v>
      </c>
      <c r="I246" s="13">
        <v>0</v>
      </c>
      <c r="J246" s="1" t="s">
        <v>1126</v>
      </c>
      <c r="K246" s="1" t="s">
        <v>2025</v>
      </c>
      <c r="L246" s="1" t="str">
        <f>VLOOKUP(Advices[[#This Row],[LC Number]],'Combine_List'!A:D,2,0)</f>
        <v>ELSEWEDY CABLES CO. LIMITED</v>
      </c>
      <c r="M246" s="447" t="str">
        <f>VLOOKUP(Advices[[#This Row],[LC Number]],'Combine_List'!A:D,3,0)</f>
        <v>FIRST FIX</v>
      </c>
      <c r="N246" s="447" t="str">
        <f>VLOOKUP(Advices[[#This Row],[LC Number]],'Combine_List'!A:D,4,0)</f>
        <v>JCD SPMI</v>
      </c>
      <c r="O246" s="447">
        <f>VLOOKUP(Advices[[#This Row],[LC Number]],'Combine_List'!A:E,5,0)</f>
        <v>1020100</v>
      </c>
      <c r="P246" s="447">
        <f>MONTH(Advices[[#This Row],[Transaction Date]])</f>
        <v>10</v>
      </c>
      <c r="Q246" s="447">
        <f>YEAR(Advices[[#This Row],[Transaction Date]])</f>
        <v>2025</v>
      </c>
      <c r="R246" s="1"/>
    </row>
    <row r="247" spans="1:18" x14ac:dyDescent="0.25">
      <c r="A247" s="1" t="s">
        <v>21</v>
      </c>
      <c r="B247" s="178">
        <v>45945</v>
      </c>
      <c r="C247" s="1" t="s">
        <v>1951</v>
      </c>
      <c r="D247" s="1" t="s">
        <v>1960</v>
      </c>
      <c r="E247" s="1" t="s">
        <v>1496</v>
      </c>
      <c r="F247" s="1" t="s">
        <v>2212</v>
      </c>
      <c r="G247" s="1" t="s">
        <v>26</v>
      </c>
      <c r="H247" s="13">
        <v>11.25</v>
      </c>
      <c r="I247" s="13">
        <v>0</v>
      </c>
      <c r="J247" s="1" t="s">
        <v>1174</v>
      </c>
      <c r="K247" s="1" t="s">
        <v>2025</v>
      </c>
      <c r="L247" s="1" t="str">
        <f>VLOOKUP(Advices[[#This Row],[LC Number]],'Combine_List'!A:D,2,0)</f>
        <v>TEN POINTS EST</v>
      </c>
      <c r="M247" s="447" t="str">
        <f>VLOOKUP(Advices[[#This Row],[LC Number]],'Combine_List'!A:D,3,0)</f>
        <v>FIRST FIX</v>
      </c>
      <c r="N247" s="447" t="str">
        <f>VLOOKUP(Advices[[#This Row],[LC Number]],'Combine_List'!A:D,4,0)</f>
        <v>JCD SPMI</v>
      </c>
      <c r="O247" s="447">
        <f>VLOOKUP(Advices[[#This Row],[LC Number]],'Combine_List'!A:E,5,0)</f>
        <v>1020100</v>
      </c>
      <c r="P247" s="447">
        <f>MONTH(Advices[[#This Row],[Transaction Date]])</f>
        <v>10</v>
      </c>
      <c r="Q247" s="447">
        <f>YEAR(Advices[[#This Row],[Transaction Date]])</f>
        <v>2025</v>
      </c>
      <c r="R247" s="1"/>
    </row>
    <row r="248" spans="1:18" x14ac:dyDescent="0.25">
      <c r="A248" s="1" t="s">
        <v>21</v>
      </c>
      <c r="B248" s="178">
        <v>45945</v>
      </c>
      <c r="C248" s="1" t="s">
        <v>1951</v>
      </c>
      <c r="D248" s="1" t="s">
        <v>2213</v>
      </c>
      <c r="E248" s="1" t="s">
        <v>1496</v>
      </c>
      <c r="F248" s="1" t="s">
        <v>2212</v>
      </c>
      <c r="G248" s="1" t="s">
        <v>26</v>
      </c>
      <c r="H248" s="13">
        <v>75</v>
      </c>
      <c r="I248" s="13">
        <v>0</v>
      </c>
      <c r="J248" s="1" t="s">
        <v>1963</v>
      </c>
      <c r="K248" s="1" t="s">
        <v>2025</v>
      </c>
      <c r="L248" s="1" t="str">
        <f>VLOOKUP(Advices[[#This Row],[LC Number]],'Combine_List'!A:D,2,0)</f>
        <v>TEN POINTS EST</v>
      </c>
      <c r="M248" s="447" t="str">
        <f>VLOOKUP(Advices[[#This Row],[LC Number]],'Combine_List'!A:D,3,0)</f>
        <v>FIRST FIX</v>
      </c>
      <c r="N248" s="447" t="str">
        <f>VLOOKUP(Advices[[#This Row],[LC Number]],'Combine_List'!A:D,4,0)</f>
        <v>JCD SPMI</v>
      </c>
      <c r="O248" s="447">
        <f>VLOOKUP(Advices[[#This Row],[LC Number]],'Combine_List'!A:E,5,0)</f>
        <v>1020100</v>
      </c>
      <c r="P248" s="447">
        <f>MONTH(Advices[[#This Row],[Transaction Date]])</f>
        <v>10</v>
      </c>
      <c r="Q248" s="447">
        <f>YEAR(Advices[[#This Row],[Transaction Date]])</f>
        <v>2025</v>
      </c>
      <c r="R248" s="1"/>
    </row>
    <row r="249" spans="1:18" x14ac:dyDescent="0.25">
      <c r="A249" s="1" t="s">
        <v>21</v>
      </c>
      <c r="B249" s="178">
        <v>45945</v>
      </c>
      <c r="C249" s="1" t="s">
        <v>1951</v>
      </c>
      <c r="D249" s="1" t="s">
        <v>2214</v>
      </c>
      <c r="E249" s="1" t="s">
        <v>1496</v>
      </c>
      <c r="F249" s="1" t="s">
        <v>2212</v>
      </c>
      <c r="G249" s="1" t="s">
        <v>26</v>
      </c>
      <c r="H249" s="13">
        <v>309487</v>
      </c>
      <c r="I249" s="13">
        <v>0</v>
      </c>
      <c r="J249" s="1" t="s">
        <v>1126</v>
      </c>
      <c r="K249" s="1" t="s">
        <v>2025</v>
      </c>
      <c r="L249" s="1" t="str">
        <f>VLOOKUP(Advices[[#This Row],[LC Number]],'Combine_List'!A:D,2,0)</f>
        <v>TEN POINTS EST</v>
      </c>
      <c r="M249" s="447" t="str">
        <f>VLOOKUP(Advices[[#This Row],[LC Number]],'Combine_List'!A:D,3,0)</f>
        <v>FIRST FIX</v>
      </c>
      <c r="N249" s="447" t="str">
        <f>VLOOKUP(Advices[[#This Row],[LC Number]],'Combine_List'!A:D,4,0)</f>
        <v>JCD SPMI</v>
      </c>
      <c r="O249" s="447">
        <f>VLOOKUP(Advices[[#This Row],[LC Number]],'Combine_List'!A:E,5,0)</f>
        <v>1020100</v>
      </c>
      <c r="P249" s="447">
        <f>MONTH(Advices[[#This Row],[Transaction Date]])</f>
        <v>10</v>
      </c>
      <c r="Q249" s="447">
        <f>YEAR(Advices[[#This Row],[Transaction Date]])</f>
        <v>2025</v>
      </c>
      <c r="R249" s="1"/>
    </row>
    <row r="250" spans="1:18" hidden="1" x14ac:dyDescent="0.25">
      <c r="A250" s="1" t="s">
        <v>62</v>
      </c>
      <c r="B250" s="178">
        <v>45945</v>
      </c>
      <c r="C250" s="1" t="s">
        <v>2039</v>
      </c>
      <c r="D250" s="1" t="s">
        <v>2215</v>
      </c>
      <c r="E250" s="1" t="s">
        <v>1934</v>
      </c>
      <c r="F250" s="1" t="s">
        <v>2041</v>
      </c>
      <c r="G250" s="1" t="s">
        <v>26</v>
      </c>
      <c r="H250" s="13">
        <v>342.59</v>
      </c>
      <c r="I250" s="13">
        <v>0</v>
      </c>
      <c r="J250" s="1" t="s">
        <v>2041</v>
      </c>
      <c r="K250" s="1" t="s">
        <v>2025</v>
      </c>
      <c r="L250" s="1" t="str">
        <f>VLOOKUP(Advices[[#This Row],[LC Number]],'Combine_List'!A:D,2,0)</f>
        <v>Mat Filtrasyon Teknolojeleri A.S</v>
      </c>
      <c r="M250" s="447" t="str">
        <f>VLOOKUP(Advices[[#This Row],[LC Number]],'Combine_List'!A:D,3,0)</f>
        <v>MBL</v>
      </c>
      <c r="N250" s="447" t="str">
        <f>VLOOKUP(Advices[[#This Row],[LC Number]],'Combine_List'!A:D,4,0)</f>
        <v>Oceanarium</v>
      </c>
      <c r="O250" s="447">
        <f>VLOOKUP(Advices[[#This Row],[LC Number]],'Combine_List'!A:E,5,0)</f>
        <v>1020096</v>
      </c>
      <c r="P250" s="447">
        <f>MONTH(Advices[[#This Row],[Transaction Date]])</f>
        <v>10</v>
      </c>
      <c r="Q250" s="447">
        <f>YEAR(Advices[[#This Row],[Transaction Date]])</f>
        <v>2025</v>
      </c>
      <c r="R250" s="1"/>
    </row>
    <row r="251" spans="1:18" hidden="1" x14ac:dyDescent="0.25">
      <c r="A251" s="1" t="s">
        <v>62</v>
      </c>
      <c r="B251" s="178">
        <v>45945</v>
      </c>
      <c r="C251" s="1" t="s">
        <v>2042</v>
      </c>
      <c r="D251" s="1" t="s">
        <v>2216</v>
      </c>
      <c r="E251" s="1" t="s">
        <v>306</v>
      </c>
      <c r="F251" s="1" t="s">
        <v>2041</v>
      </c>
      <c r="G251" s="1" t="s">
        <v>26</v>
      </c>
      <c r="H251" s="13">
        <v>7989.2</v>
      </c>
      <c r="I251" s="13">
        <v>0</v>
      </c>
      <c r="J251" s="1" t="s">
        <v>2041</v>
      </c>
      <c r="K251" s="1" t="s">
        <v>2025</v>
      </c>
      <c r="L251" s="1" t="str">
        <f>VLOOKUP(Advices[[#This Row],[LC Number]],'Combine_List'!A:D,2,0)</f>
        <v>ATELIER HOSPITALITY SRL</v>
      </c>
      <c r="M251" s="447" t="str">
        <f>VLOOKUP(Advices[[#This Row],[LC Number]],'Combine_List'!A:D,3,0)</f>
        <v>MBL</v>
      </c>
      <c r="N251" s="447" t="str">
        <f>VLOOKUP(Advices[[#This Row],[LC Number]],'Combine_List'!A:D,4,0)</f>
        <v>L01-YAMMAMA</v>
      </c>
      <c r="O251" s="447">
        <f>VLOOKUP(Advices[[#This Row],[LC Number]],'Combine_List'!A:E,5,0)</f>
        <v>1020015</v>
      </c>
      <c r="P251" s="447">
        <f>MONTH(Advices[[#This Row],[Transaction Date]])</f>
        <v>10</v>
      </c>
      <c r="Q251" s="447">
        <f>YEAR(Advices[[#This Row],[Transaction Date]])</f>
        <v>2025</v>
      </c>
      <c r="R251" s="1"/>
    </row>
    <row r="252" spans="1:18" hidden="1" x14ac:dyDescent="0.25">
      <c r="A252" s="1" t="s">
        <v>366</v>
      </c>
      <c r="B252" s="178">
        <v>45945</v>
      </c>
      <c r="C252" s="1" t="s">
        <v>2060</v>
      </c>
      <c r="D252" s="1" t="s">
        <v>2217</v>
      </c>
      <c r="E252" s="1" t="s">
        <v>1812</v>
      </c>
      <c r="F252" s="1" t="s">
        <v>3418</v>
      </c>
      <c r="G252" s="1" t="s">
        <v>26</v>
      </c>
      <c r="H252" s="13">
        <v>3383.4</v>
      </c>
      <c r="I252" s="13">
        <v>0</v>
      </c>
      <c r="J252" s="1" t="s">
        <v>2041</v>
      </c>
      <c r="K252" s="1" t="s">
        <v>2025</v>
      </c>
      <c r="L252" s="1" t="str">
        <f>VLOOKUP(Advices[[#This Row],[LC Number]],'Combine_List'!A:D,2,0)</f>
        <v>FAISAL AWAD AL HARBI COMPANY</v>
      </c>
      <c r="M252" s="447" t="str">
        <f>VLOOKUP(Advices[[#This Row],[LC Number]],'Combine_List'!A:D,3,0)</f>
        <v>MBL/ICAD</v>
      </c>
      <c r="N252" s="447" t="str">
        <f>VLOOKUP(Advices[[#This Row],[LC Number]],'Combine_List'!A:D,4,0)</f>
        <v>ABHA</v>
      </c>
      <c r="O252" s="447">
        <f>VLOOKUP(Advices[[#This Row],[LC Number]],'Combine_List'!A:E,5,0)</f>
        <v>1020070</v>
      </c>
      <c r="P252" s="447">
        <f>MONTH(Advices[[#This Row],[Transaction Date]])</f>
        <v>10</v>
      </c>
      <c r="Q252" s="447">
        <f>YEAR(Advices[[#This Row],[Transaction Date]])</f>
        <v>2025</v>
      </c>
      <c r="R252" s="1"/>
    </row>
    <row r="253" spans="1:18" hidden="1" x14ac:dyDescent="0.25">
      <c r="A253" s="1" t="s">
        <v>612</v>
      </c>
      <c r="B253" s="178">
        <v>45945</v>
      </c>
      <c r="C253" s="1" t="s">
        <v>2101</v>
      </c>
      <c r="D253" s="1" t="s">
        <v>2218</v>
      </c>
      <c r="E253" s="1" t="s">
        <v>694</v>
      </c>
      <c r="F253" s="1" t="s">
        <v>694</v>
      </c>
      <c r="G253" s="1" t="s">
        <v>26</v>
      </c>
      <c r="H253" s="13">
        <v>100</v>
      </c>
      <c r="I253" s="13">
        <v>0</v>
      </c>
      <c r="J253" s="1" t="s">
        <v>2041</v>
      </c>
      <c r="K253" s="1" t="s">
        <v>2025</v>
      </c>
      <c r="L253" s="1" t="str">
        <f>VLOOKUP(Advices[[#This Row],[LC Number]],'Combine_List'!A:D,2,0)</f>
        <v>MOHAMMED RAMADAN SHAT FACTORY FOR METAL</v>
      </c>
      <c r="M253" s="447" t="str">
        <f>VLOOKUP(Advices[[#This Row],[LC Number]],'Combine_List'!A:D,3,0)</f>
        <v>FIRST FIX</v>
      </c>
      <c r="N253" s="447" t="str">
        <f>VLOOKUP(Advices[[#This Row],[LC Number]],'Combine_List'!A:D,4,0)</f>
        <v>RCRC</v>
      </c>
      <c r="O253" s="447">
        <f>VLOOKUP(Advices[[#This Row],[LC Number]],'Combine_List'!A:E,5,0)</f>
        <v>1020106</v>
      </c>
      <c r="P253" s="447">
        <f>MONTH(Advices[[#This Row],[Transaction Date]])</f>
        <v>10</v>
      </c>
      <c r="Q253" s="447">
        <f>YEAR(Advices[[#This Row],[Transaction Date]])</f>
        <v>2025</v>
      </c>
      <c r="R253" s="1"/>
    </row>
    <row r="254" spans="1:18" hidden="1" x14ac:dyDescent="0.25">
      <c r="A254" s="1" t="s">
        <v>612</v>
      </c>
      <c r="B254" s="178">
        <v>45945</v>
      </c>
      <c r="C254" s="1" t="s">
        <v>2101</v>
      </c>
      <c r="D254" s="1" t="s">
        <v>2219</v>
      </c>
      <c r="E254" s="1" t="s">
        <v>694</v>
      </c>
      <c r="F254" s="1" t="s">
        <v>694</v>
      </c>
      <c r="G254" s="1" t="s">
        <v>26</v>
      </c>
      <c r="H254" s="13">
        <v>15</v>
      </c>
      <c r="I254" s="13">
        <v>0</v>
      </c>
      <c r="J254" s="1" t="s">
        <v>2041</v>
      </c>
      <c r="K254" s="1" t="s">
        <v>2025</v>
      </c>
      <c r="L254" s="1" t="str">
        <f>VLOOKUP(Advices[[#This Row],[LC Number]],'Combine_List'!A:D,2,0)</f>
        <v>MOHAMMED RAMADAN SHAT FACTORY FOR METAL</v>
      </c>
      <c r="M254" s="447" t="str">
        <f>VLOOKUP(Advices[[#This Row],[LC Number]],'Combine_List'!A:D,3,0)</f>
        <v>FIRST FIX</v>
      </c>
      <c r="N254" s="447" t="str">
        <f>VLOOKUP(Advices[[#This Row],[LC Number]],'Combine_List'!A:D,4,0)</f>
        <v>RCRC</v>
      </c>
      <c r="O254" s="447">
        <f>VLOOKUP(Advices[[#This Row],[LC Number]],'Combine_List'!A:E,5,0)</f>
        <v>1020106</v>
      </c>
      <c r="P254" s="447">
        <f>MONTH(Advices[[#This Row],[Transaction Date]])</f>
        <v>10</v>
      </c>
      <c r="Q254" s="447">
        <f>YEAR(Advices[[#This Row],[Transaction Date]])</f>
        <v>2025</v>
      </c>
      <c r="R254" s="1"/>
    </row>
    <row r="255" spans="1:18" hidden="1" x14ac:dyDescent="0.25">
      <c r="A255" s="1" t="s">
        <v>612</v>
      </c>
      <c r="B255" s="178">
        <v>45945</v>
      </c>
      <c r="C255" s="1" t="s">
        <v>2101</v>
      </c>
      <c r="D255" s="1" t="s">
        <v>2220</v>
      </c>
      <c r="E255" s="1" t="s">
        <v>694</v>
      </c>
      <c r="F255" s="1" t="s">
        <v>694</v>
      </c>
      <c r="G255" s="1" t="s">
        <v>26</v>
      </c>
      <c r="H255" s="13">
        <v>250</v>
      </c>
      <c r="I255" s="13">
        <v>0</v>
      </c>
      <c r="J255" s="1" t="s">
        <v>2041</v>
      </c>
      <c r="K255" s="1" t="s">
        <v>2025</v>
      </c>
      <c r="L255" s="1" t="str">
        <f>VLOOKUP(Advices[[#This Row],[LC Number]],'Combine_List'!A:D,2,0)</f>
        <v>MOHAMMED RAMADAN SHAT FACTORY FOR METAL</v>
      </c>
      <c r="M255" s="447" t="str">
        <f>VLOOKUP(Advices[[#This Row],[LC Number]],'Combine_List'!A:D,3,0)</f>
        <v>FIRST FIX</v>
      </c>
      <c r="N255" s="447" t="str">
        <f>VLOOKUP(Advices[[#This Row],[LC Number]],'Combine_List'!A:D,4,0)</f>
        <v>RCRC</v>
      </c>
      <c r="O255" s="447">
        <f>VLOOKUP(Advices[[#This Row],[LC Number]],'Combine_List'!A:E,5,0)</f>
        <v>1020106</v>
      </c>
      <c r="P255" s="447">
        <f>MONTH(Advices[[#This Row],[Transaction Date]])</f>
        <v>10</v>
      </c>
      <c r="Q255" s="447">
        <f>YEAR(Advices[[#This Row],[Transaction Date]])</f>
        <v>2025</v>
      </c>
      <c r="R255" s="1"/>
    </row>
    <row r="256" spans="1:18" hidden="1" x14ac:dyDescent="0.25">
      <c r="A256" s="1" t="s">
        <v>612</v>
      </c>
      <c r="B256" s="178">
        <v>45945</v>
      </c>
      <c r="C256" s="1" t="s">
        <v>2101</v>
      </c>
      <c r="D256" s="1" t="s">
        <v>2221</v>
      </c>
      <c r="E256" s="1" t="s">
        <v>694</v>
      </c>
      <c r="F256" s="1" t="s">
        <v>694</v>
      </c>
      <c r="G256" s="1" t="s">
        <v>26</v>
      </c>
      <c r="H256" s="13">
        <v>37.5</v>
      </c>
      <c r="I256" s="13">
        <v>0</v>
      </c>
      <c r="J256" s="1" t="s">
        <v>2041</v>
      </c>
      <c r="K256" s="1" t="s">
        <v>2025</v>
      </c>
      <c r="L256" s="1" t="str">
        <f>VLOOKUP(Advices[[#This Row],[LC Number]],'Combine_List'!A:D,2,0)</f>
        <v>MOHAMMED RAMADAN SHAT FACTORY FOR METAL</v>
      </c>
      <c r="M256" s="447" t="str">
        <f>VLOOKUP(Advices[[#This Row],[LC Number]],'Combine_List'!A:D,3,0)</f>
        <v>FIRST FIX</v>
      </c>
      <c r="N256" s="447" t="str">
        <f>VLOOKUP(Advices[[#This Row],[LC Number]],'Combine_List'!A:D,4,0)</f>
        <v>RCRC</v>
      </c>
      <c r="O256" s="447">
        <f>VLOOKUP(Advices[[#This Row],[LC Number]],'Combine_List'!A:E,5,0)</f>
        <v>1020106</v>
      </c>
      <c r="P256" s="447">
        <f>MONTH(Advices[[#This Row],[Transaction Date]])</f>
        <v>10</v>
      </c>
      <c r="Q256" s="447">
        <f>YEAR(Advices[[#This Row],[Transaction Date]])</f>
        <v>2025</v>
      </c>
      <c r="R256" s="1"/>
    </row>
    <row r="257" spans="1:18" hidden="1" x14ac:dyDescent="0.25">
      <c r="A257" s="1" t="s">
        <v>612</v>
      </c>
      <c r="B257" s="178">
        <v>45945</v>
      </c>
      <c r="C257" s="1" t="s">
        <v>2101</v>
      </c>
      <c r="D257" s="1" t="s">
        <v>2222</v>
      </c>
      <c r="E257" s="1" t="s">
        <v>694</v>
      </c>
      <c r="F257" s="1" t="s">
        <v>694</v>
      </c>
      <c r="G257" s="1" t="s">
        <v>26</v>
      </c>
      <c r="H257" s="13">
        <v>200</v>
      </c>
      <c r="I257" s="13">
        <v>0</v>
      </c>
      <c r="J257" s="1" t="s">
        <v>2041</v>
      </c>
      <c r="K257" s="1" t="s">
        <v>2025</v>
      </c>
      <c r="L257" s="1" t="str">
        <f>VLOOKUP(Advices[[#This Row],[LC Number]],'Combine_List'!A:D,2,0)</f>
        <v>MOHAMMED RAMADAN SHAT FACTORY FOR METAL</v>
      </c>
      <c r="M257" s="447" t="str">
        <f>VLOOKUP(Advices[[#This Row],[LC Number]],'Combine_List'!A:D,3,0)</f>
        <v>FIRST FIX</v>
      </c>
      <c r="N257" s="447" t="str">
        <f>VLOOKUP(Advices[[#This Row],[LC Number]],'Combine_List'!A:D,4,0)</f>
        <v>RCRC</v>
      </c>
      <c r="O257" s="447">
        <f>VLOOKUP(Advices[[#This Row],[LC Number]],'Combine_List'!A:E,5,0)</f>
        <v>1020106</v>
      </c>
      <c r="P257" s="447">
        <f>MONTH(Advices[[#This Row],[Transaction Date]])</f>
        <v>10</v>
      </c>
      <c r="Q257" s="447">
        <f>YEAR(Advices[[#This Row],[Transaction Date]])</f>
        <v>2025</v>
      </c>
      <c r="R257" s="1"/>
    </row>
    <row r="258" spans="1:18" hidden="1" x14ac:dyDescent="0.25">
      <c r="A258" s="1" t="s">
        <v>612</v>
      </c>
      <c r="B258" s="178">
        <v>45945</v>
      </c>
      <c r="C258" s="1" t="s">
        <v>2101</v>
      </c>
      <c r="D258" s="1" t="s">
        <v>2223</v>
      </c>
      <c r="E258" s="1" t="s">
        <v>694</v>
      </c>
      <c r="F258" s="1" t="s">
        <v>694</v>
      </c>
      <c r="G258" s="1" t="s">
        <v>26</v>
      </c>
      <c r="H258" s="13">
        <v>30</v>
      </c>
      <c r="I258" s="13">
        <v>0</v>
      </c>
      <c r="J258" s="1" t="s">
        <v>2041</v>
      </c>
      <c r="K258" s="1" t="s">
        <v>2025</v>
      </c>
      <c r="L258" s="1" t="str">
        <f>VLOOKUP(Advices[[#This Row],[LC Number]],'Combine_List'!A:D,2,0)</f>
        <v>MOHAMMED RAMADAN SHAT FACTORY FOR METAL</v>
      </c>
      <c r="M258" s="447" t="str">
        <f>VLOOKUP(Advices[[#This Row],[LC Number]],'Combine_List'!A:D,3,0)</f>
        <v>FIRST FIX</v>
      </c>
      <c r="N258" s="447" t="str">
        <f>VLOOKUP(Advices[[#This Row],[LC Number]],'Combine_List'!A:D,4,0)</f>
        <v>RCRC</v>
      </c>
      <c r="O258" s="447">
        <f>VLOOKUP(Advices[[#This Row],[LC Number]],'Combine_List'!A:E,5,0)</f>
        <v>1020106</v>
      </c>
      <c r="P258" s="447">
        <f>MONTH(Advices[[#This Row],[Transaction Date]])</f>
        <v>10</v>
      </c>
      <c r="Q258" s="447">
        <f>YEAR(Advices[[#This Row],[Transaction Date]])</f>
        <v>2025</v>
      </c>
      <c r="R258" s="1"/>
    </row>
    <row r="259" spans="1:18" hidden="1" x14ac:dyDescent="0.25">
      <c r="A259" s="1" t="s">
        <v>612</v>
      </c>
      <c r="B259" s="178">
        <v>45945</v>
      </c>
      <c r="C259" s="1" t="s">
        <v>2101</v>
      </c>
      <c r="D259" s="1" t="s">
        <v>2224</v>
      </c>
      <c r="E259" s="1" t="s">
        <v>721</v>
      </c>
      <c r="F259" s="1" t="s">
        <v>721</v>
      </c>
      <c r="G259" s="1" t="s">
        <v>26</v>
      </c>
      <c r="H259" s="13">
        <v>100</v>
      </c>
      <c r="I259" s="13">
        <v>0</v>
      </c>
      <c r="J259" s="1" t="s">
        <v>2041</v>
      </c>
      <c r="K259" s="1" t="s">
        <v>2025</v>
      </c>
      <c r="L259" s="1" t="str">
        <f>VLOOKUP(Advices[[#This Row],[LC Number]],'Combine_List'!A:D,2,0)</f>
        <v>ALFANAR ELECTRICAL SYSTEMS</v>
      </c>
      <c r="M259" s="447" t="str">
        <f>VLOOKUP(Advices[[#This Row],[LC Number]],'Combine_List'!A:D,3,0)</f>
        <v>FIRST FIX</v>
      </c>
      <c r="N259" s="447" t="str">
        <f>VLOOKUP(Advices[[#This Row],[LC Number]],'Combine_List'!A:D,4,0)</f>
        <v>RCRC</v>
      </c>
      <c r="O259" s="447">
        <f>VLOOKUP(Advices[[#This Row],[LC Number]],'Combine_List'!A:E,5,0)</f>
        <v>1020106</v>
      </c>
      <c r="P259" s="447">
        <f>MONTH(Advices[[#This Row],[Transaction Date]])</f>
        <v>10</v>
      </c>
      <c r="Q259" s="447">
        <f>YEAR(Advices[[#This Row],[Transaction Date]])</f>
        <v>2025</v>
      </c>
      <c r="R259" s="1"/>
    </row>
    <row r="260" spans="1:18" hidden="1" x14ac:dyDescent="0.25">
      <c r="A260" s="1" t="s">
        <v>612</v>
      </c>
      <c r="B260" s="178">
        <v>45945</v>
      </c>
      <c r="C260" s="1" t="s">
        <v>2101</v>
      </c>
      <c r="D260" s="1" t="s">
        <v>2225</v>
      </c>
      <c r="E260" s="1" t="s">
        <v>721</v>
      </c>
      <c r="F260" s="1" t="s">
        <v>721</v>
      </c>
      <c r="G260" s="1" t="s">
        <v>26</v>
      </c>
      <c r="H260" s="13">
        <v>15</v>
      </c>
      <c r="I260" s="13">
        <v>0</v>
      </c>
      <c r="J260" s="1" t="s">
        <v>2041</v>
      </c>
      <c r="K260" s="1" t="s">
        <v>2025</v>
      </c>
      <c r="L260" s="1" t="str">
        <f>VLOOKUP(Advices[[#This Row],[LC Number]],'Combine_List'!A:D,2,0)</f>
        <v>ALFANAR ELECTRICAL SYSTEMS</v>
      </c>
      <c r="M260" s="447" t="str">
        <f>VLOOKUP(Advices[[#This Row],[LC Number]],'Combine_List'!A:D,3,0)</f>
        <v>FIRST FIX</v>
      </c>
      <c r="N260" s="447" t="str">
        <f>VLOOKUP(Advices[[#This Row],[LC Number]],'Combine_List'!A:D,4,0)</f>
        <v>RCRC</v>
      </c>
      <c r="O260" s="447">
        <f>VLOOKUP(Advices[[#This Row],[LC Number]],'Combine_List'!A:E,5,0)</f>
        <v>1020106</v>
      </c>
      <c r="P260" s="447">
        <f>MONTH(Advices[[#This Row],[Transaction Date]])</f>
        <v>10</v>
      </c>
      <c r="Q260" s="447">
        <f>YEAR(Advices[[#This Row],[Transaction Date]])</f>
        <v>2025</v>
      </c>
      <c r="R260" s="1"/>
    </row>
    <row r="261" spans="1:18" hidden="1" x14ac:dyDescent="0.25">
      <c r="A261" s="1" t="s">
        <v>612</v>
      </c>
      <c r="B261" s="178">
        <v>45945</v>
      </c>
      <c r="C261" s="1" t="s">
        <v>2101</v>
      </c>
      <c r="D261" s="1" t="s">
        <v>2226</v>
      </c>
      <c r="E261" s="1" t="s">
        <v>721</v>
      </c>
      <c r="F261" s="1" t="s">
        <v>721</v>
      </c>
      <c r="G261" s="1" t="s">
        <v>26</v>
      </c>
      <c r="H261" s="13">
        <v>917</v>
      </c>
      <c r="I261" s="13">
        <v>0</v>
      </c>
      <c r="J261" s="1" t="s">
        <v>2041</v>
      </c>
      <c r="K261" s="1" t="s">
        <v>2025</v>
      </c>
      <c r="L261" s="1" t="str">
        <f>VLOOKUP(Advices[[#This Row],[LC Number]],'Combine_List'!A:D,2,0)</f>
        <v>ALFANAR ELECTRICAL SYSTEMS</v>
      </c>
      <c r="M261" s="447" t="str">
        <f>VLOOKUP(Advices[[#This Row],[LC Number]],'Combine_List'!A:D,3,0)</f>
        <v>FIRST FIX</v>
      </c>
      <c r="N261" s="447" t="str">
        <f>VLOOKUP(Advices[[#This Row],[LC Number]],'Combine_List'!A:D,4,0)</f>
        <v>RCRC</v>
      </c>
      <c r="O261" s="447">
        <f>VLOOKUP(Advices[[#This Row],[LC Number]],'Combine_List'!A:E,5,0)</f>
        <v>1020106</v>
      </c>
      <c r="P261" s="447">
        <f>MONTH(Advices[[#This Row],[Transaction Date]])</f>
        <v>10</v>
      </c>
      <c r="Q261" s="447">
        <f>YEAR(Advices[[#This Row],[Transaction Date]])</f>
        <v>2025</v>
      </c>
      <c r="R261" s="1"/>
    </row>
    <row r="262" spans="1:18" hidden="1" x14ac:dyDescent="0.25">
      <c r="A262" s="1" t="s">
        <v>612</v>
      </c>
      <c r="B262" s="178">
        <v>45945</v>
      </c>
      <c r="C262" s="1" t="s">
        <v>2101</v>
      </c>
      <c r="D262" s="1" t="s">
        <v>2227</v>
      </c>
      <c r="E262" s="1" t="s">
        <v>721</v>
      </c>
      <c r="F262" s="1" t="s">
        <v>721</v>
      </c>
      <c r="G262" s="1" t="s">
        <v>26</v>
      </c>
      <c r="H262" s="13">
        <v>137.55000000000001</v>
      </c>
      <c r="I262" s="13">
        <v>0</v>
      </c>
      <c r="J262" s="1" t="s">
        <v>2041</v>
      </c>
      <c r="K262" s="1" t="s">
        <v>2025</v>
      </c>
      <c r="L262" s="1" t="str">
        <f>VLOOKUP(Advices[[#This Row],[LC Number]],'Combine_List'!A:D,2,0)</f>
        <v>ALFANAR ELECTRICAL SYSTEMS</v>
      </c>
      <c r="M262" s="447" t="str">
        <f>VLOOKUP(Advices[[#This Row],[LC Number]],'Combine_List'!A:D,3,0)</f>
        <v>FIRST FIX</v>
      </c>
      <c r="N262" s="447" t="str">
        <f>VLOOKUP(Advices[[#This Row],[LC Number]],'Combine_List'!A:D,4,0)</f>
        <v>RCRC</v>
      </c>
      <c r="O262" s="447">
        <f>VLOOKUP(Advices[[#This Row],[LC Number]],'Combine_List'!A:E,5,0)</f>
        <v>1020106</v>
      </c>
      <c r="P262" s="447">
        <f>MONTH(Advices[[#This Row],[Transaction Date]])</f>
        <v>10</v>
      </c>
      <c r="Q262" s="447">
        <f>YEAR(Advices[[#This Row],[Transaction Date]])</f>
        <v>2025</v>
      </c>
      <c r="R262" s="1"/>
    </row>
    <row r="263" spans="1:18" hidden="1" x14ac:dyDescent="0.25">
      <c r="A263" s="1" t="s">
        <v>612</v>
      </c>
      <c r="B263" s="178">
        <v>45945</v>
      </c>
      <c r="C263" s="1" t="s">
        <v>2101</v>
      </c>
      <c r="D263" s="1" t="s">
        <v>2228</v>
      </c>
      <c r="E263" s="1" t="s">
        <v>721</v>
      </c>
      <c r="F263" s="1" t="s">
        <v>721</v>
      </c>
      <c r="G263" s="1" t="s">
        <v>26</v>
      </c>
      <c r="H263" s="13">
        <v>200</v>
      </c>
      <c r="I263" s="13">
        <v>0</v>
      </c>
      <c r="J263" s="1" t="s">
        <v>2041</v>
      </c>
      <c r="K263" s="1" t="s">
        <v>2025</v>
      </c>
      <c r="L263" s="1" t="str">
        <f>VLOOKUP(Advices[[#This Row],[LC Number]],'Combine_List'!A:D,2,0)</f>
        <v>ALFANAR ELECTRICAL SYSTEMS</v>
      </c>
      <c r="M263" s="447" t="str">
        <f>VLOOKUP(Advices[[#This Row],[LC Number]],'Combine_List'!A:D,3,0)</f>
        <v>FIRST FIX</v>
      </c>
      <c r="N263" s="447" t="str">
        <f>VLOOKUP(Advices[[#This Row],[LC Number]],'Combine_List'!A:D,4,0)</f>
        <v>RCRC</v>
      </c>
      <c r="O263" s="447">
        <f>VLOOKUP(Advices[[#This Row],[LC Number]],'Combine_List'!A:E,5,0)</f>
        <v>1020106</v>
      </c>
      <c r="P263" s="447">
        <f>MONTH(Advices[[#This Row],[Transaction Date]])</f>
        <v>10</v>
      </c>
      <c r="Q263" s="447">
        <f>YEAR(Advices[[#This Row],[Transaction Date]])</f>
        <v>2025</v>
      </c>
      <c r="R263" s="1"/>
    </row>
    <row r="264" spans="1:18" hidden="1" x14ac:dyDescent="0.25">
      <c r="A264" s="1" t="s">
        <v>612</v>
      </c>
      <c r="B264" s="178">
        <v>45945</v>
      </c>
      <c r="C264" s="1" t="s">
        <v>2101</v>
      </c>
      <c r="D264" s="1" t="s">
        <v>2229</v>
      </c>
      <c r="E264" s="1" t="s">
        <v>721</v>
      </c>
      <c r="F264" s="1" t="s">
        <v>721</v>
      </c>
      <c r="G264" s="1" t="s">
        <v>26</v>
      </c>
      <c r="H264" s="13">
        <v>30</v>
      </c>
      <c r="I264" s="13">
        <v>0</v>
      </c>
      <c r="J264" s="1" t="s">
        <v>2041</v>
      </c>
      <c r="K264" s="1" t="s">
        <v>2025</v>
      </c>
      <c r="L264" s="1" t="str">
        <f>VLOOKUP(Advices[[#This Row],[LC Number]],'Combine_List'!A:D,2,0)</f>
        <v>ALFANAR ELECTRICAL SYSTEMS</v>
      </c>
      <c r="M264" s="447" t="str">
        <f>VLOOKUP(Advices[[#This Row],[LC Number]],'Combine_List'!A:D,3,0)</f>
        <v>FIRST FIX</v>
      </c>
      <c r="N264" s="447" t="str">
        <f>VLOOKUP(Advices[[#This Row],[LC Number]],'Combine_List'!A:D,4,0)</f>
        <v>RCRC</v>
      </c>
      <c r="O264" s="447">
        <f>VLOOKUP(Advices[[#This Row],[LC Number]],'Combine_List'!A:E,5,0)</f>
        <v>1020106</v>
      </c>
      <c r="P264" s="447">
        <f>MONTH(Advices[[#This Row],[Transaction Date]])</f>
        <v>10</v>
      </c>
      <c r="Q264" s="447">
        <f>YEAR(Advices[[#This Row],[Transaction Date]])</f>
        <v>2025</v>
      </c>
      <c r="R264" s="1"/>
    </row>
    <row r="265" spans="1:18" hidden="1" x14ac:dyDescent="0.25">
      <c r="A265" s="1" t="s">
        <v>612</v>
      </c>
      <c r="B265" s="178">
        <v>45945</v>
      </c>
      <c r="C265" s="1" t="s">
        <v>2101</v>
      </c>
      <c r="D265" s="1" t="s">
        <v>2230</v>
      </c>
      <c r="E265" s="1" t="s">
        <v>1814</v>
      </c>
      <c r="F265" s="1" t="s">
        <v>1814</v>
      </c>
      <c r="G265" s="1" t="s">
        <v>26</v>
      </c>
      <c r="H265" s="13">
        <v>100</v>
      </c>
      <c r="I265" s="13">
        <v>0</v>
      </c>
      <c r="J265" s="1" t="s">
        <v>2041</v>
      </c>
      <c r="K265" s="1" t="s">
        <v>2025</v>
      </c>
      <c r="L265" s="1" t="str">
        <f>VLOOKUP(Advices[[#This Row],[LC Number]],'Combine_List'!A:D,2,0)</f>
        <v>ALFANAR ELECTRICAL SYSTEMS</v>
      </c>
      <c r="M265" s="447" t="str">
        <f>VLOOKUP(Advices[[#This Row],[LC Number]],'Combine_List'!A:D,3,0)</f>
        <v>FIRST FIX</v>
      </c>
      <c r="N265" s="447" t="str">
        <f>VLOOKUP(Advices[[#This Row],[LC Number]],'Combine_List'!A:D,4,0)</f>
        <v>RCRC</v>
      </c>
      <c r="O265" s="447">
        <f>VLOOKUP(Advices[[#This Row],[LC Number]],'Combine_List'!A:E,5,0)</f>
        <v>1020106</v>
      </c>
      <c r="P265" s="447">
        <f>MONTH(Advices[[#This Row],[Transaction Date]])</f>
        <v>10</v>
      </c>
      <c r="Q265" s="447">
        <f>YEAR(Advices[[#This Row],[Transaction Date]])</f>
        <v>2025</v>
      </c>
      <c r="R265" s="1"/>
    </row>
    <row r="266" spans="1:18" hidden="1" x14ac:dyDescent="0.25">
      <c r="A266" s="1" t="s">
        <v>612</v>
      </c>
      <c r="B266" s="178">
        <v>45945</v>
      </c>
      <c r="C266" s="1" t="s">
        <v>2101</v>
      </c>
      <c r="D266" s="1" t="s">
        <v>2231</v>
      </c>
      <c r="E266" s="1" t="s">
        <v>1814</v>
      </c>
      <c r="F266" s="1" t="s">
        <v>1814</v>
      </c>
      <c r="G266" s="1" t="s">
        <v>26</v>
      </c>
      <c r="H266" s="13">
        <v>15</v>
      </c>
      <c r="I266" s="13">
        <v>0</v>
      </c>
      <c r="J266" s="1" t="s">
        <v>2041</v>
      </c>
      <c r="K266" s="1" t="s">
        <v>2025</v>
      </c>
      <c r="L266" s="1" t="str">
        <f>VLOOKUP(Advices[[#This Row],[LC Number]],'Combine_List'!A:D,2,0)</f>
        <v>ALFANAR ELECTRICAL SYSTEMS</v>
      </c>
      <c r="M266" s="447" t="str">
        <f>VLOOKUP(Advices[[#This Row],[LC Number]],'Combine_List'!A:D,3,0)</f>
        <v>FIRST FIX</v>
      </c>
      <c r="N266" s="447" t="str">
        <f>VLOOKUP(Advices[[#This Row],[LC Number]],'Combine_List'!A:D,4,0)</f>
        <v>RCRC</v>
      </c>
      <c r="O266" s="447">
        <f>VLOOKUP(Advices[[#This Row],[LC Number]],'Combine_List'!A:E,5,0)</f>
        <v>1020106</v>
      </c>
      <c r="P266" s="447">
        <f>MONTH(Advices[[#This Row],[Transaction Date]])</f>
        <v>10</v>
      </c>
      <c r="Q266" s="447">
        <f>YEAR(Advices[[#This Row],[Transaction Date]])</f>
        <v>2025</v>
      </c>
      <c r="R266" s="1"/>
    </row>
    <row r="267" spans="1:18" hidden="1" x14ac:dyDescent="0.25">
      <c r="A267" s="1" t="s">
        <v>612</v>
      </c>
      <c r="B267" s="178">
        <v>45945</v>
      </c>
      <c r="C267" s="1" t="s">
        <v>2101</v>
      </c>
      <c r="D267" s="1" t="s">
        <v>2232</v>
      </c>
      <c r="E267" s="1" t="s">
        <v>1814</v>
      </c>
      <c r="F267" s="1" t="s">
        <v>1814</v>
      </c>
      <c r="G267" s="1" t="s">
        <v>26</v>
      </c>
      <c r="H267" s="13">
        <v>1250</v>
      </c>
      <c r="I267" s="13">
        <v>0</v>
      </c>
      <c r="J267" s="1" t="s">
        <v>2041</v>
      </c>
      <c r="K267" s="1" t="s">
        <v>2025</v>
      </c>
      <c r="L267" s="1" t="str">
        <f>VLOOKUP(Advices[[#This Row],[LC Number]],'Combine_List'!A:D,2,0)</f>
        <v>ALFANAR ELECTRICAL SYSTEMS</v>
      </c>
      <c r="M267" s="447" t="str">
        <f>VLOOKUP(Advices[[#This Row],[LC Number]],'Combine_List'!A:D,3,0)</f>
        <v>FIRST FIX</v>
      </c>
      <c r="N267" s="447" t="str">
        <f>VLOOKUP(Advices[[#This Row],[LC Number]],'Combine_List'!A:D,4,0)</f>
        <v>RCRC</v>
      </c>
      <c r="O267" s="447">
        <f>VLOOKUP(Advices[[#This Row],[LC Number]],'Combine_List'!A:E,5,0)</f>
        <v>1020106</v>
      </c>
      <c r="P267" s="447">
        <f>MONTH(Advices[[#This Row],[Transaction Date]])</f>
        <v>10</v>
      </c>
      <c r="Q267" s="447">
        <f>YEAR(Advices[[#This Row],[Transaction Date]])</f>
        <v>2025</v>
      </c>
      <c r="R267" s="1"/>
    </row>
    <row r="268" spans="1:18" hidden="1" x14ac:dyDescent="0.25">
      <c r="A268" s="1" t="s">
        <v>612</v>
      </c>
      <c r="B268" s="178">
        <v>45945</v>
      </c>
      <c r="C268" s="1" t="s">
        <v>2101</v>
      </c>
      <c r="D268" s="1" t="s">
        <v>2233</v>
      </c>
      <c r="E268" s="1" t="s">
        <v>1814</v>
      </c>
      <c r="F268" s="1" t="s">
        <v>1814</v>
      </c>
      <c r="G268" s="1" t="s">
        <v>26</v>
      </c>
      <c r="H268" s="13">
        <v>187.5</v>
      </c>
      <c r="I268" s="13">
        <v>0</v>
      </c>
      <c r="J268" s="1" t="s">
        <v>2041</v>
      </c>
      <c r="K268" s="1" t="s">
        <v>2025</v>
      </c>
      <c r="L268" s="1" t="str">
        <f>VLOOKUP(Advices[[#This Row],[LC Number]],'Combine_List'!A:D,2,0)</f>
        <v>ALFANAR ELECTRICAL SYSTEMS</v>
      </c>
      <c r="M268" s="447" t="str">
        <f>VLOOKUP(Advices[[#This Row],[LC Number]],'Combine_List'!A:D,3,0)</f>
        <v>FIRST FIX</v>
      </c>
      <c r="N268" s="447" t="str">
        <f>VLOOKUP(Advices[[#This Row],[LC Number]],'Combine_List'!A:D,4,0)</f>
        <v>RCRC</v>
      </c>
      <c r="O268" s="447">
        <f>VLOOKUP(Advices[[#This Row],[LC Number]],'Combine_List'!A:E,5,0)</f>
        <v>1020106</v>
      </c>
      <c r="P268" s="447">
        <f>MONTH(Advices[[#This Row],[Transaction Date]])</f>
        <v>10</v>
      </c>
      <c r="Q268" s="447">
        <f>YEAR(Advices[[#This Row],[Transaction Date]])</f>
        <v>2025</v>
      </c>
      <c r="R268" s="1"/>
    </row>
    <row r="269" spans="1:18" hidden="1" x14ac:dyDescent="0.25">
      <c r="A269" s="1" t="s">
        <v>612</v>
      </c>
      <c r="B269" s="178">
        <v>45945</v>
      </c>
      <c r="C269" s="1" t="s">
        <v>2101</v>
      </c>
      <c r="D269" s="1" t="s">
        <v>2234</v>
      </c>
      <c r="E269" s="1" t="s">
        <v>1814</v>
      </c>
      <c r="F269" s="1" t="s">
        <v>1814</v>
      </c>
      <c r="G269" s="1" t="s">
        <v>26</v>
      </c>
      <c r="H269" s="13">
        <v>200</v>
      </c>
      <c r="I269" s="13">
        <v>0</v>
      </c>
      <c r="J269" s="1" t="s">
        <v>2041</v>
      </c>
      <c r="K269" s="1" t="s">
        <v>2025</v>
      </c>
      <c r="L269" s="1" t="str">
        <f>VLOOKUP(Advices[[#This Row],[LC Number]],'Combine_List'!A:D,2,0)</f>
        <v>ALFANAR ELECTRICAL SYSTEMS</v>
      </c>
      <c r="M269" s="447" t="str">
        <f>VLOOKUP(Advices[[#This Row],[LC Number]],'Combine_List'!A:D,3,0)</f>
        <v>FIRST FIX</v>
      </c>
      <c r="N269" s="447" t="str">
        <f>VLOOKUP(Advices[[#This Row],[LC Number]],'Combine_List'!A:D,4,0)</f>
        <v>RCRC</v>
      </c>
      <c r="O269" s="447">
        <f>VLOOKUP(Advices[[#This Row],[LC Number]],'Combine_List'!A:E,5,0)</f>
        <v>1020106</v>
      </c>
      <c r="P269" s="447">
        <f>MONTH(Advices[[#This Row],[Transaction Date]])</f>
        <v>10</v>
      </c>
      <c r="Q269" s="447">
        <f>YEAR(Advices[[#This Row],[Transaction Date]])</f>
        <v>2025</v>
      </c>
      <c r="R269" s="1"/>
    </row>
    <row r="270" spans="1:18" hidden="1" x14ac:dyDescent="0.25">
      <c r="A270" s="1" t="s">
        <v>612</v>
      </c>
      <c r="B270" s="178">
        <v>45945</v>
      </c>
      <c r="C270" s="1" t="s">
        <v>2101</v>
      </c>
      <c r="D270" s="1" t="s">
        <v>2235</v>
      </c>
      <c r="E270" s="1" t="s">
        <v>1814</v>
      </c>
      <c r="F270" s="1" t="s">
        <v>1814</v>
      </c>
      <c r="G270" s="1" t="s">
        <v>26</v>
      </c>
      <c r="H270" s="13">
        <v>30</v>
      </c>
      <c r="I270" s="13">
        <v>0</v>
      </c>
      <c r="J270" s="1" t="s">
        <v>2041</v>
      </c>
      <c r="K270" s="1" t="s">
        <v>2025</v>
      </c>
      <c r="L270" s="1" t="str">
        <f>VLOOKUP(Advices[[#This Row],[LC Number]],'Combine_List'!A:D,2,0)</f>
        <v>ALFANAR ELECTRICAL SYSTEMS</v>
      </c>
      <c r="M270" s="447" t="str">
        <f>VLOOKUP(Advices[[#This Row],[LC Number]],'Combine_List'!A:D,3,0)</f>
        <v>FIRST FIX</v>
      </c>
      <c r="N270" s="447" t="str">
        <f>VLOOKUP(Advices[[#This Row],[LC Number]],'Combine_List'!A:D,4,0)</f>
        <v>RCRC</v>
      </c>
      <c r="O270" s="447">
        <f>VLOOKUP(Advices[[#This Row],[LC Number]],'Combine_List'!A:E,5,0)</f>
        <v>1020106</v>
      </c>
      <c r="P270" s="447">
        <f>MONTH(Advices[[#This Row],[Transaction Date]])</f>
        <v>10</v>
      </c>
      <c r="Q270" s="447">
        <f>YEAR(Advices[[#This Row],[Transaction Date]])</f>
        <v>2025</v>
      </c>
      <c r="R270" s="1"/>
    </row>
    <row r="271" spans="1:18" x14ac:dyDescent="0.25">
      <c r="A271" s="1" t="s">
        <v>21</v>
      </c>
      <c r="B271" s="178">
        <v>45946</v>
      </c>
      <c r="C271" s="1" t="s">
        <v>1951</v>
      </c>
      <c r="D271" s="1" t="s">
        <v>1960</v>
      </c>
      <c r="E271" s="1" t="s">
        <v>1409</v>
      </c>
      <c r="F271" s="1" t="s">
        <v>2241</v>
      </c>
      <c r="G271" s="1" t="s">
        <v>26</v>
      </c>
      <c r="H271" s="13">
        <v>11.25</v>
      </c>
      <c r="I271" s="13">
        <v>0</v>
      </c>
      <c r="J271" s="1" t="s">
        <v>1174</v>
      </c>
      <c r="K271" s="1" t="s">
        <v>2025</v>
      </c>
      <c r="L271" s="1" t="str">
        <f>VLOOKUP(Advices[[#This Row],[LC Number]],'Combine_List'!A:D,2,0)</f>
        <v>MODERN AL BONYAN CAPITAL COMPANY LIMITED</v>
      </c>
      <c r="M271" s="447" t="str">
        <f>VLOOKUP(Advices[[#This Row],[LC Number]],'Combine_List'!A:D,3,0)</f>
        <v>FIRST FIX</v>
      </c>
      <c r="N271" s="447" t="str">
        <f>VLOOKUP(Advices[[#This Row],[LC Number]],'Combine_List'!A:D,4,0)</f>
        <v>KSP</v>
      </c>
      <c r="O271" s="447">
        <f>VLOOKUP(Advices[[#This Row],[LC Number]],'Combine_List'!A:E,5,0)</f>
        <v>1020055</v>
      </c>
      <c r="P271" s="447">
        <f>MONTH(Advices[[#This Row],[Transaction Date]])</f>
        <v>10</v>
      </c>
      <c r="Q271" s="447">
        <f>YEAR(Advices[[#This Row],[Transaction Date]])</f>
        <v>2025</v>
      </c>
      <c r="R271" s="1"/>
    </row>
    <row r="272" spans="1:18" x14ac:dyDescent="0.25">
      <c r="A272" s="1" t="s">
        <v>21</v>
      </c>
      <c r="B272" s="178">
        <v>45946</v>
      </c>
      <c r="C272" s="1" t="s">
        <v>1951</v>
      </c>
      <c r="D272" s="1" t="s">
        <v>2242</v>
      </c>
      <c r="E272" s="1" t="s">
        <v>1409</v>
      </c>
      <c r="F272" s="1" t="s">
        <v>2241</v>
      </c>
      <c r="G272" s="1" t="s">
        <v>26</v>
      </c>
      <c r="H272" s="13">
        <v>75</v>
      </c>
      <c r="I272" s="13">
        <v>0</v>
      </c>
      <c r="J272" s="1" t="s">
        <v>1963</v>
      </c>
      <c r="K272" s="1" t="s">
        <v>2025</v>
      </c>
      <c r="L272" s="1" t="str">
        <f>VLOOKUP(Advices[[#This Row],[LC Number]],'Combine_List'!A:D,2,0)</f>
        <v>MODERN AL BONYAN CAPITAL COMPANY LIMITED</v>
      </c>
      <c r="M272" s="447" t="str">
        <f>VLOOKUP(Advices[[#This Row],[LC Number]],'Combine_List'!A:D,3,0)</f>
        <v>FIRST FIX</v>
      </c>
      <c r="N272" s="447" t="str">
        <f>VLOOKUP(Advices[[#This Row],[LC Number]],'Combine_List'!A:D,4,0)</f>
        <v>KSP</v>
      </c>
      <c r="O272" s="447">
        <f>VLOOKUP(Advices[[#This Row],[LC Number]],'Combine_List'!A:E,5,0)</f>
        <v>1020055</v>
      </c>
      <c r="P272" s="447">
        <f>MONTH(Advices[[#This Row],[Transaction Date]])</f>
        <v>10</v>
      </c>
      <c r="Q272" s="447">
        <f>YEAR(Advices[[#This Row],[Transaction Date]])</f>
        <v>2025</v>
      </c>
      <c r="R272" s="1"/>
    </row>
    <row r="273" spans="1:18" x14ac:dyDescent="0.25">
      <c r="A273" s="1" t="s">
        <v>21</v>
      </c>
      <c r="B273" s="178">
        <v>45946</v>
      </c>
      <c r="C273" s="1" t="s">
        <v>1951</v>
      </c>
      <c r="D273" s="1" t="s">
        <v>2243</v>
      </c>
      <c r="E273" s="1" t="s">
        <v>1409</v>
      </c>
      <c r="F273" s="1" t="s">
        <v>2241</v>
      </c>
      <c r="G273" s="1" t="s">
        <v>26</v>
      </c>
      <c r="H273" s="13">
        <v>300000</v>
      </c>
      <c r="I273" s="13">
        <v>0</v>
      </c>
      <c r="J273" s="1" t="s">
        <v>1126</v>
      </c>
      <c r="K273" s="1" t="s">
        <v>2025</v>
      </c>
      <c r="L273" s="1" t="str">
        <f>VLOOKUP(Advices[[#This Row],[LC Number]],'Combine_List'!A:D,2,0)</f>
        <v>MODERN AL BONYAN CAPITAL COMPANY LIMITED</v>
      </c>
      <c r="M273" s="447" t="str">
        <f>VLOOKUP(Advices[[#This Row],[LC Number]],'Combine_List'!A:D,3,0)</f>
        <v>FIRST FIX</v>
      </c>
      <c r="N273" s="447" t="str">
        <f>VLOOKUP(Advices[[#This Row],[LC Number]],'Combine_List'!A:D,4,0)</f>
        <v>KSP</v>
      </c>
      <c r="O273" s="447">
        <f>VLOOKUP(Advices[[#This Row],[LC Number]],'Combine_List'!A:E,5,0)</f>
        <v>1020055</v>
      </c>
      <c r="P273" s="447">
        <f>MONTH(Advices[[#This Row],[Transaction Date]])</f>
        <v>10</v>
      </c>
      <c r="Q273" s="447">
        <f>YEAR(Advices[[#This Row],[Transaction Date]])</f>
        <v>2025</v>
      </c>
      <c r="R273" s="1"/>
    </row>
    <row r="274" spans="1:18" hidden="1" x14ac:dyDescent="0.25">
      <c r="A274" s="1" t="s">
        <v>62</v>
      </c>
      <c r="B274" s="178">
        <v>45946</v>
      </c>
      <c r="C274" s="1" t="s">
        <v>2039</v>
      </c>
      <c r="D274" s="1" t="s">
        <v>2244</v>
      </c>
      <c r="E274" s="1" t="s">
        <v>1893</v>
      </c>
      <c r="F274" s="1" t="s">
        <v>2041</v>
      </c>
      <c r="G274" s="1" t="s">
        <v>26</v>
      </c>
      <c r="H274" s="13">
        <v>57.5</v>
      </c>
      <c r="I274" s="13">
        <v>0</v>
      </c>
      <c r="J274" s="1" t="s">
        <v>2041</v>
      </c>
      <c r="K274" s="1" t="s">
        <v>2025</v>
      </c>
      <c r="L274" s="1" t="str">
        <f>VLOOKUP(Advices[[#This Row],[LC Number]],'Combine_List'!A:D,2,0)</f>
        <v>Bid - Al Diriyah Company</v>
      </c>
      <c r="M274" s="447" t="str">
        <f>VLOOKUP(Advices[[#This Row],[LC Number]],'Combine_List'!A:D,3,0)</f>
        <v>IFAS</v>
      </c>
      <c r="N274" s="447">
        <f>VLOOKUP(Advices[[#This Row],[LC Number]],'Combine_List'!A:D,4,0)</f>
        <v>0</v>
      </c>
      <c r="O274" s="447" t="str">
        <f>VLOOKUP(Advices[[#This Row],[LC Number]],'Combine_List'!A:E,5,0)</f>
        <v>0</v>
      </c>
      <c r="P274" s="447">
        <f>MONTH(Advices[[#This Row],[Transaction Date]])</f>
        <v>10</v>
      </c>
      <c r="Q274" s="447">
        <f>YEAR(Advices[[#This Row],[Transaction Date]])</f>
        <v>2025</v>
      </c>
      <c r="R274" s="1"/>
    </row>
    <row r="275" spans="1:18" hidden="1" x14ac:dyDescent="0.25">
      <c r="A275" s="1" t="s">
        <v>62</v>
      </c>
      <c r="B275" s="178">
        <v>45946</v>
      </c>
      <c r="C275" s="1" t="s">
        <v>2039</v>
      </c>
      <c r="D275" s="1" t="s">
        <v>2245</v>
      </c>
      <c r="E275" s="1" t="s">
        <v>1910</v>
      </c>
      <c r="F275" s="1" t="s">
        <v>2041</v>
      </c>
      <c r="G275" s="1" t="s">
        <v>26</v>
      </c>
      <c r="H275" s="13">
        <v>57.5</v>
      </c>
      <c r="I275" s="13">
        <v>0</v>
      </c>
      <c r="J275" s="1" t="s">
        <v>2041</v>
      </c>
      <c r="K275" s="1" t="s">
        <v>2025</v>
      </c>
      <c r="L275" s="1" t="str">
        <f>VLOOKUP(Advices[[#This Row],[LC Number]],'Combine_List'!A:D,2,0)</f>
        <v>Bid - Diriyah Company</v>
      </c>
      <c r="M275" s="447" t="str">
        <f>VLOOKUP(Advices[[#This Row],[LC Number]],'Combine_List'!A:D,3,0)</f>
        <v>IFAS</v>
      </c>
      <c r="N275" s="447">
        <f>VLOOKUP(Advices[[#This Row],[LC Number]],'Combine_List'!A:D,4,0)</f>
        <v>0</v>
      </c>
      <c r="O275" s="447" t="str">
        <f>VLOOKUP(Advices[[#This Row],[LC Number]],'Combine_List'!A:E,5,0)</f>
        <v>0</v>
      </c>
      <c r="P275" s="447">
        <f>MONTH(Advices[[#This Row],[Transaction Date]])</f>
        <v>10</v>
      </c>
      <c r="Q275" s="447">
        <f>YEAR(Advices[[#This Row],[Transaction Date]])</f>
        <v>2025</v>
      </c>
      <c r="R275" s="1"/>
    </row>
    <row r="276" spans="1:18" hidden="1" x14ac:dyDescent="0.25">
      <c r="A276" s="1" t="s">
        <v>366</v>
      </c>
      <c r="B276" s="178">
        <v>45946</v>
      </c>
      <c r="C276" s="1" t="s">
        <v>2060</v>
      </c>
      <c r="D276" s="1" t="s">
        <v>2246</v>
      </c>
      <c r="E276" s="1" t="s">
        <v>2237</v>
      </c>
      <c r="F276" s="1" t="s">
        <v>2237</v>
      </c>
      <c r="G276" s="1" t="s">
        <v>26</v>
      </c>
      <c r="H276" s="13">
        <v>3105</v>
      </c>
      <c r="I276" s="13">
        <v>0</v>
      </c>
      <c r="J276" s="1" t="s">
        <v>2041</v>
      </c>
      <c r="K276" s="1" t="s">
        <v>2025</v>
      </c>
      <c r="L276" s="1" t="str">
        <f>VLOOKUP(Advices[[#This Row],[LC Number]],'Combine_List'!A:D,2,0)</f>
        <v>TAWREED INTEGRATED INDUSTRIES</v>
      </c>
      <c r="M276" s="447" t="str">
        <f>VLOOKUP(Advices[[#This Row],[LC Number]],'Combine_List'!A:D,3,0)</f>
        <v>FIRST FIX</v>
      </c>
      <c r="N276" s="447" t="str">
        <f>VLOOKUP(Advices[[#This Row],[LC Number]],'Combine_List'!A:D,4,0)</f>
        <v>MP1</v>
      </c>
      <c r="O276" s="447">
        <f>VLOOKUP(Advices[[#This Row],[LC Number]],'Combine_List'!A:E,5,0)</f>
        <v>1020088</v>
      </c>
      <c r="P276" s="447">
        <f>MONTH(Advices[[#This Row],[Transaction Date]])</f>
        <v>10</v>
      </c>
      <c r="Q276" s="447">
        <f>YEAR(Advices[[#This Row],[Transaction Date]])</f>
        <v>2025</v>
      </c>
      <c r="R276" s="1"/>
    </row>
    <row r="277" spans="1:18" hidden="1" x14ac:dyDescent="0.25">
      <c r="A277" s="1" t="s">
        <v>366</v>
      </c>
      <c r="B277" s="178">
        <v>45946</v>
      </c>
      <c r="C277" s="1" t="s">
        <v>2060</v>
      </c>
      <c r="D277" s="1" t="s">
        <v>2247</v>
      </c>
      <c r="E277" s="1" t="s">
        <v>2236</v>
      </c>
      <c r="F277" s="1" t="s">
        <v>2236</v>
      </c>
      <c r="G277" s="1" t="s">
        <v>26</v>
      </c>
      <c r="H277" s="13">
        <v>3443.96</v>
      </c>
      <c r="I277" s="13">
        <v>0</v>
      </c>
      <c r="J277" s="1" t="s">
        <v>2041</v>
      </c>
      <c r="K277" s="1" t="s">
        <v>2025</v>
      </c>
      <c r="L277" s="1" t="str">
        <f>VLOOKUP(Advices[[#This Row],[LC Number]],'Combine_List'!A:D,2,0)</f>
        <v>Building System Intelligent Est.</v>
      </c>
      <c r="M277" s="447" t="str">
        <f>VLOOKUP(Advices[[#This Row],[LC Number]],'Combine_List'!A:D,3,0)</f>
        <v>FIRST FIX</v>
      </c>
      <c r="N277" s="447" t="str">
        <f>VLOOKUP(Advices[[#This Row],[LC Number]],'Combine_List'!A:D,4,0)</f>
        <v>MP1</v>
      </c>
      <c r="O277" s="447">
        <f>VLOOKUP(Advices[[#This Row],[LC Number]],'Combine_List'!A:E,5,0)</f>
        <v>1020088</v>
      </c>
      <c r="P277" s="447">
        <f>MONTH(Advices[[#This Row],[Transaction Date]])</f>
        <v>10</v>
      </c>
      <c r="Q277" s="447">
        <f>YEAR(Advices[[#This Row],[Transaction Date]])</f>
        <v>2025</v>
      </c>
      <c r="R277" s="1"/>
    </row>
    <row r="278" spans="1:18" hidden="1" x14ac:dyDescent="0.25">
      <c r="A278" s="1" t="s">
        <v>612</v>
      </c>
      <c r="B278" s="178">
        <v>45946</v>
      </c>
      <c r="C278" s="1" t="s">
        <v>2101</v>
      </c>
      <c r="D278" s="1" t="s">
        <v>2248</v>
      </c>
      <c r="E278" s="1" t="s">
        <v>1569</v>
      </c>
      <c r="F278" s="1" t="s">
        <v>1569</v>
      </c>
      <c r="G278" s="1" t="s">
        <v>26</v>
      </c>
      <c r="H278" s="13">
        <v>100</v>
      </c>
      <c r="I278" s="13">
        <v>0</v>
      </c>
      <c r="J278" s="1" t="s">
        <v>2041</v>
      </c>
      <c r="K278" s="1" t="s">
        <v>2025</v>
      </c>
      <c r="L278" s="1" t="str">
        <f>VLOOKUP(Advices[[#This Row],[LC Number]],'Combine_List'!A:D,2,0)</f>
        <v>ALFANAR ELECTRICAL SYSTEMS</v>
      </c>
      <c r="M278" s="447" t="str">
        <f>VLOOKUP(Advices[[#This Row],[LC Number]],'Combine_List'!A:D,3,0)</f>
        <v>FIRST FIX</v>
      </c>
      <c r="N278" s="447" t="str">
        <f>VLOOKUP(Advices[[#This Row],[LC Number]],'Combine_List'!A:D,4,0)</f>
        <v>RCRC</v>
      </c>
      <c r="O278" s="447">
        <f>VLOOKUP(Advices[[#This Row],[LC Number]],'Combine_List'!A:E,5,0)</f>
        <v>1020106</v>
      </c>
      <c r="P278" s="447">
        <f>MONTH(Advices[[#This Row],[Transaction Date]])</f>
        <v>10</v>
      </c>
      <c r="Q278" s="447">
        <f>YEAR(Advices[[#This Row],[Transaction Date]])</f>
        <v>2025</v>
      </c>
      <c r="R278" s="1"/>
    </row>
    <row r="279" spans="1:18" hidden="1" x14ac:dyDescent="0.25">
      <c r="A279" s="1" t="s">
        <v>612</v>
      </c>
      <c r="B279" s="178">
        <v>45946</v>
      </c>
      <c r="C279" s="1" t="s">
        <v>2101</v>
      </c>
      <c r="D279" s="1" t="s">
        <v>2249</v>
      </c>
      <c r="E279" s="1" t="s">
        <v>1569</v>
      </c>
      <c r="F279" s="1" t="s">
        <v>1569</v>
      </c>
      <c r="G279" s="1" t="s">
        <v>26</v>
      </c>
      <c r="H279" s="13">
        <v>15</v>
      </c>
      <c r="I279" s="13">
        <v>0</v>
      </c>
      <c r="J279" s="1" t="s">
        <v>2041</v>
      </c>
      <c r="K279" s="1" t="s">
        <v>2025</v>
      </c>
      <c r="L279" s="1" t="str">
        <f>VLOOKUP(Advices[[#This Row],[LC Number]],'Combine_List'!A:D,2,0)</f>
        <v>ALFANAR ELECTRICAL SYSTEMS</v>
      </c>
      <c r="M279" s="447" t="str">
        <f>VLOOKUP(Advices[[#This Row],[LC Number]],'Combine_List'!A:D,3,0)</f>
        <v>FIRST FIX</v>
      </c>
      <c r="N279" s="447" t="str">
        <f>VLOOKUP(Advices[[#This Row],[LC Number]],'Combine_List'!A:D,4,0)</f>
        <v>RCRC</v>
      </c>
      <c r="O279" s="447">
        <f>VLOOKUP(Advices[[#This Row],[LC Number]],'Combine_List'!A:E,5,0)</f>
        <v>1020106</v>
      </c>
      <c r="P279" s="447">
        <f>MONTH(Advices[[#This Row],[Transaction Date]])</f>
        <v>10</v>
      </c>
      <c r="Q279" s="447">
        <f>YEAR(Advices[[#This Row],[Transaction Date]])</f>
        <v>2025</v>
      </c>
      <c r="R279" s="1"/>
    </row>
    <row r="280" spans="1:18" hidden="1" x14ac:dyDescent="0.25">
      <c r="A280" s="1" t="s">
        <v>612</v>
      </c>
      <c r="B280" s="178">
        <v>45946</v>
      </c>
      <c r="C280" s="1" t="s">
        <v>2101</v>
      </c>
      <c r="D280" s="1" t="s">
        <v>2250</v>
      </c>
      <c r="E280" s="1" t="s">
        <v>1569</v>
      </c>
      <c r="F280" s="1" t="s">
        <v>1569</v>
      </c>
      <c r="G280" s="1" t="s">
        <v>26</v>
      </c>
      <c r="H280" s="13">
        <v>1296</v>
      </c>
      <c r="I280" s="13">
        <v>0</v>
      </c>
      <c r="J280" s="1" t="s">
        <v>2041</v>
      </c>
      <c r="K280" s="1" t="s">
        <v>2025</v>
      </c>
      <c r="L280" s="1" t="str">
        <f>VLOOKUP(Advices[[#This Row],[LC Number]],'Combine_List'!A:D,2,0)</f>
        <v>ALFANAR ELECTRICAL SYSTEMS</v>
      </c>
      <c r="M280" s="447" t="str">
        <f>VLOOKUP(Advices[[#This Row],[LC Number]],'Combine_List'!A:D,3,0)</f>
        <v>FIRST FIX</v>
      </c>
      <c r="N280" s="447" t="str">
        <f>VLOOKUP(Advices[[#This Row],[LC Number]],'Combine_List'!A:D,4,0)</f>
        <v>RCRC</v>
      </c>
      <c r="O280" s="447">
        <f>VLOOKUP(Advices[[#This Row],[LC Number]],'Combine_List'!A:E,5,0)</f>
        <v>1020106</v>
      </c>
      <c r="P280" s="447">
        <f>MONTH(Advices[[#This Row],[Transaction Date]])</f>
        <v>10</v>
      </c>
      <c r="Q280" s="447">
        <f>YEAR(Advices[[#This Row],[Transaction Date]])</f>
        <v>2025</v>
      </c>
      <c r="R280" s="1"/>
    </row>
    <row r="281" spans="1:18" hidden="1" x14ac:dyDescent="0.25">
      <c r="A281" s="1" t="s">
        <v>612</v>
      </c>
      <c r="B281" s="178">
        <v>45946</v>
      </c>
      <c r="C281" s="1" t="s">
        <v>2101</v>
      </c>
      <c r="D281" s="1" t="s">
        <v>2251</v>
      </c>
      <c r="E281" s="1" t="s">
        <v>1569</v>
      </c>
      <c r="F281" s="1" t="s">
        <v>1569</v>
      </c>
      <c r="G281" s="1" t="s">
        <v>26</v>
      </c>
      <c r="H281" s="13">
        <v>194.4</v>
      </c>
      <c r="I281" s="13">
        <v>0</v>
      </c>
      <c r="J281" s="1" t="s">
        <v>2041</v>
      </c>
      <c r="K281" s="1" t="s">
        <v>2025</v>
      </c>
      <c r="L281" s="1" t="str">
        <f>VLOOKUP(Advices[[#This Row],[LC Number]],'Combine_List'!A:D,2,0)</f>
        <v>ALFANAR ELECTRICAL SYSTEMS</v>
      </c>
      <c r="M281" s="447" t="str">
        <f>VLOOKUP(Advices[[#This Row],[LC Number]],'Combine_List'!A:D,3,0)</f>
        <v>FIRST FIX</v>
      </c>
      <c r="N281" s="447" t="str">
        <f>VLOOKUP(Advices[[#This Row],[LC Number]],'Combine_List'!A:D,4,0)</f>
        <v>RCRC</v>
      </c>
      <c r="O281" s="447">
        <f>VLOOKUP(Advices[[#This Row],[LC Number]],'Combine_List'!A:E,5,0)</f>
        <v>1020106</v>
      </c>
      <c r="P281" s="447">
        <f>MONTH(Advices[[#This Row],[Transaction Date]])</f>
        <v>10</v>
      </c>
      <c r="Q281" s="447">
        <f>YEAR(Advices[[#This Row],[Transaction Date]])</f>
        <v>2025</v>
      </c>
      <c r="R281" s="1"/>
    </row>
    <row r="282" spans="1:18" hidden="1" x14ac:dyDescent="0.25">
      <c r="A282" s="1" t="s">
        <v>612</v>
      </c>
      <c r="B282" s="178">
        <v>45946</v>
      </c>
      <c r="C282" s="1" t="s">
        <v>2101</v>
      </c>
      <c r="D282" s="1" t="s">
        <v>2252</v>
      </c>
      <c r="E282" s="1" t="s">
        <v>1569</v>
      </c>
      <c r="F282" s="1" t="s">
        <v>1569</v>
      </c>
      <c r="G282" s="1" t="s">
        <v>26</v>
      </c>
      <c r="H282" s="13">
        <v>200</v>
      </c>
      <c r="I282" s="13">
        <v>0</v>
      </c>
      <c r="J282" s="1" t="s">
        <v>2041</v>
      </c>
      <c r="K282" s="1" t="s">
        <v>2025</v>
      </c>
      <c r="L282" s="1" t="str">
        <f>VLOOKUP(Advices[[#This Row],[LC Number]],'Combine_List'!A:D,2,0)</f>
        <v>ALFANAR ELECTRICAL SYSTEMS</v>
      </c>
      <c r="M282" s="447" t="str">
        <f>VLOOKUP(Advices[[#This Row],[LC Number]],'Combine_List'!A:D,3,0)</f>
        <v>FIRST FIX</v>
      </c>
      <c r="N282" s="447" t="str">
        <f>VLOOKUP(Advices[[#This Row],[LC Number]],'Combine_List'!A:D,4,0)</f>
        <v>RCRC</v>
      </c>
      <c r="O282" s="447">
        <f>VLOOKUP(Advices[[#This Row],[LC Number]],'Combine_List'!A:E,5,0)</f>
        <v>1020106</v>
      </c>
      <c r="P282" s="447">
        <f>MONTH(Advices[[#This Row],[Transaction Date]])</f>
        <v>10</v>
      </c>
      <c r="Q282" s="447">
        <f>YEAR(Advices[[#This Row],[Transaction Date]])</f>
        <v>2025</v>
      </c>
      <c r="R282" s="1"/>
    </row>
    <row r="283" spans="1:18" hidden="1" x14ac:dyDescent="0.25">
      <c r="A283" s="1" t="s">
        <v>612</v>
      </c>
      <c r="B283" s="178">
        <v>45946</v>
      </c>
      <c r="C283" s="1" t="s">
        <v>2101</v>
      </c>
      <c r="D283" s="1" t="s">
        <v>2253</v>
      </c>
      <c r="E283" s="1" t="s">
        <v>1569</v>
      </c>
      <c r="F283" s="1" t="s">
        <v>1569</v>
      </c>
      <c r="G283" s="1" t="s">
        <v>26</v>
      </c>
      <c r="H283" s="13">
        <v>30</v>
      </c>
      <c r="I283" s="13">
        <v>0</v>
      </c>
      <c r="J283" s="1" t="s">
        <v>2041</v>
      </c>
      <c r="K283" s="1" t="s">
        <v>2025</v>
      </c>
      <c r="L283" s="1" t="str">
        <f>VLOOKUP(Advices[[#This Row],[LC Number]],'Combine_List'!A:D,2,0)</f>
        <v>ALFANAR ELECTRICAL SYSTEMS</v>
      </c>
      <c r="M283" s="447" t="str">
        <f>VLOOKUP(Advices[[#This Row],[LC Number]],'Combine_List'!A:D,3,0)</f>
        <v>FIRST FIX</v>
      </c>
      <c r="N283" s="447" t="str">
        <f>VLOOKUP(Advices[[#This Row],[LC Number]],'Combine_List'!A:D,4,0)</f>
        <v>RCRC</v>
      </c>
      <c r="O283" s="447">
        <f>VLOOKUP(Advices[[#This Row],[LC Number]],'Combine_List'!A:E,5,0)</f>
        <v>1020106</v>
      </c>
      <c r="P283" s="447">
        <f>MONTH(Advices[[#This Row],[Transaction Date]])</f>
        <v>10</v>
      </c>
      <c r="Q283" s="447">
        <f>YEAR(Advices[[#This Row],[Transaction Date]])</f>
        <v>2025</v>
      </c>
      <c r="R283" s="1"/>
    </row>
    <row r="284" spans="1:18" hidden="1" x14ac:dyDescent="0.25">
      <c r="A284" s="1" t="s">
        <v>95</v>
      </c>
      <c r="B284" s="178">
        <v>45949</v>
      </c>
      <c r="C284" s="1" t="s">
        <v>2026</v>
      </c>
      <c r="D284" s="1" t="s">
        <v>2257</v>
      </c>
      <c r="E284" s="1" t="s">
        <v>632</v>
      </c>
      <c r="F284" s="1" t="s">
        <v>2258</v>
      </c>
      <c r="G284" s="1" t="s">
        <v>26</v>
      </c>
      <c r="H284" s="13">
        <v>712637.95</v>
      </c>
      <c r="I284" s="13">
        <v>0</v>
      </c>
      <c r="J284" s="1" t="s">
        <v>1126</v>
      </c>
      <c r="K284" s="1" t="s">
        <v>2025</v>
      </c>
      <c r="L284" s="1" t="str">
        <f>VLOOKUP(Advices[[#This Row],[LC Number]],'Combine_List'!A:D,2,0)</f>
        <v>Alfa Laval Arabia for Maintenance Company</v>
      </c>
      <c r="M284" s="447" t="str">
        <f>VLOOKUP(Advices[[#This Row],[LC Number]],'Combine_List'!A:D,3,0)</f>
        <v>FIRST FIX</v>
      </c>
      <c r="N284" s="447" t="str">
        <f>VLOOKUP(Advices[[#This Row],[LC Number]],'Combine_List'!A:D,4,0)</f>
        <v>KSP</v>
      </c>
      <c r="O284" s="447">
        <f>VLOOKUP(Advices[[#This Row],[LC Number]],'Combine_List'!A:E,5,0)</f>
        <v>1020055</v>
      </c>
      <c r="P284" s="447">
        <f>MONTH(Advices[[#This Row],[Transaction Date]])</f>
        <v>10</v>
      </c>
      <c r="Q284" s="447">
        <f>YEAR(Advices[[#This Row],[Transaction Date]])</f>
        <v>2025</v>
      </c>
      <c r="R284" s="1"/>
    </row>
    <row r="285" spans="1:18" hidden="1" x14ac:dyDescent="0.25">
      <c r="A285" s="1" t="s">
        <v>366</v>
      </c>
      <c r="B285" s="178">
        <v>45949</v>
      </c>
      <c r="C285" s="1" t="s">
        <v>2057</v>
      </c>
      <c r="D285" s="1" t="s">
        <v>2259</v>
      </c>
      <c r="E285" s="1" t="s">
        <v>2255</v>
      </c>
      <c r="F285" s="1" t="s">
        <v>2255</v>
      </c>
      <c r="G285" s="1" t="s">
        <v>26</v>
      </c>
      <c r="H285" s="13">
        <v>1236.25</v>
      </c>
      <c r="I285" s="13">
        <v>0</v>
      </c>
      <c r="J285" s="1" t="s">
        <v>2041</v>
      </c>
      <c r="K285" s="1" t="s">
        <v>2025</v>
      </c>
      <c r="L285" s="1" t="str">
        <f>VLOOKUP(Advices[[#This Row],[LC Number]],'Combine_List'!A:D,2,0)</f>
        <v>ROLLC FOR TRADING COMPANY</v>
      </c>
      <c r="M285" s="447" t="str">
        <f>VLOOKUP(Advices[[#This Row],[LC Number]],'Combine_List'!A:D,3,0)</f>
        <v>MBL/Premium</v>
      </c>
      <c r="N285" s="447" t="str">
        <f>VLOOKUP(Advices[[#This Row],[LC Number]],'Combine_List'!A:D,4,0)</f>
        <v>CEER</v>
      </c>
      <c r="O285" s="447">
        <f>VLOOKUP(Advices[[#This Row],[LC Number]],'Combine_List'!A:E,5,0)</f>
        <v>1020091</v>
      </c>
      <c r="P285" s="447">
        <f>MONTH(Advices[[#This Row],[Transaction Date]])</f>
        <v>10</v>
      </c>
      <c r="Q285" s="447">
        <f>YEAR(Advices[[#This Row],[Transaction Date]])</f>
        <v>2025</v>
      </c>
      <c r="R285" s="1"/>
    </row>
    <row r="286" spans="1:18" hidden="1" x14ac:dyDescent="0.25">
      <c r="A286" s="1" t="s">
        <v>366</v>
      </c>
      <c r="B286" s="178">
        <v>45949</v>
      </c>
      <c r="C286" s="1" t="s">
        <v>2057</v>
      </c>
      <c r="D286" s="1" t="s">
        <v>2260</v>
      </c>
      <c r="E286" s="1" t="s">
        <v>2255</v>
      </c>
      <c r="F286" s="1" t="s">
        <v>2255</v>
      </c>
      <c r="G286" s="1" t="s">
        <v>26</v>
      </c>
      <c r="H286" s="13">
        <v>1006.25</v>
      </c>
      <c r="I286" s="13">
        <v>0</v>
      </c>
      <c r="J286" s="1" t="s">
        <v>2041</v>
      </c>
      <c r="K286" s="1" t="s">
        <v>2025</v>
      </c>
      <c r="L286" s="1" t="str">
        <f>VLOOKUP(Advices[[#This Row],[LC Number]],'Combine_List'!A:D,2,0)</f>
        <v>ROLLC FOR TRADING COMPANY</v>
      </c>
      <c r="M286" s="447" t="str">
        <f>VLOOKUP(Advices[[#This Row],[LC Number]],'Combine_List'!A:D,3,0)</f>
        <v>MBL/Premium</v>
      </c>
      <c r="N286" s="447" t="str">
        <f>VLOOKUP(Advices[[#This Row],[LC Number]],'Combine_List'!A:D,4,0)</f>
        <v>CEER</v>
      </c>
      <c r="O286" s="447">
        <f>VLOOKUP(Advices[[#This Row],[LC Number]],'Combine_List'!A:E,5,0)</f>
        <v>1020091</v>
      </c>
      <c r="P286" s="447">
        <f>MONTH(Advices[[#This Row],[Transaction Date]])</f>
        <v>10</v>
      </c>
      <c r="Q286" s="447">
        <f>YEAR(Advices[[#This Row],[Transaction Date]])</f>
        <v>2025</v>
      </c>
      <c r="R286" s="1"/>
    </row>
    <row r="287" spans="1:18" hidden="1" x14ac:dyDescent="0.25">
      <c r="A287" s="1" t="s">
        <v>366</v>
      </c>
      <c r="B287" s="178">
        <v>45949</v>
      </c>
      <c r="C287" s="1" t="s">
        <v>2057</v>
      </c>
      <c r="D287" s="1" t="s">
        <v>2261</v>
      </c>
      <c r="E287" s="1" t="s">
        <v>1435</v>
      </c>
      <c r="F287" s="1" t="s">
        <v>3483</v>
      </c>
      <c r="G287" s="1" t="s">
        <v>26</v>
      </c>
      <c r="H287" s="13">
        <v>894240</v>
      </c>
      <c r="I287" s="13">
        <v>0</v>
      </c>
      <c r="J287" s="1" t="s">
        <v>2041</v>
      </c>
      <c r="K287" s="1" t="s">
        <v>2025</v>
      </c>
      <c r="L287" s="1" t="str">
        <f>VLOOKUP(Advices[[#This Row],[LC Number]],'Combine_List'!A:D,2,0)</f>
        <v>MASE GULF COMPANY</v>
      </c>
      <c r="M287" s="447" t="str">
        <f>VLOOKUP(Advices[[#This Row],[LC Number]],'Combine_List'!A:D,3,0)</f>
        <v>FIRST FIX</v>
      </c>
      <c r="N287" s="447" t="str">
        <f>VLOOKUP(Advices[[#This Row],[LC Number]],'Combine_List'!A:D,4,0)</f>
        <v>MP1</v>
      </c>
      <c r="O287" s="447">
        <f>VLOOKUP(Advices[[#This Row],[LC Number]],'Combine_List'!A:E,5,0)</f>
        <v>1020088</v>
      </c>
      <c r="P287" s="447">
        <f>MONTH(Advices[[#This Row],[Transaction Date]])</f>
        <v>10</v>
      </c>
      <c r="Q287" s="447">
        <f>YEAR(Advices[[#This Row],[Transaction Date]])</f>
        <v>2025</v>
      </c>
      <c r="R287" s="1"/>
    </row>
    <row r="288" spans="1:18" hidden="1" x14ac:dyDescent="0.25">
      <c r="A288" s="1" t="s">
        <v>366</v>
      </c>
      <c r="B288" s="178">
        <v>45949</v>
      </c>
      <c r="C288" s="1" t="s">
        <v>2060</v>
      </c>
      <c r="D288" s="1" t="s">
        <v>2262</v>
      </c>
      <c r="E288" s="1" t="s">
        <v>1445</v>
      </c>
      <c r="F288" s="1" t="s">
        <v>3419</v>
      </c>
      <c r="G288" s="1" t="s">
        <v>26</v>
      </c>
      <c r="H288" s="13">
        <v>17250</v>
      </c>
      <c r="I288" s="13">
        <v>0</v>
      </c>
      <c r="J288" s="1" t="s">
        <v>2041</v>
      </c>
      <c r="K288" s="1" t="s">
        <v>2025</v>
      </c>
      <c r="L288" s="1" t="str">
        <f>VLOOKUP(Advices[[#This Row],[LC Number]],'Combine_List'!A:D,2,0)</f>
        <v xml:space="preserve">Daikin Air Conditioning Saudi Arabia </v>
      </c>
      <c r="M288" s="447" t="str">
        <f>VLOOKUP(Advices[[#This Row],[LC Number]],'Combine_List'!A:D,3,0)</f>
        <v>FIRST FIX</v>
      </c>
      <c r="N288" s="447" t="str">
        <f>VLOOKUP(Advices[[#This Row],[LC Number]],'Combine_List'!A:D,4,0)</f>
        <v>MP1</v>
      </c>
      <c r="O288" s="447">
        <f>VLOOKUP(Advices[[#This Row],[LC Number]],'Combine_List'!A:E,5,0)</f>
        <v>1020088</v>
      </c>
      <c r="P288" s="447">
        <f>MONTH(Advices[[#This Row],[Transaction Date]])</f>
        <v>10</v>
      </c>
      <c r="Q288" s="447">
        <f>YEAR(Advices[[#This Row],[Transaction Date]])</f>
        <v>2025</v>
      </c>
      <c r="R288" s="1"/>
    </row>
    <row r="289" spans="1:18" hidden="1" x14ac:dyDescent="0.25">
      <c r="A289" s="1" t="s">
        <v>2089</v>
      </c>
      <c r="B289" s="178">
        <v>45949</v>
      </c>
      <c r="C289" s="1" t="s">
        <v>2093</v>
      </c>
      <c r="D289" s="1" t="s">
        <v>2263</v>
      </c>
      <c r="E289" s="1" t="s">
        <v>1280</v>
      </c>
      <c r="F289" s="1" t="s">
        <v>2264</v>
      </c>
      <c r="G289" s="1" t="s">
        <v>26</v>
      </c>
      <c r="H289" s="13">
        <v>84517.88</v>
      </c>
      <c r="I289" s="13">
        <v>0</v>
      </c>
      <c r="J289" s="1" t="s">
        <v>2041</v>
      </c>
      <c r="K289" s="1" t="s">
        <v>2025</v>
      </c>
      <c r="L289" s="1" t="str">
        <f>VLOOKUP(Advices[[#This Row],[LC Number]],'Combine_List'!A:D,2,0)</f>
        <v>KENZ SARAB MACHINERY AND EQUIPMENT COMPANY</v>
      </c>
      <c r="M289" s="447" t="str">
        <f>VLOOKUP(Advices[[#This Row],[LC Number]],'Combine_List'!A:D,3,0)</f>
        <v>FIRST FIX</v>
      </c>
      <c r="N289" s="447" t="str">
        <f>VLOOKUP(Advices[[#This Row],[LC Number]],'Combine_List'!A:D,4,0)</f>
        <v>JCD SPMI</v>
      </c>
      <c r="O289" s="447">
        <f>VLOOKUP(Advices[[#This Row],[LC Number]],'Combine_List'!A:E,5,0)</f>
        <v>1020100</v>
      </c>
      <c r="P289" s="447">
        <f>MONTH(Advices[[#This Row],[Transaction Date]])</f>
        <v>10</v>
      </c>
      <c r="Q289" s="447">
        <f>YEAR(Advices[[#This Row],[Transaction Date]])</f>
        <v>2025</v>
      </c>
      <c r="R289" s="1"/>
    </row>
    <row r="290" spans="1:18" hidden="1" x14ac:dyDescent="0.25">
      <c r="A290" s="1" t="s">
        <v>612</v>
      </c>
      <c r="B290" s="178">
        <v>45949</v>
      </c>
      <c r="C290" s="1" t="s">
        <v>2101</v>
      </c>
      <c r="D290" s="1" t="s">
        <v>2265</v>
      </c>
      <c r="E290" s="1" t="s">
        <v>723</v>
      </c>
      <c r="F290" s="1" t="s">
        <v>723</v>
      </c>
      <c r="G290" s="1" t="s">
        <v>26</v>
      </c>
      <c r="H290" s="13">
        <v>502268.01</v>
      </c>
      <c r="I290" s="13">
        <v>0</v>
      </c>
      <c r="J290" s="1" t="s">
        <v>2041</v>
      </c>
      <c r="K290" s="1" t="s">
        <v>2025</v>
      </c>
      <c r="L290" s="1" t="str">
        <f>VLOOKUP(Advices[[#This Row],[LC Number]],'Combine_List'!A:D,2,0)</f>
        <v>UNITED PARK CO</v>
      </c>
      <c r="M290" s="447" t="str">
        <f>VLOOKUP(Advices[[#This Row],[LC Number]],'Combine_List'!A:D,3,0)</f>
        <v>FIRST FIX</v>
      </c>
      <c r="N290" s="447" t="str">
        <f>VLOOKUP(Advices[[#This Row],[LC Number]],'Combine_List'!A:D,4,0)</f>
        <v>RCRC</v>
      </c>
      <c r="O290" s="447">
        <f>VLOOKUP(Advices[[#This Row],[LC Number]],'Combine_List'!A:E,5,0)</f>
        <v>1020106</v>
      </c>
      <c r="P290" s="447">
        <f>MONTH(Advices[[#This Row],[Transaction Date]])</f>
        <v>10</v>
      </c>
      <c r="Q290" s="447">
        <f>YEAR(Advices[[#This Row],[Transaction Date]])</f>
        <v>2025</v>
      </c>
      <c r="R290" s="1"/>
    </row>
    <row r="291" spans="1:18" x14ac:dyDescent="0.25">
      <c r="A291" s="1" t="s">
        <v>21</v>
      </c>
      <c r="B291" s="178">
        <v>45950</v>
      </c>
      <c r="C291" s="1" t="s">
        <v>1951</v>
      </c>
      <c r="D291" s="1" t="s">
        <v>2266</v>
      </c>
      <c r="E291" s="1" t="s">
        <v>1347</v>
      </c>
      <c r="F291" s="1" t="s">
        <v>2267</v>
      </c>
      <c r="G291" s="1" t="s">
        <v>26</v>
      </c>
      <c r="H291" s="13">
        <v>190.79</v>
      </c>
      <c r="I291" s="13">
        <v>0</v>
      </c>
      <c r="J291" s="1" t="s">
        <v>1174</v>
      </c>
      <c r="K291" s="1" t="s">
        <v>2025</v>
      </c>
      <c r="L291" s="1" t="str">
        <f>VLOOKUP(Advices[[#This Row],[LC Number]],'Combine_List'!A:D,2,0)</f>
        <v>MODERN HOUSING CONTRACTING CO.</v>
      </c>
      <c r="M291" s="447" t="str">
        <f>VLOOKUP(Advices[[#This Row],[LC Number]],'Combine_List'!A:D,3,0)</f>
        <v>FIRST FIX</v>
      </c>
      <c r="N291" s="447" t="str">
        <f>VLOOKUP(Advices[[#This Row],[LC Number]],'Combine_List'!A:D,4,0)</f>
        <v>KSP</v>
      </c>
      <c r="O291" s="447">
        <f>VLOOKUP(Advices[[#This Row],[LC Number]],'Combine_List'!A:E,5,0)</f>
        <v>1020055</v>
      </c>
      <c r="P291" s="447">
        <f>MONTH(Advices[[#This Row],[Transaction Date]])</f>
        <v>10</v>
      </c>
      <c r="Q291" s="447">
        <f>YEAR(Advices[[#This Row],[Transaction Date]])</f>
        <v>2025</v>
      </c>
      <c r="R291" s="1"/>
    </row>
    <row r="292" spans="1:18" x14ac:dyDescent="0.25">
      <c r="A292" s="1" t="s">
        <v>21</v>
      </c>
      <c r="B292" s="178">
        <v>45950</v>
      </c>
      <c r="C292" s="1" t="s">
        <v>1951</v>
      </c>
      <c r="D292" s="1" t="s">
        <v>2268</v>
      </c>
      <c r="E292" s="1" t="s">
        <v>1347</v>
      </c>
      <c r="F292" s="1" t="s">
        <v>2267</v>
      </c>
      <c r="G292" s="1" t="s">
        <v>26</v>
      </c>
      <c r="H292" s="13">
        <v>1271.95</v>
      </c>
      <c r="I292" s="13">
        <v>0</v>
      </c>
      <c r="J292" s="1" t="s">
        <v>1125</v>
      </c>
      <c r="K292" s="1" t="s">
        <v>2025</v>
      </c>
      <c r="L292" s="1" t="str">
        <f>VLOOKUP(Advices[[#This Row],[LC Number]],'Combine_List'!A:D,2,0)</f>
        <v>MODERN HOUSING CONTRACTING CO.</v>
      </c>
      <c r="M292" s="447" t="str">
        <f>VLOOKUP(Advices[[#This Row],[LC Number]],'Combine_List'!A:D,3,0)</f>
        <v>FIRST FIX</v>
      </c>
      <c r="N292" s="447" t="str">
        <f>VLOOKUP(Advices[[#This Row],[LC Number]],'Combine_List'!A:D,4,0)</f>
        <v>KSP</v>
      </c>
      <c r="O292" s="447">
        <f>VLOOKUP(Advices[[#This Row],[LC Number]],'Combine_List'!A:E,5,0)</f>
        <v>1020055</v>
      </c>
      <c r="P292" s="447">
        <f>MONTH(Advices[[#This Row],[Transaction Date]])</f>
        <v>10</v>
      </c>
      <c r="Q292" s="447">
        <f>YEAR(Advices[[#This Row],[Transaction Date]])</f>
        <v>2025</v>
      </c>
      <c r="R292" s="1"/>
    </row>
    <row r="293" spans="1:18" x14ac:dyDescent="0.25">
      <c r="A293" s="1" t="s">
        <v>21</v>
      </c>
      <c r="B293" s="178">
        <v>45950</v>
      </c>
      <c r="C293" s="1" t="s">
        <v>1951</v>
      </c>
      <c r="D293" s="1" t="s">
        <v>2269</v>
      </c>
      <c r="E293" s="1" t="s">
        <v>1403</v>
      </c>
      <c r="F293" s="1" t="s">
        <v>2270</v>
      </c>
      <c r="G293" s="1" t="s">
        <v>26</v>
      </c>
      <c r="H293" s="13">
        <v>286.39999999999998</v>
      </c>
      <c r="I293" s="13">
        <v>0</v>
      </c>
      <c r="J293" s="1" t="s">
        <v>1174</v>
      </c>
      <c r="K293" s="1" t="s">
        <v>2025</v>
      </c>
      <c r="L293" s="1" t="str">
        <f>VLOOKUP(Advices[[#This Row],[LC Number]],'Combine_List'!A:D,2,0)</f>
        <v>World Systems Co. Ltd.</v>
      </c>
      <c r="M293" s="447" t="str">
        <f>VLOOKUP(Advices[[#This Row],[LC Number]],'Combine_List'!A:D,3,0)</f>
        <v>FIRST FIX</v>
      </c>
      <c r="N293" s="447" t="str">
        <f>VLOOKUP(Advices[[#This Row],[LC Number]],'Combine_List'!A:D,4,0)</f>
        <v>KSP</v>
      </c>
      <c r="O293" s="447">
        <f>VLOOKUP(Advices[[#This Row],[LC Number]],'Combine_List'!A:E,5,0)</f>
        <v>1020055</v>
      </c>
      <c r="P293" s="447">
        <f>MONTH(Advices[[#This Row],[Transaction Date]])</f>
        <v>10</v>
      </c>
      <c r="Q293" s="447">
        <f>YEAR(Advices[[#This Row],[Transaction Date]])</f>
        <v>2025</v>
      </c>
      <c r="R293" s="1"/>
    </row>
    <row r="294" spans="1:18" x14ac:dyDescent="0.25">
      <c r="A294" s="1" t="s">
        <v>21</v>
      </c>
      <c r="B294" s="178">
        <v>45950</v>
      </c>
      <c r="C294" s="1" t="s">
        <v>1951</v>
      </c>
      <c r="D294" s="1" t="s">
        <v>2271</v>
      </c>
      <c r="E294" s="1" t="s">
        <v>1403</v>
      </c>
      <c r="F294" s="1" t="s">
        <v>2270</v>
      </c>
      <c r="G294" s="1" t="s">
        <v>26</v>
      </c>
      <c r="H294" s="13">
        <v>1909.36</v>
      </c>
      <c r="I294" s="13">
        <v>0</v>
      </c>
      <c r="J294" s="1" t="s">
        <v>1125</v>
      </c>
      <c r="K294" s="1" t="s">
        <v>2025</v>
      </c>
      <c r="L294" s="1" t="str">
        <f>VLOOKUP(Advices[[#This Row],[LC Number]],'Combine_List'!A:D,2,0)</f>
        <v>World Systems Co. Ltd.</v>
      </c>
      <c r="M294" s="447" t="str">
        <f>VLOOKUP(Advices[[#This Row],[LC Number]],'Combine_List'!A:D,3,0)</f>
        <v>FIRST FIX</v>
      </c>
      <c r="N294" s="447" t="str">
        <f>VLOOKUP(Advices[[#This Row],[LC Number]],'Combine_List'!A:D,4,0)</f>
        <v>KSP</v>
      </c>
      <c r="O294" s="447">
        <f>VLOOKUP(Advices[[#This Row],[LC Number]],'Combine_List'!A:E,5,0)</f>
        <v>1020055</v>
      </c>
      <c r="P294" s="447">
        <f>MONTH(Advices[[#This Row],[Transaction Date]])</f>
        <v>10</v>
      </c>
      <c r="Q294" s="447">
        <f>YEAR(Advices[[#This Row],[Transaction Date]])</f>
        <v>2025</v>
      </c>
      <c r="R294" s="1"/>
    </row>
    <row r="295" spans="1:18" hidden="1" x14ac:dyDescent="0.25">
      <c r="A295" s="1" t="s">
        <v>2089</v>
      </c>
      <c r="B295" s="178">
        <v>45950</v>
      </c>
      <c r="C295" s="1" t="s">
        <v>2093</v>
      </c>
      <c r="D295" s="1" t="s">
        <v>2272</v>
      </c>
      <c r="E295" s="1" t="s">
        <v>1294</v>
      </c>
      <c r="F295" s="1" t="s">
        <v>2097</v>
      </c>
      <c r="G295" s="1" t="s">
        <v>26</v>
      </c>
      <c r="H295" s="13"/>
      <c r="I295" s="13">
        <v>1233769.43</v>
      </c>
      <c r="J295" s="1"/>
      <c r="K295" s="1" t="s">
        <v>2025</v>
      </c>
      <c r="L295" s="1" t="str">
        <f>VLOOKUP(Advices[[#This Row],[LC Number]],'Combine_List'!A:D,2,0)</f>
        <v>BRC Industrial (Saudia) Company</v>
      </c>
      <c r="M295" s="447" t="str">
        <f>VLOOKUP(Advices[[#This Row],[LC Number]],'Combine_List'!A:D,3,0)</f>
        <v>MBL</v>
      </c>
      <c r="N295" s="447" t="str">
        <f>VLOOKUP(Advices[[#This Row],[LC Number]],'Combine_List'!A:D,4,0)</f>
        <v>Rabigh Power Plant</v>
      </c>
      <c r="O295" s="447">
        <f>VLOOKUP(Advices[[#This Row],[LC Number]],'Combine_List'!A:E,5,0)</f>
        <v>1020107</v>
      </c>
      <c r="P295" s="447">
        <f>MONTH(Advices[[#This Row],[Transaction Date]])</f>
        <v>10</v>
      </c>
      <c r="Q295" s="447">
        <f>YEAR(Advices[[#This Row],[Transaction Date]])</f>
        <v>2025</v>
      </c>
      <c r="R295" s="1"/>
    </row>
    <row r="296" spans="1:18" hidden="1" x14ac:dyDescent="0.25">
      <c r="A296" s="1" t="s">
        <v>2089</v>
      </c>
      <c r="B296" s="178">
        <v>45950</v>
      </c>
      <c r="C296" s="1" t="s">
        <v>2093</v>
      </c>
      <c r="D296" s="1" t="s">
        <v>2263</v>
      </c>
      <c r="E296" s="1" t="s">
        <v>1294</v>
      </c>
      <c r="F296" s="1" t="s">
        <v>2097</v>
      </c>
      <c r="G296" s="1" t="s">
        <v>26</v>
      </c>
      <c r="H296" s="13">
        <v>1233769.43</v>
      </c>
      <c r="I296" s="13">
        <v>0</v>
      </c>
      <c r="J296" s="1"/>
      <c r="K296" s="1" t="s">
        <v>2025</v>
      </c>
      <c r="L296" s="1" t="str">
        <f>VLOOKUP(Advices[[#This Row],[LC Number]],'Combine_List'!A:D,2,0)</f>
        <v>BRC Industrial (Saudia) Company</v>
      </c>
      <c r="M296" s="447" t="str">
        <f>VLOOKUP(Advices[[#This Row],[LC Number]],'Combine_List'!A:D,3,0)</f>
        <v>MBL</v>
      </c>
      <c r="N296" s="447" t="str">
        <f>VLOOKUP(Advices[[#This Row],[LC Number]],'Combine_List'!A:D,4,0)</f>
        <v>Rabigh Power Plant</v>
      </c>
      <c r="O296" s="447">
        <f>VLOOKUP(Advices[[#This Row],[LC Number]],'Combine_List'!A:E,5,0)</f>
        <v>1020107</v>
      </c>
      <c r="P296" s="447">
        <f>MONTH(Advices[[#This Row],[Transaction Date]])</f>
        <v>10</v>
      </c>
      <c r="Q296" s="447">
        <f>YEAR(Advices[[#This Row],[Transaction Date]])</f>
        <v>2025</v>
      </c>
      <c r="R296" s="1"/>
    </row>
    <row r="297" spans="1:18" hidden="1" x14ac:dyDescent="0.25">
      <c r="A297" s="1" t="s">
        <v>2089</v>
      </c>
      <c r="B297" s="178">
        <v>45950</v>
      </c>
      <c r="C297" s="1" t="s">
        <v>2093</v>
      </c>
      <c r="D297" s="1" t="s">
        <v>2272</v>
      </c>
      <c r="E297" s="1" t="s">
        <v>580</v>
      </c>
      <c r="F297" s="1" t="s">
        <v>2273</v>
      </c>
      <c r="G297" s="1" t="s">
        <v>26</v>
      </c>
      <c r="H297" s="13"/>
      <c r="I297" s="13">
        <v>150129.60999999999</v>
      </c>
      <c r="J297" s="1"/>
      <c r="K297" s="1" t="s">
        <v>2025</v>
      </c>
      <c r="L297" s="1" t="str">
        <f>VLOOKUP(Advices[[#This Row],[LC Number]],'Combine_List'!A:D,2,0)</f>
        <v>ALFANAR ELECTRICAL SYSTEMS</v>
      </c>
      <c r="M297" s="447" t="str">
        <f>VLOOKUP(Advices[[#This Row],[LC Number]],'Combine_List'!A:D,3,0)</f>
        <v>FIRST FIX</v>
      </c>
      <c r="N297" s="447" t="str">
        <f>VLOOKUP(Advices[[#This Row],[LC Number]],'Combine_List'!A:D,4,0)</f>
        <v>KSP</v>
      </c>
      <c r="O297" s="447">
        <f>VLOOKUP(Advices[[#This Row],[LC Number]],'Combine_List'!A:E,5,0)</f>
        <v>1020055</v>
      </c>
      <c r="P297" s="447">
        <f>MONTH(Advices[[#This Row],[Transaction Date]])</f>
        <v>10</v>
      </c>
      <c r="Q297" s="447">
        <f>YEAR(Advices[[#This Row],[Transaction Date]])</f>
        <v>2025</v>
      </c>
      <c r="R297" s="1"/>
    </row>
    <row r="298" spans="1:18" hidden="1" x14ac:dyDescent="0.25">
      <c r="A298" s="1" t="s">
        <v>2089</v>
      </c>
      <c r="B298" s="178">
        <v>45950</v>
      </c>
      <c r="C298" s="1" t="s">
        <v>2093</v>
      </c>
      <c r="D298" s="1" t="s">
        <v>2263</v>
      </c>
      <c r="E298" s="1" t="s">
        <v>580</v>
      </c>
      <c r="F298" s="1" t="s">
        <v>2273</v>
      </c>
      <c r="G298" s="1" t="s">
        <v>26</v>
      </c>
      <c r="H298" s="13">
        <v>150129.60999999999</v>
      </c>
      <c r="I298" s="13">
        <v>0</v>
      </c>
      <c r="J298" s="1"/>
      <c r="K298" s="1" t="s">
        <v>2025</v>
      </c>
      <c r="L298" s="1" t="str">
        <f>VLOOKUP(Advices[[#This Row],[LC Number]],'Combine_List'!A:D,2,0)</f>
        <v>ALFANAR ELECTRICAL SYSTEMS</v>
      </c>
      <c r="M298" s="447" t="str">
        <f>VLOOKUP(Advices[[#This Row],[LC Number]],'Combine_List'!A:D,3,0)</f>
        <v>FIRST FIX</v>
      </c>
      <c r="N298" s="447" t="str">
        <f>VLOOKUP(Advices[[#This Row],[LC Number]],'Combine_List'!A:D,4,0)</f>
        <v>KSP</v>
      </c>
      <c r="O298" s="447">
        <f>VLOOKUP(Advices[[#This Row],[LC Number]],'Combine_List'!A:E,5,0)</f>
        <v>1020055</v>
      </c>
      <c r="P298" s="447">
        <f>MONTH(Advices[[#This Row],[Transaction Date]])</f>
        <v>10</v>
      </c>
      <c r="Q298" s="447">
        <f>YEAR(Advices[[#This Row],[Transaction Date]])</f>
        <v>2025</v>
      </c>
      <c r="R298" s="1"/>
    </row>
    <row r="299" spans="1:18" hidden="1" x14ac:dyDescent="0.25">
      <c r="A299" s="1" t="s">
        <v>612</v>
      </c>
      <c r="B299" s="178">
        <v>45950</v>
      </c>
      <c r="C299" s="1" t="s">
        <v>2101</v>
      </c>
      <c r="D299" s="1" t="s">
        <v>2274</v>
      </c>
      <c r="E299" s="1" t="s">
        <v>834</v>
      </c>
      <c r="F299" s="1" t="s">
        <v>834</v>
      </c>
      <c r="G299" s="1" t="s">
        <v>26</v>
      </c>
      <c r="H299" s="13">
        <v>55597.26</v>
      </c>
      <c r="I299" s="13">
        <v>0</v>
      </c>
      <c r="J299" s="1" t="s">
        <v>2041</v>
      </c>
      <c r="K299" s="1" t="s">
        <v>2025</v>
      </c>
      <c r="L299" s="1" t="str">
        <f>VLOOKUP(Advices[[#This Row],[LC Number]],'Combine_List'!A:D,2,0)</f>
        <v>Branch of National Fire Fighting (NAFFCO)</v>
      </c>
      <c r="M299" s="447" t="str">
        <f>VLOOKUP(Advices[[#This Row],[LC Number]],'Combine_List'!A:D,3,0)</f>
        <v>FIRST FIX</v>
      </c>
      <c r="N299" s="447" t="str">
        <f>VLOOKUP(Advices[[#This Row],[LC Number]],'Combine_List'!A:D,4,0)</f>
        <v>RCRC</v>
      </c>
      <c r="O299" s="447">
        <f>VLOOKUP(Advices[[#This Row],[LC Number]],'Combine_List'!A:E,5,0)</f>
        <v>1020106</v>
      </c>
      <c r="P299" s="447">
        <f>MONTH(Advices[[#This Row],[Transaction Date]])</f>
        <v>10</v>
      </c>
      <c r="Q299" s="447">
        <f>YEAR(Advices[[#This Row],[Transaction Date]])</f>
        <v>2025</v>
      </c>
      <c r="R299" s="1"/>
    </row>
    <row r="300" spans="1:18" hidden="1" x14ac:dyDescent="0.25">
      <c r="A300" s="1" t="s">
        <v>612</v>
      </c>
      <c r="B300" s="178">
        <v>45950</v>
      </c>
      <c r="C300" s="1" t="s">
        <v>2101</v>
      </c>
      <c r="D300" s="1" t="s">
        <v>2275</v>
      </c>
      <c r="E300" s="1" t="s">
        <v>1235</v>
      </c>
      <c r="F300" s="1" t="s">
        <v>1235</v>
      </c>
      <c r="G300" s="1" t="s">
        <v>26</v>
      </c>
      <c r="H300" s="13">
        <v>100</v>
      </c>
      <c r="I300" s="13">
        <v>0</v>
      </c>
      <c r="J300" s="1" t="s">
        <v>2041</v>
      </c>
      <c r="K300" s="1" t="s">
        <v>2025</v>
      </c>
      <c r="L300" s="1" t="str">
        <f>VLOOKUP(Advices[[#This Row],[LC Number]],'Combine_List'!A:D,2,0)</f>
        <v>MOHAMMED RAMADAN SHAT FACTORY FOR METAL INDUSTRIES</v>
      </c>
      <c r="M300" s="447" t="str">
        <f>VLOOKUP(Advices[[#This Row],[LC Number]],'Combine_List'!A:D,3,0)</f>
        <v>FIRST FIX</v>
      </c>
      <c r="N300" s="447" t="str">
        <f>VLOOKUP(Advices[[#This Row],[LC Number]],'Combine_List'!A:D,4,0)</f>
        <v>RCRC</v>
      </c>
      <c r="O300" s="447">
        <f>VLOOKUP(Advices[[#This Row],[LC Number]],'Combine_List'!A:E,5,0)</f>
        <v>1020106</v>
      </c>
      <c r="P300" s="447">
        <f>MONTH(Advices[[#This Row],[Transaction Date]])</f>
        <v>10</v>
      </c>
      <c r="Q300" s="447">
        <f>YEAR(Advices[[#This Row],[Transaction Date]])</f>
        <v>2025</v>
      </c>
      <c r="R300" s="1"/>
    </row>
    <row r="301" spans="1:18" hidden="1" x14ac:dyDescent="0.25">
      <c r="A301" s="1" t="s">
        <v>612</v>
      </c>
      <c r="B301" s="178">
        <v>45950</v>
      </c>
      <c r="C301" s="1" t="s">
        <v>2101</v>
      </c>
      <c r="D301" s="1" t="s">
        <v>2276</v>
      </c>
      <c r="E301" s="1" t="s">
        <v>1235</v>
      </c>
      <c r="F301" s="1" t="s">
        <v>1235</v>
      </c>
      <c r="G301" s="1" t="s">
        <v>26</v>
      </c>
      <c r="H301" s="13">
        <v>15</v>
      </c>
      <c r="I301" s="13">
        <v>0</v>
      </c>
      <c r="J301" s="1" t="s">
        <v>2041</v>
      </c>
      <c r="K301" s="1" t="s">
        <v>2025</v>
      </c>
      <c r="L301" s="1" t="str">
        <f>VLOOKUP(Advices[[#This Row],[LC Number]],'Combine_List'!A:D,2,0)</f>
        <v>MOHAMMED RAMADAN SHAT FACTORY FOR METAL INDUSTRIES</v>
      </c>
      <c r="M301" s="447" t="str">
        <f>VLOOKUP(Advices[[#This Row],[LC Number]],'Combine_List'!A:D,3,0)</f>
        <v>FIRST FIX</v>
      </c>
      <c r="N301" s="447" t="str">
        <f>VLOOKUP(Advices[[#This Row],[LC Number]],'Combine_List'!A:D,4,0)</f>
        <v>RCRC</v>
      </c>
      <c r="O301" s="447">
        <f>VLOOKUP(Advices[[#This Row],[LC Number]],'Combine_List'!A:E,5,0)</f>
        <v>1020106</v>
      </c>
      <c r="P301" s="447">
        <f>MONTH(Advices[[#This Row],[Transaction Date]])</f>
        <v>10</v>
      </c>
      <c r="Q301" s="447">
        <f>YEAR(Advices[[#This Row],[Transaction Date]])</f>
        <v>2025</v>
      </c>
      <c r="R301" s="1"/>
    </row>
    <row r="302" spans="1:18" hidden="1" x14ac:dyDescent="0.25">
      <c r="A302" s="1" t="s">
        <v>612</v>
      </c>
      <c r="B302" s="178">
        <v>45950</v>
      </c>
      <c r="C302" s="1" t="s">
        <v>2101</v>
      </c>
      <c r="D302" s="1" t="s">
        <v>2277</v>
      </c>
      <c r="E302" s="1" t="s">
        <v>1235</v>
      </c>
      <c r="F302" s="1" t="s">
        <v>1235</v>
      </c>
      <c r="G302" s="1" t="s">
        <v>26</v>
      </c>
      <c r="H302" s="13">
        <v>250</v>
      </c>
      <c r="I302" s="13">
        <v>0</v>
      </c>
      <c r="J302" s="1" t="s">
        <v>2041</v>
      </c>
      <c r="K302" s="1" t="s">
        <v>2025</v>
      </c>
      <c r="L302" s="1" t="str">
        <f>VLOOKUP(Advices[[#This Row],[LC Number]],'Combine_List'!A:D,2,0)</f>
        <v>MOHAMMED RAMADAN SHAT FACTORY FOR METAL INDUSTRIES</v>
      </c>
      <c r="M302" s="447" t="str">
        <f>VLOOKUP(Advices[[#This Row],[LC Number]],'Combine_List'!A:D,3,0)</f>
        <v>FIRST FIX</v>
      </c>
      <c r="N302" s="447" t="str">
        <f>VLOOKUP(Advices[[#This Row],[LC Number]],'Combine_List'!A:D,4,0)</f>
        <v>RCRC</v>
      </c>
      <c r="O302" s="447">
        <f>VLOOKUP(Advices[[#This Row],[LC Number]],'Combine_List'!A:E,5,0)</f>
        <v>1020106</v>
      </c>
      <c r="P302" s="447">
        <f>MONTH(Advices[[#This Row],[Transaction Date]])</f>
        <v>10</v>
      </c>
      <c r="Q302" s="447">
        <f>YEAR(Advices[[#This Row],[Transaction Date]])</f>
        <v>2025</v>
      </c>
      <c r="R302" s="1"/>
    </row>
    <row r="303" spans="1:18" hidden="1" x14ac:dyDescent="0.25">
      <c r="A303" s="1" t="s">
        <v>612</v>
      </c>
      <c r="B303" s="178">
        <v>45950</v>
      </c>
      <c r="C303" s="1" t="s">
        <v>2101</v>
      </c>
      <c r="D303" s="1" t="s">
        <v>2278</v>
      </c>
      <c r="E303" s="1" t="s">
        <v>1235</v>
      </c>
      <c r="F303" s="1" t="s">
        <v>1235</v>
      </c>
      <c r="G303" s="1" t="s">
        <v>26</v>
      </c>
      <c r="H303" s="13">
        <v>37.5</v>
      </c>
      <c r="I303" s="13">
        <v>0</v>
      </c>
      <c r="J303" s="1" t="s">
        <v>2041</v>
      </c>
      <c r="K303" s="1" t="s">
        <v>2025</v>
      </c>
      <c r="L303" s="1" t="str">
        <f>VLOOKUP(Advices[[#This Row],[LC Number]],'Combine_List'!A:D,2,0)</f>
        <v>MOHAMMED RAMADAN SHAT FACTORY FOR METAL INDUSTRIES</v>
      </c>
      <c r="M303" s="447" t="str">
        <f>VLOOKUP(Advices[[#This Row],[LC Number]],'Combine_List'!A:D,3,0)</f>
        <v>FIRST FIX</v>
      </c>
      <c r="N303" s="447" t="str">
        <f>VLOOKUP(Advices[[#This Row],[LC Number]],'Combine_List'!A:D,4,0)</f>
        <v>RCRC</v>
      </c>
      <c r="O303" s="447">
        <f>VLOOKUP(Advices[[#This Row],[LC Number]],'Combine_List'!A:E,5,0)</f>
        <v>1020106</v>
      </c>
      <c r="P303" s="447">
        <f>MONTH(Advices[[#This Row],[Transaction Date]])</f>
        <v>10</v>
      </c>
      <c r="Q303" s="447">
        <f>YEAR(Advices[[#This Row],[Transaction Date]])</f>
        <v>2025</v>
      </c>
      <c r="R303" s="1"/>
    </row>
    <row r="304" spans="1:18" hidden="1" x14ac:dyDescent="0.25">
      <c r="A304" s="1" t="s">
        <v>612</v>
      </c>
      <c r="B304" s="178">
        <v>45950</v>
      </c>
      <c r="C304" s="1" t="s">
        <v>2101</v>
      </c>
      <c r="D304" s="1" t="s">
        <v>2279</v>
      </c>
      <c r="E304" s="1" t="s">
        <v>1235</v>
      </c>
      <c r="F304" s="1" t="s">
        <v>1235</v>
      </c>
      <c r="G304" s="1" t="s">
        <v>26</v>
      </c>
      <c r="H304" s="13">
        <v>200</v>
      </c>
      <c r="I304" s="13">
        <v>0</v>
      </c>
      <c r="J304" s="1" t="s">
        <v>2041</v>
      </c>
      <c r="K304" s="1" t="s">
        <v>2025</v>
      </c>
      <c r="L304" s="1" t="str">
        <f>VLOOKUP(Advices[[#This Row],[LC Number]],'Combine_List'!A:D,2,0)</f>
        <v>MOHAMMED RAMADAN SHAT FACTORY FOR METAL INDUSTRIES</v>
      </c>
      <c r="M304" s="447" t="str">
        <f>VLOOKUP(Advices[[#This Row],[LC Number]],'Combine_List'!A:D,3,0)</f>
        <v>FIRST FIX</v>
      </c>
      <c r="N304" s="447" t="str">
        <f>VLOOKUP(Advices[[#This Row],[LC Number]],'Combine_List'!A:D,4,0)</f>
        <v>RCRC</v>
      </c>
      <c r="O304" s="447">
        <f>VLOOKUP(Advices[[#This Row],[LC Number]],'Combine_List'!A:E,5,0)</f>
        <v>1020106</v>
      </c>
      <c r="P304" s="447">
        <f>MONTH(Advices[[#This Row],[Transaction Date]])</f>
        <v>10</v>
      </c>
      <c r="Q304" s="447">
        <f>YEAR(Advices[[#This Row],[Transaction Date]])</f>
        <v>2025</v>
      </c>
      <c r="R304" s="1"/>
    </row>
    <row r="305" spans="1:18" hidden="1" x14ac:dyDescent="0.25">
      <c r="A305" s="1" t="s">
        <v>612</v>
      </c>
      <c r="B305" s="178">
        <v>45950</v>
      </c>
      <c r="C305" s="1" t="s">
        <v>2101</v>
      </c>
      <c r="D305" s="1" t="s">
        <v>2280</v>
      </c>
      <c r="E305" s="1" t="s">
        <v>1235</v>
      </c>
      <c r="F305" s="1" t="s">
        <v>1235</v>
      </c>
      <c r="G305" s="1" t="s">
        <v>26</v>
      </c>
      <c r="H305" s="13">
        <v>30</v>
      </c>
      <c r="I305" s="13">
        <v>0</v>
      </c>
      <c r="J305" s="1" t="s">
        <v>2041</v>
      </c>
      <c r="K305" s="1" t="s">
        <v>2025</v>
      </c>
      <c r="L305" s="1" t="str">
        <f>VLOOKUP(Advices[[#This Row],[LC Number]],'Combine_List'!A:D,2,0)</f>
        <v>MOHAMMED RAMADAN SHAT FACTORY FOR METAL INDUSTRIES</v>
      </c>
      <c r="M305" s="447" t="str">
        <f>VLOOKUP(Advices[[#This Row],[LC Number]],'Combine_List'!A:D,3,0)</f>
        <v>FIRST FIX</v>
      </c>
      <c r="N305" s="447" t="str">
        <f>VLOOKUP(Advices[[#This Row],[LC Number]],'Combine_List'!A:D,4,0)</f>
        <v>RCRC</v>
      </c>
      <c r="O305" s="447">
        <f>VLOOKUP(Advices[[#This Row],[LC Number]],'Combine_List'!A:E,5,0)</f>
        <v>1020106</v>
      </c>
      <c r="P305" s="447">
        <f>MONTH(Advices[[#This Row],[Transaction Date]])</f>
        <v>10</v>
      </c>
      <c r="Q305" s="447">
        <f>YEAR(Advices[[#This Row],[Transaction Date]])</f>
        <v>2025</v>
      </c>
      <c r="R305" s="1"/>
    </row>
    <row r="306" spans="1:18" hidden="1" x14ac:dyDescent="0.25">
      <c r="A306" s="1" t="s">
        <v>612</v>
      </c>
      <c r="B306" s="178">
        <v>45950</v>
      </c>
      <c r="C306" s="1" t="s">
        <v>2101</v>
      </c>
      <c r="D306" s="1" t="s">
        <v>2281</v>
      </c>
      <c r="E306" s="1" t="s">
        <v>1810</v>
      </c>
      <c r="F306" s="1" t="s">
        <v>1810</v>
      </c>
      <c r="G306" s="1" t="s">
        <v>26</v>
      </c>
      <c r="H306" s="13">
        <v>100</v>
      </c>
      <c r="I306" s="13">
        <v>0</v>
      </c>
      <c r="J306" s="1" t="s">
        <v>2041</v>
      </c>
      <c r="K306" s="1" t="s">
        <v>2025</v>
      </c>
      <c r="L306" s="1" t="str">
        <f>VLOOKUP(Advices[[#This Row],[LC Number]],'Combine_List'!A:D,2,0)</f>
        <v>AL FALWA CO. LTD. FOR READYMIX CONCRETE</v>
      </c>
      <c r="M306" s="447" t="str">
        <f>VLOOKUP(Advices[[#This Row],[LC Number]],'Combine_List'!A:D,3,0)</f>
        <v>MBL</v>
      </c>
      <c r="N306" s="447" t="str">
        <f>VLOOKUP(Advices[[#This Row],[LC Number]],'Combine_List'!A:D,4,0)</f>
        <v>RCRC</v>
      </c>
      <c r="O306" s="447">
        <f>VLOOKUP(Advices[[#This Row],[LC Number]],'Combine_List'!A:E,5,0)</f>
        <v>1020106</v>
      </c>
      <c r="P306" s="447">
        <f>MONTH(Advices[[#This Row],[Transaction Date]])</f>
        <v>10</v>
      </c>
      <c r="Q306" s="447">
        <f>YEAR(Advices[[#This Row],[Transaction Date]])</f>
        <v>2025</v>
      </c>
      <c r="R306" s="1"/>
    </row>
    <row r="307" spans="1:18" hidden="1" x14ac:dyDescent="0.25">
      <c r="A307" s="1" t="s">
        <v>612</v>
      </c>
      <c r="B307" s="178">
        <v>45950</v>
      </c>
      <c r="C307" s="1" t="s">
        <v>2101</v>
      </c>
      <c r="D307" s="1" t="s">
        <v>2282</v>
      </c>
      <c r="E307" s="1" t="s">
        <v>1810</v>
      </c>
      <c r="F307" s="1" t="s">
        <v>1810</v>
      </c>
      <c r="G307" s="1" t="s">
        <v>26</v>
      </c>
      <c r="H307" s="13">
        <v>15</v>
      </c>
      <c r="I307" s="13">
        <v>0</v>
      </c>
      <c r="J307" s="1" t="s">
        <v>2041</v>
      </c>
      <c r="K307" s="1" t="s">
        <v>2025</v>
      </c>
      <c r="L307" s="1" t="str">
        <f>VLOOKUP(Advices[[#This Row],[LC Number]],'Combine_List'!A:D,2,0)</f>
        <v>AL FALWA CO. LTD. FOR READYMIX CONCRETE</v>
      </c>
      <c r="M307" s="447" t="str">
        <f>VLOOKUP(Advices[[#This Row],[LC Number]],'Combine_List'!A:D,3,0)</f>
        <v>MBL</v>
      </c>
      <c r="N307" s="447" t="str">
        <f>VLOOKUP(Advices[[#This Row],[LC Number]],'Combine_List'!A:D,4,0)</f>
        <v>RCRC</v>
      </c>
      <c r="O307" s="447">
        <f>VLOOKUP(Advices[[#This Row],[LC Number]],'Combine_List'!A:E,5,0)</f>
        <v>1020106</v>
      </c>
      <c r="P307" s="447">
        <f>MONTH(Advices[[#This Row],[Transaction Date]])</f>
        <v>10</v>
      </c>
      <c r="Q307" s="447">
        <f>YEAR(Advices[[#This Row],[Transaction Date]])</f>
        <v>2025</v>
      </c>
      <c r="R307" s="1"/>
    </row>
    <row r="308" spans="1:18" hidden="1" x14ac:dyDescent="0.25">
      <c r="A308" s="1" t="s">
        <v>612</v>
      </c>
      <c r="B308" s="178">
        <v>45950</v>
      </c>
      <c r="C308" s="1" t="s">
        <v>2101</v>
      </c>
      <c r="D308" s="1" t="s">
        <v>2283</v>
      </c>
      <c r="E308" s="1" t="s">
        <v>1810</v>
      </c>
      <c r="F308" s="1" t="s">
        <v>1810</v>
      </c>
      <c r="G308" s="1" t="s">
        <v>26</v>
      </c>
      <c r="H308" s="13">
        <v>1009</v>
      </c>
      <c r="I308" s="13">
        <v>0</v>
      </c>
      <c r="J308" s="1" t="s">
        <v>2041</v>
      </c>
      <c r="K308" s="1" t="s">
        <v>2025</v>
      </c>
      <c r="L308" s="1" t="str">
        <f>VLOOKUP(Advices[[#This Row],[LC Number]],'Combine_List'!A:D,2,0)</f>
        <v>AL FALWA CO. LTD. FOR READYMIX CONCRETE</v>
      </c>
      <c r="M308" s="447" t="str">
        <f>VLOOKUP(Advices[[#This Row],[LC Number]],'Combine_List'!A:D,3,0)</f>
        <v>MBL</v>
      </c>
      <c r="N308" s="447" t="str">
        <f>VLOOKUP(Advices[[#This Row],[LC Number]],'Combine_List'!A:D,4,0)</f>
        <v>RCRC</v>
      </c>
      <c r="O308" s="447">
        <f>VLOOKUP(Advices[[#This Row],[LC Number]],'Combine_List'!A:E,5,0)</f>
        <v>1020106</v>
      </c>
      <c r="P308" s="447">
        <f>MONTH(Advices[[#This Row],[Transaction Date]])</f>
        <v>10</v>
      </c>
      <c r="Q308" s="447">
        <f>YEAR(Advices[[#This Row],[Transaction Date]])</f>
        <v>2025</v>
      </c>
      <c r="R308" s="1"/>
    </row>
    <row r="309" spans="1:18" hidden="1" x14ac:dyDescent="0.25">
      <c r="A309" s="1" t="s">
        <v>612</v>
      </c>
      <c r="B309" s="178">
        <v>45950</v>
      </c>
      <c r="C309" s="1" t="s">
        <v>2101</v>
      </c>
      <c r="D309" s="1" t="s">
        <v>2284</v>
      </c>
      <c r="E309" s="1" t="s">
        <v>1810</v>
      </c>
      <c r="F309" s="1" t="s">
        <v>1810</v>
      </c>
      <c r="G309" s="1" t="s">
        <v>26</v>
      </c>
      <c r="H309" s="13">
        <v>151.35</v>
      </c>
      <c r="I309" s="13">
        <v>0</v>
      </c>
      <c r="J309" s="1" t="s">
        <v>2041</v>
      </c>
      <c r="K309" s="1" t="s">
        <v>2025</v>
      </c>
      <c r="L309" s="1" t="str">
        <f>VLOOKUP(Advices[[#This Row],[LC Number]],'Combine_List'!A:D,2,0)</f>
        <v>AL FALWA CO. LTD. FOR READYMIX CONCRETE</v>
      </c>
      <c r="M309" s="447" t="str">
        <f>VLOOKUP(Advices[[#This Row],[LC Number]],'Combine_List'!A:D,3,0)</f>
        <v>MBL</v>
      </c>
      <c r="N309" s="447" t="str">
        <f>VLOOKUP(Advices[[#This Row],[LC Number]],'Combine_List'!A:D,4,0)</f>
        <v>RCRC</v>
      </c>
      <c r="O309" s="447">
        <f>VLOOKUP(Advices[[#This Row],[LC Number]],'Combine_List'!A:E,5,0)</f>
        <v>1020106</v>
      </c>
      <c r="P309" s="447">
        <f>MONTH(Advices[[#This Row],[Transaction Date]])</f>
        <v>10</v>
      </c>
      <c r="Q309" s="447">
        <f>YEAR(Advices[[#This Row],[Transaction Date]])</f>
        <v>2025</v>
      </c>
      <c r="R309" s="1"/>
    </row>
    <row r="310" spans="1:18" hidden="1" x14ac:dyDescent="0.25">
      <c r="A310" s="1" t="s">
        <v>612</v>
      </c>
      <c r="B310" s="178">
        <v>45950</v>
      </c>
      <c r="C310" s="1" t="s">
        <v>2101</v>
      </c>
      <c r="D310" s="1" t="s">
        <v>2285</v>
      </c>
      <c r="E310" s="1" t="s">
        <v>1810</v>
      </c>
      <c r="F310" s="1" t="s">
        <v>1810</v>
      </c>
      <c r="G310" s="1" t="s">
        <v>26</v>
      </c>
      <c r="H310" s="13">
        <v>200</v>
      </c>
      <c r="I310" s="13">
        <v>0</v>
      </c>
      <c r="J310" s="1" t="s">
        <v>2041</v>
      </c>
      <c r="K310" s="1" t="s">
        <v>2025</v>
      </c>
      <c r="L310" s="1" t="str">
        <f>VLOOKUP(Advices[[#This Row],[LC Number]],'Combine_List'!A:D,2,0)</f>
        <v>AL FALWA CO. LTD. FOR READYMIX CONCRETE</v>
      </c>
      <c r="M310" s="447" t="str">
        <f>VLOOKUP(Advices[[#This Row],[LC Number]],'Combine_List'!A:D,3,0)</f>
        <v>MBL</v>
      </c>
      <c r="N310" s="447" t="str">
        <f>VLOOKUP(Advices[[#This Row],[LC Number]],'Combine_List'!A:D,4,0)</f>
        <v>RCRC</v>
      </c>
      <c r="O310" s="447">
        <f>VLOOKUP(Advices[[#This Row],[LC Number]],'Combine_List'!A:E,5,0)</f>
        <v>1020106</v>
      </c>
      <c r="P310" s="447">
        <f>MONTH(Advices[[#This Row],[Transaction Date]])</f>
        <v>10</v>
      </c>
      <c r="Q310" s="447">
        <f>YEAR(Advices[[#This Row],[Transaction Date]])</f>
        <v>2025</v>
      </c>
      <c r="R310" s="1"/>
    </row>
    <row r="311" spans="1:18" hidden="1" x14ac:dyDescent="0.25">
      <c r="A311" s="1" t="s">
        <v>612</v>
      </c>
      <c r="B311" s="178">
        <v>45950</v>
      </c>
      <c r="C311" s="1" t="s">
        <v>2101</v>
      </c>
      <c r="D311" s="1" t="s">
        <v>2286</v>
      </c>
      <c r="E311" s="1" t="s">
        <v>1810</v>
      </c>
      <c r="F311" s="1" t="s">
        <v>1810</v>
      </c>
      <c r="G311" s="1" t="s">
        <v>26</v>
      </c>
      <c r="H311" s="13">
        <v>30</v>
      </c>
      <c r="I311" s="13">
        <v>0</v>
      </c>
      <c r="J311" s="1" t="s">
        <v>2041</v>
      </c>
      <c r="K311" s="1" t="s">
        <v>2025</v>
      </c>
      <c r="L311" s="1" t="str">
        <f>VLOOKUP(Advices[[#This Row],[LC Number]],'Combine_List'!A:D,2,0)</f>
        <v>AL FALWA CO. LTD. FOR READYMIX CONCRETE</v>
      </c>
      <c r="M311" s="447" t="str">
        <f>VLOOKUP(Advices[[#This Row],[LC Number]],'Combine_List'!A:D,3,0)</f>
        <v>MBL</v>
      </c>
      <c r="N311" s="447" t="str">
        <f>VLOOKUP(Advices[[#This Row],[LC Number]],'Combine_List'!A:D,4,0)</f>
        <v>RCRC</v>
      </c>
      <c r="O311" s="447">
        <f>VLOOKUP(Advices[[#This Row],[LC Number]],'Combine_List'!A:E,5,0)</f>
        <v>1020106</v>
      </c>
      <c r="P311" s="447">
        <f>MONTH(Advices[[#This Row],[Transaction Date]])</f>
        <v>10</v>
      </c>
      <c r="Q311" s="447">
        <f>YEAR(Advices[[#This Row],[Transaction Date]])</f>
        <v>2025</v>
      </c>
      <c r="R311" s="1"/>
    </row>
    <row r="312" spans="1:18" x14ac:dyDescent="0.25">
      <c r="A312" s="1" t="s">
        <v>21</v>
      </c>
      <c r="B312" s="178">
        <v>45951</v>
      </c>
      <c r="C312" s="1" t="s">
        <v>1951</v>
      </c>
      <c r="D312" s="1" t="s">
        <v>2290</v>
      </c>
      <c r="E312" s="1" t="s">
        <v>1896</v>
      </c>
      <c r="F312" s="1" t="s">
        <v>1896</v>
      </c>
      <c r="G312" s="1" t="s">
        <v>26</v>
      </c>
      <c r="H312" s="13">
        <v>37.5</v>
      </c>
      <c r="I312" s="13">
        <v>0</v>
      </c>
      <c r="J312" s="1" t="s">
        <v>1174</v>
      </c>
      <c r="K312" s="1" t="s">
        <v>2025</v>
      </c>
      <c r="L312" s="1" t="str">
        <f>VLOOKUP(Advices[[#This Row],[LC Number]],'Combine_List'!A:D,2,0)</f>
        <v>Saudi Perfect Pumps Trading &amp; Manufacturing Company</v>
      </c>
      <c r="M312" s="447" t="str">
        <f>VLOOKUP(Advices[[#This Row],[LC Number]],'Combine_List'!A:D,3,0)</f>
        <v>MBL</v>
      </c>
      <c r="N312" s="447" t="str">
        <f>VLOOKUP(Advices[[#This Row],[LC Number]],'Combine_List'!A:D,4,0)</f>
        <v>Rabigh Power Plant</v>
      </c>
      <c r="O312" s="447">
        <f>VLOOKUP(Advices[[#This Row],[LC Number]],'Combine_List'!A:E,5,0)</f>
        <v>1020107</v>
      </c>
      <c r="P312" s="447">
        <f>MONTH(Advices[[#This Row],[Transaction Date]])</f>
        <v>10</v>
      </c>
      <c r="Q312" s="447">
        <f>YEAR(Advices[[#This Row],[Transaction Date]])</f>
        <v>2025</v>
      </c>
      <c r="R312" s="1"/>
    </row>
    <row r="313" spans="1:18" x14ac:dyDescent="0.25">
      <c r="A313" s="1" t="s">
        <v>21</v>
      </c>
      <c r="B313" s="178">
        <v>45951</v>
      </c>
      <c r="C313" s="1" t="s">
        <v>1951</v>
      </c>
      <c r="D313" s="1" t="s">
        <v>2291</v>
      </c>
      <c r="E313" s="1" t="s">
        <v>1896</v>
      </c>
      <c r="F313" s="1" t="s">
        <v>1896</v>
      </c>
      <c r="G313" s="1" t="s">
        <v>26</v>
      </c>
      <c r="H313" s="13">
        <v>250</v>
      </c>
      <c r="I313" s="13">
        <v>0</v>
      </c>
      <c r="J313" s="1" t="s">
        <v>1963</v>
      </c>
      <c r="K313" s="1" t="s">
        <v>2025</v>
      </c>
      <c r="L313" s="1" t="str">
        <f>VLOOKUP(Advices[[#This Row],[LC Number]],'Combine_List'!A:D,2,0)</f>
        <v>Saudi Perfect Pumps Trading &amp; Manufacturing Company</v>
      </c>
      <c r="M313" s="447" t="str">
        <f>VLOOKUP(Advices[[#This Row],[LC Number]],'Combine_List'!A:D,3,0)</f>
        <v>MBL</v>
      </c>
      <c r="N313" s="447" t="str">
        <f>VLOOKUP(Advices[[#This Row],[LC Number]],'Combine_List'!A:D,4,0)</f>
        <v>Rabigh Power Plant</v>
      </c>
      <c r="O313" s="447">
        <f>VLOOKUP(Advices[[#This Row],[LC Number]],'Combine_List'!A:E,5,0)</f>
        <v>1020107</v>
      </c>
      <c r="P313" s="447">
        <f>MONTH(Advices[[#This Row],[Transaction Date]])</f>
        <v>10</v>
      </c>
      <c r="Q313" s="447">
        <f>YEAR(Advices[[#This Row],[Transaction Date]])</f>
        <v>2025</v>
      </c>
      <c r="R313" s="1"/>
    </row>
    <row r="314" spans="1:18" x14ac:dyDescent="0.25">
      <c r="A314" s="1" t="s">
        <v>21</v>
      </c>
      <c r="B314" s="178">
        <v>45951</v>
      </c>
      <c r="C314" s="1" t="s">
        <v>1951</v>
      </c>
      <c r="D314" s="1" t="s">
        <v>2290</v>
      </c>
      <c r="E314" s="1" t="s">
        <v>1896</v>
      </c>
      <c r="F314" s="1" t="s">
        <v>1896</v>
      </c>
      <c r="G314" s="1" t="s">
        <v>26</v>
      </c>
      <c r="H314" s="13">
        <v>704.63</v>
      </c>
      <c r="I314" s="13">
        <v>0</v>
      </c>
      <c r="J314" s="1" t="s">
        <v>1174</v>
      </c>
      <c r="K314" s="1" t="s">
        <v>2025</v>
      </c>
      <c r="L314" s="1" t="str">
        <f>VLOOKUP(Advices[[#This Row],[LC Number]],'Combine_List'!A:D,2,0)</f>
        <v>Saudi Perfect Pumps Trading &amp; Manufacturing Company</v>
      </c>
      <c r="M314" s="447" t="str">
        <f>VLOOKUP(Advices[[#This Row],[LC Number]],'Combine_List'!A:D,3,0)</f>
        <v>MBL</v>
      </c>
      <c r="N314" s="447" t="str">
        <f>VLOOKUP(Advices[[#This Row],[LC Number]],'Combine_List'!A:D,4,0)</f>
        <v>Rabigh Power Plant</v>
      </c>
      <c r="O314" s="447">
        <f>VLOOKUP(Advices[[#This Row],[LC Number]],'Combine_List'!A:E,5,0)</f>
        <v>1020107</v>
      </c>
      <c r="P314" s="447">
        <f>MONTH(Advices[[#This Row],[Transaction Date]])</f>
        <v>10</v>
      </c>
      <c r="Q314" s="447">
        <f>YEAR(Advices[[#This Row],[Transaction Date]])</f>
        <v>2025</v>
      </c>
      <c r="R314" s="1"/>
    </row>
    <row r="315" spans="1:18" x14ac:dyDescent="0.25">
      <c r="A315" s="1" t="s">
        <v>21</v>
      </c>
      <c r="B315" s="178">
        <v>45951</v>
      </c>
      <c r="C315" s="1" t="s">
        <v>1951</v>
      </c>
      <c r="D315" s="1" t="s">
        <v>2292</v>
      </c>
      <c r="E315" s="1" t="s">
        <v>1896</v>
      </c>
      <c r="F315" s="1" t="s">
        <v>1896</v>
      </c>
      <c r="G315" s="1" t="s">
        <v>26</v>
      </c>
      <c r="H315" s="13">
        <v>4697.5</v>
      </c>
      <c r="I315" s="13">
        <v>0</v>
      </c>
      <c r="J315" s="1" t="s">
        <v>1124</v>
      </c>
      <c r="K315" s="1" t="s">
        <v>2025</v>
      </c>
      <c r="L315" s="1" t="str">
        <f>VLOOKUP(Advices[[#This Row],[LC Number]],'Combine_List'!A:D,2,0)</f>
        <v>Saudi Perfect Pumps Trading &amp; Manufacturing Company</v>
      </c>
      <c r="M315" s="447" t="str">
        <f>VLOOKUP(Advices[[#This Row],[LC Number]],'Combine_List'!A:D,3,0)</f>
        <v>MBL</v>
      </c>
      <c r="N315" s="447" t="str">
        <f>VLOOKUP(Advices[[#This Row],[LC Number]],'Combine_List'!A:D,4,0)</f>
        <v>Rabigh Power Plant</v>
      </c>
      <c r="O315" s="447">
        <f>VLOOKUP(Advices[[#This Row],[LC Number]],'Combine_List'!A:E,5,0)</f>
        <v>1020107</v>
      </c>
      <c r="P315" s="447">
        <f>MONTH(Advices[[#This Row],[Transaction Date]])</f>
        <v>10</v>
      </c>
      <c r="Q315" s="447">
        <f>YEAR(Advices[[#This Row],[Transaction Date]])</f>
        <v>2025</v>
      </c>
      <c r="R315" s="1"/>
    </row>
    <row r="316" spans="1:18" hidden="1" x14ac:dyDescent="0.25">
      <c r="A316" s="1" t="s">
        <v>62</v>
      </c>
      <c r="B316" s="178">
        <v>45951</v>
      </c>
      <c r="C316" s="1" t="s">
        <v>2039</v>
      </c>
      <c r="D316" s="1" t="s">
        <v>2293</v>
      </c>
      <c r="E316" s="1" t="s">
        <v>1903</v>
      </c>
      <c r="F316" s="1" t="s">
        <v>2041</v>
      </c>
      <c r="G316" s="1" t="s">
        <v>26</v>
      </c>
      <c r="H316" s="13">
        <v>13656.25</v>
      </c>
      <c r="I316" s="13">
        <v>0</v>
      </c>
      <c r="J316" s="1" t="s">
        <v>2041</v>
      </c>
      <c r="K316" s="1" t="s">
        <v>2025</v>
      </c>
      <c r="L316" s="1" t="str">
        <f>VLOOKUP(Advices[[#This Row],[LC Number]],'Combine_List'!A:D,2,0)</f>
        <v>Bid - King Salman International Airport Development Company</v>
      </c>
      <c r="M316" s="447" t="str">
        <f>VLOOKUP(Advices[[#This Row],[LC Number]],'Combine_List'!A:D,3,0)</f>
        <v>MBL</v>
      </c>
      <c r="N316" s="447">
        <f>VLOOKUP(Advices[[#This Row],[LC Number]],'Combine_List'!A:D,4,0)</f>
        <v>0</v>
      </c>
      <c r="O316" s="447" t="str">
        <f>VLOOKUP(Advices[[#This Row],[LC Number]],'Combine_List'!A:E,5,0)</f>
        <v>0</v>
      </c>
      <c r="P316" s="447">
        <f>MONTH(Advices[[#This Row],[Transaction Date]])</f>
        <v>10</v>
      </c>
      <c r="Q316" s="447">
        <f>YEAR(Advices[[#This Row],[Transaction Date]])</f>
        <v>2025</v>
      </c>
      <c r="R316" s="1"/>
    </row>
    <row r="317" spans="1:18" hidden="1" x14ac:dyDescent="0.25">
      <c r="A317" s="1" t="s">
        <v>62</v>
      </c>
      <c r="B317" s="178">
        <v>45951</v>
      </c>
      <c r="C317" s="1" t="s">
        <v>2042</v>
      </c>
      <c r="D317" s="1" t="s">
        <v>2294</v>
      </c>
      <c r="E317" s="1" t="s">
        <v>2288</v>
      </c>
      <c r="F317" s="1" t="s">
        <v>2041</v>
      </c>
      <c r="G317" s="1" t="s">
        <v>26</v>
      </c>
      <c r="H317" s="13">
        <v>7717.65</v>
      </c>
      <c r="I317" s="13">
        <v>0</v>
      </c>
      <c r="J317" s="1" t="s">
        <v>2041</v>
      </c>
      <c r="K317" s="1" t="s">
        <v>2025</v>
      </c>
      <c r="L317" s="1" t="str">
        <f>VLOOKUP(Advices[[#This Row],[LC Number]],'Combine_List'!A:D,2,0)</f>
        <v>Performance - DEVELOPMENT OF MEDINAH AUTHORITY</v>
      </c>
      <c r="M317" s="447">
        <f>VLOOKUP(Advices[[#This Row],[LC Number]],'Combine_List'!A:D,3,0)</f>
        <v>0</v>
      </c>
      <c r="N317" s="447">
        <f>VLOOKUP(Advices[[#This Row],[LC Number]],'Combine_List'!A:D,4,0)</f>
        <v>0</v>
      </c>
      <c r="O317" s="447" t="str">
        <f>VLOOKUP(Advices[[#This Row],[LC Number]],'Combine_List'!A:E,5,0)</f>
        <v>1020104</v>
      </c>
      <c r="P317" s="447">
        <f>MONTH(Advices[[#This Row],[Transaction Date]])</f>
        <v>10</v>
      </c>
      <c r="Q317" s="447">
        <f>YEAR(Advices[[#This Row],[Transaction Date]])</f>
        <v>2025</v>
      </c>
      <c r="R317" s="1"/>
    </row>
    <row r="318" spans="1:18" hidden="1" x14ac:dyDescent="0.25">
      <c r="A318" s="1" t="s">
        <v>366</v>
      </c>
      <c r="B318" s="178">
        <v>45951</v>
      </c>
      <c r="C318" s="1" t="s">
        <v>2060</v>
      </c>
      <c r="D318" s="1" t="s">
        <v>2295</v>
      </c>
      <c r="E318" s="1" t="s">
        <v>1768</v>
      </c>
      <c r="F318" s="1" t="s">
        <v>3420</v>
      </c>
      <c r="G318" s="1" t="s">
        <v>26</v>
      </c>
      <c r="H318" s="13">
        <v>862.5</v>
      </c>
      <c r="I318" s="13">
        <v>0</v>
      </c>
      <c r="J318" s="1" t="s">
        <v>2041</v>
      </c>
      <c r="K318" s="1" t="s">
        <v>2025</v>
      </c>
      <c r="L318" s="1" t="str">
        <f>VLOOKUP(Advices[[#This Row],[LC Number]],'Combine_List'!A:D,2,0)</f>
        <v>Masdar Technical Supplies Co.</v>
      </c>
      <c r="M318" s="447" t="str">
        <f>VLOOKUP(Advices[[#This Row],[LC Number]],'Combine_List'!A:D,3,0)</f>
        <v>FIRST FIX</v>
      </c>
      <c r="N318" s="447" t="str">
        <f>VLOOKUP(Advices[[#This Row],[LC Number]],'Combine_List'!A:D,4,0)</f>
        <v>MP1</v>
      </c>
      <c r="O318" s="447">
        <f>VLOOKUP(Advices[[#This Row],[LC Number]],'Combine_List'!A:E,5,0)</f>
        <v>1020088</v>
      </c>
      <c r="P318" s="447">
        <f>MONTH(Advices[[#This Row],[Transaction Date]])</f>
        <v>10</v>
      </c>
      <c r="Q318" s="447">
        <f>YEAR(Advices[[#This Row],[Transaction Date]])</f>
        <v>2025</v>
      </c>
      <c r="R318" s="1"/>
    </row>
    <row r="319" spans="1:18" hidden="1" x14ac:dyDescent="0.25">
      <c r="A319" s="1" t="s">
        <v>612</v>
      </c>
      <c r="B319" s="178">
        <v>45951</v>
      </c>
      <c r="C319" s="1" t="s">
        <v>2101</v>
      </c>
      <c r="D319" s="1" t="s">
        <v>2296</v>
      </c>
      <c r="E319" s="1" t="s">
        <v>2287</v>
      </c>
      <c r="F319" s="1" t="s">
        <v>2287</v>
      </c>
      <c r="G319" s="1" t="s">
        <v>26</v>
      </c>
      <c r="H319" s="13">
        <v>21414.71</v>
      </c>
      <c r="I319" s="13">
        <v>0</v>
      </c>
      <c r="J319" s="1" t="s">
        <v>2041</v>
      </c>
      <c r="K319" s="1" t="s">
        <v>2025</v>
      </c>
      <c r="L319" s="1" t="str">
        <f>VLOOKUP(Advices[[#This Row],[LC Number]],'Combine_List'!A:D,2,0)</f>
        <v>Alrashid Trading and Contracting Company</v>
      </c>
      <c r="M319" s="447" t="str">
        <f>VLOOKUP(Advices[[#This Row],[LC Number]],'Combine_List'!A:D,3,0)</f>
        <v>MBL</v>
      </c>
      <c r="N319" s="447" t="str">
        <f>VLOOKUP(Advices[[#This Row],[LC Number]],'Combine_List'!A:D,4,0)</f>
        <v>RCRC</v>
      </c>
      <c r="O319" s="447">
        <f>VLOOKUP(Advices[[#This Row],[LC Number]],'Combine_List'!A:E,5,0)</f>
        <v>1020106</v>
      </c>
      <c r="P319" s="447">
        <f>MONTH(Advices[[#This Row],[Transaction Date]])</f>
        <v>10</v>
      </c>
      <c r="Q319" s="447">
        <f>YEAR(Advices[[#This Row],[Transaction Date]])</f>
        <v>2025</v>
      </c>
      <c r="R319" s="1"/>
    </row>
    <row r="320" spans="1:18" hidden="1" x14ac:dyDescent="0.25">
      <c r="A320" s="1" t="s">
        <v>612</v>
      </c>
      <c r="B320" s="178">
        <v>45951</v>
      </c>
      <c r="C320" s="1" t="s">
        <v>2101</v>
      </c>
      <c r="D320" s="1" t="s">
        <v>2297</v>
      </c>
      <c r="E320" s="1" t="s">
        <v>2287</v>
      </c>
      <c r="F320" s="1" t="s">
        <v>2287</v>
      </c>
      <c r="G320" s="1" t="s">
        <v>26</v>
      </c>
      <c r="H320" s="13">
        <v>3212.21</v>
      </c>
      <c r="I320" s="13">
        <v>0</v>
      </c>
      <c r="J320" s="1" t="s">
        <v>2041</v>
      </c>
      <c r="K320" s="1" t="s">
        <v>2025</v>
      </c>
      <c r="L320" s="1" t="str">
        <f>VLOOKUP(Advices[[#This Row],[LC Number]],'Combine_List'!A:D,2,0)</f>
        <v>Alrashid Trading and Contracting Company</v>
      </c>
      <c r="M320" s="447" t="str">
        <f>VLOOKUP(Advices[[#This Row],[LC Number]],'Combine_List'!A:D,3,0)</f>
        <v>MBL</v>
      </c>
      <c r="N320" s="447" t="str">
        <f>VLOOKUP(Advices[[#This Row],[LC Number]],'Combine_List'!A:D,4,0)</f>
        <v>RCRC</v>
      </c>
      <c r="O320" s="447">
        <f>VLOOKUP(Advices[[#This Row],[LC Number]],'Combine_List'!A:E,5,0)</f>
        <v>1020106</v>
      </c>
      <c r="P320" s="447">
        <f>MONTH(Advices[[#This Row],[Transaction Date]])</f>
        <v>10</v>
      </c>
      <c r="Q320" s="447">
        <f>YEAR(Advices[[#This Row],[Transaction Date]])</f>
        <v>2025</v>
      </c>
      <c r="R320" s="1"/>
    </row>
    <row r="321" spans="1:18" hidden="1" x14ac:dyDescent="0.25">
      <c r="A321" s="1" t="s">
        <v>612</v>
      </c>
      <c r="B321" s="178">
        <v>45951</v>
      </c>
      <c r="C321" s="1" t="s">
        <v>2101</v>
      </c>
      <c r="D321" s="1" t="s">
        <v>2298</v>
      </c>
      <c r="E321" s="1" t="s">
        <v>2287</v>
      </c>
      <c r="F321" s="1" t="s">
        <v>2287</v>
      </c>
      <c r="G321" s="1" t="s">
        <v>26</v>
      </c>
      <c r="H321" s="13">
        <v>10457.35</v>
      </c>
      <c r="I321" s="13">
        <v>0</v>
      </c>
      <c r="J321" s="1" t="s">
        <v>2041</v>
      </c>
      <c r="K321" s="1" t="s">
        <v>2025</v>
      </c>
      <c r="L321" s="1" t="str">
        <f>VLOOKUP(Advices[[#This Row],[LC Number]],'Combine_List'!A:D,2,0)</f>
        <v>Alrashid Trading and Contracting Company</v>
      </c>
      <c r="M321" s="447" t="str">
        <f>VLOOKUP(Advices[[#This Row],[LC Number]],'Combine_List'!A:D,3,0)</f>
        <v>MBL</v>
      </c>
      <c r="N321" s="447" t="str">
        <f>VLOOKUP(Advices[[#This Row],[LC Number]],'Combine_List'!A:D,4,0)</f>
        <v>RCRC</v>
      </c>
      <c r="O321" s="447">
        <f>VLOOKUP(Advices[[#This Row],[LC Number]],'Combine_List'!A:E,5,0)</f>
        <v>1020106</v>
      </c>
      <c r="P321" s="447">
        <f>MONTH(Advices[[#This Row],[Transaction Date]])</f>
        <v>10</v>
      </c>
      <c r="Q321" s="447">
        <f>YEAR(Advices[[#This Row],[Transaction Date]])</f>
        <v>2025</v>
      </c>
      <c r="R321" s="1"/>
    </row>
    <row r="322" spans="1:18" hidden="1" x14ac:dyDescent="0.25">
      <c r="A322" s="1" t="s">
        <v>612</v>
      </c>
      <c r="B322" s="178">
        <v>45951</v>
      </c>
      <c r="C322" s="1" t="s">
        <v>2101</v>
      </c>
      <c r="D322" s="1" t="s">
        <v>2299</v>
      </c>
      <c r="E322" s="1" t="s">
        <v>2287</v>
      </c>
      <c r="F322" s="1" t="s">
        <v>2287</v>
      </c>
      <c r="G322" s="1" t="s">
        <v>26</v>
      </c>
      <c r="H322" s="13">
        <v>1568.6</v>
      </c>
      <c r="I322" s="13">
        <v>0</v>
      </c>
      <c r="J322" s="1" t="s">
        <v>2041</v>
      </c>
      <c r="K322" s="1" t="s">
        <v>2025</v>
      </c>
      <c r="L322" s="1" t="str">
        <f>VLOOKUP(Advices[[#This Row],[LC Number]],'Combine_List'!A:D,2,0)</f>
        <v>Alrashid Trading and Contracting Company</v>
      </c>
      <c r="M322" s="447" t="str">
        <f>VLOOKUP(Advices[[#This Row],[LC Number]],'Combine_List'!A:D,3,0)</f>
        <v>MBL</v>
      </c>
      <c r="N322" s="447" t="str">
        <f>VLOOKUP(Advices[[#This Row],[LC Number]],'Combine_List'!A:D,4,0)</f>
        <v>RCRC</v>
      </c>
      <c r="O322" s="447">
        <f>VLOOKUP(Advices[[#This Row],[LC Number]],'Combine_List'!A:E,5,0)</f>
        <v>1020106</v>
      </c>
      <c r="P322" s="447">
        <f>MONTH(Advices[[#This Row],[Transaction Date]])</f>
        <v>10</v>
      </c>
      <c r="Q322" s="447">
        <f>YEAR(Advices[[#This Row],[Transaction Date]])</f>
        <v>2025</v>
      </c>
      <c r="R322" s="1"/>
    </row>
    <row r="323" spans="1:18" hidden="1" x14ac:dyDescent="0.25">
      <c r="A323" s="1" t="s">
        <v>612</v>
      </c>
      <c r="B323" s="178">
        <v>45951</v>
      </c>
      <c r="C323" s="1" t="s">
        <v>2101</v>
      </c>
      <c r="D323" s="1" t="s">
        <v>2300</v>
      </c>
      <c r="E323" s="1" t="s">
        <v>2287</v>
      </c>
      <c r="F323" s="1" t="s">
        <v>2287</v>
      </c>
      <c r="G323" s="1" t="s">
        <v>26</v>
      </c>
      <c r="H323" s="13">
        <v>750</v>
      </c>
      <c r="I323" s="13">
        <v>0</v>
      </c>
      <c r="J323" s="1" t="s">
        <v>2041</v>
      </c>
      <c r="K323" s="1" t="s">
        <v>2025</v>
      </c>
      <c r="L323" s="1" t="str">
        <f>VLOOKUP(Advices[[#This Row],[LC Number]],'Combine_List'!A:D,2,0)</f>
        <v>Alrashid Trading and Contracting Company</v>
      </c>
      <c r="M323" s="447" t="str">
        <f>VLOOKUP(Advices[[#This Row],[LC Number]],'Combine_List'!A:D,3,0)</f>
        <v>MBL</v>
      </c>
      <c r="N323" s="447" t="str">
        <f>VLOOKUP(Advices[[#This Row],[LC Number]],'Combine_List'!A:D,4,0)</f>
        <v>RCRC</v>
      </c>
      <c r="O323" s="447">
        <f>VLOOKUP(Advices[[#This Row],[LC Number]],'Combine_List'!A:E,5,0)</f>
        <v>1020106</v>
      </c>
      <c r="P323" s="447">
        <f>MONTH(Advices[[#This Row],[Transaction Date]])</f>
        <v>10</v>
      </c>
      <c r="Q323" s="447">
        <f>YEAR(Advices[[#This Row],[Transaction Date]])</f>
        <v>2025</v>
      </c>
      <c r="R323" s="1"/>
    </row>
    <row r="324" spans="1:18" hidden="1" x14ac:dyDescent="0.25">
      <c r="A324" s="1" t="s">
        <v>612</v>
      </c>
      <c r="B324" s="178">
        <v>45951</v>
      </c>
      <c r="C324" s="1" t="s">
        <v>2101</v>
      </c>
      <c r="D324" s="1" t="s">
        <v>2301</v>
      </c>
      <c r="E324" s="1" t="s">
        <v>2287</v>
      </c>
      <c r="F324" s="1" t="s">
        <v>2287</v>
      </c>
      <c r="G324" s="1" t="s">
        <v>26</v>
      </c>
      <c r="H324" s="13">
        <v>112.5</v>
      </c>
      <c r="I324" s="13">
        <v>0</v>
      </c>
      <c r="J324" s="1" t="s">
        <v>2041</v>
      </c>
      <c r="K324" s="1" t="s">
        <v>2025</v>
      </c>
      <c r="L324" s="1" t="str">
        <f>VLOOKUP(Advices[[#This Row],[LC Number]],'Combine_List'!A:D,2,0)</f>
        <v>Alrashid Trading and Contracting Company</v>
      </c>
      <c r="M324" s="447" t="str">
        <f>VLOOKUP(Advices[[#This Row],[LC Number]],'Combine_List'!A:D,3,0)</f>
        <v>MBL</v>
      </c>
      <c r="N324" s="447" t="str">
        <f>VLOOKUP(Advices[[#This Row],[LC Number]],'Combine_List'!A:D,4,0)</f>
        <v>RCRC</v>
      </c>
      <c r="O324" s="447">
        <f>VLOOKUP(Advices[[#This Row],[LC Number]],'Combine_List'!A:E,5,0)</f>
        <v>1020106</v>
      </c>
      <c r="P324" s="447">
        <f>MONTH(Advices[[#This Row],[Transaction Date]])</f>
        <v>10</v>
      </c>
      <c r="Q324" s="447">
        <f>YEAR(Advices[[#This Row],[Transaction Date]])</f>
        <v>2025</v>
      </c>
      <c r="R324" s="1"/>
    </row>
    <row r="325" spans="1:18" hidden="1" x14ac:dyDescent="0.25">
      <c r="A325" s="1" t="s">
        <v>612</v>
      </c>
      <c r="B325" s="178">
        <v>45951</v>
      </c>
      <c r="C325" s="1" t="s">
        <v>2101</v>
      </c>
      <c r="D325" s="1" t="s">
        <v>2302</v>
      </c>
      <c r="E325" s="1" t="s">
        <v>2287</v>
      </c>
      <c r="F325" s="1" t="s">
        <v>2287</v>
      </c>
      <c r="G325" s="1" t="s">
        <v>26</v>
      </c>
      <c r="H325" s="13">
        <v>23703.33</v>
      </c>
      <c r="I325" s="13">
        <v>0</v>
      </c>
      <c r="J325" s="1" t="s">
        <v>2041</v>
      </c>
      <c r="K325" s="1" t="s">
        <v>2025</v>
      </c>
      <c r="L325" s="1" t="str">
        <f>VLOOKUP(Advices[[#This Row],[LC Number]],'Combine_List'!A:D,2,0)</f>
        <v>Alrashid Trading and Contracting Company</v>
      </c>
      <c r="M325" s="447" t="str">
        <f>VLOOKUP(Advices[[#This Row],[LC Number]],'Combine_List'!A:D,3,0)</f>
        <v>MBL</v>
      </c>
      <c r="N325" s="447" t="str">
        <f>VLOOKUP(Advices[[#This Row],[LC Number]],'Combine_List'!A:D,4,0)</f>
        <v>RCRC</v>
      </c>
      <c r="O325" s="447">
        <f>VLOOKUP(Advices[[#This Row],[LC Number]],'Combine_List'!A:E,5,0)</f>
        <v>1020106</v>
      </c>
      <c r="P325" s="447">
        <f>MONTH(Advices[[#This Row],[Transaction Date]])</f>
        <v>10</v>
      </c>
      <c r="Q325" s="447">
        <f>YEAR(Advices[[#This Row],[Transaction Date]])</f>
        <v>2025</v>
      </c>
      <c r="R325" s="1"/>
    </row>
    <row r="326" spans="1:18" hidden="1" x14ac:dyDescent="0.25">
      <c r="A326" s="1" t="s">
        <v>612</v>
      </c>
      <c r="B326" s="178">
        <v>45951</v>
      </c>
      <c r="C326" s="1" t="s">
        <v>2101</v>
      </c>
      <c r="D326" s="1" t="s">
        <v>2303</v>
      </c>
      <c r="E326" s="1" t="s">
        <v>2287</v>
      </c>
      <c r="F326" s="1" t="s">
        <v>2287</v>
      </c>
      <c r="G326" s="1" t="s">
        <v>26</v>
      </c>
      <c r="H326" s="13">
        <v>3555.5</v>
      </c>
      <c r="I326" s="13">
        <v>0</v>
      </c>
      <c r="J326" s="1" t="s">
        <v>2041</v>
      </c>
      <c r="K326" s="1" t="s">
        <v>2025</v>
      </c>
      <c r="L326" s="1" t="str">
        <f>VLOOKUP(Advices[[#This Row],[LC Number]],'Combine_List'!A:D,2,0)</f>
        <v>Alrashid Trading and Contracting Company</v>
      </c>
      <c r="M326" s="447" t="str">
        <f>VLOOKUP(Advices[[#This Row],[LC Number]],'Combine_List'!A:D,3,0)</f>
        <v>MBL</v>
      </c>
      <c r="N326" s="447" t="str">
        <f>VLOOKUP(Advices[[#This Row],[LC Number]],'Combine_List'!A:D,4,0)</f>
        <v>RCRC</v>
      </c>
      <c r="O326" s="447">
        <f>VLOOKUP(Advices[[#This Row],[LC Number]],'Combine_List'!A:E,5,0)</f>
        <v>1020106</v>
      </c>
      <c r="P326" s="447">
        <f>MONTH(Advices[[#This Row],[Transaction Date]])</f>
        <v>10</v>
      </c>
      <c r="Q326" s="447">
        <f>YEAR(Advices[[#This Row],[Transaction Date]])</f>
        <v>2025</v>
      </c>
      <c r="R326" s="1"/>
    </row>
    <row r="327" spans="1:18" hidden="1" x14ac:dyDescent="0.25">
      <c r="A327" s="1" t="s">
        <v>95</v>
      </c>
      <c r="B327" s="178">
        <v>45939</v>
      </c>
      <c r="C327" s="1" t="s">
        <v>2304</v>
      </c>
      <c r="D327" s="1" t="s">
        <v>2305</v>
      </c>
      <c r="E327" s="1" t="s">
        <v>1928</v>
      </c>
      <c r="F327" s="1"/>
      <c r="G327" s="1"/>
      <c r="H327" s="13">
        <v>99429</v>
      </c>
      <c r="I327" s="13">
        <v>0</v>
      </c>
      <c r="J327" s="1"/>
      <c r="K327" s="1" t="s">
        <v>2025</v>
      </c>
      <c r="L327" s="1" t="str">
        <f>VLOOKUP(Advices[[#This Row],[LC Number]],'Combine_List'!A:D,2,0)</f>
        <v>Advance - ROYAL PROTOCOL CAMP</v>
      </c>
      <c r="M327" s="447" t="str">
        <f>VLOOKUP(Advices[[#This Row],[LC Number]],'Combine_List'!A:D,3,0)</f>
        <v>MBL</v>
      </c>
      <c r="N327" s="447">
        <f>VLOOKUP(Advices[[#This Row],[LC Number]],'Combine_List'!A:D,4,0)</f>
        <v>0</v>
      </c>
      <c r="O327" s="447" t="str">
        <f>VLOOKUP(Advices[[#This Row],[LC Number]],'Combine_List'!A:E,5,0)</f>
        <v>1020133</v>
      </c>
      <c r="P327" s="447">
        <f>MONTH(Advices[[#This Row],[Transaction Date]])</f>
        <v>10</v>
      </c>
      <c r="Q327" s="447">
        <f>YEAR(Advices[[#This Row],[Transaction Date]])</f>
        <v>2025</v>
      </c>
      <c r="R327" s="1"/>
    </row>
    <row r="328" spans="1:18" hidden="1" x14ac:dyDescent="0.25">
      <c r="A328" s="1" t="s">
        <v>95</v>
      </c>
      <c r="B328" s="178">
        <v>45939</v>
      </c>
      <c r="C328" s="1" t="s">
        <v>2304</v>
      </c>
      <c r="D328" s="1" t="s">
        <v>2306</v>
      </c>
      <c r="E328" s="1" t="s">
        <v>1929</v>
      </c>
      <c r="F328" s="1"/>
      <c r="G328" s="1"/>
      <c r="H328" s="13">
        <v>37356.6</v>
      </c>
      <c r="I328" s="13">
        <v>0</v>
      </c>
      <c r="J328" s="1"/>
      <c r="K328" s="1" t="s">
        <v>2025</v>
      </c>
      <c r="L328" s="1" t="str">
        <f>VLOOKUP(Advices[[#This Row],[LC Number]],'Combine_List'!A:D,2,0)</f>
        <v>Performance - ROYAL PROTOCOL CAMP</v>
      </c>
      <c r="M328" s="447">
        <f>VLOOKUP(Advices[[#This Row],[LC Number]],'Combine_List'!A:D,3,0)</f>
        <v>0</v>
      </c>
      <c r="N328" s="447">
        <f>VLOOKUP(Advices[[#This Row],[LC Number]],'Combine_List'!A:D,4,0)</f>
        <v>0</v>
      </c>
      <c r="O328" s="447" t="str">
        <f>VLOOKUP(Advices[[#This Row],[LC Number]],'Combine_List'!A:E,5,0)</f>
        <v>1020133</v>
      </c>
      <c r="P328" s="447">
        <f>MONTH(Advices[[#This Row],[Transaction Date]])</f>
        <v>10</v>
      </c>
      <c r="Q328" s="447">
        <f>YEAR(Advices[[#This Row],[Transaction Date]])</f>
        <v>2025</v>
      </c>
      <c r="R328" s="1"/>
    </row>
    <row r="329" spans="1:18" hidden="1" x14ac:dyDescent="0.25">
      <c r="A329" s="1" t="s">
        <v>95</v>
      </c>
      <c r="B329" s="178">
        <v>45951</v>
      </c>
      <c r="C329" s="1" t="s">
        <v>2307</v>
      </c>
      <c r="D329" s="1" t="s">
        <v>2308</v>
      </c>
      <c r="E329" s="1" t="s">
        <v>1095</v>
      </c>
      <c r="F329" s="1"/>
      <c r="G329" s="1"/>
      <c r="H329" s="13">
        <v>23000</v>
      </c>
      <c r="I329" s="13">
        <v>0</v>
      </c>
      <c r="J329" s="1"/>
      <c r="K329" s="1" t="s">
        <v>2025</v>
      </c>
      <c r="L329" s="1" t="str">
        <f>VLOOKUP(Advices[[#This Row],[LC Number]],'Combine_List'!A:D,2,0)</f>
        <v>Material - JEDDAH CENTRAL DEVELOPMENT COMPANY (JCD)</v>
      </c>
      <c r="M329" s="447">
        <f>VLOOKUP(Advices[[#This Row],[LC Number]],'Combine_List'!A:D,3,0)</f>
        <v>0</v>
      </c>
      <c r="N329" s="447" t="str">
        <f>VLOOKUP(Advices[[#This Row],[LC Number]],'Combine_List'!A:D,4,0)</f>
        <v>Opera House</v>
      </c>
      <c r="O329" s="447" t="str">
        <f>VLOOKUP(Advices[[#This Row],[LC Number]],'Combine_List'!A:E,5,0)</f>
        <v>1020097</v>
      </c>
      <c r="P329" s="447">
        <f>MONTH(Advices[[#This Row],[Transaction Date]])</f>
        <v>10</v>
      </c>
      <c r="Q329" s="447">
        <f>YEAR(Advices[[#This Row],[Transaction Date]])</f>
        <v>2025</v>
      </c>
      <c r="R329" s="1"/>
    </row>
    <row r="330" spans="1:18" x14ac:dyDescent="0.25">
      <c r="A330" s="1" t="s">
        <v>21</v>
      </c>
      <c r="B330" s="178">
        <v>45952</v>
      </c>
      <c r="C330" s="1" t="s">
        <v>1951</v>
      </c>
      <c r="D330" s="1" t="s">
        <v>1960</v>
      </c>
      <c r="E330" s="1" t="s">
        <v>1314</v>
      </c>
      <c r="F330" s="1" t="s">
        <v>2311</v>
      </c>
      <c r="G330" s="1" t="s">
        <v>26</v>
      </c>
      <c r="H330" s="13">
        <v>11.25</v>
      </c>
      <c r="I330" s="13">
        <v>0</v>
      </c>
      <c r="J330" s="1" t="s">
        <v>1174</v>
      </c>
      <c r="K330" s="1" t="s">
        <v>2025</v>
      </c>
      <c r="L330" s="1" t="str">
        <f>VLOOKUP(Advices[[#This Row],[LC Number]],'Combine_List'!A:D,2,0)</f>
        <v>GULF GRILLES COMPANY</v>
      </c>
      <c r="M330" s="447" t="str">
        <f>VLOOKUP(Advices[[#This Row],[LC Number]],'Combine_List'!A:D,3,0)</f>
        <v>FIRST FIX</v>
      </c>
      <c r="N330" s="447" t="str">
        <f>VLOOKUP(Advices[[#This Row],[LC Number]],'Combine_List'!A:D,4,0)</f>
        <v>KSP</v>
      </c>
      <c r="O330" s="447">
        <f>VLOOKUP(Advices[[#This Row],[LC Number]],'Combine_List'!A:E,5,0)</f>
        <v>1020055</v>
      </c>
      <c r="P330" s="447">
        <f>MONTH(Advices[[#This Row],[Transaction Date]])</f>
        <v>10</v>
      </c>
      <c r="Q330" s="447">
        <f>YEAR(Advices[[#This Row],[Transaction Date]])</f>
        <v>2025</v>
      </c>
      <c r="R330" s="1"/>
    </row>
    <row r="331" spans="1:18" x14ac:dyDescent="0.25">
      <c r="A331" s="1" t="s">
        <v>21</v>
      </c>
      <c r="B331" s="178">
        <v>45952</v>
      </c>
      <c r="C331" s="1" t="s">
        <v>1951</v>
      </c>
      <c r="D331" s="1" t="s">
        <v>2312</v>
      </c>
      <c r="E331" s="1" t="s">
        <v>1314</v>
      </c>
      <c r="F331" s="1" t="s">
        <v>2311</v>
      </c>
      <c r="G331" s="1" t="s">
        <v>26</v>
      </c>
      <c r="H331" s="13">
        <v>75</v>
      </c>
      <c r="I331" s="13">
        <v>0</v>
      </c>
      <c r="J331" s="1" t="s">
        <v>1963</v>
      </c>
      <c r="K331" s="1" t="s">
        <v>2025</v>
      </c>
      <c r="L331" s="1" t="str">
        <f>VLOOKUP(Advices[[#This Row],[LC Number]],'Combine_List'!A:D,2,0)</f>
        <v>GULF GRILLES COMPANY</v>
      </c>
      <c r="M331" s="447" t="str">
        <f>VLOOKUP(Advices[[#This Row],[LC Number]],'Combine_List'!A:D,3,0)</f>
        <v>FIRST FIX</v>
      </c>
      <c r="N331" s="447" t="str">
        <f>VLOOKUP(Advices[[#This Row],[LC Number]],'Combine_List'!A:D,4,0)</f>
        <v>KSP</v>
      </c>
      <c r="O331" s="447">
        <f>VLOOKUP(Advices[[#This Row],[LC Number]],'Combine_List'!A:E,5,0)</f>
        <v>1020055</v>
      </c>
      <c r="P331" s="447">
        <f>MONTH(Advices[[#This Row],[Transaction Date]])</f>
        <v>10</v>
      </c>
      <c r="Q331" s="447">
        <f>YEAR(Advices[[#This Row],[Transaction Date]])</f>
        <v>2025</v>
      </c>
      <c r="R331" s="1"/>
    </row>
    <row r="332" spans="1:18" x14ac:dyDescent="0.25">
      <c r="A332" s="1" t="s">
        <v>21</v>
      </c>
      <c r="B332" s="178">
        <v>45952</v>
      </c>
      <c r="C332" s="1" t="s">
        <v>1951</v>
      </c>
      <c r="D332" s="1" t="s">
        <v>2313</v>
      </c>
      <c r="E332" s="1" t="s">
        <v>1314</v>
      </c>
      <c r="F332" s="1" t="s">
        <v>2311</v>
      </c>
      <c r="G332" s="1" t="s">
        <v>26</v>
      </c>
      <c r="H332" s="13">
        <v>780320.25</v>
      </c>
      <c r="I332" s="13">
        <v>0</v>
      </c>
      <c r="J332" s="1" t="s">
        <v>1126</v>
      </c>
      <c r="K332" s="1" t="s">
        <v>2025</v>
      </c>
      <c r="L332" s="1" t="str">
        <f>VLOOKUP(Advices[[#This Row],[LC Number]],'Combine_List'!A:D,2,0)</f>
        <v>GULF GRILLES COMPANY</v>
      </c>
      <c r="M332" s="447" t="str">
        <f>VLOOKUP(Advices[[#This Row],[LC Number]],'Combine_List'!A:D,3,0)</f>
        <v>FIRST FIX</v>
      </c>
      <c r="N332" s="447" t="str">
        <f>VLOOKUP(Advices[[#This Row],[LC Number]],'Combine_List'!A:D,4,0)</f>
        <v>KSP</v>
      </c>
      <c r="O332" s="447">
        <f>VLOOKUP(Advices[[#This Row],[LC Number]],'Combine_List'!A:E,5,0)</f>
        <v>1020055</v>
      </c>
      <c r="P332" s="447">
        <f>MONTH(Advices[[#This Row],[Transaction Date]])</f>
        <v>10</v>
      </c>
      <c r="Q332" s="447">
        <f>YEAR(Advices[[#This Row],[Transaction Date]])</f>
        <v>2025</v>
      </c>
      <c r="R332" s="1"/>
    </row>
    <row r="333" spans="1:18" x14ac:dyDescent="0.25">
      <c r="A333" s="1" t="s">
        <v>21</v>
      </c>
      <c r="B333" s="178">
        <v>45952</v>
      </c>
      <c r="C333" s="1" t="s">
        <v>1951</v>
      </c>
      <c r="D333" s="1" t="s">
        <v>1960</v>
      </c>
      <c r="E333" s="1" t="s">
        <v>1340</v>
      </c>
      <c r="F333" s="1" t="s">
        <v>2314</v>
      </c>
      <c r="G333" s="1" t="s">
        <v>26</v>
      </c>
      <c r="H333" s="13">
        <v>11.25</v>
      </c>
      <c r="I333" s="13">
        <v>0</v>
      </c>
      <c r="J333" s="1" t="s">
        <v>1174</v>
      </c>
      <c r="K333" s="1" t="s">
        <v>2025</v>
      </c>
      <c r="L333" s="1" t="str">
        <f>VLOOKUP(Advices[[#This Row],[LC Number]],'Combine_List'!A:D,2,0)</f>
        <v>ATC Saudi Co.</v>
      </c>
      <c r="M333" s="447" t="str">
        <f>VLOOKUP(Advices[[#This Row],[LC Number]],'Combine_List'!A:D,3,0)</f>
        <v>FIRST FIX</v>
      </c>
      <c r="N333" s="447" t="str">
        <f>VLOOKUP(Advices[[#This Row],[LC Number]],'Combine_List'!A:D,4,0)</f>
        <v>KSP</v>
      </c>
      <c r="O333" s="447">
        <f>VLOOKUP(Advices[[#This Row],[LC Number]],'Combine_List'!A:E,5,0)</f>
        <v>1020055</v>
      </c>
      <c r="P333" s="447">
        <f>MONTH(Advices[[#This Row],[Transaction Date]])</f>
        <v>10</v>
      </c>
      <c r="Q333" s="447">
        <f>YEAR(Advices[[#This Row],[Transaction Date]])</f>
        <v>2025</v>
      </c>
      <c r="R333" s="1"/>
    </row>
    <row r="334" spans="1:18" x14ac:dyDescent="0.25">
      <c r="A334" s="1" t="s">
        <v>21</v>
      </c>
      <c r="B334" s="178">
        <v>45952</v>
      </c>
      <c r="C334" s="1" t="s">
        <v>1951</v>
      </c>
      <c r="D334" s="1" t="s">
        <v>2315</v>
      </c>
      <c r="E334" s="1" t="s">
        <v>1340</v>
      </c>
      <c r="F334" s="1" t="s">
        <v>2314</v>
      </c>
      <c r="G334" s="1" t="s">
        <v>26</v>
      </c>
      <c r="H334" s="13">
        <v>75</v>
      </c>
      <c r="I334" s="13">
        <v>0</v>
      </c>
      <c r="J334" s="1" t="s">
        <v>1963</v>
      </c>
      <c r="K334" s="1" t="s">
        <v>2025</v>
      </c>
      <c r="L334" s="1" t="str">
        <f>VLOOKUP(Advices[[#This Row],[LC Number]],'Combine_List'!A:D,2,0)</f>
        <v>ATC Saudi Co.</v>
      </c>
      <c r="M334" s="447" t="str">
        <f>VLOOKUP(Advices[[#This Row],[LC Number]],'Combine_List'!A:D,3,0)</f>
        <v>FIRST FIX</v>
      </c>
      <c r="N334" s="447" t="str">
        <f>VLOOKUP(Advices[[#This Row],[LC Number]],'Combine_List'!A:D,4,0)</f>
        <v>KSP</v>
      </c>
      <c r="O334" s="447">
        <f>VLOOKUP(Advices[[#This Row],[LC Number]],'Combine_List'!A:E,5,0)</f>
        <v>1020055</v>
      </c>
      <c r="P334" s="447">
        <f>MONTH(Advices[[#This Row],[Transaction Date]])</f>
        <v>10</v>
      </c>
      <c r="Q334" s="447">
        <f>YEAR(Advices[[#This Row],[Transaction Date]])</f>
        <v>2025</v>
      </c>
      <c r="R334" s="1"/>
    </row>
    <row r="335" spans="1:18" x14ac:dyDescent="0.25">
      <c r="A335" s="1" t="s">
        <v>21</v>
      </c>
      <c r="B335" s="178">
        <v>45952</v>
      </c>
      <c r="C335" s="1" t="s">
        <v>1951</v>
      </c>
      <c r="D335" s="1" t="s">
        <v>2316</v>
      </c>
      <c r="E335" s="1" t="s">
        <v>1340</v>
      </c>
      <c r="F335" s="1" t="s">
        <v>2314</v>
      </c>
      <c r="G335" s="1" t="s">
        <v>26</v>
      </c>
      <c r="H335" s="13">
        <v>167957.5</v>
      </c>
      <c r="I335" s="13">
        <v>0</v>
      </c>
      <c r="J335" s="1" t="s">
        <v>1126</v>
      </c>
      <c r="K335" s="1" t="s">
        <v>2025</v>
      </c>
      <c r="L335" s="1" t="str">
        <f>VLOOKUP(Advices[[#This Row],[LC Number]],'Combine_List'!A:D,2,0)</f>
        <v>ATC Saudi Co.</v>
      </c>
      <c r="M335" s="447" t="str">
        <f>VLOOKUP(Advices[[#This Row],[LC Number]],'Combine_List'!A:D,3,0)</f>
        <v>FIRST FIX</v>
      </c>
      <c r="N335" s="447" t="str">
        <f>VLOOKUP(Advices[[#This Row],[LC Number]],'Combine_List'!A:D,4,0)</f>
        <v>KSP</v>
      </c>
      <c r="O335" s="447">
        <f>VLOOKUP(Advices[[#This Row],[LC Number]],'Combine_List'!A:E,5,0)</f>
        <v>1020055</v>
      </c>
      <c r="P335" s="447">
        <f>MONTH(Advices[[#This Row],[Transaction Date]])</f>
        <v>10</v>
      </c>
      <c r="Q335" s="447">
        <f>YEAR(Advices[[#This Row],[Transaction Date]])</f>
        <v>2025</v>
      </c>
      <c r="R335" s="1"/>
    </row>
    <row r="336" spans="1:18" x14ac:dyDescent="0.25">
      <c r="A336" s="1" t="s">
        <v>21</v>
      </c>
      <c r="B336" s="178">
        <v>45952</v>
      </c>
      <c r="C336" s="1" t="s">
        <v>1951</v>
      </c>
      <c r="D336" s="1" t="s">
        <v>1960</v>
      </c>
      <c r="E336" s="1" t="s">
        <v>1349</v>
      </c>
      <c r="F336" s="1" t="s">
        <v>2317</v>
      </c>
      <c r="G336" s="1" t="s">
        <v>26</v>
      </c>
      <c r="H336" s="13">
        <v>11.25</v>
      </c>
      <c r="I336" s="13">
        <v>0</v>
      </c>
      <c r="J336" s="1" t="s">
        <v>1174</v>
      </c>
      <c r="K336" s="1" t="s">
        <v>2025</v>
      </c>
      <c r="L336" s="1" t="str">
        <f>VLOOKUP(Advices[[#This Row],[LC Number]],'Combine_List'!A:D,2,0)</f>
        <v>TECHNICAL TOOLS TRADING CO</v>
      </c>
      <c r="M336" s="447" t="str">
        <f>VLOOKUP(Advices[[#This Row],[LC Number]],'Combine_List'!A:D,3,0)</f>
        <v>FIRST FIX</v>
      </c>
      <c r="N336" s="447" t="str">
        <f>VLOOKUP(Advices[[#This Row],[LC Number]],'Combine_List'!A:D,4,0)</f>
        <v>KSP</v>
      </c>
      <c r="O336" s="447">
        <f>VLOOKUP(Advices[[#This Row],[LC Number]],'Combine_List'!A:E,5,0)</f>
        <v>1020055</v>
      </c>
      <c r="P336" s="447">
        <f>MONTH(Advices[[#This Row],[Transaction Date]])</f>
        <v>10</v>
      </c>
      <c r="Q336" s="447">
        <f>YEAR(Advices[[#This Row],[Transaction Date]])</f>
        <v>2025</v>
      </c>
      <c r="R336" s="1"/>
    </row>
    <row r="337" spans="1:18" x14ac:dyDescent="0.25">
      <c r="A337" s="1" t="s">
        <v>21</v>
      </c>
      <c r="B337" s="178">
        <v>45952</v>
      </c>
      <c r="C337" s="1" t="s">
        <v>1951</v>
      </c>
      <c r="D337" s="1" t="s">
        <v>2318</v>
      </c>
      <c r="E337" s="1" t="s">
        <v>1349</v>
      </c>
      <c r="F337" s="1" t="s">
        <v>2317</v>
      </c>
      <c r="G337" s="1" t="s">
        <v>26</v>
      </c>
      <c r="H337" s="13">
        <v>75</v>
      </c>
      <c r="I337" s="13">
        <v>0</v>
      </c>
      <c r="J337" s="1" t="s">
        <v>1963</v>
      </c>
      <c r="K337" s="1" t="s">
        <v>2025</v>
      </c>
      <c r="L337" s="1" t="str">
        <f>VLOOKUP(Advices[[#This Row],[LC Number]],'Combine_List'!A:D,2,0)</f>
        <v>TECHNICAL TOOLS TRADING CO</v>
      </c>
      <c r="M337" s="447" t="str">
        <f>VLOOKUP(Advices[[#This Row],[LC Number]],'Combine_List'!A:D,3,0)</f>
        <v>FIRST FIX</v>
      </c>
      <c r="N337" s="447" t="str">
        <f>VLOOKUP(Advices[[#This Row],[LC Number]],'Combine_List'!A:D,4,0)</f>
        <v>KSP</v>
      </c>
      <c r="O337" s="447">
        <f>VLOOKUP(Advices[[#This Row],[LC Number]],'Combine_List'!A:E,5,0)</f>
        <v>1020055</v>
      </c>
      <c r="P337" s="447">
        <f>MONTH(Advices[[#This Row],[Transaction Date]])</f>
        <v>10</v>
      </c>
      <c r="Q337" s="447">
        <f>YEAR(Advices[[#This Row],[Transaction Date]])</f>
        <v>2025</v>
      </c>
      <c r="R337" s="1"/>
    </row>
    <row r="338" spans="1:18" x14ac:dyDescent="0.25">
      <c r="A338" s="1" t="s">
        <v>21</v>
      </c>
      <c r="B338" s="178">
        <v>45952</v>
      </c>
      <c r="C338" s="1" t="s">
        <v>1951</v>
      </c>
      <c r="D338" s="1" t="s">
        <v>2319</v>
      </c>
      <c r="E338" s="1" t="s">
        <v>1349</v>
      </c>
      <c r="F338" s="1" t="s">
        <v>2317</v>
      </c>
      <c r="G338" s="1" t="s">
        <v>26</v>
      </c>
      <c r="H338" s="13">
        <v>124712.48</v>
      </c>
      <c r="I338" s="13">
        <v>0</v>
      </c>
      <c r="J338" s="1" t="s">
        <v>1126</v>
      </c>
      <c r="K338" s="1" t="s">
        <v>2025</v>
      </c>
      <c r="L338" s="1" t="str">
        <f>VLOOKUP(Advices[[#This Row],[LC Number]],'Combine_List'!A:D,2,0)</f>
        <v>TECHNICAL TOOLS TRADING CO</v>
      </c>
      <c r="M338" s="447" t="str">
        <f>VLOOKUP(Advices[[#This Row],[LC Number]],'Combine_List'!A:D,3,0)</f>
        <v>FIRST FIX</v>
      </c>
      <c r="N338" s="447" t="str">
        <f>VLOOKUP(Advices[[#This Row],[LC Number]],'Combine_List'!A:D,4,0)</f>
        <v>KSP</v>
      </c>
      <c r="O338" s="447">
        <f>VLOOKUP(Advices[[#This Row],[LC Number]],'Combine_List'!A:E,5,0)</f>
        <v>1020055</v>
      </c>
      <c r="P338" s="447">
        <f>MONTH(Advices[[#This Row],[Transaction Date]])</f>
        <v>10</v>
      </c>
      <c r="Q338" s="447">
        <f>YEAR(Advices[[#This Row],[Transaction Date]])</f>
        <v>2025</v>
      </c>
      <c r="R338" s="1"/>
    </row>
    <row r="339" spans="1:18" x14ac:dyDescent="0.25">
      <c r="A339" s="1" t="s">
        <v>21</v>
      </c>
      <c r="B339" s="178">
        <v>45952</v>
      </c>
      <c r="C339" s="1" t="s">
        <v>1951</v>
      </c>
      <c r="D339" s="1" t="s">
        <v>1960</v>
      </c>
      <c r="E339" s="1" t="s">
        <v>1351</v>
      </c>
      <c r="F339" s="1" t="s">
        <v>2320</v>
      </c>
      <c r="G339" s="1" t="s">
        <v>26</v>
      </c>
      <c r="H339" s="13">
        <v>11.25</v>
      </c>
      <c r="I339" s="13">
        <v>0</v>
      </c>
      <c r="J339" s="1" t="s">
        <v>1174</v>
      </c>
      <c r="K339" s="1" t="s">
        <v>2025</v>
      </c>
      <c r="L339" s="1" t="str">
        <f>VLOOKUP(Advices[[#This Row],[LC Number]],'Combine_List'!A:D,2,0)</f>
        <v>Saudi Electric Supply Company</v>
      </c>
      <c r="M339" s="447" t="str">
        <f>VLOOKUP(Advices[[#This Row],[LC Number]],'Combine_List'!A:D,3,0)</f>
        <v>FIRST FIX</v>
      </c>
      <c r="N339" s="447" t="str">
        <f>VLOOKUP(Advices[[#This Row],[LC Number]],'Combine_List'!A:D,4,0)</f>
        <v>KSP</v>
      </c>
      <c r="O339" s="447">
        <f>VLOOKUP(Advices[[#This Row],[LC Number]],'Combine_List'!A:E,5,0)</f>
        <v>1020055</v>
      </c>
      <c r="P339" s="447">
        <f>MONTH(Advices[[#This Row],[Transaction Date]])</f>
        <v>10</v>
      </c>
      <c r="Q339" s="447">
        <f>YEAR(Advices[[#This Row],[Transaction Date]])</f>
        <v>2025</v>
      </c>
      <c r="R339" s="1"/>
    </row>
    <row r="340" spans="1:18" x14ac:dyDescent="0.25">
      <c r="A340" s="1" t="s">
        <v>21</v>
      </c>
      <c r="B340" s="178">
        <v>45952</v>
      </c>
      <c r="C340" s="1" t="s">
        <v>1951</v>
      </c>
      <c r="D340" s="1" t="s">
        <v>2321</v>
      </c>
      <c r="E340" s="1" t="s">
        <v>1351</v>
      </c>
      <c r="F340" s="1" t="s">
        <v>2320</v>
      </c>
      <c r="G340" s="1" t="s">
        <v>26</v>
      </c>
      <c r="H340" s="13">
        <v>75</v>
      </c>
      <c r="I340" s="13">
        <v>0</v>
      </c>
      <c r="J340" s="1" t="s">
        <v>1963</v>
      </c>
      <c r="K340" s="1" t="s">
        <v>2025</v>
      </c>
      <c r="L340" s="1" t="str">
        <f>VLOOKUP(Advices[[#This Row],[LC Number]],'Combine_List'!A:D,2,0)</f>
        <v>Saudi Electric Supply Company</v>
      </c>
      <c r="M340" s="447" t="str">
        <f>VLOOKUP(Advices[[#This Row],[LC Number]],'Combine_List'!A:D,3,0)</f>
        <v>FIRST FIX</v>
      </c>
      <c r="N340" s="447" t="str">
        <f>VLOOKUP(Advices[[#This Row],[LC Number]],'Combine_List'!A:D,4,0)</f>
        <v>KSP</v>
      </c>
      <c r="O340" s="447">
        <f>VLOOKUP(Advices[[#This Row],[LC Number]],'Combine_List'!A:E,5,0)</f>
        <v>1020055</v>
      </c>
      <c r="P340" s="447">
        <f>MONTH(Advices[[#This Row],[Transaction Date]])</f>
        <v>10</v>
      </c>
      <c r="Q340" s="447">
        <f>YEAR(Advices[[#This Row],[Transaction Date]])</f>
        <v>2025</v>
      </c>
      <c r="R340" s="1"/>
    </row>
    <row r="341" spans="1:18" x14ac:dyDescent="0.25">
      <c r="A341" s="1" t="s">
        <v>21</v>
      </c>
      <c r="B341" s="178">
        <v>45952</v>
      </c>
      <c r="C341" s="1" t="s">
        <v>1951</v>
      </c>
      <c r="D341" s="1" t="s">
        <v>2322</v>
      </c>
      <c r="E341" s="1" t="s">
        <v>1351</v>
      </c>
      <c r="F341" s="1" t="s">
        <v>2320</v>
      </c>
      <c r="G341" s="1" t="s">
        <v>26</v>
      </c>
      <c r="H341" s="13">
        <v>335475.96000000002</v>
      </c>
      <c r="I341" s="13">
        <v>0</v>
      </c>
      <c r="J341" s="1" t="s">
        <v>1126</v>
      </c>
      <c r="K341" s="1" t="s">
        <v>2025</v>
      </c>
      <c r="L341" s="1" t="str">
        <f>VLOOKUP(Advices[[#This Row],[LC Number]],'Combine_List'!A:D,2,0)</f>
        <v>Saudi Electric Supply Company</v>
      </c>
      <c r="M341" s="447" t="str">
        <f>VLOOKUP(Advices[[#This Row],[LC Number]],'Combine_List'!A:D,3,0)</f>
        <v>FIRST FIX</v>
      </c>
      <c r="N341" s="447" t="str">
        <f>VLOOKUP(Advices[[#This Row],[LC Number]],'Combine_List'!A:D,4,0)</f>
        <v>KSP</v>
      </c>
      <c r="O341" s="447">
        <f>VLOOKUP(Advices[[#This Row],[LC Number]],'Combine_List'!A:E,5,0)</f>
        <v>1020055</v>
      </c>
      <c r="P341" s="447">
        <f>MONTH(Advices[[#This Row],[Transaction Date]])</f>
        <v>10</v>
      </c>
      <c r="Q341" s="447">
        <f>YEAR(Advices[[#This Row],[Transaction Date]])</f>
        <v>2025</v>
      </c>
      <c r="R341" s="1"/>
    </row>
    <row r="342" spans="1:18" x14ac:dyDescent="0.25">
      <c r="A342" s="1" t="s">
        <v>21</v>
      </c>
      <c r="B342" s="178">
        <v>45952</v>
      </c>
      <c r="C342" s="1" t="s">
        <v>1951</v>
      </c>
      <c r="D342" s="1" t="s">
        <v>1960</v>
      </c>
      <c r="E342" s="1" t="s">
        <v>1406</v>
      </c>
      <c r="F342" s="1" t="s">
        <v>2323</v>
      </c>
      <c r="G342" s="1" t="s">
        <v>26</v>
      </c>
      <c r="H342" s="13">
        <v>11.25</v>
      </c>
      <c r="I342" s="13">
        <v>0</v>
      </c>
      <c r="J342" s="1" t="s">
        <v>1174</v>
      </c>
      <c r="K342" s="1" t="s">
        <v>2025</v>
      </c>
      <c r="L342" s="1" t="str">
        <f>VLOOKUP(Advices[[#This Row],[LC Number]],'Combine_List'!A:D,2,0)</f>
        <v>Universal Building Materials Merchants Co. ltd</v>
      </c>
      <c r="M342" s="447" t="str">
        <f>VLOOKUP(Advices[[#This Row],[LC Number]],'Combine_List'!A:D,3,0)</f>
        <v>FIRST FIX</v>
      </c>
      <c r="N342" s="447" t="str">
        <f>VLOOKUP(Advices[[#This Row],[LC Number]],'Combine_List'!A:D,4,0)</f>
        <v>KSP</v>
      </c>
      <c r="O342" s="447">
        <f>VLOOKUP(Advices[[#This Row],[LC Number]],'Combine_List'!A:E,5,0)</f>
        <v>1020055</v>
      </c>
      <c r="P342" s="447">
        <f>MONTH(Advices[[#This Row],[Transaction Date]])</f>
        <v>10</v>
      </c>
      <c r="Q342" s="447">
        <f>YEAR(Advices[[#This Row],[Transaction Date]])</f>
        <v>2025</v>
      </c>
      <c r="R342" s="1"/>
    </row>
    <row r="343" spans="1:18" x14ac:dyDescent="0.25">
      <c r="A343" s="1" t="s">
        <v>21</v>
      </c>
      <c r="B343" s="178">
        <v>45952</v>
      </c>
      <c r="C343" s="1" t="s">
        <v>1951</v>
      </c>
      <c r="D343" s="1" t="s">
        <v>2324</v>
      </c>
      <c r="E343" s="1" t="s">
        <v>1406</v>
      </c>
      <c r="F343" s="1" t="s">
        <v>2323</v>
      </c>
      <c r="G343" s="1" t="s">
        <v>26</v>
      </c>
      <c r="H343" s="13">
        <v>75</v>
      </c>
      <c r="I343" s="13">
        <v>0</v>
      </c>
      <c r="J343" s="1" t="s">
        <v>1963</v>
      </c>
      <c r="K343" s="1" t="s">
        <v>2025</v>
      </c>
      <c r="L343" s="1" t="str">
        <f>VLOOKUP(Advices[[#This Row],[LC Number]],'Combine_List'!A:D,2,0)</f>
        <v>Universal Building Materials Merchants Co. ltd</v>
      </c>
      <c r="M343" s="447" t="str">
        <f>VLOOKUP(Advices[[#This Row],[LC Number]],'Combine_List'!A:D,3,0)</f>
        <v>FIRST FIX</v>
      </c>
      <c r="N343" s="447" t="str">
        <f>VLOOKUP(Advices[[#This Row],[LC Number]],'Combine_List'!A:D,4,0)</f>
        <v>KSP</v>
      </c>
      <c r="O343" s="447">
        <f>VLOOKUP(Advices[[#This Row],[LC Number]],'Combine_List'!A:E,5,0)</f>
        <v>1020055</v>
      </c>
      <c r="P343" s="447">
        <f>MONTH(Advices[[#This Row],[Transaction Date]])</f>
        <v>10</v>
      </c>
      <c r="Q343" s="447">
        <f>YEAR(Advices[[#This Row],[Transaction Date]])</f>
        <v>2025</v>
      </c>
      <c r="R343" s="1"/>
    </row>
    <row r="344" spans="1:18" x14ac:dyDescent="0.25">
      <c r="A344" s="1" t="s">
        <v>21</v>
      </c>
      <c r="B344" s="178">
        <v>45952</v>
      </c>
      <c r="C344" s="1" t="s">
        <v>1951</v>
      </c>
      <c r="D344" s="1" t="s">
        <v>2325</v>
      </c>
      <c r="E344" s="1" t="s">
        <v>1406</v>
      </c>
      <c r="F344" s="1" t="s">
        <v>2323</v>
      </c>
      <c r="G344" s="1" t="s">
        <v>26</v>
      </c>
      <c r="H344" s="13">
        <v>200000</v>
      </c>
      <c r="I344" s="13">
        <v>0</v>
      </c>
      <c r="J344" s="1" t="s">
        <v>1126</v>
      </c>
      <c r="K344" s="1" t="s">
        <v>2025</v>
      </c>
      <c r="L344" s="1" t="str">
        <f>VLOOKUP(Advices[[#This Row],[LC Number]],'Combine_List'!A:D,2,0)</f>
        <v>Universal Building Materials Merchants Co. ltd</v>
      </c>
      <c r="M344" s="447" t="str">
        <f>VLOOKUP(Advices[[#This Row],[LC Number]],'Combine_List'!A:D,3,0)</f>
        <v>FIRST FIX</v>
      </c>
      <c r="N344" s="447" t="str">
        <f>VLOOKUP(Advices[[#This Row],[LC Number]],'Combine_List'!A:D,4,0)</f>
        <v>KSP</v>
      </c>
      <c r="O344" s="447">
        <f>VLOOKUP(Advices[[#This Row],[LC Number]],'Combine_List'!A:E,5,0)</f>
        <v>1020055</v>
      </c>
      <c r="P344" s="447">
        <f>MONTH(Advices[[#This Row],[Transaction Date]])</f>
        <v>10</v>
      </c>
      <c r="Q344" s="447">
        <f>YEAR(Advices[[#This Row],[Transaction Date]])</f>
        <v>2025</v>
      </c>
      <c r="R344" s="1"/>
    </row>
    <row r="345" spans="1:18" hidden="1" x14ac:dyDescent="0.25">
      <c r="A345" s="1" t="s">
        <v>366</v>
      </c>
      <c r="B345" s="178">
        <v>45952</v>
      </c>
      <c r="C345" s="1" t="s">
        <v>2057</v>
      </c>
      <c r="D345" s="1" t="s">
        <v>2326</v>
      </c>
      <c r="E345" s="1" t="s">
        <v>1229</v>
      </c>
      <c r="F345" s="1" t="s">
        <v>3484</v>
      </c>
      <c r="G345" s="1" t="s">
        <v>26</v>
      </c>
      <c r="H345" s="13">
        <v>505.4</v>
      </c>
      <c r="I345" s="13">
        <v>0</v>
      </c>
      <c r="J345" s="1" t="s">
        <v>2041</v>
      </c>
      <c r="K345" s="1" t="s">
        <v>2025</v>
      </c>
      <c r="L345" s="1" t="str">
        <f>VLOOKUP(Advices[[#This Row],[LC Number]],'Combine_List'!A:D,2,0)</f>
        <v>VENTLINE AIR CONDITIONING REQUISITES MANUFACTURING LLC</v>
      </c>
      <c r="M345" s="447" t="str">
        <f>VLOOKUP(Advices[[#This Row],[LC Number]],'Combine_List'!A:D,3,0)</f>
        <v>MBL/Premium</v>
      </c>
      <c r="N345" s="447" t="str">
        <f>VLOOKUP(Advices[[#This Row],[LC Number]],'Combine_List'!A:D,4,0)</f>
        <v>CEER</v>
      </c>
      <c r="O345" s="447">
        <f>VLOOKUP(Advices[[#This Row],[LC Number]],'Combine_List'!A:E,5,0)</f>
        <v>1020091</v>
      </c>
      <c r="P345" s="447">
        <f>MONTH(Advices[[#This Row],[Transaction Date]])</f>
        <v>10</v>
      </c>
      <c r="Q345" s="447">
        <f>YEAR(Advices[[#This Row],[Transaction Date]])</f>
        <v>2025</v>
      </c>
      <c r="R345" s="1"/>
    </row>
    <row r="346" spans="1:18" hidden="1" x14ac:dyDescent="0.25">
      <c r="A346" s="1" t="s">
        <v>366</v>
      </c>
      <c r="B346" s="178">
        <v>45952</v>
      </c>
      <c r="C346" s="1" t="s">
        <v>2057</v>
      </c>
      <c r="D346" s="1" t="s">
        <v>2327</v>
      </c>
      <c r="E346" s="1" t="s">
        <v>1851</v>
      </c>
      <c r="F346" s="1" t="s">
        <v>3415</v>
      </c>
      <c r="G346" s="1" t="s">
        <v>26</v>
      </c>
      <c r="H346" s="13">
        <v>1000000</v>
      </c>
      <c r="I346" s="13">
        <v>0</v>
      </c>
      <c r="J346" s="1" t="s">
        <v>2041</v>
      </c>
      <c r="K346" s="1" t="s">
        <v>2025</v>
      </c>
      <c r="L346" s="1" t="str">
        <f>VLOOKUP(Advices[[#This Row],[LC Number]],'Combine_List'!A:D,2,0)</f>
        <v>Company Alabwab Aldulaya For Contracting</v>
      </c>
      <c r="M346" s="447" t="str">
        <f>VLOOKUP(Advices[[#This Row],[LC Number]],'Combine_List'!A:D,3,0)</f>
        <v>MBL/Premium</v>
      </c>
      <c r="N346" s="447" t="str">
        <f>VLOOKUP(Advices[[#This Row],[LC Number]],'Combine_List'!A:D,4,0)</f>
        <v>CEER</v>
      </c>
      <c r="O346" s="447">
        <f>VLOOKUP(Advices[[#This Row],[LC Number]],'Combine_List'!A:E,5,0)</f>
        <v>1020091</v>
      </c>
      <c r="P346" s="447">
        <f>MONTH(Advices[[#This Row],[Transaction Date]])</f>
        <v>10</v>
      </c>
      <c r="Q346" s="447">
        <f>YEAR(Advices[[#This Row],[Transaction Date]])</f>
        <v>2025</v>
      </c>
      <c r="R346" s="1"/>
    </row>
    <row r="347" spans="1:18" hidden="1" x14ac:dyDescent="0.25">
      <c r="A347" s="1" t="s">
        <v>366</v>
      </c>
      <c r="B347" s="178">
        <v>45952</v>
      </c>
      <c r="C347" s="1" t="s">
        <v>2057</v>
      </c>
      <c r="D347" s="1" t="s">
        <v>2328</v>
      </c>
      <c r="E347" s="1" t="s">
        <v>1229</v>
      </c>
      <c r="F347" s="1" t="s">
        <v>3484</v>
      </c>
      <c r="G347" s="1" t="s">
        <v>26</v>
      </c>
      <c r="H347" s="13">
        <v>545778.80000000005</v>
      </c>
      <c r="I347" s="13">
        <v>0</v>
      </c>
      <c r="J347" s="1" t="s">
        <v>2041</v>
      </c>
      <c r="K347" s="1" t="s">
        <v>2025</v>
      </c>
      <c r="L347" s="1" t="str">
        <f>VLOOKUP(Advices[[#This Row],[LC Number]],'Combine_List'!A:D,2,0)</f>
        <v>VENTLINE AIR CONDITIONING REQUISITES MANUFACTURING LLC</v>
      </c>
      <c r="M347" s="447" t="str">
        <f>VLOOKUP(Advices[[#This Row],[LC Number]],'Combine_List'!A:D,3,0)</f>
        <v>MBL/Premium</v>
      </c>
      <c r="N347" s="447" t="str">
        <f>VLOOKUP(Advices[[#This Row],[LC Number]],'Combine_List'!A:D,4,0)</f>
        <v>CEER</v>
      </c>
      <c r="O347" s="447">
        <f>VLOOKUP(Advices[[#This Row],[LC Number]],'Combine_List'!A:E,5,0)</f>
        <v>1020091</v>
      </c>
      <c r="P347" s="447">
        <f>MONTH(Advices[[#This Row],[Transaction Date]])</f>
        <v>10</v>
      </c>
      <c r="Q347" s="447">
        <f>YEAR(Advices[[#This Row],[Transaction Date]])</f>
        <v>2025</v>
      </c>
      <c r="R347" s="1"/>
    </row>
    <row r="348" spans="1:18" hidden="1" x14ac:dyDescent="0.25">
      <c r="A348" s="1" t="s">
        <v>366</v>
      </c>
      <c r="B348" s="178">
        <v>45952</v>
      </c>
      <c r="C348" s="1" t="s">
        <v>2060</v>
      </c>
      <c r="D348" s="1" t="s">
        <v>2329</v>
      </c>
      <c r="E348" s="1" t="s">
        <v>1871</v>
      </c>
      <c r="F348" s="1" t="s">
        <v>3421</v>
      </c>
      <c r="G348" s="1" t="s">
        <v>26</v>
      </c>
      <c r="H348" s="13">
        <v>4312.5</v>
      </c>
      <c r="I348" s="13">
        <v>0</v>
      </c>
      <c r="J348" s="1" t="s">
        <v>2041</v>
      </c>
      <c r="K348" s="1" t="s">
        <v>2025</v>
      </c>
      <c r="L348" s="1" t="str">
        <f>VLOOKUP(Advices[[#This Row],[LC Number]],'Combine_List'!A:D,2,0)</f>
        <v>TEN POINTS EST</v>
      </c>
      <c r="M348" s="447" t="str">
        <f>VLOOKUP(Advices[[#This Row],[LC Number]],'Combine_List'!A:D,3,0)</f>
        <v>FIRST FIX</v>
      </c>
      <c r="N348" s="447" t="str">
        <f>VLOOKUP(Advices[[#This Row],[LC Number]],'Combine_List'!A:D,4,0)</f>
        <v>MP1</v>
      </c>
      <c r="O348" s="447">
        <f>VLOOKUP(Advices[[#This Row],[LC Number]],'Combine_List'!A:E,5,0)</f>
        <v>1020088</v>
      </c>
      <c r="P348" s="447">
        <f>MONTH(Advices[[#This Row],[Transaction Date]])</f>
        <v>10</v>
      </c>
      <c r="Q348" s="447">
        <f>YEAR(Advices[[#This Row],[Transaction Date]])</f>
        <v>2025</v>
      </c>
      <c r="R348" s="1"/>
    </row>
    <row r="349" spans="1:18" hidden="1" x14ac:dyDescent="0.25">
      <c r="A349" s="1" t="s">
        <v>612</v>
      </c>
      <c r="B349" s="178">
        <v>45952</v>
      </c>
      <c r="C349" s="1" t="s">
        <v>2101</v>
      </c>
      <c r="D349" s="1" t="s">
        <v>2330</v>
      </c>
      <c r="E349" s="1" t="s">
        <v>1810</v>
      </c>
      <c r="F349" s="1" t="s">
        <v>1810</v>
      </c>
      <c r="G349" s="1" t="s">
        <v>26</v>
      </c>
      <c r="H349" s="13">
        <v>1210253.1000000001</v>
      </c>
      <c r="I349" s="13">
        <v>0</v>
      </c>
      <c r="J349" s="1" t="s">
        <v>2041</v>
      </c>
      <c r="K349" s="1" t="s">
        <v>2025</v>
      </c>
      <c r="L349" s="1" t="str">
        <f>VLOOKUP(Advices[[#This Row],[LC Number]],'Combine_List'!A:D,2,0)</f>
        <v>AL FALWA CO. LTD. FOR READYMIX CONCRETE</v>
      </c>
      <c r="M349" s="447" t="str">
        <f>VLOOKUP(Advices[[#This Row],[LC Number]],'Combine_List'!A:D,3,0)</f>
        <v>MBL</v>
      </c>
      <c r="N349" s="447" t="str">
        <f>VLOOKUP(Advices[[#This Row],[LC Number]],'Combine_List'!A:D,4,0)</f>
        <v>RCRC</v>
      </c>
      <c r="O349" s="447">
        <f>VLOOKUP(Advices[[#This Row],[LC Number]],'Combine_List'!A:E,5,0)</f>
        <v>1020106</v>
      </c>
      <c r="P349" s="447">
        <f>MONTH(Advices[[#This Row],[Transaction Date]])</f>
        <v>10</v>
      </c>
      <c r="Q349" s="447">
        <f>YEAR(Advices[[#This Row],[Transaction Date]])</f>
        <v>2025</v>
      </c>
      <c r="R349" s="1"/>
    </row>
    <row r="350" spans="1:18" x14ac:dyDescent="0.25">
      <c r="A350" s="1" t="s">
        <v>21</v>
      </c>
      <c r="B350" s="178">
        <v>45953</v>
      </c>
      <c r="C350" s="1" t="s">
        <v>1951</v>
      </c>
      <c r="D350" s="1" t="s">
        <v>1960</v>
      </c>
      <c r="E350" s="1" t="s">
        <v>1407</v>
      </c>
      <c r="F350" s="1" t="s">
        <v>2331</v>
      </c>
      <c r="G350" s="1" t="s">
        <v>26</v>
      </c>
      <c r="H350" s="13">
        <v>11.25</v>
      </c>
      <c r="I350" s="13">
        <v>0</v>
      </c>
      <c r="J350" s="1" t="s">
        <v>1174</v>
      </c>
      <c r="K350" s="1" t="s">
        <v>2025</v>
      </c>
      <c r="L350" s="1" t="str">
        <f>VLOOKUP(Advices[[#This Row],[LC Number]],'Combine_List'!A:D,2,0)</f>
        <v>SAHM AL MADINAH CONTRACTING EST</v>
      </c>
      <c r="M350" s="447" t="str">
        <f>VLOOKUP(Advices[[#This Row],[LC Number]],'Combine_List'!A:D,3,0)</f>
        <v>FIRST FIX</v>
      </c>
      <c r="N350" s="447" t="str">
        <f>VLOOKUP(Advices[[#This Row],[LC Number]],'Combine_List'!A:D,4,0)</f>
        <v>KSP</v>
      </c>
      <c r="O350" s="447">
        <f>VLOOKUP(Advices[[#This Row],[LC Number]],'Combine_List'!A:E,5,0)</f>
        <v>1020055</v>
      </c>
      <c r="P350" s="447">
        <f>MONTH(Advices[[#This Row],[Transaction Date]])</f>
        <v>10</v>
      </c>
      <c r="Q350" s="447">
        <f>YEAR(Advices[[#This Row],[Transaction Date]])</f>
        <v>2025</v>
      </c>
      <c r="R350" s="1"/>
    </row>
    <row r="351" spans="1:18" x14ac:dyDescent="0.25">
      <c r="A351" s="1" t="s">
        <v>21</v>
      </c>
      <c r="B351" s="178">
        <v>45953</v>
      </c>
      <c r="C351" s="1" t="s">
        <v>1951</v>
      </c>
      <c r="D351" s="1" t="s">
        <v>2332</v>
      </c>
      <c r="E351" s="1" t="s">
        <v>1407</v>
      </c>
      <c r="F351" s="1" t="s">
        <v>2331</v>
      </c>
      <c r="G351" s="1" t="s">
        <v>26</v>
      </c>
      <c r="H351" s="13">
        <v>75</v>
      </c>
      <c r="I351" s="13">
        <v>0</v>
      </c>
      <c r="J351" s="1" t="s">
        <v>1963</v>
      </c>
      <c r="K351" s="1" t="s">
        <v>2025</v>
      </c>
      <c r="L351" s="1" t="str">
        <f>VLOOKUP(Advices[[#This Row],[LC Number]],'Combine_List'!A:D,2,0)</f>
        <v>SAHM AL MADINAH CONTRACTING EST</v>
      </c>
      <c r="M351" s="447" t="str">
        <f>VLOOKUP(Advices[[#This Row],[LC Number]],'Combine_List'!A:D,3,0)</f>
        <v>FIRST FIX</v>
      </c>
      <c r="N351" s="447" t="str">
        <f>VLOOKUP(Advices[[#This Row],[LC Number]],'Combine_List'!A:D,4,0)</f>
        <v>KSP</v>
      </c>
      <c r="O351" s="447">
        <f>VLOOKUP(Advices[[#This Row],[LC Number]],'Combine_List'!A:E,5,0)</f>
        <v>1020055</v>
      </c>
      <c r="P351" s="447">
        <f>MONTH(Advices[[#This Row],[Transaction Date]])</f>
        <v>10</v>
      </c>
      <c r="Q351" s="447">
        <f>YEAR(Advices[[#This Row],[Transaction Date]])</f>
        <v>2025</v>
      </c>
      <c r="R351" s="1"/>
    </row>
    <row r="352" spans="1:18" x14ac:dyDescent="0.25">
      <c r="A352" s="1" t="s">
        <v>21</v>
      </c>
      <c r="B352" s="178">
        <v>45953</v>
      </c>
      <c r="C352" s="1" t="s">
        <v>1951</v>
      </c>
      <c r="D352" s="1" t="s">
        <v>2333</v>
      </c>
      <c r="E352" s="1" t="s">
        <v>1407</v>
      </c>
      <c r="F352" s="1" t="s">
        <v>2331</v>
      </c>
      <c r="G352" s="1" t="s">
        <v>26</v>
      </c>
      <c r="H352" s="13">
        <v>150000</v>
      </c>
      <c r="I352" s="13">
        <v>0</v>
      </c>
      <c r="J352" s="1" t="s">
        <v>1126</v>
      </c>
      <c r="K352" s="1" t="s">
        <v>2025</v>
      </c>
      <c r="L352" s="1" t="str">
        <f>VLOOKUP(Advices[[#This Row],[LC Number]],'Combine_List'!A:D,2,0)</f>
        <v>SAHM AL MADINAH CONTRACTING EST</v>
      </c>
      <c r="M352" s="447" t="str">
        <f>VLOOKUP(Advices[[#This Row],[LC Number]],'Combine_List'!A:D,3,0)</f>
        <v>FIRST FIX</v>
      </c>
      <c r="N352" s="447" t="str">
        <f>VLOOKUP(Advices[[#This Row],[LC Number]],'Combine_List'!A:D,4,0)</f>
        <v>KSP</v>
      </c>
      <c r="O352" s="447">
        <f>VLOOKUP(Advices[[#This Row],[LC Number]],'Combine_List'!A:E,5,0)</f>
        <v>1020055</v>
      </c>
      <c r="P352" s="447">
        <f>MONTH(Advices[[#This Row],[Transaction Date]])</f>
        <v>10</v>
      </c>
      <c r="Q352" s="447">
        <f>YEAR(Advices[[#This Row],[Transaction Date]])</f>
        <v>2025</v>
      </c>
      <c r="R352" s="1"/>
    </row>
    <row r="353" spans="1:18" x14ac:dyDescent="0.25">
      <c r="A353" s="1" t="s">
        <v>21</v>
      </c>
      <c r="B353" s="178">
        <v>45953</v>
      </c>
      <c r="C353" s="1" t="s">
        <v>1951</v>
      </c>
      <c r="D353" s="1" t="s">
        <v>2334</v>
      </c>
      <c r="E353" s="1" t="s">
        <v>1551</v>
      </c>
      <c r="F353" s="1" t="s">
        <v>2335</v>
      </c>
      <c r="G353" s="1" t="s">
        <v>26</v>
      </c>
      <c r="H353" s="13">
        <v>22.5</v>
      </c>
      <c r="I353" s="13">
        <v>0</v>
      </c>
      <c r="J353" s="1" t="s">
        <v>1174</v>
      </c>
      <c r="K353" s="1" t="s">
        <v>2025</v>
      </c>
      <c r="L353" s="1" t="str">
        <f>VLOOKUP(Advices[[#This Row],[LC Number]],'Combine_List'!A:D,2,0)</f>
        <v>BBH-CHEMTROL INTERNATIONAL ORGANIZATION S.L</v>
      </c>
      <c r="M353" s="447" t="str">
        <f>VLOOKUP(Advices[[#This Row],[LC Number]],'Combine_List'!A:D,3,0)</f>
        <v>MBL/ICAD</v>
      </c>
      <c r="N353" s="447" t="str">
        <f>VLOOKUP(Advices[[#This Row],[LC Number]],'Combine_List'!A:D,4,0)</f>
        <v>KSP</v>
      </c>
      <c r="O353" s="447">
        <f>VLOOKUP(Advices[[#This Row],[LC Number]],'Combine_List'!A:E,5,0)</f>
        <v>1020055</v>
      </c>
      <c r="P353" s="447">
        <f>MONTH(Advices[[#This Row],[Transaction Date]])</f>
        <v>10</v>
      </c>
      <c r="Q353" s="447">
        <f>YEAR(Advices[[#This Row],[Transaction Date]])</f>
        <v>2025</v>
      </c>
      <c r="R353" s="1"/>
    </row>
    <row r="354" spans="1:18" x14ac:dyDescent="0.25">
      <c r="A354" s="1" t="s">
        <v>21</v>
      </c>
      <c r="B354" s="178">
        <v>45953</v>
      </c>
      <c r="C354" s="1" t="s">
        <v>1951</v>
      </c>
      <c r="D354" s="1" t="s">
        <v>2336</v>
      </c>
      <c r="E354" s="1" t="s">
        <v>1551</v>
      </c>
      <c r="F354" s="1" t="s">
        <v>2335</v>
      </c>
      <c r="G354" s="1" t="s">
        <v>26</v>
      </c>
      <c r="H354" s="13">
        <v>150</v>
      </c>
      <c r="I354" s="13">
        <v>0</v>
      </c>
      <c r="J354" s="1" t="s">
        <v>1963</v>
      </c>
      <c r="K354" s="1" t="s">
        <v>2025</v>
      </c>
      <c r="L354" s="1" t="str">
        <f>VLOOKUP(Advices[[#This Row],[LC Number]],'Combine_List'!A:D,2,0)</f>
        <v>BBH-CHEMTROL INTERNATIONAL ORGANIZATION S.L</v>
      </c>
      <c r="M354" s="447" t="str">
        <f>VLOOKUP(Advices[[#This Row],[LC Number]],'Combine_List'!A:D,3,0)</f>
        <v>MBL/ICAD</v>
      </c>
      <c r="N354" s="447" t="str">
        <f>VLOOKUP(Advices[[#This Row],[LC Number]],'Combine_List'!A:D,4,0)</f>
        <v>KSP</v>
      </c>
      <c r="O354" s="447">
        <f>VLOOKUP(Advices[[#This Row],[LC Number]],'Combine_List'!A:E,5,0)</f>
        <v>1020055</v>
      </c>
      <c r="P354" s="447">
        <f>MONTH(Advices[[#This Row],[Transaction Date]])</f>
        <v>10</v>
      </c>
      <c r="Q354" s="447">
        <f>YEAR(Advices[[#This Row],[Transaction Date]])</f>
        <v>2025</v>
      </c>
      <c r="R354" s="1"/>
    </row>
    <row r="355" spans="1:18" x14ac:dyDescent="0.25">
      <c r="A355" s="1" t="s">
        <v>21</v>
      </c>
      <c r="B355" s="178">
        <v>45953</v>
      </c>
      <c r="C355" s="1" t="s">
        <v>1951</v>
      </c>
      <c r="D355" s="1" t="s">
        <v>2337</v>
      </c>
      <c r="E355" s="1" t="s">
        <v>1551</v>
      </c>
      <c r="F355" s="1" t="s">
        <v>2335</v>
      </c>
      <c r="G355" s="1" t="s">
        <v>26</v>
      </c>
      <c r="H355" s="13">
        <v>381401.93</v>
      </c>
      <c r="I355" s="13">
        <v>0</v>
      </c>
      <c r="J355" s="1" t="s">
        <v>1126</v>
      </c>
      <c r="K355" s="1" t="s">
        <v>2025</v>
      </c>
      <c r="L355" s="1" t="str">
        <f>VLOOKUP(Advices[[#This Row],[LC Number]],'Combine_List'!A:D,2,0)</f>
        <v>BBH-CHEMTROL INTERNATIONAL ORGANIZATION S.L</v>
      </c>
      <c r="M355" s="447" t="str">
        <f>VLOOKUP(Advices[[#This Row],[LC Number]],'Combine_List'!A:D,3,0)</f>
        <v>MBL/ICAD</v>
      </c>
      <c r="N355" s="447" t="str">
        <f>VLOOKUP(Advices[[#This Row],[LC Number]],'Combine_List'!A:D,4,0)</f>
        <v>KSP</v>
      </c>
      <c r="O355" s="447">
        <f>VLOOKUP(Advices[[#This Row],[LC Number]],'Combine_List'!A:E,5,0)</f>
        <v>1020055</v>
      </c>
      <c r="P355" s="447">
        <f>MONTH(Advices[[#This Row],[Transaction Date]])</f>
        <v>10</v>
      </c>
      <c r="Q355" s="447">
        <f>YEAR(Advices[[#This Row],[Transaction Date]])</f>
        <v>2025</v>
      </c>
      <c r="R355" s="1"/>
    </row>
    <row r="356" spans="1:18" hidden="1" x14ac:dyDescent="0.25">
      <c r="A356" s="1" t="s">
        <v>62</v>
      </c>
      <c r="B356" s="178">
        <v>45953</v>
      </c>
      <c r="C356" s="1" t="s">
        <v>2039</v>
      </c>
      <c r="D356" s="1" t="s">
        <v>2338</v>
      </c>
      <c r="E356" s="1" t="s">
        <v>1903</v>
      </c>
      <c r="F356" s="1" t="s">
        <v>2041</v>
      </c>
      <c r="G356" s="1" t="s">
        <v>26</v>
      </c>
      <c r="H356" s="13">
        <v>5031.25</v>
      </c>
      <c r="I356" s="13">
        <v>0</v>
      </c>
      <c r="J356" s="1" t="s">
        <v>2041</v>
      </c>
      <c r="K356" s="1" t="s">
        <v>2025</v>
      </c>
      <c r="L356" s="1" t="str">
        <f>VLOOKUP(Advices[[#This Row],[LC Number]],'Combine_List'!A:D,2,0)</f>
        <v>Bid - King Salman International Airport Development Company</v>
      </c>
      <c r="M356" s="447" t="str">
        <f>VLOOKUP(Advices[[#This Row],[LC Number]],'Combine_List'!A:D,3,0)</f>
        <v>MBL</v>
      </c>
      <c r="N356" s="447">
        <f>VLOOKUP(Advices[[#This Row],[LC Number]],'Combine_List'!A:D,4,0)</f>
        <v>0</v>
      </c>
      <c r="O356" s="447" t="str">
        <f>VLOOKUP(Advices[[#This Row],[LC Number]],'Combine_List'!A:E,5,0)</f>
        <v>0</v>
      </c>
      <c r="P356" s="447">
        <f>MONTH(Advices[[#This Row],[Transaction Date]])</f>
        <v>10</v>
      </c>
      <c r="Q356" s="447">
        <f>YEAR(Advices[[#This Row],[Transaction Date]])</f>
        <v>2025</v>
      </c>
      <c r="R356" s="1"/>
    </row>
    <row r="357" spans="1:18" hidden="1" x14ac:dyDescent="0.25">
      <c r="A357" s="1" t="s">
        <v>366</v>
      </c>
      <c r="B357" s="178">
        <v>45953</v>
      </c>
      <c r="C357" s="1" t="s">
        <v>2057</v>
      </c>
      <c r="D357" s="1" t="s">
        <v>2339</v>
      </c>
      <c r="E357" s="1" t="s">
        <v>689</v>
      </c>
      <c r="F357" s="1" t="s">
        <v>3485</v>
      </c>
      <c r="G357" s="1" t="s">
        <v>26</v>
      </c>
      <c r="H357" s="13">
        <v>2660497.44</v>
      </c>
      <c r="I357" s="13">
        <v>0</v>
      </c>
      <c r="J357" s="1" t="s">
        <v>2041</v>
      </c>
      <c r="K357" s="1" t="s">
        <v>2025</v>
      </c>
      <c r="L357" s="1" t="str">
        <f>VLOOKUP(Advices[[#This Row],[LC Number]],'Combine_List'!A:D,2,0)</f>
        <v>Arnon Plastic Industries Co Ltd</v>
      </c>
      <c r="M357" s="447" t="str">
        <f>VLOOKUP(Advices[[#This Row],[LC Number]],'Combine_List'!A:D,3,0)</f>
        <v>MBL</v>
      </c>
      <c r="N357" s="447" t="str">
        <f>VLOOKUP(Advices[[#This Row],[LC Number]],'Combine_List'!A:D,4,0)</f>
        <v>CEER</v>
      </c>
      <c r="O357" s="447">
        <f>VLOOKUP(Advices[[#This Row],[LC Number]],'Combine_List'!A:E,5,0)</f>
        <v>1020091</v>
      </c>
      <c r="P357" s="447">
        <f>MONTH(Advices[[#This Row],[Transaction Date]])</f>
        <v>10</v>
      </c>
      <c r="Q357" s="447">
        <f>YEAR(Advices[[#This Row],[Transaction Date]])</f>
        <v>2025</v>
      </c>
      <c r="R357" s="1"/>
    </row>
    <row r="358" spans="1:18" hidden="1" x14ac:dyDescent="0.25">
      <c r="A358" s="1" t="s">
        <v>612</v>
      </c>
      <c r="B358" s="178">
        <v>45953</v>
      </c>
      <c r="C358" s="1" t="s">
        <v>2101</v>
      </c>
      <c r="D358" s="1" t="s">
        <v>2340</v>
      </c>
      <c r="E358" s="1" t="s">
        <v>721</v>
      </c>
      <c r="F358" s="1" t="s">
        <v>721</v>
      </c>
      <c r="G358" s="1" t="s">
        <v>26</v>
      </c>
      <c r="H358" s="13">
        <v>100</v>
      </c>
      <c r="I358" s="13">
        <v>0</v>
      </c>
      <c r="J358" s="1" t="s">
        <v>2041</v>
      </c>
      <c r="K358" s="1" t="s">
        <v>2025</v>
      </c>
      <c r="L358" s="1" t="str">
        <f>VLOOKUP(Advices[[#This Row],[LC Number]],'Combine_List'!A:D,2,0)</f>
        <v>ALFANAR ELECTRICAL SYSTEMS</v>
      </c>
      <c r="M358" s="447" t="str">
        <f>VLOOKUP(Advices[[#This Row],[LC Number]],'Combine_List'!A:D,3,0)</f>
        <v>FIRST FIX</v>
      </c>
      <c r="N358" s="447" t="str">
        <f>VLOOKUP(Advices[[#This Row],[LC Number]],'Combine_List'!A:D,4,0)</f>
        <v>RCRC</v>
      </c>
      <c r="O358" s="447">
        <f>VLOOKUP(Advices[[#This Row],[LC Number]],'Combine_List'!A:E,5,0)</f>
        <v>1020106</v>
      </c>
      <c r="P358" s="447">
        <f>MONTH(Advices[[#This Row],[Transaction Date]])</f>
        <v>10</v>
      </c>
      <c r="Q358" s="447">
        <f>YEAR(Advices[[#This Row],[Transaction Date]])</f>
        <v>2025</v>
      </c>
      <c r="R358" s="1"/>
    </row>
    <row r="359" spans="1:18" hidden="1" x14ac:dyDescent="0.25">
      <c r="A359" s="1" t="s">
        <v>612</v>
      </c>
      <c r="B359" s="178">
        <v>45953</v>
      </c>
      <c r="C359" s="1" t="s">
        <v>2101</v>
      </c>
      <c r="D359" s="1" t="s">
        <v>2341</v>
      </c>
      <c r="E359" s="1" t="s">
        <v>721</v>
      </c>
      <c r="F359" s="1" t="s">
        <v>721</v>
      </c>
      <c r="G359" s="1" t="s">
        <v>26</v>
      </c>
      <c r="H359" s="13">
        <v>15</v>
      </c>
      <c r="I359" s="13">
        <v>0</v>
      </c>
      <c r="J359" s="1" t="s">
        <v>2041</v>
      </c>
      <c r="K359" s="1" t="s">
        <v>2025</v>
      </c>
      <c r="L359" s="1" t="str">
        <f>VLOOKUP(Advices[[#This Row],[LC Number]],'Combine_List'!A:D,2,0)</f>
        <v>ALFANAR ELECTRICAL SYSTEMS</v>
      </c>
      <c r="M359" s="447" t="str">
        <f>VLOOKUP(Advices[[#This Row],[LC Number]],'Combine_List'!A:D,3,0)</f>
        <v>FIRST FIX</v>
      </c>
      <c r="N359" s="447" t="str">
        <f>VLOOKUP(Advices[[#This Row],[LC Number]],'Combine_List'!A:D,4,0)</f>
        <v>RCRC</v>
      </c>
      <c r="O359" s="447">
        <f>VLOOKUP(Advices[[#This Row],[LC Number]],'Combine_List'!A:E,5,0)</f>
        <v>1020106</v>
      </c>
      <c r="P359" s="447">
        <f>MONTH(Advices[[#This Row],[Transaction Date]])</f>
        <v>10</v>
      </c>
      <c r="Q359" s="447">
        <f>YEAR(Advices[[#This Row],[Transaction Date]])</f>
        <v>2025</v>
      </c>
      <c r="R359" s="1"/>
    </row>
    <row r="360" spans="1:18" hidden="1" x14ac:dyDescent="0.25">
      <c r="A360" s="1" t="s">
        <v>612</v>
      </c>
      <c r="B360" s="178">
        <v>45953</v>
      </c>
      <c r="C360" s="1" t="s">
        <v>2101</v>
      </c>
      <c r="D360" s="1" t="s">
        <v>2342</v>
      </c>
      <c r="E360" s="1" t="s">
        <v>721</v>
      </c>
      <c r="F360" s="1" t="s">
        <v>721</v>
      </c>
      <c r="G360" s="1" t="s">
        <v>26</v>
      </c>
      <c r="H360" s="13">
        <v>707</v>
      </c>
      <c r="I360" s="13">
        <v>0</v>
      </c>
      <c r="J360" s="1" t="s">
        <v>2041</v>
      </c>
      <c r="K360" s="1" t="s">
        <v>2025</v>
      </c>
      <c r="L360" s="1" t="str">
        <f>VLOOKUP(Advices[[#This Row],[LC Number]],'Combine_List'!A:D,2,0)</f>
        <v>ALFANAR ELECTRICAL SYSTEMS</v>
      </c>
      <c r="M360" s="447" t="str">
        <f>VLOOKUP(Advices[[#This Row],[LC Number]],'Combine_List'!A:D,3,0)</f>
        <v>FIRST FIX</v>
      </c>
      <c r="N360" s="447" t="str">
        <f>VLOOKUP(Advices[[#This Row],[LC Number]],'Combine_List'!A:D,4,0)</f>
        <v>RCRC</v>
      </c>
      <c r="O360" s="447">
        <f>VLOOKUP(Advices[[#This Row],[LC Number]],'Combine_List'!A:E,5,0)</f>
        <v>1020106</v>
      </c>
      <c r="P360" s="447">
        <f>MONTH(Advices[[#This Row],[Transaction Date]])</f>
        <v>10</v>
      </c>
      <c r="Q360" s="447">
        <f>YEAR(Advices[[#This Row],[Transaction Date]])</f>
        <v>2025</v>
      </c>
      <c r="R360" s="1"/>
    </row>
    <row r="361" spans="1:18" hidden="1" x14ac:dyDescent="0.25">
      <c r="A361" s="1" t="s">
        <v>612</v>
      </c>
      <c r="B361" s="178">
        <v>45953</v>
      </c>
      <c r="C361" s="1" t="s">
        <v>2101</v>
      </c>
      <c r="D361" s="1" t="s">
        <v>2343</v>
      </c>
      <c r="E361" s="1" t="s">
        <v>721</v>
      </c>
      <c r="F361" s="1" t="s">
        <v>721</v>
      </c>
      <c r="G361" s="1" t="s">
        <v>26</v>
      </c>
      <c r="H361" s="13">
        <v>106.05</v>
      </c>
      <c r="I361" s="13">
        <v>0</v>
      </c>
      <c r="J361" s="1" t="s">
        <v>2041</v>
      </c>
      <c r="K361" s="1" t="s">
        <v>2025</v>
      </c>
      <c r="L361" s="1" t="str">
        <f>VLOOKUP(Advices[[#This Row],[LC Number]],'Combine_List'!A:D,2,0)</f>
        <v>ALFANAR ELECTRICAL SYSTEMS</v>
      </c>
      <c r="M361" s="447" t="str">
        <f>VLOOKUP(Advices[[#This Row],[LC Number]],'Combine_List'!A:D,3,0)</f>
        <v>FIRST FIX</v>
      </c>
      <c r="N361" s="447" t="str">
        <f>VLOOKUP(Advices[[#This Row],[LC Number]],'Combine_List'!A:D,4,0)</f>
        <v>RCRC</v>
      </c>
      <c r="O361" s="447">
        <f>VLOOKUP(Advices[[#This Row],[LC Number]],'Combine_List'!A:E,5,0)</f>
        <v>1020106</v>
      </c>
      <c r="P361" s="447">
        <f>MONTH(Advices[[#This Row],[Transaction Date]])</f>
        <v>10</v>
      </c>
      <c r="Q361" s="447">
        <f>YEAR(Advices[[#This Row],[Transaction Date]])</f>
        <v>2025</v>
      </c>
      <c r="R361" s="1"/>
    </row>
    <row r="362" spans="1:18" hidden="1" x14ac:dyDescent="0.25">
      <c r="A362" s="1" t="s">
        <v>612</v>
      </c>
      <c r="B362" s="178">
        <v>45953</v>
      </c>
      <c r="C362" s="1" t="s">
        <v>2101</v>
      </c>
      <c r="D362" s="1" t="s">
        <v>2344</v>
      </c>
      <c r="E362" s="1" t="s">
        <v>721</v>
      </c>
      <c r="F362" s="1" t="s">
        <v>721</v>
      </c>
      <c r="G362" s="1" t="s">
        <v>26</v>
      </c>
      <c r="H362" s="13">
        <v>200</v>
      </c>
      <c r="I362" s="13">
        <v>0</v>
      </c>
      <c r="J362" s="1" t="s">
        <v>2041</v>
      </c>
      <c r="K362" s="1" t="s">
        <v>2025</v>
      </c>
      <c r="L362" s="1" t="str">
        <f>VLOOKUP(Advices[[#This Row],[LC Number]],'Combine_List'!A:D,2,0)</f>
        <v>ALFANAR ELECTRICAL SYSTEMS</v>
      </c>
      <c r="M362" s="447" t="str">
        <f>VLOOKUP(Advices[[#This Row],[LC Number]],'Combine_List'!A:D,3,0)</f>
        <v>FIRST FIX</v>
      </c>
      <c r="N362" s="447" t="str">
        <f>VLOOKUP(Advices[[#This Row],[LC Number]],'Combine_List'!A:D,4,0)</f>
        <v>RCRC</v>
      </c>
      <c r="O362" s="447">
        <f>VLOOKUP(Advices[[#This Row],[LC Number]],'Combine_List'!A:E,5,0)</f>
        <v>1020106</v>
      </c>
      <c r="P362" s="447">
        <f>MONTH(Advices[[#This Row],[Transaction Date]])</f>
        <v>10</v>
      </c>
      <c r="Q362" s="447">
        <f>YEAR(Advices[[#This Row],[Transaction Date]])</f>
        <v>2025</v>
      </c>
      <c r="R362" s="1"/>
    </row>
    <row r="363" spans="1:18" hidden="1" x14ac:dyDescent="0.25">
      <c r="A363" s="1" t="s">
        <v>612</v>
      </c>
      <c r="B363" s="178">
        <v>45953</v>
      </c>
      <c r="C363" s="1" t="s">
        <v>2101</v>
      </c>
      <c r="D363" s="1" t="s">
        <v>2345</v>
      </c>
      <c r="E363" s="1" t="s">
        <v>721</v>
      </c>
      <c r="F363" s="1" t="s">
        <v>721</v>
      </c>
      <c r="G363" s="1" t="s">
        <v>26</v>
      </c>
      <c r="H363" s="13">
        <v>30</v>
      </c>
      <c r="I363" s="13">
        <v>0</v>
      </c>
      <c r="J363" s="1" t="s">
        <v>2041</v>
      </c>
      <c r="K363" s="1" t="s">
        <v>2025</v>
      </c>
      <c r="L363" s="1" t="str">
        <f>VLOOKUP(Advices[[#This Row],[LC Number]],'Combine_List'!A:D,2,0)</f>
        <v>ALFANAR ELECTRICAL SYSTEMS</v>
      </c>
      <c r="M363" s="447" t="str">
        <f>VLOOKUP(Advices[[#This Row],[LC Number]],'Combine_List'!A:D,3,0)</f>
        <v>FIRST FIX</v>
      </c>
      <c r="N363" s="447" t="str">
        <f>VLOOKUP(Advices[[#This Row],[LC Number]],'Combine_List'!A:D,4,0)</f>
        <v>RCRC</v>
      </c>
      <c r="O363" s="447">
        <f>VLOOKUP(Advices[[#This Row],[LC Number]],'Combine_List'!A:E,5,0)</f>
        <v>1020106</v>
      </c>
      <c r="P363" s="447">
        <f>MONTH(Advices[[#This Row],[Transaction Date]])</f>
        <v>10</v>
      </c>
      <c r="Q363" s="447">
        <f>YEAR(Advices[[#This Row],[Transaction Date]])</f>
        <v>2025</v>
      </c>
      <c r="R363" s="1"/>
    </row>
    <row r="364" spans="1:18" x14ac:dyDescent="0.25">
      <c r="A364" s="1" t="s">
        <v>21</v>
      </c>
      <c r="B364" s="178">
        <v>45956</v>
      </c>
      <c r="C364" s="1" t="s">
        <v>1951</v>
      </c>
      <c r="D364" s="1" t="s">
        <v>1960</v>
      </c>
      <c r="E364" s="1" t="s">
        <v>1310</v>
      </c>
      <c r="F364" s="1" t="s">
        <v>2350</v>
      </c>
      <c r="G364" s="1" t="s">
        <v>26</v>
      </c>
      <c r="H364" s="13">
        <v>11.25</v>
      </c>
      <c r="I364" s="13">
        <v>0</v>
      </c>
      <c r="J364" s="1" t="s">
        <v>1174</v>
      </c>
      <c r="K364" s="1" t="s">
        <v>2025</v>
      </c>
      <c r="L364" s="1" t="str">
        <f>VLOOKUP(Advices[[#This Row],[LC Number]],'Combine_List'!A:D,2,0)</f>
        <v>TABARK AL-MOMMYZA FOR TRADING EST</v>
      </c>
      <c r="M364" s="447" t="str">
        <f>VLOOKUP(Advices[[#This Row],[LC Number]],'Combine_List'!A:D,3,0)</f>
        <v>FIRST FIX</v>
      </c>
      <c r="N364" s="447" t="str">
        <f>VLOOKUP(Advices[[#This Row],[LC Number]],'Combine_List'!A:D,4,0)</f>
        <v>KSP</v>
      </c>
      <c r="O364" s="447">
        <f>VLOOKUP(Advices[[#This Row],[LC Number]],'Combine_List'!A:E,5,0)</f>
        <v>1020055</v>
      </c>
      <c r="P364" s="447">
        <f>MONTH(Advices[[#This Row],[Transaction Date]])</f>
        <v>10</v>
      </c>
      <c r="Q364" s="447">
        <f>YEAR(Advices[[#This Row],[Transaction Date]])</f>
        <v>2025</v>
      </c>
      <c r="R364" s="1"/>
    </row>
    <row r="365" spans="1:18" x14ac:dyDescent="0.25">
      <c r="A365" s="1" t="s">
        <v>21</v>
      </c>
      <c r="B365" s="178">
        <v>45956</v>
      </c>
      <c r="C365" s="1" t="s">
        <v>1951</v>
      </c>
      <c r="D365" s="1" t="s">
        <v>2351</v>
      </c>
      <c r="E365" s="1" t="s">
        <v>1310</v>
      </c>
      <c r="F365" s="1" t="s">
        <v>2350</v>
      </c>
      <c r="G365" s="1" t="s">
        <v>26</v>
      </c>
      <c r="H365" s="13">
        <v>75</v>
      </c>
      <c r="I365" s="13">
        <v>0</v>
      </c>
      <c r="J365" s="1" t="s">
        <v>1963</v>
      </c>
      <c r="K365" s="1" t="s">
        <v>2025</v>
      </c>
      <c r="L365" s="1" t="str">
        <f>VLOOKUP(Advices[[#This Row],[LC Number]],'Combine_List'!A:D,2,0)</f>
        <v>TABARK AL-MOMMYZA FOR TRADING EST</v>
      </c>
      <c r="M365" s="447" t="str">
        <f>VLOOKUP(Advices[[#This Row],[LC Number]],'Combine_List'!A:D,3,0)</f>
        <v>FIRST FIX</v>
      </c>
      <c r="N365" s="447" t="str">
        <f>VLOOKUP(Advices[[#This Row],[LC Number]],'Combine_List'!A:D,4,0)</f>
        <v>KSP</v>
      </c>
      <c r="O365" s="447">
        <f>VLOOKUP(Advices[[#This Row],[LC Number]],'Combine_List'!A:E,5,0)</f>
        <v>1020055</v>
      </c>
      <c r="P365" s="447">
        <f>MONTH(Advices[[#This Row],[Transaction Date]])</f>
        <v>10</v>
      </c>
      <c r="Q365" s="447">
        <f>YEAR(Advices[[#This Row],[Transaction Date]])</f>
        <v>2025</v>
      </c>
      <c r="R365" s="1"/>
    </row>
    <row r="366" spans="1:18" x14ac:dyDescent="0.25">
      <c r="A366" s="1" t="s">
        <v>21</v>
      </c>
      <c r="B366" s="178">
        <v>45956</v>
      </c>
      <c r="C366" s="1" t="s">
        <v>1951</v>
      </c>
      <c r="D366" s="1" t="s">
        <v>2352</v>
      </c>
      <c r="E366" s="1" t="s">
        <v>1310</v>
      </c>
      <c r="F366" s="1" t="s">
        <v>2350</v>
      </c>
      <c r="G366" s="1" t="s">
        <v>26</v>
      </c>
      <c r="H366" s="13">
        <v>300000</v>
      </c>
      <c r="I366" s="13">
        <v>0</v>
      </c>
      <c r="J366" s="1" t="s">
        <v>1126</v>
      </c>
      <c r="K366" s="1" t="s">
        <v>2025</v>
      </c>
      <c r="L366" s="1" t="str">
        <f>VLOOKUP(Advices[[#This Row],[LC Number]],'Combine_List'!A:D,2,0)</f>
        <v>TABARK AL-MOMMYZA FOR TRADING EST</v>
      </c>
      <c r="M366" s="447" t="str">
        <f>VLOOKUP(Advices[[#This Row],[LC Number]],'Combine_List'!A:D,3,0)</f>
        <v>FIRST FIX</v>
      </c>
      <c r="N366" s="447" t="str">
        <f>VLOOKUP(Advices[[#This Row],[LC Number]],'Combine_List'!A:D,4,0)</f>
        <v>KSP</v>
      </c>
      <c r="O366" s="447">
        <f>VLOOKUP(Advices[[#This Row],[LC Number]],'Combine_List'!A:E,5,0)</f>
        <v>1020055</v>
      </c>
      <c r="P366" s="447">
        <f>MONTH(Advices[[#This Row],[Transaction Date]])</f>
        <v>10</v>
      </c>
      <c r="Q366" s="447">
        <f>YEAR(Advices[[#This Row],[Transaction Date]])</f>
        <v>2025</v>
      </c>
      <c r="R366" s="1"/>
    </row>
    <row r="367" spans="1:18" x14ac:dyDescent="0.25">
      <c r="A367" s="1" t="s">
        <v>21</v>
      </c>
      <c r="B367" s="178">
        <v>45956</v>
      </c>
      <c r="C367" s="1" t="s">
        <v>1951</v>
      </c>
      <c r="D367" s="1" t="s">
        <v>1960</v>
      </c>
      <c r="E367" s="1" t="s">
        <v>1497</v>
      </c>
      <c r="F367" s="1" t="s">
        <v>2353</v>
      </c>
      <c r="G367" s="1" t="s">
        <v>26</v>
      </c>
      <c r="H367" s="13">
        <v>11.25</v>
      </c>
      <c r="I367" s="13">
        <v>0</v>
      </c>
      <c r="J367" s="1" t="s">
        <v>1174</v>
      </c>
      <c r="K367" s="1" t="s">
        <v>2025</v>
      </c>
      <c r="L367" s="1" t="str">
        <f>VLOOKUP(Advices[[#This Row],[LC Number]],'Combine_List'!A:D,2,0)</f>
        <v>National Marketing Est. Co. Ltd</v>
      </c>
      <c r="M367" s="447" t="str">
        <f>VLOOKUP(Advices[[#This Row],[LC Number]],'Combine_List'!A:D,3,0)</f>
        <v>FIRST FIX</v>
      </c>
      <c r="N367" s="447" t="str">
        <f>VLOOKUP(Advices[[#This Row],[LC Number]],'Combine_List'!A:D,4,0)</f>
        <v>JCD SPMI</v>
      </c>
      <c r="O367" s="447">
        <f>VLOOKUP(Advices[[#This Row],[LC Number]],'Combine_List'!A:E,5,0)</f>
        <v>1020100</v>
      </c>
      <c r="P367" s="447">
        <f>MONTH(Advices[[#This Row],[Transaction Date]])</f>
        <v>10</v>
      </c>
      <c r="Q367" s="447">
        <f>YEAR(Advices[[#This Row],[Transaction Date]])</f>
        <v>2025</v>
      </c>
      <c r="R367" s="1"/>
    </row>
    <row r="368" spans="1:18" x14ac:dyDescent="0.25">
      <c r="A368" s="1" t="s">
        <v>21</v>
      </c>
      <c r="B368" s="178">
        <v>45956</v>
      </c>
      <c r="C368" s="1" t="s">
        <v>1951</v>
      </c>
      <c r="D368" s="1" t="s">
        <v>2354</v>
      </c>
      <c r="E368" s="1" t="s">
        <v>1497</v>
      </c>
      <c r="F368" s="1" t="s">
        <v>2353</v>
      </c>
      <c r="G368" s="1" t="s">
        <v>26</v>
      </c>
      <c r="H368" s="13">
        <v>75</v>
      </c>
      <c r="I368" s="13">
        <v>0</v>
      </c>
      <c r="J368" s="1" t="s">
        <v>1963</v>
      </c>
      <c r="K368" s="1" t="s">
        <v>2025</v>
      </c>
      <c r="L368" s="1" t="str">
        <f>VLOOKUP(Advices[[#This Row],[LC Number]],'Combine_List'!A:D,2,0)</f>
        <v>National Marketing Est. Co. Ltd</v>
      </c>
      <c r="M368" s="447" t="str">
        <f>VLOOKUP(Advices[[#This Row],[LC Number]],'Combine_List'!A:D,3,0)</f>
        <v>FIRST FIX</v>
      </c>
      <c r="N368" s="447" t="str">
        <f>VLOOKUP(Advices[[#This Row],[LC Number]],'Combine_List'!A:D,4,0)</f>
        <v>JCD SPMI</v>
      </c>
      <c r="O368" s="447">
        <f>VLOOKUP(Advices[[#This Row],[LC Number]],'Combine_List'!A:E,5,0)</f>
        <v>1020100</v>
      </c>
      <c r="P368" s="447">
        <f>MONTH(Advices[[#This Row],[Transaction Date]])</f>
        <v>10</v>
      </c>
      <c r="Q368" s="447">
        <f>YEAR(Advices[[#This Row],[Transaction Date]])</f>
        <v>2025</v>
      </c>
      <c r="R368" s="1"/>
    </row>
    <row r="369" spans="1:18" x14ac:dyDescent="0.25">
      <c r="A369" s="1" t="s">
        <v>21</v>
      </c>
      <c r="B369" s="178">
        <v>45956</v>
      </c>
      <c r="C369" s="1" t="s">
        <v>1951</v>
      </c>
      <c r="D369" s="1" t="s">
        <v>2355</v>
      </c>
      <c r="E369" s="1" t="s">
        <v>1497</v>
      </c>
      <c r="F369" s="1" t="s">
        <v>2353</v>
      </c>
      <c r="G369" s="1" t="s">
        <v>26</v>
      </c>
      <c r="H369" s="13">
        <v>300000</v>
      </c>
      <c r="I369" s="13">
        <v>0</v>
      </c>
      <c r="J369" s="1" t="s">
        <v>1126</v>
      </c>
      <c r="K369" s="1" t="s">
        <v>2025</v>
      </c>
      <c r="L369" s="1" t="str">
        <f>VLOOKUP(Advices[[#This Row],[LC Number]],'Combine_List'!A:D,2,0)</f>
        <v>National Marketing Est. Co. Ltd</v>
      </c>
      <c r="M369" s="447" t="str">
        <f>VLOOKUP(Advices[[#This Row],[LC Number]],'Combine_List'!A:D,3,0)</f>
        <v>FIRST FIX</v>
      </c>
      <c r="N369" s="447" t="str">
        <f>VLOOKUP(Advices[[#This Row],[LC Number]],'Combine_List'!A:D,4,0)</f>
        <v>JCD SPMI</v>
      </c>
      <c r="O369" s="447">
        <f>VLOOKUP(Advices[[#This Row],[LC Number]],'Combine_List'!A:E,5,0)</f>
        <v>1020100</v>
      </c>
      <c r="P369" s="447">
        <f>MONTH(Advices[[#This Row],[Transaction Date]])</f>
        <v>10</v>
      </c>
      <c r="Q369" s="447">
        <f>YEAR(Advices[[#This Row],[Transaction Date]])</f>
        <v>2025</v>
      </c>
      <c r="R369" s="1"/>
    </row>
    <row r="370" spans="1:18" hidden="1" x14ac:dyDescent="0.25">
      <c r="A370" s="1" t="s">
        <v>95</v>
      </c>
      <c r="B370" s="178">
        <v>45956</v>
      </c>
      <c r="C370" s="1" t="s">
        <v>2356</v>
      </c>
      <c r="D370" s="1" t="s">
        <v>2357</v>
      </c>
      <c r="E370" s="1" t="s">
        <v>702</v>
      </c>
      <c r="F370" s="1" t="s">
        <v>2358</v>
      </c>
      <c r="G370" s="1" t="s">
        <v>78</v>
      </c>
      <c r="H370" s="13">
        <v>254774.28</v>
      </c>
      <c r="I370" s="13">
        <v>0</v>
      </c>
      <c r="J370" s="1" t="s">
        <v>1126</v>
      </c>
      <c r="K370" s="1" t="s">
        <v>2025</v>
      </c>
      <c r="L370" s="1" t="str">
        <f>VLOOKUP(Advices[[#This Row],[LC Number]],'Combine_List'!A:D,2,0)</f>
        <v>HOLCIM SOLUTIONS AND PRODUCTS EMEA BV</v>
      </c>
      <c r="M370" s="447" t="str">
        <f>VLOOKUP(Advices[[#This Row],[LC Number]],'Combine_List'!A:D,3,0)</f>
        <v>MBL/IFAS</v>
      </c>
      <c r="N370" s="447" t="str">
        <f>VLOOKUP(Advices[[#This Row],[LC Number]],'Combine_List'!A:D,4,0)</f>
        <v>CEER</v>
      </c>
      <c r="O370" s="447">
        <f>VLOOKUP(Advices[[#This Row],[LC Number]],'Combine_List'!A:E,5,0)</f>
        <v>1020091</v>
      </c>
      <c r="P370" s="447">
        <f>MONTH(Advices[[#This Row],[Transaction Date]])</f>
        <v>10</v>
      </c>
      <c r="Q370" s="447">
        <f>YEAR(Advices[[#This Row],[Transaction Date]])</f>
        <v>2025</v>
      </c>
      <c r="R370" s="1"/>
    </row>
    <row r="371" spans="1:18" hidden="1" x14ac:dyDescent="0.25">
      <c r="A371" s="1" t="s">
        <v>366</v>
      </c>
      <c r="B371" s="178">
        <v>45956</v>
      </c>
      <c r="C371" s="1" t="s">
        <v>2057</v>
      </c>
      <c r="D371" s="1" t="s">
        <v>2359</v>
      </c>
      <c r="E371" s="1" t="s">
        <v>1530</v>
      </c>
      <c r="F371" s="1" t="s">
        <v>3486</v>
      </c>
      <c r="G371" s="1" t="s">
        <v>26</v>
      </c>
      <c r="H371" s="13">
        <v>627519.39</v>
      </c>
      <c r="I371" s="13">
        <v>0</v>
      </c>
      <c r="J371" s="1" t="s">
        <v>2041</v>
      </c>
      <c r="K371" s="1" t="s">
        <v>2025</v>
      </c>
      <c r="L371" s="1" t="str">
        <f>VLOOKUP(Advices[[#This Row],[LC Number]],'Combine_List'!A:D,2,0)</f>
        <v>Aluminium Products company (ALUPCO)</v>
      </c>
      <c r="M371" s="447" t="str">
        <f>VLOOKUP(Advices[[#This Row],[LC Number]],'Combine_List'!A:D,3,0)</f>
        <v>MBL/Premium</v>
      </c>
      <c r="N371" s="447" t="str">
        <f>VLOOKUP(Advices[[#This Row],[LC Number]],'Combine_List'!A:D,4,0)</f>
        <v>CEER</v>
      </c>
      <c r="O371" s="447">
        <f>VLOOKUP(Advices[[#This Row],[LC Number]],'Combine_List'!A:E,5,0)</f>
        <v>1020091</v>
      </c>
      <c r="P371" s="447">
        <f>MONTH(Advices[[#This Row],[Transaction Date]])</f>
        <v>10</v>
      </c>
      <c r="Q371" s="447">
        <f>YEAR(Advices[[#This Row],[Transaction Date]])</f>
        <v>2025</v>
      </c>
      <c r="R371" s="1"/>
    </row>
    <row r="372" spans="1:18" hidden="1" x14ac:dyDescent="0.25">
      <c r="A372" s="1" t="s">
        <v>366</v>
      </c>
      <c r="B372" s="178">
        <v>45956</v>
      </c>
      <c r="C372" s="1" t="s">
        <v>2057</v>
      </c>
      <c r="D372" s="1" t="s">
        <v>2360</v>
      </c>
      <c r="E372" s="1" t="s">
        <v>1637</v>
      </c>
      <c r="F372" s="1" t="s">
        <v>1637</v>
      </c>
      <c r="G372" s="1" t="s">
        <v>26</v>
      </c>
      <c r="H372" s="13">
        <v>6816.98</v>
      </c>
      <c r="I372" s="13">
        <v>0</v>
      </c>
      <c r="J372" s="1" t="s">
        <v>2041</v>
      </c>
      <c r="K372" s="1" t="s">
        <v>2025</v>
      </c>
      <c r="L372" s="1" t="str">
        <f>VLOOKUP(Advices[[#This Row],[LC Number]],'Combine_List'!A:D,2,0)</f>
        <v>The Fundamental Installation For Electric Work Co</v>
      </c>
      <c r="M372" s="447" t="str">
        <f>VLOOKUP(Advices[[#This Row],[LC Number]],'Combine_List'!A:D,3,0)</f>
        <v>FIRST FIX</v>
      </c>
      <c r="N372" s="447" t="str">
        <f>VLOOKUP(Advices[[#This Row],[LC Number]],'Combine_List'!A:D,4,0)</f>
        <v>CEER</v>
      </c>
      <c r="O372" s="447">
        <f>VLOOKUP(Advices[[#This Row],[LC Number]],'Combine_List'!A:E,5,0)</f>
        <v>1020091</v>
      </c>
      <c r="P372" s="447">
        <f>MONTH(Advices[[#This Row],[Transaction Date]])</f>
        <v>10</v>
      </c>
      <c r="Q372" s="447">
        <f>YEAR(Advices[[#This Row],[Transaction Date]])</f>
        <v>2025</v>
      </c>
      <c r="R372" s="1"/>
    </row>
    <row r="373" spans="1:18" hidden="1" x14ac:dyDescent="0.25">
      <c r="A373" s="1" t="s">
        <v>366</v>
      </c>
      <c r="B373" s="178">
        <v>45956</v>
      </c>
      <c r="C373" s="1" t="s">
        <v>2057</v>
      </c>
      <c r="D373" s="1" t="s">
        <v>2361</v>
      </c>
      <c r="E373" s="1" t="s">
        <v>1637</v>
      </c>
      <c r="F373" s="1" t="s">
        <v>1637</v>
      </c>
      <c r="G373" s="1" t="s">
        <v>26</v>
      </c>
      <c r="H373" s="13">
        <v>6701.98</v>
      </c>
      <c r="I373" s="13">
        <v>0</v>
      </c>
      <c r="J373" s="1" t="s">
        <v>2041</v>
      </c>
      <c r="K373" s="1" t="s">
        <v>2025</v>
      </c>
      <c r="L373" s="1" t="str">
        <f>VLOOKUP(Advices[[#This Row],[LC Number]],'Combine_List'!A:D,2,0)</f>
        <v>The Fundamental Installation For Electric Work Co</v>
      </c>
      <c r="M373" s="447" t="str">
        <f>VLOOKUP(Advices[[#This Row],[LC Number]],'Combine_List'!A:D,3,0)</f>
        <v>FIRST FIX</v>
      </c>
      <c r="N373" s="447" t="str">
        <f>VLOOKUP(Advices[[#This Row],[LC Number]],'Combine_List'!A:D,4,0)</f>
        <v>CEER</v>
      </c>
      <c r="O373" s="447">
        <f>VLOOKUP(Advices[[#This Row],[LC Number]],'Combine_List'!A:E,5,0)</f>
        <v>1020091</v>
      </c>
      <c r="P373" s="447">
        <f>MONTH(Advices[[#This Row],[Transaction Date]])</f>
        <v>10</v>
      </c>
      <c r="Q373" s="447">
        <f>YEAR(Advices[[#This Row],[Transaction Date]])</f>
        <v>2025</v>
      </c>
      <c r="R373" s="1"/>
    </row>
    <row r="374" spans="1:18" hidden="1" x14ac:dyDescent="0.25">
      <c r="A374" s="1" t="s">
        <v>2089</v>
      </c>
      <c r="B374" s="178">
        <v>45956</v>
      </c>
      <c r="C374" s="1" t="s">
        <v>2093</v>
      </c>
      <c r="D374" s="1" t="s">
        <v>2272</v>
      </c>
      <c r="E374" s="1" t="s">
        <v>1275</v>
      </c>
      <c r="F374" s="1" t="s">
        <v>2362</v>
      </c>
      <c r="G374" s="1" t="s">
        <v>26</v>
      </c>
      <c r="H374" s="13"/>
      <c r="I374" s="13">
        <v>200000</v>
      </c>
      <c r="J374" s="1" t="s">
        <v>2041</v>
      </c>
      <c r="K374" s="1" t="s">
        <v>2025</v>
      </c>
      <c r="L374" s="1" t="str">
        <f>VLOOKUP(Advices[[#This Row],[LC Number]],'Combine_List'!A:D,2,0)</f>
        <v>ULTIMATE SOLUTIONS TRADING CO.</v>
      </c>
      <c r="M374" s="447" t="str">
        <f>VLOOKUP(Advices[[#This Row],[LC Number]],'Combine_List'!A:D,3,0)</f>
        <v>FIRST FIX</v>
      </c>
      <c r="N374" s="447" t="str">
        <f>VLOOKUP(Advices[[#This Row],[LC Number]],'Combine_List'!A:D,4,0)</f>
        <v>JCD SPMI</v>
      </c>
      <c r="O374" s="447">
        <f>VLOOKUP(Advices[[#This Row],[LC Number]],'Combine_List'!A:E,5,0)</f>
        <v>1020100</v>
      </c>
      <c r="P374" s="447">
        <f>MONTH(Advices[[#This Row],[Transaction Date]])</f>
        <v>10</v>
      </c>
      <c r="Q374" s="447">
        <f>YEAR(Advices[[#This Row],[Transaction Date]])</f>
        <v>2025</v>
      </c>
      <c r="R374" s="1"/>
    </row>
    <row r="375" spans="1:18" hidden="1" x14ac:dyDescent="0.25">
      <c r="A375" s="1" t="s">
        <v>2089</v>
      </c>
      <c r="B375" s="178">
        <v>45956</v>
      </c>
      <c r="C375" s="1" t="s">
        <v>2093</v>
      </c>
      <c r="D375" s="1" t="s">
        <v>2263</v>
      </c>
      <c r="E375" s="1" t="s">
        <v>1275</v>
      </c>
      <c r="F375" s="1" t="s">
        <v>2362</v>
      </c>
      <c r="G375" s="1" t="s">
        <v>26</v>
      </c>
      <c r="H375" s="13">
        <v>200000</v>
      </c>
      <c r="I375" s="13">
        <v>0</v>
      </c>
      <c r="J375" s="1" t="s">
        <v>2041</v>
      </c>
      <c r="K375" s="1" t="s">
        <v>2025</v>
      </c>
      <c r="L375" s="1" t="str">
        <f>VLOOKUP(Advices[[#This Row],[LC Number]],'Combine_List'!A:D,2,0)</f>
        <v>ULTIMATE SOLUTIONS TRADING CO.</v>
      </c>
      <c r="M375" s="447" t="str">
        <f>VLOOKUP(Advices[[#This Row],[LC Number]],'Combine_List'!A:D,3,0)</f>
        <v>FIRST FIX</v>
      </c>
      <c r="N375" s="447" t="str">
        <f>VLOOKUP(Advices[[#This Row],[LC Number]],'Combine_List'!A:D,4,0)</f>
        <v>JCD SPMI</v>
      </c>
      <c r="O375" s="447">
        <f>VLOOKUP(Advices[[#This Row],[LC Number]],'Combine_List'!A:E,5,0)</f>
        <v>1020100</v>
      </c>
      <c r="P375" s="447">
        <f>MONTH(Advices[[#This Row],[Transaction Date]])</f>
        <v>10</v>
      </c>
      <c r="Q375" s="447">
        <f>YEAR(Advices[[#This Row],[Transaction Date]])</f>
        <v>2025</v>
      </c>
      <c r="R375" s="1"/>
    </row>
    <row r="376" spans="1:18" x14ac:dyDescent="0.25">
      <c r="A376" s="1" t="s">
        <v>21</v>
      </c>
      <c r="B376" s="178">
        <v>45957</v>
      </c>
      <c r="C376" s="1" t="s">
        <v>1951</v>
      </c>
      <c r="D376" s="1" t="s">
        <v>1960</v>
      </c>
      <c r="E376" s="1" t="s">
        <v>1341</v>
      </c>
      <c r="F376" s="1" t="s">
        <v>2364</v>
      </c>
      <c r="G376" s="1" t="s">
        <v>26</v>
      </c>
      <c r="H376" s="13">
        <v>11.25</v>
      </c>
      <c r="I376" s="13">
        <v>0</v>
      </c>
      <c r="J376" s="1" t="s">
        <v>1174</v>
      </c>
      <c r="K376" s="1" t="s">
        <v>2025</v>
      </c>
      <c r="L376" s="1" t="str">
        <f>VLOOKUP(Advices[[#This Row],[LC Number]],'Combine_List'!A:D,2,0)</f>
        <v>SAFID CO.LTD.</v>
      </c>
      <c r="M376" s="447" t="str">
        <f>VLOOKUP(Advices[[#This Row],[LC Number]],'Combine_List'!A:D,3,0)</f>
        <v>FIRST FIX</v>
      </c>
      <c r="N376" s="447" t="str">
        <f>VLOOKUP(Advices[[#This Row],[LC Number]],'Combine_List'!A:D,4,0)</f>
        <v>KSP</v>
      </c>
      <c r="O376" s="447">
        <f>VLOOKUP(Advices[[#This Row],[LC Number]],'Combine_List'!A:E,5,0)</f>
        <v>1020055</v>
      </c>
      <c r="P376" s="447">
        <f>MONTH(Advices[[#This Row],[Transaction Date]])</f>
        <v>10</v>
      </c>
      <c r="Q376" s="447">
        <f>YEAR(Advices[[#This Row],[Transaction Date]])</f>
        <v>2025</v>
      </c>
      <c r="R376" s="1"/>
    </row>
    <row r="377" spans="1:18" x14ac:dyDescent="0.25">
      <c r="A377" s="1" t="s">
        <v>21</v>
      </c>
      <c r="B377" s="178">
        <v>45957</v>
      </c>
      <c r="C377" s="1" t="s">
        <v>1951</v>
      </c>
      <c r="D377" s="1" t="s">
        <v>2365</v>
      </c>
      <c r="E377" s="1" t="s">
        <v>1341</v>
      </c>
      <c r="F377" s="1" t="s">
        <v>2364</v>
      </c>
      <c r="G377" s="1" t="s">
        <v>26</v>
      </c>
      <c r="H377" s="13">
        <v>75</v>
      </c>
      <c r="I377" s="13">
        <v>0</v>
      </c>
      <c r="J377" s="1" t="s">
        <v>1963</v>
      </c>
      <c r="K377" s="1" t="s">
        <v>2025</v>
      </c>
      <c r="L377" s="1" t="str">
        <f>VLOOKUP(Advices[[#This Row],[LC Number]],'Combine_List'!A:D,2,0)</f>
        <v>SAFID CO.LTD.</v>
      </c>
      <c r="M377" s="447" t="str">
        <f>VLOOKUP(Advices[[#This Row],[LC Number]],'Combine_List'!A:D,3,0)</f>
        <v>FIRST FIX</v>
      </c>
      <c r="N377" s="447" t="str">
        <f>VLOOKUP(Advices[[#This Row],[LC Number]],'Combine_List'!A:D,4,0)</f>
        <v>KSP</v>
      </c>
      <c r="O377" s="447">
        <f>VLOOKUP(Advices[[#This Row],[LC Number]],'Combine_List'!A:E,5,0)</f>
        <v>1020055</v>
      </c>
      <c r="P377" s="447">
        <f>MONTH(Advices[[#This Row],[Transaction Date]])</f>
        <v>10</v>
      </c>
      <c r="Q377" s="447">
        <f>YEAR(Advices[[#This Row],[Transaction Date]])</f>
        <v>2025</v>
      </c>
      <c r="R377" s="1"/>
    </row>
    <row r="378" spans="1:18" x14ac:dyDescent="0.25">
      <c r="A378" s="1" t="s">
        <v>21</v>
      </c>
      <c r="B378" s="178">
        <v>45957</v>
      </c>
      <c r="C378" s="1" t="s">
        <v>1951</v>
      </c>
      <c r="D378" s="1" t="s">
        <v>2366</v>
      </c>
      <c r="E378" s="1" t="s">
        <v>1341</v>
      </c>
      <c r="F378" s="1" t="s">
        <v>2364</v>
      </c>
      <c r="G378" s="1" t="s">
        <v>26</v>
      </c>
      <c r="H378" s="13">
        <v>535185.18000000005</v>
      </c>
      <c r="I378" s="13">
        <v>0</v>
      </c>
      <c r="J378" s="1" t="s">
        <v>1126</v>
      </c>
      <c r="K378" s="1" t="s">
        <v>2025</v>
      </c>
      <c r="L378" s="1" t="str">
        <f>VLOOKUP(Advices[[#This Row],[LC Number]],'Combine_List'!A:D,2,0)</f>
        <v>SAFID CO.LTD.</v>
      </c>
      <c r="M378" s="447" t="str">
        <f>VLOOKUP(Advices[[#This Row],[LC Number]],'Combine_List'!A:D,3,0)</f>
        <v>FIRST FIX</v>
      </c>
      <c r="N378" s="447" t="str">
        <f>VLOOKUP(Advices[[#This Row],[LC Number]],'Combine_List'!A:D,4,0)</f>
        <v>KSP</v>
      </c>
      <c r="O378" s="447">
        <f>VLOOKUP(Advices[[#This Row],[LC Number]],'Combine_List'!A:E,5,0)</f>
        <v>1020055</v>
      </c>
      <c r="P378" s="447">
        <f>MONTH(Advices[[#This Row],[Transaction Date]])</f>
        <v>10</v>
      </c>
      <c r="Q378" s="447">
        <f>YEAR(Advices[[#This Row],[Transaction Date]])</f>
        <v>2025</v>
      </c>
      <c r="R378" s="1"/>
    </row>
    <row r="379" spans="1:18" x14ac:dyDescent="0.25">
      <c r="A379" s="1" t="s">
        <v>21</v>
      </c>
      <c r="B379" s="178">
        <v>45957</v>
      </c>
      <c r="C379" s="1" t="s">
        <v>1951</v>
      </c>
      <c r="D379" s="1" t="s">
        <v>1960</v>
      </c>
      <c r="E379" s="1" t="s">
        <v>1344</v>
      </c>
      <c r="F379" s="1" t="s">
        <v>2367</v>
      </c>
      <c r="G379" s="1" t="s">
        <v>26</v>
      </c>
      <c r="H379" s="13">
        <v>11.25</v>
      </c>
      <c r="I379" s="13">
        <v>0</v>
      </c>
      <c r="J379" s="1" t="s">
        <v>1174</v>
      </c>
      <c r="K379" s="1" t="s">
        <v>2025</v>
      </c>
      <c r="L379" s="1" t="str">
        <f>VLOOKUP(Advices[[#This Row],[LC Number]],'Combine_List'!A:D,2,0)</f>
        <v>PROJECT SUPPLY FOR TRADING EST.</v>
      </c>
      <c r="M379" s="447" t="str">
        <f>VLOOKUP(Advices[[#This Row],[LC Number]],'Combine_List'!A:D,3,0)</f>
        <v>FIRST FIX</v>
      </c>
      <c r="N379" s="447" t="str">
        <f>VLOOKUP(Advices[[#This Row],[LC Number]],'Combine_List'!A:D,4,0)</f>
        <v>KSP</v>
      </c>
      <c r="O379" s="447">
        <f>VLOOKUP(Advices[[#This Row],[LC Number]],'Combine_List'!A:E,5,0)</f>
        <v>1020055</v>
      </c>
      <c r="P379" s="447">
        <f>MONTH(Advices[[#This Row],[Transaction Date]])</f>
        <v>10</v>
      </c>
      <c r="Q379" s="447">
        <f>YEAR(Advices[[#This Row],[Transaction Date]])</f>
        <v>2025</v>
      </c>
      <c r="R379" s="1"/>
    </row>
    <row r="380" spans="1:18" x14ac:dyDescent="0.25">
      <c r="A380" s="1" t="s">
        <v>21</v>
      </c>
      <c r="B380" s="178">
        <v>45957</v>
      </c>
      <c r="C380" s="1" t="s">
        <v>1951</v>
      </c>
      <c r="D380" s="1" t="s">
        <v>2368</v>
      </c>
      <c r="E380" s="1" t="s">
        <v>1344</v>
      </c>
      <c r="F380" s="1" t="s">
        <v>2367</v>
      </c>
      <c r="G380" s="1" t="s">
        <v>26</v>
      </c>
      <c r="H380" s="13">
        <v>75</v>
      </c>
      <c r="I380" s="13">
        <v>0</v>
      </c>
      <c r="J380" s="1" t="s">
        <v>1963</v>
      </c>
      <c r="K380" s="1" t="s">
        <v>2025</v>
      </c>
      <c r="L380" s="1" t="str">
        <f>VLOOKUP(Advices[[#This Row],[LC Number]],'Combine_List'!A:D,2,0)</f>
        <v>PROJECT SUPPLY FOR TRADING EST.</v>
      </c>
      <c r="M380" s="447" t="str">
        <f>VLOOKUP(Advices[[#This Row],[LC Number]],'Combine_List'!A:D,3,0)</f>
        <v>FIRST FIX</v>
      </c>
      <c r="N380" s="447" t="str">
        <f>VLOOKUP(Advices[[#This Row],[LC Number]],'Combine_List'!A:D,4,0)</f>
        <v>KSP</v>
      </c>
      <c r="O380" s="447">
        <f>VLOOKUP(Advices[[#This Row],[LC Number]],'Combine_List'!A:E,5,0)</f>
        <v>1020055</v>
      </c>
      <c r="P380" s="447">
        <f>MONTH(Advices[[#This Row],[Transaction Date]])</f>
        <v>10</v>
      </c>
      <c r="Q380" s="447">
        <f>YEAR(Advices[[#This Row],[Transaction Date]])</f>
        <v>2025</v>
      </c>
      <c r="R380" s="1"/>
    </row>
    <row r="381" spans="1:18" x14ac:dyDescent="0.25">
      <c r="A381" s="1" t="s">
        <v>21</v>
      </c>
      <c r="B381" s="178">
        <v>45957</v>
      </c>
      <c r="C381" s="1" t="s">
        <v>1951</v>
      </c>
      <c r="D381" s="1" t="s">
        <v>2369</v>
      </c>
      <c r="E381" s="1" t="s">
        <v>1344</v>
      </c>
      <c r="F381" s="1" t="s">
        <v>2367</v>
      </c>
      <c r="G381" s="1" t="s">
        <v>26</v>
      </c>
      <c r="H381" s="13">
        <v>613577</v>
      </c>
      <c r="I381" s="13">
        <v>0</v>
      </c>
      <c r="J381" s="1" t="s">
        <v>1126</v>
      </c>
      <c r="K381" s="1" t="s">
        <v>2025</v>
      </c>
      <c r="L381" s="1" t="str">
        <f>VLOOKUP(Advices[[#This Row],[LC Number]],'Combine_List'!A:D,2,0)</f>
        <v>PROJECT SUPPLY FOR TRADING EST.</v>
      </c>
      <c r="M381" s="447" t="str">
        <f>VLOOKUP(Advices[[#This Row],[LC Number]],'Combine_List'!A:D,3,0)</f>
        <v>FIRST FIX</v>
      </c>
      <c r="N381" s="447" t="str">
        <f>VLOOKUP(Advices[[#This Row],[LC Number]],'Combine_List'!A:D,4,0)</f>
        <v>KSP</v>
      </c>
      <c r="O381" s="447">
        <f>VLOOKUP(Advices[[#This Row],[LC Number]],'Combine_List'!A:E,5,0)</f>
        <v>1020055</v>
      </c>
      <c r="P381" s="447">
        <f>MONTH(Advices[[#This Row],[Transaction Date]])</f>
        <v>10</v>
      </c>
      <c r="Q381" s="447">
        <f>YEAR(Advices[[#This Row],[Transaction Date]])</f>
        <v>2025</v>
      </c>
      <c r="R381" s="1"/>
    </row>
    <row r="382" spans="1:18" x14ac:dyDescent="0.25">
      <c r="A382" s="1" t="s">
        <v>21</v>
      </c>
      <c r="B382" s="178">
        <v>45957</v>
      </c>
      <c r="C382" s="1" t="s">
        <v>1951</v>
      </c>
      <c r="D382" s="1" t="s">
        <v>1960</v>
      </c>
      <c r="E382" s="1" t="s">
        <v>1346</v>
      </c>
      <c r="F382" s="1" t="s">
        <v>2370</v>
      </c>
      <c r="G382" s="1" t="s">
        <v>26</v>
      </c>
      <c r="H382" s="13">
        <v>11.25</v>
      </c>
      <c r="I382" s="13">
        <v>0</v>
      </c>
      <c r="J382" s="1" t="s">
        <v>1174</v>
      </c>
      <c r="K382" s="1" t="s">
        <v>2025</v>
      </c>
      <c r="L382" s="1" t="str">
        <f>VLOOKUP(Advices[[#This Row],[LC Number]],'Combine_List'!A:D,2,0)</f>
        <v>EMAAR POLE COMPANY</v>
      </c>
      <c r="M382" s="447" t="str">
        <f>VLOOKUP(Advices[[#This Row],[LC Number]],'Combine_List'!A:D,3,0)</f>
        <v>FIRST FIX</v>
      </c>
      <c r="N382" s="447" t="str">
        <f>VLOOKUP(Advices[[#This Row],[LC Number]],'Combine_List'!A:D,4,0)</f>
        <v>KSP</v>
      </c>
      <c r="O382" s="447">
        <f>VLOOKUP(Advices[[#This Row],[LC Number]],'Combine_List'!A:E,5,0)</f>
        <v>1020055</v>
      </c>
      <c r="P382" s="447">
        <f>MONTH(Advices[[#This Row],[Transaction Date]])</f>
        <v>10</v>
      </c>
      <c r="Q382" s="447">
        <f>YEAR(Advices[[#This Row],[Transaction Date]])</f>
        <v>2025</v>
      </c>
      <c r="R382" s="1"/>
    </row>
    <row r="383" spans="1:18" x14ac:dyDescent="0.25">
      <c r="A383" s="1" t="s">
        <v>21</v>
      </c>
      <c r="B383" s="178">
        <v>45957</v>
      </c>
      <c r="C383" s="1" t="s">
        <v>1951</v>
      </c>
      <c r="D383" s="1" t="s">
        <v>2371</v>
      </c>
      <c r="E383" s="1" t="s">
        <v>1346</v>
      </c>
      <c r="F383" s="1" t="s">
        <v>2370</v>
      </c>
      <c r="G383" s="1" t="s">
        <v>26</v>
      </c>
      <c r="H383" s="13">
        <v>75</v>
      </c>
      <c r="I383" s="13">
        <v>0</v>
      </c>
      <c r="J383" s="1" t="s">
        <v>1963</v>
      </c>
      <c r="K383" s="1" t="s">
        <v>2025</v>
      </c>
      <c r="L383" s="1" t="str">
        <f>VLOOKUP(Advices[[#This Row],[LC Number]],'Combine_List'!A:D,2,0)</f>
        <v>EMAAR POLE COMPANY</v>
      </c>
      <c r="M383" s="447" t="str">
        <f>VLOOKUP(Advices[[#This Row],[LC Number]],'Combine_List'!A:D,3,0)</f>
        <v>FIRST FIX</v>
      </c>
      <c r="N383" s="447" t="str">
        <f>VLOOKUP(Advices[[#This Row],[LC Number]],'Combine_List'!A:D,4,0)</f>
        <v>KSP</v>
      </c>
      <c r="O383" s="447">
        <f>VLOOKUP(Advices[[#This Row],[LC Number]],'Combine_List'!A:E,5,0)</f>
        <v>1020055</v>
      </c>
      <c r="P383" s="447">
        <f>MONTH(Advices[[#This Row],[Transaction Date]])</f>
        <v>10</v>
      </c>
      <c r="Q383" s="447">
        <f>YEAR(Advices[[#This Row],[Transaction Date]])</f>
        <v>2025</v>
      </c>
      <c r="R383" s="1"/>
    </row>
    <row r="384" spans="1:18" x14ac:dyDescent="0.25">
      <c r="A384" s="1" t="s">
        <v>21</v>
      </c>
      <c r="B384" s="178">
        <v>45957</v>
      </c>
      <c r="C384" s="1" t="s">
        <v>1951</v>
      </c>
      <c r="D384" s="1" t="s">
        <v>2372</v>
      </c>
      <c r="E384" s="1" t="s">
        <v>1346</v>
      </c>
      <c r="F384" s="1" t="s">
        <v>2370</v>
      </c>
      <c r="G384" s="1" t="s">
        <v>26</v>
      </c>
      <c r="H384" s="13">
        <v>391554.28</v>
      </c>
      <c r="I384" s="13">
        <v>0</v>
      </c>
      <c r="J384" s="1" t="s">
        <v>1126</v>
      </c>
      <c r="K384" s="1" t="s">
        <v>2025</v>
      </c>
      <c r="L384" s="1" t="str">
        <f>VLOOKUP(Advices[[#This Row],[LC Number]],'Combine_List'!A:D,2,0)</f>
        <v>EMAAR POLE COMPANY</v>
      </c>
      <c r="M384" s="447" t="str">
        <f>VLOOKUP(Advices[[#This Row],[LC Number]],'Combine_List'!A:D,3,0)</f>
        <v>FIRST FIX</v>
      </c>
      <c r="N384" s="447" t="str">
        <f>VLOOKUP(Advices[[#This Row],[LC Number]],'Combine_List'!A:D,4,0)</f>
        <v>KSP</v>
      </c>
      <c r="O384" s="447">
        <f>VLOOKUP(Advices[[#This Row],[LC Number]],'Combine_List'!A:E,5,0)</f>
        <v>1020055</v>
      </c>
      <c r="P384" s="447">
        <f>MONTH(Advices[[#This Row],[Transaction Date]])</f>
        <v>10</v>
      </c>
      <c r="Q384" s="447">
        <f>YEAR(Advices[[#This Row],[Transaction Date]])</f>
        <v>2025</v>
      </c>
      <c r="R384" s="1"/>
    </row>
    <row r="385" spans="1:18" hidden="1" x14ac:dyDescent="0.25">
      <c r="A385" s="1" t="s">
        <v>62</v>
      </c>
      <c r="B385" s="178">
        <v>45957</v>
      </c>
      <c r="C385" s="1" t="s">
        <v>2042</v>
      </c>
      <c r="D385" s="1" t="s">
        <v>2373</v>
      </c>
      <c r="E385" s="1" t="s">
        <v>1934</v>
      </c>
      <c r="F385" s="1" t="s">
        <v>2041</v>
      </c>
      <c r="G385" s="1" t="s">
        <v>26</v>
      </c>
      <c r="H385" s="13">
        <v>4857.17</v>
      </c>
      <c r="I385" s="13">
        <v>0</v>
      </c>
      <c r="J385" s="1" t="s">
        <v>2041</v>
      </c>
      <c r="K385" s="1" t="s">
        <v>2025</v>
      </c>
      <c r="L385" s="1" t="str">
        <f>VLOOKUP(Advices[[#This Row],[LC Number]],'Combine_List'!A:D,2,0)</f>
        <v>Mat Filtrasyon Teknolojeleri A.S</v>
      </c>
      <c r="M385" s="447" t="str">
        <f>VLOOKUP(Advices[[#This Row],[LC Number]],'Combine_List'!A:D,3,0)</f>
        <v>MBL</v>
      </c>
      <c r="N385" s="447" t="str">
        <f>VLOOKUP(Advices[[#This Row],[LC Number]],'Combine_List'!A:D,4,0)</f>
        <v>Oceanarium</v>
      </c>
      <c r="O385" s="447">
        <f>VLOOKUP(Advices[[#This Row],[LC Number]],'Combine_List'!A:E,5,0)</f>
        <v>1020096</v>
      </c>
      <c r="P385" s="447">
        <f>MONTH(Advices[[#This Row],[Transaction Date]])</f>
        <v>10</v>
      </c>
      <c r="Q385" s="447">
        <f>YEAR(Advices[[#This Row],[Transaction Date]])</f>
        <v>2025</v>
      </c>
      <c r="R385" s="1"/>
    </row>
    <row r="386" spans="1:18" hidden="1" x14ac:dyDescent="0.25">
      <c r="A386" s="1" t="s">
        <v>95</v>
      </c>
      <c r="B386" s="178">
        <v>45957</v>
      </c>
      <c r="C386" s="1" t="s">
        <v>2026</v>
      </c>
      <c r="D386" s="1" t="s">
        <v>2374</v>
      </c>
      <c r="E386" s="1" t="s">
        <v>1420</v>
      </c>
      <c r="F386" s="1" t="s">
        <v>2375</v>
      </c>
      <c r="G386" s="1" t="s">
        <v>26</v>
      </c>
      <c r="H386" s="13">
        <v>460</v>
      </c>
      <c r="I386" s="13">
        <v>0</v>
      </c>
      <c r="J386" s="1" t="s">
        <v>1125</v>
      </c>
      <c r="K386" s="1" t="s">
        <v>2025</v>
      </c>
      <c r="L386" s="1" t="str">
        <f>VLOOKUP(Advices[[#This Row],[LC Number]],'Combine_List'!A:D,2,0)</f>
        <v>ALFANAR ELECTRICAL SYSTEMS</v>
      </c>
      <c r="M386" s="447" t="str">
        <f>VLOOKUP(Advices[[#This Row],[LC Number]],'Combine_List'!A:D,3,0)</f>
        <v>FIRST FIX</v>
      </c>
      <c r="N386" s="447" t="str">
        <f>VLOOKUP(Advices[[#This Row],[LC Number]],'Combine_List'!A:D,4,0)</f>
        <v>KSP</v>
      </c>
      <c r="O386" s="447">
        <f>VLOOKUP(Advices[[#This Row],[LC Number]],'Combine_List'!A:E,5,0)</f>
        <v>1020055</v>
      </c>
      <c r="P386" s="447">
        <f>MONTH(Advices[[#This Row],[Transaction Date]])</f>
        <v>10</v>
      </c>
      <c r="Q386" s="447">
        <f>YEAR(Advices[[#This Row],[Transaction Date]])</f>
        <v>2025</v>
      </c>
      <c r="R386" s="1"/>
    </row>
    <row r="387" spans="1:18" hidden="1" x14ac:dyDescent="0.25">
      <c r="A387" s="1" t="s">
        <v>95</v>
      </c>
      <c r="B387" s="178">
        <v>45957</v>
      </c>
      <c r="C387" s="1" t="s">
        <v>2026</v>
      </c>
      <c r="D387" s="1" t="s">
        <v>2376</v>
      </c>
      <c r="E387" s="1" t="s">
        <v>1425</v>
      </c>
      <c r="F387" s="1" t="s">
        <v>2377</v>
      </c>
      <c r="G387" s="1" t="s">
        <v>26</v>
      </c>
      <c r="H387" s="13">
        <v>613.33000000000004</v>
      </c>
      <c r="I387" s="13">
        <v>0</v>
      </c>
      <c r="J387" s="1" t="s">
        <v>1125</v>
      </c>
      <c r="K387" s="1" t="s">
        <v>2025</v>
      </c>
      <c r="L387" s="1" t="str">
        <f>VLOOKUP(Advices[[#This Row],[LC Number]],'Combine_List'!A:D,2,0)</f>
        <v>Electric House Trading Company L.L.C.</v>
      </c>
      <c r="M387" s="447" t="str">
        <f>VLOOKUP(Advices[[#This Row],[LC Number]],'Combine_List'!A:D,3,0)</f>
        <v>FIRST FIX</v>
      </c>
      <c r="N387" s="447" t="str">
        <f>VLOOKUP(Advices[[#This Row],[LC Number]],'Combine_List'!A:D,4,0)</f>
        <v>KSP</v>
      </c>
      <c r="O387" s="447">
        <f>VLOOKUP(Advices[[#This Row],[LC Number]],'Combine_List'!A:E,5,0)</f>
        <v>1020055</v>
      </c>
      <c r="P387" s="447">
        <f>MONTH(Advices[[#This Row],[Transaction Date]])</f>
        <v>10</v>
      </c>
      <c r="Q387" s="447">
        <f>YEAR(Advices[[#This Row],[Transaction Date]])</f>
        <v>2025</v>
      </c>
      <c r="R387" s="1"/>
    </row>
    <row r="388" spans="1:18" hidden="1" x14ac:dyDescent="0.25">
      <c r="A388" s="1" t="s">
        <v>95</v>
      </c>
      <c r="B388" s="178">
        <v>45957</v>
      </c>
      <c r="C388" s="1" t="s">
        <v>2026</v>
      </c>
      <c r="D388" s="1" t="s">
        <v>2374</v>
      </c>
      <c r="E388" s="1" t="s">
        <v>1420</v>
      </c>
      <c r="F388" s="1" t="s">
        <v>2375</v>
      </c>
      <c r="G388" s="1" t="s">
        <v>26</v>
      </c>
      <c r="H388" s="13">
        <v>134784.6</v>
      </c>
      <c r="I388" s="13">
        <v>0</v>
      </c>
      <c r="J388" s="1" t="s">
        <v>1126</v>
      </c>
      <c r="K388" s="1" t="s">
        <v>2025</v>
      </c>
      <c r="L388" s="1" t="str">
        <f>VLOOKUP(Advices[[#This Row],[LC Number]],'Combine_List'!A:D,2,0)</f>
        <v>ALFANAR ELECTRICAL SYSTEMS</v>
      </c>
      <c r="M388" s="447" t="str">
        <f>VLOOKUP(Advices[[#This Row],[LC Number]],'Combine_List'!A:D,3,0)</f>
        <v>FIRST FIX</v>
      </c>
      <c r="N388" s="447" t="str">
        <f>VLOOKUP(Advices[[#This Row],[LC Number]],'Combine_List'!A:D,4,0)</f>
        <v>KSP</v>
      </c>
      <c r="O388" s="447">
        <f>VLOOKUP(Advices[[#This Row],[LC Number]],'Combine_List'!A:E,5,0)</f>
        <v>1020055</v>
      </c>
      <c r="P388" s="447">
        <f>MONTH(Advices[[#This Row],[Transaction Date]])</f>
        <v>10</v>
      </c>
      <c r="Q388" s="447">
        <f>YEAR(Advices[[#This Row],[Transaction Date]])</f>
        <v>2025</v>
      </c>
      <c r="R388" s="1"/>
    </row>
    <row r="389" spans="1:18" hidden="1" x14ac:dyDescent="0.25">
      <c r="A389" s="1" t="s">
        <v>95</v>
      </c>
      <c r="B389" s="178">
        <v>45957</v>
      </c>
      <c r="C389" s="1" t="s">
        <v>2026</v>
      </c>
      <c r="D389" s="1" t="s">
        <v>2378</v>
      </c>
      <c r="E389" s="1" t="s">
        <v>707</v>
      </c>
      <c r="F389" s="1" t="s">
        <v>2379</v>
      </c>
      <c r="G389" s="1" t="s">
        <v>26</v>
      </c>
      <c r="H389" s="13">
        <v>281937.59999999998</v>
      </c>
      <c r="I389" s="13">
        <v>0</v>
      </c>
      <c r="J389" s="1" t="s">
        <v>2380</v>
      </c>
      <c r="K389" s="1" t="s">
        <v>2025</v>
      </c>
      <c r="L389" s="1" t="str">
        <f>VLOOKUP(Advices[[#This Row],[LC Number]],'Combine_List'!A:D,2,0)</f>
        <v>BBH-CHEMTROL INTERNATIONAL ORGANIZATION S.L</v>
      </c>
      <c r="M389" s="447" t="str">
        <f>VLOOKUP(Advices[[#This Row],[LC Number]],'Combine_List'!A:D,3,0)</f>
        <v>MBL/ICAD</v>
      </c>
      <c r="N389" s="447" t="str">
        <f>VLOOKUP(Advices[[#This Row],[LC Number]],'Combine_List'!A:D,4,0)</f>
        <v>OPERA House</v>
      </c>
      <c r="O389" s="447">
        <f>VLOOKUP(Advices[[#This Row],[LC Number]],'Combine_List'!A:E,5,0)</f>
        <v>1020097</v>
      </c>
      <c r="P389" s="447">
        <f>MONTH(Advices[[#This Row],[Transaction Date]])</f>
        <v>10</v>
      </c>
      <c r="Q389" s="447">
        <f>YEAR(Advices[[#This Row],[Transaction Date]])</f>
        <v>2025</v>
      </c>
      <c r="R389" s="1"/>
    </row>
    <row r="390" spans="1:18" hidden="1" x14ac:dyDescent="0.25">
      <c r="A390" s="1" t="s">
        <v>366</v>
      </c>
      <c r="B390" s="178">
        <v>45957</v>
      </c>
      <c r="C390" s="1" t="s">
        <v>2057</v>
      </c>
      <c r="D390" s="1" t="s">
        <v>2381</v>
      </c>
      <c r="E390" s="1" t="s">
        <v>736</v>
      </c>
      <c r="F390" s="1" t="s">
        <v>3487</v>
      </c>
      <c r="G390" s="1" t="s">
        <v>26</v>
      </c>
      <c r="H390" s="13">
        <v>2879293.46</v>
      </c>
      <c r="I390" s="13">
        <v>0</v>
      </c>
      <c r="J390" s="1" t="s">
        <v>2041</v>
      </c>
      <c r="K390" s="1" t="s">
        <v>2025</v>
      </c>
      <c r="L390" s="1" t="str">
        <f>VLOOKUP(Advices[[#This Row],[LC Number]],'Combine_List'!A:D,2,0)</f>
        <v>Kingspan Insulated Panels Manufacturing LLC</v>
      </c>
      <c r="M390" s="447" t="str">
        <f>VLOOKUP(Advices[[#This Row],[LC Number]],'Combine_List'!A:D,3,0)</f>
        <v>MBL</v>
      </c>
      <c r="N390" s="447" t="str">
        <f>VLOOKUP(Advices[[#This Row],[LC Number]],'Combine_List'!A:D,4,0)</f>
        <v>CEER</v>
      </c>
      <c r="O390" s="447">
        <f>VLOOKUP(Advices[[#This Row],[LC Number]],'Combine_List'!A:E,5,0)</f>
        <v>1020091</v>
      </c>
      <c r="P390" s="447">
        <f>MONTH(Advices[[#This Row],[Transaction Date]])</f>
        <v>10</v>
      </c>
      <c r="Q390" s="447">
        <f>YEAR(Advices[[#This Row],[Transaction Date]])</f>
        <v>2025</v>
      </c>
      <c r="R390" s="1"/>
    </row>
    <row r="391" spans="1:18" hidden="1" x14ac:dyDescent="0.25">
      <c r="A391" s="1" t="s">
        <v>366</v>
      </c>
      <c r="B391" s="178">
        <v>45957</v>
      </c>
      <c r="C391" s="1" t="s">
        <v>2057</v>
      </c>
      <c r="D391" s="1" t="s">
        <v>2382</v>
      </c>
      <c r="E391" s="1" t="s">
        <v>1127</v>
      </c>
      <c r="F391" s="1" t="s">
        <v>3422</v>
      </c>
      <c r="G391" s="1" t="s">
        <v>26</v>
      </c>
      <c r="H391" s="13">
        <v>1179.75</v>
      </c>
      <c r="I391" s="13">
        <v>0</v>
      </c>
      <c r="J391" s="1" t="s">
        <v>2041</v>
      </c>
      <c r="K391" s="1" t="s">
        <v>2025</v>
      </c>
      <c r="L391" s="1" t="str">
        <f>VLOOKUP(Advices[[#This Row],[LC Number]],'Combine_List'!A:D,2,0)</f>
        <v>SCHUCO MIDDLE EAST WINDOWS AND FACADE SYSTEMS LLC</v>
      </c>
      <c r="M391" s="447" t="str">
        <f>VLOOKUP(Advices[[#This Row],[LC Number]],'Combine_List'!A:D,3,0)</f>
        <v>MBL/Premium</v>
      </c>
      <c r="N391" s="447" t="str">
        <f>VLOOKUP(Advices[[#This Row],[LC Number]],'Combine_List'!A:D,4,0)</f>
        <v>CEER</v>
      </c>
      <c r="O391" s="447">
        <f>VLOOKUP(Advices[[#This Row],[LC Number]],'Combine_List'!A:E,5,0)</f>
        <v>1020091</v>
      </c>
      <c r="P391" s="447">
        <f>MONTH(Advices[[#This Row],[Transaction Date]])</f>
        <v>10</v>
      </c>
      <c r="Q391" s="447">
        <f>YEAR(Advices[[#This Row],[Transaction Date]])</f>
        <v>2025</v>
      </c>
      <c r="R391" s="1"/>
    </row>
    <row r="392" spans="1:18" hidden="1" x14ac:dyDescent="0.25">
      <c r="A392" s="1" t="s">
        <v>366</v>
      </c>
      <c r="B392" s="178">
        <v>45957</v>
      </c>
      <c r="C392" s="1" t="s">
        <v>2057</v>
      </c>
      <c r="D392" s="1" t="s">
        <v>2383</v>
      </c>
      <c r="E392" s="1" t="s">
        <v>1857</v>
      </c>
      <c r="F392" s="1" t="s">
        <v>3423</v>
      </c>
      <c r="G392" s="1" t="s">
        <v>26</v>
      </c>
      <c r="H392" s="13">
        <v>2875</v>
      </c>
      <c r="I392" s="13">
        <v>0</v>
      </c>
      <c r="J392" s="1" t="s">
        <v>2041</v>
      </c>
      <c r="K392" s="1" t="s">
        <v>2025</v>
      </c>
      <c r="L392" s="1" t="str">
        <f>VLOOKUP(Advices[[#This Row],[LC Number]],'Combine_List'!A:D,2,0)</f>
        <v>ELECTRIC HOUSE LIMITED COMPANY.</v>
      </c>
      <c r="M392" s="447" t="str">
        <f>VLOOKUP(Advices[[#This Row],[LC Number]],'Combine_List'!A:D,3,0)</f>
        <v>FIRST FIX</v>
      </c>
      <c r="N392" s="447" t="str">
        <f>VLOOKUP(Advices[[#This Row],[LC Number]],'Combine_List'!A:D,4,0)</f>
        <v>CEER</v>
      </c>
      <c r="O392" s="447">
        <f>VLOOKUP(Advices[[#This Row],[LC Number]],'Combine_List'!A:E,5,0)</f>
        <v>1020091</v>
      </c>
      <c r="P392" s="447">
        <f>MONTH(Advices[[#This Row],[Transaction Date]])</f>
        <v>10</v>
      </c>
      <c r="Q392" s="447">
        <f>YEAR(Advices[[#This Row],[Transaction Date]])</f>
        <v>2025</v>
      </c>
      <c r="R392" s="1"/>
    </row>
    <row r="393" spans="1:18" hidden="1" x14ac:dyDescent="0.25">
      <c r="A393" s="1" t="s">
        <v>366</v>
      </c>
      <c r="B393" s="178">
        <v>45957</v>
      </c>
      <c r="C393" s="1" t="s">
        <v>2057</v>
      </c>
      <c r="D393" s="1" t="s">
        <v>2384</v>
      </c>
      <c r="E393" s="1" t="s">
        <v>1127</v>
      </c>
      <c r="F393" s="1" t="s">
        <v>3424</v>
      </c>
      <c r="G393" s="1" t="s">
        <v>26</v>
      </c>
      <c r="H393" s="13">
        <v>1189.82</v>
      </c>
      <c r="I393" s="13">
        <v>0</v>
      </c>
      <c r="J393" s="1" t="s">
        <v>2041</v>
      </c>
      <c r="K393" s="1" t="s">
        <v>2025</v>
      </c>
      <c r="L393" s="1" t="str">
        <f>VLOOKUP(Advices[[#This Row],[LC Number]],'Combine_List'!A:D,2,0)</f>
        <v>SCHUCO MIDDLE EAST WINDOWS AND FACADE SYSTEMS LLC</v>
      </c>
      <c r="M393" s="447" t="str">
        <f>VLOOKUP(Advices[[#This Row],[LC Number]],'Combine_List'!A:D,3,0)</f>
        <v>MBL/Premium</v>
      </c>
      <c r="N393" s="447" t="str">
        <f>VLOOKUP(Advices[[#This Row],[LC Number]],'Combine_List'!A:D,4,0)</f>
        <v>CEER</v>
      </c>
      <c r="O393" s="447">
        <f>VLOOKUP(Advices[[#This Row],[LC Number]],'Combine_List'!A:E,5,0)</f>
        <v>1020091</v>
      </c>
      <c r="P393" s="447">
        <f>MONTH(Advices[[#This Row],[Transaction Date]])</f>
        <v>10</v>
      </c>
      <c r="Q393" s="447">
        <f>YEAR(Advices[[#This Row],[Transaction Date]])</f>
        <v>2025</v>
      </c>
      <c r="R393" s="1"/>
    </row>
    <row r="394" spans="1:18" hidden="1" x14ac:dyDescent="0.25">
      <c r="A394" s="1" t="s">
        <v>366</v>
      </c>
      <c r="B394" s="178">
        <v>45957</v>
      </c>
      <c r="C394" s="1" t="s">
        <v>2057</v>
      </c>
      <c r="D394" s="1" t="s">
        <v>2385</v>
      </c>
      <c r="E394" s="1" t="s">
        <v>1857</v>
      </c>
      <c r="F394" s="1" t="s">
        <v>1857</v>
      </c>
      <c r="G394" s="1" t="s">
        <v>26</v>
      </c>
      <c r="H394" s="13">
        <v>2683.33</v>
      </c>
      <c r="I394" s="13">
        <v>0</v>
      </c>
      <c r="J394" s="1" t="s">
        <v>2041</v>
      </c>
      <c r="K394" s="1" t="s">
        <v>2025</v>
      </c>
      <c r="L394" s="1" t="str">
        <f>VLOOKUP(Advices[[#This Row],[LC Number]],'Combine_List'!A:D,2,0)</f>
        <v>ELECTRIC HOUSE LIMITED COMPANY.</v>
      </c>
      <c r="M394" s="447" t="str">
        <f>VLOOKUP(Advices[[#This Row],[LC Number]],'Combine_List'!A:D,3,0)</f>
        <v>FIRST FIX</v>
      </c>
      <c r="N394" s="447" t="str">
        <f>VLOOKUP(Advices[[#This Row],[LC Number]],'Combine_List'!A:D,4,0)</f>
        <v>CEER</v>
      </c>
      <c r="O394" s="447">
        <f>VLOOKUP(Advices[[#This Row],[LC Number]],'Combine_List'!A:E,5,0)</f>
        <v>1020091</v>
      </c>
      <c r="P394" s="447">
        <f>MONTH(Advices[[#This Row],[Transaction Date]])</f>
        <v>10</v>
      </c>
      <c r="Q394" s="447">
        <f>YEAR(Advices[[#This Row],[Transaction Date]])</f>
        <v>2025</v>
      </c>
      <c r="R394" s="1"/>
    </row>
    <row r="395" spans="1:18" hidden="1" x14ac:dyDescent="0.25">
      <c r="A395" s="1" t="s">
        <v>366</v>
      </c>
      <c r="B395" s="178">
        <v>45957</v>
      </c>
      <c r="C395" s="1" t="s">
        <v>2060</v>
      </c>
      <c r="D395" s="1" t="s">
        <v>2386</v>
      </c>
      <c r="E395" s="1" t="s">
        <v>1597</v>
      </c>
      <c r="F395" s="1" t="s">
        <v>3425</v>
      </c>
      <c r="G395" s="1" t="s">
        <v>26</v>
      </c>
      <c r="H395" s="13">
        <v>2443.75</v>
      </c>
      <c r="I395" s="13">
        <v>0</v>
      </c>
      <c r="J395" s="1" t="s">
        <v>2041</v>
      </c>
      <c r="K395" s="1" t="s">
        <v>2025</v>
      </c>
      <c r="L395" s="1" t="str">
        <f>VLOOKUP(Advices[[#This Row],[LC Number]],'Combine_List'!A:D,2,0)</f>
        <v>JOHNSON CONTROLS ARABIA LTD.</v>
      </c>
      <c r="M395" s="447" t="str">
        <f>VLOOKUP(Advices[[#This Row],[LC Number]],'Combine_List'!A:D,3,0)</f>
        <v>FIRST FIX</v>
      </c>
      <c r="N395" s="447" t="str">
        <f>VLOOKUP(Advices[[#This Row],[LC Number]],'Combine_List'!A:D,4,0)</f>
        <v>MP1</v>
      </c>
      <c r="O395" s="447">
        <f>VLOOKUP(Advices[[#This Row],[LC Number]],'Combine_List'!A:E,5,0)</f>
        <v>1020088</v>
      </c>
      <c r="P395" s="447">
        <f>MONTH(Advices[[#This Row],[Transaction Date]])</f>
        <v>10</v>
      </c>
      <c r="Q395" s="447">
        <f>YEAR(Advices[[#This Row],[Transaction Date]])</f>
        <v>2025</v>
      </c>
      <c r="R395" s="1"/>
    </row>
    <row r="396" spans="1:18" hidden="1" x14ac:dyDescent="0.25">
      <c r="A396" s="1" t="s">
        <v>2089</v>
      </c>
      <c r="B396" s="178">
        <v>45957</v>
      </c>
      <c r="C396" s="1" t="s">
        <v>2093</v>
      </c>
      <c r="D396" s="1" t="s">
        <v>2098</v>
      </c>
      <c r="E396" s="1" t="s">
        <v>1328</v>
      </c>
      <c r="F396" s="1" t="s">
        <v>2387</v>
      </c>
      <c r="G396" s="1" t="s">
        <v>26</v>
      </c>
      <c r="H396" s="13">
        <v>20</v>
      </c>
      <c r="I396" s="13">
        <v>0</v>
      </c>
      <c r="J396" s="1" t="s">
        <v>2041</v>
      </c>
      <c r="K396" s="1" t="s">
        <v>2025</v>
      </c>
      <c r="L396" s="1" t="str">
        <f>VLOOKUP(Advices[[#This Row],[LC Number]],'Combine_List'!A:D,2,0)</f>
        <v>Electric House Trading Company L.L.C.</v>
      </c>
      <c r="M396" s="447" t="str">
        <f>VLOOKUP(Advices[[#This Row],[LC Number]],'Combine_List'!A:D,3,0)</f>
        <v>FIRST FIX</v>
      </c>
      <c r="N396" s="447" t="str">
        <f>VLOOKUP(Advices[[#This Row],[LC Number]],'Combine_List'!A:D,4,0)</f>
        <v>KSP</v>
      </c>
      <c r="O396" s="447">
        <f>VLOOKUP(Advices[[#This Row],[LC Number]],'Combine_List'!A:E,5,0)</f>
        <v>1020055</v>
      </c>
      <c r="P396" s="447">
        <f>MONTH(Advices[[#This Row],[Transaction Date]])</f>
        <v>10</v>
      </c>
      <c r="Q396" s="447">
        <f>YEAR(Advices[[#This Row],[Transaction Date]])</f>
        <v>2025</v>
      </c>
      <c r="R396" s="1"/>
    </row>
    <row r="397" spans="1:18" hidden="1" x14ac:dyDescent="0.25">
      <c r="A397" s="1" t="s">
        <v>2089</v>
      </c>
      <c r="B397" s="178">
        <v>45957</v>
      </c>
      <c r="C397" s="1" t="s">
        <v>2093</v>
      </c>
      <c r="D397" s="1" t="s">
        <v>1174</v>
      </c>
      <c r="E397" s="1" t="s">
        <v>1328</v>
      </c>
      <c r="F397" s="1" t="s">
        <v>2387</v>
      </c>
      <c r="G397" s="1" t="s">
        <v>26</v>
      </c>
      <c r="H397" s="13">
        <v>22.5</v>
      </c>
      <c r="I397" s="13">
        <v>0</v>
      </c>
      <c r="J397" s="1" t="s">
        <v>2041</v>
      </c>
      <c r="K397" s="1" t="s">
        <v>2025</v>
      </c>
      <c r="L397" s="1" t="str">
        <f>VLOOKUP(Advices[[#This Row],[LC Number]],'Combine_List'!A:D,2,0)</f>
        <v>Electric House Trading Company L.L.C.</v>
      </c>
      <c r="M397" s="447" t="str">
        <f>VLOOKUP(Advices[[#This Row],[LC Number]],'Combine_List'!A:D,3,0)</f>
        <v>FIRST FIX</v>
      </c>
      <c r="N397" s="447" t="str">
        <f>VLOOKUP(Advices[[#This Row],[LC Number]],'Combine_List'!A:D,4,0)</f>
        <v>KSP</v>
      </c>
      <c r="O397" s="447">
        <f>VLOOKUP(Advices[[#This Row],[LC Number]],'Combine_List'!A:E,5,0)</f>
        <v>1020055</v>
      </c>
      <c r="P397" s="447">
        <f>MONTH(Advices[[#This Row],[Transaction Date]])</f>
        <v>10</v>
      </c>
      <c r="Q397" s="447">
        <f>YEAR(Advices[[#This Row],[Transaction Date]])</f>
        <v>2025</v>
      </c>
      <c r="R397" s="1"/>
    </row>
    <row r="398" spans="1:18" hidden="1" x14ac:dyDescent="0.25">
      <c r="A398" s="1" t="s">
        <v>2089</v>
      </c>
      <c r="B398" s="178">
        <v>45957</v>
      </c>
      <c r="C398" s="1" t="s">
        <v>2093</v>
      </c>
      <c r="D398" s="1" t="s">
        <v>2095</v>
      </c>
      <c r="E398" s="1" t="s">
        <v>1328</v>
      </c>
      <c r="F398" s="1" t="s">
        <v>2387</v>
      </c>
      <c r="G398" s="1" t="s">
        <v>26</v>
      </c>
      <c r="H398" s="13">
        <v>150</v>
      </c>
      <c r="I398" s="13">
        <v>0</v>
      </c>
      <c r="J398" s="1" t="s">
        <v>2041</v>
      </c>
      <c r="K398" s="1" t="s">
        <v>2025</v>
      </c>
      <c r="L398" s="1" t="str">
        <f>VLOOKUP(Advices[[#This Row],[LC Number]],'Combine_List'!A:D,2,0)</f>
        <v>Electric House Trading Company L.L.C.</v>
      </c>
      <c r="M398" s="447" t="str">
        <f>VLOOKUP(Advices[[#This Row],[LC Number]],'Combine_List'!A:D,3,0)</f>
        <v>FIRST FIX</v>
      </c>
      <c r="N398" s="447" t="str">
        <f>VLOOKUP(Advices[[#This Row],[LC Number]],'Combine_List'!A:D,4,0)</f>
        <v>KSP</v>
      </c>
      <c r="O398" s="447">
        <f>VLOOKUP(Advices[[#This Row],[LC Number]],'Combine_List'!A:E,5,0)</f>
        <v>1020055</v>
      </c>
      <c r="P398" s="447">
        <f>MONTH(Advices[[#This Row],[Transaction Date]])</f>
        <v>10</v>
      </c>
      <c r="Q398" s="447">
        <f>YEAR(Advices[[#This Row],[Transaction Date]])</f>
        <v>2025</v>
      </c>
      <c r="R398" s="1"/>
    </row>
    <row r="399" spans="1:18" hidden="1" x14ac:dyDescent="0.25">
      <c r="A399" s="1" t="s">
        <v>2089</v>
      </c>
      <c r="B399" s="178">
        <v>45957</v>
      </c>
      <c r="C399" s="1" t="s">
        <v>2093</v>
      </c>
      <c r="D399" s="1" t="s">
        <v>1174</v>
      </c>
      <c r="E399" s="1" t="s">
        <v>1328</v>
      </c>
      <c r="F399" s="1" t="s">
        <v>2387</v>
      </c>
      <c r="G399" s="1" t="s">
        <v>26</v>
      </c>
      <c r="H399" s="13">
        <v>619.77</v>
      </c>
      <c r="I399" s="13">
        <v>0</v>
      </c>
      <c r="J399" s="1" t="s">
        <v>2041</v>
      </c>
      <c r="K399" s="1" t="s">
        <v>2025</v>
      </c>
      <c r="L399" s="1" t="str">
        <f>VLOOKUP(Advices[[#This Row],[LC Number]],'Combine_List'!A:D,2,0)</f>
        <v>Electric House Trading Company L.L.C.</v>
      </c>
      <c r="M399" s="447" t="str">
        <f>VLOOKUP(Advices[[#This Row],[LC Number]],'Combine_List'!A:D,3,0)</f>
        <v>FIRST FIX</v>
      </c>
      <c r="N399" s="447" t="str">
        <f>VLOOKUP(Advices[[#This Row],[LC Number]],'Combine_List'!A:D,4,0)</f>
        <v>KSP</v>
      </c>
      <c r="O399" s="447">
        <f>VLOOKUP(Advices[[#This Row],[LC Number]],'Combine_List'!A:E,5,0)</f>
        <v>1020055</v>
      </c>
      <c r="P399" s="447">
        <f>MONTH(Advices[[#This Row],[Transaction Date]])</f>
        <v>10</v>
      </c>
      <c r="Q399" s="447">
        <f>YEAR(Advices[[#This Row],[Transaction Date]])</f>
        <v>2025</v>
      </c>
      <c r="R399" s="1"/>
    </row>
    <row r="400" spans="1:18" hidden="1" x14ac:dyDescent="0.25">
      <c r="A400" s="1" t="s">
        <v>2089</v>
      </c>
      <c r="B400" s="178">
        <v>45957</v>
      </c>
      <c r="C400" s="1" t="s">
        <v>2093</v>
      </c>
      <c r="D400" s="1" t="s">
        <v>2096</v>
      </c>
      <c r="E400" s="1" t="s">
        <v>1328</v>
      </c>
      <c r="F400" s="1" t="s">
        <v>2387</v>
      </c>
      <c r="G400" s="1" t="s">
        <v>26</v>
      </c>
      <c r="H400" s="13">
        <v>4131.83</v>
      </c>
      <c r="I400" s="13">
        <v>0</v>
      </c>
      <c r="J400" s="1" t="s">
        <v>2041</v>
      </c>
      <c r="K400" s="1" t="s">
        <v>2025</v>
      </c>
      <c r="L400" s="1" t="str">
        <f>VLOOKUP(Advices[[#This Row],[LC Number]],'Combine_List'!A:D,2,0)</f>
        <v>Electric House Trading Company L.L.C.</v>
      </c>
      <c r="M400" s="447" t="str">
        <f>VLOOKUP(Advices[[#This Row],[LC Number]],'Combine_List'!A:D,3,0)</f>
        <v>FIRST FIX</v>
      </c>
      <c r="N400" s="447" t="str">
        <f>VLOOKUP(Advices[[#This Row],[LC Number]],'Combine_List'!A:D,4,0)</f>
        <v>KSP</v>
      </c>
      <c r="O400" s="447">
        <f>VLOOKUP(Advices[[#This Row],[LC Number]],'Combine_List'!A:E,5,0)</f>
        <v>1020055</v>
      </c>
      <c r="P400" s="447">
        <f>MONTH(Advices[[#This Row],[Transaction Date]])</f>
        <v>10</v>
      </c>
      <c r="Q400" s="447">
        <f>YEAR(Advices[[#This Row],[Transaction Date]])</f>
        <v>2025</v>
      </c>
      <c r="R400" s="1"/>
    </row>
    <row r="401" spans="1:18" hidden="1" x14ac:dyDescent="0.25">
      <c r="A401" s="1" t="s">
        <v>2089</v>
      </c>
      <c r="B401" s="178">
        <v>45957</v>
      </c>
      <c r="C401" s="1" t="s">
        <v>2093</v>
      </c>
      <c r="D401" s="1" t="s">
        <v>1174</v>
      </c>
      <c r="E401" s="1" t="s">
        <v>1328</v>
      </c>
      <c r="F401" s="1" t="s">
        <v>2387</v>
      </c>
      <c r="G401" s="1" t="s">
        <v>26</v>
      </c>
      <c r="H401" s="13">
        <v>3</v>
      </c>
      <c r="I401" s="13">
        <v>0</v>
      </c>
      <c r="J401" s="1" t="s">
        <v>2041</v>
      </c>
      <c r="K401" s="1" t="s">
        <v>2025</v>
      </c>
      <c r="L401" s="1" t="str">
        <f>VLOOKUP(Advices[[#This Row],[LC Number]],'Combine_List'!A:D,2,0)</f>
        <v>Electric House Trading Company L.L.C.</v>
      </c>
      <c r="M401" s="447" t="str">
        <f>VLOOKUP(Advices[[#This Row],[LC Number]],'Combine_List'!A:D,3,0)</f>
        <v>FIRST FIX</v>
      </c>
      <c r="N401" s="447" t="str">
        <f>VLOOKUP(Advices[[#This Row],[LC Number]],'Combine_List'!A:D,4,0)</f>
        <v>KSP</v>
      </c>
      <c r="O401" s="447">
        <f>VLOOKUP(Advices[[#This Row],[LC Number]],'Combine_List'!A:E,5,0)</f>
        <v>1020055</v>
      </c>
      <c r="P401" s="447">
        <f>MONTH(Advices[[#This Row],[Transaction Date]])</f>
        <v>10</v>
      </c>
      <c r="Q401" s="447">
        <f>YEAR(Advices[[#This Row],[Transaction Date]])</f>
        <v>2025</v>
      </c>
      <c r="R401" s="1"/>
    </row>
    <row r="402" spans="1:18" x14ac:dyDescent="0.25">
      <c r="A402" s="1" t="s">
        <v>21</v>
      </c>
      <c r="B402" s="178">
        <v>45958</v>
      </c>
      <c r="C402" s="1" t="s">
        <v>1951</v>
      </c>
      <c r="D402" s="1" t="s">
        <v>2388</v>
      </c>
      <c r="E402" s="1" t="s">
        <v>1368</v>
      </c>
      <c r="F402" s="1" t="s">
        <v>1368</v>
      </c>
      <c r="G402" s="1" t="s">
        <v>26</v>
      </c>
      <c r="H402" s="13">
        <v>37.5</v>
      </c>
      <c r="I402" s="13">
        <v>0</v>
      </c>
      <c r="J402" s="1" t="s">
        <v>1174</v>
      </c>
      <c r="K402" s="1" t="s">
        <v>2025</v>
      </c>
      <c r="L402" s="1" t="str">
        <f>VLOOKUP(Advices[[#This Row],[LC Number]],'Combine_List'!A:D,2,0)</f>
        <v>LSI PROJECTS LIMITED</v>
      </c>
      <c r="M402" s="447" t="str">
        <f>VLOOKUP(Advices[[#This Row],[LC Number]],'Combine_List'!A:D,3,0)</f>
        <v>MBL/ICAD</v>
      </c>
      <c r="N402" s="447" t="str">
        <f>VLOOKUP(Advices[[#This Row],[LC Number]],'Combine_List'!A:D,4,0)</f>
        <v>KSP</v>
      </c>
      <c r="O402" s="447">
        <f>VLOOKUP(Advices[[#This Row],[LC Number]],'Combine_List'!A:E,5,0)</f>
        <v>1020055</v>
      </c>
      <c r="P402" s="447">
        <f>MONTH(Advices[[#This Row],[Transaction Date]])</f>
        <v>10</v>
      </c>
      <c r="Q402" s="447">
        <f>YEAR(Advices[[#This Row],[Transaction Date]])</f>
        <v>2025</v>
      </c>
      <c r="R402" s="1"/>
    </row>
    <row r="403" spans="1:18" x14ac:dyDescent="0.25">
      <c r="A403" s="1" t="s">
        <v>21</v>
      </c>
      <c r="B403" s="178">
        <v>45958</v>
      </c>
      <c r="C403" s="1" t="s">
        <v>1951</v>
      </c>
      <c r="D403" s="1" t="s">
        <v>2389</v>
      </c>
      <c r="E403" s="1" t="s">
        <v>1368</v>
      </c>
      <c r="F403" s="1" t="s">
        <v>1368</v>
      </c>
      <c r="G403" s="1" t="s">
        <v>26</v>
      </c>
      <c r="H403" s="13">
        <v>250</v>
      </c>
      <c r="I403" s="13">
        <v>0</v>
      </c>
      <c r="J403" s="1" t="s">
        <v>1963</v>
      </c>
      <c r="K403" s="1" t="s">
        <v>2025</v>
      </c>
      <c r="L403" s="1" t="str">
        <f>VLOOKUP(Advices[[#This Row],[LC Number]],'Combine_List'!A:D,2,0)</f>
        <v>LSI PROJECTS LIMITED</v>
      </c>
      <c r="M403" s="447" t="str">
        <f>VLOOKUP(Advices[[#This Row],[LC Number]],'Combine_List'!A:D,3,0)</f>
        <v>MBL/ICAD</v>
      </c>
      <c r="N403" s="447" t="str">
        <f>VLOOKUP(Advices[[#This Row],[LC Number]],'Combine_List'!A:D,4,0)</f>
        <v>KSP</v>
      </c>
      <c r="O403" s="447">
        <f>VLOOKUP(Advices[[#This Row],[LC Number]],'Combine_List'!A:E,5,0)</f>
        <v>1020055</v>
      </c>
      <c r="P403" s="447">
        <f>MONTH(Advices[[#This Row],[Transaction Date]])</f>
        <v>10</v>
      </c>
      <c r="Q403" s="447">
        <f>YEAR(Advices[[#This Row],[Transaction Date]])</f>
        <v>2025</v>
      </c>
      <c r="R403" s="1"/>
    </row>
    <row r="404" spans="1:18" x14ac:dyDescent="0.25">
      <c r="A404" s="1" t="s">
        <v>21</v>
      </c>
      <c r="B404" s="178">
        <v>45958</v>
      </c>
      <c r="C404" s="1" t="s">
        <v>1951</v>
      </c>
      <c r="D404" s="1" t="s">
        <v>2388</v>
      </c>
      <c r="E404" s="1" t="s">
        <v>1368</v>
      </c>
      <c r="F404" s="1" t="s">
        <v>1368</v>
      </c>
      <c r="G404" s="1" t="s">
        <v>26</v>
      </c>
      <c r="H404" s="13">
        <v>1690.27</v>
      </c>
      <c r="I404" s="13">
        <v>0</v>
      </c>
      <c r="J404" s="1" t="s">
        <v>1174</v>
      </c>
      <c r="K404" s="1" t="s">
        <v>2025</v>
      </c>
      <c r="L404" s="1" t="str">
        <f>VLOOKUP(Advices[[#This Row],[LC Number]],'Combine_List'!A:D,2,0)</f>
        <v>LSI PROJECTS LIMITED</v>
      </c>
      <c r="M404" s="447" t="str">
        <f>VLOOKUP(Advices[[#This Row],[LC Number]],'Combine_List'!A:D,3,0)</f>
        <v>MBL/ICAD</v>
      </c>
      <c r="N404" s="447" t="str">
        <f>VLOOKUP(Advices[[#This Row],[LC Number]],'Combine_List'!A:D,4,0)</f>
        <v>KSP</v>
      </c>
      <c r="O404" s="447">
        <f>VLOOKUP(Advices[[#This Row],[LC Number]],'Combine_List'!A:E,5,0)</f>
        <v>1020055</v>
      </c>
      <c r="P404" s="447">
        <f>MONTH(Advices[[#This Row],[Transaction Date]])</f>
        <v>10</v>
      </c>
      <c r="Q404" s="447">
        <f>YEAR(Advices[[#This Row],[Transaction Date]])</f>
        <v>2025</v>
      </c>
      <c r="R404" s="1"/>
    </row>
    <row r="405" spans="1:18" x14ac:dyDescent="0.25">
      <c r="A405" s="1" t="s">
        <v>21</v>
      </c>
      <c r="B405" s="178">
        <v>45958</v>
      </c>
      <c r="C405" s="1" t="s">
        <v>1951</v>
      </c>
      <c r="D405" s="1" t="s">
        <v>2390</v>
      </c>
      <c r="E405" s="1" t="s">
        <v>1368</v>
      </c>
      <c r="F405" s="1" t="s">
        <v>1368</v>
      </c>
      <c r="G405" s="1" t="s">
        <v>26</v>
      </c>
      <c r="H405" s="13">
        <v>11268.44</v>
      </c>
      <c r="I405" s="13">
        <v>0</v>
      </c>
      <c r="J405" s="1" t="s">
        <v>1124</v>
      </c>
      <c r="K405" s="1" t="s">
        <v>2025</v>
      </c>
      <c r="L405" s="1" t="str">
        <f>VLOOKUP(Advices[[#This Row],[LC Number]],'Combine_List'!A:D,2,0)</f>
        <v>LSI PROJECTS LIMITED</v>
      </c>
      <c r="M405" s="447" t="str">
        <f>VLOOKUP(Advices[[#This Row],[LC Number]],'Combine_List'!A:D,3,0)</f>
        <v>MBL/ICAD</v>
      </c>
      <c r="N405" s="447" t="str">
        <f>VLOOKUP(Advices[[#This Row],[LC Number]],'Combine_List'!A:D,4,0)</f>
        <v>KSP</v>
      </c>
      <c r="O405" s="447">
        <f>VLOOKUP(Advices[[#This Row],[LC Number]],'Combine_List'!A:E,5,0)</f>
        <v>1020055</v>
      </c>
      <c r="P405" s="447">
        <f>MONTH(Advices[[#This Row],[Transaction Date]])</f>
        <v>10</v>
      </c>
      <c r="Q405" s="447">
        <f>YEAR(Advices[[#This Row],[Transaction Date]])</f>
        <v>2025</v>
      </c>
      <c r="R405" s="1"/>
    </row>
    <row r="406" spans="1:18" hidden="1" x14ac:dyDescent="0.25">
      <c r="A406" s="1" t="s">
        <v>366</v>
      </c>
      <c r="B406" s="178">
        <v>45958</v>
      </c>
      <c r="C406" s="1" t="s">
        <v>2057</v>
      </c>
      <c r="D406" s="1" t="s">
        <v>2391</v>
      </c>
      <c r="E406" s="1" t="s">
        <v>1127</v>
      </c>
      <c r="F406" s="1" t="s">
        <v>3424</v>
      </c>
      <c r="G406" s="1" t="s">
        <v>26</v>
      </c>
      <c r="H406" s="13">
        <v>551955.24</v>
      </c>
      <c r="I406" s="13">
        <v>0</v>
      </c>
      <c r="J406" s="1" t="s">
        <v>2041</v>
      </c>
      <c r="K406" s="1" t="s">
        <v>2025</v>
      </c>
      <c r="L406" s="1" t="str">
        <f>VLOOKUP(Advices[[#This Row],[LC Number]],'Combine_List'!A:D,2,0)</f>
        <v>SCHUCO MIDDLE EAST WINDOWS AND FACADE SYSTEMS LLC</v>
      </c>
      <c r="M406" s="447" t="str">
        <f>VLOOKUP(Advices[[#This Row],[LC Number]],'Combine_List'!A:D,3,0)</f>
        <v>MBL/Premium</v>
      </c>
      <c r="N406" s="447" t="str">
        <f>VLOOKUP(Advices[[#This Row],[LC Number]],'Combine_List'!A:D,4,0)</f>
        <v>CEER</v>
      </c>
      <c r="O406" s="447">
        <f>VLOOKUP(Advices[[#This Row],[LC Number]],'Combine_List'!A:E,5,0)</f>
        <v>1020091</v>
      </c>
      <c r="P406" s="447">
        <f>MONTH(Advices[[#This Row],[Transaction Date]])</f>
        <v>10</v>
      </c>
      <c r="Q406" s="447">
        <f>YEAR(Advices[[#This Row],[Transaction Date]])</f>
        <v>2025</v>
      </c>
      <c r="R406" s="1"/>
    </row>
    <row r="407" spans="1:18" hidden="1" x14ac:dyDescent="0.25">
      <c r="A407" s="1" t="s">
        <v>366</v>
      </c>
      <c r="B407" s="178">
        <v>45958</v>
      </c>
      <c r="C407" s="1" t="s">
        <v>2057</v>
      </c>
      <c r="D407" s="1" t="s">
        <v>2392</v>
      </c>
      <c r="E407" s="1" t="s">
        <v>1530</v>
      </c>
      <c r="F407" s="1" t="s">
        <v>3426</v>
      </c>
      <c r="G407" s="1" t="s">
        <v>26</v>
      </c>
      <c r="H407" s="13">
        <v>2807.55</v>
      </c>
      <c r="I407" s="13">
        <v>0</v>
      </c>
      <c r="J407" s="1" t="s">
        <v>2041</v>
      </c>
      <c r="K407" s="1" t="s">
        <v>2025</v>
      </c>
      <c r="L407" s="1" t="str">
        <f>VLOOKUP(Advices[[#This Row],[LC Number]],'Combine_List'!A:D,2,0)</f>
        <v>Aluminium Products company (ALUPCO)</v>
      </c>
      <c r="M407" s="447" t="str">
        <f>VLOOKUP(Advices[[#This Row],[LC Number]],'Combine_List'!A:D,3,0)</f>
        <v>MBL/Premium</v>
      </c>
      <c r="N407" s="447" t="str">
        <f>VLOOKUP(Advices[[#This Row],[LC Number]],'Combine_List'!A:D,4,0)</f>
        <v>CEER</v>
      </c>
      <c r="O407" s="447">
        <f>VLOOKUP(Advices[[#This Row],[LC Number]],'Combine_List'!A:E,5,0)</f>
        <v>1020091</v>
      </c>
      <c r="P407" s="447">
        <f>MONTH(Advices[[#This Row],[Transaction Date]])</f>
        <v>10</v>
      </c>
      <c r="Q407" s="447">
        <f>YEAR(Advices[[#This Row],[Transaction Date]])</f>
        <v>2025</v>
      </c>
      <c r="R407" s="1"/>
    </row>
    <row r="408" spans="1:18" hidden="1" x14ac:dyDescent="0.25">
      <c r="A408" s="1" t="s">
        <v>366</v>
      </c>
      <c r="B408" s="178">
        <v>45958</v>
      </c>
      <c r="C408" s="1" t="s">
        <v>2060</v>
      </c>
      <c r="D408" s="1" t="s">
        <v>2393</v>
      </c>
      <c r="E408" s="1" t="s">
        <v>1608</v>
      </c>
      <c r="F408" s="1" t="s">
        <v>3427</v>
      </c>
      <c r="G408" s="1" t="s">
        <v>26</v>
      </c>
      <c r="H408" s="13">
        <v>1725</v>
      </c>
      <c r="I408" s="13">
        <v>0</v>
      </c>
      <c r="J408" s="1" t="s">
        <v>2041</v>
      </c>
      <c r="K408" s="1" t="s">
        <v>2025</v>
      </c>
      <c r="L408" s="1" t="str">
        <f>VLOOKUP(Advices[[#This Row],[LC Number]],'Combine_List'!A:D,2,0)</f>
        <v>Al Wasail Industrial Co.</v>
      </c>
      <c r="M408" s="447" t="str">
        <f>VLOOKUP(Advices[[#This Row],[LC Number]],'Combine_List'!A:D,3,0)</f>
        <v>FIRST FIX</v>
      </c>
      <c r="N408" s="447" t="str">
        <f>VLOOKUP(Advices[[#This Row],[LC Number]],'Combine_List'!A:D,4,0)</f>
        <v>MP1</v>
      </c>
      <c r="O408" s="447">
        <f>VLOOKUP(Advices[[#This Row],[LC Number]],'Combine_List'!A:E,5,0)</f>
        <v>1020088</v>
      </c>
      <c r="P408" s="447">
        <f>MONTH(Advices[[#This Row],[Transaction Date]])</f>
        <v>10</v>
      </c>
      <c r="Q408" s="447">
        <f>YEAR(Advices[[#This Row],[Transaction Date]])</f>
        <v>2025</v>
      </c>
      <c r="R408" s="1"/>
    </row>
    <row r="409" spans="1:18" x14ac:dyDescent="0.25">
      <c r="A409" s="1" t="s">
        <v>21</v>
      </c>
      <c r="B409" s="178">
        <v>45959</v>
      </c>
      <c r="C409" s="1" t="s">
        <v>1951</v>
      </c>
      <c r="D409" s="1" t="s">
        <v>1960</v>
      </c>
      <c r="E409" s="1" t="s">
        <v>1767</v>
      </c>
      <c r="F409" s="1" t="s">
        <v>2399</v>
      </c>
      <c r="G409" s="1" t="s">
        <v>26</v>
      </c>
      <c r="H409" s="13">
        <v>11.25</v>
      </c>
      <c r="I409" s="13">
        <v>0</v>
      </c>
      <c r="J409" s="1" t="s">
        <v>1174</v>
      </c>
      <c r="K409" s="1" t="s">
        <v>2025</v>
      </c>
      <c r="L409" s="1" t="str">
        <f>VLOOKUP(Advices[[#This Row],[LC Number]],'Combine_List'!A:D,2,0)</f>
        <v>Al Arabia Construction &amp; Building Co.</v>
      </c>
      <c r="M409" s="447" t="str">
        <f>VLOOKUP(Advices[[#This Row],[LC Number]],'Combine_List'!A:D,3,0)</f>
        <v>MBL</v>
      </c>
      <c r="N409" s="447" t="str">
        <f>VLOOKUP(Advices[[#This Row],[LC Number]],'Combine_List'!A:D,4,0)</f>
        <v>Rabigh Power Plant</v>
      </c>
      <c r="O409" s="447">
        <f>VLOOKUP(Advices[[#This Row],[LC Number]],'Combine_List'!A:E,5,0)</f>
        <v>1020107</v>
      </c>
      <c r="P409" s="447">
        <f>MONTH(Advices[[#This Row],[Transaction Date]])</f>
        <v>10</v>
      </c>
      <c r="Q409" s="447">
        <f>YEAR(Advices[[#This Row],[Transaction Date]])</f>
        <v>2025</v>
      </c>
      <c r="R409" s="1"/>
    </row>
    <row r="410" spans="1:18" x14ac:dyDescent="0.25">
      <c r="A410" s="1" t="s">
        <v>21</v>
      </c>
      <c r="B410" s="178">
        <v>45959</v>
      </c>
      <c r="C410" s="1" t="s">
        <v>1951</v>
      </c>
      <c r="D410" s="1" t="s">
        <v>2400</v>
      </c>
      <c r="E410" s="1" t="s">
        <v>1767</v>
      </c>
      <c r="F410" s="1" t="s">
        <v>2399</v>
      </c>
      <c r="G410" s="1" t="s">
        <v>26</v>
      </c>
      <c r="H410" s="13">
        <v>75</v>
      </c>
      <c r="I410" s="13">
        <v>0</v>
      </c>
      <c r="J410" s="1" t="s">
        <v>1963</v>
      </c>
      <c r="K410" s="1" t="s">
        <v>2025</v>
      </c>
      <c r="L410" s="1" t="str">
        <f>VLOOKUP(Advices[[#This Row],[LC Number]],'Combine_List'!A:D,2,0)</f>
        <v>Al Arabia Construction &amp; Building Co.</v>
      </c>
      <c r="M410" s="447" t="str">
        <f>VLOOKUP(Advices[[#This Row],[LC Number]],'Combine_List'!A:D,3,0)</f>
        <v>MBL</v>
      </c>
      <c r="N410" s="447" t="str">
        <f>VLOOKUP(Advices[[#This Row],[LC Number]],'Combine_List'!A:D,4,0)</f>
        <v>Rabigh Power Plant</v>
      </c>
      <c r="O410" s="447">
        <f>VLOOKUP(Advices[[#This Row],[LC Number]],'Combine_List'!A:E,5,0)</f>
        <v>1020107</v>
      </c>
      <c r="P410" s="447">
        <f>MONTH(Advices[[#This Row],[Transaction Date]])</f>
        <v>10</v>
      </c>
      <c r="Q410" s="447">
        <f>YEAR(Advices[[#This Row],[Transaction Date]])</f>
        <v>2025</v>
      </c>
      <c r="R410" s="1"/>
    </row>
    <row r="411" spans="1:18" x14ac:dyDescent="0.25">
      <c r="A411" s="1" t="s">
        <v>21</v>
      </c>
      <c r="B411" s="178">
        <v>45959</v>
      </c>
      <c r="C411" s="1" t="s">
        <v>1951</v>
      </c>
      <c r="D411" s="1" t="s">
        <v>2401</v>
      </c>
      <c r="E411" s="1" t="s">
        <v>1767</v>
      </c>
      <c r="F411" s="1" t="s">
        <v>2399</v>
      </c>
      <c r="G411" s="1" t="s">
        <v>26</v>
      </c>
      <c r="H411" s="13">
        <v>183895.49</v>
      </c>
      <c r="I411" s="13">
        <v>0</v>
      </c>
      <c r="J411" s="1" t="s">
        <v>1126</v>
      </c>
      <c r="K411" s="1" t="s">
        <v>2025</v>
      </c>
      <c r="L411" s="1" t="str">
        <f>VLOOKUP(Advices[[#This Row],[LC Number]],'Combine_List'!A:D,2,0)</f>
        <v>Al Arabia Construction &amp; Building Co.</v>
      </c>
      <c r="M411" s="447" t="str">
        <f>VLOOKUP(Advices[[#This Row],[LC Number]],'Combine_List'!A:D,3,0)</f>
        <v>MBL</v>
      </c>
      <c r="N411" s="447" t="str">
        <f>VLOOKUP(Advices[[#This Row],[LC Number]],'Combine_List'!A:D,4,0)</f>
        <v>Rabigh Power Plant</v>
      </c>
      <c r="O411" s="447">
        <f>VLOOKUP(Advices[[#This Row],[LC Number]],'Combine_List'!A:E,5,0)</f>
        <v>1020107</v>
      </c>
      <c r="P411" s="447">
        <f>MONTH(Advices[[#This Row],[Transaction Date]])</f>
        <v>10</v>
      </c>
      <c r="Q411" s="447">
        <f>YEAR(Advices[[#This Row],[Transaction Date]])</f>
        <v>2025</v>
      </c>
      <c r="R411" s="1"/>
    </row>
    <row r="412" spans="1:18" hidden="1" x14ac:dyDescent="0.25">
      <c r="A412" s="1" t="s">
        <v>95</v>
      </c>
      <c r="B412" s="178">
        <v>45959</v>
      </c>
      <c r="C412" s="1" t="s">
        <v>2026</v>
      </c>
      <c r="D412" s="1" t="s">
        <v>2402</v>
      </c>
      <c r="E412" s="1" t="s">
        <v>1426</v>
      </c>
      <c r="F412" s="1" t="s">
        <v>2034</v>
      </c>
      <c r="G412" s="1" t="s">
        <v>26</v>
      </c>
      <c r="H412" s="13">
        <v>1000000</v>
      </c>
      <c r="I412" s="13">
        <v>0</v>
      </c>
      <c r="J412" s="1" t="s">
        <v>1126</v>
      </c>
      <c r="K412" s="1" t="s">
        <v>2025</v>
      </c>
      <c r="L412" s="1" t="str">
        <f>VLOOKUP(Advices[[#This Row],[LC Number]],'Combine_List'!A:D,2,0)</f>
        <v>ARABIAN INTERNATIONAL COMPANY FOR CONTRACTING</v>
      </c>
      <c r="M412" s="447" t="str">
        <f>VLOOKUP(Advices[[#This Row],[LC Number]],'Combine_List'!A:D,3,0)</f>
        <v>FIRST FIX</v>
      </c>
      <c r="N412" s="447" t="str">
        <f>VLOOKUP(Advices[[#This Row],[LC Number]],'Combine_List'!A:D,4,0)</f>
        <v>KSP</v>
      </c>
      <c r="O412" s="447">
        <f>VLOOKUP(Advices[[#This Row],[LC Number]],'Combine_List'!A:E,5,0)</f>
        <v>1020055</v>
      </c>
      <c r="P412" s="447">
        <f>MONTH(Advices[[#This Row],[Transaction Date]])</f>
        <v>10</v>
      </c>
      <c r="Q412" s="447">
        <f>YEAR(Advices[[#This Row],[Transaction Date]])</f>
        <v>2025</v>
      </c>
      <c r="R412" s="1"/>
    </row>
    <row r="413" spans="1:18" hidden="1" x14ac:dyDescent="0.25">
      <c r="A413" s="1" t="s">
        <v>95</v>
      </c>
      <c r="B413" s="178">
        <v>45959</v>
      </c>
      <c r="C413" s="1" t="s">
        <v>2026</v>
      </c>
      <c r="D413" s="1" t="s">
        <v>2031</v>
      </c>
      <c r="E413" s="1" t="s">
        <v>1424</v>
      </c>
      <c r="F413" s="1" t="s">
        <v>2032</v>
      </c>
      <c r="G413" s="1" t="s">
        <v>26</v>
      </c>
      <c r="H413" s="13">
        <v>734118.99</v>
      </c>
      <c r="I413" s="13">
        <v>0</v>
      </c>
      <c r="J413" s="1" t="s">
        <v>1126</v>
      </c>
      <c r="K413" s="1" t="s">
        <v>2025</v>
      </c>
      <c r="L413" s="1" t="str">
        <f>VLOOKUP(Advices[[#This Row],[LC Number]],'Combine_List'!A:D,2,0)</f>
        <v>AL-SAYED CENTER A/C FOR MATERIALS COMPANY</v>
      </c>
      <c r="M413" s="447" t="str">
        <f>VLOOKUP(Advices[[#This Row],[LC Number]],'Combine_List'!A:D,3,0)</f>
        <v>FIRST FIX</v>
      </c>
      <c r="N413" s="447" t="str">
        <f>VLOOKUP(Advices[[#This Row],[LC Number]],'Combine_List'!A:D,4,0)</f>
        <v>KSP</v>
      </c>
      <c r="O413" s="447">
        <f>VLOOKUP(Advices[[#This Row],[LC Number]],'Combine_List'!A:E,5,0)</f>
        <v>1020055</v>
      </c>
      <c r="P413" s="447">
        <f>MONTH(Advices[[#This Row],[Transaction Date]])</f>
        <v>10</v>
      </c>
      <c r="Q413" s="447">
        <f>YEAR(Advices[[#This Row],[Transaction Date]])</f>
        <v>2025</v>
      </c>
      <c r="R413" s="1"/>
    </row>
    <row r="414" spans="1:18" hidden="1" x14ac:dyDescent="0.25">
      <c r="A414" s="1" t="s">
        <v>366</v>
      </c>
      <c r="B414" s="178">
        <v>45959</v>
      </c>
      <c r="C414" s="1" t="s">
        <v>2057</v>
      </c>
      <c r="D414" s="1" t="s">
        <v>2403</v>
      </c>
      <c r="E414" s="1" t="s">
        <v>689</v>
      </c>
      <c r="F414" s="1" t="s">
        <v>3417</v>
      </c>
      <c r="G414" s="1" t="s">
        <v>26</v>
      </c>
      <c r="H414" s="13">
        <v>1367465.33</v>
      </c>
      <c r="I414" s="13">
        <v>0</v>
      </c>
      <c r="J414" s="1" t="s">
        <v>2041</v>
      </c>
      <c r="K414" s="1" t="s">
        <v>2025</v>
      </c>
      <c r="L414" s="1" t="str">
        <f>VLOOKUP(Advices[[#This Row],[LC Number]],'Combine_List'!A:D,2,0)</f>
        <v>Arnon Plastic Industries Co Ltd</v>
      </c>
      <c r="M414" s="447" t="str">
        <f>VLOOKUP(Advices[[#This Row],[LC Number]],'Combine_List'!A:D,3,0)</f>
        <v>MBL</v>
      </c>
      <c r="N414" s="447" t="str">
        <f>VLOOKUP(Advices[[#This Row],[LC Number]],'Combine_List'!A:D,4,0)</f>
        <v>CEER</v>
      </c>
      <c r="O414" s="447">
        <f>VLOOKUP(Advices[[#This Row],[LC Number]],'Combine_List'!A:E,5,0)</f>
        <v>1020091</v>
      </c>
      <c r="P414" s="447">
        <f>MONTH(Advices[[#This Row],[Transaction Date]])</f>
        <v>10</v>
      </c>
      <c r="Q414" s="447">
        <f>YEAR(Advices[[#This Row],[Transaction Date]])</f>
        <v>2025</v>
      </c>
      <c r="R414" s="1"/>
    </row>
    <row r="415" spans="1:18" hidden="1" x14ac:dyDescent="0.25">
      <c r="A415" s="1" t="s">
        <v>366</v>
      </c>
      <c r="B415" s="178">
        <v>45959</v>
      </c>
      <c r="C415" s="1" t="s">
        <v>2057</v>
      </c>
      <c r="D415" s="1" t="s">
        <v>2404</v>
      </c>
      <c r="E415" s="1" t="s">
        <v>1486</v>
      </c>
      <c r="F415" s="1" t="s">
        <v>3488</v>
      </c>
      <c r="G415" s="1" t="s">
        <v>26</v>
      </c>
      <c r="H415" s="13">
        <v>575000</v>
      </c>
      <c r="I415" s="13">
        <v>0</v>
      </c>
      <c r="J415" s="1" t="s">
        <v>2041</v>
      </c>
      <c r="K415" s="1" t="s">
        <v>2025</v>
      </c>
      <c r="L415" s="1" t="str">
        <f>VLOOKUP(Advices[[#This Row],[LC Number]],'Combine_List'!A:D,2,0)</f>
        <v>ASSA ABLOY ENTRANCE SYSTEMS SAUDI CO.</v>
      </c>
      <c r="M415" s="447" t="str">
        <f>VLOOKUP(Advices[[#This Row],[LC Number]],'Combine_List'!A:D,3,0)</f>
        <v>MBL/Premium</v>
      </c>
      <c r="N415" s="447" t="str">
        <f>VLOOKUP(Advices[[#This Row],[LC Number]],'Combine_List'!A:D,4,0)</f>
        <v>CEER</v>
      </c>
      <c r="O415" s="447">
        <f>VLOOKUP(Advices[[#This Row],[LC Number]],'Combine_List'!A:E,5,0)</f>
        <v>1020091</v>
      </c>
      <c r="P415" s="447">
        <f>MONTH(Advices[[#This Row],[Transaction Date]])</f>
        <v>10</v>
      </c>
      <c r="Q415" s="447">
        <f>YEAR(Advices[[#This Row],[Transaction Date]])</f>
        <v>2025</v>
      </c>
      <c r="R415" s="1"/>
    </row>
    <row r="416" spans="1:18" hidden="1" x14ac:dyDescent="0.25">
      <c r="A416" s="1" t="s">
        <v>366</v>
      </c>
      <c r="B416" s="178">
        <v>45959</v>
      </c>
      <c r="C416" s="1" t="s">
        <v>2057</v>
      </c>
      <c r="D416" s="1" t="s">
        <v>2405</v>
      </c>
      <c r="E416" s="1" t="s">
        <v>1229</v>
      </c>
      <c r="F416" s="1" t="s">
        <v>3489</v>
      </c>
      <c r="G416" s="1" t="s">
        <v>26</v>
      </c>
      <c r="H416" s="13">
        <v>766.48</v>
      </c>
      <c r="I416" s="13">
        <v>0</v>
      </c>
      <c r="J416" s="1" t="s">
        <v>2041</v>
      </c>
      <c r="K416" s="1" t="s">
        <v>2025</v>
      </c>
      <c r="L416" s="1" t="str">
        <f>VLOOKUP(Advices[[#This Row],[LC Number]],'Combine_List'!A:D,2,0)</f>
        <v>VENTLINE AIR CONDITIONING REQUISITES MANUFACTURING LLC</v>
      </c>
      <c r="M416" s="447" t="str">
        <f>VLOOKUP(Advices[[#This Row],[LC Number]],'Combine_List'!A:D,3,0)</f>
        <v>MBL/Premium</v>
      </c>
      <c r="N416" s="447" t="str">
        <f>VLOOKUP(Advices[[#This Row],[LC Number]],'Combine_List'!A:D,4,0)</f>
        <v>CEER</v>
      </c>
      <c r="O416" s="447">
        <f>VLOOKUP(Advices[[#This Row],[LC Number]],'Combine_List'!A:E,5,0)</f>
        <v>1020091</v>
      </c>
      <c r="P416" s="447">
        <f>MONTH(Advices[[#This Row],[Transaction Date]])</f>
        <v>10</v>
      </c>
      <c r="Q416" s="447">
        <f>YEAR(Advices[[#This Row],[Transaction Date]])</f>
        <v>2025</v>
      </c>
      <c r="R416" s="1"/>
    </row>
    <row r="417" spans="1:18" hidden="1" x14ac:dyDescent="0.25">
      <c r="A417" s="1" t="s">
        <v>366</v>
      </c>
      <c r="B417" s="178">
        <v>45959</v>
      </c>
      <c r="C417" s="1" t="s">
        <v>2057</v>
      </c>
      <c r="D417" s="1" t="s">
        <v>2406</v>
      </c>
      <c r="E417" s="1" t="s">
        <v>1229</v>
      </c>
      <c r="F417" s="1" t="s">
        <v>3489</v>
      </c>
      <c r="G417" s="1" t="s">
        <v>26</v>
      </c>
      <c r="H417" s="13">
        <v>930057.04</v>
      </c>
      <c r="I417" s="13">
        <v>0</v>
      </c>
      <c r="J417" s="1" t="s">
        <v>2041</v>
      </c>
      <c r="K417" s="1" t="s">
        <v>2025</v>
      </c>
      <c r="L417" s="1" t="str">
        <f>VLOOKUP(Advices[[#This Row],[LC Number]],'Combine_List'!A:D,2,0)</f>
        <v>VENTLINE AIR CONDITIONING REQUISITES MANUFACTURING LLC</v>
      </c>
      <c r="M417" s="447" t="str">
        <f>VLOOKUP(Advices[[#This Row],[LC Number]],'Combine_List'!A:D,3,0)</f>
        <v>MBL/Premium</v>
      </c>
      <c r="N417" s="447" t="str">
        <f>VLOOKUP(Advices[[#This Row],[LC Number]],'Combine_List'!A:D,4,0)</f>
        <v>CEER</v>
      </c>
      <c r="O417" s="447">
        <f>VLOOKUP(Advices[[#This Row],[LC Number]],'Combine_List'!A:E,5,0)</f>
        <v>1020091</v>
      </c>
      <c r="P417" s="447">
        <f>MONTH(Advices[[#This Row],[Transaction Date]])</f>
        <v>10</v>
      </c>
      <c r="Q417" s="447">
        <f>YEAR(Advices[[#This Row],[Transaction Date]])</f>
        <v>2025</v>
      </c>
      <c r="R417" s="1"/>
    </row>
    <row r="418" spans="1:18" hidden="1" x14ac:dyDescent="0.25">
      <c r="A418" s="1" t="s">
        <v>366</v>
      </c>
      <c r="B418" s="178">
        <v>45959</v>
      </c>
      <c r="C418" s="1" t="s">
        <v>2060</v>
      </c>
      <c r="D418" s="1" t="s">
        <v>2407</v>
      </c>
      <c r="E418" s="1" t="s">
        <v>1444</v>
      </c>
      <c r="F418" s="1" t="s">
        <v>3490</v>
      </c>
      <c r="G418" s="1" t="s">
        <v>26</v>
      </c>
      <c r="H418" s="13">
        <v>305986.77</v>
      </c>
      <c r="I418" s="13">
        <v>0</v>
      </c>
      <c r="J418" s="1" t="s">
        <v>2041</v>
      </c>
      <c r="K418" s="1" t="s">
        <v>2025</v>
      </c>
      <c r="L418" s="1" t="str">
        <f>VLOOKUP(Advices[[#This Row],[LC Number]],'Combine_List'!A:D,2,0)</f>
        <v>ANDHMAH ALMNANI ALTWARH EST</v>
      </c>
      <c r="M418" s="447" t="str">
        <f>VLOOKUP(Advices[[#This Row],[LC Number]],'Combine_List'!A:D,3,0)</f>
        <v>FIRST FIX</v>
      </c>
      <c r="N418" s="447" t="str">
        <f>VLOOKUP(Advices[[#This Row],[LC Number]],'Combine_List'!A:D,4,0)</f>
        <v>MP1</v>
      </c>
      <c r="O418" s="447">
        <f>VLOOKUP(Advices[[#This Row],[LC Number]],'Combine_List'!A:E,5,0)</f>
        <v>1020088</v>
      </c>
      <c r="P418" s="447">
        <f>MONTH(Advices[[#This Row],[Transaction Date]])</f>
        <v>10</v>
      </c>
      <c r="Q418" s="447">
        <f>YEAR(Advices[[#This Row],[Transaction Date]])</f>
        <v>2025</v>
      </c>
      <c r="R418" s="1"/>
    </row>
    <row r="419" spans="1:18" hidden="1" x14ac:dyDescent="0.25">
      <c r="A419" s="1" t="s">
        <v>612</v>
      </c>
      <c r="B419" s="178">
        <v>45959</v>
      </c>
      <c r="C419" s="1" t="s">
        <v>2101</v>
      </c>
      <c r="D419" s="1" t="s">
        <v>2408</v>
      </c>
      <c r="E419" s="1" t="s">
        <v>2394</v>
      </c>
      <c r="F419" s="1" t="s">
        <v>2394</v>
      </c>
      <c r="G419" s="1" t="s">
        <v>26</v>
      </c>
      <c r="H419" s="13">
        <v>3000</v>
      </c>
      <c r="I419" s="13">
        <v>0</v>
      </c>
      <c r="J419" s="1" t="s">
        <v>2041</v>
      </c>
      <c r="K419" s="1" t="s">
        <v>2025</v>
      </c>
      <c r="L419" s="1" t="str">
        <f>VLOOKUP(Advices[[#This Row],[LC Number]],'Combine_List'!A:D,2,0)</f>
        <v>ALFANAR ELECTRICAL SYSTEMS</v>
      </c>
      <c r="M419" s="447" t="str">
        <f>VLOOKUP(Advices[[#This Row],[LC Number]],'Combine_List'!A:D,3,0)</f>
        <v>FIRST FIX</v>
      </c>
      <c r="N419" s="447" t="str">
        <f>VLOOKUP(Advices[[#This Row],[LC Number]],'Combine_List'!A:D,4,0)</f>
        <v>RCRC</v>
      </c>
      <c r="O419" s="447">
        <f>VLOOKUP(Advices[[#This Row],[LC Number]],'Combine_List'!A:E,5,0)</f>
        <v>1020106</v>
      </c>
      <c r="P419" s="447">
        <f>MONTH(Advices[[#This Row],[Transaction Date]])</f>
        <v>10</v>
      </c>
      <c r="Q419" s="447">
        <f>YEAR(Advices[[#This Row],[Transaction Date]])</f>
        <v>2025</v>
      </c>
      <c r="R419" s="1"/>
    </row>
    <row r="420" spans="1:18" hidden="1" x14ac:dyDescent="0.25">
      <c r="A420" s="1" t="s">
        <v>612</v>
      </c>
      <c r="B420" s="178">
        <v>45959</v>
      </c>
      <c r="C420" s="1" t="s">
        <v>2101</v>
      </c>
      <c r="D420" s="1" t="s">
        <v>2409</v>
      </c>
      <c r="E420" s="1" t="s">
        <v>2394</v>
      </c>
      <c r="F420" s="1" t="s">
        <v>2394</v>
      </c>
      <c r="G420" s="1" t="s">
        <v>26</v>
      </c>
      <c r="H420" s="13">
        <v>450</v>
      </c>
      <c r="I420" s="13">
        <v>0</v>
      </c>
      <c r="J420" s="1" t="s">
        <v>2041</v>
      </c>
      <c r="K420" s="1" t="s">
        <v>2025</v>
      </c>
      <c r="L420" s="1" t="str">
        <f>VLOOKUP(Advices[[#This Row],[LC Number]],'Combine_List'!A:D,2,0)</f>
        <v>ALFANAR ELECTRICAL SYSTEMS</v>
      </c>
      <c r="M420" s="447" t="str">
        <f>VLOOKUP(Advices[[#This Row],[LC Number]],'Combine_List'!A:D,3,0)</f>
        <v>FIRST FIX</v>
      </c>
      <c r="N420" s="447" t="str">
        <f>VLOOKUP(Advices[[#This Row],[LC Number]],'Combine_List'!A:D,4,0)</f>
        <v>RCRC</v>
      </c>
      <c r="O420" s="447">
        <f>VLOOKUP(Advices[[#This Row],[LC Number]],'Combine_List'!A:E,5,0)</f>
        <v>1020106</v>
      </c>
      <c r="P420" s="447">
        <f>MONTH(Advices[[#This Row],[Transaction Date]])</f>
        <v>10</v>
      </c>
      <c r="Q420" s="447">
        <f>YEAR(Advices[[#This Row],[Transaction Date]])</f>
        <v>2025</v>
      </c>
      <c r="R420" s="1"/>
    </row>
    <row r="421" spans="1:18" hidden="1" x14ac:dyDescent="0.25">
      <c r="A421" s="1" t="s">
        <v>612</v>
      </c>
      <c r="B421" s="178">
        <v>45959</v>
      </c>
      <c r="C421" s="1" t="s">
        <v>2101</v>
      </c>
      <c r="D421" s="1" t="s">
        <v>2410</v>
      </c>
      <c r="E421" s="1" t="s">
        <v>2394</v>
      </c>
      <c r="F421" s="1" t="s">
        <v>2394</v>
      </c>
      <c r="G421" s="1" t="s">
        <v>26</v>
      </c>
      <c r="H421" s="13">
        <v>750</v>
      </c>
      <c r="I421" s="13">
        <v>0</v>
      </c>
      <c r="J421" s="1" t="s">
        <v>2041</v>
      </c>
      <c r="K421" s="1" t="s">
        <v>2025</v>
      </c>
      <c r="L421" s="1" t="str">
        <f>VLOOKUP(Advices[[#This Row],[LC Number]],'Combine_List'!A:D,2,0)</f>
        <v>ALFANAR ELECTRICAL SYSTEMS</v>
      </c>
      <c r="M421" s="447" t="str">
        <f>VLOOKUP(Advices[[#This Row],[LC Number]],'Combine_List'!A:D,3,0)</f>
        <v>FIRST FIX</v>
      </c>
      <c r="N421" s="447" t="str">
        <f>VLOOKUP(Advices[[#This Row],[LC Number]],'Combine_List'!A:D,4,0)</f>
        <v>RCRC</v>
      </c>
      <c r="O421" s="447">
        <f>VLOOKUP(Advices[[#This Row],[LC Number]],'Combine_List'!A:E,5,0)</f>
        <v>1020106</v>
      </c>
      <c r="P421" s="447">
        <f>MONTH(Advices[[#This Row],[Transaction Date]])</f>
        <v>10</v>
      </c>
      <c r="Q421" s="447">
        <f>YEAR(Advices[[#This Row],[Transaction Date]])</f>
        <v>2025</v>
      </c>
      <c r="R421" s="1"/>
    </row>
    <row r="422" spans="1:18" hidden="1" x14ac:dyDescent="0.25">
      <c r="A422" s="1" t="s">
        <v>612</v>
      </c>
      <c r="B422" s="178">
        <v>45959</v>
      </c>
      <c r="C422" s="1" t="s">
        <v>2101</v>
      </c>
      <c r="D422" s="1" t="s">
        <v>2411</v>
      </c>
      <c r="E422" s="1" t="s">
        <v>2394</v>
      </c>
      <c r="F422" s="1" t="s">
        <v>2394</v>
      </c>
      <c r="G422" s="1" t="s">
        <v>26</v>
      </c>
      <c r="H422" s="13">
        <v>112.5</v>
      </c>
      <c r="I422" s="13">
        <v>0</v>
      </c>
      <c r="J422" s="1" t="s">
        <v>2041</v>
      </c>
      <c r="K422" s="1" t="s">
        <v>2025</v>
      </c>
      <c r="L422" s="1" t="str">
        <f>VLOOKUP(Advices[[#This Row],[LC Number]],'Combine_List'!A:D,2,0)</f>
        <v>ALFANAR ELECTRICAL SYSTEMS</v>
      </c>
      <c r="M422" s="447" t="str">
        <f>VLOOKUP(Advices[[#This Row],[LC Number]],'Combine_List'!A:D,3,0)</f>
        <v>FIRST FIX</v>
      </c>
      <c r="N422" s="447" t="str">
        <f>VLOOKUP(Advices[[#This Row],[LC Number]],'Combine_List'!A:D,4,0)</f>
        <v>RCRC</v>
      </c>
      <c r="O422" s="447">
        <f>VLOOKUP(Advices[[#This Row],[LC Number]],'Combine_List'!A:E,5,0)</f>
        <v>1020106</v>
      </c>
      <c r="P422" s="447">
        <f>MONTH(Advices[[#This Row],[Transaction Date]])</f>
        <v>10</v>
      </c>
      <c r="Q422" s="447">
        <f>YEAR(Advices[[#This Row],[Transaction Date]])</f>
        <v>2025</v>
      </c>
      <c r="R422" s="1"/>
    </row>
    <row r="423" spans="1:18" hidden="1" x14ac:dyDescent="0.25">
      <c r="A423" s="1" t="s">
        <v>612</v>
      </c>
      <c r="B423" s="178">
        <v>45959</v>
      </c>
      <c r="C423" s="1" t="s">
        <v>2101</v>
      </c>
      <c r="D423" s="1" t="s">
        <v>2412</v>
      </c>
      <c r="E423" s="1" t="s">
        <v>2394</v>
      </c>
      <c r="F423" s="1" t="s">
        <v>2394</v>
      </c>
      <c r="G423" s="1" t="s">
        <v>26</v>
      </c>
      <c r="H423" s="13">
        <v>1750</v>
      </c>
      <c r="I423" s="13">
        <v>0</v>
      </c>
      <c r="J423" s="1" t="s">
        <v>2041</v>
      </c>
      <c r="K423" s="1" t="s">
        <v>2025</v>
      </c>
      <c r="L423" s="1" t="str">
        <f>VLOOKUP(Advices[[#This Row],[LC Number]],'Combine_List'!A:D,2,0)</f>
        <v>ALFANAR ELECTRICAL SYSTEMS</v>
      </c>
      <c r="M423" s="447" t="str">
        <f>VLOOKUP(Advices[[#This Row],[LC Number]],'Combine_List'!A:D,3,0)</f>
        <v>FIRST FIX</v>
      </c>
      <c r="N423" s="447" t="str">
        <f>VLOOKUP(Advices[[#This Row],[LC Number]],'Combine_List'!A:D,4,0)</f>
        <v>RCRC</v>
      </c>
      <c r="O423" s="447">
        <f>VLOOKUP(Advices[[#This Row],[LC Number]],'Combine_List'!A:E,5,0)</f>
        <v>1020106</v>
      </c>
      <c r="P423" s="447">
        <f>MONTH(Advices[[#This Row],[Transaction Date]])</f>
        <v>10</v>
      </c>
      <c r="Q423" s="447">
        <f>YEAR(Advices[[#This Row],[Transaction Date]])</f>
        <v>2025</v>
      </c>
      <c r="R423" s="1"/>
    </row>
    <row r="424" spans="1:18" hidden="1" x14ac:dyDescent="0.25">
      <c r="A424" s="1" t="s">
        <v>612</v>
      </c>
      <c r="B424" s="178">
        <v>45959</v>
      </c>
      <c r="C424" s="1" t="s">
        <v>2101</v>
      </c>
      <c r="D424" s="1" t="s">
        <v>2413</v>
      </c>
      <c r="E424" s="1" t="s">
        <v>2394</v>
      </c>
      <c r="F424" s="1" t="s">
        <v>2394</v>
      </c>
      <c r="G424" s="1" t="s">
        <v>26</v>
      </c>
      <c r="H424" s="13">
        <v>262.5</v>
      </c>
      <c r="I424" s="13">
        <v>0</v>
      </c>
      <c r="J424" s="1" t="s">
        <v>2041</v>
      </c>
      <c r="K424" s="1" t="s">
        <v>2025</v>
      </c>
      <c r="L424" s="1" t="str">
        <f>VLOOKUP(Advices[[#This Row],[LC Number]],'Combine_List'!A:D,2,0)</f>
        <v>ALFANAR ELECTRICAL SYSTEMS</v>
      </c>
      <c r="M424" s="447" t="str">
        <f>VLOOKUP(Advices[[#This Row],[LC Number]],'Combine_List'!A:D,3,0)</f>
        <v>FIRST FIX</v>
      </c>
      <c r="N424" s="447" t="str">
        <f>VLOOKUP(Advices[[#This Row],[LC Number]],'Combine_List'!A:D,4,0)</f>
        <v>RCRC</v>
      </c>
      <c r="O424" s="447">
        <f>VLOOKUP(Advices[[#This Row],[LC Number]],'Combine_List'!A:E,5,0)</f>
        <v>1020106</v>
      </c>
      <c r="P424" s="447">
        <f>MONTH(Advices[[#This Row],[Transaction Date]])</f>
        <v>10</v>
      </c>
      <c r="Q424" s="447">
        <f>YEAR(Advices[[#This Row],[Transaction Date]])</f>
        <v>2025</v>
      </c>
      <c r="R424" s="1"/>
    </row>
    <row r="425" spans="1:18" hidden="1" x14ac:dyDescent="0.25">
      <c r="A425" s="1" t="s">
        <v>612</v>
      </c>
      <c r="B425" s="178">
        <v>45959</v>
      </c>
      <c r="C425" s="1" t="s">
        <v>2101</v>
      </c>
      <c r="D425" s="1" t="s">
        <v>2414</v>
      </c>
      <c r="E425" s="1" t="s">
        <v>2394</v>
      </c>
      <c r="F425" s="1" t="s">
        <v>2394</v>
      </c>
      <c r="G425" s="1" t="s">
        <v>26</v>
      </c>
      <c r="H425" s="13">
        <v>75</v>
      </c>
      <c r="I425" s="13">
        <v>0</v>
      </c>
      <c r="J425" s="1" t="s">
        <v>2041</v>
      </c>
      <c r="K425" s="1" t="s">
        <v>2025</v>
      </c>
      <c r="L425" s="1" t="str">
        <f>VLOOKUP(Advices[[#This Row],[LC Number]],'Combine_List'!A:D,2,0)</f>
        <v>ALFANAR ELECTRICAL SYSTEMS</v>
      </c>
      <c r="M425" s="447" t="str">
        <f>VLOOKUP(Advices[[#This Row],[LC Number]],'Combine_List'!A:D,3,0)</f>
        <v>FIRST FIX</v>
      </c>
      <c r="N425" s="447" t="str">
        <f>VLOOKUP(Advices[[#This Row],[LC Number]],'Combine_List'!A:D,4,0)</f>
        <v>RCRC</v>
      </c>
      <c r="O425" s="447">
        <f>VLOOKUP(Advices[[#This Row],[LC Number]],'Combine_List'!A:E,5,0)</f>
        <v>1020106</v>
      </c>
      <c r="P425" s="447">
        <f>MONTH(Advices[[#This Row],[Transaction Date]])</f>
        <v>10</v>
      </c>
      <c r="Q425" s="447">
        <f>YEAR(Advices[[#This Row],[Transaction Date]])</f>
        <v>2025</v>
      </c>
      <c r="R425" s="1"/>
    </row>
    <row r="426" spans="1:18" hidden="1" x14ac:dyDescent="0.25">
      <c r="A426" s="1" t="s">
        <v>612</v>
      </c>
      <c r="B426" s="178">
        <v>45959</v>
      </c>
      <c r="C426" s="1" t="s">
        <v>2101</v>
      </c>
      <c r="D426" s="1" t="s">
        <v>2415</v>
      </c>
      <c r="E426" s="1" t="s">
        <v>2394</v>
      </c>
      <c r="F426" s="1" t="s">
        <v>2394</v>
      </c>
      <c r="G426" s="1" t="s">
        <v>26</v>
      </c>
      <c r="H426" s="13">
        <v>11.25</v>
      </c>
      <c r="I426" s="13">
        <v>0</v>
      </c>
      <c r="J426" s="1" t="s">
        <v>2041</v>
      </c>
      <c r="K426" s="1" t="s">
        <v>2025</v>
      </c>
      <c r="L426" s="1" t="str">
        <f>VLOOKUP(Advices[[#This Row],[LC Number]],'Combine_List'!A:D,2,0)</f>
        <v>ALFANAR ELECTRICAL SYSTEMS</v>
      </c>
      <c r="M426" s="447" t="str">
        <f>VLOOKUP(Advices[[#This Row],[LC Number]],'Combine_List'!A:D,3,0)</f>
        <v>FIRST FIX</v>
      </c>
      <c r="N426" s="447" t="str">
        <f>VLOOKUP(Advices[[#This Row],[LC Number]],'Combine_List'!A:D,4,0)</f>
        <v>RCRC</v>
      </c>
      <c r="O426" s="447">
        <f>VLOOKUP(Advices[[#This Row],[LC Number]],'Combine_List'!A:E,5,0)</f>
        <v>1020106</v>
      </c>
      <c r="P426" s="447">
        <f>MONTH(Advices[[#This Row],[Transaction Date]])</f>
        <v>10</v>
      </c>
      <c r="Q426" s="447">
        <f>YEAR(Advices[[#This Row],[Transaction Date]])</f>
        <v>2025</v>
      </c>
      <c r="R426" s="1"/>
    </row>
    <row r="427" spans="1:18" hidden="1" x14ac:dyDescent="0.25">
      <c r="A427" s="1" t="s">
        <v>612</v>
      </c>
      <c r="B427" s="178">
        <v>45959</v>
      </c>
      <c r="C427" s="1" t="s">
        <v>2101</v>
      </c>
      <c r="D427" s="1" t="s">
        <v>2416</v>
      </c>
      <c r="E427" s="1" t="s">
        <v>2396</v>
      </c>
      <c r="F427" s="1" t="s">
        <v>2396</v>
      </c>
      <c r="G427" s="1" t="s">
        <v>26</v>
      </c>
      <c r="H427" s="13">
        <v>1157.6600000000001</v>
      </c>
      <c r="I427" s="13">
        <v>0</v>
      </c>
      <c r="J427" s="1" t="s">
        <v>2041</v>
      </c>
      <c r="K427" s="1" t="s">
        <v>2025</v>
      </c>
      <c r="L427" s="1" t="str">
        <f>VLOOKUP(Advices[[#This Row],[LC Number]],'Combine_List'!A:D,2,0)</f>
        <v>Saudi Benaa Company For Building Materials</v>
      </c>
      <c r="M427" s="447" t="str">
        <f>VLOOKUP(Advices[[#This Row],[LC Number]],'Combine_List'!A:D,3,0)</f>
        <v>FIRST FIX</v>
      </c>
      <c r="N427" s="447" t="str">
        <f>VLOOKUP(Advices[[#This Row],[LC Number]],'Combine_List'!A:D,4,0)</f>
        <v>RCRC</v>
      </c>
      <c r="O427" s="447">
        <f>VLOOKUP(Advices[[#This Row],[LC Number]],'Combine_List'!A:E,5,0)</f>
        <v>1020106</v>
      </c>
      <c r="P427" s="447">
        <f>MONTH(Advices[[#This Row],[Transaction Date]])</f>
        <v>10</v>
      </c>
      <c r="Q427" s="447">
        <f>YEAR(Advices[[#This Row],[Transaction Date]])</f>
        <v>2025</v>
      </c>
      <c r="R427" s="1"/>
    </row>
    <row r="428" spans="1:18" hidden="1" x14ac:dyDescent="0.25">
      <c r="A428" s="1" t="s">
        <v>612</v>
      </c>
      <c r="B428" s="178">
        <v>45959</v>
      </c>
      <c r="C428" s="1" t="s">
        <v>2101</v>
      </c>
      <c r="D428" s="1" t="s">
        <v>2417</v>
      </c>
      <c r="E428" s="1" t="s">
        <v>2396</v>
      </c>
      <c r="F428" s="1" t="s">
        <v>2396</v>
      </c>
      <c r="G428" s="1" t="s">
        <v>26</v>
      </c>
      <c r="H428" s="13">
        <v>173.65</v>
      </c>
      <c r="I428" s="13">
        <v>0</v>
      </c>
      <c r="J428" s="1" t="s">
        <v>2041</v>
      </c>
      <c r="K428" s="1" t="s">
        <v>2025</v>
      </c>
      <c r="L428" s="1" t="str">
        <f>VLOOKUP(Advices[[#This Row],[LC Number]],'Combine_List'!A:D,2,0)</f>
        <v>Saudi Benaa Company For Building Materials</v>
      </c>
      <c r="M428" s="447" t="str">
        <f>VLOOKUP(Advices[[#This Row],[LC Number]],'Combine_List'!A:D,3,0)</f>
        <v>FIRST FIX</v>
      </c>
      <c r="N428" s="447" t="str">
        <f>VLOOKUP(Advices[[#This Row],[LC Number]],'Combine_List'!A:D,4,0)</f>
        <v>RCRC</v>
      </c>
      <c r="O428" s="447">
        <f>VLOOKUP(Advices[[#This Row],[LC Number]],'Combine_List'!A:E,5,0)</f>
        <v>1020106</v>
      </c>
      <c r="P428" s="447">
        <f>MONTH(Advices[[#This Row],[Transaction Date]])</f>
        <v>10</v>
      </c>
      <c r="Q428" s="447">
        <f>YEAR(Advices[[#This Row],[Transaction Date]])</f>
        <v>2025</v>
      </c>
      <c r="R428" s="1"/>
    </row>
    <row r="429" spans="1:18" hidden="1" x14ac:dyDescent="0.25">
      <c r="A429" s="1" t="s">
        <v>612</v>
      </c>
      <c r="B429" s="178">
        <v>45959</v>
      </c>
      <c r="C429" s="1" t="s">
        <v>2101</v>
      </c>
      <c r="D429" s="1" t="s">
        <v>2418</v>
      </c>
      <c r="E429" s="1" t="s">
        <v>2396</v>
      </c>
      <c r="F429" s="1" t="s">
        <v>2396</v>
      </c>
      <c r="G429" s="1" t="s">
        <v>26</v>
      </c>
      <c r="H429" s="13">
        <v>750</v>
      </c>
      <c r="I429" s="13">
        <v>0</v>
      </c>
      <c r="J429" s="1" t="s">
        <v>2041</v>
      </c>
      <c r="K429" s="1" t="s">
        <v>2025</v>
      </c>
      <c r="L429" s="1" t="str">
        <f>VLOOKUP(Advices[[#This Row],[LC Number]],'Combine_List'!A:D,2,0)</f>
        <v>Saudi Benaa Company For Building Materials</v>
      </c>
      <c r="M429" s="447" t="str">
        <f>VLOOKUP(Advices[[#This Row],[LC Number]],'Combine_List'!A:D,3,0)</f>
        <v>FIRST FIX</v>
      </c>
      <c r="N429" s="447" t="str">
        <f>VLOOKUP(Advices[[#This Row],[LC Number]],'Combine_List'!A:D,4,0)</f>
        <v>RCRC</v>
      </c>
      <c r="O429" s="447">
        <f>VLOOKUP(Advices[[#This Row],[LC Number]],'Combine_List'!A:E,5,0)</f>
        <v>1020106</v>
      </c>
      <c r="P429" s="447">
        <f>MONTH(Advices[[#This Row],[Transaction Date]])</f>
        <v>10</v>
      </c>
      <c r="Q429" s="447">
        <f>YEAR(Advices[[#This Row],[Transaction Date]])</f>
        <v>2025</v>
      </c>
      <c r="R429" s="1"/>
    </row>
    <row r="430" spans="1:18" hidden="1" x14ac:dyDescent="0.25">
      <c r="A430" s="1" t="s">
        <v>612</v>
      </c>
      <c r="B430" s="178">
        <v>45959</v>
      </c>
      <c r="C430" s="1" t="s">
        <v>2101</v>
      </c>
      <c r="D430" s="1" t="s">
        <v>2419</v>
      </c>
      <c r="E430" s="1" t="s">
        <v>2396</v>
      </c>
      <c r="F430" s="1" t="s">
        <v>2396</v>
      </c>
      <c r="G430" s="1" t="s">
        <v>26</v>
      </c>
      <c r="H430" s="13">
        <v>112.5</v>
      </c>
      <c r="I430" s="13">
        <v>0</v>
      </c>
      <c r="J430" s="1" t="s">
        <v>2041</v>
      </c>
      <c r="K430" s="1" t="s">
        <v>2025</v>
      </c>
      <c r="L430" s="1" t="str">
        <f>VLOOKUP(Advices[[#This Row],[LC Number]],'Combine_List'!A:D,2,0)</f>
        <v>Saudi Benaa Company For Building Materials</v>
      </c>
      <c r="M430" s="447" t="str">
        <f>VLOOKUP(Advices[[#This Row],[LC Number]],'Combine_List'!A:D,3,0)</f>
        <v>FIRST FIX</v>
      </c>
      <c r="N430" s="447" t="str">
        <f>VLOOKUP(Advices[[#This Row],[LC Number]],'Combine_List'!A:D,4,0)</f>
        <v>RCRC</v>
      </c>
      <c r="O430" s="447">
        <f>VLOOKUP(Advices[[#This Row],[LC Number]],'Combine_List'!A:E,5,0)</f>
        <v>1020106</v>
      </c>
      <c r="P430" s="447">
        <f>MONTH(Advices[[#This Row],[Transaction Date]])</f>
        <v>10</v>
      </c>
      <c r="Q430" s="447">
        <f>YEAR(Advices[[#This Row],[Transaction Date]])</f>
        <v>2025</v>
      </c>
      <c r="R430" s="1"/>
    </row>
    <row r="431" spans="1:18" hidden="1" x14ac:dyDescent="0.25">
      <c r="A431" s="1" t="s">
        <v>612</v>
      </c>
      <c r="B431" s="178">
        <v>45959</v>
      </c>
      <c r="C431" s="1" t="s">
        <v>2101</v>
      </c>
      <c r="D431" s="1" t="s">
        <v>2420</v>
      </c>
      <c r="E431" s="1" t="s">
        <v>2396</v>
      </c>
      <c r="F431" s="1" t="s">
        <v>2396</v>
      </c>
      <c r="G431" s="1" t="s">
        <v>26</v>
      </c>
      <c r="H431" s="13">
        <v>460.36</v>
      </c>
      <c r="I431" s="13">
        <v>0</v>
      </c>
      <c r="J431" s="1" t="s">
        <v>2041</v>
      </c>
      <c r="K431" s="1" t="s">
        <v>2025</v>
      </c>
      <c r="L431" s="1" t="str">
        <f>VLOOKUP(Advices[[#This Row],[LC Number]],'Combine_List'!A:D,2,0)</f>
        <v>Saudi Benaa Company For Building Materials</v>
      </c>
      <c r="M431" s="447" t="str">
        <f>VLOOKUP(Advices[[#This Row],[LC Number]],'Combine_List'!A:D,3,0)</f>
        <v>FIRST FIX</v>
      </c>
      <c r="N431" s="447" t="str">
        <f>VLOOKUP(Advices[[#This Row],[LC Number]],'Combine_List'!A:D,4,0)</f>
        <v>RCRC</v>
      </c>
      <c r="O431" s="447">
        <f>VLOOKUP(Advices[[#This Row],[LC Number]],'Combine_List'!A:E,5,0)</f>
        <v>1020106</v>
      </c>
      <c r="P431" s="447">
        <f>MONTH(Advices[[#This Row],[Transaction Date]])</f>
        <v>10</v>
      </c>
      <c r="Q431" s="447">
        <f>YEAR(Advices[[#This Row],[Transaction Date]])</f>
        <v>2025</v>
      </c>
      <c r="R431" s="1"/>
    </row>
    <row r="432" spans="1:18" hidden="1" x14ac:dyDescent="0.25">
      <c r="A432" s="1" t="s">
        <v>612</v>
      </c>
      <c r="B432" s="178">
        <v>45959</v>
      </c>
      <c r="C432" s="1" t="s">
        <v>2101</v>
      </c>
      <c r="D432" s="1" t="s">
        <v>2421</v>
      </c>
      <c r="E432" s="1" t="s">
        <v>2396</v>
      </c>
      <c r="F432" s="1" t="s">
        <v>2396</v>
      </c>
      <c r="G432" s="1" t="s">
        <v>26</v>
      </c>
      <c r="H432" s="13">
        <v>69.05</v>
      </c>
      <c r="I432" s="13">
        <v>0</v>
      </c>
      <c r="J432" s="1" t="s">
        <v>2041</v>
      </c>
      <c r="K432" s="1" t="s">
        <v>2025</v>
      </c>
      <c r="L432" s="1" t="str">
        <f>VLOOKUP(Advices[[#This Row],[LC Number]],'Combine_List'!A:D,2,0)</f>
        <v>Saudi Benaa Company For Building Materials</v>
      </c>
      <c r="M432" s="447" t="str">
        <f>VLOOKUP(Advices[[#This Row],[LC Number]],'Combine_List'!A:D,3,0)</f>
        <v>FIRST FIX</v>
      </c>
      <c r="N432" s="447" t="str">
        <f>VLOOKUP(Advices[[#This Row],[LC Number]],'Combine_List'!A:D,4,0)</f>
        <v>RCRC</v>
      </c>
      <c r="O432" s="447">
        <f>VLOOKUP(Advices[[#This Row],[LC Number]],'Combine_List'!A:E,5,0)</f>
        <v>1020106</v>
      </c>
      <c r="P432" s="447">
        <f>MONTH(Advices[[#This Row],[Transaction Date]])</f>
        <v>10</v>
      </c>
      <c r="Q432" s="447">
        <f>YEAR(Advices[[#This Row],[Transaction Date]])</f>
        <v>2025</v>
      </c>
      <c r="R432" s="1"/>
    </row>
    <row r="433" spans="1:18" hidden="1" x14ac:dyDescent="0.25">
      <c r="A433" s="1" t="s">
        <v>612</v>
      </c>
      <c r="B433" s="178">
        <v>45959</v>
      </c>
      <c r="C433" s="1" t="s">
        <v>2101</v>
      </c>
      <c r="D433" s="1" t="s">
        <v>2422</v>
      </c>
      <c r="E433" s="1" t="s">
        <v>2396</v>
      </c>
      <c r="F433" s="1" t="s">
        <v>2396</v>
      </c>
      <c r="G433" s="1" t="s">
        <v>26</v>
      </c>
      <c r="H433" s="13">
        <v>75</v>
      </c>
      <c r="I433" s="13">
        <v>0</v>
      </c>
      <c r="J433" s="1" t="s">
        <v>2041</v>
      </c>
      <c r="K433" s="1" t="s">
        <v>2025</v>
      </c>
      <c r="L433" s="1" t="str">
        <f>VLOOKUP(Advices[[#This Row],[LC Number]],'Combine_List'!A:D,2,0)</f>
        <v>Saudi Benaa Company For Building Materials</v>
      </c>
      <c r="M433" s="447" t="str">
        <f>VLOOKUP(Advices[[#This Row],[LC Number]],'Combine_List'!A:D,3,0)</f>
        <v>FIRST FIX</v>
      </c>
      <c r="N433" s="447" t="str">
        <f>VLOOKUP(Advices[[#This Row],[LC Number]],'Combine_List'!A:D,4,0)</f>
        <v>RCRC</v>
      </c>
      <c r="O433" s="447">
        <f>VLOOKUP(Advices[[#This Row],[LC Number]],'Combine_List'!A:E,5,0)</f>
        <v>1020106</v>
      </c>
      <c r="P433" s="447">
        <f>MONTH(Advices[[#This Row],[Transaction Date]])</f>
        <v>10</v>
      </c>
      <c r="Q433" s="447">
        <f>YEAR(Advices[[#This Row],[Transaction Date]])</f>
        <v>2025</v>
      </c>
      <c r="R433" s="1"/>
    </row>
    <row r="434" spans="1:18" hidden="1" x14ac:dyDescent="0.25">
      <c r="A434" s="1" t="s">
        <v>612</v>
      </c>
      <c r="B434" s="178">
        <v>45959</v>
      </c>
      <c r="C434" s="1" t="s">
        <v>2101</v>
      </c>
      <c r="D434" s="1" t="s">
        <v>2423</v>
      </c>
      <c r="E434" s="1" t="s">
        <v>2396</v>
      </c>
      <c r="F434" s="1" t="s">
        <v>2396</v>
      </c>
      <c r="G434" s="1" t="s">
        <v>26</v>
      </c>
      <c r="H434" s="13">
        <v>11.25</v>
      </c>
      <c r="I434" s="13">
        <v>0</v>
      </c>
      <c r="J434" s="1" t="s">
        <v>2041</v>
      </c>
      <c r="K434" s="1" t="s">
        <v>2025</v>
      </c>
      <c r="L434" s="1" t="str">
        <f>VLOOKUP(Advices[[#This Row],[LC Number]],'Combine_List'!A:D,2,0)</f>
        <v>Saudi Benaa Company For Building Materials</v>
      </c>
      <c r="M434" s="447" t="str">
        <f>VLOOKUP(Advices[[#This Row],[LC Number]],'Combine_List'!A:D,3,0)</f>
        <v>FIRST FIX</v>
      </c>
      <c r="N434" s="447" t="str">
        <f>VLOOKUP(Advices[[#This Row],[LC Number]],'Combine_List'!A:D,4,0)</f>
        <v>RCRC</v>
      </c>
      <c r="O434" s="447">
        <f>VLOOKUP(Advices[[#This Row],[LC Number]],'Combine_List'!A:E,5,0)</f>
        <v>1020106</v>
      </c>
      <c r="P434" s="447">
        <f>MONTH(Advices[[#This Row],[Transaction Date]])</f>
        <v>10</v>
      </c>
      <c r="Q434" s="447">
        <f>YEAR(Advices[[#This Row],[Transaction Date]])</f>
        <v>2025</v>
      </c>
      <c r="R434" s="1"/>
    </row>
    <row r="435" spans="1:18" hidden="1" x14ac:dyDescent="0.25">
      <c r="A435" s="1" t="s">
        <v>612</v>
      </c>
      <c r="B435" s="178">
        <v>45959</v>
      </c>
      <c r="C435" s="1" t="s">
        <v>2101</v>
      </c>
      <c r="D435" s="1" t="s">
        <v>2424</v>
      </c>
      <c r="E435" s="1" t="s">
        <v>2395</v>
      </c>
      <c r="F435" s="1" t="s">
        <v>2395</v>
      </c>
      <c r="G435" s="1" t="s">
        <v>26</v>
      </c>
      <c r="H435" s="13">
        <v>705.7</v>
      </c>
      <c r="I435" s="13">
        <v>0</v>
      </c>
      <c r="J435" s="1" t="s">
        <v>2041</v>
      </c>
      <c r="K435" s="1" t="s">
        <v>2025</v>
      </c>
      <c r="L435" s="1" t="str">
        <f>VLOOKUP(Advices[[#This Row],[LC Number]],'Combine_List'!A:D,2,0)</f>
        <v>Rawabi Al Mahfar Trading Co.</v>
      </c>
      <c r="M435" s="447" t="str">
        <f>VLOOKUP(Advices[[#This Row],[LC Number]],'Combine_List'!A:D,3,0)</f>
        <v>FIRST FIX</v>
      </c>
      <c r="N435" s="447" t="str">
        <f>VLOOKUP(Advices[[#This Row],[LC Number]],'Combine_List'!A:D,4,0)</f>
        <v>RCRC</v>
      </c>
      <c r="O435" s="447">
        <f>VLOOKUP(Advices[[#This Row],[LC Number]],'Combine_List'!A:E,5,0)</f>
        <v>1020106</v>
      </c>
      <c r="P435" s="447">
        <f>MONTH(Advices[[#This Row],[Transaction Date]])</f>
        <v>10</v>
      </c>
      <c r="Q435" s="447">
        <f>YEAR(Advices[[#This Row],[Transaction Date]])</f>
        <v>2025</v>
      </c>
      <c r="R435" s="1"/>
    </row>
    <row r="436" spans="1:18" hidden="1" x14ac:dyDescent="0.25">
      <c r="A436" s="1" t="s">
        <v>612</v>
      </c>
      <c r="B436" s="178">
        <v>45959</v>
      </c>
      <c r="C436" s="1" t="s">
        <v>2101</v>
      </c>
      <c r="D436" s="1" t="s">
        <v>2425</v>
      </c>
      <c r="E436" s="1" t="s">
        <v>2395</v>
      </c>
      <c r="F436" s="1" t="s">
        <v>2395</v>
      </c>
      <c r="G436" s="1" t="s">
        <v>26</v>
      </c>
      <c r="H436" s="13">
        <v>105.86</v>
      </c>
      <c r="I436" s="13">
        <v>0</v>
      </c>
      <c r="J436" s="1" t="s">
        <v>2041</v>
      </c>
      <c r="K436" s="1" t="s">
        <v>2025</v>
      </c>
      <c r="L436" s="1" t="str">
        <f>VLOOKUP(Advices[[#This Row],[LC Number]],'Combine_List'!A:D,2,0)</f>
        <v>Rawabi Al Mahfar Trading Co.</v>
      </c>
      <c r="M436" s="447" t="str">
        <f>VLOOKUP(Advices[[#This Row],[LC Number]],'Combine_List'!A:D,3,0)</f>
        <v>FIRST FIX</v>
      </c>
      <c r="N436" s="447" t="str">
        <f>VLOOKUP(Advices[[#This Row],[LC Number]],'Combine_List'!A:D,4,0)</f>
        <v>RCRC</v>
      </c>
      <c r="O436" s="447">
        <f>VLOOKUP(Advices[[#This Row],[LC Number]],'Combine_List'!A:E,5,0)</f>
        <v>1020106</v>
      </c>
      <c r="P436" s="447">
        <f>MONTH(Advices[[#This Row],[Transaction Date]])</f>
        <v>10</v>
      </c>
      <c r="Q436" s="447">
        <f>YEAR(Advices[[#This Row],[Transaction Date]])</f>
        <v>2025</v>
      </c>
      <c r="R436" s="1"/>
    </row>
    <row r="437" spans="1:18" hidden="1" x14ac:dyDescent="0.25">
      <c r="A437" s="1" t="s">
        <v>612</v>
      </c>
      <c r="B437" s="178">
        <v>45959</v>
      </c>
      <c r="C437" s="1" t="s">
        <v>2101</v>
      </c>
      <c r="D437" s="1" t="s">
        <v>2426</v>
      </c>
      <c r="E437" s="1" t="s">
        <v>2395</v>
      </c>
      <c r="F437" s="1" t="s">
        <v>2395</v>
      </c>
      <c r="G437" s="1" t="s">
        <v>26</v>
      </c>
      <c r="H437" s="13">
        <v>750</v>
      </c>
      <c r="I437" s="13">
        <v>0</v>
      </c>
      <c r="J437" s="1" t="s">
        <v>2041</v>
      </c>
      <c r="K437" s="1" t="s">
        <v>2025</v>
      </c>
      <c r="L437" s="1" t="str">
        <f>VLOOKUP(Advices[[#This Row],[LC Number]],'Combine_List'!A:D,2,0)</f>
        <v>Rawabi Al Mahfar Trading Co.</v>
      </c>
      <c r="M437" s="447" t="str">
        <f>VLOOKUP(Advices[[#This Row],[LC Number]],'Combine_List'!A:D,3,0)</f>
        <v>FIRST FIX</v>
      </c>
      <c r="N437" s="447" t="str">
        <f>VLOOKUP(Advices[[#This Row],[LC Number]],'Combine_List'!A:D,4,0)</f>
        <v>RCRC</v>
      </c>
      <c r="O437" s="447">
        <f>VLOOKUP(Advices[[#This Row],[LC Number]],'Combine_List'!A:E,5,0)</f>
        <v>1020106</v>
      </c>
      <c r="P437" s="447">
        <f>MONTH(Advices[[#This Row],[Transaction Date]])</f>
        <v>10</v>
      </c>
      <c r="Q437" s="447">
        <f>YEAR(Advices[[#This Row],[Transaction Date]])</f>
        <v>2025</v>
      </c>
      <c r="R437" s="1"/>
    </row>
    <row r="438" spans="1:18" hidden="1" x14ac:dyDescent="0.25">
      <c r="A438" s="1" t="s">
        <v>612</v>
      </c>
      <c r="B438" s="178">
        <v>45959</v>
      </c>
      <c r="C438" s="1" t="s">
        <v>2101</v>
      </c>
      <c r="D438" s="1" t="s">
        <v>2427</v>
      </c>
      <c r="E438" s="1" t="s">
        <v>2395</v>
      </c>
      <c r="F438" s="1" t="s">
        <v>2395</v>
      </c>
      <c r="G438" s="1" t="s">
        <v>26</v>
      </c>
      <c r="H438" s="13">
        <v>112.5</v>
      </c>
      <c r="I438" s="13">
        <v>0</v>
      </c>
      <c r="J438" s="1" t="s">
        <v>2041</v>
      </c>
      <c r="K438" s="1" t="s">
        <v>2025</v>
      </c>
      <c r="L438" s="1" t="str">
        <f>VLOOKUP(Advices[[#This Row],[LC Number]],'Combine_List'!A:D,2,0)</f>
        <v>Rawabi Al Mahfar Trading Co.</v>
      </c>
      <c r="M438" s="447" t="str">
        <f>VLOOKUP(Advices[[#This Row],[LC Number]],'Combine_List'!A:D,3,0)</f>
        <v>FIRST FIX</v>
      </c>
      <c r="N438" s="447" t="str">
        <f>VLOOKUP(Advices[[#This Row],[LC Number]],'Combine_List'!A:D,4,0)</f>
        <v>RCRC</v>
      </c>
      <c r="O438" s="447">
        <f>VLOOKUP(Advices[[#This Row],[LC Number]],'Combine_List'!A:E,5,0)</f>
        <v>1020106</v>
      </c>
      <c r="P438" s="447">
        <f>MONTH(Advices[[#This Row],[Transaction Date]])</f>
        <v>10</v>
      </c>
      <c r="Q438" s="447">
        <f>YEAR(Advices[[#This Row],[Transaction Date]])</f>
        <v>2025</v>
      </c>
      <c r="R438" s="1"/>
    </row>
    <row r="439" spans="1:18" hidden="1" x14ac:dyDescent="0.25">
      <c r="A439" s="1" t="s">
        <v>612</v>
      </c>
      <c r="B439" s="178">
        <v>45959</v>
      </c>
      <c r="C439" s="1" t="s">
        <v>2101</v>
      </c>
      <c r="D439" s="1" t="s">
        <v>2428</v>
      </c>
      <c r="E439" s="1" t="s">
        <v>2395</v>
      </c>
      <c r="F439" s="1" t="s">
        <v>2395</v>
      </c>
      <c r="G439" s="1" t="s">
        <v>26</v>
      </c>
      <c r="H439" s="13">
        <v>125.46</v>
      </c>
      <c r="I439" s="13">
        <v>0</v>
      </c>
      <c r="J439" s="1" t="s">
        <v>2041</v>
      </c>
      <c r="K439" s="1" t="s">
        <v>2025</v>
      </c>
      <c r="L439" s="1" t="str">
        <f>VLOOKUP(Advices[[#This Row],[LC Number]],'Combine_List'!A:D,2,0)</f>
        <v>Rawabi Al Mahfar Trading Co.</v>
      </c>
      <c r="M439" s="447" t="str">
        <f>VLOOKUP(Advices[[#This Row],[LC Number]],'Combine_List'!A:D,3,0)</f>
        <v>FIRST FIX</v>
      </c>
      <c r="N439" s="447" t="str">
        <f>VLOOKUP(Advices[[#This Row],[LC Number]],'Combine_List'!A:D,4,0)</f>
        <v>RCRC</v>
      </c>
      <c r="O439" s="447">
        <f>VLOOKUP(Advices[[#This Row],[LC Number]],'Combine_List'!A:E,5,0)</f>
        <v>1020106</v>
      </c>
      <c r="P439" s="447">
        <f>MONTH(Advices[[#This Row],[Transaction Date]])</f>
        <v>10</v>
      </c>
      <c r="Q439" s="447">
        <f>YEAR(Advices[[#This Row],[Transaction Date]])</f>
        <v>2025</v>
      </c>
      <c r="R439" s="1"/>
    </row>
    <row r="440" spans="1:18" hidden="1" x14ac:dyDescent="0.25">
      <c r="A440" s="1" t="s">
        <v>612</v>
      </c>
      <c r="B440" s="178">
        <v>45959</v>
      </c>
      <c r="C440" s="1" t="s">
        <v>2101</v>
      </c>
      <c r="D440" s="1" t="s">
        <v>2429</v>
      </c>
      <c r="E440" s="1" t="s">
        <v>2395</v>
      </c>
      <c r="F440" s="1" t="s">
        <v>2395</v>
      </c>
      <c r="G440" s="1" t="s">
        <v>26</v>
      </c>
      <c r="H440" s="13">
        <v>18.82</v>
      </c>
      <c r="I440" s="13">
        <v>0</v>
      </c>
      <c r="J440" s="1" t="s">
        <v>2041</v>
      </c>
      <c r="K440" s="1" t="s">
        <v>2025</v>
      </c>
      <c r="L440" s="1" t="str">
        <f>VLOOKUP(Advices[[#This Row],[LC Number]],'Combine_List'!A:D,2,0)</f>
        <v>Rawabi Al Mahfar Trading Co.</v>
      </c>
      <c r="M440" s="447" t="str">
        <f>VLOOKUP(Advices[[#This Row],[LC Number]],'Combine_List'!A:D,3,0)</f>
        <v>FIRST FIX</v>
      </c>
      <c r="N440" s="447" t="str">
        <f>VLOOKUP(Advices[[#This Row],[LC Number]],'Combine_List'!A:D,4,0)</f>
        <v>RCRC</v>
      </c>
      <c r="O440" s="447">
        <f>VLOOKUP(Advices[[#This Row],[LC Number]],'Combine_List'!A:E,5,0)</f>
        <v>1020106</v>
      </c>
      <c r="P440" s="447">
        <f>MONTH(Advices[[#This Row],[Transaction Date]])</f>
        <v>10</v>
      </c>
      <c r="Q440" s="447">
        <f>YEAR(Advices[[#This Row],[Transaction Date]])</f>
        <v>2025</v>
      </c>
      <c r="R440" s="1"/>
    </row>
    <row r="441" spans="1:18" hidden="1" x14ac:dyDescent="0.25">
      <c r="A441" s="1" t="s">
        <v>612</v>
      </c>
      <c r="B441" s="178">
        <v>45959</v>
      </c>
      <c r="C441" s="1" t="s">
        <v>2101</v>
      </c>
      <c r="D441" s="1" t="s">
        <v>2430</v>
      </c>
      <c r="E441" s="1" t="s">
        <v>2395</v>
      </c>
      <c r="F441" s="1" t="s">
        <v>2395</v>
      </c>
      <c r="G441" s="1" t="s">
        <v>26</v>
      </c>
      <c r="H441" s="13">
        <v>75</v>
      </c>
      <c r="I441" s="13">
        <v>0</v>
      </c>
      <c r="J441" s="1" t="s">
        <v>2041</v>
      </c>
      <c r="K441" s="1" t="s">
        <v>2025</v>
      </c>
      <c r="L441" s="1" t="str">
        <f>VLOOKUP(Advices[[#This Row],[LC Number]],'Combine_List'!A:D,2,0)</f>
        <v>Rawabi Al Mahfar Trading Co.</v>
      </c>
      <c r="M441" s="447" t="str">
        <f>VLOOKUP(Advices[[#This Row],[LC Number]],'Combine_List'!A:D,3,0)</f>
        <v>FIRST FIX</v>
      </c>
      <c r="N441" s="447" t="str">
        <f>VLOOKUP(Advices[[#This Row],[LC Number]],'Combine_List'!A:D,4,0)</f>
        <v>RCRC</v>
      </c>
      <c r="O441" s="447">
        <f>VLOOKUP(Advices[[#This Row],[LC Number]],'Combine_List'!A:E,5,0)</f>
        <v>1020106</v>
      </c>
      <c r="P441" s="447">
        <f>MONTH(Advices[[#This Row],[Transaction Date]])</f>
        <v>10</v>
      </c>
      <c r="Q441" s="447">
        <f>YEAR(Advices[[#This Row],[Transaction Date]])</f>
        <v>2025</v>
      </c>
      <c r="R441" s="1"/>
    </row>
    <row r="442" spans="1:18" hidden="1" x14ac:dyDescent="0.25">
      <c r="A442" s="1" t="s">
        <v>612</v>
      </c>
      <c r="B442" s="178">
        <v>45959</v>
      </c>
      <c r="C442" s="1" t="s">
        <v>2101</v>
      </c>
      <c r="D442" s="1" t="s">
        <v>2431</v>
      </c>
      <c r="E442" s="1" t="s">
        <v>2395</v>
      </c>
      <c r="F442" s="1" t="s">
        <v>2395</v>
      </c>
      <c r="G442" s="1" t="s">
        <v>26</v>
      </c>
      <c r="H442" s="13">
        <v>11.25</v>
      </c>
      <c r="I442" s="13">
        <v>0</v>
      </c>
      <c r="J442" s="1" t="s">
        <v>2041</v>
      </c>
      <c r="K442" s="1" t="s">
        <v>2025</v>
      </c>
      <c r="L442" s="1" t="str">
        <f>VLOOKUP(Advices[[#This Row],[LC Number]],'Combine_List'!A:D,2,0)</f>
        <v>Rawabi Al Mahfar Trading Co.</v>
      </c>
      <c r="M442" s="447" t="str">
        <f>VLOOKUP(Advices[[#This Row],[LC Number]],'Combine_List'!A:D,3,0)</f>
        <v>FIRST FIX</v>
      </c>
      <c r="N442" s="447" t="str">
        <f>VLOOKUP(Advices[[#This Row],[LC Number]],'Combine_List'!A:D,4,0)</f>
        <v>RCRC</v>
      </c>
      <c r="O442" s="447">
        <f>VLOOKUP(Advices[[#This Row],[LC Number]],'Combine_List'!A:E,5,0)</f>
        <v>1020106</v>
      </c>
      <c r="P442" s="447">
        <f>MONTH(Advices[[#This Row],[Transaction Date]])</f>
        <v>10</v>
      </c>
      <c r="Q442" s="447">
        <f>YEAR(Advices[[#This Row],[Transaction Date]])</f>
        <v>2025</v>
      </c>
      <c r="R442" s="1"/>
    </row>
    <row r="443" spans="1:18" x14ac:dyDescent="0.25">
      <c r="A443" s="1" t="s">
        <v>21</v>
      </c>
      <c r="B443" s="178">
        <v>45960</v>
      </c>
      <c r="C443" s="1" t="s">
        <v>1951</v>
      </c>
      <c r="D443" s="1" t="s">
        <v>2435</v>
      </c>
      <c r="E443" s="1" t="s">
        <v>1191</v>
      </c>
      <c r="F443" s="1" t="s">
        <v>2436</v>
      </c>
      <c r="G443" s="1" t="s">
        <v>26</v>
      </c>
      <c r="H443" s="13">
        <v>329.86</v>
      </c>
      <c r="I443" s="13">
        <v>0</v>
      </c>
      <c r="J443" s="1" t="s">
        <v>1174</v>
      </c>
      <c r="K443" s="1" t="s">
        <v>2025</v>
      </c>
      <c r="L443" s="1" t="str">
        <f>VLOOKUP(Advices[[#This Row],[LC Number]],'Combine_List'!A:D,2,0)</f>
        <v>Awtad Jeddah for General Contracting Company</v>
      </c>
      <c r="M443" s="447" t="str">
        <f>VLOOKUP(Advices[[#This Row],[LC Number]],'Combine_List'!A:D,3,0)</f>
        <v>MBL</v>
      </c>
      <c r="N443" s="447" t="str">
        <f>VLOOKUP(Advices[[#This Row],[LC Number]],'Combine_List'!A:D,4,0)</f>
        <v>Rabigh Power Plant</v>
      </c>
      <c r="O443" s="447">
        <f>VLOOKUP(Advices[[#This Row],[LC Number]],'Combine_List'!A:E,5,0)</f>
        <v>1020107</v>
      </c>
      <c r="P443" s="447">
        <f>MONTH(Advices[[#This Row],[Transaction Date]])</f>
        <v>10</v>
      </c>
      <c r="Q443" s="447">
        <f>YEAR(Advices[[#This Row],[Transaction Date]])</f>
        <v>2025</v>
      </c>
      <c r="R443" s="1"/>
    </row>
    <row r="444" spans="1:18" x14ac:dyDescent="0.25">
      <c r="A444" s="1" t="s">
        <v>21</v>
      </c>
      <c r="B444" s="178">
        <v>45960</v>
      </c>
      <c r="C444" s="1" t="s">
        <v>1951</v>
      </c>
      <c r="D444" s="1" t="s">
        <v>2437</v>
      </c>
      <c r="E444" s="1" t="s">
        <v>1191</v>
      </c>
      <c r="F444" s="1" t="s">
        <v>2436</v>
      </c>
      <c r="G444" s="1" t="s">
        <v>26</v>
      </c>
      <c r="H444" s="13">
        <v>2199.0500000000002</v>
      </c>
      <c r="I444" s="13">
        <v>0</v>
      </c>
      <c r="J444" s="1" t="s">
        <v>1125</v>
      </c>
      <c r="K444" s="1" t="s">
        <v>2025</v>
      </c>
      <c r="L444" s="1" t="str">
        <f>VLOOKUP(Advices[[#This Row],[LC Number]],'Combine_List'!A:D,2,0)</f>
        <v>Awtad Jeddah for General Contracting Company</v>
      </c>
      <c r="M444" s="447" t="str">
        <f>VLOOKUP(Advices[[#This Row],[LC Number]],'Combine_List'!A:D,3,0)</f>
        <v>MBL</v>
      </c>
      <c r="N444" s="447" t="str">
        <f>VLOOKUP(Advices[[#This Row],[LC Number]],'Combine_List'!A:D,4,0)</f>
        <v>Rabigh Power Plant</v>
      </c>
      <c r="O444" s="447">
        <f>VLOOKUP(Advices[[#This Row],[LC Number]],'Combine_List'!A:E,5,0)</f>
        <v>1020107</v>
      </c>
      <c r="P444" s="447">
        <f>MONTH(Advices[[#This Row],[Transaction Date]])</f>
        <v>10</v>
      </c>
      <c r="Q444" s="447">
        <f>YEAR(Advices[[#This Row],[Transaction Date]])</f>
        <v>2025</v>
      </c>
      <c r="R444" s="1"/>
    </row>
    <row r="445" spans="1:18" x14ac:dyDescent="0.25">
      <c r="A445" s="1" t="s">
        <v>21</v>
      </c>
      <c r="B445" s="178">
        <v>45960</v>
      </c>
      <c r="C445" s="1" t="s">
        <v>1951</v>
      </c>
      <c r="D445" s="1" t="s">
        <v>1952</v>
      </c>
      <c r="E445" s="1" t="s">
        <v>1658</v>
      </c>
      <c r="F445" s="1" t="s">
        <v>2438</v>
      </c>
      <c r="G445" s="1" t="s">
        <v>26</v>
      </c>
      <c r="H445" s="13">
        <v>187.5</v>
      </c>
      <c r="I445" s="13">
        <v>0</v>
      </c>
      <c r="J445" s="1" t="s">
        <v>1174</v>
      </c>
      <c r="K445" s="1" t="s">
        <v>2025</v>
      </c>
      <c r="L445" s="1" t="str">
        <f>VLOOKUP(Advices[[#This Row],[LC Number]],'Combine_List'!A:D,2,0)</f>
        <v>TABARK AL-MOMMYZA FOR TRADING COMPANY</v>
      </c>
      <c r="M445" s="447" t="str">
        <f>VLOOKUP(Advices[[#This Row],[LC Number]],'Combine_List'!A:D,3,0)</f>
        <v>FIRST FIX</v>
      </c>
      <c r="N445" s="447" t="str">
        <f>VLOOKUP(Advices[[#This Row],[LC Number]],'Combine_List'!A:D,4,0)</f>
        <v>KSP</v>
      </c>
      <c r="O445" s="447">
        <f>VLOOKUP(Advices[[#This Row],[LC Number]],'Combine_List'!A:E,5,0)</f>
        <v>1020055</v>
      </c>
      <c r="P445" s="447">
        <f>MONTH(Advices[[#This Row],[Transaction Date]])</f>
        <v>10</v>
      </c>
      <c r="Q445" s="447">
        <f>YEAR(Advices[[#This Row],[Transaction Date]])</f>
        <v>2025</v>
      </c>
      <c r="R445" s="1"/>
    </row>
    <row r="446" spans="1:18" x14ac:dyDescent="0.25">
      <c r="A446" s="1" t="s">
        <v>21</v>
      </c>
      <c r="B446" s="178">
        <v>45960</v>
      </c>
      <c r="C446" s="1" t="s">
        <v>1951</v>
      </c>
      <c r="D446" s="1" t="s">
        <v>2439</v>
      </c>
      <c r="E446" s="1" t="s">
        <v>1658</v>
      </c>
      <c r="F446" s="1" t="s">
        <v>2438</v>
      </c>
      <c r="G446" s="1" t="s">
        <v>26</v>
      </c>
      <c r="H446" s="13">
        <v>1250</v>
      </c>
      <c r="I446" s="13">
        <v>0</v>
      </c>
      <c r="J446" s="1" t="s">
        <v>1125</v>
      </c>
      <c r="K446" s="1" t="s">
        <v>2025</v>
      </c>
      <c r="L446" s="1" t="str">
        <f>VLOOKUP(Advices[[#This Row],[LC Number]],'Combine_List'!A:D,2,0)</f>
        <v>TABARK AL-MOMMYZA FOR TRADING COMPANY</v>
      </c>
      <c r="M446" s="447" t="str">
        <f>VLOOKUP(Advices[[#This Row],[LC Number]],'Combine_List'!A:D,3,0)</f>
        <v>FIRST FIX</v>
      </c>
      <c r="N446" s="447" t="str">
        <f>VLOOKUP(Advices[[#This Row],[LC Number]],'Combine_List'!A:D,4,0)</f>
        <v>KSP</v>
      </c>
      <c r="O446" s="447">
        <f>VLOOKUP(Advices[[#This Row],[LC Number]],'Combine_List'!A:E,5,0)</f>
        <v>1020055</v>
      </c>
      <c r="P446" s="447">
        <f>MONTH(Advices[[#This Row],[Transaction Date]])</f>
        <v>10</v>
      </c>
      <c r="Q446" s="447">
        <f>YEAR(Advices[[#This Row],[Transaction Date]])</f>
        <v>2025</v>
      </c>
      <c r="R446" s="1"/>
    </row>
    <row r="447" spans="1:18" hidden="1" x14ac:dyDescent="0.25">
      <c r="A447" s="1" t="s">
        <v>62</v>
      </c>
      <c r="B447" s="178">
        <v>45960</v>
      </c>
      <c r="C447" s="1" t="s">
        <v>2042</v>
      </c>
      <c r="D447" s="1" t="s">
        <v>2440</v>
      </c>
      <c r="E447" s="1" t="s">
        <v>2432</v>
      </c>
      <c r="F447" s="1" t="s">
        <v>2041</v>
      </c>
      <c r="G447" s="1" t="s">
        <v>26</v>
      </c>
      <c r="H447" s="13">
        <v>57.5</v>
      </c>
      <c r="I447" s="13">
        <v>0</v>
      </c>
      <c r="J447" s="1" t="s">
        <v>2041</v>
      </c>
      <c r="K447" s="1" t="s">
        <v>2025</v>
      </c>
      <c r="L447" s="1" t="str">
        <f>VLOOKUP(Advices[[#This Row],[LC Number]],'Combine_List'!A:D,2,0)</f>
        <v>Advance - JEDDAH ISLAMIC PORT</v>
      </c>
      <c r="M447" s="447">
        <f>VLOOKUP(Advices[[#This Row],[LC Number]],'Combine_List'!A:D,3,0)</f>
        <v>0</v>
      </c>
      <c r="N447" s="447">
        <f>VLOOKUP(Advices[[#This Row],[LC Number]],'Combine_List'!A:D,4,0)</f>
        <v>0</v>
      </c>
      <c r="O447" s="447" t="str">
        <f>VLOOKUP(Advices[[#This Row],[LC Number]],'Combine_List'!A:E,5,0)</f>
        <v>1020053</v>
      </c>
      <c r="P447" s="447">
        <f>MONTH(Advices[[#This Row],[Transaction Date]])</f>
        <v>10</v>
      </c>
      <c r="Q447" s="447">
        <f>YEAR(Advices[[#This Row],[Transaction Date]])</f>
        <v>2025</v>
      </c>
      <c r="R447" s="1"/>
    </row>
    <row r="448" spans="1:18" hidden="1" x14ac:dyDescent="0.25">
      <c r="A448" s="1" t="s">
        <v>95</v>
      </c>
      <c r="B448" s="178">
        <v>45960</v>
      </c>
      <c r="C448" s="1" t="s">
        <v>2026</v>
      </c>
      <c r="D448" s="1" t="s">
        <v>2441</v>
      </c>
      <c r="E448" s="1" t="s">
        <v>1417</v>
      </c>
      <c r="F448" s="1" t="s">
        <v>2442</v>
      </c>
      <c r="G448" s="1" t="s">
        <v>26</v>
      </c>
      <c r="H448" s="13">
        <v>524263.78</v>
      </c>
      <c r="I448" s="13">
        <v>0</v>
      </c>
      <c r="J448" s="1" t="s">
        <v>1126</v>
      </c>
      <c r="K448" s="1" t="s">
        <v>2025</v>
      </c>
      <c r="L448" s="1" t="str">
        <f>VLOOKUP(Advices[[#This Row],[LC Number]],'Combine_List'!A:D,2,0)</f>
        <v>Gulf Grilles Company</v>
      </c>
      <c r="M448" s="447" t="str">
        <f>VLOOKUP(Advices[[#This Row],[LC Number]],'Combine_List'!A:D,3,0)</f>
        <v>FIRST FIX</v>
      </c>
      <c r="N448" s="447" t="str">
        <f>VLOOKUP(Advices[[#This Row],[LC Number]],'Combine_List'!A:D,4,0)</f>
        <v>KSP</v>
      </c>
      <c r="O448" s="447">
        <f>VLOOKUP(Advices[[#This Row],[LC Number]],'Combine_List'!A:E,5,0)</f>
        <v>1020055</v>
      </c>
      <c r="P448" s="447">
        <f>MONTH(Advices[[#This Row],[Transaction Date]])</f>
        <v>10</v>
      </c>
      <c r="Q448" s="447">
        <f>YEAR(Advices[[#This Row],[Transaction Date]])</f>
        <v>2025</v>
      </c>
      <c r="R448" s="1"/>
    </row>
    <row r="449" spans="1:18" hidden="1" x14ac:dyDescent="0.25">
      <c r="A449" s="1" t="s">
        <v>366</v>
      </c>
      <c r="B449" s="178">
        <v>45960</v>
      </c>
      <c r="C449" s="1" t="s">
        <v>2060</v>
      </c>
      <c r="D449" s="1" t="s">
        <v>2443</v>
      </c>
      <c r="E449" s="1" t="s">
        <v>1432</v>
      </c>
      <c r="F449" s="1" t="s">
        <v>3491</v>
      </c>
      <c r="G449" s="1" t="s">
        <v>26</v>
      </c>
      <c r="H449" s="13">
        <v>300000</v>
      </c>
      <c r="I449" s="13">
        <v>0</v>
      </c>
      <c r="J449" s="1" t="s">
        <v>2041</v>
      </c>
      <c r="K449" s="1" t="s">
        <v>2025</v>
      </c>
      <c r="L449" s="1" t="str">
        <f>VLOOKUP(Advices[[#This Row],[LC Number]],'Combine_List'!A:D,2,0)</f>
        <v>Arabian International Company For Contracting</v>
      </c>
      <c r="M449" s="447" t="str">
        <f>VLOOKUP(Advices[[#This Row],[LC Number]],'Combine_List'!A:D,3,0)</f>
        <v>FIRST FIX</v>
      </c>
      <c r="N449" s="447" t="str">
        <f>VLOOKUP(Advices[[#This Row],[LC Number]],'Combine_List'!A:D,4,0)</f>
        <v>MP1</v>
      </c>
      <c r="O449" s="447">
        <f>VLOOKUP(Advices[[#This Row],[LC Number]],'Combine_List'!A:E,5,0)</f>
        <v>1020088</v>
      </c>
      <c r="P449" s="447">
        <f>MONTH(Advices[[#This Row],[Transaction Date]])</f>
        <v>10</v>
      </c>
      <c r="Q449" s="447">
        <f>YEAR(Advices[[#This Row],[Transaction Date]])</f>
        <v>2025</v>
      </c>
      <c r="R449" s="1"/>
    </row>
    <row r="450" spans="1:18" hidden="1" x14ac:dyDescent="0.25">
      <c r="A450" s="1" t="s">
        <v>366</v>
      </c>
      <c r="B450" s="178">
        <v>45960</v>
      </c>
      <c r="C450" s="1" t="s">
        <v>2060</v>
      </c>
      <c r="D450" s="1" t="s">
        <v>2444</v>
      </c>
      <c r="E450" s="1" t="s">
        <v>1808</v>
      </c>
      <c r="F450" s="1" t="s">
        <v>3413</v>
      </c>
      <c r="G450" s="1" t="s">
        <v>26</v>
      </c>
      <c r="H450" s="13">
        <v>699367</v>
      </c>
      <c r="I450" s="13">
        <v>0</v>
      </c>
      <c r="J450" s="1" t="s">
        <v>2041</v>
      </c>
      <c r="K450" s="1" t="s">
        <v>2025</v>
      </c>
      <c r="L450" s="1" t="str">
        <f>VLOOKUP(Advices[[#This Row],[LC Number]],'Combine_List'!A:D,2,0)</f>
        <v>Al Saadeh Trading Establishment</v>
      </c>
      <c r="M450" s="447" t="str">
        <f>VLOOKUP(Advices[[#This Row],[LC Number]],'Combine_List'!A:D,3,0)</f>
        <v>MBL/ICAD</v>
      </c>
      <c r="N450" s="447" t="str">
        <f>VLOOKUP(Advices[[#This Row],[LC Number]],'Combine_List'!A:D,4,0)</f>
        <v>ABHA</v>
      </c>
      <c r="O450" s="447">
        <f>VLOOKUP(Advices[[#This Row],[LC Number]],'Combine_List'!A:E,5,0)</f>
        <v>1020070</v>
      </c>
      <c r="P450" s="447">
        <f>MONTH(Advices[[#This Row],[Transaction Date]])</f>
        <v>10</v>
      </c>
      <c r="Q450" s="447">
        <f>YEAR(Advices[[#This Row],[Transaction Date]])</f>
        <v>2025</v>
      </c>
      <c r="R450" s="1"/>
    </row>
    <row r="451" spans="1:18" hidden="1" x14ac:dyDescent="0.25">
      <c r="A451" s="1" t="s">
        <v>366</v>
      </c>
      <c r="B451" s="178">
        <v>45960</v>
      </c>
      <c r="C451" s="1" t="s">
        <v>2060</v>
      </c>
      <c r="D451" s="1" t="s">
        <v>2445</v>
      </c>
      <c r="E451" s="1" t="s">
        <v>1876</v>
      </c>
      <c r="F451" s="1" t="s">
        <v>3428</v>
      </c>
      <c r="G451" s="1" t="s">
        <v>26</v>
      </c>
      <c r="H451" s="13">
        <v>36073.86</v>
      </c>
      <c r="I451" s="13">
        <v>0</v>
      </c>
      <c r="J451" s="1" t="s">
        <v>2041</v>
      </c>
      <c r="K451" s="1" t="s">
        <v>2025</v>
      </c>
      <c r="L451" s="1" t="str">
        <f>VLOOKUP(Advices[[#This Row],[LC Number]],'Combine_List'!A:D,2,0)</f>
        <v>ELSEWEDY CABLES COMPANY LTD.</v>
      </c>
      <c r="M451" s="447" t="str">
        <f>VLOOKUP(Advices[[#This Row],[LC Number]],'Combine_List'!A:D,3,0)</f>
        <v>FIRST FIX</v>
      </c>
      <c r="N451" s="447" t="str">
        <f>VLOOKUP(Advices[[#This Row],[LC Number]],'Combine_List'!A:D,4,0)</f>
        <v>MP1</v>
      </c>
      <c r="O451" s="447">
        <f>VLOOKUP(Advices[[#This Row],[LC Number]],'Combine_List'!A:E,5,0)</f>
        <v>1020088</v>
      </c>
      <c r="P451" s="447">
        <f>MONTH(Advices[[#This Row],[Transaction Date]])</f>
        <v>10</v>
      </c>
      <c r="Q451" s="447">
        <f>YEAR(Advices[[#This Row],[Transaction Date]])</f>
        <v>2025</v>
      </c>
      <c r="R451" s="1"/>
    </row>
    <row r="452" spans="1:18" hidden="1" x14ac:dyDescent="0.25">
      <c r="A452" s="1" t="s">
        <v>2089</v>
      </c>
      <c r="B452" s="178">
        <v>45960</v>
      </c>
      <c r="C452" s="1" t="s">
        <v>2093</v>
      </c>
      <c r="D452" s="1" t="s">
        <v>2272</v>
      </c>
      <c r="E452" s="1" t="s">
        <v>596</v>
      </c>
      <c r="F452" s="1" t="s">
        <v>2446</v>
      </c>
      <c r="G452" s="1" t="s">
        <v>26</v>
      </c>
      <c r="H452" s="13"/>
      <c r="I452" s="13">
        <v>758292.72</v>
      </c>
      <c r="J452" s="1" t="s">
        <v>2041</v>
      </c>
      <c r="K452" s="1" t="s">
        <v>2025</v>
      </c>
      <c r="L452" s="1" t="str">
        <f>VLOOKUP(Advices[[#This Row],[LC Number]],'Combine_List'!A:D,2,0)</f>
        <v>Branch of National Fire Fighting (NAFFCO)</v>
      </c>
      <c r="M452" s="447" t="str">
        <f>VLOOKUP(Advices[[#This Row],[LC Number]],'Combine_List'!A:D,3,0)</f>
        <v>FIRST FIX</v>
      </c>
      <c r="N452" s="447" t="str">
        <f>VLOOKUP(Advices[[#This Row],[LC Number]],'Combine_List'!A:D,4,0)</f>
        <v>KSP</v>
      </c>
      <c r="O452" s="447">
        <f>VLOOKUP(Advices[[#This Row],[LC Number]],'Combine_List'!A:E,5,0)</f>
        <v>1020055</v>
      </c>
      <c r="P452" s="447">
        <f>MONTH(Advices[[#This Row],[Transaction Date]])</f>
        <v>10</v>
      </c>
      <c r="Q452" s="447">
        <f>YEAR(Advices[[#This Row],[Transaction Date]])</f>
        <v>2025</v>
      </c>
      <c r="R452" s="1"/>
    </row>
    <row r="453" spans="1:18" hidden="1" x14ac:dyDescent="0.25">
      <c r="A453" s="1" t="s">
        <v>612</v>
      </c>
      <c r="B453" s="178">
        <v>45960</v>
      </c>
      <c r="C453" s="1" t="s">
        <v>2101</v>
      </c>
      <c r="D453" s="1" t="s">
        <v>2447</v>
      </c>
      <c r="E453" s="1" t="s">
        <v>1610</v>
      </c>
      <c r="F453" s="1" t="s">
        <v>1610</v>
      </c>
      <c r="G453" s="1" t="s">
        <v>26</v>
      </c>
      <c r="H453" s="13">
        <v>450632</v>
      </c>
      <c r="I453" s="13">
        <v>0</v>
      </c>
      <c r="J453" s="1" t="s">
        <v>2041</v>
      </c>
      <c r="K453" s="1" t="s">
        <v>2025</v>
      </c>
      <c r="L453" s="1" t="str">
        <f>VLOOKUP(Advices[[#This Row],[LC Number]],'Combine_List'!A:D,2,0)</f>
        <v>Metten Al-Arabia Ltd Co (METARA)</v>
      </c>
      <c r="M453" s="447" t="str">
        <f>VLOOKUP(Advices[[#This Row],[LC Number]],'Combine_List'!A:D,3,0)</f>
        <v>MBL</v>
      </c>
      <c r="N453" s="447" t="str">
        <f>VLOOKUP(Advices[[#This Row],[LC Number]],'Combine_List'!A:D,4,0)</f>
        <v>RCRC</v>
      </c>
      <c r="O453" s="447">
        <f>VLOOKUP(Advices[[#This Row],[LC Number]],'Combine_List'!A:E,5,0)</f>
        <v>1020106</v>
      </c>
      <c r="P453" s="447">
        <f>MONTH(Advices[[#This Row],[Transaction Date]])</f>
        <v>10</v>
      </c>
      <c r="Q453" s="447">
        <f>YEAR(Advices[[#This Row],[Transaction Date]])</f>
        <v>2025</v>
      </c>
      <c r="R453" s="1"/>
    </row>
    <row r="454" spans="1:18" x14ac:dyDescent="0.25">
      <c r="A454" s="1" t="s">
        <v>21</v>
      </c>
      <c r="B454" s="178">
        <v>45963</v>
      </c>
      <c r="C454" s="1" t="s">
        <v>1951</v>
      </c>
      <c r="D454" s="1" t="s">
        <v>2455</v>
      </c>
      <c r="E454" s="1" t="s">
        <v>1501</v>
      </c>
      <c r="F454" s="1" t="s">
        <v>2456</v>
      </c>
      <c r="G454" s="1" t="s">
        <v>26</v>
      </c>
      <c r="H454" s="13">
        <v>375</v>
      </c>
      <c r="I454" s="13">
        <v>0</v>
      </c>
      <c r="J454" s="1" t="s">
        <v>1174</v>
      </c>
      <c r="K454" s="1" t="s">
        <v>2025</v>
      </c>
      <c r="L454" s="1" t="str">
        <f>VLOOKUP(Advices[[#This Row],[LC Number]],'Combine_List'!A:D,2,0)</f>
        <v>ALFANAR ELECTRICAL SYSTEMS</v>
      </c>
      <c r="M454" s="447" t="str">
        <f>VLOOKUP(Advices[[#This Row],[LC Number]],'Combine_List'!A:D,3,0)</f>
        <v>FIRST FIX</v>
      </c>
      <c r="N454" s="447" t="str">
        <f>VLOOKUP(Advices[[#This Row],[LC Number]],'Combine_List'!A:D,4,0)</f>
        <v>JCD SPMI</v>
      </c>
      <c r="O454" s="447">
        <f>VLOOKUP(Advices[[#This Row],[LC Number]],'Combine_List'!A:E,5,0)</f>
        <v>1020100</v>
      </c>
      <c r="P454" s="447">
        <f>MONTH(Advices[[#This Row],[Transaction Date]])</f>
        <v>11</v>
      </c>
      <c r="Q454" s="447">
        <f>YEAR(Advices[[#This Row],[Transaction Date]])</f>
        <v>2025</v>
      </c>
      <c r="R454" s="1"/>
    </row>
    <row r="455" spans="1:18" x14ac:dyDescent="0.25">
      <c r="A455" s="1" t="s">
        <v>21</v>
      </c>
      <c r="B455" s="178">
        <v>45963</v>
      </c>
      <c r="C455" s="1" t="s">
        <v>1951</v>
      </c>
      <c r="D455" s="1" t="s">
        <v>2457</v>
      </c>
      <c r="E455" s="1" t="s">
        <v>1501</v>
      </c>
      <c r="F455" s="1" t="s">
        <v>2456</v>
      </c>
      <c r="G455" s="1" t="s">
        <v>26</v>
      </c>
      <c r="H455" s="13">
        <v>2500</v>
      </c>
      <c r="I455" s="13">
        <v>0</v>
      </c>
      <c r="J455" s="1" t="s">
        <v>1125</v>
      </c>
      <c r="K455" s="1" t="s">
        <v>2025</v>
      </c>
      <c r="L455" s="1" t="str">
        <f>VLOOKUP(Advices[[#This Row],[LC Number]],'Combine_List'!A:D,2,0)</f>
        <v>ALFANAR ELECTRICAL SYSTEMS</v>
      </c>
      <c r="M455" s="447" t="str">
        <f>VLOOKUP(Advices[[#This Row],[LC Number]],'Combine_List'!A:D,3,0)</f>
        <v>FIRST FIX</v>
      </c>
      <c r="N455" s="447" t="str">
        <f>VLOOKUP(Advices[[#This Row],[LC Number]],'Combine_List'!A:D,4,0)</f>
        <v>JCD SPMI</v>
      </c>
      <c r="O455" s="447">
        <f>VLOOKUP(Advices[[#This Row],[LC Number]],'Combine_List'!A:E,5,0)</f>
        <v>1020100</v>
      </c>
      <c r="P455" s="447">
        <f>MONTH(Advices[[#This Row],[Transaction Date]])</f>
        <v>11</v>
      </c>
      <c r="Q455" s="447">
        <f>YEAR(Advices[[#This Row],[Transaction Date]])</f>
        <v>2025</v>
      </c>
      <c r="R455" s="1"/>
    </row>
    <row r="456" spans="1:18" x14ac:dyDescent="0.25">
      <c r="A456" s="1" t="s">
        <v>21</v>
      </c>
      <c r="B456" s="178">
        <v>45964</v>
      </c>
      <c r="C456" s="1" t="s">
        <v>1951</v>
      </c>
      <c r="D456" s="1" t="s">
        <v>1960</v>
      </c>
      <c r="E456" s="1" t="s">
        <v>1311</v>
      </c>
      <c r="F456" s="1" t="s">
        <v>2458</v>
      </c>
      <c r="G456" s="1" t="s">
        <v>26</v>
      </c>
      <c r="H456" s="13">
        <v>11.25</v>
      </c>
      <c r="I456" s="13">
        <v>0</v>
      </c>
      <c r="J456" s="1" t="s">
        <v>1174</v>
      </c>
      <c r="K456" s="1" t="s">
        <v>2025</v>
      </c>
      <c r="L456" s="1" t="str">
        <f>VLOOKUP(Advices[[#This Row],[LC Number]],'Combine_List'!A:D,2,0)</f>
        <v>AFAQ AL MALAZ TRADING CO.LTD</v>
      </c>
      <c r="M456" s="447" t="str">
        <f>VLOOKUP(Advices[[#This Row],[LC Number]],'Combine_List'!A:D,3,0)</f>
        <v>FIRST FIX</v>
      </c>
      <c r="N456" s="447" t="str">
        <f>VLOOKUP(Advices[[#This Row],[LC Number]],'Combine_List'!A:D,4,0)</f>
        <v>KSP</v>
      </c>
      <c r="O456" s="447">
        <f>VLOOKUP(Advices[[#This Row],[LC Number]],'Combine_List'!A:E,5,0)</f>
        <v>1020055</v>
      </c>
      <c r="P456" s="447">
        <f>MONTH(Advices[[#This Row],[Transaction Date]])</f>
        <v>11</v>
      </c>
      <c r="Q456" s="447">
        <f>YEAR(Advices[[#This Row],[Transaction Date]])</f>
        <v>2025</v>
      </c>
      <c r="R456" s="1"/>
    </row>
    <row r="457" spans="1:18" x14ac:dyDescent="0.25">
      <c r="A457" s="1" t="s">
        <v>21</v>
      </c>
      <c r="B457" s="178">
        <v>45964</v>
      </c>
      <c r="C457" s="1" t="s">
        <v>1951</v>
      </c>
      <c r="D457" s="1" t="s">
        <v>2459</v>
      </c>
      <c r="E457" s="1" t="s">
        <v>1311</v>
      </c>
      <c r="F457" s="1" t="s">
        <v>2458</v>
      </c>
      <c r="G457" s="1" t="s">
        <v>26</v>
      </c>
      <c r="H457" s="13">
        <v>75</v>
      </c>
      <c r="I457" s="13">
        <v>0</v>
      </c>
      <c r="J457" s="1" t="s">
        <v>1963</v>
      </c>
      <c r="K457" s="1" t="s">
        <v>2025</v>
      </c>
      <c r="L457" s="1" t="str">
        <f>VLOOKUP(Advices[[#This Row],[LC Number]],'Combine_List'!A:D,2,0)</f>
        <v>AFAQ AL MALAZ TRADING CO.LTD</v>
      </c>
      <c r="M457" s="447" t="str">
        <f>VLOOKUP(Advices[[#This Row],[LC Number]],'Combine_List'!A:D,3,0)</f>
        <v>FIRST FIX</v>
      </c>
      <c r="N457" s="447" t="str">
        <f>VLOOKUP(Advices[[#This Row],[LC Number]],'Combine_List'!A:D,4,0)</f>
        <v>KSP</v>
      </c>
      <c r="O457" s="447">
        <f>VLOOKUP(Advices[[#This Row],[LC Number]],'Combine_List'!A:E,5,0)</f>
        <v>1020055</v>
      </c>
      <c r="P457" s="447">
        <f>MONTH(Advices[[#This Row],[Transaction Date]])</f>
        <v>11</v>
      </c>
      <c r="Q457" s="447">
        <f>YEAR(Advices[[#This Row],[Transaction Date]])</f>
        <v>2025</v>
      </c>
      <c r="R457" s="1"/>
    </row>
    <row r="458" spans="1:18" x14ac:dyDescent="0.25">
      <c r="A458" s="1" t="s">
        <v>21</v>
      </c>
      <c r="B458" s="178">
        <v>45964</v>
      </c>
      <c r="C458" s="1" t="s">
        <v>1951</v>
      </c>
      <c r="D458" s="1" t="s">
        <v>2460</v>
      </c>
      <c r="E458" s="1" t="s">
        <v>1311</v>
      </c>
      <c r="F458" s="1" t="s">
        <v>2458</v>
      </c>
      <c r="G458" s="1" t="s">
        <v>26</v>
      </c>
      <c r="H458" s="13">
        <v>30420.75</v>
      </c>
      <c r="I458" s="13">
        <v>0</v>
      </c>
      <c r="J458" s="1" t="s">
        <v>1126</v>
      </c>
      <c r="K458" s="1" t="s">
        <v>2025</v>
      </c>
      <c r="L458" s="1" t="str">
        <f>VLOOKUP(Advices[[#This Row],[LC Number]],'Combine_List'!A:D,2,0)</f>
        <v>AFAQ AL MALAZ TRADING CO.LTD</v>
      </c>
      <c r="M458" s="447" t="str">
        <f>VLOOKUP(Advices[[#This Row],[LC Number]],'Combine_List'!A:D,3,0)</f>
        <v>FIRST FIX</v>
      </c>
      <c r="N458" s="447" t="str">
        <f>VLOOKUP(Advices[[#This Row],[LC Number]],'Combine_List'!A:D,4,0)</f>
        <v>KSP</v>
      </c>
      <c r="O458" s="447">
        <f>VLOOKUP(Advices[[#This Row],[LC Number]],'Combine_List'!A:E,5,0)</f>
        <v>1020055</v>
      </c>
      <c r="P458" s="447">
        <f>MONTH(Advices[[#This Row],[Transaction Date]])</f>
        <v>11</v>
      </c>
      <c r="Q458" s="447">
        <f>YEAR(Advices[[#This Row],[Transaction Date]])</f>
        <v>2025</v>
      </c>
      <c r="R458" s="1"/>
    </row>
    <row r="459" spans="1:18" hidden="1" x14ac:dyDescent="0.25">
      <c r="A459" s="1" t="s">
        <v>62</v>
      </c>
      <c r="B459" s="178">
        <v>45963</v>
      </c>
      <c r="C459" s="1" t="s">
        <v>2039</v>
      </c>
      <c r="D459" s="1" t="s">
        <v>2461</v>
      </c>
      <c r="E459" s="1" t="s">
        <v>2462</v>
      </c>
      <c r="F459" s="1" t="s">
        <v>2041</v>
      </c>
      <c r="G459" s="1" t="s">
        <v>26</v>
      </c>
      <c r="H459" s="13">
        <v>460</v>
      </c>
      <c r="I459" s="13">
        <v>0</v>
      </c>
      <c r="J459" s="1" t="s">
        <v>2041</v>
      </c>
      <c r="K459" s="1" t="s">
        <v>2025</v>
      </c>
      <c r="L459" s="1" t="e">
        <f>VLOOKUP(Advices[[#This Row],[LC Number]],'Combine_List'!A:D,2,0)</f>
        <v>#N/A</v>
      </c>
      <c r="M459" s="447" t="e">
        <f>VLOOKUP(Advices[[#This Row],[LC Number]],'Combine_List'!A:D,3,0)</f>
        <v>#N/A</v>
      </c>
      <c r="N459" s="447" t="e">
        <f>VLOOKUP(Advices[[#This Row],[LC Number]],'Combine_List'!A:D,4,0)</f>
        <v>#N/A</v>
      </c>
      <c r="O459" s="447" t="e">
        <f>VLOOKUP(Advices[[#This Row],[LC Number]],'Combine_List'!A:E,5,0)</f>
        <v>#N/A</v>
      </c>
      <c r="P459" s="447">
        <f>MONTH(Advices[[#This Row],[Transaction Date]])</f>
        <v>11</v>
      </c>
      <c r="Q459" s="447">
        <f>YEAR(Advices[[#This Row],[Transaction Date]])</f>
        <v>2025</v>
      </c>
      <c r="R459" s="1"/>
    </row>
    <row r="460" spans="1:18" hidden="1" x14ac:dyDescent="0.25">
      <c r="A460" s="1" t="s">
        <v>62</v>
      </c>
      <c r="B460" s="178">
        <v>45964</v>
      </c>
      <c r="C460" s="1" t="s">
        <v>2039</v>
      </c>
      <c r="D460" s="1" t="s">
        <v>2463</v>
      </c>
      <c r="E460" s="1" t="s">
        <v>321</v>
      </c>
      <c r="F460" s="1" t="s">
        <v>2041</v>
      </c>
      <c r="G460" s="1" t="s">
        <v>26</v>
      </c>
      <c r="H460" s="13">
        <v>1491.73</v>
      </c>
      <c r="I460" s="13">
        <v>0</v>
      </c>
      <c r="J460" s="1" t="s">
        <v>2041</v>
      </c>
      <c r="K460" s="1" t="s">
        <v>2025</v>
      </c>
      <c r="L460" s="1" t="str">
        <f>VLOOKUP(Advices[[#This Row],[LC Number]],'Combine_List'!A:D,2,0)</f>
        <v>Visio INC</v>
      </c>
      <c r="M460" s="447" t="str">
        <f>VLOOKUP(Advices[[#This Row],[LC Number]],'Combine_List'!A:D,3,0)</f>
        <v>MBL</v>
      </c>
      <c r="N460" s="447" t="str">
        <f>VLOOKUP(Advices[[#This Row],[LC Number]],'Combine_List'!A:D,4,0)</f>
        <v>L01-YAMMAMA</v>
      </c>
      <c r="O460" s="447">
        <f>VLOOKUP(Advices[[#This Row],[LC Number]],'Combine_List'!A:E,5,0)</f>
        <v>1020015</v>
      </c>
      <c r="P460" s="447">
        <f>MONTH(Advices[[#This Row],[Transaction Date]])</f>
        <v>11</v>
      </c>
      <c r="Q460" s="447">
        <f>YEAR(Advices[[#This Row],[Transaction Date]])</f>
        <v>2025</v>
      </c>
      <c r="R460" s="1"/>
    </row>
    <row r="461" spans="1:18" hidden="1" x14ac:dyDescent="0.25">
      <c r="A461" s="1" t="s">
        <v>62</v>
      </c>
      <c r="B461" s="178">
        <v>45964</v>
      </c>
      <c r="C461" s="1" t="s">
        <v>2039</v>
      </c>
      <c r="D461" s="1" t="s">
        <v>2464</v>
      </c>
      <c r="E461" s="1" t="s">
        <v>317</v>
      </c>
      <c r="F461" s="1" t="s">
        <v>2041</v>
      </c>
      <c r="G461" s="1" t="s">
        <v>26</v>
      </c>
      <c r="H461" s="13">
        <v>687.6</v>
      </c>
      <c r="I461" s="13">
        <v>0</v>
      </c>
      <c r="J461" s="1" t="s">
        <v>2041</v>
      </c>
      <c r="K461" s="1" t="s">
        <v>2025</v>
      </c>
      <c r="L461" s="1" t="str">
        <f>VLOOKUP(Advices[[#This Row],[LC Number]],'Combine_List'!A:D,2,0)</f>
        <v>SAMSARA SRL</v>
      </c>
      <c r="M461" s="447" t="str">
        <f>VLOOKUP(Advices[[#This Row],[LC Number]],'Combine_List'!A:D,3,0)</f>
        <v>MBL</v>
      </c>
      <c r="N461" s="447" t="str">
        <f>VLOOKUP(Advices[[#This Row],[LC Number]],'Combine_List'!A:D,4,0)</f>
        <v>L01-YAMMAMA</v>
      </c>
      <c r="O461" s="447">
        <f>VLOOKUP(Advices[[#This Row],[LC Number]],'Combine_List'!A:E,5,0)</f>
        <v>1020015</v>
      </c>
      <c r="P461" s="447">
        <f>MONTH(Advices[[#This Row],[Transaction Date]])</f>
        <v>11</v>
      </c>
      <c r="Q461" s="447">
        <f>YEAR(Advices[[#This Row],[Transaction Date]])</f>
        <v>2025</v>
      </c>
      <c r="R461" s="1"/>
    </row>
    <row r="462" spans="1:18" hidden="1" x14ac:dyDescent="0.25">
      <c r="A462" s="1" t="s">
        <v>62</v>
      </c>
      <c r="B462" s="178">
        <v>45964</v>
      </c>
      <c r="C462" s="1" t="s">
        <v>2042</v>
      </c>
      <c r="D462" s="1" t="s">
        <v>2465</v>
      </c>
      <c r="E462" s="1" t="s">
        <v>306</v>
      </c>
      <c r="F462" s="1" t="s">
        <v>2041</v>
      </c>
      <c r="G462" s="1" t="s">
        <v>26</v>
      </c>
      <c r="H462" s="13">
        <v>4252.8500000000004</v>
      </c>
      <c r="I462" s="13">
        <v>0</v>
      </c>
      <c r="J462" s="1" t="s">
        <v>2041</v>
      </c>
      <c r="K462" s="1" t="s">
        <v>2025</v>
      </c>
      <c r="L462" s="1" t="str">
        <f>VLOOKUP(Advices[[#This Row],[LC Number]],'Combine_List'!A:D,2,0)</f>
        <v>ATELIER HOSPITALITY SRL</v>
      </c>
      <c r="M462" s="447" t="str">
        <f>VLOOKUP(Advices[[#This Row],[LC Number]],'Combine_List'!A:D,3,0)</f>
        <v>MBL</v>
      </c>
      <c r="N462" s="447" t="str">
        <f>VLOOKUP(Advices[[#This Row],[LC Number]],'Combine_List'!A:D,4,0)</f>
        <v>L01-YAMMAMA</v>
      </c>
      <c r="O462" s="447">
        <f>VLOOKUP(Advices[[#This Row],[LC Number]],'Combine_List'!A:E,5,0)</f>
        <v>1020015</v>
      </c>
      <c r="P462" s="447">
        <f>MONTH(Advices[[#This Row],[Transaction Date]])</f>
        <v>11</v>
      </c>
      <c r="Q462" s="447">
        <f>YEAR(Advices[[#This Row],[Transaction Date]])</f>
        <v>2025</v>
      </c>
      <c r="R462" s="1"/>
    </row>
    <row r="463" spans="1:18" hidden="1" x14ac:dyDescent="0.25">
      <c r="A463" s="1" t="s">
        <v>95</v>
      </c>
      <c r="B463" s="178">
        <v>45964</v>
      </c>
      <c r="C463" s="1" t="s">
        <v>2026</v>
      </c>
      <c r="D463" s="1" t="s">
        <v>2466</v>
      </c>
      <c r="E463" s="1" t="s">
        <v>1423</v>
      </c>
      <c r="F463" s="1" t="s">
        <v>2467</v>
      </c>
      <c r="G463" s="1" t="s">
        <v>26</v>
      </c>
      <c r="H463" s="13">
        <v>2662.03</v>
      </c>
      <c r="I463" s="13">
        <v>0</v>
      </c>
      <c r="J463" s="1" t="s">
        <v>1125</v>
      </c>
      <c r="K463" s="1" t="s">
        <v>2025</v>
      </c>
      <c r="L463" s="1" t="str">
        <f>VLOOKUP(Advices[[#This Row],[LC Number]],'Combine_List'!A:D,2,0)</f>
        <v>MARIAM TRADING CO &amp; PARTNERS</v>
      </c>
      <c r="M463" s="447" t="str">
        <f>VLOOKUP(Advices[[#This Row],[LC Number]],'Combine_List'!A:D,3,0)</f>
        <v>FIRST FIX</v>
      </c>
      <c r="N463" s="447" t="str">
        <f>VLOOKUP(Advices[[#This Row],[LC Number]],'Combine_List'!A:D,4,0)</f>
        <v>KSP</v>
      </c>
      <c r="O463" s="447">
        <f>VLOOKUP(Advices[[#This Row],[LC Number]],'Combine_List'!A:E,5,0)</f>
        <v>1020055</v>
      </c>
      <c r="P463" s="447">
        <f>MONTH(Advices[[#This Row],[Transaction Date]])</f>
        <v>11</v>
      </c>
      <c r="Q463" s="447">
        <f>YEAR(Advices[[#This Row],[Transaction Date]])</f>
        <v>2025</v>
      </c>
      <c r="R463" s="1"/>
    </row>
    <row r="464" spans="1:18" hidden="1" x14ac:dyDescent="0.25">
      <c r="A464" s="1" t="s">
        <v>95</v>
      </c>
      <c r="B464" s="178">
        <v>45964</v>
      </c>
      <c r="C464" s="1" t="s">
        <v>2026</v>
      </c>
      <c r="D464" s="1" t="s">
        <v>2468</v>
      </c>
      <c r="E464" s="1" t="s">
        <v>1251</v>
      </c>
      <c r="F464" s="1" t="s">
        <v>2469</v>
      </c>
      <c r="G464" s="1" t="s">
        <v>26</v>
      </c>
      <c r="H464" s="13">
        <v>1789101.04</v>
      </c>
      <c r="I464" s="13">
        <v>0</v>
      </c>
      <c r="J464" s="1" t="s">
        <v>1126</v>
      </c>
      <c r="K464" s="1" t="s">
        <v>2025</v>
      </c>
      <c r="L464" s="1" t="str">
        <f>VLOOKUP(Advices[[#This Row],[LC Number]],'Combine_List'!A:D,2,0)</f>
        <v>High Al Shuhra Contracting Company</v>
      </c>
      <c r="M464" s="447" t="str">
        <f>VLOOKUP(Advices[[#This Row],[LC Number]],'Combine_List'!A:D,3,0)</f>
        <v>MBL</v>
      </c>
      <c r="N464" s="447" t="str">
        <f>VLOOKUP(Advices[[#This Row],[LC Number]],'Combine_List'!A:D,4,0)</f>
        <v>Rabigh Power Plant</v>
      </c>
      <c r="O464" s="447">
        <f>VLOOKUP(Advices[[#This Row],[LC Number]],'Combine_List'!A:E,5,0)</f>
        <v>1020107</v>
      </c>
      <c r="P464" s="447">
        <f>MONTH(Advices[[#This Row],[Transaction Date]])</f>
        <v>11</v>
      </c>
      <c r="Q464" s="447">
        <f>YEAR(Advices[[#This Row],[Transaction Date]])</f>
        <v>2025</v>
      </c>
      <c r="R464" s="1"/>
    </row>
    <row r="465" spans="1:18" hidden="1" x14ac:dyDescent="0.25">
      <c r="A465" s="1" t="s">
        <v>366</v>
      </c>
      <c r="B465" s="178">
        <v>45963</v>
      </c>
      <c r="C465" s="1" t="s">
        <v>2060</v>
      </c>
      <c r="D465" s="1" t="s">
        <v>2470</v>
      </c>
      <c r="E465" s="1" t="s">
        <v>1437</v>
      </c>
      <c r="F465" s="1" t="s">
        <v>3492</v>
      </c>
      <c r="G465" s="1" t="s">
        <v>26</v>
      </c>
      <c r="H465" s="13">
        <v>400000</v>
      </c>
      <c r="I465" s="13">
        <v>0</v>
      </c>
      <c r="J465" s="1" t="s">
        <v>2041</v>
      </c>
      <c r="K465" s="1" t="s">
        <v>2025</v>
      </c>
      <c r="L465" s="1" t="str">
        <f>VLOOKUP(Advices[[#This Row],[LC Number]],'Combine_List'!A:D,2,0)</f>
        <v xml:space="preserve">MARIAM TRADING CO. &amp; PARTNER </v>
      </c>
      <c r="M465" s="447" t="str">
        <f>VLOOKUP(Advices[[#This Row],[LC Number]],'Combine_List'!A:D,3,0)</f>
        <v>FIRST FIX</v>
      </c>
      <c r="N465" s="447" t="str">
        <f>VLOOKUP(Advices[[#This Row],[LC Number]],'Combine_List'!A:D,4,0)</f>
        <v>MP1</v>
      </c>
      <c r="O465" s="447">
        <f>VLOOKUP(Advices[[#This Row],[LC Number]],'Combine_List'!A:E,5,0)</f>
        <v>1020088</v>
      </c>
      <c r="P465" s="447">
        <f>MONTH(Advices[[#This Row],[Transaction Date]])</f>
        <v>11</v>
      </c>
      <c r="Q465" s="447">
        <f>YEAR(Advices[[#This Row],[Transaction Date]])</f>
        <v>2025</v>
      </c>
      <c r="R465" s="1"/>
    </row>
    <row r="466" spans="1:18" hidden="1" x14ac:dyDescent="0.25">
      <c r="A466" s="1" t="s">
        <v>366</v>
      </c>
      <c r="B466" s="178">
        <v>45963</v>
      </c>
      <c r="C466" s="1" t="s">
        <v>2060</v>
      </c>
      <c r="D466" s="1" t="s">
        <v>2471</v>
      </c>
      <c r="E466" s="1" t="s">
        <v>1443</v>
      </c>
      <c r="F466" s="1" t="s">
        <v>3429</v>
      </c>
      <c r="G466" s="1" t="s">
        <v>26</v>
      </c>
      <c r="H466" s="13">
        <v>940.44</v>
      </c>
      <c r="I466" s="13">
        <v>0</v>
      </c>
      <c r="J466" s="1" t="s">
        <v>2041</v>
      </c>
      <c r="K466" s="1" t="s">
        <v>2025</v>
      </c>
      <c r="L466" s="1" t="str">
        <f>VLOOKUP(Advices[[#This Row],[LC Number]],'Combine_List'!A:D,2,0)</f>
        <v>Bahra Advanced Cable Manufacture Co.Ltd</v>
      </c>
      <c r="M466" s="447" t="str">
        <f>VLOOKUP(Advices[[#This Row],[LC Number]],'Combine_List'!A:D,3,0)</f>
        <v>FIRST FIX</v>
      </c>
      <c r="N466" s="447" t="str">
        <f>VLOOKUP(Advices[[#This Row],[LC Number]],'Combine_List'!A:D,4,0)</f>
        <v>MP1</v>
      </c>
      <c r="O466" s="447">
        <f>VLOOKUP(Advices[[#This Row],[LC Number]],'Combine_List'!A:E,5,0)</f>
        <v>1020088</v>
      </c>
      <c r="P466" s="447">
        <f>MONTH(Advices[[#This Row],[Transaction Date]])</f>
        <v>11</v>
      </c>
      <c r="Q466" s="447">
        <f>YEAR(Advices[[#This Row],[Transaction Date]])</f>
        <v>2025</v>
      </c>
      <c r="R466" s="1"/>
    </row>
    <row r="467" spans="1:18" hidden="1" x14ac:dyDescent="0.25">
      <c r="A467" s="1" t="s">
        <v>366</v>
      </c>
      <c r="B467" s="178">
        <v>45963</v>
      </c>
      <c r="C467" s="1" t="s">
        <v>2057</v>
      </c>
      <c r="D467" s="1" t="s">
        <v>2472</v>
      </c>
      <c r="E467" s="1" t="s">
        <v>2255</v>
      </c>
      <c r="F467" s="1" t="s">
        <v>3430</v>
      </c>
      <c r="G467" s="1" t="s">
        <v>26</v>
      </c>
      <c r="H467" s="13">
        <v>287.5</v>
      </c>
      <c r="I467" s="13">
        <v>0</v>
      </c>
      <c r="J467" s="1" t="s">
        <v>2041</v>
      </c>
      <c r="K467" s="1" t="s">
        <v>2025</v>
      </c>
      <c r="L467" s="1" t="str">
        <f>VLOOKUP(Advices[[#This Row],[LC Number]],'Combine_List'!A:D,2,0)</f>
        <v>ROLLC FOR TRADING COMPANY</v>
      </c>
      <c r="M467" s="447" t="str">
        <f>VLOOKUP(Advices[[#This Row],[LC Number]],'Combine_List'!A:D,3,0)</f>
        <v>MBL/Premium</v>
      </c>
      <c r="N467" s="447" t="str">
        <f>VLOOKUP(Advices[[#This Row],[LC Number]],'Combine_List'!A:D,4,0)</f>
        <v>CEER</v>
      </c>
      <c r="O467" s="447">
        <f>VLOOKUP(Advices[[#This Row],[LC Number]],'Combine_List'!A:E,5,0)</f>
        <v>1020091</v>
      </c>
      <c r="P467" s="447">
        <f>MONTH(Advices[[#This Row],[Transaction Date]])</f>
        <v>11</v>
      </c>
      <c r="Q467" s="447">
        <f>YEAR(Advices[[#This Row],[Transaction Date]])</f>
        <v>2025</v>
      </c>
      <c r="R467" s="1"/>
    </row>
    <row r="468" spans="1:18" hidden="1" x14ac:dyDescent="0.25">
      <c r="A468" s="1" t="s">
        <v>366</v>
      </c>
      <c r="B468" s="178">
        <v>45963</v>
      </c>
      <c r="C468" s="1" t="s">
        <v>2057</v>
      </c>
      <c r="D468" s="1" t="s">
        <v>2473</v>
      </c>
      <c r="E468" s="1" t="s">
        <v>1662</v>
      </c>
      <c r="F468" s="1" t="s">
        <v>3431</v>
      </c>
      <c r="G468" s="1" t="s">
        <v>26</v>
      </c>
      <c r="H468" s="13">
        <v>678.76</v>
      </c>
      <c r="I468" s="13">
        <v>0</v>
      </c>
      <c r="J468" s="1" t="s">
        <v>2041</v>
      </c>
      <c r="K468" s="1" t="s">
        <v>2025</v>
      </c>
      <c r="L468" s="1" t="str">
        <f>VLOOKUP(Advices[[#This Row],[LC Number]],'Combine_List'!A:D,2,0)</f>
        <v>JAD AL RIYADH Trading Co. Ltd</v>
      </c>
      <c r="M468" s="447" t="str">
        <f>VLOOKUP(Advices[[#This Row],[LC Number]],'Combine_List'!A:D,3,0)</f>
        <v>FIRST FIX</v>
      </c>
      <c r="N468" s="447" t="str">
        <f>VLOOKUP(Advices[[#This Row],[LC Number]],'Combine_List'!A:D,4,0)</f>
        <v>CEER</v>
      </c>
      <c r="O468" s="447">
        <f>VLOOKUP(Advices[[#This Row],[LC Number]],'Combine_List'!A:E,5,0)</f>
        <v>1020091</v>
      </c>
      <c r="P468" s="447">
        <f>MONTH(Advices[[#This Row],[Transaction Date]])</f>
        <v>11</v>
      </c>
      <c r="Q468" s="447">
        <f>YEAR(Advices[[#This Row],[Transaction Date]])</f>
        <v>2025</v>
      </c>
      <c r="R468" s="1"/>
    </row>
    <row r="469" spans="1:18" hidden="1" x14ac:dyDescent="0.25">
      <c r="A469" s="1" t="s">
        <v>366</v>
      </c>
      <c r="B469" s="178">
        <v>45963</v>
      </c>
      <c r="C469" s="1" t="s">
        <v>2057</v>
      </c>
      <c r="D469" s="1" t="s">
        <v>2474</v>
      </c>
      <c r="E469" s="1" t="s">
        <v>1430</v>
      </c>
      <c r="F469" s="1" t="s">
        <v>3493</v>
      </c>
      <c r="G469" s="1" t="s">
        <v>26</v>
      </c>
      <c r="H469" s="13">
        <v>400000</v>
      </c>
      <c r="I469" s="13">
        <v>0</v>
      </c>
      <c r="J469" s="1" t="s">
        <v>2041</v>
      </c>
      <c r="K469" s="1" t="s">
        <v>2025</v>
      </c>
      <c r="L469" s="1" t="str">
        <f>VLOOKUP(Advices[[#This Row],[LC Number]],'Combine_List'!A:D,2,0)</f>
        <v>National Marketing Est. Co. Ltd</v>
      </c>
      <c r="M469" s="447" t="str">
        <f>VLOOKUP(Advices[[#This Row],[LC Number]],'Combine_List'!A:D,3,0)</f>
        <v>FIRST FIX</v>
      </c>
      <c r="N469" s="447" t="str">
        <f>VLOOKUP(Advices[[#This Row],[LC Number]],'Combine_List'!A:D,4,0)</f>
        <v>MP1</v>
      </c>
      <c r="O469" s="447">
        <f>VLOOKUP(Advices[[#This Row],[LC Number]],'Combine_List'!A:E,5,0)</f>
        <v>1020088</v>
      </c>
      <c r="P469" s="447">
        <f>MONTH(Advices[[#This Row],[Transaction Date]])</f>
        <v>11</v>
      </c>
      <c r="Q469" s="447">
        <f>YEAR(Advices[[#This Row],[Transaction Date]])</f>
        <v>2025</v>
      </c>
      <c r="R469" s="1"/>
    </row>
    <row r="470" spans="1:18" hidden="1" x14ac:dyDescent="0.25">
      <c r="A470" s="1" t="s">
        <v>366</v>
      </c>
      <c r="B470" s="178">
        <v>45963</v>
      </c>
      <c r="C470" s="1" t="s">
        <v>2057</v>
      </c>
      <c r="D470" s="1" t="s">
        <v>2475</v>
      </c>
      <c r="E470" s="1" t="s">
        <v>1438</v>
      </c>
      <c r="F470" s="1" t="s">
        <v>3494</v>
      </c>
      <c r="G470" s="1" t="s">
        <v>26</v>
      </c>
      <c r="H470" s="13">
        <v>524686.5</v>
      </c>
      <c r="I470" s="13">
        <v>0</v>
      </c>
      <c r="J470" s="1" t="s">
        <v>2041</v>
      </c>
      <c r="K470" s="1" t="s">
        <v>2025</v>
      </c>
      <c r="L470" s="1" t="str">
        <f>VLOOKUP(Advices[[#This Row],[LC Number]],'Combine_List'!A:D,2,0)</f>
        <v>Saudi Pipe Systems Co. Ltd.</v>
      </c>
      <c r="M470" s="447" t="str">
        <f>VLOOKUP(Advices[[#This Row],[LC Number]],'Combine_List'!A:D,3,0)</f>
        <v>FIRST FIX</v>
      </c>
      <c r="N470" s="447" t="str">
        <f>VLOOKUP(Advices[[#This Row],[LC Number]],'Combine_List'!A:D,4,0)</f>
        <v>MP1</v>
      </c>
      <c r="O470" s="447">
        <f>VLOOKUP(Advices[[#This Row],[LC Number]],'Combine_List'!A:E,5,0)</f>
        <v>1020088</v>
      </c>
      <c r="P470" s="447">
        <f>MONTH(Advices[[#This Row],[Transaction Date]])</f>
        <v>11</v>
      </c>
      <c r="Q470" s="447">
        <f>YEAR(Advices[[#This Row],[Transaction Date]])</f>
        <v>2025</v>
      </c>
      <c r="R470" s="1"/>
    </row>
    <row r="471" spans="1:18" hidden="1" x14ac:dyDescent="0.25">
      <c r="A471" s="1" t="s">
        <v>366</v>
      </c>
      <c r="B471" s="178">
        <v>45963</v>
      </c>
      <c r="C471" s="1" t="s">
        <v>2057</v>
      </c>
      <c r="D471" s="1" t="s">
        <v>2476</v>
      </c>
      <c r="E471" s="1" t="s">
        <v>1486</v>
      </c>
      <c r="F471" s="1" t="s">
        <v>3495</v>
      </c>
      <c r="G471" s="1" t="s">
        <v>26</v>
      </c>
      <c r="H471" s="13">
        <v>575</v>
      </c>
      <c r="I471" s="13">
        <v>0</v>
      </c>
      <c r="J471" s="1" t="s">
        <v>2041</v>
      </c>
      <c r="K471" s="1" t="s">
        <v>2025</v>
      </c>
      <c r="L471" s="1" t="str">
        <f>VLOOKUP(Advices[[#This Row],[LC Number]],'Combine_List'!A:D,2,0)</f>
        <v>ASSA ABLOY ENTRANCE SYSTEMS SAUDI CO.</v>
      </c>
      <c r="M471" s="447" t="str">
        <f>VLOOKUP(Advices[[#This Row],[LC Number]],'Combine_List'!A:D,3,0)</f>
        <v>MBL/Premium</v>
      </c>
      <c r="N471" s="447" t="str">
        <f>VLOOKUP(Advices[[#This Row],[LC Number]],'Combine_List'!A:D,4,0)</f>
        <v>CEER</v>
      </c>
      <c r="O471" s="447">
        <f>VLOOKUP(Advices[[#This Row],[LC Number]],'Combine_List'!A:E,5,0)</f>
        <v>1020091</v>
      </c>
      <c r="P471" s="447">
        <f>MONTH(Advices[[#This Row],[Transaction Date]])</f>
        <v>11</v>
      </c>
      <c r="Q471" s="447">
        <f>YEAR(Advices[[#This Row],[Transaction Date]])</f>
        <v>2025</v>
      </c>
      <c r="R471" s="1"/>
    </row>
    <row r="472" spans="1:18" hidden="1" x14ac:dyDescent="0.25">
      <c r="A472" s="1" t="s">
        <v>366</v>
      </c>
      <c r="B472" s="178">
        <v>45963</v>
      </c>
      <c r="C472" s="1" t="s">
        <v>2057</v>
      </c>
      <c r="D472" s="1" t="s">
        <v>2477</v>
      </c>
      <c r="E472" s="1" t="s">
        <v>1486</v>
      </c>
      <c r="F472" s="1" t="s">
        <v>1486</v>
      </c>
      <c r="G472" s="1" t="s">
        <v>26</v>
      </c>
      <c r="H472" s="13">
        <v>690</v>
      </c>
      <c r="I472" s="13">
        <v>0</v>
      </c>
      <c r="J472" s="1" t="s">
        <v>2041</v>
      </c>
      <c r="K472" s="1" t="s">
        <v>2025</v>
      </c>
      <c r="L472" s="1" t="str">
        <f>VLOOKUP(Advices[[#This Row],[LC Number]],'Combine_List'!A:D,2,0)</f>
        <v>ASSA ABLOY ENTRANCE SYSTEMS SAUDI CO.</v>
      </c>
      <c r="M472" s="447" t="str">
        <f>VLOOKUP(Advices[[#This Row],[LC Number]],'Combine_List'!A:D,3,0)</f>
        <v>MBL/Premium</v>
      </c>
      <c r="N472" s="447" t="str">
        <f>VLOOKUP(Advices[[#This Row],[LC Number]],'Combine_List'!A:D,4,0)</f>
        <v>CEER</v>
      </c>
      <c r="O472" s="447">
        <f>VLOOKUP(Advices[[#This Row],[LC Number]],'Combine_List'!A:E,5,0)</f>
        <v>1020091</v>
      </c>
      <c r="P472" s="447">
        <f>MONTH(Advices[[#This Row],[Transaction Date]])</f>
        <v>11</v>
      </c>
      <c r="Q472" s="447">
        <f>YEAR(Advices[[#This Row],[Transaction Date]])</f>
        <v>2025</v>
      </c>
      <c r="R472" s="1"/>
    </row>
    <row r="473" spans="1:18" hidden="1" x14ac:dyDescent="0.25">
      <c r="A473" s="1" t="s">
        <v>366</v>
      </c>
      <c r="B473" s="178">
        <v>45963</v>
      </c>
      <c r="C473" s="1" t="s">
        <v>2057</v>
      </c>
      <c r="D473" s="1" t="s">
        <v>2478</v>
      </c>
      <c r="E473" s="1" t="s">
        <v>1689</v>
      </c>
      <c r="F473" s="1" t="s">
        <v>3432</v>
      </c>
      <c r="G473" s="1" t="s">
        <v>26</v>
      </c>
      <c r="H473" s="13">
        <v>545.20000000000005</v>
      </c>
      <c r="I473" s="13">
        <v>0</v>
      </c>
      <c r="J473" s="1" t="s">
        <v>2041</v>
      </c>
      <c r="K473" s="1" t="s">
        <v>2025</v>
      </c>
      <c r="L473" s="1" t="str">
        <f>VLOOKUP(Advices[[#This Row],[LC Number]],'Combine_List'!A:D,2,0)</f>
        <v>EVOLVING CONSTELLATION CO. FOR ENERGY</v>
      </c>
      <c r="M473" s="447" t="str">
        <f>VLOOKUP(Advices[[#This Row],[LC Number]],'Combine_List'!A:D,3,0)</f>
        <v>FIRST FIX</v>
      </c>
      <c r="N473" s="447" t="str">
        <f>VLOOKUP(Advices[[#This Row],[LC Number]],'Combine_List'!A:D,4,0)</f>
        <v>CEER</v>
      </c>
      <c r="O473" s="447">
        <f>VLOOKUP(Advices[[#This Row],[LC Number]],'Combine_List'!A:E,5,0)</f>
        <v>1020091</v>
      </c>
      <c r="P473" s="447">
        <f>MONTH(Advices[[#This Row],[Transaction Date]])</f>
        <v>11</v>
      </c>
      <c r="Q473" s="447">
        <f>YEAR(Advices[[#This Row],[Transaction Date]])</f>
        <v>2025</v>
      </c>
      <c r="R473" s="1"/>
    </row>
    <row r="474" spans="1:18" hidden="1" x14ac:dyDescent="0.25">
      <c r="A474" s="1" t="s">
        <v>366</v>
      </c>
      <c r="B474" s="178">
        <v>45963</v>
      </c>
      <c r="C474" s="1" t="s">
        <v>2057</v>
      </c>
      <c r="D474" s="1" t="s">
        <v>2479</v>
      </c>
      <c r="E474" s="1" t="s">
        <v>1689</v>
      </c>
      <c r="F474" s="1" t="s">
        <v>3433</v>
      </c>
      <c r="G474" s="1" t="s">
        <v>26</v>
      </c>
      <c r="H474" s="13">
        <v>287.5</v>
      </c>
      <c r="I474" s="13">
        <v>0</v>
      </c>
      <c r="J474" s="1" t="s">
        <v>2041</v>
      </c>
      <c r="K474" s="1" t="s">
        <v>2025</v>
      </c>
      <c r="L474" s="1" t="str">
        <f>VLOOKUP(Advices[[#This Row],[LC Number]],'Combine_List'!A:D,2,0)</f>
        <v>EVOLVING CONSTELLATION CO. FOR ENERGY</v>
      </c>
      <c r="M474" s="447" t="str">
        <f>VLOOKUP(Advices[[#This Row],[LC Number]],'Combine_List'!A:D,3,0)</f>
        <v>FIRST FIX</v>
      </c>
      <c r="N474" s="447" t="str">
        <f>VLOOKUP(Advices[[#This Row],[LC Number]],'Combine_List'!A:D,4,0)</f>
        <v>CEER</v>
      </c>
      <c r="O474" s="447">
        <f>VLOOKUP(Advices[[#This Row],[LC Number]],'Combine_List'!A:E,5,0)</f>
        <v>1020091</v>
      </c>
      <c r="P474" s="447">
        <f>MONTH(Advices[[#This Row],[Transaction Date]])</f>
        <v>11</v>
      </c>
      <c r="Q474" s="447">
        <f>YEAR(Advices[[#This Row],[Transaction Date]])</f>
        <v>2025</v>
      </c>
      <c r="R474" s="1"/>
    </row>
    <row r="475" spans="1:18" hidden="1" x14ac:dyDescent="0.25">
      <c r="A475" s="1" t="s">
        <v>366</v>
      </c>
      <c r="B475" s="178">
        <v>45964</v>
      </c>
      <c r="C475" s="1" t="s">
        <v>2060</v>
      </c>
      <c r="D475" s="1" t="s">
        <v>2480</v>
      </c>
      <c r="E475" s="1" t="s">
        <v>2255</v>
      </c>
      <c r="F475" s="1" t="s">
        <v>3430</v>
      </c>
      <c r="G475" s="1" t="s">
        <v>26</v>
      </c>
      <c r="H475" s="13">
        <v>1800000</v>
      </c>
      <c r="I475" s="13">
        <v>0</v>
      </c>
      <c r="J475" s="1" t="s">
        <v>2041</v>
      </c>
      <c r="K475" s="1" t="s">
        <v>2025</v>
      </c>
      <c r="L475" s="1" t="str">
        <f>VLOOKUP(Advices[[#This Row],[LC Number]],'Combine_List'!A:D,2,0)</f>
        <v>ROLLC FOR TRADING COMPANY</v>
      </c>
      <c r="M475" s="447" t="str">
        <f>VLOOKUP(Advices[[#This Row],[LC Number]],'Combine_List'!A:D,3,0)</f>
        <v>MBL/Premium</v>
      </c>
      <c r="N475" s="447" t="str">
        <f>VLOOKUP(Advices[[#This Row],[LC Number]],'Combine_List'!A:D,4,0)</f>
        <v>CEER</v>
      </c>
      <c r="O475" s="447">
        <f>VLOOKUP(Advices[[#This Row],[LC Number]],'Combine_List'!A:E,5,0)</f>
        <v>1020091</v>
      </c>
      <c r="P475" s="447">
        <f>MONTH(Advices[[#This Row],[Transaction Date]])</f>
        <v>11</v>
      </c>
      <c r="Q475" s="447">
        <f>YEAR(Advices[[#This Row],[Transaction Date]])</f>
        <v>2025</v>
      </c>
      <c r="R475" s="1"/>
    </row>
    <row r="476" spans="1:18" hidden="1" x14ac:dyDescent="0.25">
      <c r="A476" s="1" t="s">
        <v>366</v>
      </c>
      <c r="B476" s="178">
        <v>45964</v>
      </c>
      <c r="C476" s="1" t="s">
        <v>2060</v>
      </c>
      <c r="D476" s="1" t="s">
        <v>2481</v>
      </c>
      <c r="E476" s="1" t="s">
        <v>1431</v>
      </c>
      <c r="F476" s="1" t="s">
        <v>3496</v>
      </c>
      <c r="G476" s="1" t="s">
        <v>26</v>
      </c>
      <c r="H476" s="13">
        <v>667529.19999999995</v>
      </c>
      <c r="I476" s="13">
        <v>0</v>
      </c>
      <c r="J476" s="1" t="s">
        <v>2041</v>
      </c>
      <c r="K476" s="1" t="s">
        <v>2025</v>
      </c>
      <c r="L476" s="1" t="str">
        <f>VLOOKUP(Advices[[#This Row],[LC Number]],'Combine_List'!A:D,2,0)</f>
        <v>Mimar for Construction Tools &amp; Tradina Ltd.</v>
      </c>
      <c r="M476" s="447" t="str">
        <f>VLOOKUP(Advices[[#This Row],[LC Number]],'Combine_List'!A:D,3,0)</f>
        <v>FIRST FIX</v>
      </c>
      <c r="N476" s="447" t="str">
        <f>VLOOKUP(Advices[[#This Row],[LC Number]],'Combine_List'!A:D,4,0)</f>
        <v>MP1</v>
      </c>
      <c r="O476" s="447">
        <f>VLOOKUP(Advices[[#This Row],[LC Number]],'Combine_List'!A:E,5,0)</f>
        <v>1020088</v>
      </c>
      <c r="P476" s="447">
        <f>MONTH(Advices[[#This Row],[Transaction Date]])</f>
        <v>11</v>
      </c>
      <c r="Q476" s="447">
        <f>YEAR(Advices[[#This Row],[Transaction Date]])</f>
        <v>2025</v>
      </c>
      <c r="R476" s="1"/>
    </row>
    <row r="477" spans="1:18" hidden="1" x14ac:dyDescent="0.25">
      <c r="A477" s="1" t="s">
        <v>366</v>
      </c>
      <c r="B477" s="178">
        <v>45964</v>
      </c>
      <c r="C477" s="1" t="s">
        <v>2060</v>
      </c>
      <c r="D477" s="1" t="s">
        <v>2482</v>
      </c>
      <c r="E477" s="1" t="s">
        <v>1872</v>
      </c>
      <c r="F477" s="1" t="s">
        <v>3434</v>
      </c>
      <c r="G477" s="1" t="s">
        <v>26</v>
      </c>
      <c r="H477" s="13">
        <v>7817.47</v>
      </c>
      <c r="I477" s="13">
        <v>0</v>
      </c>
      <c r="J477" s="1" t="s">
        <v>2041</v>
      </c>
      <c r="K477" s="1" t="s">
        <v>2025</v>
      </c>
      <c r="L477" s="1" t="str">
        <f>VLOOKUP(Advices[[#This Row],[LC Number]],'Combine_List'!A:D,2,0)</f>
        <v>Mimar For Construction Tools &amp; Trading Ltd.</v>
      </c>
      <c r="M477" s="447" t="str">
        <f>VLOOKUP(Advices[[#This Row],[LC Number]],'Combine_List'!A:D,3,0)</f>
        <v>FIRST FIX</v>
      </c>
      <c r="N477" s="447" t="str">
        <f>VLOOKUP(Advices[[#This Row],[LC Number]],'Combine_List'!A:D,4,0)</f>
        <v>MP1</v>
      </c>
      <c r="O477" s="447">
        <f>VLOOKUP(Advices[[#This Row],[LC Number]],'Combine_List'!A:E,5,0)</f>
        <v>1020088</v>
      </c>
      <c r="P477" s="447">
        <f>MONTH(Advices[[#This Row],[Transaction Date]])</f>
        <v>11</v>
      </c>
      <c r="Q477" s="447">
        <f>YEAR(Advices[[#This Row],[Transaction Date]])</f>
        <v>2025</v>
      </c>
      <c r="R477" s="1"/>
    </row>
    <row r="478" spans="1:18" hidden="1" x14ac:dyDescent="0.25">
      <c r="A478" s="1" t="s">
        <v>366</v>
      </c>
      <c r="B478" s="178">
        <v>45964</v>
      </c>
      <c r="C478" s="1" t="s">
        <v>2057</v>
      </c>
      <c r="D478" s="1" t="s">
        <v>2483</v>
      </c>
      <c r="E478" s="1" t="s">
        <v>2255</v>
      </c>
      <c r="F478" s="1" t="s">
        <v>3435</v>
      </c>
      <c r="G478" s="1" t="s">
        <v>26</v>
      </c>
      <c r="H478" s="13">
        <v>1200000</v>
      </c>
      <c r="I478" s="13">
        <v>0</v>
      </c>
      <c r="J478" s="1" t="s">
        <v>2041</v>
      </c>
      <c r="K478" s="1" t="s">
        <v>2025</v>
      </c>
      <c r="L478" s="1" t="str">
        <f>VLOOKUP(Advices[[#This Row],[LC Number]],'Combine_List'!A:D,2,0)</f>
        <v>ROLLC FOR TRADING COMPANY</v>
      </c>
      <c r="M478" s="447" t="str">
        <f>VLOOKUP(Advices[[#This Row],[LC Number]],'Combine_List'!A:D,3,0)</f>
        <v>MBL/Premium</v>
      </c>
      <c r="N478" s="447" t="str">
        <f>VLOOKUP(Advices[[#This Row],[LC Number]],'Combine_List'!A:D,4,0)</f>
        <v>CEER</v>
      </c>
      <c r="O478" s="447">
        <f>VLOOKUP(Advices[[#This Row],[LC Number]],'Combine_List'!A:E,5,0)</f>
        <v>1020091</v>
      </c>
      <c r="P478" s="447">
        <f>MONTH(Advices[[#This Row],[Transaction Date]])</f>
        <v>11</v>
      </c>
      <c r="Q478" s="447">
        <f>YEAR(Advices[[#This Row],[Transaction Date]])</f>
        <v>2025</v>
      </c>
      <c r="R478" s="1"/>
    </row>
    <row r="479" spans="1:18" hidden="1" x14ac:dyDescent="0.25">
      <c r="A479" s="1" t="s">
        <v>366</v>
      </c>
      <c r="B479" s="178">
        <v>45964</v>
      </c>
      <c r="C479" s="1" t="s">
        <v>2057</v>
      </c>
      <c r="D479" s="1" t="s">
        <v>2484</v>
      </c>
      <c r="E479" s="1" t="s">
        <v>2255</v>
      </c>
      <c r="F479" s="1" t="s">
        <v>3435</v>
      </c>
      <c r="G479" s="1" t="s">
        <v>26</v>
      </c>
      <c r="H479" s="13">
        <v>575</v>
      </c>
      <c r="I479" s="13">
        <v>0</v>
      </c>
      <c r="J479" s="1" t="s">
        <v>2041</v>
      </c>
      <c r="K479" s="1" t="s">
        <v>2025</v>
      </c>
      <c r="L479" s="1" t="str">
        <f>VLOOKUP(Advices[[#This Row],[LC Number]],'Combine_List'!A:D,2,0)</f>
        <v>ROLLC FOR TRADING COMPANY</v>
      </c>
      <c r="M479" s="447" t="str">
        <f>VLOOKUP(Advices[[#This Row],[LC Number]],'Combine_List'!A:D,3,0)</f>
        <v>MBL/Premium</v>
      </c>
      <c r="N479" s="447" t="str">
        <f>VLOOKUP(Advices[[#This Row],[LC Number]],'Combine_List'!A:D,4,0)</f>
        <v>CEER</v>
      </c>
      <c r="O479" s="447">
        <f>VLOOKUP(Advices[[#This Row],[LC Number]],'Combine_List'!A:E,5,0)</f>
        <v>1020091</v>
      </c>
      <c r="P479" s="447">
        <f>MONTH(Advices[[#This Row],[Transaction Date]])</f>
        <v>11</v>
      </c>
      <c r="Q479" s="447">
        <f>YEAR(Advices[[#This Row],[Transaction Date]])</f>
        <v>2025</v>
      </c>
      <c r="R479" s="1"/>
    </row>
    <row r="480" spans="1:18" hidden="1" x14ac:dyDescent="0.25">
      <c r="A480" s="1" t="s">
        <v>612</v>
      </c>
      <c r="B480" s="178">
        <v>45963</v>
      </c>
      <c r="C480" s="1" t="s">
        <v>2101</v>
      </c>
      <c r="D480" s="1" t="s">
        <v>2485</v>
      </c>
      <c r="E480" s="1" t="s">
        <v>1558</v>
      </c>
      <c r="F480" s="1" t="s">
        <v>1558</v>
      </c>
      <c r="G480" s="1" t="s">
        <v>26</v>
      </c>
      <c r="H480" s="13">
        <v>472000</v>
      </c>
      <c r="I480" s="13">
        <v>0</v>
      </c>
      <c r="J480" s="1" t="s">
        <v>2041</v>
      </c>
      <c r="K480" s="1" t="s">
        <v>2025</v>
      </c>
      <c r="L480" s="1" t="str">
        <f>VLOOKUP(Advices[[#This Row],[LC Number]],'Combine_List'!A:D,2,0)</f>
        <v>Saudi Hepco Co Ltd</v>
      </c>
      <c r="M480" s="447" t="str">
        <f>VLOOKUP(Advices[[#This Row],[LC Number]],'Combine_List'!A:D,3,0)</f>
        <v>FIRST FIX</v>
      </c>
      <c r="N480" s="447" t="str">
        <f>VLOOKUP(Advices[[#This Row],[LC Number]],'Combine_List'!A:D,4,0)</f>
        <v>RCRC</v>
      </c>
      <c r="O480" s="447">
        <f>VLOOKUP(Advices[[#This Row],[LC Number]],'Combine_List'!A:E,5,0)</f>
        <v>1020106</v>
      </c>
      <c r="P480" s="447">
        <f>MONTH(Advices[[#This Row],[Transaction Date]])</f>
        <v>11</v>
      </c>
      <c r="Q480" s="447">
        <f>YEAR(Advices[[#This Row],[Transaction Date]])</f>
        <v>2025</v>
      </c>
      <c r="R480" s="1"/>
    </row>
    <row r="481" spans="1:18" hidden="1" x14ac:dyDescent="0.25">
      <c r="A481" s="1" t="s">
        <v>612</v>
      </c>
      <c r="B481" s="178">
        <v>45963</v>
      </c>
      <c r="C481" s="1" t="s">
        <v>2101</v>
      </c>
      <c r="D481" s="1" t="s">
        <v>2486</v>
      </c>
      <c r="E481" s="1" t="s">
        <v>1566</v>
      </c>
      <c r="F481" s="1" t="s">
        <v>1566</v>
      </c>
      <c r="G481" s="1" t="s">
        <v>26</v>
      </c>
      <c r="H481" s="13">
        <v>100</v>
      </c>
      <c r="I481" s="13">
        <v>0</v>
      </c>
      <c r="J481" s="1" t="s">
        <v>2041</v>
      </c>
      <c r="K481" s="1" t="s">
        <v>2025</v>
      </c>
      <c r="L481" s="1" t="str">
        <f>VLOOKUP(Advices[[#This Row],[LC Number]],'Combine_List'!A:D,2,0)</f>
        <v>Alpha Limit Trading and Contracting Company</v>
      </c>
      <c r="M481" s="447" t="str">
        <f>VLOOKUP(Advices[[#This Row],[LC Number]],'Combine_List'!A:D,3,0)</f>
        <v>FIRST FIX</v>
      </c>
      <c r="N481" s="447" t="str">
        <f>VLOOKUP(Advices[[#This Row],[LC Number]],'Combine_List'!A:D,4,0)</f>
        <v>RCRC</v>
      </c>
      <c r="O481" s="447">
        <f>VLOOKUP(Advices[[#This Row],[LC Number]],'Combine_List'!A:E,5,0)</f>
        <v>1020106</v>
      </c>
      <c r="P481" s="447">
        <f>MONTH(Advices[[#This Row],[Transaction Date]])</f>
        <v>11</v>
      </c>
      <c r="Q481" s="447">
        <f>YEAR(Advices[[#This Row],[Transaction Date]])</f>
        <v>2025</v>
      </c>
      <c r="R481" s="1"/>
    </row>
    <row r="482" spans="1:18" hidden="1" x14ac:dyDescent="0.25">
      <c r="A482" s="1" t="s">
        <v>612</v>
      </c>
      <c r="B482" s="178">
        <v>45963</v>
      </c>
      <c r="C482" s="1" t="s">
        <v>2101</v>
      </c>
      <c r="D482" s="1" t="s">
        <v>2487</v>
      </c>
      <c r="E482" s="1" t="s">
        <v>1566</v>
      </c>
      <c r="F482" s="1" t="s">
        <v>1566</v>
      </c>
      <c r="G482" s="1" t="s">
        <v>26</v>
      </c>
      <c r="H482" s="13">
        <v>15</v>
      </c>
      <c r="I482" s="13">
        <v>0</v>
      </c>
      <c r="J482" s="1" t="s">
        <v>2041</v>
      </c>
      <c r="K482" s="1" t="s">
        <v>2025</v>
      </c>
      <c r="L482" s="1" t="str">
        <f>VLOOKUP(Advices[[#This Row],[LC Number]],'Combine_List'!A:D,2,0)</f>
        <v>Alpha Limit Trading and Contracting Company</v>
      </c>
      <c r="M482" s="447" t="str">
        <f>VLOOKUP(Advices[[#This Row],[LC Number]],'Combine_List'!A:D,3,0)</f>
        <v>FIRST FIX</v>
      </c>
      <c r="N482" s="447" t="str">
        <f>VLOOKUP(Advices[[#This Row],[LC Number]],'Combine_List'!A:D,4,0)</f>
        <v>RCRC</v>
      </c>
      <c r="O482" s="447">
        <f>VLOOKUP(Advices[[#This Row],[LC Number]],'Combine_List'!A:E,5,0)</f>
        <v>1020106</v>
      </c>
      <c r="P482" s="447">
        <f>MONTH(Advices[[#This Row],[Transaction Date]])</f>
        <v>11</v>
      </c>
      <c r="Q482" s="447">
        <f>YEAR(Advices[[#This Row],[Transaction Date]])</f>
        <v>2025</v>
      </c>
      <c r="R482" s="1"/>
    </row>
    <row r="483" spans="1:18" hidden="1" x14ac:dyDescent="0.25">
      <c r="A483" s="1" t="s">
        <v>612</v>
      </c>
      <c r="B483" s="178">
        <v>45963</v>
      </c>
      <c r="C483" s="1" t="s">
        <v>2101</v>
      </c>
      <c r="D483" s="1" t="s">
        <v>2488</v>
      </c>
      <c r="E483" s="1" t="s">
        <v>1566</v>
      </c>
      <c r="F483" s="1" t="s">
        <v>1566</v>
      </c>
      <c r="G483" s="1" t="s">
        <v>26</v>
      </c>
      <c r="H483" s="13">
        <v>250</v>
      </c>
      <c r="I483" s="13">
        <v>0</v>
      </c>
      <c r="J483" s="1" t="s">
        <v>2041</v>
      </c>
      <c r="K483" s="1" t="s">
        <v>2025</v>
      </c>
      <c r="L483" s="1" t="str">
        <f>VLOOKUP(Advices[[#This Row],[LC Number]],'Combine_List'!A:D,2,0)</f>
        <v>Alpha Limit Trading and Contracting Company</v>
      </c>
      <c r="M483" s="447" t="str">
        <f>VLOOKUP(Advices[[#This Row],[LC Number]],'Combine_List'!A:D,3,0)</f>
        <v>FIRST FIX</v>
      </c>
      <c r="N483" s="447" t="str">
        <f>VLOOKUP(Advices[[#This Row],[LC Number]],'Combine_List'!A:D,4,0)</f>
        <v>RCRC</v>
      </c>
      <c r="O483" s="447">
        <f>VLOOKUP(Advices[[#This Row],[LC Number]],'Combine_List'!A:E,5,0)</f>
        <v>1020106</v>
      </c>
      <c r="P483" s="447">
        <f>MONTH(Advices[[#This Row],[Transaction Date]])</f>
        <v>11</v>
      </c>
      <c r="Q483" s="447">
        <f>YEAR(Advices[[#This Row],[Transaction Date]])</f>
        <v>2025</v>
      </c>
      <c r="R483" s="1"/>
    </row>
    <row r="484" spans="1:18" hidden="1" x14ac:dyDescent="0.25">
      <c r="A484" s="1" t="s">
        <v>612</v>
      </c>
      <c r="B484" s="178">
        <v>45963</v>
      </c>
      <c r="C484" s="1" t="s">
        <v>2101</v>
      </c>
      <c r="D484" s="1" t="s">
        <v>2489</v>
      </c>
      <c r="E484" s="1" t="s">
        <v>1566</v>
      </c>
      <c r="F484" s="1" t="s">
        <v>1566</v>
      </c>
      <c r="G484" s="1" t="s">
        <v>26</v>
      </c>
      <c r="H484" s="13">
        <v>37.5</v>
      </c>
      <c r="I484" s="13">
        <v>0</v>
      </c>
      <c r="J484" s="1" t="s">
        <v>2041</v>
      </c>
      <c r="K484" s="1" t="s">
        <v>2025</v>
      </c>
      <c r="L484" s="1" t="str">
        <f>VLOOKUP(Advices[[#This Row],[LC Number]],'Combine_List'!A:D,2,0)</f>
        <v>Alpha Limit Trading and Contracting Company</v>
      </c>
      <c r="M484" s="447" t="str">
        <f>VLOOKUP(Advices[[#This Row],[LC Number]],'Combine_List'!A:D,3,0)</f>
        <v>FIRST FIX</v>
      </c>
      <c r="N484" s="447" t="str">
        <f>VLOOKUP(Advices[[#This Row],[LC Number]],'Combine_List'!A:D,4,0)</f>
        <v>RCRC</v>
      </c>
      <c r="O484" s="447">
        <f>VLOOKUP(Advices[[#This Row],[LC Number]],'Combine_List'!A:E,5,0)</f>
        <v>1020106</v>
      </c>
      <c r="P484" s="447">
        <f>MONTH(Advices[[#This Row],[Transaction Date]])</f>
        <v>11</v>
      </c>
      <c r="Q484" s="447">
        <f>YEAR(Advices[[#This Row],[Transaction Date]])</f>
        <v>2025</v>
      </c>
      <c r="R484" s="1"/>
    </row>
    <row r="485" spans="1:18" hidden="1" x14ac:dyDescent="0.25">
      <c r="A485" s="1" t="s">
        <v>612</v>
      </c>
      <c r="B485" s="178">
        <v>45963</v>
      </c>
      <c r="C485" s="1" t="s">
        <v>2101</v>
      </c>
      <c r="D485" s="1" t="s">
        <v>2490</v>
      </c>
      <c r="E485" s="1" t="s">
        <v>1566</v>
      </c>
      <c r="F485" s="1" t="s">
        <v>1566</v>
      </c>
      <c r="G485" s="1" t="s">
        <v>26</v>
      </c>
      <c r="H485" s="13">
        <v>200</v>
      </c>
      <c r="I485" s="13">
        <v>0</v>
      </c>
      <c r="J485" s="1" t="s">
        <v>2041</v>
      </c>
      <c r="K485" s="1" t="s">
        <v>2025</v>
      </c>
      <c r="L485" s="1" t="str">
        <f>VLOOKUP(Advices[[#This Row],[LC Number]],'Combine_List'!A:D,2,0)</f>
        <v>Alpha Limit Trading and Contracting Company</v>
      </c>
      <c r="M485" s="447" t="str">
        <f>VLOOKUP(Advices[[#This Row],[LC Number]],'Combine_List'!A:D,3,0)</f>
        <v>FIRST FIX</v>
      </c>
      <c r="N485" s="447" t="str">
        <f>VLOOKUP(Advices[[#This Row],[LC Number]],'Combine_List'!A:D,4,0)</f>
        <v>RCRC</v>
      </c>
      <c r="O485" s="447">
        <f>VLOOKUP(Advices[[#This Row],[LC Number]],'Combine_List'!A:E,5,0)</f>
        <v>1020106</v>
      </c>
      <c r="P485" s="447">
        <f>MONTH(Advices[[#This Row],[Transaction Date]])</f>
        <v>11</v>
      </c>
      <c r="Q485" s="447">
        <f>YEAR(Advices[[#This Row],[Transaction Date]])</f>
        <v>2025</v>
      </c>
      <c r="R485" s="1"/>
    </row>
    <row r="486" spans="1:18" hidden="1" x14ac:dyDescent="0.25">
      <c r="A486" s="1" t="s">
        <v>612</v>
      </c>
      <c r="B486" s="178">
        <v>45963</v>
      </c>
      <c r="C486" s="1" t="s">
        <v>2101</v>
      </c>
      <c r="D486" s="1" t="s">
        <v>2491</v>
      </c>
      <c r="E486" s="1" t="s">
        <v>1566</v>
      </c>
      <c r="F486" s="1" t="s">
        <v>1566</v>
      </c>
      <c r="G486" s="1" t="s">
        <v>26</v>
      </c>
      <c r="H486" s="13">
        <v>30</v>
      </c>
      <c r="I486" s="13">
        <v>0</v>
      </c>
      <c r="J486" s="1" t="s">
        <v>2041</v>
      </c>
      <c r="K486" s="1" t="s">
        <v>2025</v>
      </c>
      <c r="L486" s="1" t="str">
        <f>VLOOKUP(Advices[[#This Row],[LC Number]],'Combine_List'!A:D,2,0)</f>
        <v>Alpha Limit Trading and Contracting Company</v>
      </c>
      <c r="M486" s="447" t="str">
        <f>VLOOKUP(Advices[[#This Row],[LC Number]],'Combine_List'!A:D,3,0)</f>
        <v>FIRST FIX</v>
      </c>
      <c r="N486" s="447" t="str">
        <f>VLOOKUP(Advices[[#This Row],[LC Number]],'Combine_List'!A:D,4,0)</f>
        <v>RCRC</v>
      </c>
      <c r="O486" s="447">
        <f>VLOOKUP(Advices[[#This Row],[LC Number]],'Combine_List'!A:E,5,0)</f>
        <v>1020106</v>
      </c>
      <c r="P486" s="447">
        <f>MONTH(Advices[[#This Row],[Transaction Date]])</f>
        <v>11</v>
      </c>
      <c r="Q486" s="447">
        <f>YEAR(Advices[[#This Row],[Transaction Date]])</f>
        <v>2025</v>
      </c>
      <c r="R486" s="1"/>
    </row>
    <row r="487" spans="1:18" hidden="1" x14ac:dyDescent="0.25">
      <c r="A487" s="1" t="s">
        <v>612</v>
      </c>
      <c r="B487" s="178">
        <v>45963</v>
      </c>
      <c r="C487" s="1" t="s">
        <v>2101</v>
      </c>
      <c r="D487" s="1" t="s">
        <v>2492</v>
      </c>
      <c r="E487" s="1" t="s">
        <v>611</v>
      </c>
      <c r="F487" s="1" t="s">
        <v>611</v>
      </c>
      <c r="G487" s="1" t="s">
        <v>26</v>
      </c>
      <c r="H487" s="13">
        <v>1623.4</v>
      </c>
      <c r="I487" s="13">
        <v>0</v>
      </c>
      <c r="J487" s="1" t="s">
        <v>2041</v>
      </c>
      <c r="K487" s="1" t="s">
        <v>2025</v>
      </c>
      <c r="L487" s="1" t="str">
        <f>VLOOKUP(Advices[[#This Row],[LC Number]],'Combine_List'!A:D,2,0)</f>
        <v>AL-Tawi Ready Mix Concrete Factory Co</v>
      </c>
      <c r="M487" s="447" t="str">
        <f>VLOOKUP(Advices[[#This Row],[LC Number]],'Combine_List'!A:D,3,0)</f>
        <v>FIRST FIX</v>
      </c>
      <c r="N487" s="447" t="str">
        <f>VLOOKUP(Advices[[#This Row],[LC Number]],'Combine_List'!A:D,4,0)</f>
        <v>RCRC</v>
      </c>
      <c r="O487" s="447">
        <f>VLOOKUP(Advices[[#This Row],[LC Number]],'Combine_List'!A:E,5,0)</f>
        <v>1020106</v>
      </c>
      <c r="P487" s="447">
        <f>MONTH(Advices[[#This Row],[Transaction Date]])</f>
        <v>11</v>
      </c>
      <c r="Q487" s="447">
        <f>YEAR(Advices[[#This Row],[Transaction Date]])</f>
        <v>2025</v>
      </c>
      <c r="R487" s="1"/>
    </row>
    <row r="488" spans="1:18" hidden="1" x14ac:dyDescent="0.25">
      <c r="A488" s="1" t="s">
        <v>612</v>
      </c>
      <c r="B488" s="178">
        <v>45963</v>
      </c>
      <c r="C488" s="1" t="s">
        <v>2101</v>
      </c>
      <c r="D488" s="1" t="s">
        <v>2493</v>
      </c>
      <c r="E488" s="1" t="s">
        <v>611</v>
      </c>
      <c r="F488" s="1" t="s">
        <v>611</v>
      </c>
      <c r="G488" s="1" t="s">
        <v>26</v>
      </c>
      <c r="H488" s="13">
        <v>243.51</v>
      </c>
      <c r="I488" s="13">
        <v>0</v>
      </c>
      <c r="J488" s="1" t="s">
        <v>2041</v>
      </c>
      <c r="K488" s="1" t="s">
        <v>2025</v>
      </c>
      <c r="L488" s="1" t="str">
        <f>VLOOKUP(Advices[[#This Row],[LC Number]],'Combine_List'!A:D,2,0)</f>
        <v>AL-Tawi Ready Mix Concrete Factory Co</v>
      </c>
      <c r="M488" s="447" t="str">
        <f>VLOOKUP(Advices[[#This Row],[LC Number]],'Combine_List'!A:D,3,0)</f>
        <v>FIRST FIX</v>
      </c>
      <c r="N488" s="447" t="str">
        <f>VLOOKUP(Advices[[#This Row],[LC Number]],'Combine_List'!A:D,4,0)</f>
        <v>RCRC</v>
      </c>
      <c r="O488" s="447">
        <f>VLOOKUP(Advices[[#This Row],[LC Number]],'Combine_List'!A:E,5,0)</f>
        <v>1020106</v>
      </c>
      <c r="P488" s="447">
        <f>MONTH(Advices[[#This Row],[Transaction Date]])</f>
        <v>11</v>
      </c>
      <c r="Q488" s="447">
        <f>YEAR(Advices[[#This Row],[Transaction Date]])</f>
        <v>2025</v>
      </c>
      <c r="R488" s="1"/>
    </row>
    <row r="489" spans="1:18" hidden="1" x14ac:dyDescent="0.25">
      <c r="A489" s="1" t="s">
        <v>612</v>
      </c>
      <c r="B489" s="178">
        <v>45963</v>
      </c>
      <c r="C489" s="1" t="s">
        <v>2101</v>
      </c>
      <c r="D489" s="1" t="s">
        <v>2494</v>
      </c>
      <c r="E489" s="1" t="s">
        <v>611</v>
      </c>
      <c r="F489" s="1" t="s">
        <v>611</v>
      </c>
      <c r="G489" s="1" t="s">
        <v>26</v>
      </c>
      <c r="H489" s="13">
        <v>400</v>
      </c>
      <c r="I489" s="13">
        <v>0</v>
      </c>
      <c r="J489" s="1" t="s">
        <v>2041</v>
      </c>
      <c r="K489" s="1" t="s">
        <v>2025</v>
      </c>
      <c r="L489" s="1" t="str">
        <f>VLOOKUP(Advices[[#This Row],[LC Number]],'Combine_List'!A:D,2,0)</f>
        <v>AL-Tawi Ready Mix Concrete Factory Co</v>
      </c>
      <c r="M489" s="447" t="str">
        <f>VLOOKUP(Advices[[#This Row],[LC Number]],'Combine_List'!A:D,3,0)</f>
        <v>FIRST FIX</v>
      </c>
      <c r="N489" s="447" t="str">
        <f>VLOOKUP(Advices[[#This Row],[LC Number]],'Combine_List'!A:D,4,0)</f>
        <v>RCRC</v>
      </c>
      <c r="O489" s="447">
        <f>VLOOKUP(Advices[[#This Row],[LC Number]],'Combine_List'!A:E,5,0)</f>
        <v>1020106</v>
      </c>
      <c r="P489" s="447">
        <f>MONTH(Advices[[#This Row],[Transaction Date]])</f>
        <v>11</v>
      </c>
      <c r="Q489" s="447">
        <f>YEAR(Advices[[#This Row],[Transaction Date]])</f>
        <v>2025</v>
      </c>
      <c r="R489" s="1"/>
    </row>
    <row r="490" spans="1:18" hidden="1" x14ac:dyDescent="0.25">
      <c r="A490" s="1" t="s">
        <v>612</v>
      </c>
      <c r="B490" s="178">
        <v>45963</v>
      </c>
      <c r="C490" s="1" t="s">
        <v>2101</v>
      </c>
      <c r="D490" s="1" t="s">
        <v>2495</v>
      </c>
      <c r="E490" s="1" t="s">
        <v>611</v>
      </c>
      <c r="F490" s="1" t="s">
        <v>611</v>
      </c>
      <c r="G490" s="1" t="s">
        <v>26</v>
      </c>
      <c r="H490" s="13">
        <v>60</v>
      </c>
      <c r="I490" s="13">
        <v>0</v>
      </c>
      <c r="J490" s="1" t="s">
        <v>2041</v>
      </c>
      <c r="K490" s="1" t="s">
        <v>2025</v>
      </c>
      <c r="L490" s="1" t="str">
        <f>VLOOKUP(Advices[[#This Row],[LC Number]],'Combine_List'!A:D,2,0)</f>
        <v>AL-Tawi Ready Mix Concrete Factory Co</v>
      </c>
      <c r="M490" s="447" t="str">
        <f>VLOOKUP(Advices[[#This Row],[LC Number]],'Combine_List'!A:D,3,0)</f>
        <v>FIRST FIX</v>
      </c>
      <c r="N490" s="447" t="str">
        <f>VLOOKUP(Advices[[#This Row],[LC Number]],'Combine_List'!A:D,4,0)</f>
        <v>RCRC</v>
      </c>
      <c r="O490" s="447">
        <f>VLOOKUP(Advices[[#This Row],[LC Number]],'Combine_List'!A:E,5,0)</f>
        <v>1020106</v>
      </c>
      <c r="P490" s="447">
        <f>MONTH(Advices[[#This Row],[Transaction Date]])</f>
        <v>11</v>
      </c>
      <c r="Q490" s="447">
        <f>YEAR(Advices[[#This Row],[Transaction Date]])</f>
        <v>2025</v>
      </c>
      <c r="R490" s="1"/>
    </row>
    <row r="491" spans="1:18" hidden="1" x14ac:dyDescent="0.25">
      <c r="A491" s="1" t="s">
        <v>612</v>
      </c>
      <c r="B491" s="178">
        <v>45963</v>
      </c>
      <c r="C491" s="1" t="s">
        <v>2101</v>
      </c>
      <c r="D491" s="1" t="s">
        <v>2496</v>
      </c>
      <c r="E491" s="1" t="s">
        <v>698</v>
      </c>
      <c r="F491" s="1" t="s">
        <v>698</v>
      </c>
      <c r="G491" s="1" t="s">
        <v>26</v>
      </c>
      <c r="H491" s="13">
        <v>500</v>
      </c>
      <c r="I491" s="13">
        <v>0</v>
      </c>
      <c r="J491" s="1" t="s">
        <v>2041</v>
      </c>
      <c r="K491" s="1" t="s">
        <v>2025</v>
      </c>
      <c r="L491" s="1" t="str">
        <f>VLOOKUP(Advices[[#This Row],[LC Number]],'Combine_List'!A:D,2,0)</f>
        <v>Union Pipes Industry</v>
      </c>
      <c r="M491" s="447" t="str">
        <f>VLOOKUP(Advices[[#This Row],[LC Number]],'Combine_List'!A:D,3,0)</f>
        <v>FIRST FIX</v>
      </c>
      <c r="N491" s="447" t="str">
        <f>VLOOKUP(Advices[[#This Row],[LC Number]],'Combine_List'!A:D,4,0)</f>
        <v>RCRC</v>
      </c>
      <c r="O491" s="447">
        <f>VLOOKUP(Advices[[#This Row],[LC Number]],'Combine_List'!A:E,5,0)</f>
        <v>1020106</v>
      </c>
      <c r="P491" s="447">
        <f>MONTH(Advices[[#This Row],[Transaction Date]])</f>
        <v>11</v>
      </c>
      <c r="Q491" s="447">
        <f>YEAR(Advices[[#This Row],[Transaction Date]])</f>
        <v>2025</v>
      </c>
      <c r="R491" s="1"/>
    </row>
    <row r="492" spans="1:18" hidden="1" x14ac:dyDescent="0.25">
      <c r="A492" s="1" t="s">
        <v>612</v>
      </c>
      <c r="B492" s="178">
        <v>45963</v>
      </c>
      <c r="C492" s="1" t="s">
        <v>2101</v>
      </c>
      <c r="D492" s="1" t="s">
        <v>2497</v>
      </c>
      <c r="E492" s="1" t="s">
        <v>698</v>
      </c>
      <c r="F492" s="1" t="s">
        <v>698</v>
      </c>
      <c r="G492" s="1" t="s">
        <v>26</v>
      </c>
      <c r="H492" s="13">
        <v>75</v>
      </c>
      <c r="I492" s="13">
        <v>0</v>
      </c>
      <c r="J492" s="1" t="s">
        <v>2041</v>
      </c>
      <c r="K492" s="1" t="s">
        <v>2025</v>
      </c>
      <c r="L492" s="1" t="str">
        <f>VLOOKUP(Advices[[#This Row],[LC Number]],'Combine_List'!A:D,2,0)</f>
        <v>Union Pipes Industry</v>
      </c>
      <c r="M492" s="447" t="str">
        <f>VLOOKUP(Advices[[#This Row],[LC Number]],'Combine_List'!A:D,3,0)</f>
        <v>FIRST FIX</v>
      </c>
      <c r="N492" s="447" t="str">
        <f>VLOOKUP(Advices[[#This Row],[LC Number]],'Combine_List'!A:D,4,0)</f>
        <v>RCRC</v>
      </c>
      <c r="O492" s="447">
        <f>VLOOKUP(Advices[[#This Row],[LC Number]],'Combine_List'!A:E,5,0)</f>
        <v>1020106</v>
      </c>
      <c r="P492" s="447">
        <f>MONTH(Advices[[#This Row],[Transaction Date]])</f>
        <v>11</v>
      </c>
      <c r="Q492" s="447">
        <f>YEAR(Advices[[#This Row],[Transaction Date]])</f>
        <v>2025</v>
      </c>
      <c r="R492" s="1"/>
    </row>
    <row r="493" spans="1:18" hidden="1" x14ac:dyDescent="0.25">
      <c r="A493" s="1" t="s">
        <v>612</v>
      </c>
      <c r="B493" s="178">
        <v>45963</v>
      </c>
      <c r="C493" s="1" t="s">
        <v>2101</v>
      </c>
      <c r="D493" s="1" t="s">
        <v>2498</v>
      </c>
      <c r="E493" s="1" t="s">
        <v>698</v>
      </c>
      <c r="F493" s="1" t="s">
        <v>698</v>
      </c>
      <c r="G493" s="1" t="s">
        <v>26</v>
      </c>
      <c r="H493" s="13">
        <v>400</v>
      </c>
      <c r="I493" s="13">
        <v>0</v>
      </c>
      <c r="J493" s="1" t="s">
        <v>2041</v>
      </c>
      <c r="K493" s="1" t="s">
        <v>2025</v>
      </c>
      <c r="L493" s="1" t="str">
        <f>VLOOKUP(Advices[[#This Row],[LC Number]],'Combine_List'!A:D,2,0)</f>
        <v>Union Pipes Industry</v>
      </c>
      <c r="M493" s="447" t="str">
        <f>VLOOKUP(Advices[[#This Row],[LC Number]],'Combine_List'!A:D,3,0)</f>
        <v>FIRST FIX</v>
      </c>
      <c r="N493" s="447" t="str">
        <f>VLOOKUP(Advices[[#This Row],[LC Number]],'Combine_List'!A:D,4,0)</f>
        <v>RCRC</v>
      </c>
      <c r="O493" s="447">
        <f>VLOOKUP(Advices[[#This Row],[LC Number]],'Combine_List'!A:E,5,0)</f>
        <v>1020106</v>
      </c>
      <c r="P493" s="447">
        <f>MONTH(Advices[[#This Row],[Transaction Date]])</f>
        <v>11</v>
      </c>
      <c r="Q493" s="447">
        <f>YEAR(Advices[[#This Row],[Transaction Date]])</f>
        <v>2025</v>
      </c>
      <c r="R493" s="1"/>
    </row>
    <row r="494" spans="1:18" hidden="1" x14ac:dyDescent="0.25">
      <c r="A494" s="1" t="s">
        <v>612</v>
      </c>
      <c r="B494" s="178">
        <v>45963</v>
      </c>
      <c r="C494" s="1" t="s">
        <v>2101</v>
      </c>
      <c r="D494" s="1" t="s">
        <v>2499</v>
      </c>
      <c r="E494" s="1" t="s">
        <v>698</v>
      </c>
      <c r="F494" s="1" t="s">
        <v>698</v>
      </c>
      <c r="G494" s="1" t="s">
        <v>26</v>
      </c>
      <c r="H494" s="13">
        <v>60</v>
      </c>
      <c r="I494" s="13">
        <v>0</v>
      </c>
      <c r="J494" s="1" t="s">
        <v>2041</v>
      </c>
      <c r="K494" s="1" t="s">
        <v>2025</v>
      </c>
      <c r="L494" s="1" t="str">
        <f>VLOOKUP(Advices[[#This Row],[LC Number]],'Combine_List'!A:D,2,0)</f>
        <v>Union Pipes Industry</v>
      </c>
      <c r="M494" s="447" t="str">
        <f>VLOOKUP(Advices[[#This Row],[LC Number]],'Combine_List'!A:D,3,0)</f>
        <v>FIRST FIX</v>
      </c>
      <c r="N494" s="447" t="str">
        <f>VLOOKUP(Advices[[#This Row],[LC Number]],'Combine_List'!A:D,4,0)</f>
        <v>RCRC</v>
      </c>
      <c r="O494" s="447">
        <f>VLOOKUP(Advices[[#This Row],[LC Number]],'Combine_List'!A:E,5,0)</f>
        <v>1020106</v>
      </c>
      <c r="P494" s="447">
        <f>MONTH(Advices[[#This Row],[Transaction Date]])</f>
        <v>11</v>
      </c>
      <c r="Q494" s="447">
        <f>YEAR(Advices[[#This Row],[Transaction Date]])</f>
        <v>2025</v>
      </c>
      <c r="R494" s="1"/>
    </row>
    <row r="495" spans="1:18" hidden="1" x14ac:dyDescent="0.25">
      <c r="A495" s="1" t="s">
        <v>612</v>
      </c>
      <c r="B495" s="178">
        <v>45963</v>
      </c>
      <c r="C495" s="1" t="s">
        <v>2101</v>
      </c>
      <c r="D495" s="1" t="s">
        <v>2500</v>
      </c>
      <c r="E495" s="1" t="s">
        <v>1151</v>
      </c>
      <c r="F495" s="1" t="s">
        <v>1151</v>
      </c>
      <c r="G495" s="1" t="s">
        <v>26</v>
      </c>
      <c r="H495" s="13">
        <v>884.44</v>
      </c>
      <c r="I495" s="13">
        <v>0</v>
      </c>
      <c r="J495" s="1" t="s">
        <v>2041</v>
      </c>
      <c r="K495" s="1" t="s">
        <v>2025</v>
      </c>
      <c r="L495" s="1" t="str">
        <f>VLOOKUP(Advices[[#This Row],[LC Number]],'Combine_List'!A:D,2,0)</f>
        <v>SAUDI VITRIFIED CLAY PIPE CO</v>
      </c>
      <c r="M495" s="447" t="str">
        <f>VLOOKUP(Advices[[#This Row],[LC Number]],'Combine_List'!A:D,3,0)</f>
        <v>FIRST FIX</v>
      </c>
      <c r="N495" s="447" t="str">
        <f>VLOOKUP(Advices[[#This Row],[LC Number]],'Combine_List'!A:D,4,0)</f>
        <v>RCRC</v>
      </c>
      <c r="O495" s="447">
        <f>VLOOKUP(Advices[[#This Row],[LC Number]],'Combine_List'!A:E,5,0)</f>
        <v>1020106</v>
      </c>
      <c r="P495" s="447">
        <f>MONTH(Advices[[#This Row],[Transaction Date]])</f>
        <v>11</v>
      </c>
      <c r="Q495" s="447">
        <f>YEAR(Advices[[#This Row],[Transaction Date]])</f>
        <v>2025</v>
      </c>
      <c r="R495" s="1"/>
    </row>
    <row r="496" spans="1:18" hidden="1" x14ac:dyDescent="0.25">
      <c r="A496" s="1" t="s">
        <v>612</v>
      </c>
      <c r="B496" s="178">
        <v>45963</v>
      </c>
      <c r="C496" s="1" t="s">
        <v>2101</v>
      </c>
      <c r="D496" s="1" t="s">
        <v>2501</v>
      </c>
      <c r="E496" s="1" t="s">
        <v>1151</v>
      </c>
      <c r="F496" s="1" t="s">
        <v>1151</v>
      </c>
      <c r="G496" s="1" t="s">
        <v>26</v>
      </c>
      <c r="H496" s="13">
        <v>132.66999999999999</v>
      </c>
      <c r="I496" s="13">
        <v>0</v>
      </c>
      <c r="J496" s="1" t="s">
        <v>2041</v>
      </c>
      <c r="K496" s="1" t="s">
        <v>2025</v>
      </c>
      <c r="L496" s="1" t="str">
        <f>VLOOKUP(Advices[[#This Row],[LC Number]],'Combine_List'!A:D,2,0)</f>
        <v>SAUDI VITRIFIED CLAY PIPE CO</v>
      </c>
      <c r="M496" s="447" t="str">
        <f>VLOOKUP(Advices[[#This Row],[LC Number]],'Combine_List'!A:D,3,0)</f>
        <v>FIRST FIX</v>
      </c>
      <c r="N496" s="447" t="str">
        <f>VLOOKUP(Advices[[#This Row],[LC Number]],'Combine_List'!A:D,4,0)</f>
        <v>RCRC</v>
      </c>
      <c r="O496" s="447">
        <f>VLOOKUP(Advices[[#This Row],[LC Number]],'Combine_List'!A:E,5,0)</f>
        <v>1020106</v>
      </c>
      <c r="P496" s="447">
        <f>MONTH(Advices[[#This Row],[Transaction Date]])</f>
        <v>11</v>
      </c>
      <c r="Q496" s="447">
        <f>YEAR(Advices[[#This Row],[Transaction Date]])</f>
        <v>2025</v>
      </c>
      <c r="R496" s="1"/>
    </row>
    <row r="497" spans="1:18" hidden="1" x14ac:dyDescent="0.25">
      <c r="A497" s="1" t="s">
        <v>612</v>
      </c>
      <c r="B497" s="178">
        <v>45963</v>
      </c>
      <c r="C497" s="1" t="s">
        <v>2101</v>
      </c>
      <c r="D497" s="1" t="s">
        <v>2502</v>
      </c>
      <c r="E497" s="1" t="s">
        <v>1151</v>
      </c>
      <c r="F497" s="1" t="s">
        <v>1151</v>
      </c>
      <c r="G497" s="1" t="s">
        <v>26</v>
      </c>
      <c r="H497" s="13">
        <v>400</v>
      </c>
      <c r="I497" s="13">
        <v>0</v>
      </c>
      <c r="J497" s="1" t="s">
        <v>2041</v>
      </c>
      <c r="K497" s="1" t="s">
        <v>2025</v>
      </c>
      <c r="L497" s="1" t="str">
        <f>VLOOKUP(Advices[[#This Row],[LC Number]],'Combine_List'!A:D,2,0)</f>
        <v>SAUDI VITRIFIED CLAY PIPE CO</v>
      </c>
      <c r="M497" s="447" t="str">
        <f>VLOOKUP(Advices[[#This Row],[LC Number]],'Combine_List'!A:D,3,0)</f>
        <v>FIRST FIX</v>
      </c>
      <c r="N497" s="447" t="str">
        <f>VLOOKUP(Advices[[#This Row],[LC Number]],'Combine_List'!A:D,4,0)</f>
        <v>RCRC</v>
      </c>
      <c r="O497" s="447">
        <f>VLOOKUP(Advices[[#This Row],[LC Number]],'Combine_List'!A:E,5,0)</f>
        <v>1020106</v>
      </c>
      <c r="P497" s="447">
        <f>MONTH(Advices[[#This Row],[Transaction Date]])</f>
        <v>11</v>
      </c>
      <c r="Q497" s="447">
        <f>YEAR(Advices[[#This Row],[Transaction Date]])</f>
        <v>2025</v>
      </c>
      <c r="R497" s="1"/>
    </row>
    <row r="498" spans="1:18" hidden="1" x14ac:dyDescent="0.25">
      <c r="A498" s="1" t="s">
        <v>612</v>
      </c>
      <c r="B498" s="178">
        <v>45963</v>
      </c>
      <c r="C498" s="1" t="s">
        <v>2101</v>
      </c>
      <c r="D498" s="1" t="s">
        <v>2503</v>
      </c>
      <c r="E498" s="1" t="s">
        <v>1151</v>
      </c>
      <c r="F498" s="1" t="s">
        <v>1151</v>
      </c>
      <c r="G498" s="1" t="s">
        <v>26</v>
      </c>
      <c r="H498" s="13">
        <v>60</v>
      </c>
      <c r="I498" s="13">
        <v>0</v>
      </c>
      <c r="J498" s="1" t="s">
        <v>2041</v>
      </c>
      <c r="K498" s="1" t="s">
        <v>2025</v>
      </c>
      <c r="L498" s="1" t="str">
        <f>VLOOKUP(Advices[[#This Row],[LC Number]],'Combine_List'!A:D,2,0)</f>
        <v>SAUDI VITRIFIED CLAY PIPE CO</v>
      </c>
      <c r="M498" s="447" t="str">
        <f>VLOOKUP(Advices[[#This Row],[LC Number]],'Combine_List'!A:D,3,0)</f>
        <v>FIRST FIX</v>
      </c>
      <c r="N498" s="447" t="str">
        <f>VLOOKUP(Advices[[#This Row],[LC Number]],'Combine_List'!A:D,4,0)</f>
        <v>RCRC</v>
      </c>
      <c r="O498" s="447">
        <f>VLOOKUP(Advices[[#This Row],[LC Number]],'Combine_List'!A:E,5,0)</f>
        <v>1020106</v>
      </c>
      <c r="P498" s="447">
        <f>MONTH(Advices[[#This Row],[Transaction Date]])</f>
        <v>11</v>
      </c>
      <c r="Q498" s="447">
        <f>YEAR(Advices[[#This Row],[Transaction Date]])</f>
        <v>2025</v>
      </c>
      <c r="R498" s="1"/>
    </row>
    <row r="499" spans="1:18" hidden="1" x14ac:dyDescent="0.25">
      <c r="A499" s="1" t="s">
        <v>612</v>
      </c>
      <c r="B499" s="178">
        <v>45963</v>
      </c>
      <c r="C499" s="1" t="s">
        <v>2101</v>
      </c>
      <c r="D499" s="1" t="s">
        <v>2504</v>
      </c>
      <c r="E499" s="1" t="s">
        <v>1396</v>
      </c>
      <c r="F499" s="1" t="s">
        <v>1396</v>
      </c>
      <c r="G499" s="1" t="s">
        <v>26</v>
      </c>
      <c r="H499" s="13">
        <v>500</v>
      </c>
      <c r="I499" s="13">
        <v>0</v>
      </c>
      <c r="J499" s="1" t="s">
        <v>2041</v>
      </c>
      <c r="K499" s="1" t="s">
        <v>2025</v>
      </c>
      <c r="L499" s="1" t="str">
        <f>VLOOKUP(Advices[[#This Row],[LC Number]],'Combine_List'!A:D,2,0)</f>
        <v>Baamer Group for Trading Company</v>
      </c>
      <c r="M499" s="447" t="str">
        <f>VLOOKUP(Advices[[#This Row],[LC Number]],'Combine_List'!A:D,3,0)</f>
        <v>FIRST FIX</v>
      </c>
      <c r="N499" s="447" t="str">
        <f>VLOOKUP(Advices[[#This Row],[LC Number]],'Combine_List'!A:D,4,0)</f>
        <v>RCRC</v>
      </c>
      <c r="O499" s="447">
        <f>VLOOKUP(Advices[[#This Row],[LC Number]],'Combine_List'!A:E,5,0)</f>
        <v>1020106</v>
      </c>
      <c r="P499" s="447">
        <f>MONTH(Advices[[#This Row],[Transaction Date]])</f>
        <v>11</v>
      </c>
      <c r="Q499" s="447">
        <f>YEAR(Advices[[#This Row],[Transaction Date]])</f>
        <v>2025</v>
      </c>
      <c r="R499" s="1"/>
    </row>
    <row r="500" spans="1:18" hidden="1" x14ac:dyDescent="0.25">
      <c r="A500" s="1" t="s">
        <v>612</v>
      </c>
      <c r="B500" s="178">
        <v>45963</v>
      </c>
      <c r="C500" s="1" t="s">
        <v>2101</v>
      </c>
      <c r="D500" s="1" t="s">
        <v>2505</v>
      </c>
      <c r="E500" s="1" t="s">
        <v>1396</v>
      </c>
      <c r="F500" s="1" t="s">
        <v>1396</v>
      </c>
      <c r="G500" s="1" t="s">
        <v>26</v>
      </c>
      <c r="H500" s="13">
        <v>75</v>
      </c>
      <c r="I500" s="13">
        <v>0</v>
      </c>
      <c r="J500" s="1" t="s">
        <v>2041</v>
      </c>
      <c r="K500" s="1" t="s">
        <v>2025</v>
      </c>
      <c r="L500" s="1" t="str">
        <f>VLOOKUP(Advices[[#This Row],[LC Number]],'Combine_List'!A:D,2,0)</f>
        <v>Baamer Group for Trading Company</v>
      </c>
      <c r="M500" s="447" t="str">
        <f>VLOOKUP(Advices[[#This Row],[LC Number]],'Combine_List'!A:D,3,0)</f>
        <v>FIRST FIX</v>
      </c>
      <c r="N500" s="447" t="str">
        <f>VLOOKUP(Advices[[#This Row],[LC Number]],'Combine_List'!A:D,4,0)</f>
        <v>RCRC</v>
      </c>
      <c r="O500" s="447">
        <f>VLOOKUP(Advices[[#This Row],[LC Number]],'Combine_List'!A:E,5,0)</f>
        <v>1020106</v>
      </c>
      <c r="P500" s="447">
        <f>MONTH(Advices[[#This Row],[Transaction Date]])</f>
        <v>11</v>
      </c>
      <c r="Q500" s="447">
        <f>YEAR(Advices[[#This Row],[Transaction Date]])</f>
        <v>2025</v>
      </c>
      <c r="R500" s="1"/>
    </row>
    <row r="501" spans="1:18" hidden="1" x14ac:dyDescent="0.25">
      <c r="A501" s="1" t="s">
        <v>612</v>
      </c>
      <c r="B501" s="178">
        <v>45963</v>
      </c>
      <c r="C501" s="1" t="s">
        <v>2101</v>
      </c>
      <c r="D501" s="1" t="s">
        <v>2506</v>
      </c>
      <c r="E501" s="1" t="s">
        <v>1396</v>
      </c>
      <c r="F501" s="1" t="s">
        <v>1396</v>
      </c>
      <c r="G501" s="1" t="s">
        <v>26</v>
      </c>
      <c r="H501" s="13">
        <v>400</v>
      </c>
      <c r="I501" s="13">
        <v>0</v>
      </c>
      <c r="J501" s="1" t="s">
        <v>2041</v>
      </c>
      <c r="K501" s="1" t="s">
        <v>2025</v>
      </c>
      <c r="L501" s="1" t="str">
        <f>VLOOKUP(Advices[[#This Row],[LC Number]],'Combine_List'!A:D,2,0)</f>
        <v>Baamer Group for Trading Company</v>
      </c>
      <c r="M501" s="447" t="str">
        <f>VLOOKUP(Advices[[#This Row],[LC Number]],'Combine_List'!A:D,3,0)</f>
        <v>FIRST FIX</v>
      </c>
      <c r="N501" s="447" t="str">
        <f>VLOOKUP(Advices[[#This Row],[LC Number]],'Combine_List'!A:D,4,0)</f>
        <v>RCRC</v>
      </c>
      <c r="O501" s="447">
        <f>VLOOKUP(Advices[[#This Row],[LC Number]],'Combine_List'!A:E,5,0)</f>
        <v>1020106</v>
      </c>
      <c r="P501" s="447">
        <f>MONTH(Advices[[#This Row],[Transaction Date]])</f>
        <v>11</v>
      </c>
      <c r="Q501" s="447">
        <f>YEAR(Advices[[#This Row],[Transaction Date]])</f>
        <v>2025</v>
      </c>
      <c r="R501" s="1"/>
    </row>
    <row r="502" spans="1:18" hidden="1" x14ac:dyDescent="0.25">
      <c r="A502" s="1" t="s">
        <v>612</v>
      </c>
      <c r="B502" s="178">
        <v>45963</v>
      </c>
      <c r="C502" s="1" t="s">
        <v>2101</v>
      </c>
      <c r="D502" s="1" t="s">
        <v>2507</v>
      </c>
      <c r="E502" s="1" t="s">
        <v>1396</v>
      </c>
      <c r="F502" s="1" t="s">
        <v>1396</v>
      </c>
      <c r="G502" s="1" t="s">
        <v>26</v>
      </c>
      <c r="H502" s="13">
        <v>60</v>
      </c>
      <c r="I502" s="13">
        <v>0</v>
      </c>
      <c r="J502" s="1" t="s">
        <v>2041</v>
      </c>
      <c r="K502" s="1" t="s">
        <v>2025</v>
      </c>
      <c r="L502" s="1" t="str">
        <f>VLOOKUP(Advices[[#This Row],[LC Number]],'Combine_List'!A:D,2,0)</f>
        <v>Baamer Group for Trading Company</v>
      </c>
      <c r="M502" s="447" t="str">
        <f>VLOOKUP(Advices[[#This Row],[LC Number]],'Combine_List'!A:D,3,0)</f>
        <v>FIRST FIX</v>
      </c>
      <c r="N502" s="447" t="str">
        <f>VLOOKUP(Advices[[#This Row],[LC Number]],'Combine_List'!A:D,4,0)</f>
        <v>RCRC</v>
      </c>
      <c r="O502" s="447">
        <f>VLOOKUP(Advices[[#This Row],[LC Number]],'Combine_List'!A:E,5,0)</f>
        <v>1020106</v>
      </c>
      <c r="P502" s="447">
        <f>MONTH(Advices[[#This Row],[Transaction Date]])</f>
        <v>11</v>
      </c>
      <c r="Q502" s="447">
        <f>YEAR(Advices[[#This Row],[Transaction Date]])</f>
        <v>2025</v>
      </c>
      <c r="R502" s="1"/>
    </row>
    <row r="503" spans="1:18" hidden="1" x14ac:dyDescent="0.25">
      <c r="A503" s="1" t="s">
        <v>612</v>
      </c>
      <c r="B503" s="178">
        <v>45963</v>
      </c>
      <c r="C503" s="1" t="s">
        <v>2101</v>
      </c>
      <c r="D503" s="1" t="s">
        <v>2508</v>
      </c>
      <c r="E503" s="1" t="s">
        <v>1447</v>
      </c>
      <c r="F503" s="1" t="s">
        <v>1447</v>
      </c>
      <c r="G503" s="1" t="s">
        <v>26</v>
      </c>
      <c r="H503" s="13">
        <v>1277.1199999999999</v>
      </c>
      <c r="I503" s="13">
        <v>0</v>
      </c>
      <c r="J503" s="1" t="s">
        <v>2041</v>
      </c>
      <c r="K503" s="1" t="s">
        <v>2025</v>
      </c>
      <c r="L503" s="1" t="str">
        <f>VLOOKUP(Advices[[#This Row],[LC Number]],'Combine_List'!A:D,2,0)</f>
        <v>Metal and Glass Trading Co</v>
      </c>
      <c r="M503" s="447" t="str">
        <f>VLOOKUP(Advices[[#This Row],[LC Number]],'Combine_List'!A:D,3,0)</f>
        <v>FIRST FIX</v>
      </c>
      <c r="N503" s="447" t="str">
        <f>VLOOKUP(Advices[[#This Row],[LC Number]],'Combine_List'!A:D,4,0)</f>
        <v>RCRC</v>
      </c>
      <c r="O503" s="447">
        <f>VLOOKUP(Advices[[#This Row],[LC Number]],'Combine_List'!A:E,5,0)</f>
        <v>1020106</v>
      </c>
      <c r="P503" s="447">
        <f>MONTH(Advices[[#This Row],[Transaction Date]])</f>
        <v>11</v>
      </c>
      <c r="Q503" s="447">
        <f>YEAR(Advices[[#This Row],[Transaction Date]])</f>
        <v>2025</v>
      </c>
      <c r="R503" s="1"/>
    </row>
    <row r="504" spans="1:18" hidden="1" x14ac:dyDescent="0.25">
      <c r="A504" s="1" t="s">
        <v>612</v>
      </c>
      <c r="B504" s="178">
        <v>45963</v>
      </c>
      <c r="C504" s="1" t="s">
        <v>2101</v>
      </c>
      <c r="D504" s="1" t="s">
        <v>2509</v>
      </c>
      <c r="E504" s="1" t="s">
        <v>1447</v>
      </c>
      <c r="F504" s="1" t="s">
        <v>1447</v>
      </c>
      <c r="G504" s="1" t="s">
        <v>26</v>
      </c>
      <c r="H504" s="13">
        <v>191.57</v>
      </c>
      <c r="I504" s="13">
        <v>0</v>
      </c>
      <c r="J504" s="1" t="s">
        <v>2041</v>
      </c>
      <c r="K504" s="1" t="s">
        <v>2025</v>
      </c>
      <c r="L504" s="1" t="str">
        <f>VLOOKUP(Advices[[#This Row],[LC Number]],'Combine_List'!A:D,2,0)</f>
        <v>Metal and Glass Trading Co</v>
      </c>
      <c r="M504" s="447" t="str">
        <f>VLOOKUP(Advices[[#This Row],[LC Number]],'Combine_List'!A:D,3,0)</f>
        <v>FIRST FIX</v>
      </c>
      <c r="N504" s="447" t="str">
        <f>VLOOKUP(Advices[[#This Row],[LC Number]],'Combine_List'!A:D,4,0)</f>
        <v>RCRC</v>
      </c>
      <c r="O504" s="447">
        <f>VLOOKUP(Advices[[#This Row],[LC Number]],'Combine_List'!A:E,5,0)</f>
        <v>1020106</v>
      </c>
      <c r="P504" s="447">
        <f>MONTH(Advices[[#This Row],[Transaction Date]])</f>
        <v>11</v>
      </c>
      <c r="Q504" s="447">
        <f>YEAR(Advices[[#This Row],[Transaction Date]])</f>
        <v>2025</v>
      </c>
      <c r="R504" s="1"/>
    </row>
    <row r="505" spans="1:18" hidden="1" x14ac:dyDescent="0.25">
      <c r="A505" s="1" t="s">
        <v>612</v>
      </c>
      <c r="B505" s="178">
        <v>45963</v>
      </c>
      <c r="C505" s="1" t="s">
        <v>2101</v>
      </c>
      <c r="D505" s="1" t="s">
        <v>2510</v>
      </c>
      <c r="E505" s="1" t="s">
        <v>1447</v>
      </c>
      <c r="F505" s="1" t="s">
        <v>1447</v>
      </c>
      <c r="G505" s="1" t="s">
        <v>26</v>
      </c>
      <c r="H505" s="13">
        <v>400</v>
      </c>
      <c r="I505" s="13">
        <v>0</v>
      </c>
      <c r="J505" s="1" t="s">
        <v>2041</v>
      </c>
      <c r="K505" s="1" t="s">
        <v>2025</v>
      </c>
      <c r="L505" s="1" t="str">
        <f>VLOOKUP(Advices[[#This Row],[LC Number]],'Combine_List'!A:D,2,0)</f>
        <v>Metal and Glass Trading Co</v>
      </c>
      <c r="M505" s="447" t="str">
        <f>VLOOKUP(Advices[[#This Row],[LC Number]],'Combine_List'!A:D,3,0)</f>
        <v>FIRST FIX</v>
      </c>
      <c r="N505" s="447" t="str">
        <f>VLOOKUP(Advices[[#This Row],[LC Number]],'Combine_List'!A:D,4,0)</f>
        <v>RCRC</v>
      </c>
      <c r="O505" s="447">
        <f>VLOOKUP(Advices[[#This Row],[LC Number]],'Combine_List'!A:E,5,0)</f>
        <v>1020106</v>
      </c>
      <c r="P505" s="447">
        <f>MONTH(Advices[[#This Row],[Transaction Date]])</f>
        <v>11</v>
      </c>
      <c r="Q505" s="447">
        <f>YEAR(Advices[[#This Row],[Transaction Date]])</f>
        <v>2025</v>
      </c>
      <c r="R505" s="1"/>
    </row>
    <row r="506" spans="1:18" hidden="1" x14ac:dyDescent="0.25">
      <c r="A506" s="1" t="s">
        <v>612</v>
      </c>
      <c r="B506" s="178">
        <v>45963</v>
      </c>
      <c r="C506" s="1" t="s">
        <v>2101</v>
      </c>
      <c r="D506" s="1" t="s">
        <v>2511</v>
      </c>
      <c r="E506" s="1" t="s">
        <v>1447</v>
      </c>
      <c r="F506" s="1" t="s">
        <v>1447</v>
      </c>
      <c r="G506" s="1" t="s">
        <v>26</v>
      </c>
      <c r="H506" s="13">
        <v>60</v>
      </c>
      <c r="I506" s="13">
        <v>0</v>
      </c>
      <c r="J506" s="1" t="s">
        <v>2041</v>
      </c>
      <c r="K506" s="1" t="s">
        <v>2025</v>
      </c>
      <c r="L506" s="1" t="str">
        <f>VLOOKUP(Advices[[#This Row],[LC Number]],'Combine_List'!A:D,2,0)</f>
        <v>Metal and Glass Trading Co</v>
      </c>
      <c r="M506" s="447" t="str">
        <f>VLOOKUP(Advices[[#This Row],[LC Number]],'Combine_List'!A:D,3,0)</f>
        <v>FIRST FIX</v>
      </c>
      <c r="N506" s="447" t="str">
        <f>VLOOKUP(Advices[[#This Row],[LC Number]],'Combine_List'!A:D,4,0)</f>
        <v>RCRC</v>
      </c>
      <c r="O506" s="447">
        <f>VLOOKUP(Advices[[#This Row],[LC Number]],'Combine_List'!A:E,5,0)</f>
        <v>1020106</v>
      </c>
      <c r="P506" s="447">
        <f>MONTH(Advices[[#This Row],[Transaction Date]])</f>
        <v>11</v>
      </c>
      <c r="Q506" s="447">
        <f>YEAR(Advices[[#This Row],[Transaction Date]])</f>
        <v>2025</v>
      </c>
      <c r="R506" s="1"/>
    </row>
    <row r="507" spans="1:18" hidden="1" x14ac:dyDescent="0.25">
      <c r="A507" s="1" t="s">
        <v>612</v>
      </c>
      <c r="B507" s="178">
        <v>45964</v>
      </c>
      <c r="C507" s="1" t="s">
        <v>2101</v>
      </c>
      <c r="D507" s="1" t="s">
        <v>2512</v>
      </c>
      <c r="E507" s="1" t="s">
        <v>1397</v>
      </c>
      <c r="F507" s="1" t="s">
        <v>1397</v>
      </c>
      <c r="G507" s="1" t="s">
        <v>26</v>
      </c>
      <c r="H507" s="13">
        <v>552155.25</v>
      </c>
      <c r="I507" s="13">
        <v>0</v>
      </c>
      <c r="J507" s="1" t="s">
        <v>2041</v>
      </c>
      <c r="K507" s="1" t="s">
        <v>2025</v>
      </c>
      <c r="L507" s="1" t="str">
        <f>VLOOKUP(Advices[[#This Row],[LC Number]],'Combine_List'!A:D,2,0)</f>
        <v xml:space="preserve">EALLA FOR GENERAL CONTRACTING CO </v>
      </c>
      <c r="M507" s="447" t="str">
        <f>VLOOKUP(Advices[[#This Row],[LC Number]],'Combine_List'!A:D,3,0)</f>
        <v>FIRST FIX</v>
      </c>
      <c r="N507" s="447" t="str">
        <f>VLOOKUP(Advices[[#This Row],[LC Number]],'Combine_List'!A:D,4,0)</f>
        <v>RCRC</v>
      </c>
      <c r="O507" s="447">
        <f>VLOOKUP(Advices[[#This Row],[LC Number]],'Combine_List'!A:E,5,0)</f>
        <v>1020106</v>
      </c>
      <c r="P507" s="447">
        <f>MONTH(Advices[[#This Row],[Transaction Date]])</f>
        <v>11</v>
      </c>
      <c r="Q507" s="447">
        <f>YEAR(Advices[[#This Row],[Transaction Date]])</f>
        <v>2025</v>
      </c>
      <c r="R507" s="1"/>
    </row>
    <row r="508" spans="1:18" hidden="1" x14ac:dyDescent="0.25">
      <c r="A508" s="1" t="s">
        <v>612</v>
      </c>
      <c r="B508" s="178">
        <v>45932</v>
      </c>
      <c r="C508" s="1" t="s">
        <v>2101</v>
      </c>
      <c r="D508" s="1" t="s">
        <v>2513</v>
      </c>
      <c r="E508" s="1" t="s">
        <v>1911</v>
      </c>
      <c r="F508" s="1" t="s">
        <v>2041</v>
      </c>
      <c r="G508" s="1" t="s">
        <v>26</v>
      </c>
      <c r="H508" s="13">
        <v>9375</v>
      </c>
      <c r="I508" s="13">
        <v>0</v>
      </c>
      <c r="J508" s="1" t="s">
        <v>2041</v>
      </c>
      <c r="K508" s="1" t="s">
        <v>2025</v>
      </c>
      <c r="L508" s="1" t="str">
        <f>VLOOKUP(Advices[[#This Row],[LC Number]],'Combine_List'!A:D,2,0)</f>
        <v>Bid - ERTH Al-AWTAN REAL ESTATE DEVELOPMENT COMPANY</v>
      </c>
      <c r="M508" s="447">
        <f>VLOOKUP(Advices[[#This Row],[LC Number]],'Combine_List'!A:D,3,0)</f>
        <v>0</v>
      </c>
      <c r="N508" s="447">
        <f>VLOOKUP(Advices[[#This Row],[LC Number]],'Combine_List'!A:D,4,0)</f>
        <v>0</v>
      </c>
      <c r="O508" s="447">
        <f>VLOOKUP(Advices[[#This Row],[LC Number]],'Combine_List'!A:E,5,0)</f>
        <v>0</v>
      </c>
      <c r="P508" s="447">
        <f>MONTH(Advices[[#This Row],[Transaction Date]])</f>
        <v>10</v>
      </c>
      <c r="Q508" s="447">
        <f>YEAR(Advices[[#This Row],[Transaction Date]])</f>
        <v>2025</v>
      </c>
      <c r="R508" s="1"/>
    </row>
    <row r="509" spans="1:18" hidden="1" x14ac:dyDescent="0.25">
      <c r="A509" s="1" t="s">
        <v>612</v>
      </c>
      <c r="B509" s="178">
        <v>45932</v>
      </c>
      <c r="C509" s="1" t="s">
        <v>2101</v>
      </c>
      <c r="D509" s="1" t="s">
        <v>2514</v>
      </c>
      <c r="E509" s="1" t="s">
        <v>1911</v>
      </c>
      <c r="F509" s="1" t="s">
        <v>2041</v>
      </c>
      <c r="G509" s="1" t="s">
        <v>26</v>
      </c>
      <c r="H509" s="13">
        <v>1406.25</v>
      </c>
      <c r="I509" s="13">
        <v>0</v>
      </c>
      <c r="J509" s="1" t="s">
        <v>2041</v>
      </c>
      <c r="K509" s="1" t="s">
        <v>2025</v>
      </c>
      <c r="L509" s="1" t="str">
        <f>VLOOKUP(Advices[[#This Row],[LC Number]],'Combine_List'!A:D,2,0)</f>
        <v>Bid - ERTH Al-AWTAN REAL ESTATE DEVELOPMENT COMPANY</v>
      </c>
      <c r="M509" s="447">
        <f>VLOOKUP(Advices[[#This Row],[LC Number]],'Combine_List'!A:D,3,0)</f>
        <v>0</v>
      </c>
      <c r="N509" s="447">
        <f>VLOOKUP(Advices[[#This Row],[LC Number]],'Combine_List'!A:D,4,0)</f>
        <v>0</v>
      </c>
      <c r="O509" s="447">
        <f>VLOOKUP(Advices[[#This Row],[LC Number]],'Combine_List'!A:E,5,0)</f>
        <v>0</v>
      </c>
      <c r="P509" s="447">
        <f>MONTH(Advices[[#This Row],[Transaction Date]])</f>
        <v>10</v>
      </c>
      <c r="Q509" s="447">
        <f>YEAR(Advices[[#This Row],[Transaction Date]])</f>
        <v>2025</v>
      </c>
      <c r="R509" s="1"/>
    </row>
    <row r="510" spans="1:18" hidden="1" x14ac:dyDescent="0.25">
      <c r="A510" s="1" t="s">
        <v>612</v>
      </c>
      <c r="B510" s="178">
        <v>45932</v>
      </c>
      <c r="C510" s="1" t="s">
        <v>2101</v>
      </c>
      <c r="D510" s="1" t="s">
        <v>2515</v>
      </c>
      <c r="E510" s="1" t="s">
        <v>1911</v>
      </c>
      <c r="F510" s="1" t="s">
        <v>2041</v>
      </c>
      <c r="G510" s="1" t="s">
        <v>26</v>
      </c>
      <c r="H510" s="13">
        <v>26027.4</v>
      </c>
      <c r="I510" s="13">
        <v>0</v>
      </c>
      <c r="J510" s="1" t="s">
        <v>2041</v>
      </c>
      <c r="K510" s="1" t="s">
        <v>2025</v>
      </c>
      <c r="L510" s="1" t="str">
        <f>VLOOKUP(Advices[[#This Row],[LC Number]],'Combine_List'!A:D,2,0)</f>
        <v>Bid - ERTH Al-AWTAN REAL ESTATE DEVELOPMENT COMPANY</v>
      </c>
      <c r="M510" s="447">
        <f>VLOOKUP(Advices[[#This Row],[LC Number]],'Combine_List'!A:D,3,0)</f>
        <v>0</v>
      </c>
      <c r="N510" s="447">
        <f>VLOOKUP(Advices[[#This Row],[LC Number]],'Combine_List'!A:D,4,0)</f>
        <v>0</v>
      </c>
      <c r="O510" s="447">
        <f>VLOOKUP(Advices[[#This Row],[LC Number]],'Combine_List'!A:E,5,0)</f>
        <v>0</v>
      </c>
      <c r="P510" s="447">
        <f>MONTH(Advices[[#This Row],[Transaction Date]])</f>
        <v>10</v>
      </c>
      <c r="Q510" s="447">
        <f>YEAR(Advices[[#This Row],[Transaction Date]])</f>
        <v>2025</v>
      </c>
      <c r="R510" s="1"/>
    </row>
    <row r="511" spans="1:18" hidden="1" x14ac:dyDescent="0.25">
      <c r="A511" s="1" t="s">
        <v>612</v>
      </c>
      <c r="B511" s="178">
        <v>45932</v>
      </c>
      <c r="C511" s="1" t="s">
        <v>2101</v>
      </c>
      <c r="D511" s="1" t="s">
        <v>2516</v>
      </c>
      <c r="E511" s="1" t="s">
        <v>1911</v>
      </c>
      <c r="F511" s="1" t="s">
        <v>2041</v>
      </c>
      <c r="G511" s="1" t="s">
        <v>26</v>
      </c>
      <c r="H511" s="13">
        <v>3904.11</v>
      </c>
      <c r="I511" s="13">
        <v>0</v>
      </c>
      <c r="J511" s="1" t="s">
        <v>2041</v>
      </c>
      <c r="K511" s="1" t="s">
        <v>2025</v>
      </c>
      <c r="L511" s="1" t="str">
        <f>VLOOKUP(Advices[[#This Row],[LC Number]],'Combine_List'!A:D,2,0)</f>
        <v>Bid - ERTH Al-AWTAN REAL ESTATE DEVELOPMENT COMPANY</v>
      </c>
      <c r="M511" s="447">
        <f>VLOOKUP(Advices[[#This Row],[LC Number]],'Combine_List'!A:D,3,0)</f>
        <v>0</v>
      </c>
      <c r="N511" s="447">
        <f>VLOOKUP(Advices[[#This Row],[LC Number]],'Combine_List'!A:D,4,0)</f>
        <v>0</v>
      </c>
      <c r="O511" s="447">
        <f>VLOOKUP(Advices[[#This Row],[LC Number]],'Combine_List'!A:E,5,0)</f>
        <v>0</v>
      </c>
      <c r="P511" s="447">
        <f>MONTH(Advices[[#This Row],[Transaction Date]])</f>
        <v>10</v>
      </c>
      <c r="Q511" s="447">
        <f>YEAR(Advices[[#This Row],[Transaction Date]])</f>
        <v>2025</v>
      </c>
      <c r="R511" s="1"/>
    </row>
    <row r="512" spans="1:18" hidden="1" x14ac:dyDescent="0.25">
      <c r="A512" s="1" t="s">
        <v>612</v>
      </c>
      <c r="B512" s="178">
        <v>45938</v>
      </c>
      <c r="C512" s="1" t="s">
        <v>2101</v>
      </c>
      <c r="D512" s="1" t="s">
        <v>2517</v>
      </c>
      <c r="E512" s="1" t="s">
        <v>1923</v>
      </c>
      <c r="F512" s="1" t="s">
        <v>2041</v>
      </c>
      <c r="G512" s="1" t="s">
        <v>26</v>
      </c>
      <c r="H512" s="13">
        <v>6718.75</v>
      </c>
      <c r="I512" s="13">
        <v>0</v>
      </c>
      <c r="J512" s="1" t="s">
        <v>2041</v>
      </c>
      <c r="K512" s="1" t="s">
        <v>2025</v>
      </c>
      <c r="L512" s="1" t="str">
        <f>VLOOKUP(Advices[[#This Row],[LC Number]],'Combine_List'!A:D,2,0)</f>
        <v>Bid - Diriyah Company</v>
      </c>
      <c r="M512" s="447" t="str">
        <f>VLOOKUP(Advices[[#This Row],[LC Number]],'Combine_List'!A:D,3,0)</f>
        <v>MBL</v>
      </c>
      <c r="N512" s="447">
        <f>VLOOKUP(Advices[[#This Row],[LC Number]],'Combine_List'!A:D,4,0)</f>
        <v>0</v>
      </c>
      <c r="O512" s="447" t="str">
        <f>VLOOKUP(Advices[[#This Row],[LC Number]],'Combine_List'!A:E,5,0)</f>
        <v>0</v>
      </c>
      <c r="P512" s="447">
        <f>MONTH(Advices[[#This Row],[Transaction Date]])</f>
        <v>10</v>
      </c>
      <c r="Q512" s="447">
        <f>YEAR(Advices[[#This Row],[Transaction Date]])</f>
        <v>2025</v>
      </c>
      <c r="R512" s="1"/>
    </row>
    <row r="513" spans="1:18" hidden="1" x14ac:dyDescent="0.25">
      <c r="A513" s="1" t="s">
        <v>612</v>
      </c>
      <c r="B513" s="178">
        <v>45938</v>
      </c>
      <c r="C513" s="1" t="s">
        <v>2101</v>
      </c>
      <c r="D513" s="1" t="s">
        <v>2518</v>
      </c>
      <c r="E513" s="1" t="s">
        <v>1923</v>
      </c>
      <c r="F513" s="1" t="s">
        <v>2041</v>
      </c>
      <c r="G513" s="1" t="s">
        <v>26</v>
      </c>
      <c r="H513" s="13">
        <v>1007.81</v>
      </c>
      <c r="I513" s="13">
        <v>0</v>
      </c>
      <c r="J513" s="1" t="s">
        <v>2041</v>
      </c>
      <c r="K513" s="1" t="s">
        <v>2025</v>
      </c>
      <c r="L513" s="1" t="str">
        <f>VLOOKUP(Advices[[#This Row],[LC Number]],'Combine_List'!A:D,2,0)</f>
        <v>Bid - Diriyah Company</v>
      </c>
      <c r="M513" s="447" t="str">
        <f>VLOOKUP(Advices[[#This Row],[LC Number]],'Combine_List'!A:D,3,0)</f>
        <v>MBL</v>
      </c>
      <c r="N513" s="447">
        <f>VLOOKUP(Advices[[#This Row],[LC Number]],'Combine_List'!A:D,4,0)</f>
        <v>0</v>
      </c>
      <c r="O513" s="447" t="str">
        <f>VLOOKUP(Advices[[#This Row],[LC Number]],'Combine_List'!A:E,5,0)</f>
        <v>0</v>
      </c>
      <c r="P513" s="447">
        <f>MONTH(Advices[[#This Row],[Transaction Date]])</f>
        <v>10</v>
      </c>
      <c r="Q513" s="447">
        <f>YEAR(Advices[[#This Row],[Transaction Date]])</f>
        <v>2025</v>
      </c>
      <c r="R513" s="1"/>
    </row>
    <row r="514" spans="1:18" hidden="1" x14ac:dyDescent="0.25">
      <c r="A514" s="1" t="s">
        <v>612</v>
      </c>
      <c r="B514" s="178">
        <v>45938</v>
      </c>
      <c r="C514" s="1" t="s">
        <v>2101</v>
      </c>
      <c r="D514" s="1" t="s">
        <v>2519</v>
      </c>
      <c r="E514" s="1" t="s">
        <v>1923</v>
      </c>
      <c r="F514" s="1" t="s">
        <v>2041</v>
      </c>
      <c r="G514" s="1" t="s">
        <v>26</v>
      </c>
      <c r="H514" s="13">
        <v>14808.22</v>
      </c>
      <c r="I514" s="13">
        <v>0</v>
      </c>
      <c r="J514" s="1" t="s">
        <v>2041</v>
      </c>
      <c r="K514" s="1" t="s">
        <v>2025</v>
      </c>
      <c r="L514" s="1" t="str">
        <f>VLOOKUP(Advices[[#This Row],[LC Number]],'Combine_List'!A:D,2,0)</f>
        <v>Bid - Diriyah Company</v>
      </c>
      <c r="M514" s="447" t="str">
        <f>VLOOKUP(Advices[[#This Row],[LC Number]],'Combine_List'!A:D,3,0)</f>
        <v>MBL</v>
      </c>
      <c r="N514" s="447">
        <f>VLOOKUP(Advices[[#This Row],[LC Number]],'Combine_List'!A:D,4,0)</f>
        <v>0</v>
      </c>
      <c r="O514" s="447" t="str">
        <f>VLOOKUP(Advices[[#This Row],[LC Number]],'Combine_List'!A:E,5,0)</f>
        <v>0</v>
      </c>
      <c r="P514" s="447">
        <f>MONTH(Advices[[#This Row],[Transaction Date]])</f>
        <v>10</v>
      </c>
      <c r="Q514" s="447">
        <f>YEAR(Advices[[#This Row],[Transaction Date]])</f>
        <v>2025</v>
      </c>
      <c r="R514" s="1"/>
    </row>
    <row r="515" spans="1:18" hidden="1" x14ac:dyDescent="0.25">
      <c r="A515" s="1" t="s">
        <v>612</v>
      </c>
      <c r="B515" s="178">
        <v>45938</v>
      </c>
      <c r="C515" s="1" t="s">
        <v>2101</v>
      </c>
      <c r="D515" s="1" t="s">
        <v>2520</v>
      </c>
      <c r="E515" s="1" t="s">
        <v>1923</v>
      </c>
      <c r="F515" s="1" t="s">
        <v>2041</v>
      </c>
      <c r="G515" s="1" t="s">
        <v>26</v>
      </c>
      <c r="H515" s="13">
        <v>2221.23</v>
      </c>
      <c r="I515" s="13">
        <v>0</v>
      </c>
      <c r="J515" s="1" t="s">
        <v>2041</v>
      </c>
      <c r="K515" s="1" t="s">
        <v>2025</v>
      </c>
      <c r="L515" s="1" t="str">
        <f>VLOOKUP(Advices[[#This Row],[LC Number]],'Combine_List'!A:D,2,0)</f>
        <v>Bid - Diriyah Company</v>
      </c>
      <c r="M515" s="447" t="str">
        <f>VLOOKUP(Advices[[#This Row],[LC Number]],'Combine_List'!A:D,3,0)</f>
        <v>MBL</v>
      </c>
      <c r="N515" s="447">
        <f>VLOOKUP(Advices[[#This Row],[LC Number]],'Combine_List'!A:D,4,0)</f>
        <v>0</v>
      </c>
      <c r="O515" s="447" t="str">
        <f>VLOOKUP(Advices[[#This Row],[LC Number]],'Combine_List'!A:E,5,0)</f>
        <v>0</v>
      </c>
      <c r="P515" s="447">
        <f>MONTH(Advices[[#This Row],[Transaction Date]])</f>
        <v>10</v>
      </c>
      <c r="Q515" s="447">
        <f>YEAR(Advices[[#This Row],[Transaction Date]])</f>
        <v>2025</v>
      </c>
      <c r="R515" s="1"/>
    </row>
    <row r="516" spans="1:18" hidden="1" x14ac:dyDescent="0.25">
      <c r="A516" s="1" t="s">
        <v>612</v>
      </c>
      <c r="B516" s="178">
        <v>45942</v>
      </c>
      <c r="C516" s="1" t="s">
        <v>2101</v>
      </c>
      <c r="D516" s="1" t="s">
        <v>2521</v>
      </c>
      <c r="E516" s="1" t="s">
        <v>1940</v>
      </c>
      <c r="F516" s="1" t="s">
        <v>2041</v>
      </c>
      <c r="G516" s="1" t="s">
        <v>26</v>
      </c>
      <c r="H516" s="13">
        <v>97602.74</v>
      </c>
      <c r="I516" s="13">
        <v>0</v>
      </c>
      <c r="J516" s="1" t="s">
        <v>2041</v>
      </c>
      <c r="K516" s="1" t="s">
        <v>2025</v>
      </c>
      <c r="L516" s="1" t="str">
        <f>VLOOKUP(Advices[[#This Row],[LC Number]],'Combine_List'!A:D,2,0)</f>
        <v>Bid - Ministry of Defense</v>
      </c>
      <c r="M516" s="447">
        <f>VLOOKUP(Advices[[#This Row],[LC Number]],'Combine_List'!A:D,3,0)</f>
        <v>0</v>
      </c>
      <c r="N516" s="447">
        <f>VLOOKUP(Advices[[#This Row],[LC Number]],'Combine_List'!A:D,4,0)</f>
        <v>0</v>
      </c>
      <c r="O516" s="447" t="str">
        <f>VLOOKUP(Advices[[#This Row],[LC Number]],'Combine_List'!A:E,5,0)</f>
        <v>0</v>
      </c>
      <c r="P516" s="447">
        <f>MONTH(Advices[[#This Row],[Transaction Date]])</f>
        <v>10</v>
      </c>
      <c r="Q516" s="447">
        <f>YEAR(Advices[[#This Row],[Transaction Date]])</f>
        <v>2025</v>
      </c>
      <c r="R516" s="1"/>
    </row>
    <row r="517" spans="1:18" hidden="1" x14ac:dyDescent="0.25">
      <c r="A517" s="1" t="s">
        <v>612</v>
      </c>
      <c r="B517" s="178">
        <v>45942</v>
      </c>
      <c r="C517" s="1" t="s">
        <v>2101</v>
      </c>
      <c r="D517" s="1" t="s">
        <v>2522</v>
      </c>
      <c r="E517" s="1" t="s">
        <v>1940</v>
      </c>
      <c r="F517" s="1" t="s">
        <v>2041</v>
      </c>
      <c r="G517" s="1" t="s">
        <v>26</v>
      </c>
      <c r="H517" s="13">
        <v>14640.41</v>
      </c>
      <c r="I517" s="13">
        <v>0</v>
      </c>
      <c r="J517" s="1" t="s">
        <v>2041</v>
      </c>
      <c r="K517" s="1" t="s">
        <v>2025</v>
      </c>
      <c r="L517" s="1" t="str">
        <f>VLOOKUP(Advices[[#This Row],[LC Number]],'Combine_List'!A:D,2,0)</f>
        <v>Bid - Ministry of Defense</v>
      </c>
      <c r="M517" s="447">
        <f>VLOOKUP(Advices[[#This Row],[LC Number]],'Combine_List'!A:D,3,0)</f>
        <v>0</v>
      </c>
      <c r="N517" s="447">
        <f>VLOOKUP(Advices[[#This Row],[LC Number]],'Combine_List'!A:D,4,0)</f>
        <v>0</v>
      </c>
      <c r="O517" s="447" t="str">
        <f>VLOOKUP(Advices[[#This Row],[LC Number]],'Combine_List'!A:E,5,0)</f>
        <v>0</v>
      </c>
      <c r="P517" s="447">
        <f>MONTH(Advices[[#This Row],[Transaction Date]])</f>
        <v>10</v>
      </c>
      <c r="Q517" s="447">
        <f>YEAR(Advices[[#This Row],[Transaction Date]])</f>
        <v>2025</v>
      </c>
      <c r="R517" s="1"/>
    </row>
    <row r="518" spans="1:18" hidden="1" x14ac:dyDescent="0.25">
      <c r="A518" s="1" t="s">
        <v>612</v>
      </c>
      <c r="B518" s="178">
        <v>45965</v>
      </c>
      <c r="C518" s="1" t="s">
        <v>2101</v>
      </c>
      <c r="D518" s="1" t="s">
        <v>2523</v>
      </c>
      <c r="E518" s="1" t="s">
        <v>2550</v>
      </c>
      <c r="F518" s="1" t="s">
        <v>2041</v>
      </c>
      <c r="G518" s="1" t="s">
        <v>26</v>
      </c>
      <c r="H518" s="13">
        <v>42500</v>
      </c>
      <c r="I518" s="13">
        <v>0</v>
      </c>
      <c r="J518" s="1" t="s">
        <v>2041</v>
      </c>
      <c r="K518" s="1" t="s">
        <v>2025</v>
      </c>
      <c r="L518" s="1" t="str">
        <f>VLOOKUP(Advices[[#This Row],[LC Number]],'Combine_List'!A:D,2,0)</f>
        <v>Bid - Automotive Sector Development Investment Company (ASDIC)</v>
      </c>
      <c r="M518" s="447">
        <f>VLOOKUP(Advices[[#This Row],[LC Number]],'Combine_List'!A:D,3,0)</f>
        <v>0</v>
      </c>
      <c r="N518" s="447">
        <f>VLOOKUP(Advices[[#This Row],[LC Number]],'Combine_List'!A:D,4,0)</f>
        <v>0</v>
      </c>
      <c r="O518" s="447">
        <f>VLOOKUP(Advices[[#This Row],[LC Number]],'Combine_List'!A:E,5,0)</f>
        <v>0</v>
      </c>
      <c r="P518" s="447">
        <f>MONTH(Advices[[#This Row],[Transaction Date]])</f>
        <v>11</v>
      </c>
      <c r="Q518" s="447">
        <f>YEAR(Advices[[#This Row],[Transaction Date]])</f>
        <v>2025</v>
      </c>
      <c r="R518" s="1"/>
    </row>
    <row r="519" spans="1:18" hidden="1" x14ac:dyDescent="0.25">
      <c r="A519" s="1" t="s">
        <v>612</v>
      </c>
      <c r="B519" s="178">
        <v>45965</v>
      </c>
      <c r="C519" s="1" t="s">
        <v>2101</v>
      </c>
      <c r="D519" s="1" t="s">
        <v>2524</v>
      </c>
      <c r="E519" s="1" t="s">
        <v>2550</v>
      </c>
      <c r="F519" s="1" t="s">
        <v>2041</v>
      </c>
      <c r="G519" s="1" t="s">
        <v>26</v>
      </c>
      <c r="H519" s="13">
        <v>6375</v>
      </c>
      <c r="I519" s="13">
        <v>0</v>
      </c>
      <c r="J519" s="1" t="s">
        <v>2041</v>
      </c>
      <c r="K519" s="1" t="s">
        <v>2025</v>
      </c>
      <c r="L519" s="1" t="str">
        <f>VLOOKUP(Advices[[#This Row],[LC Number]],'Combine_List'!A:D,2,0)</f>
        <v>Bid - Automotive Sector Development Investment Company (ASDIC)</v>
      </c>
      <c r="M519" s="447">
        <f>VLOOKUP(Advices[[#This Row],[LC Number]],'Combine_List'!A:D,3,0)</f>
        <v>0</v>
      </c>
      <c r="N519" s="447">
        <f>VLOOKUP(Advices[[#This Row],[LC Number]],'Combine_List'!A:D,4,0)</f>
        <v>0</v>
      </c>
      <c r="O519" s="447">
        <f>VLOOKUP(Advices[[#This Row],[LC Number]],'Combine_List'!A:E,5,0)</f>
        <v>0</v>
      </c>
      <c r="P519" s="447">
        <f>MONTH(Advices[[#This Row],[Transaction Date]])</f>
        <v>11</v>
      </c>
      <c r="Q519" s="447">
        <f>YEAR(Advices[[#This Row],[Transaction Date]])</f>
        <v>2025</v>
      </c>
      <c r="R519" s="1"/>
    </row>
    <row r="520" spans="1:18" hidden="1" x14ac:dyDescent="0.25">
      <c r="A520" s="1" t="s">
        <v>612</v>
      </c>
      <c r="B520" s="178">
        <v>45965</v>
      </c>
      <c r="C520" s="1" t="s">
        <v>2101</v>
      </c>
      <c r="D520" s="1" t="s">
        <v>2525</v>
      </c>
      <c r="E520" s="1" t="s">
        <v>2550</v>
      </c>
      <c r="F520" s="1" t="s">
        <v>2041</v>
      </c>
      <c r="G520" s="1" t="s">
        <v>26</v>
      </c>
      <c r="H520" s="13">
        <v>86164.38</v>
      </c>
      <c r="I520" s="13">
        <v>0</v>
      </c>
      <c r="J520" s="1" t="s">
        <v>2041</v>
      </c>
      <c r="K520" s="1" t="s">
        <v>2025</v>
      </c>
      <c r="L520" s="1" t="str">
        <f>VLOOKUP(Advices[[#This Row],[LC Number]],'Combine_List'!A:D,2,0)</f>
        <v>Bid - Automotive Sector Development Investment Company (ASDIC)</v>
      </c>
      <c r="M520" s="447">
        <f>VLOOKUP(Advices[[#This Row],[LC Number]],'Combine_List'!A:D,3,0)</f>
        <v>0</v>
      </c>
      <c r="N520" s="447">
        <f>VLOOKUP(Advices[[#This Row],[LC Number]],'Combine_List'!A:D,4,0)</f>
        <v>0</v>
      </c>
      <c r="O520" s="447">
        <f>VLOOKUP(Advices[[#This Row],[LC Number]],'Combine_List'!A:E,5,0)</f>
        <v>0</v>
      </c>
      <c r="P520" s="447">
        <f>MONTH(Advices[[#This Row],[Transaction Date]])</f>
        <v>11</v>
      </c>
      <c r="Q520" s="447">
        <f>YEAR(Advices[[#This Row],[Transaction Date]])</f>
        <v>2025</v>
      </c>
      <c r="R520" s="1"/>
    </row>
    <row r="521" spans="1:18" hidden="1" x14ac:dyDescent="0.25">
      <c r="A521" s="1" t="s">
        <v>612</v>
      </c>
      <c r="B521" s="178">
        <v>45965</v>
      </c>
      <c r="C521" s="1" t="s">
        <v>2101</v>
      </c>
      <c r="D521" s="1" t="s">
        <v>2526</v>
      </c>
      <c r="E521" s="1" t="s">
        <v>2550</v>
      </c>
      <c r="F521" s="1" t="s">
        <v>2041</v>
      </c>
      <c r="G521" s="1" t="s">
        <v>26</v>
      </c>
      <c r="H521" s="13">
        <v>12924.66</v>
      </c>
      <c r="I521" s="13">
        <v>0</v>
      </c>
      <c r="J521" s="1" t="s">
        <v>2041</v>
      </c>
      <c r="K521" s="1" t="s">
        <v>2025</v>
      </c>
      <c r="L521" s="1" t="str">
        <f>VLOOKUP(Advices[[#This Row],[LC Number]],'Combine_List'!A:D,2,0)</f>
        <v>Bid - Automotive Sector Development Investment Company (ASDIC)</v>
      </c>
      <c r="M521" s="447">
        <f>VLOOKUP(Advices[[#This Row],[LC Number]],'Combine_List'!A:D,3,0)</f>
        <v>0</v>
      </c>
      <c r="N521" s="447">
        <f>VLOOKUP(Advices[[#This Row],[LC Number]],'Combine_List'!A:D,4,0)</f>
        <v>0</v>
      </c>
      <c r="O521" s="447">
        <f>VLOOKUP(Advices[[#This Row],[LC Number]],'Combine_List'!A:E,5,0)</f>
        <v>0</v>
      </c>
      <c r="P521" s="447">
        <f>MONTH(Advices[[#This Row],[Transaction Date]])</f>
        <v>11</v>
      </c>
      <c r="Q521" s="447">
        <f>YEAR(Advices[[#This Row],[Transaction Date]])</f>
        <v>2025</v>
      </c>
      <c r="R521" s="1"/>
    </row>
    <row r="522" spans="1:18" x14ac:dyDescent="0.25">
      <c r="A522" s="1" t="s">
        <v>21</v>
      </c>
      <c r="B522" s="178">
        <v>45965</v>
      </c>
      <c r="C522" s="1" t="s">
        <v>1951</v>
      </c>
      <c r="D522" s="1" t="s">
        <v>1960</v>
      </c>
      <c r="E522" s="1" t="s">
        <v>1342</v>
      </c>
      <c r="F522" s="1" t="s">
        <v>2527</v>
      </c>
      <c r="G522" s="1" t="s">
        <v>26</v>
      </c>
      <c r="H522" s="13">
        <v>11.25</v>
      </c>
      <c r="I522" s="13">
        <v>0</v>
      </c>
      <c r="J522" s="1" t="s">
        <v>1174</v>
      </c>
      <c r="K522" s="1" t="s">
        <v>2025</v>
      </c>
      <c r="L522" s="1" t="str">
        <f>VLOOKUP(Advices[[#This Row],[LC Number]],'Combine_List'!A:D,2,0)</f>
        <v>RAWABI AL MAHFAR TRADING CO.</v>
      </c>
      <c r="M522" s="447" t="str">
        <f>VLOOKUP(Advices[[#This Row],[LC Number]],'Combine_List'!A:D,3,0)</f>
        <v>FIRST FIX</v>
      </c>
      <c r="N522" s="447" t="str">
        <f>VLOOKUP(Advices[[#This Row],[LC Number]],'Combine_List'!A:D,4,0)</f>
        <v>KSP</v>
      </c>
      <c r="O522" s="447">
        <f>VLOOKUP(Advices[[#This Row],[LC Number]],'Combine_List'!A:E,5,0)</f>
        <v>1020055</v>
      </c>
      <c r="P522" s="447">
        <f>MONTH(Advices[[#This Row],[Transaction Date]])</f>
        <v>11</v>
      </c>
      <c r="Q522" s="447">
        <f>YEAR(Advices[[#This Row],[Transaction Date]])</f>
        <v>2025</v>
      </c>
      <c r="R522" s="1"/>
    </row>
    <row r="523" spans="1:18" x14ac:dyDescent="0.25">
      <c r="A523" s="1" t="s">
        <v>21</v>
      </c>
      <c r="B523" s="178">
        <v>45965</v>
      </c>
      <c r="C523" s="1" t="s">
        <v>1951</v>
      </c>
      <c r="D523" s="1" t="s">
        <v>2528</v>
      </c>
      <c r="E523" s="1" t="s">
        <v>1342</v>
      </c>
      <c r="F523" s="1" t="s">
        <v>2527</v>
      </c>
      <c r="G523" s="1" t="s">
        <v>26</v>
      </c>
      <c r="H523" s="13">
        <v>75</v>
      </c>
      <c r="I523" s="13">
        <v>0</v>
      </c>
      <c r="J523" s="1" t="s">
        <v>1963</v>
      </c>
      <c r="K523" s="1" t="s">
        <v>2025</v>
      </c>
      <c r="L523" s="1" t="str">
        <f>VLOOKUP(Advices[[#This Row],[LC Number]],'Combine_List'!A:D,2,0)</f>
        <v>RAWABI AL MAHFAR TRADING CO.</v>
      </c>
      <c r="M523" s="447" t="str">
        <f>VLOOKUP(Advices[[#This Row],[LC Number]],'Combine_List'!A:D,3,0)</f>
        <v>FIRST FIX</v>
      </c>
      <c r="N523" s="447" t="str">
        <f>VLOOKUP(Advices[[#This Row],[LC Number]],'Combine_List'!A:D,4,0)</f>
        <v>KSP</v>
      </c>
      <c r="O523" s="447">
        <f>VLOOKUP(Advices[[#This Row],[LC Number]],'Combine_List'!A:E,5,0)</f>
        <v>1020055</v>
      </c>
      <c r="P523" s="447">
        <f>MONTH(Advices[[#This Row],[Transaction Date]])</f>
        <v>11</v>
      </c>
      <c r="Q523" s="447">
        <f>YEAR(Advices[[#This Row],[Transaction Date]])</f>
        <v>2025</v>
      </c>
      <c r="R523" s="1"/>
    </row>
    <row r="524" spans="1:18" x14ac:dyDescent="0.25">
      <c r="A524" s="1" t="s">
        <v>21</v>
      </c>
      <c r="B524" s="178">
        <v>45965</v>
      </c>
      <c r="C524" s="1" t="s">
        <v>1951</v>
      </c>
      <c r="D524" s="1" t="s">
        <v>2529</v>
      </c>
      <c r="E524" s="1" t="s">
        <v>1342</v>
      </c>
      <c r="F524" s="1" t="s">
        <v>2527</v>
      </c>
      <c r="G524" s="1" t="s">
        <v>26</v>
      </c>
      <c r="H524" s="13">
        <v>292628.83</v>
      </c>
      <c r="I524" s="13">
        <v>0</v>
      </c>
      <c r="J524" s="1" t="s">
        <v>1126</v>
      </c>
      <c r="K524" s="1" t="s">
        <v>2025</v>
      </c>
      <c r="L524" s="1" t="str">
        <f>VLOOKUP(Advices[[#This Row],[LC Number]],'Combine_List'!A:D,2,0)</f>
        <v>RAWABI AL MAHFAR TRADING CO.</v>
      </c>
      <c r="M524" s="447" t="str">
        <f>VLOOKUP(Advices[[#This Row],[LC Number]],'Combine_List'!A:D,3,0)</f>
        <v>FIRST FIX</v>
      </c>
      <c r="N524" s="447" t="str">
        <f>VLOOKUP(Advices[[#This Row],[LC Number]],'Combine_List'!A:D,4,0)</f>
        <v>KSP</v>
      </c>
      <c r="O524" s="447">
        <f>VLOOKUP(Advices[[#This Row],[LC Number]],'Combine_List'!A:E,5,0)</f>
        <v>1020055</v>
      </c>
      <c r="P524" s="447">
        <f>MONTH(Advices[[#This Row],[Transaction Date]])</f>
        <v>11</v>
      </c>
      <c r="Q524" s="447">
        <f>YEAR(Advices[[#This Row],[Transaction Date]])</f>
        <v>2025</v>
      </c>
      <c r="R524" s="1"/>
    </row>
    <row r="525" spans="1:18" x14ac:dyDescent="0.25">
      <c r="A525" s="1" t="s">
        <v>21</v>
      </c>
      <c r="B525" s="178">
        <v>45965</v>
      </c>
      <c r="C525" s="1" t="s">
        <v>1951</v>
      </c>
      <c r="D525" s="1" t="s">
        <v>1960</v>
      </c>
      <c r="E525" s="1" t="s">
        <v>1348</v>
      </c>
      <c r="F525" s="1" t="s">
        <v>2530</v>
      </c>
      <c r="G525" s="1" t="s">
        <v>26</v>
      </c>
      <c r="H525" s="13">
        <v>11.25</v>
      </c>
      <c r="I525" s="13">
        <v>0</v>
      </c>
      <c r="J525" s="1" t="s">
        <v>1174</v>
      </c>
      <c r="K525" s="1" t="s">
        <v>2025</v>
      </c>
      <c r="L525" s="1" t="str">
        <f>VLOOKUP(Advices[[#This Row],[LC Number]],'Combine_List'!A:D,2,0)</f>
        <v>AFAQ AL MALAZ TRADING CO.LTD</v>
      </c>
      <c r="M525" s="447" t="str">
        <f>VLOOKUP(Advices[[#This Row],[LC Number]],'Combine_List'!A:D,3,0)</f>
        <v>FIRST FIX</v>
      </c>
      <c r="N525" s="447" t="str">
        <f>VLOOKUP(Advices[[#This Row],[LC Number]],'Combine_List'!A:D,4,0)</f>
        <v>KSP</v>
      </c>
      <c r="O525" s="447">
        <f>VLOOKUP(Advices[[#This Row],[LC Number]],'Combine_List'!A:E,5,0)</f>
        <v>1020055</v>
      </c>
      <c r="P525" s="447">
        <f>MONTH(Advices[[#This Row],[Transaction Date]])</f>
        <v>11</v>
      </c>
      <c r="Q525" s="447">
        <f>YEAR(Advices[[#This Row],[Transaction Date]])</f>
        <v>2025</v>
      </c>
      <c r="R525" s="1"/>
    </row>
    <row r="526" spans="1:18" x14ac:dyDescent="0.25">
      <c r="A526" s="1" t="s">
        <v>21</v>
      </c>
      <c r="B526" s="178">
        <v>45965</v>
      </c>
      <c r="C526" s="1" t="s">
        <v>1951</v>
      </c>
      <c r="D526" s="1" t="s">
        <v>2531</v>
      </c>
      <c r="E526" s="1" t="s">
        <v>1348</v>
      </c>
      <c r="F526" s="1" t="s">
        <v>2530</v>
      </c>
      <c r="G526" s="1" t="s">
        <v>26</v>
      </c>
      <c r="H526" s="13">
        <v>75</v>
      </c>
      <c r="I526" s="13">
        <v>0</v>
      </c>
      <c r="J526" s="1" t="s">
        <v>1963</v>
      </c>
      <c r="K526" s="1" t="s">
        <v>2025</v>
      </c>
      <c r="L526" s="1" t="str">
        <f>VLOOKUP(Advices[[#This Row],[LC Number]],'Combine_List'!A:D,2,0)</f>
        <v>AFAQ AL MALAZ TRADING CO.LTD</v>
      </c>
      <c r="M526" s="447" t="str">
        <f>VLOOKUP(Advices[[#This Row],[LC Number]],'Combine_List'!A:D,3,0)</f>
        <v>FIRST FIX</v>
      </c>
      <c r="N526" s="447" t="str">
        <f>VLOOKUP(Advices[[#This Row],[LC Number]],'Combine_List'!A:D,4,0)</f>
        <v>KSP</v>
      </c>
      <c r="O526" s="447">
        <f>VLOOKUP(Advices[[#This Row],[LC Number]],'Combine_List'!A:E,5,0)</f>
        <v>1020055</v>
      </c>
      <c r="P526" s="447">
        <f>MONTH(Advices[[#This Row],[Transaction Date]])</f>
        <v>11</v>
      </c>
      <c r="Q526" s="447">
        <f>YEAR(Advices[[#This Row],[Transaction Date]])</f>
        <v>2025</v>
      </c>
      <c r="R526" s="1"/>
    </row>
    <row r="527" spans="1:18" x14ac:dyDescent="0.25">
      <c r="A527" s="1" t="s">
        <v>21</v>
      </c>
      <c r="B527" s="178">
        <v>45965</v>
      </c>
      <c r="C527" s="1" t="s">
        <v>1951</v>
      </c>
      <c r="D527" s="1" t="s">
        <v>2532</v>
      </c>
      <c r="E527" s="1" t="s">
        <v>1348</v>
      </c>
      <c r="F527" s="1" t="s">
        <v>2530</v>
      </c>
      <c r="G527" s="1" t="s">
        <v>26</v>
      </c>
      <c r="H527" s="13">
        <v>202604.9</v>
      </c>
      <c r="I527" s="13">
        <v>0</v>
      </c>
      <c r="J527" s="1" t="s">
        <v>1126</v>
      </c>
      <c r="K527" s="1" t="s">
        <v>2025</v>
      </c>
      <c r="L527" s="1" t="str">
        <f>VLOOKUP(Advices[[#This Row],[LC Number]],'Combine_List'!A:D,2,0)</f>
        <v>AFAQ AL MALAZ TRADING CO.LTD</v>
      </c>
      <c r="M527" s="447" t="str">
        <f>VLOOKUP(Advices[[#This Row],[LC Number]],'Combine_List'!A:D,3,0)</f>
        <v>FIRST FIX</v>
      </c>
      <c r="N527" s="447" t="str">
        <f>VLOOKUP(Advices[[#This Row],[LC Number]],'Combine_List'!A:D,4,0)</f>
        <v>KSP</v>
      </c>
      <c r="O527" s="447">
        <f>VLOOKUP(Advices[[#This Row],[LC Number]],'Combine_List'!A:E,5,0)</f>
        <v>1020055</v>
      </c>
      <c r="P527" s="447">
        <f>MONTH(Advices[[#This Row],[Transaction Date]])</f>
        <v>11</v>
      </c>
      <c r="Q527" s="447">
        <f>YEAR(Advices[[#This Row],[Transaction Date]])</f>
        <v>2025</v>
      </c>
      <c r="R527" s="1"/>
    </row>
    <row r="528" spans="1:18" x14ac:dyDescent="0.25">
      <c r="A528" s="1" t="s">
        <v>21</v>
      </c>
      <c r="B528" s="178">
        <v>45965</v>
      </c>
      <c r="C528" s="1" t="s">
        <v>1951</v>
      </c>
      <c r="D528" s="1" t="s">
        <v>1960</v>
      </c>
      <c r="E528" s="1" t="s">
        <v>1429</v>
      </c>
      <c r="F528" s="1" t="s">
        <v>2533</v>
      </c>
      <c r="G528" s="1" t="s">
        <v>26</v>
      </c>
      <c r="H528" s="13">
        <v>11.25</v>
      </c>
      <c r="I528" s="13">
        <v>0</v>
      </c>
      <c r="J528" s="1" t="s">
        <v>1174</v>
      </c>
      <c r="K528" s="1" t="s">
        <v>2025</v>
      </c>
      <c r="L528" s="1" t="str">
        <f>VLOOKUP(Advices[[#This Row],[LC Number]],'Combine_List'!A:D,2,0)</f>
        <v>Al Maymanah for Contracting Co. Ltd.</v>
      </c>
      <c r="M528" s="447" t="str">
        <f>VLOOKUP(Advices[[#This Row],[LC Number]],'Combine_List'!A:D,3,0)</f>
        <v>FIRST FIX</v>
      </c>
      <c r="N528" s="447" t="str">
        <f>VLOOKUP(Advices[[#This Row],[LC Number]],'Combine_List'!A:D,4,0)</f>
        <v>KSP</v>
      </c>
      <c r="O528" s="447">
        <f>VLOOKUP(Advices[[#This Row],[LC Number]],'Combine_List'!A:E,5,0)</f>
        <v>1020055</v>
      </c>
      <c r="P528" s="447">
        <f>MONTH(Advices[[#This Row],[Transaction Date]])</f>
        <v>11</v>
      </c>
      <c r="Q528" s="447">
        <f>YEAR(Advices[[#This Row],[Transaction Date]])</f>
        <v>2025</v>
      </c>
      <c r="R528" s="1"/>
    </row>
    <row r="529" spans="1:18" x14ac:dyDescent="0.25">
      <c r="A529" s="1" t="s">
        <v>21</v>
      </c>
      <c r="B529" s="178">
        <v>45965</v>
      </c>
      <c r="C529" s="1" t="s">
        <v>1951</v>
      </c>
      <c r="D529" s="1" t="s">
        <v>2534</v>
      </c>
      <c r="E529" s="1" t="s">
        <v>1429</v>
      </c>
      <c r="F529" s="1" t="s">
        <v>2533</v>
      </c>
      <c r="G529" s="1" t="s">
        <v>26</v>
      </c>
      <c r="H529" s="13">
        <v>75</v>
      </c>
      <c r="I529" s="13">
        <v>0</v>
      </c>
      <c r="J529" s="1" t="s">
        <v>1963</v>
      </c>
      <c r="K529" s="1" t="s">
        <v>2025</v>
      </c>
      <c r="L529" s="1" t="str">
        <f>VLOOKUP(Advices[[#This Row],[LC Number]],'Combine_List'!A:D,2,0)</f>
        <v>Al Maymanah for Contracting Co. Ltd.</v>
      </c>
      <c r="M529" s="447" t="str">
        <f>VLOOKUP(Advices[[#This Row],[LC Number]],'Combine_List'!A:D,3,0)</f>
        <v>FIRST FIX</v>
      </c>
      <c r="N529" s="447" t="str">
        <f>VLOOKUP(Advices[[#This Row],[LC Number]],'Combine_List'!A:D,4,0)</f>
        <v>KSP</v>
      </c>
      <c r="O529" s="447">
        <f>VLOOKUP(Advices[[#This Row],[LC Number]],'Combine_List'!A:E,5,0)</f>
        <v>1020055</v>
      </c>
      <c r="P529" s="447">
        <f>MONTH(Advices[[#This Row],[Transaction Date]])</f>
        <v>11</v>
      </c>
      <c r="Q529" s="447">
        <f>YEAR(Advices[[#This Row],[Transaction Date]])</f>
        <v>2025</v>
      </c>
      <c r="R529" s="1"/>
    </row>
    <row r="530" spans="1:18" x14ac:dyDescent="0.25">
      <c r="A530" s="1" t="s">
        <v>21</v>
      </c>
      <c r="B530" s="178">
        <v>45965</v>
      </c>
      <c r="C530" s="1" t="s">
        <v>1951</v>
      </c>
      <c r="D530" s="1" t="s">
        <v>2535</v>
      </c>
      <c r="E530" s="1" t="s">
        <v>1429</v>
      </c>
      <c r="F530" s="1" t="s">
        <v>2533</v>
      </c>
      <c r="G530" s="1" t="s">
        <v>26</v>
      </c>
      <c r="H530" s="13">
        <v>286074</v>
      </c>
      <c r="I530" s="13">
        <v>0</v>
      </c>
      <c r="J530" s="1" t="s">
        <v>1126</v>
      </c>
      <c r="K530" s="1" t="s">
        <v>2025</v>
      </c>
      <c r="L530" s="1" t="str">
        <f>VLOOKUP(Advices[[#This Row],[LC Number]],'Combine_List'!A:D,2,0)</f>
        <v>Al Maymanah for Contracting Co. Ltd.</v>
      </c>
      <c r="M530" s="447" t="str">
        <f>VLOOKUP(Advices[[#This Row],[LC Number]],'Combine_List'!A:D,3,0)</f>
        <v>FIRST FIX</v>
      </c>
      <c r="N530" s="447" t="str">
        <f>VLOOKUP(Advices[[#This Row],[LC Number]],'Combine_List'!A:D,4,0)</f>
        <v>KSP</v>
      </c>
      <c r="O530" s="447">
        <f>VLOOKUP(Advices[[#This Row],[LC Number]],'Combine_List'!A:E,5,0)</f>
        <v>1020055</v>
      </c>
      <c r="P530" s="447">
        <f>MONTH(Advices[[#This Row],[Transaction Date]])</f>
        <v>11</v>
      </c>
      <c r="Q530" s="447">
        <f>YEAR(Advices[[#This Row],[Transaction Date]])</f>
        <v>2025</v>
      </c>
      <c r="R530" s="1"/>
    </row>
    <row r="531" spans="1:18" x14ac:dyDescent="0.25">
      <c r="A531" s="1" t="s">
        <v>21</v>
      </c>
      <c r="B531" s="178">
        <v>45965</v>
      </c>
      <c r="C531" s="1" t="s">
        <v>1951</v>
      </c>
      <c r="D531" s="1" t="s">
        <v>1960</v>
      </c>
      <c r="E531" s="1" t="s">
        <v>1405</v>
      </c>
      <c r="F531" s="1" t="s">
        <v>2536</v>
      </c>
      <c r="G531" s="1" t="s">
        <v>26</v>
      </c>
      <c r="H531" s="13">
        <v>11.25</v>
      </c>
      <c r="I531" s="13">
        <v>0</v>
      </c>
      <c r="J531" s="1" t="s">
        <v>1174</v>
      </c>
      <c r="K531" s="1" t="s">
        <v>2025</v>
      </c>
      <c r="L531" s="1" t="str">
        <f>VLOOKUP(Advices[[#This Row],[LC Number]],'Combine_List'!A:D,2,0)</f>
        <v>BR.MUMTAZ &amp; CONSTRUCTION CO.MIRPUR A.K.</v>
      </c>
      <c r="M531" s="447" t="str">
        <f>VLOOKUP(Advices[[#This Row],[LC Number]],'Combine_List'!A:D,3,0)</f>
        <v>FIRST FIX</v>
      </c>
      <c r="N531" s="447" t="str">
        <f>VLOOKUP(Advices[[#This Row],[LC Number]],'Combine_List'!A:D,4,0)</f>
        <v>KSP</v>
      </c>
      <c r="O531" s="447">
        <f>VLOOKUP(Advices[[#This Row],[LC Number]],'Combine_List'!A:E,5,0)</f>
        <v>1020055</v>
      </c>
      <c r="P531" s="447">
        <f>MONTH(Advices[[#This Row],[Transaction Date]])</f>
        <v>11</v>
      </c>
      <c r="Q531" s="447">
        <f>YEAR(Advices[[#This Row],[Transaction Date]])</f>
        <v>2025</v>
      </c>
      <c r="R531" s="1"/>
    </row>
    <row r="532" spans="1:18" x14ac:dyDescent="0.25">
      <c r="A532" s="1" t="s">
        <v>21</v>
      </c>
      <c r="B532" s="178">
        <v>45965</v>
      </c>
      <c r="C532" s="1" t="s">
        <v>1951</v>
      </c>
      <c r="D532" s="1" t="s">
        <v>2537</v>
      </c>
      <c r="E532" s="1" t="s">
        <v>1405</v>
      </c>
      <c r="F532" s="1" t="s">
        <v>2536</v>
      </c>
      <c r="G532" s="1" t="s">
        <v>26</v>
      </c>
      <c r="H532" s="13">
        <v>75</v>
      </c>
      <c r="I532" s="13">
        <v>0</v>
      </c>
      <c r="J532" s="1" t="s">
        <v>1963</v>
      </c>
      <c r="K532" s="1" t="s">
        <v>2025</v>
      </c>
      <c r="L532" s="1" t="str">
        <f>VLOOKUP(Advices[[#This Row],[LC Number]],'Combine_List'!A:D,2,0)</f>
        <v>BR.MUMTAZ &amp; CONSTRUCTION CO.MIRPUR A.K.</v>
      </c>
      <c r="M532" s="447" t="str">
        <f>VLOOKUP(Advices[[#This Row],[LC Number]],'Combine_List'!A:D,3,0)</f>
        <v>FIRST FIX</v>
      </c>
      <c r="N532" s="447" t="str">
        <f>VLOOKUP(Advices[[#This Row],[LC Number]],'Combine_List'!A:D,4,0)</f>
        <v>KSP</v>
      </c>
      <c r="O532" s="447">
        <f>VLOOKUP(Advices[[#This Row],[LC Number]],'Combine_List'!A:E,5,0)</f>
        <v>1020055</v>
      </c>
      <c r="P532" s="447">
        <f>MONTH(Advices[[#This Row],[Transaction Date]])</f>
        <v>11</v>
      </c>
      <c r="Q532" s="447">
        <f>YEAR(Advices[[#This Row],[Transaction Date]])</f>
        <v>2025</v>
      </c>
      <c r="R532" s="1"/>
    </row>
    <row r="533" spans="1:18" x14ac:dyDescent="0.25">
      <c r="A533" s="1" t="s">
        <v>21</v>
      </c>
      <c r="B533" s="178">
        <v>45965</v>
      </c>
      <c r="C533" s="1" t="s">
        <v>1951</v>
      </c>
      <c r="D533" s="1" t="s">
        <v>2538</v>
      </c>
      <c r="E533" s="1" t="s">
        <v>1405</v>
      </c>
      <c r="F533" s="1" t="s">
        <v>2536</v>
      </c>
      <c r="G533" s="1" t="s">
        <v>26</v>
      </c>
      <c r="H533" s="13">
        <v>250000</v>
      </c>
      <c r="I533" s="13">
        <v>0</v>
      </c>
      <c r="J533" s="1" t="s">
        <v>1126</v>
      </c>
      <c r="K533" s="1" t="s">
        <v>2025</v>
      </c>
      <c r="L533" s="1" t="str">
        <f>VLOOKUP(Advices[[#This Row],[LC Number]],'Combine_List'!A:D,2,0)</f>
        <v>BR.MUMTAZ &amp; CONSTRUCTION CO.MIRPUR A.K.</v>
      </c>
      <c r="M533" s="447" t="str">
        <f>VLOOKUP(Advices[[#This Row],[LC Number]],'Combine_List'!A:D,3,0)</f>
        <v>FIRST FIX</v>
      </c>
      <c r="N533" s="447" t="str">
        <f>VLOOKUP(Advices[[#This Row],[LC Number]],'Combine_List'!A:D,4,0)</f>
        <v>KSP</v>
      </c>
      <c r="O533" s="447">
        <f>VLOOKUP(Advices[[#This Row],[LC Number]],'Combine_List'!A:E,5,0)</f>
        <v>1020055</v>
      </c>
      <c r="P533" s="447">
        <f>MONTH(Advices[[#This Row],[Transaction Date]])</f>
        <v>11</v>
      </c>
      <c r="Q533" s="447">
        <f>YEAR(Advices[[#This Row],[Transaction Date]])</f>
        <v>2025</v>
      </c>
      <c r="R533" s="1"/>
    </row>
    <row r="534" spans="1:18" x14ac:dyDescent="0.25">
      <c r="A534" s="1" t="s">
        <v>21</v>
      </c>
      <c r="B534" s="178">
        <v>45965</v>
      </c>
      <c r="C534" s="1" t="s">
        <v>1951</v>
      </c>
      <c r="D534" s="1" t="s">
        <v>1960</v>
      </c>
      <c r="E534" s="1" t="s">
        <v>1499</v>
      </c>
      <c r="F534" s="1" t="s">
        <v>2539</v>
      </c>
      <c r="G534" s="1" t="s">
        <v>26</v>
      </c>
      <c r="H534" s="13">
        <v>11.25</v>
      </c>
      <c r="I534" s="13">
        <v>0</v>
      </c>
      <c r="J534" s="1" t="s">
        <v>1174</v>
      </c>
      <c r="K534" s="1" t="s">
        <v>2025</v>
      </c>
      <c r="L534" s="1" t="str">
        <f>VLOOKUP(Advices[[#This Row],[LC Number]],'Combine_List'!A:D,2,0)</f>
        <v>Electric House Trading Company L.L.C.</v>
      </c>
      <c r="M534" s="447" t="str">
        <f>VLOOKUP(Advices[[#This Row],[LC Number]],'Combine_List'!A:D,3,0)</f>
        <v>FIRST FIX</v>
      </c>
      <c r="N534" s="447" t="str">
        <f>VLOOKUP(Advices[[#This Row],[LC Number]],'Combine_List'!A:D,4,0)</f>
        <v>JCD SPMI</v>
      </c>
      <c r="O534" s="447">
        <f>VLOOKUP(Advices[[#This Row],[LC Number]],'Combine_List'!A:E,5,0)</f>
        <v>1020100</v>
      </c>
      <c r="P534" s="447">
        <f>MONTH(Advices[[#This Row],[Transaction Date]])</f>
        <v>11</v>
      </c>
      <c r="Q534" s="447">
        <f>YEAR(Advices[[#This Row],[Transaction Date]])</f>
        <v>2025</v>
      </c>
      <c r="R534" s="1"/>
    </row>
    <row r="535" spans="1:18" x14ac:dyDescent="0.25">
      <c r="A535" s="1" t="s">
        <v>21</v>
      </c>
      <c r="B535" s="178">
        <v>45965</v>
      </c>
      <c r="C535" s="1" t="s">
        <v>1951</v>
      </c>
      <c r="D535" s="1" t="s">
        <v>2540</v>
      </c>
      <c r="E535" s="1" t="s">
        <v>1499</v>
      </c>
      <c r="F535" s="1" t="s">
        <v>2539</v>
      </c>
      <c r="G535" s="1" t="s">
        <v>26</v>
      </c>
      <c r="H535" s="13">
        <v>75</v>
      </c>
      <c r="I535" s="13">
        <v>0</v>
      </c>
      <c r="J535" s="1" t="s">
        <v>1963</v>
      </c>
      <c r="K535" s="1" t="s">
        <v>2025</v>
      </c>
      <c r="L535" s="1" t="str">
        <f>VLOOKUP(Advices[[#This Row],[LC Number]],'Combine_List'!A:D,2,0)</f>
        <v>Electric House Trading Company L.L.C.</v>
      </c>
      <c r="M535" s="447" t="str">
        <f>VLOOKUP(Advices[[#This Row],[LC Number]],'Combine_List'!A:D,3,0)</f>
        <v>FIRST FIX</v>
      </c>
      <c r="N535" s="447" t="str">
        <f>VLOOKUP(Advices[[#This Row],[LC Number]],'Combine_List'!A:D,4,0)</f>
        <v>JCD SPMI</v>
      </c>
      <c r="O535" s="447">
        <f>VLOOKUP(Advices[[#This Row],[LC Number]],'Combine_List'!A:E,5,0)</f>
        <v>1020100</v>
      </c>
      <c r="P535" s="447">
        <f>MONTH(Advices[[#This Row],[Transaction Date]])</f>
        <v>11</v>
      </c>
      <c r="Q535" s="447">
        <f>YEAR(Advices[[#This Row],[Transaction Date]])</f>
        <v>2025</v>
      </c>
      <c r="R535" s="1"/>
    </row>
    <row r="536" spans="1:18" x14ac:dyDescent="0.25">
      <c r="A536" s="1" t="s">
        <v>21</v>
      </c>
      <c r="B536" s="178">
        <v>45965</v>
      </c>
      <c r="C536" s="1" t="s">
        <v>1951</v>
      </c>
      <c r="D536" s="1" t="s">
        <v>2541</v>
      </c>
      <c r="E536" s="1" t="s">
        <v>1499</v>
      </c>
      <c r="F536" s="1" t="s">
        <v>2539</v>
      </c>
      <c r="G536" s="1" t="s">
        <v>26</v>
      </c>
      <c r="H536" s="13">
        <v>900000</v>
      </c>
      <c r="I536" s="13">
        <v>0</v>
      </c>
      <c r="J536" s="1" t="s">
        <v>1126</v>
      </c>
      <c r="K536" s="1" t="s">
        <v>2025</v>
      </c>
      <c r="L536" s="1" t="str">
        <f>VLOOKUP(Advices[[#This Row],[LC Number]],'Combine_List'!A:D,2,0)</f>
        <v>Electric House Trading Company L.L.C.</v>
      </c>
      <c r="M536" s="447" t="str">
        <f>VLOOKUP(Advices[[#This Row],[LC Number]],'Combine_List'!A:D,3,0)</f>
        <v>FIRST FIX</v>
      </c>
      <c r="N536" s="447" t="str">
        <f>VLOOKUP(Advices[[#This Row],[LC Number]],'Combine_List'!A:D,4,0)</f>
        <v>JCD SPMI</v>
      </c>
      <c r="O536" s="447">
        <f>VLOOKUP(Advices[[#This Row],[LC Number]],'Combine_List'!A:E,5,0)</f>
        <v>1020100</v>
      </c>
      <c r="P536" s="447">
        <f>MONTH(Advices[[#This Row],[Transaction Date]])</f>
        <v>11</v>
      </c>
      <c r="Q536" s="447">
        <f>YEAR(Advices[[#This Row],[Transaction Date]])</f>
        <v>2025</v>
      </c>
      <c r="R536" s="1"/>
    </row>
    <row r="537" spans="1:18" hidden="1" x14ac:dyDescent="0.25">
      <c r="A537" s="1" t="s">
        <v>95</v>
      </c>
      <c r="B537" s="178">
        <v>45965</v>
      </c>
      <c r="C537" s="1" t="s">
        <v>2356</v>
      </c>
      <c r="D537" s="1" t="s">
        <v>2542</v>
      </c>
      <c r="E537" s="1" t="s">
        <v>702</v>
      </c>
      <c r="F537" s="1" t="s">
        <v>2543</v>
      </c>
      <c r="G537" s="1"/>
      <c r="H537" s="13">
        <v>254774.28</v>
      </c>
      <c r="I537" s="13">
        <v>0</v>
      </c>
      <c r="J537" s="1" t="s">
        <v>1126</v>
      </c>
      <c r="K537" s="1" t="s">
        <v>2025</v>
      </c>
      <c r="L537" s="1" t="str">
        <f>VLOOKUP(Advices[[#This Row],[LC Number]],'Combine_List'!A:D,2,0)</f>
        <v>HOLCIM SOLUTIONS AND PRODUCTS EMEA BV</v>
      </c>
      <c r="M537" s="447" t="str">
        <f>VLOOKUP(Advices[[#This Row],[LC Number]],'Combine_List'!A:D,3,0)</f>
        <v>MBL/IFAS</v>
      </c>
      <c r="N537" s="447" t="str">
        <f>VLOOKUP(Advices[[#This Row],[LC Number]],'Combine_List'!A:D,4,0)</f>
        <v>CEER</v>
      </c>
      <c r="O537" s="447">
        <f>VLOOKUP(Advices[[#This Row],[LC Number]],'Combine_List'!A:E,5,0)</f>
        <v>1020091</v>
      </c>
      <c r="P537" s="447">
        <f>MONTH(Advices[[#This Row],[Transaction Date]])</f>
        <v>11</v>
      </c>
      <c r="Q537" s="447">
        <f>YEAR(Advices[[#This Row],[Transaction Date]])</f>
        <v>2025</v>
      </c>
      <c r="R537" s="1"/>
    </row>
    <row r="538" spans="1:18" hidden="1" x14ac:dyDescent="0.25">
      <c r="A538" s="1" t="s">
        <v>95</v>
      </c>
      <c r="B538" s="178">
        <v>45965</v>
      </c>
      <c r="C538" s="1" t="s">
        <v>2356</v>
      </c>
      <c r="D538" s="1" t="s">
        <v>2544</v>
      </c>
      <c r="E538" s="1" t="s">
        <v>702</v>
      </c>
      <c r="F538" s="1" t="s">
        <v>2545</v>
      </c>
      <c r="G538" s="1"/>
      <c r="H538" s="13">
        <v>88184.93</v>
      </c>
      <c r="I538" s="13">
        <v>0</v>
      </c>
      <c r="J538" s="1" t="s">
        <v>1126</v>
      </c>
      <c r="K538" s="1" t="s">
        <v>2025</v>
      </c>
      <c r="L538" s="1" t="str">
        <f>VLOOKUP(Advices[[#This Row],[LC Number]],'Combine_List'!A:D,2,0)</f>
        <v>HOLCIM SOLUTIONS AND PRODUCTS EMEA BV</v>
      </c>
      <c r="M538" s="447" t="str">
        <f>VLOOKUP(Advices[[#This Row],[LC Number]],'Combine_List'!A:D,3,0)</f>
        <v>MBL/IFAS</v>
      </c>
      <c r="N538" s="447" t="str">
        <f>VLOOKUP(Advices[[#This Row],[LC Number]],'Combine_List'!A:D,4,0)</f>
        <v>CEER</v>
      </c>
      <c r="O538" s="447">
        <f>VLOOKUP(Advices[[#This Row],[LC Number]],'Combine_List'!A:E,5,0)</f>
        <v>1020091</v>
      </c>
      <c r="P538" s="447">
        <f>MONTH(Advices[[#This Row],[Transaction Date]])</f>
        <v>11</v>
      </c>
      <c r="Q538" s="447">
        <f>YEAR(Advices[[#This Row],[Transaction Date]])</f>
        <v>2025</v>
      </c>
      <c r="R538" s="1"/>
    </row>
    <row r="539" spans="1:18" hidden="1" x14ac:dyDescent="0.25">
      <c r="A539" s="1" t="s">
        <v>366</v>
      </c>
      <c r="B539" s="178">
        <v>45965</v>
      </c>
      <c r="C539" s="1" t="s">
        <v>2057</v>
      </c>
      <c r="D539" s="1" t="s">
        <v>2546</v>
      </c>
      <c r="E539" s="1" t="s">
        <v>1671</v>
      </c>
      <c r="F539" s="1" t="s">
        <v>3436</v>
      </c>
      <c r="G539" s="1" t="s">
        <v>26</v>
      </c>
      <c r="H539" s="13">
        <v>1878.34</v>
      </c>
      <c r="I539" s="13">
        <v>0</v>
      </c>
      <c r="J539" s="1" t="s">
        <v>2041</v>
      </c>
      <c r="K539" s="1" t="s">
        <v>2025</v>
      </c>
      <c r="L539" s="1" t="str">
        <f>VLOOKUP(Advices[[#This Row],[LC Number]],'Combine_List'!A:D,2,0)</f>
        <v>Al-Sayed Center A/C &amp; Refrigeration Materials Company</v>
      </c>
      <c r="M539" s="447" t="str">
        <f>VLOOKUP(Advices[[#This Row],[LC Number]],'Combine_List'!A:D,3,0)</f>
        <v>FIRST FIX</v>
      </c>
      <c r="N539" s="447" t="str">
        <f>VLOOKUP(Advices[[#This Row],[LC Number]],'Combine_List'!A:D,4,0)</f>
        <v>CEER</v>
      </c>
      <c r="O539" s="447">
        <f>VLOOKUP(Advices[[#This Row],[LC Number]],'Combine_List'!A:E,5,0)</f>
        <v>1020091</v>
      </c>
      <c r="P539" s="447">
        <f>MONTH(Advices[[#This Row],[Transaction Date]])</f>
        <v>11</v>
      </c>
      <c r="Q539" s="447">
        <f>YEAR(Advices[[#This Row],[Transaction Date]])</f>
        <v>2025</v>
      </c>
      <c r="R539" s="1"/>
    </row>
    <row r="540" spans="1:18" hidden="1" x14ac:dyDescent="0.25">
      <c r="A540" s="1" t="s">
        <v>366</v>
      </c>
      <c r="B540" s="178">
        <v>45965</v>
      </c>
      <c r="C540" s="1" t="s">
        <v>2057</v>
      </c>
      <c r="D540" s="1" t="s">
        <v>2547</v>
      </c>
      <c r="E540" s="1" t="s">
        <v>1851</v>
      </c>
      <c r="F540" s="1" t="s">
        <v>3437</v>
      </c>
      <c r="G540" s="1" t="s">
        <v>26</v>
      </c>
      <c r="H540" s="13">
        <v>704.38</v>
      </c>
      <c r="I540" s="13">
        <v>0</v>
      </c>
      <c r="J540" s="1" t="s">
        <v>2041</v>
      </c>
      <c r="K540" s="1" t="s">
        <v>2025</v>
      </c>
      <c r="L540" s="1" t="str">
        <f>VLOOKUP(Advices[[#This Row],[LC Number]],'Combine_List'!A:D,2,0)</f>
        <v>Company Alabwab Aldulaya For Contracting</v>
      </c>
      <c r="M540" s="447" t="str">
        <f>VLOOKUP(Advices[[#This Row],[LC Number]],'Combine_List'!A:D,3,0)</f>
        <v>MBL/Premium</v>
      </c>
      <c r="N540" s="447" t="str">
        <f>VLOOKUP(Advices[[#This Row],[LC Number]],'Combine_List'!A:D,4,0)</f>
        <v>CEER</v>
      </c>
      <c r="O540" s="447">
        <f>VLOOKUP(Advices[[#This Row],[LC Number]],'Combine_List'!A:E,5,0)</f>
        <v>1020091</v>
      </c>
      <c r="P540" s="447">
        <f>MONTH(Advices[[#This Row],[Transaction Date]])</f>
        <v>11</v>
      </c>
      <c r="Q540" s="447">
        <f>YEAR(Advices[[#This Row],[Transaction Date]])</f>
        <v>2025</v>
      </c>
      <c r="R540" s="1"/>
    </row>
    <row r="541" spans="1:18" hidden="1" x14ac:dyDescent="0.25">
      <c r="A541" s="1" t="s">
        <v>366</v>
      </c>
      <c r="B541" s="178">
        <v>45965</v>
      </c>
      <c r="C541" s="1" t="s">
        <v>2060</v>
      </c>
      <c r="D541" s="1" t="s">
        <v>2548</v>
      </c>
      <c r="E541" s="1" t="s">
        <v>1800</v>
      </c>
      <c r="F541" s="1" t="s">
        <v>3438</v>
      </c>
      <c r="G541" s="1" t="s">
        <v>26</v>
      </c>
      <c r="H541" s="13">
        <v>1276.4000000000001</v>
      </c>
      <c r="I541" s="13">
        <v>0</v>
      </c>
      <c r="J541" s="1" t="s">
        <v>2041</v>
      </c>
      <c r="K541" s="1" t="s">
        <v>2025</v>
      </c>
      <c r="L541" s="1" t="str">
        <f>VLOOKUP(Advices[[#This Row],[LC Number]],'Combine_List'!A:D,2,0)</f>
        <v>Depth Modern Technologies</v>
      </c>
      <c r="M541" s="447" t="str">
        <f>VLOOKUP(Advices[[#This Row],[LC Number]],'Combine_List'!A:D,3,0)</f>
        <v>MBL/ICAD</v>
      </c>
      <c r="N541" s="447" t="str">
        <f>VLOOKUP(Advices[[#This Row],[LC Number]],'Combine_List'!A:D,4,0)</f>
        <v>ABHA</v>
      </c>
      <c r="O541" s="447">
        <f>VLOOKUP(Advices[[#This Row],[LC Number]],'Combine_List'!A:E,5,0)</f>
        <v>1020070</v>
      </c>
      <c r="P541" s="447">
        <f>MONTH(Advices[[#This Row],[Transaction Date]])</f>
        <v>11</v>
      </c>
      <c r="Q541" s="447">
        <f>YEAR(Advices[[#This Row],[Transaction Date]])</f>
        <v>2025</v>
      </c>
      <c r="R541" s="1"/>
    </row>
    <row r="542" spans="1:18" hidden="1" x14ac:dyDescent="0.25">
      <c r="A542" s="1" t="s">
        <v>366</v>
      </c>
      <c r="B542" s="178">
        <v>45965</v>
      </c>
      <c r="C542" s="1" t="s">
        <v>2060</v>
      </c>
      <c r="D542" s="1" t="s">
        <v>2549</v>
      </c>
      <c r="E542" s="1" t="s">
        <v>1876</v>
      </c>
      <c r="F542" s="1" t="s">
        <v>3439</v>
      </c>
      <c r="G542" s="1" t="s">
        <v>26</v>
      </c>
      <c r="H542" s="13">
        <v>7042.83</v>
      </c>
      <c r="I542" s="13">
        <v>0</v>
      </c>
      <c r="J542" s="1" t="s">
        <v>2041</v>
      </c>
      <c r="K542" s="1" t="s">
        <v>2025</v>
      </c>
      <c r="L542" s="1" t="str">
        <f>VLOOKUP(Advices[[#This Row],[LC Number]],'Combine_List'!A:D,2,0)</f>
        <v>ELSEWEDY CABLES COMPANY LTD.</v>
      </c>
      <c r="M542" s="447" t="str">
        <f>VLOOKUP(Advices[[#This Row],[LC Number]],'Combine_List'!A:D,3,0)</f>
        <v>FIRST FIX</v>
      </c>
      <c r="N542" s="447" t="str">
        <f>VLOOKUP(Advices[[#This Row],[LC Number]],'Combine_List'!A:D,4,0)</f>
        <v>MP1</v>
      </c>
      <c r="O542" s="447">
        <f>VLOOKUP(Advices[[#This Row],[LC Number]],'Combine_List'!A:E,5,0)</f>
        <v>1020088</v>
      </c>
      <c r="P542" s="447">
        <f>MONTH(Advices[[#This Row],[Transaction Date]])</f>
        <v>11</v>
      </c>
      <c r="Q542" s="447">
        <f>YEAR(Advices[[#This Row],[Transaction Date]])</f>
        <v>2025</v>
      </c>
      <c r="R542" s="1"/>
    </row>
    <row r="543" spans="1:18" hidden="1" x14ac:dyDescent="0.25">
      <c r="A543" s="1" t="s">
        <v>62</v>
      </c>
      <c r="B543" s="178">
        <v>45966</v>
      </c>
      <c r="C543" s="1" t="s">
        <v>2039</v>
      </c>
      <c r="D543" s="1" t="s">
        <v>2554</v>
      </c>
      <c r="E543" s="1" t="s">
        <v>2552</v>
      </c>
      <c r="F543" s="1" t="s">
        <v>2041</v>
      </c>
      <c r="G543" s="1" t="s">
        <v>26</v>
      </c>
      <c r="H543" s="13">
        <v>2203.4</v>
      </c>
      <c r="I543" s="13">
        <v>0</v>
      </c>
      <c r="J543" s="1" t="s">
        <v>2041</v>
      </c>
      <c r="K543" s="1" t="s">
        <v>2025</v>
      </c>
      <c r="L543" s="1" t="str">
        <f>VLOOKUP(Advices[[#This Row],[LC Number]],'Combine_List'!A:D,2,0)</f>
        <v>Bid - Madinah Region Development Authority</v>
      </c>
      <c r="M543" s="447" t="str">
        <f>VLOOKUP(Advices[[#This Row],[LC Number]],'Combine_List'!A:D,3,0)</f>
        <v>IFAS</v>
      </c>
      <c r="N543" s="447">
        <f>VLOOKUP(Advices[[#This Row],[LC Number]],'Combine_List'!A:D,4,0)</f>
        <v>0</v>
      </c>
      <c r="O543" s="447" t="str">
        <f>VLOOKUP(Advices[[#This Row],[LC Number]],'Combine_List'!A:E,5,0)</f>
        <v>0</v>
      </c>
      <c r="P543" s="447">
        <f>MONTH(Advices[[#This Row],[Transaction Date]])</f>
        <v>11</v>
      </c>
      <c r="Q543" s="447">
        <f>YEAR(Advices[[#This Row],[Transaction Date]])</f>
        <v>2025</v>
      </c>
      <c r="R543" s="1"/>
    </row>
    <row r="544" spans="1:18" hidden="1" x14ac:dyDescent="0.25">
      <c r="A544" s="1" t="s">
        <v>62</v>
      </c>
      <c r="B544" s="178">
        <v>45966</v>
      </c>
      <c r="C544" s="1" t="s">
        <v>2039</v>
      </c>
      <c r="D544" s="1" t="s">
        <v>2555</v>
      </c>
      <c r="E544" s="1" t="s">
        <v>2551</v>
      </c>
      <c r="F544" s="1" t="s">
        <v>2041</v>
      </c>
      <c r="G544" s="1" t="s">
        <v>26</v>
      </c>
      <c r="H544" s="13">
        <v>1829.65</v>
      </c>
      <c r="I544" s="13">
        <v>0</v>
      </c>
      <c r="J544" s="1" t="s">
        <v>2041</v>
      </c>
      <c r="K544" s="1" t="s">
        <v>2025</v>
      </c>
      <c r="L544" s="1" t="str">
        <f>VLOOKUP(Advices[[#This Row],[LC Number]],'Combine_List'!A:D,2,0)</f>
        <v>Bid - Madinah Region Development Authority</v>
      </c>
      <c r="M544" s="447" t="str">
        <f>VLOOKUP(Advices[[#This Row],[LC Number]],'Combine_List'!A:D,3,0)</f>
        <v>IFAS</v>
      </c>
      <c r="N544" s="447">
        <f>VLOOKUP(Advices[[#This Row],[LC Number]],'Combine_List'!A:D,4,0)</f>
        <v>0</v>
      </c>
      <c r="O544" s="447" t="str">
        <f>VLOOKUP(Advices[[#This Row],[LC Number]],'Combine_List'!A:E,5,0)</f>
        <v>0</v>
      </c>
      <c r="P544" s="447">
        <f>MONTH(Advices[[#This Row],[Transaction Date]])</f>
        <v>11</v>
      </c>
      <c r="Q544" s="447">
        <f>YEAR(Advices[[#This Row],[Transaction Date]])</f>
        <v>2025</v>
      </c>
      <c r="R544" s="1"/>
    </row>
    <row r="545" spans="1:18" hidden="1" x14ac:dyDescent="0.25">
      <c r="A545" s="1" t="s">
        <v>95</v>
      </c>
      <c r="B545" s="178">
        <v>45966</v>
      </c>
      <c r="C545" s="1" t="s">
        <v>2026</v>
      </c>
      <c r="D545" s="1" t="s">
        <v>2556</v>
      </c>
      <c r="E545" s="1" t="s">
        <v>707</v>
      </c>
      <c r="F545" s="1" t="s">
        <v>2557</v>
      </c>
      <c r="G545" s="1" t="s">
        <v>26</v>
      </c>
      <c r="H545" s="13">
        <v>3905.43</v>
      </c>
      <c r="I545" s="13">
        <v>0</v>
      </c>
      <c r="J545" s="1" t="s">
        <v>1125</v>
      </c>
      <c r="K545" s="1" t="s">
        <v>2025</v>
      </c>
      <c r="L545" s="1" t="str">
        <f>VLOOKUP(Advices[[#This Row],[LC Number]],'Combine_List'!A:D,2,0)</f>
        <v>BBH-CHEMTROL INTERNATIONAL ORGANIZATION S.L</v>
      </c>
      <c r="M545" s="447" t="str">
        <f>VLOOKUP(Advices[[#This Row],[LC Number]],'Combine_List'!A:D,3,0)</f>
        <v>MBL/ICAD</v>
      </c>
      <c r="N545" s="447" t="str">
        <f>VLOOKUP(Advices[[#This Row],[LC Number]],'Combine_List'!A:D,4,0)</f>
        <v>OPERA House</v>
      </c>
      <c r="O545" s="447">
        <f>VLOOKUP(Advices[[#This Row],[LC Number]],'Combine_List'!A:E,5,0)</f>
        <v>1020097</v>
      </c>
      <c r="P545" s="447">
        <f>MONTH(Advices[[#This Row],[Transaction Date]])</f>
        <v>11</v>
      </c>
      <c r="Q545" s="447">
        <f>YEAR(Advices[[#This Row],[Transaction Date]])</f>
        <v>2025</v>
      </c>
      <c r="R545" s="1"/>
    </row>
    <row r="546" spans="1:18" hidden="1" x14ac:dyDescent="0.25">
      <c r="A546" s="1" t="s">
        <v>95</v>
      </c>
      <c r="B546" s="178">
        <v>45966</v>
      </c>
      <c r="C546" s="1" t="s">
        <v>2026</v>
      </c>
      <c r="D546" s="1" t="s">
        <v>2558</v>
      </c>
      <c r="E546" s="1" t="s">
        <v>1446</v>
      </c>
      <c r="F546" s="1" t="s">
        <v>2559</v>
      </c>
      <c r="G546" s="1" t="s">
        <v>26</v>
      </c>
      <c r="H546" s="13">
        <v>180785.5</v>
      </c>
      <c r="I546" s="13">
        <v>0</v>
      </c>
      <c r="J546" s="1" t="s">
        <v>1126</v>
      </c>
      <c r="K546" s="1" t="s">
        <v>2025</v>
      </c>
      <c r="L546" s="1" t="str">
        <f>VLOOKUP(Advices[[#This Row],[LC Number]],'Combine_List'!A:D,2,0)</f>
        <v>Al Arabia Construction &amp; Building Co.</v>
      </c>
      <c r="M546" s="447" t="str">
        <f>VLOOKUP(Advices[[#This Row],[LC Number]],'Combine_List'!A:D,3,0)</f>
        <v>MBL</v>
      </c>
      <c r="N546" s="447" t="str">
        <f>VLOOKUP(Advices[[#This Row],[LC Number]],'Combine_List'!A:D,4,0)</f>
        <v>Rabigh Power Plant</v>
      </c>
      <c r="O546" s="447">
        <f>VLOOKUP(Advices[[#This Row],[LC Number]],'Combine_List'!A:E,5,0)</f>
        <v>1020107</v>
      </c>
      <c r="P546" s="447">
        <f>MONTH(Advices[[#This Row],[Transaction Date]])</f>
        <v>11</v>
      </c>
      <c r="Q546" s="447">
        <f>YEAR(Advices[[#This Row],[Transaction Date]])</f>
        <v>2025</v>
      </c>
      <c r="R546" s="1"/>
    </row>
    <row r="547" spans="1:18" hidden="1" x14ac:dyDescent="0.25">
      <c r="A547" s="1" t="s">
        <v>612</v>
      </c>
      <c r="B547" s="178">
        <v>45966</v>
      </c>
      <c r="C547" s="1" t="s">
        <v>2101</v>
      </c>
      <c r="D547" s="1" t="s">
        <v>2560</v>
      </c>
      <c r="E547" s="1" t="s">
        <v>1810</v>
      </c>
      <c r="F547" s="1" t="s">
        <v>1810</v>
      </c>
      <c r="G547" s="1" t="s">
        <v>26</v>
      </c>
      <c r="H547" s="13">
        <v>403652.3</v>
      </c>
      <c r="I547" s="13">
        <v>0</v>
      </c>
      <c r="J547" s="1" t="s">
        <v>2041</v>
      </c>
      <c r="K547" s="1" t="s">
        <v>2025</v>
      </c>
      <c r="L547" s="1" t="str">
        <f>VLOOKUP(Advices[[#This Row],[LC Number]],'Combine_List'!A:D,2,0)</f>
        <v>AL FALWA CO. LTD. FOR READYMIX CONCRETE</v>
      </c>
      <c r="M547" s="447" t="str">
        <f>VLOOKUP(Advices[[#This Row],[LC Number]],'Combine_List'!A:D,3,0)</f>
        <v>MBL</v>
      </c>
      <c r="N547" s="447" t="str">
        <f>VLOOKUP(Advices[[#This Row],[LC Number]],'Combine_List'!A:D,4,0)</f>
        <v>RCRC</v>
      </c>
      <c r="O547" s="447">
        <f>VLOOKUP(Advices[[#This Row],[LC Number]],'Combine_List'!A:E,5,0)</f>
        <v>1020106</v>
      </c>
      <c r="P547" s="447">
        <f>MONTH(Advices[[#This Row],[Transaction Date]])</f>
        <v>11</v>
      </c>
      <c r="Q547" s="447">
        <f>YEAR(Advices[[#This Row],[Transaction Date]])</f>
        <v>2025</v>
      </c>
      <c r="R547" s="1"/>
    </row>
    <row r="548" spans="1:18" x14ac:dyDescent="0.25">
      <c r="A548" s="1" t="s">
        <v>21</v>
      </c>
      <c r="B548" s="178">
        <v>45967</v>
      </c>
      <c r="C548" s="1" t="s">
        <v>1951</v>
      </c>
      <c r="D548" s="1" t="s">
        <v>1960</v>
      </c>
      <c r="E548" s="1" t="s">
        <v>1191</v>
      </c>
      <c r="F548" s="1" t="s">
        <v>1999</v>
      </c>
      <c r="G548" s="1" t="s">
        <v>26</v>
      </c>
      <c r="H548" s="13">
        <v>11.25</v>
      </c>
      <c r="I548" s="13">
        <v>0</v>
      </c>
      <c r="J548" s="1" t="s">
        <v>1174</v>
      </c>
      <c r="K548" s="1" t="s">
        <v>2025</v>
      </c>
      <c r="L548" s="1" t="str">
        <f>VLOOKUP(Advices[[#This Row],[LC Number]],'Combine_List'!A:D,2,0)</f>
        <v>Awtad Jeddah for General Contracting Company</v>
      </c>
      <c r="M548" s="447" t="str">
        <f>VLOOKUP(Advices[[#This Row],[LC Number]],'Combine_List'!A:D,3,0)</f>
        <v>MBL</v>
      </c>
      <c r="N548" s="447" t="str">
        <f>VLOOKUP(Advices[[#This Row],[LC Number]],'Combine_List'!A:D,4,0)</f>
        <v>Rabigh Power Plant</v>
      </c>
      <c r="O548" s="447">
        <f>VLOOKUP(Advices[[#This Row],[LC Number]],'Combine_List'!A:E,5,0)</f>
        <v>1020107</v>
      </c>
      <c r="P548" s="447">
        <f>MONTH(Advices[[#This Row],[Transaction Date]])</f>
        <v>11</v>
      </c>
      <c r="Q548" s="447">
        <f>YEAR(Advices[[#This Row],[Transaction Date]])</f>
        <v>2025</v>
      </c>
      <c r="R548" s="1"/>
    </row>
    <row r="549" spans="1:18" x14ac:dyDescent="0.25">
      <c r="A549" s="1" t="s">
        <v>21</v>
      </c>
      <c r="B549" s="178">
        <v>45967</v>
      </c>
      <c r="C549" s="1" t="s">
        <v>1951</v>
      </c>
      <c r="D549" s="1" t="s">
        <v>2570</v>
      </c>
      <c r="E549" s="1" t="s">
        <v>1191</v>
      </c>
      <c r="F549" s="1" t="s">
        <v>1999</v>
      </c>
      <c r="G549" s="1" t="s">
        <v>26</v>
      </c>
      <c r="H549" s="13">
        <v>75</v>
      </c>
      <c r="I549" s="13">
        <v>0</v>
      </c>
      <c r="J549" s="1" t="s">
        <v>1963</v>
      </c>
      <c r="K549" s="1" t="s">
        <v>2025</v>
      </c>
      <c r="L549" s="1" t="str">
        <f>VLOOKUP(Advices[[#This Row],[LC Number]],'Combine_List'!A:D,2,0)</f>
        <v>Awtad Jeddah for General Contracting Company</v>
      </c>
      <c r="M549" s="447" t="str">
        <f>VLOOKUP(Advices[[#This Row],[LC Number]],'Combine_List'!A:D,3,0)</f>
        <v>MBL</v>
      </c>
      <c r="N549" s="447" t="str">
        <f>VLOOKUP(Advices[[#This Row],[LC Number]],'Combine_List'!A:D,4,0)</f>
        <v>Rabigh Power Plant</v>
      </c>
      <c r="O549" s="447">
        <f>VLOOKUP(Advices[[#This Row],[LC Number]],'Combine_List'!A:E,5,0)</f>
        <v>1020107</v>
      </c>
      <c r="P549" s="447">
        <f>MONTH(Advices[[#This Row],[Transaction Date]])</f>
        <v>11</v>
      </c>
      <c r="Q549" s="447">
        <f>YEAR(Advices[[#This Row],[Transaction Date]])</f>
        <v>2025</v>
      </c>
      <c r="R549" s="1"/>
    </row>
    <row r="550" spans="1:18" x14ac:dyDescent="0.25">
      <c r="A550" s="1" t="s">
        <v>21</v>
      </c>
      <c r="B550" s="178">
        <v>45967</v>
      </c>
      <c r="C550" s="1" t="s">
        <v>1951</v>
      </c>
      <c r="D550" s="1" t="s">
        <v>2571</v>
      </c>
      <c r="E550" s="1" t="s">
        <v>1191</v>
      </c>
      <c r="F550" s="1" t="s">
        <v>1999</v>
      </c>
      <c r="G550" s="1" t="s">
        <v>26</v>
      </c>
      <c r="H550" s="13">
        <v>295500</v>
      </c>
      <c r="I550" s="13">
        <v>0</v>
      </c>
      <c r="J550" s="1" t="s">
        <v>1126</v>
      </c>
      <c r="K550" s="1" t="s">
        <v>2025</v>
      </c>
      <c r="L550" s="1" t="str">
        <f>VLOOKUP(Advices[[#This Row],[LC Number]],'Combine_List'!A:D,2,0)</f>
        <v>Awtad Jeddah for General Contracting Company</v>
      </c>
      <c r="M550" s="447" t="str">
        <f>VLOOKUP(Advices[[#This Row],[LC Number]],'Combine_List'!A:D,3,0)</f>
        <v>MBL</v>
      </c>
      <c r="N550" s="447" t="str">
        <f>VLOOKUP(Advices[[#This Row],[LC Number]],'Combine_List'!A:D,4,0)</f>
        <v>Rabigh Power Plant</v>
      </c>
      <c r="O550" s="447">
        <f>VLOOKUP(Advices[[#This Row],[LC Number]],'Combine_List'!A:E,5,0)</f>
        <v>1020107</v>
      </c>
      <c r="P550" s="447">
        <f>MONTH(Advices[[#This Row],[Transaction Date]])</f>
        <v>11</v>
      </c>
      <c r="Q550" s="447">
        <f>YEAR(Advices[[#This Row],[Transaction Date]])</f>
        <v>2025</v>
      </c>
      <c r="R550" s="1"/>
    </row>
    <row r="551" spans="1:18" x14ac:dyDescent="0.25">
      <c r="A551" s="1" t="s">
        <v>21</v>
      </c>
      <c r="B551" s="178">
        <v>45967</v>
      </c>
      <c r="C551" s="1" t="s">
        <v>1951</v>
      </c>
      <c r="D551" s="1" t="s">
        <v>1960</v>
      </c>
      <c r="E551" s="1" t="s">
        <v>1191</v>
      </c>
      <c r="F551" s="1" t="s">
        <v>2002</v>
      </c>
      <c r="G551" s="1" t="s">
        <v>26</v>
      </c>
      <c r="H551" s="13">
        <v>11.25</v>
      </c>
      <c r="I551" s="13">
        <v>0</v>
      </c>
      <c r="J551" s="1" t="s">
        <v>1174</v>
      </c>
      <c r="K551" s="1" t="s">
        <v>2025</v>
      </c>
      <c r="L551" s="1" t="str">
        <f>VLOOKUP(Advices[[#This Row],[LC Number]],'Combine_List'!A:D,2,0)</f>
        <v>Awtad Jeddah for General Contracting Company</v>
      </c>
      <c r="M551" s="447" t="str">
        <f>VLOOKUP(Advices[[#This Row],[LC Number]],'Combine_List'!A:D,3,0)</f>
        <v>MBL</v>
      </c>
      <c r="N551" s="447" t="str">
        <f>VLOOKUP(Advices[[#This Row],[LC Number]],'Combine_List'!A:D,4,0)</f>
        <v>Rabigh Power Plant</v>
      </c>
      <c r="O551" s="447">
        <f>VLOOKUP(Advices[[#This Row],[LC Number]],'Combine_List'!A:E,5,0)</f>
        <v>1020107</v>
      </c>
      <c r="P551" s="447">
        <f>MONTH(Advices[[#This Row],[Transaction Date]])</f>
        <v>11</v>
      </c>
      <c r="Q551" s="447">
        <f>YEAR(Advices[[#This Row],[Transaction Date]])</f>
        <v>2025</v>
      </c>
      <c r="R551" s="1"/>
    </row>
    <row r="552" spans="1:18" x14ac:dyDescent="0.25">
      <c r="A552" s="1" t="s">
        <v>21</v>
      </c>
      <c r="B552" s="178">
        <v>45967</v>
      </c>
      <c r="C552" s="1" t="s">
        <v>1951</v>
      </c>
      <c r="D552" s="1" t="s">
        <v>2572</v>
      </c>
      <c r="E552" s="1" t="s">
        <v>1191</v>
      </c>
      <c r="F552" s="1" t="s">
        <v>2002</v>
      </c>
      <c r="G552" s="1" t="s">
        <v>26</v>
      </c>
      <c r="H552" s="13">
        <v>75</v>
      </c>
      <c r="I552" s="13">
        <v>0</v>
      </c>
      <c r="J552" s="1" t="s">
        <v>1963</v>
      </c>
      <c r="K552" s="1" t="s">
        <v>2025</v>
      </c>
      <c r="L552" s="1" t="str">
        <f>VLOOKUP(Advices[[#This Row],[LC Number]],'Combine_List'!A:D,2,0)</f>
        <v>Awtad Jeddah for General Contracting Company</v>
      </c>
      <c r="M552" s="447" t="str">
        <f>VLOOKUP(Advices[[#This Row],[LC Number]],'Combine_List'!A:D,3,0)</f>
        <v>MBL</v>
      </c>
      <c r="N552" s="447" t="str">
        <f>VLOOKUP(Advices[[#This Row],[LC Number]],'Combine_List'!A:D,4,0)</f>
        <v>Rabigh Power Plant</v>
      </c>
      <c r="O552" s="447">
        <f>VLOOKUP(Advices[[#This Row],[LC Number]],'Combine_List'!A:E,5,0)</f>
        <v>1020107</v>
      </c>
      <c r="P552" s="447">
        <f>MONTH(Advices[[#This Row],[Transaction Date]])</f>
        <v>11</v>
      </c>
      <c r="Q552" s="447">
        <f>YEAR(Advices[[#This Row],[Transaction Date]])</f>
        <v>2025</v>
      </c>
      <c r="R552" s="1"/>
    </row>
    <row r="553" spans="1:18" x14ac:dyDescent="0.25">
      <c r="A553" s="1" t="s">
        <v>21</v>
      </c>
      <c r="B553" s="178">
        <v>45967</v>
      </c>
      <c r="C553" s="1" t="s">
        <v>1951</v>
      </c>
      <c r="D553" s="1" t="s">
        <v>2573</v>
      </c>
      <c r="E553" s="1" t="s">
        <v>1191</v>
      </c>
      <c r="F553" s="1" t="s">
        <v>2002</v>
      </c>
      <c r="G553" s="1" t="s">
        <v>26</v>
      </c>
      <c r="H553" s="13">
        <v>507064.21</v>
      </c>
      <c r="I553" s="13">
        <v>0</v>
      </c>
      <c r="J553" s="1" t="s">
        <v>1126</v>
      </c>
      <c r="K553" s="1" t="s">
        <v>2025</v>
      </c>
      <c r="L553" s="1" t="str">
        <f>VLOOKUP(Advices[[#This Row],[LC Number]],'Combine_List'!A:D,2,0)</f>
        <v>Awtad Jeddah for General Contracting Company</v>
      </c>
      <c r="M553" s="447" t="str">
        <f>VLOOKUP(Advices[[#This Row],[LC Number]],'Combine_List'!A:D,3,0)</f>
        <v>MBL</v>
      </c>
      <c r="N553" s="447" t="str">
        <f>VLOOKUP(Advices[[#This Row],[LC Number]],'Combine_List'!A:D,4,0)</f>
        <v>Rabigh Power Plant</v>
      </c>
      <c r="O553" s="447">
        <f>VLOOKUP(Advices[[#This Row],[LC Number]],'Combine_List'!A:E,5,0)</f>
        <v>1020107</v>
      </c>
      <c r="P553" s="447">
        <f>MONTH(Advices[[#This Row],[Transaction Date]])</f>
        <v>11</v>
      </c>
      <c r="Q553" s="447">
        <f>YEAR(Advices[[#This Row],[Transaction Date]])</f>
        <v>2025</v>
      </c>
      <c r="R553" s="1"/>
    </row>
    <row r="554" spans="1:18" x14ac:dyDescent="0.25">
      <c r="A554" s="1" t="s">
        <v>21</v>
      </c>
      <c r="B554" s="178">
        <v>45967</v>
      </c>
      <c r="C554" s="1" t="s">
        <v>1951</v>
      </c>
      <c r="D554" s="1" t="s">
        <v>2574</v>
      </c>
      <c r="E554" s="1" t="s">
        <v>1399</v>
      </c>
      <c r="F554" s="1" t="s">
        <v>1399</v>
      </c>
      <c r="G554" s="1" t="s">
        <v>26</v>
      </c>
      <c r="H554" s="13">
        <v>37.5</v>
      </c>
      <c r="I554" s="13">
        <v>0</v>
      </c>
      <c r="J554" s="1" t="s">
        <v>1174</v>
      </c>
      <c r="K554" s="1" t="s">
        <v>2025</v>
      </c>
      <c r="L554" s="1" t="str">
        <f>VLOOKUP(Advices[[#This Row],[LC Number]],'Combine_List'!A:D,2,0)</f>
        <v>GAS SOLUTIONS</v>
      </c>
      <c r="M554" s="447" t="str">
        <f>VLOOKUP(Advices[[#This Row],[LC Number]],'Combine_List'!A:D,3,0)</f>
        <v>FIRST FIX</v>
      </c>
      <c r="N554" s="447" t="str">
        <f>VLOOKUP(Advices[[#This Row],[LC Number]],'Combine_List'!A:D,4,0)</f>
        <v>KSP</v>
      </c>
      <c r="O554" s="447">
        <f>VLOOKUP(Advices[[#This Row],[LC Number]],'Combine_List'!A:E,5,0)</f>
        <v>1020055</v>
      </c>
      <c r="P554" s="447">
        <f>MONTH(Advices[[#This Row],[Transaction Date]])</f>
        <v>11</v>
      </c>
      <c r="Q554" s="447">
        <f>YEAR(Advices[[#This Row],[Transaction Date]])</f>
        <v>2025</v>
      </c>
      <c r="R554" s="1"/>
    </row>
    <row r="555" spans="1:18" x14ac:dyDescent="0.25">
      <c r="A555" s="1" t="s">
        <v>21</v>
      </c>
      <c r="B555" s="178">
        <v>45967</v>
      </c>
      <c r="C555" s="1" t="s">
        <v>1951</v>
      </c>
      <c r="D555" s="1" t="s">
        <v>2574</v>
      </c>
      <c r="E555" s="1" t="s">
        <v>1399</v>
      </c>
      <c r="F555" s="1" t="s">
        <v>1399</v>
      </c>
      <c r="G555" s="1" t="s">
        <v>26</v>
      </c>
      <c r="H555" s="13">
        <v>75</v>
      </c>
      <c r="I555" s="13">
        <v>0</v>
      </c>
      <c r="J555" s="1" t="s">
        <v>1174</v>
      </c>
      <c r="K555" s="1" t="s">
        <v>2025</v>
      </c>
      <c r="L555" s="1" t="str">
        <f>VLOOKUP(Advices[[#This Row],[LC Number]],'Combine_List'!A:D,2,0)</f>
        <v>GAS SOLUTIONS</v>
      </c>
      <c r="M555" s="447" t="str">
        <f>VLOOKUP(Advices[[#This Row],[LC Number]],'Combine_List'!A:D,3,0)</f>
        <v>FIRST FIX</v>
      </c>
      <c r="N555" s="447" t="str">
        <f>VLOOKUP(Advices[[#This Row],[LC Number]],'Combine_List'!A:D,4,0)</f>
        <v>KSP</v>
      </c>
      <c r="O555" s="447">
        <f>VLOOKUP(Advices[[#This Row],[LC Number]],'Combine_List'!A:E,5,0)</f>
        <v>1020055</v>
      </c>
      <c r="P555" s="447">
        <f>MONTH(Advices[[#This Row],[Transaction Date]])</f>
        <v>11</v>
      </c>
      <c r="Q555" s="447">
        <f>YEAR(Advices[[#This Row],[Transaction Date]])</f>
        <v>2025</v>
      </c>
      <c r="R555" s="1"/>
    </row>
    <row r="556" spans="1:18" x14ac:dyDescent="0.25">
      <c r="A556" s="1" t="s">
        <v>21</v>
      </c>
      <c r="B556" s="178">
        <v>45967</v>
      </c>
      <c r="C556" s="1" t="s">
        <v>1951</v>
      </c>
      <c r="D556" s="1" t="s">
        <v>2575</v>
      </c>
      <c r="E556" s="1" t="s">
        <v>1399</v>
      </c>
      <c r="F556" s="1" t="s">
        <v>1399</v>
      </c>
      <c r="G556" s="1" t="s">
        <v>26</v>
      </c>
      <c r="H556" s="13">
        <v>250</v>
      </c>
      <c r="I556" s="13">
        <v>0</v>
      </c>
      <c r="J556" s="1" t="s">
        <v>1963</v>
      </c>
      <c r="K556" s="1" t="s">
        <v>2025</v>
      </c>
      <c r="L556" s="1" t="str">
        <f>VLOOKUP(Advices[[#This Row],[LC Number]],'Combine_List'!A:D,2,0)</f>
        <v>GAS SOLUTIONS</v>
      </c>
      <c r="M556" s="447" t="str">
        <f>VLOOKUP(Advices[[#This Row],[LC Number]],'Combine_List'!A:D,3,0)</f>
        <v>FIRST FIX</v>
      </c>
      <c r="N556" s="447" t="str">
        <f>VLOOKUP(Advices[[#This Row],[LC Number]],'Combine_List'!A:D,4,0)</f>
        <v>KSP</v>
      </c>
      <c r="O556" s="447">
        <f>VLOOKUP(Advices[[#This Row],[LC Number]],'Combine_List'!A:E,5,0)</f>
        <v>1020055</v>
      </c>
      <c r="P556" s="447">
        <f>MONTH(Advices[[#This Row],[Transaction Date]])</f>
        <v>11</v>
      </c>
      <c r="Q556" s="447">
        <f>YEAR(Advices[[#This Row],[Transaction Date]])</f>
        <v>2025</v>
      </c>
      <c r="R556" s="1"/>
    </row>
    <row r="557" spans="1:18" x14ac:dyDescent="0.25">
      <c r="A557" s="1" t="s">
        <v>21</v>
      </c>
      <c r="B557" s="178">
        <v>45967</v>
      </c>
      <c r="C557" s="1" t="s">
        <v>1951</v>
      </c>
      <c r="D557" s="1" t="s">
        <v>2576</v>
      </c>
      <c r="E557" s="1" t="s">
        <v>1399</v>
      </c>
      <c r="F557" s="1" t="s">
        <v>1399</v>
      </c>
      <c r="G557" s="1" t="s">
        <v>26</v>
      </c>
      <c r="H557" s="13">
        <v>500</v>
      </c>
      <c r="I557" s="13">
        <v>0</v>
      </c>
      <c r="J557" s="1" t="s">
        <v>1124</v>
      </c>
      <c r="K557" s="1" t="s">
        <v>2025</v>
      </c>
      <c r="L557" s="1" t="str">
        <f>VLOOKUP(Advices[[#This Row],[LC Number]],'Combine_List'!A:D,2,0)</f>
        <v>GAS SOLUTIONS</v>
      </c>
      <c r="M557" s="447" t="str">
        <f>VLOOKUP(Advices[[#This Row],[LC Number]],'Combine_List'!A:D,3,0)</f>
        <v>FIRST FIX</v>
      </c>
      <c r="N557" s="447" t="str">
        <f>VLOOKUP(Advices[[#This Row],[LC Number]],'Combine_List'!A:D,4,0)</f>
        <v>KSP</v>
      </c>
      <c r="O557" s="447">
        <f>VLOOKUP(Advices[[#This Row],[LC Number]],'Combine_List'!A:E,5,0)</f>
        <v>1020055</v>
      </c>
      <c r="P557" s="447">
        <f>MONTH(Advices[[#This Row],[Transaction Date]])</f>
        <v>11</v>
      </c>
      <c r="Q557" s="447">
        <f>YEAR(Advices[[#This Row],[Transaction Date]])</f>
        <v>2025</v>
      </c>
      <c r="R557" s="1"/>
    </row>
    <row r="558" spans="1:18" x14ac:dyDescent="0.25">
      <c r="A558" s="1" t="s">
        <v>21</v>
      </c>
      <c r="B558" s="178">
        <v>45967</v>
      </c>
      <c r="C558" s="1" t="s">
        <v>1951</v>
      </c>
      <c r="D558" s="1" t="s">
        <v>2574</v>
      </c>
      <c r="E558" s="1" t="s">
        <v>1402</v>
      </c>
      <c r="F558" s="1" t="s">
        <v>1402</v>
      </c>
      <c r="G558" s="1" t="s">
        <v>26</v>
      </c>
      <c r="H558" s="13">
        <v>37.5</v>
      </c>
      <c r="I558" s="13">
        <v>0</v>
      </c>
      <c r="J558" s="1" t="s">
        <v>1174</v>
      </c>
      <c r="K558" s="1" t="s">
        <v>2025</v>
      </c>
      <c r="L558" s="1" t="str">
        <f>VLOOKUP(Advices[[#This Row],[LC Number]],'Combine_List'!A:D,2,0)</f>
        <v>NAJM AL FALAK TRADING CO.</v>
      </c>
      <c r="M558" s="447" t="str">
        <f>VLOOKUP(Advices[[#This Row],[LC Number]],'Combine_List'!A:D,3,0)</f>
        <v>FIRST FIX</v>
      </c>
      <c r="N558" s="447" t="str">
        <f>VLOOKUP(Advices[[#This Row],[LC Number]],'Combine_List'!A:D,4,0)</f>
        <v>KSP</v>
      </c>
      <c r="O558" s="447">
        <f>VLOOKUP(Advices[[#This Row],[LC Number]],'Combine_List'!A:E,5,0)</f>
        <v>1020055</v>
      </c>
      <c r="P558" s="447">
        <f>MONTH(Advices[[#This Row],[Transaction Date]])</f>
        <v>11</v>
      </c>
      <c r="Q558" s="447">
        <f>YEAR(Advices[[#This Row],[Transaction Date]])</f>
        <v>2025</v>
      </c>
      <c r="R558" s="1"/>
    </row>
    <row r="559" spans="1:18" x14ac:dyDescent="0.25">
      <c r="A559" s="1" t="s">
        <v>21</v>
      </c>
      <c r="B559" s="178">
        <v>45967</v>
      </c>
      <c r="C559" s="1" t="s">
        <v>1951</v>
      </c>
      <c r="D559" s="1" t="s">
        <v>2574</v>
      </c>
      <c r="E559" s="1" t="s">
        <v>1402</v>
      </c>
      <c r="F559" s="1" t="s">
        <v>1402</v>
      </c>
      <c r="G559" s="1" t="s">
        <v>26</v>
      </c>
      <c r="H559" s="13">
        <v>75</v>
      </c>
      <c r="I559" s="13">
        <v>0</v>
      </c>
      <c r="J559" s="1" t="s">
        <v>1174</v>
      </c>
      <c r="K559" s="1" t="s">
        <v>2025</v>
      </c>
      <c r="L559" s="1" t="str">
        <f>VLOOKUP(Advices[[#This Row],[LC Number]],'Combine_List'!A:D,2,0)</f>
        <v>NAJM AL FALAK TRADING CO.</v>
      </c>
      <c r="M559" s="447" t="str">
        <f>VLOOKUP(Advices[[#This Row],[LC Number]],'Combine_List'!A:D,3,0)</f>
        <v>FIRST FIX</v>
      </c>
      <c r="N559" s="447" t="str">
        <f>VLOOKUP(Advices[[#This Row],[LC Number]],'Combine_List'!A:D,4,0)</f>
        <v>KSP</v>
      </c>
      <c r="O559" s="447">
        <f>VLOOKUP(Advices[[#This Row],[LC Number]],'Combine_List'!A:E,5,0)</f>
        <v>1020055</v>
      </c>
      <c r="P559" s="447">
        <f>MONTH(Advices[[#This Row],[Transaction Date]])</f>
        <v>11</v>
      </c>
      <c r="Q559" s="447">
        <f>YEAR(Advices[[#This Row],[Transaction Date]])</f>
        <v>2025</v>
      </c>
      <c r="R559" s="1"/>
    </row>
    <row r="560" spans="1:18" x14ac:dyDescent="0.25">
      <c r="A560" s="1" t="s">
        <v>21</v>
      </c>
      <c r="B560" s="178">
        <v>45967</v>
      </c>
      <c r="C560" s="1" t="s">
        <v>1951</v>
      </c>
      <c r="D560" s="1" t="s">
        <v>2577</v>
      </c>
      <c r="E560" s="1" t="s">
        <v>1402</v>
      </c>
      <c r="F560" s="1" t="s">
        <v>1402</v>
      </c>
      <c r="G560" s="1" t="s">
        <v>26</v>
      </c>
      <c r="H560" s="13">
        <v>250</v>
      </c>
      <c r="I560" s="13">
        <v>0</v>
      </c>
      <c r="J560" s="1" t="s">
        <v>1963</v>
      </c>
      <c r="K560" s="1" t="s">
        <v>2025</v>
      </c>
      <c r="L560" s="1" t="str">
        <f>VLOOKUP(Advices[[#This Row],[LC Number]],'Combine_List'!A:D,2,0)</f>
        <v>NAJM AL FALAK TRADING CO.</v>
      </c>
      <c r="M560" s="447" t="str">
        <f>VLOOKUP(Advices[[#This Row],[LC Number]],'Combine_List'!A:D,3,0)</f>
        <v>FIRST FIX</v>
      </c>
      <c r="N560" s="447" t="str">
        <f>VLOOKUP(Advices[[#This Row],[LC Number]],'Combine_List'!A:D,4,0)</f>
        <v>KSP</v>
      </c>
      <c r="O560" s="447">
        <f>VLOOKUP(Advices[[#This Row],[LC Number]],'Combine_List'!A:E,5,0)</f>
        <v>1020055</v>
      </c>
      <c r="P560" s="447">
        <f>MONTH(Advices[[#This Row],[Transaction Date]])</f>
        <v>11</v>
      </c>
      <c r="Q560" s="447">
        <f>YEAR(Advices[[#This Row],[Transaction Date]])</f>
        <v>2025</v>
      </c>
      <c r="R560" s="1"/>
    </row>
    <row r="561" spans="1:18" x14ac:dyDescent="0.25">
      <c r="A561" s="1" t="s">
        <v>21</v>
      </c>
      <c r="B561" s="178">
        <v>45967</v>
      </c>
      <c r="C561" s="1" t="s">
        <v>1951</v>
      </c>
      <c r="D561" s="1" t="s">
        <v>2578</v>
      </c>
      <c r="E561" s="1" t="s">
        <v>1402</v>
      </c>
      <c r="F561" s="1" t="s">
        <v>1402</v>
      </c>
      <c r="G561" s="1" t="s">
        <v>26</v>
      </c>
      <c r="H561" s="13">
        <v>500</v>
      </c>
      <c r="I561" s="13">
        <v>0</v>
      </c>
      <c r="J561" s="1" t="s">
        <v>1124</v>
      </c>
      <c r="K561" s="1" t="s">
        <v>2025</v>
      </c>
      <c r="L561" s="1" t="str">
        <f>VLOOKUP(Advices[[#This Row],[LC Number]],'Combine_List'!A:D,2,0)</f>
        <v>NAJM AL FALAK TRADING CO.</v>
      </c>
      <c r="M561" s="447" t="str">
        <f>VLOOKUP(Advices[[#This Row],[LC Number]],'Combine_List'!A:D,3,0)</f>
        <v>FIRST FIX</v>
      </c>
      <c r="N561" s="447" t="str">
        <f>VLOOKUP(Advices[[#This Row],[LC Number]],'Combine_List'!A:D,4,0)</f>
        <v>KSP</v>
      </c>
      <c r="O561" s="447">
        <f>VLOOKUP(Advices[[#This Row],[LC Number]],'Combine_List'!A:E,5,0)</f>
        <v>1020055</v>
      </c>
      <c r="P561" s="447">
        <f>MONTH(Advices[[#This Row],[Transaction Date]])</f>
        <v>11</v>
      </c>
      <c r="Q561" s="447">
        <f>YEAR(Advices[[#This Row],[Transaction Date]])</f>
        <v>2025</v>
      </c>
      <c r="R561" s="1"/>
    </row>
    <row r="562" spans="1:18" x14ac:dyDescent="0.25">
      <c r="A562" s="1" t="s">
        <v>21</v>
      </c>
      <c r="B562" s="178">
        <v>45967</v>
      </c>
      <c r="C562" s="1" t="s">
        <v>1951</v>
      </c>
      <c r="D562" s="1" t="s">
        <v>2574</v>
      </c>
      <c r="E562" s="1" t="s">
        <v>1410</v>
      </c>
      <c r="F562" s="1" t="s">
        <v>1410</v>
      </c>
      <c r="G562" s="1" t="s">
        <v>26</v>
      </c>
      <c r="H562" s="13">
        <v>37.5</v>
      </c>
      <c r="I562" s="13">
        <v>0</v>
      </c>
      <c r="J562" s="1" t="s">
        <v>1174</v>
      </c>
      <c r="K562" s="1" t="s">
        <v>2025</v>
      </c>
      <c r="L562" s="1" t="str">
        <f>VLOOKUP(Advices[[#This Row],[LC Number]],'Combine_List'!A:D,2,0)</f>
        <v>MAWARID AISHAMELA TRADING CO.</v>
      </c>
      <c r="M562" s="447" t="str">
        <f>VLOOKUP(Advices[[#This Row],[LC Number]],'Combine_List'!A:D,3,0)</f>
        <v>FIRST FIX</v>
      </c>
      <c r="N562" s="447" t="str">
        <f>VLOOKUP(Advices[[#This Row],[LC Number]],'Combine_List'!A:D,4,0)</f>
        <v>KSP</v>
      </c>
      <c r="O562" s="447">
        <f>VLOOKUP(Advices[[#This Row],[LC Number]],'Combine_List'!A:E,5,0)</f>
        <v>1020055</v>
      </c>
      <c r="P562" s="447">
        <f>MONTH(Advices[[#This Row],[Transaction Date]])</f>
        <v>11</v>
      </c>
      <c r="Q562" s="447">
        <f>YEAR(Advices[[#This Row],[Transaction Date]])</f>
        <v>2025</v>
      </c>
      <c r="R562" s="1"/>
    </row>
    <row r="563" spans="1:18" x14ac:dyDescent="0.25">
      <c r="A563" s="1" t="s">
        <v>21</v>
      </c>
      <c r="B563" s="178">
        <v>45967</v>
      </c>
      <c r="C563" s="1" t="s">
        <v>1951</v>
      </c>
      <c r="D563" s="1" t="s">
        <v>2574</v>
      </c>
      <c r="E563" s="1" t="s">
        <v>1410</v>
      </c>
      <c r="F563" s="1" t="s">
        <v>1410</v>
      </c>
      <c r="G563" s="1" t="s">
        <v>26</v>
      </c>
      <c r="H563" s="13">
        <v>75</v>
      </c>
      <c r="I563" s="13">
        <v>0</v>
      </c>
      <c r="J563" s="1" t="s">
        <v>1174</v>
      </c>
      <c r="K563" s="1" t="s">
        <v>2025</v>
      </c>
      <c r="L563" s="1" t="str">
        <f>VLOOKUP(Advices[[#This Row],[LC Number]],'Combine_List'!A:D,2,0)</f>
        <v>MAWARID AISHAMELA TRADING CO.</v>
      </c>
      <c r="M563" s="447" t="str">
        <f>VLOOKUP(Advices[[#This Row],[LC Number]],'Combine_List'!A:D,3,0)</f>
        <v>FIRST FIX</v>
      </c>
      <c r="N563" s="447" t="str">
        <f>VLOOKUP(Advices[[#This Row],[LC Number]],'Combine_List'!A:D,4,0)</f>
        <v>KSP</v>
      </c>
      <c r="O563" s="447">
        <f>VLOOKUP(Advices[[#This Row],[LC Number]],'Combine_List'!A:E,5,0)</f>
        <v>1020055</v>
      </c>
      <c r="P563" s="447">
        <f>MONTH(Advices[[#This Row],[Transaction Date]])</f>
        <v>11</v>
      </c>
      <c r="Q563" s="447">
        <f>YEAR(Advices[[#This Row],[Transaction Date]])</f>
        <v>2025</v>
      </c>
      <c r="R563" s="1"/>
    </row>
    <row r="564" spans="1:18" x14ac:dyDescent="0.25">
      <c r="A564" s="1" t="s">
        <v>21</v>
      </c>
      <c r="B564" s="178">
        <v>45967</v>
      </c>
      <c r="C564" s="1" t="s">
        <v>1951</v>
      </c>
      <c r="D564" s="1" t="s">
        <v>2579</v>
      </c>
      <c r="E564" s="1" t="s">
        <v>1410</v>
      </c>
      <c r="F564" s="1" t="s">
        <v>1410</v>
      </c>
      <c r="G564" s="1" t="s">
        <v>26</v>
      </c>
      <c r="H564" s="13">
        <v>250</v>
      </c>
      <c r="I564" s="13">
        <v>0</v>
      </c>
      <c r="J564" s="1" t="s">
        <v>1963</v>
      </c>
      <c r="K564" s="1" t="s">
        <v>2025</v>
      </c>
      <c r="L564" s="1" t="str">
        <f>VLOOKUP(Advices[[#This Row],[LC Number]],'Combine_List'!A:D,2,0)</f>
        <v>MAWARID AISHAMELA TRADING CO.</v>
      </c>
      <c r="M564" s="447" t="str">
        <f>VLOOKUP(Advices[[#This Row],[LC Number]],'Combine_List'!A:D,3,0)</f>
        <v>FIRST FIX</v>
      </c>
      <c r="N564" s="447" t="str">
        <f>VLOOKUP(Advices[[#This Row],[LC Number]],'Combine_List'!A:D,4,0)</f>
        <v>KSP</v>
      </c>
      <c r="O564" s="447">
        <f>VLOOKUP(Advices[[#This Row],[LC Number]],'Combine_List'!A:E,5,0)</f>
        <v>1020055</v>
      </c>
      <c r="P564" s="447">
        <f>MONTH(Advices[[#This Row],[Transaction Date]])</f>
        <v>11</v>
      </c>
      <c r="Q564" s="447">
        <f>YEAR(Advices[[#This Row],[Transaction Date]])</f>
        <v>2025</v>
      </c>
      <c r="R564" s="1"/>
    </row>
    <row r="565" spans="1:18" x14ac:dyDescent="0.25">
      <c r="A565" s="1" t="s">
        <v>21</v>
      </c>
      <c r="B565" s="178">
        <v>45967</v>
      </c>
      <c r="C565" s="1" t="s">
        <v>1951</v>
      </c>
      <c r="D565" s="1" t="s">
        <v>2580</v>
      </c>
      <c r="E565" s="1" t="s">
        <v>1410</v>
      </c>
      <c r="F565" s="1" t="s">
        <v>1410</v>
      </c>
      <c r="G565" s="1" t="s">
        <v>26</v>
      </c>
      <c r="H565" s="13">
        <v>500</v>
      </c>
      <c r="I565" s="13">
        <v>0</v>
      </c>
      <c r="J565" s="1" t="s">
        <v>1124</v>
      </c>
      <c r="K565" s="1" t="s">
        <v>2025</v>
      </c>
      <c r="L565" s="1" t="str">
        <f>VLOOKUP(Advices[[#This Row],[LC Number]],'Combine_List'!A:D,2,0)</f>
        <v>MAWARID AISHAMELA TRADING CO.</v>
      </c>
      <c r="M565" s="447" t="str">
        <f>VLOOKUP(Advices[[#This Row],[LC Number]],'Combine_List'!A:D,3,0)</f>
        <v>FIRST FIX</v>
      </c>
      <c r="N565" s="447" t="str">
        <f>VLOOKUP(Advices[[#This Row],[LC Number]],'Combine_List'!A:D,4,0)</f>
        <v>KSP</v>
      </c>
      <c r="O565" s="447">
        <f>VLOOKUP(Advices[[#This Row],[LC Number]],'Combine_List'!A:E,5,0)</f>
        <v>1020055</v>
      </c>
      <c r="P565" s="447">
        <f>MONTH(Advices[[#This Row],[Transaction Date]])</f>
        <v>11</v>
      </c>
      <c r="Q565" s="447">
        <f>YEAR(Advices[[#This Row],[Transaction Date]])</f>
        <v>2025</v>
      </c>
      <c r="R565" s="1"/>
    </row>
    <row r="566" spans="1:18" x14ac:dyDescent="0.25">
      <c r="A566" s="1" t="s">
        <v>21</v>
      </c>
      <c r="B566" s="178">
        <v>45967</v>
      </c>
      <c r="C566" s="1" t="s">
        <v>1951</v>
      </c>
      <c r="D566" s="1" t="s">
        <v>2574</v>
      </c>
      <c r="E566" s="1" t="s">
        <v>1489</v>
      </c>
      <c r="F566" s="1" t="s">
        <v>1489</v>
      </c>
      <c r="G566" s="1" t="s">
        <v>26</v>
      </c>
      <c r="H566" s="13">
        <v>37.5</v>
      </c>
      <c r="I566" s="13">
        <v>0</v>
      </c>
      <c r="J566" s="1" t="s">
        <v>1174</v>
      </c>
      <c r="K566" s="1" t="s">
        <v>2025</v>
      </c>
      <c r="L566" s="1" t="str">
        <f>VLOOKUP(Advices[[#This Row],[LC Number]],'Combine_List'!A:D,2,0)</f>
        <v>AFAQ AL MALAZ TRADING CO. LTD</v>
      </c>
      <c r="M566" s="447" t="str">
        <f>VLOOKUP(Advices[[#This Row],[LC Number]],'Combine_List'!A:D,3,0)</f>
        <v>FIRST FIX</v>
      </c>
      <c r="N566" s="447" t="str">
        <f>VLOOKUP(Advices[[#This Row],[LC Number]],'Combine_List'!A:D,4,0)</f>
        <v>JCD SPMI</v>
      </c>
      <c r="O566" s="447">
        <f>VLOOKUP(Advices[[#This Row],[LC Number]],'Combine_List'!A:E,5,0)</f>
        <v>1020100</v>
      </c>
      <c r="P566" s="447">
        <f>MONTH(Advices[[#This Row],[Transaction Date]])</f>
        <v>11</v>
      </c>
      <c r="Q566" s="447">
        <f>YEAR(Advices[[#This Row],[Transaction Date]])</f>
        <v>2025</v>
      </c>
      <c r="R566" s="1"/>
    </row>
    <row r="567" spans="1:18" x14ac:dyDescent="0.25">
      <c r="A567" s="1" t="s">
        <v>21</v>
      </c>
      <c r="B567" s="178">
        <v>45967</v>
      </c>
      <c r="C567" s="1" t="s">
        <v>1951</v>
      </c>
      <c r="D567" s="1" t="s">
        <v>2574</v>
      </c>
      <c r="E567" s="1" t="s">
        <v>1489</v>
      </c>
      <c r="F567" s="1" t="s">
        <v>1489</v>
      </c>
      <c r="G567" s="1" t="s">
        <v>26</v>
      </c>
      <c r="H567" s="13">
        <v>75</v>
      </c>
      <c r="I567" s="13">
        <v>0</v>
      </c>
      <c r="J567" s="1" t="s">
        <v>1174</v>
      </c>
      <c r="K567" s="1" t="s">
        <v>2025</v>
      </c>
      <c r="L567" s="1" t="str">
        <f>VLOOKUP(Advices[[#This Row],[LC Number]],'Combine_List'!A:D,2,0)</f>
        <v>AFAQ AL MALAZ TRADING CO. LTD</v>
      </c>
      <c r="M567" s="447" t="str">
        <f>VLOOKUP(Advices[[#This Row],[LC Number]],'Combine_List'!A:D,3,0)</f>
        <v>FIRST FIX</v>
      </c>
      <c r="N567" s="447" t="str">
        <f>VLOOKUP(Advices[[#This Row],[LC Number]],'Combine_List'!A:D,4,0)</f>
        <v>JCD SPMI</v>
      </c>
      <c r="O567" s="447">
        <f>VLOOKUP(Advices[[#This Row],[LC Number]],'Combine_List'!A:E,5,0)</f>
        <v>1020100</v>
      </c>
      <c r="P567" s="447">
        <f>MONTH(Advices[[#This Row],[Transaction Date]])</f>
        <v>11</v>
      </c>
      <c r="Q567" s="447">
        <f>YEAR(Advices[[#This Row],[Transaction Date]])</f>
        <v>2025</v>
      </c>
      <c r="R567" s="1"/>
    </row>
    <row r="568" spans="1:18" x14ac:dyDescent="0.25">
      <c r="A568" s="1" t="s">
        <v>21</v>
      </c>
      <c r="B568" s="178">
        <v>45967</v>
      </c>
      <c r="C568" s="1" t="s">
        <v>1951</v>
      </c>
      <c r="D568" s="1" t="s">
        <v>2581</v>
      </c>
      <c r="E568" s="1" t="s">
        <v>1489</v>
      </c>
      <c r="F568" s="1" t="s">
        <v>1489</v>
      </c>
      <c r="G568" s="1" t="s">
        <v>26</v>
      </c>
      <c r="H568" s="13">
        <v>250</v>
      </c>
      <c r="I568" s="13">
        <v>0</v>
      </c>
      <c r="J568" s="1" t="s">
        <v>1963</v>
      </c>
      <c r="K568" s="1" t="s">
        <v>2025</v>
      </c>
      <c r="L568" s="1" t="str">
        <f>VLOOKUP(Advices[[#This Row],[LC Number]],'Combine_List'!A:D,2,0)</f>
        <v>AFAQ AL MALAZ TRADING CO. LTD</v>
      </c>
      <c r="M568" s="447" t="str">
        <f>VLOOKUP(Advices[[#This Row],[LC Number]],'Combine_List'!A:D,3,0)</f>
        <v>FIRST FIX</v>
      </c>
      <c r="N568" s="447" t="str">
        <f>VLOOKUP(Advices[[#This Row],[LC Number]],'Combine_List'!A:D,4,0)</f>
        <v>JCD SPMI</v>
      </c>
      <c r="O568" s="447">
        <f>VLOOKUP(Advices[[#This Row],[LC Number]],'Combine_List'!A:E,5,0)</f>
        <v>1020100</v>
      </c>
      <c r="P568" s="447">
        <f>MONTH(Advices[[#This Row],[Transaction Date]])</f>
        <v>11</v>
      </c>
      <c r="Q568" s="447">
        <f>YEAR(Advices[[#This Row],[Transaction Date]])</f>
        <v>2025</v>
      </c>
      <c r="R568" s="1"/>
    </row>
    <row r="569" spans="1:18" x14ac:dyDescent="0.25">
      <c r="A569" s="1" t="s">
        <v>21</v>
      </c>
      <c r="B569" s="178">
        <v>45967</v>
      </c>
      <c r="C569" s="1" t="s">
        <v>1951</v>
      </c>
      <c r="D569" s="1" t="s">
        <v>2582</v>
      </c>
      <c r="E569" s="1" t="s">
        <v>1489</v>
      </c>
      <c r="F569" s="1" t="s">
        <v>1489</v>
      </c>
      <c r="G569" s="1" t="s">
        <v>26</v>
      </c>
      <c r="H569" s="13">
        <v>500</v>
      </c>
      <c r="I569" s="13">
        <v>0</v>
      </c>
      <c r="J569" s="1" t="s">
        <v>1124</v>
      </c>
      <c r="K569" s="1" t="s">
        <v>2025</v>
      </c>
      <c r="L569" s="1" t="str">
        <f>VLOOKUP(Advices[[#This Row],[LC Number]],'Combine_List'!A:D,2,0)</f>
        <v>AFAQ AL MALAZ TRADING CO. LTD</v>
      </c>
      <c r="M569" s="447" t="str">
        <f>VLOOKUP(Advices[[#This Row],[LC Number]],'Combine_List'!A:D,3,0)</f>
        <v>FIRST FIX</v>
      </c>
      <c r="N569" s="447" t="str">
        <f>VLOOKUP(Advices[[#This Row],[LC Number]],'Combine_List'!A:D,4,0)</f>
        <v>JCD SPMI</v>
      </c>
      <c r="O569" s="447">
        <f>VLOOKUP(Advices[[#This Row],[LC Number]],'Combine_List'!A:E,5,0)</f>
        <v>1020100</v>
      </c>
      <c r="P569" s="447">
        <f>MONTH(Advices[[#This Row],[Transaction Date]])</f>
        <v>11</v>
      </c>
      <c r="Q569" s="447">
        <f>YEAR(Advices[[#This Row],[Transaction Date]])</f>
        <v>2025</v>
      </c>
      <c r="R569" s="1"/>
    </row>
    <row r="570" spans="1:18" x14ac:dyDescent="0.25">
      <c r="A570" s="1" t="s">
        <v>21</v>
      </c>
      <c r="B570" s="178">
        <v>45967</v>
      </c>
      <c r="C570" s="1" t="s">
        <v>1951</v>
      </c>
      <c r="D570" s="1" t="s">
        <v>2574</v>
      </c>
      <c r="E570" s="1" t="s">
        <v>1495</v>
      </c>
      <c r="F570" s="1" t="s">
        <v>1495</v>
      </c>
      <c r="G570" s="1" t="s">
        <v>26</v>
      </c>
      <c r="H570" s="13">
        <v>37.5</v>
      </c>
      <c r="I570" s="13">
        <v>0</v>
      </c>
      <c r="J570" s="1" t="s">
        <v>1174</v>
      </c>
      <c r="K570" s="1" t="s">
        <v>2025</v>
      </c>
      <c r="L570" s="1" t="str">
        <f>VLOOKUP(Advices[[#This Row],[LC Number]],'Combine_List'!A:D,2,0)</f>
        <v>Almansha Almubasher Trading Company</v>
      </c>
      <c r="M570" s="447" t="str">
        <f>VLOOKUP(Advices[[#This Row],[LC Number]],'Combine_List'!A:D,3,0)</f>
        <v>FIRST FIX</v>
      </c>
      <c r="N570" s="447" t="str">
        <f>VLOOKUP(Advices[[#This Row],[LC Number]],'Combine_List'!A:D,4,0)</f>
        <v>JCD SPMI</v>
      </c>
      <c r="O570" s="447">
        <f>VLOOKUP(Advices[[#This Row],[LC Number]],'Combine_List'!A:E,5,0)</f>
        <v>1020100</v>
      </c>
      <c r="P570" s="447">
        <f>MONTH(Advices[[#This Row],[Transaction Date]])</f>
        <v>11</v>
      </c>
      <c r="Q570" s="447">
        <f>YEAR(Advices[[#This Row],[Transaction Date]])</f>
        <v>2025</v>
      </c>
      <c r="R570" s="1"/>
    </row>
    <row r="571" spans="1:18" x14ac:dyDescent="0.25">
      <c r="A571" s="1" t="s">
        <v>21</v>
      </c>
      <c r="B571" s="178">
        <v>45967</v>
      </c>
      <c r="C571" s="1" t="s">
        <v>1951</v>
      </c>
      <c r="D571" s="1" t="s">
        <v>2574</v>
      </c>
      <c r="E571" s="1" t="s">
        <v>1495</v>
      </c>
      <c r="F571" s="1" t="s">
        <v>1495</v>
      </c>
      <c r="G571" s="1" t="s">
        <v>26</v>
      </c>
      <c r="H571" s="13">
        <v>75</v>
      </c>
      <c r="I571" s="13">
        <v>0</v>
      </c>
      <c r="J571" s="1" t="s">
        <v>1174</v>
      </c>
      <c r="K571" s="1" t="s">
        <v>2025</v>
      </c>
      <c r="L571" s="1" t="str">
        <f>VLOOKUP(Advices[[#This Row],[LC Number]],'Combine_List'!A:D,2,0)</f>
        <v>Almansha Almubasher Trading Company</v>
      </c>
      <c r="M571" s="447" t="str">
        <f>VLOOKUP(Advices[[#This Row],[LC Number]],'Combine_List'!A:D,3,0)</f>
        <v>FIRST FIX</v>
      </c>
      <c r="N571" s="447" t="str">
        <f>VLOOKUP(Advices[[#This Row],[LC Number]],'Combine_List'!A:D,4,0)</f>
        <v>JCD SPMI</v>
      </c>
      <c r="O571" s="447">
        <f>VLOOKUP(Advices[[#This Row],[LC Number]],'Combine_List'!A:E,5,0)</f>
        <v>1020100</v>
      </c>
      <c r="P571" s="447">
        <f>MONTH(Advices[[#This Row],[Transaction Date]])</f>
        <v>11</v>
      </c>
      <c r="Q571" s="447">
        <f>YEAR(Advices[[#This Row],[Transaction Date]])</f>
        <v>2025</v>
      </c>
      <c r="R571" s="1"/>
    </row>
    <row r="572" spans="1:18" x14ac:dyDescent="0.25">
      <c r="A572" s="1" t="s">
        <v>21</v>
      </c>
      <c r="B572" s="178">
        <v>45967</v>
      </c>
      <c r="C572" s="1" t="s">
        <v>1951</v>
      </c>
      <c r="D572" s="1" t="s">
        <v>2583</v>
      </c>
      <c r="E572" s="1" t="s">
        <v>1495</v>
      </c>
      <c r="F572" s="1" t="s">
        <v>1495</v>
      </c>
      <c r="G572" s="1" t="s">
        <v>26</v>
      </c>
      <c r="H572" s="13">
        <v>250</v>
      </c>
      <c r="I572" s="13">
        <v>0</v>
      </c>
      <c r="J572" s="1" t="s">
        <v>1963</v>
      </c>
      <c r="K572" s="1" t="s">
        <v>2025</v>
      </c>
      <c r="L572" s="1" t="str">
        <f>VLOOKUP(Advices[[#This Row],[LC Number]],'Combine_List'!A:D,2,0)</f>
        <v>Almansha Almubasher Trading Company</v>
      </c>
      <c r="M572" s="447" t="str">
        <f>VLOOKUP(Advices[[#This Row],[LC Number]],'Combine_List'!A:D,3,0)</f>
        <v>FIRST FIX</v>
      </c>
      <c r="N572" s="447" t="str">
        <f>VLOOKUP(Advices[[#This Row],[LC Number]],'Combine_List'!A:D,4,0)</f>
        <v>JCD SPMI</v>
      </c>
      <c r="O572" s="447">
        <f>VLOOKUP(Advices[[#This Row],[LC Number]],'Combine_List'!A:E,5,0)</f>
        <v>1020100</v>
      </c>
      <c r="P572" s="447">
        <f>MONTH(Advices[[#This Row],[Transaction Date]])</f>
        <v>11</v>
      </c>
      <c r="Q572" s="447">
        <f>YEAR(Advices[[#This Row],[Transaction Date]])</f>
        <v>2025</v>
      </c>
      <c r="R572" s="1"/>
    </row>
    <row r="573" spans="1:18" x14ac:dyDescent="0.25">
      <c r="A573" s="1" t="s">
        <v>21</v>
      </c>
      <c r="B573" s="178">
        <v>45967</v>
      </c>
      <c r="C573" s="1" t="s">
        <v>1951</v>
      </c>
      <c r="D573" s="1" t="s">
        <v>2584</v>
      </c>
      <c r="E573" s="1" t="s">
        <v>1495</v>
      </c>
      <c r="F573" s="1" t="s">
        <v>1495</v>
      </c>
      <c r="G573" s="1" t="s">
        <v>26</v>
      </c>
      <c r="H573" s="13">
        <v>500</v>
      </c>
      <c r="I573" s="13">
        <v>0</v>
      </c>
      <c r="J573" s="1" t="s">
        <v>1124</v>
      </c>
      <c r="K573" s="1" t="s">
        <v>2025</v>
      </c>
      <c r="L573" s="1" t="str">
        <f>VLOOKUP(Advices[[#This Row],[LC Number]],'Combine_List'!A:D,2,0)</f>
        <v>Almansha Almubasher Trading Company</v>
      </c>
      <c r="M573" s="447" t="str">
        <f>VLOOKUP(Advices[[#This Row],[LC Number]],'Combine_List'!A:D,3,0)</f>
        <v>FIRST FIX</v>
      </c>
      <c r="N573" s="447" t="str">
        <f>VLOOKUP(Advices[[#This Row],[LC Number]],'Combine_List'!A:D,4,0)</f>
        <v>JCD SPMI</v>
      </c>
      <c r="O573" s="447">
        <f>VLOOKUP(Advices[[#This Row],[LC Number]],'Combine_List'!A:E,5,0)</f>
        <v>1020100</v>
      </c>
      <c r="P573" s="447">
        <f>MONTH(Advices[[#This Row],[Transaction Date]])</f>
        <v>11</v>
      </c>
      <c r="Q573" s="447">
        <f>YEAR(Advices[[#This Row],[Transaction Date]])</f>
        <v>2025</v>
      </c>
      <c r="R573" s="1"/>
    </row>
    <row r="574" spans="1:18" x14ac:dyDescent="0.25">
      <c r="A574" s="1" t="s">
        <v>21</v>
      </c>
      <c r="B574" s="178">
        <v>45967</v>
      </c>
      <c r="C574" s="1" t="s">
        <v>1951</v>
      </c>
      <c r="D574" s="1" t="s">
        <v>2585</v>
      </c>
      <c r="E574" s="1" t="s">
        <v>1503</v>
      </c>
      <c r="F574" s="1" t="s">
        <v>1503</v>
      </c>
      <c r="G574" s="1" t="s">
        <v>26</v>
      </c>
      <c r="H574" s="13">
        <v>37.5</v>
      </c>
      <c r="I574" s="13">
        <v>0</v>
      </c>
      <c r="J574" s="1" t="s">
        <v>1174</v>
      </c>
      <c r="K574" s="1" t="s">
        <v>2025</v>
      </c>
      <c r="L574" s="1" t="str">
        <f>VLOOKUP(Advices[[#This Row],[LC Number]],'Combine_List'!A:D,2,0)</f>
        <v>SKM AIR CONDITIONING CO</v>
      </c>
      <c r="M574" s="447" t="str">
        <f>VLOOKUP(Advices[[#This Row],[LC Number]],'Combine_List'!A:D,3,0)</f>
        <v>FIRST FIX</v>
      </c>
      <c r="N574" s="447" t="str">
        <f>VLOOKUP(Advices[[#This Row],[LC Number]],'Combine_List'!A:D,4,0)</f>
        <v>JCD SPMI</v>
      </c>
      <c r="O574" s="447">
        <f>VLOOKUP(Advices[[#This Row],[LC Number]],'Combine_List'!A:E,5,0)</f>
        <v>1020100</v>
      </c>
      <c r="P574" s="447">
        <f>MONTH(Advices[[#This Row],[Transaction Date]])</f>
        <v>11</v>
      </c>
      <c r="Q574" s="447">
        <f>YEAR(Advices[[#This Row],[Transaction Date]])</f>
        <v>2025</v>
      </c>
      <c r="R574" s="1"/>
    </row>
    <row r="575" spans="1:18" x14ac:dyDescent="0.25">
      <c r="A575" s="1" t="s">
        <v>21</v>
      </c>
      <c r="B575" s="178">
        <v>45967</v>
      </c>
      <c r="C575" s="1" t="s">
        <v>1951</v>
      </c>
      <c r="D575" s="1" t="s">
        <v>2585</v>
      </c>
      <c r="E575" s="1" t="s">
        <v>1503</v>
      </c>
      <c r="F575" s="1" t="s">
        <v>1503</v>
      </c>
      <c r="G575" s="1" t="s">
        <v>26</v>
      </c>
      <c r="H575" s="13">
        <v>172.89</v>
      </c>
      <c r="I575" s="13">
        <v>0</v>
      </c>
      <c r="J575" s="1" t="s">
        <v>1174</v>
      </c>
      <c r="K575" s="1" t="s">
        <v>2025</v>
      </c>
      <c r="L575" s="1" t="str">
        <f>VLOOKUP(Advices[[#This Row],[LC Number]],'Combine_List'!A:D,2,0)</f>
        <v>SKM AIR CONDITIONING CO</v>
      </c>
      <c r="M575" s="447" t="str">
        <f>VLOOKUP(Advices[[#This Row],[LC Number]],'Combine_List'!A:D,3,0)</f>
        <v>FIRST FIX</v>
      </c>
      <c r="N575" s="447" t="str">
        <f>VLOOKUP(Advices[[#This Row],[LC Number]],'Combine_List'!A:D,4,0)</f>
        <v>JCD SPMI</v>
      </c>
      <c r="O575" s="447">
        <f>VLOOKUP(Advices[[#This Row],[LC Number]],'Combine_List'!A:E,5,0)</f>
        <v>1020100</v>
      </c>
      <c r="P575" s="447">
        <f>MONTH(Advices[[#This Row],[Transaction Date]])</f>
        <v>11</v>
      </c>
      <c r="Q575" s="447">
        <f>YEAR(Advices[[#This Row],[Transaction Date]])</f>
        <v>2025</v>
      </c>
      <c r="R575" s="1"/>
    </row>
    <row r="576" spans="1:18" x14ac:dyDescent="0.25">
      <c r="A576" s="1" t="s">
        <v>21</v>
      </c>
      <c r="B576" s="178">
        <v>45967</v>
      </c>
      <c r="C576" s="1" t="s">
        <v>1951</v>
      </c>
      <c r="D576" s="1" t="s">
        <v>2586</v>
      </c>
      <c r="E576" s="1" t="s">
        <v>1503</v>
      </c>
      <c r="F576" s="1" t="s">
        <v>1503</v>
      </c>
      <c r="G576" s="1" t="s">
        <v>26</v>
      </c>
      <c r="H576" s="13">
        <v>250</v>
      </c>
      <c r="I576" s="13">
        <v>0</v>
      </c>
      <c r="J576" s="1" t="s">
        <v>1963</v>
      </c>
      <c r="K576" s="1" t="s">
        <v>2025</v>
      </c>
      <c r="L576" s="1" t="str">
        <f>VLOOKUP(Advices[[#This Row],[LC Number]],'Combine_List'!A:D,2,0)</f>
        <v>SKM AIR CONDITIONING CO</v>
      </c>
      <c r="M576" s="447" t="str">
        <f>VLOOKUP(Advices[[#This Row],[LC Number]],'Combine_List'!A:D,3,0)</f>
        <v>FIRST FIX</v>
      </c>
      <c r="N576" s="447" t="str">
        <f>VLOOKUP(Advices[[#This Row],[LC Number]],'Combine_List'!A:D,4,0)</f>
        <v>JCD SPMI</v>
      </c>
      <c r="O576" s="447">
        <f>VLOOKUP(Advices[[#This Row],[LC Number]],'Combine_List'!A:E,5,0)</f>
        <v>1020100</v>
      </c>
      <c r="P576" s="447">
        <f>MONTH(Advices[[#This Row],[Transaction Date]])</f>
        <v>11</v>
      </c>
      <c r="Q576" s="447">
        <f>YEAR(Advices[[#This Row],[Transaction Date]])</f>
        <v>2025</v>
      </c>
      <c r="R576" s="1"/>
    </row>
    <row r="577" spans="1:18" x14ac:dyDescent="0.25">
      <c r="A577" s="1" t="s">
        <v>21</v>
      </c>
      <c r="B577" s="178">
        <v>45967</v>
      </c>
      <c r="C577" s="1" t="s">
        <v>1951</v>
      </c>
      <c r="D577" s="1" t="s">
        <v>2587</v>
      </c>
      <c r="E577" s="1" t="s">
        <v>1503</v>
      </c>
      <c r="F577" s="1" t="s">
        <v>1503</v>
      </c>
      <c r="G577" s="1" t="s">
        <v>26</v>
      </c>
      <c r="H577" s="13">
        <v>1152.6300000000001</v>
      </c>
      <c r="I577" s="13">
        <v>0</v>
      </c>
      <c r="J577" s="1" t="s">
        <v>1124</v>
      </c>
      <c r="K577" s="1" t="s">
        <v>2025</v>
      </c>
      <c r="L577" s="1" t="str">
        <f>VLOOKUP(Advices[[#This Row],[LC Number]],'Combine_List'!A:D,2,0)</f>
        <v>SKM AIR CONDITIONING CO</v>
      </c>
      <c r="M577" s="447" t="str">
        <f>VLOOKUP(Advices[[#This Row],[LC Number]],'Combine_List'!A:D,3,0)</f>
        <v>FIRST FIX</v>
      </c>
      <c r="N577" s="447" t="str">
        <f>VLOOKUP(Advices[[#This Row],[LC Number]],'Combine_List'!A:D,4,0)</f>
        <v>JCD SPMI</v>
      </c>
      <c r="O577" s="447">
        <f>VLOOKUP(Advices[[#This Row],[LC Number]],'Combine_List'!A:E,5,0)</f>
        <v>1020100</v>
      </c>
      <c r="P577" s="447">
        <f>MONTH(Advices[[#This Row],[Transaction Date]])</f>
        <v>11</v>
      </c>
      <c r="Q577" s="447">
        <f>YEAR(Advices[[#This Row],[Transaction Date]])</f>
        <v>2025</v>
      </c>
      <c r="R577" s="1"/>
    </row>
    <row r="578" spans="1:18" x14ac:dyDescent="0.25">
      <c r="A578" s="1" t="s">
        <v>21</v>
      </c>
      <c r="B578" s="178">
        <v>45967</v>
      </c>
      <c r="C578" s="1" t="s">
        <v>1951</v>
      </c>
      <c r="D578" s="1" t="s">
        <v>2574</v>
      </c>
      <c r="E578" s="1" t="s">
        <v>1519</v>
      </c>
      <c r="F578" s="1" t="s">
        <v>1519</v>
      </c>
      <c r="G578" s="1" t="s">
        <v>26</v>
      </c>
      <c r="H578" s="13">
        <v>37.5</v>
      </c>
      <c r="I578" s="13">
        <v>0</v>
      </c>
      <c r="J578" s="1" t="s">
        <v>1174</v>
      </c>
      <c r="K578" s="1" t="s">
        <v>2025</v>
      </c>
      <c r="L578" s="1" t="str">
        <f>VLOOKUP(Advices[[#This Row],[LC Number]],'Combine_List'!A:D,2,0)</f>
        <v>MAHAWAR AL JAZEERA CONTRACTING CO.</v>
      </c>
      <c r="M578" s="447" t="str">
        <f>VLOOKUP(Advices[[#This Row],[LC Number]],'Combine_List'!A:D,3,0)</f>
        <v>FIRST FIX</v>
      </c>
      <c r="N578" s="447" t="str">
        <f>VLOOKUP(Advices[[#This Row],[LC Number]],'Combine_List'!A:D,4,0)</f>
        <v>JCD SPMI</v>
      </c>
      <c r="O578" s="447">
        <f>VLOOKUP(Advices[[#This Row],[LC Number]],'Combine_List'!A:E,5,0)</f>
        <v>1020100</v>
      </c>
      <c r="P578" s="447">
        <f>MONTH(Advices[[#This Row],[Transaction Date]])</f>
        <v>11</v>
      </c>
      <c r="Q578" s="447">
        <f>YEAR(Advices[[#This Row],[Transaction Date]])</f>
        <v>2025</v>
      </c>
      <c r="R578" s="1"/>
    </row>
    <row r="579" spans="1:18" x14ac:dyDescent="0.25">
      <c r="A579" s="1" t="s">
        <v>21</v>
      </c>
      <c r="B579" s="178">
        <v>45967</v>
      </c>
      <c r="C579" s="1" t="s">
        <v>1951</v>
      </c>
      <c r="D579" s="1" t="s">
        <v>2574</v>
      </c>
      <c r="E579" s="1" t="s">
        <v>1519</v>
      </c>
      <c r="F579" s="1" t="s">
        <v>1519</v>
      </c>
      <c r="G579" s="1" t="s">
        <v>26</v>
      </c>
      <c r="H579" s="13">
        <v>75</v>
      </c>
      <c r="I579" s="13">
        <v>0</v>
      </c>
      <c r="J579" s="1" t="s">
        <v>1174</v>
      </c>
      <c r="K579" s="1" t="s">
        <v>2025</v>
      </c>
      <c r="L579" s="1" t="str">
        <f>VLOOKUP(Advices[[#This Row],[LC Number]],'Combine_List'!A:D,2,0)</f>
        <v>MAHAWAR AL JAZEERA CONTRACTING CO.</v>
      </c>
      <c r="M579" s="447" t="str">
        <f>VLOOKUP(Advices[[#This Row],[LC Number]],'Combine_List'!A:D,3,0)</f>
        <v>FIRST FIX</v>
      </c>
      <c r="N579" s="447" t="str">
        <f>VLOOKUP(Advices[[#This Row],[LC Number]],'Combine_List'!A:D,4,0)</f>
        <v>JCD SPMI</v>
      </c>
      <c r="O579" s="447">
        <f>VLOOKUP(Advices[[#This Row],[LC Number]],'Combine_List'!A:E,5,0)</f>
        <v>1020100</v>
      </c>
      <c r="P579" s="447">
        <f>MONTH(Advices[[#This Row],[Transaction Date]])</f>
        <v>11</v>
      </c>
      <c r="Q579" s="447">
        <f>YEAR(Advices[[#This Row],[Transaction Date]])</f>
        <v>2025</v>
      </c>
      <c r="R579" s="1"/>
    </row>
    <row r="580" spans="1:18" x14ac:dyDescent="0.25">
      <c r="A580" s="1" t="s">
        <v>21</v>
      </c>
      <c r="B580" s="178">
        <v>45967</v>
      </c>
      <c r="C580" s="1" t="s">
        <v>1951</v>
      </c>
      <c r="D580" s="1" t="s">
        <v>2588</v>
      </c>
      <c r="E580" s="1" t="s">
        <v>1519</v>
      </c>
      <c r="F580" s="1" t="s">
        <v>1519</v>
      </c>
      <c r="G580" s="1" t="s">
        <v>26</v>
      </c>
      <c r="H580" s="13">
        <v>250</v>
      </c>
      <c r="I580" s="13">
        <v>0</v>
      </c>
      <c r="J580" s="1" t="s">
        <v>1963</v>
      </c>
      <c r="K580" s="1" t="s">
        <v>2025</v>
      </c>
      <c r="L580" s="1" t="str">
        <f>VLOOKUP(Advices[[#This Row],[LC Number]],'Combine_List'!A:D,2,0)</f>
        <v>MAHAWAR AL JAZEERA CONTRACTING CO.</v>
      </c>
      <c r="M580" s="447" t="str">
        <f>VLOOKUP(Advices[[#This Row],[LC Number]],'Combine_List'!A:D,3,0)</f>
        <v>FIRST FIX</v>
      </c>
      <c r="N580" s="447" t="str">
        <f>VLOOKUP(Advices[[#This Row],[LC Number]],'Combine_List'!A:D,4,0)</f>
        <v>JCD SPMI</v>
      </c>
      <c r="O580" s="447">
        <f>VLOOKUP(Advices[[#This Row],[LC Number]],'Combine_List'!A:E,5,0)</f>
        <v>1020100</v>
      </c>
      <c r="P580" s="447">
        <f>MONTH(Advices[[#This Row],[Transaction Date]])</f>
        <v>11</v>
      </c>
      <c r="Q580" s="447">
        <f>YEAR(Advices[[#This Row],[Transaction Date]])</f>
        <v>2025</v>
      </c>
      <c r="R580" s="1"/>
    </row>
    <row r="581" spans="1:18" x14ac:dyDescent="0.25">
      <c r="A581" s="1" t="s">
        <v>21</v>
      </c>
      <c r="B581" s="178">
        <v>45967</v>
      </c>
      <c r="C581" s="1" t="s">
        <v>1951</v>
      </c>
      <c r="D581" s="1" t="s">
        <v>2589</v>
      </c>
      <c r="E581" s="1" t="s">
        <v>1519</v>
      </c>
      <c r="F581" s="1" t="s">
        <v>1519</v>
      </c>
      <c r="G581" s="1" t="s">
        <v>26</v>
      </c>
      <c r="H581" s="13">
        <v>500</v>
      </c>
      <c r="I581" s="13">
        <v>0</v>
      </c>
      <c r="J581" s="1" t="s">
        <v>1124</v>
      </c>
      <c r="K581" s="1" t="s">
        <v>2025</v>
      </c>
      <c r="L581" s="1" t="str">
        <f>VLOOKUP(Advices[[#This Row],[LC Number]],'Combine_List'!A:D,2,0)</f>
        <v>MAHAWAR AL JAZEERA CONTRACTING CO.</v>
      </c>
      <c r="M581" s="447" t="str">
        <f>VLOOKUP(Advices[[#This Row],[LC Number]],'Combine_List'!A:D,3,0)</f>
        <v>FIRST FIX</v>
      </c>
      <c r="N581" s="447" t="str">
        <f>VLOOKUP(Advices[[#This Row],[LC Number]],'Combine_List'!A:D,4,0)</f>
        <v>JCD SPMI</v>
      </c>
      <c r="O581" s="447">
        <f>VLOOKUP(Advices[[#This Row],[LC Number]],'Combine_List'!A:E,5,0)</f>
        <v>1020100</v>
      </c>
      <c r="P581" s="447">
        <f>MONTH(Advices[[#This Row],[Transaction Date]])</f>
        <v>11</v>
      </c>
      <c r="Q581" s="447">
        <f>YEAR(Advices[[#This Row],[Transaction Date]])</f>
        <v>2025</v>
      </c>
      <c r="R581" s="1"/>
    </row>
    <row r="582" spans="1:18" x14ac:dyDescent="0.25">
      <c r="A582" s="1" t="s">
        <v>21</v>
      </c>
      <c r="B582" s="178">
        <v>45967</v>
      </c>
      <c r="C582" s="1" t="s">
        <v>1951</v>
      </c>
      <c r="D582" s="1" t="s">
        <v>2574</v>
      </c>
      <c r="E582" s="1" t="s">
        <v>1525</v>
      </c>
      <c r="F582" s="1" t="s">
        <v>1525</v>
      </c>
      <c r="G582" s="1" t="s">
        <v>26</v>
      </c>
      <c r="H582" s="13">
        <v>37.5</v>
      </c>
      <c r="I582" s="13">
        <v>0</v>
      </c>
      <c r="J582" s="1" t="s">
        <v>1174</v>
      </c>
      <c r="K582" s="1" t="s">
        <v>2025</v>
      </c>
      <c r="L582" s="1" t="str">
        <f>VLOOKUP(Advices[[#This Row],[LC Number]],'Combine_List'!A:D,2,0)</f>
        <v>STAR SQUARES CO LTD</v>
      </c>
      <c r="M582" s="447" t="str">
        <f>VLOOKUP(Advices[[#This Row],[LC Number]],'Combine_List'!A:D,3,0)</f>
        <v>FIRST FIX</v>
      </c>
      <c r="N582" s="447" t="str">
        <f>VLOOKUP(Advices[[#This Row],[LC Number]],'Combine_List'!A:D,4,0)</f>
        <v>JCD SPMI</v>
      </c>
      <c r="O582" s="447">
        <f>VLOOKUP(Advices[[#This Row],[LC Number]],'Combine_List'!A:E,5,0)</f>
        <v>1020100</v>
      </c>
      <c r="P582" s="447">
        <f>MONTH(Advices[[#This Row],[Transaction Date]])</f>
        <v>11</v>
      </c>
      <c r="Q582" s="447">
        <f>YEAR(Advices[[#This Row],[Transaction Date]])</f>
        <v>2025</v>
      </c>
      <c r="R582" s="1"/>
    </row>
    <row r="583" spans="1:18" x14ac:dyDescent="0.25">
      <c r="A583" s="1" t="s">
        <v>21</v>
      </c>
      <c r="B583" s="178">
        <v>45967</v>
      </c>
      <c r="C583" s="1" t="s">
        <v>1951</v>
      </c>
      <c r="D583" s="1" t="s">
        <v>2574</v>
      </c>
      <c r="E583" s="1" t="s">
        <v>1525</v>
      </c>
      <c r="F583" s="1" t="s">
        <v>1525</v>
      </c>
      <c r="G583" s="1" t="s">
        <v>26</v>
      </c>
      <c r="H583" s="13">
        <v>75</v>
      </c>
      <c r="I583" s="13">
        <v>0</v>
      </c>
      <c r="J583" s="1" t="s">
        <v>1174</v>
      </c>
      <c r="K583" s="1" t="s">
        <v>2025</v>
      </c>
      <c r="L583" s="1" t="str">
        <f>VLOOKUP(Advices[[#This Row],[LC Number]],'Combine_List'!A:D,2,0)</f>
        <v>STAR SQUARES CO LTD</v>
      </c>
      <c r="M583" s="447" t="str">
        <f>VLOOKUP(Advices[[#This Row],[LC Number]],'Combine_List'!A:D,3,0)</f>
        <v>FIRST FIX</v>
      </c>
      <c r="N583" s="447" t="str">
        <f>VLOOKUP(Advices[[#This Row],[LC Number]],'Combine_List'!A:D,4,0)</f>
        <v>JCD SPMI</v>
      </c>
      <c r="O583" s="447">
        <f>VLOOKUP(Advices[[#This Row],[LC Number]],'Combine_List'!A:E,5,0)</f>
        <v>1020100</v>
      </c>
      <c r="P583" s="447">
        <f>MONTH(Advices[[#This Row],[Transaction Date]])</f>
        <v>11</v>
      </c>
      <c r="Q583" s="447">
        <f>YEAR(Advices[[#This Row],[Transaction Date]])</f>
        <v>2025</v>
      </c>
      <c r="R583" s="1"/>
    </row>
    <row r="584" spans="1:18" x14ac:dyDescent="0.25">
      <c r="A584" s="1" t="s">
        <v>21</v>
      </c>
      <c r="B584" s="178">
        <v>45967</v>
      </c>
      <c r="C584" s="1" t="s">
        <v>1951</v>
      </c>
      <c r="D584" s="1" t="s">
        <v>2590</v>
      </c>
      <c r="E584" s="1" t="s">
        <v>1525</v>
      </c>
      <c r="F584" s="1" t="s">
        <v>1525</v>
      </c>
      <c r="G584" s="1" t="s">
        <v>26</v>
      </c>
      <c r="H584" s="13">
        <v>250</v>
      </c>
      <c r="I584" s="13">
        <v>0</v>
      </c>
      <c r="J584" s="1" t="s">
        <v>1963</v>
      </c>
      <c r="K584" s="1" t="s">
        <v>2025</v>
      </c>
      <c r="L584" s="1" t="str">
        <f>VLOOKUP(Advices[[#This Row],[LC Number]],'Combine_List'!A:D,2,0)</f>
        <v>STAR SQUARES CO LTD</v>
      </c>
      <c r="M584" s="447" t="str">
        <f>VLOOKUP(Advices[[#This Row],[LC Number]],'Combine_List'!A:D,3,0)</f>
        <v>FIRST FIX</v>
      </c>
      <c r="N584" s="447" t="str">
        <f>VLOOKUP(Advices[[#This Row],[LC Number]],'Combine_List'!A:D,4,0)</f>
        <v>JCD SPMI</v>
      </c>
      <c r="O584" s="447">
        <f>VLOOKUP(Advices[[#This Row],[LC Number]],'Combine_List'!A:E,5,0)</f>
        <v>1020100</v>
      </c>
      <c r="P584" s="447">
        <f>MONTH(Advices[[#This Row],[Transaction Date]])</f>
        <v>11</v>
      </c>
      <c r="Q584" s="447">
        <f>YEAR(Advices[[#This Row],[Transaction Date]])</f>
        <v>2025</v>
      </c>
      <c r="R584" s="1"/>
    </row>
    <row r="585" spans="1:18" x14ac:dyDescent="0.25">
      <c r="A585" s="1" t="s">
        <v>21</v>
      </c>
      <c r="B585" s="178">
        <v>45967</v>
      </c>
      <c r="C585" s="1" t="s">
        <v>1951</v>
      </c>
      <c r="D585" s="1" t="s">
        <v>2591</v>
      </c>
      <c r="E585" s="1" t="s">
        <v>1525</v>
      </c>
      <c r="F585" s="1" t="s">
        <v>1525</v>
      </c>
      <c r="G585" s="1" t="s">
        <v>26</v>
      </c>
      <c r="H585" s="13">
        <v>500</v>
      </c>
      <c r="I585" s="13">
        <v>0</v>
      </c>
      <c r="J585" s="1" t="s">
        <v>1124</v>
      </c>
      <c r="K585" s="1" t="s">
        <v>2025</v>
      </c>
      <c r="L585" s="1" t="str">
        <f>VLOOKUP(Advices[[#This Row],[LC Number]],'Combine_List'!A:D,2,0)</f>
        <v>STAR SQUARES CO LTD</v>
      </c>
      <c r="M585" s="447" t="str">
        <f>VLOOKUP(Advices[[#This Row],[LC Number]],'Combine_List'!A:D,3,0)</f>
        <v>FIRST FIX</v>
      </c>
      <c r="N585" s="447" t="str">
        <f>VLOOKUP(Advices[[#This Row],[LC Number]],'Combine_List'!A:D,4,0)</f>
        <v>JCD SPMI</v>
      </c>
      <c r="O585" s="447">
        <f>VLOOKUP(Advices[[#This Row],[LC Number]],'Combine_List'!A:E,5,0)</f>
        <v>1020100</v>
      </c>
      <c r="P585" s="447">
        <f>MONTH(Advices[[#This Row],[Transaction Date]])</f>
        <v>11</v>
      </c>
      <c r="Q585" s="447">
        <f>YEAR(Advices[[#This Row],[Transaction Date]])</f>
        <v>2025</v>
      </c>
      <c r="R585" s="1"/>
    </row>
    <row r="586" spans="1:18" x14ac:dyDescent="0.25">
      <c r="A586" s="1" t="s">
        <v>21</v>
      </c>
      <c r="B586" s="178">
        <v>45967</v>
      </c>
      <c r="C586" s="1" t="s">
        <v>1951</v>
      </c>
      <c r="D586" s="1" t="s">
        <v>2574</v>
      </c>
      <c r="E586" s="1" t="s">
        <v>1659</v>
      </c>
      <c r="F586" s="1" t="s">
        <v>1659</v>
      </c>
      <c r="G586" s="1" t="s">
        <v>26</v>
      </c>
      <c r="H586" s="13">
        <v>37.5</v>
      </c>
      <c r="I586" s="13">
        <v>0</v>
      </c>
      <c r="J586" s="1" t="s">
        <v>1174</v>
      </c>
      <c r="K586" s="1" t="s">
        <v>2025</v>
      </c>
      <c r="L586" s="1" t="str">
        <f>VLOOKUP(Advices[[#This Row],[LC Number]],'Combine_List'!A:D,2,0)</f>
        <v>AL-HADBANIA TRADING CO.</v>
      </c>
      <c r="M586" s="447" t="str">
        <f>VLOOKUP(Advices[[#This Row],[LC Number]],'Combine_List'!A:D,3,0)</f>
        <v>FIRST FIX</v>
      </c>
      <c r="N586" s="447" t="str">
        <f>VLOOKUP(Advices[[#This Row],[LC Number]],'Combine_List'!A:D,4,0)</f>
        <v>KSP</v>
      </c>
      <c r="O586" s="447">
        <f>VLOOKUP(Advices[[#This Row],[LC Number]],'Combine_List'!A:E,5,0)</f>
        <v>1020055</v>
      </c>
      <c r="P586" s="447">
        <f>MONTH(Advices[[#This Row],[Transaction Date]])</f>
        <v>11</v>
      </c>
      <c r="Q586" s="447">
        <f>YEAR(Advices[[#This Row],[Transaction Date]])</f>
        <v>2025</v>
      </c>
      <c r="R586" s="1"/>
    </row>
    <row r="587" spans="1:18" x14ac:dyDescent="0.25">
      <c r="A587" s="1" t="s">
        <v>21</v>
      </c>
      <c r="B587" s="178">
        <v>45967</v>
      </c>
      <c r="C587" s="1" t="s">
        <v>1951</v>
      </c>
      <c r="D587" s="1" t="s">
        <v>2574</v>
      </c>
      <c r="E587" s="1" t="s">
        <v>1659</v>
      </c>
      <c r="F587" s="1" t="s">
        <v>1659</v>
      </c>
      <c r="G587" s="1" t="s">
        <v>26</v>
      </c>
      <c r="H587" s="13">
        <v>75</v>
      </c>
      <c r="I587" s="13">
        <v>0</v>
      </c>
      <c r="J587" s="1" t="s">
        <v>1174</v>
      </c>
      <c r="K587" s="1" t="s">
        <v>2025</v>
      </c>
      <c r="L587" s="1" t="str">
        <f>VLOOKUP(Advices[[#This Row],[LC Number]],'Combine_List'!A:D,2,0)</f>
        <v>AL-HADBANIA TRADING CO.</v>
      </c>
      <c r="M587" s="447" t="str">
        <f>VLOOKUP(Advices[[#This Row],[LC Number]],'Combine_List'!A:D,3,0)</f>
        <v>FIRST FIX</v>
      </c>
      <c r="N587" s="447" t="str">
        <f>VLOOKUP(Advices[[#This Row],[LC Number]],'Combine_List'!A:D,4,0)</f>
        <v>KSP</v>
      </c>
      <c r="O587" s="447">
        <f>VLOOKUP(Advices[[#This Row],[LC Number]],'Combine_List'!A:E,5,0)</f>
        <v>1020055</v>
      </c>
      <c r="P587" s="447">
        <f>MONTH(Advices[[#This Row],[Transaction Date]])</f>
        <v>11</v>
      </c>
      <c r="Q587" s="447">
        <f>YEAR(Advices[[#This Row],[Transaction Date]])</f>
        <v>2025</v>
      </c>
      <c r="R587" s="1"/>
    </row>
    <row r="588" spans="1:18" x14ac:dyDescent="0.25">
      <c r="A588" s="1" t="s">
        <v>21</v>
      </c>
      <c r="B588" s="178">
        <v>45967</v>
      </c>
      <c r="C588" s="1" t="s">
        <v>1951</v>
      </c>
      <c r="D588" s="1" t="s">
        <v>2592</v>
      </c>
      <c r="E588" s="1" t="s">
        <v>1659</v>
      </c>
      <c r="F588" s="1" t="s">
        <v>1659</v>
      </c>
      <c r="G588" s="1" t="s">
        <v>26</v>
      </c>
      <c r="H588" s="13">
        <v>250</v>
      </c>
      <c r="I588" s="13">
        <v>0</v>
      </c>
      <c r="J588" s="1" t="s">
        <v>1963</v>
      </c>
      <c r="K588" s="1" t="s">
        <v>2025</v>
      </c>
      <c r="L588" s="1" t="str">
        <f>VLOOKUP(Advices[[#This Row],[LC Number]],'Combine_List'!A:D,2,0)</f>
        <v>AL-HADBANIA TRADING CO.</v>
      </c>
      <c r="M588" s="447" t="str">
        <f>VLOOKUP(Advices[[#This Row],[LC Number]],'Combine_List'!A:D,3,0)</f>
        <v>FIRST FIX</v>
      </c>
      <c r="N588" s="447" t="str">
        <f>VLOOKUP(Advices[[#This Row],[LC Number]],'Combine_List'!A:D,4,0)</f>
        <v>KSP</v>
      </c>
      <c r="O588" s="447">
        <f>VLOOKUP(Advices[[#This Row],[LC Number]],'Combine_List'!A:E,5,0)</f>
        <v>1020055</v>
      </c>
      <c r="P588" s="447">
        <f>MONTH(Advices[[#This Row],[Transaction Date]])</f>
        <v>11</v>
      </c>
      <c r="Q588" s="447">
        <f>YEAR(Advices[[#This Row],[Transaction Date]])</f>
        <v>2025</v>
      </c>
      <c r="R588" s="1"/>
    </row>
    <row r="589" spans="1:18" x14ac:dyDescent="0.25">
      <c r="A589" s="1" t="s">
        <v>21</v>
      </c>
      <c r="B589" s="178">
        <v>45967</v>
      </c>
      <c r="C589" s="1" t="s">
        <v>1951</v>
      </c>
      <c r="D589" s="1" t="s">
        <v>2593</v>
      </c>
      <c r="E589" s="1" t="s">
        <v>1659</v>
      </c>
      <c r="F589" s="1" t="s">
        <v>1659</v>
      </c>
      <c r="G589" s="1" t="s">
        <v>26</v>
      </c>
      <c r="H589" s="13">
        <v>500</v>
      </c>
      <c r="I589" s="13">
        <v>0</v>
      </c>
      <c r="J589" s="1" t="s">
        <v>1124</v>
      </c>
      <c r="K589" s="1" t="s">
        <v>2025</v>
      </c>
      <c r="L589" s="1" t="str">
        <f>VLOOKUP(Advices[[#This Row],[LC Number]],'Combine_List'!A:D,2,0)</f>
        <v>AL-HADBANIA TRADING CO.</v>
      </c>
      <c r="M589" s="447" t="str">
        <f>VLOOKUP(Advices[[#This Row],[LC Number]],'Combine_List'!A:D,3,0)</f>
        <v>FIRST FIX</v>
      </c>
      <c r="N589" s="447" t="str">
        <f>VLOOKUP(Advices[[#This Row],[LC Number]],'Combine_List'!A:D,4,0)</f>
        <v>KSP</v>
      </c>
      <c r="O589" s="447">
        <f>VLOOKUP(Advices[[#This Row],[LC Number]],'Combine_List'!A:E,5,0)</f>
        <v>1020055</v>
      </c>
      <c r="P589" s="447">
        <f>MONTH(Advices[[#This Row],[Transaction Date]])</f>
        <v>11</v>
      </c>
      <c r="Q589" s="447">
        <f>YEAR(Advices[[#This Row],[Transaction Date]])</f>
        <v>2025</v>
      </c>
      <c r="R589" s="1"/>
    </row>
    <row r="590" spans="1:18" x14ac:dyDescent="0.25">
      <c r="A590" s="1" t="s">
        <v>21</v>
      </c>
      <c r="B590" s="178">
        <v>45967</v>
      </c>
      <c r="C590" s="1" t="s">
        <v>1951</v>
      </c>
      <c r="D590" s="1" t="s">
        <v>2594</v>
      </c>
      <c r="E590" s="1" t="s">
        <v>1655</v>
      </c>
      <c r="F590" s="1" t="s">
        <v>1655</v>
      </c>
      <c r="G590" s="1" t="s">
        <v>26</v>
      </c>
      <c r="H590" s="13">
        <v>37.5</v>
      </c>
      <c r="I590" s="13">
        <v>0</v>
      </c>
      <c r="J590" s="1" t="s">
        <v>1174</v>
      </c>
      <c r="K590" s="1" t="s">
        <v>2025</v>
      </c>
      <c r="L590" s="1" t="str">
        <f>VLOOKUP(Advices[[#This Row],[LC Number]],'Combine_List'!A:D,2,0)</f>
        <v>ALFANAR ELECTRICAL SYSTEMS</v>
      </c>
      <c r="M590" s="447" t="str">
        <f>VLOOKUP(Advices[[#This Row],[LC Number]],'Combine_List'!A:D,3,0)</f>
        <v>FIRST FIX</v>
      </c>
      <c r="N590" s="447" t="str">
        <f>VLOOKUP(Advices[[#This Row],[LC Number]],'Combine_List'!A:D,4,0)</f>
        <v>KSP</v>
      </c>
      <c r="O590" s="447">
        <f>VLOOKUP(Advices[[#This Row],[LC Number]],'Combine_List'!A:E,5,0)</f>
        <v>1020055</v>
      </c>
      <c r="P590" s="447">
        <f>MONTH(Advices[[#This Row],[Transaction Date]])</f>
        <v>11</v>
      </c>
      <c r="Q590" s="447">
        <f>YEAR(Advices[[#This Row],[Transaction Date]])</f>
        <v>2025</v>
      </c>
      <c r="R590" s="1"/>
    </row>
    <row r="591" spans="1:18" x14ac:dyDescent="0.25">
      <c r="A591" s="1" t="s">
        <v>21</v>
      </c>
      <c r="B591" s="178">
        <v>45967</v>
      </c>
      <c r="C591" s="1" t="s">
        <v>1951</v>
      </c>
      <c r="D591" s="1" t="s">
        <v>2594</v>
      </c>
      <c r="E591" s="1" t="s">
        <v>1655</v>
      </c>
      <c r="F591" s="1" t="s">
        <v>1655</v>
      </c>
      <c r="G591" s="1" t="s">
        <v>26</v>
      </c>
      <c r="H591" s="13">
        <v>93.75</v>
      </c>
      <c r="I591" s="13">
        <v>0</v>
      </c>
      <c r="J591" s="1" t="s">
        <v>1174</v>
      </c>
      <c r="K591" s="1" t="s">
        <v>2025</v>
      </c>
      <c r="L591" s="1" t="str">
        <f>VLOOKUP(Advices[[#This Row],[LC Number]],'Combine_List'!A:D,2,0)</f>
        <v>ALFANAR ELECTRICAL SYSTEMS</v>
      </c>
      <c r="M591" s="447" t="str">
        <f>VLOOKUP(Advices[[#This Row],[LC Number]],'Combine_List'!A:D,3,0)</f>
        <v>FIRST FIX</v>
      </c>
      <c r="N591" s="447" t="str">
        <f>VLOOKUP(Advices[[#This Row],[LC Number]],'Combine_List'!A:D,4,0)</f>
        <v>KSP</v>
      </c>
      <c r="O591" s="447">
        <f>VLOOKUP(Advices[[#This Row],[LC Number]],'Combine_List'!A:E,5,0)</f>
        <v>1020055</v>
      </c>
      <c r="P591" s="447">
        <f>MONTH(Advices[[#This Row],[Transaction Date]])</f>
        <v>11</v>
      </c>
      <c r="Q591" s="447">
        <f>YEAR(Advices[[#This Row],[Transaction Date]])</f>
        <v>2025</v>
      </c>
      <c r="R591" s="1"/>
    </row>
    <row r="592" spans="1:18" x14ac:dyDescent="0.25">
      <c r="A592" s="1" t="s">
        <v>21</v>
      </c>
      <c r="B592" s="178">
        <v>45967</v>
      </c>
      <c r="C592" s="1" t="s">
        <v>1951</v>
      </c>
      <c r="D592" s="1" t="s">
        <v>2595</v>
      </c>
      <c r="E592" s="1" t="s">
        <v>1655</v>
      </c>
      <c r="F592" s="1" t="s">
        <v>1655</v>
      </c>
      <c r="G592" s="1" t="s">
        <v>26</v>
      </c>
      <c r="H592" s="13">
        <v>250</v>
      </c>
      <c r="I592" s="13">
        <v>0</v>
      </c>
      <c r="J592" s="1" t="s">
        <v>1963</v>
      </c>
      <c r="K592" s="1" t="s">
        <v>2025</v>
      </c>
      <c r="L592" s="1" t="str">
        <f>VLOOKUP(Advices[[#This Row],[LC Number]],'Combine_List'!A:D,2,0)</f>
        <v>ALFANAR ELECTRICAL SYSTEMS</v>
      </c>
      <c r="M592" s="447" t="str">
        <f>VLOOKUP(Advices[[#This Row],[LC Number]],'Combine_List'!A:D,3,0)</f>
        <v>FIRST FIX</v>
      </c>
      <c r="N592" s="447" t="str">
        <f>VLOOKUP(Advices[[#This Row],[LC Number]],'Combine_List'!A:D,4,0)</f>
        <v>KSP</v>
      </c>
      <c r="O592" s="447">
        <f>VLOOKUP(Advices[[#This Row],[LC Number]],'Combine_List'!A:E,5,0)</f>
        <v>1020055</v>
      </c>
      <c r="P592" s="447">
        <f>MONTH(Advices[[#This Row],[Transaction Date]])</f>
        <v>11</v>
      </c>
      <c r="Q592" s="447">
        <f>YEAR(Advices[[#This Row],[Transaction Date]])</f>
        <v>2025</v>
      </c>
      <c r="R592" s="1"/>
    </row>
    <row r="593" spans="1:18" x14ac:dyDescent="0.25">
      <c r="A593" s="1" t="s">
        <v>21</v>
      </c>
      <c r="B593" s="178">
        <v>45967</v>
      </c>
      <c r="C593" s="1" t="s">
        <v>1951</v>
      </c>
      <c r="D593" s="1" t="s">
        <v>2596</v>
      </c>
      <c r="E593" s="1" t="s">
        <v>1655</v>
      </c>
      <c r="F593" s="1" t="s">
        <v>1655</v>
      </c>
      <c r="G593" s="1" t="s">
        <v>26</v>
      </c>
      <c r="H593" s="13">
        <v>625</v>
      </c>
      <c r="I593" s="13">
        <v>0</v>
      </c>
      <c r="J593" s="1" t="s">
        <v>1124</v>
      </c>
      <c r="K593" s="1" t="s">
        <v>2025</v>
      </c>
      <c r="L593" s="1" t="str">
        <f>VLOOKUP(Advices[[#This Row],[LC Number]],'Combine_List'!A:D,2,0)</f>
        <v>ALFANAR ELECTRICAL SYSTEMS</v>
      </c>
      <c r="M593" s="447" t="str">
        <f>VLOOKUP(Advices[[#This Row],[LC Number]],'Combine_List'!A:D,3,0)</f>
        <v>FIRST FIX</v>
      </c>
      <c r="N593" s="447" t="str">
        <f>VLOOKUP(Advices[[#This Row],[LC Number]],'Combine_List'!A:D,4,0)</f>
        <v>KSP</v>
      </c>
      <c r="O593" s="447">
        <f>VLOOKUP(Advices[[#This Row],[LC Number]],'Combine_List'!A:E,5,0)</f>
        <v>1020055</v>
      </c>
      <c r="P593" s="447">
        <f>MONTH(Advices[[#This Row],[Transaction Date]])</f>
        <v>11</v>
      </c>
      <c r="Q593" s="447">
        <f>YEAR(Advices[[#This Row],[Transaction Date]])</f>
        <v>2025</v>
      </c>
      <c r="R593" s="1"/>
    </row>
    <row r="594" spans="1:18" hidden="1" x14ac:dyDescent="0.25">
      <c r="A594" s="1" t="s">
        <v>62</v>
      </c>
      <c r="B594" s="178">
        <v>45967</v>
      </c>
      <c r="C594" s="1" t="s">
        <v>2039</v>
      </c>
      <c r="D594" s="1" t="s">
        <v>2597</v>
      </c>
      <c r="E594" s="1" t="s">
        <v>1903</v>
      </c>
      <c r="F594" s="1" t="s">
        <v>2041</v>
      </c>
      <c r="G594" s="1" t="s">
        <v>26</v>
      </c>
      <c r="H594" s="13">
        <v>5031.25</v>
      </c>
      <c r="I594" s="13">
        <v>0</v>
      </c>
      <c r="J594" s="1" t="s">
        <v>2041</v>
      </c>
      <c r="K594" s="1" t="s">
        <v>2025</v>
      </c>
      <c r="L594" s="1" t="str">
        <f>VLOOKUP(Advices[[#This Row],[LC Number]],'Combine_List'!A:D,2,0)</f>
        <v>Bid - King Salman International Airport Development Company</v>
      </c>
      <c r="M594" s="447" t="str">
        <f>VLOOKUP(Advices[[#This Row],[LC Number]],'Combine_List'!A:D,3,0)</f>
        <v>MBL</v>
      </c>
      <c r="N594" s="447">
        <f>VLOOKUP(Advices[[#This Row],[LC Number]],'Combine_List'!A:D,4,0)</f>
        <v>0</v>
      </c>
      <c r="O594" s="447" t="str">
        <f>VLOOKUP(Advices[[#This Row],[LC Number]],'Combine_List'!A:E,5,0)</f>
        <v>0</v>
      </c>
      <c r="P594" s="447">
        <f>MONTH(Advices[[#This Row],[Transaction Date]])</f>
        <v>11</v>
      </c>
      <c r="Q594" s="447">
        <f>YEAR(Advices[[#This Row],[Transaction Date]])</f>
        <v>2025</v>
      </c>
      <c r="R594" s="1"/>
    </row>
    <row r="595" spans="1:18" hidden="1" x14ac:dyDescent="0.25">
      <c r="A595" s="1" t="s">
        <v>62</v>
      </c>
      <c r="B595" s="178">
        <v>45970</v>
      </c>
      <c r="C595" s="1" t="s">
        <v>2042</v>
      </c>
      <c r="D595" s="1" t="s">
        <v>2598</v>
      </c>
      <c r="E595" s="1" t="s">
        <v>1082</v>
      </c>
      <c r="F595" s="1" t="s">
        <v>2041</v>
      </c>
      <c r="G595" s="1" t="s">
        <v>26</v>
      </c>
      <c r="H595" s="13">
        <v>12541.9</v>
      </c>
      <c r="I595" s="13">
        <v>0</v>
      </c>
      <c r="J595" s="1" t="s">
        <v>2041</v>
      </c>
      <c r="K595" s="1" t="s">
        <v>2025</v>
      </c>
      <c r="L595" s="1" t="str">
        <f>VLOOKUP(Advices[[#This Row],[LC Number]],'Combine_List'!A:D,2,0)</f>
        <v xml:space="preserve">Advance - JEDDAH CENTRAL DEVELOPMENT COMPANY (JCD) </v>
      </c>
      <c r="M595" s="447">
        <f>VLOOKUP(Advices[[#This Row],[LC Number]],'Combine_List'!A:D,3,0)</f>
        <v>0</v>
      </c>
      <c r="N595" s="447" t="str">
        <f>VLOOKUP(Advices[[#This Row],[LC Number]],'Combine_List'!A:D,4,0)</f>
        <v>JCD</v>
      </c>
      <c r="O595" s="447" t="str">
        <f>VLOOKUP(Advices[[#This Row],[LC Number]],'Combine_List'!A:E,5,0)</f>
        <v>1020100</v>
      </c>
      <c r="P595" s="447">
        <f>MONTH(Advices[[#This Row],[Transaction Date]])</f>
        <v>11</v>
      </c>
      <c r="Q595" s="447">
        <f>YEAR(Advices[[#This Row],[Transaction Date]])</f>
        <v>2025</v>
      </c>
      <c r="R595" s="1"/>
    </row>
    <row r="596" spans="1:18" hidden="1" x14ac:dyDescent="0.25">
      <c r="A596" s="1" t="s">
        <v>62</v>
      </c>
      <c r="B596" s="178">
        <v>45970</v>
      </c>
      <c r="C596" s="1" t="s">
        <v>2042</v>
      </c>
      <c r="D596" s="1" t="s">
        <v>2599</v>
      </c>
      <c r="E596" s="1" t="s">
        <v>306</v>
      </c>
      <c r="F596" s="1" t="s">
        <v>2041</v>
      </c>
      <c r="G596" s="1" t="s">
        <v>26</v>
      </c>
      <c r="H596" s="13">
        <v>268.81</v>
      </c>
      <c r="I596" s="13">
        <v>0</v>
      </c>
      <c r="J596" s="1" t="s">
        <v>2041</v>
      </c>
      <c r="K596" s="1" t="s">
        <v>2025</v>
      </c>
      <c r="L596" s="1" t="str">
        <f>VLOOKUP(Advices[[#This Row],[LC Number]],'Combine_List'!A:D,2,0)</f>
        <v>ATELIER HOSPITALITY SRL</v>
      </c>
      <c r="M596" s="447" t="str">
        <f>VLOOKUP(Advices[[#This Row],[LC Number]],'Combine_List'!A:D,3,0)</f>
        <v>MBL</v>
      </c>
      <c r="N596" s="447" t="str">
        <f>VLOOKUP(Advices[[#This Row],[LC Number]],'Combine_List'!A:D,4,0)</f>
        <v>L01-YAMMAMA</v>
      </c>
      <c r="O596" s="447">
        <f>VLOOKUP(Advices[[#This Row],[LC Number]],'Combine_List'!A:E,5,0)</f>
        <v>1020015</v>
      </c>
      <c r="P596" s="447">
        <f>MONTH(Advices[[#This Row],[Transaction Date]])</f>
        <v>11</v>
      </c>
      <c r="Q596" s="447">
        <f>YEAR(Advices[[#This Row],[Transaction Date]])</f>
        <v>2025</v>
      </c>
      <c r="R596" s="1"/>
    </row>
    <row r="597" spans="1:18" hidden="1" x14ac:dyDescent="0.25">
      <c r="A597" s="1" t="s">
        <v>95</v>
      </c>
      <c r="B597" s="178">
        <v>45967</v>
      </c>
      <c r="C597" s="1" t="s">
        <v>2026</v>
      </c>
      <c r="D597" s="1" t="s">
        <v>2600</v>
      </c>
      <c r="E597" s="1" t="s">
        <v>2562</v>
      </c>
      <c r="F597" s="1" t="s">
        <v>2601</v>
      </c>
      <c r="G597" s="1" t="s">
        <v>26</v>
      </c>
      <c r="H597" s="13">
        <v>27346.13</v>
      </c>
      <c r="I597" s="13">
        <v>0</v>
      </c>
      <c r="J597" s="1" t="s">
        <v>2380</v>
      </c>
      <c r="K597" s="1" t="s">
        <v>2025</v>
      </c>
      <c r="L597" s="1" t="str">
        <f>VLOOKUP(Advices[[#This Row],[LC Number]],'Combine_List'!A:D,2,0)</f>
        <v>ALNAFIE METAL INDUSTRIES CO LTD</v>
      </c>
      <c r="M597" s="447" t="str">
        <f>VLOOKUP(Advices[[#This Row],[LC Number]],'Combine_List'!A:D,3,0)</f>
        <v>MBL/AICS</v>
      </c>
      <c r="N597" s="447" t="str">
        <f>VLOOKUP(Advices[[#This Row],[LC Number]],'Combine_List'!A:D,4,0)</f>
        <v>OPERA House</v>
      </c>
      <c r="O597" s="447">
        <f>VLOOKUP(Advices[[#This Row],[LC Number]],'Combine_List'!A:E,5,0)</f>
        <v>1020097</v>
      </c>
      <c r="P597" s="447">
        <f>MONTH(Advices[[#This Row],[Transaction Date]])</f>
        <v>11</v>
      </c>
      <c r="Q597" s="447">
        <f>YEAR(Advices[[#This Row],[Transaction Date]])</f>
        <v>2025</v>
      </c>
      <c r="R597" s="1"/>
    </row>
    <row r="598" spans="1:18" hidden="1" x14ac:dyDescent="0.25">
      <c r="A598" s="1" t="s">
        <v>95</v>
      </c>
      <c r="B598" s="178">
        <v>45967</v>
      </c>
      <c r="C598" s="1" t="s">
        <v>2026</v>
      </c>
      <c r="D598" s="1" t="s">
        <v>2602</v>
      </c>
      <c r="E598" s="1" t="s">
        <v>1446</v>
      </c>
      <c r="F598" s="1" t="s">
        <v>2603</v>
      </c>
      <c r="G598" s="1" t="s">
        <v>26</v>
      </c>
      <c r="H598" s="13">
        <v>386952</v>
      </c>
      <c r="I598" s="13">
        <v>0</v>
      </c>
      <c r="J598" s="1" t="s">
        <v>1126</v>
      </c>
      <c r="K598" s="1" t="s">
        <v>2025</v>
      </c>
      <c r="L598" s="1" t="str">
        <f>VLOOKUP(Advices[[#This Row],[LC Number]],'Combine_List'!A:D,2,0)</f>
        <v>Al Arabia Construction &amp; Building Co.</v>
      </c>
      <c r="M598" s="447" t="str">
        <f>VLOOKUP(Advices[[#This Row],[LC Number]],'Combine_List'!A:D,3,0)</f>
        <v>MBL</v>
      </c>
      <c r="N598" s="447" t="str">
        <f>VLOOKUP(Advices[[#This Row],[LC Number]],'Combine_List'!A:D,4,0)</f>
        <v>Rabigh Power Plant</v>
      </c>
      <c r="O598" s="447">
        <f>VLOOKUP(Advices[[#This Row],[LC Number]],'Combine_List'!A:E,5,0)</f>
        <v>1020107</v>
      </c>
      <c r="P598" s="447">
        <f>MONTH(Advices[[#This Row],[Transaction Date]])</f>
        <v>11</v>
      </c>
      <c r="Q598" s="447">
        <f>YEAR(Advices[[#This Row],[Transaction Date]])</f>
        <v>2025</v>
      </c>
      <c r="R598" s="1"/>
    </row>
    <row r="599" spans="1:18" hidden="1" x14ac:dyDescent="0.25">
      <c r="A599" s="1" t="s">
        <v>366</v>
      </c>
      <c r="B599" s="178">
        <v>45967</v>
      </c>
      <c r="C599" s="1" t="s">
        <v>2057</v>
      </c>
      <c r="D599" s="1" t="s">
        <v>2604</v>
      </c>
      <c r="E599" s="1" t="s">
        <v>1733</v>
      </c>
      <c r="F599" s="1" t="s">
        <v>3497</v>
      </c>
      <c r="G599" s="1" t="s">
        <v>26</v>
      </c>
      <c r="H599" s="13">
        <v>600000</v>
      </c>
      <c r="I599" s="13">
        <v>0</v>
      </c>
      <c r="J599" s="1" t="s">
        <v>2041</v>
      </c>
      <c r="K599" s="1" t="s">
        <v>2025</v>
      </c>
      <c r="L599" s="1" t="str">
        <f>VLOOKUP(Advices[[#This Row],[LC Number]],'Combine_List'!A:D,2,0)</f>
        <v>MARIAM TRADING CO &amp; PARTNER</v>
      </c>
      <c r="M599" s="447" t="str">
        <f>VLOOKUP(Advices[[#This Row],[LC Number]],'Combine_List'!A:D,3,0)</f>
        <v>FIRST FIX</v>
      </c>
      <c r="N599" s="447" t="str">
        <f>VLOOKUP(Advices[[#This Row],[LC Number]],'Combine_List'!A:D,4,0)</f>
        <v>CEER</v>
      </c>
      <c r="O599" s="447">
        <f>VLOOKUP(Advices[[#This Row],[LC Number]],'Combine_List'!A:E,5,0)</f>
        <v>1020091</v>
      </c>
      <c r="P599" s="447">
        <f>MONTH(Advices[[#This Row],[Transaction Date]])</f>
        <v>11</v>
      </c>
      <c r="Q599" s="447">
        <f>YEAR(Advices[[#This Row],[Transaction Date]])</f>
        <v>2025</v>
      </c>
      <c r="R599" s="1"/>
    </row>
    <row r="600" spans="1:18" hidden="1" x14ac:dyDescent="0.25">
      <c r="A600" s="1" t="s">
        <v>366</v>
      </c>
      <c r="B600" s="178">
        <v>45967</v>
      </c>
      <c r="C600" s="1" t="s">
        <v>2057</v>
      </c>
      <c r="D600" s="1" t="s">
        <v>2605</v>
      </c>
      <c r="E600" s="1" t="s">
        <v>1652</v>
      </c>
      <c r="F600" s="1" t="s">
        <v>3440</v>
      </c>
      <c r="G600" s="1" t="s">
        <v>26</v>
      </c>
      <c r="H600" s="13">
        <v>419.08</v>
      </c>
      <c r="I600" s="13">
        <v>0</v>
      </c>
      <c r="J600" s="1" t="s">
        <v>2041</v>
      </c>
      <c r="K600" s="1" t="s">
        <v>2025</v>
      </c>
      <c r="L600" s="1" t="str">
        <f>VLOOKUP(Advices[[#This Row],[LC Number]],'Combine_List'!A:D,2,0)</f>
        <v>Riyadh Unity for Trading</v>
      </c>
      <c r="M600" s="447" t="str">
        <f>VLOOKUP(Advices[[#This Row],[LC Number]],'Combine_List'!A:D,3,0)</f>
        <v>FIRST FIX</v>
      </c>
      <c r="N600" s="447" t="str">
        <f>VLOOKUP(Advices[[#This Row],[LC Number]],'Combine_List'!A:D,4,0)</f>
        <v>CEER</v>
      </c>
      <c r="O600" s="447">
        <f>VLOOKUP(Advices[[#This Row],[LC Number]],'Combine_List'!A:E,5,0)</f>
        <v>1020091</v>
      </c>
      <c r="P600" s="447">
        <f>MONTH(Advices[[#This Row],[Transaction Date]])</f>
        <v>11</v>
      </c>
      <c r="Q600" s="447">
        <f>YEAR(Advices[[#This Row],[Transaction Date]])</f>
        <v>2025</v>
      </c>
      <c r="R600" s="1"/>
    </row>
    <row r="601" spans="1:18" hidden="1" x14ac:dyDescent="0.25">
      <c r="A601" s="1" t="s">
        <v>366</v>
      </c>
      <c r="B601" s="178">
        <v>45967</v>
      </c>
      <c r="C601" s="1" t="s">
        <v>2060</v>
      </c>
      <c r="D601" s="1" t="s">
        <v>2606</v>
      </c>
      <c r="E601" s="1" t="s">
        <v>1731</v>
      </c>
      <c r="F601" s="1" t="s">
        <v>3441</v>
      </c>
      <c r="G601" s="1" t="s">
        <v>26</v>
      </c>
      <c r="H601" s="13">
        <v>6964.15</v>
      </c>
      <c r="I601" s="13">
        <v>0</v>
      </c>
      <c r="J601" s="1" t="s">
        <v>2041</v>
      </c>
      <c r="K601" s="1" t="s">
        <v>2025</v>
      </c>
      <c r="L601" s="1" t="str">
        <f>VLOOKUP(Advices[[#This Row],[LC Number]],'Combine_List'!A:D,2,0)</f>
        <v>GIBCA Furniture Industry Co Ltd</v>
      </c>
      <c r="M601" s="447" t="str">
        <f>VLOOKUP(Advices[[#This Row],[LC Number]],'Combine_List'!A:D,3,0)</f>
        <v>MBL</v>
      </c>
      <c r="N601" s="447" t="str">
        <f>VLOOKUP(Advices[[#This Row],[LC Number]],'Combine_List'!A:D,4,0)</f>
        <v>ABHA</v>
      </c>
      <c r="O601" s="447">
        <f>VLOOKUP(Advices[[#This Row],[LC Number]],'Combine_List'!A:E,5,0)</f>
        <v>1020070</v>
      </c>
      <c r="P601" s="447">
        <f>MONTH(Advices[[#This Row],[Transaction Date]])</f>
        <v>11</v>
      </c>
      <c r="Q601" s="447">
        <f>YEAR(Advices[[#This Row],[Transaction Date]])</f>
        <v>2025</v>
      </c>
      <c r="R601" s="1"/>
    </row>
    <row r="602" spans="1:18" hidden="1" x14ac:dyDescent="0.25">
      <c r="A602" s="1" t="s">
        <v>366</v>
      </c>
      <c r="B602" s="178">
        <v>45967</v>
      </c>
      <c r="C602" s="1" t="s">
        <v>2060</v>
      </c>
      <c r="D602" s="1" t="s">
        <v>2607</v>
      </c>
      <c r="E602" s="1" t="s">
        <v>1897</v>
      </c>
      <c r="F602" s="1" t="s">
        <v>3442</v>
      </c>
      <c r="G602" s="1" t="s">
        <v>26</v>
      </c>
      <c r="H602" s="13">
        <v>2587.0700000000002</v>
      </c>
      <c r="I602" s="13">
        <v>0</v>
      </c>
      <c r="J602" s="1" t="s">
        <v>2041</v>
      </c>
      <c r="K602" s="1" t="s">
        <v>2025</v>
      </c>
      <c r="L602" s="1" t="str">
        <f>VLOOKUP(Advices[[#This Row],[LC Number]],'Combine_List'!A:D,2,0)</f>
        <v xml:space="preserve">National Marketing Est. Co. Ltd. </v>
      </c>
      <c r="M602" s="447" t="str">
        <f>VLOOKUP(Advices[[#This Row],[LC Number]],'Combine_List'!A:D,3,0)</f>
        <v>FIRST FIX</v>
      </c>
      <c r="N602" s="447" t="str">
        <f>VLOOKUP(Advices[[#This Row],[LC Number]],'Combine_List'!A:D,4,0)</f>
        <v>MP1</v>
      </c>
      <c r="O602" s="447">
        <f>VLOOKUP(Advices[[#This Row],[LC Number]],'Combine_List'!A:E,5,0)</f>
        <v>1020088</v>
      </c>
      <c r="P602" s="447">
        <f>MONTH(Advices[[#This Row],[Transaction Date]])</f>
        <v>11</v>
      </c>
      <c r="Q602" s="447">
        <f>YEAR(Advices[[#This Row],[Transaction Date]])</f>
        <v>2025</v>
      </c>
      <c r="R602" s="1"/>
    </row>
    <row r="603" spans="1:18" hidden="1" x14ac:dyDescent="0.25">
      <c r="A603" s="1" t="s">
        <v>366</v>
      </c>
      <c r="B603" s="178">
        <v>45967</v>
      </c>
      <c r="C603" s="1" t="s">
        <v>2060</v>
      </c>
      <c r="D603" s="1" t="s">
        <v>2608</v>
      </c>
      <c r="E603" s="1" t="s">
        <v>1434</v>
      </c>
      <c r="F603" s="1" t="s">
        <v>3498</v>
      </c>
      <c r="G603" s="1" t="s">
        <v>26</v>
      </c>
      <c r="H603" s="13">
        <v>779721.04</v>
      </c>
      <c r="I603" s="13">
        <v>0</v>
      </c>
      <c r="J603" s="1" t="s">
        <v>2041</v>
      </c>
      <c r="K603" s="1" t="s">
        <v>2025</v>
      </c>
      <c r="L603" s="1" t="str">
        <f>VLOOKUP(Advices[[#This Row],[LC Number]],'Combine_List'!A:D,2,0)</f>
        <v>Brooq Al-Amaan Trading Company</v>
      </c>
      <c r="M603" s="447" t="str">
        <f>VLOOKUP(Advices[[#This Row],[LC Number]],'Combine_List'!A:D,3,0)</f>
        <v>FIRST FIX</v>
      </c>
      <c r="N603" s="447" t="str">
        <f>VLOOKUP(Advices[[#This Row],[LC Number]],'Combine_List'!A:D,4,0)</f>
        <v>MP1</v>
      </c>
      <c r="O603" s="447">
        <f>VLOOKUP(Advices[[#This Row],[LC Number]],'Combine_List'!A:E,5,0)</f>
        <v>1020088</v>
      </c>
      <c r="P603" s="447">
        <f>MONTH(Advices[[#This Row],[Transaction Date]])</f>
        <v>11</v>
      </c>
      <c r="Q603" s="447">
        <f>YEAR(Advices[[#This Row],[Transaction Date]])</f>
        <v>2025</v>
      </c>
      <c r="R603" s="1"/>
    </row>
    <row r="604" spans="1:18" hidden="1" x14ac:dyDescent="0.25">
      <c r="A604" s="1" t="s">
        <v>366</v>
      </c>
      <c r="B604" s="178">
        <v>45967</v>
      </c>
      <c r="C604" s="1" t="s">
        <v>2057</v>
      </c>
      <c r="D604" s="1" t="s">
        <v>2609</v>
      </c>
      <c r="E604" s="1" t="s">
        <v>1674</v>
      </c>
      <c r="F604" s="1" t="s">
        <v>3443</v>
      </c>
      <c r="G604" s="1" t="s">
        <v>26</v>
      </c>
      <c r="H604" s="13">
        <v>320.02</v>
      </c>
      <c r="I604" s="13">
        <v>0</v>
      </c>
      <c r="J604" s="1" t="s">
        <v>2041</v>
      </c>
      <c r="K604" s="1" t="s">
        <v>2025</v>
      </c>
      <c r="L604" s="1" t="str">
        <f>VLOOKUP(Advices[[#This Row],[LC Number]],'Combine_List'!A:D,2,0)</f>
        <v>AL-RIYADHA AL-OULA FOR INDUSTRIAL MATERIAL SUPPLY CO.</v>
      </c>
      <c r="M604" s="447" t="str">
        <f>VLOOKUP(Advices[[#This Row],[LC Number]],'Combine_List'!A:D,3,0)</f>
        <v>FIRST FIX</v>
      </c>
      <c r="N604" s="447" t="str">
        <f>VLOOKUP(Advices[[#This Row],[LC Number]],'Combine_List'!A:D,4,0)</f>
        <v>CEER</v>
      </c>
      <c r="O604" s="447">
        <f>VLOOKUP(Advices[[#This Row],[LC Number]],'Combine_List'!A:E,5,0)</f>
        <v>1020091</v>
      </c>
      <c r="P604" s="447">
        <f>MONTH(Advices[[#This Row],[Transaction Date]])</f>
        <v>11</v>
      </c>
      <c r="Q604" s="447">
        <f>YEAR(Advices[[#This Row],[Transaction Date]])</f>
        <v>2025</v>
      </c>
      <c r="R604" s="1"/>
    </row>
    <row r="605" spans="1:18" hidden="1" x14ac:dyDescent="0.25">
      <c r="A605" s="1" t="s">
        <v>366</v>
      </c>
      <c r="B605" s="178">
        <v>45970</v>
      </c>
      <c r="C605" s="1" t="s">
        <v>2057</v>
      </c>
      <c r="D605" s="1" t="s">
        <v>2610</v>
      </c>
      <c r="E605" s="1" t="s">
        <v>1637</v>
      </c>
      <c r="F605" s="1" t="s">
        <v>3444</v>
      </c>
      <c r="G605" s="1" t="s">
        <v>26</v>
      </c>
      <c r="H605" s="13">
        <v>22339.93</v>
      </c>
      <c r="I605" s="13">
        <v>0</v>
      </c>
      <c r="J605" s="1" t="s">
        <v>2041</v>
      </c>
      <c r="K605" s="1" t="s">
        <v>2025</v>
      </c>
      <c r="L605" s="1" t="str">
        <f>VLOOKUP(Advices[[#This Row],[LC Number]],'Combine_List'!A:D,2,0)</f>
        <v>The Fundamental Installation For Electric Work Co</v>
      </c>
      <c r="M605" s="447" t="str">
        <f>VLOOKUP(Advices[[#This Row],[LC Number]],'Combine_List'!A:D,3,0)</f>
        <v>FIRST FIX</v>
      </c>
      <c r="N605" s="447" t="str">
        <f>VLOOKUP(Advices[[#This Row],[LC Number]],'Combine_List'!A:D,4,0)</f>
        <v>CEER</v>
      </c>
      <c r="O605" s="447">
        <f>VLOOKUP(Advices[[#This Row],[LC Number]],'Combine_List'!A:E,5,0)</f>
        <v>1020091</v>
      </c>
      <c r="P605" s="447">
        <f>MONTH(Advices[[#This Row],[Transaction Date]])</f>
        <v>11</v>
      </c>
      <c r="Q605" s="447">
        <f>YEAR(Advices[[#This Row],[Transaction Date]])</f>
        <v>2025</v>
      </c>
      <c r="R605" s="1"/>
    </row>
    <row r="606" spans="1:18" hidden="1" x14ac:dyDescent="0.25">
      <c r="A606" s="1" t="s">
        <v>366</v>
      </c>
      <c r="B606" s="178">
        <v>45970</v>
      </c>
      <c r="C606" s="1" t="s">
        <v>2060</v>
      </c>
      <c r="D606" s="1" t="s">
        <v>2611</v>
      </c>
      <c r="E606" s="1" t="s">
        <v>1441</v>
      </c>
      <c r="F606" s="1" t="s">
        <v>3499</v>
      </c>
      <c r="G606" s="1" t="s">
        <v>26</v>
      </c>
      <c r="H606" s="13">
        <v>500000</v>
      </c>
      <c r="I606" s="13">
        <v>0</v>
      </c>
      <c r="J606" s="1" t="s">
        <v>2041</v>
      </c>
      <c r="K606" s="1" t="s">
        <v>2025</v>
      </c>
      <c r="L606" s="1" t="str">
        <f>VLOOKUP(Advices[[#This Row],[LC Number]],'Combine_List'!A:D,2,0)</f>
        <v>Ajzal United for Safety CO.LTD.</v>
      </c>
      <c r="M606" s="447" t="str">
        <f>VLOOKUP(Advices[[#This Row],[LC Number]],'Combine_List'!A:D,3,0)</f>
        <v>FIRST FIX</v>
      </c>
      <c r="N606" s="447" t="str">
        <f>VLOOKUP(Advices[[#This Row],[LC Number]],'Combine_List'!A:D,4,0)</f>
        <v>MP1</v>
      </c>
      <c r="O606" s="447">
        <f>VLOOKUP(Advices[[#This Row],[LC Number]],'Combine_List'!A:E,5,0)</f>
        <v>1020088</v>
      </c>
      <c r="P606" s="447">
        <f>MONTH(Advices[[#This Row],[Transaction Date]])</f>
        <v>11</v>
      </c>
      <c r="Q606" s="447">
        <f>YEAR(Advices[[#This Row],[Transaction Date]])</f>
        <v>2025</v>
      </c>
      <c r="R606" s="1"/>
    </row>
    <row r="607" spans="1:18" hidden="1" x14ac:dyDescent="0.25">
      <c r="A607" s="1" t="s">
        <v>366</v>
      </c>
      <c r="B607" s="178">
        <v>45970</v>
      </c>
      <c r="C607" s="1" t="s">
        <v>2060</v>
      </c>
      <c r="D607" s="1" t="s">
        <v>2612</v>
      </c>
      <c r="E607" s="1" t="s">
        <v>778</v>
      </c>
      <c r="F607" s="1" t="s">
        <v>3408</v>
      </c>
      <c r="G607" s="1" t="s">
        <v>26</v>
      </c>
      <c r="H607" s="13">
        <v>267233.01</v>
      </c>
      <c r="I607" s="13">
        <v>0</v>
      </c>
      <c r="J607" s="1" t="s">
        <v>2041</v>
      </c>
      <c r="K607" s="1" t="s">
        <v>2025</v>
      </c>
      <c r="L607" s="1" t="str">
        <f>VLOOKUP(Advices[[#This Row],[LC Number]],'Combine_List'!A:D,2,0)</f>
        <v>Alfanar Electrical Systems</v>
      </c>
      <c r="M607" s="447" t="str">
        <f>VLOOKUP(Advices[[#This Row],[LC Number]],'Combine_List'!A:D,3,0)</f>
        <v>FIRST FIX</v>
      </c>
      <c r="N607" s="447" t="str">
        <f>VLOOKUP(Advices[[#This Row],[LC Number]],'Combine_List'!A:D,4,0)</f>
        <v>MP1</v>
      </c>
      <c r="O607" s="447">
        <f>VLOOKUP(Advices[[#This Row],[LC Number]],'Combine_List'!A:E,5,0)</f>
        <v>1020088</v>
      </c>
      <c r="P607" s="447">
        <f>MONTH(Advices[[#This Row],[Transaction Date]])</f>
        <v>11</v>
      </c>
      <c r="Q607" s="447">
        <f>YEAR(Advices[[#This Row],[Transaction Date]])</f>
        <v>2025</v>
      </c>
      <c r="R607" s="1"/>
    </row>
    <row r="608" spans="1:18" hidden="1" x14ac:dyDescent="0.25">
      <c r="A608" s="1" t="s">
        <v>366</v>
      </c>
      <c r="B608" s="178">
        <v>45970</v>
      </c>
      <c r="C608" s="1" t="s">
        <v>2060</v>
      </c>
      <c r="D608" s="1" t="s">
        <v>2613</v>
      </c>
      <c r="E608" s="1" t="s">
        <v>1817</v>
      </c>
      <c r="F608" s="1" t="s">
        <v>3445</v>
      </c>
      <c r="G608" s="1" t="s">
        <v>26</v>
      </c>
      <c r="H608" s="13">
        <v>5089.59</v>
      </c>
      <c r="I608" s="13">
        <v>0</v>
      </c>
      <c r="J608" s="1" t="s">
        <v>2041</v>
      </c>
      <c r="K608" s="1" t="s">
        <v>2025</v>
      </c>
      <c r="L608" s="1" t="str">
        <f>VLOOKUP(Advices[[#This Row],[LC Number]],'Combine_List'!A:D,2,0)</f>
        <v>Safid Co. Ltd</v>
      </c>
      <c r="M608" s="447" t="str">
        <f>VLOOKUP(Advices[[#This Row],[LC Number]],'Combine_List'!A:D,3,0)</f>
        <v>MBL/ICAD</v>
      </c>
      <c r="N608" s="447" t="str">
        <f>VLOOKUP(Advices[[#This Row],[LC Number]],'Combine_List'!A:D,4,0)</f>
        <v>ABHA</v>
      </c>
      <c r="O608" s="447">
        <f>VLOOKUP(Advices[[#This Row],[LC Number]],'Combine_List'!A:E,5,0)</f>
        <v>1020070</v>
      </c>
      <c r="P608" s="447">
        <f>MONTH(Advices[[#This Row],[Transaction Date]])</f>
        <v>11</v>
      </c>
      <c r="Q608" s="447">
        <f>YEAR(Advices[[#This Row],[Transaction Date]])</f>
        <v>2025</v>
      </c>
      <c r="R608" s="1"/>
    </row>
    <row r="609" spans="1:18" hidden="1" x14ac:dyDescent="0.25">
      <c r="A609" s="1" t="s">
        <v>2089</v>
      </c>
      <c r="B609" s="178">
        <v>45970</v>
      </c>
      <c r="C609" s="1" t="s">
        <v>2093</v>
      </c>
      <c r="D609" s="1" t="s">
        <v>2096</v>
      </c>
      <c r="E609" s="1" t="s">
        <v>1328</v>
      </c>
      <c r="F609" s="1" t="s">
        <v>2614</v>
      </c>
      <c r="G609" s="1" t="s">
        <v>26</v>
      </c>
      <c r="H609" s="13">
        <v>4806.21</v>
      </c>
      <c r="I609" s="13">
        <v>0</v>
      </c>
      <c r="J609" s="1" t="s">
        <v>2041</v>
      </c>
      <c r="K609" s="1" t="s">
        <v>2025</v>
      </c>
      <c r="L609" s="1" t="str">
        <f>VLOOKUP(Advices[[#This Row],[LC Number]],'Combine_List'!A:D,2,0)</f>
        <v>Electric House Trading Company L.L.C.</v>
      </c>
      <c r="M609" s="447" t="str">
        <f>VLOOKUP(Advices[[#This Row],[LC Number]],'Combine_List'!A:D,3,0)</f>
        <v>FIRST FIX</v>
      </c>
      <c r="N609" s="447" t="str">
        <f>VLOOKUP(Advices[[#This Row],[LC Number]],'Combine_List'!A:D,4,0)</f>
        <v>KSP</v>
      </c>
      <c r="O609" s="447">
        <f>VLOOKUP(Advices[[#This Row],[LC Number]],'Combine_List'!A:E,5,0)</f>
        <v>1020055</v>
      </c>
      <c r="P609" s="447">
        <f>MONTH(Advices[[#This Row],[Transaction Date]])</f>
        <v>11</v>
      </c>
      <c r="Q609" s="447">
        <f>YEAR(Advices[[#This Row],[Transaction Date]])</f>
        <v>2025</v>
      </c>
      <c r="R609" s="1"/>
    </row>
    <row r="610" spans="1:18" hidden="1" x14ac:dyDescent="0.25">
      <c r="A610" s="1" t="s">
        <v>2089</v>
      </c>
      <c r="B610" s="178">
        <v>45970</v>
      </c>
      <c r="C610" s="1" t="s">
        <v>2093</v>
      </c>
      <c r="D610" s="1" t="s">
        <v>1174</v>
      </c>
      <c r="E610" s="1" t="s">
        <v>1328</v>
      </c>
      <c r="F610" s="1" t="s">
        <v>2614</v>
      </c>
      <c r="G610" s="1" t="s">
        <v>26</v>
      </c>
      <c r="H610" s="13">
        <v>720.93</v>
      </c>
      <c r="I610" s="13">
        <v>0</v>
      </c>
      <c r="J610" s="1" t="s">
        <v>2041</v>
      </c>
      <c r="K610" s="1" t="s">
        <v>2025</v>
      </c>
      <c r="L610" s="1" t="str">
        <f>VLOOKUP(Advices[[#This Row],[LC Number]],'Combine_List'!A:D,2,0)</f>
        <v>Electric House Trading Company L.L.C.</v>
      </c>
      <c r="M610" s="447" t="str">
        <f>VLOOKUP(Advices[[#This Row],[LC Number]],'Combine_List'!A:D,3,0)</f>
        <v>FIRST FIX</v>
      </c>
      <c r="N610" s="447" t="str">
        <f>VLOOKUP(Advices[[#This Row],[LC Number]],'Combine_List'!A:D,4,0)</f>
        <v>KSP</v>
      </c>
      <c r="O610" s="447">
        <f>VLOOKUP(Advices[[#This Row],[LC Number]],'Combine_List'!A:E,5,0)</f>
        <v>1020055</v>
      </c>
      <c r="P610" s="447">
        <f>MONTH(Advices[[#This Row],[Transaction Date]])</f>
        <v>11</v>
      </c>
      <c r="Q610" s="447">
        <f>YEAR(Advices[[#This Row],[Transaction Date]])</f>
        <v>2025</v>
      </c>
      <c r="R610" s="1"/>
    </row>
    <row r="611" spans="1:18" hidden="1" x14ac:dyDescent="0.25">
      <c r="A611" s="1" t="s">
        <v>2089</v>
      </c>
      <c r="B611" s="178">
        <v>45970</v>
      </c>
      <c r="C611" s="1" t="s">
        <v>2093</v>
      </c>
      <c r="D611" s="1" t="s">
        <v>2095</v>
      </c>
      <c r="E611" s="1" t="s">
        <v>1328</v>
      </c>
      <c r="F611" s="1" t="s">
        <v>2614</v>
      </c>
      <c r="G611" s="1" t="s">
        <v>26</v>
      </c>
      <c r="H611" s="13">
        <v>150</v>
      </c>
      <c r="I611" s="13">
        <v>0</v>
      </c>
      <c r="J611" s="1" t="s">
        <v>2041</v>
      </c>
      <c r="K611" s="1" t="s">
        <v>2025</v>
      </c>
      <c r="L611" s="1" t="str">
        <f>VLOOKUP(Advices[[#This Row],[LC Number]],'Combine_List'!A:D,2,0)</f>
        <v>Electric House Trading Company L.L.C.</v>
      </c>
      <c r="M611" s="447" t="str">
        <f>VLOOKUP(Advices[[#This Row],[LC Number]],'Combine_List'!A:D,3,0)</f>
        <v>FIRST FIX</v>
      </c>
      <c r="N611" s="447" t="str">
        <f>VLOOKUP(Advices[[#This Row],[LC Number]],'Combine_List'!A:D,4,0)</f>
        <v>KSP</v>
      </c>
      <c r="O611" s="447">
        <f>VLOOKUP(Advices[[#This Row],[LC Number]],'Combine_List'!A:E,5,0)</f>
        <v>1020055</v>
      </c>
      <c r="P611" s="447">
        <f>MONTH(Advices[[#This Row],[Transaction Date]])</f>
        <v>11</v>
      </c>
      <c r="Q611" s="447">
        <f>YEAR(Advices[[#This Row],[Transaction Date]])</f>
        <v>2025</v>
      </c>
      <c r="R611" s="1"/>
    </row>
    <row r="612" spans="1:18" hidden="1" x14ac:dyDescent="0.25">
      <c r="A612" s="1" t="s">
        <v>2089</v>
      </c>
      <c r="B612" s="178">
        <v>45970</v>
      </c>
      <c r="C612" s="1" t="s">
        <v>2093</v>
      </c>
      <c r="D612" s="1" t="s">
        <v>1174</v>
      </c>
      <c r="E612" s="1" t="s">
        <v>1328</v>
      </c>
      <c r="F612" s="1" t="s">
        <v>2614</v>
      </c>
      <c r="G612" s="1" t="s">
        <v>26</v>
      </c>
      <c r="H612" s="13">
        <v>22.5</v>
      </c>
      <c r="I612" s="13">
        <v>0</v>
      </c>
      <c r="J612" s="1" t="s">
        <v>2041</v>
      </c>
      <c r="K612" s="1" t="s">
        <v>2025</v>
      </c>
      <c r="L612" s="1" t="str">
        <f>VLOOKUP(Advices[[#This Row],[LC Number]],'Combine_List'!A:D,2,0)</f>
        <v>Electric House Trading Company L.L.C.</v>
      </c>
      <c r="M612" s="447" t="str">
        <f>VLOOKUP(Advices[[#This Row],[LC Number]],'Combine_List'!A:D,3,0)</f>
        <v>FIRST FIX</v>
      </c>
      <c r="N612" s="447" t="str">
        <f>VLOOKUP(Advices[[#This Row],[LC Number]],'Combine_List'!A:D,4,0)</f>
        <v>KSP</v>
      </c>
      <c r="O612" s="447">
        <f>VLOOKUP(Advices[[#This Row],[LC Number]],'Combine_List'!A:E,5,0)</f>
        <v>1020055</v>
      </c>
      <c r="P612" s="447">
        <f>MONTH(Advices[[#This Row],[Transaction Date]])</f>
        <v>11</v>
      </c>
      <c r="Q612" s="447">
        <f>YEAR(Advices[[#This Row],[Transaction Date]])</f>
        <v>2025</v>
      </c>
      <c r="R612" s="1"/>
    </row>
    <row r="613" spans="1:18" hidden="1" x14ac:dyDescent="0.25">
      <c r="A613" s="1" t="s">
        <v>2089</v>
      </c>
      <c r="B613" s="178">
        <v>45970</v>
      </c>
      <c r="C613" s="1" t="s">
        <v>2093</v>
      </c>
      <c r="D613" s="1" t="s">
        <v>2098</v>
      </c>
      <c r="E613" s="1" t="s">
        <v>1328</v>
      </c>
      <c r="F613" s="1" t="s">
        <v>2614</v>
      </c>
      <c r="G613" s="1" t="s">
        <v>26</v>
      </c>
      <c r="H613" s="13">
        <v>20</v>
      </c>
      <c r="I613" s="13">
        <v>0</v>
      </c>
      <c r="J613" s="1" t="s">
        <v>2041</v>
      </c>
      <c r="K613" s="1" t="s">
        <v>2025</v>
      </c>
      <c r="L613" s="1" t="str">
        <f>VLOOKUP(Advices[[#This Row],[LC Number]],'Combine_List'!A:D,2,0)</f>
        <v>Electric House Trading Company L.L.C.</v>
      </c>
      <c r="M613" s="447" t="str">
        <f>VLOOKUP(Advices[[#This Row],[LC Number]],'Combine_List'!A:D,3,0)</f>
        <v>FIRST FIX</v>
      </c>
      <c r="N613" s="447" t="str">
        <f>VLOOKUP(Advices[[#This Row],[LC Number]],'Combine_List'!A:D,4,0)</f>
        <v>KSP</v>
      </c>
      <c r="O613" s="447">
        <f>VLOOKUP(Advices[[#This Row],[LC Number]],'Combine_List'!A:E,5,0)</f>
        <v>1020055</v>
      </c>
      <c r="P613" s="447">
        <f>MONTH(Advices[[#This Row],[Transaction Date]])</f>
        <v>11</v>
      </c>
      <c r="Q613" s="447">
        <f>YEAR(Advices[[#This Row],[Transaction Date]])</f>
        <v>2025</v>
      </c>
      <c r="R613" s="1"/>
    </row>
    <row r="614" spans="1:18" hidden="1" x14ac:dyDescent="0.25">
      <c r="A614" s="1" t="s">
        <v>2089</v>
      </c>
      <c r="B614" s="178">
        <v>45970</v>
      </c>
      <c r="C614" s="1" t="s">
        <v>2093</v>
      </c>
      <c r="D614" s="1" t="s">
        <v>1174</v>
      </c>
      <c r="E614" s="1" t="s">
        <v>1328</v>
      </c>
      <c r="F614" s="1" t="s">
        <v>2614</v>
      </c>
      <c r="G614" s="1" t="s">
        <v>26</v>
      </c>
      <c r="H614" s="13">
        <v>3</v>
      </c>
      <c r="I614" s="13">
        <v>0</v>
      </c>
      <c r="J614" s="1" t="s">
        <v>2041</v>
      </c>
      <c r="K614" s="1" t="s">
        <v>2025</v>
      </c>
      <c r="L614" s="1" t="str">
        <f>VLOOKUP(Advices[[#This Row],[LC Number]],'Combine_List'!A:D,2,0)</f>
        <v>Electric House Trading Company L.L.C.</v>
      </c>
      <c r="M614" s="447" t="str">
        <f>VLOOKUP(Advices[[#This Row],[LC Number]],'Combine_List'!A:D,3,0)</f>
        <v>FIRST FIX</v>
      </c>
      <c r="N614" s="447" t="str">
        <f>VLOOKUP(Advices[[#This Row],[LC Number]],'Combine_List'!A:D,4,0)</f>
        <v>KSP</v>
      </c>
      <c r="O614" s="447">
        <f>VLOOKUP(Advices[[#This Row],[LC Number]],'Combine_List'!A:E,5,0)</f>
        <v>1020055</v>
      </c>
      <c r="P614" s="447">
        <f>MONTH(Advices[[#This Row],[Transaction Date]])</f>
        <v>11</v>
      </c>
      <c r="Q614" s="447">
        <f>YEAR(Advices[[#This Row],[Transaction Date]])</f>
        <v>2025</v>
      </c>
      <c r="R614" s="1"/>
    </row>
    <row r="615" spans="1:18" x14ac:dyDescent="0.25">
      <c r="A615" s="1" t="s">
        <v>21</v>
      </c>
      <c r="B615" s="178">
        <v>45971</v>
      </c>
      <c r="C615" s="1" t="s">
        <v>1951</v>
      </c>
      <c r="D615" s="1" t="s">
        <v>2574</v>
      </c>
      <c r="E615" s="1" t="s">
        <v>651</v>
      </c>
      <c r="F615" s="1" t="s">
        <v>651</v>
      </c>
      <c r="G615" s="1" t="s">
        <v>26</v>
      </c>
      <c r="H615" s="13">
        <v>-37.5</v>
      </c>
      <c r="I615" s="13">
        <v>0</v>
      </c>
      <c r="J615" s="1" t="s">
        <v>1174</v>
      </c>
      <c r="K615" s="1" t="s">
        <v>2025</v>
      </c>
      <c r="L615" s="1" t="str">
        <f>VLOOKUP(Advices[[#This Row],[LC Number]],'Combine_List'!A:D,2,0)</f>
        <v>AL BILAD CONCRETE PIPE CO.LTD</v>
      </c>
      <c r="M615" s="447" t="str">
        <f>VLOOKUP(Advices[[#This Row],[LC Number]],'Combine_List'!A:D,3,0)</f>
        <v>FIRST FIX</v>
      </c>
      <c r="N615" s="447" t="str">
        <f>VLOOKUP(Advices[[#This Row],[LC Number]],'Combine_List'!A:D,4,0)</f>
        <v>KSP</v>
      </c>
      <c r="O615" s="447">
        <f>VLOOKUP(Advices[[#This Row],[LC Number]],'Combine_List'!A:E,5,0)</f>
        <v>1020055</v>
      </c>
      <c r="P615" s="447">
        <f>MONTH(Advices[[#This Row],[Transaction Date]])</f>
        <v>11</v>
      </c>
      <c r="Q615" s="447">
        <f>YEAR(Advices[[#This Row],[Transaction Date]])</f>
        <v>2025</v>
      </c>
      <c r="R615" s="1"/>
    </row>
    <row r="616" spans="1:18" x14ac:dyDescent="0.25">
      <c r="A616" s="1" t="s">
        <v>21</v>
      </c>
      <c r="B616" s="178">
        <v>45971</v>
      </c>
      <c r="C616" s="1" t="s">
        <v>1951</v>
      </c>
      <c r="D616" s="1" t="s">
        <v>2574</v>
      </c>
      <c r="E616" s="1" t="s">
        <v>651</v>
      </c>
      <c r="F616" s="1" t="s">
        <v>651</v>
      </c>
      <c r="G616" s="1" t="s">
        <v>26</v>
      </c>
      <c r="H616" s="13">
        <v>-75</v>
      </c>
      <c r="I616" s="13">
        <v>0</v>
      </c>
      <c r="J616" s="1" t="s">
        <v>1174</v>
      </c>
      <c r="K616" s="1" t="s">
        <v>2025</v>
      </c>
      <c r="L616" s="1" t="str">
        <f>VLOOKUP(Advices[[#This Row],[LC Number]],'Combine_List'!A:D,2,0)</f>
        <v>AL BILAD CONCRETE PIPE CO.LTD</v>
      </c>
      <c r="M616" s="447" t="str">
        <f>VLOOKUP(Advices[[#This Row],[LC Number]],'Combine_List'!A:D,3,0)</f>
        <v>FIRST FIX</v>
      </c>
      <c r="N616" s="447" t="str">
        <f>VLOOKUP(Advices[[#This Row],[LC Number]],'Combine_List'!A:D,4,0)</f>
        <v>KSP</v>
      </c>
      <c r="O616" s="447">
        <f>VLOOKUP(Advices[[#This Row],[LC Number]],'Combine_List'!A:E,5,0)</f>
        <v>1020055</v>
      </c>
      <c r="P616" s="447">
        <f>MONTH(Advices[[#This Row],[Transaction Date]])</f>
        <v>11</v>
      </c>
      <c r="Q616" s="447">
        <f>YEAR(Advices[[#This Row],[Transaction Date]])</f>
        <v>2025</v>
      </c>
      <c r="R616" s="1"/>
    </row>
    <row r="617" spans="1:18" x14ac:dyDescent="0.25">
      <c r="A617" s="1" t="s">
        <v>21</v>
      </c>
      <c r="B617" s="178">
        <v>45971</v>
      </c>
      <c r="C617" s="1" t="s">
        <v>1951</v>
      </c>
      <c r="D617" s="1" t="s">
        <v>2630</v>
      </c>
      <c r="E617" s="1" t="s">
        <v>651</v>
      </c>
      <c r="F617" s="1" t="s">
        <v>651</v>
      </c>
      <c r="G617" s="1" t="s">
        <v>26</v>
      </c>
      <c r="H617" s="13">
        <v>-250</v>
      </c>
      <c r="I617" s="13">
        <v>0</v>
      </c>
      <c r="J617" s="1" t="s">
        <v>1963</v>
      </c>
      <c r="K617" s="1" t="s">
        <v>2025</v>
      </c>
      <c r="L617" s="1" t="str">
        <f>VLOOKUP(Advices[[#This Row],[LC Number]],'Combine_List'!A:D,2,0)</f>
        <v>AL BILAD CONCRETE PIPE CO.LTD</v>
      </c>
      <c r="M617" s="447" t="str">
        <f>VLOOKUP(Advices[[#This Row],[LC Number]],'Combine_List'!A:D,3,0)</f>
        <v>FIRST FIX</v>
      </c>
      <c r="N617" s="447" t="str">
        <f>VLOOKUP(Advices[[#This Row],[LC Number]],'Combine_List'!A:D,4,0)</f>
        <v>KSP</v>
      </c>
      <c r="O617" s="447">
        <f>VLOOKUP(Advices[[#This Row],[LC Number]],'Combine_List'!A:E,5,0)</f>
        <v>1020055</v>
      </c>
      <c r="P617" s="447">
        <f>MONTH(Advices[[#This Row],[Transaction Date]])</f>
        <v>11</v>
      </c>
      <c r="Q617" s="447">
        <f>YEAR(Advices[[#This Row],[Transaction Date]])</f>
        <v>2025</v>
      </c>
      <c r="R617" s="1"/>
    </row>
    <row r="618" spans="1:18" x14ac:dyDescent="0.25">
      <c r="A618" s="1" t="s">
        <v>21</v>
      </c>
      <c r="B618" s="178">
        <v>45971</v>
      </c>
      <c r="C618" s="1" t="s">
        <v>1951</v>
      </c>
      <c r="D618" s="1" t="s">
        <v>2631</v>
      </c>
      <c r="E618" s="1" t="s">
        <v>651</v>
      </c>
      <c r="F618" s="1" t="s">
        <v>651</v>
      </c>
      <c r="G618" s="1" t="s">
        <v>26</v>
      </c>
      <c r="H618" s="13">
        <v>-500</v>
      </c>
      <c r="I618" s="13">
        <v>0</v>
      </c>
      <c r="J618" s="1" t="s">
        <v>2616</v>
      </c>
      <c r="K618" s="1" t="s">
        <v>2025</v>
      </c>
      <c r="L618" s="1" t="str">
        <f>VLOOKUP(Advices[[#This Row],[LC Number]],'Combine_List'!A:D,2,0)</f>
        <v>AL BILAD CONCRETE PIPE CO.LTD</v>
      </c>
      <c r="M618" s="447" t="str">
        <f>VLOOKUP(Advices[[#This Row],[LC Number]],'Combine_List'!A:D,3,0)</f>
        <v>FIRST FIX</v>
      </c>
      <c r="N618" s="447" t="str">
        <f>VLOOKUP(Advices[[#This Row],[LC Number]],'Combine_List'!A:D,4,0)</f>
        <v>KSP</v>
      </c>
      <c r="O618" s="447">
        <f>VLOOKUP(Advices[[#This Row],[LC Number]],'Combine_List'!A:E,5,0)</f>
        <v>1020055</v>
      </c>
      <c r="P618" s="447">
        <f>MONTH(Advices[[#This Row],[Transaction Date]])</f>
        <v>11</v>
      </c>
      <c r="Q618" s="447">
        <f>YEAR(Advices[[#This Row],[Transaction Date]])</f>
        <v>2025</v>
      </c>
      <c r="R618" s="1"/>
    </row>
    <row r="619" spans="1:18" x14ac:dyDescent="0.25">
      <c r="A619" s="1" t="s">
        <v>21</v>
      </c>
      <c r="B619" s="178">
        <v>45971</v>
      </c>
      <c r="C619" s="1" t="s">
        <v>1951</v>
      </c>
      <c r="D619" s="1" t="s">
        <v>2574</v>
      </c>
      <c r="E619" s="1" t="s">
        <v>815</v>
      </c>
      <c r="F619" s="1" t="s">
        <v>815</v>
      </c>
      <c r="G619" s="1" t="s">
        <v>26</v>
      </c>
      <c r="H619" s="13">
        <v>-37.5</v>
      </c>
      <c r="I619" s="13">
        <v>0</v>
      </c>
      <c r="J619" s="1" t="s">
        <v>1174</v>
      </c>
      <c r="K619" s="1" t="s">
        <v>2025</v>
      </c>
      <c r="L619" s="1" t="str">
        <f>VLOOKUP(Advices[[#This Row],[LC Number]],'Combine_List'!A:D,2,0)</f>
        <v>Afaq Al Malaz Trading Co Ltd</v>
      </c>
      <c r="M619" s="447" t="str">
        <f>VLOOKUP(Advices[[#This Row],[LC Number]],'Combine_List'!A:D,3,0)</f>
        <v>FIRST FIX</v>
      </c>
      <c r="N619" s="447" t="str">
        <f>VLOOKUP(Advices[[#This Row],[LC Number]],'Combine_List'!A:D,4,0)</f>
        <v>KSP</v>
      </c>
      <c r="O619" s="447">
        <f>VLOOKUP(Advices[[#This Row],[LC Number]],'Combine_List'!A:E,5,0)</f>
        <v>1020055</v>
      </c>
      <c r="P619" s="447">
        <f>MONTH(Advices[[#This Row],[Transaction Date]])</f>
        <v>11</v>
      </c>
      <c r="Q619" s="447">
        <f>YEAR(Advices[[#This Row],[Transaction Date]])</f>
        <v>2025</v>
      </c>
      <c r="R619" s="1"/>
    </row>
    <row r="620" spans="1:18" x14ac:dyDescent="0.25">
      <c r="A620" s="1" t="s">
        <v>21</v>
      </c>
      <c r="B620" s="178">
        <v>45971</v>
      </c>
      <c r="C620" s="1" t="s">
        <v>1951</v>
      </c>
      <c r="D620" s="1" t="s">
        <v>2574</v>
      </c>
      <c r="E620" s="1" t="s">
        <v>815</v>
      </c>
      <c r="F620" s="1" t="s">
        <v>815</v>
      </c>
      <c r="G620" s="1" t="s">
        <v>26</v>
      </c>
      <c r="H620" s="13">
        <v>-75</v>
      </c>
      <c r="I620" s="13">
        <v>0</v>
      </c>
      <c r="J620" s="1" t="s">
        <v>1174</v>
      </c>
      <c r="K620" s="1" t="s">
        <v>2025</v>
      </c>
      <c r="L620" s="1" t="str">
        <f>VLOOKUP(Advices[[#This Row],[LC Number]],'Combine_List'!A:D,2,0)</f>
        <v>Afaq Al Malaz Trading Co Ltd</v>
      </c>
      <c r="M620" s="447" t="str">
        <f>VLOOKUP(Advices[[#This Row],[LC Number]],'Combine_List'!A:D,3,0)</f>
        <v>FIRST FIX</v>
      </c>
      <c r="N620" s="447" t="str">
        <f>VLOOKUP(Advices[[#This Row],[LC Number]],'Combine_List'!A:D,4,0)</f>
        <v>KSP</v>
      </c>
      <c r="O620" s="447">
        <f>VLOOKUP(Advices[[#This Row],[LC Number]],'Combine_List'!A:E,5,0)</f>
        <v>1020055</v>
      </c>
      <c r="P620" s="447">
        <f>MONTH(Advices[[#This Row],[Transaction Date]])</f>
        <v>11</v>
      </c>
      <c r="Q620" s="447">
        <f>YEAR(Advices[[#This Row],[Transaction Date]])</f>
        <v>2025</v>
      </c>
      <c r="R620" s="1"/>
    </row>
    <row r="621" spans="1:18" x14ac:dyDescent="0.25">
      <c r="A621" s="1" t="s">
        <v>21</v>
      </c>
      <c r="B621" s="178">
        <v>45971</v>
      </c>
      <c r="C621" s="1" t="s">
        <v>1951</v>
      </c>
      <c r="D621" s="1" t="s">
        <v>2632</v>
      </c>
      <c r="E621" s="1" t="s">
        <v>815</v>
      </c>
      <c r="F621" s="1" t="s">
        <v>815</v>
      </c>
      <c r="G621" s="1" t="s">
        <v>26</v>
      </c>
      <c r="H621" s="13">
        <v>-250</v>
      </c>
      <c r="I621" s="13">
        <v>0</v>
      </c>
      <c r="J621" s="1" t="s">
        <v>1963</v>
      </c>
      <c r="K621" s="1" t="s">
        <v>2025</v>
      </c>
      <c r="L621" s="1" t="str">
        <f>VLOOKUP(Advices[[#This Row],[LC Number]],'Combine_List'!A:D,2,0)</f>
        <v>Afaq Al Malaz Trading Co Ltd</v>
      </c>
      <c r="M621" s="447" t="str">
        <f>VLOOKUP(Advices[[#This Row],[LC Number]],'Combine_List'!A:D,3,0)</f>
        <v>FIRST FIX</v>
      </c>
      <c r="N621" s="447" t="str">
        <f>VLOOKUP(Advices[[#This Row],[LC Number]],'Combine_List'!A:D,4,0)</f>
        <v>KSP</v>
      </c>
      <c r="O621" s="447">
        <f>VLOOKUP(Advices[[#This Row],[LC Number]],'Combine_List'!A:E,5,0)</f>
        <v>1020055</v>
      </c>
      <c r="P621" s="447">
        <f>MONTH(Advices[[#This Row],[Transaction Date]])</f>
        <v>11</v>
      </c>
      <c r="Q621" s="447">
        <f>YEAR(Advices[[#This Row],[Transaction Date]])</f>
        <v>2025</v>
      </c>
      <c r="R621" s="1"/>
    </row>
    <row r="622" spans="1:18" x14ac:dyDescent="0.25">
      <c r="A622" s="1" t="s">
        <v>21</v>
      </c>
      <c r="B622" s="178">
        <v>45971</v>
      </c>
      <c r="C622" s="1" t="s">
        <v>1951</v>
      </c>
      <c r="D622" s="1" t="s">
        <v>2633</v>
      </c>
      <c r="E622" s="1" t="s">
        <v>815</v>
      </c>
      <c r="F622" s="1" t="s">
        <v>815</v>
      </c>
      <c r="G622" s="1" t="s">
        <v>26</v>
      </c>
      <c r="H622" s="13">
        <v>-500</v>
      </c>
      <c r="I622" s="13">
        <v>0</v>
      </c>
      <c r="J622" s="1" t="s">
        <v>1124</v>
      </c>
      <c r="K622" s="1" t="s">
        <v>2025</v>
      </c>
      <c r="L622" s="1" t="str">
        <f>VLOOKUP(Advices[[#This Row],[LC Number]],'Combine_List'!A:D,2,0)</f>
        <v>Afaq Al Malaz Trading Co Ltd</v>
      </c>
      <c r="M622" s="447" t="str">
        <f>VLOOKUP(Advices[[#This Row],[LC Number]],'Combine_List'!A:D,3,0)</f>
        <v>FIRST FIX</v>
      </c>
      <c r="N622" s="447" t="str">
        <f>VLOOKUP(Advices[[#This Row],[LC Number]],'Combine_List'!A:D,4,0)</f>
        <v>KSP</v>
      </c>
      <c r="O622" s="447">
        <f>VLOOKUP(Advices[[#This Row],[LC Number]],'Combine_List'!A:E,5,0)</f>
        <v>1020055</v>
      </c>
      <c r="P622" s="447">
        <f>MONTH(Advices[[#This Row],[Transaction Date]])</f>
        <v>11</v>
      </c>
      <c r="Q622" s="447">
        <f>YEAR(Advices[[#This Row],[Transaction Date]])</f>
        <v>2025</v>
      </c>
      <c r="R622" s="1"/>
    </row>
    <row r="623" spans="1:18" x14ac:dyDescent="0.25">
      <c r="A623" s="1" t="s">
        <v>21</v>
      </c>
      <c r="B623" s="178">
        <v>45971</v>
      </c>
      <c r="C623" s="1" t="s">
        <v>1951</v>
      </c>
      <c r="D623" s="1" t="s">
        <v>2574</v>
      </c>
      <c r="E623" s="1" t="s">
        <v>1195</v>
      </c>
      <c r="F623" s="1" t="s">
        <v>1195</v>
      </c>
      <c r="G623" s="1" t="s">
        <v>26</v>
      </c>
      <c r="H623" s="13">
        <v>-37.5</v>
      </c>
      <c r="I623" s="13">
        <v>0</v>
      </c>
      <c r="J623" s="1" t="s">
        <v>1174</v>
      </c>
      <c r="K623" s="1" t="s">
        <v>2025</v>
      </c>
      <c r="L623" s="1" t="str">
        <f>VLOOKUP(Advices[[#This Row],[LC Number]],'Combine_List'!A:D,2,0)</f>
        <v>SKM AIR CONDITIONING CO</v>
      </c>
      <c r="M623" s="447" t="str">
        <f>VLOOKUP(Advices[[#This Row],[LC Number]],'Combine_List'!A:D,3,0)</f>
        <v>FIRST FIX</v>
      </c>
      <c r="N623" s="447" t="str">
        <f>VLOOKUP(Advices[[#This Row],[LC Number]],'Combine_List'!A:D,4,0)</f>
        <v>JCD SPMI</v>
      </c>
      <c r="O623" s="447">
        <f>VLOOKUP(Advices[[#This Row],[LC Number]],'Combine_List'!A:E,5,0)</f>
        <v>1020100</v>
      </c>
      <c r="P623" s="447">
        <f>MONTH(Advices[[#This Row],[Transaction Date]])</f>
        <v>11</v>
      </c>
      <c r="Q623" s="447">
        <f>YEAR(Advices[[#This Row],[Transaction Date]])</f>
        <v>2025</v>
      </c>
      <c r="R623" s="1"/>
    </row>
    <row r="624" spans="1:18" x14ac:dyDescent="0.25">
      <c r="A624" s="1" t="s">
        <v>21</v>
      </c>
      <c r="B624" s="178">
        <v>45971</v>
      </c>
      <c r="C624" s="1" t="s">
        <v>1951</v>
      </c>
      <c r="D624" s="1" t="s">
        <v>2574</v>
      </c>
      <c r="E624" s="1" t="s">
        <v>1195</v>
      </c>
      <c r="F624" s="1" t="s">
        <v>1195</v>
      </c>
      <c r="G624" s="1" t="s">
        <v>26</v>
      </c>
      <c r="H624" s="13">
        <v>-75</v>
      </c>
      <c r="I624" s="13">
        <v>0</v>
      </c>
      <c r="J624" s="1" t="s">
        <v>1174</v>
      </c>
      <c r="K624" s="1" t="s">
        <v>2025</v>
      </c>
      <c r="L624" s="1" t="str">
        <f>VLOOKUP(Advices[[#This Row],[LC Number]],'Combine_List'!A:D,2,0)</f>
        <v>SKM AIR CONDITIONING CO</v>
      </c>
      <c r="M624" s="447" t="str">
        <f>VLOOKUP(Advices[[#This Row],[LC Number]],'Combine_List'!A:D,3,0)</f>
        <v>FIRST FIX</v>
      </c>
      <c r="N624" s="447" t="str">
        <f>VLOOKUP(Advices[[#This Row],[LC Number]],'Combine_List'!A:D,4,0)</f>
        <v>JCD SPMI</v>
      </c>
      <c r="O624" s="447">
        <f>VLOOKUP(Advices[[#This Row],[LC Number]],'Combine_List'!A:E,5,0)</f>
        <v>1020100</v>
      </c>
      <c r="P624" s="447">
        <f>MONTH(Advices[[#This Row],[Transaction Date]])</f>
        <v>11</v>
      </c>
      <c r="Q624" s="447">
        <f>YEAR(Advices[[#This Row],[Transaction Date]])</f>
        <v>2025</v>
      </c>
      <c r="R624" s="1"/>
    </row>
    <row r="625" spans="1:18" x14ac:dyDescent="0.25">
      <c r="A625" s="1" t="s">
        <v>21</v>
      </c>
      <c r="B625" s="178">
        <v>45971</v>
      </c>
      <c r="C625" s="1" t="s">
        <v>1951</v>
      </c>
      <c r="D625" s="1" t="s">
        <v>2634</v>
      </c>
      <c r="E625" s="1" t="s">
        <v>1195</v>
      </c>
      <c r="F625" s="1" t="s">
        <v>1195</v>
      </c>
      <c r="G625" s="1" t="s">
        <v>26</v>
      </c>
      <c r="H625" s="13">
        <v>-250</v>
      </c>
      <c r="I625" s="13">
        <v>0</v>
      </c>
      <c r="J625" s="1" t="s">
        <v>1963</v>
      </c>
      <c r="K625" s="1" t="s">
        <v>2025</v>
      </c>
      <c r="L625" s="1" t="str">
        <f>VLOOKUP(Advices[[#This Row],[LC Number]],'Combine_List'!A:D,2,0)</f>
        <v>SKM AIR CONDITIONING CO</v>
      </c>
      <c r="M625" s="447" t="str">
        <f>VLOOKUP(Advices[[#This Row],[LC Number]],'Combine_List'!A:D,3,0)</f>
        <v>FIRST FIX</v>
      </c>
      <c r="N625" s="447" t="str">
        <f>VLOOKUP(Advices[[#This Row],[LC Number]],'Combine_List'!A:D,4,0)</f>
        <v>JCD SPMI</v>
      </c>
      <c r="O625" s="447">
        <f>VLOOKUP(Advices[[#This Row],[LC Number]],'Combine_List'!A:E,5,0)</f>
        <v>1020100</v>
      </c>
      <c r="P625" s="447">
        <f>MONTH(Advices[[#This Row],[Transaction Date]])</f>
        <v>11</v>
      </c>
      <c r="Q625" s="447">
        <f>YEAR(Advices[[#This Row],[Transaction Date]])</f>
        <v>2025</v>
      </c>
      <c r="R625" s="1"/>
    </row>
    <row r="626" spans="1:18" x14ac:dyDescent="0.25">
      <c r="A626" s="1" t="s">
        <v>21</v>
      </c>
      <c r="B626" s="178">
        <v>45971</v>
      </c>
      <c r="C626" s="1" t="s">
        <v>1951</v>
      </c>
      <c r="D626" s="1" t="s">
        <v>2635</v>
      </c>
      <c r="E626" s="1" t="s">
        <v>1195</v>
      </c>
      <c r="F626" s="1" t="s">
        <v>1195</v>
      </c>
      <c r="G626" s="1" t="s">
        <v>26</v>
      </c>
      <c r="H626" s="13">
        <v>-500</v>
      </c>
      <c r="I626" s="13">
        <v>0</v>
      </c>
      <c r="J626" s="1" t="s">
        <v>1124</v>
      </c>
      <c r="K626" s="1" t="s">
        <v>2025</v>
      </c>
      <c r="L626" s="1" t="str">
        <f>VLOOKUP(Advices[[#This Row],[LC Number]],'Combine_List'!A:D,2,0)</f>
        <v>SKM AIR CONDITIONING CO</v>
      </c>
      <c r="M626" s="447" t="str">
        <f>VLOOKUP(Advices[[#This Row],[LC Number]],'Combine_List'!A:D,3,0)</f>
        <v>FIRST FIX</v>
      </c>
      <c r="N626" s="447" t="str">
        <f>VLOOKUP(Advices[[#This Row],[LC Number]],'Combine_List'!A:D,4,0)</f>
        <v>JCD SPMI</v>
      </c>
      <c r="O626" s="447">
        <f>VLOOKUP(Advices[[#This Row],[LC Number]],'Combine_List'!A:E,5,0)</f>
        <v>1020100</v>
      </c>
      <c r="P626" s="447">
        <f>MONTH(Advices[[#This Row],[Transaction Date]])</f>
        <v>11</v>
      </c>
      <c r="Q626" s="447">
        <f>YEAR(Advices[[#This Row],[Transaction Date]])</f>
        <v>2025</v>
      </c>
      <c r="R626" s="1"/>
    </row>
    <row r="627" spans="1:18" x14ac:dyDescent="0.25">
      <c r="A627" s="1" t="s">
        <v>21</v>
      </c>
      <c r="B627" s="178">
        <v>45971</v>
      </c>
      <c r="C627" s="1" t="s">
        <v>1951</v>
      </c>
      <c r="D627" s="1" t="s">
        <v>2574</v>
      </c>
      <c r="E627" s="1" t="s">
        <v>1312</v>
      </c>
      <c r="F627" s="1" t="s">
        <v>1312</v>
      </c>
      <c r="G627" s="1" t="s">
        <v>26</v>
      </c>
      <c r="H627" s="13">
        <v>-37.5</v>
      </c>
      <c r="I627" s="13">
        <v>0</v>
      </c>
      <c r="J627" s="1" t="s">
        <v>1174</v>
      </c>
      <c r="K627" s="1" t="s">
        <v>2025</v>
      </c>
      <c r="L627" s="1" t="str">
        <f>VLOOKUP(Advices[[#This Row],[LC Number]],'Combine_List'!A:D,2,0)</f>
        <v>ALBYT ALTHAKI TRADING CO</v>
      </c>
      <c r="M627" s="447" t="str">
        <f>VLOOKUP(Advices[[#This Row],[LC Number]],'Combine_List'!A:D,3,0)</f>
        <v>FIRST FIX</v>
      </c>
      <c r="N627" s="447" t="str">
        <f>VLOOKUP(Advices[[#This Row],[LC Number]],'Combine_List'!A:D,4,0)</f>
        <v>KSP</v>
      </c>
      <c r="O627" s="447">
        <f>VLOOKUP(Advices[[#This Row],[LC Number]],'Combine_List'!A:E,5,0)</f>
        <v>1020055</v>
      </c>
      <c r="P627" s="447">
        <f>MONTH(Advices[[#This Row],[Transaction Date]])</f>
        <v>11</v>
      </c>
      <c r="Q627" s="447">
        <f>YEAR(Advices[[#This Row],[Transaction Date]])</f>
        <v>2025</v>
      </c>
      <c r="R627" s="1"/>
    </row>
    <row r="628" spans="1:18" x14ac:dyDescent="0.25">
      <c r="A628" s="1" t="s">
        <v>21</v>
      </c>
      <c r="B628" s="178">
        <v>45971</v>
      </c>
      <c r="C628" s="1" t="s">
        <v>1951</v>
      </c>
      <c r="D628" s="1" t="s">
        <v>2574</v>
      </c>
      <c r="E628" s="1" t="s">
        <v>1312</v>
      </c>
      <c r="F628" s="1" t="s">
        <v>1312</v>
      </c>
      <c r="G628" s="1" t="s">
        <v>26</v>
      </c>
      <c r="H628" s="13">
        <v>-75</v>
      </c>
      <c r="I628" s="13">
        <v>0</v>
      </c>
      <c r="J628" s="1" t="s">
        <v>1174</v>
      </c>
      <c r="K628" s="1" t="s">
        <v>2025</v>
      </c>
      <c r="L628" s="1" t="str">
        <f>VLOOKUP(Advices[[#This Row],[LC Number]],'Combine_List'!A:D,2,0)</f>
        <v>ALBYT ALTHAKI TRADING CO</v>
      </c>
      <c r="M628" s="447" t="str">
        <f>VLOOKUP(Advices[[#This Row],[LC Number]],'Combine_List'!A:D,3,0)</f>
        <v>FIRST FIX</v>
      </c>
      <c r="N628" s="447" t="str">
        <f>VLOOKUP(Advices[[#This Row],[LC Number]],'Combine_List'!A:D,4,0)</f>
        <v>KSP</v>
      </c>
      <c r="O628" s="447">
        <f>VLOOKUP(Advices[[#This Row],[LC Number]],'Combine_List'!A:E,5,0)</f>
        <v>1020055</v>
      </c>
      <c r="P628" s="447">
        <f>MONTH(Advices[[#This Row],[Transaction Date]])</f>
        <v>11</v>
      </c>
      <c r="Q628" s="447">
        <f>YEAR(Advices[[#This Row],[Transaction Date]])</f>
        <v>2025</v>
      </c>
      <c r="R628" s="1"/>
    </row>
    <row r="629" spans="1:18" x14ac:dyDescent="0.25">
      <c r="A629" s="1" t="s">
        <v>21</v>
      </c>
      <c r="B629" s="178">
        <v>45971</v>
      </c>
      <c r="C629" s="1" t="s">
        <v>1951</v>
      </c>
      <c r="D629" s="1" t="s">
        <v>2636</v>
      </c>
      <c r="E629" s="1" t="s">
        <v>1312</v>
      </c>
      <c r="F629" s="1" t="s">
        <v>1312</v>
      </c>
      <c r="G629" s="1" t="s">
        <v>26</v>
      </c>
      <c r="H629" s="13">
        <v>-250</v>
      </c>
      <c r="I629" s="13">
        <v>0</v>
      </c>
      <c r="J629" s="1" t="s">
        <v>1963</v>
      </c>
      <c r="K629" s="1" t="s">
        <v>2025</v>
      </c>
      <c r="L629" s="1" t="str">
        <f>VLOOKUP(Advices[[#This Row],[LC Number]],'Combine_List'!A:D,2,0)</f>
        <v>ALBYT ALTHAKI TRADING CO</v>
      </c>
      <c r="M629" s="447" t="str">
        <f>VLOOKUP(Advices[[#This Row],[LC Number]],'Combine_List'!A:D,3,0)</f>
        <v>FIRST FIX</v>
      </c>
      <c r="N629" s="447" t="str">
        <f>VLOOKUP(Advices[[#This Row],[LC Number]],'Combine_List'!A:D,4,0)</f>
        <v>KSP</v>
      </c>
      <c r="O629" s="447">
        <f>VLOOKUP(Advices[[#This Row],[LC Number]],'Combine_List'!A:E,5,0)</f>
        <v>1020055</v>
      </c>
      <c r="P629" s="447">
        <f>MONTH(Advices[[#This Row],[Transaction Date]])</f>
        <v>11</v>
      </c>
      <c r="Q629" s="447">
        <f>YEAR(Advices[[#This Row],[Transaction Date]])</f>
        <v>2025</v>
      </c>
      <c r="R629" s="1"/>
    </row>
    <row r="630" spans="1:18" x14ac:dyDescent="0.25">
      <c r="A630" s="1" t="s">
        <v>21</v>
      </c>
      <c r="B630" s="178">
        <v>45971</v>
      </c>
      <c r="C630" s="1" t="s">
        <v>1951</v>
      </c>
      <c r="D630" s="1" t="s">
        <v>2637</v>
      </c>
      <c r="E630" s="1" t="s">
        <v>1312</v>
      </c>
      <c r="F630" s="1" t="s">
        <v>1312</v>
      </c>
      <c r="G630" s="1" t="s">
        <v>26</v>
      </c>
      <c r="H630" s="13">
        <v>-500</v>
      </c>
      <c r="I630" s="13">
        <v>0</v>
      </c>
      <c r="J630" s="1" t="s">
        <v>1124</v>
      </c>
      <c r="K630" s="1" t="s">
        <v>2025</v>
      </c>
      <c r="L630" s="1" t="str">
        <f>VLOOKUP(Advices[[#This Row],[LC Number]],'Combine_List'!A:D,2,0)</f>
        <v>ALBYT ALTHAKI TRADING CO</v>
      </c>
      <c r="M630" s="447" t="str">
        <f>VLOOKUP(Advices[[#This Row],[LC Number]],'Combine_List'!A:D,3,0)</f>
        <v>FIRST FIX</v>
      </c>
      <c r="N630" s="447" t="str">
        <f>VLOOKUP(Advices[[#This Row],[LC Number]],'Combine_List'!A:D,4,0)</f>
        <v>KSP</v>
      </c>
      <c r="O630" s="447">
        <f>VLOOKUP(Advices[[#This Row],[LC Number]],'Combine_List'!A:E,5,0)</f>
        <v>1020055</v>
      </c>
      <c r="P630" s="447">
        <f>MONTH(Advices[[#This Row],[Transaction Date]])</f>
        <v>11</v>
      </c>
      <c r="Q630" s="447">
        <f>YEAR(Advices[[#This Row],[Transaction Date]])</f>
        <v>2025</v>
      </c>
      <c r="R630" s="1"/>
    </row>
    <row r="631" spans="1:18" x14ac:dyDescent="0.25">
      <c r="A631" s="1" t="s">
        <v>21</v>
      </c>
      <c r="B631" s="178">
        <v>45971</v>
      </c>
      <c r="C631" s="1" t="s">
        <v>1951</v>
      </c>
      <c r="D631" s="1" t="s">
        <v>2574</v>
      </c>
      <c r="E631" s="1" t="s">
        <v>1343</v>
      </c>
      <c r="F631" s="1" t="s">
        <v>1343</v>
      </c>
      <c r="G631" s="1" t="s">
        <v>26</v>
      </c>
      <c r="H631" s="13">
        <v>-37.5</v>
      </c>
      <c r="I631" s="13">
        <v>0</v>
      </c>
      <c r="J631" s="1" t="s">
        <v>1174</v>
      </c>
      <c r="K631" s="1" t="s">
        <v>2025</v>
      </c>
      <c r="L631" s="1" t="str">
        <f>VLOOKUP(Advices[[#This Row],[LC Number]],'Combine_List'!A:D,2,0)</f>
        <v>MASDAR TECHNICAL Supplies CO.</v>
      </c>
      <c r="M631" s="447" t="str">
        <f>VLOOKUP(Advices[[#This Row],[LC Number]],'Combine_List'!A:D,3,0)</f>
        <v>FIRST FIX</v>
      </c>
      <c r="N631" s="447" t="str">
        <f>VLOOKUP(Advices[[#This Row],[LC Number]],'Combine_List'!A:D,4,0)</f>
        <v>KSP</v>
      </c>
      <c r="O631" s="447">
        <f>VLOOKUP(Advices[[#This Row],[LC Number]],'Combine_List'!A:E,5,0)</f>
        <v>1020055</v>
      </c>
      <c r="P631" s="447">
        <f>MONTH(Advices[[#This Row],[Transaction Date]])</f>
        <v>11</v>
      </c>
      <c r="Q631" s="447">
        <f>YEAR(Advices[[#This Row],[Transaction Date]])</f>
        <v>2025</v>
      </c>
      <c r="R631" s="1"/>
    </row>
    <row r="632" spans="1:18" x14ac:dyDescent="0.25">
      <c r="A632" s="1" t="s">
        <v>21</v>
      </c>
      <c r="B632" s="178">
        <v>45971</v>
      </c>
      <c r="C632" s="1" t="s">
        <v>1951</v>
      </c>
      <c r="D632" s="1" t="s">
        <v>2574</v>
      </c>
      <c r="E632" s="1" t="s">
        <v>1343</v>
      </c>
      <c r="F632" s="1" t="s">
        <v>1343</v>
      </c>
      <c r="G632" s="1" t="s">
        <v>26</v>
      </c>
      <c r="H632" s="13">
        <v>-75</v>
      </c>
      <c r="I632" s="13">
        <v>0</v>
      </c>
      <c r="J632" s="1" t="s">
        <v>1174</v>
      </c>
      <c r="K632" s="1" t="s">
        <v>2025</v>
      </c>
      <c r="L632" s="1" t="str">
        <f>VLOOKUP(Advices[[#This Row],[LC Number]],'Combine_List'!A:D,2,0)</f>
        <v>MASDAR TECHNICAL Supplies CO.</v>
      </c>
      <c r="M632" s="447" t="str">
        <f>VLOOKUP(Advices[[#This Row],[LC Number]],'Combine_List'!A:D,3,0)</f>
        <v>FIRST FIX</v>
      </c>
      <c r="N632" s="447" t="str">
        <f>VLOOKUP(Advices[[#This Row],[LC Number]],'Combine_List'!A:D,4,0)</f>
        <v>KSP</v>
      </c>
      <c r="O632" s="447">
        <f>VLOOKUP(Advices[[#This Row],[LC Number]],'Combine_List'!A:E,5,0)</f>
        <v>1020055</v>
      </c>
      <c r="P632" s="447">
        <f>MONTH(Advices[[#This Row],[Transaction Date]])</f>
        <v>11</v>
      </c>
      <c r="Q632" s="447">
        <f>YEAR(Advices[[#This Row],[Transaction Date]])</f>
        <v>2025</v>
      </c>
      <c r="R632" s="1"/>
    </row>
    <row r="633" spans="1:18" x14ac:dyDescent="0.25">
      <c r="A633" s="1" t="s">
        <v>21</v>
      </c>
      <c r="B633" s="178">
        <v>45971</v>
      </c>
      <c r="C633" s="1" t="s">
        <v>1951</v>
      </c>
      <c r="D633" s="1" t="s">
        <v>2638</v>
      </c>
      <c r="E633" s="1" t="s">
        <v>1343</v>
      </c>
      <c r="F633" s="1" t="s">
        <v>1343</v>
      </c>
      <c r="G633" s="1" t="s">
        <v>26</v>
      </c>
      <c r="H633" s="13">
        <v>-250</v>
      </c>
      <c r="I633" s="13">
        <v>0</v>
      </c>
      <c r="J633" s="1" t="s">
        <v>1963</v>
      </c>
      <c r="K633" s="1" t="s">
        <v>2025</v>
      </c>
      <c r="L633" s="1" t="str">
        <f>VLOOKUP(Advices[[#This Row],[LC Number]],'Combine_List'!A:D,2,0)</f>
        <v>MASDAR TECHNICAL Supplies CO.</v>
      </c>
      <c r="M633" s="447" t="str">
        <f>VLOOKUP(Advices[[#This Row],[LC Number]],'Combine_List'!A:D,3,0)</f>
        <v>FIRST FIX</v>
      </c>
      <c r="N633" s="447" t="str">
        <f>VLOOKUP(Advices[[#This Row],[LC Number]],'Combine_List'!A:D,4,0)</f>
        <v>KSP</v>
      </c>
      <c r="O633" s="447">
        <f>VLOOKUP(Advices[[#This Row],[LC Number]],'Combine_List'!A:E,5,0)</f>
        <v>1020055</v>
      </c>
      <c r="P633" s="447">
        <f>MONTH(Advices[[#This Row],[Transaction Date]])</f>
        <v>11</v>
      </c>
      <c r="Q633" s="447">
        <f>YEAR(Advices[[#This Row],[Transaction Date]])</f>
        <v>2025</v>
      </c>
      <c r="R633" s="1"/>
    </row>
    <row r="634" spans="1:18" x14ac:dyDescent="0.25">
      <c r="A634" s="1" t="s">
        <v>21</v>
      </c>
      <c r="B634" s="178">
        <v>45971</v>
      </c>
      <c r="C634" s="1" t="s">
        <v>1951</v>
      </c>
      <c r="D634" s="1" t="s">
        <v>2639</v>
      </c>
      <c r="E634" s="1" t="s">
        <v>1343</v>
      </c>
      <c r="F634" s="1" t="s">
        <v>1343</v>
      </c>
      <c r="G634" s="1" t="s">
        <v>26</v>
      </c>
      <c r="H634" s="13">
        <v>-500</v>
      </c>
      <c r="I634" s="13">
        <v>0</v>
      </c>
      <c r="J634" s="1" t="s">
        <v>1124</v>
      </c>
      <c r="K634" s="1" t="s">
        <v>2025</v>
      </c>
      <c r="L634" s="1" t="str">
        <f>VLOOKUP(Advices[[#This Row],[LC Number]],'Combine_List'!A:D,2,0)</f>
        <v>MASDAR TECHNICAL Supplies CO.</v>
      </c>
      <c r="M634" s="447" t="str">
        <f>VLOOKUP(Advices[[#This Row],[LC Number]],'Combine_List'!A:D,3,0)</f>
        <v>FIRST FIX</v>
      </c>
      <c r="N634" s="447" t="str">
        <f>VLOOKUP(Advices[[#This Row],[LC Number]],'Combine_List'!A:D,4,0)</f>
        <v>KSP</v>
      </c>
      <c r="O634" s="447">
        <f>VLOOKUP(Advices[[#This Row],[LC Number]],'Combine_List'!A:E,5,0)</f>
        <v>1020055</v>
      </c>
      <c r="P634" s="447">
        <f>MONTH(Advices[[#This Row],[Transaction Date]])</f>
        <v>11</v>
      </c>
      <c r="Q634" s="447">
        <f>YEAR(Advices[[#This Row],[Transaction Date]])</f>
        <v>2025</v>
      </c>
      <c r="R634" s="1"/>
    </row>
    <row r="635" spans="1:18" x14ac:dyDescent="0.25">
      <c r="A635" s="1" t="s">
        <v>21</v>
      </c>
      <c r="B635" s="178">
        <v>45971</v>
      </c>
      <c r="C635" s="1" t="s">
        <v>1951</v>
      </c>
      <c r="D635" s="1" t="s">
        <v>2574</v>
      </c>
      <c r="E635" s="1" t="s">
        <v>1350</v>
      </c>
      <c r="F635" s="1" t="s">
        <v>1350</v>
      </c>
      <c r="G635" s="1" t="s">
        <v>26</v>
      </c>
      <c r="H635" s="13">
        <v>-37.5</v>
      </c>
      <c r="I635" s="13">
        <v>0</v>
      </c>
      <c r="J635" s="1" t="s">
        <v>1174</v>
      </c>
      <c r="K635" s="1" t="s">
        <v>2025</v>
      </c>
      <c r="L635" s="1" t="str">
        <f>VLOOKUP(Advices[[#This Row],[LC Number]],'Combine_List'!A:D,2,0)</f>
        <v>ANSSAM AL RIYADH CONTRACTING EST</v>
      </c>
      <c r="M635" s="447" t="str">
        <f>VLOOKUP(Advices[[#This Row],[LC Number]],'Combine_List'!A:D,3,0)</f>
        <v>FIRST FIX</v>
      </c>
      <c r="N635" s="447" t="str">
        <f>VLOOKUP(Advices[[#This Row],[LC Number]],'Combine_List'!A:D,4,0)</f>
        <v>KSP</v>
      </c>
      <c r="O635" s="447">
        <f>VLOOKUP(Advices[[#This Row],[LC Number]],'Combine_List'!A:E,5,0)</f>
        <v>1020055</v>
      </c>
      <c r="P635" s="447">
        <f>MONTH(Advices[[#This Row],[Transaction Date]])</f>
        <v>11</v>
      </c>
      <c r="Q635" s="447">
        <f>YEAR(Advices[[#This Row],[Transaction Date]])</f>
        <v>2025</v>
      </c>
      <c r="R635" s="1"/>
    </row>
    <row r="636" spans="1:18" x14ac:dyDescent="0.25">
      <c r="A636" s="1" t="s">
        <v>21</v>
      </c>
      <c r="B636" s="178">
        <v>45971</v>
      </c>
      <c r="C636" s="1" t="s">
        <v>1951</v>
      </c>
      <c r="D636" s="1" t="s">
        <v>2574</v>
      </c>
      <c r="E636" s="1" t="s">
        <v>1350</v>
      </c>
      <c r="F636" s="1" t="s">
        <v>1350</v>
      </c>
      <c r="G636" s="1" t="s">
        <v>26</v>
      </c>
      <c r="H636" s="13">
        <v>-75</v>
      </c>
      <c r="I636" s="13">
        <v>0</v>
      </c>
      <c r="J636" s="1" t="s">
        <v>1174</v>
      </c>
      <c r="K636" s="1" t="s">
        <v>2025</v>
      </c>
      <c r="L636" s="1" t="str">
        <f>VLOOKUP(Advices[[#This Row],[LC Number]],'Combine_List'!A:D,2,0)</f>
        <v>ANSSAM AL RIYADH CONTRACTING EST</v>
      </c>
      <c r="M636" s="447" t="str">
        <f>VLOOKUP(Advices[[#This Row],[LC Number]],'Combine_List'!A:D,3,0)</f>
        <v>FIRST FIX</v>
      </c>
      <c r="N636" s="447" t="str">
        <f>VLOOKUP(Advices[[#This Row],[LC Number]],'Combine_List'!A:D,4,0)</f>
        <v>KSP</v>
      </c>
      <c r="O636" s="447">
        <f>VLOOKUP(Advices[[#This Row],[LC Number]],'Combine_List'!A:E,5,0)</f>
        <v>1020055</v>
      </c>
      <c r="P636" s="447">
        <f>MONTH(Advices[[#This Row],[Transaction Date]])</f>
        <v>11</v>
      </c>
      <c r="Q636" s="447">
        <f>YEAR(Advices[[#This Row],[Transaction Date]])</f>
        <v>2025</v>
      </c>
      <c r="R636" s="1"/>
    </row>
    <row r="637" spans="1:18" x14ac:dyDescent="0.25">
      <c r="A637" s="1" t="s">
        <v>21</v>
      </c>
      <c r="B637" s="178">
        <v>45971</v>
      </c>
      <c r="C637" s="1" t="s">
        <v>1951</v>
      </c>
      <c r="D637" s="1" t="s">
        <v>2640</v>
      </c>
      <c r="E637" s="1" t="s">
        <v>1350</v>
      </c>
      <c r="F637" s="1" t="s">
        <v>1350</v>
      </c>
      <c r="G637" s="1" t="s">
        <v>26</v>
      </c>
      <c r="H637" s="13">
        <v>-250</v>
      </c>
      <c r="I637" s="13">
        <v>0</v>
      </c>
      <c r="J637" s="1" t="s">
        <v>1963</v>
      </c>
      <c r="K637" s="1" t="s">
        <v>2025</v>
      </c>
      <c r="L637" s="1" t="str">
        <f>VLOOKUP(Advices[[#This Row],[LC Number]],'Combine_List'!A:D,2,0)</f>
        <v>ANSSAM AL RIYADH CONTRACTING EST</v>
      </c>
      <c r="M637" s="447" t="str">
        <f>VLOOKUP(Advices[[#This Row],[LC Number]],'Combine_List'!A:D,3,0)</f>
        <v>FIRST FIX</v>
      </c>
      <c r="N637" s="447" t="str">
        <f>VLOOKUP(Advices[[#This Row],[LC Number]],'Combine_List'!A:D,4,0)</f>
        <v>KSP</v>
      </c>
      <c r="O637" s="447">
        <f>VLOOKUP(Advices[[#This Row],[LC Number]],'Combine_List'!A:E,5,0)</f>
        <v>1020055</v>
      </c>
      <c r="P637" s="447">
        <f>MONTH(Advices[[#This Row],[Transaction Date]])</f>
        <v>11</v>
      </c>
      <c r="Q637" s="447">
        <f>YEAR(Advices[[#This Row],[Transaction Date]])</f>
        <v>2025</v>
      </c>
      <c r="R637" s="1"/>
    </row>
    <row r="638" spans="1:18" x14ac:dyDescent="0.25">
      <c r="A638" s="1" t="s">
        <v>21</v>
      </c>
      <c r="B638" s="178">
        <v>45971</v>
      </c>
      <c r="C638" s="1" t="s">
        <v>1951</v>
      </c>
      <c r="D638" s="1" t="s">
        <v>2641</v>
      </c>
      <c r="E638" s="1" t="s">
        <v>1350</v>
      </c>
      <c r="F638" s="1" t="s">
        <v>1350</v>
      </c>
      <c r="G638" s="1" t="s">
        <v>26</v>
      </c>
      <c r="H638" s="13">
        <v>-500</v>
      </c>
      <c r="I638" s="13">
        <v>0</v>
      </c>
      <c r="J638" s="1" t="s">
        <v>1124</v>
      </c>
      <c r="K638" s="1" t="s">
        <v>2025</v>
      </c>
      <c r="L638" s="1" t="str">
        <f>VLOOKUP(Advices[[#This Row],[LC Number]],'Combine_List'!A:D,2,0)</f>
        <v>ANSSAM AL RIYADH CONTRACTING EST</v>
      </c>
      <c r="M638" s="447" t="str">
        <f>VLOOKUP(Advices[[#This Row],[LC Number]],'Combine_List'!A:D,3,0)</f>
        <v>FIRST FIX</v>
      </c>
      <c r="N638" s="447" t="str">
        <f>VLOOKUP(Advices[[#This Row],[LC Number]],'Combine_List'!A:D,4,0)</f>
        <v>KSP</v>
      </c>
      <c r="O638" s="447">
        <f>VLOOKUP(Advices[[#This Row],[LC Number]],'Combine_List'!A:E,5,0)</f>
        <v>1020055</v>
      </c>
      <c r="P638" s="447">
        <f>MONTH(Advices[[#This Row],[Transaction Date]])</f>
        <v>11</v>
      </c>
      <c r="Q638" s="447">
        <f>YEAR(Advices[[#This Row],[Transaction Date]])</f>
        <v>2025</v>
      </c>
      <c r="R638" s="1"/>
    </row>
    <row r="639" spans="1:18" x14ac:dyDescent="0.25">
      <c r="A639" s="1" t="s">
        <v>21</v>
      </c>
      <c r="B639" s="178">
        <v>45971</v>
      </c>
      <c r="C639" s="1" t="s">
        <v>1951</v>
      </c>
      <c r="D639" s="1" t="s">
        <v>2574</v>
      </c>
      <c r="E639" s="1" t="s">
        <v>1428</v>
      </c>
      <c r="F639" s="1" t="s">
        <v>1428</v>
      </c>
      <c r="G639" s="1" t="s">
        <v>26</v>
      </c>
      <c r="H639" s="13">
        <v>-37.5</v>
      </c>
      <c r="I639" s="13">
        <v>0</v>
      </c>
      <c r="J639" s="1" t="s">
        <v>1174</v>
      </c>
      <c r="K639" s="1" t="s">
        <v>2025</v>
      </c>
      <c r="L639" s="1" t="str">
        <f>VLOOKUP(Advices[[#This Row],[LC Number]],'Combine_List'!A:D,2,0)</f>
        <v>DAR-AL MAWARED TRADING CO.</v>
      </c>
      <c r="M639" s="447" t="str">
        <f>VLOOKUP(Advices[[#This Row],[LC Number]],'Combine_List'!A:D,3,0)</f>
        <v>FIRST FIX</v>
      </c>
      <c r="N639" s="447" t="str">
        <f>VLOOKUP(Advices[[#This Row],[LC Number]],'Combine_List'!A:D,4,0)</f>
        <v>KSP</v>
      </c>
      <c r="O639" s="447">
        <f>VLOOKUP(Advices[[#This Row],[LC Number]],'Combine_List'!A:E,5,0)</f>
        <v>1020055</v>
      </c>
      <c r="P639" s="447">
        <f>MONTH(Advices[[#This Row],[Transaction Date]])</f>
        <v>11</v>
      </c>
      <c r="Q639" s="447">
        <f>YEAR(Advices[[#This Row],[Transaction Date]])</f>
        <v>2025</v>
      </c>
      <c r="R639" s="1"/>
    </row>
    <row r="640" spans="1:18" x14ac:dyDescent="0.25">
      <c r="A640" s="1" t="s">
        <v>21</v>
      </c>
      <c r="B640" s="178">
        <v>45971</v>
      </c>
      <c r="C640" s="1" t="s">
        <v>1951</v>
      </c>
      <c r="D640" s="1" t="s">
        <v>2574</v>
      </c>
      <c r="E640" s="1" t="s">
        <v>1428</v>
      </c>
      <c r="F640" s="1" t="s">
        <v>1428</v>
      </c>
      <c r="G640" s="1" t="s">
        <v>26</v>
      </c>
      <c r="H640" s="13">
        <v>-75</v>
      </c>
      <c r="I640" s="13">
        <v>0</v>
      </c>
      <c r="J640" s="1" t="s">
        <v>1174</v>
      </c>
      <c r="K640" s="1" t="s">
        <v>2025</v>
      </c>
      <c r="L640" s="1" t="str">
        <f>VLOOKUP(Advices[[#This Row],[LC Number]],'Combine_List'!A:D,2,0)</f>
        <v>DAR-AL MAWARED TRADING CO.</v>
      </c>
      <c r="M640" s="447" t="str">
        <f>VLOOKUP(Advices[[#This Row],[LC Number]],'Combine_List'!A:D,3,0)</f>
        <v>FIRST FIX</v>
      </c>
      <c r="N640" s="447" t="str">
        <f>VLOOKUP(Advices[[#This Row],[LC Number]],'Combine_List'!A:D,4,0)</f>
        <v>KSP</v>
      </c>
      <c r="O640" s="447">
        <f>VLOOKUP(Advices[[#This Row],[LC Number]],'Combine_List'!A:E,5,0)</f>
        <v>1020055</v>
      </c>
      <c r="P640" s="447">
        <f>MONTH(Advices[[#This Row],[Transaction Date]])</f>
        <v>11</v>
      </c>
      <c r="Q640" s="447">
        <f>YEAR(Advices[[#This Row],[Transaction Date]])</f>
        <v>2025</v>
      </c>
      <c r="R640" s="1"/>
    </row>
    <row r="641" spans="1:18" x14ac:dyDescent="0.25">
      <c r="A641" s="1" t="s">
        <v>21</v>
      </c>
      <c r="B641" s="178">
        <v>45971</v>
      </c>
      <c r="C641" s="1" t="s">
        <v>1951</v>
      </c>
      <c r="D641" s="1" t="s">
        <v>2642</v>
      </c>
      <c r="E641" s="1" t="s">
        <v>1428</v>
      </c>
      <c r="F641" s="1" t="s">
        <v>1428</v>
      </c>
      <c r="G641" s="1" t="s">
        <v>26</v>
      </c>
      <c r="H641" s="13">
        <v>-250</v>
      </c>
      <c r="I641" s="13">
        <v>0</v>
      </c>
      <c r="J641" s="1" t="s">
        <v>1963</v>
      </c>
      <c r="K641" s="1" t="s">
        <v>2025</v>
      </c>
      <c r="L641" s="1" t="str">
        <f>VLOOKUP(Advices[[#This Row],[LC Number]],'Combine_List'!A:D,2,0)</f>
        <v>DAR-AL MAWARED TRADING CO.</v>
      </c>
      <c r="M641" s="447" t="str">
        <f>VLOOKUP(Advices[[#This Row],[LC Number]],'Combine_List'!A:D,3,0)</f>
        <v>FIRST FIX</v>
      </c>
      <c r="N641" s="447" t="str">
        <f>VLOOKUP(Advices[[#This Row],[LC Number]],'Combine_List'!A:D,4,0)</f>
        <v>KSP</v>
      </c>
      <c r="O641" s="447">
        <f>VLOOKUP(Advices[[#This Row],[LC Number]],'Combine_List'!A:E,5,0)</f>
        <v>1020055</v>
      </c>
      <c r="P641" s="447">
        <f>MONTH(Advices[[#This Row],[Transaction Date]])</f>
        <v>11</v>
      </c>
      <c r="Q641" s="447">
        <f>YEAR(Advices[[#This Row],[Transaction Date]])</f>
        <v>2025</v>
      </c>
      <c r="R641" s="1"/>
    </row>
    <row r="642" spans="1:18" x14ac:dyDescent="0.25">
      <c r="A642" s="1" t="s">
        <v>21</v>
      </c>
      <c r="B642" s="178">
        <v>45971</v>
      </c>
      <c r="C642" s="1" t="s">
        <v>1951</v>
      </c>
      <c r="D642" s="1" t="s">
        <v>2643</v>
      </c>
      <c r="E642" s="1" t="s">
        <v>1428</v>
      </c>
      <c r="F642" s="1" t="s">
        <v>1428</v>
      </c>
      <c r="G642" s="1" t="s">
        <v>26</v>
      </c>
      <c r="H642" s="13">
        <v>-500</v>
      </c>
      <c r="I642" s="13">
        <v>0</v>
      </c>
      <c r="J642" s="1" t="s">
        <v>1124</v>
      </c>
      <c r="K642" s="1" t="s">
        <v>2025</v>
      </c>
      <c r="L642" s="1" t="str">
        <f>VLOOKUP(Advices[[#This Row],[LC Number]],'Combine_List'!A:D,2,0)</f>
        <v>DAR-AL MAWARED TRADING CO.</v>
      </c>
      <c r="M642" s="447" t="str">
        <f>VLOOKUP(Advices[[#This Row],[LC Number]],'Combine_List'!A:D,3,0)</f>
        <v>FIRST FIX</v>
      </c>
      <c r="N642" s="447" t="str">
        <f>VLOOKUP(Advices[[#This Row],[LC Number]],'Combine_List'!A:D,4,0)</f>
        <v>KSP</v>
      </c>
      <c r="O642" s="447">
        <f>VLOOKUP(Advices[[#This Row],[LC Number]],'Combine_List'!A:E,5,0)</f>
        <v>1020055</v>
      </c>
      <c r="P642" s="447">
        <f>MONTH(Advices[[#This Row],[Transaction Date]])</f>
        <v>11</v>
      </c>
      <c r="Q642" s="447">
        <f>YEAR(Advices[[#This Row],[Transaction Date]])</f>
        <v>2025</v>
      </c>
      <c r="R642" s="1"/>
    </row>
    <row r="643" spans="1:18" x14ac:dyDescent="0.25">
      <c r="A643" s="1" t="s">
        <v>21</v>
      </c>
      <c r="B643" s="178">
        <v>45971</v>
      </c>
      <c r="C643" s="1" t="s">
        <v>1951</v>
      </c>
      <c r="D643" s="1" t="s">
        <v>2574</v>
      </c>
      <c r="E643" s="1" t="s">
        <v>1400</v>
      </c>
      <c r="F643" s="1" t="s">
        <v>1400</v>
      </c>
      <c r="G643" s="1" t="s">
        <v>26</v>
      </c>
      <c r="H643" s="13">
        <v>-37.5</v>
      </c>
      <c r="I643" s="13">
        <v>0</v>
      </c>
      <c r="J643" s="1" t="s">
        <v>1174</v>
      </c>
      <c r="K643" s="1" t="s">
        <v>2025</v>
      </c>
      <c r="L643" s="1" t="str">
        <f>VLOOKUP(Advices[[#This Row],[LC Number]],'Combine_List'!A:D,2,0)</f>
        <v>ALBYT ALTHAKI TRADING CO</v>
      </c>
      <c r="M643" s="447" t="str">
        <f>VLOOKUP(Advices[[#This Row],[LC Number]],'Combine_List'!A:D,3,0)</f>
        <v>FIRST FIX</v>
      </c>
      <c r="N643" s="447" t="str">
        <f>VLOOKUP(Advices[[#This Row],[LC Number]],'Combine_List'!A:D,4,0)</f>
        <v>KSP</v>
      </c>
      <c r="O643" s="447">
        <f>VLOOKUP(Advices[[#This Row],[LC Number]],'Combine_List'!A:E,5,0)</f>
        <v>1020055</v>
      </c>
      <c r="P643" s="447">
        <f>MONTH(Advices[[#This Row],[Transaction Date]])</f>
        <v>11</v>
      </c>
      <c r="Q643" s="447">
        <f>YEAR(Advices[[#This Row],[Transaction Date]])</f>
        <v>2025</v>
      </c>
      <c r="R643" s="1"/>
    </row>
    <row r="644" spans="1:18" x14ac:dyDescent="0.25">
      <c r="A644" s="1" t="s">
        <v>21</v>
      </c>
      <c r="B644" s="178">
        <v>45971</v>
      </c>
      <c r="C644" s="1" t="s">
        <v>1951</v>
      </c>
      <c r="D644" s="1" t="s">
        <v>2574</v>
      </c>
      <c r="E644" s="1" t="s">
        <v>1400</v>
      </c>
      <c r="F644" s="1" t="s">
        <v>1400</v>
      </c>
      <c r="G644" s="1" t="s">
        <v>26</v>
      </c>
      <c r="H644" s="13">
        <v>-75</v>
      </c>
      <c r="I644" s="13">
        <v>0</v>
      </c>
      <c r="J644" s="1" t="s">
        <v>1174</v>
      </c>
      <c r="K644" s="1" t="s">
        <v>2025</v>
      </c>
      <c r="L644" s="1" t="str">
        <f>VLOOKUP(Advices[[#This Row],[LC Number]],'Combine_List'!A:D,2,0)</f>
        <v>ALBYT ALTHAKI TRADING CO</v>
      </c>
      <c r="M644" s="447" t="str">
        <f>VLOOKUP(Advices[[#This Row],[LC Number]],'Combine_List'!A:D,3,0)</f>
        <v>FIRST FIX</v>
      </c>
      <c r="N644" s="447" t="str">
        <f>VLOOKUP(Advices[[#This Row],[LC Number]],'Combine_List'!A:D,4,0)</f>
        <v>KSP</v>
      </c>
      <c r="O644" s="447">
        <f>VLOOKUP(Advices[[#This Row],[LC Number]],'Combine_List'!A:E,5,0)</f>
        <v>1020055</v>
      </c>
      <c r="P644" s="447">
        <f>MONTH(Advices[[#This Row],[Transaction Date]])</f>
        <v>11</v>
      </c>
      <c r="Q644" s="447">
        <f>YEAR(Advices[[#This Row],[Transaction Date]])</f>
        <v>2025</v>
      </c>
      <c r="R644" s="1"/>
    </row>
    <row r="645" spans="1:18" x14ac:dyDescent="0.25">
      <c r="A645" s="1" t="s">
        <v>21</v>
      </c>
      <c r="B645" s="178">
        <v>45971</v>
      </c>
      <c r="C645" s="1" t="s">
        <v>1951</v>
      </c>
      <c r="D645" s="1" t="s">
        <v>2644</v>
      </c>
      <c r="E645" s="1" t="s">
        <v>1400</v>
      </c>
      <c r="F645" s="1" t="s">
        <v>1400</v>
      </c>
      <c r="G645" s="1" t="s">
        <v>26</v>
      </c>
      <c r="H645" s="13">
        <v>-250</v>
      </c>
      <c r="I645" s="13">
        <v>0</v>
      </c>
      <c r="J645" s="1" t="s">
        <v>1963</v>
      </c>
      <c r="K645" s="1" t="s">
        <v>2025</v>
      </c>
      <c r="L645" s="1" t="str">
        <f>VLOOKUP(Advices[[#This Row],[LC Number]],'Combine_List'!A:D,2,0)</f>
        <v>ALBYT ALTHAKI TRADING CO</v>
      </c>
      <c r="M645" s="447" t="str">
        <f>VLOOKUP(Advices[[#This Row],[LC Number]],'Combine_List'!A:D,3,0)</f>
        <v>FIRST FIX</v>
      </c>
      <c r="N645" s="447" t="str">
        <f>VLOOKUP(Advices[[#This Row],[LC Number]],'Combine_List'!A:D,4,0)</f>
        <v>KSP</v>
      </c>
      <c r="O645" s="447">
        <f>VLOOKUP(Advices[[#This Row],[LC Number]],'Combine_List'!A:E,5,0)</f>
        <v>1020055</v>
      </c>
      <c r="P645" s="447">
        <f>MONTH(Advices[[#This Row],[Transaction Date]])</f>
        <v>11</v>
      </c>
      <c r="Q645" s="447">
        <f>YEAR(Advices[[#This Row],[Transaction Date]])</f>
        <v>2025</v>
      </c>
      <c r="R645" s="1"/>
    </row>
    <row r="646" spans="1:18" x14ac:dyDescent="0.25">
      <c r="A646" s="1" t="s">
        <v>21</v>
      </c>
      <c r="B646" s="178">
        <v>45971</v>
      </c>
      <c r="C646" s="1" t="s">
        <v>1951</v>
      </c>
      <c r="D646" s="1" t="s">
        <v>2645</v>
      </c>
      <c r="E646" s="1" t="s">
        <v>1400</v>
      </c>
      <c r="F646" s="1" t="s">
        <v>1400</v>
      </c>
      <c r="G646" s="1" t="s">
        <v>26</v>
      </c>
      <c r="H646" s="13">
        <v>-500</v>
      </c>
      <c r="I646" s="13">
        <v>0</v>
      </c>
      <c r="J646" s="1" t="s">
        <v>1124</v>
      </c>
      <c r="K646" s="1" t="s">
        <v>2025</v>
      </c>
      <c r="L646" s="1" t="str">
        <f>VLOOKUP(Advices[[#This Row],[LC Number]],'Combine_List'!A:D,2,0)</f>
        <v>ALBYT ALTHAKI TRADING CO</v>
      </c>
      <c r="M646" s="447" t="str">
        <f>VLOOKUP(Advices[[#This Row],[LC Number]],'Combine_List'!A:D,3,0)</f>
        <v>FIRST FIX</v>
      </c>
      <c r="N646" s="447" t="str">
        <f>VLOOKUP(Advices[[#This Row],[LC Number]],'Combine_List'!A:D,4,0)</f>
        <v>KSP</v>
      </c>
      <c r="O646" s="447">
        <f>VLOOKUP(Advices[[#This Row],[LC Number]],'Combine_List'!A:E,5,0)</f>
        <v>1020055</v>
      </c>
      <c r="P646" s="447">
        <f>MONTH(Advices[[#This Row],[Transaction Date]])</f>
        <v>11</v>
      </c>
      <c r="Q646" s="447">
        <f>YEAR(Advices[[#This Row],[Transaction Date]])</f>
        <v>2025</v>
      </c>
      <c r="R646" s="1"/>
    </row>
    <row r="647" spans="1:18" x14ac:dyDescent="0.25">
      <c r="A647" s="1" t="s">
        <v>21</v>
      </c>
      <c r="B647" s="178">
        <v>45971</v>
      </c>
      <c r="C647" s="1" t="s">
        <v>1951</v>
      </c>
      <c r="D647" s="1" t="s">
        <v>2646</v>
      </c>
      <c r="E647" s="1" t="s">
        <v>2647</v>
      </c>
      <c r="F647" s="1" t="s">
        <v>2648</v>
      </c>
      <c r="G647" s="1" t="s">
        <v>26</v>
      </c>
      <c r="H647" s="13">
        <v>-15</v>
      </c>
      <c r="I647" s="13">
        <v>0</v>
      </c>
      <c r="J647" s="1" t="s">
        <v>1174</v>
      </c>
      <c r="K647" s="1" t="s">
        <v>2025</v>
      </c>
      <c r="L647" s="1" t="e">
        <f>VLOOKUP(Advices[[#This Row],[LC Number]],'Combine_List'!A:D,2,0)</f>
        <v>#N/A</v>
      </c>
      <c r="M647" s="447" t="e">
        <f>VLOOKUP(Advices[[#This Row],[LC Number]],'Combine_List'!A:D,3,0)</f>
        <v>#N/A</v>
      </c>
      <c r="N647" s="447" t="e">
        <f>VLOOKUP(Advices[[#This Row],[LC Number]],'Combine_List'!A:D,4,0)</f>
        <v>#N/A</v>
      </c>
      <c r="O647" s="447" t="e">
        <f>VLOOKUP(Advices[[#This Row],[LC Number]],'Combine_List'!A:E,5,0)</f>
        <v>#N/A</v>
      </c>
      <c r="P647" s="447">
        <f>MONTH(Advices[[#This Row],[Transaction Date]])</f>
        <v>11</v>
      </c>
      <c r="Q647" s="447">
        <f>YEAR(Advices[[#This Row],[Transaction Date]])</f>
        <v>2025</v>
      </c>
      <c r="R647" s="1"/>
    </row>
    <row r="648" spans="1:18" x14ac:dyDescent="0.25">
      <c r="A648" s="1" t="s">
        <v>21</v>
      </c>
      <c r="B648" s="178">
        <v>45971</v>
      </c>
      <c r="C648" s="1" t="s">
        <v>1951</v>
      </c>
      <c r="D648" s="1" t="s">
        <v>2649</v>
      </c>
      <c r="E648" s="1" t="s">
        <v>2647</v>
      </c>
      <c r="F648" s="1" t="s">
        <v>2648</v>
      </c>
      <c r="G648" s="1" t="s">
        <v>26</v>
      </c>
      <c r="H648" s="13">
        <v>-100</v>
      </c>
      <c r="I648" s="13">
        <v>0</v>
      </c>
      <c r="J648" s="1" t="s">
        <v>1963</v>
      </c>
      <c r="K648" s="1" t="s">
        <v>2025</v>
      </c>
      <c r="L648" s="1" t="e">
        <f>VLOOKUP(Advices[[#This Row],[LC Number]],'Combine_List'!A:D,2,0)</f>
        <v>#N/A</v>
      </c>
      <c r="M648" s="447" t="e">
        <f>VLOOKUP(Advices[[#This Row],[LC Number]],'Combine_List'!A:D,3,0)</f>
        <v>#N/A</v>
      </c>
      <c r="N648" s="447" t="e">
        <f>VLOOKUP(Advices[[#This Row],[LC Number]],'Combine_List'!A:D,4,0)</f>
        <v>#N/A</v>
      </c>
      <c r="O648" s="447" t="e">
        <f>VLOOKUP(Advices[[#This Row],[LC Number]],'Combine_List'!A:E,5,0)</f>
        <v>#N/A</v>
      </c>
      <c r="P648" s="447">
        <f>MONTH(Advices[[#This Row],[Transaction Date]])</f>
        <v>11</v>
      </c>
      <c r="Q648" s="447">
        <f>YEAR(Advices[[#This Row],[Transaction Date]])</f>
        <v>2025</v>
      </c>
      <c r="R648" s="1"/>
    </row>
    <row r="649" spans="1:18" x14ac:dyDescent="0.25">
      <c r="A649" s="1" t="s">
        <v>21</v>
      </c>
      <c r="B649" s="178">
        <v>45971</v>
      </c>
      <c r="C649" s="1" t="s">
        <v>1951</v>
      </c>
      <c r="D649" s="1" t="s">
        <v>2650</v>
      </c>
      <c r="E649" s="1" t="s">
        <v>2647</v>
      </c>
      <c r="F649" s="1" t="s">
        <v>2648</v>
      </c>
      <c r="G649" s="1" t="s">
        <v>26</v>
      </c>
      <c r="H649" s="13">
        <v>-112.5</v>
      </c>
      <c r="I649" s="13">
        <v>0</v>
      </c>
      <c r="J649" s="1" t="s">
        <v>1174</v>
      </c>
      <c r="K649" s="1" t="s">
        <v>2025</v>
      </c>
      <c r="L649" s="1" t="e">
        <f>VLOOKUP(Advices[[#This Row],[LC Number]],'Combine_List'!A:D,2,0)</f>
        <v>#N/A</v>
      </c>
      <c r="M649" s="447" t="e">
        <f>VLOOKUP(Advices[[#This Row],[LC Number]],'Combine_List'!A:D,3,0)</f>
        <v>#N/A</v>
      </c>
      <c r="N649" s="447" t="e">
        <f>VLOOKUP(Advices[[#This Row],[LC Number]],'Combine_List'!A:D,4,0)</f>
        <v>#N/A</v>
      </c>
      <c r="O649" s="447" t="e">
        <f>VLOOKUP(Advices[[#This Row],[LC Number]],'Combine_List'!A:E,5,0)</f>
        <v>#N/A</v>
      </c>
      <c r="P649" s="447">
        <f>MONTH(Advices[[#This Row],[Transaction Date]])</f>
        <v>11</v>
      </c>
      <c r="Q649" s="447">
        <f>YEAR(Advices[[#This Row],[Transaction Date]])</f>
        <v>2025</v>
      </c>
      <c r="R649" s="1"/>
    </row>
    <row r="650" spans="1:18" x14ac:dyDescent="0.25">
      <c r="A650" s="1" t="s">
        <v>21</v>
      </c>
      <c r="B650" s="178">
        <v>45971</v>
      </c>
      <c r="C650" s="1" t="s">
        <v>1951</v>
      </c>
      <c r="D650" s="1" t="s">
        <v>2651</v>
      </c>
      <c r="E650" s="1" t="s">
        <v>2647</v>
      </c>
      <c r="F650" s="1" t="s">
        <v>2648</v>
      </c>
      <c r="G650" s="1" t="s">
        <v>26</v>
      </c>
      <c r="H650" s="13">
        <v>-750</v>
      </c>
      <c r="I650" s="13">
        <v>0</v>
      </c>
      <c r="J650" s="1" t="s">
        <v>2791</v>
      </c>
      <c r="K650" s="1" t="s">
        <v>2025</v>
      </c>
      <c r="L650" s="1" t="e">
        <f>VLOOKUP(Advices[[#This Row],[LC Number]],'Combine_List'!A:D,2,0)</f>
        <v>#N/A</v>
      </c>
      <c r="M650" s="447" t="e">
        <f>VLOOKUP(Advices[[#This Row],[LC Number]],'Combine_List'!A:D,3,0)</f>
        <v>#N/A</v>
      </c>
      <c r="N650" s="447" t="e">
        <f>VLOOKUP(Advices[[#This Row],[LC Number]],'Combine_List'!A:D,4,0)</f>
        <v>#N/A</v>
      </c>
      <c r="O650" s="447" t="e">
        <f>VLOOKUP(Advices[[#This Row],[LC Number]],'Combine_List'!A:E,5,0)</f>
        <v>#N/A</v>
      </c>
      <c r="P650" s="447">
        <f>MONTH(Advices[[#This Row],[Transaction Date]])</f>
        <v>11</v>
      </c>
      <c r="Q650" s="447">
        <f>YEAR(Advices[[#This Row],[Transaction Date]])</f>
        <v>2025</v>
      </c>
      <c r="R650" s="1"/>
    </row>
    <row r="651" spans="1:18" x14ac:dyDescent="0.25">
      <c r="A651" s="1" t="s">
        <v>21</v>
      </c>
      <c r="B651" s="178">
        <v>45971</v>
      </c>
      <c r="C651" s="1" t="s">
        <v>1951</v>
      </c>
      <c r="D651" s="1" t="s">
        <v>2652</v>
      </c>
      <c r="E651" s="1" t="s">
        <v>2647</v>
      </c>
      <c r="F651" s="1" t="s">
        <v>2648</v>
      </c>
      <c r="G651" s="1" t="s">
        <v>26</v>
      </c>
      <c r="H651" s="13">
        <v>-123144</v>
      </c>
      <c r="I651" s="13">
        <v>0</v>
      </c>
      <c r="J651" s="1" t="s">
        <v>1126</v>
      </c>
      <c r="K651" s="1" t="s">
        <v>2025</v>
      </c>
      <c r="L651" s="1" t="e">
        <f>VLOOKUP(Advices[[#This Row],[LC Number]],'Combine_List'!A:D,2,0)</f>
        <v>#N/A</v>
      </c>
      <c r="M651" s="447" t="e">
        <f>VLOOKUP(Advices[[#This Row],[LC Number]],'Combine_List'!A:D,3,0)</f>
        <v>#N/A</v>
      </c>
      <c r="N651" s="447" t="e">
        <f>VLOOKUP(Advices[[#This Row],[LC Number]],'Combine_List'!A:D,4,0)</f>
        <v>#N/A</v>
      </c>
      <c r="O651" s="447" t="e">
        <f>VLOOKUP(Advices[[#This Row],[LC Number]],'Combine_List'!A:E,5,0)</f>
        <v>#N/A</v>
      </c>
      <c r="P651" s="447">
        <f>MONTH(Advices[[#This Row],[Transaction Date]])</f>
        <v>11</v>
      </c>
      <c r="Q651" s="447">
        <f>YEAR(Advices[[#This Row],[Transaction Date]])</f>
        <v>2025</v>
      </c>
      <c r="R651" s="1"/>
    </row>
    <row r="652" spans="1:18" x14ac:dyDescent="0.25">
      <c r="A652" s="1" t="s">
        <v>21</v>
      </c>
      <c r="B652" s="178">
        <v>45972</v>
      </c>
      <c r="C652" s="1" t="s">
        <v>1951</v>
      </c>
      <c r="D652" s="1" t="s">
        <v>2653</v>
      </c>
      <c r="E652" s="1" t="s">
        <v>2569</v>
      </c>
      <c r="F652" s="1" t="s">
        <v>2569</v>
      </c>
      <c r="G652" s="1" t="s">
        <v>26</v>
      </c>
      <c r="H652" s="13">
        <v>-105</v>
      </c>
      <c r="I652" s="13">
        <v>0</v>
      </c>
      <c r="J652" s="1" t="s">
        <v>1174</v>
      </c>
      <c r="K652" s="1" t="s">
        <v>2025</v>
      </c>
      <c r="L652" s="1" t="str">
        <f>VLOOKUP(Advices[[#This Row],[LC Number]],'Combine_List'!A:D,2,0)</f>
        <v>Hamada Decoration Company</v>
      </c>
      <c r="M652" s="447" t="str">
        <f>VLOOKUP(Advices[[#This Row],[LC Number]],'Combine_List'!A:D,3,0)</f>
        <v>MBL</v>
      </c>
      <c r="N652" s="447" t="str">
        <f>VLOOKUP(Advices[[#This Row],[LC Number]],'Combine_List'!A:D,4,0)</f>
        <v>ADF</v>
      </c>
      <c r="O652" s="447">
        <f>VLOOKUP(Advices[[#This Row],[LC Number]],'Combine_List'!A:E,5,0)</f>
        <v>1020001</v>
      </c>
      <c r="P652" s="447">
        <f>MONTH(Advices[[#This Row],[Transaction Date]])</f>
        <v>11</v>
      </c>
      <c r="Q652" s="447">
        <f>YEAR(Advices[[#This Row],[Transaction Date]])</f>
        <v>2025</v>
      </c>
      <c r="R652" s="1"/>
    </row>
    <row r="653" spans="1:18" x14ac:dyDescent="0.25">
      <c r="A653" s="1" t="s">
        <v>21</v>
      </c>
      <c r="B653" s="178">
        <v>45972</v>
      </c>
      <c r="C653" s="1" t="s">
        <v>1951</v>
      </c>
      <c r="D653" s="1" t="s">
        <v>2654</v>
      </c>
      <c r="E653" s="1" t="s">
        <v>2569</v>
      </c>
      <c r="F653" s="1" t="s">
        <v>2569</v>
      </c>
      <c r="G653" s="1" t="s">
        <v>26</v>
      </c>
      <c r="H653" s="13">
        <v>-700</v>
      </c>
      <c r="I653" s="13">
        <v>0</v>
      </c>
      <c r="J653" s="1" t="s">
        <v>1963</v>
      </c>
      <c r="K653" s="1" t="s">
        <v>2025</v>
      </c>
      <c r="L653" s="1" t="str">
        <f>VLOOKUP(Advices[[#This Row],[LC Number]],'Combine_List'!A:D,2,0)</f>
        <v>Hamada Decoration Company</v>
      </c>
      <c r="M653" s="447" t="str">
        <f>VLOOKUP(Advices[[#This Row],[LC Number]],'Combine_List'!A:D,3,0)</f>
        <v>MBL</v>
      </c>
      <c r="N653" s="447" t="str">
        <f>VLOOKUP(Advices[[#This Row],[LC Number]],'Combine_List'!A:D,4,0)</f>
        <v>ADF</v>
      </c>
      <c r="O653" s="447">
        <f>VLOOKUP(Advices[[#This Row],[LC Number]],'Combine_List'!A:E,5,0)</f>
        <v>1020001</v>
      </c>
      <c r="P653" s="447">
        <f>MONTH(Advices[[#This Row],[Transaction Date]])</f>
        <v>11</v>
      </c>
      <c r="Q653" s="447">
        <f>YEAR(Advices[[#This Row],[Transaction Date]])</f>
        <v>2025</v>
      </c>
      <c r="R653" s="1"/>
    </row>
    <row r="654" spans="1:18" x14ac:dyDescent="0.25">
      <c r="A654" s="1" t="s">
        <v>21</v>
      </c>
      <c r="B654" s="178">
        <v>45972</v>
      </c>
      <c r="C654" s="1" t="s">
        <v>1951</v>
      </c>
      <c r="D654" s="1" t="s">
        <v>2653</v>
      </c>
      <c r="E654" s="1" t="s">
        <v>2569</v>
      </c>
      <c r="F654" s="1" t="s">
        <v>2569</v>
      </c>
      <c r="G654" s="1" t="s">
        <v>26</v>
      </c>
      <c r="H654" s="13">
        <v>-17700</v>
      </c>
      <c r="I654" s="13">
        <v>0</v>
      </c>
      <c r="J654" s="1" t="s">
        <v>1174</v>
      </c>
      <c r="K654" s="1" t="s">
        <v>2025</v>
      </c>
      <c r="L654" s="1" t="str">
        <f>VLOOKUP(Advices[[#This Row],[LC Number]],'Combine_List'!A:D,2,0)</f>
        <v>Hamada Decoration Company</v>
      </c>
      <c r="M654" s="447" t="str">
        <f>VLOOKUP(Advices[[#This Row],[LC Number]],'Combine_List'!A:D,3,0)</f>
        <v>MBL</v>
      </c>
      <c r="N654" s="447" t="str">
        <f>VLOOKUP(Advices[[#This Row],[LC Number]],'Combine_List'!A:D,4,0)</f>
        <v>ADF</v>
      </c>
      <c r="O654" s="447">
        <f>VLOOKUP(Advices[[#This Row],[LC Number]],'Combine_List'!A:E,5,0)</f>
        <v>1020001</v>
      </c>
      <c r="P654" s="447">
        <f>MONTH(Advices[[#This Row],[Transaction Date]])</f>
        <v>11</v>
      </c>
      <c r="Q654" s="447">
        <f>YEAR(Advices[[#This Row],[Transaction Date]])</f>
        <v>2025</v>
      </c>
      <c r="R654" s="1"/>
    </row>
    <row r="655" spans="1:18" x14ac:dyDescent="0.25">
      <c r="A655" s="1" t="s">
        <v>21</v>
      </c>
      <c r="B655" s="178">
        <v>45972</v>
      </c>
      <c r="C655" s="1" t="s">
        <v>1951</v>
      </c>
      <c r="D655" s="1" t="s">
        <v>2655</v>
      </c>
      <c r="E655" s="1" t="s">
        <v>2569</v>
      </c>
      <c r="F655" s="1" t="s">
        <v>2569</v>
      </c>
      <c r="G655" s="1" t="s">
        <v>26</v>
      </c>
      <c r="H655" s="13">
        <v>-118000</v>
      </c>
      <c r="I655" s="13">
        <v>0</v>
      </c>
      <c r="J655" s="1" t="s">
        <v>2616</v>
      </c>
      <c r="K655" s="1" t="s">
        <v>2025</v>
      </c>
      <c r="L655" s="1" t="str">
        <f>VLOOKUP(Advices[[#This Row],[LC Number]],'Combine_List'!A:D,2,0)</f>
        <v>Hamada Decoration Company</v>
      </c>
      <c r="M655" s="447" t="str">
        <f>VLOOKUP(Advices[[#This Row],[LC Number]],'Combine_List'!A:D,3,0)</f>
        <v>MBL</v>
      </c>
      <c r="N655" s="447" t="str">
        <f>VLOOKUP(Advices[[#This Row],[LC Number]],'Combine_List'!A:D,4,0)</f>
        <v>ADF</v>
      </c>
      <c r="O655" s="447">
        <f>VLOOKUP(Advices[[#This Row],[LC Number]],'Combine_List'!A:E,5,0)</f>
        <v>1020001</v>
      </c>
      <c r="P655" s="447">
        <f>MONTH(Advices[[#This Row],[Transaction Date]])</f>
        <v>11</v>
      </c>
      <c r="Q655" s="447">
        <f>YEAR(Advices[[#This Row],[Transaction Date]])</f>
        <v>2025</v>
      </c>
      <c r="R655" s="1"/>
    </row>
    <row r="656" spans="1:18" x14ac:dyDescent="0.25">
      <c r="A656" s="1" t="s">
        <v>21</v>
      </c>
      <c r="B656" s="178">
        <v>45973</v>
      </c>
      <c r="C656" s="1" t="s">
        <v>1951</v>
      </c>
      <c r="D656" s="1" t="s">
        <v>1960</v>
      </c>
      <c r="E656" s="1" t="s">
        <v>1401</v>
      </c>
      <c r="F656" s="1" t="s">
        <v>2656</v>
      </c>
      <c r="G656" s="1" t="s">
        <v>26</v>
      </c>
      <c r="H656" s="13">
        <v>-11.25</v>
      </c>
      <c r="I656" s="13">
        <v>0</v>
      </c>
      <c r="J656" s="1" t="s">
        <v>1174</v>
      </c>
      <c r="K656" s="1" t="s">
        <v>2025</v>
      </c>
      <c r="L656" s="1" t="str">
        <f>VLOOKUP(Advices[[#This Row],[LC Number]],'Combine_List'!A:D,2,0)</f>
        <v>ALFANAR ELECTRICAL SYSTEMS</v>
      </c>
      <c r="M656" s="447" t="str">
        <f>VLOOKUP(Advices[[#This Row],[LC Number]],'Combine_List'!A:D,3,0)</f>
        <v>FIRST FIX</v>
      </c>
      <c r="N656" s="447" t="str">
        <f>VLOOKUP(Advices[[#This Row],[LC Number]],'Combine_List'!A:D,4,0)</f>
        <v>KSP</v>
      </c>
      <c r="O656" s="447">
        <f>VLOOKUP(Advices[[#This Row],[LC Number]],'Combine_List'!A:E,5,0)</f>
        <v>1020055</v>
      </c>
      <c r="P656" s="447">
        <f>MONTH(Advices[[#This Row],[Transaction Date]])</f>
        <v>11</v>
      </c>
      <c r="Q656" s="447">
        <f>YEAR(Advices[[#This Row],[Transaction Date]])</f>
        <v>2025</v>
      </c>
      <c r="R656" s="1"/>
    </row>
    <row r="657" spans="1:18" x14ac:dyDescent="0.25">
      <c r="A657" s="1" t="s">
        <v>21</v>
      </c>
      <c r="B657" s="178">
        <v>45973</v>
      </c>
      <c r="C657" s="1" t="s">
        <v>1951</v>
      </c>
      <c r="D657" s="1" t="s">
        <v>2657</v>
      </c>
      <c r="E657" s="1" t="s">
        <v>1401</v>
      </c>
      <c r="F657" s="1" t="s">
        <v>2656</v>
      </c>
      <c r="G657" s="1" t="s">
        <v>26</v>
      </c>
      <c r="H657" s="13">
        <v>-75</v>
      </c>
      <c r="I657" s="13">
        <v>0</v>
      </c>
      <c r="J657" s="1" t="s">
        <v>1963</v>
      </c>
      <c r="K657" s="1" t="s">
        <v>2025</v>
      </c>
      <c r="L657" s="1" t="str">
        <f>VLOOKUP(Advices[[#This Row],[LC Number]],'Combine_List'!A:D,2,0)</f>
        <v>ALFANAR ELECTRICAL SYSTEMS</v>
      </c>
      <c r="M657" s="447" t="str">
        <f>VLOOKUP(Advices[[#This Row],[LC Number]],'Combine_List'!A:D,3,0)</f>
        <v>FIRST FIX</v>
      </c>
      <c r="N657" s="447" t="str">
        <f>VLOOKUP(Advices[[#This Row],[LC Number]],'Combine_List'!A:D,4,0)</f>
        <v>KSP</v>
      </c>
      <c r="O657" s="447">
        <f>VLOOKUP(Advices[[#This Row],[LC Number]],'Combine_List'!A:E,5,0)</f>
        <v>1020055</v>
      </c>
      <c r="P657" s="447">
        <f>MONTH(Advices[[#This Row],[Transaction Date]])</f>
        <v>11</v>
      </c>
      <c r="Q657" s="447">
        <f>YEAR(Advices[[#This Row],[Transaction Date]])</f>
        <v>2025</v>
      </c>
      <c r="R657" s="1"/>
    </row>
    <row r="658" spans="1:18" x14ac:dyDescent="0.25">
      <c r="A658" s="1" t="s">
        <v>21</v>
      </c>
      <c r="B658" s="178">
        <v>45973</v>
      </c>
      <c r="C658" s="1" t="s">
        <v>1951</v>
      </c>
      <c r="D658" s="1" t="s">
        <v>2658</v>
      </c>
      <c r="E658" s="1" t="s">
        <v>1401</v>
      </c>
      <c r="F658" s="1" t="s">
        <v>2656</v>
      </c>
      <c r="G658" s="1" t="s">
        <v>26</v>
      </c>
      <c r="H658" s="13">
        <v>-394800</v>
      </c>
      <c r="I658" s="13">
        <v>0</v>
      </c>
      <c r="J658" s="1" t="s">
        <v>1126</v>
      </c>
      <c r="K658" s="1" t="s">
        <v>2025</v>
      </c>
      <c r="L658" s="1" t="str">
        <f>VLOOKUP(Advices[[#This Row],[LC Number]],'Combine_List'!A:D,2,0)</f>
        <v>ALFANAR ELECTRICAL SYSTEMS</v>
      </c>
      <c r="M658" s="447" t="str">
        <f>VLOOKUP(Advices[[#This Row],[LC Number]],'Combine_List'!A:D,3,0)</f>
        <v>FIRST FIX</v>
      </c>
      <c r="N658" s="447" t="str">
        <f>VLOOKUP(Advices[[#This Row],[LC Number]],'Combine_List'!A:D,4,0)</f>
        <v>KSP</v>
      </c>
      <c r="O658" s="447">
        <f>VLOOKUP(Advices[[#This Row],[LC Number]],'Combine_List'!A:E,5,0)</f>
        <v>1020055</v>
      </c>
      <c r="P658" s="447">
        <f>MONTH(Advices[[#This Row],[Transaction Date]])</f>
        <v>11</v>
      </c>
      <c r="Q658" s="447">
        <f>YEAR(Advices[[#This Row],[Transaction Date]])</f>
        <v>2025</v>
      </c>
      <c r="R658" s="1"/>
    </row>
    <row r="659" spans="1:18" x14ac:dyDescent="0.25">
      <c r="A659" s="1" t="s">
        <v>21</v>
      </c>
      <c r="B659" s="178">
        <v>45973</v>
      </c>
      <c r="C659" s="1" t="s">
        <v>1951</v>
      </c>
      <c r="D659" s="1" t="s">
        <v>2659</v>
      </c>
      <c r="E659" s="1" t="s">
        <v>2619</v>
      </c>
      <c r="F659" s="1" t="s">
        <v>2619</v>
      </c>
      <c r="G659" s="1" t="s">
        <v>26</v>
      </c>
      <c r="H659" s="13">
        <v>-105</v>
      </c>
      <c r="I659" s="13">
        <v>0</v>
      </c>
      <c r="J659" s="1" t="s">
        <v>1174</v>
      </c>
      <c r="K659" s="1" t="s">
        <v>2025</v>
      </c>
      <c r="L659" s="1" t="str">
        <f>VLOOKUP(Advices[[#This Row],[LC Number]],'Combine_List'!A:D,2,0)</f>
        <v>AL MOUSA TRADING CO.</v>
      </c>
      <c r="M659" s="447" t="str">
        <f>VLOOKUP(Advices[[#This Row],[LC Number]],'Combine_List'!A:D,3,0)</f>
        <v>FIRST FIX</v>
      </c>
      <c r="N659" s="447" t="str">
        <f>VLOOKUP(Advices[[#This Row],[LC Number]],'Combine_List'!A:D,4,0)</f>
        <v>KSP</v>
      </c>
      <c r="O659" s="447">
        <f>VLOOKUP(Advices[[#This Row],[LC Number]],'Combine_List'!A:E,5,0)</f>
        <v>1020055</v>
      </c>
      <c r="P659" s="447">
        <f>MONTH(Advices[[#This Row],[Transaction Date]])</f>
        <v>11</v>
      </c>
      <c r="Q659" s="447">
        <f>YEAR(Advices[[#This Row],[Transaction Date]])</f>
        <v>2025</v>
      </c>
      <c r="R659" s="1"/>
    </row>
    <row r="660" spans="1:18" x14ac:dyDescent="0.25">
      <c r="A660" s="1" t="s">
        <v>21</v>
      </c>
      <c r="B660" s="178">
        <v>45973</v>
      </c>
      <c r="C660" s="1" t="s">
        <v>1951</v>
      </c>
      <c r="D660" s="1" t="s">
        <v>2659</v>
      </c>
      <c r="E660" s="1" t="s">
        <v>2619</v>
      </c>
      <c r="F660" s="1" t="s">
        <v>2619</v>
      </c>
      <c r="G660" s="1" t="s">
        <v>26</v>
      </c>
      <c r="H660" s="13">
        <v>-309.83</v>
      </c>
      <c r="I660" s="13">
        <v>0</v>
      </c>
      <c r="J660" s="1" t="s">
        <v>1174</v>
      </c>
      <c r="K660" s="1" t="s">
        <v>2025</v>
      </c>
      <c r="L660" s="1" t="str">
        <f>VLOOKUP(Advices[[#This Row],[LC Number]],'Combine_List'!A:D,2,0)</f>
        <v>AL MOUSA TRADING CO.</v>
      </c>
      <c r="M660" s="447" t="str">
        <f>VLOOKUP(Advices[[#This Row],[LC Number]],'Combine_List'!A:D,3,0)</f>
        <v>FIRST FIX</v>
      </c>
      <c r="N660" s="447" t="str">
        <f>VLOOKUP(Advices[[#This Row],[LC Number]],'Combine_List'!A:D,4,0)</f>
        <v>KSP</v>
      </c>
      <c r="O660" s="447">
        <f>VLOOKUP(Advices[[#This Row],[LC Number]],'Combine_List'!A:E,5,0)</f>
        <v>1020055</v>
      </c>
      <c r="P660" s="447">
        <f>MONTH(Advices[[#This Row],[Transaction Date]])</f>
        <v>11</v>
      </c>
      <c r="Q660" s="447">
        <f>YEAR(Advices[[#This Row],[Transaction Date]])</f>
        <v>2025</v>
      </c>
      <c r="R660" s="1"/>
    </row>
    <row r="661" spans="1:18" x14ac:dyDescent="0.25">
      <c r="A661" s="1" t="s">
        <v>21</v>
      </c>
      <c r="B661" s="178">
        <v>45973</v>
      </c>
      <c r="C661" s="1" t="s">
        <v>1951</v>
      </c>
      <c r="D661" s="1" t="s">
        <v>2660</v>
      </c>
      <c r="E661" s="1" t="s">
        <v>2619</v>
      </c>
      <c r="F661" s="1" t="s">
        <v>2619</v>
      </c>
      <c r="G661" s="1" t="s">
        <v>26</v>
      </c>
      <c r="H661" s="13">
        <v>-700</v>
      </c>
      <c r="I661" s="13">
        <v>0</v>
      </c>
      <c r="J661" s="1" t="s">
        <v>1963</v>
      </c>
      <c r="K661" s="1" t="s">
        <v>2025</v>
      </c>
      <c r="L661" s="1" t="str">
        <f>VLOOKUP(Advices[[#This Row],[LC Number]],'Combine_List'!A:D,2,0)</f>
        <v>AL MOUSA TRADING CO.</v>
      </c>
      <c r="M661" s="447" t="str">
        <f>VLOOKUP(Advices[[#This Row],[LC Number]],'Combine_List'!A:D,3,0)</f>
        <v>FIRST FIX</v>
      </c>
      <c r="N661" s="447" t="str">
        <f>VLOOKUP(Advices[[#This Row],[LC Number]],'Combine_List'!A:D,4,0)</f>
        <v>KSP</v>
      </c>
      <c r="O661" s="447">
        <f>VLOOKUP(Advices[[#This Row],[LC Number]],'Combine_List'!A:E,5,0)</f>
        <v>1020055</v>
      </c>
      <c r="P661" s="447">
        <f>MONTH(Advices[[#This Row],[Transaction Date]])</f>
        <v>11</v>
      </c>
      <c r="Q661" s="447">
        <f>YEAR(Advices[[#This Row],[Transaction Date]])</f>
        <v>2025</v>
      </c>
      <c r="R661" s="1"/>
    </row>
    <row r="662" spans="1:18" x14ac:dyDescent="0.25">
      <c r="A662" s="1" t="s">
        <v>21</v>
      </c>
      <c r="B662" s="178">
        <v>45973</v>
      </c>
      <c r="C662" s="1" t="s">
        <v>1951</v>
      </c>
      <c r="D662" s="1" t="s">
        <v>2661</v>
      </c>
      <c r="E662" s="1" t="s">
        <v>2619</v>
      </c>
      <c r="F662" s="1" t="s">
        <v>2619</v>
      </c>
      <c r="G662" s="1" t="s">
        <v>26</v>
      </c>
      <c r="H662" s="13">
        <v>-2065.54</v>
      </c>
      <c r="I662" s="13">
        <v>0</v>
      </c>
      <c r="J662" s="1" t="s">
        <v>2616</v>
      </c>
      <c r="K662" s="1" t="s">
        <v>2025</v>
      </c>
      <c r="L662" s="1" t="str">
        <f>VLOOKUP(Advices[[#This Row],[LC Number]],'Combine_List'!A:D,2,0)</f>
        <v>AL MOUSA TRADING CO.</v>
      </c>
      <c r="M662" s="447" t="str">
        <f>VLOOKUP(Advices[[#This Row],[LC Number]],'Combine_List'!A:D,3,0)</f>
        <v>FIRST FIX</v>
      </c>
      <c r="N662" s="447" t="str">
        <f>VLOOKUP(Advices[[#This Row],[LC Number]],'Combine_List'!A:D,4,0)</f>
        <v>KSP</v>
      </c>
      <c r="O662" s="447">
        <f>VLOOKUP(Advices[[#This Row],[LC Number]],'Combine_List'!A:E,5,0)</f>
        <v>1020055</v>
      </c>
      <c r="P662" s="447">
        <f>MONTH(Advices[[#This Row],[Transaction Date]])</f>
        <v>11</v>
      </c>
      <c r="Q662" s="447">
        <f>YEAR(Advices[[#This Row],[Transaction Date]])</f>
        <v>2025</v>
      </c>
      <c r="R662" s="1"/>
    </row>
    <row r="663" spans="1:18" x14ac:dyDescent="0.25">
      <c r="A663" s="1" t="s">
        <v>21</v>
      </c>
      <c r="B663" s="178">
        <v>45973</v>
      </c>
      <c r="C663" s="1" t="s">
        <v>1951</v>
      </c>
      <c r="D663" s="1" t="s">
        <v>2662</v>
      </c>
      <c r="E663" s="1" t="s">
        <v>2620</v>
      </c>
      <c r="F663" s="1" t="s">
        <v>2620</v>
      </c>
      <c r="G663" s="1" t="s">
        <v>26</v>
      </c>
      <c r="H663" s="13">
        <v>-105</v>
      </c>
      <c r="I663" s="13">
        <v>0</v>
      </c>
      <c r="J663" s="1" t="s">
        <v>1174</v>
      </c>
      <c r="K663" s="1" t="s">
        <v>2025</v>
      </c>
      <c r="L663" s="1" t="str">
        <f>VLOOKUP(Advices[[#This Row],[LC Number]],'Combine_List'!A:D,2,0)</f>
        <v>Mohammad Saleh Bahareth co.</v>
      </c>
      <c r="M663" s="447" t="str">
        <f>VLOOKUP(Advices[[#This Row],[LC Number]],'Combine_List'!A:D,3,0)</f>
        <v>FIRST FIX</v>
      </c>
      <c r="N663" s="447" t="str">
        <f>VLOOKUP(Advices[[#This Row],[LC Number]],'Combine_List'!A:D,4,0)</f>
        <v>KSP</v>
      </c>
      <c r="O663" s="447">
        <f>VLOOKUP(Advices[[#This Row],[LC Number]],'Combine_List'!A:E,5,0)</f>
        <v>1020055</v>
      </c>
      <c r="P663" s="447">
        <f>MONTH(Advices[[#This Row],[Transaction Date]])</f>
        <v>11</v>
      </c>
      <c r="Q663" s="447">
        <f>YEAR(Advices[[#This Row],[Transaction Date]])</f>
        <v>2025</v>
      </c>
      <c r="R663" s="1"/>
    </row>
    <row r="664" spans="1:18" x14ac:dyDescent="0.25">
      <c r="A664" s="1" t="s">
        <v>21</v>
      </c>
      <c r="B664" s="178">
        <v>45973</v>
      </c>
      <c r="C664" s="1" t="s">
        <v>1951</v>
      </c>
      <c r="D664" s="1" t="s">
        <v>2662</v>
      </c>
      <c r="E664" s="1" t="s">
        <v>2620</v>
      </c>
      <c r="F664" s="1" t="s">
        <v>2620</v>
      </c>
      <c r="G664" s="1" t="s">
        <v>26</v>
      </c>
      <c r="H664" s="13">
        <v>-180.95</v>
      </c>
      <c r="I664" s="13">
        <v>0</v>
      </c>
      <c r="J664" s="1" t="s">
        <v>1174</v>
      </c>
      <c r="K664" s="1" t="s">
        <v>2025</v>
      </c>
      <c r="L664" s="1" t="str">
        <f>VLOOKUP(Advices[[#This Row],[LC Number]],'Combine_List'!A:D,2,0)</f>
        <v>Mohammad Saleh Bahareth co.</v>
      </c>
      <c r="M664" s="447" t="str">
        <f>VLOOKUP(Advices[[#This Row],[LC Number]],'Combine_List'!A:D,3,0)</f>
        <v>FIRST FIX</v>
      </c>
      <c r="N664" s="447" t="str">
        <f>VLOOKUP(Advices[[#This Row],[LC Number]],'Combine_List'!A:D,4,0)</f>
        <v>KSP</v>
      </c>
      <c r="O664" s="447">
        <f>VLOOKUP(Advices[[#This Row],[LC Number]],'Combine_List'!A:E,5,0)</f>
        <v>1020055</v>
      </c>
      <c r="P664" s="447">
        <f>MONTH(Advices[[#This Row],[Transaction Date]])</f>
        <v>11</v>
      </c>
      <c r="Q664" s="447">
        <f>YEAR(Advices[[#This Row],[Transaction Date]])</f>
        <v>2025</v>
      </c>
      <c r="R664" s="1"/>
    </row>
    <row r="665" spans="1:18" x14ac:dyDescent="0.25">
      <c r="A665" s="1" t="s">
        <v>21</v>
      </c>
      <c r="B665" s="178">
        <v>45973</v>
      </c>
      <c r="C665" s="1" t="s">
        <v>1951</v>
      </c>
      <c r="D665" s="1" t="s">
        <v>2663</v>
      </c>
      <c r="E665" s="1" t="s">
        <v>2620</v>
      </c>
      <c r="F665" s="1" t="s">
        <v>2620</v>
      </c>
      <c r="G665" s="1" t="s">
        <v>26</v>
      </c>
      <c r="H665" s="13">
        <v>-700</v>
      </c>
      <c r="I665" s="13">
        <v>0</v>
      </c>
      <c r="J665" s="1" t="s">
        <v>1963</v>
      </c>
      <c r="K665" s="1" t="s">
        <v>2025</v>
      </c>
      <c r="L665" s="1" t="str">
        <f>VLOOKUP(Advices[[#This Row],[LC Number]],'Combine_List'!A:D,2,0)</f>
        <v>Mohammad Saleh Bahareth co.</v>
      </c>
      <c r="M665" s="447" t="str">
        <f>VLOOKUP(Advices[[#This Row],[LC Number]],'Combine_List'!A:D,3,0)</f>
        <v>FIRST FIX</v>
      </c>
      <c r="N665" s="447" t="str">
        <f>VLOOKUP(Advices[[#This Row],[LC Number]],'Combine_List'!A:D,4,0)</f>
        <v>KSP</v>
      </c>
      <c r="O665" s="447">
        <f>VLOOKUP(Advices[[#This Row],[LC Number]],'Combine_List'!A:E,5,0)</f>
        <v>1020055</v>
      </c>
      <c r="P665" s="447">
        <f>MONTH(Advices[[#This Row],[Transaction Date]])</f>
        <v>11</v>
      </c>
      <c r="Q665" s="447">
        <f>YEAR(Advices[[#This Row],[Transaction Date]])</f>
        <v>2025</v>
      </c>
      <c r="R665" s="1"/>
    </row>
    <row r="666" spans="1:18" x14ac:dyDescent="0.25">
      <c r="A666" s="1" t="s">
        <v>21</v>
      </c>
      <c r="B666" s="178">
        <v>45973</v>
      </c>
      <c r="C666" s="1" t="s">
        <v>1951</v>
      </c>
      <c r="D666" s="1" t="s">
        <v>2664</v>
      </c>
      <c r="E666" s="1" t="s">
        <v>2620</v>
      </c>
      <c r="F666" s="1" t="s">
        <v>2620</v>
      </c>
      <c r="G666" s="1" t="s">
        <v>26</v>
      </c>
      <c r="H666" s="13">
        <v>-1206.32</v>
      </c>
      <c r="I666" s="13">
        <v>0</v>
      </c>
      <c r="J666" s="1" t="s">
        <v>2616</v>
      </c>
      <c r="K666" s="1" t="s">
        <v>2025</v>
      </c>
      <c r="L666" s="1" t="str">
        <f>VLOOKUP(Advices[[#This Row],[LC Number]],'Combine_List'!A:D,2,0)</f>
        <v>Mohammad Saleh Bahareth co.</v>
      </c>
      <c r="M666" s="447" t="str">
        <f>VLOOKUP(Advices[[#This Row],[LC Number]],'Combine_List'!A:D,3,0)</f>
        <v>FIRST FIX</v>
      </c>
      <c r="N666" s="447" t="str">
        <f>VLOOKUP(Advices[[#This Row],[LC Number]],'Combine_List'!A:D,4,0)</f>
        <v>KSP</v>
      </c>
      <c r="O666" s="447">
        <f>VLOOKUP(Advices[[#This Row],[LC Number]],'Combine_List'!A:E,5,0)</f>
        <v>1020055</v>
      </c>
      <c r="P666" s="447">
        <f>MONTH(Advices[[#This Row],[Transaction Date]])</f>
        <v>11</v>
      </c>
      <c r="Q666" s="447">
        <f>YEAR(Advices[[#This Row],[Transaction Date]])</f>
        <v>2025</v>
      </c>
      <c r="R666" s="1"/>
    </row>
    <row r="667" spans="1:18" x14ac:dyDescent="0.25">
      <c r="A667" s="1" t="s">
        <v>21</v>
      </c>
      <c r="B667" s="178">
        <v>45973</v>
      </c>
      <c r="C667" s="1" t="s">
        <v>1951</v>
      </c>
      <c r="D667" s="1" t="s">
        <v>2665</v>
      </c>
      <c r="E667" s="1" t="s">
        <v>2618</v>
      </c>
      <c r="F667" s="1" t="s">
        <v>2618</v>
      </c>
      <c r="G667" s="1" t="s">
        <v>26</v>
      </c>
      <c r="H667" s="13">
        <v>-105</v>
      </c>
      <c r="I667" s="13">
        <v>0</v>
      </c>
      <c r="J667" s="1" t="s">
        <v>1174</v>
      </c>
      <c r="K667" s="1" t="s">
        <v>2025</v>
      </c>
      <c r="L667" s="1" t="str">
        <f>VLOOKUP(Advices[[#This Row],[LC Number]],'Combine_List'!A:D,2,0)</f>
        <v>AI-Hadbania Trading Co.</v>
      </c>
      <c r="M667" s="447" t="str">
        <f>VLOOKUP(Advices[[#This Row],[LC Number]],'Combine_List'!A:D,3,0)</f>
        <v>FIRST FIX</v>
      </c>
      <c r="N667" s="447" t="str">
        <f>VLOOKUP(Advices[[#This Row],[LC Number]],'Combine_List'!A:D,4,0)</f>
        <v>KSP</v>
      </c>
      <c r="O667" s="447">
        <f>VLOOKUP(Advices[[#This Row],[LC Number]],'Combine_List'!A:E,5,0)</f>
        <v>1020055</v>
      </c>
      <c r="P667" s="447">
        <f>MONTH(Advices[[#This Row],[Transaction Date]])</f>
        <v>11</v>
      </c>
      <c r="Q667" s="447">
        <f>YEAR(Advices[[#This Row],[Transaction Date]])</f>
        <v>2025</v>
      </c>
      <c r="R667" s="1"/>
    </row>
    <row r="668" spans="1:18" x14ac:dyDescent="0.25">
      <c r="A668" s="1" t="s">
        <v>21</v>
      </c>
      <c r="B668" s="178">
        <v>45973</v>
      </c>
      <c r="C668" s="1" t="s">
        <v>1951</v>
      </c>
      <c r="D668" s="1" t="s">
        <v>2666</v>
      </c>
      <c r="E668" s="1" t="s">
        <v>2618</v>
      </c>
      <c r="F668" s="1" t="s">
        <v>2618</v>
      </c>
      <c r="G668" s="1" t="s">
        <v>26</v>
      </c>
      <c r="H668" s="13">
        <v>-700</v>
      </c>
      <c r="I668" s="13">
        <v>0</v>
      </c>
      <c r="J668" s="1" t="s">
        <v>1963</v>
      </c>
      <c r="K668" s="1" t="s">
        <v>2025</v>
      </c>
      <c r="L668" s="1" t="str">
        <f>VLOOKUP(Advices[[#This Row],[LC Number]],'Combine_List'!A:D,2,0)</f>
        <v>AI-Hadbania Trading Co.</v>
      </c>
      <c r="M668" s="447" t="str">
        <f>VLOOKUP(Advices[[#This Row],[LC Number]],'Combine_List'!A:D,3,0)</f>
        <v>FIRST FIX</v>
      </c>
      <c r="N668" s="447" t="str">
        <f>VLOOKUP(Advices[[#This Row],[LC Number]],'Combine_List'!A:D,4,0)</f>
        <v>KSP</v>
      </c>
      <c r="O668" s="447">
        <f>VLOOKUP(Advices[[#This Row],[LC Number]],'Combine_List'!A:E,5,0)</f>
        <v>1020055</v>
      </c>
      <c r="P668" s="447">
        <f>MONTH(Advices[[#This Row],[Transaction Date]])</f>
        <v>11</v>
      </c>
      <c r="Q668" s="447">
        <f>YEAR(Advices[[#This Row],[Transaction Date]])</f>
        <v>2025</v>
      </c>
      <c r="R668" s="1"/>
    </row>
    <row r="669" spans="1:18" x14ac:dyDescent="0.25">
      <c r="A669" s="1" t="s">
        <v>21</v>
      </c>
      <c r="B669" s="178">
        <v>45973</v>
      </c>
      <c r="C669" s="1" t="s">
        <v>1951</v>
      </c>
      <c r="D669" s="1" t="s">
        <v>2665</v>
      </c>
      <c r="E669" s="1" t="s">
        <v>2618</v>
      </c>
      <c r="F669" s="1" t="s">
        <v>2618</v>
      </c>
      <c r="G669" s="1" t="s">
        <v>26</v>
      </c>
      <c r="H669" s="13">
        <v>-728.82</v>
      </c>
      <c r="I669" s="13">
        <v>0</v>
      </c>
      <c r="J669" s="1" t="s">
        <v>1174</v>
      </c>
      <c r="K669" s="1" t="s">
        <v>2025</v>
      </c>
      <c r="L669" s="1" t="str">
        <f>VLOOKUP(Advices[[#This Row],[LC Number]],'Combine_List'!A:D,2,0)</f>
        <v>AI-Hadbania Trading Co.</v>
      </c>
      <c r="M669" s="447" t="str">
        <f>VLOOKUP(Advices[[#This Row],[LC Number]],'Combine_List'!A:D,3,0)</f>
        <v>FIRST FIX</v>
      </c>
      <c r="N669" s="447" t="str">
        <f>VLOOKUP(Advices[[#This Row],[LC Number]],'Combine_List'!A:D,4,0)</f>
        <v>KSP</v>
      </c>
      <c r="O669" s="447">
        <f>VLOOKUP(Advices[[#This Row],[LC Number]],'Combine_List'!A:E,5,0)</f>
        <v>1020055</v>
      </c>
      <c r="P669" s="447">
        <f>MONTH(Advices[[#This Row],[Transaction Date]])</f>
        <v>11</v>
      </c>
      <c r="Q669" s="447">
        <f>YEAR(Advices[[#This Row],[Transaction Date]])</f>
        <v>2025</v>
      </c>
      <c r="R669" s="1"/>
    </row>
    <row r="670" spans="1:18" x14ac:dyDescent="0.25">
      <c r="A670" s="1" t="s">
        <v>21</v>
      </c>
      <c r="B670" s="178">
        <v>45973</v>
      </c>
      <c r="C670" s="1" t="s">
        <v>1951</v>
      </c>
      <c r="D670" s="1" t="s">
        <v>2667</v>
      </c>
      <c r="E670" s="1" t="s">
        <v>2618</v>
      </c>
      <c r="F670" s="1" t="s">
        <v>2618</v>
      </c>
      <c r="G670" s="1" t="s">
        <v>26</v>
      </c>
      <c r="H670" s="13">
        <v>-4858.79</v>
      </c>
      <c r="I670" s="13">
        <v>0</v>
      </c>
      <c r="J670" s="1" t="s">
        <v>2616</v>
      </c>
      <c r="K670" s="1" t="s">
        <v>2025</v>
      </c>
      <c r="L670" s="1" t="str">
        <f>VLOOKUP(Advices[[#This Row],[LC Number]],'Combine_List'!A:D,2,0)</f>
        <v>AI-Hadbania Trading Co.</v>
      </c>
      <c r="M670" s="447" t="str">
        <f>VLOOKUP(Advices[[#This Row],[LC Number]],'Combine_List'!A:D,3,0)</f>
        <v>FIRST FIX</v>
      </c>
      <c r="N670" s="447" t="str">
        <f>VLOOKUP(Advices[[#This Row],[LC Number]],'Combine_List'!A:D,4,0)</f>
        <v>KSP</v>
      </c>
      <c r="O670" s="447">
        <f>VLOOKUP(Advices[[#This Row],[LC Number]],'Combine_List'!A:E,5,0)</f>
        <v>1020055</v>
      </c>
      <c r="P670" s="447">
        <f>MONTH(Advices[[#This Row],[Transaction Date]])</f>
        <v>11</v>
      </c>
      <c r="Q670" s="447">
        <f>YEAR(Advices[[#This Row],[Transaction Date]])</f>
        <v>2025</v>
      </c>
      <c r="R670" s="1"/>
    </row>
    <row r="671" spans="1:18" x14ac:dyDescent="0.25">
      <c r="A671" s="1" t="s">
        <v>21</v>
      </c>
      <c r="B671" s="178">
        <v>45974</v>
      </c>
      <c r="C671" s="1" t="s">
        <v>1951</v>
      </c>
      <c r="D671" s="1" t="s">
        <v>1960</v>
      </c>
      <c r="E671" s="1" t="s">
        <v>793</v>
      </c>
      <c r="F671" s="1" t="s">
        <v>2668</v>
      </c>
      <c r="G671" s="1" t="s">
        <v>26</v>
      </c>
      <c r="H671" s="13">
        <v>-11.25</v>
      </c>
      <c r="I671" s="13">
        <v>0</v>
      </c>
      <c r="J671" s="1" t="s">
        <v>1174</v>
      </c>
      <c r="K671" s="1" t="s">
        <v>2025</v>
      </c>
      <c r="L671" s="1" t="str">
        <f>VLOOKUP(Advices[[#This Row],[LC Number]],'Combine_List'!A:D,2,0)</f>
        <v>ENERGY CONCEPT CO LTD</v>
      </c>
      <c r="M671" s="447" t="str">
        <f>VLOOKUP(Advices[[#This Row],[LC Number]],'Combine_List'!A:D,3,0)</f>
        <v>FIRST FIX</v>
      </c>
      <c r="N671" s="447" t="str">
        <f>VLOOKUP(Advices[[#This Row],[LC Number]],'Combine_List'!A:D,4,0)</f>
        <v>KSP</v>
      </c>
      <c r="O671" s="447">
        <f>VLOOKUP(Advices[[#This Row],[LC Number]],'Combine_List'!A:E,5,0)</f>
        <v>1020055</v>
      </c>
      <c r="P671" s="447">
        <f>MONTH(Advices[[#This Row],[Transaction Date]])</f>
        <v>11</v>
      </c>
      <c r="Q671" s="447">
        <f>YEAR(Advices[[#This Row],[Transaction Date]])</f>
        <v>2025</v>
      </c>
      <c r="R671" s="1"/>
    </row>
    <row r="672" spans="1:18" x14ac:dyDescent="0.25">
      <c r="A672" s="1" t="s">
        <v>21</v>
      </c>
      <c r="B672" s="178">
        <v>45974</v>
      </c>
      <c r="C672" s="1" t="s">
        <v>1951</v>
      </c>
      <c r="D672" s="1" t="s">
        <v>2669</v>
      </c>
      <c r="E672" s="1" t="s">
        <v>793</v>
      </c>
      <c r="F672" s="1" t="s">
        <v>2668</v>
      </c>
      <c r="G672" s="1" t="s">
        <v>26</v>
      </c>
      <c r="H672" s="13">
        <v>-75</v>
      </c>
      <c r="I672" s="13">
        <v>0</v>
      </c>
      <c r="J672" s="1" t="s">
        <v>1963</v>
      </c>
      <c r="K672" s="1" t="s">
        <v>2025</v>
      </c>
      <c r="L672" s="1" t="str">
        <f>VLOOKUP(Advices[[#This Row],[LC Number]],'Combine_List'!A:D,2,0)</f>
        <v>ENERGY CONCEPT CO LTD</v>
      </c>
      <c r="M672" s="447" t="str">
        <f>VLOOKUP(Advices[[#This Row],[LC Number]],'Combine_List'!A:D,3,0)</f>
        <v>FIRST FIX</v>
      </c>
      <c r="N672" s="447" t="str">
        <f>VLOOKUP(Advices[[#This Row],[LC Number]],'Combine_List'!A:D,4,0)</f>
        <v>KSP</v>
      </c>
      <c r="O672" s="447">
        <f>VLOOKUP(Advices[[#This Row],[LC Number]],'Combine_List'!A:E,5,0)</f>
        <v>1020055</v>
      </c>
      <c r="P672" s="447">
        <f>MONTH(Advices[[#This Row],[Transaction Date]])</f>
        <v>11</v>
      </c>
      <c r="Q672" s="447">
        <f>YEAR(Advices[[#This Row],[Transaction Date]])</f>
        <v>2025</v>
      </c>
      <c r="R672" s="1"/>
    </row>
    <row r="673" spans="1:18" x14ac:dyDescent="0.25">
      <c r="A673" s="1" t="s">
        <v>21</v>
      </c>
      <c r="B673" s="178">
        <v>45974</v>
      </c>
      <c r="C673" s="1" t="s">
        <v>1951</v>
      </c>
      <c r="D673" s="1" t="s">
        <v>2670</v>
      </c>
      <c r="E673" s="1" t="s">
        <v>793</v>
      </c>
      <c r="F673" s="1" t="s">
        <v>2668</v>
      </c>
      <c r="G673" s="1" t="s">
        <v>26</v>
      </c>
      <c r="H673" s="13">
        <v>-400000</v>
      </c>
      <c r="I673" s="13">
        <v>0</v>
      </c>
      <c r="J673" s="1" t="s">
        <v>1126</v>
      </c>
      <c r="K673" s="1" t="s">
        <v>2025</v>
      </c>
      <c r="L673" s="1" t="str">
        <f>VLOOKUP(Advices[[#This Row],[LC Number]],'Combine_List'!A:D,2,0)</f>
        <v>ENERGY CONCEPT CO LTD</v>
      </c>
      <c r="M673" s="447" t="str">
        <f>VLOOKUP(Advices[[#This Row],[LC Number]],'Combine_List'!A:D,3,0)</f>
        <v>FIRST FIX</v>
      </c>
      <c r="N673" s="447" t="str">
        <f>VLOOKUP(Advices[[#This Row],[LC Number]],'Combine_List'!A:D,4,0)</f>
        <v>KSP</v>
      </c>
      <c r="O673" s="447">
        <f>VLOOKUP(Advices[[#This Row],[LC Number]],'Combine_List'!A:E,5,0)</f>
        <v>1020055</v>
      </c>
      <c r="P673" s="447">
        <f>MONTH(Advices[[#This Row],[Transaction Date]])</f>
        <v>11</v>
      </c>
      <c r="Q673" s="447">
        <f>YEAR(Advices[[#This Row],[Transaction Date]])</f>
        <v>2025</v>
      </c>
      <c r="R673" s="1"/>
    </row>
    <row r="674" spans="1:18" x14ac:dyDescent="0.25">
      <c r="A674" s="1" t="s">
        <v>21</v>
      </c>
      <c r="B674" s="178">
        <v>45974</v>
      </c>
      <c r="C674" s="1" t="s">
        <v>1951</v>
      </c>
      <c r="D674" s="1" t="s">
        <v>1960</v>
      </c>
      <c r="E674" s="1" t="s">
        <v>1339</v>
      </c>
      <c r="F674" s="1" t="s">
        <v>2671</v>
      </c>
      <c r="G674" s="1" t="s">
        <v>26</v>
      </c>
      <c r="H674" s="13">
        <v>-11.25</v>
      </c>
      <c r="I674" s="13">
        <v>0</v>
      </c>
      <c r="J674" s="1" t="s">
        <v>1174</v>
      </c>
      <c r="K674" s="1" t="s">
        <v>2025</v>
      </c>
      <c r="L674" s="1" t="str">
        <f>VLOOKUP(Advices[[#This Row],[LC Number]],'Combine_List'!A:D,2,0)</f>
        <v>IDEAL CALIBER COMPANY</v>
      </c>
      <c r="M674" s="447" t="str">
        <f>VLOOKUP(Advices[[#This Row],[LC Number]],'Combine_List'!A:D,3,0)</f>
        <v>FIRST FIX</v>
      </c>
      <c r="N674" s="447" t="str">
        <f>VLOOKUP(Advices[[#This Row],[LC Number]],'Combine_List'!A:D,4,0)</f>
        <v>KSP</v>
      </c>
      <c r="O674" s="447">
        <f>VLOOKUP(Advices[[#This Row],[LC Number]],'Combine_List'!A:E,5,0)</f>
        <v>1020055</v>
      </c>
      <c r="P674" s="447">
        <f>MONTH(Advices[[#This Row],[Transaction Date]])</f>
        <v>11</v>
      </c>
      <c r="Q674" s="447">
        <f>YEAR(Advices[[#This Row],[Transaction Date]])</f>
        <v>2025</v>
      </c>
      <c r="R674" s="1"/>
    </row>
    <row r="675" spans="1:18" x14ac:dyDescent="0.25">
      <c r="A675" s="1" t="s">
        <v>21</v>
      </c>
      <c r="B675" s="178">
        <v>45974</v>
      </c>
      <c r="C675" s="1" t="s">
        <v>1951</v>
      </c>
      <c r="D675" s="1" t="s">
        <v>2672</v>
      </c>
      <c r="E675" s="1" t="s">
        <v>1339</v>
      </c>
      <c r="F675" s="1" t="s">
        <v>2671</v>
      </c>
      <c r="G675" s="1" t="s">
        <v>26</v>
      </c>
      <c r="H675" s="13">
        <v>-75</v>
      </c>
      <c r="I675" s="13">
        <v>0</v>
      </c>
      <c r="J675" s="1" t="s">
        <v>1963</v>
      </c>
      <c r="K675" s="1" t="s">
        <v>2025</v>
      </c>
      <c r="L675" s="1" t="str">
        <f>VLOOKUP(Advices[[#This Row],[LC Number]],'Combine_List'!A:D,2,0)</f>
        <v>IDEAL CALIBER COMPANY</v>
      </c>
      <c r="M675" s="447" t="str">
        <f>VLOOKUP(Advices[[#This Row],[LC Number]],'Combine_List'!A:D,3,0)</f>
        <v>FIRST FIX</v>
      </c>
      <c r="N675" s="447" t="str">
        <f>VLOOKUP(Advices[[#This Row],[LC Number]],'Combine_List'!A:D,4,0)</f>
        <v>KSP</v>
      </c>
      <c r="O675" s="447">
        <f>VLOOKUP(Advices[[#This Row],[LC Number]],'Combine_List'!A:E,5,0)</f>
        <v>1020055</v>
      </c>
      <c r="P675" s="447">
        <f>MONTH(Advices[[#This Row],[Transaction Date]])</f>
        <v>11</v>
      </c>
      <c r="Q675" s="447">
        <f>YEAR(Advices[[#This Row],[Transaction Date]])</f>
        <v>2025</v>
      </c>
      <c r="R675" s="1"/>
    </row>
    <row r="676" spans="1:18" x14ac:dyDescent="0.25">
      <c r="A676" s="1" t="s">
        <v>21</v>
      </c>
      <c r="B676" s="178">
        <v>45974</v>
      </c>
      <c r="C676" s="1" t="s">
        <v>1951</v>
      </c>
      <c r="D676" s="1" t="s">
        <v>2673</v>
      </c>
      <c r="E676" s="1" t="s">
        <v>1339</v>
      </c>
      <c r="F676" s="1" t="s">
        <v>2671</v>
      </c>
      <c r="G676" s="1" t="s">
        <v>26</v>
      </c>
      <c r="H676" s="13">
        <v>-171555.34</v>
      </c>
      <c r="I676" s="13">
        <v>0</v>
      </c>
      <c r="J676" s="1" t="s">
        <v>1126</v>
      </c>
      <c r="K676" s="1" t="s">
        <v>2025</v>
      </c>
      <c r="L676" s="1" t="str">
        <f>VLOOKUP(Advices[[#This Row],[LC Number]],'Combine_List'!A:D,2,0)</f>
        <v>IDEAL CALIBER COMPANY</v>
      </c>
      <c r="M676" s="447" t="str">
        <f>VLOOKUP(Advices[[#This Row],[LC Number]],'Combine_List'!A:D,3,0)</f>
        <v>FIRST FIX</v>
      </c>
      <c r="N676" s="447" t="str">
        <f>VLOOKUP(Advices[[#This Row],[LC Number]],'Combine_List'!A:D,4,0)</f>
        <v>KSP</v>
      </c>
      <c r="O676" s="447">
        <f>VLOOKUP(Advices[[#This Row],[LC Number]],'Combine_List'!A:E,5,0)</f>
        <v>1020055</v>
      </c>
      <c r="P676" s="447">
        <f>MONTH(Advices[[#This Row],[Transaction Date]])</f>
        <v>11</v>
      </c>
      <c r="Q676" s="447">
        <f>YEAR(Advices[[#This Row],[Transaction Date]])</f>
        <v>2025</v>
      </c>
      <c r="R676" s="1"/>
    </row>
    <row r="677" spans="1:18" x14ac:dyDescent="0.25">
      <c r="A677" s="1" t="s">
        <v>21</v>
      </c>
      <c r="B677" s="178">
        <v>45974</v>
      </c>
      <c r="C677" s="1" t="s">
        <v>1951</v>
      </c>
      <c r="D677" s="1" t="s">
        <v>1960</v>
      </c>
      <c r="E677" s="1" t="s">
        <v>1401</v>
      </c>
      <c r="F677" s="1" t="s">
        <v>2674</v>
      </c>
      <c r="G677" s="1" t="s">
        <v>26</v>
      </c>
      <c r="H677" s="13">
        <v>-11.25</v>
      </c>
      <c r="I677" s="13">
        <v>0</v>
      </c>
      <c r="J677" s="1" t="s">
        <v>1174</v>
      </c>
      <c r="K677" s="1" t="s">
        <v>2025</v>
      </c>
      <c r="L677" s="1" t="str">
        <f>VLOOKUP(Advices[[#This Row],[LC Number]],'Combine_List'!A:D,2,0)</f>
        <v>ALFANAR ELECTRICAL SYSTEMS</v>
      </c>
      <c r="M677" s="447" t="str">
        <f>VLOOKUP(Advices[[#This Row],[LC Number]],'Combine_List'!A:D,3,0)</f>
        <v>FIRST FIX</v>
      </c>
      <c r="N677" s="447" t="str">
        <f>VLOOKUP(Advices[[#This Row],[LC Number]],'Combine_List'!A:D,4,0)</f>
        <v>KSP</v>
      </c>
      <c r="O677" s="447">
        <f>VLOOKUP(Advices[[#This Row],[LC Number]],'Combine_List'!A:E,5,0)</f>
        <v>1020055</v>
      </c>
      <c r="P677" s="447">
        <f>MONTH(Advices[[#This Row],[Transaction Date]])</f>
        <v>11</v>
      </c>
      <c r="Q677" s="447">
        <f>YEAR(Advices[[#This Row],[Transaction Date]])</f>
        <v>2025</v>
      </c>
      <c r="R677" s="1"/>
    </row>
    <row r="678" spans="1:18" x14ac:dyDescent="0.25">
      <c r="A678" s="1" t="s">
        <v>21</v>
      </c>
      <c r="B678" s="178">
        <v>45974</v>
      </c>
      <c r="C678" s="1" t="s">
        <v>1951</v>
      </c>
      <c r="D678" s="1" t="s">
        <v>2675</v>
      </c>
      <c r="E678" s="1" t="s">
        <v>1401</v>
      </c>
      <c r="F678" s="1" t="s">
        <v>2674</v>
      </c>
      <c r="G678" s="1" t="s">
        <v>26</v>
      </c>
      <c r="H678" s="13">
        <v>-75</v>
      </c>
      <c r="I678" s="13">
        <v>0</v>
      </c>
      <c r="J678" s="1" t="s">
        <v>1963</v>
      </c>
      <c r="K678" s="1" t="s">
        <v>2025</v>
      </c>
      <c r="L678" s="1" t="str">
        <f>VLOOKUP(Advices[[#This Row],[LC Number]],'Combine_List'!A:D,2,0)</f>
        <v>ALFANAR ELECTRICAL SYSTEMS</v>
      </c>
      <c r="M678" s="447" t="str">
        <f>VLOOKUP(Advices[[#This Row],[LC Number]],'Combine_List'!A:D,3,0)</f>
        <v>FIRST FIX</v>
      </c>
      <c r="N678" s="447" t="str">
        <f>VLOOKUP(Advices[[#This Row],[LC Number]],'Combine_List'!A:D,4,0)</f>
        <v>KSP</v>
      </c>
      <c r="O678" s="447">
        <f>VLOOKUP(Advices[[#This Row],[LC Number]],'Combine_List'!A:E,5,0)</f>
        <v>1020055</v>
      </c>
      <c r="P678" s="447">
        <f>MONTH(Advices[[#This Row],[Transaction Date]])</f>
        <v>11</v>
      </c>
      <c r="Q678" s="447">
        <f>YEAR(Advices[[#This Row],[Transaction Date]])</f>
        <v>2025</v>
      </c>
      <c r="R678" s="1"/>
    </row>
    <row r="679" spans="1:18" x14ac:dyDescent="0.25">
      <c r="A679" s="1" t="s">
        <v>21</v>
      </c>
      <c r="B679" s="178">
        <v>45974</v>
      </c>
      <c r="C679" s="1" t="s">
        <v>1951</v>
      </c>
      <c r="D679" s="1" t="s">
        <v>2676</v>
      </c>
      <c r="E679" s="1" t="s">
        <v>1401</v>
      </c>
      <c r="F679" s="1" t="s">
        <v>2674</v>
      </c>
      <c r="G679" s="1" t="s">
        <v>26</v>
      </c>
      <c r="H679" s="13">
        <v>-55200</v>
      </c>
      <c r="I679" s="13">
        <v>0</v>
      </c>
      <c r="J679" s="1" t="s">
        <v>1126</v>
      </c>
      <c r="K679" s="1" t="s">
        <v>2025</v>
      </c>
      <c r="L679" s="1" t="str">
        <f>VLOOKUP(Advices[[#This Row],[LC Number]],'Combine_List'!A:D,2,0)</f>
        <v>ALFANAR ELECTRICAL SYSTEMS</v>
      </c>
      <c r="M679" s="447" t="str">
        <f>VLOOKUP(Advices[[#This Row],[LC Number]],'Combine_List'!A:D,3,0)</f>
        <v>FIRST FIX</v>
      </c>
      <c r="N679" s="447" t="str">
        <f>VLOOKUP(Advices[[#This Row],[LC Number]],'Combine_List'!A:D,4,0)</f>
        <v>KSP</v>
      </c>
      <c r="O679" s="447">
        <f>VLOOKUP(Advices[[#This Row],[LC Number]],'Combine_List'!A:E,5,0)</f>
        <v>1020055</v>
      </c>
      <c r="P679" s="447">
        <f>MONTH(Advices[[#This Row],[Transaction Date]])</f>
        <v>11</v>
      </c>
      <c r="Q679" s="447">
        <f>YEAR(Advices[[#This Row],[Transaction Date]])</f>
        <v>2025</v>
      </c>
      <c r="R679" s="1"/>
    </row>
    <row r="680" spans="1:18" x14ac:dyDescent="0.25">
      <c r="A680" s="1" t="s">
        <v>21</v>
      </c>
      <c r="B680" s="178">
        <v>45974</v>
      </c>
      <c r="C680" s="1" t="s">
        <v>1951</v>
      </c>
      <c r="D680" s="1" t="s">
        <v>1960</v>
      </c>
      <c r="E680" s="1" t="s">
        <v>1402</v>
      </c>
      <c r="F680" s="1" t="s">
        <v>2677</v>
      </c>
      <c r="G680" s="1" t="s">
        <v>26</v>
      </c>
      <c r="H680" s="13">
        <v>-11.25</v>
      </c>
      <c r="I680" s="13">
        <v>0</v>
      </c>
      <c r="J680" s="1" t="s">
        <v>1174</v>
      </c>
      <c r="K680" s="1" t="s">
        <v>2025</v>
      </c>
      <c r="L680" s="1" t="str">
        <f>VLOOKUP(Advices[[#This Row],[LC Number]],'Combine_List'!A:D,2,0)</f>
        <v>NAJM AL FALAK TRADING CO.</v>
      </c>
      <c r="M680" s="447" t="str">
        <f>VLOOKUP(Advices[[#This Row],[LC Number]],'Combine_List'!A:D,3,0)</f>
        <v>FIRST FIX</v>
      </c>
      <c r="N680" s="447" t="str">
        <f>VLOOKUP(Advices[[#This Row],[LC Number]],'Combine_List'!A:D,4,0)</f>
        <v>KSP</v>
      </c>
      <c r="O680" s="447">
        <f>VLOOKUP(Advices[[#This Row],[LC Number]],'Combine_List'!A:E,5,0)</f>
        <v>1020055</v>
      </c>
      <c r="P680" s="447">
        <f>MONTH(Advices[[#This Row],[Transaction Date]])</f>
        <v>11</v>
      </c>
      <c r="Q680" s="447">
        <f>YEAR(Advices[[#This Row],[Transaction Date]])</f>
        <v>2025</v>
      </c>
      <c r="R680" s="1"/>
    </row>
    <row r="681" spans="1:18" x14ac:dyDescent="0.25">
      <c r="A681" s="1" t="s">
        <v>21</v>
      </c>
      <c r="B681" s="178">
        <v>45974</v>
      </c>
      <c r="C681" s="1" t="s">
        <v>1951</v>
      </c>
      <c r="D681" s="1" t="s">
        <v>2678</v>
      </c>
      <c r="E681" s="1" t="s">
        <v>1402</v>
      </c>
      <c r="F681" s="1" t="s">
        <v>2677</v>
      </c>
      <c r="G681" s="1" t="s">
        <v>26</v>
      </c>
      <c r="H681" s="13">
        <v>-75</v>
      </c>
      <c r="I681" s="13">
        <v>0</v>
      </c>
      <c r="J681" s="1" t="s">
        <v>1963</v>
      </c>
      <c r="K681" s="1" t="s">
        <v>2025</v>
      </c>
      <c r="L681" s="1" t="str">
        <f>VLOOKUP(Advices[[#This Row],[LC Number]],'Combine_List'!A:D,2,0)</f>
        <v>NAJM AL FALAK TRADING CO.</v>
      </c>
      <c r="M681" s="447" t="str">
        <f>VLOOKUP(Advices[[#This Row],[LC Number]],'Combine_List'!A:D,3,0)</f>
        <v>FIRST FIX</v>
      </c>
      <c r="N681" s="447" t="str">
        <f>VLOOKUP(Advices[[#This Row],[LC Number]],'Combine_List'!A:D,4,0)</f>
        <v>KSP</v>
      </c>
      <c r="O681" s="447">
        <f>VLOOKUP(Advices[[#This Row],[LC Number]],'Combine_List'!A:E,5,0)</f>
        <v>1020055</v>
      </c>
      <c r="P681" s="447">
        <f>MONTH(Advices[[#This Row],[Transaction Date]])</f>
        <v>11</v>
      </c>
      <c r="Q681" s="447">
        <f>YEAR(Advices[[#This Row],[Transaction Date]])</f>
        <v>2025</v>
      </c>
      <c r="R681" s="1"/>
    </row>
    <row r="682" spans="1:18" x14ac:dyDescent="0.25">
      <c r="A682" s="1" t="s">
        <v>21</v>
      </c>
      <c r="B682" s="178">
        <v>45974</v>
      </c>
      <c r="C682" s="1" t="s">
        <v>1951</v>
      </c>
      <c r="D682" s="1" t="s">
        <v>2679</v>
      </c>
      <c r="E682" s="1" t="s">
        <v>1402</v>
      </c>
      <c r="F682" s="1" t="s">
        <v>2677</v>
      </c>
      <c r="G682" s="1" t="s">
        <v>26</v>
      </c>
      <c r="H682" s="13">
        <v>-162607.04000000001</v>
      </c>
      <c r="I682" s="13">
        <v>0</v>
      </c>
      <c r="J682" s="1" t="s">
        <v>1126</v>
      </c>
      <c r="K682" s="1" t="s">
        <v>2025</v>
      </c>
      <c r="L682" s="1" t="str">
        <f>VLOOKUP(Advices[[#This Row],[LC Number]],'Combine_List'!A:D,2,0)</f>
        <v>NAJM AL FALAK TRADING CO.</v>
      </c>
      <c r="M682" s="447" t="str">
        <f>VLOOKUP(Advices[[#This Row],[LC Number]],'Combine_List'!A:D,3,0)</f>
        <v>FIRST FIX</v>
      </c>
      <c r="N682" s="447" t="str">
        <f>VLOOKUP(Advices[[#This Row],[LC Number]],'Combine_List'!A:D,4,0)</f>
        <v>KSP</v>
      </c>
      <c r="O682" s="447">
        <f>VLOOKUP(Advices[[#This Row],[LC Number]],'Combine_List'!A:E,5,0)</f>
        <v>1020055</v>
      </c>
      <c r="P682" s="447">
        <f>MONTH(Advices[[#This Row],[Transaction Date]])</f>
        <v>11</v>
      </c>
      <c r="Q682" s="447">
        <f>YEAR(Advices[[#This Row],[Transaction Date]])</f>
        <v>2025</v>
      </c>
      <c r="R682" s="1"/>
    </row>
    <row r="683" spans="1:18" x14ac:dyDescent="0.25">
      <c r="A683" s="1" t="s">
        <v>21</v>
      </c>
      <c r="B683" s="178">
        <v>45974</v>
      </c>
      <c r="C683" s="1" t="s">
        <v>1951</v>
      </c>
      <c r="D683" s="1" t="s">
        <v>1960</v>
      </c>
      <c r="E683" s="1" t="s">
        <v>1411</v>
      </c>
      <c r="F683" s="1" t="s">
        <v>2680</v>
      </c>
      <c r="G683" s="1" t="s">
        <v>26</v>
      </c>
      <c r="H683" s="13">
        <v>-11.25</v>
      </c>
      <c r="I683" s="13">
        <v>0</v>
      </c>
      <c r="J683" s="1" t="s">
        <v>1174</v>
      </c>
      <c r="K683" s="1" t="s">
        <v>2025</v>
      </c>
      <c r="L683" s="1" t="str">
        <f>VLOOKUP(Advices[[#This Row],[LC Number]],'Combine_List'!A:D,2,0)</f>
        <v>Energy International Controls</v>
      </c>
      <c r="M683" s="447" t="str">
        <f>VLOOKUP(Advices[[#This Row],[LC Number]],'Combine_List'!A:D,3,0)</f>
        <v>FIRST FIX</v>
      </c>
      <c r="N683" s="447" t="str">
        <f>VLOOKUP(Advices[[#This Row],[LC Number]],'Combine_List'!A:D,4,0)</f>
        <v>KSP</v>
      </c>
      <c r="O683" s="447">
        <f>VLOOKUP(Advices[[#This Row],[LC Number]],'Combine_List'!A:E,5,0)</f>
        <v>1020055</v>
      </c>
      <c r="P683" s="447">
        <f>MONTH(Advices[[#This Row],[Transaction Date]])</f>
        <v>11</v>
      </c>
      <c r="Q683" s="447">
        <f>YEAR(Advices[[#This Row],[Transaction Date]])</f>
        <v>2025</v>
      </c>
      <c r="R683" s="1"/>
    </row>
    <row r="684" spans="1:18" x14ac:dyDescent="0.25">
      <c r="A684" s="1" t="s">
        <v>21</v>
      </c>
      <c r="B684" s="178">
        <v>45974</v>
      </c>
      <c r="C684" s="1" t="s">
        <v>1951</v>
      </c>
      <c r="D684" s="1" t="s">
        <v>2681</v>
      </c>
      <c r="E684" s="1" t="s">
        <v>1411</v>
      </c>
      <c r="F684" s="1" t="s">
        <v>2680</v>
      </c>
      <c r="G684" s="1" t="s">
        <v>26</v>
      </c>
      <c r="H684" s="13">
        <v>-75</v>
      </c>
      <c r="I684" s="13">
        <v>0</v>
      </c>
      <c r="J684" s="1" t="s">
        <v>1963</v>
      </c>
      <c r="K684" s="1" t="s">
        <v>2025</v>
      </c>
      <c r="L684" s="1" t="str">
        <f>VLOOKUP(Advices[[#This Row],[LC Number]],'Combine_List'!A:D,2,0)</f>
        <v>Energy International Controls</v>
      </c>
      <c r="M684" s="447" t="str">
        <f>VLOOKUP(Advices[[#This Row],[LC Number]],'Combine_List'!A:D,3,0)</f>
        <v>FIRST FIX</v>
      </c>
      <c r="N684" s="447" t="str">
        <f>VLOOKUP(Advices[[#This Row],[LC Number]],'Combine_List'!A:D,4,0)</f>
        <v>KSP</v>
      </c>
      <c r="O684" s="447">
        <f>VLOOKUP(Advices[[#This Row],[LC Number]],'Combine_List'!A:E,5,0)</f>
        <v>1020055</v>
      </c>
      <c r="P684" s="447">
        <f>MONTH(Advices[[#This Row],[Transaction Date]])</f>
        <v>11</v>
      </c>
      <c r="Q684" s="447">
        <f>YEAR(Advices[[#This Row],[Transaction Date]])</f>
        <v>2025</v>
      </c>
      <c r="R684" s="1"/>
    </row>
    <row r="685" spans="1:18" x14ac:dyDescent="0.25">
      <c r="A685" s="1" t="s">
        <v>21</v>
      </c>
      <c r="B685" s="178">
        <v>45974</v>
      </c>
      <c r="C685" s="1" t="s">
        <v>1951</v>
      </c>
      <c r="D685" s="1" t="s">
        <v>2682</v>
      </c>
      <c r="E685" s="1" t="s">
        <v>1411</v>
      </c>
      <c r="F685" s="1" t="s">
        <v>2680</v>
      </c>
      <c r="G685" s="1" t="s">
        <v>26</v>
      </c>
      <c r="H685" s="13">
        <v>-249901.5</v>
      </c>
      <c r="I685" s="13">
        <v>0</v>
      </c>
      <c r="J685" s="1" t="s">
        <v>1126</v>
      </c>
      <c r="K685" s="1" t="s">
        <v>2025</v>
      </c>
      <c r="L685" s="1" t="str">
        <f>VLOOKUP(Advices[[#This Row],[LC Number]],'Combine_List'!A:D,2,0)</f>
        <v>Energy International Controls</v>
      </c>
      <c r="M685" s="447" t="str">
        <f>VLOOKUP(Advices[[#This Row],[LC Number]],'Combine_List'!A:D,3,0)</f>
        <v>FIRST FIX</v>
      </c>
      <c r="N685" s="447" t="str">
        <f>VLOOKUP(Advices[[#This Row],[LC Number]],'Combine_List'!A:D,4,0)</f>
        <v>KSP</v>
      </c>
      <c r="O685" s="447">
        <f>VLOOKUP(Advices[[#This Row],[LC Number]],'Combine_List'!A:E,5,0)</f>
        <v>1020055</v>
      </c>
      <c r="P685" s="447">
        <f>MONTH(Advices[[#This Row],[Transaction Date]])</f>
        <v>11</v>
      </c>
      <c r="Q685" s="447">
        <f>YEAR(Advices[[#This Row],[Transaction Date]])</f>
        <v>2025</v>
      </c>
      <c r="R685" s="1"/>
    </row>
    <row r="686" spans="1:18" x14ac:dyDescent="0.25">
      <c r="A686" s="1" t="s">
        <v>21</v>
      </c>
      <c r="B686" s="178">
        <v>45974</v>
      </c>
      <c r="C686" s="1" t="s">
        <v>1951</v>
      </c>
      <c r="D686" s="1" t="s">
        <v>1960</v>
      </c>
      <c r="E686" s="1" t="s">
        <v>1488</v>
      </c>
      <c r="F686" s="1" t="s">
        <v>2683</v>
      </c>
      <c r="G686" s="1" t="s">
        <v>26</v>
      </c>
      <c r="H686" s="13">
        <v>-11.25</v>
      </c>
      <c r="I686" s="13">
        <v>0</v>
      </c>
      <c r="J686" s="1" t="s">
        <v>1174</v>
      </c>
      <c r="K686" s="1" t="s">
        <v>2025</v>
      </c>
      <c r="L686" s="1" t="str">
        <f>VLOOKUP(Advices[[#This Row],[LC Number]],'Combine_List'!A:D,2,0)</f>
        <v>Gulf Grilles Company</v>
      </c>
      <c r="M686" s="447" t="str">
        <f>VLOOKUP(Advices[[#This Row],[LC Number]],'Combine_List'!A:D,3,0)</f>
        <v>FIRST FIX</v>
      </c>
      <c r="N686" s="447" t="str">
        <f>VLOOKUP(Advices[[#This Row],[LC Number]],'Combine_List'!A:D,4,0)</f>
        <v>JCD SPMI</v>
      </c>
      <c r="O686" s="447">
        <f>VLOOKUP(Advices[[#This Row],[LC Number]],'Combine_List'!A:E,5,0)</f>
        <v>1020100</v>
      </c>
      <c r="P686" s="447">
        <f>MONTH(Advices[[#This Row],[Transaction Date]])</f>
        <v>11</v>
      </c>
      <c r="Q686" s="447">
        <f>YEAR(Advices[[#This Row],[Transaction Date]])</f>
        <v>2025</v>
      </c>
      <c r="R686" s="1"/>
    </row>
    <row r="687" spans="1:18" x14ac:dyDescent="0.25">
      <c r="A687" s="1" t="s">
        <v>21</v>
      </c>
      <c r="B687" s="178">
        <v>45974</v>
      </c>
      <c r="C687" s="1" t="s">
        <v>1951</v>
      </c>
      <c r="D687" s="1" t="s">
        <v>2684</v>
      </c>
      <c r="E687" s="1" t="s">
        <v>1488</v>
      </c>
      <c r="F687" s="1" t="s">
        <v>2683</v>
      </c>
      <c r="G687" s="1" t="s">
        <v>26</v>
      </c>
      <c r="H687" s="13">
        <v>-75</v>
      </c>
      <c r="I687" s="13">
        <v>0</v>
      </c>
      <c r="J687" s="1" t="s">
        <v>1963</v>
      </c>
      <c r="K687" s="1" t="s">
        <v>2025</v>
      </c>
      <c r="L687" s="1" t="str">
        <f>VLOOKUP(Advices[[#This Row],[LC Number]],'Combine_List'!A:D,2,0)</f>
        <v>Gulf Grilles Company</v>
      </c>
      <c r="M687" s="447" t="str">
        <f>VLOOKUP(Advices[[#This Row],[LC Number]],'Combine_List'!A:D,3,0)</f>
        <v>FIRST FIX</v>
      </c>
      <c r="N687" s="447" t="str">
        <f>VLOOKUP(Advices[[#This Row],[LC Number]],'Combine_List'!A:D,4,0)</f>
        <v>JCD SPMI</v>
      </c>
      <c r="O687" s="447">
        <f>VLOOKUP(Advices[[#This Row],[LC Number]],'Combine_List'!A:E,5,0)</f>
        <v>1020100</v>
      </c>
      <c r="P687" s="447">
        <f>MONTH(Advices[[#This Row],[Transaction Date]])</f>
        <v>11</v>
      </c>
      <c r="Q687" s="447">
        <f>YEAR(Advices[[#This Row],[Transaction Date]])</f>
        <v>2025</v>
      </c>
      <c r="R687" s="1"/>
    </row>
    <row r="688" spans="1:18" x14ac:dyDescent="0.25">
      <c r="A688" s="1" t="s">
        <v>21</v>
      </c>
      <c r="B688" s="178">
        <v>45974</v>
      </c>
      <c r="C688" s="1" t="s">
        <v>1951</v>
      </c>
      <c r="D688" s="1" t="s">
        <v>2685</v>
      </c>
      <c r="E688" s="1" t="s">
        <v>1488</v>
      </c>
      <c r="F688" s="1" t="s">
        <v>2683</v>
      </c>
      <c r="G688" s="1" t="s">
        <v>26</v>
      </c>
      <c r="H688" s="13">
        <v>-300000</v>
      </c>
      <c r="I688" s="13">
        <v>0</v>
      </c>
      <c r="J688" s="1" t="s">
        <v>1126</v>
      </c>
      <c r="K688" s="1" t="s">
        <v>2025</v>
      </c>
      <c r="L688" s="1" t="str">
        <f>VLOOKUP(Advices[[#This Row],[LC Number]],'Combine_List'!A:D,2,0)</f>
        <v>Gulf Grilles Company</v>
      </c>
      <c r="M688" s="447" t="str">
        <f>VLOOKUP(Advices[[#This Row],[LC Number]],'Combine_List'!A:D,3,0)</f>
        <v>FIRST FIX</v>
      </c>
      <c r="N688" s="447" t="str">
        <f>VLOOKUP(Advices[[#This Row],[LC Number]],'Combine_List'!A:D,4,0)</f>
        <v>JCD SPMI</v>
      </c>
      <c r="O688" s="447">
        <f>VLOOKUP(Advices[[#This Row],[LC Number]],'Combine_List'!A:E,5,0)</f>
        <v>1020100</v>
      </c>
      <c r="P688" s="447">
        <f>MONTH(Advices[[#This Row],[Transaction Date]])</f>
        <v>11</v>
      </c>
      <c r="Q688" s="447">
        <f>YEAR(Advices[[#This Row],[Transaction Date]])</f>
        <v>2025</v>
      </c>
      <c r="R688" s="1"/>
    </row>
    <row r="689" spans="1:18" x14ac:dyDescent="0.25">
      <c r="A689" s="1" t="s">
        <v>21</v>
      </c>
      <c r="B689" s="178">
        <v>45974</v>
      </c>
      <c r="C689" s="1" t="s">
        <v>1951</v>
      </c>
      <c r="D689" s="1" t="s">
        <v>1960</v>
      </c>
      <c r="E689" s="1" t="s">
        <v>1492</v>
      </c>
      <c r="F689" s="1" t="s">
        <v>2686</v>
      </c>
      <c r="G689" s="1" t="s">
        <v>26</v>
      </c>
      <c r="H689" s="13">
        <v>-11.25</v>
      </c>
      <c r="I689" s="13">
        <v>0</v>
      </c>
      <c r="J689" s="1" t="s">
        <v>1174</v>
      </c>
      <c r="K689" s="1" t="s">
        <v>2025</v>
      </c>
      <c r="L689" s="1" t="str">
        <f>VLOOKUP(Advices[[#This Row],[LC Number]],'Combine_List'!A:D,2,0)</f>
        <v>DELHAM AL JANOUB FOR CONTRACTING</v>
      </c>
      <c r="M689" s="447" t="str">
        <f>VLOOKUP(Advices[[#This Row],[LC Number]],'Combine_List'!A:D,3,0)</f>
        <v>FIRST FIX</v>
      </c>
      <c r="N689" s="447" t="str">
        <f>VLOOKUP(Advices[[#This Row],[LC Number]],'Combine_List'!A:D,4,0)</f>
        <v>JCD SPMI</v>
      </c>
      <c r="O689" s="447">
        <f>VLOOKUP(Advices[[#This Row],[LC Number]],'Combine_List'!A:E,5,0)</f>
        <v>1020100</v>
      </c>
      <c r="P689" s="447">
        <f>MONTH(Advices[[#This Row],[Transaction Date]])</f>
        <v>11</v>
      </c>
      <c r="Q689" s="447">
        <f>YEAR(Advices[[#This Row],[Transaction Date]])</f>
        <v>2025</v>
      </c>
      <c r="R689" s="1"/>
    </row>
    <row r="690" spans="1:18" x14ac:dyDescent="0.25">
      <c r="A690" s="1" t="s">
        <v>21</v>
      </c>
      <c r="B690" s="178">
        <v>45974</v>
      </c>
      <c r="C690" s="1" t="s">
        <v>1951</v>
      </c>
      <c r="D690" s="1" t="s">
        <v>2687</v>
      </c>
      <c r="E690" s="1" t="s">
        <v>1492</v>
      </c>
      <c r="F690" s="1" t="s">
        <v>2686</v>
      </c>
      <c r="G690" s="1" t="s">
        <v>26</v>
      </c>
      <c r="H690" s="13">
        <v>-75</v>
      </c>
      <c r="I690" s="13">
        <v>0</v>
      </c>
      <c r="J690" s="1" t="s">
        <v>1963</v>
      </c>
      <c r="K690" s="1" t="s">
        <v>2025</v>
      </c>
      <c r="L690" s="1" t="str">
        <f>VLOOKUP(Advices[[#This Row],[LC Number]],'Combine_List'!A:D,2,0)</f>
        <v>DELHAM AL JANOUB FOR CONTRACTING</v>
      </c>
      <c r="M690" s="447" t="str">
        <f>VLOOKUP(Advices[[#This Row],[LC Number]],'Combine_List'!A:D,3,0)</f>
        <v>FIRST FIX</v>
      </c>
      <c r="N690" s="447" t="str">
        <f>VLOOKUP(Advices[[#This Row],[LC Number]],'Combine_List'!A:D,4,0)</f>
        <v>JCD SPMI</v>
      </c>
      <c r="O690" s="447">
        <f>VLOOKUP(Advices[[#This Row],[LC Number]],'Combine_List'!A:E,5,0)</f>
        <v>1020100</v>
      </c>
      <c r="P690" s="447">
        <f>MONTH(Advices[[#This Row],[Transaction Date]])</f>
        <v>11</v>
      </c>
      <c r="Q690" s="447">
        <f>YEAR(Advices[[#This Row],[Transaction Date]])</f>
        <v>2025</v>
      </c>
      <c r="R690" s="1"/>
    </row>
    <row r="691" spans="1:18" x14ac:dyDescent="0.25">
      <c r="A691" s="1" t="s">
        <v>21</v>
      </c>
      <c r="B691" s="178">
        <v>45974</v>
      </c>
      <c r="C691" s="1" t="s">
        <v>1951</v>
      </c>
      <c r="D691" s="1" t="s">
        <v>2688</v>
      </c>
      <c r="E691" s="1" t="s">
        <v>1492</v>
      </c>
      <c r="F691" s="1" t="s">
        <v>2686</v>
      </c>
      <c r="G691" s="1" t="s">
        <v>26</v>
      </c>
      <c r="H691" s="13">
        <v>-80000</v>
      </c>
      <c r="I691" s="13">
        <v>0</v>
      </c>
      <c r="J691" s="1" t="s">
        <v>1126</v>
      </c>
      <c r="K691" s="1" t="s">
        <v>2025</v>
      </c>
      <c r="L691" s="1" t="str">
        <f>VLOOKUP(Advices[[#This Row],[LC Number]],'Combine_List'!A:D,2,0)</f>
        <v>DELHAM AL JANOUB FOR CONTRACTING</v>
      </c>
      <c r="M691" s="447" t="str">
        <f>VLOOKUP(Advices[[#This Row],[LC Number]],'Combine_List'!A:D,3,0)</f>
        <v>FIRST FIX</v>
      </c>
      <c r="N691" s="447" t="str">
        <f>VLOOKUP(Advices[[#This Row],[LC Number]],'Combine_List'!A:D,4,0)</f>
        <v>JCD SPMI</v>
      </c>
      <c r="O691" s="447">
        <f>VLOOKUP(Advices[[#This Row],[LC Number]],'Combine_List'!A:E,5,0)</f>
        <v>1020100</v>
      </c>
      <c r="P691" s="447">
        <f>MONTH(Advices[[#This Row],[Transaction Date]])</f>
        <v>11</v>
      </c>
      <c r="Q691" s="447">
        <f>YEAR(Advices[[#This Row],[Transaction Date]])</f>
        <v>2025</v>
      </c>
      <c r="R691" s="1"/>
    </row>
    <row r="692" spans="1:18" x14ac:dyDescent="0.25">
      <c r="A692" s="1" t="s">
        <v>21</v>
      </c>
      <c r="B692" s="178">
        <v>45974</v>
      </c>
      <c r="C692" s="1" t="s">
        <v>1951</v>
      </c>
      <c r="D692" s="1" t="s">
        <v>1960</v>
      </c>
      <c r="E692" s="1" t="s">
        <v>1494</v>
      </c>
      <c r="F692" s="1" t="s">
        <v>2689</v>
      </c>
      <c r="G692" s="1" t="s">
        <v>26</v>
      </c>
      <c r="H692" s="13">
        <v>-11.25</v>
      </c>
      <c r="I692" s="13">
        <v>0</v>
      </c>
      <c r="J692" s="1" t="s">
        <v>1174</v>
      </c>
      <c r="K692" s="1" t="s">
        <v>2025</v>
      </c>
      <c r="L692" s="1" t="str">
        <f>VLOOKUP(Advices[[#This Row],[LC Number]],'Combine_List'!A:D,2,0)</f>
        <v>ENERGY CONCEPT CO LTD</v>
      </c>
      <c r="M692" s="447" t="str">
        <f>VLOOKUP(Advices[[#This Row],[LC Number]],'Combine_List'!A:D,3,0)</f>
        <v>FIRST FIX</v>
      </c>
      <c r="N692" s="447" t="str">
        <f>VLOOKUP(Advices[[#This Row],[LC Number]],'Combine_List'!A:D,4,0)</f>
        <v>JCD SPMI</v>
      </c>
      <c r="O692" s="447">
        <f>VLOOKUP(Advices[[#This Row],[LC Number]],'Combine_List'!A:E,5,0)</f>
        <v>1020100</v>
      </c>
      <c r="P692" s="447">
        <f>MONTH(Advices[[#This Row],[Transaction Date]])</f>
        <v>11</v>
      </c>
      <c r="Q692" s="447">
        <f>YEAR(Advices[[#This Row],[Transaction Date]])</f>
        <v>2025</v>
      </c>
      <c r="R692" s="1"/>
    </row>
    <row r="693" spans="1:18" x14ac:dyDescent="0.25">
      <c r="A693" s="1" t="s">
        <v>21</v>
      </c>
      <c r="B693" s="178">
        <v>45974</v>
      </c>
      <c r="C693" s="1" t="s">
        <v>1951</v>
      </c>
      <c r="D693" s="1" t="s">
        <v>2690</v>
      </c>
      <c r="E693" s="1" t="s">
        <v>1494</v>
      </c>
      <c r="F693" s="1" t="s">
        <v>2689</v>
      </c>
      <c r="G693" s="1" t="s">
        <v>26</v>
      </c>
      <c r="H693" s="13">
        <v>-75</v>
      </c>
      <c r="I693" s="13">
        <v>0</v>
      </c>
      <c r="J693" s="1" t="s">
        <v>1963</v>
      </c>
      <c r="K693" s="1" t="s">
        <v>2025</v>
      </c>
      <c r="L693" s="1" t="str">
        <f>VLOOKUP(Advices[[#This Row],[LC Number]],'Combine_List'!A:D,2,0)</f>
        <v>ENERGY CONCEPT CO LTD</v>
      </c>
      <c r="M693" s="447" t="str">
        <f>VLOOKUP(Advices[[#This Row],[LC Number]],'Combine_List'!A:D,3,0)</f>
        <v>FIRST FIX</v>
      </c>
      <c r="N693" s="447" t="str">
        <f>VLOOKUP(Advices[[#This Row],[LC Number]],'Combine_List'!A:D,4,0)</f>
        <v>JCD SPMI</v>
      </c>
      <c r="O693" s="447">
        <f>VLOOKUP(Advices[[#This Row],[LC Number]],'Combine_List'!A:E,5,0)</f>
        <v>1020100</v>
      </c>
      <c r="P693" s="447">
        <f>MONTH(Advices[[#This Row],[Transaction Date]])</f>
        <v>11</v>
      </c>
      <c r="Q693" s="447">
        <f>YEAR(Advices[[#This Row],[Transaction Date]])</f>
        <v>2025</v>
      </c>
      <c r="R693" s="1"/>
    </row>
    <row r="694" spans="1:18" x14ac:dyDescent="0.25">
      <c r="A694" s="1" t="s">
        <v>21</v>
      </c>
      <c r="B694" s="178">
        <v>45974</v>
      </c>
      <c r="C694" s="1" t="s">
        <v>1951</v>
      </c>
      <c r="D694" s="1" t="s">
        <v>2691</v>
      </c>
      <c r="E694" s="1" t="s">
        <v>1494</v>
      </c>
      <c r="F694" s="1" t="s">
        <v>2689</v>
      </c>
      <c r="G694" s="1" t="s">
        <v>26</v>
      </c>
      <c r="H694" s="13">
        <v>-248951.85</v>
      </c>
      <c r="I694" s="13">
        <v>0</v>
      </c>
      <c r="J694" s="1" t="s">
        <v>1126</v>
      </c>
      <c r="K694" s="1" t="s">
        <v>2025</v>
      </c>
      <c r="L694" s="1" t="str">
        <f>VLOOKUP(Advices[[#This Row],[LC Number]],'Combine_List'!A:D,2,0)</f>
        <v>ENERGY CONCEPT CO LTD</v>
      </c>
      <c r="M694" s="447" t="str">
        <f>VLOOKUP(Advices[[#This Row],[LC Number]],'Combine_List'!A:D,3,0)</f>
        <v>FIRST FIX</v>
      </c>
      <c r="N694" s="447" t="str">
        <f>VLOOKUP(Advices[[#This Row],[LC Number]],'Combine_List'!A:D,4,0)</f>
        <v>JCD SPMI</v>
      </c>
      <c r="O694" s="447">
        <f>VLOOKUP(Advices[[#This Row],[LC Number]],'Combine_List'!A:E,5,0)</f>
        <v>1020100</v>
      </c>
      <c r="P694" s="447">
        <f>MONTH(Advices[[#This Row],[Transaction Date]])</f>
        <v>11</v>
      </c>
      <c r="Q694" s="447">
        <f>YEAR(Advices[[#This Row],[Transaction Date]])</f>
        <v>2025</v>
      </c>
      <c r="R694" s="1"/>
    </row>
    <row r="695" spans="1:18" x14ac:dyDescent="0.25">
      <c r="A695" s="1" t="s">
        <v>21</v>
      </c>
      <c r="B695" s="178">
        <v>45974</v>
      </c>
      <c r="C695" s="1" t="s">
        <v>1951</v>
      </c>
      <c r="D695" s="1" t="s">
        <v>1960</v>
      </c>
      <c r="E695" s="1" t="s">
        <v>1520</v>
      </c>
      <c r="F695" s="1" t="s">
        <v>2692</v>
      </c>
      <c r="G695" s="1" t="s">
        <v>26</v>
      </c>
      <c r="H695" s="13">
        <v>-11.25</v>
      </c>
      <c r="I695" s="13">
        <v>0</v>
      </c>
      <c r="J695" s="1" t="s">
        <v>1174</v>
      </c>
      <c r="K695" s="1" t="s">
        <v>2025</v>
      </c>
      <c r="L695" s="1" t="str">
        <f>VLOOKUP(Advices[[#This Row],[LC Number]],'Combine_List'!A:D,2,0)</f>
        <v>SAHM AL MADINAH CONTRACTING EST</v>
      </c>
      <c r="M695" s="447" t="str">
        <f>VLOOKUP(Advices[[#This Row],[LC Number]],'Combine_List'!A:D,3,0)</f>
        <v>FIRST FIX</v>
      </c>
      <c r="N695" s="447" t="str">
        <f>VLOOKUP(Advices[[#This Row],[LC Number]],'Combine_List'!A:D,4,0)</f>
        <v>JCD SPMI</v>
      </c>
      <c r="O695" s="447">
        <f>VLOOKUP(Advices[[#This Row],[LC Number]],'Combine_List'!A:E,5,0)</f>
        <v>1020100</v>
      </c>
      <c r="P695" s="447">
        <f>MONTH(Advices[[#This Row],[Transaction Date]])</f>
        <v>11</v>
      </c>
      <c r="Q695" s="447">
        <f>YEAR(Advices[[#This Row],[Transaction Date]])</f>
        <v>2025</v>
      </c>
      <c r="R695" s="1"/>
    </row>
    <row r="696" spans="1:18" x14ac:dyDescent="0.25">
      <c r="A696" s="1" t="s">
        <v>21</v>
      </c>
      <c r="B696" s="178">
        <v>45974</v>
      </c>
      <c r="C696" s="1" t="s">
        <v>1951</v>
      </c>
      <c r="D696" s="1" t="s">
        <v>2693</v>
      </c>
      <c r="E696" s="1" t="s">
        <v>1520</v>
      </c>
      <c r="F696" s="1" t="s">
        <v>2692</v>
      </c>
      <c r="G696" s="1" t="s">
        <v>26</v>
      </c>
      <c r="H696" s="13">
        <v>-75</v>
      </c>
      <c r="I696" s="13">
        <v>0</v>
      </c>
      <c r="J696" s="1" t="s">
        <v>1963</v>
      </c>
      <c r="K696" s="1" t="s">
        <v>2025</v>
      </c>
      <c r="L696" s="1" t="str">
        <f>VLOOKUP(Advices[[#This Row],[LC Number]],'Combine_List'!A:D,2,0)</f>
        <v>SAHM AL MADINAH CONTRACTING EST</v>
      </c>
      <c r="M696" s="447" t="str">
        <f>VLOOKUP(Advices[[#This Row],[LC Number]],'Combine_List'!A:D,3,0)</f>
        <v>FIRST FIX</v>
      </c>
      <c r="N696" s="447" t="str">
        <f>VLOOKUP(Advices[[#This Row],[LC Number]],'Combine_List'!A:D,4,0)</f>
        <v>JCD SPMI</v>
      </c>
      <c r="O696" s="447">
        <f>VLOOKUP(Advices[[#This Row],[LC Number]],'Combine_List'!A:E,5,0)</f>
        <v>1020100</v>
      </c>
      <c r="P696" s="447">
        <f>MONTH(Advices[[#This Row],[Transaction Date]])</f>
        <v>11</v>
      </c>
      <c r="Q696" s="447">
        <f>YEAR(Advices[[#This Row],[Transaction Date]])</f>
        <v>2025</v>
      </c>
      <c r="R696" s="1"/>
    </row>
    <row r="697" spans="1:18" x14ac:dyDescent="0.25">
      <c r="A697" s="1" t="s">
        <v>21</v>
      </c>
      <c r="B697" s="178">
        <v>45974</v>
      </c>
      <c r="C697" s="1" t="s">
        <v>1951</v>
      </c>
      <c r="D697" s="1" t="s">
        <v>2694</v>
      </c>
      <c r="E697" s="1" t="s">
        <v>1520</v>
      </c>
      <c r="F697" s="1" t="s">
        <v>2692</v>
      </c>
      <c r="G697" s="1" t="s">
        <v>26</v>
      </c>
      <c r="H697" s="13">
        <v>-550000</v>
      </c>
      <c r="I697" s="13">
        <v>0</v>
      </c>
      <c r="J697" s="1" t="s">
        <v>1126</v>
      </c>
      <c r="K697" s="1" t="s">
        <v>2025</v>
      </c>
      <c r="L697" s="1" t="str">
        <f>VLOOKUP(Advices[[#This Row],[LC Number]],'Combine_List'!A:D,2,0)</f>
        <v>SAHM AL MADINAH CONTRACTING EST</v>
      </c>
      <c r="M697" s="447" t="str">
        <f>VLOOKUP(Advices[[#This Row],[LC Number]],'Combine_List'!A:D,3,0)</f>
        <v>FIRST FIX</v>
      </c>
      <c r="N697" s="447" t="str">
        <f>VLOOKUP(Advices[[#This Row],[LC Number]],'Combine_List'!A:D,4,0)</f>
        <v>JCD SPMI</v>
      </c>
      <c r="O697" s="447">
        <f>VLOOKUP(Advices[[#This Row],[LC Number]],'Combine_List'!A:E,5,0)</f>
        <v>1020100</v>
      </c>
      <c r="P697" s="447">
        <f>MONTH(Advices[[#This Row],[Transaction Date]])</f>
        <v>11</v>
      </c>
      <c r="Q697" s="447">
        <f>YEAR(Advices[[#This Row],[Transaction Date]])</f>
        <v>2025</v>
      </c>
      <c r="R697" s="1"/>
    </row>
    <row r="698" spans="1:18" x14ac:dyDescent="0.25">
      <c r="A698" s="1" t="s">
        <v>21</v>
      </c>
      <c r="B698" s="178">
        <v>45974</v>
      </c>
      <c r="C698" s="1" t="s">
        <v>1951</v>
      </c>
      <c r="D698" s="1" t="s">
        <v>1960</v>
      </c>
      <c r="E698" s="1" t="s">
        <v>1523</v>
      </c>
      <c r="F698" s="1" t="s">
        <v>2695</v>
      </c>
      <c r="G698" s="1" t="s">
        <v>26</v>
      </c>
      <c r="H698" s="13">
        <v>-11.25</v>
      </c>
      <c r="I698" s="13">
        <v>0</v>
      </c>
      <c r="J698" s="1" t="s">
        <v>1174</v>
      </c>
      <c r="K698" s="1" t="s">
        <v>2025</v>
      </c>
      <c r="L698" s="1" t="str">
        <f>VLOOKUP(Advices[[#This Row],[LC Number]],'Combine_List'!A:D,2,0)</f>
        <v>SAUD JAMAL ALHADDAD EQUIPMENT RENTAL EST.</v>
      </c>
      <c r="M698" s="447" t="str">
        <f>VLOOKUP(Advices[[#This Row],[LC Number]],'Combine_List'!A:D,3,0)</f>
        <v>FIRST FIX</v>
      </c>
      <c r="N698" s="447" t="str">
        <f>VLOOKUP(Advices[[#This Row],[LC Number]],'Combine_List'!A:D,4,0)</f>
        <v>JCD SPMI</v>
      </c>
      <c r="O698" s="447">
        <f>VLOOKUP(Advices[[#This Row],[LC Number]],'Combine_List'!A:E,5,0)</f>
        <v>1020100</v>
      </c>
      <c r="P698" s="447">
        <f>MONTH(Advices[[#This Row],[Transaction Date]])</f>
        <v>11</v>
      </c>
      <c r="Q698" s="447">
        <f>YEAR(Advices[[#This Row],[Transaction Date]])</f>
        <v>2025</v>
      </c>
      <c r="R698" s="1"/>
    </row>
    <row r="699" spans="1:18" x14ac:dyDescent="0.25">
      <c r="A699" s="1" t="s">
        <v>21</v>
      </c>
      <c r="B699" s="178">
        <v>45974</v>
      </c>
      <c r="C699" s="1" t="s">
        <v>1951</v>
      </c>
      <c r="D699" s="1" t="s">
        <v>2696</v>
      </c>
      <c r="E699" s="1" t="s">
        <v>1523</v>
      </c>
      <c r="F699" s="1" t="s">
        <v>2695</v>
      </c>
      <c r="G699" s="1" t="s">
        <v>26</v>
      </c>
      <c r="H699" s="13">
        <v>-75</v>
      </c>
      <c r="I699" s="13">
        <v>0</v>
      </c>
      <c r="J699" s="1" t="s">
        <v>1963</v>
      </c>
      <c r="K699" s="1" t="s">
        <v>2025</v>
      </c>
      <c r="L699" s="1" t="str">
        <f>VLOOKUP(Advices[[#This Row],[LC Number]],'Combine_List'!A:D,2,0)</f>
        <v>SAUD JAMAL ALHADDAD EQUIPMENT RENTAL EST.</v>
      </c>
      <c r="M699" s="447" t="str">
        <f>VLOOKUP(Advices[[#This Row],[LC Number]],'Combine_List'!A:D,3,0)</f>
        <v>FIRST FIX</v>
      </c>
      <c r="N699" s="447" t="str">
        <f>VLOOKUP(Advices[[#This Row],[LC Number]],'Combine_List'!A:D,4,0)</f>
        <v>JCD SPMI</v>
      </c>
      <c r="O699" s="447">
        <f>VLOOKUP(Advices[[#This Row],[LC Number]],'Combine_List'!A:E,5,0)</f>
        <v>1020100</v>
      </c>
      <c r="P699" s="447">
        <f>MONTH(Advices[[#This Row],[Transaction Date]])</f>
        <v>11</v>
      </c>
      <c r="Q699" s="447">
        <f>YEAR(Advices[[#This Row],[Transaction Date]])</f>
        <v>2025</v>
      </c>
      <c r="R699" s="1"/>
    </row>
    <row r="700" spans="1:18" x14ac:dyDescent="0.25">
      <c r="A700" s="1" t="s">
        <v>21</v>
      </c>
      <c r="B700" s="178">
        <v>45974</v>
      </c>
      <c r="C700" s="1" t="s">
        <v>1951</v>
      </c>
      <c r="D700" s="1" t="s">
        <v>2697</v>
      </c>
      <c r="E700" s="1" t="s">
        <v>1523</v>
      </c>
      <c r="F700" s="1" t="s">
        <v>2695</v>
      </c>
      <c r="G700" s="1" t="s">
        <v>26</v>
      </c>
      <c r="H700" s="13">
        <v>-200000</v>
      </c>
      <c r="I700" s="13">
        <v>0</v>
      </c>
      <c r="J700" s="1" t="s">
        <v>1126</v>
      </c>
      <c r="K700" s="1" t="s">
        <v>2025</v>
      </c>
      <c r="L700" s="1" t="str">
        <f>VLOOKUP(Advices[[#This Row],[LC Number]],'Combine_List'!A:D,2,0)</f>
        <v>SAUD JAMAL ALHADDAD EQUIPMENT RENTAL EST.</v>
      </c>
      <c r="M700" s="447" t="str">
        <f>VLOOKUP(Advices[[#This Row],[LC Number]],'Combine_List'!A:D,3,0)</f>
        <v>FIRST FIX</v>
      </c>
      <c r="N700" s="447" t="str">
        <f>VLOOKUP(Advices[[#This Row],[LC Number]],'Combine_List'!A:D,4,0)</f>
        <v>JCD SPMI</v>
      </c>
      <c r="O700" s="447">
        <f>VLOOKUP(Advices[[#This Row],[LC Number]],'Combine_List'!A:E,5,0)</f>
        <v>1020100</v>
      </c>
      <c r="P700" s="447">
        <f>MONTH(Advices[[#This Row],[Transaction Date]])</f>
        <v>11</v>
      </c>
      <c r="Q700" s="447">
        <f>YEAR(Advices[[#This Row],[Transaction Date]])</f>
        <v>2025</v>
      </c>
      <c r="R700" s="1"/>
    </row>
    <row r="701" spans="1:18" x14ac:dyDescent="0.25">
      <c r="A701" s="1" t="s">
        <v>21</v>
      </c>
      <c r="B701" s="178">
        <v>45977</v>
      </c>
      <c r="C701" s="1" t="s">
        <v>1951</v>
      </c>
      <c r="D701" s="1" t="s">
        <v>1960</v>
      </c>
      <c r="E701" s="1" t="s">
        <v>1312</v>
      </c>
      <c r="F701" s="1" t="s">
        <v>2698</v>
      </c>
      <c r="G701" s="1" t="s">
        <v>26</v>
      </c>
      <c r="H701" s="13">
        <v>-11.25</v>
      </c>
      <c r="I701" s="13">
        <v>0</v>
      </c>
      <c r="J701" s="1" t="s">
        <v>1174</v>
      </c>
      <c r="K701" s="1" t="s">
        <v>2025</v>
      </c>
      <c r="L701" s="1" t="str">
        <f>VLOOKUP(Advices[[#This Row],[LC Number]],'Combine_List'!A:D,2,0)</f>
        <v>ALBYT ALTHAKI TRADING CO</v>
      </c>
      <c r="M701" s="447" t="str">
        <f>VLOOKUP(Advices[[#This Row],[LC Number]],'Combine_List'!A:D,3,0)</f>
        <v>FIRST FIX</v>
      </c>
      <c r="N701" s="447" t="str">
        <f>VLOOKUP(Advices[[#This Row],[LC Number]],'Combine_List'!A:D,4,0)</f>
        <v>KSP</v>
      </c>
      <c r="O701" s="447">
        <f>VLOOKUP(Advices[[#This Row],[LC Number]],'Combine_List'!A:E,5,0)</f>
        <v>1020055</v>
      </c>
      <c r="P701" s="447">
        <f>MONTH(Advices[[#This Row],[Transaction Date]])</f>
        <v>11</v>
      </c>
      <c r="Q701" s="447">
        <f>YEAR(Advices[[#This Row],[Transaction Date]])</f>
        <v>2025</v>
      </c>
      <c r="R701" s="1"/>
    </row>
    <row r="702" spans="1:18" x14ac:dyDescent="0.25">
      <c r="A702" s="1" t="s">
        <v>21</v>
      </c>
      <c r="B702" s="178">
        <v>45977</v>
      </c>
      <c r="C702" s="1" t="s">
        <v>1951</v>
      </c>
      <c r="D702" s="1" t="s">
        <v>2699</v>
      </c>
      <c r="E702" s="1" t="s">
        <v>1312</v>
      </c>
      <c r="F702" s="1" t="s">
        <v>2698</v>
      </c>
      <c r="G702" s="1" t="s">
        <v>26</v>
      </c>
      <c r="H702" s="13">
        <v>-75</v>
      </c>
      <c r="I702" s="13">
        <v>0</v>
      </c>
      <c r="J702" s="1" t="s">
        <v>1963</v>
      </c>
      <c r="K702" s="1" t="s">
        <v>2025</v>
      </c>
      <c r="L702" s="1" t="str">
        <f>VLOOKUP(Advices[[#This Row],[LC Number]],'Combine_List'!A:D,2,0)</f>
        <v>ALBYT ALTHAKI TRADING CO</v>
      </c>
      <c r="M702" s="447" t="str">
        <f>VLOOKUP(Advices[[#This Row],[LC Number]],'Combine_List'!A:D,3,0)</f>
        <v>FIRST FIX</v>
      </c>
      <c r="N702" s="447" t="str">
        <f>VLOOKUP(Advices[[#This Row],[LC Number]],'Combine_List'!A:D,4,0)</f>
        <v>KSP</v>
      </c>
      <c r="O702" s="447">
        <f>VLOOKUP(Advices[[#This Row],[LC Number]],'Combine_List'!A:E,5,0)</f>
        <v>1020055</v>
      </c>
      <c r="P702" s="447">
        <f>MONTH(Advices[[#This Row],[Transaction Date]])</f>
        <v>11</v>
      </c>
      <c r="Q702" s="447">
        <f>YEAR(Advices[[#This Row],[Transaction Date]])</f>
        <v>2025</v>
      </c>
      <c r="R702" s="1"/>
    </row>
    <row r="703" spans="1:18" x14ac:dyDescent="0.25">
      <c r="A703" s="1" t="s">
        <v>21</v>
      </c>
      <c r="B703" s="178">
        <v>45977</v>
      </c>
      <c r="C703" s="1" t="s">
        <v>1951</v>
      </c>
      <c r="D703" s="1" t="s">
        <v>2700</v>
      </c>
      <c r="E703" s="1" t="s">
        <v>1312</v>
      </c>
      <c r="F703" s="1" t="s">
        <v>2698</v>
      </c>
      <c r="G703" s="1" t="s">
        <v>26</v>
      </c>
      <c r="H703" s="13">
        <v>-312132.31</v>
      </c>
      <c r="I703" s="13">
        <v>0</v>
      </c>
      <c r="J703" s="1" t="s">
        <v>1126</v>
      </c>
      <c r="K703" s="1" t="s">
        <v>2025</v>
      </c>
      <c r="L703" s="1" t="str">
        <f>VLOOKUP(Advices[[#This Row],[LC Number]],'Combine_List'!A:D,2,0)</f>
        <v>ALBYT ALTHAKI TRADING CO</v>
      </c>
      <c r="M703" s="447" t="str">
        <f>VLOOKUP(Advices[[#This Row],[LC Number]],'Combine_List'!A:D,3,0)</f>
        <v>FIRST FIX</v>
      </c>
      <c r="N703" s="447" t="str">
        <f>VLOOKUP(Advices[[#This Row],[LC Number]],'Combine_List'!A:D,4,0)</f>
        <v>KSP</v>
      </c>
      <c r="O703" s="447">
        <f>VLOOKUP(Advices[[#This Row],[LC Number]],'Combine_List'!A:E,5,0)</f>
        <v>1020055</v>
      </c>
      <c r="P703" s="447">
        <f>MONTH(Advices[[#This Row],[Transaction Date]])</f>
        <v>11</v>
      </c>
      <c r="Q703" s="447">
        <f>YEAR(Advices[[#This Row],[Transaction Date]])</f>
        <v>2025</v>
      </c>
      <c r="R703" s="1"/>
    </row>
    <row r="704" spans="1:18" x14ac:dyDescent="0.25">
      <c r="A704" s="1" t="s">
        <v>21</v>
      </c>
      <c r="B704" s="178">
        <v>45977</v>
      </c>
      <c r="C704" s="1" t="s">
        <v>1951</v>
      </c>
      <c r="D704" s="1" t="s">
        <v>2646</v>
      </c>
      <c r="E704" s="1" t="s">
        <v>2701</v>
      </c>
      <c r="F704" s="1" t="s">
        <v>2702</v>
      </c>
      <c r="G704" s="1" t="s">
        <v>26</v>
      </c>
      <c r="H704" s="13">
        <v>-15</v>
      </c>
      <c r="I704" s="13">
        <v>0</v>
      </c>
      <c r="J704" s="1" t="s">
        <v>1174</v>
      </c>
      <c r="K704" s="1" t="s">
        <v>2025</v>
      </c>
      <c r="L704" s="1" t="e">
        <f>VLOOKUP(Advices[[#This Row],[LC Number]],'Combine_List'!A:D,2,0)</f>
        <v>#N/A</v>
      </c>
      <c r="M704" s="447" t="e">
        <f>VLOOKUP(Advices[[#This Row],[LC Number]],'Combine_List'!A:D,3,0)</f>
        <v>#N/A</v>
      </c>
      <c r="N704" s="447" t="e">
        <f>VLOOKUP(Advices[[#This Row],[LC Number]],'Combine_List'!A:D,4,0)</f>
        <v>#N/A</v>
      </c>
      <c r="O704" s="447" t="e">
        <f>VLOOKUP(Advices[[#This Row],[LC Number]],'Combine_List'!A:E,5,0)</f>
        <v>#N/A</v>
      </c>
      <c r="P704" s="447">
        <f>MONTH(Advices[[#This Row],[Transaction Date]])</f>
        <v>11</v>
      </c>
      <c r="Q704" s="447">
        <f>YEAR(Advices[[#This Row],[Transaction Date]])</f>
        <v>2025</v>
      </c>
      <c r="R704" s="1"/>
    </row>
    <row r="705" spans="1:18" x14ac:dyDescent="0.25">
      <c r="A705" s="1" t="s">
        <v>21</v>
      </c>
      <c r="B705" s="178">
        <v>45977</v>
      </c>
      <c r="C705" s="1" t="s">
        <v>1951</v>
      </c>
      <c r="D705" s="1" t="s">
        <v>2703</v>
      </c>
      <c r="E705" s="1" t="s">
        <v>2701</v>
      </c>
      <c r="F705" s="1" t="s">
        <v>2702</v>
      </c>
      <c r="G705" s="1" t="s">
        <v>26</v>
      </c>
      <c r="H705" s="13">
        <v>-100</v>
      </c>
      <c r="I705" s="13">
        <v>0</v>
      </c>
      <c r="J705" s="1" t="s">
        <v>1963</v>
      </c>
      <c r="K705" s="1" t="s">
        <v>2025</v>
      </c>
      <c r="L705" s="1" t="e">
        <f>VLOOKUP(Advices[[#This Row],[LC Number]],'Combine_List'!A:D,2,0)</f>
        <v>#N/A</v>
      </c>
      <c r="M705" s="447" t="e">
        <f>VLOOKUP(Advices[[#This Row],[LC Number]],'Combine_List'!A:D,3,0)</f>
        <v>#N/A</v>
      </c>
      <c r="N705" s="447" t="e">
        <f>VLOOKUP(Advices[[#This Row],[LC Number]],'Combine_List'!A:D,4,0)</f>
        <v>#N/A</v>
      </c>
      <c r="O705" s="447" t="e">
        <f>VLOOKUP(Advices[[#This Row],[LC Number]],'Combine_List'!A:E,5,0)</f>
        <v>#N/A</v>
      </c>
      <c r="P705" s="447">
        <f>MONTH(Advices[[#This Row],[Transaction Date]])</f>
        <v>11</v>
      </c>
      <c r="Q705" s="447">
        <f>YEAR(Advices[[#This Row],[Transaction Date]])</f>
        <v>2025</v>
      </c>
      <c r="R705" s="1"/>
    </row>
    <row r="706" spans="1:18" x14ac:dyDescent="0.25">
      <c r="A706" s="1" t="s">
        <v>21</v>
      </c>
      <c r="B706" s="178">
        <v>45977</v>
      </c>
      <c r="C706" s="1" t="s">
        <v>1951</v>
      </c>
      <c r="D706" s="1" t="s">
        <v>2650</v>
      </c>
      <c r="E706" s="1" t="s">
        <v>2701</v>
      </c>
      <c r="F706" s="1" t="s">
        <v>2702</v>
      </c>
      <c r="G706" s="1" t="s">
        <v>26</v>
      </c>
      <c r="H706" s="13">
        <v>-112.5</v>
      </c>
      <c r="I706" s="13">
        <v>0</v>
      </c>
      <c r="J706" s="1" t="s">
        <v>1174</v>
      </c>
      <c r="K706" s="1" t="s">
        <v>2025</v>
      </c>
      <c r="L706" s="1" t="e">
        <f>VLOOKUP(Advices[[#This Row],[LC Number]],'Combine_List'!A:D,2,0)</f>
        <v>#N/A</v>
      </c>
      <c r="M706" s="447" t="e">
        <f>VLOOKUP(Advices[[#This Row],[LC Number]],'Combine_List'!A:D,3,0)</f>
        <v>#N/A</v>
      </c>
      <c r="N706" s="447" t="e">
        <f>VLOOKUP(Advices[[#This Row],[LC Number]],'Combine_List'!A:D,4,0)</f>
        <v>#N/A</v>
      </c>
      <c r="O706" s="447" t="e">
        <f>VLOOKUP(Advices[[#This Row],[LC Number]],'Combine_List'!A:E,5,0)</f>
        <v>#N/A</v>
      </c>
      <c r="P706" s="447">
        <f>MONTH(Advices[[#This Row],[Transaction Date]])</f>
        <v>11</v>
      </c>
      <c r="Q706" s="447">
        <f>YEAR(Advices[[#This Row],[Transaction Date]])</f>
        <v>2025</v>
      </c>
      <c r="R706" s="1"/>
    </row>
    <row r="707" spans="1:18" x14ac:dyDescent="0.25">
      <c r="A707" s="1" t="s">
        <v>21</v>
      </c>
      <c r="B707" s="178">
        <v>45977</v>
      </c>
      <c r="C707" s="1" t="s">
        <v>1951</v>
      </c>
      <c r="D707" s="1" t="s">
        <v>2704</v>
      </c>
      <c r="E707" s="1" t="s">
        <v>2701</v>
      </c>
      <c r="F707" s="1" t="s">
        <v>2702</v>
      </c>
      <c r="G707" s="1" t="s">
        <v>26</v>
      </c>
      <c r="H707" s="13">
        <v>-750</v>
      </c>
      <c r="I707" s="13">
        <v>0</v>
      </c>
      <c r="J707" s="1" t="s">
        <v>895</v>
      </c>
      <c r="K707" s="1" t="s">
        <v>2025</v>
      </c>
      <c r="L707" s="1" t="e">
        <f>VLOOKUP(Advices[[#This Row],[LC Number]],'Combine_List'!A:D,2,0)</f>
        <v>#N/A</v>
      </c>
      <c r="M707" s="447" t="e">
        <f>VLOOKUP(Advices[[#This Row],[LC Number]],'Combine_List'!A:D,3,0)</f>
        <v>#N/A</v>
      </c>
      <c r="N707" s="447" t="e">
        <f>VLOOKUP(Advices[[#This Row],[LC Number]],'Combine_List'!A:D,4,0)</f>
        <v>#N/A</v>
      </c>
      <c r="O707" s="447" t="e">
        <f>VLOOKUP(Advices[[#This Row],[LC Number]],'Combine_List'!A:E,5,0)</f>
        <v>#N/A</v>
      </c>
      <c r="P707" s="447">
        <f>MONTH(Advices[[#This Row],[Transaction Date]])</f>
        <v>11</v>
      </c>
      <c r="Q707" s="447">
        <f>YEAR(Advices[[#This Row],[Transaction Date]])</f>
        <v>2025</v>
      </c>
      <c r="R707" s="1"/>
    </row>
    <row r="708" spans="1:18" x14ac:dyDescent="0.25">
      <c r="A708" s="1" t="s">
        <v>21</v>
      </c>
      <c r="B708" s="178">
        <v>45977</v>
      </c>
      <c r="C708" s="1" t="s">
        <v>1951</v>
      </c>
      <c r="D708" s="1" t="s">
        <v>2705</v>
      </c>
      <c r="E708" s="1" t="s">
        <v>2701</v>
      </c>
      <c r="F708" s="1" t="s">
        <v>2702</v>
      </c>
      <c r="G708" s="1" t="s">
        <v>26</v>
      </c>
      <c r="H708" s="13">
        <v>-10095188.34</v>
      </c>
      <c r="I708" s="13">
        <v>0</v>
      </c>
      <c r="J708" s="1" t="s">
        <v>1126</v>
      </c>
      <c r="K708" s="1" t="s">
        <v>2025</v>
      </c>
      <c r="L708" s="1" t="e">
        <f>VLOOKUP(Advices[[#This Row],[LC Number]],'Combine_List'!A:D,2,0)</f>
        <v>#N/A</v>
      </c>
      <c r="M708" s="447" t="e">
        <f>VLOOKUP(Advices[[#This Row],[LC Number]],'Combine_List'!A:D,3,0)</f>
        <v>#N/A</v>
      </c>
      <c r="N708" s="447" t="e">
        <f>VLOOKUP(Advices[[#This Row],[LC Number]],'Combine_List'!A:D,4,0)</f>
        <v>#N/A</v>
      </c>
      <c r="O708" s="447" t="e">
        <f>VLOOKUP(Advices[[#This Row],[LC Number]],'Combine_List'!A:E,5,0)</f>
        <v>#N/A</v>
      </c>
      <c r="P708" s="447">
        <f>MONTH(Advices[[#This Row],[Transaction Date]])</f>
        <v>11</v>
      </c>
      <c r="Q708" s="447">
        <f>YEAR(Advices[[#This Row],[Transaction Date]])</f>
        <v>2025</v>
      </c>
      <c r="R708" s="1"/>
    </row>
    <row r="709" spans="1:18" x14ac:dyDescent="0.25">
      <c r="A709" s="1" t="s">
        <v>21</v>
      </c>
      <c r="B709" s="178">
        <v>45981</v>
      </c>
      <c r="C709" s="1" t="s">
        <v>1951</v>
      </c>
      <c r="D709" s="1" t="s">
        <v>2706</v>
      </c>
      <c r="E709" s="1" t="s">
        <v>2569</v>
      </c>
      <c r="F709" s="1" t="s">
        <v>2707</v>
      </c>
      <c r="G709" s="1" t="s">
        <v>26</v>
      </c>
      <c r="H709" s="13">
        <v>-8500</v>
      </c>
      <c r="I709" s="13">
        <v>0</v>
      </c>
      <c r="J709" s="1" t="s">
        <v>1174</v>
      </c>
      <c r="K709" s="1" t="s">
        <v>2025</v>
      </c>
      <c r="L709" s="1" t="str">
        <f>VLOOKUP(Advices[[#This Row],[LC Number]],'Combine_List'!A:D,2,0)</f>
        <v>Hamada Decoration Company</v>
      </c>
      <c r="M709" s="447" t="str">
        <f>VLOOKUP(Advices[[#This Row],[LC Number]],'Combine_List'!A:D,3,0)</f>
        <v>MBL</v>
      </c>
      <c r="N709" s="447" t="str">
        <f>VLOOKUP(Advices[[#This Row],[LC Number]],'Combine_List'!A:D,4,0)</f>
        <v>ADF</v>
      </c>
      <c r="O709" s="447">
        <f>VLOOKUP(Advices[[#This Row],[LC Number]],'Combine_List'!A:E,5,0)</f>
        <v>1020001</v>
      </c>
      <c r="P709" s="447">
        <f>MONTH(Advices[[#This Row],[Transaction Date]])</f>
        <v>11</v>
      </c>
      <c r="Q709" s="447">
        <f>YEAR(Advices[[#This Row],[Transaction Date]])</f>
        <v>2025</v>
      </c>
      <c r="R709" s="1"/>
    </row>
    <row r="710" spans="1:18" x14ac:dyDescent="0.25">
      <c r="A710" s="1" t="s">
        <v>21</v>
      </c>
      <c r="B710" s="178">
        <v>45981</v>
      </c>
      <c r="C710" s="1" t="s">
        <v>1951</v>
      </c>
      <c r="D710" s="1" t="s">
        <v>2708</v>
      </c>
      <c r="E710" s="1" t="s">
        <v>2569</v>
      </c>
      <c r="F710" s="1" t="s">
        <v>2707</v>
      </c>
      <c r="G710" s="1" t="s">
        <v>26</v>
      </c>
      <c r="H710" s="13">
        <v>-56666.67</v>
      </c>
      <c r="I710" s="13">
        <v>0</v>
      </c>
      <c r="J710" s="1" t="s">
        <v>1125</v>
      </c>
      <c r="K710" s="1" t="s">
        <v>2025</v>
      </c>
      <c r="L710" s="1" t="str">
        <f>VLOOKUP(Advices[[#This Row],[LC Number]],'Combine_List'!A:D,2,0)</f>
        <v>Hamada Decoration Company</v>
      </c>
      <c r="M710" s="447" t="str">
        <f>VLOOKUP(Advices[[#This Row],[LC Number]],'Combine_List'!A:D,3,0)</f>
        <v>MBL</v>
      </c>
      <c r="N710" s="447" t="str">
        <f>VLOOKUP(Advices[[#This Row],[LC Number]],'Combine_List'!A:D,4,0)</f>
        <v>ADF</v>
      </c>
      <c r="O710" s="447">
        <f>VLOOKUP(Advices[[#This Row],[LC Number]],'Combine_List'!A:E,5,0)</f>
        <v>1020001</v>
      </c>
      <c r="P710" s="447">
        <f>MONTH(Advices[[#This Row],[Transaction Date]])</f>
        <v>11</v>
      </c>
      <c r="Q710" s="447">
        <f>YEAR(Advices[[#This Row],[Transaction Date]])</f>
        <v>2025</v>
      </c>
      <c r="R710" s="1"/>
    </row>
    <row r="711" spans="1:18" hidden="1" x14ac:dyDescent="0.25">
      <c r="A711" s="1" t="s">
        <v>62</v>
      </c>
      <c r="B711" s="178">
        <v>45972</v>
      </c>
      <c r="C711" s="1" t="s">
        <v>2039</v>
      </c>
      <c r="D711" s="1" t="s">
        <v>2709</v>
      </c>
      <c r="E711" s="1" t="s">
        <v>1934</v>
      </c>
      <c r="F711" s="1" t="s">
        <v>2041</v>
      </c>
      <c r="G711" s="1" t="s">
        <v>26</v>
      </c>
      <c r="H711" s="13">
        <v>2182840.0699999998</v>
      </c>
      <c r="I711" s="13">
        <v>0</v>
      </c>
      <c r="J711" s="1" t="s">
        <v>2796</v>
      </c>
      <c r="K711" s="1" t="s">
        <v>2025</v>
      </c>
      <c r="L711" s="1" t="str">
        <f>VLOOKUP(Advices[[#This Row],[LC Number]],'Combine_List'!A:D,2,0)</f>
        <v>Mat Filtrasyon Teknolojeleri A.S</v>
      </c>
      <c r="M711" s="447" t="str">
        <f>VLOOKUP(Advices[[#This Row],[LC Number]],'Combine_List'!A:D,3,0)</f>
        <v>MBL</v>
      </c>
      <c r="N711" s="447" t="str">
        <f>VLOOKUP(Advices[[#This Row],[LC Number]],'Combine_List'!A:D,4,0)</f>
        <v>Oceanarium</v>
      </c>
      <c r="O711" s="447">
        <f>VLOOKUP(Advices[[#This Row],[LC Number]],'Combine_List'!A:E,5,0)</f>
        <v>1020096</v>
      </c>
      <c r="P711" s="447">
        <f>MONTH(Advices[[#This Row],[Transaction Date]])</f>
        <v>11</v>
      </c>
      <c r="Q711" s="447">
        <f>YEAR(Advices[[#This Row],[Transaction Date]])</f>
        <v>2025</v>
      </c>
      <c r="R711" s="1"/>
    </row>
    <row r="712" spans="1:18" hidden="1" x14ac:dyDescent="0.25">
      <c r="A712" s="1" t="s">
        <v>62</v>
      </c>
      <c r="B712" s="178">
        <v>45973</v>
      </c>
      <c r="C712" s="1" t="s">
        <v>2039</v>
      </c>
      <c r="D712" s="1" t="s">
        <v>2710</v>
      </c>
      <c r="E712" s="1" t="s">
        <v>1080</v>
      </c>
      <c r="F712" s="1" t="s">
        <v>2041</v>
      </c>
      <c r="G712" s="1" t="s">
        <v>26</v>
      </c>
      <c r="H712" s="13">
        <v>10989.4</v>
      </c>
      <c r="I712" s="13">
        <v>0</v>
      </c>
      <c r="J712" s="1" t="s">
        <v>2795</v>
      </c>
      <c r="K712" s="1" t="s">
        <v>2025</v>
      </c>
      <c r="L712" s="1" t="str">
        <f>VLOOKUP(Advices[[#This Row],[LC Number]],'Combine_List'!A:D,2,0)</f>
        <v xml:space="preserve">Advance - JEDDAH CENTRAL DEVELOPMENT COMPANY (JCD) </v>
      </c>
      <c r="M712" s="447">
        <f>VLOOKUP(Advices[[#This Row],[LC Number]],'Combine_List'!A:D,3,0)</f>
        <v>0</v>
      </c>
      <c r="N712" s="447" t="str">
        <f>VLOOKUP(Advices[[#This Row],[LC Number]],'Combine_List'!A:D,4,0)</f>
        <v>JCD</v>
      </c>
      <c r="O712" s="447" t="str">
        <f>VLOOKUP(Advices[[#This Row],[LC Number]],'Combine_List'!A:E,5,0)</f>
        <v>1020051</v>
      </c>
      <c r="P712" s="447">
        <f>MONTH(Advices[[#This Row],[Transaction Date]])</f>
        <v>11</v>
      </c>
      <c r="Q712" s="447">
        <f>YEAR(Advices[[#This Row],[Transaction Date]])</f>
        <v>2025</v>
      </c>
      <c r="R712" s="1"/>
    </row>
    <row r="713" spans="1:18" hidden="1" x14ac:dyDescent="0.25">
      <c r="A713" s="1" t="s">
        <v>62</v>
      </c>
      <c r="B713" s="178">
        <v>45973</v>
      </c>
      <c r="C713" s="1" t="s">
        <v>2042</v>
      </c>
      <c r="D713" s="1" t="s">
        <v>2711</v>
      </c>
      <c r="E713" s="1" t="s">
        <v>1083</v>
      </c>
      <c r="F713" s="1" t="s">
        <v>2041</v>
      </c>
      <c r="G713" s="1" t="s">
        <v>26</v>
      </c>
      <c r="H713" s="13">
        <v>84100.65</v>
      </c>
      <c r="I713" s="13">
        <v>0</v>
      </c>
      <c r="J713" s="1" t="s">
        <v>2795</v>
      </c>
      <c r="K713" s="1" t="s">
        <v>2025</v>
      </c>
      <c r="L713" s="1" t="str">
        <f>VLOOKUP(Advices[[#This Row],[LC Number]],'Combine_List'!A:D,2,0)</f>
        <v>Performance - JEDDAH CENTRAL DEVELOPMENT COMPANY</v>
      </c>
      <c r="M713" s="447">
        <f>VLOOKUP(Advices[[#This Row],[LC Number]],'Combine_List'!A:D,3,0)</f>
        <v>0</v>
      </c>
      <c r="N713" s="447" t="str">
        <f>VLOOKUP(Advices[[#This Row],[LC Number]],'Combine_List'!A:D,4,0)</f>
        <v>JCD</v>
      </c>
      <c r="O713" s="447" t="str">
        <f>VLOOKUP(Advices[[#This Row],[LC Number]],'Combine_List'!A:E,5,0)</f>
        <v>1020051</v>
      </c>
      <c r="P713" s="447">
        <f>MONTH(Advices[[#This Row],[Transaction Date]])</f>
        <v>11</v>
      </c>
      <c r="Q713" s="447">
        <f>YEAR(Advices[[#This Row],[Transaction Date]])</f>
        <v>2025</v>
      </c>
      <c r="R713" s="1"/>
    </row>
    <row r="714" spans="1:18" hidden="1" x14ac:dyDescent="0.25">
      <c r="A714" s="1" t="s">
        <v>62</v>
      </c>
      <c r="B714" s="178">
        <v>45973</v>
      </c>
      <c r="C714" s="1" t="s">
        <v>2712</v>
      </c>
      <c r="D714" s="1" t="s">
        <v>2713</v>
      </c>
      <c r="E714" s="1" t="s">
        <v>306</v>
      </c>
      <c r="F714" s="1" t="s">
        <v>2041</v>
      </c>
      <c r="G714" s="1" t="s">
        <v>67</v>
      </c>
      <c r="H714" s="13">
        <v>1226540.45</v>
      </c>
      <c r="I714" s="13">
        <v>0</v>
      </c>
      <c r="J714" s="1" t="s">
        <v>2797</v>
      </c>
      <c r="K714" s="1" t="s">
        <v>2025</v>
      </c>
      <c r="L714" s="1" t="str">
        <f>VLOOKUP(Advices[[#This Row],[LC Number]],'Combine_List'!A:D,2,0)</f>
        <v>ATELIER HOSPITALITY SRL</v>
      </c>
      <c r="M714" s="447" t="str">
        <f>VLOOKUP(Advices[[#This Row],[LC Number]],'Combine_List'!A:D,3,0)</f>
        <v>MBL</v>
      </c>
      <c r="N714" s="447" t="str">
        <f>VLOOKUP(Advices[[#This Row],[LC Number]],'Combine_List'!A:D,4,0)</f>
        <v>L01-YAMMAMA</v>
      </c>
      <c r="O714" s="447">
        <f>VLOOKUP(Advices[[#This Row],[LC Number]],'Combine_List'!A:E,5,0)</f>
        <v>1020015</v>
      </c>
      <c r="P714" s="447">
        <f>MONTH(Advices[[#This Row],[Transaction Date]])</f>
        <v>11</v>
      </c>
      <c r="Q714" s="447">
        <f>YEAR(Advices[[#This Row],[Transaction Date]])</f>
        <v>2025</v>
      </c>
      <c r="R714" s="1"/>
    </row>
    <row r="715" spans="1:18" hidden="1" x14ac:dyDescent="0.25">
      <c r="A715" s="1" t="s">
        <v>62</v>
      </c>
      <c r="B715" s="178">
        <v>45973</v>
      </c>
      <c r="C715" s="1" t="s">
        <v>2712</v>
      </c>
      <c r="D715" s="1" t="s">
        <v>2714</v>
      </c>
      <c r="E715" s="1" t="s">
        <v>306</v>
      </c>
      <c r="F715" s="1" t="s">
        <v>2041</v>
      </c>
      <c r="G715" s="1" t="s">
        <v>67</v>
      </c>
      <c r="H715" s="13">
        <v>45021.19</v>
      </c>
      <c r="I715" s="13">
        <v>0</v>
      </c>
      <c r="J715" s="1" t="s">
        <v>1126</v>
      </c>
      <c r="K715" s="1" t="s">
        <v>2025</v>
      </c>
      <c r="L715" s="1" t="str">
        <f>VLOOKUP(Advices[[#This Row],[LC Number]],'Combine_List'!A:D,2,0)</f>
        <v>ATELIER HOSPITALITY SRL</v>
      </c>
      <c r="M715" s="447" t="str">
        <f>VLOOKUP(Advices[[#This Row],[LC Number]],'Combine_List'!A:D,3,0)</f>
        <v>MBL</v>
      </c>
      <c r="N715" s="447" t="str">
        <f>VLOOKUP(Advices[[#This Row],[LC Number]],'Combine_List'!A:D,4,0)</f>
        <v>L01-YAMMAMA</v>
      </c>
      <c r="O715" s="447">
        <f>VLOOKUP(Advices[[#This Row],[LC Number]],'Combine_List'!A:E,5,0)</f>
        <v>1020015</v>
      </c>
      <c r="P715" s="447">
        <f>MONTH(Advices[[#This Row],[Transaction Date]])</f>
        <v>11</v>
      </c>
      <c r="Q715" s="447">
        <f>YEAR(Advices[[#This Row],[Transaction Date]])</f>
        <v>2025</v>
      </c>
      <c r="R715" s="1"/>
    </row>
    <row r="716" spans="1:18" hidden="1" x14ac:dyDescent="0.25">
      <c r="A716" s="1" t="s">
        <v>62</v>
      </c>
      <c r="B716" s="178">
        <v>45979</v>
      </c>
      <c r="C716" s="1" t="s">
        <v>2042</v>
      </c>
      <c r="D716" s="1" t="s">
        <v>2715</v>
      </c>
      <c r="E716" s="1" t="s">
        <v>1934</v>
      </c>
      <c r="F716" s="1" t="s">
        <v>2041</v>
      </c>
      <c r="G716" s="1" t="s">
        <v>26</v>
      </c>
      <c r="H716" s="13">
        <v>6003.79</v>
      </c>
      <c r="I716" s="13">
        <v>0</v>
      </c>
      <c r="J716" s="1" t="s">
        <v>1125</v>
      </c>
      <c r="K716" s="1" t="s">
        <v>2025</v>
      </c>
      <c r="L716" s="1" t="str">
        <f>VLOOKUP(Advices[[#This Row],[LC Number]],'Combine_List'!A:D,2,0)</f>
        <v>Mat Filtrasyon Teknolojeleri A.S</v>
      </c>
      <c r="M716" s="447" t="str">
        <f>VLOOKUP(Advices[[#This Row],[LC Number]],'Combine_List'!A:D,3,0)</f>
        <v>MBL</v>
      </c>
      <c r="N716" s="447" t="str">
        <f>VLOOKUP(Advices[[#This Row],[LC Number]],'Combine_List'!A:D,4,0)</f>
        <v>Oceanarium</v>
      </c>
      <c r="O716" s="447">
        <f>VLOOKUP(Advices[[#This Row],[LC Number]],'Combine_List'!A:E,5,0)</f>
        <v>1020096</v>
      </c>
      <c r="P716" s="447">
        <f>MONTH(Advices[[#This Row],[Transaction Date]])</f>
        <v>11</v>
      </c>
      <c r="Q716" s="447">
        <f>YEAR(Advices[[#This Row],[Transaction Date]])</f>
        <v>2025</v>
      </c>
      <c r="R716" s="1"/>
    </row>
    <row r="717" spans="1:18" hidden="1" x14ac:dyDescent="0.25">
      <c r="A717" s="1" t="s">
        <v>62</v>
      </c>
      <c r="B717" s="178">
        <v>45980</v>
      </c>
      <c r="C717" s="1" t="s">
        <v>2716</v>
      </c>
      <c r="D717" s="1" t="s">
        <v>2717</v>
      </c>
      <c r="E717" s="1" t="s">
        <v>1620</v>
      </c>
      <c r="F717" s="1" t="s">
        <v>2041</v>
      </c>
      <c r="G717" s="1" t="s">
        <v>26</v>
      </c>
      <c r="H717" s="13">
        <v>10781.25</v>
      </c>
      <c r="I717" s="13">
        <v>0</v>
      </c>
      <c r="J717" s="1" t="s">
        <v>2795</v>
      </c>
      <c r="K717" s="1" t="s">
        <v>2025</v>
      </c>
      <c r="L717" s="1" t="str">
        <f>VLOOKUP(Advices[[#This Row],[LC Number]],'Combine_List'!A:D,2,0)</f>
        <v>Bid - The Desert Resort Development Company</v>
      </c>
      <c r="M717" s="447">
        <f>VLOOKUP(Advices[[#This Row],[LC Number]],'Combine_List'!A:D,3,0)</f>
        <v>0</v>
      </c>
      <c r="N717" s="447">
        <f>VLOOKUP(Advices[[#This Row],[LC Number]],'Combine_List'!A:D,4,0)</f>
        <v>0</v>
      </c>
      <c r="O717" s="447" t="str">
        <f>VLOOKUP(Advices[[#This Row],[LC Number]],'Combine_List'!A:E,5,0)</f>
        <v>0</v>
      </c>
      <c r="P717" s="447">
        <f>MONTH(Advices[[#This Row],[Transaction Date]])</f>
        <v>11</v>
      </c>
      <c r="Q717" s="447">
        <f>YEAR(Advices[[#This Row],[Transaction Date]])</f>
        <v>2025</v>
      </c>
      <c r="R717" s="1"/>
    </row>
    <row r="718" spans="1:18" hidden="1" x14ac:dyDescent="0.25">
      <c r="A718" s="1" t="s">
        <v>95</v>
      </c>
      <c r="B718" s="178">
        <v>45971</v>
      </c>
      <c r="C718" s="1" t="s">
        <v>2026</v>
      </c>
      <c r="D718" s="1" t="s">
        <v>2718</v>
      </c>
      <c r="E718" s="1" t="s">
        <v>1550</v>
      </c>
      <c r="F718" s="1" t="s">
        <v>2719</v>
      </c>
      <c r="G718" s="1" t="s">
        <v>26</v>
      </c>
      <c r="H718" s="13">
        <v>-7848.75</v>
      </c>
      <c r="I718" s="13">
        <v>0</v>
      </c>
      <c r="J718" s="1" t="s">
        <v>1124</v>
      </c>
      <c r="K718" s="1" t="s">
        <v>2025</v>
      </c>
      <c r="L718" s="1" t="str">
        <f>VLOOKUP(Advices[[#This Row],[LC Number]],'Combine_List'!A:D,2,0)</f>
        <v>Al Yamamah Company for Reinforcing Steel Bars</v>
      </c>
      <c r="M718" s="447" t="str">
        <f>VLOOKUP(Advices[[#This Row],[LC Number]],'Combine_List'!A:D,3,0)</f>
        <v>MBL</v>
      </c>
      <c r="N718" s="447" t="str">
        <f>VLOOKUP(Advices[[#This Row],[LC Number]],'Combine_List'!A:D,4,0)</f>
        <v>Oceanarium</v>
      </c>
      <c r="O718" s="447">
        <f>VLOOKUP(Advices[[#This Row],[LC Number]],'Combine_List'!A:E,5,0)</f>
        <v>1020096</v>
      </c>
      <c r="P718" s="447">
        <f>MONTH(Advices[[#This Row],[Transaction Date]])</f>
        <v>11</v>
      </c>
      <c r="Q718" s="447">
        <f>YEAR(Advices[[#This Row],[Transaction Date]])</f>
        <v>2025</v>
      </c>
      <c r="R718" s="1"/>
    </row>
    <row r="719" spans="1:18" hidden="1" x14ac:dyDescent="0.25">
      <c r="A719" s="1" t="s">
        <v>95</v>
      </c>
      <c r="B719" s="178">
        <v>45972</v>
      </c>
      <c r="C719" s="1" t="s">
        <v>2026</v>
      </c>
      <c r="D719" s="1" t="s">
        <v>2720</v>
      </c>
      <c r="E719" s="1" t="s">
        <v>2562</v>
      </c>
      <c r="F719" s="1" t="s">
        <v>2721</v>
      </c>
      <c r="G719" s="1" t="s">
        <v>26</v>
      </c>
      <c r="H719" s="13">
        <v>-460</v>
      </c>
      <c r="I719" s="13">
        <v>0</v>
      </c>
      <c r="J719" s="1" t="s">
        <v>1124</v>
      </c>
      <c r="K719" s="1" t="s">
        <v>2025</v>
      </c>
      <c r="L719" s="1" t="str">
        <f>VLOOKUP(Advices[[#This Row],[LC Number]],'Combine_List'!A:D,2,0)</f>
        <v>ALNAFIE METAL INDUSTRIES CO LTD</v>
      </c>
      <c r="M719" s="447" t="str">
        <f>VLOOKUP(Advices[[#This Row],[LC Number]],'Combine_List'!A:D,3,0)</f>
        <v>MBL/AICS</v>
      </c>
      <c r="N719" s="447" t="str">
        <f>VLOOKUP(Advices[[#This Row],[LC Number]],'Combine_List'!A:D,4,0)</f>
        <v>OPERA House</v>
      </c>
      <c r="O719" s="447">
        <f>VLOOKUP(Advices[[#This Row],[LC Number]],'Combine_List'!A:E,5,0)</f>
        <v>1020097</v>
      </c>
      <c r="P719" s="447">
        <f>MONTH(Advices[[#This Row],[Transaction Date]])</f>
        <v>11</v>
      </c>
      <c r="Q719" s="447">
        <f>YEAR(Advices[[#This Row],[Transaction Date]])</f>
        <v>2025</v>
      </c>
      <c r="R719" s="1"/>
    </row>
    <row r="720" spans="1:18" hidden="1" x14ac:dyDescent="0.25">
      <c r="A720" s="1" t="s">
        <v>95</v>
      </c>
      <c r="B720" s="178">
        <v>45972</v>
      </c>
      <c r="C720" s="1" t="s">
        <v>2026</v>
      </c>
      <c r="D720" s="1" t="s">
        <v>2718</v>
      </c>
      <c r="E720" s="1" t="s">
        <v>1550</v>
      </c>
      <c r="F720" s="1" t="s">
        <v>2719</v>
      </c>
      <c r="G720" s="1" t="s">
        <v>26</v>
      </c>
      <c r="H720" s="13">
        <v>-9484337.5</v>
      </c>
      <c r="I720" s="13">
        <v>0</v>
      </c>
      <c r="J720" s="1" t="s">
        <v>1126</v>
      </c>
      <c r="K720" s="1" t="s">
        <v>2025</v>
      </c>
      <c r="L720" s="1" t="str">
        <f>VLOOKUP(Advices[[#This Row],[LC Number]],'Combine_List'!A:D,2,0)</f>
        <v>Al Yamamah Company for Reinforcing Steel Bars</v>
      </c>
      <c r="M720" s="447" t="str">
        <f>VLOOKUP(Advices[[#This Row],[LC Number]],'Combine_List'!A:D,3,0)</f>
        <v>MBL</v>
      </c>
      <c r="N720" s="447" t="str">
        <f>VLOOKUP(Advices[[#This Row],[LC Number]],'Combine_List'!A:D,4,0)</f>
        <v>Oceanarium</v>
      </c>
      <c r="O720" s="447">
        <f>VLOOKUP(Advices[[#This Row],[LC Number]],'Combine_List'!A:E,5,0)</f>
        <v>1020096</v>
      </c>
      <c r="P720" s="447">
        <f>MONTH(Advices[[#This Row],[Transaction Date]])</f>
        <v>11</v>
      </c>
      <c r="Q720" s="447">
        <f>YEAR(Advices[[#This Row],[Transaction Date]])</f>
        <v>2025</v>
      </c>
      <c r="R720" s="1"/>
    </row>
    <row r="721" spans="1:18" hidden="1" x14ac:dyDescent="0.25">
      <c r="A721" s="1" t="s">
        <v>95</v>
      </c>
      <c r="B721" s="178">
        <v>45972</v>
      </c>
      <c r="C721" s="1" t="s">
        <v>2026</v>
      </c>
      <c r="D721" s="1" t="s">
        <v>2722</v>
      </c>
      <c r="E721" s="1" t="s">
        <v>2562</v>
      </c>
      <c r="F721" s="1" t="s">
        <v>2723</v>
      </c>
      <c r="G721" s="1" t="s">
        <v>26</v>
      </c>
      <c r="H721" s="13">
        <v>-460</v>
      </c>
      <c r="I721" s="13">
        <v>0</v>
      </c>
      <c r="J721" s="1" t="s">
        <v>1124</v>
      </c>
      <c r="K721" s="1" t="s">
        <v>2025</v>
      </c>
      <c r="L721" s="1" t="str">
        <f>VLOOKUP(Advices[[#This Row],[LC Number]],'Combine_List'!A:D,2,0)</f>
        <v>ALNAFIE METAL INDUSTRIES CO LTD</v>
      </c>
      <c r="M721" s="447" t="str">
        <f>VLOOKUP(Advices[[#This Row],[LC Number]],'Combine_List'!A:D,3,0)</f>
        <v>MBL/AICS</v>
      </c>
      <c r="N721" s="447" t="str">
        <f>VLOOKUP(Advices[[#This Row],[LC Number]],'Combine_List'!A:D,4,0)</f>
        <v>OPERA House</v>
      </c>
      <c r="O721" s="447">
        <f>VLOOKUP(Advices[[#This Row],[LC Number]],'Combine_List'!A:E,5,0)</f>
        <v>1020097</v>
      </c>
      <c r="P721" s="447">
        <f>MONTH(Advices[[#This Row],[Transaction Date]])</f>
        <v>11</v>
      </c>
      <c r="Q721" s="447">
        <f>YEAR(Advices[[#This Row],[Transaction Date]])</f>
        <v>2025</v>
      </c>
      <c r="R721" s="1"/>
    </row>
    <row r="722" spans="1:18" hidden="1" x14ac:dyDescent="0.25">
      <c r="A722" s="1" t="s">
        <v>95</v>
      </c>
      <c r="B722" s="178">
        <v>45973</v>
      </c>
      <c r="C722" s="1" t="s">
        <v>2026</v>
      </c>
      <c r="D722" s="1" t="s">
        <v>2724</v>
      </c>
      <c r="E722" s="1" t="s">
        <v>1420</v>
      </c>
      <c r="F722" s="1" t="s">
        <v>2725</v>
      </c>
      <c r="G722" s="1" t="s">
        <v>26</v>
      </c>
      <c r="H722" s="13">
        <v>-1353135.09</v>
      </c>
      <c r="I722" s="13">
        <v>0</v>
      </c>
      <c r="J722" s="1" t="s">
        <v>1126</v>
      </c>
      <c r="K722" s="1" t="s">
        <v>2025</v>
      </c>
      <c r="L722" s="1" t="str">
        <f>VLOOKUP(Advices[[#This Row],[LC Number]],'Combine_List'!A:D,2,0)</f>
        <v>ALFANAR ELECTRICAL SYSTEMS</v>
      </c>
      <c r="M722" s="447" t="str">
        <f>VLOOKUP(Advices[[#This Row],[LC Number]],'Combine_List'!A:D,3,0)</f>
        <v>FIRST FIX</v>
      </c>
      <c r="N722" s="447" t="str">
        <f>VLOOKUP(Advices[[#This Row],[LC Number]],'Combine_List'!A:D,4,0)</f>
        <v>KSP</v>
      </c>
      <c r="O722" s="447">
        <f>VLOOKUP(Advices[[#This Row],[LC Number]],'Combine_List'!A:E,5,0)</f>
        <v>1020055</v>
      </c>
      <c r="P722" s="447">
        <f>MONTH(Advices[[#This Row],[Transaction Date]])</f>
        <v>11</v>
      </c>
      <c r="Q722" s="447">
        <f>YEAR(Advices[[#This Row],[Transaction Date]])</f>
        <v>2025</v>
      </c>
      <c r="R722" s="1"/>
    </row>
    <row r="723" spans="1:18" hidden="1" x14ac:dyDescent="0.25">
      <c r="A723" s="1" t="s">
        <v>95</v>
      </c>
      <c r="B723" s="178">
        <v>45977</v>
      </c>
      <c r="C723" s="1" t="s">
        <v>2026</v>
      </c>
      <c r="D723" s="1" t="s">
        <v>2726</v>
      </c>
      <c r="E723" s="1" t="s">
        <v>1550</v>
      </c>
      <c r="F723" s="1" t="s">
        <v>2727</v>
      </c>
      <c r="G723" s="1" t="s">
        <v>26</v>
      </c>
      <c r="H723" s="13">
        <v>-460</v>
      </c>
      <c r="I723" s="13">
        <v>0</v>
      </c>
      <c r="J723" s="1" t="s">
        <v>1124</v>
      </c>
      <c r="K723" s="1" t="s">
        <v>2025</v>
      </c>
      <c r="L723" s="1" t="str">
        <f>VLOOKUP(Advices[[#This Row],[LC Number]],'Combine_List'!A:D,2,0)</f>
        <v>Al Yamamah Company for Reinforcing Steel Bars</v>
      </c>
      <c r="M723" s="447" t="str">
        <f>VLOOKUP(Advices[[#This Row],[LC Number]],'Combine_List'!A:D,3,0)</f>
        <v>MBL</v>
      </c>
      <c r="N723" s="447" t="str">
        <f>VLOOKUP(Advices[[#This Row],[LC Number]],'Combine_List'!A:D,4,0)</f>
        <v>Oceanarium</v>
      </c>
      <c r="O723" s="447">
        <f>VLOOKUP(Advices[[#This Row],[LC Number]],'Combine_List'!A:E,5,0)</f>
        <v>1020096</v>
      </c>
      <c r="P723" s="447">
        <f>MONTH(Advices[[#This Row],[Transaction Date]])</f>
        <v>11</v>
      </c>
      <c r="Q723" s="447">
        <f>YEAR(Advices[[#This Row],[Transaction Date]])</f>
        <v>2025</v>
      </c>
      <c r="R723" s="1"/>
    </row>
    <row r="724" spans="1:18" hidden="1" x14ac:dyDescent="0.25">
      <c r="A724" s="1" t="s">
        <v>95</v>
      </c>
      <c r="B724" s="178">
        <v>45978</v>
      </c>
      <c r="C724" s="1" t="s">
        <v>2026</v>
      </c>
      <c r="D724" s="1" t="s">
        <v>2378</v>
      </c>
      <c r="E724" s="1" t="s">
        <v>707</v>
      </c>
      <c r="F724" s="1" t="s">
        <v>2379</v>
      </c>
      <c r="G724" s="1" t="s">
        <v>26</v>
      </c>
      <c r="H724" s="13"/>
      <c r="I724" s="13">
        <v>3389417.77</v>
      </c>
      <c r="J724" s="1" t="s">
        <v>1126</v>
      </c>
      <c r="K724" s="1" t="s">
        <v>2025</v>
      </c>
      <c r="L724" s="1" t="str">
        <f>VLOOKUP(Advices[[#This Row],[LC Number]],'Combine_List'!A:D,2,0)</f>
        <v>BBH-CHEMTROL INTERNATIONAL ORGANIZATION S.L</v>
      </c>
      <c r="M724" s="447" t="str">
        <f>VLOOKUP(Advices[[#This Row],[LC Number]],'Combine_List'!A:D,3,0)</f>
        <v>MBL/ICAD</v>
      </c>
      <c r="N724" s="447" t="str">
        <f>VLOOKUP(Advices[[#This Row],[LC Number]],'Combine_List'!A:D,4,0)</f>
        <v>OPERA House</v>
      </c>
      <c r="O724" s="447">
        <f>VLOOKUP(Advices[[#This Row],[LC Number]],'Combine_List'!A:E,5,0)</f>
        <v>1020097</v>
      </c>
      <c r="P724" s="447">
        <f>MONTH(Advices[[#This Row],[Transaction Date]])</f>
        <v>11</v>
      </c>
      <c r="Q724" s="447">
        <f>YEAR(Advices[[#This Row],[Transaction Date]])</f>
        <v>2025</v>
      </c>
      <c r="R724" s="1"/>
    </row>
    <row r="725" spans="1:18" hidden="1" x14ac:dyDescent="0.25">
      <c r="A725" s="1" t="s">
        <v>95</v>
      </c>
      <c r="B725" s="178">
        <v>45978</v>
      </c>
      <c r="C725" s="1" t="s">
        <v>2026</v>
      </c>
      <c r="D725" s="1" t="s">
        <v>2728</v>
      </c>
      <c r="E725" s="1" t="s">
        <v>1550</v>
      </c>
      <c r="F725" s="1" t="s">
        <v>2729</v>
      </c>
      <c r="G725" s="1" t="s">
        <v>26</v>
      </c>
      <c r="H725" s="13">
        <v>-460</v>
      </c>
      <c r="I725" s="13">
        <v>0</v>
      </c>
      <c r="J725" s="1" t="s">
        <v>1124</v>
      </c>
      <c r="K725" s="1" t="s">
        <v>2025</v>
      </c>
      <c r="L725" s="1" t="str">
        <f>VLOOKUP(Advices[[#This Row],[LC Number]],'Combine_List'!A:D,2,0)</f>
        <v>Al Yamamah Company for Reinforcing Steel Bars</v>
      </c>
      <c r="M725" s="447" t="str">
        <f>VLOOKUP(Advices[[#This Row],[LC Number]],'Combine_List'!A:D,3,0)</f>
        <v>MBL</v>
      </c>
      <c r="N725" s="447" t="str">
        <f>VLOOKUP(Advices[[#This Row],[LC Number]],'Combine_List'!A:D,4,0)</f>
        <v>Oceanarium</v>
      </c>
      <c r="O725" s="447">
        <f>VLOOKUP(Advices[[#This Row],[LC Number]],'Combine_List'!A:E,5,0)</f>
        <v>1020096</v>
      </c>
      <c r="P725" s="447">
        <f>MONTH(Advices[[#This Row],[Transaction Date]])</f>
        <v>11</v>
      </c>
      <c r="Q725" s="447">
        <f>YEAR(Advices[[#This Row],[Transaction Date]])</f>
        <v>2025</v>
      </c>
      <c r="R725" s="1"/>
    </row>
    <row r="726" spans="1:18" hidden="1" x14ac:dyDescent="0.25">
      <c r="A726" s="1" t="s">
        <v>95</v>
      </c>
      <c r="B726" s="178">
        <v>45978</v>
      </c>
      <c r="C726" s="1" t="s">
        <v>2026</v>
      </c>
      <c r="D726" s="1" t="s">
        <v>2556</v>
      </c>
      <c r="E726" s="1" t="s">
        <v>707</v>
      </c>
      <c r="F726" s="1" t="s">
        <v>2557</v>
      </c>
      <c r="G726" s="1" t="s">
        <v>26</v>
      </c>
      <c r="H726" s="13">
        <v>-3389417.77</v>
      </c>
      <c r="I726" s="13">
        <v>0</v>
      </c>
      <c r="J726" s="1" t="s">
        <v>1126</v>
      </c>
      <c r="K726" s="1" t="s">
        <v>2025</v>
      </c>
      <c r="L726" s="1" t="str">
        <f>VLOOKUP(Advices[[#This Row],[LC Number]],'Combine_List'!A:D,2,0)</f>
        <v>BBH-CHEMTROL INTERNATIONAL ORGANIZATION S.L</v>
      </c>
      <c r="M726" s="447" t="str">
        <f>VLOOKUP(Advices[[#This Row],[LC Number]],'Combine_List'!A:D,3,0)</f>
        <v>MBL/ICAD</v>
      </c>
      <c r="N726" s="447" t="str">
        <f>VLOOKUP(Advices[[#This Row],[LC Number]],'Combine_List'!A:D,4,0)</f>
        <v>OPERA House</v>
      </c>
      <c r="O726" s="447">
        <f>VLOOKUP(Advices[[#This Row],[LC Number]],'Combine_List'!A:E,5,0)</f>
        <v>1020097</v>
      </c>
      <c r="P726" s="447">
        <f>MONTH(Advices[[#This Row],[Transaction Date]])</f>
        <v>11</v>
      </c>
      <c r="Q726" s="447">
        <f>YEAR(Advices[[#This Row],[Transaction Date]])</f>
        <v>2025</v>
      </c>
      <c r="R726" s="1"/>
    </row>
    <row r="727" spans="1:18" hidden="1" x14ac:dyDescent="0.25">
      <c r="A727" s="1" t="s">
        <v>95</v>
      </c>
      <c r="B727" s="178">
        <v>45978</v>
      </c>
      <c r="C727" s="1" t="s">
        <v>2356</v>
      </c>
      <c r="D727" s="1" t="s">
        <v>2730</v>
      </c>
      <c r="E727" s="1" t="s">
        <v>702</v>
      </c>
      <c r="F727" s="1" t="s">
        <v>2731</v>
      </c>
      <c r="G727" s="1"/>
      <c r="H727" s="13">
        <v>-339699.04</v>
      </c>
      <c r="I727" s="13">
        <v>0</v>
      </c>
      <c r="J727" s="1" t="s">
        <v>1126</v>
      </c>
      <c r="K727" s="1" t="s">
        <v>2025</v>
      </c>
      <c r="L727" s="1" t="str">
        <f>VLOOKUP(Advices[[#This Row],[LC Number]],'Combine_List'!A:D,2,0)</f>
        <v>HOLCIM SOLUTIONS AND PRODUCTS EMEA BV</v>
      </c>
      <c r="M727" s="447" t="str">
        <f>VLOOKUP(Advices[[#This Row],[LC Number]],'Combine_List'!A:D,3,0)</f>
        <v>MBL/IFAS</v>
      </c>
      <c r="N727" s="447" t="str">
        <f>VLOOKUP(Advices[[#This Row],[LC Number]],'Combine_List'!A:D,4,0)</f>
        <v>CEER</v>
      </c>
      <c r="O727" s="447">
        <f>VLOOKUP(Advices[[#This Row],[LC Number]],'Combine_List'!A:E,5,0)</f>
        <v>1020091</v>
      </c>
      <c r="P727" s="447">
        <f>MONTH(Advices[[#This Row],[Transaction Date]])</f>
        <v>11</v>
      </c>
      <c r="Q727" s="447">
        <f>YEAR(Advices[[#This Row],[Transaction Date]])</f>
        <v>2025</v>
      </c>
      <c r="R727" s="1"/>
    </row>
    <row r="728" spans="1:18" hidden="1" x14ac:dyDescent="0.25">
      <c r="A728" s="1" t="s">
        <v>95</v>
      </c>
      <c r="B728" s="178">
        <v>45978</v>
      </c>
      <c r="C728" s="1" t="s">
        <v>2307</v>
      </c>
      <c r="D728" s="1" t="s">
        <v>2732</v>
      </c>
      <c r="E728" s="1" t="s">
        <v>1095</v>
      </c>
      <c r="F728" s="1"/>
      <c r="G728" s="1"/>
      <c r="H728" s="13">
        <v>-52900</v>
      </c>
      <c r="I728" s="13">
        <v>0</v>
      </c>
      <c r="J728" s="1" t="s">
        <v>2795</v>
      </c>
      <c r="K728" s="1" t="s">
        <v>2025</v>
      </c>
      <c r="L728" s="1" t="str">
        <f>VLOOKUP(Advices[[#This Row],[LC Number]],'Combine_List'!A:D,2,0)</f>
        <v>Material - JEDDAH CENTRAL DEVELOPMENT COMPANY (JCD)</v>
      </c>
      <c r="M728" s="447">
        <f>VLOOKUP(Advices[[#This Row],[LC Number]],'Combine_List'!A:D,3,0)</f>
        <v>0</v>
      </c>
      <c r="N728" s="447" t="str">
        <f>VLOOKUP(Advices[[#This Row],[LC Number]],'Combine_List'!A:D,4,0)</f>
        <v>Opera House</v>
      </c>
      <c r="O728" s="447" t="str">
        <f>VLOOKUP(Advices[[#This Row],[LC Number]],'Combine_List'!A:E,5,0)</f>
        <v>1020097</v>
      </c>
      <c r="P728" s="447">
        <f>MONTH(Advices[[#This Row],[Transaction Date]])</f>
        <v>11</v>
      </c>
      <c r="Q728" s="447">
        <f>YEAR(Advices[[#This Row],[Transaction Date]])</f>
        <v>2025</v>
      </c>
      <c r="R728" s="1"/>
    </row>
    <row r="729" spans="1:18" hidden="1" x14ac:dyDescent="0.25">
      <c r="A729" s="1" t="s">
        <v>366</v>
      </c>
      <c r="B729" s="178">
        <v>45971</v>
      </c>
      <c r="C729" s="1" t="s">
        <v>2057</v>
      </c>
      <c r="D729" s="1" t="s">
        <v>2733</v>
      </c>
      <c r="E729" s="1" t="s">
        <v>1638</v>
      </c>
      <c r="F729" s="1" t="s">
        <v>3500</v>
      </c>
      <c r="G729" s="1" t="s">
        <v>26</v>
      </c>
      <c r="H729" s="13">
        <v>-20000000</v>
      </c>
      <c r="I729" s="13">
        <v>0</v>
      </c>
      <c r="J729" s="1" t="s">
        <v>1126</v>
      </c>
      <c r="K729" s="1" t="s">
        <v>2025</v>
      </c>
      <c r="L729" s="1" t="str">
        <f>VLOOKUP(Advices[[#This Row],[LC Number]],'Combine_List'!A:D,2,0)</f>
        <v>Electric House Trading Company L.L.C.</v>
      </c>
      <c r="M729" s="447" t="str">
        <f>VLOOKUP(Advices[[#This Row],[LC Number]],'Combine_List'!A:D,3,0)</f>
        <v>FIRST FIX</v>
      </c>
      <c r="N729" s="447" t="str">
        <f>VLOOKUP(Advices[[#This Row],[LC Number]],'Combine_List'!A:D,4,0)</f>
        <v>CEER</v>
      </c>
      <c r="O729" s="447">
        <f>VLOOKUP(Advices[[#This Row],[LC Number]],'Combine_List'!A:E,5,0)</f>
        <v>1020091</v>
      </c>
      <c r="P729" s="447">
        <f>MONTH(Advices[[#This Row],[Transaction Date]])</f>
        <v>11</v>
      </c>
      <c r="Q729" s="447">
        <f>YEAR(Advices[[#This Row],[Transaction Date]])</f>
        <v>2025</v>
      </c>
      <c r="R729" s="1"/>
    </row>
    <row r="730" spans="1:18" hidden="1" x14ac:dyDescent="0.25">
      <c r="A730" s="1" t="s">
        <v>366</v>
      </c>
      <c r="B730" s="178">
        <v>45972</v>
      </c>
      <c r="C730" s="1" t="s">
        <v>2057</v>
      </c>
      <c r="D730" s="1" t="s">
        <v>2734</v>
      </c>
      <c r="E730" s="1" t="s">
        <v>1129</v>
      </c>
      <c r="F730" s="1" t="s">
        <v>3446</v>
      </c>
      <c r="G730" s="1" t="s">
        <v>26</v>
      </c>
      <c r="H730" s="13">
        <v>-524.69000000000005</v>
      </c>
      <c r="I730" s="13">
        <v>0</v>
      </c>
      <c r="J730" s="1" t="s">
        <v>1126</v>
      </c>
      <c r="K730" s="1" t="s">
        <v>2025</v>
      </c>
      <c r="L730" s="1" t="str">
        <f>VLOOKUP(Advices[[#This Row],[LC Number]],'Combine_List'!A:D,2,0)</f>
        <v>ISAM MUAMMED KHAIRI KABBANI GLASS (IKK Glass)</v>
      </c>
      <c r="M730" s="447" t="str">
        <f>VLOOKUP(Advices[[#This Row],[LC Number]],'Combine_List'!A:D,3,0)</f>
        <v>MBL/Premium</v>
      </c>
      <c r="N730" s="447" t="str">
        <f>VLOOKUP(Advices[[#This Row],[LC Number]],'Combine_List'!A:D,4,0)</f>
        <v>CEER</v>
      </c>
      <c r="O730" s="447">
        <f>VLOOKUP(Advices[[#This Row],[LC Number]],'Combine_List'!A:E,5,0)</f>
        <v>1020091</v>
      </c>
      <c r="P730" s="447">
        <f>MONTH(Advices[[#This Row],[Transaction Date]])</f>
        <v>11</v>
      </c>
      <c r="Q730" s="447">
        <f>YEAR(Advices[[#This Row],[Transaction Date]])</f>
        <v>2025</v>
      </c>
      <c r="R730" s="1"/>
    </row>
    <row r="731" spans="1:18" hidden="1" x14ac:dyDescent="0.25">
      <c r="A731" s="1" t="s">
        <v>366</v>
      </c>
      <c r="B731" s="178">
        <v>45972</v>
      </c>
      <c r="C731" s="1" t="s">
        <v>2057</v>
      </c>
      <c r="D731" s="1" t="s">
        <v>2735</v>
      </c>
      <c r="E731" s="1" t="s">
        <v>736</v>
      </c>
      <c r="F731" s="1" t="s">
        <v>3501</v>
      </c>
      <c r="G731" s="1" t="s">
        <v>26</v>
      </c>
      <c r="H731" s="13">
        <v>-3613085.85</v>
      </c>
      <c r="I731" s="13">
        <v>0</v>
      </c>
      <c r="J731" s="1" t="s">
        <v>1126</v>
      </c>
      <c r="K731" s="1" t="s">
        <v>2025</v>
      </c>
      <c r="L731" s="1" t="str">
        <f>VLOOKUP(Advices[[#This Row],[LC Number]],'Combine_List'!A:D,2,0)</f>
        <v>Kingspan Insulated Panels Manufacturing LLC</v>
      </c>
      <c r="M731" s="447" t="str">
        <f>VLOOKUP(Advices[[#This Row],[LC Number]],'Combine_List'!A:D,3,0)</f>
        <v>MBL</v>
      </c>
      <c r="N731" s="447" t="str">
        <f>VLOOKUP(Advices[[#This Row],[LC Number]],'Combine_List'!A:D,4,0)</f>
        <v>CEER</v>
      </c>
      <c r="O731" s="447">
        <f>VLOOKUP(Advices[[#This Row],[LC Number]],'Combine_List'!A:E,5,0)</f>
        <v>1020091</v>
      </c>
      <c r="P731" s="447">
        <f>MONTH(Advices[[#This Row],[Transaction Date]])</f>
        <v>11</v>
      </c>
      <c r="Q731" s="447">
        <f>YEAR(Advices[[#This Row],[Transaction Date]])</f>
        <v>2025</v>
      </c>
      <c r="R731" s="1"/>
    </row>
    <row r="732" spans="1:18" hidden="1" x14ac:dyDescent="0.25">
      <c r="A732" s="1" t="s">
        <v>366</v>
      </c>
      <c r="B732" s="178">
        <v>45972</v>
      </c>
      <c r="C732" s="1" t="s">
        <v>2060</v>
      </c>
      <c r="D732" s="1" t="s">
        <v>2736</v>
      </c>
      <c r="E732" s="1" t="s">
        <v>1898</v>
      </c>
      <c r="F732" s="1" t="s">
        <v>3447</v>
      </c>
      <c r="G732" s="1" t="s">
        <v>26</v>
      </c>
      <c r="H732" s="13">
        <v>-4743.75</v>
      </c>
      <c r="I732" s="13">
        <v>0</v>
      </c>
      <c r="J732" s="1" t="s">
        <v>1125</v>
      </c>
      <c r="K732" s="1" t="s">
        <v>2025</v>
      </c>
      <c r="L732" s="1" t="str">
        <f>VLOOKUP(Advices[[#This Row],[LC Number]],'Combine_List'!A:D,2,0)</f>
        <v xml:space="preserve">MARIAM TRADING CO. &amp; PARTNER </v>
      </c>
      <c r="M732" s="447" t="str">
        <f>VLOOKUP(Advices[[#This Row],[LC Number]],'Combine_List'!A:D,3,0)</f>
        <v>FIRST FIX</v>
      </c>
      <c r="N732" s="447" t="str">
        <f>VLOOKUP(Advices[[#This Row],[LC Number]],'Combine_List'!A:D,4,0)</f>
        <v>MP1</v>
      </c>
      <c r="O732" s="447">
        <f>VLOOKUP(Advices[[#This Row],[LC Number]],'Combine_List'!A:E,5,0)</f>
        <v>1020088</v>
      </c>
      <c r="P732" s="447">
        <f>MONTH(Advices[[#This Row],[Transaction Date]])</f>
        <v>11</v>
      </c>
      <c r="Q732" s="447">
        <f>YEAR(Advices[[#This Row],[Transaction Date]])</f>
        <v>2025</v>
      </c>
      <c r="R732" s="1"/>
    </row>
    <row r="733" spans="1:18" hidden="1" x14ac:dyDescent="0.25">
      <c r="A733" s="1" t="s">
        <v>366</v>
      </c>
      <c r="B733" s="178">
        <v>45972</v>
      </c>
      <c r="C733" s="1" t="s">
        <v>2060</v>
      </c>
      <c r="D733" s="1" t="s">
        <v>2737</v>
      </c>
      <c r="E733" s="1" t="s">
        <v>1129</v>
      </c>
      <c r="F733" s="1" t="s">
        <v>3446</v>
      </c>
      <c r="G733" s="1" t="s">
        <v>26</v>
      </c>
      <c r="H733" s="13">
        <v>-730000</v>
      </c>
      <c r="I733" s="13">
        <v>0</v>
      </c>
      <c r="J733" s="1" t="s">
        <v>1126</v>
      </c>
      <c r="K733" s="1" t="s">
        <v>2025</v>
      </c>
      <c r="L733" s="1" t="str">
        <f>VLOOKUP(Advices[[#This Row],[LC Number]],'Combine_List'!A:D,2,0)</f>
        <v>ISAM MUAMMED KHAIRI KABBANI GLASS (IKK Glass)</v>
      </c>
      <c r="M733" s="447" t="str">
        <f>VLOOKUP(Advices[[#This Row],[LC Number]],'Combine_List'!A:D,3,0)</f>
        <v>MBL/Premium</v>
      </c>
      <c r="N733" s="447" t="str">
        <f>VLOOKUP(Advices[[#This Row],[LC Number]],'Combine_List'!A:D,4,0)</f>
        <v>CEER</v>
      </c>
      <c r="O733" s="447">
        <f>VLOOKUP(Advices[[#This Row],[LC Number]],'Combine_List'!A:E,5,0)</f>
        <v>1020091</v>
      </c>
      <c r="P733" s="447">
        <f>MONTH(Advices[[#This Row],[Transaction Date]])</f>
        <v>11</v>
      </c>
      <c r="Q733" s="447">
        <f>YEAR(Advices[[#This Row],[Transaction Date]])</f>
        <v>2025</v>
      </c>
      <c r="R733" s="1"/>
    </row>
    <row r="734" spans="1:18" hidden="1" x14ac:dyDescent="0.25">
      <c r="A734" s="1" t="s">
        <v>366</v>
      </c>
      <c r="B734" s="178">
        <v>45973</v>
      </c>
      <c r="C734" s="1" t="s">
        <v>2057</v>
      </c>
      <c r="D734" s="1" t="s">
        <v>2738</v>
      </c>
      <c r="E734" s="1" t="s">
        <v>1851</v>
      </c>
      <c r="F734" s="1" t="s">
        <v>3437</v>
      </c>
      <c r="G734" s="1" t="s">
        <v>26</v>
      </c>
      <c r="H734" s="13">
        <v>-979998.95</v>
      </c>
      <c r="I734" s="13">
        <v>0</v>
      </c>
      <c r="J734" s="1" t="s">
        <v>1126</v>
      </c>
      <c r="K734" s="1" t="s">
        <v>2025</v>
      </c>
      <c r="L734" s="1" t="str">
        <f>VLOOKUP(Advices[[#This Row],[LC Number]],'Combine_List'!A:D,2,0)</f>
        <v>Company Alabwab Aldulaya For Contracting</v>
      </c>
      <c r="M734" s="447" t="str">
        <f>VLOOKUP(Advices[[#This Row],[LC Number]],'Combine_List'!A:D,3,0)</f>
        <v>MBL/Premium</v>
      </c>
      <c r="N734" s="447" t="str">
        <f>VLOOKUP(Advices[[#This Row],[LC Number]],'Combine_List'!A:D,4,0)</f>
        <v>CEER</v>
      </c>
      <c r="O734" s="447">
        <f>VLOOKUP(Advices[[#This Row],[LC Number]],'Combine_List'!A:E,5,0)</f>
        <v>1020091</v>
      </c>
      <c r="P734" s="447">
        <f>MONTH(Advices[[#This Row],[Transaction Date]])</f>
        <v>11</v>
      </c>
      <c r="Q734" s="447">
        <f>YEAR(Advices[[#This Row],[Transaction Date]])</f>
        <v>2025</v>
      </c>
      <c r="R734" s="1"/>
    </row>
    <row r="735" spans="1:18" hidden="1" x14ac:dyDescent="0.25">
      <c r="A735" s="1" t="s">
        <v>366</v>
      </c>
      <c r="B735" s="178">
        <v>45973</v>
      </c>
      <c r="C735" s="1" t="s">
        <v>2060</v>
      </c>
      <c r="D735" s="1" t="s">
        <v>2739</v>
      </c>
      <c r="E735" s="1" t="s">
        <v>1807</v>
      </c>
      <c r="F735" s="1" t="s">
        <v>3448</v>
      </c>
      <c r="G735" s="1" t="s">
        <v>26</v>
      </c>
      <c r="H735" s="13">
        <v>-2156.25</v>
      </c>
      <c r="I735" s="13">
        <v>0</v>
      </c>
      <c r="J735" s="1" t="s">
        <v>1125</v>
      </c>
      <c r="K735" s="1" t="s">
        <v>2025</v>
      </c>
      <c r="L735" s="1" t="str">
        <f>VLOOKUP(Advices[[#This Row],[LC Number]],'Combine_List'!A:D,2,0)</f>
        <v xml:space="preserve">Advance Future Al Arabiya </v>
      </c>
      <c r="M735" s="447" t="str">
        <f>VLOOKUP(Advices[[#This Row],[LC Number]],'Combine_List'!A:D,3,0)</f>
        <v>MBL/ICAD</v>
      </c>
      <c r="N735" s="447" t="str">
        <f>VLOOKUP(Advices[[#This Row],[LC Number]],'Combine_List'!A:D,4,0)</f>
        <v>ABHA</v>
      </c>
      <c r="O735" s="447">
        <f>VLOOKUP(Advices[[#This Row],[LC Number]],'Combine_List'!A:E,5,0)</f>
        <v>1020070</v>
      </c>
      <c r="P735" s="447">
        <f>MONTH(Advices[[#This Row],[Transaction Date]])</f>
        <v>11</v>
      </c>
      <c r="Q735" s="447">
        <f>YEAR(Advices[[#This Row],[Transaction Date]])</f>
        <v>2025</v>
      </c>
      <c r="R735" s="1"/>
    </row>
    <row r="736" spans="1:18" hidden="1" x14ac:dyDescent="0.25">
      <c r="A736" s="1" t="s">
        <v>366</v>
      </c>
      <c r="B736" s="178">
        <v>45973</v>
      </c>
      <c r="C736" s="1" t="s">
        <v>2060</v>
      </c>
      <c r="D736" s="1" t="s">
        <v>2740</v>
      </c>
      <c r="E736" s="1" t="s">
        <v>1815</v>
      </c>
      <c r="F736" s="1" t="s">
        <v>3449</v>
      </c>
      <c r="G736" s="1" t="s">
        <v>26</v>
      </c>
      <c r="H736" s="13">
        <v>-686883</v>
      </c>
      <c r="I736" s="13">
        <v>0</v>
      </c>
      <c r="J736" s="1" t="s">
        <v>1126</v>
      </c>
      <c r="K736" s="1" t="s">
        <v>2025</v>
      </c>
      <c r="L736" s="1" t="str">
        <f>VLOOKUP(Advices[[#This Row],[LC Number]],'Combine_List'!A:D,2,0)</f>
        <v>Al-Sayed Center A/C &amp; Refrigeration Materials Company.</v>
      </c>
      <c r="M736" s="447" t="str">
        <f>VLOOKUP(Advices[[#This Row],[LC Number]],'Combine_List'!A:D,3,0)</f>
        <v>MBL/ICAD</v>
      </c>
      <c r="N736" s="447" t="str">
        <f>VLOOKUP(Advices[[#This Row],[LC Number]],'Combine_List'!A:D,4,0)</f>
        <v>ABHA</v>
      </c>
      <c r="O736" s="447">
        <f>VLOOKUP(Advices[[#This Row],[LC Number]],'Combine_List'!A:E,5,0)</f>
        <v>1020070</v>
      </c>
      <c r="P736" s="447">
        <f>MONTH(Advices[[#This Row],[Transaction Date]])</f>
        <v>11</v>
      </c>
      <c r="Q736" s="447">
        <f>YEAR(Advices[[#This Row],[Transaction Date]])</f>
        <v>2025</v>
      </c>
      <c r="R736" s="1"/>
    </row>
    <row r="737" spans="1:18" hidden="1" x14ac:dyDescent="0.25">
      <c r="A737" s="1" t="s">
        <v>366</v>
      </c>
      <c r="B737" s="178">
        <v>45973</v>
      </c>
      <c r="C737" s="1" t="s">
        <v>2060</v>
      </c>
      <c r="D737" s="1" t="s">
        <v>2741</v>
      </c>
      <c r="E737" s="1" t="s">
        <v>1815</v>
      </c>
      <c r="F737" s="1" t="s">
        <v>3449</v>
      </c>
      <c r="G737" s="1" t="s">
        <v>26</v>
      </c>
      <c r="H737" s="13">
        <v>-5924.36</v>
      </c>
      <c r="I737" s="13">
        <v>0</v>
      </c>
      <c r="J737" s="1" t="s">
        <v>1126</v>
      </c>
      <c r="K737" s="1" t="s">
        <v>2025</v>
      </c>
      <c r="L737" s="1" t="str">
        <f>VLOOKUP(Advices[[#This Row],[LC Number]],'Combine_List'!A:D,2,0)</f>
        <v>Al-Sayed Center A/C &amp; Refrigeration Materials Company.</v>
      </c>
      <c r="M737" s="447" t="str">
        <f>VLOOKUP(Advices[[#This Row],[LC Number]],'Combine_List'!A:D,3,0)</f>
        <v>MBL/ICAD</v>
      </c>
      <c r="N737" s="447" t="str">
        <f>VLOOKUP(Advices[[#This Row],[LC Number]],'Combine_List'!A:D,4,0)</f>
        <v>ABHA</v>
      </c>
      <c r="O737" s="447">
        <f>VLOOKUP(Advices[[#This Row],[LC Number]],'Combine_List'!A:E,5,0)</f>
        <v>1020070</v>
      </c>
      <c r="P737" s="447">
        <f>MONTH(Advices[[#This Row],[Transaction Date]])</f>
        <v>11</v>
      </c>
      <c r="Q737" s="447">
        <f>YEAR(Advices[[#This Row],[Transaction Date]])</f>
        <v>2025</v>
      </c>
      <c r="R737" s="1"/>
    </row>
    <row r="738" spans="1:18" hidden="1" x14ac:dyDescent="0.25">
      <c r="A738" s="1" t="s">
        <v>366</v>
      </c>
      <c r="B738" s="178">
        <v>45973</v>
      </c>
      <c r="C738" s="1" t="s">
        <v>2060</v>
      </c>
      <c r="D738" s="1" t="s">
        <v>2742</v>
      </c>
      <c r="E738" s="1" t="s">
        <v>1906</v>
      </c>
      <c r="F738" s="1" t="s">
        <v>3450</v>
      </c>
      <c r="G738" s="1" t="s">
        <v>26</v>
      </c>
      <c r="H738" s="13">
        <v>-12937.5</v>
      </c>
      <c r="I738" s="13">
        <v>0</v>
      </c>
      <c r="J738" s="1" t="s">
        <v>1125</v>
      </c>
      <c r="K738" s="1" t="s">
        <v>2025</v>
      </c>
      <c r="L738" s="1" t="str">
        <f>VLOOKUP(Advices[[#This Row],[LC Number]],'Combine_List'!A:D,2,0)</f>
        <v>Al Maymanah for Contracting Co. Ltd.</v>
      </c>
      <c r="M738" s="447" t="str">
        <f>VLOOKUP(Advices[[#This Row],[LC Number]],'Combine_List'!A:D,3,0)</f>
        <v>FIRST FIX</v>
      </c>
      <c r="N738" s="447" t="str">
        <f>VLOOKUP(Advices[[#This Row],[LC Number]],'Combine_List'!A:D,4,0)</f>
        <v>MP1</v>
      </c>
      <c r="O738" s="447">
        <f>VLOOKUP(Advices[[#This Row],[LC Number]],'Combine_List'!A:E,5,0)</f>
        <v>1020088</v>
      </c>
      <c r="P738" s="447">
        <f>MONTH(Advices[[#This Row],[Transaction Date]])</f>
        <v>11</v>
      </c>
      <c r="Q738" s="447">
        <f>YEAR(Advices[[#This Row],[Transaction Date]])</f>
        <v>2025</v>
      </c>
      <c r="R738" s="1"/>
    </row>
    <row r="739" spans="1:18" hidden="1" x14ac:dyDescent="0.25">
      <c r="A739" s="1" t="s">
        <v>366</v>
      </c>
      <c r="B739" s="178">
        <v>45974</v>
      </c>
      <c r="C739" s="1" t="s">
        <v>2057</v>
      </c>
      <c r="D739" s="1" t="s">
        <v>2743</v>
      </c>
      <c r="E739" s="1" t="s">
        <v>1677</v>
      </c>
      <c r="F739" s="1" t="s">
        <v>3451</v>
      </c>
      <c r="G739" s="1" t="s">
        <v>26</v>
      </c>
      <c r="H739" s="13">
        <v>-983.8</v>
      </c>
      <c r="I739" s="13">
        <v>0</v>
      </c>
      <c r="J739" s="1" t="s">
        <v>1125</v>
      </c>
      <c r="K739" s="1" t="s">
        <v>2025</v>
      </c>
      <c r="L739" s="1" t="str">
        <f>VLOOKUP(Advices[[#This Row],[LC Number]],'Combine_List'!A:D,2,0)</f>
        <v>Fawaz Refrigeration &amp; Air Conditioning Cont. Co. LLC</v>
      </c>
      <c r="M739" s="447" t="str">
        <f>VLOOKUP(Advices[[#This Row],[LC Number]],'Combine_List'!A:D,3,0)</f>
        <v>FIRST FIX</v>
      </c>
      <c r="N739" s="447" t="str">
        <f>VLOOKUP(Advices[[#This Row],[LC Number]],'Combine_List'!A:D,4,0)</f>
        <v>CEER</v>
      </c>
      <c r="O739" s="447">
        <f>VLOOKUP(Advices[[#This Row],[LC Number]],'Combine_List'!A:E,5,0)</f>
        <v>1020091</v>
      </c>
      <c r="P739" s="447">
        <f>MONTH(Advices[[#This Row],[Transaction Date]])</f>
        <v>11</v>
      </c>
      <c r="Q739" s="447">
        <f>YEAR(Advices[[#This Row],[Transaction Date]])</f>
        <v>2025</v>
      </c>
      <c r="R739" s="1"/>
    </row>
    <row r="740" spans="1:18" hidden="1" x14ac:dyDescent="0.25">
      <c r="A740" s="1" t="s">
        <v>366</v>
      </c>
      <c r="B740" s="178">
        <v>45974</v>
      </c>
      <c r="C740" s="1" t="s">
        <v>2057</v>
      </c>
      <c r="D740" s="1" t="s">
        <v>2744</v>
      </c>
      <c r="E740" s="1" t="s">
        <v>1677</v>
      </c>
      <c r="F740" s="1" t="s">
        <v>3451</v>
      </c>
      <c r="G740" s="1" t="s">
        <v>26</v>
      </c>
      <c r="H740" s="13">
        <v>-983.8</v>
      </c>
      <c r="I740" s="13">
        <v>0</v>
      </c>
      <c r="J740" s="1" t="s">
        <v>2798</v>
      </c>
      <c r="K740" s="1" t="s">
        <v>2025</v>
      </c>
      <c r="L740" s="1" t="str">
        <f>VLOOKUP(Advices[[#This Row],[LC Number]],'Combine_List'!A:D,2,0)</f>
        <v>Fawaz Refrigeration &amp; Air Conditioning Cont. Co. LLC</v>
      </c>
      <c r="M740" s="447" t="str">
        <f>VLOOKUP(Advices[[#This Row],[LC Number]],'Combine_List'!A:D,3,0)</f>
        <v>FIRST FIX</v>
      </c>
      <c r="N740" s="447" t="str">
        <f>VLOOKUP(Advices[[#This Row],[LC Number]],'Combine_List'!A:D,4,0)</f>
        <v>CEER</v>
      </c>
      <c r="O740" s="447">
        <f>VLOOKUP(Advices[[#This Row],[LC Number]],'Combine_List'!A:E,5,0)</f>
        <v>1020091</v>
      </c>
      <c r="P740" s="447">
        <f>MONTH(Advices[[#This Row],[Transaction Date]])</f>
        <v>11</v>
      </c>
      <c r="Q740" s="447">
        <f>YEAR(Advices[[#This Row],[Transaction Date]])</f>
        <v>2025</v>
      </c>
      <c r="R740" s="1"/>
    </row>
    <row r="741" spans="1:18" hidden="1" x14ac:dyDescent="0.25">
      <c r="A741" s="1" t="s">
        <v>366</v>
      </c>
      <c r="B741" s="178">
        <v>45977</v>
      </c>
      <c r="C741" s="1" t="s">
        <v>2057</v>
      </c>
      <c r="D741" s="1" t="s">
        <v>2745</v>
      </c>
      <c r="E741" s="1" t="s">
        <v>1691</v>
      </c>
      <c r="F741" s="1" t="s">
        <v>3502</v>
      </c>
      <c r="G741" s="1" t="s">
        <v>26</v>
      </c>
      <c r="H741" s="13">
        <v>-500000</v>
      </c>
      <c r="I741" s="13">
        <v>0</v>
      </c>
      <c r="J741" s="1" t="s">
        <v>1126</v>
      </c>
      <c r="K741" s="1" t="s">
        <v>2025</v>
      </c>
      <c r="L741" s="1" t="str">
        <f>VLOOKUP(Advices[[#This Row],[LC Number]],'Combine_List'!A:D,2,0)</f>
        <v>Cube Metal Industries Co.</v>
      </c>
      <c r="M741" s="447" t="str">
        <f>VLOOKUP(Advices[[#This Row],[LC Number]],'Combine_List'!A:D,3,0)</f>
        <v>FIRST FIX</v>
      </c>
      <c r="N741" s="447" t="str">
        <f>VLOOKUP(Advices[[#This Row],[LC Number]],'Combine_List'!A:D,4,0)</f>
        <v>CEER</v>
      </c>
      <c r="O741" s="447">
        <f>VLOOKUP(Advices[[#This Row],[LC Number]],'Combine_List'!A:E,5,0)</f>
        <v>1020091</v>
      </c>
      <c r="P741" s="447">
        <f>MONTH(Advices[[#This Row],[Transaction Date]])</f>
        <v>11</v>
      </c>
      <c r="Q741" s="447">
        <f>YEAR(Advices[[#This Row],[Transaction Date]])</f>
        <v>2025</v>
      </c>
      <c r="R741" s="1"/>
    </row>
    <row r="742" spans="1:18" hidden="1" x14ac:dyDescent="0.25">
      <c r="A742" s="1" t="s">
        <v>366</v>
      </c>
      <c r="B742" s="178">
        <v>45978</v>
      </c>
      <c r="C742" s="1" t="s">
        <v>2060</v>
      </c>
      <c r="D742" s="1" t="s">
        <v>2746</v>
      </c>
      <c r="E742" s="1" t="s">
        <v>1677</v>
      </c>
      <c r="F742" s="1" t="s">
        <v>3503</v>
      </c>
      <c r="G742" s="1" t="s">
        <v>26</v>
      </c>
      <c r="H742" s="13">
        <v>-243215.8</v>
      </c>
      <c r="I742" s="13">
        <v>0</v>
      </c>
      <c r="J742" s="1" t="s">
        <v>1126</v>
      </c>
      <c r="K742" s="1" t="s">
        <v>2025</v>
      </c>
      <c r="L742" s="1" t="str">
        <f>VLOOKUP(Advices[[#This Row],[LC Number]],'Combine_List'!A:D,2,0)</f>
        <v>Fawaz Refrigeration &amp; Air Conditioning Cont. Co. LLC</v>
      </c>
      <c r="M742" s="447" t="str">
        <f>VLOOKUP(Advices[[#This Row],[LC Number]],'Combine_List'!A:D,3,0)</f>
        <v>FIRST FIX</v>
      </c>
      <c r="N742" s="447" t="str">
        <f>VLOOKUP(Advices[[#This Row],[LC Number]],'Combine_List'!A:D,4,0)</f>
        <v>CEER</v>
      </c>
      <c r="O742" s="447">
        <f>VLOOKUP(Advices[[#This Row],[LC Number]],'Combine_List'!A:E,5,0)</f>
        <v>1020091</v>
      </c>
      <c r="P742" s="447">
        <f>MONTH(Advices[[#This Row],[Transaction Date]])</f>
        <v>11</v>
      </c>
      <c r="Q742" s="447">
        <f>YEAR(Advices[[#This Row],[Transaction Date]])</f>
        <v>2025</v>
      </c>
      <c r="R742" s="1"/>
    </row>
    <row r="743" spans="1:18" hidden="1" x14ac:dyDescent="0.25">
      <c r="A743" s="1" t="s">
        <v>366</v>
      </c>
      <c r="B743" s="178">
        <v>45980</v>
      </c>
      <c r="C743" s="1" t="s">
        <v>2057</v>
      </c>
      <c r="D743" s="1" t="s">
        <v>2747</v>
      </c>
      <c r="E743" s="1" t="s">
        <v>689</v>
      </c>
      <c r="F743" s="1" t="s">
        <v>3411</v>
      </c>
      <c r="G743" s="1" t="s">
        <v>26</v>
      </c>
      <c r="H743" s="13">
        <v>-1364259.37</v>
      </c>
      <c r="I743" s="13">
        <v>0</v>
      </c>
      <c r="J743" s="1" t="s">
        <v>1126</v>
      </c>
      <c r="K743" s="1" t="s">
        <v>2025</v>
      </c>
      <c r="L743" s="1" t="str">
        <f>VLOOKUP(Advices[[#This Row],[LC Number]],'Combine_List'!A:D,2,0)</f>
        <v>Arnon Plastic Industries Co Ltd</v>
      </c>
      <c r="M743" s="447" t="str">
        <f>VLOOKUP(Advices[[#This Row],[LC Number]],'Combine_List'!A:D,3,0)</f>
        <v>MBL</v>
      </c>
      <c r="N743" s="447" t="str">
        <f>VLOOKUP(Advices[[#This Row],[LC Number]],'Combine_List'!A:D,4,0)</f>
        <v>CEER</v>
      </c>
      <c r="O743" s="447">
        <f>VLOOKUP(Advices[[#This Row],[LC Number]],'Combine_List'!A:E,5,0)</f>
        <v>1020091</v>
      </c>
      <c r="P743" s="447">
        <f>MONTH(Advices[[#This Row],[Transaction Date]])</f>
        <v>11</v>
      </c>
      <c r="Q743" s="447">
        <f>YEAR(Advices[[#This Row],[Transaction Date]])</f>
        <v>2025</v>
      </c>
      <c r="R743" s="1"/>
    </row>
    <row r="744" spans="1:18" hidden="1" x14ac:dyDescent="0.25">
      <c r="A744" s="1" t="s">
        <v>366</v>
      </c>
      <c r="B744" s="178">
        <v>45980</v>
      </c>
      <c r="C744" s="1" t="s">
        <v>2057</v>
      </c>
      <c r="D744" s="1" t="s">
        <v>2748</v>
      </c>
      <c r="E744" s="1" t="s">
        <v>700</v>
      </c>
      <c r="F744" s="1" t="s">
        <v>3504</v>
      </c>
      <c r="G744" s="1" t="s">
        <v>26</v>
      </c>
      <c r="H744" s="13">
        <v>-912973.22</v>
      </c>
      <c r="I744" s="13">
        <v>0</v>
      </c>
      <c r="J744" s="1" t="s">
        <v>1126</v>
      </c>
      <c r="K744" s="1" t="s">
        <v>2025</v>
      </c>
      <c r="L744" s="1" t="str">
        <f>VLOOKUP(Advices[[#This Row],[LC Number]],'Combine_List'!A:D,2,0)</f>
        <v>MATERIALS SYSTEMS AND INDUSTRIAL SOLUTIONS COMPANY</v>
      </c>
      <c r="M744" s="447" t="str">
        <f>VLOOKUP(Advices[[#This Row],[LC Number]],'Combine_List'!A:D,3,0)</f>
        <v>MBL</v>
      </c>
      <c r="N744" s="447" t="str">
        <f>VLOOKUP(Advices[[#This Row],[LC Number]],'Combine_List'!A:D,4,0)</f>
        <v>CEER</v>
      </c>
      <c r="O744" s="447">
        <f>VLOOKUP(Advices[[#This Row],[LC Number]],'Combine_List'!A:E,5,0)</f>
        <v>1020091</v>
      </c>
      <c r="P744" s="447">
        <f>MONTH(Advices[[#This Row],[Transaction Date]])</f>
        <v>11</v>
      </c>
      <c r="Q744" s="447">
        <f>YEAR(Advices[[#This Row],[Transaction Date]])</f>
        <v>2025</v>
      </c>
      <c r="R744" s="1"/>
    </row>
    <row r="745" spans="1:18" hidden="1" x14ac:dyDescent="0.25">
      <c r="A745" s="1" t="s">
        <v>366</v>
      </c>
      <c r="B745" s="178">
        <v>45980</v>
      </c>
      <c r="C745" s="1" t="s">
        <v>2057</v>
      </c>
      <c r="D745" s="1" t="s">
        <v>2749</v>
      </c>
      <c r="E745" s="1" t="s">
        <v>1664</v>
      </c>
      <c r="F745" s="1" t="s">
        <v>3452</v>
      </c>
      <c r="G745" s="1" t="s">
        <v>26</v>
      </c>
      <c r="H745" s="13">
        <v>-585.66</v>
      </c>
      <c r="I745" s="13">
        <v>0</v>
      </c>
      <c r="J745" s="1" t="s">
        <v>1125</v>
      </c>
      <c r="K745" s="1" t="s">
        <v>2025</v>
      </c>
      <c r="L745" s="1" t="str">
        <f>VLOOKUP(Advices[[#This Row],[LC Number]],'Combine_List'!A:D,2,0)</f>
        <v>AC SOLUTIONS TRADING CO</v>
      </c>
      <c r="M745" s="447" t="str">
        <f>VLOOKUP(Advices[[#This Row],[LC Number]],'Combine_List'!A:D,3,0)</f>
        <v>FIRST FIX</v>
      </c>
      <c r="N745" s="447" t="str">
        <f>VLOOKUP(Advices[[#This Row],[LC Number]],'Combine_List'!A:D,4,0)</f>
        <v>CEER</v>
      </c>
      <c r="O745" s="447">
        <f>VLOOKUP(Advices[[#This Row],[LC Number]],'Combine_List'!A:E,5,0)</f>
        <v>1020091</v>
      </c>
      <c r="P745" s="447">
        <f>MONTH(Advices[[#This Row],[Transaction Date]])</f>
        <v>11</v>
      </c>
      <c r="Q745" s="447">
        <f>YEAR(Advices[[#This Row],[Transaction Date]])</f>
        <v>2025</v>
      </c>
      <c r="R745" s="1"/>
    </row>
    <row r="746" spans="1:18" hidden="1" x14ac:dyDescent="0.25">
      <c r="A746" s="1" t="s">
        <v>366</v>
      </c>
      <c r="B746" s="178">
        <v>45980</v>
      </c>
      <c r="C746" s="1" t="s">
        <v>2057</v>
      </c>
      <c r="D746" s="1" t="s">
        <v>2750</v>
      </c>
      <c r="E746" s="1" t="s">
        <v>1685</v>
      </c>
      <c r="F746" s="1" t="s">
        <v>3505</v>
      </c>
      <c r="G746" s="1" t="s">
        <v>26</v>
      </c>
      <c r="H746" s="13">
        <v>-1400000</v>
      </c>
      <c r="I746" s="13">
        <v>0</v>
      </c>
      <c r="J746" s="1" t="s">
        <v>1126</v>
      </c>
      <c r="K746" s="1" t="s">
        <v>2025</v>
      </c>
      <c r="L746" s="1" t="str">
        <f>VLOOKUP(Advices[[#This Row],[LC Number]],'Combine_List'!A:D,2,0)</f>
        <v>Modern Times Technical System Co</v>
      </c>
      <c r="M746" s="447" t="str">
        <f>VLOOKUP(Advices[[#This Row],[LC Number]],'Combine_List'!A:D,3,0)</f>
        <v>FIRST FIX</v>
      </c>
      <c r="N746" s="447" t="str">
        <f>VLOOKUP(Advices[[#This Row],[LC Number]],'Combine_List'!A:D,4,0)</f>
        <v>CEER</v>
      </c>
      <c r="O746" s="447">
        <f>VLOOKUP(Advices[[#This Row],[LC Number]],'Combine_List'!A:E,5,0)</f>
        <v>1020091</v>
      </c>
      <c r="P746" s="447">
        <f>MONTH(Advices[[#This Row],[Transaction Date]])</f>
        <v>11</v>
      </c>
      <c r="Q746" s="447">
        <f>YEAR(Advices[[#This Row],[Transaction Date]])</f>
        <v>2025</v>
      </c>
      <c r="R746" s="1"/>
    </row>
    <row r="747" spans="1:18" hidden="1" x14ac:dyDescent="0.25">
      <c r="A747" s="1" t="s">
        <v>366</v>
      </c>
      <c r="B747" s="178">
        <v>45980</v>
      </c>
      <c r="C747" s="1" t="s">
        <v>2060</v>
      </c>
      <c r="D747" s="1" t="s">
        <v>2751</v>
      </c>
      <c r="E747" s="1" t="s">
        <v>1912</v>
      </c>
      <c r="F747" s="1" t="s">
        <v>3453</v>
      </c>
      <c r="G747" s="1" t="s">
        <v>26</v>
      </c>
      <c r="H747" s="13">
        <v>-5175</v>
      </c>
      <c r="I747" s="13">
        <v>0</v>
      </c>
      <c r="J747" s="1" t="s">
        <v>1125</v>
      </c>
      <c r="K747" s="1" t="s">
        <v>2025</v>
      </c>
      <c r="L747" s="1" t="str">
        <f>VLOOKUP(Advices[[#This Row],[LC Number]],'Combine_List'!A:D,2,0)</f>
        <v>Electric House Trading Company L.L.C.</v>
      </c>
      <c r="M747" s="447" t="str">
        <f>VLOOKUP(Advices[[#This Row],[LC Number]],'Combine_List'!A:D,3,0)</f>
        <v>FIRST FIX</v>
      </c>
      <c r="N747" s="447" t="str">
        <f>VLOOKUP(Advices[[#This Row],[LC Number]],'Combine_List'!A:D,4,0)</f>
        <v>MP1</v>
      </c>
      <c r="O747" s="447">
        <f>VLOOKUP(Advices[[#This Row],[LC Number]],'Combine_List'!A:E,5,0)</f>
        <v>1020088</v>
      </c>
      <c r="P747" s="447">
        <f>MONTH(Advices[[#This Row],[Transaction Date]])</f>
        <v>11</v>
      </c>
      <c r="Q747" s="447">
        <f>YEAR(Advices[[#This Row],[Transaction Date]])</f>
        <v>2025</v>
      </c>
      <c r="R747" s="1"/>
    </row>
    <row r="748" spans="1:18" hidden="1" x14ac:dyDescent="0.25">
      <c r="A748" s="1" t="s">
        <v>2089</v>
      </c>
      <c r="B748" s="178">
        <v>45971</v>
      </c>
      <c r="C748" s="1" t="s">
        <v>2093</v>
      </c>
      <c r="D748" s="1" t="s">
        <v>2263</v>
      </c>
      <c r="E748" s="1" t="s">
        <v>1280</v>
      </c>
      <c r="F748" s="1" t="s">
        <v>2752</v>
      </c>
      <c r="G748" s="1" t="s">
        <v>26</v>
      </c>
      <c r="H748" s="13">
        <v>-141838.25</v>
      </c>
      <c r="I748" s="13">
        <v>0</v>
      </c>
      <c r="J748" s="1" t="s">
        <v>2041</v>
      </c>
      <c r="K748" s="1" t="s">
        <v>2025</v>
      </c>
      <c r="L748" s="1" t="str">
        <f>VLOOKUP(Advices[[#This Row],[LC Number]],'Combine_List'!A:D,2,0)</f>
        <v>KENZ SARAB MACHINERY AND EQUIPMENT COMPANY</v>
      </c>
      <c r="M748" s="447" t="str">
        <f>VLOOKUP(Advices[[#This Row],[LC Number]],'Combine_List'!A:D,3,0)</f>
        <v>FIRST FIX</v>
      </c>
      <c r="N748" s="447" t="str">
        <f>VLOOKUP(Advices[[#This Row],[LC Number]],'Combine_List'!A:D,4,0)</f>
        <v>JCD SPMI</v>
      </c>
      <c r="O748" s="447">
        <f>VLOOKUP(Advices[[#This Row],[LC Number]],'Combine_List'!A:E,5,0)</f>
        <v>1020100</v>
      </c>
      <c r="P748" s="447">
        <f>MONTH(Advices[[#This Row],[Transaction Date]])</f>
        <v>11</v>
      </c>
      <c r="Q748" s="447">
        <f>YEAR(Advices[[#This Row],[Transaction Date]])</f>
        <v>2025</v>
      </c>
      <c r="R748" s="1"/>
    </row>
    <row r="749" spans="1:18" hidden="1" x14ac:dyDescent="0.25">
      <c r="A749" s="1" t="s">
        <v>2089</v>
      </c>
      <c r="B749" s="178">
        <v>45975</v>
      </c>
      <c r="C749" s="1" t="s">
        <v>2093</v>
      </c>
      <c r="D749" s="1" t="s">
        <v>2272</v>
      </c>
      <c r="E749" s="1" t="s">
        <v>482</v>
      </c>
      <c r="F749" s="1" t="s">
        <v>2753</v>
      </c>
      <c r="G749" s="1" t="s">
        <v>26</v>
      </c>
      <c r="H749" s="13"/>
      <c r="I749" s="13">
        <v>0.63</v>
      </c>
      <c r="J749" s="1" t="s">
        <v>2041</v>
      </c>
      <c r="K749" s="1" t="s">
        <v>2025</v>
      </c>
      <c r="L749" s="1" t="str">
        <f>VLOOKUP(Advices[[#This Row],[LC Number]],'Combine_List'!A:D,2,0)</f>
        <v>Stratconn Commercial Broker LLC</v>
      </c>
      <c r="M749" s="447" t="str">
        <f>VLOOKUP(Advices[[#This Row],[LC Number]],'Combine_List'!A:D,3,0)</f>
        <v>MBL</v>
      </c>
      <c r="N749" s="447" t="str">
        <f>VLOOKUP(Advices[[#This Row],[LC Number]],'Combine_List'!A:D,4,0)</f>
        <v>JCD SPMI</v>
      </c>
      <c r="O749" s="447">
        <f>VLOOKUP(Advices[[#This Row],[LC Number]],'Combine_List'!A:E,5,0)</f>
        <v>1020100</v>
      </c>
      <c r="P749" s="447">
        <f>MONTH(Advices[[#This Row],[Transaction Date]])</f>
        <v>11</v>
      </c>
      <c r="Q749" s="447">
        <f>YEAR(Advices[[#This Row],[Transaction Date]])</f>
        <v>2025</v>
      </c>
      <c r="R749" s="1"/>
    </row>
    <row r="750" spans="1:18" hidden="1" x14ac:dyDescent="0.25">
      <c r="A750" s="1" t="s">
        <v>612</v>
      </c>
      <c r="B750" s="178">
        <v>45963</v>
      </c>
      <c r="C750" s="1" t="s">
        <v>2101</v>
      </c>
      <c r="D750" s="1" t="s">
        <v>2485</v>
      </c>
      <c r="E750" s="1" t="s">
        <v>1558</v>
      </c>
      <c r="F750" s="1" t="s">
        <v>2041</v>
      </c>
      <c r="G750" s="1" t="s">
        <v>26</v>
      </c>
      <c r="H750" s="13">
        <v>472000</v>
      </c>
      <c r="I750" s="13">
        <v>0</v>
      </c>
      <c r="J750" s="1" t="s">
        <v>1126</v>
      </c>
      <c r="K750" s="1" t="s">
        <v>2025</v>
      </c>
      <c r="L750" s="1" t="str">
        <f>VLOOKUP(Advices[[#This Row],[LC Number]],'Combine_List'!A:D,2,0)</f>
        <v>Saudi Hepco Co Ltd</v>
      </c>
      <c r="M750" s="447" t="str">
        <f>VLOOKUP(Advices[[#This Row],[LC Number]],'Combine_List'!A:D,3,0)</f>
        <v>FIRST FIX</v>
      </c>
      <c r="N750" s="447" t="str">
        <f>VLOOKUP(Advices[[#This Row],[LC Number]],'Combine_List'!A:D,4,0)</f>
        <v>RCRC</v>
      </c>
      <c r="O750" s="447">
        <f>VLOOKUP(Advices[[#This Row],[LC Number]],'Combine_List'!A:E,5,0)</f>
        <v>1020106</v>
      </c>
      <c r="P750" s="447">
        <f>MONTH(Advices[[#This Row],[Transaction Date]])</f>
        <v>11</v>
      </c>
      <c r="Q750" s="447">
        <f>YEAR(Advices[[#This Row],[Transaction Date]])</f>
        <v>2025</v>
      </c>
      <c r="R750" s="1"/>
    </row>
    <row r="751" spans="1:18" hidden="1" x14ac:dyDescent="0.25">
      <c r="A751" s="1" t="s">
        <v>612</v>
      </c>
      <c r="B751" s="178">
        <v>45963</v>
      </c>
      <c r="C751" s="1" t="s">
        <v>2101</v>
      </c>
      <c r="D751" s="1" t="s">
        <v>2486</v>
      </c>
      <c r="E751" s="1" t="s">
        <v>1566</v>
      </c>
      <c r="F751" s="1" t="s">
        <v>2041</v>
      </c>
      <c r="G751" s="1" t="s">
        <v>26</v>
      </c>
      <c r="H751" s="13">
        <v>100</v>
      </c>
      <c r="I751" s="13">
        <v>0</v>
      </c>
      <c r="J751" s="1" t="s">
        <v>2792</v>
      </c>
      <c r="K751" s="1" t="s">
        <v>2025</v>
      </c>
      <c r="L751" s="1" t="str">
        <f>VLOOKUP(Advices[[#This Row],[LC Number]],'Combine_List'!A:D,2,0)</f>
        <v>Alpha Limit Trading and Contracting Company</v>
      </c>
      <c r="M751" s="447" t="str">
        <f>VLOOKUP(Advices[[#This Row],[LC Number]],'Combine_List'!A:D,3,0)</f>
        <v>FIRST FIX</v>
      </c>
      <c r="N751" s="447" t="str">
        <f>VLOOKUP(Advices[[#This Row],[LC Number]],'Combine_List'!A:D,4,0)</f>
        <v>RCRC</v>
      </c>
      <c r="O751" s="447">
        <f>VLOOKUP(Advices[[#This Row],[LC Number]],'Combine_List'!A:E,5,0)</f>
        <v>1020106</v>
      </c>
      <c r="P751" s="447">
        <f>MONTH(Advices[[#This Row],[Transaction Date]])</f>
        <v>11</v>
      </c>
      <c r="Q751" s="447">
        <f>YEAR(Advices[[#This Row],[Transaction Date]])</f>
        <v>2025</v>
      </c>
      <c r="R751" s="1"/>
    </row>
    <row r="752" spans="1:18" hidden="1" x14ac:dyDescent="0.25">
      <c r="A752" s="1" t="s">
        <v>612</v>
      </c>
      <c r="B752" s="178">
        <v>45963</v>
      </c>
      <c r="C752" s="1" t="s">
        <v>2101</v>
      </c>
      <c r="D752" s="1" t="s">
        <v>2487</v>
      </c>
      <c r="E752" s="1" t="s">
        <v>1566</v>
      </c>
      <c r="F752" s="1" t="s">
        <v>2041</v>
      </c>
      <c r="G752" s="1" t="s">
        <v>26</v>
      </c>
      <c r="H752" s="13">
        <v>15</v>
      </c>
      <c r="I752" s="13">
        <v>0</v>
      </c>
      <c r="J752" s="1" t="s">
        <v>1174</v>
      </c>
      <c r="K752" s="1" t="s">
        <v>2025</v>
      </c>
      <c r="L752" s="1" t="str">
        <f>VLOOKUP(Advices[[#This Row],[LC Number]],'Combine_List'!A:D,2,0)</f>
        <v>Alpha Limit Trading and Contracting Company</v>
      </c>
      <c r="M752" s="447" t="str">
        <f>VLOOKUP(Advices[[#This Row],[LC Number]],'Combine_List'!A:D,3,0)</f>
        <v>FIRST FIX</v>
      </c>
      <c r="N752" s="447" t="str">
        <f>VLOOKUP(Advices[[#This Row],[LC Number]],'Combine_List'!A:D,4,0)</f>
        <v>RCRC</v>
      </c>
      <c r="O752" s="447">
        <f>VLOOKUP(Advices[[#This Row],[LC Number]],'Combine_List'!A:E,5,0)</f>
        <v>1020106</v>
      </c>
      <c r="P752" s="447">
        <f>MONTH(Advices[[#This Row],[Transaction Date]])</f>
        <v>11</v>
      </c>
      <c r="Q752" s="447">
        <f>YEAR(Advices[[#This Row],[Transaction Date]])</f>
        <v>2025</v>
      </c>
      <c r="R752" s="1"/>
    </row>
    <row r="753" spans="1:18" hidden="1" x14ac:dyDescent="0.25">
      <c r="A753" s="1" t="s">
        <v>612</v>
      </c>
      <c r="B753" s="178">
        <v>45963</v>
      </c>
      <c r="C753" s="1" t="s">
        <v>2101</v>
      </c>
      <c r="D753" s="1" t="s">
        <v>2488</v>
      </c>
      <c r="E753" s="1" t="s">
        <v>1566</v>
      </c>
      <c r="F753" s="1" t="s">
        <v>2041</v>
      </c>
      <c r="G753" s="1" t="s">
        <v>26</v>
      </c>
      <c r="H753" s="13">
        <v>250</v>
      </c>
      <c r="I753" s="13">
        <v>0</v>
      </c>
      <c r="J753" s="1" t="s">
        <v>1125</v>
      </c>
      <c r="K753" s="1" t="s">
        <v>2025</v>
      </c>
      <c r="L753" s="1" t="str">
        <f>VLOOKUP(Advices[[#This Row],[LC Number]],'Combine_List'!A:D,2,0)</f>
        <v>Alpha Limit Trading and Contracting Company</v>
      </c>
      <c r="M753" s="447" t="str">
        <f>VLOOKUP(Advices[[#This Row],[LC Number]],'Combine_List'!A:D,3,0)</f>
        <v>FIRST FIX</v>
      </c>
      <c r="N753" s="447" t="str">
        <f>VLOOKUP(Advices[[#This Row],[LC Number]],'Combine_List'!A:D,4,0)</f>
        <v>RCRC</v>
      </c>
      <c r="O753" s="447">
        <f>VLOOKUP(Advices[[#This Row],[LC Number]],'Combine_List'!A:E,5,0)</f>
        <v>1020106</v>
      </c>
      <c r="P753" s="447">
        <f>MONTH(Advices[[#This Row],[Transaction Date]])</f>
        <v>11</v>
      </c>
      <c r="Q753" s="447">
        <f>YEAR(Advices[[#This Row],[Transaction Date]])</f>
        <v>2025</v>
      </c>
      <c r="R753" s="1"/>
    </row>
    <row r="754" spans="1:18" hidden="1" x14ac:dyDescent="0.25">
      <c r="A754" s="1" t="s">
        <v>612</v>
      </c>
      <c r="B754" s="178">
        <v>45963</v>
      </c>
      <c r="C754" s="1" t="s">
        <v>2101</v>
      </c>
      <c r="D754" s="1" t="s">
        <v>2489</v>
      </c>
      <c r="E754" s="1" t="s">
        <v>1566</v>
      </c>
      <c r="F754" s="1" t="s">
        <v>2041</v>
      </c>
      <c r="G754" s="1" t="s">
        <v>26</v>
      </c>
      <c r="H754" s="13">
        <v>37.5</v>
      </c>
      <c r="I754" s="13">
        <v>0</v>
      </c>
      <c r="J754" s="1" t="s">
        <v>1174</v>
      </c>
      <c r="K754" s="1" t="s">
        <v>2025</v>
      </c>
      <c r="L754" s="1" t="str">
        <f>VLOOKUP(Advices[[#This Row],[LC Number]],'Combine_List'!A:D,2,0)</f>
        <v>Alpha Limit Trading and Contracting Company</v>
      </c>
      <c r="M754" s="447" t="str">
        <f>VLOOKUP(Advices[[#This Row],[LC Number]],'Combine_List'!A:D,3,0)</f>
        <v>FIRST FIX</v>
      </c>
      <c r="N754" s="447" t="str">
        <f>VLOOKUP(Advices[[#This Row],[LC Number]],'Combine_List'!A:D,4,0)</f>
        <v>RCRC</v>
      </c>
      <c r="O754" s="447">
        <f>VLOOKUP(Advices[[#This Row],[LC Number]],'Combine_List'!A:E,5,0)</f>
        <v>1020106</v>
      </c>
      <c r="P754" s="447">
        <f>MONTH(Advices[[#This Row],[Transaction Date]])</f>
        <v>11</v>
      </c>
      <c r="Q754" s="447">
        <f>YEAR(Advices[[#This Row],[Transaction Date]])</f>
        <v>2025</v>
      </c>
      <c r="R754" s="1"/>
    </row>
    <row r="755" spans="1:18" hidden="1" x14ac:dyDescent="0.25">
      <c r="A755" s="1" t="s">
        <v>612</v>
      </c>
      <c r="B755" s="178">
        <v>45963</v>
      </c>
      <c r="C755" s="1" t="s">
        <v>2101</v>
      </c>
      <c r="D755" s="1" t="s">
        <v>2490</v>
      </c>
      <c r="E755" s="1" t="s">
        <v>1566</v>
      </c>
      <c r="F755" s="1" t="s">
        <v>2041</v>
      </c>
      <c r="G755" s="1" t="s">
        <v>26</v>
      </c>
      <c r="H755" s="13">
        <v>200</v>
      </c>
      <c r="I755" s="13">
        <v>0</v>
      </c>
      <c r="J755" s="1" t="s">
        <v>1963</v>
      </c>
      <c r="K755" s="1" t="s">
        <v>2025</v>
      </c>
      <c r="L755" s="1" t="str">
        <f>VLOOKUP(Advices[[#This Row],[LC Number]],'Combine_List'!A:D,2,0)</f>
        <v>Alpha Limit Trading and Contracting Company</v>
      </c>
      <c r="M755" s="447" t="str">
        <f>VLOOKUP(Advices[[#This Row],[LC Number]],'Combine_List'!A:D,3,0)</f>
        <v>FIRST FIX</v>
      </c>
      <c r="N755" s="447" t="str">
        <f>VLOOKUP(Advices[[#This Row],[LC Number]],'Combine_List'!A:D,4,0)</f>
        <v>RCRC</v>
      </c>
      <c r="O755" s="447">
        <f>VLOOKUP(Advices[[#This Row],[LC Number]],'Combine_List'!A:E,5,0)</f>
        <v>1020106</v>
      </c>
      <c r="P755" s="447">
        <f>MONTH(Advices[[#This Row],[Transaction Date]])</f>
        <v>11</v>
      </c>
      <c r="Q755" s="447">
        <f>YEAR(Advices[[#This Row],[Transaction Date]])</f>
        <v>2025</v>
      </c>
      <c r="R755" s="1"/>
    </row>
    <row r="756" spans="1:18" hidden="1" x14ac:dyDescent="0.25">
      <c r="A756" s="1" t="s">
        <v>612</v>
      </c>
      <c r="B756" s="178">
        <v>45963</v>
      </c>
      <c r="C756" s="1" t="s">
        <v>2101</v>
      </c>
      <c r="D756" s="1" t="s">
        <v>2491</v>
      </c>
      <c r="E756" s="1" t="s">
        <v>1566</v>
      </c>
      <c r="F756" s="1" t="s">
        <v>2041</v>
      </c>
      <c r="G756" s="1" t="s">
        <v>26</v>
      </c>
      <c r="H756" s="13">
        <v>30</v>
      </c>
      <c r="I756" s="13">
        <v>0</v>
      </c>
      <c r="J756" s="1" t="s">
        <v>1174</v>
      </c>
      <c r="K756" s="1" t="s">
        <v>2025</v>
      </c>
      <c r="L756" s="1" t="str">
        <f>VLOOKUP(Advices[[#This Row],[LC Number]],'Combine_List'!A:D,2,0)</f>
        <v>Alpha Limit Trading and Contracting Company</v>
      </c>
      <c r="M756" s="447" t="str">
        <f>VLOOKUP(Advices[[#This Row],[LC Number]],'Combine_List'!A:D,3,0)</f>
        <v>FIRST FIX</v>
      </c>
      <c r="N756" s="447" t="str">
        <f>VLOOKUP(Advices[[#This Row],[LC Number]],'Combine_List'!A:D,4,0)</f>
        <v>RCRC</v>
      </c>
      <c r="O756" s="447">
        <f>VLOOKUP(Advices[[#This Row],[LC Number]],'Combine_List'!A:E,5,0)</f>
        <v>1020106</v>
      </c>
      <c r="P756" s="447">
        <f>MONTH(Advices[[#This Row],[Transaction Date]])</f>
        <v>11</v>
      </c>
      <c r="Q756" s="447">
        <f>YEAR(Advices[[#This Row],[Transaction Date]])</f>
        <v>2025</v>
      </c>
      <c r="R756" s="1"/>
    </row>
    <row r="757" spans="1:18" hidden="1" x14ac:dyDescent="0.25">
      <c r="A757" s="1" t="s">
        <v>612</v>
      </c>
      <c r="B757" s="178">
        <v>45963</v>
      </c>
      <c r="C757" s="1" t="s">
        <v>2101</v>
      </c>
      <c r="D757" s="1" t="s">
        <v>2492</v>
      </c>
      <c r="E757" s="1" t="s">
        <v>611</v>
      </c>
      <c r="F757" s="1" t="s">
        <v>2041</v>
      </c>
      <c r="G757" s="1" t="s">
        <v>26</v>
      </c>
      <c r="H757" s="13">
        <v>1623.4</v>
      </c>
      <c r="I757" s="13">
        <v>0</v>
      </c>
      <c r="J757" s="1" t="s">
        <v>1124</v>
      </c>
      <c r="K757" s="1" t="s">
        <v>2025</v>
      </c>
      <c r="L757" s="1" t="str">
        <f>VLOOKUP(Advices[[#This Row],[LC Number]],'Combine_List'!A:D,2,0)</f>
        <v>AL-Tawi Ready Mix Concrete Factory Co</v>
      </c>
      <c r="M757" s="447" t="str">
        <f>VLOOKUP(Advices[[#This Row],[LC Number]],'Combine_List'!A:D,3,0)</f>
        <v>FIRST FIX</v>
      </c>
      <c r="N757" s="447" t="str">
        <f>VLOOKUP(Advices[[#This Row],[LC Number]],'Combine_List'!A:D,4,0)</f>
        <v>RCRC</v>
      </c>
      <c r="O757" s="447">
        <f>VLOOKUP(Advices[[#This Row],[LC Number]],'Combine_List'!A:E,5,0)</f>
        <v>1020106</v>
      </c>
      <c r="P757" s="447">
        <f>MONTH(Advices[[#This Row],[Transaction Date]])</f>
        <v>11</v>
      </c>
      <c r="Q757" s="447">
        <f>YEAR(Advices[[#This Row],[Transaction Date]])</f>
        <v>2025</v>
      </c>
      <c r="R757" s="1"/>
    </row>
    <row r="758" spans="1:18" hidden="1" x14ac:dyDescent="0.25">
      <c r="A758" s="1" t="s">
        <v>612</v>
      </c>
      <c r="B758" s="178">
        <v>45963</v>
      </c>
      <c r="C758" s="1" t="s">
        <v>2101</v>
      </c>
      <c r="D758" s="1" t="s">
        <v>2493</v>
      </c>
      <c r="E758" s="1" t="s">
        <v>611</v>
      </c>
      <c r="F758" s="1" t="s">
        <v>2041</v>
      </c>
      <c r="G758" s="1" t="s">
        <v>26</v>
      </c>
      <c r="H758" s="13">
        <v>243.51</v>
      </c>
      <c r="I758" s="13">
        <v>0</v>
      </c>
      <c r="J758" s="1" t="s">
        <v>1174</v>
      </c>
      <c r="K758" s="1" t="s">
        <v>2025</v>
      </c>
      <c r="L758" s="1" t="str">
        <f>VLOOKUP(Advices[[#This Row],[LC Number]],'Combine_List'!A:D,2,0)</f>
        <v>AL-Tawi Ready Mix Concrete Factory Co</v>
      </c>
      <c r="M758" s="447" t="str">
        <f>VLOOKUP(Advices[[#This Row],[LC Number]],'Combine_List'!A:D,3,0)</f>
        <v>FIRST FIX</v>
      </c>
      <c r="N758" s="447" t="str">
        <f>VLOOKUP(Advices[[#This Row],[LC Number]],'Combine_List'!A:D,4,0)</f>
        <v>RCRC</v>
      </c>
      <c r="O758" s="447">
        <f>VLOOKUP(Advices[[#This Row],[LC Number]],'Combine_List'!A:E,5,0)</f>
        <v>1020106</v>
      </c>
      <c r="P758" s="447">
        <f>MONTH(Advices[[#This Row],[Transaction Date]])</f>
        <v>11</v>
      </c>
      <c r="Q758" s="447">
        <f>YEAR(Advices[[#This Row],[Transaction Date]])</f>
        <v>2025</v>
      </c>
      <c r="R758" s="1"/>
    </row>
    <row r="759" spans="1:18" hidden="1" x14ac:dyDescent="0.25">
      <c r="A759" s="1" t="s">
        <v>612</v>
      </c>
      <c r="B759" s="178">
        <v>45963</v>
      </c>
      <c r="C759" s="1" t="s">
        <v>2101</v>
      </c>
      <c r="D759" s="1" t="s">
        <v>2494</v>
      </c>
      <c r="E759" s="1" t="s">
        <v>611</v>
      </c>
      <c r="F759" s="1" t="s">
        <v>2041</v>
      </c>
      <c r="G759" s="1" t="s">
        <v>26</v>
      </c>
      <c r="H759" s="13">
        <v>400</v>
      </c>
      <c r="I759" s="13">
        <v>0</v>
      </c>
      <c r="J759" s="1" t="s">
        <v>1963</v>
      </c>
      <c r="K759" s="1" t="s">
        <v>2025</v>
      </c>
      <c r="L759" s="1" t="str">
        <f>VLOOKUP(Advices[[#This Row],[LC Number]],'Combine_List'!A:D,2,0)</f>
        <v>AL-Tawi Ready Mix Concrete Factory Co</v>
      </c>
      <c r="M759" s="447" t="str">
        <f>VLOOKUP(Advices[[#This Row],[LC Number]],'Combine_List'!A:D,3,0)</f>
        <v>FIRST FIX</v>
      </c>
      <c r="N759" s="447" t="str">
        <f>VLOOKUP(Advices[[#This Row],[LC Number]],'Combine_List'!A:D,4,0)</f>
        <v>RCRC</v>
      </c>
      <c r="O759" s="447">
        <f>VLOOKUP(Advices[[#This Row],[LC Number]],'Combine_List'!A:E,5,0)</f>
        <v>1020106</v>
      </c>
      <c r="P759" s="447">
        <f>MONTH(Advices[[#This Row],[Transaction Date]])</f>
        <v>11</v>
      </c>
      <c r="Q759" s="447">
        <f>YEAR(Advices[[#This Row],[Transaction Date]])</f>
        <v>2025</v>
      </c>
      <c r="R759" s="1"/>
    </row>
    <row r="760" spans="1:18" hidden="1" x14ac:dyDescent="0.25">
      <c r="A760" s="1" t="s">
        <v>612</v>
      </c>
      <c r="B760" s="178">
        <v>45963</v>
      </c>
      <c r="C760" s="1" t="s">
        <v>2101</v>
      </c>
      <c r="D760" s="1" t="s">
        <v>2495</v>
      </c>
      <c r="E760" s="1" t="s">
        <v>611</v>
      </c>
      <c r="F760" s="1" t="s">
        <v>2041</v>
      </c>
      <c r="G760" s="1" t="s">
        <v>26</v>
      </c>
      <c r="H760" s="13">
        <v>60</v>
      </c>
      <c r="I760" s="13">
        <v>0</v>
      </c>
      <c r="J760" s="1" t="s">
        <v>1174</v>
      </c>
      <c r="K760" s="1" t="s">
        <v>2025</v>
      </c>
      <c r="L760" s="1" t="str">
        <f>VLOOKUP(Advices[[#This Row],[LC Number]],'Combine_List'!A:D,2,0)</f>
        <v>AL-Tawi Ready Mix Concrete Factory Co</v>
      </c>
      <c r="M760" s="447" t="str">
        <f>VLOOKUP(Advices[[#This Row],[LC Number]],'Combine_List'!A:D,3,0)</f>
        <v>FIRST FIX</v>
      </c>
      <c r="N760" s="447" t="str">
        <f>VLOOKUP(Advices[[#This Row],[LC Number]],'Combine_List'!A:D,4,0)</f>
        <v>RCRC</v>
      </c>
      <c r="O760" s="447">
        <f>VLOOKUP(Advices[[#This Row],[LC Number]],'Combine_List'!A:E,5,0)</f>
        <v>1020106</v>
      </c>
      <c r="P760" s="447">
        <f>MONTH(Advices[[#This Row],[Transaction Date]])</f>
        <v>11</v>
      </c>
      <c r="Q760" s="447">
        <f>YEAR(Advices[[#This Row],[Transaction Date]])</f>
        <v>2025</v>
      </c>
      <c r="R760" s="1"/>
    </row>
    <row r="761" spans="1:18" hidden="1" x14ac:dyDescent="0.25">
      <c r="A761" s="1" t="s">
        <v>612</v>
      </c>
      <c r="B761" s="178">
        <v>45963</v>
      </c>
      <c r="C761" s="1" t="s">
        <v>2101</v>
      </c>
      <c r="D761" s="1" t="s">
        <v>2496</v>
      </c>
      <c r="E761" s="1" t="s">
        <v>698</v>
      </c>
      <c r="F761" s="1" t="s">
        <v>2041</v>
      </c>
      <c r="G761" s="1" t="s">
        <v>26</v>
      </c>
      <c r="H761" s="13">
        <v>500</v>
      </c>
      <c r="I761" s="13">
        <v>0</v>
      </c>
      <c r="J761" s="1" t="s">
        <v>1124</v>
      </c>
      <c r="K761" s="1" t="s">
        <v>2025</v>
      </c>
      <c r="L761" s="1" t="str">
        <f>VLOOKUP(Advices[[#This Row],[LC Number]],'Combine_List'!A:D,2,0)</f>
        <v>Union Pipes Industry</v>
      </c>
      <c r="M761" s="447" t="str">
        <f>VLOOKUP(Advices[[#This Row],[LC Number]],'Combine_List'!A:D,3,0)</f>
        <v>FIRST FIX</v>
      </c>
      <c r="N761" s="447" t="str">
        <f>VLOOKUP(Advices[[#This Row],[LC Number]],'Combine_List'!A:D,4,0)</f>
        <v>RCRC</v>
      </c>
      <c r="O761" s="447">
        <f>VLOOKUP(Advices[[#This Row],[LC Number]],'Combine_List'!A:E,5,0)</f>
        <v>1020106</v>
      </c>
      <c r="P761" s="447">
        <f>MONTH(Advices[[#This Row],[Transaction Date]])</f>
        <v>11</v>
      </c>
      <c r="Q761" s="447">
        <f>YEAR(Advices[[#This Row],[Transaction Date]])</f>
        <v>2025</v>
      </c>
      <c r="R761" s="1"/>
    </row>
    <row r="762" spans="1:18" hidden="1" x14ac:dyDescent="0.25">
      <c r="A762" s="1" t="s">
        <v>612</v>
      </c>
      <c r="B762" s="178">
        <v>45963</v>
      </c>
      <c r="C762" s="1" t="s">
        <v>2101</v>
      </c>
      <c r="D762" s="1" t="s">
        <v>2497</v>
      </c>
      <c r="E762" s="1" t="s">
        <v>698</v>
      </c>
      <c r="F762" s="1" t="s">
        <v>2041</v>
      </c>
      <c r="G762" s="1" t="s">
        <v>26</v>
      </c>
      <c r="H762" s="13">
        <v>75</v>
      </c>
      <c r="I762" s="13">
        <v>0</v>
      </c>
      <c r="J762" s="1" t="s">
        <v>1174</v>
      </c>
      <c r="K762" s="1" t="s">
        <v>2025</v>
      </c>
      <c r="L762" s="1" t="str">
        <f>VLOOKUP(Advices[[#This Row],[LC Number]],'Combine_List'!A:D,2,0)</f>
        <v>Union Pipes Industry</v>
      </c>
      <c r="M762" s="447" t="str">
        <f>VLOOKUP(Advices[[#This Row],[LC Number]],'Combine_List'!A:D,3,0)</f>
        <v>FIRST FIX</v>
      </c>
      <c r="N762" s="447" t="str">
        <f>VLOOKUP(Advices[[#This Row],[LC Number]],'Combine_List'!A:D,4,0)</f>
        <v>RCRC</v>
      </c>
      <c r="O762" s="447">
        <f>VLOOKUP(Advices[[#This Row],[LC Number]],'Combine_List'!A:E,5,0)</f>
        <v>1020106</v>
      </c>
      <c r="P762" s="447">
        <f>MONTH(Advices[[#This Row],[Transaction Date]])</f>
        <v>11</v>
      </c>
      <c r="Q762" s="447">
        <f>YEAR(Advices[[#This Row],[Transaction Date]])</f>
        <v>2025</v>
      </c>
      <c r="R762" s="1"/>
    </row>
    <row r="763" spans="1:18" hidden="1" x14ac:dyDescent="0.25">
      <c r="A763" s="1" t="s">
        <v>612</v>
      </c>
      <c r="B763" s="178">
        <v>45963</v>
      </c>
      <c r="C763" s="1" t="s">
        <v>2101</v>
      </c>
      <c r="D763" s="1" t="s">
        <v>2498</v>
      </c>
      <c r="E763" s="1" t="s">
        <v>698</v>
      </c>
      <c r="F763" s="1" t="s">
        <v>2041</v>
      </c>
      <c r="G763" s="1" t="s">
        <v>26</v>
      </c>
      <c r="H763" s="13">
        <v>400</v>
      </c>
      <c r="I763" s="13">
        <v>0</v>
      </c>
      <c r="J763" s="1" t="s">
        <v>1963</v>
      </c>
      <c r="K763" s="1" t="s">
        <v>2025</v>
      </c>
      <c r="L763" s="1" t="str">
        <f>VLOOKUP(Advices[[#This Row],[LC Number]],'Combine_List'!A:D,2,0)</f>
        <v>Union Pipes Industry</v>
      </c>
      <c r="M763" s="447" t="str">
        <f>VLOOKUP(Advices[[#This Row],[LC Number]],'Combine_List'!A:D,3,0)</f>
        <v>FIRST FIX</v>
      </c>
      <c r="N763" s="447" t="str">
        <f>VLOOKUP(Advices[[#This Row],[LC Number]],'Combine_List'!A:D,4,0)</f>
        <v>RCRC</v>
      </c>
      <c r="O763" s="447">
        <f>VLOOKUP(Advices[[#This Row],[LC Number]],'Combine_List'!A:E,5,0)</f>
        <v>1020106</v>
      </c>
      <c r="P763" s="447">
        <f>MONTH(Advices[[#This Row],[Transaction Date]])</f>
        <v>11</v>
      </c>
      <c r="Q763" s="447">
        <f>YEAR(Advices[[#This Row],[Transaction Date]])</f>
        <v>2025</v>
      </c>
      <c r="R763" s="1"/>
    </row>
    <row r="764" spans="1:18" hidden="1" x14ac:dyDescent="0.25">
      <c r="A764" s="1" t="s">
        <v>612</v>
      </c>
      <c r="B764" s="178">
        <v>45963</v>
      </c>
      <c r="C764" s="1" t="s">
        <v>2101</v>
      </c>
      <c r="D764" s="1" t="s">
        <v>2499</v>
      </c>
      <c r="E764" s="1" t="s">
        <v>698</v>
      </c>
      <c r="F764" s="1" t="s">
        <v>2041</v>
      </c>
      <c r="G764" s="1" t="s">
        <v>26</v>
      </c>
      <c r="H764" s="13">
        <v>60</v>
      </c>
      <c r="I764" s="13">
        <v>0</v>
      </c>
      <c r="J764" s="1" t="s">
        <v>1174</v>
      </c>
      <c r="K764" s="1" t="s">
        <v>2025</v>
      </c>
      <c r="L764" s="1" t="str">
        <f>VLOOKUP(Advices[[#This Row],[LC Number]],'Combine_List'!A:D,2,0)</f>
        <v>Union Pipes Industry</v>
      </c>
      <c r="M764" s="447" t="str">
        <f>VLOOKUP(Advices[[#This Row],[LC Number]],'Combine_List'!A:D,3,0)</f>
        <v>FIRST FIX</v>
      </c>
      <c r="N764" s="447" t="str">
        <f>VLOOKUP(Advices[[#This Row],[LC Number]],'Combine_List'!A:D,4,0)</f>
        <v>RCRC</v>
      </c>
      <c r="O764" s="447">
        <f>VLOOKUP(Advices[[#This Row],[LC Number]],'Combine_List'!A:E,5,0)</f>
        <v>1020106</v>
      </c>
      <c r="P764" s="447">
        <f>MONTH(Advices[[#This Row],[Transaction Date]])</f>
        <v>11</v>
      </c>
      <c r="Q764" s="447">
        <f>YEAR(Advices[[#This Row],[Transaction Date]])</f>
        <v>2025</v>
      </c>
      <c r="R764" s="1"/>
    </row>
    <row r="765" spans="1:18" hidden="1" x14ac:dyDescent="0.25">
      <c r="A765" s="1" t="s">
        <v>612</v>
      </c>
      <c r="B765" s="178">
        <v>45963</v>
      </c>
      <c r="C765" s="1" t="s">
        <v>2101</v>
      </c>
      <c r="D765" s="1" t="s">
        <v>2500</v>
      </c>
      <c r="E765" s="1" t="s">
        <v>1151</v>
      </c>
      <c r="F765" s="1" t="s">
        <v>2041</v>
      </c>
      <c r="G765" s="1" t="s">
        <v>26</v>
      </c>
      <c r="H765" s="13">
        <v>884.44</v>
      </c>
      <c r="I765" s="13">
        <v>0</v>
      </c>
      <c r="J765" s="1" t="s">
        <v>1124</v>
      </c>
      <c r="K765" s="1" t="s">
        <v>2025</v>
      </c>
      <c r="L765" s="1" t="str">
        <f>VLOOKUP(Advices[[#This Row],[LC Number]],'Combine_List'!A:D,2,0)</f>
        <v>SAUDI VITRIFIED CLAY PIPE CO</v>
      </c>
      <c r="M765" s="447" t="str">
        <f>VLOOKUP(Advices[[#This Row],[LC Number]],'Combine_List'!A:D,3,0)</f>
        <v>FIRST FIX</v>
      </c>
      <c r="N765" s="447" t="str">
        <f>VLOOKUP(Advices[[#This Row],[LC Number]],'Combine_List'!A:D,4,0)</f>
        <v>RCRC</v>
      </c>
      <c r="O765" s="447">
        <f>VLOOKUP(Advices[[#This Row],[LC Number]],'Combine_List'!A:E,5,0)</f>
        <v>1020106</v>
      </c>
      <c r="P765" s="447">
        <f>MONTH(Advices[[#This Row],[Transaction Date]])</f>
        <v>11</v>
      </c>
      <c r="Q765" s="447">
        <f>YEAR(Advices[[#This Row],[Transaction Date]])</f>
        <v>2025</v>
      </c>
      <c r="R765" s="1"/>
    </row>
    <row r="766" spans="1:18" hidden="1" x14ac:dyDescent="0.25">
      <c r="A766" s="1" t="s">
        <v>612</v>
      </c>
      <c r="B766" s="178">
        <v>45963</v>
      </c>
      <c r="C766" s="1" t="s">
        <v>2101</v>
      </c>
      <c r="D766" s="1" t="s">
        <v>2501</v>
      </c>
      <c r="E766" s="1" t="s">
        <v>1151</v>
      </c>
      <c r="F766" s="1" t="s">
        <v>2041</v>
      </c>
      <c r="G766" s="1" t="s">
        <v>26</v>
      </c>
      <c r="H766" s="13">
        <v>132.66999999999999</v>
      </c>
      <c r="I766" s="13">
        <v>0</v>
      </c>
      <c r="J766" s="1" t="s">
        <v>1174</v>
      </c>
      <c r="K766" s="1" t="s">
        <v>2025</v>
      </c>
      <c r="L766" s="1" t="str">
        <f>VLOOKUP(Advices[[#This Row],[LC Number]],'Combine_List'!A:D,2,0)</f>
        <v>SAUDI VITRIFIED CLAY PIPE CO</v>
      </c>
      <c r="M766" s="447" t="str">
        <f>VLOOKUP(Advices[[#This Row],[LC Number]],'Combine_List'!A:D,3,0)</f>
        <v>FIRST FIX</v>
      </c>
      <c r="N766" s="447" t="str">
        <f>VLOOKUP(Advices[[#This Row],[LC Number]],'Combine_List'!A:D,4,0)</f>
        <v>RCRC</v>
      </c>
      <c r="O766" s="447">
        <f>VLOOKUP(Advices[[#This Row],[LC Number]],'Combine_List'!A:E,5,0)</f>
        <v>1020106</v>
      </c>
      <c r="P766" s="447">
        <f>MONTH(Advices[[#This Row],[Transaction Date]])</f>
        <v>11</v>
      </c>
      <c r="Q766" s="447">
        <f>YEAR(Advices[[#This Row],[Transaction Date]])</f>
        <v>2025</v>
      </c>
      <c r="R766" s="1"/>
    </row>
    <row r="767" spans="1:18" hidden="1" x14ac:dyDescent="0.25">
      <c r="A767" s="1" t="s">
        <v>612</v>
      </c>
      <c r="B767" s="178">
        <v>45963</v>
      </c>
      <c r="C767" s="1" t="s">
        <v>2101</v>
      </c>
      <c r="D767" s="1" t="s">
        <v>2502</v>
      </c>
      <c r="E767" s="1" t="s">
        <v>1151</v>
      </c>
      <c r="F767" s="1" t="s">
        <v>2041</v>
      </c>
      <c r="G767" s="1" t="s">
        <v>26</v>
      </c>
      <c r="H767" s="13">
        <v>400</v>
      </c>
      <c r="I767" s="13">
        <v>0</v>
      </c>
      <c r="J767" s="1" t="s">
        <v>1963</v>
      </c>
      <c r="K767" s="1" t="s">
        <v>2025</v>
      </c>
      <c r="L767" s="1" t="str">
        <f>VLOOKUP(Advices[[#This Row],[LC Number]],'Combine_List'!A:D,2,0)</f>
        <v>SAUDI VITRIFIED CLAY PIPE CO</v>
      </c>
      <c r="M767" s="447" t="str">
        <f>VLOOKUP(Advices[[#This Row],[LC Number]],'Combine_List'!A:D,3,0)</f>
        <v>FIRST FIX</v>
      </c>
      <c r="N767" s="447" t="str">
        <f>VLOOKUP(Advices[[#This Row],[LC Number]],'Combine_List'!A:D,4,0)</f>
        <v>RCRC</v>
      </c>
      <c r="O767" s="447">
        <f>VLOOKUP(Advices[[#This Row],[LC Number]],'Combine_List'!A:E,5,0)</f>
        <v>1020106</v>
      </c>
      <c r="P767" s="447">
        <f>MONTH(Advices[[#This Row],[Transaction Date]])</f>
        <v>11</v>
      </c>
      <c r="Q767" s="447">
        <f>YEAR(Advices[[#This Row],[Transaction Date]])</f>
        <v>2025</v>
      </c>
      <c r="R767" s="1"/>
    </row>
    <row r="768" spans="1:18" hidden="1" x14ac:dyDescent="0.25">
      <c r="A768" s="1" t="s">
        <v>612</v>
      </c>
      <c r="B768" s="178">
        <v>45963</v>
      </c>
      <c r="C768" s="1" t="s">
        <v>2101</v>
      </c>
      <c r="D768" s="1" t="s">
        <v>2503</v>
      </c>
      <c r="E768" s="1" t="s">
        <v>1151</v>
      </c>
      <c r="F768" s="1" t="s">
        <v>2041</v>
      </c>
      <c r="G768" s="1" t="s">
        <v>26</v>
      </c>
      <c r="H768" s="13">
        <v>60</v>
      </c>
      <c r="I768" s="13">
        <v>0</v>
      </c>
      <c r="J768" s="1" t="s">
        <v>1174</v>
      </c>
      <c r="K768" s="1" t="s">
        <v>2025</v>
      </c>
      <c r="L768" s="1" t="str">
        <f>VLOOKUP(Advices[[#This Row],[LC Number]],'Combine_List'!A:D,2,0)</f>
        <v>SAUDI VITRIFIED CLAY PIPE CO</v>
      </c>
      <c r="M768" s="447" t="str">
        <f>VLOOKUP(Advices[[#This Row],[LC Number]],'Combine_List'!A:D,3,0)</f>
        <v>FIRST FIX</v>
      </c>
      <c r="N768" s="447" t="str">
        <f>VLOOKUP(Advices[[#This Row],[LC Number]],'Combine_List'!A:D,4,0)</f>
        <v>RCRC</v>
      </c>
      <c r="O768" s="447">
        <f>VLOOKUP(Advices[[#This Row],[LC Number]],'Combine_List'!A:E,5,0)</f>
        <v>1020106</v>
      </c>
      <c r="P768" s="447">
        <f>MONTH(Advices[[#This Row],[Transaction Date]])</f>
        <v>11</v>
      </c>
      <c r="Q768" s="447">
        <f>YEAR(Advices[[#This Row],[Transaction Date]])</f>
        <v>2025</v>
      </c>
      <c r="R768" s="1"/>
    </row>
    <row r="769" spans="1:18" hidden="1" x14ac:dyDescent="0.25">
      <c r="A769" s="1" t="s">
        <v>612</v>
      </c>
      <c r="B769" s="178">
        <v>45963</v>
      </c>
      <c r="C769" s="1" t="s">
        <v>2101</v>
      </c>
      <c r="D769" s="1" t="s">
        <v>2504</v>
      </c>
      <c r="E769" s="1" t="s">
        <v>1396</v>
      </c>
      <c r="F769" s="1" t="s">
        <v>2041</v>
      </c>
      <c r="G769" s="1" t="s">
        <v>26</v>
      </c>
      <c r="H769" s="13">
        <v>500</v>
      </c>
      <c r="I769" s="13">
        <v>0</v>
      </c>
      <c r="J769" s="1" t="s">
        <v>1124</v>
      </c>
      <c r="K769" s="1" t="s">
        <v>2025</v>
      </c>
      <c r="L769" s="1" t="str">
        <f>VLOOKUP(Advices[[#This Row],[LC Number]],'Combine_List'!A:D,2,0)</f>
        <v>Baamer Group for Trading Company</v>
      </c>
      <c r="M769" s="447" t="str">
        <f>VLOOKUP(Advices[[#This Row],[LC Number]],'Combine_List'!A:D,3,0)</f>
        <v>FIRST FIX</v>
      </c>
      <c r="N769" s="447" t="str">
        <f>VLOOKUP(Advices[[#This Row],[LC Number]],'Combine_List'!A:D,4,0)</f>
        <v>RCRC</v>
      </c>
      <c r="O769" s="447">
        <f>VLOOKUP(Advices[[#This Row],[LC Number]],'Combine_List'!A:E,5,0)</f>
        <v>1020106</v>
      </c>
      <c r="P769" s="447">
        <f>MONTH(Advices[[#This Row],[Transaction Date]])</f>
        <v>11</v>
      </c>
      <c r="Q769" s="447">
        <f>YEAR(Advices[[#This Row],[Transaction Date]])</f>
        <v>2025</v>
      </c>
      <c r="R769" s="1"/>
    </row>
    <row r="770" spans="1:18" hidden="1" x14ac:dyDescent="0.25">
      <c r="A770" s="1" t="s">
        <v>612</v>
      </c>
      <c r="B770" s="178">
        <v>45963</v>
      </c>
      <c r="C770" s="1" t="s">
        <v>2101</v>
      </c>
      <c r="D770" s="1" t="s">
        <v>2505</v>
      </c>
      <c r="E770" s="1" t="s">
        <v>1396</v>
      </c>
      <c r="F770" s="1" t="s">
        <v>2041</v>
      </c>
      <c r="G770" s="1" t="s">
        <v>26</v>
      </c>
      <c r="H770" s="13">
        <v>75</v>
      </c>
      <c r="I770" s="13">
        <v>0</v>
      </c>
      <c r="J770" s="1" t="s">
        <v>1174</v>
      </c>
      <c r="K770" s="1" t="s">
        <v>2025</v>
      </c>
      <c r="L770" s="1" t="str">
        <f>VLOOKUP(Advices[[#This Row],[LC Number]],'Combine_List'!A:D,2,0)</f>
        <v>Baamer Group for Trading Company</v>
      </c>
      <c r="M770" s="447" t="str">
        <f>VLOOKUP(Advices[[#This Row],[LC Number]],'Combine_List'!A:D,3,0)</f>
        <v>FIRST FIX</v>
      </c>
      <c r="N770" s="447" t="str">
        <f>VLOOKUP(Advices[[#This Row],[LC Number]],'Combine_List'!A:D,4,0)</f>
        <v>RCRC</v>
      </c>
      <c r="O770" s="447">
        <f>VLOOKUP(Advices[[#This Row],[LC Number]],'Combine_List'!A:E,5,0)</f>
        <v>1020106</v>
      </c>
      <c r="P770" s="447">
        <f>MONTH(Advices[[#This Row],[Transaction Date]])</f>
        <v>11</v>
      </c>
      <c r="Q770" s="447">
        <f>YEAR(Advices[[#This Row],[Transaction Date]])</f>
        <v>2025</v>
      </c>
      <c r="R770" s="1"/>
    </row>
    <row r="771" spans="1:18" hidden="1" x14ac:dyDescent="0.25">
      <c r="A771" s="1" t="s">
        <v>612</v>
      </c>
      <c r="B771" s="178">
        <v>45963</v>
      </c>
      <c r="C771" s="1" t="s">
        <v>2101</v>
      </c>
      <c r="D771" s="1" t="s">
        <v>2506</v>
      </c>
      <c r="E771" s="1" t="s">
        <v>1396</v>
      </c>
      <c r="F771" s="1" t="s">
        <v>2041</v>
      </c>
      <c r="G771" s="1" t="s">
        <v>26</v>
      </c>
      <c r="H771" s="13">
        <v>400</v>
      </c>
      <c r="I771" s="13">
        <v>0</v>
      </c>
      <c r="J771" s="1" t="s">
        <v>1963</v>
      </c>
      <c r="K771" s="1" t="s">
        <v>2025</v>
      </c>
      <c r="L771" s="1" t="str">
        <f>VLOOKUP(Advices[[#This Row],[LC Number]],'Combine_List'!A:D,2,0)</f>
        <v>Baamer Group for Trading Company</v>
      </c>
      <c r="M771" s="447" t="str">
        <f>VLOOKUP(Advices[[#This Row],[LC Number]],'Combine_List'!A:D,3,0)</f>
        <v>FIRST FIX</v>
      </c>
      <c r="N771" s="447" t="str">
        <f>VLOOKUP(Advices[[#This Row],[LC Number]],'Combine_List'!A:D,4,0)</f>
        <v>RCRC</v>
      </c>
      <c r="O771" s="447">
        <f>VLOOKUP(Advices[[#This Row],[LC Number]],'Combine_List'!A:E,5,0)</f>
        <v>1020106</v>
      </c>
      <c r="P771" s="447">
        <f>MONTH(Advices[[#This Row],[Transaction Date]])</f>
        <v>11</v>
      </c>
      <c r="Q771" s="447">
        <f>YEAR(Advices[[#This Row],[Transaction Date]])</f>
        <v>2025</v>
      </c>
      <c r="R771" s="1"/>
    </row>
    <row r="772" spans="1:18" hidden="1" x14ac:dyDescent="0.25">
      <c r="A772" s="1" t="s">
        <v>612</v>
      </c>
      <c r="B772" s="178">
        <v>45963</v>
      </c>
      <c r="C772" s="1" t="s">
        <v>2101</v>
      </c>
      <c r="D772" s="1" t="s">
        <v>2507</v>
      </c>
      <c r="E772" s="1" t="s">
        <v>1396</v>
      </c>
      <c r="F772" s="1" t="s">
        <v>2041</v>
      </c>
      <c r="G772" s="1" t="s">
        <v>26</v>
      </c>
      <c r="H772" s="13">
        <v>60</v>
      </c>
      <c r="I772" s="13">
        <v>0</v>
      </c>
      <c r="J772" s="1" t="s">
        <v>1174</v>
      </c>
      <c r="K772" s="1" t="s">
        <v>2025</v>
      </c>
      <c r="L772" s="1" t="str">
        <f>VLOOKUP(Advices[[#This Row],[LC Number]],'Combine_List'!A:D,2,0)</f>
        <v>Baamer Group for Trading Company</v>
      </c>
      <c r="M772" s="447" t="str">
        <f>VLOOKUP(Advices[[#This Row],[LC Number]],'Combine_List'!A:D,3,0)</f>
        <v>FIRST FIX</v>
      </c>
      <c r="N772" s="447" t="str">
        <f>VLOOKUP(Advices[[#This Row],[LC Number]],'Combine_List'!A:D,4,0)</f>
        <v>RCRC</v>
      </c>
      <c r="O772" s="447">
        <f>VLOOKUP(Advices[[#This Row],[LC Number]],'Combine_List'!A:E,5,0)</f>
        <v>1020106</v>
      </c>
      <c r="P772" s="447">
        <f>MONTH(Advices[[#This Row],[Transaction Date]])</f>
        <v>11</v>
      </c>
      <c r="Q772" s="447">
        <f>YEAR(Advices[[#This Row],[Transaction Date]])</f>
        <v>2025</v>
      </c>
      <c r="R772" s="1"/>
    </row>
    <row r="773" spans="1:18" hidden="1" x14ac:dyDescent="0.25">
      <c r="A773" s="1" t="s">
        <v>612</v>
      </c>
      <c r="B773" s="178">
        <v>45963</v>
      </c>
      <c r="C773" s="1" t="s">
        <v>2101</v>
      </c>
      <c r="D773" s="1" t="s">
        <v>2508</v>
      </c>
      <c r="E773" s="1" t="s">
        <v>1447</v>
      </c>
      <c r="F773" s="1" t="s">
        <v>2041</v>
      </c>
      <c r="G773" s="1" t="s">
        <v>26</v>
      </c>
      <c r="H773" s="13">
        <v>1277.1199999999999</v>
      </c>
      <c r="I773" s="13">
        <v>0</v>
      </c>
      <c r="J773" s="1" t="s">
        <v>1124</v>
      </c>
      <c r="K773" s="1" t="s">
        <v>2025</v>
      </c>
      <c r="L773" s="1" t="str">
        <f>VLOOKUP(Advices[[#This Row],[LC Number]],'Combine_List'!A:D,2,0)</f>
        <v>Metal and Glass Trading Co</v>
      </c>
      <c r="M773" s="447" t="str">
        <f>VLOOKUP(Advices[[#This Row],[LC Number]],'Combine_List'!A:D,3,0)</f>
        <v>FIRST FIX</v>
      </c>
      <c r="N773" s="447" t="str">
        <f>VLOOKUP(Advices[[#This Row],[LC Number]],'Combine_List'!A:D,4,0)</f>
        <v>RCRC</v>
      </c>
      <c r="O773" s="447">
        <f>VLOOKUP(Advices[[#This Row],[LC Number]],'Combine_List'!A:E,5,0)</f>
        <v>1020106</v>
      </c>
      <c r="P773" s="447">
        <f>MONTH(Advices[[#This Row],[Transaction Date]])</f>
        <v>11</v>
      </c>
      <c r="Q773" s="447">
        <f>YEAR(Advices[[#This Row],[Transaction Date]])</f>
        <v>2025</v>
      </c>
      <c r="R773" s="1"/>
    </row>
    <row r="774" spans="1:18" hidden="1" x14ac:dyDescent="0.25">
      <c r="A774" s="1" t="s">
        <v>612</v>
      </c>
      <c r="B774" s="178">
        <v>45963</v>
      </c>
      <c r="C774" s="1" t="s">
        <v>2101</v>
      </c>
      <c r="D774" s="1" t="s">
        <v>2509</v>
      </c>
      <c r="E774" s="1" t="s">
        <v>1447</v>
      </c>
      <c r="F774" s="1" t="s">
        <v>2041</v>
      </c>
      <c r="G774" s="1" t="s">
        <v>26</v>
      </c>
      <c r="H774" s="13">
        <v>191.57</v>
      </c>
      <c r="I774" s="13">
        <v>0</v>
      </c>
      <c r="J774" s="1" t="s">
        <v>1174</v>
      </c>
      <c r="K774" s="1" t="s">
        <v>2025</v>
      </c>
      <c r="L774" s="1" t="str">
        <f>VLOOKUP(Advices[[#This Row],[LC Number]],'Combine_List'!A:D,2,0)</f>
        <v>Metal and Glass Trading Co</v>
      </c>
      <c r="M774" s="447" t="str">
        <f>VLOOKUP(Advices[[#This Row],[LC Number]],'Combine_List'!A:D,3,0)</f>
        <v>FIRST FIX</v>
      </c>
      <c r="N774" s="447" t="str">
        <f>VLOOKUP(Advices[[#This Row],[LC Number]],'Combine_List'!A:D,4,0)</f>
        <v>RCRC</v>
      </c>
      <c r="O774" s="447">
        <f>VLOOKUP(Advices[[#This Row],[LC Number]],'Combine_List'!A:E,5,0)</f>
        <v>1020106</v>
      </c>
      <c r="P774" s="447">
        <f>MONTH(Advices[[#This Row],[Transaction Date]])</f>
        <v>11</v>
      </c>
      <c r="Q774" s="447">
        <f>YEAR(Advices[[#This Row],[Transaction Date]])</f>
        <v>2025</v>
      </c>
      <c r="R774" s="1"/>
    </row>
    <row r="775" spans="1:18" hidden="1" x14ac:dyDescent="0.25">
      <c r="A775" s="1" t="s">
        <v>612</v>
      </c>
      <c r="B775" s="178">
        <v>45963</v>
      </c>
      <c r="C775" s="1" t="s">
        <v>2101</v>
      </c>
      <c r="D775" s="1" t="s">
        <v>2510</v>
      </c>
      <c r="E775" s="1" t="s">
        <v>1447</v>
      </c>
      <c r="F775" s="1" t="s">
        <v>2041</v>
      </c>
      <c r="G775" s="1" t="s">
        <v>26</v>
      </c>
      <c r="H775" s="13">
        <v>400</v>
      </c>
      <c r="I775" s="13">
        <v>0</v>
      </c>
      <c r="J775" s="1" t="s">
        <v>1963</v>
      </c>
      <c r="K775" s="1" t="s">
        <v>2025</v>
      </c>
      <c r="L775" s="1" t="str">
        <f>VLOOKUP(Advices[[#This Row],[LC Number]],'Combine_List'!A:D,2,0)</f>
        <v>Metal and Glass Trading Co</v>
      </c>
      <c r="M775" s="447" t="str">
        <f>VLOOKUP(Advices[[#This Row],[LC Number]],'Combine_List'!A:D,3,0)</f>
        <v>FIRST FIX</v>
      </c>
      <c r="N775" s="447" t="str">
        <f>VLOOKUP(Advices[[#This Row],[LC Number]],'Combine_List'!A:D,4,0)</f>
        <v>RCRC</v>
      </c>
      <c r="O775" s="447">
        <f>VLOOKUP(Advices[[#This Row],[LC Number]],'Combine_List'!A:E,5,0)</f>
        <v>1020106</v>
      </c>
      <c r="P775" s="447">
        <f>MONTH(Advices[[#This Row],[Transaction Date]])</f>
        <v>11</v>
      </c>
      <c r="Q775" s="447">
        <f>YEAR(Advices[[#This Row],[Transaction Date]])</f>
        <v>2025</v>
      </c>
      <c r="R775" s="1"/>
    </row>
    <row r="776" spans="1:18" hidden="1" x14ac:dyDescent="0.25">
      <c r="A776" s="1" t="s">
        <v>612</v>
      </c>
      <c r="B776" s="178">
        <v>45963</v>
      </c>
      <c r="C776" s="1" t="s">
        <v>2101</v>
      </c>
      <c r="D776" s="1" t="s">
        <v>2511</v>
      </c>
      <c r="E776" s="1" t="s">
        <v>1447</v>
      </c>
      <c r="F776" s="1" t="s">
        <v>2041</v>
      </c>
      <c r="G776" s="1" t="s">
        <v>26</v>
      </c>
      <c r="H776" s="13">
        <v>60</v>
      </c>
      <c r="I776" s="13">
        <v>0</v>
      </c>
      <c r="J776" s="1" t="s">
        <v>1174</v>
      </c>
      <c r="K776" s="1" t="s">
        <v>2025</v>
      </c>
      <c r="L776" s="1" t="str">
        <f>VLOOKUP(Advices[[#This Row],[LC Number]],'Combine_List'!A:D,2,0)</f>
        <v>Metal and Glass Trading Co</v>
      </c>
      <c r="M776" s="447" t="str">
        <f>VLOOKUP(Advices[[#This Row],[LC Number]],'Combine_List'!A:D,3,0)</f>
        <v>FIRST FIX</v>
      </c>
      <c r="N776" s="447" t="str">
        <f>VLOOKUP(Advices[[#This Row],[LC Number]],'Combine_List'!A:D,4,0)</f>
        <v>RCRC</v>
      </c>
      <c r="O776" s="447">
        <f>VLOOKUP(Advices[[#This Row],[LC Number]],'Combine_List'!A:E,5,0)</f>
        <v>1020106</v>
      </c>
      <c r="P776" s="447">
        <f>MONTH(Advices[[#This Row],[Transaction Date]])</f>
        <v>11</v>
      </c>
      <c r="Q776" s="447">
        <f>YEAR(Advices[[#This Row],[Transaction Date]])</f>
        <v>2025</v>
      </c>
      <c r="R776" s="1"/>
    </row>
    <row r="777" spans="1:18" hidden="1" x14ac:dyDescent="0.25">
      <c r="A777" s="1" t="s">
        <v>612</v>
      </c>
      <c r="B777" s="178">
        <v>45964</v>
      </c>
      <c r="C777" s="1" t="s">
        <v>2101</v>
      </c>
      <c r="D777" s="1" t="s">
        <v>2512</v>
      </c>
      <c r="E777" s="1" t="s">
        <v>1397</v>
      </c>
      <c r="F777" s="1" t="s">
        <v>2041</v>
      </c>
      <c r="G777" s="1" t="s">
        <v>26</v>
      </c>
      <c r="H777" s="13">
        <v>552155.25</v>
      </c>
      <c r="I777" s="13">
        <v>0</v>
      </c>
      <c r="J777" s="1" t="s">
        <v>1126</v>
      </c>
      <c r="K777" s="1" t="s">
        <v>2025</v>
      </c>
      <c r="L777" s="1" t="str">
        <f>VLOOKUP(Advices[[#This Row],[LC Number]],'Combine_List'!A:D,2,0)</f>
        <v xml:space="preserve">EALLA FOR GENERAL CONTRACTING CO </v>
      </c>
      <c r="M777" s="447" t="str">
        <f>VLOOKUP(Advices[[#This Row],[LC Number]],'Combine_List'!A:D,3,0)</f>
        <v>FIRST FIX</v>
      </c>
      <c r="N777" s="447" t="str">
        <f>VLOOKUP(Advices[[#This Row],[LC Number]],'Combine_List'!A:D,4,0)</f>
        <v>RCRC</v>
      </c>
      <c r="O777" s="447">
        <f>VLOOKUP(Advices[[#This Row],[LC Number]],'Combine_List'!A:E,5,0)</f>
        <v>1020106</v>
      </c>
      <c r="P777" s="447">
        <f>MONTH(Advices[[#This Row],[Transaction Date]])</f>
        <v>11</v>
      </c>
      <c r="Q777" s="447">
        <f>YEAR(Advices[[#This Row],[Transaction Date]])</f>
        <v>2025</v>
      </c>
      <c r="R777" s="1"/>
    </row>
    <row r="778" spans="1:18" hidden="1" x14ac:dyDescent="0.25">
      <c r="A778" s="1" t="s">
        <v>612</v>
      </c>
      <c r="B778" s="178">
        <v>45965</v>
      </c>
      <c r="C778" s="1" t="s">
        <v>2101</v>
      </c>
      <c r="D778" s="1" t="s">
        <v>2523</v>
      </c>
      <c r="E778" s="1" t="s">
        <v>2550</v>
      </c>
      <c r="F778" s="1" t="s">
        <v>2041</v>
      </c>
      <c r="G778" s="1" t="s">
        <v>26</v>
      </c>
      <c r="H778" s="13">
        <v>42500</v>
      </c>
      <c r="I778" s="13">
        <v>0</v>
      </c>
      <c r="J778" s="1" t="s">
        <v>2793</v>
      </c>
      <c r="K778" s="1" t="s">
        <v>2025</v>
      </c>
      <c r="L778" s="1" t="str">
        <f>VLOOKUP(Advices[[#This Row],[LC Number]],'Combine_List'!A:D,2,0)</f>
        <v>Bid - Automotive Sector Development Investment Company (ASDIC)</v>
      </c>
      <c r="M778" s="447">
        <f>VLOOKUP(Advices[[#This Row],[LC Number]],'Combine_List'!A:D,3,0)</f>
        <v>0</v>
      </c>
      <c r="N778" s="447">
        <f>VLOOKUP(Advices[[#This Row],[LC Number]],'Combine_List'!A:D,4,0)</f>
        <v>0</v>
      </c>
      <c r="O778" s="447">
        <f>VLOOKUP(Advices[[#This Row],[LC Number]],'Combine_List'!A:E,5,0)</f>
        <v>0</v>
      </c>
      <c r="P778" s="447">
        <f>MONTH(Advices[[#This Row],[Transaction Date]])</f>
        <v>11</v>
      </c>
      <c r="Q778" s="447">
        <f>YEAR(Advices[[#This Row],[Transaction Date]])</f>
        <v>2025</v>
      </c>
      <c r="R778" s="1"/>
    </row>
    <row r="779" spans="1:18" hidden="1" x14ac:dyDescent="0.25">
      <c r="A779" s="1" t="s">
        <v>612</v>
      </c>
      <c r="B779" s="178">
        <v>45965</v>
      </c>
      <c r="C779" s="1" t="s">
        <v>2101</v>
      </c>
      <c r="D779" s="1" t="s">
        <v>2524</v>
      </c>
      <c r="E779" s="1" t="s">
        <v>2550</v>
      </c>
      <c r="F779" s="1" t="s">
        <v>2041</v>
      </c>
      <c r="G779" s="1" t="s">
        <v>26</v>
      </c>
      <c r="H779" s="13">
        <v>6375</v>
      </c>
      <c r="I779" s="13">
        <v>0</v>
      </c>
      <c r="J779" s="1" t="s">
        <v>1174</v>
      </c>
      <c r="K779" s="1" t="s">
        <v>2025</v>
      </c>
      <c r="L779" s="1" t="str">
        <f>VLOOKUP(Advices[[#This Row],[LC Number]],'Combine_List'!A:D,2,0)</f>
        <v>Bid - Automotive Sector Development Investment Company (ASDIC)</v>
      </c>
      <c r="M779" s="447">
        <f>VLOOKUP(Advices[[#This Row],[LC Number]],'Combine_List'!A:D,3,0)</f>
        <v>0</v>
      </c>
      <c r="N779" s="447">
        <f>VLOOKUP(Advices[[#This Row],[LC Number]],'Combine_List'!A:D,4,0)</f>
        <v>0</v>
      </c>
      <c r="O779" s="447">
        <f>VLOOKUP(Advices[[#This Row],[LC Number]],'Combine_List'!A:E,5,0)</f>
        <v>0</v>
      </c>
      <c r="P779" s="447">
        <f>MONTH(Advices[[#This Row],[Transaction Date]])</f>
        <v>11</v>
      </c>
      <c r="Q779" s="447">
        <f>YEAR(Advices[[#This Row],[Transaction Date]])</f>
        <v>2025</v>
      </c>
      <c r="R779" s="1"/>
    </row>
    <row r="780" spans="1:18" hidden="1" x14ac:dyDescent="0.25">
      <c r="A780" s="1" t="s">
        <v>612</v>
      </c>
      <c r="B780" s="178">
        <v>45965</v>
      </c>
      <c r="C780" s="1" t="s">
        <v>2101</v>
      </c>
      <c r="D780" s="1" t="s">
        <v>2525</v>
      </c>
      <c r="E780" s="1" t="s">
        <v>2550</v>
      </c>
      <c r="F780" s="1" t="s">
        <v>2041</v>
      </c>
      <c r="G780" s="1" t="s">
        <v>26</v>
      </c>
      <c r="H780" s="13">
        <v>86164.38</v>
      </c>
      <c r="I780" s="13">
        <v>0</v>
      </c>
      <c r="J780" s="1" t="s">
        <v>2793</v>
      </c>
      <c r="K780" s="1" t="s">
        <v>2025</v>
      </c>
      <c r="L780" s="1" t="str">
        <f>VLOOKUP(Advices[[#This Row],[LC Number]],'Combine_List'!A:D,2,0)</f>
        <v>Bid - Automotive Sector Development Investment Company (ASDIC)</v>
      </c>
      <c r="M780" s="447">
        <f>VLOOKUP(Advices[[#This Row],[LC Number]],'Combine_List'!A:D,3,0)</f>
        <v>0</v>
      </c>
      <c r="N780" s="447">
        <f>VLOOKUP(Advices[[#This Row],[LC Number]],'Combine_List'!A:D,4,0)</f>
        <v>0</v>
      </c>
      <c r="O780" s="447">
        <f>VLOOKUP(Advices[[#This Row],[LC Number]],'Combine_List'!A:E,5,0)</f>
        <v>0</v>
      </c>
      <c r="P780" s="447">
        <f>MONTH(Advices[[#This Row],[Transaction Date]])</f>
        <v>11</v>
      </c>
      <c r="Q780" s="447">
        <f>YEAR(Advices[[#This Row],[Transaction Date]])</f>
        <v>2025</v>
      </c>
      <c r="R780" s="1"/>
    </row>
    <row r="781" spans="1:18" hidden="1" x14ac:dyDescent="0.25">
      <c r="A781" s="1" t="s">
        <v>612</v>
      </c>
      <c r="B781" s="178">
        <v>45965</v>
      </c>
      <c r="C781" s="1" t="s">
        <v>2101</v>
      </c>
      <c r="D781" s="1" t="s">
        <v>2526</v>
      </c>
      <c r="E781" s="1" t="s">
        <v>2550</v>
      </c>
      <c r="F781" s="1" t="s">
        <v>2041</v>
      </c>
      <c r="G781" s="1" t="s">
        <v>26</v>
      </c>
      <c r="H781" s="13">
        <v>12924.66</v>
      </c>
      <c r="I781" s="13">
        <v>0</v>
      </c>
      <c r="J781" s="1" t="s">
        <v>1174</v>
      </c>
      <c r="K781" s="1" t="s">
        <v>2025</v>
      </c>
      <c r="L781" s="1" t="str">
        <f>VLOOKUP(Advices[[#This Row],[LC Number]],'Combine_List'!A:D,2,0)</f>
        <v>Bid - Automotive Sector Development Investment Company (ASDIC)</v>
      </c>
      <c r="M781" s="447">
        <f>VLOOKUP(Advices[[#This Row],[LC Number]],'Combine_List'!A:D,3,0)</f>
        <v>0</v>
      </c>
      <c r="N781" s="447">
        <f>VLOOKUP(Advices[[#This Row],[LC Number]],'Combine_List'!A:D,4,0)</f>
        <v>0</v>
      </c>
      <c r="O781" s="447">
        <f>VLOOKUP(Advices[[#This Row],[LC Number]],'Combine_List'!A:E,5,0)</f>
        <v>0</v>
      </c>
      <c r="P781" s="447">
        <f>MONTH(Advices[[#This Row],[Transaction Date]])</f>
        <v>11</v>
      </c>
      <c r="Q781" s="447">
        <f>YEAR(Advices[[#This Row],[Transaction Date]])</f>
        <v>2025</v>
      </c>
      <c r="R781" s="1"/>
    </row>
    <row r="782" spans="1:18" hidden="1" x14ac:dyDescent="0.25">
      <c r="A782" s="1" t="s">
        <v>612</v>
      </c>
      <c r="B782" s="178">
        <v>45966</v>
      </c>
      <c r="C782" s="1" t="s">
        <v>2101</v>
      </c>
      <c r="D782" s="1" t="s">
        <v>2560</v>
      </c>
      <c r="E782" s="1" t="s">
        <v>1810</v>
      </c>
      <c r="F782" s="1" t="s">
        <v>1810</v>
      </c>
      <c r="G782" s="1" t="s">
        <v>26</v>
      </c>
      <c r="H782" s="13">
        <v>403652.3</v>
      </c>
      <c r="I782" s="13">
        <v>0</v>
      </c>
      <c r="J782" s="1" t="s">
        <v>1126</v>
      </c>
      <c r="K782" s="1" t="s">
        <v>2025</v>
      </c>
      <c r="L782" s="1" t="str">
        <f>VLOOKUP(Advices[[#This Row],[LC Number]],'Combine_List'!A:D,2,0)</f>
        <v>AL FALWA CO. LTD. FOR READYMIX CONCRETE</v>
      </c>
      <c r="M782" s="447" t="str">
        <f>VLOOKUP(Advices[[#This Row],[LC Number]],'Combine_List'!A:D,3,0)</f>
        <v>MBL</v>
      </c>
      <c r="N782" s="447" t="str">
        <f>VLOOKUP(Advices[[#This Row],[LC Number]],'Combine_List'!A:D,4,0)</f>
        <v>RCRC</v>
      </c>
      <c r="O782" s="447">
        <f>VLOOKUP(Advices[[#This Row],[LC Number]],'Combine_List'!A:E,5,0)</f>
        <v>1020106</v>
      </c>
      <c r="P782" s="447">
        <f>MONTH(Advices[[#This Row],[Transaction Date]])</f>
        <v>11</v>
      </c>
      <c r="Q782" s="447">
        <f>YEAR(Advices[[#This Row],[Transaction Date]])</f>
        <v>2025</v>
      </c>
      <c r="R782" s="1"/>
    </row>
    <row r="783" spans="1:18" hidden="1" x14ac:dyDescent="0.25">
      <c r="A783" s="1" t="s">
        <v>612</v>
      </c>
      <c r="B783" s="178">
        <v>45971</v>
      </c>
      <c r="C783" s="1" t="s">
        <v>2101</v>
      </c>
      <c r="D783" s="1" t="s">
        <v>2754</v>
      </c>
      <c r="E783" s="1" t="s">
        <v>1564</v>
      </c>
      <c r="F783" s="1" t="s">
        <v>2041</v>
      </c>
      <c r="G783" s="1" t="s">
        <v>26</v>
      </c>
      <c r="H783" s="13">
        <v>300000</v>
      </c>
      <c r="I783" s="13">
        <v>0</v>
      </c>
      <c r="J783" s="1" t="s">
        <v>1126</v>
      </c>
      <c r="K783" s="1" t="s">
        <v>2025</v>
      </c>
      <c r="L783" s="1" t="str">
        <f>VLOOKUP(Advices[[#This Row],[LC Number]],'Combine_List'!A:D,2,0)</f>
        <v>Future Plastic Factory for Industry</v>
      </c>
      <c r="M783" s="447" t="str">
        <f>VLOOKUP(Advices[[#This Row],[LC Number]],'Combine_List'!A:D,3,0)</f>
        <v>FIRST FIX</v>
      </c>
      <c r="N783" s="447" t="str">
        <f>VLOOKUP(Advices[[#This Row],[LC Number]],'Combine_List'!A:D,4,0)</f>
        <v>RCRC</v>
      </c>
      <c r="O783" s="447">
        <f>VLOOKUP(Advices[[#This Row],[LC Number]],'Combine_List'!A:E,5,0)</f>
        <v>1020106</v>
      </c>
      <c r="P783" s="447">
        <f>MONTH(Advices[[#This Row],[Transaction Date]])</f>
        <v>11</v>
      </c>
      <c r="Q783" s="447">
        <f>YEAR(Advices[[#This Row],[Transaction Date]])</f>
        <v>2025</v>
      </c>
      <c r="R783" s="1"/>
    </row>
    <row r="784" spans="1:18" hidden="1" x14ac:dyDescent="0.25">
      <c r="A784" s="1" t="s">
        <v>612</v>
      </c>
      <c r="B784" s="178">
        <v>45971</v>
      </c>
      <c r="C784" s="1" t="s">
        <v>2101</v>
      </c>
      <c r="D784" s="1" t="s">
        <v>2755</v>
      </c>
      <c r="E784" s="1" t="s">
        <v>721</v>
      </c>
      <c r="F784" s="1" t="s">
        <v>2041</v>
      </c>
      <c r="G784" s="1" t="s">
        <v>26</v>
      </c>
      <c r="H784" s="13">
        <v>100</v>
      </c>
      <c r="I784" s="13">
        <v>0</v>
      </c>
      <c r="J784" s="1" t="s">
        <v>1125</v>
      </c>
      <c r="K784" s="1" t="s">
        <v>2025</v>
      </c>
      <c r="L784" s="1" t="str">
        <f>VLOOKUP(Advices[[#This Row],[LC Number]],'Combine_List'!A:D,2,0)</f>
        <v>ALFANAR ELECTRICAL SYSTEMS</v>
      </c>
      <c r="M784" s="447" t="str">
        <f>VLOOKUP(Advices[[#This Row],[LC Number]],'Combine_List'!A:D,3,0)</f>
        <v>FIRST FIX</v>
      </c>
      <c r="N784" s="447" t="str">
        <f>VLOOKUP(Advices[[#This Row],[LC Number]],'Combine_List'!A:D,4,0)</f>
        <v>RCRC</v>
      </c>
      <c r="O784" s="447">
        <f>VLOOKUP(Advices[[#This Row],[LC Number]],'Combine_List'!A:E,5,0)</f>
        <v>1020106</v>
      </c>
      <c r="P784" s="447">
        <f>MONTH(Advices[[#This Row],[Transaction Date]])</f>
        <v>11</v>
      </c>
      <c r="Q784" s="447">
        <f>YEAR(Advices[[#This Row],[Transaction Date]])</f>
        <v>2025</v>
      </c>
      <c r="R784" s="1"/>
    </row>
    <row r="785" spans="1:18" hidden="1" x14ac:dyDescent="0.25">
      <c r="A785" s="1" t="s">
        <v>612</v>
      </c>
      <c r="B785" s="178">
        <v>45971</v>
      </c>
      <c r="C785" s="1" t="s">
        <v>2101</v>
      </c>
      <c r="D785" s="1" t="s">
        <v>2756</v>
      </c>
      <c r="E785" s="1" t="s">
        <v>721</v>
      </c>
      <c r="F785" s="1" t="s">
        <v>2041</v>
      </c>
      <c r="G785" s="1" t="s">
        <v>26</v>
      </c>
      <c r="H785" s="13">
        <v>15</v>
      </c>
      <c r="I785" s="13">
        <v>0</v>
      </c>
      <c r="J785" s="1" t="s">
        <v>1174</v>
      </c>
      <c r="K785" s="1" t="s">
        <v>2025</v>
      </c>
      <c r="L785" s="1" t="str">
        <f>VLOOKUP(Advices[[#This Row],[LC Number]],'Combine_List'!A:D,2,0)</f>
        <v>ALFANAR ELECTRICAL SYSTEMS</v>
      </c>
      <c r="M785" s="447" t="str">
        <f>VLOOKUP(Advices[[#This Row],[LC Number]],'Combine_List'!A:D,3,0)</f>
        <v>FIRST FIX</v>
      </c>
      <c r="N785" s="447" t="str">
        <f>VLOOKUP(Advices[[#This Row],[LC Number]],'Combine_List'!A:D,4,0)</f>
        <v>RCRC</v>
      </c>
      <c r="O785" s="447">
        <f>VLOOKUP(Advices[[#This Row],[LC Number]],'Combine_List'!A:E,5,0)</f>
        <v>1020106</v>
      </c>
      <c r="P785" s="447">
        <f>MONTH(Advices[[#This Row],[Transaction Date]])</f>
        <v>11</v>
      </c>
      <c r="Q785" s="447">
        <f>YEAR(Advices[[#This Row],[Transaction Date]])</f>
        <v>2025</v>
      </c>
      <c r="R785" s="1"/>
    </row>
    <row r="786" spans="1:18" hidden="1" x14ac:dyDescent="0.25">
      <c r="A786" s="1" t="s">
        <v>612</v>
      </c>
      <c r="B786" s="178">
        <v>45971</v>
      </c>
      <c r="C786" s="1" t="s">
        <v>2101</v>
      </c>
      <c r="D786" s="1" t="s">
        <v>2757</v>
      </c>
      <c r="E786" s="1" t="s">
        <v>721</v>
      </c>
      <c r="F786" s="1" t="s">
        <v>2041</v>
      </c>
      <c r="G786" s="1" t="s">
        <v>26</v>
      </c>
      <c r="H786" s="13">
        <v>621</v>
      </c>
      <c r="I786" s="13">
        <v>0</v>
      </c>
      <c r="J786" s="1" t="s">
        <v>1125</v>
      </c>
      <c r="K786" s="1" t="s">
        <v>2025</v>
      </c>
      <c r="L786" s="1" t="str">
        <f>VLOOKUP(Advices[[#This Row],[LC Number]],'Combine_List'!A:D,2,0)</f>
        <v>ALFANAR ELECTRICAL SYSTEMS</v>
      </c>
      <c r="M786" s="447" t="str">
        <f>VLOOKUP(Advices[[#This Row],[LC Number]],'Combine_List'!A:D,3,0)</f>
        <v>FIRST FIX</v>
      </c>
      <c r="N786" s="447" t="str">
        <f>VLOOKUP(Advices[[#This Row],[LC Number]],'Combine_List'!A:D,4,0)</f>
        <v>RCRC</v>
      </c>
      <c r="O786" s="447">
        <f>VLOOKUP(Advices[[#This Row],[LC Number]],'Combine_List'!A:E,5,0)</f>
        <v>1020106</v>
      </c>
      <c r="P786" s="447">
        <f>MONTH(Advices[[#This Row],[Transaction Date]])</f>
        <v>11</v>
      </c>
      <c r="Q786" s="447">
        <f>YEAR(Advices[[#This Row],[Transaction Date]])</f>
        <v>2025</v>
      </c>
      <c r="R786" s="1"/>
    </row>
    <row r="787" spans="1:18" hidden="1" x14ac:dyDescent="0.25">
      <c r="A787" s="1" t="s">
        <v>612</v>
      </c>
      <c r="B787" s="178">
        <v>45971</v>
      </c>
      <c r="C787" s="1" t="s">
        <v>2101</v>
      </c>
      <c r="D787" s="1" t="s">
        <v>2758</v>
      </c>
      <c r="E787" s="1" t="s">
        <v>721</v>
      </c>
      <c r="F787" s="1" t="s">
        <v>2041</v>
      </c>
      <c r="G787" s="1" t="s">
        <v>26</v>
      </c>
      <c r="H787" s="13">
        <v>93.15</v>
      </c>
      <c r="I787" s="13">
        <v>0</v>
      </c>
      <c r="J787" s="1" t="s">
        <v>1174</v>
      </c>
      <c r="K787" s="1" t="s">
        <v>2025</v>
      </c>
      <c r="L787" s="1" t="str">
        <f>VLOOKUP(Advices[[#This Row],[LC Number]],'Combine_List'!A:D,2,0)</f>
        <v>ALFANAR ELECTRICAL SYSTEMS</v>
      </c>
      <c r="M787" s="447" t="str">
        <f>VLOOKUP(Advices[[#This Row],[LC Number]],'Combine_List'!A:D,3,0)</f>
        <v>FIRST FIX</v>
      </c>
      <c r="N787" s="447" t="str">
        <f>VLOOKUP(Advices[[#This Row],[LC Number]],'Combine_List'!A:D,4,0)</f>
        <v>RCRC</v>
      </c>
      <c r="O787" s="447">
        <f>VLOOKUP(Advices[[#This Row],[LC Number]],'Combine_List'!A:E,5,0)</f>
        <v>1020106</v>
      </c>
      <c r="P787" s="447">
        <f>MONTH(Advices[[#This Row],[Transaction Date]])</f>
        <v>11</v>
      </c>
      <c r="Q787" s="447">
        <f>YEAR(Advices[[#This Row],[Transaction Date]])</f>
        <v>2025</v>
      </c>
      <c r="R787" s="1"/>
    </row>
    <row r="788" spans="1:18" hidden="1" x14ac:dyDescent="0.25">
      <c r="A788" s="1" t="s">
        <v>612</v>
      </c>
      <c r="B788" s="178">
        <v>45971</v>
      </c>
      <c r="C788" s="1" t="s">
        <v>2101</v>
      </c>
      <c r="D788" s="1" t="s">
        <v>2759</v>
      </c>
      <c r="E788" s="1" t="s">
        <v>721</v>
      </c>
      <c r="F788" s="1" t="s">
        <v>2041</v>
      </c>
      <c r="G788" s="1" t="s">
        <v>26</v>
      </c>
      <c r="H788" s="13">
        <v>200</v>
      </c>
      <c r="I788" s="13">
        <v>0</v>
      </c>
      <c r="J788" s="1" t="s">
        <v>1125</v>
      </c>
      <c r="K788" s="1" t="s">
        <v>2025</v>
      </c>
      <c r="L788" s="1" t="str">
        <f>VLOOKUP(Advices[[#This Row],[LC Number]],'Combine_List'!A:D,2,0)</f>
        <v>ALFANAR ELECTRICAL SYSTEMS</v>
      </c>
      <c r="M788" s="447" t="str">
        <f>VLOOKUP(Advices[[#This Row],[LC Number]],'Combine_List'!A:D,3,0)</f>
        <v>FIRST FIX</v>
      </c>
      <c r="N788" s="447" t="str">
        <f>VLOOKUP(Advices[[#This Row],[LC Number]],'Combine_List'!A:D,4,0)</f>
        <v>RCRC</v>
      </c>
      <c r="O788" s="447">
        <f>VLOOKUP(Advices[[#This Row],[LC Number]],'Combine_List'!A:E,5,0)</f>
        <v>1020106</v>
      </c>
      <c r="P788" s="447">
        <f>MONTH(Advices[[#This Row],[Transaction Date]])</f>
        <v>11</v>
      </c>
      <c r="Q788" s="447">
        <f>YEAR(Advices[[#This Row],[Transaction Date]])</f>
        <v>2025</v>
      </c>
      <c r="R788" s="1"/>
    </row>
    <row r="789" spans="1:18" hidden="1" x14ac:dyDescent="0.25">
      <c r="A789" s="1" t="s">
        <v>612</v>
      </c>
      <c r="B789" s="178">
        <v>45971</v>
      </c>
      <c r="C789" s="1" t="s">
        <v>2101</v>
      </c>
      <c r="D789" s="1" t="s">
        <v>2760</v>
      </c>
      <c r="E789" s="1" t="s">
        <v>721</v>
      </c>
      <c r="F789" s="1" t="s">
        <v>2041</v>
      </c>
      <c r="G789" s="1" t="s">
        <v>26</v>
      </c>
      <c r="H789" s="13">
        <v>30</v>
      </c>
      <c r="I789" s="13">
        <v>0</v>
      </c>
      <c r="J789" s="1" t="s">
        <v>1174</v>
      </c>
      <c r="K789" s="1" t="s">
        <v>2025</v>
      </c>
      <c r="L789" s="1" t="str">
        <f>VLOOKUP(Advices[[#This Row],[LC Number]],'Combine_List'!A:D,2,0)</f>
        <v>ALFANAR ELECTRICAL SYSTEMS</v>
      </c>
      <c r="M789" s="447" t="str">
        <f>VLOOKUP(Advices[[#This Row],[LC Number]],'Combine_List'!A:D,3,0)</f>
        <v>FIRST FIX</v>
      </c>
      <c r="N789" s="447" t="str">
        <f>VLOOKUP(Advices[[#This Row],[LC Number]],'Combine_List'!A:D,4,0)</f>
        <v>RCRC</v>
      </c>
      <c r="O789" s="447">
        <f>VLOOKUP(Advices[[#This Row],[LC Number]],'Combine_List'!A:E,5,0)</f>
        <v>1020106</v>
      </c>
      <c r="P789" s="447">
        <f>MONTH(Advices[[#This Row],[Transaction Date]])</f>
        <v>11</v>
      </c>
      <c r="Q789" s="447">
        <f>YEAR(Advices[[#This Row],[Transaction Date]])</f>
        <v>2025</v>
      </c>
      <c r="R789" s="1"/>
    </row>
    <row r="790" spans="1:18" hidden="1" x14ac:dyDescent="0.25">
      <c r="A790" s="1" t="s">
        <v>612</v>
      </c>
      <c r="B790" s="178">
        <v>45977</v>
      </c>
      <c r="C790" s="1" t="s">
        <v>2101</v>
      </c>
      <c r="D790" s="1" t="s">
        <v>2761</v>
      </c>
      <c r="E790" s="1" t="s">
        <v>2550</v>
      </c>
      <c r="F790" s="1" t="s">
        <v>2041</v>
      </c>
      <c r="G790" s="1" t="s">
        <v>26</v>
      </c>
      <c r="H790" s="13">
        <v>4583.3100000000004</v>
      </c>
      <c r="I790" s="13">
        <v>0</v>
      </c>
      <c r="J790" s="1" t="s">
        <v>2793</v>
      </c>
      <c r="K790" s="1" t="s">
        <v>2025</v>
      </c>
      <c r="L790" s="1" t="str">
        <f>VLOOKUP(Advices[[#This Row],[LC Number]],'Combine_List'!A:D,2,0)</f>
        <v>Bid - Automotive Sector Development Investment Company (ASDIC)</v>
      </c>
      <c r="M790" s="447">
        <f>VLOOKUP(Advices[[#This Row],[LC Number]],'Combine_List'!A:D,3,0)</f>
        <v>0</v>
      </c>
      <c r="N790" s="447">
        <f>VLOOKUP(Advices[[#This Row],[LC Number]],'Combine_List'!A:D,4,0)</f>
        <v>0</v>
      </c>
      <c r="O790" s="447">
        <f>VLOOKUP(Advices[[#This Row],[LC Number]],'Combine_List'!A:E,5,0)</f>
        <v>0</v>
      </c>
      <c r="P790" s="447">
        <f>MONTH(Advices[[#This Row],[Transaction Date]])</f>
        <v>11</v>
      </c>
      <c r="Q790" s="447">
        <f>YEAR(Advices[[#This Row],[Transaction Date]])</f>
        <v>2025</v>
      </c>
      <c r="R790" s="1"/>
    </row>
    <row r="791" spans="1:18" hidden="1" x14ac:dyDescent="0.25">
      <c r="A791" s="1" t="s">
        <v>612</v>
      </c>
      <c r="B791" s="178">
        <v>45977</v>
      </c>
      <c r="C791" s="1" t="s">
        <v>2101</v>
      </c>
      <c r="D791" s="1" t="s">
        <v>2762</v>
      </c>
      <c r="E791" s="1" t="s">
        <v>2550</v>
      </c>
      <c r="F791" s="1" t="s">
        <v>2041</v>
      </c>
      <c r="G791" s="1" t="s">
        <v>26</v>
      </c>
      <c r="H791" s="13">
        <v>687.5</v>
      </c>
      <c r="I791" s="13">
        <v>0</v>
      </c>
      <c r="J791" s="1" t="s">
        <v>1174</v>
      </c>
      <c r="K791" s="1" t="s">
        <v>2025</v>
      </c>
      <c r="L791" s="1" t="str">
        <f>VLOOKUP(Advices[[#This Row],[LC Number]],'Combine_List'!A:D,2,0)</f>
        <v>Bid - Automotive Sector Development Investment Company (ASDIC)</v>
      </c>
      <c r="M791" s="447">
        <f>VLOOKUP(Advices[[#This Row],[LC Number]],'Combine_List'!A:D,3,0)</f>
        <v>0</v>
      </c>
      <c r="N791" s="447">
        <f>VLOOKUP(Advices[[#This Row],[LC Number]],'Combine_List'!A:D,4,0)</f>
        <v>0</v>
      </c>
      <c r="O791" s="447">
        <f>VLOOKUP(Advices[[#This Row],[LC Number]],'Combine_List'!A:E,5,0)</f>
        <v>0</v>
      </c>
      <c r="P791" s="447">
        <f>MONTH(Advices[[#This Row],[Transaction Date]])</f>
        <v>11</v>
      </c>
      <c r="Q791" s="447">
        <f>YEAR(Advices[[#This Row],[Transaction Date]])</f>
        <v>2025</v>
      </c>
      <c r="R791" s="1"/>
    </row>
    <row r="792" spans="1:18" hidden="1" x14ac:dyDescent="0.25">
      <c r="A792" s="1" t="s">
        <v>612</v>
      </c>
      <c r="B792" s="178">
        <v>45977</v>
      </c>
      <c r="C792" s="1" t="s">
        <v>2101</v>
      </c>
      <c r="D792" s="1" t="s">
        <v>2763</v>
      </c>
      <c r="E792" s="1" t="s">
        <v>2550</v>
      </c>
      <c r="F792" s="1" t="s">
        <v>2041</v>
      </c>
      <c r="G792" s="1" t="s">
        <v>26</v>
      </c>
      <c r="H792" s="13">
        <v>10712.33</v>
      </c>
      <c r="I792" s="13">
        <v>0</v>
      </c>
      <c r="J792" s="1" t="s">
        <v>2793</v>
      </c>
      <c r="K792" s="1" t="s">
        <v>2025</v>
      </c>
      <c r="L792" s="1" t="str">
        <f>VLOOKUP(Advices[[#This Row],[LC Number]],'Combine_List'!A:D,2,0)</f>
        <v>Bid - Automotive Sector Development Investment Company (ASDIC)</v>
      </c>
      <c r="M792" s="447">
        <f>VLOOKUP(Advices[[#This Row],[LC Number]],'Combine_List'!A:D,3,0)</f>
        <v>0</v>
      </c>
      <c r="N792" s="447">
        <f>VLOOKUP(Advices[[#This Row],[LC Number]],'Combine_List'!A:D,4,0)</f>
        <v>0</v>
      </c>
      <c r="O792" s="447">
        <f>VLOOKUP(Advices[[#This Row],[LC Number]],'Combine_List'!A:E,5,0)</f>
        <v>0</v>
      </c>
      <c r="P792" s="447">
        <f>MONTH(Advices[[#This Row],[Transaction Date]])</f>
        <v>11</v>
      </c>
      <c r="Q792" s="447">
        <f>YEAR(Advices[[#This Row],[Transaction Date]])</f>
        <v>2025</v>
      </c>
      <c r="R792" s="1"/>
    </row>
    <row r="793" spans="1:18" hidden="1" x14ac:dyDescent="0.25">
      <c r="A793" s="1" t="s">
        <v>612</v>
      </c>
      <c r="B793" s="178">
        <v>45977</v>
      </c>
      <c r="C793" s="1" t="s">
        <v>2101</v>
      </c>
      <c r="D793" s="1" t="s">
        <v>2764</v>
      </c>
      <c r="E793" s="1" t="s">
        <v>2550</v>
      </c>
      <c r="F793" s="1" t="s">
        <v>2041</v>
      </c>
      <c r="G793" s="1" t="s">
        <v>26</v>
      </c>
      <c r="H793" s="13">
        <v>1606.85</v>
      </c>
      <c r="I793" s="13">
        <v>0</v>
      </c>
      <c r="J793" s="1" t="s">
        <v>1174</v>
      </c>
      <c r="K793" s="1" t="s">
        <v>2025</v>
      </c>
      <c r="L793" s="1" t="str">
        <f>VLOOKUP(Advices[[#This Row],[LC Number]],'Combine_List'!A:D,2,0)</f>
        <v>Bid - Automotive Sector Development Investment Company (ASDIC)</v>
      </c>
      <c r="M793" s="447">
        <f>VLOOKUP(Advices[[#This Row],[LC Number]],'Combine_List'!A:D,3,0)</f>
        <v>0</v>
      </c>
      <c r="N793" s="447">
        <f>VLOOKUP(Advices[[#This Row],[LC Number]],'Combine_List'!A:D,4,0)</f>
        <v>0</v>
      </c>
      <c r="O793" s="447">
        <f>VLOOKUP(Advices[[#This Row],[LC Number]],'Combine_List'!A:E,5,0)</f>
        <v>0</v>
      </c>
      <c r="P793" s="447">
        <f>MONTH(Advices[[#This Row],[Transaction Date]])</f>
        <v>11</v>
      </c>
      <c r="Q793" s="447">
        <f>YEAR(Advices[[#This Row],[Transaction Date]])</f>
        <v>2025</v>
      </c>
      <c r="R793" s="1"/>
    </row>
    <row r="794" spans="1:18" hidden="1" x14ac:dyDescent="0.25">
      <c r="A794" s="1" t="s">
        <v>612</v>
      </c>
      <c r="B794" s="178">
        <v>45978</v>
      </c>
      <c r="C794" s="1" t="s">
        <v>2101</v>
      </c>
      <c r="D794" s="1" t="s">
        <v>2765</v>
      </c>
      <c r="E794" s="1" t="s">
        <v>2287</v>
      </c>
      <c r="F794" s="1" t="s">
        <v>2041</v>
      </c>
      <c r="G794" s="1" t="s">
        <v>26</v>
      </c>
      <c r="H794" s="13">
        <v>400</v>
      </c>
      <c r="I794" s="13">
        <v>0</v>
      </c>
      <c r="J794" s="1" t="s">
        <v>1124</v>
      </c>
      <c r="K794" s="1" t="s">
        <v>2025</v>
      </c>
      <c r="L794" s="1" t="str">
        <f>VLOOKUP(Advices[[#This Row],[LC Number]],'Combine_List'!A:D,2,0)</f>
        <v>Alrashid Trading and Contracting Company</v>
      </c>
      <c r="M794" s="447" t="str">
        <f>VLOOKUP(Advices[[#This Row],[LC Number]],'Combine_List'!A:D,3,0)</f>
        <v>MBL</v>
      </c>
      <c r="N794" s="447" t="str">
        <f>VLOOKUP(Advices[[#This Row],[LC Number]],'Combine_List'!A:D,4,0)</f>
        <v>RCRC</v>
      </c>
      <c r="O794" s="447">
        <f>VLOOKUP(Advices[[#This Row],[LC Number]],'Combine_List'!A:E,5,0)</f>
        <v>1020106</v>
      </c>
      <c r="P794" s="447">
        <f>MONTH(Advices[[#This Row],[Transaction Date]])</f>
        <v>11</v>
      </c>
      <c r="Q794" s="447">
        <f>YEAR(Advices[[#This Row],[Transaction Date]])</f>
        <v>2025</v>
      </c>
      <c r="R794" s="1"/>
    </row>
    <row r="795" spans="1:18" hidden="1" x14ac:dyDescent="0.25">
      <c r="A795" s="1" t="s">
        <v>612</v>
      </c>
      <c r="B795" s="178">
        <v>45978</v>
      </c>
      <c r="C795" s="1" t="s">
        <v>2101</v>
      </c>
      <c r="D795" s="1" t="s">
        <v>2766</v>
      </c>
      <c r="E795" s="1" t="s">
        <v>2287</v>
      </c>
      <c r="F795" s="1" t="s">
        <v>2041</v>
      </c>
      <c r="G795" s="1" t="s">
        <v>26</v>
      </c>
      <c r="H795" s="13">
        <v>60</v>
      </c>
      <c r="I795" s="13">
        <v>0</v>
      </c>
      <c r="J795" s="1" t="s">
        <v>1174</v>
      </c>
      <c r="K795" s="1" t="s">
        <v>2025</v>
      </c>
      <c r="L795" s="1" t="str">
        <f>VLOOKUP(Advices[[#This Row],[LC Number]],'Combine_List'!A:D,2,0)</f>
        <v>Alrashid Trading and Contracting Company</v>
      </c>
      <c r="M795" s="447" t="str">
        <f>VLOOKUP(Advices[[#This Row],[LC Number]],'Combine_List'!A:D,3,0)</f>
        <v>MBL</v>
      </c>
      <c r="N795" s="447" t="str">
        <f>VLOOKUP(Advices[[#This Row],[LC Number]],'Combine_List'!A:D,4,0)</f>
        <v>RCRC</v>
      </c>
      <c r="O795" s="447">
        <f>VLOOKUP(Advices[[#This Row],[LC Number]],'Combine_List'!A:E,5,0)</f>
        <v>1020106</v>
      </c>
      <c r="P795" s="447">
        <f>MONTH(Advices[[#This Row],[Transaction Date]])</f>
        <v>11</v>
      </c>
      <c r="Q795" s="447">
        <f>YEAR(Advices[[#This Row],[Transaction Date]])</f>
        <v>2025</v>
      </c>
      <c r="R795" s="1"/>
    </row>
    <row r="796" spans="1:18" hidden="1" x14ac:dyDescent="0.25">
      <c r="A796" s="1" t="s">
        <v>612</v>
      </c>
      <c r="B796" s="178">
        <v>45978</v>
      </c>
      <c r="C796" s="1" t="s">
        <v>2101</v>
      </c>
      <c r="D796" s="1" t="s">
        <v>2767</v>
      </c>
      <c r="E796" s="1" t="s">
        <v>2287</v>
      </c>
      <c r="F796" s="1" t="s">
        <v>2041</v>
      </c>
      <c r="G796" s="1" t="s">
        <v>26</v>
      </c>
      <c r="H796" s="13">
        <v>52286.75</v>
      </c>
      <c r="I796" s="13">
        <v>0</v>
      </c>
      <c r="J796" s="1" t="s">
        <v>1124</v>
      </c>
      <c r="K796" s="1" t="s">
        <v>2025</v>
      </c>
      <c r="L796" s="1" t="str">
        <f>VLOOKUP(Advices[[#This Row],[LC Number]],'Combine_List'!A:D,2,0)</f>
        <v>Alrashid Trading and Contracting Company</v>
      </c>
      <c r="M796" s="447" t="str">
        <f>VLOOKUP(Advices[[#This Row],[LC Number]],'Combine_List'!A:D,3,0)</f>
        <v>MBL</v>
      </c>
      <c r="N796" s="447" t="str">
        <f>VLOOKUP(Advices[[#This Row],[LC Number]],'Combine_List'!A:D,4,0)</f>
        <v>RCRC</v>
      </c>
      <c r="O796" s="447">
        <f>VLOOKUP(Advices[[#This Row],[LC Number]],'Combine_List'!A:E,5,0)</f>
        <v>1020106</v>
      </c>
      <c r="P796" s="447">
        <f>MONTH(Advices[[#This Row],[Transaction Date]])</f>
        <v>11</v>
      </c>
      <c r="Q796" s="447">
        <f>YEAR(Advices[[#This Row],[Transaction Date]])</f>
        <v>2025</v>
      </c>
      <c r="R796" s="1"/>
    </row>
    <row r="797" spans="1:18" hidden="1" x14ac:dyDescent="0.25">
      <c r="A797" s="1" t="s">
        <v>612</v>
      </c>
      <c r="B797" s="178">
        <v>45978</v>
      </c>
      <c r="C797" s="1" t="s">
        <v>2101</v>
      </c>
      <c r="D797" s="1" t="s">
        <v>2768</v>
      </c>
      <c r="E797" s="1" t="s">
        <v>2287</v>
      </c>
      <c r="F797" s="1" t="s">
        <v>2041</v>
      </c>
      <c r="G797" s="1" t="s">
        <v>26</v>
      </c>
      <c r="H797" s="13">
        <v>7843.01</v>
      </c>
      <c r="I797" s="13">
        <v>0</v>
      </c>
      <c r="J797" s="1" t="s">
        <v>1174</v>
      </c>
      <c r="K797" s="1" t="s">
        <v>2025</v>
      </c>
      <c r="L797" s="1" t="str">
        <f>VLOOKUP(Advices[[#This Row],[LC Number]],'Combine_List'!A:D,2,0)</f>
        <v>Alrashid Trading and Contracting Company</v>
      </c>
      <c r="M797" s="447" t="str">
        <f>VLOOKUP(Advices[[#This Row],[LC Number]],'Combine_List'!A:D,3,0)</f>
        <v>MBL</v>
      </c>
      <c r="N797" s="447" t="str">
        <f>VLOOKUP(Advices[[#This Row],[LC Number]],'Combine_List'!A:D,4,0)</f>
        <v>RCRC</v>
      </c>
      <c r="O797" s="447">
        <f>VLOOKUP(Advices[[#This Row],[LC Number]],'Combine_List'!A:E,5,0)</f>
        <v>1020106</v>
      </c>
      <c r="P797" s="447">
        <f>MONTH(Advices[[#This Row],[Transaction Date]])</f>
        <v>11</v>
      </c>
      <c r="Q797" s="447">
        <f>YEAR(Advices[[#This Row],[Transaction Date]])</f>
        <v>2025</v>
      </c>
      <c r="R797" s="1"/>
    </row>
    <row r="798" spans="1:18" hidden="1" x14ac:dyDescent="0.25">
      <c r="A798" s="1" t="s">
        <v>612</v>
      </c>
      <c r="B798" s="178">
        <v>45978</v>
      </c>
      <c r="C798" s="1" t="s">
        <v>2101</v>
      </c>
      <c r="D798" s="1" t="s">
        <v>2769</v>
      </c>
      <c r="E798" s="1" t="s">
        <v>1231</v>
      </c>
      <c r="F798" s="1" t="s">
        <v>2041</v>
      </c>
      <c r="G798" s="1" t="s">
        <v>26</v>
      </c>
      <c r="H798" s="13">
        <v>329151.09999999998</v>
      </c>
      <c r="I798" s="13">
        <v>0</v>
      </c>
      <c r="J798" s="1" t="s">
        <v>1126</v>
      </c>
      <c r="K798" s="1" t="s">
        <v>2025</v>
      </c>
      <c r="L798" s="1" t="str">
        <f>VLOOKUP(Advices[[#This Row],[LC Number]],'Combine_List'!A:D,2,0)</f>
        <v>Branch of National Fire Fighting (NAFFCO)</v>
      </c>
      <c r="M798" s="447" t="str">
        <f>VLOOKUP(Advices[[#This Row],[LC Number]],'Combine_List'!A:D,3,0)</f>
        <v>FIRST FIX</v>
      </c>
      <c r="N798" s="447" t="str">
        <f>VLOOKUP(Advices[[#This Row],[LC Number]],'Combine_List'!A:D,4,0)</f>
        <v>RCRC</v>
      </c>
      <c r="O798" s="447">
        <f>VLOOKUP(Advices[[#This Row],[LC Number]],'Combine_List'!A:E,5,0)</f>
        <v>1020106</v>
      </c>
      <c r="P798" s="447">
        <f>MONTH(Advices[[#This Row],[Transaction Date]])</f>
        <v>11</v>
      </c>
      <c r="Q798" s="447">
        <f>YEAR(Advices[[#This Row],[Transaction Date]])</f>
        <v>2025</v>
      </c>
      <c r="R798" s="1"/>
    </row>
    <row r="799" spans="1:18" hidden="1" x14ac:dyDescent="0.25">
      <c r="A799" s="1" t="s">
        <v>612</v>
      </c>
      <c r="B799" s="178">
        <v>45979</v>
      </c>
      <c r="C799" s="1" t="s">
        <v>2101</v>
      </c>
      <c r="D799" s="1" t="s">
        <v>2770</v>
      </c>
      <c r="E799" s="1" t="s">
        <v>719</v>
      </c>
      <c r="F799" s="1" t="s">
        <v>2041</v>
      </c>
      <c r="G799" s="1" t="s">
        <v>26</v>
      </c>
      <c r="H799" s="13">
        <v>85527.8</v>
      </c>
      <c r="I799" s="13">
        <v>0</v>
      </c>
      <c r="J799" s="1" t="s">
        <v>1126</v>
      </c>
      <c r="K799" s="1" t="s">
        <v>2025</v>
      </c>
      <c r="L799" s="1" t="str">
        <f>VLOOKUP(Advices[[#This Row],[LC Number]],'Combine_List'!A:D,2,0)</f>
        <v>Al Wasail Industrial Company</v>
      </c>
      <c r="M799" s="447" t="str">
        <f>VLOOKUP(Advices[[#This Row],[LC Number]],'Combine_List'!A:D,3,0)</f>
        <v>FIRST FIX</v>
      </c>
      <c r="N799" s="447" t="str">
        <f>VLOOKUP(Advices[[#This Row],[LC Number]],'Combine_List'!A:D,4,0)</f>
        <v>RCRC</v>
      </c>
      <c r="O799" s="447">
        <f>VLOOKUP(Advices[[#This Row],[LC Number]],'Combine_List'!A:E,5,0)</f>
        <v>1020106</v>
      </c>
      <c r="P799" s="447">
        <f>MONTH(Advices[[#This Row],[Transaction Date]])</f>
        <v>11</v>
      </c>
      <c r="Q799" s="447">
        <f>YEAR(Advices[[#This Row],[Transaction Date]])</f>
        <v>2025</v>
      </c>
      <c r="R799" s="1"/>
    </row>
    <row r="800" spans="1:18" hidden="1" x14ac:dyDescent="0.25">
      <c r="A800" s="1" t="s">
        <v>612</v>
      </c>
      <c r="B800" s="178">
        <v>45979</v>
      </c>
      <c r="C800" s="1" t="s">
        <v>2101</v>
      </c>
      <c r="D800" s="1" t="s">
        <v>2771</v>
      </c>
      <c r="E800" s="1" t="s">
        <v>1559</v>
      </c>
      <c r="F800" s="1" t="s">
        <v>2041</v>
      </c>
      <c r="G800" s="1" t="s">
        <v>26</v>
      </c>
      <c r="H800" s="13">
        <v>225103.44</v>
      </c>
      <c r="I800" s="13">
        <v>0</v>
      </c>
      <c r="J800" s="1" t="s">
        <v>1126</v>
      </c>
      <c r="K800" s="1" t="s">
        <v>2025</v>
      </c>
      <c r="L800" s="1" t="str">
        <f>VLOOKUP(Advices[[#This Row],[LC Number]],'Combine_List'!A:D,2,0)</f>
        <v>Union Pipes Industry Co LLC</v>
      </c>
      <c r="M800" s="447" t="str">
        <f>VLOOKUP(Advices[[#This Row],[LC Number]],'Combine_List'!A:D,3,0)</f>
        <v>FIRST FIX</v>
      </c>
      <c r="N800" s="447" t="str">
        <f>VLOOKUP(Advices[[#This Row],[LC Number]],'Combine_List'!A:D,4,0)</f>
        <v>RCRC</v>
      </c>
      <c r="O800" s="447">
        <f>VLOOKUP(Advices[[#This Row],[LC Number]],'Combine_List'!A:E,5,0)</f>
        <v>1020106</v>
      </c>
      <c r="P800" s="447">
        <f>MONTH(Advices[[#This Row],[Transaction Date]])</f>
        <v>11</v>
      </c>
      <c r="Q800" s="447">
        <f>YEAR(Advices[[#This Row],[Transaction Date]])</f>
        <v>2025</v>
      </c>
      <c r="R800" s="1"/>
    </row>
    <row r="801" spans="1:18" hidden="1" x14ac:dyDescent="0.25">
      <c r="A801" s="1" t="s">
        <v>612</v>
      </c>
      <c r="B801" s="178">
        <v>45980</v>
      </c>
      <c r="C801" s="1" t="s">
        <v>2101</v>
      </c>
      <c r="D801" s="1" t="s">
        <v>2772</v>
      </c>
      <c r="E801" s="1" t="s">
        <v>1447</v>
      </c>
      <c r="F801" s="1" t="s">
        <v>2041</v>
      </c>
      <c r="G801" s="1" t="s">
        <v>26</v>
      </c>
      <c r="H801" s="13">
        <v>100</v>
      </c>
      <c r="I801" s="13">
        <v>0</v>
      </c>
      <c r="J801" s="1" t="s">
        <v>1125</v>
      </c>
      <c r="K801" s="1" t="s">
        <v>2025</v>
      </c>
      <c r="L801" s="1" t="str">
        <f>VLOOKUP(Advices[[#This Row],[LC Number]],'Combine_List'!A:D,2,0)</f>
        <v>Metal and Glass Trading Co</v>
      </c>
      <c r="M801" s="447" t="str">
        <f>VLOOKUP(Advices[[#This Row],[LC Number]],'Combine_List'!A:D,3,0)</f>
        <v>FIRST FIX</v>
      </c>
      <c r="N801" s="447" t="str">
        <f>VLOOKUP(Advices[[#This Row],[LC Number]],'Combine_List'!A:D,4,0)</f>
        <v>RCRC</v>
      </c>
      <c r="O801" s="447">
        <f>VLOOKUP(Advices[[#This Row],[LC Number]],'Combine_List'!A:E,5,0)</f>
        <v>1020106</v>
      </c>
      <c r="P801" s="447">
        <f>MONTH(Advices[[#This Row],[Transaction Date]])</f>
        <v>11</v>
      </c>
      <c r="Q801" s="447">
        <f>YEAR(Advices[[#This Row],[Transaction Date]])</f>
        <v>2025</v>
      </c>
      <c r="R801" s="1"/>
    </row>
    <row r="802" spans="1:18" hidden="1" x14ac:dyDescent="0.25">
      <c r="A802" s="1" t="s">
        <v>612</v>
      </c>
      <c r="B802" s="178">
        <v>45980</v>
      </c>
      <c r="C802" s="1" t="s">
        <v>2101</v>
      </c>
      <c r="D802" s="1" t="s">
        <v>2773</v>
      </c>
      <c r="E802" s="1" t="s">
        <v>1447</v>
      </c>
      <c r="F802" s="1" t="s">
        <v>2041</v>
      </c>
      <c r="G802" s="1" t="s">
        <v>26</v>
      </c>
      <c r="H802" s="13">
        <v>15</v>
      </c>
      <c r="I802" s="13">
        <v>0</v>
      </c>
      <c r="J802" s="1" t="s">
        <v>1174</v>
      </c>
      <c r="K802" s="1" t="s">
        <v>2025</v>
      </c>
      <c r="L802" s="1" t="str">
        <f>VLOOKUP(Advices[[#This Row],[LC Number]],'Combine_List'!A:D,2,0)</f>
        <v>Metal and Glass Trading Co</v>
      </c>
      <c r="M802" s="447" t="str">
        <f>VLOOKUP(Advices[[#This Row],[LC Number]],'Combine_List'!A:D,3,0)</f>
        <v>FIRST FIX</v>
      </c>
      <c r="N802" s="447" t="str">
        <f>VLOOKUP(Advices[[#This Row],[LC Number]],'Combine_List'!A:D,4,0)</f>
        <v>RCRC</v>
      </c>
      <c r="O802" s="447">
        <f>VLOOKUP(Advices[[#This Row],[LC Number]],'Combine_List'!A:E,5,0)</f>
        <v>1020106</v>
      </c>
      <c r="P802" s="447">
        <f>MONTH(Advices[[#This Row],[Transaction Date]])</f>
        <v>11</v>
      </c>
      <c r="Q802" s="447">
        <f>YEAR(Advices[[#This Row],[Transaction Date]])</f>
        <v>2025</v>
      </c>
      <c r="R802" s="1"/>
    </row>
    <row r="803" spans="1:18" hidden="1" x14ac:dyDescent="0.25">
      <c r="A803" s="1" t="s">
        <v>612</v>
      </c>
      <c r="B803" s="178">
        <v>45980</v>
      </c>
      <c r="C803" s="1" t="s">
        <v>2101</v>
      </c>
      <c r="D803" s="1" t="s">
        <v>2774</v>
      </c>
      <c r="E803" s="1" t="s">
        <v>1447</v>
      </c>
      <c r="F803" s="1" t="s">
        <v>2041</v>
      </c>
      <c r="G803" s="1" t="s">
        <v>26</v>
      </c>
      <c r="H803" s="13">
        <v>625</v>
      </c>
      <c r="I803" s="13">
        <v>0</v>
      </c>
      <c r="J803" s="1" t="s">
        <v>1125</v>
      </c>
      <c r="K803" s="1" t="s">
        <v>2025</v>
      </c>
      <c r="L803" s="1" t="str">
        <f>VLOOKUP(Advices[[#This Row],[LC Number]],'Combine_List'!A:D,2,0)</f>
        <v>Metal and Glass Trading Co</v>
      </c>
      <c r="M803" s="447" t="str">
        <f>VLOOKUP(Advices[[#This Row],[LC Number]],'Combine_List'!A:D,3,0)</f>
        <v>FIRST FIX</v>
      </c>
      <c r="N803" s="447" t="str">
        <f>VLOOKUP(Advices[[#This Row],[LC Number]],'Combine_List'!A:D,4,0)</f>
        <v>RCRC</v>
      </c>
      <c r="O803" s="447">
        <f>VLOOKUP(Advices[[#This Row],[LC Number]],'Combine_List'!A:E,5,0)</f>
        <v>1020106</v>
      </c>
      <c r="P803" s="447">
        <f>MONTH(Advices[[#This Row],[Transaction Date]])</f>
        <v>11</v>
      </c>
      <c r="Q803" s="447">
        <f>YEAR(Advices[[#This Row],[Transaction Date]])</f>
        <v>2025</v>
      </c>
      <c r="R803" s="1"/>
    </row>
    <row r="804" spans="1:18" hidden="1" x14ac:dyDescent="0.25">
      <c r="A804" s="1" t="s">
        <v>612</v>
      </c>
      <c r="B804" s="178">
        <v>45980</v>
      </c>
      <c r="C804" s="1" t="s">
        <v>2101</v>
      </c>
      <c r="D804" s="1" t="s">
        <v>2775</v>
      </c>
      <c r="E804" s="1" t="s">
        <v>1447</v>
      </c>
      <c r="F804" s="1" t="s">
        <v>2041</v>
      </c>
      <c r="G804" s="1" t="s">
        <v>26</v>
      </c>
      <c r="H804" s="13">
        <v>93.75</v>
      </c>
      <c r="I804" s="13">
        <v>0</v>
      </c>
      <c r="J804" s="1" t="s">
        <v>1174</v>
      </c>
      <c r="K804" s="1" t="s">
        <v>2025</v>
      </c>
      <c r="L804" s="1" t="str">
        <f>VLOOKUP(Advices[[#This Row],[LC Number]],'Combine_List'!A:D,2,0)</f>
        <v>Metal and Glass Trading Co</v>
      </c>
      <c r="M804" s="447" t="str">
        <f>VLOOKUP(Advices[[#This Row],[LC Number]],'Combine_List'!A:D,3,0)</f>
        <v>FIRST FIX</v>
      </c>
      <c r="N804" s="447" t="str">
        <f>VLOOKUP(Advices[[#This Row],[LC Number]],'Combine_List'!A:D,4,0)</f>
        <v>RCRC</v>
      </c>
      <c r="O804" s="447">
        <f>VLOOKUP(Advices[[#This Row],[LC Number]],'Combine_List'!A:E,5,0)</f>
        <v>1020106</v>
      </c>
      <c r="P804" s="447">
        <f>MONTH(Advices[[#This Row],[Transaction Date]])</f>
        <v>11</v>
      </c>
      <c r="Q804" s="447">
        <f>YEAR(Advices[[#This Row],[Transaction Date]])</f>
        <v>2025</v>
      </c>
      <c r="R804" s="1"/>
    </row>
    <row r="805" spans="1:18" hidden="1" x14ac:dyDescent="0.25">
      <c r="A805" s="1" t="s">
        <v>612</v>
      </c>
      <c r="B805" s="178">
        <v>45980</v>
      </c>
      <c r="C805" s="1" t="s">
        <v>2101</v>
      </c>
      <c r="D805" s="1" t="s">
        <v>2776</v>
      </c>
      <c r="E805" s="1" t="s">
        <v>1447</v>
      </c>
      <c r="F805" s="1" t="s">
        <v>2041</v>
      </c>
      <c r="G805" s="1" t="s">
        <v>26</v>
      </c>
      <c r="H805" s="13">
        <v>200</v>
      </c>
      <c r="I805" s="13">
        <v>0</v>
      </c>
      <c r="J805" s="1" t="s">
        <v>1125</v>
      </c>
      <c r="K805" s="1" t="s">
        <v>2025</v>
      </c>
      <c r="L805" s="1" t="str">
        <f>VLOOKUP(Advices[[#This Row],[LC Number]],'Combine_List'!A:D,2,0)</f>
        <v>Metal and Glass Trading Co</v>
      </c>
      <c r="M805" s="447" t="str">
        <f>VLOOKUP(Advices[[#This Row],[LC Number]],'Combine_List'!A:D,3,0)</f>
        <v>FIRST FIX</v>
      </c>
      <c r="N805" s="447" t="str">
        <f>VLOOKUP(Advices[[#This Row],[LC Number]],'Combine_List'!A:D,4,0)</f>
        <v>RCRC</v>
      </c>
      <c r="O805" s="447">
        <f>VLOOKUP(Advices[[#This Row],[LC Number]],'Combine_List'!A:E,5,0)</f>
        <v>1020106</v>
      </c>
      <c r="P805" s="447">
        <f>MONTH(Advices[[#This Row],[Transaction Date]])</f>
        <v>11</v>
      </c>
      <c r="Q805" s="447">
        <f>YEAR(Advices[[#This Row],[Transaction Date]])</f>
        <v>2025</v>
      </c>
      <c r="R805" s="1"/>
    </row>
    <row r="806" spans="1:18" hidden="1" x14ac:dyDescent="0.25">
      <c r="A806" s="1" t="s">
        <v>612</v>
      </c>
      <c r="B806" s="178">
        <v>45980</v>
      </c>
      <c r="C806" s="1" t="s">
        <v>2101</v>
      </c>
      <c r="D806" s="1" t="s">
        <v>2777</v>
      </c>
      <c r="E806" s="1" t="s">
        <v>1447</v>
      </c>
      <c r="F806" s="1" t="s">
        <v>2041</v>
      </c>
      <c r="G806" s="1" t="s">
        <v>26</v>
      </c>
      <c r="H806" s="13">
        <v>30</v>
      </c>
      <c r="I806" s="13">
        <v>0</v>
      </c>
      <c r="J806" s="1" t="s">
        <v>1174</v>
      </c>
      <c r="K806" s="1" t="s">
        <v>2025</v>
      </c>
      <c r="L806" s="1" t="str">
        <f>VLOOKUP(Advices[[#This Row],[LC Number]],'Combine_List'!A:D,2,0)</f>
        <v>Metal and Glass Trading Co</v>
      </c>
      <c r="M806" s="447" t="str">
        <f>VLOOKUP(Advices[[#This Row],[LC Number]],'Combine_List'!A:D,3,0)</f>
        <v>FIRST FIX</v>
      </c>
      <c r="N806" s="447" t="str">
        <f>VLOOKUP(Advices[[#This Row],[LC Number]],'Combine_List'!A:D,4,0)</f>
        <v>RCRC</v>
      </c>
      <c r="O806" s="447">
        <f>VLOOKUP(Advices[[#This Row],[LC Number]],'Combine_List'!A:E,5,0)</f>
        <v>1020106</v>
      </c>
      <c r="P806" s="447">
        <f>MONTH(Advices[[#This Row],[Transaction Date]])</f>
        <v>11</v>
      </c>
      <c r="Q806" s="447">
        <f>YEAR(Advices[[#This Row],[Transaction Date]])</f>
        <v>2025</v>
      </c>
      <c r="R806" s="1"/>
    </row>
    <row r="807" spans="1:18" hidden="1" x14ac:dyDescent="0.25">
      <c r="A807" s="1" t="s">
        <v>612</v>
      </c>
      <c r="B807" s="178">
        <v>45981</v>
      </c>
      <c r="C807" s="1" t="s">
        <v>2101</v>
      </c>
      <c r="D807" s="1" t="s">
        <v>2778</v>
      </c>
      <c r="E807" s="1" t="s">
        <v>2794</v>
      </c>
      <c r="F807" s="1" t="s">
        <v>2041</v>
      </c>
      <c r="G807" s="1" t="s">
        <v>26</v>
      </c>
      <c r="H807" s="13">
        <v>11199</v>
      </c>
      <c r="I807" s="13">
        <v>0</v>
      </c>
      <c r="J807" s="1" t="s">
        <v>2793</v>
      </c>
      <c r="K807" s="1" t="s">
        <v>2025</v>
      </c>
      <c r="L807" s="1" t="str">
        <f>VLOOKUP(Advices[[#This Row],[LC Number]],'Combine_List'!A:D,2,0)</f>
        <v>Bid - King Salman International Airport Development Company (KSIADC)</v>
      </c>
      <c r="M807" s="447">
        <f>VLOOKUP(Advices[[#This Row],[LC Number]],'Combine_List'!A:D,3,0)</f>
        <v>0</v>
      </c>
      <c r="N807" s="447">
        <f>VLOOKUP(Advices[[#This Row],[LC Number]],'Combine_List'!A:D,4,0)</f>
        <v>0</v>
      </c>
      <c r="O807" s="447" t="str">
        <f>VLOOKUP(Advices[[#This Row],[LC Number]],'Combine_List'!A:E,5,0)</f>
        <v>0</v>
      </c>
      <c r="P807" s="447">
        <f>MONTH(Advices[[#This Row],[Transaction Date]])</f>
        <v>11</v>
      </c>
      <c r="Q807" s="447">
        <f>YEAR(Advices[[#This Row],[Transaction Date]])</f>
        <v>2025</v>
      </c>
      <c r="R807" s="1"/>
    </row>
    <row r="808" spans="1:18" hidden="1" x14ac:dyDescent="0.25">
      <c r="A808" s="1" t="s">
        <v>612</v>
      </c>
      <c r="B808" s="178">
        <v>45981</v>
      </c>
      <c r="C808" s="1" t="s">
        <v>2101</v>
      </c>
      <c r="D808" s="1" t="s">
        <v>2779</v>
      </c>
      <c r="E808" s="1" t="s">
        <v>2794</v>
      </c>
      <c r="F808" s="1" t="s">
        <v>2041</v>
      </c>
      <c r="G808" s="1" t="s">
        <v>26</v>
      </c>
      <c r="H808" s="13">
        <v>1679.85</v>
      </c>
      <c r="I808" s="13">
        <v>0</v>
      </c>
      <c r="J808" s="1" t="s">
        <v>1174</v>
      </c>
      <c r="K808" s="1" t="s">
        <v>2025</v>
      </c>
      <c r="L808" s="1" t="str">
        <f>VLOOKUP(Advices[[#This Row],[LC Number]],'Combine_List'!A:D,2,0)</f>
        <v>Bid - King Salman International Airport Development Company (KSIADC)</v>
      </c>
      <c r="M808" s="447">
        <f>VLOOKUP(Advices[[#This Row],[LC Number]],'Combine_List'!A:D,3,0)</f>
        <v>0</v>
      </c>
      <c r="N808" s="447">
        <f>VLOOKUP(Advices[[#This Row],[LC Number]],'Combine_List'!A:D,4,0)</f>
        <v>0</v>
      </c>
      <c r="O808" s="447" t="str">
        <f>VLOOKUP(Advices[[#This Row],[LC Number]],'Combine_List'!A:E,5,0)</f>
        <v>0</v>
      </c>
      <c r="P808" s="447">
        <f>MONTH(Advices[[#This Row],[Transaction Date]])</f>
        <v>11</v>
      </c>
      <c r="Q808" s="447">
        <f>YEAR(Advices[[#This Row],[Transaction Date]])</f>
        <v>2025</v>
      </c>
      <c r="R808" s="1"/>
    </row>
    <row r="809" spans="1:18" hidden="1" x14ac:dyDescent="0.25">
      <c r="A809" s="1" t="s">
        <v>612</v>
      </c>
      <c r="B809" s="178">
        <v>45981</v>
      </c>
      <c r="C809" s="1" t="s">
        <v>2101</v>
      </c>
      <c r="D809" s="1" t="s">
        <v>2780</v>
      </c>
      <c r="E809" s="1" t="s">
        <v>2794</v>
      </c>
      <c r="F809" s="1" t="s">
        <v>2041</v>
      </c>
      <c r="G809" s="1" t="s">
        <v>26</v>
      </c>
      <c r="H809" s="13">
        <v>20636.990000000002</v>
      </c>
      <c r="I809" s="13">
        <v>0</v>
      </c>
      <c r="J809" s="1" t="s">
        <v>2793</v>
      </c>
      <c r="K809" s="1" t="s">
        <v>2025</v>
      </c>
      <c r="L809" s="1" t="str">
        <f>VLOOKUP(Advices[[#This Row],[LC Number]],'Combine_List'!A:D,2,0)</f>
        <v>Bid - King Salman International Airport Development Company (KSIADC)</v>
      </c>
      <c r="M809" s="447">
        <f>VLOOKUP(Advices[[#This Row],[LC Number]],'Combine_List'!A:D,3,0)</f>
        <v>0</v>
      </c>
      <c r="N809" s="447">
        <f>VLOOKUP(Advices[[#This Row],[LC Number]],'Combine_List'!A:D,4,0)</f>
        <v>0</v>
      </c>
      <c r="O809" s="447" t="str">
        <f>VLOOKUP(Advices[[#This Row],[LC Number]],'Combine_List'!A:E,5,0)</f>
        <v>0</v>
      </c>
      <c r="P809" s="447">
        <f>MONTH(Advices[[#This Row],[Transaction Date]])</f>
        <v>11</v>
      </c>
      <c r="Q809" s="447">
        <f>YEAR(Advices[[#This Row],[Transaction Date]])</f>
        <v>2025</v>
      </c>
      <c r="R809" s="1"/>
    </row>
    <row r="810" spans="1:18" hidden="1" x14ac:dyDescent="0.25">
      <c r="A810" s="1" t="s">
        <v>612</v>
      </c>
      <c r="B810" s="178">
        <v>45981</v>
      </c>
      <c r="C810" s="1" t="s">
        <v>2101</v>
      </c>
      <c r="D810" s="1" t="s">
        <v>2781</v>
      </c>
      <c r="E810" s="1" t="s">
        <v>2794</v>
      </c>
      <c r="F810" s="1" t="s">
        <v>2041</v>
      </c>
      <c r="G810" s="1" t="s">
        <v>26</v>
      </c>
      <c r="H810" s="13">
        <v>3095.55</v>
      </c>
      <c r="I810" s="13">
        <v>0</v>
      </c>
      <c r="J810" s="1" t="s">
        <v>1174</v>
      </c>
      <c r="K810" s="1" t="s">
        <v>2025</v>
      </c>
      <c r="L810" s="1" t="str">
        <f>VLOOKUP(Advices[[#This Row],[LC Number]],'Combine_List'!A:D,2,0)</f>
        <v>Bid - King Salman International Airport Development Company (KSIADC)</v>
      </c>
      <c r="M810" s="447">
        <f>VLOOKUP(Advices[[#This Row],[LC Number]],'Combine_List'!A:D,3,0)</f>
        <v>0</v>
      </c>
      <c r="N810" s="447">
        <f>VLOOKUP(Advices[[#This Row],[LC Number]],'Combine_List'!A:D,4,0)</f>
        <v>0</v>
      </c>
      <c r="O810" s="447" t="str">
        <f>VLOOKUP(Advices[[#This Row],[LC Number]],'Combine_List'!A:E,5,0)</f>
        <v>0</v>
      </c>
      <c r="P810" s="447">
        <f>MONTH(Advices[[#This Row],[Transaction Date]])</f>
        <v>11</v>
      </c>
      <c r="Q810" s="447">
        <f>YEAR(Advices[[#This Row],[Transaction Date]])</f>
        <v>2025</v>
      </c>
      <c r="R810" s="1"/>
    </row>
    <row r="811" spans="1:18" hidden="1" x14ac:dyDescent="0.25">
      <c r="A811" s="1" t="s">
        <v>612</v>
      </c>
      <c r="B811" s="178">
        <v>45981</v>
      </c>
      <c r="C811" s="1" t="s">
        <v>2101</v>
      </c>
      <c r="D811" s="1" t="s">
        <v>2782</v>
      </c>
      <c r="E811" s="1" t="s">
        <v>1610</v>
      </c>
      <c r="F811" s="1" t="s">
        <v>2041</v>
      </c>
      <c r="G811" s="1" t="s">
        <v>26</v>
      </c>
      <c r="H811" s="13">
        <v>30365.84</v>
      </c>
      <c r="I811" s="13">
        <v>0</v>
      </c>
      <c r="J811" s="1" t="s">
        <v>1124</v>
      </c>
      <c r="K811" s="1" t="s">
        <v>2025</v>
      </c>
      <c r="L811" s="1" t="str">
        <f>VLOOKUP(Advices[[#This Row],[LC Number]],'Combine_List'!A:D,2,0)</f>
        <v>Metten Al-Arabia Ltd Co (METARA)</v>
      </c>
      <c r="M811" s="447" t="str">
        <f>VLOOKUP(Advices[[#This Row],[LC Number]],'Combine_List'!A:D,3,0)</f>
        <v>MBL</v>
      </c>
      <c r="N811" s="447" t="str">
        <f>VLOOKUP(Advices[[#This Row],[LC Number]],'Combine_List'!A:D,4,0)</f>
        <v>RCRC</v>
      </c>
      <c r="O811" s="447">
        <f>VLOOKUP(Advices[[#This Row],[LC Number]],'Combine_List'!A:E,5,0)</f>
        <v>1020106</v>
      </c>
      <c r="P811" s="447">
        <f>MONTH(Advices[[#This Row],[Transaction Date]])</f>
        <v>11</v>
      </c>
      <c r="Q811" s="447">
        <f>YEAR(Advices[[#This Row],[Transaction Date]])</f>
        <v>2025</v>
      </c>
      <c r="R811" s="1"/>
    </row>
    <row r="812" spans="1:18" hidden="1" x14ac:dyDescent="0.25">
      <c r="A812" s="1" t="s">
        <v>612</v>
      </c>
      <c r="B812" s="178">
        <v>45981</v>
      </c>
      <c r="C812" s="1" t="s">
        <v>2101</v>
      </c>
      <c r="D812" s="1" t="s">
        <v>2783</v>
      </c>
      <c r="E812" s="1" t="s">
        <v>1610</v>
      </c>
      <c r="F812" s="1" t="s">
        <v>2041</v>
      </c>
      <c r="G812" s="1" t="s">
        <v>26</v>
      </c>
      <c r="H812" s="13">
        <v>4554.88</v>
      </c>
      <c r="I812" s="13">
        <v>0</v>
      </c>
      <c r="J812" s="1" t="s">
        <v>1174</v>
      </c>
      <c r="K812" s="1" t="s">
        <v>2025</v>
      </c>
      <c r="L812" s="1" t="str">
        <f>VLOOKUP(Advices[[#This Row],[LC Number]],'Combine_List'!A:D,2,0)</f>
        <v>Metten Al-Arabia Ltd Co (METARA)</v>
      </c>
      <c r="M812" s="447" t="str">
        <f>VLOOKUP(Advices[[#This Row],[LC Number]],'Combine_List'!A:D,3,0)</f>
        <v>MBL</v>
      </c>
      <c r="N812" s="447" t="str">
        <f>VLOOKUP(Advices[[#This Row],[LC Number]],'Combine_List'!A:D,4,0)</f>
        <v>RCRC</v>
      </c>
      <c r="O812" s="447">
        <f>VLOOKUP(Advices[[#This Row],[LC Number]],'Combine_List'!A:E,5,0)</f>
        <v>1020106</v>
      </c>
      <c r="P812" s="447">
        <f>MONTH(Advices[[#This Row],[Transaction Date]])</f>
        <v>11</v>
      </c>
      <c r="Q812" s="447">
        <f>YEAR(Advices[[#This Row],[Transaction Date]])</f>
        <v>2025</v>
      </c>
      <c r="R812" s="1"/>
    </row>
    <row r="813" spans="1:18" hidden="1" x14ac:dyDescent="0.25">
      <c r="A813" s="1" t="s">
        <v>612</v>
      </c>
      <c r="B813" s="178">
        <v>45981</v>
      </c>
      <c r="C813" s="1" t="s">
        <v>2101</v>
      </c>
      <c r="D813" s="1" t="s">
        <v>2784</v>
      </c>
      <c r="E813" s="1" t="s">
        <v>1610</v>
      </c>
      <c r="F813" s="1" t="s">
        <v>2041</v>
      </c>
      <c r="G813" s="1" t="s">
        <v>26</v>
      </c>
      <c r="H813" s="13">
        <v>400</v>
      </c>
      <c r="I813" s="13">
        <v>0</v>
      </c>
      <c r="J813" s="1" t="s">
        <v>1124</v>
      </c>
      <c r="K813" s="1" t="s">
        <v>2025</v>
      </c>
      <c r="L813" s="1" t="str">
        <f>VLOOKUP(Advices[[#This Row],[LC Number]],'Combine_List'!A:D,2,0)</f>
        <v>Metten Al-Arabia Ltd Co (METARA)</v>
      </c>
      <c r="M813" s="447" t="str">
        <f>VLOOKUP(Advices[[#This Row],[LC Number]],'Combine_List'!A:D,3,0)</f>
        <v>MBL</v>
      </c>
      <c r="N813" s="447" t="str">
        <f>VLOOKUP(Advices[[#This Row],[LC Number]],'Combine_List'!A:D,4,0)</f>
        <v>RCRC</v>
      </c>
      <c r="O813" s="447">
        <f>VLOOKUP(Advices[[#This Row],[LC Number]],'Combine_List'!A:E,5,0)</f>
        <v>1020106</v>
      </c>
      <c r="P813" s="447">
        <f>MONTH(Advices[[#This Row],[Transaction Date]])</f>
        <v>11</v>
      </c>
      <c r="Q813" s="447">
        <f>YEAR(Advices[[#This Row],[Transaction Date]])</f>
        <v>2025</v>
      </c>
      <c r="R813" s="1"/>
    </row>
    <row r="814" spans="1:18" hidden="1" x14ac:dyDescent="0.25">
      <c r="A814" s="264" t="s">
        <v>612</v>
      </c>
      <c r="B814" s="265">
        <v>45981</v>
      </c>
      <c r="C814" s="264" t="s">
        <v>2101</v>
      </c>
      <c r="D814" s="264" t="s">
        <v>2785</v>
      </c>
      <c r="E814" s="264" t="s">
        <v>1610</v>
      </c>
      <c r="F814" s="264" t="s">
        <v>2041</v>
      </c>
      <c r="G814" s="264" t="s">
        <v>26</v>
      </c>
      <c r="H814" s="266">
        <v>60</v>
      </c>
      <c r="I814" s="266">
        <v>0</v>
      </c>
      <c r="J814" s="264" t="s">
        <v>1174</v>
      </c>
      <c r="K814" s="264" t="s">
        <v>2025</v>
      </c>
      <c r="L814" s="1" t="str">
        <f>VLOOKUP(Advices[[#This Row],[LC Number]],'Combine_List'!A:D,2,0)</f>
        <v>Metten Al-Arabia Ltd Co (METARA)</v>
      </c>
      <c r="M814" s="447" t="str">
        <f>VLOOKUP(Advices[[#This Row],[LC Number]],'Combine_List'!A:D,3,0)</f>
        <v>MBL</v>
      </c>
      <c r="N814" s="447" t="str">
        <f>VLOOKUP(Advices[[#This Row],[LC Number]],'Combine_List'!A:D,4,0)</f>
        <v>RCRC</v>
      </c>
      <c r="O814" s="447">
        <f>VLOOKUP(Advices[[#This Row],[LC Number]],'Combine_List'!A:E,5,0)</f>
        <v>1020106</v>
      </c>
      <c r="P814" s="447">
        <f>MONTH(Advices[[#This Row],[Transaction Date]])</f>
        <v>11</v>
      </c>
      <c r="Q814" s="447">
        <f>YEAR(Advices[[#This Row],[Transaction Date]])</f>
        <v>2025</v>
      </c>
      <c r="R814" s="1"/>
    </row>
    <row r="815" spans="1:18" x14ac:dyDescent="0.25">
      <c r="A815" s="264" t="s">
        <v>21</v>
      </c>
      <c r="B815" s="265">
        <v>45984</v>
      </c>
      <c r="C815" s="264" t="s">
        <v>1951</v>
      </c>
      <c r="D815" s="264" t="s">
        <v>2807</v>
      </c>
      <c r="E815" s="264" t="s">
        <v>1191</v>
      </c>
      <c r="F815" s="264" t="s">
        <v>2808</v>
      </c>
      <c r="G815" s="264" t="s">
        <v>26</v>
      </c>
      <c r="H815" s="266">
        <v>-11.25</v>
      </c>
      <c r="I815" s="13">
        <v>0</v>
      </c>
      <c r="J815" s="264" t="s">
        <v>1174</v>
      </c>
      <c r="K815" s="264" t="s">
        <v>2025</v>
      </c>
      <c r="L815" s="1" t="str">
        <f>VLOOKUP(Advices[[#This Row],[LC Number]],'Combine_List'!A:D,2,0)</f>
        <v>Awtad Jeddah for General Contracting Company</v>
      </c>
      <c r="M815" s="447" t="str">
        <f>VLOOKUP(Advices[[#This Row],[LC Number]],'Combine_List'!A:D,3,0)</f>
        <v>MBL</v>
      </c>
      <c r="N815" s="447" t="str">
        <f>VLOOKUP(Advices[[#This Row],[LC Number]],'Combine_List'!A:D,4,0)</f>
        <v>Rabigh Power Plant</v>
      </c>
      <c r="O815" s="447">
        <f>VLOOKUP(Advices[[#This Row],[LC Number]],'Combine_List'!A:E,5,0)</f>
        <v>1020107</v>
      </c>
      <c r="P815" s="447">
        <f>MONTH(Advices[[#This Row],[Transaction Date]])</f>
        <v>11</v>
      </c>
      <c r="Q815" s="447">
        <f>YEAR(Advices[[#This Row],[Transaction Date]])</f>
        <v>2025</v>
      </c>
      <c r="R815" s="1"/>
    </row>
    <row r="816" spans="1:18" x14ac:dyDescent="0.25">
      <c r="A816" s="264" t="s">
        <v>21</v>
      </c>
      <c r="B816" s="265">
        <v>45984</v>
      </c>
      <c r="C816" s="264" t="s">
        <v>1951</v>
      </c>
      <c r="D816" s="264" t="s">
        <v>2809</v>
      </c>
      <c r="E816" s="264" t="s">
        <v>1191</v>
      </c>
      <c r="F816" s="264" t="s">
        <v>2808</v>
      </c>
      <c r="G816" s="264" t="s">
        <v>26</v>
      </c>
      <c r="H816" s="266">
        <v>-75</v>
      </c>
      <c r="I816" s="13">
        <v>0</v>
      </c>
      <c r="J816" s="264" t="s">
        <v>1963</v>
      </c>
      <c r="K816" s="264" t="s">
        <v>2025</v>
      </c>
      <c r="L816" s="1" t="str">
        <f>VLOOKUP(Advices[[#This Row],[LC Number]],'Combine_List'!A:D,2,0)</f>
        <v>Awtad Jeddah for General Contracting Company</v>
      </c>
      <c r="M816" s="447" t="str">
        <f>VLOOKUP(Advices[[#This Row],[LC Number]],'Combine_List'!A:D,3,0)</f>
        <v>MBL</v>
      </c>
      <c r="N816" s="447" t="str">
        <f>VLOOKUP(Advices[[#This Row],[LC Number]],'Combine_List'!A:D,4,0)</f>
        <v>Rabigh Power Plant</v>
      </c>
      <c r="O816" s="447">
        <f>VLOOKUP(Advices[[#This Row],[LC Number]],'Combine_List'!A:E,5,0)</f>
        <v>1020107</v>
      </c>
      <c r="P816" s="447">
        <f>MONTH(Advices[[#This Row],[Transaction Date]])</f>
        <v>11</v>
      </c>
      <c r="Q816" s="447">
        <f>YEAR(Advices[[#This Row],[Transaction Date]])</f>
        <v>2025</v>
      </c>
      <c r="R816" s="1"/>
    </row>
    <row r="817" spans="1:18" x14ac:dyDescent="0.25">
      <c r="A817" s="264" t="s">
        <v>21</v>
      </c>
      <c r="B817" s="265">
        <v>45984</v>
      </c>
      <c r="C817" s="264" t="s">
        <v>1951</v>
      </c>
      <c r="D817" s="264" t="s">
        <v>2810</v>
      </c>
      <c r="E817" s="264" t="s">
        <v>1191</v>
      </c>
      <c r="F817" s="264" t="s">
        <v>2808</v>
      </c>
      <c r="G817" s="264" t="s">
        <v>26</v>
      </c>
      <c r="H817" s="266">
        <v>-302.73</v>
      </c>
      <c r="I817" s="13">
        <v>0</v>
      </c>
      <c r="J817" s="264" t="s">
        <v>1174</v>
      </c>
      <c r="K817" s="264" t="s">
        <v>2025</v>
      </c>
      <c r="L817" s="1" t="str">
        <f>VLOOKUP(Advices[[#This Row],[LC Number]],'Combine_List'!A:D,2,0)</f>
        <v>Awtad Jeddah for General Contracting Company</v>
      </c>
      <c r="M817" s="447" t="str">
        <f>VLOOKUP(Advices[[#This Row],[LC Number]],'Combine_List'!A:D,3,0)</f>
        <v>MBL</v>
      </c>
      <c r="N817" s="447" t="str">
        <f>VLOOKUP(Advices[[#This Row],[LC Number]],'Combine_List'!A:D,4,0)</f>
        <v>Rabigh Power Plant</v>
      </c>
      <c r="O817" s="447">
        <f>VLOOKUP(Advices[[#This Row],[LC Number]],'Combine_List'!A:E,5,0)</f>
        <v>1020107</v>
      </c>
      <c r="P817" s="447">
        <f>MONTH(Advices[[#This Row],[Transaction Date]])</f>
        <v>11</v>
      </c>
      <c r="Q817" s="447">
        <f>YEAR(Advices[[#This Row],[Transaction Date]])</f>
        <v>2025</v>
      </c>
      <c r="R817" s="1"/>
    </row>
    <row r="818" spans="1:18" x14ac:dyDescent="0.25">
      <c r="A818" s="264" t="s">
        <v>21</v>
      </c>
      <c r="B818" s="265">
        <v>45984</v>
      </c>
      <c r="C818" s="264" t="s">
        <v>1951</v>
      </c>
      <c r="D818" s="264" t="s">
        <v>2811</v>
      </c>
      <c r="E818" s="264" t="s">
        <v>1191</v>
      </c>
      <c r="F818" s="264" t="s">
        <v>2808</v>
      </c>
      <c r="G818" s="264" t="s">
        <v>26</v>
      </c>
      <c r="H818" s="266">
        <v>-2018.21</v>
      </c>
      <c r="I818" s="13">
        <v>0</v>
      </c>
      <c r="J818" s="264" t="s">
        <v>1125</v>
      </c>
      <c r="K818" s="264" t="s">
        <v>2025</v>
      </c>
      <c r="L818" s="1" t="str">
        <f>VLOOKUP(Advices[[#This Row],[LC Number]],'Combine_List'!A:D,2,0)</f>
        <v>Awtad Jeddah for General Contracting Company</v>
      </c>
      <c r="M818" s="447" t="str">
        <f>VLOOKUP(Advices[[#This Row],[LC Number]],'Combine_List'!A:D,3,0)</f>
        <v>MBL</v>
      </c>
      <c r="N818" s="447" t="str">
        <f>VLOOKUP(Advices[[#This Row],[LC Number]],'Combine_List'!A:D,4,0)</f>
        <v>Rabigh Power Plant</v>
      </c>
      <c r="O818" s="447">
        <f>VLOOKUP(Advices[[#This Row],[LC Number]],'Combine_List'!A:E,5,0)</f>
        <v>1020107</v>
      </c>
      <c r="P818" s="447">
        <f>MONTH(Advices[[#This Row],[Transaction Date]])</f>
        <v>11</v>
      </c>
      <c r="Q818" s="447">
        <f>YEAR(Advices[[#This Row],[Transaction Date]])</f>
        <v>2025</v>
      </c>
      <c r="R818" s="1"/>
    </row>
    <row r="819" spans="1:18" x14ac:dyDescent="0.25">
      <c r="A819" s="264" t="s">
        <v>21</v>
      </c>
      <c r="B819" s="265">
        <v>45984</v>
      </c>
      <c r="C819" s="264" t="s">
        <v>1951</v>
      </c>
      <c r="D819" s="264" t="s">
        <v>2812</v>
      </c>
      <c r="E819" s="264" t="s">
        <v>1191</v>
      </c>
      <c r="F819" s="264" t="s">
        <v>2808</v>
      </c>
      <c r="G819" s="264" t="s">
        <v>26</v>
      </c>
      <c r="H819" s="266">
        <v>-403641.7</v>
      </c>
      <c r="I819" s="13">
        <v>0</v>
      </c>
      <c r="J819" s="264" t="s">
        <v>1126</v>
      </c>
      <c r="K819" s="264" t="s">
        <v>2025</v>
      </c>
      <c r="L819" s="1" t="str">
        <f>VLOOKUP(Advices[[#This Row],[LC Number]],'Combine_List'!A:D,2,0)</f>
        <v>Awtad Jeddah for General Contracting Company</v>
      </c>
      <c r="M819" s="447" t="str">
        <f>VLOOKUP(Advices[[#This Row],[LC Number]],'Combine_List'!A:D,3,0)</f>
        <v>MBL</v>
      </c>
      <c r="N819" s="447" t="str">
        <f>VLOOKUP(Advices[[#This Row],[LC Number]],'Combine_List'!A:D,4,0)</f>
        <v>Rabigh Power Plant</v>
      </c>
      <c r="O819" s="447">
        <f>VLOOKUP(Advices[[#This Row],[LC Number]],'Combine_List'!A:E,5,0)</f>
        <v>1020107</v>
      </c>
      <c r="P819" s="447">
        <f>MONTH(Advices[[#This Row],[Transaction Date]])</f>
        <v>11</v>
      </c>
      <c r="Q819" s="447">
        <f>YEAR(Advices[[#This Row],[Transaction Date]])</f>
        <v>2025</v>
      </c>
      <c r="R819" s="1"/>
    </row>
    <row r="820" spans="1:18" x14ac:dyDescent="0.25">
      <c r="A820" s="264" t="s">
        <v>21</v>
      </c>
      <c r="B820" s="265">
        <v>45985</v>
      </c>
      <c r="C820" s="264" t="s">
        <v>1951</v>
      </c>
      <c r="D820" s="264" t="s">
        <v>1960</v>
      </c>
      <c r="E820" s="264" t="s">
        <v>1498</v>
      </c>
      <c r="F820" s="264" t="s">
        <v>2813</v>
      </c>
      <c r="G820" s="264" t="s">
        <v>26</v>
      </c>
      <c r="H820" s="266">
        <v>-11.25</v>
      </c>
      <c r="I820" s="13">
        <v>0</v>
      </c>
      <c r="J820" s="264" t="s">
        <v>1174</v>
      </c>
      <c r="K820" s="264" t="s">
        <v>2025</v>
      </c>
      <c r="L820" s="1" t="str">
        <f>VLOOKUP(Advices[[#This Row],[LC Number]],'Combine_List'!A:D,2,0)</f>
        <v>Elite Arabian Contracting Co Ltd</v>
      </c>
      <c r="M820" s="447" t="str">
        <f>VLOOKUP(Advices[[#This Row],[LC Number]],'Combine_List'!A:D,3,0)</f>
        <v>FIRST FIX</v>
      </c>
      <c r="N820" s="447" t="str">
        <f>VLOOKUP(Advices[[#This Row],[LC Number]],'Combine_List'!A:D,4,0)</f>
        <v>JCD SPMI</v>
      </c>
      <c r="O820" s="447">
        <f>VLOOKUP(Advices[[#This Row],[LC Number]],'Combine_List'!A:E,5,0)</f>
        <v>1020100</v>
      </c>
      <c r="P820" s="447">
        <f>MONTH(Advices[[#This Row],[Transaction Date]])</f>
        <v>11</v>
      </c>
      <c r="Q820" s="447">
        <f>YEAR(Advices[[#This Row],[Transaction Date]])</f>
        <v>2025</v>
      </c>
      <c r="R820" s="1"/>
    </row>
    <row r="821" spans="1:18" x14ac:dyDescent="0.25">
      <c r="A821" s="264" t="s">
        <v>21</v>
      </c>
      <c r="B821" s="265">
        <v>45985</v>
      </c>
      <c r="C821" s="264" t="s">
        <v>1951</v>
      </c>
      <c r="D821" s="264" t="s">
        <v>2814</v>
      </c>
      <c r="E821" s="264" t="s">
        <v>1498</v>
      </c>
      <c r="F821" s="264" t="s">
        <v>2813</v>
      </c>
      <c r="G821" s="264" t="s">
        <v>26</v>
      </c>
      <c r="H821" s="266">
        <v>-75</v>
      </c>
      <c r="I821" s="13">
        <v>0</v>
      </c>
      <c r="J821" s="264" t="s">
        <v>1963</v>
      </c>
      <c r="K821" s="264" t="s">
        <v>2025</v>
      </c>
      <c r="L821" s="1" t="str">
        <f>VLOOKUP(Advices[[#This Row],[LC Number]],'Combine_List'!A:D,2,0)</f>
        <v>Elite Arabian Contracting Co Ltd</v>
      </c>
      <c r="M821" s="447" t="str">
        <f>VLOOKUP(Advices[[#This Row],[LC Number]],'Combine_List'!A:D,3,0)</f>
        <v>FIRST FIX</v>
      </c>
      <c r="N821" s="447" t="str">
        <f>VLOOKUP(Advices[[#This Row],[LC Number]],'Combine_List'!A:D,4,0)</f>
        <v>JCD SPMI</v>
      </c>
      <c r="O821" s="447">
        <f>VLOOKUP(Advices[[#This Row],[LC Number]],'Combine_List'!A:E,5,0)</f>
        <v>1020100</v>
      </c>
      <c r="P821" s="447">
        <f>MONTH(Advices[[#This Row],[Transaction Date]])</f>
        <v>11</v>
      </c>
      <c r="Q821" s="447">
        <f>YEAR(Advices[[#This Row],[Transaction Date]])</f>
        <v>2025</v>
      </c>
      <c r="R821" s="1"/>
    </row>
    <row r="822" spans="1:18" x14ac:dyDescent="0.25">
      <c r="A822" s="264" t="s">
        <v>21</v>
      </c>
      <c r="B822" s="265">
        <v>45985</v>
      </c>
      <c r="C822" s="264" t="s">
        <v>1951</v>
      </c>
      <c r="D822" s="264" t="s">
        <v>2815</v>
      </c>
      <c r="E822" s="264" t="s">
        <v>1498</v>
      </c>
      <c r="F822" s="264" t="s">
        <v>2813</v>
      </c>
      <c r="G822" s="264" t="s">
        <v>26</v>
      </c>
      <c r="H822" s="266">
        <v>-94929.8</v>
      </c>
      <c r="I822" s="13">
        <v>0</v>
      </c>
      <c r="J822" s="264" t="s">
        <v>1126</v>
      </c>
      <c r="K822" s="264" t="s">
        <v>2025</v>
      </c>
      <c r="L822" s="1" t="str">
        <f>VLOOKUP(Advices[[#This Row],[LC Number]],'Combine_List'!A:D,2,0)</f>
        <v>Elite Arabian Contracting Co Ltd</v>
      </c>
      <c r="M822" s="447" t="str">
        <f>VLOOKUP(Advices[[#This Row],[LC Number]],'Combine_List'!A:D,3,0)</f>
        <v>FIRST FIX</v>
      </c>
      <c r="N822" s="447" t="str">
        <f>VLOOKUP(Advices[[#This Row],[LC Number]],'Combine_List'!A:D,4,0)</f>
        <v>JCD SPMI</v>
      </c>
      <c r="O822" s="447">
        <f>VLOOKUP(Advices[[#This Row],[LC Number]],'Combine_List'!A:E,5,0)</f>
        <v>1020100</v>
      </c>
      <c r="P822" s="447">
        <f>MONTH(Advices[[#This Row],[Transaction Date]])</f>
        <v>11</v>
      </c>
      <c r="Q822" s="447">
        <f>YEAR(Advices[[#This Row],[Transaction Date]])</f>
        <v>2025</v>
      </c>
      <c r="R822" s="1"/>
    </row>
    <row r="823" spans="1:18" x14ac:dyDescent="0.25">
      <c r="A823" s="264" t="s">
        <v>21</v>
      </c>
      <c r="B823" s="265">
        <v>45985</v>
      </c>
      <c r="C823" s="264" t="s">
        <v>1951</v>
      </c>
      <c r="D823" s="264" t="s">
        <v>1960</v>
      </c>
      <c r="E823" s="264" t="s">
        <v>1521</v>
      </c>
      <c r="F823" s="264" t="s">
        <v>2816</v>
      </c>
      <c r="G823" s="264" t="s">
        <v>26</v>
      </c>
      <c r="H823" s="266">
        <v>-11.25</v>
      </c>
      <c r="I823" s="13">
        <v>0</v>
      </c>
      <c r="J823" s="264" t="s">
        <v>1174</v>
      </c>
      <c r="K823" s="264" t="s">
        <v>2025</v>
      </c>
      <c r="L823" s="1" t="str">
        <f>VLOOKUP(Advices[[#This Row],[LC Number]],'Combine_List'!A:D,2,0)</f>
        <v>CAN AL SHARQ GENERAL CONT.EST</v>
      </c>
      <c r="M823" s="447" t="str">
        <f>VLOOKUP(Advices[[#This Row],[LC Number]],'Combine_List'!A:D,3,0)</f>
        <v>FIRST FIX</v>
      </c>
      <c r="N823" s="447" t="str">
        <f>VLOOKUP(Advices[[#This Row],[LC Number]],'Combine_List'!A:D,4,0)</f>
        <v>JCD SPMI</v>
      </c>
      <c r="O823" s="447">
        <f>VLOOKUP(Advices[[#This Row],[LC Number]],'Combine_List'!A:E,5,0)</f>
        <v>1020100</v>
      </c>
      <c r="P823" s="447">
        <f>MONTH(Advices[[#This Row],[Transaction Date]])</f>
        <v>11</v>
      </c>
      <c r="Q823" s="447">
        <f>YEAR(Advices[[#This Row],[Transaction Date]])</f>
        <v>2025</v>
      </c>
      <c r="R823" s="1"/>
    </row>
    <row r="824" spans="1:18" x14ac:dyDescent="0.25">
      <c r="A824" s="264" t="s">
        <v>21</v>
      </c>
      <c r="B824" s="265">
        <v>45985</v>
      </c>
      <c r="C824" s="264" t="s">
        <v>1951</v>
      </c>
      <c r="D824" s="264" t="s">
        <v>2817</v>
      </c>
      <c r="E824" s="264" t="s">
        <v>1521</v>
      </c>
      <c r="F824" s="264" t="s">
        <v>2816</v>
      </c>
      <c r="G824" s="264" t="s">
        <v>26</v>
      </c>
      <c r="H824" s="266">
        <v>-75</v>
      </c>
      <c r="I824" s="13">
        <v>0</v>
      </c>
      <c r="J824" s="264" t="s">
        <v>1963</v>
      </c>
      <c r="K824" s="264" t="s">
        <v>2025</v>
      </c>
      <c r="L824" s="1" t="str">
        <f>VLOOKUP(Advices[[#This Row],[LC Number]],'Combine_List'!A:D,2,0)</f>
        <v>CAN AL SHARQ GENERAL CONT.EST</v>
      </c>
      <c r="M824" s="447" t="str">
        <f>VLOOKUP(Advices[[#This Row],[LC Number]],'Combine_List'!A:D,3,0)</f>
        <v>FIRST FIX</v>
      </c>
      <c r="N824" s="447" t="str">
        <f>VLOOKUP(Advices[[#This Row],[LC Number]],'Combine_List'!A:D,4,0)</f>
        <v>JCD SPMI</v>
      </c>
      <c r="O824" s="447">
        <f>VLOOKUP(Advices[[#This Row],[LC Number]],'Combine_List'!A:E,5,0)</f>
        <v>1020100</v>
      </c>
      <c r="P824" s="447">
        <f>MONTH(Advices[[#This Row],[Transaction Date]])</f>
        <v>11</v>
      </c>
      <c r="Q824" s="447">
        <f>YEAR(Advices[[#This Row],[Transaction Date]])</f>
        <v>2025</v>
      </c>
      <c r="R824" s="1"/>
    </row>
    <row r="825" spans="1:18" x14ac:dyDescent="0.25">
      <c r="A825" s="264" t="s">
        <v>21</v>
      </c>
      <c r="B825" s="265">
        <v>45985</v>
      </c>
      <c r="C825" s="264" t="s">
        <v>1951</v>
      </c>
      <c r="D825" s="264" t="s">
        <v>2818</v>
      </c>
      <c r="E825" s="264" t="s">
        <v>1521</v>
      </c>
      <c r="F825" s="264" t="s">
        <v>2816</v>
      </c>
      <c r="G825" s="264" t="s">
        <v>26</v>
      </c>
      <c r="H825" s="266">
        <v>-214923</v>
      </c>
      <c r="I825" s="13">
        <v>0</v>
      </c>
      <c r="J825" s="264" t="s">
        <v>1126</v>
      </c>
      <c r="K825" s="264" t="s">
        <v>2025</v>
      </c>
      <c r="L825" s="1" t="str">
        <f>VLOOKUP(Advices[[#This Row],[LC Number]],'Combine_List'!A:D,2,0)</f>
        <v>CAN AL SHARQ GENERAL CONT.EST</v>
      </c>
      <c r="M825" s="447" t="str">
        <f>VLOOKUP(Advices[[#This Row],[LC Number]],'Combine_List'!A:D,3,0)</f>
        <v>FIRST FIX</v>
      </c>
      <c r="N825" s="447" t="str">
        <f>VLOOKUP(Advices[[#This Row],[LC Number]],'Combine_List'!A:D,4,0)</f>
        <v>JCD SPMI</v>
      </c>
      <c r="O825" s="447">
        <f>VLOOKUP(Advices[[#This Row],[LC Number]],'Combine_List'!A:E,5,0)</f>
        <v>1020100</v>
      </c>
      <c r="P825" s="447">
        <f>MONTH(Advices[[#This Row],[Transaction Date]])</f>
        <v>11</v>
      </c>
      <c r="Q825" s="447">
        <f>YEAR(Advices[[#This Row],[Transaction Date]])</f>
        <v>2025</v>
      </c>
      <c r="R825" s="1"/>
    </row>
    <row r="826" spans="1:18" x14ac:dyDescent="0.25">
      <c r="A826" s="264" t="s">
        <v>21</v>
      </c>
      <c r="B826" s="265">
        <v>45985</v>
      </c>
      <c r="C826" s="264" t="s">
        <v>1951</v>
      </c>
      <c r="D826" s="264" t="s">
        <v>1960</v>
      </c>
      <c r="E826" s="264" t="s">
        <v>1516</v>
      </c>
      <c r="F826" s="264" t="s">
        <v>2819</v>
      </c>
      <c r="G826" s="264" t="s">
        <v>26</v>
      </c>
      <c r="H826" s="266">
        <v>-11.25</v>
      </c>
      <c r="I826" s="13">
        <v>0</v>
      </c>
      <c r="J826" s="264" t="s">
        <v>1174</v>
      </c>
      <c r="K826" s="264" t="s">
        <v>2025</v>
      </c>
      <c r="L826" s="1" t="str">
        <f>VLOOKUP(Advices[[#This Row],[LC Number]],'Combine_List'!A:D,2,0)</f>
        <v>Al Bayrak Red Contracting Establishment</v>
      </c>
      <c r="M826" s="447" t="str">
        <f>VLOOKUP(Advices[[#This Row],[LC Number]],'Combine_List'!A:D,3,0)</f>
        <v>FIRST FIX</v>
      </c>
      <c r="N826" s="447" t="str">
        <f>VLOOKUP(Advices[[#This Row],[LC Number]],'Combine_List'!A:D,4,0)</f>
        <v>JCD SPMI</v>
      </c>
      <c r="O826" s="447">
        <f>VLOOKUP(Advices[[#This Row],[LC Number]],'Combine_List'!A:E,5,0)</f>
        <v>1020100</v>
      </c>
      <c r="P826" s="447">
        <f>MONTH(Advices[[#This Row],[Transaction Date]])</f>
        <v>11</v>
      </c>
      <c r="Q826" s="447">
        <f>YEAR(Advices[[#This Row],[Transaction Date]])</f>
        <v>2025</v>
      </c>
      <c r="R826" s="1"/>
    </row>
    <row r="827" spans="1:18" x14ac:dyDescent="0.25">
      <c r="A827" s="264" t="s">
        <v>21</v>
      </c>
      <c r="B827" s="265">
        <v>45985</v>
      </c>
      <c r="C827" s="264" t="s">
        <v>1951</v>
      </c>
      <c r="D827" s="264" t="s">
        <v>2820</v>
      </c>
      <c r="E827" s="264" t="s">
        <v>1516</v>
      </c>
      <c r="F827" s="264" t="s">
        <v>2819</v>
      </c>
      <c r="G827" s="264" t="s">
        <v>26</v>
      </c>
      <c r="H827" s="266">
        <v>-75</v>
      </c>
      <c r="I827" s="13">
        <v>0</v>
      </c>
      <c r="J827" s="264" t="s">
        <v>1963</v>
      </c>
      <c r="K827" s="264" t="s">
        <v>2025</v>
      </c>
      <c r="L827" s="1" t="str">
        <f>VLOOKUP(Advices[[#This Row],[LC Number]],'Combine_List'!A:D,2,0)</f>
        <v>Al Bayrak Red Contracting Establishment</v>
      </c>
      <c r="M827" s="447" t="str">
        <f>VLOOKUP(Advices[[#This Row],[LC Number]],'Combine_List'!A:D,3,0)</f>
        <v>FIRST FIX</v>
      </c>
      <c r="N827" s="447" t="str">
        <f>VLOOKUP(Advices[[#This Row],[LC Number]],'Combine_List'!A:D,4,0)</f>
        <v>JCD SPMI</v>
      </c>
      <c r="O827" s="447">
        <f>VLOOKUP(Advices[[#This Row],[LC Number]],'Combine_List'!A:E,5,0)</f>
        <v>1020100</v>
      </c>
      <c r="P827" s="447">
        <f>MONTH(Advices[[#This Row],[Transaction Date]])</f>
        <v>11</v>
      </c>
      <c r="Q827" s="447">
        <f>YEAR(Advices[[#This Row],[Transaction Date]])</f>
        <v>2025</v>
      </c>
      <c r="R827" s="1"/>
    </row>
    <row r="828" spans="1:18" x14ac:dyDescent="0.25">
      <c r="A828" s="264" t="s">
        <v>21</v>
      </c>
      <c r="B828" s="265">
        <v>45985</v>
      </c>
      <c r="C828" s="264" t="s">
        <v>1951</v>
      </c>
      <c r="D828" s="264" t="s">
        <v>2821</v>
      </c>
      <c r="E828" s="264" t="s">
        <v>1516</v>
      </c>
      <c r="F828" s="264" t="s">
        <v>2819</v>
      </c>
      <c r="G828" s="264" t="s">
        <v>26</v>
      </c>
      <c r="H828" s="266">
        <v>-870662</v>
      </c>
      <c r="I828" s="13">
        <v>0</v>
      </c>
      <c r="J828" s="264" t="s">
        <v>1126</v>
      </c>
      <c r="K828" s="264" t="s">
        <v>2025</v>
      </c>
      <c r="L828" s="1" t="str">
        <f>VLOOKUP(Advices[[#This Row],[LC Number]],'Combine_List'!A:D,2,0)</f>
        <v>Al Bayrak Red Contracting Establishment</v>
      </c>
      <c r="M828" s="447" t="str">
        <f>VLOOKUP(Advices[[#This Row],[LC Number]],'Combine_List'!A:D,3,0)</f>
        <v>FIRST FIX</v>
      </c>
      <c r="N828" s="447" t="str">
        <f>VLOOKUP(Advices[[#This Row],[LC Number]],'Combine_List'!A:D,4,0)</f>
        <v>JCD SPMI</v>
      </c>
      <c r="O828" s="447">
        <f>VLOOKUP(Advices[[#This Row],[LC Number]],'Combine_List'!A:E,5,0)</f>
        <v>1020100</v>
      </c>
      <c r="P828" s="447">
        <f>MONTH(Advices[[#This Row],[Transaction Date]])</f>
        <v>11</v>
      </c>
      <c r="Q828" s="447">
        <f>YEAR(Advices[[#This Row],[Transaction Date]])</f>
        <v>2025</v>
      </c>
      <c r="R828" s="1"/>
    </row>
    <row r="829" spans="1:18" x14ac:dyDescent="0.25">
      <c r="A829" s="264" t="s">
        <v>21</v>
      </c>
      <c r="B829" s="265">
        <v>45986</v>
      </c>
      <c r="C829" s="264" t="s">
        <v>1951</v>
      </c>
      <c r="D829" s="264" t="s">
        <v>1952</v>
      </c>
      <c r="E829" s="264" t="s">
        <v>1503</v>
      </c>
      <c r="F829" s="264" t="s">
        <v>2822</v>
      </c>
      <c r="G829" s="264" t="s">
        <v>26</v>
      </c>
      <c r="H829" s="266">
        <v>187.5</v>
      </c>
      <c r="I829" s="266">
        <v>0</v>
      </c>
      <c r="J829" s="264" t="s">
        <v>1174</v>
      </c>
      <c r="K829" s="264" t="s">
        <v>2025</v>
      </c>
      <c r="L829" s="1" t="str">
        <f>VLOOKUP(Advices[[#This Row],[LC Number]],'Combine_List'!A:D,2,0)</f>
        <v>SKM AIR CONDITIONING CO</v>
      </c>
      <c r="M829" s="447" t="str">
        <f>VLOOKUP(Advices[[#This Row],[LC Number]],'Combine_List'!A:D,3,0)</f>
        <v>FIRST FIX</v>
      </c>
      <c r="N829" s="447" t="str">
        <f>VLOOKUP(Advices[[#This Row],[LC Number]],'Combine_List'!A:D,4,0)</f>
        <v>JCD SPMI</v>
      </c>
      <c r="O829" s="447">
        <f>VLOOKUP(Advices[[#This Row],[LC Number]],'Combine_List'!A:E,5,0)</f>
        <v>1020100</v>
      </c>
      <c r="P829" s="447">
        <f>MONTH(Advices[[#This Row],[Transaction Date]])</f>
        <v>11</v>
      </c>
      <c r="Q829" s="447">
        <f>YEAR(Advices[[#This Row],[Transaction Date]])</f>
        <v>2025</v>
      </c>
      <c r="R829" s="1"/>
    </row>
    <row r="830" spans="1:18" x14ac:dyDescent="0.25">
      <c r="A830" s="264" t="s">
        <v>21</v>
      </c>
      <c r="B830" s="265">
        <v>45986</v>
      </c>
      <c r="C830" s="264" t="s">
        <v>1951</v>
      </c>
      <c r="D830" s="264" t="s">
        <v>2823</v>
      </c>
      <c r="E830" s="264" t="s">
        <v>1503</v>
      </c>
      <c r="F830" s="264" t="s">
        <v>2822</v>
      </c>
      <c r="G830" s="264" t="s">
        <v>26</v>
      </c>
      <c r="H830" s="266">
        <v>1250</v>
      </c>
      <c r="I830" s="266">
        <v>0</v>
      </c>
      <c r="J830" s="264" t="s">
        <v>1125</v>
      </c>
      <c r="K830" s="264" t="s">
        <v>2025</v>
      </c>
      <c r="L830" s="1" t="str">
        <f>VLOOKUP(Advices[[#This Row],[LC Number]],'Combine_List'!A:D,2,0)</f>
        <v>SKM AIR CONDITIONING CO</v>
      </c>
      <c r="M830" s="447" t="str">
        <f>VLOOKUP(Advices[[#This Row],[LC Number]],'Combine_List'!A:D,3,0)</f>
        <v>FIRST FIX</v>
      </c>
      <c r="N830" s="447" t="str">
        <f>VLOOKUP(Advices[[#This Row],[LC Number]],'Combine_List'!A:D,4,0)</f>
        <v>JCD SPMI</v>
      </c>
      <c r="O830" s="447">
        <f>VLOOKUP(Advices[[#This Row],[LC Number]],'Combine_List'!A:E,5,0)</f>
        <v>1020100</v>
      </c>
      <c r="P830" s="447">
        <f>MONTH(Advices[[#This Row],[Transaction Date]])</f>
        <v>11</v>
      </c>
      <c r="Q830" s="447">
        <f>YEAR(Advices[[#This Row],[Transaction Date]])</f>
        <v>2025</v>
      </c>
      <c r="R830" s="1"/>
    </row>
    <row r="831" spans="1:18" x14ac:dyDescent="0.25">
      <c r="A831" s="264" t="s">
        <v>21</v>
      </c>
      <c r="B831" s="265">
        <v>45986</v>
      </c>
      <c r="C831" s="264" t="s">
        <v>1951</v>
      </c>
      <c r="D831" s="264" t="s">
        <v>1952</v>
      </c>
      <c r="E831" s="264" t="s">
        <v>1885</v>
      </c>
      <c r="F831" s="264" t="s">
        <v>2824</v>
      </c>
      <c r="G831" s="264" t="s">
        <v>26</v>
      </c>
      <c r="H831" s="266">
        <v>187.5</v>
      </c>
      <c r="I831" s="266">
        <v>0</v>
      </c>
      <c r="J831" s="264" t="s">
        <v>1174</v>
      </c>
      <c r="K831" s="264" t="s">
        <v>2025</v>
      </c>
      <c r="L831" s="1" t="str">
        <f>VLOOKUP(Advices[[#This Row],[LC Number]],'Combine_List'!A:D,2,0)</f>
        <v>DANAH METAL CO.</v>
      </c>
      <c r="M831" s="447" t="str">
        <f>VLOOKUP(Advices[[#This Row],[LC Number]],'Combine_List'!A:D,3,0)</f>
        <v>FIRST FIX</v>
      </c>
      <c r="N831" s="447" t="str">
        <f>VLOOKUP(Advices[[#This Row],[LC Number]],'Combine_List'!A:D,4,0)</f>
        <v>KSP</v>
      </c>
      <c r="O831" s="447">
        <f>VLOOKUP(Advices[[#This Row],[LC Number]],'Combine_List'!A:E,5,0)</f>
        <v>1020055</v>
      </c>
      <c r="P831" s="447">
        <f>MONTH(Advices[[#This Row],[Transaction Date]])</f>
        <v>11</v>
      </c>
      <c r="Q831" s="447">
        <f>YEAR(Advices[[#This Row],[Transaction Date]])</f>
        <v>2025</v>
      </c>
      <c r="R831" s="1"/>
    </row>
    <row r="832" spans="1:18" x14ac:dyDescent="0.25">
      <c r="A832" s="264" t="s">
        <v>21</v>
      </c>
      <c r="B832" s="265">
        <v>45986</v>
      </c>
      <c r="C832" s="264" t="s">
        <v>1951</v>
      </c>
      <c r="D832" s="264" t="s">
        <v>2825</v>
      </c>
      <c r="E832" s="264" t="s">
        <v>1885</v>
      </c>
      <c r="F832" s="264" t="s">
        <v>2824</v>
      </c>
      <c r="G832" s="264" t="s">
        <v>26</v>
      </c>
      <c r="H832" s="266">
        <v>1250</v>
      </c>
      <c r="I832" s="266">
        <v>0</v>
      </c>
      <c r="J832" s="264" t="s">
        <v>1125</v>
      </c>
      <c r="K832" s="264" t="s">
        <v>2025</v>
      </c>
      <c r="L832" s="1" t="str">
        <f>VLOOKUP(Advices[[#This Row],[LC Number]],'Combine_List'!A:D,2,0)</f>
        <v>DANAH METAL CO.</v>
      </c>
      <c r="M832" s="447" t="str">
        <f>VLOOKUP(Advices[[#This Row],[LC Number]],'Combine_List'!A:D,3,0)</f>
        <v>FIRST FIX</v>
      </c>
      <c r="N832" s="447" t="str">
        <f>VLOOKUP(Advices[[#This Row],[LC Number]],'Combine_List'!A:D,4,0)</f>
        <v>KSP</v>
      </c>
      <c r="O832" s="447">
        <f>VLOOKUP(Advices[[#This Row],[LC Number]],'Combine_List'!A:E,5,0)</f>
        <v>1020055</v>
      </c>
      <c r="P832" s="447">
        <f>MONTH(Advices[[#This Row],[Transaction Date]])</f>
        <v>11</v>
      </c>
      <c r="Q832" s="447">
        <f>YEAR(Advices[[#This Row],[Transaction Date]])</f>
        <v>2025</v>
      </c>
      <c r="R832" s="1"/>
    </row>
    <row r="833" spans="1:18" x14ac:dyDescent="0.25">
      <c r="A833" s="264" t="s">
        <v>21</v>
      </c>
      <c r="B833" s="265">
        <v>45986</v>
      </c>
      <c r="C833" s="264" t="s">
        <v>1951</v>
      </c>
      <c r="D833" s="264" t="s">
        <v>1952</v>
      </c>
      <c r="E833" s="264" t="s">
        <v>1896</v>
      </c>
      <c r="F833" s="264" t="s">
        <v>2826</v>
      </c>
      <c r="G833" s="264" t="s">
        <v>26</v>
      </c>
      <c r="H833" s="266">
        <v>187.5</v>
      </c>
      <c r="I833" s="266">
        <v>0</v>
      </c>
      <c r="J833" s="264" t="s">
        <v>1174</v>
      </c>
      <c r="K833" s="264" t="s">
        <v>2025</v>
      </c>
      <c r="L833" s="1" t="str">
        <f>VLOOKUP(Advices[[#This Row],[LC Number]],'Combine_List'!A:D,2,0)</f>
        <v>Saudi Perfect Pumps Trading &amp; Manufacturing Company</v>
      </c>
      <c r="M833" s="447" t="str">
        <f>VLOOKUP(Advices[[#This Row],[LC Number]],'Combine_List'!A:D,3,0)</f>
        <v>MBL</v>
      </c>
      <c r="N833" s="447" t="str">
        <f>VLOOKUP(Advices[[#This Row],[LC Number]],'Combine_List'!A:D,4,0)</f>
        <v>Rabigh Power Plant</v>
      </c>
      <c r="O833" s="447">
        <f>VLOOKUP(Advices[[#This Row],[LC Number]],'Combine_List'!A:E,5,0)</f>
        <v>1020107</v>
      </c>
      <c r="P833" s="447">
        <f>MONTH(Advices[[#This Row],[Transaction Date]])</f>
        <v>11</v>
      </c>
      <c r="Q833" s="447">
        <f>YEAR(Advices[[#This Row],[Transaction Date]])</f>
        <v>2025</v>
      </c>
      <c r="R833" s="1"/>
    </row>
    <row r="834" spans="1:18" x14ac:dyDescent="0.25">
      <c r="A834" s="264" t="s">
        <v>21</v>
      </c>
      <c r="B834" s="265">
        <v>45986</v>
      </c>
      <c r="C834" s="264" t="s">
        <v>1951</v>
      </c>
      <c r="D834" s="264" t="s">
        <v>2827</v>
      </c>
      <c r="E834" s="264" t="s">
        <v>1896</v>
      </c>
      <c r="F834" s="264" t="s">
        <v>2826</v>
      </c>
      <c r="G834" s="264" t="s">
        <v>26</v>
      </c>
      <c r="H834" s="266">
        <v>1250</v>
      </c>
      <c r="I834" s="266">
        <v>0</v>
      </c>
      <c r="J834" s="264" t="s">
        <v>1125</v>
      </c>
      <c r="K834" s="264" t="s">
        <v>2025</v>
      </c>
      <c r="L834" s="1" t="str">
        <f>VLOOKUP(Advices[[#This Row],[LC Number]],'Combine_List'!A:D,2,0)</f>
        <v>Saudi Perfect Pumps Trading &amp; Manufacturing Company</v>
      </c>
      <c r="M834" s="447" t="str">
        <f>VLOOKUP(Advices[[#This Row],[LC Number]],'Combine_List'!A:D,3,0)</f>
        <v>MBL</v>
      </c>
      <c r="N834" s="447" t="str">
        <f>VLOOKUP(Advices[[#This Row],[LC Number]],'Combine_List'!A:D,4,0)</f>
        <v>Rabigh Power Plant</v>
      </c>
      <c r="O834" s="447">
        <f>VLOOKUP(Advices[[#This Row],[LC Number]],'Combine_List'!A:E,5,0)</f>
        <v>1020107</v>
      </c>
      <c r="P834" s="447">
        <f>MONTH(Advices[[#This Row],[Transaction Date]])</f>
        <v>11</v>
      </c>
      <c r="Q834" s="447">
        <f>YEAR(Advices[[#This Row],[Transaction Date]])</f>
        <v>2025</v>
      </c>
      <c r="R834" s="1"/>
    </row>
    <row r="835" spans="1:18" hidden="1" x14ac:dyDescent="0.25">
      <c r="A835" s="264" t="s">
        <v>62</v>
      </c>
      <c r="B835" s="265">
        <v>45984</v>
      </c>
      <c r="C835" s="264" t="s">
        <v>2042</v>
      </c>
      <c r="D835" s="264" t="s">
        <v>2828</v>
      </c>
      <c r="E835" s="1" t="s">
        <v>1934</v>
      </c>
      <c r="F835" s="264" t="s">
        <v>2041</v>
      </c>
      <c r="G835" s="264" t="s">
        <v>26</v>
      </c>
      <c r="H835" s="266">
        <v>184328.1</v>
      </c>
      <c r="I835" s="266">
        <v>0</v>
      </c>
      <c r="J835" s="264"/>
      <c r="K835" s="264" t="s">
        <v>2025</v>
      </c>
      <c r="L835" s="1" t="str">
        <f>VLOOKUP(Advices[[#This Row],[LC Number]],'Combine_List'!A:D,2,0)</f>
        <v>Mat Filtrasyon Teknolojeleri A.S</v>
      </c>
      <c r="M835" s="447" t="str">
        <f>VLOOKUP(Advices[[#This Row],[LC Number]],'Combine_List'!A:D,3,0)</f>
        <v>MBL</v>
      </c>
      <c r="N835" s="447" t="str">
        <f>VLOOKUP(Advices[[#This Row],[LC Number]],'Combine_List'!A:D,4,0)</f>
        <v>Oceanarium</v>
      </c>
      <c r="O835" s="447">
        <f>VLOOKUP(Advices[[#This Row],[LC Number]],'Combine_List'!A:E,5,0)</f>
        <v>1020096</v>
      </c>
      <c r="P835" s="447">
        <f>MONTH(Advices[[#This Row],[Transaction Date]])</f>
        <v>11</v>
      </c>
      <c r="Q835" s="447">
        <f>YEAR(Advices[[#This Row],[Transaction Date]])</f>
        <v>2025</v>
      </c>
      <c r="R835" s="1"/>
    </row>
    <row r="836" spans="1:18" hidden="1" x14ac:dyDescent="0.25">
      <c r="A836" s="264" t="s">
        <v>62</v>
      </c>
      <c r="B836" s="265">
        <v>45984</v>
      </c>
      <c r="C836" s="264" t="s">
        <v>2039</v>
      </c>
      <c r="D836" s="264" t="s">
        <v>2829</v>
      </c>
      <c r="E836" s="264" t="s">
        <v>1584</v>
      </c>
      <c r="F836" s="264" t="s">
        <v>2041</v>
      </c>
      <c r="G836" s="264" t="s">
        <v>26</v>
      </c>
      <c r="H836" s="266">
        <v>57.5</v>
      </c>
      <c r="I836" s="266">
        <v>0</v>
      </c>
      <c r="J836" s="264" t="s">
        <v>2830</v>
      </c>
      <c r="K836" s="264" t="s">
        <v>2025</v>
      </c>
      <c r="L836" s="1" t="str">
        <f>VLOOKUP(Advices[[#This Row],[LC Number]],'Combine_List'!A:D,2,0)</f>
        <v>Advance - JEDDAH CENTRAL DEVELOPMENT COMPANY</v>
      </c>
      <c r="M836" s="447">
        <f>VLOOKUP(Advices[[#This Row],[LC Number]],'Combine_List'!A:D,3,0)</f>
        <v>0</v>
      </c>
      <c r="N836" s="447" t="str">
        <f>VLOOKUP(Advices[[#This Row],[LC Number]],'Combine_List'!A:D,4,0)</f>
        <v>Oceanarium</v>
      </c>
      <c r="O836" s="447" t="str">
        <f>VLOOKUP(Advices[[#This Row],[LC Number]],'Combine_List'!A:E,5,0)</f>
        <v>1020096</v>
      </c>
      <c r="P836" s="447">
        <f>MONTH(Advices[[#This Row],[Transaction Date]])</f>
        <v>11</v>
      </c>
      <c r="Q836" s="447">
        <f>YEAR(Advices[[#This Row],[Transaction Date]])</f>
        <v>2025</v>
      </c>
      <c r="R836" s="1"/>
    </row>
    <row r="837" spans="1:18" hidden="1" x14ac:dyDescent="0.25">
      <c r="A837" s="264" t="s">
        <v>62</v>
      </c>
      <c r="B837" s="265">
        <v>45984</v>
      </c>
      <c r="C837" s="264" t="s">
        <v>2039</v>
      </c>
      <c r="D837" s="264" t="s">
        <v>2831</v>
      </c>
      <c r="E837" s="264" t="s">
        <v>1847</v>
      </c>
      <c r="F837" s="264" t="s">
        <v>2041</v>
      </c>
      <c r="G837" s="264" t="s">
        <v>26</v>
      </c>
      <c r="H837" s="266">
        <v>57500</v>
      </c>
      <c r="I837" s="266">
        <v>0</v>
      </c>
      <c r="J837" s="264" t="s">
        <v>2830</v>
      </c>
      <c r="K837" s="264" t="s">
        <v>2025</v>
      </c>
      <c r="L837" s="1" t="str">
        <f>VLOOKUP(Advices[[#This Row],[LC Number]],'Combine_List'!A:D,2,0)</f>
        <v>Bid - Diriyah Company</v>
      </c>
      <c r="M837" s="447" t="str">
        <f>VLOOKUP(Advices[[#This Row],[LC Number]],'Combine_List'!A:D,3,0)</f>
        <v>IFAS</v>
      </c>
      <c r="N837" s="447">
        <f>VLOOKUP(Advices[[#This Row],[LC Number]],'Combine_List'!A:D,4,0)</f>
        <v>0</v>
      </c>
      <c r="O837" s="447" t="str">
        <f>VLOOKUP(Advices[[#This Row],[LC Number]],'Combine_List'!A:E,5,0)</f>
        <v>0</v>
      </c>
      <c r="P837" s="447">
        <f>MONTH(Advices[[#This Row],[Transaction Date]])</f>
        <v>11</v>
      </c>
      <c r="Q837" s="447">
        <f>YEAR(Advices[[#This Row],[Transaction Date]])</f>
        <v>2025</v>
      </c>
      <c r="R837" s="1"/>
    </row>
    <row r="838" spans="1:18" hidden="1" x14ac:dyDescent="0.25">
      <c r="A838" s="264" t="s">
        <v>62</v>
      </c>
      <c r="B838" s="265">
        <v>45985</v>
      </c>
      <c r="C838" s="264" t="s">
        <v>2039</v>
      </c>
      <c r="D838" s="264" t="s">
        <v>2832</v>
      </c>
      <c r="E838" s="264" t="s">
        <v>2806</v>
      </c>
      <c r="F838" s="264" t="s">
        <v>2041</v>
      </c>
      <c r="G838" s="264" t="s">
        <v>26</v>
      </c>
      <c r="H838" s="266">
        <v>1305.25</v>
      </c>
      <c r="I838" s="266">
        <v>0</v>
      </c>
      <c r="J838" s="264" t="s">
        <v>2830</v>
      </c>
      <c r="K838" s="264" t="s">
        <v>2025</v>
      </c>
      <c r="L838" s="1" t="str">
        <f>VLOOKUP(Advices[[#This Row],[LC Number]],'Combine_List'!A:D,2,0)</f>
        <v>Financial - AL TANFEETHI OFFICES COMPANY</v>
      </c>
      <c r="M838" s="447">
        <f>VLOOKUP(Advices[[#This Row],[LC Number]],'Combine_List'!A:D,3,0)</f>
        <v>0</v>
      </c>
      <c r="N838" s="447">
        <f>VLOOKUP(Advices[[#This Row],[LC Number]],'Combine_List'!A:D,4,0)</f>
        <v>0</v>
      </c>
      <c r="O838" s="447">
        <f>VLOOKUP(Advices[[#This Row],[LC Number]],'Combine_List'!A:E,5,0)</f>
        <v>0</v>
      </c>
      <c r="P838" s="447">
        <f>MONTH(Advices[[#This Row],[Transaction Date]])</f>
        <v>11</v>
      </c>
      <c r="Q838" s="447">
        <f>YEAR(Advices[[#This Row],[Transaction Date]])</f>
        <v>2025</v>
      </c>
      <c r="R838" s="1"/>
    </row>
    <row r="839" spans="1:18" hidden="1" x14ac:dyDescent="0.25">
      <c r="A839" s="264" t="s">
        <v>62</v>
      </c>
      <c r="B839" s="265">
        <v>45985</v>
      </c>
      <c r="C839" s="264" t="s">
        <v>2042</v>
      </c>
      <c r="D839" s="264" t="s">
        <v>2833</v>
      </c>
      <c r="E839" s="1" t="s">
        <v>1934</v>
      </c>
      <c r="F839" s="264" t="s">
        <v>2041</v>
      </c>
      <c r="G839" s="264" t="s">
        <v>26</v>
      </c>
      <c r="H839" s="266">
        <v>1290576.8799999999</v>
      </c>
      <c r="I839" s="266">
        <v>0</v>
      </c>
      <c r="J839" s="264"/>
      <c r="K839" s="264" t="s">
        <v>2025</v>
      </c>
      <c r="L839" s="1" t="str">
        <f>VLOOKUP(Advices[[#This Row],[LC Number]],'Combine_List'!A:D,2,0)</f>
        <v>Mat Filtrasyon Teknolojeleri A.S</v>
      </c>
      <c r="M839" s="447" t="str">
        <f>VLOOKUP(Advices[[#This Row],[LC Number]],'Combine_List'!A:D,3,0)</f>
        <v>MBL</v>
      </c>
      <c r="N839" s="447" t="str">
        <f>VLOOKUP(Advices[[#This Row],[LC Number]],'Combine_List'!A:D,4,0)</f>
        <v>Oceanarium</v>
      </c>
      <c r="O839" s="447">
        <f>VLOOKUP(Advices[[#This Row],[LC Number]],'Combine_List'!A:E,5,0)</f>
        <v>1020096</v>
      </c>
      <c r="P839" s="447">
        <f>MONTH(Advices[[#This Row],[Transaction Date]])</f>
        <v>11</v>
      </c>
      <c r="Q839" s="447">
        <f>YEAR(Advices[[#This Row],[Transaction Date]])</f>
        <v>2025</v>
      </c>
      <c r="R839" s="1"/>
    </row>
    <row r="840" spans="1:18" hidden="1" x14ac:dyDescent="0.25">
      <c r="A840" s="264" t="s">
        <v>62</v>
      </c>
      <c r="B840" s="265">
        <v>45986</v>
      </c>
      <c r="C840" s="264" t="s">
        <v>2039</v>
      </c>
      <c r="D840" s="264" t="s">
        <v>2834</v>
      </c>
      <c r="E840" s="264" t="s">
        <v>2803</v>
      </c>
      <c r="F840" s="264" t="s">
        <v>2041</v>
      </c>
      <c r="G840" s="264" t="s">
        <v>26</v>
      </c>
      <c r="H840" s="266">
        <v>3571.9</v>
      </c>
      <c r="I840" s="266">
        <v>0</v>
      </c>
      <c r="J840" s="264" t="s">
        <v>2830</v>
      </c>
      <c r="K840" s="264" t="s">
        <v>2025</v>
      </c>
      <c r="L840" s="1" t="str">
        <f>VLOOKUP(Advices[[#This Row],[LC Number]],'Combine_List'!A:D,2,0)</f>
        <v>Financial - RIYADH AIRPORT COMPANY (THIRD PARTY RED C)</v>
      </c>
      <c r="M840" s="447">
        <f>VLOOKUP(Advices[[#This Row],[LC Number]],'Combine_List'!A:D,3,0)</f>
        <v>0</v>
      </c>
      <c r="N840" s="447" t="str">
        <f>VLOOKUP(Advices[[#This Row],[LC Number]],'Combine_List'!A:D,4,0)</f>
        <v>Red C</v>
      </c>
      <c r="O840" s="447">
        <f>VLOOKUP(Advices[[#This Row],[LC Number]],'Combine_List'!A:E,5,0)</f>
        <v>0</v>
      </c>
      <c r="P840" s="447">
        <f>MONTH(Advices[[#This Row],[Transaction Date]])</f>
        <v>11</v>
      </c>
      <c r="Q840" s="447">
        <f>YEAR(Advices[[#This Row],[Transaction Date]])</f>
        <v>2025</v>
      </c>
      <c r="R840" s="1"/>
    </row>
    <row r="841" spans="1:18" hidden="1" x14ac:dyDescent="0.25">
      <c r="A841" s="264" t="s">
        <v>95</v>
      </c>
      <c r="B841" s="265">
        <v>45986</v>
      </c>
      <c r="C841" s="264" t="s">
        <v>2026</v>
      </c>
      <c r="D841" s="264" t="s">
        <v>2466</v>
      </c>
      <c r="E841" s="264" t="s">
        <v>1423</v>
      </c>
      <c r="F841" s="264" t="s">
        <v>2467</v>
      </c>
      <c r="G841" s="264" t="s">
        <v>26</v>
      </c>
      <c r="H841" s="266">
        <v>547153.37</v>
      </c>
      <c r="I841" s="266">
        <v>0</v>
      </c>
      <c r="J841" s="264" t="s">
        <v>1126</v>
      </c>
      <c r="K841" s="264" t="s">
        <v>2025</v>
      </c>
      <c r="L841" s="1" t="str">
        <f>VLOOKUP(Advices[[#This Row],[LC Number]],'Combine_List'!A:D,2,0)</f>
        <v>MARIAM TRADING CO &amp; PARTNERS</v>
      </c>
      <c r="M841" s="447" t="str">
        <f>VLOOKUP(Advices[[#This Row],[LC Number]],'Combine_List'!A:D,3,0)</f>
        <v>FIRST FIX</v>
      </c>
      <c r="N841" s="447" t="str">
        <f>VLOOKUP(Advices[[#This Row],[LC Number]],'Combine_List'!A:D,4,0)</f>
        <v>KSP</v>
      </c>
      <c r="O841" s="447">
        <f>VLOOKUP(Advices[[#This Row],[LC Number]],'Combine_List'!A:E,5,0)</f>
        <v>1020055</v>
      </c>
      <c r="P841" s="447">
        <f>MONTH(Advices[[#This Row],[Transaction Date]])</f>
        <v>11</v>
      </c>
      <c r="Q841" s="447">
        <f>YEAR(Advices[[#This Row],[Transaction Date]])</f>
        <v>2025</v>
      </c>
      <c r="R841" s="1"/>
    </row>
    <row r="842" spans="1:18" hidden="1" x14ac:dyDescent="0.25">
      <c r="A842" s="264" t="s">
        <v>95</v>
      </c>
      <c r="B842" s="265">
        <v>45986</v>
      </c>
      <c r="C842" s="264" t="s">
        <v>2026</v>
      </c>
      <c r="D842" s="264" t="s">
        <v>2835</v>
      </c>
      <c r="E842" s="264" t="s">
        <v>1550</v>
      </c>
      <c r="F842" s="264" t="s">
        <v>2727</v>
      </c>
      <c r="G842" s="264" t="s">
        <v>26</v>
      </c>
      <c r="H842" s="266">
        <v>23140.73</v>
      </c>
      <c r="I842" s="266">
        <v>0</v>
      </c>
      <c r="J842" s="264" t="s">
        <v>1125</v>
      </c>
      <c r="K842" s="264" t="s">
        <v>2025</v>
      </c>
      <c r="L842" s="1" t="str">
        <f>VLOOKUP(Advices[[#This Row],[LC Number]],'Combine_List'!A:D,2,0)</f>
        <v>Al Yamamah Company for Reinforcing Steel Bars</v>
      </c>
      <c r="M842" s="447" t="str">
        <f>VLOOKUP(Advices[[#This Row],[LC Number]],'Combine_List'!A:D,3,0)</f>
        <v>MBL</v>
      </c>
      <c r="N842" s="447" t="str">
        <f>VLOOKUP(Advices[[#This Row],[LC Number]],'Combine_List'!A:D,4,0)</f>
        <v>Oceanarium</v>
      </c>
      <c r="O842" s="447">
        <f>VLOOKUP(Advices[[#This Row],[LC Number]],'Combine_List'!A:E,5,0)</f>
        <v>1020096</v>
      </c>
      <c r="P842" s="447">
        <f>MONTH(Advices[[#This Row],[Transaction Date]])</f>
        <v>11</v>
      </c>
      <c r="Q842" s="447">
        <f>YEAR(Advices[[#This Row],[Transaction Date]])</f>
        <v>2025</v>
      </c>
      <c r="R842" s="1"/>
    </row>
    <row r="843" spans="1:18" hidden="1" x14ac:dyDescent="0.25">
      <c r="A843" s="264" t="s">
        <v>366</v>
      </c>
      <c r="B843" s="265">
        <v>45984</v>
      </c>
      <c r="C843" s="264" t="s">
        <v>2057</v>
      </c>
      <c r="D843" s="264" t="s">
        <v>2836</v>
      </c>
      <c r="E843" s="264" t="s">
        <v>1672</v>
      </c>
      <c r="F843" s="1" t="s">
        <v>3454</v>
      </c>
      <c r="G843" s="264" t="s">
        <v>26</v>
      </c>
      <c r="H843" s="266">
        <v>-287.5</v>
      </c>
      <c r="I843" s="13">
        <v>0</v>
      </c>
      <c r="J843" s="264" t="s">
        <v>1125</v>
      </c>
      <c r="K843" s="264" t="s">
        <v>2025</v>
      </c>
      <c r="L843" s="1" t="str">
        <f>VLOOKUP(Advices[[#This Row],[LC Number]],'Combine_List'!A:D,2,0)</f>
        <v>Systemair for Electrical Equipment Co.</v>
      </c>
      <c r="M843" s="447" t="str">
        <f>VLOOKUP(Advices[[#This Row],[LC Number]],'Combine_List'!A:D,3,0)</f>
        <v>FIRST FIX</v>
      </c>
      <c r="N843" s="447" t="str">
        <f>VLOOKUP(Advices[[#This Row],[LC Number]],'Combine_List'!A:D,4,0)</f>
        <v>CEER</v>
      </c>
      <c r="O843" s="447">
        <f>VLOOKUP(Advices[[#This Row],[LC Number]],'Combine_List'!A:E,5,0)</f>
        <v>1020091</v>
      </c>
      <c r="P843" s="447">
        <f>MONTH(Advices[[#This Row],[Transaction Date]])</f>
        <v>11</v>
      </c>
      <c r="Q843" s="447">
        <f>YEAR(Advices[[#This Row],[Transaction Date]])</f>
        <v>2025</v>
      </c>
      <c r="R843" s="1"/>
    </row>
    <row r="844" spans="1:18" hidden="1" x14ac:dyDescent="0.25">
      <c r="A844" s="264" t="s">
        <v>366</v>
      </c>
      <c r="B844" s="265">
        <v>45984</v>
      </c>
      <c r="C844" s="264" t="s">
        <v>2060</v>
      </c>
      <c r="D844" s="264" t="s">
        <v>2837</v>
      </c>
      <c r="E844" s="264" t="s">
        <v>1603</v>
      </c>
      <c r="F844" s="1" t="s">
        <v>3506</v>
      </c>
      <c r="G844" s="264" t="s">
        <v>26</v>
      </c>
      <c r="H844" s="266">
        <v>-250000</v>
      </c>
      <c r="I844" s="13">
        <v>0</v>
      </c>
      <c r="J844" s="264" t="s">
        <v>1126</v>
      </c>
      <c r="K844" s="264" t="s">
        <v>2025</v>
      </c>
      <c r="L844" s="1" t="str">
        <f>VLOOKUP(Advices[[#This Row],[LC Number]],'Combine_List'!A:D,2,0)</f>
        <v>NMA ALMUTAMIZA INDUSTRIAL AND EQUIPMENT CO.</v>
      </c>
      <c r="M844" s="447" t="str">
        <f>VLOOKUP(Advices[[#This Row],[LC Number]],'Combine_List'!A:D,3,0)</f>
        <v>FIRST FIX</v>
      </c>
      <c r="N844" s="447" t="str">
        <f>VLOOKUP(Advices[[#This Row],[LC Number]],'Combine_List'!A:D,4,0)</f>
        <v>MP1</v>
      </c>
      <c r="O844" s="447">
        <f>VLOOKUP(Advices[[#This Row],[LC Number]],'Combine_List'!A:E,5,0)</f>
        <v>1020088</v>
      </c>
      <c r="P844" s="447">
        <f>MONTH(Advices[[#This Row],[Transaction Date]])</f>
        <v>11</v>
      </c>
      <c r="Q844" s="447">
        <f>YEAR(Advices[[#This Row],[Transaction Date]])</f>
        <v>2025</v>
      </c>
      <c r="R844" s="1"/>
    </row>
    <row r="845" spans="1:18" hidden="1" x14ac:dyDescent="0.25">
      <c r="A845" s="264" t="s">
        <v>366</v>
      </c>
      <c r="B845" s="265">
        <v>45985</v>
      </c>
      <c r="C845" s="264" t="s">
        <v>2060</v>
      </c>
      <c r="D845" s="264" t="s">
        <v>2838</v>
      </c>
      <c r="E845" s="264" t="s">
        <v>1596</v>
      </c>
      <c r="F845" s="1" t="s">
        <v>3507</v>
      </c>
      <c r="G845" s="264" t="s">
        <v>26</v>
      </c>
      <c r="H845" s="266">
        <v>-250000</v>
      </c>
      <c r="I845" s="13">
        <v>0</v>
      </c>
      <c r="J845" s="264" t="s">
        <v>1126</v>
      </c>
      <c r="K845" s="264" t="s">
        <v>2025</v>
      </c>
      <c r="L845" s="1" t="str">
        <f>VLOOKUP(Advices[[#This Row],[LC Number]],'Combine_List'!A:D,2,0)</f>
        <v>TECHNICAL TOOLS TRADING CO.</v>
      </c>
      <c r="M845" s="447" t="str">
        <f>VLOOKUP(Advices[[#This Row],[LC Number]],'Combine_List'!A:D,3,0)</f>
        <v>FIRST FIX</v>
      </c>
      <c r="N845" s="447" t="str">
        <f>VLOOKUP(Advices[[#This Row],[LC Number]],'Combine_List'!A:D,4,0)</f>
        <v>MP1</v>
      </c>
      <c r="O845" s="447">
        <f>VLOOKUP(Advices[[#This Row],[LC Number]],'Combine_List'!A:E,5,0)</f>
        <v>1020088</v>
      </c>
      <c r="P845" s="447">
        <f>MONTH(Advices[[#This Row],[Transaction Date]])</f>
        <v>11</v>
      </c>
      <c r="Q845" s="447">
        <f>YEAR(Advices[[#This Row],[Transaction Date]])</f>
        <v>2025</v>
      </c>
      <c r="R845" s="1"/>
    </row>
    <row r="846" spans="1:18" hidden="1" x14ac:dyDescent="0.25">
      <c r="A846" s="264" t="s">
        <v>366</v>
      </c>
      <c r="B846" s="265">
        <v>45985</v>
      </c>
      <c r="C846" s="264" t="s">
        <v>2060</v>
      </c>
      <c r="D846" s="264" t="s">
        <v>2839</v>
      </c>
      <c r="E846" s="264" t="s">
        <v>1731</v>
      </c>
      <c r="F846" s="1" t="s">
        <v>3441</v>
      </c>
      <c r="G846" s="264" t="s">
        <v>26</v>
      </c>
      <c r="H846" s="266">
        <v>-807280.44</v>
      </c>
      <c r="I846" s="13">
        <v>0</v>
      </c>
      <c r="J846" s="264" t="s">
        <v>1126</v>
      </c>
      <c r="K846" s="264" t="s">
        <v>2025</v>
      </c>
      <c r="L846" s="1" t="str">
        <f>VLOOKUP(Advices[[#This Row],[LC Number]],'Combine_List'!A:D,2,0)</f>
        <v>GIBCA Furniture Industry Co Ltd</v>
      </c>
      <c r="M846" s="447" t="str">
        <f>VLOOKUP(Advices[[#This Row],[LC Number]],'Combine_List'!A:D,3,0)</f>
        <v>MBL</v>
      </c>
      <c r="N846" s="447" t="str">
        <f>VLOOKUP(Advices[[#This Row],[LC Number]],'Combine_List'!A:D,4,0)</f>
        <v>ABHA</v>
      </c>
      <c r="O846" s="447">
        <f>VLOOKUP(Advices[[#This Row],[LC Number]],'Combine_List'!A:E,5,0)</f>
        <v>1020070</v>
      </c>
      <c r="P846" s="447">
        <f>MONTH(Advices[[#This Row],[Transaction Date]])</f>
        <v>11</v>
      </c>
      <c r="Q846" s="447">
        <f>YEAR(Advices[[#This Row],[Transaction Date]])</f>
        <v>2025</v>
      </c>
      <c r="R846" s="1"/>
    </row>
    <row r="847" spans="1:18" hidden="1" x14ac:dyDescent="0.25">
      <c r="A847" s="264" t="s">
        <v>366</v>
      </c>
      <c r="B847" s="265">
        <v>45985</v>
      </c>
      <c r="C847" s="264" t="s">
        <v>2060</v>
      </c>
      <c r="D847" s="264" t="s">
        <v>2840</v>
      </c>
      <c r="E847" s="264" t="s">
        <v>1600</v>
      </c>
      <c r="F847" s="1" t="s">
        <v>3508</v>
      </c>
      <c r="G847" s="264" t="s">
        <v>26</v>
      </c>
      <c r="H847" s="266">
        <v>-293143.98</v>
      </c>
      <c r="I847" s="13">
        <v>0</v>
      </c>
      <c r="J847" s="264" t="s">
        <v>1126</v>
      </c>
      <c r="K847" s="264" t="s">
        <v>2025</v>
      </c>
      <c r="L847" s="1" t="str">
        <f>VLOOKUP(Advices[[#This Row],[LC Number]],'Combine_List'!A:D,2,0)</f>
        <v>Saudi Electric Supply Company</v>
      </c>
      <c r="M847" s="447" t="str">
        <f>VLOOKUP(Advices[[#This Row],[LC Number]],'Combine_List'!A:D,3,0)</f>
        <v>FIRST FIX</v>
      </c>
      <c r="N847" s="447" t="str">
        <f>VLOOKUP(Advices[[#This Row],[LC Number]],'Combine_List'!A:D,4,0)</f>
        <v>MP1</v>
      </c>
      <c r="O847" s="447">
        <f>VLOOKUP(Advices[[#This Row],[LC Number]],'Combine_List'!A:E,5,0)</f>
        <v>1020088</v>
      </c>
      <c r="P847" s="447">
        <f>MONTH(Advices[[#This Row],[Transaction Date]])</f>
        <v>11</v>
      </c>
      <c r="Q847" s="447">
        <f>YEAR(Advices[[#This Row],[Transaction Date]])</f>
        <v>2025</v>
      </c>
      <c r="R847" s="1"/>
    </row>
    <row r="848" spans="1:18" hidden="1" x14ac:dyDescent="0.25">
      <c r="A848" s="264" t="s">
        <v>366</v>
      </c>
      <c r="B848" s="265">
        <v>45986</v>
      </c>
      <c r="C848" s="264" t="s">
        <v>2060</v>
      </c>
      <c r="D848" s="264" t="s">
        <v>2841</v>
      </c>
      <c r="E848" s="264" t="s">
        <v>1598</v>
      </c>
      <c r="F848" s="1" t="s">
        <v>3509</v>
      </c>
      <c r="G848" s="264" t="s">
        <v>26</v>
      </c>
      <c r="H848" s="266">
        <v>2250000</v>
      </c>
      <c r="I848" s="266">
        <v>0</v>
      </c>
      <c r="J848" s="264" t="s">
        <v>1126</v>
      </c>
      <c r="K848" s="264" t="s">
        <v>2025</v>
      </c>
      <c r="L848" s="1" t="str">
        <f>VLOOKUP(Advices[[#This Row],[LC Number]],'Combine_List'!A:D,2,0)</f>
        <v>MASQ FOR ELECTRICAL TOOLS CO</v>
      </c>
      <c r="M848" s="447" t="str">
        <f>VLOOKUP(Advices[[#This Row],[LC Number]],'Combine_List'!A:D,3,0)</f>
        <v>FIRST FIX</v>
      </c>
      <c r="N848" s="447" t="str">
        <f>VLOOKUP(Advices[[#This Row],[LC Number]],'Combine_List'!A:D,4,0)</f>
        <v>MP1</v>
      </c>
      <c r="O848" s="447">
        <f>VLOOKUP(Advices[[#This Row],[LC Number]],'Combine_List'!A:E,5,0)</f>
        <v>1020088</v>
      </c>
      <c r="P848" s="447">
        <f>MONTH(Advices[[#This Row],[Transaction Date]])</f>
        <v>11</v>
      </c>
      <c r="Q848" s="447">
        <f>YEAR(Advices[[#This Row],[Transaction Date]])</f>
        <v>2025</v>
      </c>
      <c r="R848" s="1"/>
    </row>
    <row r="849" spans="1:18" hidden="1" x14ac:dyDescent="0.25">
      <c r="A849" s="264" t="s">
        <v>366</v>
      </c>
      <c r="B849" s="265">
        <v>45986</v>
      </c>
      <c r="C849" s="264" t="s">
        <v>2060</v>
      </c>
      <c r="D849" s="264" t="s">
        <v>2842</v>
      </c>
      <c r="E849" s="264" t="s">
        <v>1800</v>
      </c>
      <c r="F849" s="1" t="s">
        <v>3510</v>
      </c>
      <c r="G849" s="264" t="s">
        <v>26</v>
      </c>
      <c r="H849" s="266">
        <v>2704025</v>
      </c>
      <c r="I849" s="266">
        <v>0</v>
      </c>
      <c r="J849" s="264" t="s">
        <v>1126</v>
      </c>
      <c r="K849" s="264" t="s">
        <v>2025</v>
      </c>
      <c r="L849" s="1" t="str">
        <f>VLOOKUP(Advices[[#This Row],[LC Number]],'Combine_List'!A:D,2,0)</f>
        <v>Depth Modern Technologies</v>
      </c>
      <c r="M849" s="447" t="str">
        <f>VLOOKUP(Advices[[#This Row],[LC Number]],'Combine_List'!A:D,3,0)</f>
        <v>MBL/ICAD</v>
      </c>
      <c r="N849" s="447" t="str">
        <f>VLOOKUP(Advices[[#This Row],[LC Number]],'Combine_List'!A:D,4,0)</f>
        <v>ABHA</v>
      </c>
      <c r="O849" s="447">
        <f>VLOOKUP(Advices[[#This Row],[LC Number]],'Combine_List'!A:E,5,0)</f>
        <v>1020070</v>
      </c>
      <c r="P849" s="447">
        <f>MONTH(Advices[[#This Row],[Transaction Date]])</f>
        <v>11</v>
      </c>
      <c r="Q849" s="447">
        <f>YEAR(Advices[[#This Row],[Transaction Date]])</f>
        <v>2025</v>
      </c>
      <c r="R849" s="1"/>
    </row>
    <row r="850" spans="1:18" hidden="1" x14ac:dyDescent="0.25">
      <c r="A850" s="264" t="s">
        <v>366</v>
      </c>
      <c r="B850" s="265">
        <v>45986</v>
      </c>
      <c r="C850" s="264" t="s">
        <v>2060</v>
      </c>
      <c r="D850" s="264" t="s">
        <v>2843</v>
      </c>
      <c r="E850" s="264" t="s">
        <v>1670</v>
      </c>
      <c r="F850" s="1" t="s">
        <v>3511</v>
      </c>
      <c r="G850" s="264" t="s">
        <v>26</v>
      </c>
      <c r="H850" s="266">
        <v>273958.68</v>
      </c>
      <c r="I850" s="266">
        <v>0</v>
      </c>
      <c r="J850" s="264" t="s">
        <v>1126</v>
      </c>
      <c r="K850" s="264" t="s">
        <v>2025</v>
      </c>
      <c r="L850" s="1" t="str">
        <f>VLOOKUP(Advices[[#This Row],[LC Number]],'Combine_List'!A:D,2,0)</f>
        <v>AFKAR ALTATHBET TRADING COMPANY</v>
      </c>
      <c r="M850" s="447" t="str">
        <f>VLOOKUP(Advices[[#This Row],[LC Number]],'Combine_List'!A:D,3,0)</f>
        <v>FIRST FIX</v>
      </c>
      <c r="N850" s="447" t="str">
        <f>VLOOKUP(Advices[[#This Row],[LC Number]],'Combine_List'!A:D,4,0)</f>
        <v>CEER</v>
      </c>
      <c r="O850" s="447">
        <f>VLOOKUP(Advices[[#This Row],[LC Number]],'Combine_List'!A:E,5,0)</f>
        <v>1020091</v>
      </c>
      <c r="P850" s="447">
        <f>MONTH(Advices[[#This Row],[Transaction Date]])</f>
        <v>11</v>
      </c>
      <c r="Q850" s="447">
        <f>YEAR(Advices[[#This Row],[Transaction Date]])</f>
        <v>2025</v>
      </c>
      <c r="R850" s="1"/>
    </row>
    <row r="851" spans="1:18" hidden="1" x14ac:dyDescent="0.25">
      <c r="A851" s="264" t="s">
        <v>366</v>
      </c>
      <c r="B851" s="265">
        <v>45986</v>
      </c>
      <c r="C851" s="264" t="s">
        <v>2060</v>
      </c>
      <c r="D851" s="264" t="s">
        <v>2844</v>
      </c>
      <c r="E851" s="264" t="s">
        <v>1434</v>
      </c>
      <c r="F851" s="1" t="s">
        <v>3455</v>
      </c>
      <c r="G851" s="264" t="s">
        <v>26</v>
      </c>
      <c r="H851" s="266">
        <v>575</v>
      </c>
      <c r="I851" s="266">
        <v>0</v>
      </c>
      <c r="J851" s="264" t="s">
        <v>1125</v>
      </c>
      <c r="K851" s="264" t="s">
        <v>2025</v>
      </c>
      <c r="L851" s="1" t="str">
        <f>VLOOKUP(Advices[[#This Row],[LC Number]],'Combine_List'!A:D,2,0)</f>
        <v>Brooq Al-Amaan Trading Company</v>
      </c>
      <c r="M851" s="447" t="str">
        <f>VLOOKUP(Advices[[#This Row],[LC Number]],'Combine_List'!A:D,3,0)</f>
        <v>FIRST FIX</v>
      </c>
      <c r="N851" s="447" t="str">
        <f>VLOOKUP(Advices[[#This Row],[LC Number]],'Combine_List'!A:D,4,0)</f>
        <v>MP1</v>
      </c>
      <c r="O851" s="447">
        <f>VLOOKUP(Advices[[#This Row],[LC Number]],'Combine_List'!A:E,5,0)</f>
        <v>1020088</v>
      </c>
      <c r="P851" s="447">
        <f>MONTH(Advices[[#This Row],[Transaction Date]])</f>
        <v>11</v>
      </c>
      <c r="Q851" s="447">
        <f>YEAR(Advices[[#This Row],[Transaction Date]])</f>
        <v>2025</v>
      </c>
      <c r="R851" s="1"/>
    </row>
    <row r="852" spans="1:18" hidden="1" x14ac:dyDescent="0.25">
      <c r="A852" s="264" t="s">
        <v>366</v>
      </c>
      <c r="B852" s="265">
        <v>45986</v>
      </c>
      <c r="C852" s="264" t="s">
        <v>2060</v>
      </c>
      <c r="D852" s="264" t="s">
        <v>2845</v>
      </c>
      <c r="E852" s="264" t="s">
        <v>1662</v>
      </c>
      <c r="F852" s="1" t="s">
        <v>3512</v>
      </c>
      <c r="G852" s="264" t="s">
        <v>26</v>
      </c>
      <c r="H852" s="266">
        <v>327131.67</v>
      </c>
      <c r="I852" s="266">
        <v>0</v>
      </c>
      <c r="J852" s="264" t="s">
        <v>1126</v>
      </c>
      <c r="K852" s="264" t="s">
        <v>2025</v>
      </c>
      <c r="L852" s="1" t="str">
        <f>VLOOKUP(Advices[[#This Row],[LC Number]],'Combine_List'!A:D,2,0)</f>
        <v>JAD AL RIYADH Trading Co. Ltd</v>
      </c>
      <c r="M852" s="447" t="str">
        <f>VLOOKUP(Advices[[#This Row],[LC Number]],'Combine_List'!A:D,3,0)</f>
        <v>FIRST FIX</v>
      </c>
      <c r="N852" s="447" t="str">
        <f>VLOOKUP(Advices[[#This Row],[LC Number]],'Combine_List'!A:D,4,0)</f>
        <v>CEER</v>
      </c>
      <c r="O852" s="447">
        <f>VLOOKUP(Advices[[#This Row],[LC Number]],'Combine_List'!A:E,5,0)</f>
        <v>1020091</v>
      </c>
      <c r="P852" s="447">
        <f>MONTH(Advices[[#This Row],[Transaction Date]])</f>
        <v>11</v>
      </c>
      <c r="Q852" s="447">
        <f>YEAR(Advices[[#This Row],[Transaction Date]])</f>
        <v>2025</v>
      </c>
      <c r="R852" s="1"/>
    </row>
    <row r="853" spans="1:18" hidden="1" x14ac:dyDescent="0.25">
      <c r="A853" s="264" t="s">
        <v>366</v>
      </c>
      <c r="B853" s="265">
        <v>45986</v>
      </c>
      <c r="C853" s="264" t="s">
        <v>2057</v>
      </c>
      <c r="D853" s="264" t="s">
        <v>2846</v>
      </c>
      <c r="E853" s="264" t="s">
        <v>1662</v>
      </c>
      <c r="F853" s="1" t="s">
        <v>3456</v>
      </c>
      <c r="G853" s="264" t="s">
        <v>26</v>
      </c>
      <c r="H853" s="266">
        <v>574.20000000000005</v>
      </c>
      <c r="I853" s="266">
        <v>0</v>
      </c>
      <c r="J853" s="264" t="s">
        <v>1125</v>
      </c>
      <c r="K853" s="264" t="s">
        <v>2025</v>
      </c>
      <c r="L853" s="1" t="str">
        <f>VLOOKUP(Advices[[#This Row],[LC Number]],'Combine_List'!A:D,2,0)</f>
        <v>JAD AL RIYADH Trading Co. Ltd</v>
      </c>
      <c r="M853" s="447" t="str">
        <f>VLOOKUP(Advices[[#This Row],[LC Number]],'Combine_List'!A:D,3,0)</f>
        <v>FIRST FIX</v>
      </c>
      <c r="N853" s="447" t="str">
        <f>VLOOKUP(Advices[[#This Row],[LC Number]],'Combine_List'!A:D,4,0)</f>
        <v>CEER</v>
      </c>
      <c r="O853" s="447">
        <f>VLOOKUP(Advices[[#This Row],[LC Number]],'Combine_List'!A:E,5,0)</f>
        <v>1020091</v>
      </c>
      <c r="P853" s="447">
        <f>MONTH(Advices[[#This Row],[Transaction Date]])</f>
        <v>11</v>
      </c>
      <c r="Q853" s="447">
        <f>YEAR(Advices[[#This Row],[Transaction Date]])</f>
        <v>2025</v>
      </c>
      <c r="R853" s="1"/>
    </row>
    <row r="854" spans="1:18" hidden="1" x14ac:dyDescent="0.25">
      <c r="A854" s="264" t="s">
        <v>366</v>
      </c>
      <c r="B854" s="265">
        <v>45986</v>
      </c>
      <c r="C854" s="264" t="s">
        <v>2057</v>
      </c>
      <c r="D854" s="264" t="s">
        <v>2847</v>
      </c>
      <c r="E854" s="264" t="s">
        <v>1650</v>
      </c>
      <c r="F854" s="1" t="s">
        <v>3513</v>
      </c>
      <c r="G854" s="264" t="s">
        <v>26</v>
      </c>
      <c r="H854" s="266">
        <v>1994342</v>
      </c>
      <c r="I854" s="266">
        <v>0</v>
      </c>
      <c r="J854" s="264" t="s">
        <v>1126</v>
      </c>
      <c r="K854" s="264" t="s">
        <v>2025</v>
      </c>
      <c r="L854" s="1" t="str">
        <f>VLOOKUP(Advices[[#This Row],[LC Number]],'Combine_List'!A:D,2,0)</f>
        <v>AFAQ AL MALAZ TRADING CO. LTD.</v>
      </c>
      <c r="M854" s="447" t="str">
        <f>VLOOKUP(Advices[[#This Row],[LC Number]],'Combine_List'!A:D,3,0)</f>
        <v>FIRST FIX</v>
      </c>
      <c r="N854" s="447" t="str">
        <f>VLOOKUP(Advices[[#This Row],[LC Number]],'Combine_List'!A:D,4,0)</f>
        <v>CEER</v>
      </c>
      <c r="O854" s="447">
        <f>VLOOKUP(Advices[[#This Row],[LC Number]],'Combine_List'!A:E,5,0)</f>
        <v>1020091</v>
      </c>
      <c r="P854" s="447">
        <f>MONTH(Advices[[#This Row],[Transaction Date]])</f>
        <v>11</v>
      </c>
      <c r="Q854" s="447">
        <f>YEAR(Advices[[#This Row],[Transaction Date]])</f>
        <v>2025</v>
      </c>
      <c r="R854" s="1"/>
    </row>
    <row r="855" spans="1:18" hidden="1" x14ac:dyDescent="0.25">
      <c r="A855" s="264" t="s">
        <v>366</v>
      </c>
      <c r="B855" s="265">
        <v>45986</v>
      </c>
      <c r="C855" s="264" t="s">
        <v>2057</v>
      </c>
      <c r="D855" s="264" t="s">
        <v>2848</v>
      </c>
      <c r="E855" s="264" t="s">
        <v>1669</v>
      </c>
      <c r="F855" s="1" t="s">
        <v>3514</v>
      </c>
      <c r="G855" s="264" t="s">
        <v>26</v>
      </c>
      <c r="H855" s="266">
        <v>273781</v>
      </c>
      <c r="I855" s="266">
        <v>0</v>
      </c>
      <c r="J855" s="264" t="s">
        <v>1126</v>
      </c>
      <c r="K855" s="264" t="s">
        <v>2025</v>
      </c>
      <c r="L855" s="1" t="str">
        <f>VLOOKUP(Advices[[#This Row],[LC Number]],'Combine_List'!A:D,2,0)</f>
        <v>MODON ADVANCE SERVICES TECH CO.</v>
      </c>
      <c r="M855" s="447" t="str">
        <f>VLOOKUP(Advices[[#This Row],[LC Number]],'Combine_List'!A:D,3,0)</f>
        <v>FIRST FIX</v>
      </c>
      <c r="N855" s="447" t="str">
        <f>VLOOKUP(Advices[[#This Row],[LC Number]],'Combine_List'!A:D,4,0)</f>
        <v>CEER</v>
      </c>
      <c r="O855" s="447">
        <f>VLOOKUP(Advices[[#This Row],[LC Number]],'Combine_List'!A:E,5,0)</f>
        <v>1020091</v>
      </c>
      <c r="P855" s="447">
        <f>MONTH(Advices[[#This Row],[Transaction Date]])</f>
        <v>11</v>
      </c>
      <c r="Q855" s="447">
        <f>YEAR(Advices[[#This Row],[Transaction Date]])</f>
        <v>2025</v>
      </c>
      <c r="R855" s="1"/>
    </row>
    <row r="856" spans="1:18" hidden="1" x14ac:dyDescent="0.25">
      <c r="A856" s="264" t="s">
        <v>366</v>
      </c>
      <c r="B856" s="265">
        <v>45986</v>
      </c>
      <c r="C856" s="264" t="s">
        <v>2057</v>
      </c>
      <c r="D856" s="264" t="s">
        <v>2849</v>
      </c>
      <c r="E856" s="264" t="s">
        <v>1664</v>
      </c>
      <c r="F856" s="1" t="s">
        <v>3515</v>
      </c>
      <c r="G856" s="264" t="s">
        <v>26</v>
      </c>
      <c r="H856" s="266">
        <v>658511</v>
      </c>
      <c r="I856" s="266">
        <v>0</v>
      </c>
      <c r="J856" s="264" t="s">
        <v>1126</v>
      </c>
      <c r="K856" s="264" t="s">
        <v>2025</v>
      </c>
      <c r="L856" s="1" t="str">
        <f>VLOOKUP(Advices[[#This Row],[LC Number]],'Combine_List'!A:D,2,0)</f>
        <v>AC SOLUTIONS TRADING CO</v>
      </c>
      <c r="M856" s="447" t="str">
        <f>VLOOKUP(Advices[[#This Row],[LC Number]],'Combine_List'!A:D,3,0)</f>
        <v>FIRST FIX</v>
      </c>
      <c r="N856" s="447" t="str">
        <f>VLOOKUP(Advices[[#This Row],[LC Number]],'Combine_List'!A:D,4,0)</f>
        <v>CEER</v>
      </c>
      <c r="O856" s="447">
        <f>VLOOKUP(Advices[[#This Row],[LC Number]],'Combine_List'!A:E,5,0)</f>
        <v>1020091</v>
      </c>
      <c r="P856" s="447">
        <f>MONTH(Advices[[#This Row],[Transaction Date]])</f>
        <v>11</v>
      </c>
      <c r="Q856" s="447">
        <f>YEAR(Advices[[#This Row],[Transaction Date]])</f>
        <v>2025</v>
      </c>
      <c r="R856" s="1"/>
    </row>
    <row r="857" spans="1:18" hidden="1" x14ac:dyDescent="0.25">
      <c r="A857" s="264" t="s">
        <v>366</v>
      </c>
      <c r="B857" s="265">
        <v>45986</v>
      </c>
      <c r="C857" s="264" t="s">
        <v>2057</v>
      </c>
      <c r="D857" s="264" t="s">
        <v>2850</v>
      </c>
      <c r="E857" s="264" t="s">
        <v>1736</v>
      </c>
      <c r="F857" s="1" t="s">
        <v>3516</v>
      </c>
      <c r="G857" s="264" t="s">
        <v>26</v>
      </c>
      <c r="H857" s="266">
        <v>10000000</v>
      </c>
      <c r="I857" s="266">
        <v>0</v>
      </c>
      <c r="J857" s="264" t="s">
        <v>1126</v>
      </c>
      <c r="K857" s="264" t="s">
        <v>2025</v>
      </c>
      <c r="L857" s="1" t="str">
        <f>VLOOKUP(Advices[[#This Row],[LC Number]],'Combine_List'!A:D,2,0)</f>
        <v>Electric House Trading Company L.L.C.</v>
      </c>
      <c r="M857" s="447" t="str">
        <f>VLOOKUP(Advices[[#This Row],[LC Number]],'Combine_List'!A:D,3,0)</f>
        <v>FIRST FIX</v>
      </c>
      <c r="N857" s="447" t="str">
        <f>VLOOKUP(Advices[[#This Row],[LC Number]],'Combine_List'!A:D,4,0)</f>
        <v>CEER</v>
      </c>
      <c r="O857" s="447">
        <f>VLOOKUP(Advices[[#This Row],[LC Number]],'Combine_List'!A:E,5,0)</f>
        <v>1020091</v>
      </c>
      <c r="P857" s="447">
        <f>MONTH(Advices[[#This Row],[Transaction Date]])</f>
        <v>11</v>
      </c>
      <c r="Q857" s="447">
        <f>YEAR(Advices[[#This Row],[Transaction Date]])</f>
        <v>2025</v>
      </c>
      <c r="R857" s="1"/>
    </row>
    <row r="858" spans="1:18" hidden="1" x14ac:dyDescent="0.25">
      <c r="A858" s="264" t="s">
        <v>366</v>
      </c>
      <c r="B858" s="265">
        <v>45986</v>
      </c>
      <c r="C858" s="264" t="s">
        <v>2060</v>
      </c>
      <c r="D858" s="264" t="s">
        <v>2851</v>
      </c>
      <c r="E858" s="264" t="s">
        <v>2434</v>
      </c>
      <c r="F858" s="1" t="s">
        <v>3457</v>
      </c>
      <c r="G858" s="264" t="s">
        <v>26</v>
      </c>
      <c r="H858" s="266">
        <v>12937.5</v>
      </c>
      <c r="I858" s="266">
        <v>0</v>
      </c>
      <c r="J858" s="264" t="s">
        <v>1125</v>
      </c>
      <c r="K858" s="264" t="s">
        <v>2025</v>
      </c>
      <c r="L858" s="1" t="str">
        <f>VLOOKUP(Advices[[#This Row],[LC Number]],'Combine_List'!A:D,2,0)</f>
        <v>Branch of National Fire Fighting</v>
      </c>
      <c r="M858" s="447" t="str">
        <f>VLOOKUP(Advices[[#This Row],[LC Number]],'Combine_List'!A:D,3,0)</f>
        <v>FIRST FIX</v>
      </c>
      <c r="N858" s="447" t="str">
        <f>VLOOKUP(Advices[[#This Row],[LC Number]],'Combine_List'!A:D,4,0)</f>
        <v>MP1</v>
      </c>
      <c r="O858" s="447">
        <f>VLOOKUP(Advices[[#This Row],[LC Number]],'Combine_List'!A:E,5,0)</f>
        <v>1020088</v>
      </c>
      <c r="P858" s="447">
        <f>MONTH(Advices[[#This Row],[Transaction Date]])</f>
        <v>11</v>
      </c>
      <c r="Q858" s="447">
        <f>YEAR(Advices[[#This Row],[Transaction Date]])</f>
        <v>2025</v>
      </c>
      <c r="R858" s="1"/>
    </row>
    <row r="859" spans="1:18" hidden="1" x14ac:dyDescent="0.25">
      <c r="A859" s="264" t="s">
        <v>366</v>
      </c>
      <c r="B859" s="265">
        <v>45986</v>
      </c>
      <c r="C859" s="264" t="s">
        <v>2060</v>
      </c>
      <c r="D859" s="264" t="s">
        <v>2852</v>
      </c>
      <c r="E859" s="264" t="s">
        <v>1652</v>
      </c>
      <c r="F859" s="1" t="s">
        <v>3517</v>
      </c>
      <c r="G859" s="264" t="s">
        <v>26</v>
      </c>
      <c r="H859" s="266">
        <v>1304831.8899999999</v>
      </c>
      <c r="I859" s="266">
        <v>0</v>
      </c>
      <c r="J859" s="264" t="s">
        <v>1126</v>
      </c>
      <c r="K859" s="264" t="s">
        <v>2025</v>
      </c>
      <c r="L859" s="1" t="str">
        <f>VLOOKUP(Advices[[#This Row],[LC Number]],'Combine_List'!A:D,2,0)</f>
        <v>Riyadh Unity for Trading</v>
      </c>
      <c r="M859" s="447" t="str">
        <f>VLOOKUP(Advices[[#This Row],[LC Number]],'Combine_List'!A:D,3,0)</f>
        <v>FIRST FIX</v>
      </c>
      <c r="N859" s="447" t="str">
        <f>VLOOKUP(Advices[[#This Row],[LC Number]],'Combine_List'!A:D,4,0)</f>
        <v>CEER</v>
      </c>
      <c r="O859" s="447">
        <f>VLOOKUP(Advices[[#This Row],[LC Number]],'Combine_List'!A:E,5,0)</f>
        <v>1020091</v>
      </c>
      <c r="P859" s="447">
        <f>MONTH(Advices[[#This Row],[Transaction Date]])</f>
        <v>11</v>
      </c>
      <c r="Q859" s="447">
        <f>YEAR(Advices[[#This Row],[Transaction Date]])</f>
        <v>2025</v>
      </c>
      <c r="R859" s="1"/>
    </row>
    <row r="860" spans="1:18" hidden="1" x14ac:dyDescent="0.25">
      <c r="A860" s="264" t="s">
        <v>366</v>
      </c>
      <c r="B860" s="265">
        <v>45986</v>
      </c>
      <c r="C860" s="264" t="s">
        <v>2060</v>
      </c>
      <c r="D860" s="264" t="s">
        <v>2853</v>
      </c>
      <c r="E860" s="264" t="s">
        <v>1609</v>
      </c>
      <c r="F860" s="1" t="s">
        <v>3458</v>
      </c>
      <c r="G860" s="264" t="s">
        <v>26</v>
      </c>
      <c r="H860" s="266">
        <v>1188.46</v>
      </c>
      <c r="I860" s="266">
        <v>0</v>
      </c>
      <c r="J860" s="264" t="s">
        <v>1125</v>
      </c>
      <c r="K860" s="264" t="s">
        <v>2025</v>
      </c>
      <c r="L860" s="1" t="str">
        <f>VLOOKUP(Advices[[#This Row],[LC Number]],'Combine_List'!A:D,2,0)</f>
        <v>BROOQ ALAMAAN TRAD COMPANY</v>
      </c>
      <c r="M860" s="447" t="str">
        <f>VLOOKUP(Advices[[#This Row],[LC Number]],'Combine_List'!A:D,3,0)</f>
        <v>FIRST FIX</v>
      </c>
      <c r="N860" s="447" t="str">
        <f>VLOOKUP(Advices[[#This Row],[LC Number]],'Combine_List'!A:D,4,0)</f>
        <v>MP1</v>
      </c>
      <c r="O860" s="447">
        <f>VLOOKUP(Advices[[#This Row],[LC Number]],'Combine_List'!A:E,5,0)</f>
        <v>1020088</v>
      </c>
      <c r="P860" s="447">
        <f>MONTH(Advices[[#This Row],[Transaction Date]])</f>
        <v>11</v>
      </c>
      <c r="Q860" s="447">
        <f>YEAR(Advices[[#This Row],[Transaction Date]])</f>
        <v>2025</v>
      </c>
      <c r="R860" s="1"/>
    </row>
    <row r="861" spans="1:18" hidden="1" x14ac:dyDescent="0.25">
      <c r="A861" s="264" t="s">
        <v>612</v>
      </c>
      <c r="B861" s="265">
        <v>45984</v>
      </c>
      <c r="C861" s="264" t="s">
        <v>2101</v>
      </c>
      <c r="D861" s="264" t="s">
        <v>2854</v>
      </c>
      <c r="E861" s="264" t="s">
        <v>1566</v>
      </c>
      <c r="F861" s="264" t="s">
        <v>2041</v>
      </c>
      <c r="G861" s="264" t="s">
        <v>26</v>
      </c>
      <c r="H861" s="266">
        <v>98885.28</v>
      </c>
      <c r="I861" s="266">
        <v>0</v>
      </c>
      <c r="J861" s="264" t="s">
        <v>1126</v>
      </c>
      <c r="K861" s="264" t="s">
        <v>2025</v>
      </c>
      <c r="L861" s="1" t="str">
        <f>VLOOKUP(Advices[[#This Row],[LC Number]],'Combine_List'!A:D,2,0)</f>
        <v>Alpha Limit Trading and Contracting Company</v>
      </c>
      <c r="M861" s="447" t="str">
        <f>VLOOKUP(Advices[[#This Row],[LC Number]],'Combine_List'!A:D,3,0)</f>
        <v>FIRST FIX</v>
      </c>
      <c r="N861" s="447" t="str">
        <f>VLOOKUP(Advices[[#This Row],[LC Number]],'Combine_List'!A:D,4,0)</f>
        <v>RCRC</v>
      </c>
      <c r="O861" s="447">
        <f>VLOOKUP(Advices[[#This Row],[LC Number]],'Combine_List'!A:E,5,0)</f>
        <v>1020106</v>
      </c>
      <c r="P861" s="447">
        <f>MONTH(Advices[[#This Row],[Transaction Date]])</f>
        <v>11</v>
      </c>
      <c r="Q861" s="447">
        <f>YEAR(Advices[[#This Row],[Transaction Date]])</f>
        <v>2025</v>
      </c>
      <c r="R861" s="1"/>
    </row>
    <row r="862" spans="1:18" hidden="1" x14ac:dyDescent="0.25">
      <c r="A862" s="264" t="s">
        <v>612</v>
      </c>
      <c r="B862" s="265">
        <v>45986</v>
      </c>
      <c r="C862" s="264" t="s">
        <v>2101</v>
      </c>
      <c r="D862" s="264" t="s">
        <v>2855</v>
      </c>
      <c r="E862" s="264" t="s">
        <v>1395</v>
      </c>
      <c r="F862" s="264" t="s">
        <v>2041</v>
      </c>
      <c r="G862" s="264" t="s">
        <v>26</v>
      </c>
      <c r="H862" s="266">
        <v>100</v>
      </c>
      <c r="I862" s="266">
        <v>0</v>
      </c>
      <c r="J862" s="264" t="s">
        <v>1125</v>
      </c>
      <c r="K862" s="264" t="s">
        <v>2025</v>
      </c>
      <c r="L862" s="1" t="str">
        <f>VLOOKUP(Advices[[#This Row],[LC Number]],'Combine_List'!A:D,2,0)</f>
        <v xml:space="preserve">VOLTAGE ELEMENTS INDUSTRIAL Co. </v>
      </c>
      <c r="M862" s="447" t="str">
        <f>VLOOKUP(Advices[[#This Row],[LC Number]],'Combine_List'!A:D,3,0)</f>
        <v>FIRST FIX</v>
      </c>
      <c r="N862" s="447" t="str">
        <f>VLOOKUP(Advices[[#This Row],[LC Number]],'Combine_List'!A:D,4,0)</f>
        <v>RCRC</v>
      </c>
      <c r="O862" s="447">
        <f>VLOOKUP(Advices[[#This Row],[LC Number]],'Combine_List'!A:E,5,0)</f>
        <v>1020106</v>
      </c>
      <c r="P862" s="447">
        <f>MONTH(Advices[[#This Row],[Transaction Date]])</f>
        <v>11</v>
      </c>
      <c r="Q862" s="447">
        <f>YEAR(Advices[[#This Row],[Transaction Date]])</f>
        <v>2025</v>
      </c>
      <c r="R862" s="1"/>
    </row>
    <row r="863" spans="1:18" hidden="1" x14ac:dyDescent="0.25">
      <c r="A863" s="264" t="s">
        <v>612</v>
      </c>
      <c r="B863" s="265">
        <v>45986</v>
      </c>
      <c r="C863" s="264" t="s">
        <v>2101</v>
      </c>
      <c r="D863" s="264" t="s">
        <v>2856</v>
      </c>
      <c r="E863" s="264" t="s">
        <v>1395</v>
      </c>
      <c r="F863" s="264" t="s">
        <v>2041</v>
      </c>
      <c r="G863" s="264" t="s">
        <v>26</v>
      </c>
      <c r="H863" s="266">
        <v>15</v>
      </c>
      <c r="I863" s="266">
        <v>0</v>
      </c>
      <c r="J863" s="264" t="s">
        <v>1174</v>
      </c>
      <c r="K863" s="264" t="s">
        <v>2025</v>
      </c>
      <c r="L863" s="1" t="str">
        <f>VLOOKUP(Advices[[#This Row],[LC Number]],'Combine_List'!A:D,2,0)</f>
        <v xml:space="preserve">VOLTAGE ELEMENTS INDUSTRIAL Co. </v>
      </c>
      <c r="M863" s="447" t="str">
        <f>VLOOKUP(Advices[[#This Row],[LC Number]],'Combine_List'!A:D,3,0)</f>
        <v>FIRST FIX</v>
      </c>
      <c r="N863" s="447" t="str">
        <f>VLOOKUP(Advices[[#This Row],[LC Number]],'Combine_List'!A:D,4,0)</f>
        <v>RCRC</v>
      </c>
      <c r="O863" s="447">
        <f>VLOOKUP(Advices[[#This Row],[LC Number]],'Combine_List'!A:E,5,0)</f>
        <v>1020106</v>
      </c>
      <c r="P863" s="447">
        <f>MONTH(Advices[[#This Row],[Transaction Date]])</f>
        <v>11</v>
      </c>
      <c r="Q863" s="447">
        <f>YEAR(Advices[[#This Row],[Transaction Date]])</f>
        <v>2025</v>
      </c>
      <c r="R863" s="1"/>
    </row>
    <row r="864" spans="1:18" hidden="1" x14ac:dyDescent="0.25">
      <c r="A864" s="264" t="s">
        <v>612</v>
      </c>
      <c r="B864" s="265">
        <v>45986</v>
      </c>
      <c r="C864" s="264" t="s">
        <v>2101</v>
      </c>
      <c r="D864" s="264" t="s">
        <v>2857</v>
      </c>
      <c r="E864" s="264" t="s">
        <v>1395</v>
      </c>
      <c r="F864" s="264" t="s">
        <v>2041</v>
      </c>
      <c r="G864" s="264" t="s">
        <v>26</v>
      </c>
      <c r="H864" s="266">
        <v>773</v>
      </c>
      <c r="I864" s="266">
        <v>0</v>
      </c>
      <c r="J864" s="264" t="s">
        <v>1125</v>
      </c>
      <c r="K864" s="264" t="s">
        <v>2025</v>
      </c>
      <c r="L864" s="1" t="str">
        <f>VLOOKUP(Advices[[#This Row],[LC Number]],'Combine_List'!A:D,2,0)</f>
        <v xml:space="preserve">VOLTAGE ELEMENTS INDUSTRIAL Co. </v>
      </c>
      <c r="M864" s="447" t="str">
        <f>VLOOKUP(Advices[[#This Row],[LC Number]],'Combine_List'!A:D,3,0)</f>
        <v>FIRST FIX</v>
      </c>
      <c r="N864" s="447" t="str">
        <f>VLOOKUP(Advices[[#This Row],[LC Number]],'Combine_List'!A:D,4,0)</f>
        <v>RCRC</v>
      </c>
      <c r="O864" s="447">
        <f>VLOOKUP(Advices[[#This Row],[LC Number]],'Combine_List'!A:E,5,0)</f>
        <v>1020106</v>
      </c>
      <c r="P864" s="447">
        <f>MONTH(Advices[[#This Row],[Transaction Date]])</f>
        <v>11</v>
      </c>
      <c r="Q864" s="447">
        <f>YEAR(Advices[[#This Row],[Transaction Date]])</f>
        <v>2025</v>
      </c>
      <c r="R864" s="1"/>
    </row>
    <row r="865" spans="1:18" hidden="1" x14ac:dyDescent="0.25">
      <c r="A865" s="264" t="s">
        <v>612</v>
      </c>
      <c r="B865" s="265">
        <v>45986</v>
      </c>
      <c r="C865" s="264" t="s">
        <v>2101</v>
      </c>
      <c r="D865" s="264" t="s">
        <v>2858</v>
      </c>
      <c r="E865" s="264" t="s">
        <v>1395</v>
      </c>
      <c r="F865" s="264" t="s">
        <v>2041</v>
      </c>
      <c r="G865" s="264" t="s">
        <v>26</v>
      </c>
      <c r="H865" s="266">
        <v>115.95</v>
      </c>
      <c r="I865" s="266">
        <v>0</v>
      </c>
      <c r="J865" s="264" t="s">
        <v>1174</v>
      </c>
      <c r="K865" s="264" t="s">
        <v>2025</v>
      </c>
      <c r="L865" s="1" t="str">
        <f>VLOOKUP(Advices[[#This Row],[LC Number]],'Combine_List'!A:D,2,0)</f>
        <v xml:space="preserve">VOLTAGE ELEMENTS INDUSTRIAL Co. </v>
      </c>
      <c r="M865" s="447" t="str">
        <f>VLOOKUP(Advices[[#This Row],[LC Number]],'Combine_List'!A:D,3,0)</f>
        <v>FIRST FIX</v>
      </c>
      <c r="N865" s="447" t="str">
        <f>VLOOKUP(Advices[[#This Row],[LC Number]],'Combine_List'!A:D,4,0)</f>
        <v>RCRC</v>
      </c>
      <c r="O865" s="447">
        <f>VLOOKUP(Advices[[#This Row],[LC Number]],'Combine_List'!A:E,5,0)</f>
        <v>1020106</v>
      </c>
      <c r="P865" s="447">
        <f>MONTH(Advices[[#This Row],[Transaction Date]])</f>
        <v>11</v>
      </c>
      <c r="Q865" s="447">
        <f>YEAR(Advices[[#This Row],[Transaction Date]])</f>
        <v>2025</v>
      </c>
      <c r="R865" s="1"/>
    </row>
    <row r="866" spans="1:18" hidden="1" x14ac:dyDescent="0.25">
      <c r="A866" s="264" t="s">
        <v>612</v>
      </c>
      <c r="B866" s="265">
        <v>45986</v>
      </c>
      <c r="C866" s="264" t="s">
        <v>2101</v>
      </c>
      <c r="D866" s="264" t="s">
        <v>2859</v>
      </c>
      <c r="E866" s="264" t="s">
        <v>1395</v>
      </c>
      <c r="F866" s="264" t="s">
        <v>2041</v>
      </c>
      <c r="G866" s="264" t="s">
        <v>26</v>
      </c>
      <c r="H866" s="266">
        <v>200</v>
      </c>
      <c r="I866" s="266">
        <v>0</v>
      </c>
      <c r="J866" s="264" t="s">
        <v>1125</v>
      </c>
      <c r="K866" s="264" t="s">
        <v>2025</v>
      </c>
      <c r="L866" s="1" t="str">
        <f>VLOOKUP(Advices[[#This Row],[LC Number]],'Combine_List'!A:D,2,0)</f>
        <v xml:space="preserve">VOLTAGE ELEMENTS INDUSTRIAL Co. </v>
      </c>
      <c r="M866" s="447" t="str">
        <f>VLOOKUP(Advices[[#This Row],[LC Number]],'Combine_List'!A:D,3,0)</f>
        <v>FIRST FIX</v>
      </c>
      <c r="N866" s="447" t="str">
        <f>VLOOKUP(Advices[[#This Row],[LC Number]],'Combine_List'!A:D,4,0)</f>
        <v>RCRC</v>
      </c>
      <c r="O866" s="447">
        <f>VLOOKUP(Advices[[#This Row],[LC Number]],'Combine_List'!A:E,5,0)</f>
        <v>1020106</v>
      </c>
      <c r="P866" s="447">
        <f>MONTH(Advices[[#This Row],[Transaction Date]])</f>
        <v>11</v>
      </c>
      <c r="Q866" s="447">
        <f>YEAR(Advices[[#This Row],[Transaction Date]])</f>
        <v>2025</v>
      </c>
      <c r="R866" s="1"/>
    </row>
    <row r="867" spans="1:18" hidden="1" x14ac:dyDescent="0.25">
      <c r="A867" s="264" t="s">
        <v>612</v>
      </c>
      <c r="B867" s="265">
        <v>45986</v>
      </c>
      <c r="C867" s="264" t="s">
        <v>2101</v>
      </c>
      <c r="D867" s="264" t="s">
        <v>2860</v>
      </c>
      <c r="E867" s="264" t="s">
        <v>1395</v>
      </c>
      <c r="F867" s="264" t="s">
        <v>2041</v>
      </c>
      <c r="G867" s="264" t="s">
        <v>26</v>
      </c>
      <c r="H867" s="266">
        <v>30</v>
      </c>
      <c r="I867" s="266">
        <v>0</v>
      </c>
      <c r="J867" s="264" t="s">
        <v>1174</v>
      </c>
      <c r="K867" s="264" t="s">
        <v>2025</v>
      </c>
      <c r="L867" s="1" t="str">
        <f>VLOOKUP(Advices[[#This Row],[LC Number]],'Combine_List'!A:D,2,0)</f>
        <v xml:space="preserve">VOLTAGE ELEMENTS INDUSTRIAL Co. </v>
      </c>
      <c r="M867" s="447" t="str">
        <f>VLOOKUP(Advices[[#This Row],[LC Number]],'Combine_List'!A:D,3,0)</f>
        <v>FIRST FIX</v>
      </c>
      <c r="N867" s="447" t="str">
        <f>VLOOKUP(Advices[[#This Row],[LC Number]],'Combine_List'!A:D,4,0)</f>
        <v>RCRC</v>
      </c>
      <c r="O867" s="447">
        <f>VLOOKUP(Advices[[#This Row],[LC Number]],'Combine_List'!A:E,5,0)</f>
        <v>1020106</v>
      </c>
      <c r="P867" s="447">
        <f>MONTH(Advices[[#This Row],[Transaction Date]])</f>
        <v>11</v>
      </c>
      <c r="Q867" s="447">
        <f>YEAR(Advices[[#This Row],[Transaction Date]])</f>
        <v>2025</v>
      </c>
      <c r="R867" s="1"/>
    </row>
    <row r="868" spans="1:18" x14ac:dyDescent="0.25">
      <c r="A868" s="264" t="s">
        <v>21</v>
      </c>
      <c r="B868" s="265">
        <v>45987</v>
      </c>
      <c r="C868" s="264" t="s">
        <v>1951</v>
      </c>
      <c r="D868" s="264" t="s">
        <v>2867</v>
      </c>
      <c r="E868" s="264" t="s">
        <v>1767</v>
      </c>
      <c r="F868" s="264" t="s">
        <v>1767</v>
      </c>
      <c r="G868" s="264" t="s">
        <v>26</v>
      </c>
      <c r="H868" s="266">
        <v>-250</v>
      </c>
      <c r="I868" s="13">
        <v>0</v>
      </c>
      <c r="J868" s="264" t="s">
        <v>1963</v>
      </c>
      <c r="K868" s="264" t="s">
        <v>2025</v>
      </c>
      <c r="L868" s="1" t="str">
        <f>VLOOKUP(Advices[[#This Row],[LC Number]],'Combine_List'!A:D,2,0)</f>
        <v>Al Arabia Construction &amp; Building Co.</v>
      </c>
      <c r="M868" s="447" t="str">
        <f>VLOOKUP(Advices[[#This Row],[LC Number]],'Combine_List'!A:D,3,0)</f>
        <v>MBL</v>
      </c>
      <c r="N868" s="447" t="str">
        <f>VLOOKUP(Advices[[#This Row],[LC Number]],'Combine_List'!A:D,4,0)</f>
        <v>Rabigh Power Plant</v>
      </c>
      <c r="O868" s="447">
        <f>VLOOKUP(Advices[[#This Row],[LC Number]],'Combine_List'!A:E,5,0)</f>
        <v>1020107</v>
      </c>
      <c r="P868" s="447">
        <f>MONTH(Advices[[#This Row],[Transaction Date]])</f>
        <v>11</v>
      </c>
      <c r="Q868" s="447">
        <f>YEAR(Advices[[#This Row],[Transaction Date]])</f>
        <v>2025</v>
      </c>
      <c r="R868" s="1"/>
    </row>
    <row r="869" spans="1:18" x14ac:dyDescent="0.25">
      <c r="A869" s="264" t="s">
        <v>21</v>
      </c>
      <c r="B869" s="265">
        <v>45987</v>
      </c>
      <c r="C869" s="264" t="s">
        <v>1951</v>
      </c>
      <c r="D869" s="264" t="s">
        <v>2868</v>
      </c>
      <c r="E869" s="264" t="s">
        <v>1767</v>
      </c>
      <c r="F869" s="264" t="s">
        <v>1767</v>
      </c>
      <c r="G869" s="264" t="s">
        <v>26</v>
      </c>
      <c r="H869" s="266">
        <v>-434.73</v>
      </c>
      <c r="I869" s="13">
        <v>0</v>
      </c>
      <c r="J869" s="264" t="s">
        <v>1174</v>
      </c>
      <c r="K869" s="264" t="s">
        <v>2025</v>
      </c>
      <c r="L869" s="1" t="str">
        <f>VLOOKUP(Advices[[#This Row],[LC Number]],'Combine_List'!A:D,2,0)</f>
        <v>Al Arabia Construction &amp; Building Co.</v>
      </c>
      <c r="M869" s="447" t="str">
        <f>VLOOKUP(Advices[[#This Row],[LC Number]],'Combine_List'!A:D,3,0)</f>
        <v>MBL</v>
      </c>
      <c r="N869" s="447" t="str">
        <f>VLOOKUP(Advices[[#This Row],[LC Number]],'Combine_List'!A:D,4,0)</f>
        <v>Rabigh Power Plant</v>
      </c>
      <c r="O869" s="447">
        <f>VLOOKUP(Advices[[#This Row],[LC Number]],'Combine_List'!A:E,5,0)</f>
        <v>1020107</v>
      </c>
      <c r="P869" s="447">
        <f>MONTH(Advices[[#This Row],[Transaction Date]])</f>
        <v>11</v>
      </c>
      <c r="Q869" s="447">
        <f>YEAR(Advices[[#This Row],[Transaction Date]])</f>
        <v>2025</v>
      </c>
      <c r="R869" s="1"/>
    </row>
    <row r="870" spans="1:18" x14ac:dyDescent="0.25">
      <c r="A870" s="264" t="s">
        <v>21</v>
      </c>
      <c r="B870" s="265">
        <v>45987</v>
      </c>
      <c r="C870" s="264" t="s">
        <v>1951</v>
      </c>
      <c r="D870" s="264" t="s">
        <v>2869</v>
      </c>
      <c r="E870" s="264" t="s">
        <v>1767</v>
      </c>
      <c r="F870" s="264" t="s">
        <v>1767</v>
      </c>
      <c r="G870" s="264" t="s">
        <v>26</v>
      </c>
      <c r="H870" s="266">
        <v>-2898.2</v>
      </c>
      <c r="I870" s="13">
        <v>0</v>
      </c>
      <c r="J870" s="264" t="s">
        <v>1124</v>
      </c>
      <c r="K870" s="264" t="s">
        <v>2025</v>
      </c>
      <c r="L870" s="1" t="str">
        <f>VLOOKUP(Advices[[#This Row],[LC Number]],'Combine_List'!A:D,2,0)</f>
        <v>Al Arabia Construction &amp; Building Co.</v>
      </c>
      <c r="M870" s="447" t="str">
        <f>VLOOKUP(Advices[[#This Row],[LC Number]],'Combine_List'!A:D,3,0)</f>
        <v>MBL</v>
      </c>
      <c r="N870" s="447" t="str">
        <f>VLOOKUP(Advices[[#This Row],[LC Number]],'Combine_List'!A:D,4,0)</f>
        <v>Rabigh Power Plant</v>
      </c>
      <c r="O870" s="447">
        <f>VLOOKUP(Advices[[#This Row],[LC Number]],'Combine_List'!A:E,5,0)</f>
        <v>1020107</v>
      </c>
      <c r="P870" s="447">
        <f>MONTH(Advices[[#This Row],[Transaction Date]])</f>
        <v>11</v>
      </c>
      <c r="Q870" s="447">
        <f>YEAR(Advices[[#This Row],[Transaction Date]])</f>
        <v>2025</v>
      </c>
      <c r="R870" s="1"/>
    </row>
    <row r="871" spans="1:18" x14ac:dyDescent="0.25">
      <c r="A871" s="264" t="s">
        <v>21</v>
      </c>
      <c r="B871" s="265">
        <v>45988</v>
      </c>
      <c r="C871" s="264" t="s">
        <v>1951</v>
      </c>
      <c r="D871" s="264" t="s">
        <v>1960</v>
      </c>
      <c r="E871" s="264" t="s">
        <v>1191</v>
      </c>
      <c r="F871" s="264" t="s">
        <v>2436</v>
      </c>
      <c r="G871" s="264" t="s">
        <v>26</v>
      </c>
      <c r="H871" s="266">
        <v>-11.25</v>
      </c>
      <c r="I871" s="13">
        <v>0</v>
      </c>
      <c r="J871" s="264" t="s">
        <v>1174</v>
      </c>
      <c r="K871" s="264" t="s">
        <v>2025</v>
      </c>
      <c r="L871" s="1" t="str">
        <f>VLOOKUP(Advices[[#This Row],[LC Number]],'Combine_List'!A:D,2,0)</f>
        <v>Awtad Jeddah for General Contracting Company</v>
      </c>
      <c r="M871" s="447" t="str">
        <f>VLOOKUP(Advices[[#This Row],[LC Number]],'Combine_List'!A:D,3,0)</f>
        <v>MBL</v>
      </c>
      <c r="N871" s="447" t="str">
        <f>VLOOKUP(Advices[[#This Row],[LC Number]],'Combine_List'!A:D,4,0)</f>
        <v>Rabigh Power Plant</v>
      </c>
      <c r="O871" s="447">
        <f>VLOOKUP(Advices[[#This Row],[LC Number]],'Combine_List'!A:E,5,0)</f>
        <v>1020107</v>
      </c>
      <c r="P871" s="447">
        <f>MONTH(Advices[[#This Row],[Transaction Date]])</f>
        <v>11</v>
      </c>
      <c r="Q871" s="447">
        <f>YEAR(Advices[[#This Row],[Transaction Date]])</f>
        <v>2025</v>
      </c>
      <c r="R871" s="1"/>
    </row>
    <row r="872" spans="1:18" x14ac:dyDescent="0.25">
      <c r="A872" s="264" t="s">
        <v>21</v>
      </c>
      <c r="B872" s="265">
        <v>45988</v>
      </c>
      <c r="C872" s="264" t="s">
        <v>1951</v>
      </c>
      <c r="D872" s="264" t="s">
        <v>2870</v>
      </c>
      <c r="E872" s="264" t="s">
        <v>1191</v>
      </c>
      <c r="F872" s="264" t="s">
        <v>2436</v>
      </c>
      <c r="G872" s="264" t="s">
        <v>26</v>
      </c>
      <c r="H872" s="266">
        <v>-75</v>
      </c>
      <c r="I872" s="13">
        <v>0</v>
      </c>
      <c r="J872" s="264" t="s">
        <v>1963</v>
      </c>
      <c r="K872" s="264" t="s">
        <v>2025</v>
      </c>
      <c r="L872" s="1" t="str">
        <f>VLOOKUP(Advices[[#This Row],[LC Number]],'Combine_List'!A:D,2,0)</f>
        <v>Awtad Jeddah for General Contracting Company</v>
      </c>
      <c r="M872" s="447" t="str">
        <f>VLOOKUP(Advices[[#This Row],[LC Number]],'Combine_List'!A:D,3,0)</f>
        <v>MBL</v>
      </c>
      <c r="N872" s="447" t="str">
        <f>VLOOKUP(Advices[[#This Row],[LC Number]],'Combine_List'!A:D,4,0)</f>
        <v>Rabigh Power Plant</v>
      </c>
      <c r="O872" s="447">
        <f>VLOOKUP(Advices[[#This Row],[LC Number]],'Combine_List'!A:E,5,0)</f>
        <v>1020107</v>
      </c>
      <c r="P872" s="447">
        <f>MONTH(Advices[[#This Row],[Transaction Date]])</f>
        <v>11</v>
      </c>
      <c r="Q872" s="447">
        <f>YEAR(Advices[[#This Row],[Transaction Date]])</f>
        <v>2025</v>
      </c>
      <c r="R872" s="1"/>
    </row>
    <row r="873" spans="1:18" x14ac:dyDescent="0.25">
      <c r="A873" s="264" t="s">
        <v>21</v>
      </c>
      <c r="B873" s="265">
        <v>45988</v>
      </c>
      <c r="C873" s="264" t="s">
        <v>1951</v>
      </c>
      <c r="D873" s="264" t="s">
        <v>2871</v>
      </c>
      <c r="E873" s="264" t="s">
        <v>1191</v>
      </c>
      <c r="F873" s="264" t="s">
        <v>2436</v>
      </c>
      <c r="G873" s="264" t="s">
        <v>26</v>
      </c>
      <c r="H873" s="266">
        <v>-439810.72</v>
      </c>
      <c r="I873" s="13">
        <v>0</v>
      </c>
      <c r="J873" s="264" t="s">
        <v>1126</v>
      </c>
      <c r="K873" s="264" t="s">
        <v>2025</v>
      </c>
      <c r="L873" s="1" t="str">
        <f>VLOOKUP(Advices[[#This Row],[LC Number]],'Combine_List'!A:D,2,0)</f>
        <v>Awtad Jeddah for General Contracting Company</v>
      </c>
      <c r="M873" s="447" t="str">
        <f>VLOOKUP(Advices[[#This Row],[LC Number]],'Combine_List'!A:D,3,0)</f>
        <v>MBL</v>
      </c>
      <c r="N873" s="447" t="str">
        <f>VLOOKUP(Advices[[#This Row],[LC Number]],'Combine_List'!A:D,4,0)</f>
        <v>Rabigh Power Plant</v>
      </c>
      <c r="O873" s="447">
        <f>VLOOKUP(Advices[[#This Row],[LC Number]],'Combine_List'!A:E,5,0)</f>
        <v>1020107</v>
      </c>
      <c r="P873" s="447">
        <f>MONTH(Advices[[#This Row],[Transaction Date]])</f>
        <v>11</v>
      </c>
      <c r="Q873" s="447">
        <f>YEAR(Advices[[#This Row],[Transaction Date]])</f>
        <v>2025</v>
      </c>
      <c r="R873" s="1"/>
    </row>
    <row r="874" spans="1:18" hidden="1" x14ac:dyDescent="0.25">
      <c r="A874" s="264" t="s">
        <v>62</v>
      </c>
      <c r="B874" s="265">
        <v>45987</v>
      </c>
      <c r="C874" s="264" t="s">
        <v>2039</v>
      </c>
      <c r="D874" s="264" t="s">
        <v>2872</v>
      </c>
      <c r="E874" s="264" t="s">
        <v>1743</v>
      </c>
      <c r="F874" s="264" t="s">
        <v>2041</v>
      </c>
      <c r="G874" s="264" t="s">
        <v>26</v>
      </c>
      <c r="H874" s="266">
        <v>0</v>
      </c>
      <c r="I874" s="266">
        <v>50355.18</v>
      </c>
      <c r="J874" s="264" t="s">
        <v>2899</v>
      </c>
      <c r="K874" s="264" t="s">
        <v>2025</v>
      </c>
      <c r="L874" s="1" t="str">
        <f>VLOOKUP(Advices[[#This Row],[LC Number]],'Combine_List'!A:D,2,0)</f>
        <v>Dalal Al Sham Security Company</v>
      </c>
      <c r="M874" s="447" t="str">
        <f>VLOOKUP(Advices[[#This Row],[LC Number]],'Combine_List'!A:D,3,0)</f>
        <v>IFAS</v>
      </c>
      <c r="N874" s="447" t="str">
        <f>VLOOKUP(Advices[[#This Row],[LC Number]],'Combine_List'!A:D,4,0)</f>
        <v>IFAS - Various Projects</v>
      </c>
      <c r="O874" s="447">
        <f>VLOOKUP(Advices[[#This Row],[LC Number]],'Combine_List'!A:E,5,0)</f>
        <v>0</v>
      </c>
      <c r="P874" s="447">
        <f>MONTH(Advices[[#This Row],[Transaction Date]])</f>
        <v>11</v>
      </c>
      <c r="Q874" s="447">
        <f>YEAR(Advices[[#This Row],[Transaction Date]])</f>
        <v>2025</v>
      </c>
      <c r="R874" s="1"/>
    </row>
    <row r="875" spans="1:18" hidden="1" x14ac:dyDescent="0.25">
      <c r="A875" s="264" t="s">
        <v>62</v>
      </c>
      <c r="B875" s="265">
        <v>45987</v>
      </c>
      <c r="C875" s="264" t="s">
        <v>2039</v>
      </c>
      <c r="D875" s="264" t="s">
        <v>2873</v>
      </c>
      <c r="E875" s="264" t="s">
        <v>1783</v>
      </c>
      <c r="F875" s="264" t="s">
        <v>2041</v>
      </c>
      <c r="G875" s="264" t="s">
        <v>26</v>
      </c>
      <c r="H875" s="266">
        <v>0</v>
      </c>
      <c r="I875" s="266">
        <v>82081.84</v>
      </c>
      <c r="J875" s="264" t="s">
        <v>2899</v>
      </c>
      <c r="K875" s="264" t="s">
        <v>2025</v>
      </c>
      <c r="L875" s="1" t="str">
        <f>VLOOKUP(Advices[[#This Row],[LC Number]],'Combine_List'!A:D,2,0)</f>
        <v>Abu Dawood Trading Co.</v>
      </c>
      <c r="M875" s="447" t="str">
        <f>VLOOKUP(Advices[[#This Row],[LC Number]],'Combine_List'!A:D,3,0)</f>
        <v>IFAS</v>
      </c>
      <c r="N875" s="447" t="str">
        <f>VLOOKUP(Advices[[#This Row],[LC Number]],'Combine_List'!A:D,4,0)</f>
        <v>IFAS - Various Projects</v>
      </c>
      <c r="O875" s="447">
        <f>VLOOKUP(Advices[[#This Row],[LC Number]],'Combine_List'!A:E,5,0)</f>
        <v>0</v>
      </c>
      <c r="P875" s="447">
        <f>MONTH(Advices[[#This Row],[Transaction Date]])</f>
        <v>11</v>
      </c>
      <c r="Q875" s="447">
        <f>YEAR(Advices[[#This Row],[Transaction Date]])</f>
        <v>2025</v>
      </c>
      <c r="R875" s="1"/>
    </row>
    <row r="876" spans="1:18" hidden="1" x14ac:dyDescent="0.25">
      <c r="A876" s="264" t="s">
        <v>62</v>
      </c>
      <c r="B876" s="265">
        <v>45987</v>
      </c>
      <c r="C876" s="264" t="s">
        <v>2039</v>
      </c>
      <c r="D876" s="264" t="s">
        <v>2874</v>
      </c>
      <c r="E876" s="264" t="s">
        <v>1746</v>
      </c>
      <c r="F876" s="264" t="s">
        <v>2041</v>
      </c>
      <c r="G876" s="264" t="s">
        <v>26</v>
      </c>
      <c r="H876" s="266">
        <v>0</v>
      </c>
      <c r="I876" s="266">
        <v>138804.5</v>
      </c>
      <c r="J876" s="264" t="s">
        <v>2899</v>
      </c>
      <c r="K876" s="264" t="s">
        <v>2025</v>
      </c>
      <c r="L876" s="1" t="str">
        <f>VLOOKUP(Advices[[#This Row],[LC Number]],'Combine_List'!A:D,2,0)</f>
        <v>ASCO Company Ltd</v>
      </c>
      <c r="M876" s="447" t="str">
        <f>VLOOKUP(Advices[[#This Row],[LC Number]],'Combine_List'!A:D,3,0)</f>
        <v>IFAS</v>
      </c>
      <c r="N876" s="447" t="str">
        <f>VLOOKUP(Advices[[#This Row],[LC Number]],'Combine_List'!A:D,4,0)</f>
        <v>IFAS - Various Projects</v>
      </c>
      <c r="O876" s="447">
        <f>VLOOKUP(Advices[[#This Row],[LC Number]],'Combine_List'!A:E,5,0)</f>
        <v>0</v>
      </c>
      <c r="P876" s="447">
        <f>MONTH(Advices[[#This Row],[Transaction Date]])</f>
        <v>11</v>
      </c>
      <c r="Q876" s="447">
        <f>YEAR(Advices[[#This Row],[Transaction Date]])</f>
        <v>2025</v>
      </c>
      <c r="R876" s="1"/>
    </row>
    <row r="877" spans="1:18" hidden="1" x14ac:dyDescent="0.25">
      <c r="A877" s="264" t="s">
        <v>62</v>
      </c>
      <c r="B877" s="265">
        <v>45987</v>
      </c>
      <c r="C877" s="264" t="s">
        <v>2039</v>
      </c>
      <c r="D877" s="264" t="s">
        <v>2875</v>
      </c>
      <c r="E877" s="264" t="s">
        <v>1742</v>
      </c>
      <c r="F877" s="264" t="s">
        <v>2041</v>
      </c>
      <c r="G877" s="264" t="s">
        <v>26</v>
      </c>
      <c r="H877" s="266">
        <v>0</v>
      </c>
      <c r="I877" s="266">
        <v>153759.93</v>
      </c>
      <c r="J877" s="264" t="s">
        <v>2899</v>
      </c>
      <c r="K877" s="264" t="s">
        <v>2025</v>
      </c>
      <c r="L877" s="1" t="str">
        <f>VLOOKUP(Advices[[#This Row],[LC Number]],'Combine_List'!A:D,2,0)</f>
        <v>Abdul Aziz Mohammed Abu Shaiea Trading Est</v>
      </c>
      <c r="M877" s="447" t="str">
        <f>VLOOKUP(Advices[[#This Row],[LC Number]],'Combine_List'!A:D,3,0)</f>
        <v>IFAS</v>
      </c>
      <c r="N877" s="447" t="str">
        <f>VLOOKUP(Advices[[#This Row],[LC Number]],'Combine_List'!A:D,4,0)</f>
        <v>IFAS - Various Projects</v>
      </c>
      <c r="O877" s="447">
        <f>VLOOKUP(Advices[[#This Row],[LC Number]],'Combine_List'!A:E,5,0)</f>
        <v>0</v>
      </c>
      <c r="P877" s="447">
        <f>MONTH(Advices[[#This Row],[Transaction Date]])</f>
        <v>11</v>
      </c>
      <c r="Q877" s="447">
        <f>YEAR(Advices[[#This Row],[Transaction Date]])</f>
        <v>2025</v>
      </c>
      <c r="R877" s="1"/>
    </row>
    <row r="878" spans="1:18" hidden="1" x14ac:dyDescent="0.25">
      <c r="A878" s="264" t="s">
        <v>62</v>
      </c>
      <c r="B878" s="265">
        <v>45987</v>
      </c>
      <c r="C878" s="264" t="s">
        <v>2039</v>
      </c>
      <c r="D878" s="264" t="s">
        <v>2876</v>
      </c>
      <c r="E878" s="264" t="s">
        <v>2802</v>
      </c>
      <c r="F878" s="264" t="s">
        <v>2041</v>
      </c>
      <c r="G878" s="264" t="s">
        <v>26</v>
      </c>
      <c r="H878" s="266">
        <v>2613.9499999999998</v>
      </c>
      <c r="I878" s="266">
        <v>0</v>
      </c>
      <c r="J878" s="264" t="s">
        <v>2900</v>
      </c>
      <c r="K878" s="264" t="s">
        <v>2025</v>
      </c>
      <c r="L878" s="1" t="str">
        <f>VLOOKUP(Advices[[#This Row],[LC Number]],'Combine_List'!A:D,2,0)</f>
        <v>Financial - RIYADH AIRPORT COMPANY (THIRD PARTY RED C)</v>
      </c>
      <c r="M878" s="447">
        <f>VLOOKUP(Advices[[#This Row],[LC Number]],'Combine_List'!A:D,3,0)</f>
        <v>0</v>
      </c>
      <c r="N878" s="447" t="str">
        <f>VLOOKUP(Advices[[#This Row],[LC Number]],'Combine_List'!A:D,4,0)</f>
        <v>Red C</v>
      </c>
      <c r="O878" s="447">
        <f>VLOOKUP(Advices[[#This Row],[LC Number]],'Combine_List'!A:E,5,0)</f>
        <v>0</v>
      </c>
      <c r="P878" s="447">
        <f>MONTH(Advices[[#This Row],[Transaction Date]])</f>
        <v>11</v>
      </c>
      <c r="Q878" s="447">
        <f>YEAR(Advices[[#This Row],[Transaction Date]])</f>
        <v>2025</v>
      </c>
      <c r="R878" s="1"/>
    </row>
    <row r="879" spans="1:18" hidden="1" x14ac:dyDescent="0.25">
      <c r="A879" s="264" t="s">
        <v>95</v>
      </c>
      <c r="B879" s="265">
        <v>45987</v>
      </c>
      <c r="C879" s="264" t="s">
        <v>2026</v>
      </c>
      <c r="D879" s="264" t="s">
        <v>2720</v>
      </c>
      <c r="E879" s="264" t="s">
        <v>2562</v>
      </c>
      <c r="F879" s="264" t="s">
        <v>2721</v>
      </c>
      <c r="G879" s="264" t="s">
        <v>26</v>
      </c>
      <c r="H879" s="266">
        <v>-40538.71</v>
      </c>
      <c r="I879" s="13">
        <v>0</v>
      </c>
      <c r="J879" s="264" t="s">
        <v>1125</v>
      </c>
      <c r="K879" s="264" t="s">
        <v>2025</v>
      </c>
      <c r="L879" s="1" t="str">
        <f>VLOOKUP(Advices[[#This Row],[LC Number]],'Combine_List'!A:D,2,0)</f>
        <v>ALNAFIE METAL INDUSTRIES CO LTD</v>
      </c>
      <c r="M879" s="447" t="str">
        <f>VLOOKUP(Advices[[#This Row],[LC Number]],'Combine_List'!A:D,3,0)</f>
        <v>MBL/AICS</v>
      </c>
      <c r="N879" s="447" t="str">
        <f>VLOOKUP(Advices[[#This Row],[LC Number]],'Combine_List'!A:D,4,0)</f>
        <v>OPERA House</v>
      </c>
      <c r="O879" s="447">
        <f>VLOOKUP(Advices[[#This Row],[LC Number]],'Combine_List'!A:E,5,0)</f>
        <v>1020097</v>
      </c>
      <c r="P879" s="447">
        <f>MONTH(Advices[[#This Row],[Transaction Date]])</f>
        <v>11</v>
      </c>
      <c r="Q879" s="447">
        <f>YEAR(Advices[[#This Row],[Transaction Date]])</f>
        <v>2025</v>
      </c>
      <c r="R879" s="1"/>
    </row>
    <row r="880" spans="1:18" hidden="1" x14ac:dyDescent="0.25">
      <c r="A880" s="264" t="s">
        <v>95</v>
      </c>
      <c r="B880" s="265">
        <v>45988</v>
      </c>
      <c r="C880" s="264" t="s">
        <v>2026</v>
      </c>
      <c r="D880" s="264" t="s">
        <v>2877</v>
      </c>
      <c r="E880" s="264" t="s">
        <v>2865</v>
      </c>
      <c r="F880" s="264"/>
      <c r="G880" s="264" t="s">
        <v>26</v>
      </c>
      <c r="H880" s="266">
        <v>-12248.65</v>
      </c>
      <c r="I880" s="13">
        <v>0</v>
      </c>
      <c r="J880" s="264" t="s">
        <v>2901</v>
      </c>
      <c r="K880" s="264" t="s">
        <v>2025</v>
      </c>
      <c r="L880" s="1" t="str">
        <f>VLOOKUP(Advices[[#This Row],[LC Number]],'Combine_List'!A:D,2,0)</f>
        <v>Financial - SAUDI MANPOWER SOLUTION COMPANY (Third Party AM Steel)</v>
      </c>
      <c r="M880" s="447" t="str">
        <f>VLOOKUP(Advices[[#This Row],[LC Number]],'Combine_List'!A:D,3,0)</f>
        <v>AMSteel</v>
      </c>
      <c r="N880" s="447">
        <f>VLOOKUP(Advices[[#This Row],[LC Number]],'Combine_List'!A:D,4,0)</f>
        <v>0</v>
      </c>
      <c r="O880" s="447">
        <f>VLOOKUP(Advices[[#This Row],[LC Number]],'Combine_List'!A:E,5,0)</f>
        <v>0</v>
      </c>
      <c r="P880" s="447">
        <f>MONTH(Advices[[#This Row],[Transaction Date]])</f>
        <v>11</v>
      </c>
      <c r="Q880" s="447">
        <f>YEAR(Advices[[#This Row],[Transaction Date]])</f>
        <v>2025</v>
      </c>
      <c r="R880" s="1"/>
    </row>
    <row r="881" spans="1:18" hidden="1" x14ac:dyDescent="0.25">
      <c r="A881" s="264" t="s">
        <v>95</v>
      </c>
      <c r="B881" s="265">
        <v>45988</v>
      </c>
      <c r="C881" s="264" t="s">
        <v>2026</v>
      </c>
      <c r="D881" s="264" t="s">
        <v>2878</v>
      </c>
      <c r="E881" s="264" t="s">
        <v>1639</v>
      </c>
      <c r="F881" s="264" t="s">
        <v>2879</v>
      </c>
      <c r="G881" s="264" t="s">
        <v>26</v>
      </c>
      <c r="H881" s="266">
        <v>-586630.1</v>
      </c>
      <c r="I881" s="13">
        <v>0</v>
      </c>
      <c r="J881" s="264" t="s">
        <v>1126</v>
      </c>
      <c r="K881" s="264" t="s">
        <v>2025</v>
      </c>
      <c r="L881" s="1" t="str">
        <f>VLOOKUP(Advices[[#This Row],[LC Number]],'Combine_List'!A:D,2,0)</f>
        <v>Mohammed A. Al-Awani Trading</v>
      </c>
      <c r="M881" s="447" t="str">
        <f>VLOOKUP(Advices[[#This Row],[LC Number]],'Combine_List'!A:D,3,0)</f>
        <v>MBL</v>
      </c>
      <c r="N881" s="447" t="str">
        <f>VLOOKUP(Advices[[#This Row],[LC Number]],'Combine_List'!A:D,4,0)</f>
        <v>Rabigh Power Plant</v>
      </c>
      <c r="O881" s="447">
        <f>VLOOKUP(Advices[[#This Row],[LC Number]],'Combine_List'!A:E,5,0)</f>
        <v>1020107</v>
      </c>
      <c r="P881" s="447">
        <f>MONTH(Advices[[#This Row],[Transaction Date]])</f>
        <v>11</v>
      </c>
      <c r="Q881" s="447">
        <f>YEAR(Advices[[#This Row],[Transaction Date]])</f>
        <v>2025</v>
      </c>
      <c r="R881" s="1"/>
    </row>
    <row r="882" spans="1:18" hidden="1" x14ac:dyDescent="0.25">
      <c r="A882" s="264" t="s">
        <v>95</v>
      </c>
      <c r="B882" s="265">
        <v>45988</v>
      </c>
      <c r="C882" s="264" t="s">
        <v>2026</v>
      </c>
      <c r="D882" s="264" t="s">
        <v>2880</v>
      </c>
      <c r="E882" s="264" t="s">
        <v>1446</v>
      </c>
      <c r="F882" s="264" t="s">
        <v>2881</v>
      </c>
      <c r="G882" s="264" t="s">
        <v>26</v>
      </c>
      <c r="H882" s="266">
        <v>-637560</v>
      </c>
      <c r="I882" s="13">
        <v>0</v>
      </c>
      <c r="J882" s="264" t="s">
        <v>1126</v>
      </c>
      <c r="K882" s="264" t="s">
        <v>2025</v>
      </c>
      <c r="L882" s="1" t="str">
        <f>VLOOKUP(Advices[[#This Row],[LC Number]],'Combine_List'!A:D,2,0)</f>
        <v>Al Arabia Construction &amp; Building Co.</v>
      </c>
      <c r="M882" s="447" t="str">
        <f>VLOOKUP(Advices[[#This Row],[LC Number]],'Combine_List'!A:D,3,0)</f>
        <v>MBL</v>
      </c>
      <c r="N882" s="447" t="str">
        <f>VLOOKUP(Advices[[#This Row],[LC Number]],'Combine_List'!A:D,4,0)</f>
        <v>Rabigh Power Plant</v>
      </c>
      <c r="O882" s="447">
        <f>VLOOKUP(Advices[[#This Row],[LC Number]],'Combine_List'!A:E,5,0)</f>
        <v>1020107</v>
      </c>
      <c r="P882" s="447">
        <f>MONTH(Advices[[#This Row],[Transaction Date]])</f>
        <v>11</v>
      </c>
      <c r="Q882" s="447">
        <f>YEAR(Advices[[#This Row],[Transaction Date]])</f>
        <v>2025</v>
      </c>
      <c r="R882" s="1"/>
    </row>
    <row r="883" spans="1:18" hidden="1" x14ac:dyDescent="0.25">
      <c r="A883" s="264" t="s">
        <v>366</v>
      </c>
      <c r="B883" s="265">
        <v>45987</v>
      </c>
      <c r="C883" s="264" t="s">
        <v>2060</v>
      </c>
      <c r="D883" s="264" t="s">
        <v>2882</v>
      </c>
      <c r="E883" s="264" t="s">
        <v>1604</v>
      </c>
      <c r="F883" s="1" t="s">
        <v>3518</v>
      </c>
      <c r="G883" s="264" t="s">
        <v>26</v>
      </c>
      <c r="H883" s="266">
        <v>-500000</v>
      </c>
      <c r="I883" s="13">
        <v>0</v>
      </c>
      <c r="J883" s="264" t="s">
        <v>1126</v>
      </c>
      <c r="K883" s="264" t="s">
        <v>2025</v>
      </c>
      <c r="L883" s="1" t="str">
        <f>VLOOKUP(Advices[[#This Row],[LC Number]],'Combine_List'!A:D,2,0)</f>
        <v>Al Maymanah for Contracting Co. Ltd.</v>
      </c>
      <c r="M883" s="447" t="str">
        <f>VLOOKUP(Advices[[#This Row],[LC Number]],'Combine_List'!A:D,3,0)</f>
        <v>FIRST FIX</v>
      </c>
      <c r="N883" s="447" t="str">
        <f>VLOOKUP(Advices[[#This Row],[LC Number]],'Combine_List'!A:D,4,0)</f>
        <v>MP1</v>
      </c>
      <c r="O883" s="447">
        <f>VLOOKUP(Advices[[#This Row],[LC Number]],'Combine_List'!A:E,5,0)</f>
        <v>1020088</v>
      </c>
      <c r="P883" s="447">
        <f>MONTH(Advices[[#This Row],[Transaction Date]])</f>
        <v>11</v>
      </c>
      <c r="Q883" s="447">
        <f>YEAR(Advices[[#This Row],[Transaction Date]])</f>
        <v>2025</v>
      </c>
      <c r="R883" s="1"/>
    </row>
    <row r="884" spans="1:18" hidden="1" x14ac:dyDescent="0.25">
      <c r="A884" s="264" t="s">
        <v>366</v>
      </c>
      <c r="B884" s="265">
        <v>45987</v>
      </c>
      <c r="C884" s="264" t="s">
        <v>2060</v>
      </c>
      <c r="D884" s="264" t="s">
        <v>2883</v>
      </c>
      <c r="E884" s="264" t="s">
        <v>1615</v>
      </c>
      <c r="F884" s="1" t="s">
        <v>3519</v>
      </c>
      <c r="G884" s="264" t="s">
        <v>26</v>
      </c>
      <c r="H884" s="266">
        <v>-150000</v>
      </c>
      <c r="I884" s="13">
        <v>0</v>
      </c>
      <c r="J884" s="264" t="s">
        <v>1126</v>
      </c>
      <c r="K884" s="264" t="s">
        <v>2025</v>
      </c>
      <c r="L884" s="1" t="str">
        <f>VLOOKUP(Advices[[#This Row],[LC Number]],'Combine_List'!A:D,2,0)</f>
        <v>ALDREES INDUSTRIAL AND TRADING CO</v>
      </c>
      <c r="M884" s="447" t="str">
        <f>VLOOKUP(Advices[[#This Row],[LC Number]],'Combine_List'!A:D,3,0)</f>
        <v>FIRST FIX</v>
      </c>
      <c r="N884" s="447" t="str">
        <f>VLOOKUP(Advices[[#This Row],[LC Number]],'Combine_List'!A:D,4,0)</f>
        <v>MP1</v>
      </c>
      <c r="O884" s="447">
        <f>VLOOKUP(Advices[[#This Row],[LC Number]],'Combine_List'!A:E,5,0)</f>
        <v>1020088</v>
      </c>
      <c r="P884" s="447">
        <f>MONTH(Advices[[#This Row],[Transaction Date]])</f>
        <v>11</v>
      </c>
      <c r="Q884" s="447">
        <f>YEAR(Advices[[#This Row],[Transaction Date]])</f>
        <v>2025</v>
      </c>
      <c r="R884" s="1"/>
    </row>
    <row r="885" spans="1:18" hidden="1" x14ac:dyDescent="0.25">
      <c r="A885" s="264" t="s">
        <v>366</v>
      </c>
      <c r="B885" s="265">
        <v>45988</v>
      </c>
      <c r="C885" s="264" t="s">
        <v>2060</v>
      </c>
      <c r="D885" s="264" t="s">
        <v>2884</v>
      </c>
      <c r="E885" s="264" t="s">
        <v>1444</v>
      </c>
      <c r="F885" s="1" t="s">
        <v>3520</v>
      </c>
      <c r="G885" s="264" t="s">
        <v>26</v>
      </c>
      <c r="H885" s="266">
        <v>-94000.88</v>
      </c>
      <c r="I885" s="13">
        <v>0</v>
      </c>
      <c r="J885" s="264" t="s">
        <v>1126</v>
      </c>
      <c r="K885" s="264" t="s">
        <v>2025</v>
      </c>
      <c r="L885" s="1" t="str">
        <f>VLOOKUP(Advices[[#This Row],[LC Number]],'Combine_List'!A:D,2,0)</f>
        <v>ANDHMAH ALMNANI ALTWARH EST</v>
      </c>
      <c r="M885" s="447" t="str">
        <f>VLOOKUP(Advices[[#This Row],[LC Number]],'Combine_List'!A:D,3,0)</f>
        <v>FIRST FIX</v>
      </c>
      <c r="N885" s="447" t="str">
        <f>VLOOKUP(Advices[[#This Row],[LC Number]],'Combine_List'!A:D,4,0)</f>
        <v>MP1</v>
      </c>
      <c r="O885" s="447">
        <f>VLOOKUP(Advices[[#This Row],[LC Number]],'Combine_List'!A:E,5,0)</f>
        <v>1020088</v>
      </c>
      <c r="P885" s="447">
        <f>MONTH(Advices[[#This Row],[Transaction Date]])</f>
        <v>11</v>
      </c>
      <c r="Q885" s="447">
        <f>YEAR(Advices[[#This Row],[Transaction Date]])</f>
        <v>2025</v>
      </c>
      <c r="R885" s="1"/>
    </row>
    <row r="886" spans="1:18" hidden="1" x14ac:dyDescent="0.25">
      <c r="A886" s="264" t="s">
        <v>366</v>
      </c>
      <c r="B886" s="265">
        <v>45988</v>
      </c>
      <c r="C886" s="264" t="s">
        <v>2060</v>
      </c>
      <c r="D886" s="264" t="s">
        <v>2885</v>
      </c>
      <c r="E886" s="264" t="s">
        <v>1127</v>
      </c>
      <c r="F886" s="1" t="s">
        <v>3422</v>
      </c>
      <c r="G886" s="264" t="s">
        <v>26</v>
      </c>
      <c r="H886" s="266">
        <v>-820835.7</v>
      </c>
      <c r="I886" s="13">
        <v>0</v>
      </c>
      <c r="J886" s="264" t="s">
        <v>1126</v>
      </c>
      <c r="K886" s="264" t="s">
        <v>2025</v>
      </c>
      <c r="L886" s="1" t="str">
        <f>VLOOKUP(Advices[[#This Row],[LC Number]],'Combine_List'!A:D,2,0)</f>
        <v>SCHUCO MIDDLE EAST WINDOWS AND FACADE SYSTEMS LLC</v>
      </c>
      <c r="M886" s="447" t="str">
        <f>VLOOKUP(Advices[[#This Row],[LC Number]],'Combine_List'!A:D,3,0)</f>
        <v>MBL/Premium</v>
      </c>
      <c r="N886" s="447" t="str">
        <f>VLOOKUP(Advices[[#This Row],[LC Number]],'Combine_List'!A:D,4,0)</f>
        <v>CEER</v>
      </c>
      <c r="O886" s="447">
        <f>VLOOKUP(Advices[[#This Row],[LC Number]],'Combine_List'!A:E,5,0)</f>
        <v>1020091</v>
      </c>
      <c r="P886" s="447">
        <f>MONTH(Advices[[#This Row],[Transaction Date]])</f>
        <v>11</v>
      </c>
      <c r="Q886" s="447">
        <f>YEAR(Advices[[#This Row],[Transaction Date]])</f>
        <v>2025</v>
      </c>
      <c r="R886" s="1"/>
    </row>
    <row r="887" spans="1:18" hidden="1" x14ac:dyDescent="0.25">
      <c r="A887" s="264" t="s">
        <v>366</v>
      </c>
      <c r="B887" s="265">
        <v>45988</v>
      </c>
      <c r="C887" s="264" t="s">
        <v>2060</v>
      </c>
      <c r="D887" s="264" t="s">
        <v>2886</v>
      </c>
      <c r="E887" s="264" t="s">
        <v>1189</v>
      </c>
      <c r="F887" s="1" t="s">
        <v>3459</v>
      </c>
      <c r="G887" s="264" t="s">
        <v>26</v>
      </c>
      <c r="H887" s="266">
        <v>-812.62</v>
      </c>
      <c r="I887" s="13">
        <v>0</v>
      </c>
      <c r="J887" s="264" t="s">
        <v>1125</v>
      </c>
      <c r="K887" s="264" t="s">
        <v>2025</v>
      </c>
      <c r="L887" s="1" t="str">
        <f>VLOOKUP(Advices[[#This Row],[LC Number]],'Combine_List'!A:D,2,0)</f>
        <v>Rawadf International Co.</v>
      </c>
      <c r="M887" s="447" t="str">
        <f>VLOOKUP(Advices[[#This Row],[LC Number]],'Combine_List'!A:D,3,0)</f>
        <v>FIRST FIX</v>
      </c>
      <c r="N887" s="447" t="str">
        <f>VLOOKUP(Advices[[#This Row],[LC Number]],'Combine_List'!A:D,4,0)</f>
        <v>MP1</v>
      </c>
      <c r="O887" s="447">
        <f>VLOOKUP(Advices[[#This Row],[LC Number]],'Combine_List'!A:E,5,0)</f>
        <v>1020088</v>
      </c>
      <c r="P887" s="447">
        <f>MONTH(Advices[[#This Row],[Transaction Date]])</f>
        <v>11</v>
      </c>
      <c r="Q887" s="447">
        <f>YEAR(Advices[[#This Row],[Transaction Date]])</f>
        <v>2025</v>
      </c>
      <c r="R887" s="1"/>
    </row>
    <row r="888" spans="1:18" hidden="1" x14ac:dyDescent="0.25">
      <c r="A888" s="264" t="s">
        <v>612</v>
      </c>
      <c r="B888" s="265">
        <v>45987</v>
      </c>
      <c r="C888" s="264" t="s">
        <v>2101</v>
      </c>
      <c r="D888" s="264" t="s">
        <v>2887</v>
      </c>
      <c r="E888" s="264" t="s">
        <v>1569</v>
      </c>
      <c r="F888" s="264" t="s">
        <v>2041</v>
      </c>
      <c r="G888" s="264" t="s">
        <v>26</v>
      </c>
      <c r="H888" s="266">
        <v>1036414.51</v>
      </c>
      <c r="I888" s="266">
        <v>0</v>
      </c>
      <c r="J888" s="264" t="s">
        <v>1126</v>
      </c>
      <c r="K888" s="264" t="s">
        <v>2025</v>
      </c>
      <c r="L888" s="1" t="str">
        <f>VLOOKUP(Advices[[#This Row],[LC Number]],'Combine_List'!A:D,2,0)</f>
        <v>ALFANAR ELECTRICAL SYSTEMS</v>
      </c>
      <c r="M888" s="447" t="str">
        <f>VLOOKUP(Advices[[#This Row],[LC Number]],'Combine_List'!A:D,3,0)</f>
        <v>FIRST FIX</v>
      </c>
      <c r="N888" s="447" t="str">
        <f>VLOOKUP(Advices[[#This Row],[LC Number]],'Combine_List'!A:D,4,0)</f>
        <v>RCRC</v>
      </c>
      <c r="O888" s="447">
        <f>VLOOKUP(Advices[[#This Row],[LC Number]],'Combine_List'!A:E,5,0)</f>
        <v>1020106</v>
      </c>
      <c r="P888" s="447">
        <f>MONTH(Advices[[#This Row],[Transaction Date]])</f>
        <v>11</v>
      </c>
      <c r="Q888" s="447">
        <f>YEAR(Advices[[#This Row],[Transaction Date]])</f>
        <v>2025</v>
      </c>
      <c r="R888" s="1"/>
    </row>
    <row r="889" spans="1:18" hidden="1" x14ac:dyDescent="0.25">
      <c r="A889" s="264" t="s">
        <v>612</v>
      </c>
      <c r="B889" s="265">
        <v>45987</v>
      </c>
      <c r="C889" s="264" t="s">
        <v>2101</v>
      </c>
      <c r="D889" s="264" t="s">
        <v>2888</v>
      </c>
      <c r="E889" s="264" t="s">
        <v>611</v>
      </c>
      <c r="F889" s="264" t="s">
        <v>2041</v>
      </c>
      <c r="G889" s="264" t="s">
        <v>26</v>
      </c>
      <c r="H889" s="266">
        <v>100</v>
      </c>
      <c r="I889" s="266">
        <v>0</v>
      </c>
      <c r="J889" s="264" t="s">
        <v>1125</v>
      </c>
      <c r="K889" s="264" t="s">
        <v>2025</v>
      </c>
      <c r="L889" s="1" t="str">
        <f>VLOOKUP(Advices[[#This Row],[LC Number]],'Combine_List'!A:D,2,0)</f>
        <v>AL-Tawi Ready Mix Concrete Factory Co</v>
      </c>
      <c r="M889" s="447" t="str">
        <f>VLOOKUP(Advices[[#This Row],[LC Number]],'Combine_List'!A:D,3,0)</f>
        <v>FIRST FIX</v>
      </c>
      <c r="N889" s="447" t="str">
        <f>VLOOKUP(Advices[[#This Row],[LC Number]],'Combine_List'!A:D,4,0)</f>
        <v>RCRC</v>
      </c>
      <c r="O889" s="447">
        <f>VLOOKUP(Advices[[#This Row],[LC Number]],'Combine_List'!A:E,5,0)</f>
        <v>1020106</v>
      </c>
      <c r="P889" s="447">
        <f>MONTH(Advices[[#This Row],[Transaction Date]])</f>
        <v>11</v>
      </c>
      <c r="Q889" s="447">
        <f>YEAR(Advices[[#This Row],[Transaction Date]])</f>
        <v>2025</v>
      </c>
      <c r="R889" s="1"/>
    </row>
    <row r="890" spans="1:18" hidden="1" x14ac:dyDescent="0.25">
      <c r="A890" s="264" t="s">
        <v>612</v>
      </c>
      <c r="B890" s="265">
        <v>45987</v>
      </c>
      <c r="C890" s="264" t="s">
        <v>2101</v>
      </c>
      <c r="D890" s="264" t="s">
        <v>2889</v>
      </c>
      <c r="E890" s="264" t="s">
        <v>611</v>
      </c>
      <c r="F890" s="264" t="s">
        <v>2041</v>
      </c>
      <c r="G890" s="264" t="s">
        <v>26</v>
      </c>
      <c r="H890" s="266">
        <v>15</v>
      </c>
      <c r="I890" s="266">
        <v>0</v>
      </c>
      <c r="J890" s="264" t="s">
        <v>1174</v>
      </c>
      <c r="K890" s="264" t="s">
        <v>2025</v>
      </c>
      <c r="L890" s="1" t="str">
        <f>VLOOKUP(Advices[[#This Row],[LC Number]],'Combine_List'!A:D,2,0)</f>
        <v>AL-Tawi Ready Mix Concrete Factory Co</v>
      </c>
      <c r="M890" s="447" t="str">
        <f>VLOOKUP(Advices[[#This Row],[LC Number]],'Combine_List'!A:D,3,0)</f>
        <v>FIRST FIX</v>
      </c>
      <c r="N890" s="447" t="str">
        <f>VLOOKUP(Advices[[#This Row],[LC Number]],'Combine_List'!A:D,4,0)</f>
        <v>RCRC</v>
      </c>
      <c r="O890" s="447">
        <f>VLOOKUP(Advices[[#This Row],[LC Number]],'Combine_List'!A:E,5,0)</f>
        <v>1020106</v>
      </c>
      <c r="P890" s="447">
        <f>MONTH(Advices[[#This Row],[Transaction Date]])</f>
        <v>11</v>
      </c>
      <c r="Q890" s="447">
        <f>YEAR(Advices[[#This Row],[Transaction Date]])</f>
        <v>2025</v>
      </c>
      <c r="R890" s="1"/>
    </row>
    <row r="891" spans="1:18" hidden="1" x14ac:dyDescent="0.25">
      <c r="A891" s="264" t="s">
        <v>612</v>
      </c>
      <c r="B891" s="265">
        <v>45987</v>
      </c>
      <c r="C891" s="264" t="s">
        <v>2101</v>
      </c>
      <c r="D891" s="264" t="s">
        <v>2890</v>
      </c>
      <c r="E891" s="264" t="s">
        <v>611</v>
      </c>
      <c r="F891" s="264" t="s">
        <v>2041</v>
      </c>
      <c r="G891" s="264" t="s">
        <v>26</v>
      </c>
      <c r="H891" s="266">
        <v>833</v>
      </c>
      <c r="I891" s="266">
        <v>0</v>
      </c>
      <c r="J891" s="264" t="s">
        <v>1125</v>
      </c>
      <c r="K891" s="264" t="s">
        <v>2025</v>
      </c>
      <c r="L891" s="1" t="str">
        <f>VLOOKUP(Advices[[#This Row],[LC Number]],'Combine_List'!A:D,2,0)</f>
        <v>AL-Tawi Ready Mix Concrete Factory Co</v>
      </c>
      <c r="M891" s="447" t="str">
        <f>VLOOKUP(Advices[[#This Row],[LC Number]],'Combine_List'!A:D,3,0)</f>
        <v>FIRST FIX</v>
      </c>
      <c r="N891" s="447" t="str">
        <f>VLOOKUP(Advices[[#This Row],[LC Number]],'Combine_List'!A:D,4,0)</f>
        <v>RCRC</v>
      </c>
      <c r="O891" s="447">
        <f>VLOOKUP(Advices[[#This Row],[LC Number]],'Combine_List'!A:E,5,0)</f>
        <v>1020106</v>
      </c>
      <c r="P891" s="447">
        <f>MONTH(Advices[[#This Row],[Transaction Date]])</f>
        <v>11</v>
      </c>
      <c r="Q891" s="447">
        <f>YEAR(Advices[[#This Row],[Transaction Date]])</f>
        <v>2025</v>
      </c>
      <c r="R891" s="1"/>
    </row>
    <row r="892" spans="1:18" hidden="1" x14ac:dyDescent="0.25">
      <c r="A892" s="264" t="s">
        <v>612</v>
      </c>
      <c r="B892" s="265">
        <v>45987</v>
      </c>
      <c r="C892" s="264" t="s">
        <v>2101</v>
      </c>
      <c r="D892" s="264" t="s">
        <v>2891</v>
      </c>
      <c r="E892" s="264" t="s">
        <v>611</v>
      </c>
      <c r="F892" s="264" t="s">
        <v>2041</v>
      </c>
      <c r="G892" s="264" t="s">
        <v>26</v>
      </c>
      <c r="H892" s="266">
        <v>124.95</v>
      </c>
      <c r="I892" s="266">
        <v>0</v>
      </c>
      <c r="J892" s="264" t="s">
        <v>1174</v>
      </c>
      <c r="K892" s="264" t="s">
        <v>2025</v>
      </c>
      <c r="L892" s="1" t="str">
        <f>VLOOKUP(Advices[[#This Row],[LC Number]],'Combine_List'!A:D,2,0)</f>
        <v>AL-Tawi Ready Mix Concrete Factory Co</v>
      </c>
      <c r="M892" s="447" t="str">
        <f>VLOOKUP(Advices[[#This Row],[LC Number]],'Combine_List'!A:D,3,0)</f>
        <v>FIRST FIX</v>
      </c>
      <c r="N892" s="447" t="str">
        <f>VLOOKUP(Advices[[#This Row],[LC Number]],'Combine_List'!A:D,4,0)</f>
        <v>RCRC</v>
      </c>
      <c r="O892" s="447">
        <f>VLOOKUP(Advices[[#This Row],[LC Number]],'Combine_List'!A:E,5,0)</f>
        <v>1020106</v>
      </c>
      <c r="P892" s="447">
        <f>MONTH(Advices[[#This Row],[Transaction Date]])</f>
        <v>11</v>
      </c>
      <c r="Q892" s="447">
        <f>YEAR(Advices[[#This Row],[Transaction Date]])</f>
        <v>2025</v>
      </c>
      <c r="R892" s="1"/>
    </row>
    <row r="893" spans="1:18" hidden="1" x14ac:dyDescent="0.25">
      <c r="A893" s="264" t="s">
        <v>612</v>
      </c>
      <c r="B893" s="265">
        <v>45987</v>
      </c>
      <c r="C893" s="264" t="s">
        <v>2101</v>
      </c>
      <c r="D893" s="264" t="s">
        <v>2892</v>
      </c>
      <c r="E893" s="264" t="s">
        <v>611</v>
      </c>
      <c r="F893" s="264" t="s">
        <v>2041</v>
      </c>
      <c r="G893" s="264" t="s">
        <v>26</v>
      </c>
      <c r="H893" s="266">
        <v>200</v>
      </c>
      <c r="I893" s="266">
        <v>0</v>
      </c>
      <c r="J893" s="264" t="s">
        <v>1125</v>
      </c>
      <c r="K893" s="264" t="s">
        <v>2025</v>
      </c>
      <c r="L893" s="1" t="str">
        <f>VLOOKUP(Advices[[#This Row],[LC Number]],'Combine_List'!A:D,2,0)</f>
        <v>AL-Tawi Ready Mix Concrete Factory Co</v>
      </c>
      <c r="M893" s="447" t="str">
        <f>VLOOKUP(Advices[[#This Row],[LC Number]],'Combine_List'!A:D,3,0)</f>
        <v>FIRST FIX</v>
      </c>
      <c r="N893" s="447" t="str">
        <f>VLOOKUP(Advices[[#This Row],[LC Number]],'Combine_List'!A:D,4,0)</f>
        <v>RCRC</v>
      </c>
      <c r="O893" s="447">
        <f>VLOOKUP(Advices[[#This Row],[LC Number]],'Combine_List'!A:E,5,0)</f>
        <v>1020106</v>
      </c>
      <c r="P893" s="447">
        <f>MONTH(Advices[[#This Row],[Transaction Date]])</f>
        <v>11</v>
      </c>
      <c r="Q893" s="447">
        <f>YEAR(Advices[[#This Row],[Transaction Date]])</f>
        <v>2025</v>
      </c>
      <c r="R893" s="1"/>
    </row>
    <row r="894" spans="1:18" hidden="1" x14ac:dyDescent="0.25">
      <c r="A894" s="264" t="s">
        <v>612</v>
      </c>
      <c r="B894" s="265">
        <v>45987</v>
      </c>
      <c r="C894" s="264" t="s">
        <v>2101</v>
      </c>
      <c r="D894" s="264" t="s">
        <v>2893</v>
      </c>
      <c r="E894" s="264" t="s">
        <v>611</v>
      </c>
      <c r="F894" s="264" t="s">
        <v>2041</v>
      </c>
      <c r="G894" s="264" t="s">
        <v>26</v>
      </c>
      <c r="H894" s="266">
        <v>30</v>
      </c>
      <c r="I894" s="266">
        <v>0</v>
      </c>
      <c r="J894" s="264" t="s">
        <v>1174</v>
      </c>
      <c r="K894" s="264" t="s">
        <v>2025</v>
      </c>
      <c r="L894" s="1" t="str">
        <f>VLOOKUP(Advices[[#This Row],[LC Number]],'Combine_List'!A:D,2,0)</f>
        <v>AL-Tawi Ready Mix Concrete Factory Co</v>
      </c>
      <c r="M894" s="447" t="str">
        <f>VLOOKUP(Advices[[#This Row],[LC Number]],'Combine_List'!A:D,3,0)</f>
        <v>FIRST FIX</v>
      </c>
      <c r="N894" s="447" t="str">
        <f>VLOOKUP(Advices[[#This Row],[LC Number]],'Combine_List'!A:D,4,0)</f>
        <v>RCRC</v>
      </c>
      <c r="O894" s="447">
        <f>VLOOKUP(Advices[[#This Row],[LC Number]],'Combine_List'!A:E,5,0)</f>
        <v>1020106</v>
      </c>
      <c r="P894" s="447">
        <f>MONTH(Advices[[#This Row],[Transaction Date]])</f>
        <v>11</v>
      </c>
      <c r="Q894" s="447">
        <f>YEAR(Advices[[#This Row],[Transaction Date]])</f>
        <v>2025</v>
      </c>
      <c r="R894" s="1"/>
    </row>
    <row r="895" spans="1:18" hidden="1" x14ac:dyDescent="0.25">
      <c r="A895" s="264" t="s">
        <v>612</v>
      </c>
      <c r="B895" s="265">
        <v>45988</v>
      </c>
      <c r="C895" s="264" t="s">
        <v>2101</v>
      </c>
      <c r="D895" s="264" t="s">
        <v>2894</v>
      </c>
      <c r="E895" s="264" t="s">
        <v>721</v>
      </c>
      <c r="F895" s="264" t="s">
        <v>2041</v>
      </c>
      <c r="G895" s="264" t="s">
        <v>26</v>
      </c>
      <c r="H895" s="266">
        <v>733654</v>
      </c>
      <c r="I895" s="266">
        <v>0</v>
      </c>
      <c r="J895" s="264" t="s">
        <v>1126</v>
      </c>
      <c r="K895" s="264" t="s">
        <v>2025</v>
      </c>
      <c r="L895" s="1" t="str">
        <f>VLOOKUP(Advices[[#This Row],[LC Number]],'Combine_List'!A:D,2,0)</f>
        <v>ALFANAR ELECTRICAL SYSTEMS</v>
      </c>
      <c r="M895" s="447" t="str">
        <f>VLOOKUP(Advices[[#This Row],[LC Number]],'Combine_List'!A:D,3,0)</f>
        <v>FIRST FIX</v>
      </c>
      <c r="N895" s="447" t="str">
        <f>VLOOKUP(Advices[[#This Row],[LC Number]],'Combine_List'!A:D,4,0)</f>
        <v>RCRC</v>
      </c>
      <c r="O895" s="447">
        <f>VLOOKUP(Advices[[#This Row],[LC Number]],'Combine_List'!A:E,5,0)</f>
        <v>1020106</v>
      </c>
      <c r="P895" s="447">
        <f>MONTH(Advices[[#This Row],[Transaction Date]])</f>
        <v>11</v>
      </c>
      <c r="Q895" s="447">
        <f>YEAR(Advices[[#This Row],[Transaction Date]])</f>
        <v>2025</v>
      </c>
      <c r="R895" s="1"/>
    </row>
    <row r="896" spans="1:18" hidden="1" x14ac:dyDescent="0.25">
      <c r="A896" s="264" t="s">
        <v>612</v>
      </c>
      <c r="B896" s="265">
        <v>45988</v>
      </c>
      <c r="C896" s="264" t="s">
        <v>2101</v>
      </c>
      <c r="D896" s="264" t="s">
        <v>2895</v>
      </c>
      <c r="E896" s="264" t="s">
        <v>1911</v>
      </c>
      <c r="F896" s="264" t="s">
        <v>2041</v>
      </c>
      <c r="G896" s="264" t="s">
        <v>26</v>
      </c>
      <c r="H896" s="266">
        <v>6250</v>
      </c>
      <c r="I896" s="266">
        <v>0</v>
      </c>
      <c r="J896" s="264" t="s">
        <v>2793</v>
      </c>
      <c r="K896" s="264" t="s">
        <v>2025</v>
      </c>
      <c r="L896" s="1" t="str">
        <f>VLOOKUP(Advices[[#This Row],[LC Number]],'Combine_List'!A:D,2,0)</f>
        <v>Bid - ERTH Al-AWTAN REAL ESTATE DEVELOPMENT COMPANY</v>
      </c>
      <c r="M896" s="447">
        <f>VLOOKUP(Advices[[#This Row],[LC Number]],'Combine_List'!A:D,3,0)</f>
        <v>0</v>
      </c>
      <c r="N896" s="447">
        <f>VLOOKUP(Advices[[#This Row],[LC Number]],'Combine_List'!A:D,4,0)</f>
        <v>0</v>
      </c>
      <c r="O896" s="447">
        <f>VLOOKUP(Advices[[#This Row],[LC Number]],'Combine_List'!A:E,5,0)</f>
        <v>0</v>
      </c>
      <c r="P896" s="447">
        <f>MONTH(Advices[[#This Row],[Transaction Date]])</f>
        <v>11</v>
      </c>
      <c r="Q896" s="447">
        <f>YEAR(Advices[[#This Row],[Transaction Date]])</f>
        <v>2025</v>
      </c>
      <c r="R896" s="1"/>
    </row>
    <row r="897" spans="1:18" hidden="1" x14ac:dyDescent="0.25">
      <c r="A897" s="264" t="s">
        <v>612</v>
      </c>
      <c r="B897" s="265">
        <v>45988</v>
      </c>
      <c r="C897" s="264" t="s">
        <v>2101</v>
      </c>
      <c r="D897" s="264" t="s">
        <v>2896</v>
      </c>
      <c r="E897" s="264" t="s">
        <v>1911</v>
      </c>
      <c r="F897" s="264" t="s">
        <v>2041</v>
      </c>
      <c r="G897" s="264" t="s">
        <v>26</v>
      </c>
      <c r="H897" s="266">
        <v>937.5</v>
      </c>
      <c r="I897" s="266">
        <v>0</v>
      </c>
      <c r="J897" s="264" t="s">
        <v>1174</v>
      </c>
      <c r="K897" s="264" t="s">
        <v>2025</v>
      </c>
      <c r="L897" s="1" t="str">
        <f>VLOOKUP(Advices[[#This Row],[LC Number]],'Combine_List'!A:D,2,0)</f>
        <v>Bid - ERTH Al-AWTAN REAL ESTATE DEVELOPMENT COMPANY</v>
      </c>
      <c r="M897" s="447">
        <f>VLOOKUP(Advices[[#This Row],[LC Number]],'Combine_List'!A:D,3,0)</f>
        <v>0</v>
      </c>
      <c r="N897" s="447">
        <f>VLOOKUP(Advices[[#This Row],[LC Number]],'Combine_List'!A:D,4,0)</f>
        <v>0</v>
      </c>
      <c r="O897" s="447">
        <f>VLOOKUP(Advices[[#This Row],[LC Number]],'Combine_List'!A:E,5,0)</f>
        <v>0</v>
      </c>
      <c r="P897" s="447">
        <f>MONTH(Advices[[#This Row],[Transaction Date]])</f>
        <v>11</v>
      </c>
      <c r="Q897" s="447">
        <f>YEAR(Advices[[#This Row],[Transaction Date]])</f>
        <v>2025</v>
      </c>
      <c r="R897" s="1"/>
    </row>
    <row r="898" spans="1:18" hidden="1" x14ac:dyDescent="0.25">
      <c r="A898" s="264" t="s">
        <v>612</v>
      </c>
      <c r="B898" s="265">
        <v>45988</v>
      </c>
      <c r="C898" s="264" t="s">
        <v>2101</v>
      </c>
      <c r="D898" s="264" t="s">
        <v>2897</v>
      </c>
      <c r="E898" s="264" t="s">
        <v>1911</v>
      </c>
      <c r="F898" s="264" t="s">
        <v>2041</v>
      </c>
      <c r="G898" s="264" t="s">
        <v>26</v>
      </c>
      <c r="H898" s="266">
        <v>16438.36</v>
      </c>
      <c r="I898" s="266">
        <v>0</v>
      </c>
      <c r="J898" s="264" t="s">
        <v>2793</v>
      </c>
      <c r="K898" s="264" t="s">
        <v>2025</v>
      </c>
      <c r="L898" s="1" t="str">
        <f>VLOOKUP(Advices[[#This Row],[LC Number]],'Combine_List'!A:D,2,0)</f>
        <v>Bid - ERTH Al-AWTAN REAL ESTATE DEVELOPMENT COMPANY</v>
      </c>
      <c r="M898" s="447">
        <f>VLOOKUP(Advices[[#This Row],[LC Number]],'Combine_List'!A:D,3,0)</f>
        <v>0</v>
      </c>
      <c r="N898" s="447">
        <f>VLOOKUP(Advices[[#This Row],[LC Number]],'Combine_List'!A:D,4,0)</f>
        <v>0</v>
      </c>
      <c r="O898" s="447">
        <f>VLOOKUP(Advices[[#This Row],[LC Number]],'Combine_List'!A:E,5,0)</f>
        <v>0</v>
      </c>
      <c r="P898" s="447">
        <f>MONTH(Advices[[#This Row],[Transaction Date]])</f>
        <v>11</v>
      </c>
      <c r="Q898" s="447">
        <f>YEAR(Advices[[#This Row],[Transaction Date]])</f>
        <v>2025</v>
      </c>
      <c r="R898" s="1"/>
    </row>
    <row r="899" spans="1:18" hidden="1" x14ac:dyDescent="0.25">
      <c r="A899" s="264" t="s">
        <v>612</v>
      </c>
      <c r="B899" s="265">
        <v>45988</v>
      </c>
      <c r="C899" s="264" t="s">
        <v>2101</v>
      </c>
      <c r="D899" s="264" t="s">
        <v>2898</v>
      </c>
      <c r="E899" s="264" t="s">
        <v>1911</v>
      </c>
      <c r="F899" s="264" t="s">
        <v>2041</v>
      </c>
      <c r="G899" s="264" t="s">
        <v>26</v>
      </c>
      <c r="H899" s="266">
        <v>2465.75</v>
      </c>
      <c r="I899" s="266">
        <v>0</v>
      </c>
      <c r="J899" s="264" t="s">
        <v>1174</v>
      </c>
      <c r="K899" s="264" t="s">
        <v>2025</v>
      </c>
      <c r="L899" s="1" t="str">
        <f>VLOOKUP(Advices[[#This Row],[LC Number]],'Combine_List'!A:D,2,0)</f>
        <v>Bid - ERTH Al-AWTAN REAL ESTATE DEVELOPMENT COMPANY</v>
      </c>
      <c r="M899" s="447">
        <f>VLOOKUP(Advices[[#This Row],[LC Number]],'Combine_List'!A:D,3,0)</f>
        <v>0</v>
      </c>
      <c r="N899" s="447">
        <f>VLOOKUP(Advices[[#This Row],[LC Number]],'Combine_List'!A:D,4,0)</f>
        <v>0</v>
      </c>
      <c r="O899" s="447">
        <f>VLOOKUP(Advices[[#This Row],[LC Number]],'Combine_List'!A:E,5,0)</f>
        <v>0</v>
      </c>
      <c r="P899" s="447">
        <f>MONTH(Advices[[#This Row],[Transaction Date]])</f>
        <v>11</v>
      </c>
      <c r="Q899" s="447">
        <f>YEAR(Advices[[#This Row],[Transaction Date]])</f>
        <v>2025</v>
      </c>
      <c r="R899" s="1"/>
    </row>
    <row r="900" spans="1:18" hidden="1" x14ac:dyDescent="0.25">
      <c r="A900" s="264" t="s">
        <v>366</v>
      </c>
      <c r="B900" s="265">
        <v>45991</v>
      </c>
      <c r="C900" s="264" t="s">
        <v>2057</v>
      </c>
      <c r="D900" s="264" t="s">
        <v>2908</v>
      </c>
      <c r="E900" s="264" t="s">
        <v>689</v>
      </c>
      <c r="F900" s="1" t="s">
        <v>3410</v>
      </c>
      <c r="G900" s="264" t="s">
        <v>26</v>
      </c>
      <c r="H900" s="266">
        <v>-825735.95</v>
      </c>
      <c r="I900" s="13">
        <v>0</v>
      </c>
      <c r="J900" s="264" t="s">
        <v>1126</v>
      </c>
      <c r="K900" s="264" t="s">
        <v>2025</v>
      </c>
      <c r="L900" s="1" t="str">
        <f>VLOOKUP(Advices[[#This Row],[LC Number]],'Combine_List'!A:D,2,0)</f>
        <v>Arnon Plastic Industries Co Ltd</v>
      </c>
      <c r="M900" s="447" t="str">
        <f>VLOOKUP(Advices[[#This Row],[LC Number]],'Combine_List'!A:D,3,0)</f>
        <v>MBL</v>
      </c>
      <c r="N900" s="447" t="str">
        <f>VLOOKUP(Advices[[#This Row],[LC Number]],'Combine_List'!A:D,4,0)</f>
        <v>CEER</v>
      </c>
      <c r="O900" s="447">
        <f>VLOOKUP(Advices[[#This Row],[LC Number]],'Combine_List'!A:E,5,0)</f>
        <v>1020091</v>
      </c>
      <c r="P900" s="447">
        <f>MONTH(Advices[[#This Row],[Transaction Date]])</f>
        <v>11</v>
      </c>
      <c r="Q900" s="447">
        <f>YEAR(Advices[[#This Row],[Transaction Date]])</f>
        <v>2025</v>
      </c>
      <c r="R900" s="1"/>
    </row>
    <row r="901" spans="1:18" hidden="1" x14ac:dyDescent="0.25">
      <c r="A901" s="264" t="s">
        <v>366</v>
      </c>
      <c r="B901" s="265">
        <v>45991</v>
      </c>
      <c r="C901" s="264" t="s">
        <v>2060</v>
      </c>
      <c r="D901" s="264" t="s">
        <v>2909</v>
      </c>
      <c r="E901" s="264" t="s">
        <v>1812</v>
      </c>
      <c r="F901" s="1" t="s">
        <v>3418</v>
      </c>
      <c r="G901" s="264" t="s">
        <v>26</v>
      </c>
      <c r="H901" s="266">
        <v>-784558</v>
      </c>
      <c r="I901" s="13">
        <v>0</v>
      </c>
      <c r="J901" s="264" t="s">
        <v>1126</v>
      </c>
      <c r="K901" s="264" t="s">
        <v>2025</v>
      </c>
      <c r="L901" s="1" t="str">
        <f>VLOOKUP(Advices[[#This Row],[LC Number]],'Combine_List'!A:D,2,0)</f>
        <v>FAISAL AWAD AL HARBI COMPANY</v>
      </c>
      <c r="M901" s="447" t="str">
        <f>VLOOKUP(Advices[[#This Row],[LC Number]],'Combine_List'!A:D,3,0)</f>
        <v>MBL/ICAD</v>
      </c>
      <c r="N901" s="447" t="str">
        <f>VLOOKUP(Advices[[#This Row],[LC Number]],'Combine_List'!A:D,4,0)</f>
        <v>ABHA</v>
      </c>
      <c r="O901" s="447">
        <f>VLOOKUP(Advices[[#This Row],[LC Number]],'Combine_List'!A:E,5,0)</f>
        <v>1020070</v>
      </c>
      <c r="P901" s="447">
        <f>MONTH(Advices[[#This Row],[Transaction Date]])</f>
        <v>11</v>
      </c>
      <c r="Q901" s="447">
        <f>YEAR(Advices[[#This Row],[Transaction Date]])</f>
        <v>2025</v>
      </c>
      <c r="R901" s="1"/>
    </row>
    <row r="902" spans="1:18" hidden="1" x14ac:dyDescent="0.25">
      <c r="A902" s="264" t="s">
        <v>612</v>
      </c>
      <c r="B902" s="265">
        <v>45991</v>
      </c>
      <c r="C902" s="264" t="s">
        <v>2101</v>
      </c>
      <c r="D902" s="264" t="s">
        <v>2910</v>
      </c>
      <c r="E902" s="264" t="s">
        <v>1395</v>
      </c>
      <c r="F902" s="264" t="s">
        <v>2041</v>
      </c>
      <c r="G902" s="264" t="s">
        <v>26</v>
      </c>
      <c r="H902" s="266">
        <v>618700</v>
      </c>
      <c r="I902" s="266">
        <v>0</v>
      </c>
      <c r="J902" s="264" t="s">
        <v>1126</v>
      </c>
      <c r="K902" s="264" t="s">
        <v>2025</v>
      </c>
      <c r="L902" s="1" t="str">
        <f>VLOOKUP(Advices[[#This Row],[LC Number]],'Combine_List'!A:D,2,0)</f>
        <v xml:space="preserve">VOLTAGE ELEMENTS INDUSTRIAL Co. </v>
      </c>
      <c r="M902" s="447" t="str">
        <f>VLOOKUP(Advices[[#This Row],[LC Number]],'Combine_List'!A:D,3,0)</f>
        <v>FIRST FIX</v>
      </c>
      <c r="N902" s="447" t="str">
        <f>VLOOKUP(Advices[[#This Row],[LC Number]],'Combine_List'!A:D,4,0)</f>
        <v>RCRC</v>
      </c>
      <c r="O902" s="447">
        <f>VLOOKUP(Advices[[#This Row],[LC Number]],'Combine_List'!A:E,5,0)</f>
        <v>1020106</v>
      </c>
      <c r="P902" s="447">
        <f>MONTH(Advices[[#This Row],[Transaction Date]])</f>
        <v>11</v>
      </c>
      <c r="Q902" s="447">
        <f>YEAR(Advices[[#This Row],[Transaction Date]])</f>
        <v>2025</v>
      </c>
      <c r="R902" s="1"/>
    </row>
    <row r="903" spans="1:18" hidden="1" x14ac:dyDescent="0.25">
      <c r="A903" s="264" t="s">
        <v>612</v>
      </c>
      <c r="B903" s="265">
        <v>45991</v>
      </c>
      <c r="C903" s="264" t="s">
        <v>2101</v>
      </c>
      <c r="D903" s="264" t="s">
        <v>2911</v>
      </c>
      <c r="E903" s="264" t="s">
        <v>1447</v>
      </c>
      <c r="F903" s="264" t="s">
        <v>2041</v>
      </c>
      <c r="G903" s="264" t="s">
        <v>26</v>
      </c>
      <c r="H903" s="266">
        <v>564484.85</v>
      </c>
      <c r="I903" s="266">
        <v>0</v>
      </c>
      <c r="J903" s="264" t="s">
        <v>1126</v>
      </c>
      <c r="K903" s="264" t="s">
        <v>2025</v>
      </c>
      <c r="L903" s="1" t="str">
        <f>VLOOKUP(Advices[[#This Row],[LC Number]],'Combine_List'!A:D,2,0)</f>
        <v>Metal and Glass Trading Co</v>
      </c>
      <c r="M903" s="447" t="str">
        <f>VLOOKUP(Advices[[#This Row],[LC Number]],'Combine_List'!A:D,3,0)</f>
        <v>FIRST FIX</v>
      </c>
      <c r="N903" s="447" t="str">
        <f>VLOOKUP(Advices[[#This Row],[LC Number]],'Combine_List'!A:D,4,0)</f>
        <v>RCRC</v>
      </c>
      <c r="O903" s="447">
        <f>VLOOKUP(Advices[[#This Row],[LC Number]],'Combine_List'!A:E,5,0)</f>
        <v>1020106</v>
      </c>
      <c r="P903" s="447">
        <f>MONTH(Advices[[#This Row],[Transaction Date]])</f>
        <v>11</v>
      </c>
      <c r="Q903" s="447">
        <f>YEAR(Advices[[#This Row],[Transaction Date]])</f>
        <v>2025</v>
      </c>
      <c r="R903" s="1"/>
    </row>
    <row r="904" spans="1:18" hidden="1" x14ac:dyDescent="0.25">
      <c r="A904" s="264" t="s">
        <v>612</v>
      </c>
      <c r="B904" s="265">
        <v>45991</v>
      </c>
      <c r="C904" s="264" t="s">
        <v>2101</v>
      </c>
      <c r="D904" s="264" t="s">
        <v>2912</v>
      </c>
      <c r="E904" s="264" t="s">
        <v>1820</v>
      </c>
      <c r="F904" s="264" t="s">
        <v>2041</v>
      </c>
      <c r="G904" s="264" t="s">
        <v>26</v>
      </c>
      <c r="H904" s="266">
        <v>148350</v>
      </c>
      <c r="I904" s="266">
        <v>0</v>
      </c>
      <c r="J904" s="264" t="s">
        <v>1126</v>
      </c>
      <c r="K904" s="264" t="s">
        <v>2025</v>
      </c>
      <c r="L904" s="1" t="str">
        <f>VLOOKUP(Advices[[#This Row],[LC Number]],'Combine_List'!A:D,2,0)</f>
        <v>Saudi Benaa Company for Building Materials</v>
      </c>
      <c r="M904" s="447" t="str">
        <f>VLOOKUP(Advices[[#This Row],[LC Number]],'Combine_List'!A:D,3,0)</f>
        <v>FIRST FIX</v>
      </c>
      <c r="N904" s="447" t="str">
        <f>VLOOKUP(Advices[[#This Row],[LC Number]],'Combine_List'!A:D,4,0)</f>
        <v>RCRC</v>
      </c>
      <c r="O904" s="447">
        <f>VLOOKUP(Advices[[#This Row],[LC Number]],'Combine_List'!A:E,5,0)</f>
        <v>1020106</v>
      </c>
      <c r="P904" s="447">
        <f>MONTH(Advices[[#This Row],[Transaction Date]])</f>
        <v>11</v>
      </c>
      <c r="Q904" s="447">
        <f>YEAR(Advices[[#This Row],[Transaction Date]])</f>
        <v>2025</v>
      </c>
      <c r="R904" s="1"/>
    </row>
    <row r="905" spans="1:18" x14ac:dyDescent="0.25">
      <c r="A905" s="264" t="s">
        <v>21</v>
      </c>
      <c r="B905" s="265">
        <v>45992</v>
      </c>
      <c r="C905" s="264" t="s">
        <v>1951</v>
      </c>
      <c r="D905" s="264" t="s">
        <v>1960</v>
      </c>
      <c r="E905" s="264" t="s">
        <v>1661</v>
      </c>
      <c r="F905" s="264" t="s">
        <v>2931</v>
      </c>
      <c r="G905" s="264" t="s">
        <v>26</v>
      </c>
      <c r="H905" s="266">
        <v>-11.25</v>
      </c>
      <c r="I905" s="13">
        <v>0</v>
      </c>
      <c r="J905" s="264" t="s">
        <v>1174</v>
      </c>
      <c r="K905" s="264" t="s">
        <v>2025</v>
      </c>
      <c r="L905" s="1" t="str">
        <f>VLOOKUP(Advices[[#This Row],[LC Number]],'Combine_List'!A:D,2,0)</f>
        <v>ZAHID TRACTOR &amp; HEAVY MACHINERY CO. LTD.</v>
      </c>
      <c r="M905" s="447" t="str">
        <f>VLOOKUP(Advices[[#This Row],[LC Number]],'Combine_List'!A:D,3,0)</f>
        <v>FIRST FIX</v>
      </c>
      <c r="N905" s="447" t="str">
        <f>VLOOKUP(Advices[[#This Row],[LC Number]],'Combine_List'!A:D,4,0)</f>
        <v>KSP</v>
      </c>
      <c r="O905" s="447">
        <f>VLOOKUP(Advices[[#This Row],[LC Number]],'Combine_List'!A:E,5,0)</f>
        <v>1020055</v>
      </c>
      <c r="P905" s="447">
        <f>MONTH(Advices[[#This Row],[Transaction Date]])</f>
        <v>12</v>
      </c>
      <c r="Q905" s="447">
        <f>YEAR(Advices[[#This Row],[Transaction Date]])</f>
        <v>2025</v>
      </c>
      <c r="R905" s="1"/>
    </row>
    <row r="906" spans="1:18" x14ac:dyDescent="0.25">
      <c r="A906" s="264" t="s">
        <v>21</v>
      </c>
      <c r="B906" s="265">
        <v>45992</v>
      </c>
      <c r="C906" s="264" t="s">
        <v>1951</v>
      </c>
      <c r="D906" s="264" t="s">
        <v>2932</v>
      </c>
      <c r="E906" s="264" t="s">
        <v>1661</v>
      </c>
      <c r="F906" s="264" t="s">
        <v>2931</v>
      </c>
      <c r="G906" s="264" t="s">
        <v>26</v>
      </c>
      <c r="H906" s="266">
        <v>-75</v>
      </c>
      <c r="I906" s="13">
        <v>0</v>
      </c>
      <c r="J906" s="264" t="s">
        <v>1963</v>
      </c>
      <c r="K906" s="264" t="s">
        <v>2025</v>
      </c>
      <c r="L906" s="1" t="str">
        <f>VLOOKUP(Advices[[#This Row],[LC Number]],'Combine_List'!A:D,2,0)</f>
        <v>ZAHID TRACTOR &amp; HEAVY MACHINERY CO. LTD.</v>
      </c>
      <c r="M906" s="447" t="str">
        <f>VLOOKUP(Advices[[#This Row],[LC Number]],'Combine_List'!A:D,3,0)</f>
        <v>FIRST FIX</v>
      </c>
      <c r="N906" s="447" t="str">
        <f>VLOOKUP(Advices[[#This Row],[LC Number]],'Combine_List'!A:D,4,0)</f>
        <v>KSP</v>
      </c>
      <c r="O906" s="447">
        <f>VLOOKUP(Advices[[#This Row],[LC Number]],'Combine_List'!A:E,5,0)</f>
        <v>1020055</v>
      </c>
      <c r="P906" s="447">
        <f>MONTH(Advices[[#This Row],[Transaction Date]])</f>
        <v>12</v>
      </c>
      <c r="Q906" s="447">
        <f>YEAR(Advices[[#This Row],[Transaction Date]])</f>
        <v>2025</v>
      </c>
      <c r="R906" s="1"/>
    </row>
    <row r="907" spans="1:18" x14ac:dyDescent="0.25">
      <c r="A907" s="264" t="s">
        <v>21</v>
      </c>
      <c r="B907" s="265">
        <v>45992</v>
      </c>
      <c r="C907" s="264" t="s">
        <v>1951</v>
      </c>
      <c r="D907" s="264" t="s">
        <v>2933</v>
      </c>
      <c r="E907" s="264" t="s">
        <v>1661</v>
      </c>
      <c r="F907" s="264" t="s">
        <v>2931</v>
      </c>
      <c r="G907" s="264" t="s">
        <v>26</v>
      </c>
      <c r="H907" s="266">
        <v>-4106471.65</v>
      </c>
      <c r="I907" s="13">
        <v>0</v>
      </c>
      <c r="J907" s="264" t="s">
        <v>1126</v>
      </c>
      <c r="K907" s="264" t="s">
        <v>2025</v>
      </c>
      <c r="L907" s="1" t="str">
        <f>VLOOKUP(Advices[[#This Row],[LC Number]],'Combine_List'!A:D,2,0)</f>
        <v>ZAHID TRACTOR &amp; HEAVY MACHINERY CO. LTD.</v>
      </c>
      <c r="M907" s="447" t="str">
        <f>VLOOKUP(Advices[[#This Row],[LC Number]],'Combine_List'!A:D,3,0)</f>
        <v>FIRST FIX</v>
      </c>
      <c r="N907" s="447" t="str">
        <f>VLOOKUP(Advices[[#This Row],[LC Number]],'Combine_List'!A:D,4,0)</f>
        <v>KSP</v>
      </c>
      <c r="O907" s="447">
        <f>VLOOKUP(Advices[[#This Row],[LC Number]],'Combine_List'!A:E,5,0)</f>
        <v>1020055</v>
      </c>
      <c r="P907" s="447">
        <f>MONTH(Advices[[#This Row],[Transaction Date]])</f>
        <v>12</v>
      </c>
      <c r="Q907" s="447">
        <f>YEAR(Advices[[#This Row],[Transaction Date]])</f>
        <v>2025</v>
      </c>
      <c r="R907" s="1"/>
    </row>
    <row r="908" spans="1:18" x14ac:dyDescent="0.25">
      <c r="A908" s="264" t="s">
        <v>21</v>
      </c>
      <c r="B908" s="265">
        <v>45992</v>
      </c>
      <c r="C908" s="264" t="s">
        <v>1951</v>
      </c>
      <c r="D908" s="264" t="s">
        <v>1952</v>
      </c>
      <c r="E908" s="264" t="s">
        <v>1659</v>
      </c>
      <c r="F908" s="264" t="s">
        <v>2934</v>
      </c>
      <c r="G908" s="264" t="s">
        <v>26</v>
      </c>
      <c r="H908" s="266">
        <v>-187.5</v>
      </c>
      <c r="I908" s="13">
        <v>0</v>
      </c>
      <c r="J908" s="264" t="s">
        <v>1174</v>
      </c>
      <c r="K908" s="264" t="s">
        <v>2025</v>
      </c>
      <c r="L908" s="1" t="str">
        <f>VLOOKUP(Advices[[#This Row],[LC Number]],'Combine_List'!A:D,2,0)</f>
        <v>AL-HADBANIA TRADING CO.</v>
      </c>
      <c r="M908" s="447" t="str">
        <f>VLOOKUP(Advices[[#This Row],[LC Number]],'Combine_List'!A:D,3,0)</f>
        <v>FIRST FIX</v>
      </c>
      <c r="N908" s="447" t="str">
        <f>VLOOKUP(Advices[[#This Row],[LC Number]],'Combine_List'!A:D,4,0)</f>
        <v>KSP</v>
      </c>
      <c r="O908" s="447">
        <f>VLOOKUP(Advices[[#This Row],[LC Number]],'Combine_List'!A:E,5,0)</f>
        <v>1020055</v>
      </c>
      <c r="P908" s="447">
        <f>MONTH(Advices[[#This Row],[Transaction Date]])</f>
        <v>12</v>
      </c>
      <c r="Q908" s="447">
        <f>YEAR(Advices[[#This Row],[Transaction Date]])</f>
        <v>2025</v>
      </c>
      <c r="R908" s="1"/>
    </row>
    <row r="909" spans="1:18" x14ac:dyDescent="0.25">
      <c r="A909" s="264" t="s">
        <v>21</v>
      </c>
      <c r="B909" s="265">
        <v>45992</v>
      </c>
      <c r="C909" s="264" t="s">
        <v>1951</v>
      </c>
      <c r="D909" s="264" t="s">
        <v>2935</v>
      </c>
      <c r="E909" s="264" t="s">
        <v>1659</v>
      </c>
      <c r="F909" s="264" t="s">
        <v>2934</v>
      </c>
      <c r="G909" s="264" t="s">
        <v>26</v>
      </c>
      <c r="H909" s="266">
        <v>-1250</v>
      </c>
      <c r="I909" s="13">
        <v>0</v>
      </c>
      <c r="J909" s="264" t="s">
        <v>1125</v>
      </c>
      <c r="K909" s="264" t="s">
        <v>2025</v>
      </c>
      <c r="L909" s="1" t="str">
        <f>VLOOKUP(Advices[[#This Row],[LC Number]],'Combine_List'!A:D,2,0)</f>
        <v>AL-HADBANIA TRADING CO.</v>
      </c>
      <c r="M909" s="447" t="str">
        <f>VLOOKUP(Advices[[#This Row],[LC Number]],'Combine_List'!A:D,3,0)</f>
        <v>FIRST FIX</v>
      </c>
      <c r="N909" s="447" t="str">
        <f>VLOOKUP(Advices[[#This Row],[LC Number]],'Combine_List'!A:D,4,0)</f>
        <v>KSP</v>
      </c>
      <c r="O909" s="447">
        <f>VLOOKUP(Advices[[#This Row],[LC Number]],'Combine_List'!A:E,5,0)</f>
        <v>1020055</v>
      </c>
      <c r="P909" s="447">
        <f>MONTH(Advices[[#This Row],[Transaction Date]])</f>
        <v>12</v>
      </c>
      <c r="Q909" s="447">
        <f>YEAR(Advices[[#This Row],[Transaction Date]])</f>
        <v>2025</v>
      </c>
      <c r="R909" s="1"/>
    </row>
    <row r="910" spans="1:18" x14ac:dyDescent="0.25">
      <c r="A910" s="264" t="s">
        <v>21</v>
      </c>
      <c r="B910" s="265">
        <v>45992</v>
      </c>
      <c r="C910" s="264" t="s">
        <v>1951</v>
      </c>
      <c r="D910" s="264" t="s">
        <v>1960</v>
      </c>
      <c r="E910" s="264" t="s">
        <v>1656</v>
      </c>
      <c r="F910" s="264" t="s">
        <v>2936</v>
      </c>
      <c r="G910" s="264" t="s">
        <v>26</v>
      </c>
      <c r="H910" s="266">
        <v>-11.25</v>
      </c>
      <c r="I910" s="13">
        <v>0</v>
      </c>
      <c r="J910" s="264" t="s">
        <v>1174</v>
      </c>
      <c r="K910" s="264" t="s">
        <v>2025</v>
      </c>
      <c r="L910" s="1" t="str">
        <f>VLOOKUP(Advices[[#This Row],[LC Number]],'Combine_List'!A:D,2,0)</f>
        <v>Almansha Almubasher Trading Company</v>
      </c>
      <c r="M910" s="447" t="str">
        <f>VLOOKUP(Advices[[#This Row],[LC Number]],'Combine_List'!A:D,3,0)</f>
        <v>FIRST FIX</v>
      </c>
      <c r="N910" s="447" t="str">
        <f>VLOOKUP(Advices[[#This Row],[LC Number]],'Combine_List'!A:D,4,0)</f>
        <v>KSP</v>
      </c>
      <c r="O910" s="447">
        <f>VLOOKUP(Advices[[#This Row],[LC Number]],'Combine_List'!A:E,5,0)</f>
        <v>1020055</v>
      </c>
      <c r="P910" s="447">
        <f>MONTH(Advices[[#This Row],[Transaction Date]])</f>
        <v>12</v>
      </c>
      <c r="Q910" s="447">
        <f>YEAR(Advices[[#This Row],[Transaction Date]])</f>
        <v>2025</v>
      </c>
      <c r="R910" s="1"/>
    </row>
    <row r="911" spans="1:18" x14ac:dyDescent="0.25">
      <c r="A911" s="264" t="s">
        <v>21</v>
      </c>
      <c r="B911" s="265">
        <v>45992</v>
      </c>
      <c r="C911" s="264" t="s">
        <v>1951</v>
      </c>
      <c r="D911" s="264" t="s">
        <v>2937</v>
      </c>
      <c r="E911" s="264" t="s">
        <v>1656</v>
      </c>
      <c r="F911" s="264" t="s">
        <v>2936</v>
      </c>
      <c r="G911" s="264" t="s">
        <v>26</v>
      </c>
      <c r="H911" s="266">
        <v>-75</v>
      </c>
      <c r="I911" s="13">
        <v>0</v>
      </c>
      <c r="J911" s="264" t="s">
        <v>1963</v>
      </c>
      <c r="K911" s="264" t="s">
        <v>2025</v>
      </c>
      <c r="L911" s="1" t="str">
        <f>VLOOKUP(Advices[[#This Row],[LC Number]],'Combine_List'!A:D,2,0)</f>
        <v>Almansha Almubasher Trading Company</v>
      </c>
      <c r="M911" s="447" t="str">
        <f>VLOOKUP(Advices[[#This Row],[LC Number]],'Combine_List'!A:D,3,0)</f>
        <v>FIRST FIX</v>
      </c>
      <c r="N911" s="447" t="str">
        <f>VLOOKUP(Advices[[#This Row],[LC Number]],'Combine_List'!A:D,4,0)</f>
        <v>KSP</v>
      </c>
      <c r="O911" s="447">
        <f>VLOOKUP(Advices[[#This Row],[LC Number]],'Combine_List'!A:E,5,0)</f>
        <v>1020055</v>
      </c>
      <c r="P911" s="447">
        <f>MONTH(Advices[[#This Row],[Transaction Date]])</f>
        <v>12</v>
      </c>
      <c r="Q911" s="447">
        <f>YEAR(Advices[[#This Row],[Transaction Date]])</f>
        <v>2025</v>
      </c>
      <c r="R911" s="1"/>
    </row>
    <row r="912" spans="1:18" x14ac:dyDescent="0.25">
      <c r="A912" s="264" t="s">
        <v>21</v>
      </c>
      <c r="B912" s="265">
        <v>45992</v>
      </c>
      <c r="C912" s="264" t="s">
        <v>1951</v>
      </c>
      <c r="D912" s="264" t="s">
        <v>2938</v>
      </c>
      <c r="E912" s="264" t="s">
        <v>1656</v>
      </c>
      <c r="F912" s="264" t="s">
        <v>2936</v>
      </c>
      <c r="G912" s="264" t="s">
        <v>26</v>
      </c>
      <c r="H912" s="266">
        <v>-305000</v>
      </c>
      <c r="I912" s="13">
        <v>0</v>
      </c>
      <c r="J912" s="264" t="s">
        <v>1126</v>
      </c>
      <c r="K912" s="264" t="s">
        <v>2025</v>
      </c>
      <c r="L912" s="1" t="str">
        <f>VLOOKUP(Advices[[#This Row],[LC Number]],'Combine_List'!A:D,2,0)</f>
        <v>Almansha Almubasher Trading Company</v>
      </c>
      <c r="M912" s="447" t="str">
        <f>VLOOKUP(Advices[[#This Row],[LC Number]],'Combine_List'!A:D,3,0)</f>
        <v>FIRST FIX</v>
      </c>
      <c r="N912" s="447" t="str">
        <f>VLOOKUP(Advices[[#This Row],[LC Number]],'Combine_List'!A:D,4,0)</f>
        <v>KSP</v>
      </c>
      <c r="O912" s="447">
        <f>VLOOKUP(Advices[[#This Row],[LC Number]],'Combine_List'!A:E,5,0)</f>
        <v>1020055</v>
      </c>
      <c r="P912" s="447">
        <f>MONTH(Advices[[#This Row],[Transaction Date]])</f>
        <v>12</v>
      </c>
      <c r="Q912" s="447">
        <f>YEAR(Advices[[#This Row],[Transaction Date]])</f>
        <v>2025</v>
      </c>
      <c r="R912" s="1"/>
    </row>
    <row r="913" spans="1:18" x14ac:dyDescent="0.25">
      <c r="A913" s="264" t="s">
        <v>21</v>
      </c>
      <c r="B913" s="265">
        <v>45992</v>
      </c>
      <c r="C913" s="264" t="s">
        <v>1951</v>
      </c>
      <c r="D913" s="264" t="s">
        <v>1960</v>
      </c>
      <c r="E913" s="264" t="s">
        <v>1896</v>
      </c>
      <c r="F913" s="264" t="s">
        <v>2826</v>
      </c>
      <c r="G913" s="264" t="s">
        <v>26</v>
      </c>
      <c r="H913" s="266">
        <v>-11.25</v>
      </c>
      <c r="I913" s="13">
        <v>0</v>
      </c>
      <c r="J913" s="264" t="s">
        <v>1174</v>
      </c>
      <c r="K913" s="264" t="s">
        <v>2025</v>
      </c>
      <c r="L913" s="1" t="str">
        <f>VLOOKUP(Advices[[#This Row],[LC Number]],'Combine_List'!A:D,2,0)</f>
        <v>Saudi Perfect Pumps Trading &amp; Manufacturing Company</v>
      </c>
      <c r="M913" s="447" t="str">
        <f>VLOOKUP(Advices[[#This Row],[LC Number]],'Combine_List'!A:D,3,0)</f>
        <v>MBL</v>
      </c>
      <c r="N913" s="447" t="str">
        <f>VLOOKUP(Advices[[#This Row],[LC Number]],'Combine_List'!A:D,4,0)</f>
        <v>Rabigh Power Plant</v>
      </c>
      <c r="O913" s="447">
        <f>VLOOKUP(Advices[[#This Row],[LC Number]],'Combine_List'!A:E,5,0)</f>
        <v>1020107</v>
      </c>
      <c r="P913" s="447">
        <f>MONTH(Advices[[#This Row],[Transaction Date]])</f>
        <v>12</v>
      </c>
      <c r="Q913" s="447">
        <f>YEAR(Advices[[#This Row],[Transaction Date]])</f>
        <v>2025</v>
      </c>
      <c r="R913" s="1"/>
    </row>
    <row r="914" spans="1:18" x14ac:dyDescent="0.25">
      <c r="A914" s="264" t="s">
        <v>21</v>
      </c>
      <c r="B914" s="265">
        <v>45992</v>
      </c>
      <c r="C914" s="264" t="s">
        <v>1951</v>
      </c>
      <c r="D914" s="264" t="s">
        <v>2939</v>
      </c>
      <c r="E914" s="264" t="s">
        <v>1896</v>
      </c>
      <c r="F914" s="264" t="s">
        <v>2826</v>
      </c>
      <c r="G914" s="264" t="s">
        <v>26</v>
      </c>
      <c r="H914" s="266">
        <v>-75</v>
      </c>
      <c r="I914" s="13">
        <v>0</v>
      </c>
      <c r="J914" s="264" t="s">
        <v>1963</v>
      </c>
      <c r="K914" s="264" t="s">
        <v>2025</v>
      </c>
      <c r="L914" s="1" t="str">
        <f>VLOOKUP(Advices[[#This Row],[LC Number]],'Combine_List'!A:D,2,0)</f>
        <v>Saudi Perfect Pumps Trading &amp; Manufacturing Company</v>
      </c>
      <c r="M914" s="447" t="str">
        <f>VLOOKUP(Advices[[#This Row],[LC Number]],'Combine_List'!A:D,3,0)</f>
        <v>MBL</v>
      </c>
      <c r="N914" s="447" t="str">
        <f>VLOOKUP(Advices[[#This Row],[LC Number]],'Combine_List'!A:D,4,0)</f>
        <v>Rabigh Power Plant</v>
      </c>
      <c r="O914" s="447">
        <f>VLOOKUP(Advices[[#This Row],[LC Number]],'Combine_List'!A:E,5,0)</f>
        <v>1020107</v>
      </c>
      <c r="P914" s="447">
        <f>MONTH(Advices[[#This Row],[Transaction Date]])</f>
        <v>12</v>
      </c>
      <c r="Q914" s="447">
        <f>YEAR(Advices[[#This Row],[Transaction Date]])</f>
        <v>2025</v>
      </c>
      <c r="R914" s="1"/>
    </row>
    <row r="915" spans="1:18" x14ac:dyDescent="0.25">
      <c r="A915" s="264" t="s">
        <v>21</v>
      </c>
      <c r="B915" s="265">
        <v>45992</v>
      </c>
      <c r="C915" s="264" t="s">
        <v>1951</v>
      </c>
      <c r="D915" s="264" t="s">
        <v>2940</v>
      </c>
      <c r="E915" s="264" t="s">
        <v>1896</v>
      </c>
      <c r="F915" s="264" t="s">
        <v>2826</v>
      </c>
      <c r="G915" s="264" t="s">
        <v>26</v>
      </c>
      <c r="H915" s="266">
        <v>-1479500</v>
      </c>
      <c r="I915" s="13">
        <v>0</v>
      </c>
      <c r="J915" s="264" t="s">
        <v>1126</v>
      </c>
      <c r="K915" s="264" t="s">
        <v>2025</v>
      </c>
      <c r="L915" s="1" t="str">
        <f>VLOOKUP(Advices[[#This Row],[LC Number]],'Combine_List'!A:D,2,0)</f>
        <v>Saudi Perfect Pumps Trading &amp; Manufacturing Company</v>
      </c>
      <c r="M915" s="447" t="str">
        <f>VLOOKUP(Advices[[#This Row],[LC Number]],'Combine_List'!A:D,3,0)</f>
        <v>MBL</v>
      </c>
      <c r="N915" s="447" t="str">
        <f>VLOOKUP(Advices[[#This Row],[LC Number]],'Combine_List'!A:D,4,0)</f>
        <v>Rabigh Power Plant</v>
      </c>
      <c r="O915" s="447">
        <f>VLOOKUP(Advices[[#This Row],[LC Number]],'Combine_List'!A:E,5,0)</f>
        <v>1020107</v>
      </c>
      <c r="P915" s="447">
        <f>MONTH(Advices[[#This Row],[Transaction Date]])</f>
        <v>12</v>
      </c>
      <c r="Q915" s="447">
        <f>YEAR(Advices[[#This Row],[Transaction Date]])</f>
        <v>2025</v>
      </c>
      <c r="R915" s="1"/>
    </row>
    <row r="916" spans="1:18" x14ac:dyDescent="0.25">
      <c r="A916" s="264" t="s">
        <v>21</v>
      </c>
      <c r="B916" s="265">
        <v>45992</v>
      </c>
      <c r="C916" s="264" t="s">
        <v>1951</v>
      </c>
      <c r="D916" s="264" t="s">
        <v>2941</v>
      </c>
      <c r="E916" s="264" t="s">
        <v>1895</v>
      </c>
      <c r="F916" s="264" t="s">
        <v>1895</v>
      </c>
      <c r="G916" s="264" t="s">
        <v>26</v>
      </c>
      <c r="H916" s="266">
        <v>-37.5</v>
      </c>
      <c r="I916" s="13">
        <v>0</v>
      </c>
      <c r="J916" s="264" t="s">
        <v>1174</v>
      </c>
      <c r="K916" s="264" t="s">
        <v>2025</v>
      </c>
      <c r="L916" s="1" t="str">
        <f>VLOOKUP(Advices[[#This Row],[LC Number]],'Combine_List'!A:D,2,0)</f>
        <v>BRC Industrial (Saudia) Company</v>
      </c>
      <c r="M916" s="447" t="str">
        <f>VLOOKUP(Advices[[#This Row],[LC Number]],'Combine_List'!A:D,3,0)</f>
        <v>MBL</v>
      </c>
      <c r="N916" s="447" t="str">
        <f>VLOOKUP(Advices[[#This Row],[LC Number]],'Combine_List'!A:D,4,0)</f>
        <v>Rabigh Power Plant</v>
      </c>
      <c r="O916" s="447">
        <f>VLOOKUP(Advices[[#This Row],[LC Number]],'Combine_List'!A:E,5,0)</f>
        <v>1020107</v>
      </c>
      <c r="P916" s="447">
        <f>MONTH(Advices[[#This Row],[Transaction Date]])</f>
        <v>12</v>
      </c>
      <c r="Q916" s="447">
        <f>YEAR(Advices[[#This Row],[Transaction Date]])</f>
        <v>2025</v>
      </c>
      <c r="R916" s="1"/>
    </row>
    <row r="917" spans="1:18" x14ac:dyDescent="0.25">
      <c r="A917" s="264" t="s">
        <v>21</v>
      </c>
      <c r="B917" s="265">
        <v>45992</v>
      </c>
      <c r="C917" s="264" t="s">
        <v>1951</v>
      </c>
      <c r="D917" s="264" t="s">
        <v>2196</v>
      </c>
      <c r="E917" s="264" t="s">
        <v>1895</v>
      </c>
      <c r="F917" s="264" t="s">
        <v>1895</v>
      </c>
      <c r="G917" s="264" t="s">
        <v>26</v>
      </c>
      <c r="H917" s="266">
        <v>-250</v>
      </c>
      <c r="I917" s="13">
        <v>0</v>
      </c>
      <c r="J917" s="264" t="s">
        <v>1963</v>
      </c>
      <c r="K917" s="264" t="s">
        <v>2025</v>
      </c>
      <c r="L917" s="1" t="str">
        <f>VLOOKUP(Advices[[#This Row],[LC Number]],'Combine_List'!A:D,2,0)</f>
        <v>BRC Industrial (Saudia) Company</v>
      </c>
      <c r="M917" s="447" t="str">
        <f>VLOOKUP(Advices[[#This Row],[LC Number]],'Combine_List'!A:D,3,0)</f>
        <v>MBL</v>
      </c>
      <c r="N917" s="447" t="str">
        <f>VLOOKUP(Advices[[#This Row],[LC Number]],'Combine_List'!A:D,4,0)</f>
        <v>Rabigh Power Plant</v>
      </c>
      <c r="O917" s="447">
        <f>VLOOKUP(Advices[[#This Row],[LC Number]],'Combine_List'!A:E,5,0)</f>
        <v>1020107</v>
      </c>
      <c r="P917" s="447">
        <f>MONTH(Advices[[#This Row],[Transaction Date]])</f>
        <v>12</v>
      </c>
      <c r="Q917" s="447">
        <f>YEAR(Advices[[#This Row],[Transaction Date]])</f>
        <v>2025</v>
      </c>
      <c r="R917" s="1"/>
    </row>
    <row r="918" spans="1:18" x14ac:dyDescent="0.25">
      <c r="A918" s="264" t="s">
        <v>21</v>
      </c>
      <c r="B918" s="265">
        <v>45992</v>
      </c>
      <c r="C918" s="264" t="s">
        <v>1951</v>
      </c>
      <c r="D918" s="264" t="s">
        <v>2941</v>
      </c>
      <c r="E918" s="264" t="s">
        <v>1895</v>
      </c>
      <c r="F918" s="264" t="s">
        <v>1895</v>
      </c>
      <c r="G918" s="264" t="s">
        <v>26</v>
      </c>
      <c r="H918" s="266">
        <v>-583.4</v>
      </c>
      <c r="I918" s="13">
        <v>0</v>
      </c>
      <c r="J918" s="264" t="s">
        <v>1174</v>
      </c>
      <c r="K918" s="264" t="s">
        <v>2025</v>
      </c>
      <c r="L918" s="1" t="str">
        <f>VLOOKUP(Advices[[#This Row],[LC Number]],'Combine_List'!A:D,2,0)</f>
        <v>BRC Industrial (Saudia) Company</v>
      </c>
      <c r="M918" s="447" t="str">
        <f>VLOOKUP(Advices[[#This Row],[LC Number]],'Combine_List'!A:D,3,0)</f>
        <v>MBL</v>
      </c>
      <c r="N918" s="447" t="str">
        <f>VLOOKUP(Advices[[#This Row],[LC Number]],'Combine_List'!A:D,4,0)</f>
        <v>Rabigh Power Plant</v>
      </c>
      <c r="O918" s="447">
        <f>VLOOKUP(Advices[[#This Row],[LC Number]],'Combine_List'!A:E,5,0)</f>
        <v>1020107</v>
      </c>
      <c r="P918" s="447">
        <f>MONTH(Advices[[#This Row],[Transaction Date]])</f>
        <v>12</v>
      </c>
      <c r="Q918" s="447">
        <f>YEAR(Advices[[#This Row],[Transaction Date]])</f>
        <v>2025</v>
      </c>
      <c r="R918" s="1"/>
    </row>
    <row r="919" spans="1:18" x14ac:dyDescent="0.25">
      <c r="A919" s="264" t="s">
        <v>21</v>
      </c>
      <c r="B919" s="265">
        <v>45992</v>
      </c>
      <c r="C919" s="264" t="s">
        <v>1951</v>
      </c>
      <c r="D919" s="264" t="s">
        <v>2197</v>
      </c>
      <c r="E919" s="264" t="s">
        <v>1895</v>
      </c>
      <c r="F919" s="264" t="s">
        <v>1895</v>
      </c>
      <c r="G919" s="264" t="s">
        <v>26</v>
      </c>
      <c r="H919" s="266">
        <v>-3889.34</v>
      </c>
      <c r="I919" s="13">
        <v>0</v>
      </c>
      <c r="J919" s="264" t="s">
        <v>1124</v>
      </c>
      <c r="K919" s="264" t="s">
        <v>2025</v>
      </c>
      <c r="L919" s="1" t="str">
        <f>VLOOKUP(Advices[[#This Row],[LC Number]],'Combine_List'!A:D,2,0)</f>
        <v>BRC Industrial (Saudia) Company</v>
      </c>
      <c r="M919" s="447" t="str">
        <f>VLOOKUP(Advices[[#This Row],[LC Number]],'Combine_List'!A:D,3,0)</f>
        <v>MBL</v>
      </c>
      <c r="N919" s="447" t="str">
        <f>VLOOKUP(Advices[[#This Row],[LC Number]],'Combine_List'!A:D,4,0)</f>
        <v>Rabigh Power Plant</v>
      </c>
      <c r="O919" s="447">
        <f>VLOOKUP(Advices[[#This Row],[LC Number]],'Combine_List'!A:E,5,0)</f>
        <v>1020107</v>
      </c>
      <c r="P919" s="447">
        <f>MONTH(Advices[[#This Row],[Transaction Date]])</f>
        <v>12</v>
      </c>
      <c r="Q919" s="447">
        <f>YEAR(Advices[[#This Row],[Transaction Date]])</f>
        <v>2025</v>
      </c>
      <c r="R919" s="1"/>
    </row>
    <row r="920" spans="1:18" x14ac:dyDescent="0.25">
      <c r="A920" s="264" t="s">
        <v>21</v>
      </c>
      <c r="B920" s="265">
        <v>45993</v>
      </c>
      <c r="C920" s="264" t="s">
        <v>1951</v>
      </c>
      <c r="D920" s="264" t="s">
        <v>1952</v>
      </c>
      <c r="E920" s="264" t="s">
        <v>1350</v>
      </c>
      <c r="F920" s="264" t="s">
        <v>2942</v>
      </c>
      <c r="G920" s="264" t="s">
        <v>26</v>
      </c>
      <c r="H920" s="266">
        <v>-187.5</v>
      </c>
      <c r="I920" s="13">
        <v>0</v>
      </c>
      <c r="J920" s="264" t="s">
        <v>1174</v>
      </c>
      <c r="K920" s="264" t="s">
        <v>2025</v>
      </c>
      <c r="L920" s="1" t="str">
        <f>VLOOKUP(Advices[[#This Row],[LC Number]],'Combine_List'!A:D,2,0)</f>
        <v>ANSSAM AL RIYADH CONTRACTING EST</v>
      </c>
      <c r="M920" s="447" t="str">
        <f>VLOOKUP(Advices[[#This Row],[LC Number]],'Combine_List'!A:D,3,0)</f>
        <v>FIRST FIX</v>
      </c>
      <c r="N920" s="447" t="str">
        <f>VLOOKUP(Advices[[#This Row],[LC Number]],'Combine_List'!A:D,4,0)</f>
        <v>KSP</v>
      </c>
      <c r="O920" s="447">
        <f>VLOOKUP(Advices[[#This Row],[LC Number]],'Combine_List'!A:E,5,0)</f>
        <v>1020055</v>
      </c>
      <c r="P920" s="447">
        <f>MONTH(Advices[[#This Row],[Transaction Date]])</f>
        <v>12</v>
      </c>
      <c r="Q920" s="447">
        <f>YEAR(Advices[[#This Row],[Transaction Date]])</f>
        <v>2025</v>
      </c>
      <c r="R920" s="1"/>
    </row>
    <row r="921" spans="1:18" x14ac:dyDescent="0.25">
      <c r="A921" s="264" t="s">
        <v>21</v>
      </c>
      <c r="B921" s="265">
        <v>45993</v>
      </c>
      <c r="C921" s="264" t="s">
        <v>1951</v>
      </c>
      <c r="D921" s="264" t="s">
        <v>2943</v>
      </c>
      <c r="E921" s="264" t="s">
        <v>1350</v>
      </c>
      <c r="F921" s="264" t="s">
        <v>2942</v>
      </c>
      <c r="G921" s="264" t="s">
        <v>26</v>
      </c>
      <c r="H921" s="266">
        <v>-1250</v>
      </c>
      <c r="I921" s="13">
        <v>0</v>
      </c>
      <c r="J921" s="264" t="s">
        <v>1125</v>
      </c>
      <c r="K921" s="264" t="s">
        <v>2025</v>
      </c>
      <c r="L921" s="1" t="str">
        <f>VLOOKUP(Advices[[#This Row],[LC Number]],'Combine_List'!A:D,2,0)</f>
        <v>ANSSAM AL RIYADH CONTRACTING EST</v>
      </c>
      <c r="M921" s="447" t="str">
        <f>VLOOKUP(Advices[[#This Row],[LC Number]],'Combine_List'!A:D,3,0)</f>
        <v>FIRST FIX</v>
      </c>
      <c r="N921" s="447" t="str">
        <f>VLOOKUP(Advices[[#This Row],[LC Number]],'Combine_List'!A:D,4,0)</f>
        <v>KSP</v>
      </c>
      <c r="O921" s="447">
        <f>VLOOKUP(Advices[[#This Row],[LC Number]],'Combine_List'!A:E,5,0)</f>
        <v>1020055</v>
      </c>
      <c r="P921" s="447">
        <f>MONTH(Advices[[#This Row],[Transaction Date]])</f>
        <v>12</v>
      </c>
      <c r="Q921" s="447">
        <f>YEAR(Advices[[#This Row],[Transaction Date]])</f>
        <v>2025</v>
      </c>
      <c r="R921" s="1"/>
    </row>
    <row r="922" spans="1:18" x14ac:dyDescent="0.25">
      <c r="A922" s="264" t="s">
        <v>21</v>
      </c>
      <c r="B922" s="265">
        <v>45993</v>
      </c>
      <c r="C922" s="264" t="s">
        <v>1951</v>
      </c>
      <c r="D922" s="264" t="s">
        <v>1952</v>
      </c>
      <c r="E922" s="264" t="s">
        <v>1410</v>
      </c>
      <c r="F922" s="264" t="s">
        <v>2944</v>
      </c>
      <c r="G922" s="264" t="s">
        <v>26</v>
      </c>
      <c r="H922" s="266">
        <v>-187.5</v>
      </c>
      <c r="I922" s="13">
        <v>0</v>
      </c>
      <c r="J922" s="264" t="s">
        <v>1174</v>
      </c>
      <c r="K922" s="264" t="s">
        <v>2025</v>
      </c>
      <c r="L922" s="1" t="str">
        <f>VLOOKUP(Advices[[#This Row],[LC Number]],'Combine_List'!A:D,2,0)</f>
        <v>MAWARID AISHAMELA TRADING CO.</v>
      </c>
      <c r="M922" s="447" t="str">
        <f>VLOOKUP(Advices[[#This Row],[LC Number]],'Combine_List'!A:D,3,0)</f>
        <v>FIRST FIX</v>
      </c>
      <c r="N922" s="447" t="str">
        <f>VLOOKUP(Advices[[#This Row],[LC Number]],'Combine_List'!A:D,4,0)</f>
        <v>KSP</v>
      </c>
      <c r="O922" s="447">
        <f>VLOOKUP(Advices[[#This Row],[LC Number]],'Combine_List'!A:E,5,0)</f>
        <v>1020055</v>
      </c>
      <c r="P922" s="447">
        <f>MONTH(Advices[[#This Row],[Transaction Date]])</f>
        <v>12</v>
      </c>
      <c r="Q922" s="447">
        <f>YEAR(Advices[[#This Row],[Transaction Date]])</f>
        <v>2025</v>
      </c>
      <c r="R922" s="1"/>
    </row>
    <row r="923" spans="1:18" x14ac:dyDescent="0.25">
      <c r="A923" s="264" t="s">
        <v>21</v>
      </c>
      <c r="B923" s="265">
        <v>45993</v>
      </c>
      <c r="C923" s="264" t="s">
        <v>1951</v>
      </c>
      <c r="D923" s="264" t="s">
        <v>2945</v>
      </c>
      <c r="E923" s="264" t="s">
        <v>1410</v>
      </c>
      <c r="F923" s="264" t="s">
        <v>2944</v>
      </c>
      <c r="G923" s="264" t="s">
        <v>26</v>
      </c>
      <c r="H923" s="266">
        <v>-1250</v>
      </c>
      <c r="I923" s="13">
        <v>0</v>
      </c>
      <c r="J923" s="264" t="s">
        <v>1125</v>
      </c>
      <c r="K923" s="264" t="s">
        <v>2025</v>
      </c>
      <c r="L923" s="1" t="str">
        <f>VLOOKUP(Advices[[#This Row],[LC Number]],'Combine_List'!A:D,2,0)</f>
        <v>MAWARID AISHAMELA TRADING CO.</v>
      </c>
      <c r="M923" s="447" t="str">
        <f>VLOOKUP(Advices[[#This Row],[LC Number]],'Combine_List'!A:D,3,0)</f>
        <v>FIRST FIX</v>
      </c>
      <c r="N923" s="447" t="str">
        <f>VLOOKUP(Advices[[#This Row],[LC Number]],'Combine_List'!A:D,4,0)</f>
        <v>KSP</v>
      </c>
      <c r="O923" s="447">
        <f>VLOOKUP(Advices[[#This Row],[LC Number]],'Combine_List'!A:E,5,0)</f>
        <v>1020055</v>
      </c>
      <c r="P923" s="447">
        <f>MONTH(Advices[[#This Row],[Transaction Date]])</f>
        <v>12</v>
      </c>
      <c r="Q923" s="447">
        <f>YEAR(Advices[[#This Row],[Transaction Date]])</f>
        <v>2025</v>
      </c>
      <c r="R923" s="1"/>
    </row>
    <row r="924" spans="1:18" x14ac:dyDescent="0.25">
      <c r="A924" s="264" t="s">
        <v>21</v>
      </c>
      <c r="B924" s="265">
        <v>45993</v>
      </c>
      <c r="C924" s="264" t="s">
        <v>1951</v>
      </c>
      <c r="D924" s="264" t="s">
        <v>2946</v>
      </c>
      <c r="E924" s="264" t="s">
        <v>1517</v>
      </c>
      <c r="F924" s="264" t="s">
        <v>2947</v>
      </c>
      <c r="G924" s="264" t="s">
        <v>26</v>
      </c>
      <c r="H924" s="266">
        <v>-283.93</v>
      </c>
      <c r="I924" s="13">
        <v>0</v>
      </c>
      <c r="J924" s="264" t="s">
        <v>1174</v>
      </c>
      <c r="K924" s="264" t="s">
        <v>2025</v>
      </c>
      <c r="L924" s="1" t="str">
        <f>VLOOKUP(Advices[[#This Row],[LC Number]],'Combine_List'!A:D,2,0)</f>
        <v>ENGINEERING STYLES EST FOR CONTRACTING</v>
      </c>
      <c r="M924" s="447" t="str">
        <f>VLOOKUP(Advices[[#This Row],[LC Number]],'Combine_List'!A:D,3,0)</f>
        <v>FIRST FIX</v>
      </c>
      <c r="N924" s="447" t="str">
        <f>VLOOKUP(Advices[[#This Row],[LC Number]],'Combine_List'!A:D,4,0)</f>
        <v>JCD SPMI</v>
      </c>
      <c r="O924" s="447">
        <f>VLOOKUP(Advices[[#This Row],[LC Number]],'Combine_List'!A:E,5,0)</f>
        <v>1020100</v>
      </c>
      <c r="P924" s="447">
        <f>MONTH(Advices[[#This Row],[Transaction Date]])</f>
        <v>12</v>
      </c>
      <c r="Q924" s="447">
        <f>YEAR(Advices[[#This Row],[Transaction Date]])</f>
        <v>2025</v>
      </c>
      <c r="R924" s="1"/>
    </row>
    <row r="925" spans="1:18" x14ac:dyDescent="0.25">
      <c r="A925" s="264" t="s">
        <v>21</v>
      </c>
      <c r="B925" s="265">
        <v>45993</v>
      </c>
      <c r="C925" s="264" t="s">
        <v>1951</v>
      </c>
      <c r="D925" s="264" t="s">
        <v>2948</v>
      </c>
      <c r="E925" s="264" t="s">
        <v>1517</v>
      </c>
      <c r="F925" s="264" t="s">
        <v>2947</v>
      </c>
      <c r="G925" s="264" t="s">
        <v>26</v>
      </c>
      <c r="H925" s="266">
        <v>-1892.87</v>
      </c>
      <c r="I925" s="13">
        <v>0</v>
      </c>
      <c r="J925" s="264" t="s">
        <v>1125</v>
      </c>
      <c r="K925" s="264" t="s">
        <v>2025</v>
      </c>
      <c r="L925" s="1" t="str">
        <f>VLOOKUP(Advices[[#This Row],[LC Number]],'Combine_List'!A:D,2,0)</f>
        <v>ENGINEERING STYLES EST FOR CONTRACTING</v>
      </c>
      <c r="M925" s="447" t="str">
        <f>VLOOKUP(Advices[[#This Row],[LC Number]],'Combine_List'!A:D,3,0)</f>
        <v>FIRST FIX</v>
      </c>
      <c r="N925" s="447" t="str">
        <f>VLOOKUP(Advices[[#This Row],[LC Number]],'Combine_List'!A:D,4,0)</f>
        <v>JCD SPMI</v>
      </c>
      <c r="O925" s="447">
        <f>VLOOKUP(Advices[[#This Row],[LC Number]],'Combine_List'!A:E,5,0)</f>
        <v>1020100</v>
      </c>
      <c r="P925" s="447">
        <f>MONTH(Advices[[#This Row],[Transaction Date]])</f>
        <v>12</v>
      </c>
      <c r="Q925" s="447">
        <f>YEAR(Advices[[#This Row],[Transaction Date]])</f>
        <v>2025</v>
      </c>
      <c r="R925" s="1"/>
    </row>
    <row r="926" spans="1:18" x14ac:dyDescent="0.25">
      <c r="A926" s="264" t="s">
        <v>21</v>
      </c>
      <c r="B926" s="265">
        <v>45993</v>
      </c>
      <c r="C926" s="264" t="s">
        <v>1951</v>
      </c>
      <c r="D926" s="264" t="s">
        <v>1960</v>
      </c>
      <c r="E926" s="264" t="s">
        <v>1767</v>
      </c>
      <c r="F926" s="264" t="s">
        <v>2949</v>
      </c>
      <c r="G926" s="264" t="s">
        <v>26</v>
      </c>
      <c r="H926" s="266">
        <v>-11.25</v>
      </c>
      <c r="I926" s="13">
        <v>0</v>
      </c>
      <c r="J926" s="264" t="s">
        <v>1174</v>
      </c>
      <c r="K926" s="264" t="s">
        <v>2025</v>
      </c>
      <c r="L926" s="1" t="str">
        <f>VLOOKUP(Advices[[#This Row],[LC Number]],'Combine_List'!A:D,2,0)</f>
        <v>Al Arabia Construction &amp; Building Co.</v>
      </c>
      <c r="M926" s="447" t="str">
        <f>VLOOKUP(Advices[[#This Row],[LC Number]],'Combine_List'!A:D,3,0)</f>
        <v>MBL</v>
      </c>
      <c r="N926" s="447" t="str">
        <f>VLOOKUP(Advices[[#This Row],[LC Number]],'Combine_List'!A:D,4,0)</f>
        <v>Rabigh Power Plant</v>
      </c>
      <c r="O926" s="447">
        <f>VLOOKUP(Advices[[#This Row],[LC Number]],'Combine_List'!A:E,5,0)</f>
        <v>1020107</v>
      </c>
      <c r="P926" s="447">
        <f>MONTH(Advices[[#This Row],[Transaction Date]])</f>
        <v>12</v>
      </c>
      <c r="Q926" s="447">
        <f>YEAR(Advices[[#This Row],[Transaction Date]])</f>
        <v>2025</v>
      </c>
      <c r="R926" s="1"/>
    </row>
    <row r="927" spans="1:18" x14ac:dyDescent="0.25">
      <c r="A927" s="264" t="s">
        <v>21</v>
      </c>
      <c r="B927" s="265">
        <v>45993</v>
      </c>
      <c r="C927" s="264" t="s">
        <v>1951</v>
      </c>
      <c r="D927" s="264" t="s">
        <v>2950</v>
      </c>
      <c r="E927" s="264" t="s">
        <v>1767</v>
      </c>
      <c r="F927" s="264" t="s">
        <v>2949</v>
      </c>
      <c r="G927" s="264" t="s">
        <v>26</v>
      </c>
      <c r="H927" s="266">
        <v>-75</v>
      </c>
      <c r="I927" s="13">
        <v>0</v>
      </c>
      <c r="J927" s="264" t="s">
        <v>1963</v>
      </c>
      <c r="K927" s="264" t="s">
        <v>2025</v>
      </c>
      <c r="L927" s="1" t="str">
        <f>VLOOKUP(Advices[[#This Row],[LC Number]],'Combine_List'!A:D,2,0)</f>
        <v>Al Arabia Construction &amp; Building Co.</v>
      </c>
      <c r="M927" s="447" t="str">
        <f>VLOOKUP(Advices[[#This Row],[LC Number]],'Combine_List'!A:D,3,0)</f>
        <v>MBL</v>
      </c>
      <c r="N927" s="447" t="str">
        <f>VLOOKUP(Advices[[#This Row],[LC Number]],'Combine_List'!A:D,4,0)</f>
        <v>Rabigh Power Plant</v>
      </c>
      <c r="O927" s="447">
        <f>VLOOKUP(Advices[[#This Row],[LC Number]],'Combine_List'!A:E,5,0)</f>
        <v>1020107</v>
      </c>
      <c r="P927" s="447">
        <f>MONTH(Advices[[#This Row],[Transaction Date]])</f>
        <v>12</v>
      </c>
      <c r="Q927" s="447">
        <f>YEAR(Advices[[#This Row],[Transaction Date]])</f>
        <v>2025</v>
      </c>
      <c r="R927" s="1"/>
    </row>
    <row r="928" spans="1:18" x14ac:dyDescent="0.25">
      <c r="A928" s="264" t="s">
        <v>21</v>
      </c>
      <c r="B928" s="265">
        <v>45993</v>
      </c>
      <c r="C928" s="264" t="s">
        <v>1951</v>
      </c>
      <c r="D928" s="264" t="s">
        <v>2951</v>
      </c>
      <c r="E928" s="264" t="s">
        <v>1767</v>
      </c>
      <c r="F928" s="264" t="s">
        <v>2949</v>
      </c>
      <c r="G928" s="264" t="s">
        <v>26</v>
      </c>
      <c r="H928" s="266">
        <v>-204.24</v>
      </c>
      <c r="I928" s="13">
        <v>0</v>
      </c>
      <c r="J928" s="264" t="s">
        <v>1174</v>
      </c>
      <c r="K928" s="264" t="s">
        <v>2025</v>
      </c>
      <c r="L928" s="1" t="str">
        <f>VLOOKUP(Advices[[#This Row],[LC Number]],'Combine_List'!A:D,2,0)</f>
        <v>Al Arabia Construction &amp; Building Co.</v>
      </c>
      <c r="M928" s="447" t="str">
        <f>VLOOKUP(Advices[[#This Row],[LC Number]],'Combine_List'!A:D,3,0)</f>
        <v>MBL</v>
      </c>
      <c r="N928" s="447" t="str">
        <f>VLOOKUP(Advices[[#This Row],[LC Number]],'Combine_List'!A:D,4,0)</f>
        <v>Rabigh Power Plant</v>
      </c>
      <c r="O928" s="447">
        <f>VLOOKUP(Advices[[#This Row],[LC Number]],'Combine_List'!A:E,5,0)</f>
        <v>1020107</v>
      </c>
      <c r="P928" s="447">
        <f>MONTH(Advices[[#This Row],[Transaction Date]])</f>
        <v>12</v>
      </c>
      <c r="Q928" s="447">
        <f>YEAR(Advices[[#This Row],[Transaction Date]])</f>
        <v>2025</v>
      </c>
      <c r="R928" s="1"/>
    </row>
    <row r="929" spans="1:18" x14ac:dyDescent="0.25">
      <c r="A929" s="264" t="s">
        <v>21</v>
      </c>
      <c r="B929" s="265">
        <v>45993</v>
      </c>
      <c r="C929" s="264" t="s">
        <v>1951</v>
      </c>
      <c r="D929" s="264" t="s">
        <v>2952</v>
      </c>
      <c r="E929" s="264" t="s">
        <v>1767</v>
      </c>
      <c r="F929" s="264" t="s">
        <v>2949</v>
      </c>
      <c r="G929" s="264" t="s">
        <v>26</v>
      </c>
      <c r="H929" s="266">
        <v>-1361.57</v>
      </c>
      <c r="I929" s="13">
        <v>0</v>
      </c>
      <c r="J929" s="264" t="s">
        <v>1125</v>
      </c>
      <c r="K929" s="264" t="s">
        <v>2025</v>
      </c>
      <c r="L929" s="1" t="str">
        <f>VLOOKUP(Advices[[#This Row],[LC Number]],'Combine_List'!A:D,2,0)</f>
        <v>Al Arabia Construction &amp; Building Co.</v>
      </c>
      <c r="M929" s="447" t="str">
        <f>VLOOKUP(Advices[[#This Row],[LC Number]],'Combine_List'!A:D,3,0)</f>
        <v>MBL</v>
      </c>
      <c r="N929" s="447" t="str">
        <f>VLOOKUP(Advices[[#This Row],[LC Number]],'Combine_List'!A:D,4,0)</f>
        <v>Rabigh Power Plant</v>
      </c>
      <c r="O929" s="447">
        <f>VLOOKUP(Advices[[#This Row],[LC Number]],'Combine_List'!A:E,5,0)</f>
        <v>1020107</v>
      </c>
      <c r="P929" s="447">
        <f>MONTH(Advices[[#This Row],[Transaction Date]])</f>
        <v>12</v>
      </c>
      <c r="Q929" s="447">
        <f>YEAR(Advices[[#This Row],[Transaction Date]])</f>
        <v>2025</v>
      </c>
      <c r="R929" s="1"/>
    </row>
    <row r="930" spans="1:18" x14ac:dyDescent="0.25">
      <c r="A930" s="264" t="s">
        <v>21</v>
      </c>
      <c r="B930" s="265">
        <v>45993</v>
      </c>
      <c r="C930" s="264" t="s">
        <v>1951</v>
      </c>
      <c r="D930" s="264" t="s">
        <v>2953</v>
      </c>
      <c r="E930" s="264" t="s">
        <v>1767</v>
      </c>
      <c r="F930" s="264" t="s">
        <v>2949</v>
      </c>
      <c r="G930" s="264" t="s">
        <v>26</v>
      </c>
      <c r="H930" s="266">
        <v>-272312.64</v>
      </c>
      <c r="I930" s="13">
        <v>0</v>
      </c>
      <c r="J930" s="264" t="s">
        <v>1126</v>
      </c>
      <c r="K930" s="264" t="s">
        <v>2025</v>
      </c>
      <c r="L930" s="1" t="str">
        <f>VLOOKUP(Advices[[#This Row],[LC Number]],'Combine_List'!A:D,2,0)</f>
        <v>Al Arabia Construction &amp; Building Co.</v>
      </c>
      <c r="M930" s="447" t="str">
        <f>VLOOKUP(Advices[[#This Row],[LC Number]],'Combine_List'!A:D,3,0)</f>
        <v>MBL</v>
      </c>
      <c r="N930" s="447" t="str">
        <f>VLOOKUP(Advices[[#This Row],[LC Number]],'Combine_List'!A:D,4,0)</f>
        <v>Rabigh Power Plant</v>
      </c>
      <c r="O930" s="447">
        <f>VLOOKUP(Advices[[#This Row],[LC Number]],'Combine_List'!A:E,5,0)</f>
        <v>1020107</v>
      </c>
      <c r="P930" s="447">
        <f>MONTH(Advices[[#This Row],[Transaction Date]])</f>
        <v>12</v>
      </c>
      <c r="Q930" s="447">
        <f>YEAR(Advices[[#This Row],[Transaction Date]])</f>
        <v>2025</v>
      </c>
      <c r="R930" s="1"/>
    </row>
    <row r="931" spans="1:18" x14ac:dyDescent="0.25">
      <c r="A931" s="264" t="s">
        <v>21</v>
      </c>
      <c r="B931" s="265">
        <v>45993</v>
      </c>
      <c r="C931" s="264" t="s">
        <v>1951</v>
      </c>
      <c r="D931" s="264" t="s">
        <v>1952</v>
      </c>
      <c r="E931" s="264" t="s">
        <v>1794</v>
      </c>
      <c r="F931" s="264" t="s">
        <v>2954</v>
      </c>
      <c r="G931" s="264" t="s">
        <v>26</v>
      </c>
      <c r="H931" s="266">
        <v>-187.5</v>
      </c>
      <c r="I931" s="13">
        <v>0</v>
      </c>
      <c r="J931" s="264" t="s">
        <v>1174</v>
      </c>
      <c r="K931" s="264" t="s">
        <v>2025</v>
      </c>
      <c r="L931" s="1" t="str">
        <f>VLOOKUP(Advices[[#This Row],[LC Number]],'Combine_List'!A:D,2,0)</f>
        <v>STAR SQUARES CO. LTD.</v>
      </c>
      <c r="M931" s="447" t="str">
        <f>VLOOKUP(Advices[[#This Row],[LC Number]],'Combine_List'!A:D,3,0)</f>
        <v>FIRST FIX</v>
      </c>
      <c r="N931" s="447" t="str">
        <f>VLOOKUP(Advices[[#This Row],[LC Number]],'Combine_List'!A:D,4,0)</f>
        <v>KSP</v>
      </c>
      <c r="O931" s="447">
        <f>VLOOKUP(Advices[[#This Row],[LC Number]],'Combine_List'!A:E,5,0)</f>
        <v>1020055</v>
      </c>
      <c r="P931" s="447">
        <f>MONTH(Advices[[#This Row],[Transaction Date]])</f>
        <v>12</v>
      </c>
      <c r="Q931" s="447">
        <f>YEAR(Advices[[#This Row],[Transaction Date]])</f>
        <v>2025</v>
      </c>
      <c r="R931" s="1"/>
    </row>
    <row r="932" spans="1:18" x14ac:dyDescent="0.25">
      <c r="A932" s="264" t="s">
        <v>21</v>
      </c>
      <c r="B932" s="265">
        <v>45993</v>
      </c>
      <c r="C932" s="264" t="s">
        <v>1951</v>
      </c>
      <c r="D932" s="264" t="s">
        <v>2955</v>
      </c>
      <c r="E932" s="264" t="s">
        <v>1794</v>
      </c>
      <c r="F932" s="264" t="s">
        <v>2954</v>
      </c>
      <c r="G932" s="264" t="s">
        <v>26</v>
      </c>
      <c r="H932" s="266">
        <v>-1250</v>
      </c>
      <c r="I932" s="13">
        <v>0</v>
      </c>
      <c r="J932" s="264" t="s">
        <v>1125</v>
      </c>
      <c r="K932" s="264" t="s">
        <v>2025</v>
      </c>
      <c r="L932" s="1" t="str">
        <f>VLOOKUP(Advices[[#This Row],[LC Number]],'Combine_List'!A:D,2,0)</f>
        <v>STAR SQUARES CO. LTD.</v>
      </c>
      <c r="M932" s="447" t="str">
        <f>VLOOKUP(Advices[[#This Row],[LC Number]],'Combine_List'!A:D,3,0)</f>
        <v>FIRST FIX</v>
      </c>
      <c r="N932" s="447" t="str">
        <f>VLOOKUP(Advices[[#This Row],[LC Number]],'Combine_List'!A:D,4,0)</f>
        <v>KSP</v>
      </c>
      <c r="O932" s="447">
        <f>VLOOKUP(Advices[[#This Row],[LC Number]],'Combine_List'!A:E,5,0)</f>
        <v>1020055</v>
      </c>
      <c r="P932" s="447">
        <f>MONTH(Advices[[#This Row],[Transaction Date]])</f>
        <v>12</v>
      </c>
      <c r="Q932" s="447">
        <f>YEAR(Advices[[#This Row],[Transaction Date]])</f>
        <v>2025</v>
      </c>
      <c r="R932" s="1"/>
    </row>
    <row r="933" spans="1:18" x14ac:dyDescent="0.25">
      <c r="A933" s="264" t="s">
        <v>21</v>
      </c>
      <c r="B933" s="265">
        <v>45993</v>
      </c>
      <c r="C933" s="264" t="s">
        <v>1951</v>
      </c>
      <c r="D933" s="264" t="s">
        <v>2956</v>
      </c>
      <c r="E933" s="264" t="s">
        <v>2918</v>
      </c>
      <c r="F933" s="264" t="s">
        <v>2918</v>
      </c>
      <c r="G933" s="264" t="s">
        <v>26</v>
      </c>
      <c r="H933" s="266">
        <v>-105</v>
      </c>
      <c r="I933" s="13">
        <v>0</v>
      </c>
      <c r="J933" s="264" t="s">
        <v>1174</v>
      </c>
      <c r="K933" s="264" t="s">
        <v>2025</v>
      </c>
      <c r="L933" s="1" t="str">
        <f>VLOOKUP(Advices[[#This Row],[LC Number]],'Combine_List'!A:D,2,0)</f>
        <v>Gulf Grilles Company</v>
      </c>
      <c r="M933" s="447" t="str">
        <f>VLOOKUP(Advices[[#This Row],[LC Number]],'Combine_List'!A:D,3,0)</f>
        <v>FIRST FIX</v>
      </c>
      <c r="N933" s="447" t="str">
        <f>VLOOKUP(Advices[[#This Row],[LC Number]],'Combine_List'!A:D,4,0)</f>
        <v>KSP</v>
      </c>
      <c r="O933" s="447">
        <f>VLOOKUP(Advices[[#This Row],[LC Number]],'Combine_List'!A:E,5,0)</f>
        <v>1020055</v>
      </c>
      <c r="P933" s="447">
        <f>MONTH(Advices[[#This Row],[Transaction Date]])</f>
        <v>12</v>
      </c>
      <c r="Q933" s="447">
        <f>YEAR(Advices[[#This Row],[Transaction Date]])</f>
        <v>2025</v>
      </c>
      <c r="R933" s="1"/>
    </row>
    <row r="934" spans="1:18" x14ac:dyDescent="0.25">
      <c r="A934" s="264" t="s">
        <v>21</v>
      </c>
      <c r="B934" s="265">
        <v>45993</v>
      </c>
      <c r="C934" s="264" t="s">
        <v>1951</v>
      </c>
      <c r="D934" s="264" t="s">
        <v>2956</v>
      </c>
      <c r="E934" s="264" t="s">
        <v>2918</v>
      </c>
      <c r="F934" s="264" t="s">
        <v>2918</v>
      </c>
      <c r="G934" s="264" t="s">
        <v>26</v>
      </c>
      <c r="H934" s="266">
        <v>-458.34</v>
      </c>
      <c r="I934" s="13">
        <v>0</v>
      </c>
      <c r="J934" s="264" t="s">
        <v>1174</v>
      </c>
      <c r="K934" s="264" t="s">
        <v>2025</v>
      </c>
      <c r="L934" s="1" t="str">
        <f>VLOOKUP(Advices[[#This Row],[LC Number]],'Combine_List'!A:D,2,0)</f>
        <v>Gulf Grilles Company</v>
      </c>
      <c r="M934" s="447" t="str">
        <f>VLOOKUP(Advices[[#This Row],[LC Number]],'Combine_List'!A:D,3,0)</f>
        <v>FIRST FIX</v>
      </c>
      <c r="N934" s="447" t="str">
        <f>VLOOKUP(Advices[[#This Row],[LC Number]],'Combine_List'!A:D,4,0)</f>
        <v>KSP</v>
      </c>
      <c r="O934" s="447">
        <f>VLOOKUP(Advices[[#This Row],[LC Number]],'Combine_List'!A:E,5,0)</f>
        <v>1020055</v>
      </c>
      <c r="P934" s="447">
        <f>MONTH(Advices[[#This Row],[Transaction Date]])</f>
        <v>12</v>
      </c>
      <c r="Q934" s="447">
        <f>YEAR(Advices[[#This Row],[Transaction Date]])</f>
        <v>2025</v>
      </c>
      <c r="R934" s="1"/>
    </row>
    <row r="935" spans="1:18" x14ac:dyDescent="0.25">
      <c r="A935" s="264" t="s">
        <v>21</v>
      </c>
      <c r="B935" s="265">
        <v>45993</v>
      </c>
      <c r="C935" s="264" t="s">
        <v>1951</v>
      </c>
      <c r="D935" s="264" t="s">
        <v>2957</v>
      </c>
      <c r="E935" s="264" t="s">
        <v>2918</v>
      </c>
      <c r="F935" s="264" t="s">
        <v>2918</v>
      </c>
      <c r="G935" s="264" t="s">
        <v>26</v>
      </c>
      <c r="H935" s="266">
        <v>-700</v>
      </c>
      <c r="I935" s="13">
        <v>0</v>
      </c>
      <c r="J935" s="264" t="s">
        <v>1963</v>
      </c>
      <c r="K935" s="264" t="s">
        <v>2025</v>
      </c>
      <c r="L935" s="1" t="str">
        <f>VLOOKUP(Advices[[#This Row],[LC Number]],'Combine_List'!A:D,2,0)</f>
        <v>Gulf Grilles Company</v>
      </c>
      <c r="M935" s="447" t="str">
        <f>VLOOKUP(Advices[[#This Row],[LC Number]],'Combine_List'!A:D,3,0)</f>
        <v>FIRST FIX</v>
      </c>
      <c r="N935" s="447" t="str">
        <f>VLOOKUP(Advices[[#This Row],[LC Number]],'Combine_List'!A:D,4,0)</f>
        <v>KSP</v>
      </c>
      <c r="O935" s="447">
        <f>VLOOKUP(Advices[[#This Row],[LC Number]],'Combine_List'!A:E,5,0)</f>
        <v>1020055</v>
      </c>
      <c r="P935" s="447">
        <f>MONTH(Advices[[#This Row],[Transaction Date]])</f>
        <v>12</v>
      </c>
      <c r="Q935" s="447">
        <f>YEAR(Advices[[#This Row],[Transaction Date]])</f>
        <v>2025</v>
      </c>
      <c r="R935" s="1"/>
    </row>
    <row r="936" spans="1:18" x14ac:dyDescent="0.25">
      <c r="A936" s="264" t="s">
        <v>21</v>
      </c>
      <c r="B936" s="265">
        <v>45993</v>
      </c>
      <c r="C936" s="264" t="s">
        <v>1951</v>
      </c>
      <c r="D936" s="264" t="s">
        <v>2958</v>
      </c>
      <c r="E936" s="264" t="s">
        <v>2918</v>
      </c>
      <c r="F936" s="264" t="s">
        <v>2918</v>
      </c>
      <c r="G936" s="264" t="s">
        <v>26</v>
      </c>
      <c r="H936" s="266">
        <v>-3055.57</v>
      </c>
      <c r="I936" s="13">
        <v>0</v>
      </c>
      <c r="J936" s="264" t="s">
        <v>2616</v>
      </c>
      <c r="K936" s="264" t="s">
        <v>2025</v>
      </c>
      <c r="L936" s="1" t="str">
        <f>VLOOKUP(Advices[[#This Row],[LC Number]],'Combine_List'!A:D,2,0)</f>
        <v>Gulf Grilles Company</v>
      </c>
      <c r="M936" s="447" t="str">
        <f>VLOOKUP(Advices[[#This Row],[LC Number]],'Combine_List'!A:D,3,0)</f>
        <v>FIRST FIX</v>
      </c>
      <c r="N936" s="447" t="str">
        <f>VLOOKUP(Advices[[#This Row],[LC Number]],'Combine_List'!A:D,4,0)</f>
        <v>KSP</v>
      </c>
      <c r="O936" s="447">
        <f>VLOOKUP(Advices[[#This Row],[LC Number]],'Combine_List'!A:E,5,0)</f>
        <v>1020055</v>
      </c>
      <c r="P936" s="447">
        <f>MONTH(Advices[[#This Row],[Transaction Date]])</f>
        <v>12</v>
      </c>
      <c r="Q936" s="447">
        <f>YEAR(Advices[[#This Row],[Transaction Date]])</f>
        <v>2025</v>
      </c>
      <c r="R936" s="1"/>
    </row>
    <row r="937" spans="1:18" x14ac:dyDescent="0.25">
      <c r="A937" s="264" t="s">
        <v>21</v>
      </c>
      <c r="B937" s="265">
        <v>45993</v>
      </c>
      <c r="C937" s="264" t="s">
        <v>1951</v>
      </c>
      <c r="D937" s="264" t="s">
        <v>2959</v>
      </c>
      <c r="E937" s="264" t="s">
        <v>2917</v>
      </c>
      <c r="F937" s="264" t="s">
        <v>2917</v>
      </c>
      <c r="G937" s="264" t="s">
        <v>26</v>
      </c>
      <c r="H937" s="266">
        <v>-105</v>
      </c>
      <c r="I937" s="13">
        <v>0</v>
      </c>
      <c r="J937" s="264" t="s">
        <v>1174</v>
      </c>
      <c r="K937" s="264" t="s">
        <v>2025</v>
      </c>
      <c r="L937" s="1" t="str">
        <f>VLOOKUP(Advices[[#This Row],[LC Number]],'Combine_List'!A:D,2,0)</f>
        <v>Depth Modern Technologies Co.</v>
      </c>
      <c r="M937" s="447" t="str">
        <f>VLOOKUP(Advices[[#This Row],[LC Number]],'Combine_List'!A:D,3,0)</f>
        <v>FIRST FIX</v>
      </c>
      <c r="N937" s="447" t="str">
        <f>VLOOKUP(Advices[[#This Row],[LC Number]],'Combine_List'!A:D,4,0)</f>
        <v>KSP</v>
      </c>
      <c r="O937" s="447">
        <f>VLOOKUP(Advices[[#This Row],[LC Number]],'Combine_List'!A:E,5,0)</f>
        <v>1020055</v>
      </c>
      <c r="P937" s="447">
        <f>MONTH(Advices[[#This Row],[Transaction Date]])</f>
        <v>12</v>
      </c>
      <c r="Q937" s="447">
        <f>YEAR(Advices[[#This Row],[Transaction Date]])</f>
        <v>2025</v>
      </c>
      <c r="R937" s="1"/>
    </row>
    <row r="938" spans="1:18" x14ac:dyDescent="0.25">
      <c r="A938" s="264" t="s">
        <v>21</v>
      </c>
      <c r="B938" s="265">
        <v>45993</v>
      </c>
      <c r="C938" s="264" t="s">
        <v>1951</v>
      </c>
      <c r="D938" s="264" t="s">
        <v>2960</v>
      </c>
      <c r="E938" s="264" t="s">
        <v>2917</v>
      </c>
      <c r="F938" s="264" t="s">
        <v>2917</v>
      </c>
      <c r="G938" s="264" t="s">
        <v>26</v>
      </c>
      <c r="H938" s="266">
        <v>-700</v>
      </c>
      <c r="I938" s="13">
        <v>0</v>
      </c>
      <c r="J938" s="264" t="s">
        <v>1963</v>
      </c>
      <c r="K938" s="264" t="s">
        <v>2025</v>
      </c>
      <c r="L938" s="1" t="str">
        <f>VLOOKUP(Advices[[#This Row],[LC Number]],'Combine_List'!A:D,2,0)</f>
        <v>Depth Modern Technologies Co.</v>
      </c>
      <c r="M938" s="447" t="str">
        <f>VLOOKUP(Advices[[#This Row],[LC Number]],'Combine_List'!A:D,3,0)</f>
        <v>FIRST FIX</v>
      </c>
      <c r="N938" s="447" t="str">
        <f>VLOOKUP(Advices[[#This Row],[LC Number]],'Combine_List'!A:D,4,0)</f>
        <v>KSP</v>
      </c>
      <c r="O938" s="447">
        <f>VLOOKUP(Advices[[#This Row],[LC Number]],'Combine_List'!A:E,5,0)</f>
        <v>1020055</v>
      </c>
      <c r="P938" s="447">
        <f>MONTH(Advices[[#This Row],[Transaction Date]])</f>
        <v>12</v>
      </c>
      <c r="Q938" s="447">
        <f>YEAR(Advices[[#This Row],[Transaction Date]])</f>
        <v>2025</v>
      </c>
      <c r="R938" s="1"/>
    </row>
    <row r="939" spans="1:18" x14ac:dyDescent="0.25">
      <c r="A939" s="264" t="s">
        <v>21</v>
      </c>
      <c r="B939" s="265">
        <v>45993</v>
      </c>
      <c r="C939" s="264" t="s">
        <v>1951</v>
      </c>
      <c r="D939" s="264" t="s">
        <v>2959</v>
      </c>
      <c r="E939" s="264" t="s">
        <v>2917</v>
      </c>
      <c r="F939" s="264" t="s">
        <v>2917</v>
      </c>
      <c r="G939" s="264" t="s">
        <v>26</v>
      </c>
      <c r="H939" s="266">
        <v>-825</v>
      </c>
      <c r="I939" s="13">
        <v>0</v>
      </c>
      <c r="J939" s="264" t="s">
        <v>1174</v>
      </c>
      <c r="K939" s="264" t="s">
        <v>2025</v>
      </c>
      <c r="L939" s="1" t="str">
        <f>VLOOKUP(Advices[[#This Row],[LC Number]],'Combine_List'!A:D,2,0)</f>
        <v>Depth Modern Technologies Co.</v>
      </c>
      <c r="M939" s="447" t="str">
        <f>VLOOKUP(Advices[[#This Row],[LC Number]],'Combine_List'!A:D,3,0)</f>
        <v>FIRST FIX</v>
      </c>
      <c r="N939" s="447" t="str">
        <f>VLOOKUP(Advices[[#This Row],[LC Number]],'Combine_List'!A:D,4,0)</f>
        <v>KSP</v>
      </c>
      <c r="O939" s="447">
        <f>VLOOKUP(Advices[[#This Row],[LC Number]],'Combine_List'!A:E,5,0)</f>
        <v>1020055</v>
      </c>
      <c r="P939" s="447">
        <f>MONTH(Advices[[#This Row],[Transaction Date]])</f>
        <v>12</v>
      </c>
      <c r="Q939" s="447">
        <f>YEAR(Advices[[#This Row],[Transaction Date]])</f>
        <v>2025</v>
      </c>
      <c r="R939" s="1"/>
    </row>
    <row r="940" spans="1:18" x14ac:dyDescent="0.25">
      <c r="A940" s="264" t="s">
        <v>21</v>
      </c>
      <c r="B940" s="265">
        <v>45993</v>
      </c>
      <c r="C940" s="264" t="s">
        <v>1951</v>
      </c>
      <c r="D940" s="264" t="s">
        <v>2961</v>
      </c>
      <c r="E940" s="264" t="s">
        <v>2917</v>
      </c>
      <c r="F940" s="264" t="s">
        <v>2917</v>
      </c>
      <c r="G940" s="264" t="s">
        <v>26</v>
      </c>
      <c r="H940" s="266">
        <v>-5500</v>
      </c>
      <c r="I940" s="13">
        <v>0</v>
      </c>
      <c r="J940" s="264" t="s">
        <v>2616</v>
      </c>
      <c r="K940" s="264" t="s">
        <v>2025</v>
      </c>
      <c r="L940" s="1" t="str">
        <f>VLOOKUP(Advices[[#This Row],[LC Number]],'Combine_List'!A:D,2,0)</f>
        <v>Depth Modern Technologies Co.</v>
      </c>
      <c r="M940" s="447" t="str">
        <f>VLOOKUP(Advices[[#This Row],[LC Number]],'Combine_List'!A:D,3,0)</f>
        <v>FIRST FIX</v>
      </c>
      <c r="N940" s="447" t="str">
        <f>VLOOKUP(Advices[[#This Row],[LC Number]],'Combine_List'!A:D,4,0)</f>
        <v>KSP</v>
      </c>
      <c r="O940" s="447">
        <f>VLOOKUP(Advices[[#This Row],[LC Number]],'Combine_List'!A:E,5,0)</f>
        <v>1020055</v>
      </c>
      <c r="P940" s="447">
        <f>MONTH(Advices[[#This Row],[Transaction Date]])</f>
        <v>12</v>
      </c>
      <c r="Q940" s="447">
        <f>YEAR(Advices[[#This Row],[Transaction Date]])</f>
        <v>2025</v>
      </c>
      <c r="R940" s="1"/>
    </row>
    <row r="941" spans="1:18" x14ac:dyDescent="0.25">
      <c r="A941" s="264" t="s">
        <v>21</v>
      </c>
      <c r="B941" s="265">
        <v>45994</v>
      </c>
      <c r="C941" s="264" t="s">
        <v>1951</v>
      </c>
      <c r="D941" s="264" t="s">
        <v>1960</v>
      </c>
      <c r="E941" s="264" t="s">
        <v>1660</v>
      </c>
      <c r="F941" s="264" t="s">
        <v>2962</v>
      </c>
      <c r="G941" s="264" t="s">
        <v>26</v>
      </c>
      <c r="H941" s="266">
        <v>-11.25</v>
      </c>
      <c r="I941" s="13">
        <v>0</v>
      </c>
      <c r="J941" s="264" t="s">
        <v>1174</v>
      </c>
      <c r="K941" s="264" t="s">
        <v>2025</v>
      </c>
      <c r="L941" s="1" t="str">
        <f>VLOOKUP(Advices[[#This Row],[LC Number]],'Combine_List'!A:D,2,0)</f>
        <v>AL MOUSA TRADING CO.</v>
      </c>
      <c r="M941" s="447" t="str">
        <f>VLOOKUP(Advices[[#This Row],[LC Number]],'Combine_List'!A:D,3,0)</f>
        <v>FIRST FIX</v>
      </c>
      <c r="N941" s="447" t="str">
        <f>VLOOKUP(Advices[[#This Row],[LC Number]],'Combine_List'!A:D,4,0)</f>
        <v>KSP</v>
      </c>
      <c r="O941" s="447">
        <f>VLOOKUP(Advices[[#This Row],[LC Number]],'Combine_List'!A:E,5,0)</f>
        <v>1020055</v>
      </c>
      <c r="P941" s="447">
        <f>MONTH(Advices[[#This Row],[Transaction Date]])</f>
        <v>12</v>
      </c>
      <c r="Q941" s="447">
        <f>YEAR(Advices[[#This Row],[Transaction Date]])</f>
        <v>2025</v>
      </c>
      <c r="R941" s="1"/>
    </row>
    <row r="942" spans="1:18" x14ac:dyDescent="0.25">
      <c r="A942" s="264" t="s">
        <v>21</v>
      </c>
      <c r="B942" s="265">
        <v>45994</v>
      </c>
      <c r="C942" s="264" t="s">
        <v>1951</v>
      </c>
      <c r="D942" s="264" t="s">
        <v>2963</v>
      </c>
      <c r="E942" s="264" t="s">
        <v>1660</v>
      </c>
      <c r="F942" s="264" t="s">
        <v>2962</v>
      </c>
      <c r="G942" s="264" t="s">
        <v>26</v>
      </c>
      <c r="H942" s="266">
        <v>-75</v>
      </c>
      <c r="I942" s="13">
        <v>0</v>
      </c>
      <c r="J942" s="264" t="s">
        <v>1963</v>
      </c>
      <c r="K942" s="264" t="s">
        <v>2025</v>
      </c>
      <c r="L942" s="1" t="str">
        <f>VLOOKUP(Advices[[#This Row],[LC Number]],'Combine_List'!A:D,2,0)</f>
        <v>AL MOUSA TRADING CO.</v>
      </c>
      <c r="M942" s="447" t="str">
        <f>VLOOKUP(Advices[[#This Row],[LC Number]],'Combine_List'!A:D,3,0)</f>
        <v>FIRST FIX</v>
      </c>
      <c r="N942" s="447" t="str">
        <f>VLOOKUP(Advices[[#This Row],[LC Number]],'Combine_List'!A:D,4,0)</f>
        <v>KSP</v>
      </c>
      <c r="O942" s="447">
        <f>VLOOKUP(Advices[[#This Row],[LC Number]],'Combine_List'!A:E,5,0)</f>
        <v>1020055</v>
      </c>
      <c r="P942" s="447">
        <f>MONTH(Advices[[#This Row],[Transaction Date]])</f>
        <v>12</v>
      </c>
      <c r="Q942" s="447">
        <f>YEAR(Advices[[#This Row],[Transaction Date]])</f>
        <v>2025</v>
      </c>
      <c r="R942" s="1"/>
    </row>
    <row r="943" spans="1:18" x14ac:dyDescent="0.25">
      <c r="A943" s="264" t="s">
        <v>21</v>
      </c>
      <c r="B943" s="265">
        <v>45994</v>
      </c>
      <c r="C943" s="264" t="s">
        <v>1951</v>
      </c>
      <c r="D943" s="264" t="s">
        <v>2964</v>
      </c>
      <c r="E943" s="264" t="s">
        <v>1660</v>
      </c>
      <c r="F943" s="264" t="s">
        <v>2962</v>
      </c>
      <c r="G943" s="264" t="s">
        <v>26</v>
      </c>
      <c r="H943" s="266">
        <v>-417625.03</v>
      </c>
      <c r="I943" s="13">
        <v>0</v>
      </c>
      <c r="J943" s="264" t="s">
        <v>1126</v>
      </c>
      <c r="K943" s="264" t="s">
        <v>2025</v>
      </c>
      <c r="L943" s="1" t="str">
        <f>VLOOKUP(Advices[[#This Row],[LC Number]],'Combine_List'!A:D,2,0)</f>
        <v>AL MOUSA TRADING CO.</v>
      </c>
      <c r="M943" s="447" t="str">
        <f>VLOOKUP(Advices[[#This Row],[LC Number]],'Combine_List'!A:D,3,0)</f>
        <v>FIRST FIX</v>
      </c>
      <c r="N943" s="447" t="str">
        <f>VLOOKUP(Advices[[#This Row],[LC Number]],'Combine_List'!A:D,4,0)</f>
        <v>KSP</v>
      </c>
      <c r="O943" s="447">
        <f>VLOOKUP(Advices[[#This Row],[LC Number]],'Combine_List'!A:E,5,0)</f>
        <v>1020055</v>
      </c>
      <c r="P943" s="447">
        <f>MONTH(Advices[[#This Row],[Transaction Date]])</f>
        <v>12</v>
      </c>
      <c r="Q943" s="447">
        <f>YEAR(Advices[[#This Row],[Transaction Date]])</f>
        <v>2025</v>
      </c>
      <c r="R943" s="1"/>
    </row>
    <row r="944" spans="1:18" x14ac:dyDescent="0.25">
      <c r="A944" s="264" t="s">
        <v>21</v>
      </c>
      <c r="B944" s="265">
        <v>45994</v>
      </c>
      <c r="C944" s="264" t="s">
        <v>1951</v>
      </c>
      <c r="D944" s="264" t="s">
        <v>2965</v>
      </c>
      <c r="E944" s="264" t="s">
        <v>1896</v>
      </c>
      <c r="F944" s="264" t="s">
        <v>1896</v>
      </c>
      <c r="G944" s="264" t="s">
        <v>26</v>
      </c>
      <c r="H944" s="266">
        <v>-37.5</v>
      </c>
      <c r="I944" s="13">
        <v>0</v>
      </c>
      <c r="J944" s="264" t="s">
        <v>1174</v>
      </c>
      <c r="K944" s="264" t="s">
        <v>2025</v>
      </c>
      <c r="L944" s="1" t="str">
        <f>VLOOKUP(Advices[[#This Row],[LC Number]],'Combine_List'!A:D,2,0)</f>
        <v>Saudi Perfect Pumps Trading &amp; Manufacturing Company</v>
      </c>
      <c r="M944" s="447" t="str">
        <f>VLOOKUP(Advices[[#This Row],[LC Number]],'Combine_List'!A:D,3,0)</f>
        <v>MBL</v>
      </c>
      <c r="N944" s="447" t="str">
        <f>VLOOKUP(Advices[[#This Row],[LC Number]],'Combine_List'!A:D,4,0)</f>
        <v>Rabigh Power Plant</v>
      </c>
      <c r="O944" s="447">
        <f>VLOOKUP(Advices[[#This Row],[LC Number]],'Combine_List'!A:E,5,0)</f>
        <v>1020107</v>
      </c>
      <c r="P944" s="447">
        <f>MONTH(Advices[[#This Row],[Transaction Date]])</f>
        <v>12</v>
      </c>
      <c r="Q944" s="447">
        <f>YEAR(Advices[[#This Row],[Transaction Date]])</f>
        <v>2025</v>
      </c>
      <c r="R944" s="1"/>
    </row>
    <row r="945" spans="1:18" x14ac:dyDescent="0.25">
      <c r="A945" s="264" t="s">
        <v>21</v>
      </c>
      <c r="B945" s="265">
        <v>45994</v>
      </c>
      <c r="C945" s="264" t="s">
        <v>1951</v>
      </c>
      <c r="D945" s="264" t="s">
        <v>2291</v>
      </c>
      <c r="E945" s="264" t="s">
        <v>1896</v>
      </c>
      <c r="F945" s="264" t="s">
        <v>1896</v>
      </c>
      <c r="G945" s="264" t="s">
        <v>26</v>
      </c>
      <c r="H945" s="266">
        <v>-250</v>
      </c>
      <c r="I945" s="13">
        <v>0</v>
      </c>
      <c r="J945" s="264" t="s">
        <v>1963</v>
      </c>
      <c r="K945" s="264" t="s">
        <v>2025</v>
      </c>
      <c r="L945" s="1" t="str">
        <f>VLOOKUP(Advices[[#This Row],[LC Number]],'Combine_List'!A:D,2,0)</f>
        <v>Saudi Perfect Pumps Trading &amp; Manufacturing Company</v>
      </c>
      <c r="M945" s="447" t="str">
        <f>VLOOKUP(Advices[[#This Row],[LC Number]],'Combine_List'!A:D,3,0)</f>
        <v>MBL</v>
      </c>
      <c r="N945" s="447" t="str">
        <f>VLOOKUP(Advices[[#This Row],[LC Number]],'Combine_List'!A:D,4,0)</f>
        <v>Rabigh Power Plant</v>
      </c>
      <c r="O945" s="447">
        <f>VLOOKUP(Advices[[#This Row],[LC Number]],'Combine_List'!A:E,5,0)</f>
        <v>1020107</v>
      </c>
      <c r="P945" s="447">
        <f>MONTH(Advices[[#This Row],[Transaction Date]])</f>
        <v>12</v>
      </c>
      <c r="Q945" s="447">
        <f>YEAR(Advices[[#This Row],[Transaction Date]])</f>
        <v>2025</v>
      </c>
      <c r="R945" s="1"/>
    </row>
    <row r="946" spans="1:18" x14ac:dyDescent="0.25">
      <c r="A946" s="264" t="s">
        <v>21</v>
      </c>
      <c r="B946" s="265">
        <v>45994</v>
      </c>
      <c r="C946" s="264" t="s">
        <v>1951</v>
      </c>
      <c r="D946" s="264" t="s">
        <v>2965</v>
      </c>
      <c r="E946" s="264" t="s">
        <v>1896</v>
      </c>
      <c r="F946" s="264" t="s">
        <v>1896</v>
      </c>
      <c r="G946" s="264" t="s">
        <v>26</v>
      </c>
      <c r="H946" s="266">
        <v>-1160.81</v>
      </c>
      <c r="I946" s="13">
        <v>0</v>
      </c>
      <c r="J946" s="264" t="s">
        <v>1174</v>
      </c>
      <c r="K946" s="264" t="s">
        <v>2025</v>
      </c>
      <c r="L946" s="1" t="str">
        <f>VLOOKUP(Advices[[#This Row],[LC Number]],'Combine_List'!A:D,2,0)</f>
        <v>Saudi Perfect Pumps Trading &amp; Manufacturing Company</v>
      </c>
      <c r="M946" s="447" t="str">
        <f>VLOOKUP(Advices[[#This Row],[LC Number]],'Combine_List'!A:D,3,0)</f>
        <v>MBL</v>
      </c>
      <c r="N946" s="447" t="str">
        <f>VLOOKUP(Advices[[#This Row],[LC Number]],'Combine_List'!A:D,4,0)</f>
        <v>Rabigh Power Plant</v>
      </c>
      <c r="O946" s="447">
        <f>VLOOKUP(Advices[[#This Row],[LC Number]],'Combine_List'!A:E,5,0)</f>
        <v>1020107</v>
      </c>
      <c r="P946" s="447">
        <f>MONTH(Advices[[#This Row],[Transaction Date]])</f>
        <v>12</v>
      </c>
      <c r="Q946" s="447">
        <f>YEAR(Advices[[#This Row],[Transaction Date]])</f>
        <v>2025</v>
      </c>
      <c r="R946" s="1"/>
    </row>
    <row r="947" spans="1:18" x14ac:dyDescent="0.25">
      <c r="A947" s="264" t="s">
        <v>21</v>
      </c>
      <c r="B947" s="265">
        <v>45994</v>
      </c>
      <c r="C947" s="264" t="s">
        <v>1951</v>
      </c>
      <c r="D947" s="264" t="s">
        <v>2292</v>
      </c>
      <c r="E947" s="264" t="s">
        <v>1896</v>
      </c>
      <c r="F947" s="264" t="s">
        <v>1896</v>
      </c>
      <c r="G947" s="264" t="s">
        <v>26</v>
      </c>
      <c r="H947" s="266">
        <v>-7738.75</v>
      </c>
      <c r="I947" s="13">
        <v>0</v>
      </c>
      <c r="J947" s="264" t="s">
        <v>1124</v>
      </c>
      <c r="K947" s="264" t="s">
        <v>2025</v>
      </c>
      <c r="L947" s="1" t="str">
        <f>VLOOKUP(Advices[[#This Row],[LC Number]],'Combine_List'!A:D,2,0)</f>
        <v>Saudi Perfect Pumps Trading &amp; Manufacturing Company</v>
      </c>
      <c r="M947" s="447" t="str">
        <f>VLOOKUP(Advices[[#This Row],[LC Number]],'Combine_List'!A:D,3,0)</f>
        <v>MBL</v>
      </c>
      <c r="N947" s="447" t="str">
        <f>VLOOKUP(Advices[[#This Row],[LC Number]],'Combine_List'!A:D,4,0)</f>
        <v>Rabigh Power Plant</v>
      </c>
      <c r="O947" s="447">
        <f>VLOOKUP(Advices[[#This Row],[LC Number]],'Combine_List'!A:E,5,0)</f>
        <v>1020107</v>
      </c>
      <c r="P947" s="447">
        <f>MONTH(Advices[[#This Row],[Transaction Date]])</f>
        <v>12</v>
      </c>
      <c r="Q947" s="447">
        <f>YEAR(Advices[[#This Row],[Transaction Date]])</f>
        <v>2025</v>
      </c>
      <c r="R947" s="1"/>
    </row>
    <row r="948" spans="1:18" x14ac:dyDescent="0.25">
      <c r="A948" s="264" t="s">
        <v>21</v>
      </c>
      <c r="B948" s="265">
        <v>45995</v>
      </c>
      <c r="C948" s="264" t="s">
        <v>1951</v>
      </c>
      <c r="D948" s="264" t="s">
        <v>1960</v>
      </c>
      <c r="E948" s="264" t="s">
        <v>1658</v>
      </c>
      <c r="F948" s="264" t="s">
        <v>2966</v>
      </c>
      <c r="G948" s="264" t="s">
        <v>26</v>
      </c>
      <c r="H948" s="266">
        <v>-11.25</v>
      </c>
      <c r="I948" s="13">
        <v>0</v>
      </c>
      <c r="J948" s="264" t="s">
        <v>1174</v>
      </c>
      <c r="K948" s="264" t="s">
        <v>2025</v>
      </c>
      <c r="L948" s="1" t="str">
        <f>VLOOKUP(Advices[[#This Row],[LC Number]],'Combine_List'!A:D,2,0)</f>
        <v>TABARK AL-MOMMYZA FOR TRADING COMPANY</v>
      </c>
      <c r="M948" s="447" t="str">
        <f>VLOOKUP(Advices[[#This Row],[LC Number]],'Combine_List'!A:D,3,0)</f>
        <v>FIRST FIX</v>
      </c>
      <c r="N948" s="447" t="str">
        <f>VLOOKUP(Advices[[#This Row],[LC Number]],'Combine_List'!A:D,4,0)</f>
        <v>KSP</v>
      </c>
      <c r="O948" s="447">
        <f>VLOOKUP(Advices[[#This Row],[LC Number]],'Combine_List'!A:E,5,0)</f>
        <v>1020055</v>
      </c>
      <c r="P948" s="447">
        <f>MONTH(Advices[[#This Row],[Transaction Date]])</f>
        <v>12</v>
      </c>
      <c r="Q948" s="447">
        <f>YEAR(Advices[[#This Row],[Transaction Date]])</f>
        <v>2025</v>
      </c>
      <c r="R948" s="1"/>
    </row>
    <row r="949" spans="1:18" x14ac:dyDescent="0.25">
      <c r="A949" s="264" t="s">
        <v>21</v>
      </c>
      <c r="B949" s="265">
        <v>45995</v>
      </c>
      <c r="C949" s="264" t="s">
        <v>1951</v>
      </c>
      <c r="D949" s="264" t="s">
        <v>2967</v>
      </c>
      <c r="E949" s="264" t="s">
        <v>1658</v>
      </c>
      <c r="F949" s="264" t="s">
        <v>2966</v>
      </c>
      <c r="G949" s="264" t="s">
        <v>26</v>
      </c>
      <c r="H949" s="266">
        <v>-75</v>
      </c>
      <c r="I949" s="13">
        <v>0</v>
      </c>
      <c r="J949" s="264" t="s">
        <v>1963</v>
      </c>
      <c r="K949" s="264" t="s">
        <v>2025</v>
      </c>
      <c r="L949" s="1" t="str">
        <f>VLOOKUP(Advices[[#This Row],[LC Number]],'Combine_List'!A:D,2,0)</f>
        <v>TABARK AL-MOMMYZA FOR TRADING COMPANY</v>
      </c>
      <c r="M949" s="447" t="str">
        <f>VLOOKUP(Advices[[#This Row],[LC Number]],'Combine_List'!A:D,3,0)</f>
        <v>FIRST FIX</v>
      </c>
      <c r="N949" s="447" t="str">
        <f>VLOOKUP(Advices[[#This Row],[LC Number]],'Combine_List'!A:D,4,0)</f>
        <v>KSP</v>
      </c>
      <c r="O949" s="447">
        <f>VLOOKUP(Advices[[#This Row],[LC Number]],'Combine_List'!A:E,5,0)</f>
        <v>1020055</v>
      </c>
      <c r="P949" s="447">
        <f>MONTH(Advices[[#This Row],[Transaction Date]])</f>
        <v>12</v>
      </c>
      <c r="Q949" s="447">
        <f>YEAR(Advices[[#This Row],[Transaction Date]])</f>
        <v>2025</v>
      </c>
      <c r="R949" s="1"/>
    </row>
    <row r="950" spans="1:18" x14ac:dyDescent="0.25">
      <c r="A950" s="264" t="s">
        <v>21</v>
      </c>
      <c r="B950" s="265">
        <v>45995</v>
      </c>
      <c r="C950" s="264" t="s">
        <v>1951</v>
      </c>
      <c r="D950" s="264" t="s">
        <v>2968</v>
      </c>
      <c r="E950" s="264" t="s">
        <v>1658</v>
      </c>
      <c r="F950" s="264" t="s">
        <v>2966</v>
      </c>
      <c r="G950" s="264" t="s">
        <v>26</v>
      </c>
      <c r="H950" s="266">
        <v>-150000</v>
      </c>
      <c r="I950" s="13">
        <v>0</v>
      </c>
      <c r="J950" s="264" t="s">
        <v>1126</v>
      </c>
      <c r="K950" s="264" t="s">
        <v>2025</v>
      </c>
      <c r="L950" s="1" t="str">
        <f>VLOOKUP(Advices[[#This Row],[LC Number]],'Combine_List'!A:D,2,0)</f>
        <v>TABARK AL-MOMMYZA FOR TRADING COMPANY</v>
      </c>
      <c r="M950" s="447" t="str">
        <f>VLOOKUP(Advices[[#This Row],[LC Number]],'Combine_List'!A:D,3,0)</f>
        <v>FIRST FIX</v>
      </c>
      <c r="N950" s="447" t="str">
        <f>VLOOKUP(Advices[[#This Row],[LC Number]],'Combine_List'!A:D,4,0)</f>
        <v>KSP</v>
      </c>
      <c r="O950" s="447">
        <f>VLOOKUP(Advices[[#This Row],[LC Number]],'Combine_List'!A:E,5,0)</f>
        <v>1020055</v>
      </c>
      <c r="P950" s="447">
        <f>MONTH(Advices[[#This Row],[Transaction Date]])</f>
        <v>12</v>
      </c>
      <c r="Q950" s="447">
        <f>YEAR(Advices[[#This Row],[Transaction Date]])</f>
        <v>2025</v>
      </c>
      <c r="R950" s="1"/>
    </row>
    <row r="951" spans="1:18" x14ac:dyDescent="0.25">
      <c r="A951" s="264" t="s">
        <v>21</v>
      </c>
      <c r="B951" s="265">
        <v>45995</v>
      </c>
      <c r="C951" s="264" t="s">
        <v>1951</v>
      </c>
      <c r="D951" s="264" t="s">
        <v>2969</v>
      </c>
      <c r="E951" s="264" t="s">
        <v>2919</v>
      </c>
      <c r="F951" s="264" t="s">
        <v>2919</v>
      </c>
      <c r="G951" s="264" t="s">
        <v>26</v>
      </c>
      <c r="H951" s="266">
        <v>-105</v>
      </c>
      <c r="I951" s="13">
        <v>0</v>
      </c>
      <c r="J951" s="264" t="s">
        <v>1174</v>
      </c>
      <c r="K951" s="264" t="s">
        <v>2025</v>
      </c>
      <c r="L951" s="1" t="str">
        <f>VLOOKUP(Advices[[#This Row],[LC Number]],'Combine_List'!A:D,2,0)</f>
        <v>LSI PROJECTS LIMITED</v>
      </c>
      <c r="M951" s="447" t="str">
        <f>VLOOKUP(Advices[[#This Row],[LC Number]],'Combine_List'!A:D,3,0)</f>
        <v>ICAD</v>
      </c>
      <c r="N951" s="447" t="str">
        <f>VLOOKUP(Advices[[#This Row],[LC Number]],'Combine_List'!A:D,4,0)</f>
        <v>KSP</v>
      </c>
      <c r="O951" s="447">
        <f>VLOOKUP(Advices[[#This Row],[LC Number]],'Combine_List'!A:E,5,0)</f>
        <v>1020055</v>
      </c>
      <c r="P951" s="447">
        <f>MONTH(Advices[[#This Row],[Transaction Date]])</f>
        <v>12</v>
      </c>
      <c r="Q951" s="447">
        <f>YEAR(Advices[[#This Row],[Transaction Date]])</f>
        <v>2025</v>
      </c>
      <c r="R951" s="1"/>
    </row>
    <row r="952" spans="1:18" x14ac:dyDescent="0.25">
      <c r="A952" s="264" t="s">
        <v>21</v>
      </c>
      <c r="B952" s="265">
        <v>45995</v>
      </c>
      <c r="C952" s="264" t="s">
        <v>1951</v>
      </c>
      <c r="D952" s="264" t="s">
        <v>2969</v>
      </c>
      <c r="E952" s="264" t="s">
        <v>2919</v>
      </c>
      <c r="F952" s="264" t="s">
        <v>2919</v>
      </c>
      <c r="G952" s="264" t="s">
        <v>26</v>
      </c>
      <c r="H952" s="266">
        <v>-320.75</v>
      </c>
      <c r="I952" s="13">
        <v>0</v>
      </c>
      <c r="J952" s="264" t="s">
        <v>1174</v>
      </c>
      <c r="K952" s="264" t="s">
        <v>2025</v>
      </c>
      <c r="L952" s="1" t="str">
        <f>VLOOKUP(Advices[[#This Row],[LC Number]],'Combine_List'!A:D,2,0)</f>
        <v>LSI PROJECTS LIMITED</v>
      </c>
      <c r="M952" s="447" t="str">
        <f>VLOOKUP(Advices[[#This Row],[LC Number]],'Combine_List'!A:D,3,0)</f>
        <v>ICAD</v>
      </c>
      <c r="N952" s="447" t="str">
        <f>VLOOKUP(Advices[[#This Row],[LC Number]],'Combine_List'!A:D,4,0)</f>
        <v>KSP</v>
      </c>
      <c r="O952" s="447">
        <f>VLOOKUP(Advices[[#This Row],[LC Number]],'Combine_List'!A:E,5,0)</f>
        <v>1020055</v>
      </c>
      <c r="P952" s="447">
        <f>MONTH(Advices[[#This Row],[Transaction Date]])</f>
        <v>12</v>
      </c>
      <c r="Q952" s="447">
        <f>YEAR(Advices[[#This Row],[Transaction Date]])</f>
        <v>2025</v>
      </c>
      <c r="R952" s="1"/>
    </row>
    <row r="953" spans="1:18" x14ac:dyDescent="0.25">
      <c r="A953" s="264" t="s">
        <v>21</v>
      </c>
      <c r="B953" s="265">
        <v>45995</v>
      </c>
      <c r="C953" s="264" t="s">
        <v>1951</v>
      </c>
      <c r="D953" s="264" t="s">
        <v>2970</v>
      </c>
      <c r="E953" s="264" t="s">
        <v>2919</v>
      </c>
      <c r="F953" s="264" t="s">
        <v>2919</v>
      </c>
      <c r="G953" s="264" t="s">
        <v>26</v>
      </c>
      <c r="H953" s="266">
        <v>-700</v>
      </c>
      <c r="I953" s="13">
        <v>0</v>
      </c>
      <c r="J953" s="264" t="s">
        <v>1963</v>
      </c>
      <c r="K953" s="264" t="s">
        <v>2025</v>
      </c>
      <c r="L953" s="1" t="str">
        <f>VLOOKUP(Advices[[#This Row],[LC Number]],'Combine_List'!A:D,2,0)</f>
        <v>LSI PROJECTS LIMITED</v>
      </c>
      <c r="M953" s="447" t="str">
        <f>VLOOKUP(Advices[[#This Row],[LC Number]],'Combine_List'!A:D,3,0)</f>
        <v>ICAD</v>
      </c>
      <c r="N953" s="447" t="str">
        <f>VLOOKUP(Advices[[#This Row],[LC Number]],'Combine_List'!A:D,4,0)</f>
        <v>KSP</v>
      </c>
      <c r="O953" s="447">
        <f>VLOOKUP(Advices[[#This Row],[LC Number]],'Combine_List'!A:E,5,0)</f>
        <v>1020055</v>
      </c>
      <c r="P953" s="447">
        <f>MONTH(Advices[[#This Row],[Transaction Date]])</f>
        <v>12</v>
      </c>
      <c r="Q953" s="447">
        <f>YEAR(Advices[[#This Row],[Transaction Date]])</f>
        <v>2025</v>
      </c>
      <c r="R953" s="1"/>
    </row>
    <row r="954" spans="1:18" x14ac:dyDescent="0.25">
      <c r="A954" s="264" t="s">
        <v>21</v>
      </c>
      <c r="B954" s="265">
        <v>45995</v>
      </c>
      <c r="C954" s="264" t="s">
        <v>1951</v>
      </c>
      <c r="D954" s="264" t="s">
        <v>2971</v>
      </c>
      <c r="E954" s="264" t="s">
        <v>2919</v>
      </c>
      <c r="F954" s="264" t="s">
        <v>2919</v>
      </c>
      <c r="G954" s="264" t="s">
        <v>26</v>
      </c>
      <c r="H954" s="266">
        <v>-2138.3200000000002</v>
      </c>
      <c r="I954" s="13">
        <v>0</v>
      </c>
      <c r="J954" s="264" t="s">
        <v>2616</v>
      </c>
      <c r="K954" s="264" t="s">
        <v>2025</v>
      </c>
      <c r="L954" s="1" t="str">
        <f>VLOOKUP(Advices[[#This Row],[LC Number]],'Combine_List'!A:D,2,0)</f>
        <v>LSI PROJECTS LIMITED</v>
      </c>
      <c r="M954" s="447" t="str">
        <f>VLOOKUP(Advices[[#This Row],[LC Number]],'Combine_List'!A:D,3,0)</f>
        <v>ICAD</v>
      </c>
      <c r="N954" s="447" t="str">
        <f>VLOOKUP(Advices[[#This Row],[LC Number]],'Combine_List'!A:D,4,0)</f>
        <v>KSP</v>
      </c>
      <c r="O954" s="447">
        <f>VLOOKUP(Advices[[#This Row],[LC Number]],'Combine_List'!A:E,5,0)</f>
        <v>1020055</v>
      </c>
      <c r="P954" s="447">
        <f>MONTH(Advices[[#This Row],[Transaction Date]])</f>
        <v>12</v>
      </c>
      <c r="Q954" s="447">
        <f>YEAR(Advices[[#This Row],[Transaction Date]])</f>
        <v>2025</v>
      </c>
      <c r="R954" s="1"/>
    </row>
    <row r="955" spans="1:18" x14ac:dyDescent="0.25">
      <c r="A955" s="264" t="s">
        <v>21</v>
      </c>
      <c r="B955" s="265">
        <v>45998</v>
      </c>
      <c r="C955" s="264" t="s">
        <v>1951</v>
      </c>
      <c r="D955" s="264" t="s">
        <v>1960</v>
      </c>
      <c r="E955" s="264" t="s">
        <v>1193</v>
      </c>
      <c r="F955" s="264" t="s">
        <v>2972</v>
      </c>
      <c r="G955" s="264" t="s">
        <v>26</v>
      </c>
      <c r="H955" s="266">
        <v>-11.25</v>
      </c>
      <c r="I955" s="13">
        <v>0</v>
      </c>
      <c r="J955" s="264" t="s">
        <v>1174</v>
      </c>
      <c r="K955" s="264" t="s">
        <v>2025</v>
      </c>
      <c r="L955" s="1" t="str">
        <f>VLOOKUP(Advices[[#This Row],[LC Number]],'Combine_List'!A:D,2,0)</f>
        <v>National Marketing Est Co Ltd</v>
      </c>
      <c r="M955" s="447" t="str">
        <f>VLOOKUP(Advices[[#This Row],[LC Number]],'Combine_List'!A:D,3,0)</f>
        <v>FIRST FIX</v>
      </c>
      <c r="N955" s="447" t="str">
        <f>VLOOKUP(Advices[[#This Row],[LC Number]],'Combine_List'!A:D,4,0)</f>
        <v>JCD SPMI</v>
      </c>
      <c r="O955" s="447">
        <f>VLOOKUP(Advices[[#This Row],[LC Number]],'Combine_List'!A:E,5,0)</f>
        <v>1020100</v>
      </c>
      <c r="P955" s="447">
        <f>MONTH(Advices[[#This Row],[Transaction Date]])</f>
        <v>12</v>
      </c>
      <c r="Q955" s="447">
        <f>YEAR(Advices[[#This Row],[Transaction Date]])</f>
        <v>2025</v>
      </c>
      <c r="R955" s="1"/>
    </row>
    <row r="956" spans="1:18" x14ac:dyDescent="0.25">
      <c r="A956" s="264" t="s">
        <v>21</v>
      </c>
      <c r="B956" s="265">
        <v>45998</v>
      </c>
      <c r="C956" s="264" t="s">
        <v>1951</v>
      </c>
      <c r="D956" s="264" t="s">
        <v>2973</v>
      </c>
      <c r="E956" s="264" t="s">
        <v>1193</v>
      </c>
      <c r="F956" s="264" t="s">
        <v>2972</v>
      </c>
      <c r="G956" s="264" t="s">
        <v>26</v>
      </c>
      <c r="H956" s="266">
        <v>-75</v>
      </c>
      <c r="I956" s="13">
        <v>0</v>
      </c>
      <c r="J956" s="264" t="s">
        <v>1963</v>
      </c>
      <c r="K956" s="264" t="s">
        <v>2025</v>
      </c>
      <c r="L956" s="1" t="str">
        <f>VLOOKUP(Advices[[#This Row],[LC Number]],'Combine_List'!A:D,2,0)</f>
        <v>National Marketing Est Co Ltd</v>
      </c>
      <c r="M956" s="447" t="str">
        <f>VLOOKUP(Advices[[#This Row],[LC Number]],'Combine_List'!A:D,3,0)</f>
        <v>FIRST FIX</v>
      </c>
      <c r="N956" s="447" t="str">
        <f>VLOOKUP(Advices[[#This Row],[LC Number]],'Combine_List'!A:D,4,0)</f>
        <v>JCD SPMI</v>
      </c>
      <c r="O956" s="447">
        <f>VLOOKUP(Advices[[#This Row],[LC Number]],'Combine_List'!A:E,5,0)</f>
        <v>1020100</v>
      </c>
      <c r="P956" s="447">
        <f>MONTH(Advices[[#This Row],[Transaction Date]])</f>
        <v>12</v>
      </c>
      <c r="Q956" s="447">
        <f>YEAR(Advices[[#This Row],[Transaction Date]])</f>
        <v>2025</v>
      </c>
      <c r="R956" s="1"/>
    </row>
    <row r="957" spans="1:18" x14ac:dyDescent="0.25">
      <c r="A957" s="264" t="s">
        <v>21</v>
      </c>
      <c r="B957" s="265">
        <v>45998</v>
      </c>
      <c r="C957" s="264" t="s">
        <v>1951</v>
      </c>
      <c r="D957" s="264" t="s">
        <v>2974</v>
      </c>
      <c r="E957" s="264" t="s">
        <v>1193</v>
      </c>
      <c r="F957" s="264" t="s">
        <v>2972</v>
      </c>
      <c r="G957" s="264" t="s">
        <v>26</v>
      </c>
      <c r="H957" s="266">
        <v>-135071.07</v>
      </c>
      <c r="I957" s="13">
        <v>0</v>
      </c>
      <c r="J957" s="264" t="s">
        <v>1126</v>
      </c>
      <c r="K957" s="264" t="s">
        <v>2025</v>
      </c>
      <c r="L957" s="1" t="str">
        <f>VLOOKUP(Advices[[#This Row],[LC Number]],'Combine_List'!A:D,2,0)</f>
        <v>National Marketing Est Co Ltd</v>
      </c>
      <c r="M957" s="447" t="str">
        <f>VLOOKUP(Advices[[#This Row],[LC Number]],'Combine_List'!A:D,3,0)</f>
        <v>FIRST FIX</v>
      </c>
      <c r="N957" s="447" t="str">
        <f>VLOOKUP(Advices[[#This Row],[LC Number]],'Combine_List'!A:D,4,0)</f>
        <v>JCD SPMI</v>
      </c>
      <c r="O957" s="447">
        <f>VLOOKUP(Advices[[#This Row],[LC Number]],'Combine_List'!A:E,5,0)</f>
        <v>1020100</v>
      </c>
      <c r="P957" s="447">
        <f>MONTH(Advices[[#This Row],[Transaction Date]])</f>
        <v>12</v>
      </c>
      <c r="Q957" s="447">
        <f>YEAR(Advices[[#This Row],[Transaction Date]])</f>
        <v>2025</v>
      </c>
      <c r="R957" s="1"/>
    </row>
    <row r="958" spans="1:18" x14ac:dyDescent="0.25">
      <c r="A958" s="264" t="s">
        <v>21</v>
      </c>
      <c r="B958" s="265">
        <v>45998</v>
      </c>
      <c r="C958" s="264" t="s">
        <v>1951</v>
      </c>
      <c r="D958" s="264" t="s">
        <v>1960</v>
      </c>
      <c r="E958" s="264" t="s">
        <v>1491</v>
      </c>
      <c r="F958" s="264" t="s">
        <v>2975</v>
      </c>
      <c r="G958" s="264" t="s">
        <v>26</v>
      </c>
      <c r="H958" s="266">
        <v>-11.25</v>
      </c>
      <c r="I958" s="13">
        <v>0</v>
      </c>
      <c r="J958" s="264" t="s">
        <v>1174</v>
      </c>
      <c r="K958" s="264" t="s">
        <v>2025</v>
      </c>
      <c r="L958" s="1" t="str">
        <f>VLOOKUP(Advices[[#This Row],[LC Number]],'Combine_List'!A:D,2,0)</f>
        <v>Khorayef Industries</v>
      </c>
      <c r="M958" s="447" t="str">
        <f>VLOOKUP(Advices[[#This Row],[LC Number]],'Combine_List'!A:D,3,0)</f>
        <v>FIRST FIX</v>
      </c>
      <c r="N958" s="447" t="str">
        <f>VLOOKUP(Advices[[#This Row],[LC Number]],'Combine_List'!A:D,4,0)</f>
        <v>JCD SPMI</v>
      </c>
      <c r="O958" s="447">
        <f>VLOOKUP(Advices[[#This Row],[LC Number]],'Combine_List'!A:E,5,0)</f>
        <v>1020100</v>
      </c>
      <c r="P958" s="447">
        <f>MONTH(Advices[[#This Row],[Transaction Date]])</f>
        <v>12</v>
      </c>
      <c r="Q958" s="447">
        <f>YEAR(Advices[[#This Row],[Transaction Date]])</f>
        <v>2025</v>
      </c>
      <c r="R958" s="1"/>
    </row>
    <row r="959" spans="1:18" x14ac:dyDescent="0.25">
      <c r="A959" s="264" t="s">
        <v>21</v>
      </c>
      <c r="B959" s="265">
        <v>45998</v>
      </c>
      <c r="C959" s="264" t="s">
        <v>1951</v>
      </c>
      <c r="D959" s="264" t="s">
        <v>2976</v>
      </c>
      <c r="E959" s="264" t="s">
        <v>1491</v>
      </c>
      <c r="F959" s="264" t="s">
        <v>2975</v>
      </c>
      <c r="G959" s="264" t="s">
        <v>26</v>
      </c>
      <c r="H959" s="266">
        <v>-75</v>
      </c>
      <c r="I959" s="13">
        <v>0</v>
      </c>
      <c r="J959" s="264" t="s">
        <v>1963</v>
      </c>
      <c r="K959" s="264" t="s">
        <v>2025</v>
      </c>
      <c r="L959" s="1" t="str">
        <f>VLOOKUP(Advices[[#This Row],[LC Number]],'Combine_List'!A:D,2,0)</f>
        <v>Khorayef Industries</v>
      </c>
      <c r="M959" s="447" t="str">
        <f>VLOOKUP(Advices[[#This Row],[LC Number]],'Combine_List'!A:D,3,0)</f>
        <v>FIRST FIX</v>
      </c>
      <c r="N959" s="447" t="str">
        <f>VLOOKUP(Advices[[#This Row],[LC Number]],'Combine_List'!A:D,4,0)</f>
        <v>JCD SPMI</v>
      </c>
      <c r="O959" s="447">
        <f>VLOOKUP(Advices[[#This Row],[LC Number]],'Combine_List'!A:E,5,0)</f>
        <v>1020100</v>
      </c>
      <c r="P959" s="447">
        <f>MONTH(Advices[[#This Row],[Transaction Date]])</f>
        <v>12</v>
      </c>
      <c r="Q959" s="447">
        <f>YEAR(Advices[[#This Row],[Transaction Date]])</f>
        <v>2025</v>
      </c>
      <c r="R959" s="1"/>
    </row>
    <row r="960" spans="1:18" x14ac:dyDescent="0.25">
      <c r="A960" s="264" t="s">
        <v>21</v>
      </c>
      <c r="B960" s="265">
        <v>45998</v>
      </c>
      <c r="C960" s="264" t="s">
        <v>1951</v>
      </c>
      <c r="D960" s="264" t="s">
        <v>2977</v>
      </c>
      <c r="E960" s="264" t="s">
        <v>1491</v>
      </c>
      <c r="F960" s="264" t="s">
        <v>2975</v>
      </c>
      <c r="G960" s="264" t="s">
        <v>26</v>
      </c>
      <c r="H960" s="266">
        <v>-511750</v>
      </c>
      <c r="I960" s="13">
        <v>0</v>
      </c>
      <c r="J960" s="264" t="s">
        <v>1126</v>
      </c>
      <c r="K960" s="264" t="s">
        <v>2025</v>
      </c>
      <c r="L960" s="1" t="str">
        <f>VLOOKUP(Advices[[#This Row],[LC Number]],'Combine_List'!A:D,2,0)</f>
        <v>Khorayef Industries</v>
      </c>
      <c r="M960" s="447" t="str">
        <f>VLOOKUP(Advices[[#This Row],[LC Number]],'Combine_List'!A:D,3,0)</f>
        <v>FIRST FIX</v>
      </c>
      <c r="N960" s="447" t="str">
        <f>VLOOKUP(Advices[[#This Row],[LC Number]],'Combine_List'!A:D,4,0)</f>
        <v>JCD SPMI</v>
      </c>
      <c r="O960" s="447">
        <f>VLOOKUP(Advices[[#This Row],[LC Number]],'Combine_List'!A:E,5,0)</f>
        <v>1020100</v>
      </c>
      <c r="P960" s="447">
        <f>MONTH(Advices[[#This Row],[Transaction Date]])</f>
        <v>12</v>
      </c>
      <c r="Q960" s="447">
        <f>YEAR(Advices[[#This Row],[Transaction Date]])</f>
        <v>2025</v>
      </c>
      <c r="R960" s="1"/>
    </row>
    <row r="961" spans="1:18" x14ac:dyDescent="0.25">
      <c r="A961" s="264" t="s">
        <v>21</v>
      </c>
      <c r="B961" s="265">
        <v>45998</v>
      </c>
      <c r="C961" s="264" t="s">
        <v>1951</v>
      </c>
      <c r="D961" s="264" t="s">
        <v>1960</v>
      </c>
      <c r="E961" s="264" t="s">
        <v>1501</v>
      </c>
      <c r="F961" s="264" t="s">
        <v>2456</v>
      </c>
      <c r="G961" s="264" t="s">
        <v>26</v>
      </c>
      <c r="H961" s="266">
        <v>-11.25</v>
      </c>
      <c r="I961" s="13">
        <v>0</v>
      </c>
      <c r="J961" s="264" t="s">
        <v>1174</v>
      </c>
      <c r="K961" s="264" t="s">
        <v>2025</v>
      </c>
      <c r="L961" s="1" t="str">
        <f>VLOOKUP(Advices[[#This Row],[LC Number]],'Combine_List'!A:D,2,0)</f>
        <v>ALFANAR ELECTRICAL SYSTEMS</v>
      </c>
      <c r="M961" s="447" t="str">
        <f>VLOOKUP(Advices[[#This Row],[LC Number]],'Combine_List'!A:D,3,0)</f>
        <v>FIRST FIX</v>
      </c>
      <c r="N961" s="447" t="str">
        <f>VLOOKUP(Advices[[#This Row],[LC Number]],'Combine_List'!A:D,4,0)</f>
        <v>JCD SPMI</v>
      </c>
      <c r="O961" s="447">
        <f>VLOOKUP(Advices[[#This Row],[LC Number]],'Combine_List'!A:E,5,0)</f>
        <v>1020100</v>
      </c>
      <c r="P961" s="447">
        <f>MONTH(Advices[[#This Row],[Transaction Date]])</f>
        <v>12</v>
      </c>
      <c r="Q961" s="447">
        <f>YEAR(Advices[[#This Row],[Transaction Date]])</f>
        <v>2025</v>
      </c>
      <c r="R961" s="1"/>
    </row>
    <row r="962" spans="1:18" x14ac:dyDescent="0.25">
      <c r="A962" s="264" t="s">
        <v>21</v>
      </c>
      <c r="B962" s="265">
        <v>45998</v>
      </c>
      <c r="C962" s="264" t="s">
        <v>1951</v>
      </c>
      <c r="D962" s="264" t="s">
        <v>2978</v>
      </c>
      <c r="E962" s="264" t="s">
        <v>1501</v>
      </c>
      <c r="F962" s="264" t="s">
        <v>2456</v>
      </c>
      <c r="G962" s="264" t="s">
        <v>26</v>
      </c>
      <c r="H962" s="266">
        <v>-75</v>
      </c>
      <c r="I962" s="13">
        <v>0</v>
      </c>
      <c r="J962" s="264" t="s">
        <v>1963</v>
      </c>
      <c r="K962" s="264" t="s">
        <v>2025</v>
      </c>
      <c r="L962" s="1" t="str">
        <f>VLOOKUP(Advices[[#This Row],[LC Number]],'Combine_List'!A:D,2,0)</f>
        <v>ALFANAR ELECTRICAL SYSTEMS</v>
      </c>
      <c r="M962" s="447" t="str">
        <f>VLOOKUP(Advices[[#This Row],[LC Number]],'Combine_List'!A:D,3,0)</f>
        <v>FIRST FIX</v>
      </c>
      <c r="N962" s="447" t="str">
        <f>VLOOKUP(Advices[[#This Row],[LC Number]],'Combine_List'!A:D,4,0)</f>
        <v>JCD SPMI</v>
      </c>
      <c r="O962" s="447">
        <f>VLOOKUP(Advices[[#This Row],[LC Number]],'Combine_List'!A:E,5,0)</f>
        <v>1020100</v>
      </c>
      <c r="P962" s="447">
        <f>MONTH(Advices[[#This Row],[Transaction Date]])</f>
        <v>12</v>
      </c>
      <c r="Q962" s="447">
        <f>YEAR(Advices[[#This Row],[Transaction Date]])</f>
        <v>2025</v>
      </c>
      <c r="R962" s="1"/>
    </row>
    <row r="963" spans="1:18" x14ac:dyDescent="0.25">
      <c r="A963" s="264" t="s">
        <v>21</v>
      </c>
      <c r="B963" s="265">
        <v>45998</v>
      </c>
      <c r="C963" s="264" t="s">
        <v>1951</v>
      </c>
      <c r="D963" s="264" t="s">
        <v>2979</v>
      </c>
      <c r="E963" s="264" t="s">
        <v>1501</v>
      </c>
      <c r="F963" s="264" t="s">
        <v>2456</v>
      </c>
      <c r="G963" s="264" t="s">
        <v>26</v>
      </c>
      <c r="H963" s="266">
        <v>-500000</v>
      </c>
      <c r="I963" s="13">
        <v>0</v>
      </c>
      <c r="J963" s="264" t="s">
        <v>1126</v>
      </c>
      <c r="K963" s="264" t="s">
        <v>2025</v>
      </c>
      <c r="L963" s="1" t="str">
        <f>VLOOKUP(Advices[[#This Row],[LC Number]],'Combine_List'!A:D,2,0)</f>
        <v>ALFANAR ELECTRICAL SYSTEMS</v>
      </c>
      <c r="M963" s="447" t="str">
        <f>VLOOKUP(Advices[[#This Row],[LC Number]],'Combine_List'!A:D,3,0)</f>
        <v>FIRST FIX</v>
      </c>
      <c r="N963" s="447" t="str">
        <f>VLOOKUP(Advices[[#This Row],[LC Number]],'Combine_List'!A:D,4,0)</f>
        <v>JCD SPMI</v>
      </c>
      <c r="O963" s="447">
        <f>VLOOKUP(Advices[[#This Row],[LC Number]],'Combine_List'!A:E,5,0)</f>
        <v>1020100</v>
      </c>
      <c r="P963" s="447">
        <f>MONTH(Advices[[#This Row],[Transaction Date]])</f>
        <v>12</v>
      </c>
      <c r="Q963" s="447">
        <f>YEAR(Advices[[#This Row],[Transaction Date]])</f>
        <v>2025</v>
      </c>
      <c r="R963" s="1"/>
    </row>
    <row r="964" spans="1:18" x14ac:dyDescent="0.25">
      <c r="A964" s="264" t="s">
        <v>21</v>
      </c>
      <c r="B964" s="265">
        <v>45998</v>
      </c>
      <c r="C964" s="264" t="s">
        <v>1951</v>
      </c>
      <c r="D964" s="264" t="s">
        <v>1960</v>
      </c>
      <c r="E964" s="264" t="s">
        <v>1657</v>
      </c>
      <c r="F964" s="264" t="s">
        <v>2980</v>
      </c>
      <c r="G964" s="264" t="s">
        <v>26</v>
      </c>
      <c r="H964" s="266">
        <v>-11.25</v>
      </c>
      <c r="I964" s="13">
        <v>0</v>
      </c>
      <c r="J964" s="264" t="s">
        <v>1174</v>
      </c>
      <c r="K964" s="264" t="s">
        <v>2025</v>
      </c>
      <c r="L964" s="1" t="str">
        <f>VLOOKUP(Advices[[#This Row],[LC Number]],'Combine_List'!A:D,2,0)</f>
        <v>CONTRACTORS SERVICES CO.</v>
      </c>
      <c r="M964" s="447" t="str">
        <f>VLOOKUP(Advices[[#This Row],[LC Number]],'Combine_List'!A:D,3,0)</f>
        <v>FIRST FIX</v>
      </c>
      <c r="N964" s="447" t="str">
        <f>VLOOKUP(Advices[[#This Row],[LC Number]],'Combine_List'!A:D,4,0)</f>
        <v>KSP</v>
      </c>
      <c r="O964" s="447">
        <f>VLOOKUP(Advices[[#This Row],[LC Number]],'Combine_List'!A:E,5,0)</f>
        <v>1020055</v>
      </c>
      <c r="P964" s="447">
        <f>MONTH(Advices[[#This Row],[Transaction Date]])</f>
        <v>12</v>
      </c>
      <c r="Q964" s="447">
        <f>YEAR(Advices[[#This Row],[Transaction Date]])</f>
        <v>2025</v>
      </c>
      <c r="R964" s="1"/>
    </row>
    <row r="965" spans="1:18" x14ac:dyDescent="0.25">
      <c r="A965" s="264" t="s">
        <v>21</v>
      </c>
      <c r="B965" s="265">
        <v>45998</v>
      </c>
      <c r="C965" s="264" t="s">
        <v>1951</v>
      </c>
      <c r="D965" s="264" t="s">
        <v>2981</v>
      </c>
      <c r="E965" s="264" t="s">
        <v>1657</v>
      </c>
      <c r="F965" s="264" t="s">
        <v>2980</v>
      </c>
      <c r="G965" s="264" t="s">
        <v>26</v>
      </c>
      <c r="H965" s="266">
        <v>-75</v>
      </c>
      <c r="I965" s="13">
        <v>0</v>
      </c>
      <c r="J965" s="264" t="s">
        <v>1963</v>
      </c>
      <c r="K965" s="264" t="s">
        <v>2025</v>
      </c>
      <c r="L965" s="1" t="str">
        <f>VLOOKUP(Advices[[#This Row],[LC Number]],'Combine_List'!A:D,2,0)</f>
        <v>CONTRACTORS SERVICES CO.</v>
      </c>
      <c r="M965" s="447" t="str">
        <f>VLOOKUP(Advices[[#This Row],[LC Number]],'Combine_List'!A:D,3,0)</f>
        <v>FIRST FIX</v>
      </c>
      <c r="N965" s="447" t="str">
        <f>VLOOKUP(Advices[[#This Row],[LC Number]],'Combine_List'!A:D,4,0)</f>
        <v>KSP</v>
      </c>
      <c r="O965" s="447">
        <f>VLOOKUP(Advices[[#This Row],[LC Number]],'Combine_List'!A:E,5,0)</f>
        <v>1020055</v>
      </c>
      <c r="P965" s="447">
        <f>MONTH(Advices[[#This Row],[Transaction Date]])</f>
        <v>12</v>
      </c>
      <c r="Q965" s="447">
        <f>YEAR(Advices[[#This Row],[Transaction Date]])</f>
        <v>2025</v>
      </c>
      <c r="R965" s="1"/>
    </row>
    <row r="966" spans="1:18" x14ac:dyDescent="0.25">
      <c r="A966" s="264" t="s">
        <v>21</v>
      </c>
      <c r="B966" s="265">
        <v>45998</v>
      </c>
      <c r="C966" s="264" t="s">
        <v>1951</v>
      </c>
      <c r="D966" s="264" t="s">
        <v>2982</v>
      </c>
      <c r="E966" s="264" t="s">
        <v>1657</v>
      </c>
      <c r="F966" s="264" t="s">
        <v>2980</v>
      </c>
      <c r="G966" s="264" t="s">
        <v>26</v>
      </c>
      <c r="H966" s="266">
        <v>-304000.75</v>
      </c>
      <c r="I966" s="13">
        <v>0</v>
      </c>
      <c r="J966" s="264" t="s">
        <v>1126</v>
      </c>
      <c r="K966" s="264" t="s">
        <v>2025</v>
      </c>
      <c r="L966" s="1" t="str">
        <f>VLOOKUP(Advices[[#This Row],[LC Number]],'Combine_List'!A:D,2,0)</f>
        <v>CONTRACTORS SERVICES CO.</v>
      </c>
      <c r="M966" s="447" t="str">
        <f>VLOOKUP(Advices[[#This Row],[LC Number]],'Combine_List'!A:D,3,0)</f>
        <v>FIRST FIX</v>
      </c>
      <c r="N966" s="447" t="str">
        <f>VLOOKUP(Advices[[#This Row],[LC Number]],'Combine_List'!A:D,4,0)</f>
        <v>KSP</v>
      </c>
      <c r="O966" s="447">
        <f>VLOOKUP(Advices[[#This Row],[LC Number]],'Combine_List'!A:E,5,0)</f>
        <v>1020055</v>
      </c>
      <c r="P966" s="447">
        <f>MONTH(Advices[[#This Row],[Transaction Date]])</f>
        <v>12</v>
      </c>
      <c r="Q966" s="447">
        <f>YEAR(Advices[[#This Row],[Transaction Date]])</f>
        <v>2025</v>
      </c>
      <c r="R966" s="1"/>
    </row>
    <row r="967" spans="1:18" x14ac:dyDescent="0.25">
      <c r="A967" s="264" t="s">
        <v>21</v>
      </c>
      <c r="B967" s="265">
        <v>45999</v>
      </c>
      <c r="C967" s="264" t="s">
        <v>1951</v>
      </c>
      <c r="D967" s="264" t="s">
        <v>1960</v>
      </c>
      <c r="E967" s="264" t="s">
        <v>1194</v>
      </c>
      <c r="F967" s="264" t="s">
        <v>2983</v>
      </c>
      <c r="G967" s="264" t="s">
        <v>26</v>
      </c>
      <c r="H967" s="266">
        <v>-11.25</v>
      </c>
      <c r="I967" s="13">
        <v>0</v>
      </c>
      <c r="J967" s="264" t="s">
        <v>1174</v>
      </c>
      <c r="K967" s="264" t="s">
        <v>2025</v>
      </c>
      <c r="L967" s="1" t="str">
        <f>VLOOKUP(Advices[[#This Row],[LC Number]],'Combine_List'!A:D,2,0)</f>
        <v>Systemair For Electrical Equipment Co.</v>
      </c>
      <c r="M967" s="447" t="str">
        <f>VLOOKUP(Advices[[#This Row],[LC Number]],'Combine_List'!A:D,3,0)</f>
        <v>FIRST FIX</v>
      </c>
      <c r="N967" s="447" t="str">
        <f>VLOOKUP(Advices[[#This Row],[LC Number]],'Combine_List'!A:D,4,0)</f>
        <v>JCD SPMI</v>
      </c>
      <c r="O967" s="447">
        <f>VLOOKUP(Advices[[#This Row],[LC Number]],'Combine_List'!A:E,5,0)</f>
        <v>1020100</v>
      </c>
      <c r="P967" s="447">
        <f>MONTH(Advices[[#This Row],[Transaction Date]])</f>
        <v>12</v>
      </c>
      <c r="Q967" s="447">
        <f>YEAR(Advices[[#This Row],[Transaction Date]])</f>
        <v>2025</v>
      </c>
      <c r="R967" s="1"/>
    </row>
    <row r="968" spans="1:18" x14ac:dyDescent="0.25">
      <c r="A968" s="264" t="s">
        <v>21</v>
      </c>
      <c r="B968" s="265">
        <v>45999</v>
      </c>
      <c r="C968" s="264" t="s">
        <v>1951</v>
      </c>
      <c r="D968" s="264" t="s">
        <v>2984</v>
      </c>
      <c r="E968" s="264" t="s">
        <v>1194</v>
      </c>
      <c r="F968" s="264" t="s">
        <v>2983</v>
      </c>
      <c r="G968" s="264" t="s">
        <v>26</v>
      </c>
      <c r="H968" s="266">
        <v>-75</v>
      </c>
      <c r="I968" s="13">
        <v>0</v>
      </c>
      <c r="J968" s="264" t="s">
        <v>1963</v>
      </c>
      <c r="K968" s="264" t="s">
        <v>2025</v>
      </c>
      <c r="L968" s="1" t="str">
        <f>VLOOKUP(Advices[[#This Row],[LC Number]],'Combine_List'!A:D,2,0)</f>
        <v>Systemair For Electrical Equipment Co.</v>
      </c>
      <c r="M968" s="447" t="str">
        <f>VLOOKUP(Advices[[#This Row],[LC Number]],'Combine_List'!A:D,3,0)</f>
        <v>FIRST FIX</v>
      </c>
      <c r="N968" s="447" t="str">
        <f>VLOOKUP(Advices[[#This Row],[LC Number]],'Combine_List'!A:D,4,0)</f>
        <v>JCD SPMI</v>
      </c>
      <c r="O968" s="447">
        <f>VLOOKUP(Advices[[#This Row],[LC Number]],'Combine_List'!A:E,5,0)</f>
        <v>1020100</v>
      </c>
      <c r="P968" s="447">
        <f>MONTH(Advices[[#This Row],[Transaction Date]])</f>
        <v>12</v>
      </c>
      <c r="Q968" s="447">
        <f>YEAR(Advices[[#This Row],[Transaction Date]])</f>
        <v>2025</v>
      </c>
      <c r="R968" s="1"/>
    </row>
    <row r="969" spans="1:18" x14ac:dyDescent="0.25">
      <c r="A969" s="264" t="s">
        <v>21</v>
      </c>
      <c r="B969" s="265">
        <v>45999</v>
      </c>
      <c r="C969" s="264" t="s">
        <v>1951</v>
      </c>
      <c r="D969" s="264" t="s">
        <v>2985</v>
      </c>
      <c r="E969" s="264" t="s">
        <v>1194</v>
      </c>
      <c r="F969" s="264" t="s">
        <v>2983</v>
      </c>
      <c r="G969" s="264" t="s">
        <v>26</v>
      </c>
      <c r="H969" s="266">
        <v>-48414.03</v>
      </c>
      <c r="I969" s="13">
        <v>0</v>
      </c>
      <c r="J969" s="264" t="s">
        <v>1126</v>
      </c>
      <c r="K969" s="264" t="s">
        <v>2025</v>
      </c>
      <c r="L969" s="1" t="str">
        <f>VLOOKUP(Advices[[#This Row],[LC Number]],'Combine_List'!A:D,2,0)</f>
        <v>Systemair For Electrical Equipment Co.</v>
      </c>
      <c r="M969" s="447" t="str">
        <f>VLOOKUP(Advices[[#This Row],[LC Number]],'Combine_List'!A:D,3,0)</f>
        <v>FIRST FIX</v>
      </c>
      <c r="N969" s="447" t="str">
        <f>VLOOKUP(Advices[[#This Row],[LC Number]],'Combine_List'!A:D,4,0)</f>
        <v>JCD SPMI</v>
      </c>
      <c r="O969" s="447">
        <f>VLOOKUP(Advices[[#This Row],[LC Number]],'Combine_List'!A:E,5,0)</f>
        <v>1020100</v>
      </c>
      <c r="P969" s="447">
        <f>MONTH(Advices[[#This Row],[Transaction Date]])</f>
        <v>12</v>
      </c>
      <c r="Q969" s="447">
        <f>YEAR(Advices[[#This Row],[Transaction Date]])</f>
        <v>2025</v>
      </c>
      <c r="R969" s="1"/>
    </row>
    <row r="970" spans="1:18" x14ac:dyDescent="0.25">
      <c r="A970" s="264" t="s">
        <v>21</v>
      </c>
      <c r="B970" s="265">
        <v>46000</v>
      </c>
      <c r="C970" s="264" t="s">
        <v>1951</v>
      </c>
      <c r="D970" s="264" t="s">
        <v>1952</v>
      </c>
      <c r="E970" s="264" t="s">
        <v>1655</v>
      </c>
      <c r="F970" s="264" t="s">
        <v>2986</v>
      </c>
      <c r="G970" s="264" t="s">
        <v>26</v>
      </c>
      <c r="H970" s="266">
        <v>-187.5</v>
      </c>
      <c r="I970" s="13">
        <v>0</v>
      </c>
      <c r="J970" s="264" t="s">
        <v>1174</v>
      </c>
      <c r="K970" s="264" t="s">
        <v>2025</v>
      </c>
      <c r="L970" s="1" t="str">
        <f>VLOOKUP(Advices[[#This Row],[LC Number]],'Combine_List'!A:D,2,0)</f>
        <v>ALFANAR ELECTRICAL SYSTEMS</v>
      </c>
      <c r="M970" s="447" t="str">
        <f>VLOOKUP(Advices[[#This Row],[LC Number]],'Combine_List'!A:D,3,0)</f>
        <v>FIRST FIX</v>
      </c>
      <c r="N970" s="447" t="str">
        <f>VLOOKUP(Advices[[#This Row],[LC Number]],'Combine_List'!A:D,4,0)</f>
        <v>KSP</v>
      </c>
      <c r="O970" s="447">
        <f>VLOOKUP(Advices[[#This Row],[LC Number]],'Combine_List'!A:E,5,0)</f>
        <v>1020055</v>
      </c>
      <c r="P970" s="447">
        <f>MONTH(Advices[[#This Row],[Transaction Date]])</f>
        <v>12</v>
      </c>
      <c r="Q970" s="447">
        <f>YEAR(Advices[[#This Row],[Transaction Date]])</f>
        <v>2025</v>
      </c>
      <c r="R970" s="1"/>
    </row>
    <row r="971" spans="1:18" x14ac:dyDescent="0.25">
      <c r="A971" s="264" t="s">
        <v>21</v>
      </c>
      <c r="B971" s="265">
        <v>46000</v>
      </c>
      <c r="C971" s="264" t="s">
        <v>1951</v>
      </c>
      <c r="D971" s="264" t="s">
        <v>2987</v>
      </c>
      <c r="E971" s="264" t="s">
        <v>1655</v>
      </c>
      <c r="F971" s="264" t="s">
        <v>2986</v>
      </c>
      <c r="G971" s="264" t="s">
        <v>26</v>
      </c>
      <c r="H971" s="266">
        <v>-1250</v>
      </c>
      <c r="I971" s="13">
        <v>0</v>
      </c>
      <c r="J971" s="264" t="s">
        <v>1125</v>
      </c>
      <c r="K971" s="264" t="s">
        <v>2025</v>
      </c>
      <c r="L971" s="1" t="str">
        <f>VLOOKUP(Advices[[#This Row],[LC Number]],'Combine_List'!A:D,2,0)</f>
        <v>ALFANAR ELECTRICAL SYSTEMS</v>
      </c>
      <c r="M971" s="447" t="str">
        <f>VLOOKUP(Advices[[#This Row],[LC Number]],'Combine_List'!A:D,3,0)</f>
        <v>FIRST FIX</v>
      </c>
      <c r="N971" s="447" t="str">
        <f>VLOOKUP(Advices[[#This Row],[LC Number]],'Combine_List'!A:D,4,0)</f>
        <v>KSP</v>
      </c>
      <c r="O971" s="447">
        <f>VLOOKUP(Advices[[#This Row],[LC Number]],'Combine_List'!A:E,5,0)</f>
        <v>1020055</v>
      </c>
      <c r="P971" s="447">
        <f>MONTH(Advices[[#This Row],[Transaction Date]])</f>
        <v>12</v>
      </c>
      <c r="Q971" s="447">
        <f>YEAR(Advices[[#This Row],[Transaction Date]])</f>
        <v>2025</v>
      </c>
      <c r="R971" s="1"/>
    </row>
    <row r="972" spans="1:18" x14ac:dyDescent="0.25">
      <c r="A972" s="264" t="s">
        <v>21</v>
      </c>
      <c r="B972" s="265">
        <v>46000</v>
      </c>
      <c r="C972" s="264" t="s">
        <v>1951</v>
      </c>
      <c r="D972" s="264" t="s">
        <v>2988</v>
      </c>
      <c r="E972" s="264" t="s">
        <v>1896</v>
      </c>
      <c r="F972" s="264" t="s">
        <v>2989</v>
      </c>
      <c r="G972" s="264" t="s">
        <v>26</v>
      </c>
      <c r="H972" s="266">
        <v>-397.88</v>
      </c>
      <c r="I972" s="13">
        <v>0</v>
      </c>
      <c r="J972" s="264" t="s">
        <v>1174</v>
      </c>
      <c r="K972" s="264" t="s">
        <v>2025</v>
      </c>
      <c r="L972" s="1" t="str">
        <f>VLOOKUP(Advices[[#This Row],[LC Number]],'Combine_List'!A:D,2,0)</f>
        <v>Saudi Perfect Pumps Trading &amp; Manufacturing Company</v>
      </c>
      <c r="M972" s="447" t="str">
        <f>VLOOKUP(Advices[[#This Row],[LC Number]],'Combine_List'!A:D,3,0)</f>
        <v>MBL</v>
      </c>
      <c r="N972" s="447" t="str">
        <f>VLOOKUP(Advices[[#This Row],[LC Number]],'Combine_List'!A:D,4,0)</f>
        <v>Rabigh Power Plant</v>
      </c>
      <c r="O972" s="447">
        <f>VLOOKUP(Advices[[#This Row],[LC Number]],'Combine_List'!A:E,5,0)</f>
        <v>1020107</v>
      </c>
      <c r="P972" s="447">
        <f>MONTH(Advices[[#This Row],[Transaction Date]])</f>
        <v>12</v>
      </c>
      <c r="Q972" s="447">
        <f>YEAR(Advices[[#This Row],[Transaction Date]])</f>
        <v>2025</v>
      </c>
      <c r="R972" s="1"/>
    </row>
    <row r="973" spans="1:18" x14ac:dyDescent="0.25">
      <c r="A973" s="264" t="s">
        <v>21</v>
      </c>
      <c r="B973" s="265">
        <v>46000</v>
      </c>
      <c r="C973" s="264" t="s">
        <v>1951</v>
      </c>
      <c r="D973" s="264" t="s">
        <v>2990</v>
      </c>
      <c r="E973" s="264" t="s">
        <v>1896</v>
      </c>
      <c r="F973" s="264" t="s">
        <v>2989</v>
      </c>
      <c r="G973" s="264" t="s">
        <v>26</v>
      </c>
      <c r="H973" s="266">
        <v>-2652.51</v>
      </c>
      <c r="I973" s="13">
        <v>0</v>
      </c>
      <c r="J973" s="264" t="s">
        <v>1125</v>
      </c>
      <c r="K973" s="264" t="s">
        <v>2025</v>
      </c>
      <c r="L973" s="1" t="str">
        <f>VLOOKUP(Advices[[#This Row],[LC Number]],'Combine_List'!A:D,2,0)</f>
        <v>Saudi Perfect Pumps Trading &amp; Manufacturing Company</v>
      </c>
      <c r="M973" s="447" t="str">
        <f>VLOOKUP(Advices[[#This Row],[LC Number]],'Combine_List'!A:D,3,0)</f>
        <v>MBL</v>
      </c>
      <c r="N973" s="447" t="str">
        <f>VLOOKUP(Advices[[#This Row],[LC Number]],'Combine_List'!A:D,4,0)</f>
        <v>Rabigh Power Plant</v>
      </c>
      <c r="O973" s="447">
        <f>VLOOKUP(Advices[[#This Row],[LC Number]],'Combine_List'!A:E,5,0)</f>
        <v>1020107</v>
      </c>
      <c r="P973" s="447">
        <f>MONTH(Advices[[#This Row],[Transaction Date]])</f>
        <v>12</v>
      </c>
      <c r="Q973" s="447">
        <f>YEAR(Advices[[#This Row],[Transaction Date]])</f>
        <v>2025</v>
      </c>
      <c r="R973" s="1"/>
    </row>
    <row r="974" spans="1:18" x14ac:dyDescent="0.25">
      <c r="A974" s="264" t="s">
        <v>21</v>
      </c>
      <c r="B974" s="265">
        <v>46000</v>
      </c>
      <c r="C974" s="264" t="s">
        <v>1951</v>
      </c>
      <c r="D974" s="264" t="s">
        <v>2991</v>
      </c>
      <c r="E974" s="264" t="s">
        <v>2569</v>
      </c>
      <c r="F974" s="264" t="s">
        <v>2992</v>
      </c>
      <c r="G974" s="264" t="s">
        <v>26</v>
      </c>
      <c r="H974" s="266">
        <v>-8000</v>
      </c>
      <c r="I974" s="13">
        <v>0</v>
      </c>
      <c r="J974" s="264" t="s">
        <v>1174</v>
      </c>
      <c r="K974" s="264" t="s">
        <v>2025</v>
      </c>
      <c r="L974" s="1" t="str">
        <f>VLOOKUP(Advices[[#This Row],[LC Number]],'Combine_List'!A:D,2,0)</f>
        <v>Hamada Decoration Company</v>
      </c>
      <c r="M974" s="447" t="str">
        <f>VLOOKUP(Advices[[#This Row],[LC Number]],'Combine_List'!A:D,3,0)</f>
        <v>MBL</v>
      </c>
      <c r="N974" s="447" t="str">
        <f>VLOOKUP(Advices[[#This Row],[LC Number]],'Combine_List'!A:D,4,0)</f>
        <v>ADF</v>
      </c>
      <c r="O974" s="447">
        <f>VLOOKUP(Advices[[#This Row],[LC Number]],'Combine_List'!A:E,5,0)</f>
        <v>1020001</v>
      </c>
      <c r="P974" s="447">
        <f>MONTH(Advices[[#This Row],[Transaction Date]])</f>
        <v>12</v>
      </c>
      <c r="Q974" s="447">
        <f>YEAR(Advices[[#This Row],[Transaction Date]])</f>
        <v>2025</v>
      </c>
      <c r="R974" s="1"/>
    </row>
    <row r="975" spans="1:18" x14ac:dyDescent="0.25">
      <c r="A975" s="264" t="s">
        <v>21</v>
      </c>
      <c r="B975" s="265">
        <v>46000</v>
      </c>
      <c r="C975" s="264" t="s">
        <v>1951</v>
      </c>
      <c r="D975" s="264" t="s">
        <v>2993</v>
      </c>
      <c r="E975" s="264" t="s">
        <v>2569</v>
      </c>
      <c r="F975" s="264" t="s">
        <v>2992</v>
      </c>
      <c r="G975" s="264" t="s">
        <v>26</v>
      </c>
      <c r="H975" s="266">
        <v>-53333.33</v>
      </c>
      <c r="I975" s="13">
        <v>0</v>
      </c>
      <c r="J975" s="264" t="s">
        <v>1125</v>
      </c>
      <c r="K975" s="264" t="s">
        <v>2025</v>
      </c>
      <c r="L975" s="1" t="str">
        <f>VLOOKUP(Advices[[#This Row],[LC Number]],'Combine_List'!A:D,2,0)</f>
        <v>Hamada Decoration Company</v>
      </c>
      <c r="M975" s="447" t="str">
        <f>VLOOKUP(Advices[[#This Row],[LC Number]],'Combine_List'!A:D,3,0)</f>
        <v>MBL</v>
      </c>
      <c r="N975" s="447" t="str">
        <f>VLOOKUP(Advices[[#This Row],[LC Number]],'Combine_List'!A:D,4,0)</f>
        <v>ADF</v>
      </c>
      <c r="O975" s="447">
        <f>VLOOKUP(Advices[[#This Row],[LC Number]],'Combine_List'!A:E,5,0)</f>
        <v>1020001</v>
      </c>
      <c r="P975" s="447">
        <f>MONTH(Advices[[#This Row],[Transaction Date]])</f>
        <v>12</v>
      </c>
      <c r="Q975" s="447">
        <f>YEAR(Advices[[#This Row],[Transaction Date]])</f>
        <v>2025</v>
      </c>
      <c r="R975" s="1"/>
    </row>
    <row r="976" spans="1:18" hidden="1" x14ac:dyDescent="0.25">
      <c r="A976" s="264" t="s">
        <v>62</v>
      </c>
      <c r="B976" s="265">
        <v>45992</v>
      </c>
      <c r="C976" s="264" t="s">
        <v>2039</v>
      </c>
      <c r="D976" s="264" t="s">
        <v>2994</v>
      </c>
      <c r="E976" s="264" t="s">
        <v>2906</v>
      </c>
      <c r="F976" s="264" t="s">
        <v>2041</v>
      </c>
      <c r="G976" s="264" t="s">
        <v>26</v>
      </c>
      <c r="H976" s="266">
        <v>21450.54</v>
      </c>
      <c r="I976" s="266">
        <v>0</v>
      </c>
      <c r="J976" s="264" t="s">
        <v>1126</v>
      </c>
      <c r="K976" s="264" t="s">
        <v>2025</v>
      </c>
      <c r="L976" s="1" t="str">
        <f>VLOOKUP(Advices[[#This Row],[LC Number]],'Combine_List'!A:D,2,0)</f>
        <v>IBA MIDDLE EAST FZE</v>
      </c>
      <c r="M976" s="447" t="str">
        <f>VLOOKUP(Advices[[#This Row],[LC Number]],'Combine_List'!A:D,3,0)</f>
        <v>MBL/United Arab Aluminum Co</v>
      </c>
      <c r="N976" s="447" t="str">
        <f>VLOOKUP(Advices[[#This Row],[LC Number]],'Combine_List'!A:D,4,0)</f>
        <v>Oceanarium</v>
      </c>
      <c r="O976" s="447">
        <f>VLOOKUP(Advices[[#This Row],[LC Number]],'Combine_List'!A:E,5,0)</f>
        <v>1020096</v>
      </c>
      <c r="P976" s="447">
        <f>MONTH(Advices[[#This Row],[Transaction Date]])</f>
        <v>12</v>
      </c>
      <c r="Q976" s="447">
        <f>YEAR(Advices[[#This Row],[Transaction Date]])</f>
        <v>2025</v>
      </c>
      <c r="R976" s="1"/>
    </row>
    <row r="977" spans="1:18" hidden="1" x14ac:dyDescent="0.25">
      <c r="A977" s="264" t="s">
        <v>62</v>
      </c>
      <c r="B977" s="265">
        <v>45992</v>
      </c>
      <c r="C977" s="264" t="s">
        <v>2039</v>
      </c>
      <c r="D977" s="264" t="s">
        <v>2995</v>
      </c>
      <c r="E977" s="264" t="s">
        <v>1860</v>
      </c>
      <c r="F977" s="264" t="s">
        <v>2041</v>
      </c>
      <c r="G977" s="264" t="s">
        <v>26</v>
      </c>
      <c r="H977" s="266">
        <v>1779.63</v>
      </c>
      <c r="I977" s="266">
        <v>0</v>
      </c>
      <c r="J977" s="264" t="s">
        <v>1125</v>
      </c>
      <c r="K977" s="264" t="s">
        <v>2025</v>
      </c>
      <c r="L977" s="1" t="str">
        <f>VLOOKUP(Advices[[#This Row],[LC Number]],'Combine_List'!A:D,2,0)</f>
        <v>lmdadat Al Jazera Al Arabia Trading Co.</v>
      </c>
      <c r="M977" s="447" t="str">
        <f>VLOOKUP(Advices[[#This Row],[LC Number]],'Combine_List'!A:D,3,0)</f>
        <v>FIRST FIX</v>
      </c>
      <c r="N977" s="447" t="str">
        <f>VLOOKUP(Advices[[#This Row],[LC Number]],'Combine_List'!A:D,4,0)</f>
        <v>Oceanarium</v>
      </c>
      <c r="O977" s="447">
        <f>VLOOKUP(Advices[[#This Row],[LC Number]],'Combine_List'!A:E,5,0)</f>
        <v>1020096</v>
      </c>
      <c r="P977" s="447">
        <f>MONTH(Advices[[#This Row],[Transaction Date]])</f>
        <v>12</v>
      </c>
      <c r="Q977" s="447">
        <f>YEAR(Advices[[#This Row],[Transaction Date]])</f>
        <v>2025</v>
      </c>
      <c r="R977" s="1"/>
    </row>
    <row r="978" spans="1:18" hidden="1" x14ac:dyDescent="0.25">
      <c r="A978" s="264" t="s">
        <v>62</v>
      </c>
      <c r="B978" s="265">
        <v>45993</v>
      </c>
      <c r="C978" s="264" t="s">
        <v>2039</v>
      </c>
      <c r="D978" s="264" t="s">
        <v>2996</v>
      </c>
      <c r="E978" s="264" t="s">
        <v>2915</v>
      </c>
      <c r="F978" s="264" t="s">
        <v>2041</v>
      </c>
      <c r="G978" s="264" t="s">
        <v>26</v>
      </c>
      <c r="H978" s="266">
        <v>40822.379999999997</v>
      </c>
      <c r="I978" s="266">
        <v>0</v>
      </c>
      <c r="J978" s="264" t="s">
        <v>1125</v>
      </c>
      <c r="K978" s="264" t="s">
        <v>2025</v>
      </c>
      <c r="L978" s="1" t="str">
        <f>VLOOKUP(Advices[[#This Row],[LC Number]],'Combine_List'!A:D,2,0)</f>
        <v>IBA MIDDLE EAST FZE</v>
      </c>
      <c r="M978" s="447" t="str">
        <f>VLOOKUP(Advices[[#This Row],[LC Number]],'Combine_List'!A:D,3,0)</f>
        <v>MBL/United Arab Aluminum Co</v>
      </c>
      <c r="N978" s="447" t="str">
        <f>VLOOKUP(Advices[[#This Row],[LC Number]],'Combine_List'!A:D,4,0)</f>
        <v>Oceanarium</v>
      </c>
      <c r="O978" s="447">
        <f>VLOOKUP(Advices[[#This Row],[LC Number]],'Combine_List'!A:E,5,0)</f>
        <v>1020096</v>
      </c>
      <c r="P978" s="447">
        <f>MONTH(Advices[[#This Row],[Transaction Date]])</f>
        <v>12</v>
      </c>
      <c r="Q978" s="447">
        <f>YEAR(Advices[[#This Row],[Transaction Date]])</f>
        <v>2025</v>
      </c>
      <c r="R978" s="1"/>
    </row>
    <row r="979" spans="1:18" hidden="1" x14ac:dyDescent="0.25">
      <c r="A979" s="264" t="s">
        <v>62</v>
      </c>
      <c r="B979" s="265">
        <v>45993</v>
      </c>
      <c r="C979" s="264" t="s">
        <v>2042</v>
      </c>
      <c r="D979" s="264" t="s">
        <v>2997</v>
      </c>
      <c r="E979" s="264" t="s">
        <v>2914</v>
      </c>
      <c r="F979" s="264" t="s">
        <v>2041</v>
      </c>
      <c r="G979" s="264" t="s">
        <v>26</v>
      </c>
      <c r="H979" s="266">
        <v>1063.75</v>
      </c>
      <c r="I979" s="266">
        <v>0</v>
      </c>
      <c r="J979" s="264" t="s">
        <v>2830</v>
      </c>
      <c r="K979" s="264" t="s">
        <v>2025</v>
      </c>
      <c r="L979" s="1" t="str">
        <f>VLOOKUP(Advices[[#This Row],[LC Number]],'Combine_List'!A:D,2,0)</f>
        <v>Material - General Authority of Ports - Jeddah Islamic Port</v>
      </c>
      <c r="M979" s="447">
        <f>VLOOKUP(Advices[[#This Row],[LC Number]],'Combine_List'!A:D,3,0)</f>
        <v>0</v>
      </c>
      <c r="N979" s="447">
        <f>VLOOKUP(Advices[[#This Row],[LC Number]],'Combine_List'!A:D,4,0)</f>
        <v>0</v>
      </c>
      <c r="O979" s="447" t="str">
        <f>VLOOKUP(Advices[[#This Row],[LC Number]],'Combine_List'!A:E,5,0)</f>
        <v>1020053</v>
      </c>
      <c r="P979" s="447">
        <f>MONTH(Advices[[#This Row],[Transaction Date]])</f>
        <v>12</v>
      </c>
      <c r="Q979" s="447">
        <f>YEAR(Advices[[#This Row],[Transaction Date]])</f>
        <v>2025</v>
      </c>
      <c r="R979" s="1"/>
    </row>
    <row r="980" spans="1:18" hidden="1" x14ac:dyDescent="0.25">
      <c r="A980" s="264" t="s">
        <v>62</v>
      </c>
      <c r="B980" s="265">
        <v>45994</v>
      </c>
      <c r="C980" s="264" t="s">
        <v>2039</v>
      </c>
      <c r="D980" s="264" t="s">
        <v>2998</v>
      </c>
      <c r="E980" s="264" t="s">
        <v>1858</v>
      </c>
      <c r="F980" s="264" t="s">
        <v>2041</v>
      </c>
      <c r="G980" s="264" t="s">
        <v>26</v>
      </c>
      <c r="H980" s="266">
        <v>11500</v>
      </c>
      <c r="I980" s="266">
        <v>0</v>
      </c>
      <c r="J980" s="264" t="s">
        <v>1125</v>
      </c>
      <c r="K980" s="264" t="s">
        <v>2025</v>
      </c>
      <c r="L980" s="1" t="str">
        <f>VLOOKUP(Advices[[#This Row],[LC Number]],'Combine_List'!A:D,2,0)</f>
        <v>Johnson Controls Arabia</v>
      </c>
      <c r="M980" s="447" t="str">
        <f>VLOOKUP(Advices[[#This Row],[LC Number]],'Combine_List'!A:D,3,0)</f>
        <v>FIRST FIX</v>
      </c>
      <c r="N980" s="447" t="str">
        <f>VLOOKUP(Advices[[#This Row],[LC Number]],'Combine_List'!A:D,4,0)</f>
        <v>Oceanarium</v>
      </c>
      <c r="O980" s="447">
        <f>VLOOKUP(Advices[[#This Row],[LC Number]],'Combine_List'!A:E,5,0)</f>
        <v>1020096</v>
      </c>
      <c r="P980" s="447">
        <f>MONTH(Advices[[#This Row],[Transaction Date]])</f>
        <v>12</v>
      </c>
      <c r="Q980" s="447">
        <f>YEAR(Advices[[#This Row],[Transaction Date]])</f>
        <v>2025</v>
      </c>
      <c r="R980" s="1"/>
    </row>
    <row r="981" spans="1:18" hidden="1" x14ac:dyDescent="0.25">
      <c r="A981" s="264" t="s">
        <v>62</v>
      </c>
      <c r="B981" s="265">
        <v>45995</v>
      </c>
      <c r="C981" s="264" t="s">
        <v>2042</v>
      </c>
      <c r="D981" s="264" t="s">
        <v>2999</v>
      </c>
      <c r="E981" s="264" t="s">
        <v>2920</v>
      </c>
      <c r="F981" s="264" t="s">
        <v>2041</v>
      </c>
      <c r="G981" s="264" t="s">
        <v>26</v>
      </c>
      <c r="H981" s="266">
        <v>91427.3</v>
      </c>
      <c r="I981" s="266">
        <v>0</v>
      </c>
      <c r="J981" s="264" t="s">
        <v>2830</v>
      </c>
      <c r="K981" s="264" t="s">
        <v>2025</v>
      </c>
      <c r="L981" s="1" t="str">
        <f>VLOOKUP(Advices[[#This Row],[LC Number]],'Combine_List'!A:D,2,0)</f>
        <v>Advance - BRANCH OF ELSEWEDY ELECTRIC FOR POWER SYSTEMS PROJECTS</v>
      </c>
      <c r="M981" s="447">
        <f>VLOOKUP(Advices[[#This Row],[LC Number]],'Combine_List'!A:D,3,0)</f>
        <v>0</v>
      </c>
      <c r="N981" s="447">
        <f>VLOOKUP(Advices[[#This Row],[LC Number]],'Combine_List'!A:D,4,0)</f>
        <v>0</v>
      </c>
      <c r="O981" s="447" t="str">
        <f>VLOOKUP(Advices[[#This Row],[LC Number]],'Combine_List'!A:E,5,0)</f>
        <v>1020107</v>
      </c>
      <c r="P981" s="447">
        <f>MONTH(Advices[[#This Row],[Transaction Date]])</f>
        <v>12</v>
      </c>
      <c r="Q981" s="447">
        <f>YEAR(Advices[[#This Row],[Transaction Date]])</f>
        <v>2025</v>
      </c>
      <c r="R981" s="1"/>
    </row>
    <row r="982" spans="1:18" hidden="1" x14ac:dyDescent="0.25">
      <c r="A982" s="264" t="s">
        <v>62</v>
      </c>
      <c r="B982" s="265">
        <v>45998</v>
      </c>
      <c r="C982" s="264" t="s">
        <v>2039</v>
      </c>
      <c r="D982" s="264" t="s">
        <v>3000</v>
      </c>
      <c r="E982" s="264" t="s">
        <v>1063</v>
      </c>
      <c r="F982" s="264" t="s">
        <v>2041</v>
      </c>
      <c r="G982" s="264" t="s">
        <v>26</v>
      </c>
      <c r="H982" s="266">
        <v>122187.5</v>
      </c>
      <c r="I982" s="266">
        <v>0</v>
      </c>
      <c r="J982" s="264" t="s">
        <v>2830</v>
      </c>
      <c r="K982" s="264" t="s">
        <v>2025</v>
      </c>
      <c r="L982" s="1" t="str">
        <f>VLOOKUP(Advices[[#This Row],[LC Number]],'Combine_List'!A:D,2,0)</f>
        <v>Material - JEDDAH CENTRAL DEVELOPMENT COMPANY</v>
      </c>
      <c r="M982" s="447">
        <f>VLOOKUP(Advices[[#This Row],[LC Number]],'Combine_List'!A:D,3,0)</f>
        <v>0</v>
      </c>
      <c r="N982" s="447" t="str">
        <f>VLOOKUP(Advices[[#This Row],[LC Number]],'Combine_List'!A:D,4,0)</f>
        <v>JCD</v>
      </c>
      <c r="O982" s="447" t="str">
        <f>VLOOKUP(Advices[[#This Row],[LC Number]],'Combine_List'!A:E,5,0)</f>
        <v>1020096</v>
      </c>
      <c r="P982" s="447">
        <f>MONTH(Advices[[#This Row],[Transaction Date]])</f>
        <v>12</v>
      </c>
      <c r="Q982" s="447">
        <f>YEAR(Advices[[#This Row],[Transaction Date]])</f>
        <v>2025</v>
      </c>
      <c r="R982" s="1"/>
    </row>
    <row r="983" spans="1:18" hidden="1" x14ac:dyDescent="0.25">
      <c r="A983" s="264" t="s">
        <v>62</v>
      </c>
      <c r="B983" s="265">
        <v>45998</v>
      </c>
      <c r="C983" s="264" t="s">
        <v>2039</v>
      </c>
      <c r="D983" s="264" t="s">
        <v>3001</v>
      </c>
      <c r="E983" s="264" t="s">
        <v>1894</v>
      </c>
      <c r="F983" s="264" t="s">
        <v>2041</v>
      </c>
      <c r="G983" s="264" t="s">
        <v>26</v>
      </c>
      <c r="H983" s="266">
        <v>12107.2</v>
      </c>
      <c r="I983" s="266">
        <v>0</v>
      </c>
      <c r="J983" s="264" t="s">
        <v>2830</v>
      </c>
      <c r="K983" s="264" t="s">
        <v>2025</v>
      </c>
      <c r="L983" s="1" t="str">
        <f>VLOOKUP(Advices[[#This Row],[LC Number]],'Combine_List'!A:D,2,0)</f>
        <v>Advance - PRIVATE AFFAIRS OF THE CUSTODIAN OF THE TWO HOLY MOSQUES(IFAS)</v>
      </c>
      <c r="M983" s="447" t="str">
        <f>VLOOKUP(Advices[[#This Row],[LC Number]],'Combine_List'!A:D,3,0)</f>
        <v>IFAS</v>
      </c>
      <c r="N983" s="447">
        <f>VLOOKUP(Advices[[#This Row],[LC Number]],'Combine_List'!A:D,4,0)</f>
        <v>0</v>
      </c>
      <c r="O983" s="447">
        <f>VLOOKUP(Advices[[#This Row],[LC Number]],'Combine_List'!A:E,5,0)</f>
        <v>0</v>
      </c>
      <c r="P983" s="447">
        <f>MONTH(Advices[[#This Row],[Transaction Date]])</f>
        <v>12</v>
      </c>
      <c r="Q983" s="447">
        <f>YEAR(Advices[[#This Row],[Transaction Date]])</f>
        <v>2025</v>
      </c>
      <c r="R983" s="1"/>
    </row>
    <row r="984" spans="1:18" hidden="1" x14ac:dyDescent="0.25">
      <c r="A984" s="264" t="s">
        <v>62</v>
      </c>
      <c r="B984" s="265">
        <v>45998</v>
      </c>
      <c r="C984" s="264" t="s">
        <v>2039</v>
      </c>
      <c r="D984" s="264" t="s">
        <v>3002</v>
      </c>
      <c r="E984" s="264" t="s">
        <v>1861</v>
      </c>
      <c r="F984" s="264" t="s">
        <v>2041</v>
      </c>
      <c r="G984" s="264" t="s">
        <v>26</v>
      </c>
      <c r="H984" s="266">
        <v>3450</v>
      </c>
      <c r="I984" s="266">
        <v>0</v>
      </c>
      <c r="J984" s="264" t="s">
        <v>1125</v>
      </c>
      <c r="K984" s="264" t="s">
        <v>2025</v>
      </c>
      <c r="L984" s="1" t="str">
        <f>VLOOKUP(Advices[[#This Row],[LC Number]],'Combine_List'!A:D,2,0)</f>
        <v>Saudi Electric Supply Company</v>
      </c>
      <c r="M984" s="447" t="str">
        <f>VLOOKUP(Advices[[#This Row],[LC Number]],'Combine_List'!A:D,3,0)</f>
        <v>FIRST FIX</v>
      </c>
      <c r="N984" s="447" t="str">
        <f>VLOOKUP(Advices[[#This Row],[LC Number]],'Combine_List'!A:D,4,0)</f>
        <v>Oceanarium</v>
      </c>
      <c r="O984" s="447">
        <f>VLOOKUP(Advices[[#This Row],[LC Number]],'Combine_List'!A:E,5,0)</f>
        <v>1020096</v>
      </c>
      <c r="P984" s="447">
        <f>MONTH(Advices[[#This Row],[Transaction Date]])</f>
        <v>12</v>
      </c>
      <c r="Q984" s="447">
        <f>YEAR(Advices[[#This Row],[Transaction Date]])</f>
        <v>2025</v>
      </c>
      <c r="R984" s="1"/>
    </row>
    <row r="985" spans="1:18" hidden="1" x14ac:dyDescent="0.25">
      <c r="A985" s="264" t="s">
        <v>62</v>
      </c>
      <c r="B985" s="265">
        <v>45998</v>
      </c>
      <c r="C985" s="264" t="s">
        <v>2039</v>
      </c>
      <c r="D985" s="264" t="s">
        <v>3003</v>
      </c>
      <c r="E985" s="264" t="s">
        <v>1862</v>
      </c>
      <c r="F985" s="264" t="s">
        <v>2041</v>
      </c>
      <c r="G985" s="264" t="s">
        <v>26</v>
      </c>
      <c r="H985" s="266">
        <v>1437.5</v>
      </c>
      <c r="I985" s="266">
        <v>0</v>
      </c>
      <c r="J985" s="264" t="s">
        <v>1125</v>
      </c>
      <c r="K985" s="264" t="s">
        <v>2025</v>
      </c>
      <c r="L985" s="1" t="str">
        <f>VLOOKUP(Advices[[#This Row],[LC Number]],'Combine_List'!A:D,2,0)</f>
        <v>Al Othman Industrial Marketing Co.</v>
      </c>
      <c r="M985" s="447" t="str">
        <f>VLOOKUP(Advices[[#This Row],[LC Number]],'Combine_List'!A:D,3,0)</f>
        <v>FIRST FIX</v>
      </c>
      <c r="N985" s="447" t="str">
        <f>VLOOKUP(Advices[[#This Row],[LC Number]],'Combine_List'!A:D,4,0)</f>
        <v>Oceanarium</v>
      </c>
      <c r="O985" s="447">
        <f>VLOOKUP(Advices[[#This Row],[LC Number]],'Combine_List'!A:E,5,0)</f>
        <v>1020096</v>
      </c>
      <c r="P985" s="447">
        <f>MONTH(Advices[[#This Row],[Transaction Date]])</f>
        <v>12</v>
      </c>
      <c r="Q985" s="447">
        <f>YEAR(Advices[[#This Row],[Transaction Date]])</f>
        <v>2025</v>
      </c>
      <c r="R985" s="1"/>
    </row>
    <row r="986" spans="1:18" hidden="1" x14ac:dyDescent="0.25">
      <c r="A986" s="264" t="s">
        <v>62</v>
      </c>
      <c r="B986" s="265">
        <v>45999</v>
      </c>
      <c r="C986" s="264" t="s">
        <v>2042</v>
      </c>
      <c r="D986" s="264" t="s">
        <v>3004</v>
      </c>
      <c r="E986" s="264" t="s">
        <v>2922</v>
      </c>
      <c r="F986" s="264" t="s">
        <v>2041</v>
      </c>
      <c r="G986" s="264" t="s">
        <v>26</v>
      </c>
      <c r="H986" s="266">
        <v>5186.5</v>
      </c>
      <c r="I986" s="266">
        <v>0</v>
      </c>
      <c r="J986" s="264" t="s">
        <v>2830</v>
      </c>
      <c r="K986" s="264" t="s">
        <v>2025</v>
      </c>
      <c r="L986" s="1" t="str">
        <f>VLOOKUP(Advices[[#This Row],[LC Number]],'Combine_List'!A:D,2,0)</f>
        <v>Performance - ROYAL PRIVATE AFFAIRS (IFAS)</v>
      </c>
      <c r="M986" s="447">
        <f>VLOOKUP(Advices[[#This Row],[LC Number]],'Combine_List'!A:D,3,0)</f>
        <v>0</v>
      </c>
      <c r="N986" s="447">
        <f>VLOOKUP(Advices[[#This Row],[LC Number]],'Combine_List'!A:D,4,0)</f>
        <v>0</v>
      </c>
      <c r="O986" s="447">
        <f>VLOOKUP(Advices[[#This Row],[LC Number]],'Combine_List'!A:E,5,0)</f>
        <v>0</v>
      </c>
      <c r="P986" s="447">
        <f>MONTH(Advices[[#This Row],[Transaction Date]])</f>
        <v>12</v>
      </c>
      <c r="Q986" s="447">
        <f>YEAR(Advices[[#This Row],[Transaction Date]])</f>
        <v>2025</v>
      </c>
      <c r="R986" s="1"/>
    </row>
    <row r="987" spans="1:18" hidden="1" x14ac:dyDescent="0.25">
      <c r="A987" s="264" t="s">
        <v>62</v>
      </c>
      <c r="B987" s="265">
        <v>46000</v>
      </c>
      <c r="C987" s="264" t="s">
        <v>2039</v>
      </c>
      <c r="D987" s="264" t="s">
        <v>3005</v>
      </c>
      <c r="E987" s="264" t="s">
        <v>2462</v>
      </c>
      <c r="F987" s="264" t="s">
        <v>2041</v>
      </c>
      <c r="G987" s="264" t="s">
        <v>26</v>
      </c>
      <c r="H987" s="266">
        <v>460</v>
      </c>
      <c r="I987" s="266">
        <v>0</v>
      </c>
      <c r="J987" s="264" t="s">
        <v>2830</v>
      </c>
      <c r="K987" s="264" t="s">
        <v>2025</v>
      </c>
      <c r="L987" s="1" t="e">
        <f>VLOOKUP(Advices[[#This Row],[LC Number]],'Combine_List'!A:D,2,0)</f>
        <v>#N/A</v>
      </c>
      <c r="M987" s="447" t="e">
        <f>VLOOKUP(Advices[[#This Row],[LC Number]],'Combine_List'!A:D,3,0)</f>
        <v>#N/A</v>
      </c>
      <c r="N987" s="447" t="e">
        <f>VLOOKUP(Advices[[#This Row],[LC Number]],'Combine_List'!A:D,4,0)</f>
        <v>#N/A</v>
      </c>
      <c r="O987" s="447" t="e">
        <f>VLOOKUP(Advices[[#This Row],[LC Number]],'Combine_List'!A:E,5,0)</f>
        <v>#N/A</v>
      </c>
      <c r="P987" s="447">
        <f>MONTH(Advices[[#This Row],[Transaction Date]])</f>
        <v>12</v>
      </c>
      <c r="Q987" s="447">
        <f>YEAR(Advices[[#This Row],[Transaction Date]])</f>
        <v>2025</v>
      </c>
      <c r="R987" s="1"/>
    </row>
    <row r="988" spans="1:18" hidden="1" x14ac:dyDescent="0.25">
      <c r="A988" s="264" t="s">
        <v>62</v>
      </c>
      <c r="B988" s="265">
        <v>46001</v>
      </c>
      <c r="C988" s="264" t="s">
        <v>2039</v>
      </c>
      <c r="D988" s="264" t="s">
        <v>3006</v>
      </c>
      <c r="E988" s="264" t="s">
        <v>1834</v>
      </c>
      <c r="F988" s="264" t="s">
        <v>2041</v>
      </c>
      <c r="G988" s="264" t="s">
        <v>26</v>
      </c>
      <c r="H988" s="266">
        <v>64985.08</v>
      </c>
      <c r="I988" s="266">
        <v>0</v>
      </c>
      <c r="J988" s="264" t="s">
        <v>1126</v>
      </c>
      <c r="K988" s="264" t="s">
        <v>2025</v>
      </c>
      <c r="L988" s="1" t="str">
        <f>VLOOKUP(Advices[[#This Row],[LC Number]],'Combine_List'!A:D,2,0)</f>
        <v>Jiangsu Donchamp New Materials Technology Co.Ltd.</v>
      </c>
      <c r="M988" s="447" t="str">
        <f>VLOOKUP(Advices[[#This Row],[LC Number]],'Combine_List'!A:D,3,0)</f>
        <v>MBL</v>
      </c>
      <c r="N988" s="447" t="str">
        <f>VLOOKUP(Advices[[#This Row],[LC Number]],'Combine_List'!A:D,4,0)</f>
        <v>Oceanarium</v>
      </c>
      <c r="O988" s="447">
        <f>VLOOKUP(Advices[[#This Row],[LC Number]],'Combine_List'!A:E,5,0)</f>
        <v>1020096</v>
      </c>
      <c r="P988" s="447">
        <f>MONTH(Advices[[#This Row],[Transaction Date]])</f>
        <v>12</v>
      </c>
      <c r="Q988" s="447">
        <f>YEAR(Advices[[#This Row],[Transaction Date]])</f>
        <v>2025</v>
      </c>
      <c r="R988" s="1"/>
    </row>
    <row r="989" spans="1:18" hidden="1" x14ac:dyDescent="0.25">
      <c r="A989" s="264" t="s">
        <v>62</v>
      </c>
      <c r="B989" s="265">
        <v>46001</v>
      </c>
      <c r="C989" s="264" t="s">
        <v>2039</v>
      </c>
      <c r="D989" s="264" t="s">
        <v>3007</v>
      </c>
      <c r="E989" s="264" t="s">
        <v>1859</v>
      </c>
      <c r="F989" s="264" t="s">
        <v>2041</v>
      </c>
      <c r="G989" s="264" t="s">
        <v>26</v>
      </c>
      <c r="H989" s="266">
        <v>5750</v>
      </c>
      <c r="I989" s="266">
        <v>0</v>
      </c>
      <c r="J989" s="264" t="s">
        <v>1125</v>
      </c>
      <c r="K989" s="264" t="s">
        <v>2025</v>
      </c>
      <c r="L989" s="1" t="str">
        <f>VLOOKUP(Advices[[#This Row],[LC Number]],'Combine_List'!A:D,2,0)</f>
        <v>Safid Co. Ltd.</v>
      </c>
      <c r="M989" s="447" t="str">
        <f>VLOOKUP(Advices[[#This Row],[LC Number]],'Combine_List'!A:D,3,0)</f>
        <v>FIRST FIX</v>
      </c>
      <c r="N989" s="447" t="str">
        <f>VLOOKUP(Advices[[#This Row],[LC Number]],'Combine_List'!A:D,4,0)</f>
        <v>Oceanarium</v>
      </c>
      <c r="O989" s="447">
        <f>VLOOKUP(Advices[[#This Row],[LC Number]],'Combine_List'!A:E,5,0)</f>
        <v>1020096</v>
      </c>
      <c r="P989" s="447">
        <f>MONTH(Advices[[#This Row],[Transaction Date]])</f>
        <v>12</v>
      </c>
      <c r="Q989" s="447">
        <f>YEAR(Advices[[#This Row],[Transaction Date]])</f>
        <v>2025</v>
      </c>
      <c r="R989" s="1"/>
    </row>
    <row r="990" spans="1:18" hidden="1" x14ac:dyDescent="0.25">
      <c r="A990" s="264" t="s">
        <v>62</v>
      </c>
      <c r="B990" s="265">
        <v>46001</v>
      </c>
      <c r="C990" s="264" t="s">
        <v>2039</v>
      </c>
      <c r="D990" s="264" t="s">
        <v>3008</v>
      </c>
      <c r="E990" s="264" t="s">
        <v>1860</v>
      </c>
      <c r="F990" s="264" t="s">
        <v>2041</v>
      </c>
      <c r="G990" s="264" t="s">
        <v>26</v>
      </c>
      <c r="H990" s="266">
        <v>2587.5</v>
      </c>
      <c r="I990" s="266">
        <v>0</v>
      </c>
      <c r="J990" s="264" t="s">
        <v>1125</v>
      </c>
      <c r="K990" s="264" t="s">
        <v>2025</v>
      </c>
      <c r="L990" s="1" t="str">
        <f>VLOOKUP(Advices[[#This Row],[LC Number]],'Combine_List'!A:D,2,0)</f>
        <v>lmdadat Al Jazera Al Arabia Trading Co.</v>
      </c>
      <c r="M990" s="447" t="str">
        <f>VLOOKUP(Advices[[#This Row],[LC Number]],'Combine_List'!A:D,3,0)</f>
        <v>FIRST FIX</v>
      </c>
      <c r="N990" s="447" t="str">
        <f>VLOOKUP(Advices[[#This Row],[LC Number]],'Combine_List'!A:D,4,0)</f>
        <v>Oceanarium</v>
      </c>
      <c r="O990" s="447">
        <f>VLOOKUP(Advices[[#This Row],[LC Number]],'Combine_List'!A:E,5,0)</f>
        <v>1020096</v>
      </c>
      <c r="P990" s="447">
        <f>MONTH(Advices[[#This Row],[Transaction Date]])</f>
        <v>12</v>
      </c>
      <c r="Q990" s="447">
        <f>YEAR(Advices[[#This Row],[Transaction Date]])</f>
        <v>2025</v>
      </c>
      <c r="R990" s="1"/>
    </row>
    <row r="991" spans="1:18" hidden="1" x14ac:dyDescent="0.25">
      <c r="A991" s="264" t="s">
        <v>62</v>
      </c>
      <c r="B991" s="265">
        <v>46001</v>
      </c>
      <c r="C991" s="264" t="s">
        <v>2042</v>
      </c>
      <c r="D991" s="264" t="s">
        <v>3009</v>
      </c>
      <c r="E991" s="1" t="s">
        <v>1934</v>
      </c>
      <c r="F991" s="264" t="s">
        <v>2041</v>
      </c>
      <c r="G991" s="264" t="s">
        <v>26</v>
      </c>
      <c r="H991" s="266">
        <v>94588.42</v>
      </c>
      <c r="I991" s="266">
        <v>0</v>
      </c>
      <c r="J991" s="264" t="s">
        <v>1125</v>
      </c>
      <c r="K991" s="264" t="s">
        <v>2025</v>
      </c>
      <c r="L991" s="1" t="str">
        <f>VLOOKUP(Advices[[#This Row],[LC Number]],'Combine_List'!A:D,2,0)</f>
        <v>Mat Filtrasyon Teknolojeleri A.S</v>
      </c>
      <c r="M991" s="447" t="str">
        <f>VLOOKUP(Advices[[#This Row],[LC Number]],'Combine_List'!A:D,3,0)</f>
        <v>MBL</v>
      </c>
      <c r="N991" s="447" t="str">
        <f>VLOOKUP(Advices[[#This Row],[LC Number]],'Combine_List'!A:D,4,0)</f>
        <v>Oceanarium</v>
      </c>
      <c r="O991" s="447">
        <f>VLOOKUP(Advices[[#This Row],[LC Number]],'Combine_List'!A:E,5,0)</f>
        <v>1020096</v>
      </c>
      <c r="P991" s="447">
        <f>MONTH(Advices[[#This Row],[Transaction Date]])</f>
        <v>12</v>
      </c>
      <c r="Q991" s="447">
        <f>YEAR(Advices[[#This Row],[Transaction Date]])</f>
        <v>2025</v>
      </c>
      <c r="R991" s="1"/>
    </row>
    <row r="992" spans="1:18" hidden="1" x14ac:dyDescent="0.25">
      <c r="A992" s="264" t="s">
        <v>95</v>
      </c>
      <c r="B992" s="265">
        <v>45992</v>
      </c>
      <c r="C992" s="264" t="s">
        <v>2356</v>
      </c>
      <c r="D992" s="264" t="s">
        <v>3010</v>
      </c>
      <c r="E992" s="264" t="s">
        <v>702</v>
      </c>
      <c r="F992" s="264" t="s">
        <v>3011</v>
      </c>
      <c r="G992" s="264"/>
      <c r="H992" s="266">
        <v>-84924.76</v>
      </c>
      <c r="I992" s="13">
        <v>0</v>
      </c>
      <c r="J992" s="264" t="s">
        <v>1126</v>
      </c>
      <c r="K992" s="264" t="s">
        <v>2025</v>
      </c>
      <c r="L992" s="1" t="str">
        <f>VLOOKUP(Advices[[#This Row],[LC Number]],'Combine_List'!A:D,2,0)</f>
        <v>HOLCIM SOLUTIONS AND PRODUCTS EMEA BV</v>
      </c>
      <c r="M992" s="447" t="str">
        <f>VLOOKUP(Advices[[#This Row],[LC Number]],'Combine_List'!A:D,3,0)</f>
        <v>MBL/IFAS</v>
      </c>
      <c r="N992" s="447" t="str">
        <f>VLOOKUP(Advices[[#This Row],[LC Number]],'Combine_List'!A:D,4,0)</f>
        <v>CEER</v>
      </c>
      <c r="O992" s="447">
        <f>VLOOKUP(Advices[[#This Row],[LC Number]],'Combine_List'!A:E,5,0)</f>
        <v>1020091</v>
      </c>
      <c r="P992" s="447">
        <f>MONTH(Advices[[#This Row],[Transaction Date]])</f>
        <v>12</v>
      </c>
      <c r="Q992" s="447">
        <f>YEAR(Advices[[#This Row],[Transaction Date]])</f>
        <v>2025</v>
      </c>
      <c r="R992" s="1"/>
    </row>
    <row r="993" spans="1:18" hidden="1" x14ac:dyDescent="0.25">
      <c r="A993" s="264" t="s">
        <v>95</v>
      </c>
      <c r="B993" s="265">
        <v>45993</v>
      </c>
      <c r="C993" s="264" t="s">
        <v>2026</v>
      </c>
      <c r="D993" s="264" t="s">
        <v>3012</v>
      </c>
      <c r="E993" s="264" t="s">
        <v>2907</v>
      </c>
      <c r="F993" s="264" t="s">
        <v>3013</v>
      </c>
      <c r="G993" s="264" t="s">
        <v>26</v>
      </c>
      <c r="H993" s="266">
        <v>-1896.3</v>
      </c>
      <c r="I993" s="13">
        <v>0</v>
      </c>
      <c r="J993" s="264" t="s">
        <v>2616</v>
      </c>
      <c r="K993" s="264" t="s">
        <v>2025</v>
      </c>
      <c r="L993" s="1" t="str">
        <f>VLOOKUP(Advices[[#This Row],[LC Number]],'Combine_List'!A:D,2,0)</f>
        <v>ALNAFIE METAL INDUSTRIES CO LTD</v>
      </c>
      <c r="M993" s="447" t="str">
        <f>VLOOKUP(Advices[[#This Row],[LC Number]],'Combine_List'!A:D,3,0)</f>
        <v>MBL/AICS</v>
      </c>
      <c r="N993" s="447" t="str">
        <f>VLOOKUP(Advices[[#This Row],[LC Number]],'Combine_List'!A:D,4,0)</f>
        <v>OPERA House</v>
      </c>
      <c r="O993" s="447">
        <f>VLOOKUP(Advices[[#This Row],[LC Number]],'Combine_List'!A:E,5,0)</f>
        <v>1020097</v>
      </c>
      <c r="P993" s="447">
        <f>MONTH(Advices[[#This Row],[Transaction Date]])</f>
        <v>12</v>
      </c>
      <c r="Q993" s="447">
        <f>YEAR(Advices[[#This Row],[Transaction Date]])</f>
        <v>2025</v>
      </c>
      <c r="R993" s="1"/>
    </row>
    <row r="994" spans="1:18" hidden="1" x14ac:dyDescent="0.25">
      <c r="A994" s="264" t="s">
        <v>95</v>
      </c>
      <c r="B994" s="265">
        <v>45995</v>
      </c>
      <c r="C994" s="264" t="s">
        <v>2026</v>
      </c>
      <c r="D994" s="264" t="s">
        <v>3014</v>
      </c>
      <c r="E994" s="264" t="s">
        <v>2921</v>
      </c>
      <c r="F994" s="264" t="s">
        <v>3015</v>
      </c>
      <c r="G994" s="264" t="s">
        <v>26</v>
      </c>
      <c r="H994" s="266">
        <v>-2185.86</v>
      </c>
      <c r="I994" s="13">
        <v>0</v>
      </c>
      <c r="J994" s="264" t="s">
        <v>2616</v>
      </c>
      <c r="K994" s="264" t="s">
        <v>2025</v>
      </c>
      <c r="L994" s="1" t="str">
        <f>VLOOKUP(Advices[[#This Row],[LC Number]],'Combine_List'!A:D,2,0)</f>
        <v>Saudi Benaa Company For Building Materials</v>
      </c>
      <c r="M994" s="447" t="str">
        <f>VLOOKUP(Advices[[#This Row],[LC Number]],'Combine_List'!A:D,3,0)</f>
        <v>MBL</v>
      </c>
      <c r="N994" s="447" t="str">
        <f>VLOOKUP(Advices[[#This Row],[LC Number]],'Combine_List'!A:D,4,0)</f>
        <v>OPERA House</v>
      </c>
      <c r="O994" s="447">
        <f>VLOOKUP(Advices[[#This Row],[LC Number]],'Combine_List'!A:E,5,0)</f>
        <v>1020097</v>
      </c>
      <c r="P994" s="447">
        <f>MONTH(Advices[[#This Row],[Transaction Date]])</f>
        <v>12</v>
      </c>
      <c r="Q994" s="447">
        <f>YEAR(Advices[[#This Row],[Transaction Date]])</f>
        <v>2025</v>
      </c>
      <c r="R994" s="1"/>
    </row>
    <row r="995" spans="1:18" hidden="1" x14ac:dyDescent="0.25">
      <c r="A995" s="264" t="s">
        <v>95</v>
      </c>
      <c r="B995" s="265">
        <v>45995</v>
      </c>
      <c r="C995" s="264" t="s">
        <v>2026</v>
      </c>
      <c r="D995" s="264" t="s">
        <v>3016</v>
      </c>
      <c r="E995" s="264" t="s">
        <v>1616</v>
      </c>
      <c r="F995" s="264" t="s">
        <v>3017</v>
      </c>
      <c r="G995" s="264" t="s">
        <v>26</v>
      </c>
      <c r="H995" s="266">
        <v>-150000</v>
      </c>
      <c r="I995" s="13">
        <v>0</v>
      </c>
      <c r="J995" s="264" t="s">
        <v>1126</v>
      </c>
      <c r="K995" s="264" t="s">
        <v>2025</v>
      </c>
      <c r="L995" s="1" t="str">
        <f>VLOOKUP(Advices[[#This Row],[LC Number]],'Combine_List'!A:D,2,0)</f>
        <v>Mahmoud AI-Taheni &amp; Partners Trading Co.</v>
      </c>
      <c r="M995" s="447" t="str">
        <f>VLOOKUP(Advices[[#This Row],[LC Number]],'Combine_List'!A:D,3,0)</f>
        <v>FIRST FIX</v>
      </c>
      <c r="N995" s="447" t="str">
        <f>VLOOKUP(Advices[[#This Row],[LC Number]],'Combine_List'!A:D,4,0)</f>
        <v>JCD SPMI</v>
      </c>
      <c r="O995" s="447">
        <f>VLOOKUP(Advices[[#This Row],[LC Number]],'Combine_List'!A:E,5,0)</f>
        <v>1020100</v>
      </c>
      <c r="P995" s="447">
        <f>MONTH(Advices[[#This Row],[Transaction Date]])</f>
        <v>12</v>
      </c>
      <c r="Q995" s="447">
        <f>YEAR(Advices[[#This Row],[Transaction Date]])</f>
        <v>2025</v>
      </c>
      <c r="R995" s="1"/>
    </row>
    <row r="996" spans="1:18" hidden="1" x14ac:dyDescent="0.25">
      <c r="A996" s="264" t="s">
        <v>366</v>
      </c>
      <c r="B996" s="265">
        <v>45992</v>
      </c>
      <c r="C996" s="264" t="s">
        <v>2060</v>
      </c>
      <c r="D996" s="264" t="s">
        <v>3018</v>
      </c>
      <c r="E996" s="264" t="s">
        <v>2902</v>
      </c>
      <c r="F996" s="264" t="s">
        <v>2902</v>
      </c>
      <c r="G996" s="264" t="s">
        <v>26</v>
      </c>
      <c r="H996" s="266">
        <v>-3842.48</v>
      </c>
      <c r="I996" s="13">
        <v>0</v>
      </c>
      <c r="J996" s="264" t="s">
        <v>2616</v>
      </c>
      <c r="K996" s="264" t="s">
        <v>2025</v>
      </c>
      <c r="L996" s="1" t="str">
        <f>VLOOKUP(Advices[[#This Row],[LC Number]],'Combine_List'!A:D,2,0)</f>
        <v xml:space="preserve">Daikin Air Conditioning Saudi Arabia </v>
      </c>
      <c r="M996" s="447" t="str">
        <f>VLOOKUP(Advices[[#This Row],[LC Number]],'Combine_List'!A:D,3,0)</f>
        <v>FIRST FIX</v>
      </c>
      <c r="N996" s="447" t="str">
        <f>VLOOKUP(Advices[[#This Row],[LC Number]],'Combine_List'!A:D,4,0)</f>
        <v>MP1</v>
      </c>
      <c r="O996" s="447">
        <f>VLOOKUP(Advices[[#This Row],[LC Number]],'Combine_List'!A:E,5,0)</f>
        <v>1020088</v>
      </c>
      <c r="P996" s="447">
        <f>MONTH(Advices[[#This Row],[Transaction Date]])</f>
        <v>12</v>
      </c>
      <c r="Q996" s="447">
        <f>YEAR(Advices[[#This Row],[Transaction Date]])</f>
        <v>2025</v>
      </c>
      <c r="R996" s="1"/>
    </row>
    <row r="997" spans="1:18" hidden="1" x14ac:dyDescent="0.25">
      <c r="A997" s="264" t="s">
        <v>366</v>
      </c>
      <c r="B997" s="265">
        <v>45992</v>
      </c>
      <c r="C997" s="264" t="s">
        <v>2060</v>
      </c>
      <c r="D997" s="264" t="s">
        <v>3019</v>
      </c>
      <c r="E997" s="264" t="s">
        <v>2904</v>
      </c>
      <c r="F997" s="264" t="s">
        <v>2904</v>
      </c>
      <c r="G997" s="264" t="s">
        <v>26</v>
      </c>
      <c r="H997" s="266">
        <v>-39809.94</v>
      </c>
      <c r="I997" s="13">
        <v>0</v>
      </c>
      <c r="J997" s="264" t="s">
        <v>1125</v>
      </c>
      <c r="K997" s="264" t="s">
        <v>2025</v>
      </c>
      <c r="L997" s="1" t="str">
        <f>VLOOKUP(Advices[[#This Row],[LC Number]],'Combine_List'!A:D,2,0)</f>
        <v>ELSEWEDY CABLES CO. LIMITED</v>
      </c>
      <c r="M997" s="447" t="str">
        <f>VLOOKUP(Advices[[#This Row],[LC Number]],'Combine_List'!A:D,3,0)</f>
        <v>FIRST FIX</v>
      </c>
      <c r="N997" s="447" t="str">
        <f>VLOOKUP(Advices[[#This Row],[LC Number]],'Combine_List'!A:D,4,0)</f>
        <v>MP1</v>
      </c>
      <c r="O997" s="447">
        <f>VLOOKUP(Advices[[#This Row],[LC Number]],'Combine_List'!A:E,5,0)</f>
        <v>1020088</v>
      </c>
      <c r="P997" s="447">
        <f>MONTH(Advices[[#This Row],[Transaction Date]])</f>
        <v>12</v>
      </c>
      <c r="Q997" s="447">
        <f>YEAR(Advices[[#This Row],[Transaction Date]])</f>
        <v>2025</v>
      </c>
      <c r="R997" s="1"/>
    </row>
    <row r="998" spans="1:18" hidden="1" x14ac:dyDescent="0.25">
      <c r="A998" s="264" t="s">
        <v>366</v>
      </c>
      <c r="B998" s="265">
        <v>45992</v>
      </c>
      <c r="C998" s="264" t="s">
        <v>2060</v>
      </c>
      <c r="D998" s="264" t="s">
        <v>3020</v>
      </c>
      <c r="E998" s="264" t="s">
        <v>2903</v>
      </c>
      <c r="F998" s="264" t="s">
        <v>2903</v>
      </c>
      <c r="G998" s="264" t="s">
        <v>26</v>
      </c>
      <c r="H998" s="266">
        <v>-4830</v>
      </c>
      <c r="I998" s="13">
        <v>0</v>
      </c>
      <c r="J998" s="264" t="s">
        <v>1125</v>
      </c>
      <c r="K998" s="264" t="s">
        <v>2025</v>
      </c>
      <c r="L998" s="1" t="str">
        <f>VLOOKUP(Advices[[#This Row],[LC Number]],'Combine_List'!A:D,2,0)</f>
        <v>Ajzal United for Safety CO.LTD.</v>
      </c>
      <c r="M998" s="447" t="str">
        <f>VLOOKUP(Advices[[#This Row],[LC Number]],'Combine_List'!A:D,3,0)</f>
        <v>FIRST FIX</v>
      </c>
      <c r="N998" s="447" t="str">
        <f>VLOOKUP(Advices[[#This Row],[LC Number]],'Combine_List'!A:D,4,0)</f>
        <v>MP1</v>
      </c>
      <c r="O998" s="447">
        <f>VLOOKUP(Advices[[#This Row],[LC Number]],'Combine_List'!A:E,5,0)</f>
        <v>1020088</v>
      </c>
      <c r="P998" s="447">
        <f>MONTH(Advices[[#This Row],[Transaction Date]])</f>
        <v>12</v>
      </c>
      <c r="Q998" s="447">
        <f>YEAR(Advices[[#This Row],[Transaction Date]])</f>
        <v>2025</v>
      </c>
      <c r="R998" s="1"/>
    </row>
    <row r="999" spans="1:18" hidden="1" x14ac:dyDescent="0.25">
      <c r="A999" s="264" t="s">
        <v>366</v>
      </c>
      <c r="B999" s="265">
        <v>45992</v>
      </c>
      <c r="C999" s="264" t="s">
        <v>2060</v>
      </c>
      <c r="D999" s="264" t="s">
        <v>3021</v>
      </c>
      <c r="E999" s="264" t="s">
        <v>2905</v>
      </c>
      <c r="F999" s="264" t="s">
        <v>2905</v>
      </c>
      <c r="G999" s="264" t="s">
        <v>26</v>
      </c>
      <c r="H999" s="266">
        <v>-23000</v>
      </c>
      <c r="I999" s="13">
        <v>0</v>
      </c>
      <c r="J999" s="264" t="s">
        <v>1125</v>
      </c>
      <c r="K999" s="264" t="s">
        <v>2025</v>
      </c>
      <c r="L999" s="1" t="str">
        <f>VLOOKUP(Advices[[#This Row],[LC Number]],'Combine_List'!A:D,2,0)</f>
        <v>Power Center Company for Industries LLC</v>
      </c>
      <c r="M999" s="447" t="str">
        <f>VLOOKUP(Advices[[#This Row],[LC Number]],'Combine_List'!A:D,3,0)</f>
        <v>FIRST FIX</v>
      </c>
      <c r="N999" s="447" t="str">
        <f>VLOOKUP(Advices[[#This Row],[LC Number]],'Combine_List'!A:D,4,0)</f>
        <v>MP1</v>
      </c>
      <c r="O999" s="447">
        <f>VLOOKUP(Advices[[#This Row],[LC Number]],'Combine_List'!A:E,5,0)</f>
        <v>1020088</v>
      </c>
      <c r="P999" s="447">
        <f>MONTH(Advices[[#This Row],[Transaction Date]])</f>
        <v>12</v>
      </c>
      <c r="Q999" s="447">
        <f>YEAR(Advices[[#This Row],[Transaction Date]])</f>
        <v>2025</v>
      </c>
      <c r="R999" s="1"/>
    </row>
    <row r="1000" spans="1:18" hidden="1" x14ac:dyDescent="0.25">
      <c r="A1000" s="264" t="s">
        <v>366</v>
      </c>
      <c r="B1000" s="265">
        <v>45992</v>
      </c>
      <c r="C1000" s="264" t="s">
        <v>2060</v>
      </c>
      <c r="D1000" s="264" t="s">
        <v>3022</v>
      </c>
      <c r="E1000" s="264" t="s">
        <v>1874</v>
      </c>
      <c r="F1000" s="1" t="s">
        <v>3460</v>
      </c>
      <c r="G1000" s="264" t="s">
        <v>26</v>
      </c>
      <c r="H1000" s="266">
        <v>-17250</v>
      </c>
      <c r="I1000" s="13">
        <v>0</v>
      </c>
      <c r="J1000" s="264" t="s">
        <v>1125</v>
      </c>
      <c r="K1000" s="264" t="s">
        <v>2025</v>
      </c>
      <c r="L1000" s="1" t="str">
        <f>VLOOKUP(Advices[[#This Row],[LC Number]],'Combine_List'!A:D,2,0)</f>
        <v>Saudi Electric Supply Company</v>
      </c>
      <c r="M1000" s="447" t="str">
        <f>VLOOKUP(Advices[[#This Row],[LC Number]],'Combine_List'!A:D,3,0)</f>
        <v>FIRST FIX</v>
      </c>
      <c r="N1000" s="447" t="str">
        <f>VLOOKUP(Advices[[#This Row],[LC Number]],'Combine_List'!A:D,4,0)</f>
        <v>MP1</v>
      </c>
      <c r="O1000" s="447">
        <f>VLOOKUP(Advices[[#This Row],[LC Number]],'Combine_List'!A:E,5,0)</f>
        <v>1020088</v>
      </c>
      <c r="P1000" s="447">
        <f>MONTH(Advices[[#This Row],[Transaction Date]])</f>
        <v>12</v>
      </c>
      <c r="Q1000" s="447">
        <f>YEAR(Advices[[#This Row],[Transaction Date]])</f>
        <v>2025</v>
      </c>
      <c r="R1000" s="1"/>
    </row>
    <row r="1001" spans="1:18" hidden="1" x14ac:dyDescent="0.25">
      <c r="A1001" s="264" t="s">
        <v>366</v>
      </c>
      <c r="B1001" s="265">
        <v>45993</v>
      </c>
      <c r="C1001" s="264" t="s">
        <v>2057</v>
      </c>
      <c r="D1001" s="264" t="s">
        <v>3023</v>
      </c>
      <c r="E1001" s="264" t="s">
        <v>1129</v>
      </c>
      <c r="F1001" s="264" t="s">
        <v>1129</v>
      </c>
      <c r="G1001" s="264" t="s">
        <v>26</v>
      </c>
      <c r="H1001" s="266">
        <v>-730000</v>
      </c>
      <c r="I1001" s="13">
        <v>0</v>
      </c>
      <c r="J1001" s="264" t="s">
        <v>3083</v>
      </c>
      <c r="K1001" s="264" t="s">
        <v>3083</v>
      </c>
      <c r="L1001" s="1" t="str">
        <f>VLOOKUP(Advices[[#This Row],[LC Number]],'Combine_List'!A:D,2,0)</f>
        <v>ISAM MUAMMED KHAIRI KABBANI GLASS (IKK Glass)</v>
      </c>
      <c r="M1001" s="447" t="str">
        <f>VLOOKUP(Advices[[#This Row],[LC Number]],'Combine_List'!A:D,3,0)</f>
        <v>MBL/Premium</v>
      </c>
      <c r="N1001" s="447" t="str">
        <f>VLOOKUP(Advices[[#This Row],[LC Number]],'Combine_List'!A:D,4,0)</f>
        <v>CEER</v>
      </c>
      <c r="O1001" s="447">
        <f>VLOOKUP(Advices[[#This Row],[LC Number]],'Combine_List'!A:E,5,0)</f>
        <v>1020091</v>
      </c>
      <c r="P1001" s="447">
        <f>MONTH(Advices[[#This Row],[Transaction Date]])</f>
        <v>12</v>
      </c>
      <c r="Q1001" s="447">
        <f>YEAR(Advices[[#This Row],[Transaction Date]])</f>
        <v>2025</v>
      </c>
      <c r="R1001" s="1"/>
    </row>
    <row r="1002" spans="1:18" hidden="1" x14ac:dyDescent="0.25">
      <c r="A1002" s="264" t="s">
        <v>366</v>
      </c>
      <c r="B1002" s="265">
        <v>45993</v>
      </c>
      <c r="C1002" s="264" t="s">
        <v>2060</v>
      </c>
      <c r="D1002" s="264" t="s">
        <v>3024</v>
      </c>
      <c r="E1002" s="264" t="s">
        <v>1127</v>
      </c>
      <c r="F1002" s="264" t="s">
        <v>1127</v>
      </c>
      <c r="G1002" s="264" t="s">
        <v>26</v>
      </c>
      <c r="H1002" s="266"/>
      <c r="I1002" s="266">
        <v>820835.7</v>
      </c>
      <c r="J1002" s="264" t="s">
        <v>3083</v>
      </c>
      <c r="K1002" s="264" t="s">
        <v>3083</v>
      </c>
      <c r="L1002" s="1" t="str">
        <f>VLOOKUP(Advices[[#This Row],[LC Number]],'Combine_List'!A:D,2,0)</f>
        <v>SCHUCO MIDDLE EAST WINDOWS AND FACADE SYSTEMS LLC</v>
      </c>
      <c r="M1002" s="447" t="str">
        <f>VLOOKUP(Advices[[#This Row],[LC Number]],'Combine_List'!A:D,3,0)</f>
        <v>MBL/Premium</v>
      </c>
      <c r="N1002" s="447" t="str">
        <f>VLOOKUP(Advices[[#This Row],[LC Number]],'Combine_List'!A:D,4,0)</f>
        <v>CEER</v>
      </c>
      <c r="O1002" s="447">
        <f>VLOOKUP(Advices[[#This Row],[LC Number]],'Combine_List'!A:E,5,0)</f>
        <v>1020091</v>
      </c>
      <c r="P1002" s="447">
        <f>MONTH(Advices[[#This Row],[Transaction Date]])</f>
        <v>12</v>
      </c>
      <c r="Q1002" s="447">
        <f>YEAR(Advices[[#This Row],[Transaction Date]])</f>
        <v>2025</v>
      </c>
      <c r="R1002" s="1"/>
    </row>
    <row r="1003" spans="1:18" hidden="1" x14ac:dyDescent="0.25">
      <c r="A1003" s="264" t="s">
        <v>366</v>
      </c>
      <c r="B1003" s="265">
        <v>45993</v>
      </c>
      <c r="C1003" s="264" t="s">
        <v>2060</v>
      </c>
      <c r="D1003" s="264" t="s">
        <v>3025</v>
      </c>
      <c r="E1003" s="264" t="s">
        <v>1129</v>
      </c>
      <c r="F1003" s="264" t="s">
        <v>1129</v>
      </c>
      <c r="G1003" s="264" t="s">
        <v>26</v>
      </c>
      <c r="H1003" s="266"/>
      <c r="I1003" s="266">
        <v>730000</v>
      </c>
      <c r="J1003" s="264" t="s">
        <v>3083</v>
      </c>
      <c r="K1003" s="264" t="s">
        <v>3083</v>
      </c>
      <c r="L1003" s="1" t="str">
        <f>VLOOKUP(Advices[[#This Row],[LC Number]],'Combine_List'!A:D,2,0)</f>
        <v>ISAM MUAMMED KHAIRI KABBANI GLASS (IKK Glass)</v>
      </c>
      <c r="M1003" s="447" t="str">
        <f>VLOOKUP(Advices[[#This Row],[LC Number]],'Combine_List'!A:D,3,0)</f>
        <v>MBL/Premium</v>
      </c>
      <c r="N1003" s="447" t="str">
        <f>VLOOKUP(Advices[[#This Row],[LC Number]],'Combine_List'!A:D,4,0)</f>
        <v>CEER</v>
      </c>
      <c r="O1003" s="447">
        <f>VLOOKUP(Advices[[#This Row],[LC Number]],'Combine_List'!A:E,5,0)</f>
        <v>1020091</v>
      </c>
      <c r="P1003" s="447">
        <f>MONTH(Advices[[#This Row],[Transaction Date]])</f>
        <v>12</v>
      </c>
      <c r="Q1003" s="447">
        <f>YEAR(Advices[[#This Row],[Transaction Date]])</f>
        <v>2025</v>
      </c>
      <c r="R1003" s="1"/>
    </row>
    <row r="1004" spans="1:18" hidden="1" x14ac:dyDescent="0.25">
      <c r="A1004" s="264" t="s">
        <v>366</v>
      </c>
      <c r="B1004" s="265">
        <v>45993</v>
      </c>
      <c r="C1004" s="264" t="s">
        <v>2060</v>
      </c>
      <c r="D1004" s="264" t="s">
        <v>3026</v>
      </c>
      <c r="E1004" s="264" t="s">
        <v>2916</v>
      </c>
      <c r="F1004" s="264" t="s">
        <v>2916</v>
      </c>
      <c r="G1004" s="264" t="s">
        <v>26</v>
      </c>
      <c r="H1004" s="266">
        <v>-11155.22</v>
      </c>
      <c r="I1004" s="13">
        <v>0</v>
      </c>
      <c r="J1004" s="264" t="s">
        <v>1125</v>
      </c>
      <c r="K1004" s="264" t="s">
        <v>2025</v>
      </c>
      <c r="L1004" s="1" t="str">
        <f>VLOOKUP(Advices[[#This Row],[LC Number]],'Combine_List'!A:D,2,0)</f>
        <v>Mohamad Saeed Afifi Trading Est.</v>
      </c>
      <c r="M1004" s="447" t="str">
        <f>VLOOKUP(Advices[[#This Row],[LC Number]],'Combine_List'!A:D,3,0)</f>
        <v>FIRST FIX</v>
      </c>
      <c r="N1004" s="447" t="str">
        <f>VLOOKUP(Advices[[#This Row],[LC Number]],'Combine_List'!A:D,4,0)</f>
        <v>MP1</v>
      </c>
      <c r="O1004" s="447">
        <f>VLOOKUP(Advices[[#This Row],[LC Number]],'Combine_List'!A:E,5,0)</f>
        <v>1020088</v>
      </c>
      <c r="P1004" s="447">
        <f>MONTH(Advices[[#This Row],[Transaction Date]])</f>
        <v>12</v>
      </c>
      <c r="Q1004" s="447">
        <f>YEAR(Advices[[#This Row],[Transaction Date]])</f>
        <v>2025</v>
      </c>
      <c r="R1004" s="1"/>
    </row>
    <row r="1005" spans="1:18" hidden="1" x14ac:dyDescent="0.25">
      <c r="A1005" s="264" t="s">
        <v>366</v>
      </c>
      <c r="B1005" s="265">
        <v>45993</v>
      </c>
      <c r="C1005" s="264" t="s">
        <v>2057</v>
      </c>
      <c r="D1005" s="264" t="s">
        <v>3027</v>
      </c>
      <c r="E1005" s="264" t="s">
        <v>1127</v>
      </c>
      <c r="F1005" s="264" t="s">
        <v>1127</v>
      </c>
      <c r="G1005" s="264" t="s">
        <v>26</v>
      </c>
      <c r="H1005" s="266">
        <v>-820835.7</v>
      </c>
      <c r="I1005" s="13">
        <v>0</v>
      </c>
      <c r="J1005" s="264" t="s">
        <v>3083</v>
      </c>
      <c r="K1005" s="264" t="s">
        <v>3083</v>
      </c>
      <c r="L1005" s="1" t="str">
        <f>VLOOKUP(Advices[[#This Row],[LC Number]],'Combine_List'!A:D,2,0)</f>
        <v>SCHUCO MIDDLE EAST WINDOWS AND FACADE SYSTEMS LLC</v>
      </c>
      <c r="M1005" s="447" t="str">
        <f>VLOOKUP(Advices[[#This Row],[LC Number]],'Combine_List'!A:D,3,0)</f>
        <v>MBL/Premium</v>
      </c>
      <c r="N1005" s="447" t="str">
        <f>VLOOKUP(Advices[[#This Row],[LC Number]],'Combine_List'!A:D,4,0)</f>
        <v>CEER</v>
      </c>
      <c r="O1005" s="447">
        <f>VLOOKUP(Advices[[#This Row],[LC Number]],'Combine_List'!A:E,5,0)</f>
        <v>1020091</v>
      </c>
      <c r="P1005" s="447">
        <f>MONTH(Advices[[#This Row],[Transaction Date]])</f>
        <v>12</v>
      </c>
      <c r="Q1005" s="447">
        <f>YEAR(Advices[[#This Row],[Transaction Date]])</f>
        <v>2025</v>
      </c>
      <c r="R1005" s="1"/>
    </row>
    <row r="1006" spans="1:18" hidden="1" x14ac:dyDescent="0.25">
      <c r="A1006" s="264" t="s">
        <v>366</v>
      </c>
      <c r="B1006" s="265">
        <v>45995</v>
      </c>
      <c r="C1006" s="264" t="s">
        <v>2060</v>
      </c>
      <c r="D1006" s="264" t="s">
        <v>3028</v>
      </c>
      <c r="E1006" s="264" t="s">
        <v>1806</v>
      </c>
      <c r="F1006" s="1" t="s">
        <v>3462</v>
      </c>
      <c r="G1006" s="264" t="s">
        <v>26</v>
      </c>
      <c r="H1006" s="266">
        <v>-304417</v>
      </c>
      <c r="I1006" s="13">
        <v>0</v>
      </c>
      <c r="J1006" s="264" t="s">
        <v>1126</v>
      </c>
      <c r="K1006" s="264" t="s">
        <v>2025</v>
      </c>
      <c r="L1006" s="1" t="str">
        <f>VLOOKUP(Advices[[#This Row],[LC Number]],'Combine_List'!A:D,2,0)</f>
        <v>Brooq Al Amaan Trading Company</v>
      </c>
      <c r="M1006" s="447" t="str">
        <f>VLOOKUP(Advices[[#This Row],[LC Number]],'Combine_List'!A:D,3,0)</f>
        <v>MBL/ICAD</v>
      </c>
      <c r="N1006" s="447" t="str">
        <f>VLOOKUP(Advices[[#This Row],[LC Number]],'Combine_List'!A:D,4,0)</f>
        <v>ABHA</v>
      </c>
      <c r="O1006" s="447">
        <f>VLOOKUP(Advices[[#This Row],[LC Number]],'Combine_List'!A:E,5,0)</f>
        <v>1020070</v>
      </c>
      <c r="P1006" s="447">
        <f>MONTH(Advices[[#This Row],[Transaction Date]])</f>
        <v>12</v>
      </c>
      <c r="Q1006" s="447">
        <f>YEAR(Advices[[#This Row],[Transaction Date]])</f>
        <v>2025</v>
      </c>
      <c r="R1006" s="1"/>
    </row>
    <row r="1007" spans="1:18" hidden="1" x14ac:dyDescent="0.25">
      <c r="A1007" s="264" t="s">
        <v>366</v>
      </c>
      <c r="B1007" s="265">
        <v>45995</v>
      </c>
      <c r="C1007" s="264" t="s">
        <v>2060</v>
      </c>
      <c r="D1007" s="264" t="s">
        <v>3029</v>
      </c>
      <c r="E1007" s="264" t="s">
        <v>1606</v>
      </c>
      <c r="F1007" s="1" t="s">
        <v>3461</v>
      </c>
      <c r="G1007" s="264" t="s">
        <v>26</v>
      </c>
      <c r="H1007" s="266">
        <v>-2156.25</v>
      </c>
      <c r="I1007" s="13">
        <v>0</v>
      </c>
      <c r="J1007" s="264" t="s">
        <v>1125</v>
      </c>
      <c r="K1007" s="264" t="s">
        <v>2025</v>
      </c>
      <c r="L1007" s="1" t="str">
        <f>VLOOKUP(Advices[[#This Row],[LC Number]],'Combine_List'!A:D,2,0)</f>
        <v>INTERPLAST CO.LTD</v>
      </c>
      <c r="M1007" s="447" t="str">
        <f>VLOOKUP(Advices[[#This Row],[LC Number]],'Combine_List'!A:D,3,0)</f>
        <v>FIRST FIX</v>
      </c>
      <c r="N1007" s="447" t="str">
        <f>VLOOKUP(Advices[[#This Row],[LC Number]],'Combine_List'!A:D,4,0)</f>
        <v>MP1</v>
      </c>
      <c r="O1007" s="447">
        <f>VLOOKUP(Advices[[#This Row],[LC Number]],'Combine_List'!A:E,5,0)</f>
        <v>1020088</v>
      </c>
      <c r="P1007" s="447">
        <f>MONTH(Advices[[#This Row],[Transaction Date]])</f>
        <v>12</v>
      </c>
      <c r="Q1007" s="447">
        <f>YEAR(Advices[[#This Row],[Transaction Date]])</f>
        <v>2025</v>
      </c>
      <c r="R1007" s="1"/>
    </row>
    <row r="1008" spans="1:18" hidden="1" x14ac:dyDescent="0.25">
      <c r="A1008" s="264" t="s">
        <v>366</v>
      </c>
      <c r="B1008" s="265">
        <v>45995</v>
      </c>
      <c r="C1008" s="264" t="s">
        <v>2060</v>
      </c>
      <c r="D1008" s="264" t="s">
        <v>3030</v>
      </c>
      <c r="E1008" s="264" t="s">
        <v>1806</v>
      </c>
      <c r="F1008" s="1" t="s">
        <v>3462</v>
      </c>
      <c r="G1008" s="264" t="s">
        <v>26</v>
      </c>
      <c r="H1008" s="266">
        <v>-1312.79</v>
      </c>
      <c r="I1008" s="13">
        <v>0</v>
      </c>
      <c r="J1008" s="264" t="s">
        <v>1126</v>
      </c>
      <c r="K1008" s="264" t="s">
        <v>2025</v>
      </c>
      <c r="L1008" s="1" t="str">
        <f>VLOOKUP(Advices[[#This Row],[LC Number]],'Combine_List'!A:D,2,0)</f>
        <v>Brooq Al Amaan Trading Company</v>
      </c>
      <c r="M1008" s="447" t="str">
        <f>VLOOKUP(Advices[[#This Row],[LC Number]],'Combine_List'!A:D,3,0)</f>
        <v>MBL/ICAD</v>
      </c>
      <c r="N1008" s="447" t="str">
        <f>VLOOKUP(Advices[[#This Row],[LC Number]],'Combine_List'!A:D,4,0)</f>
        <v>ABHA</v>
      </c>
      <c r="O1008" s="447">
        <f>VLOOKUP(Advices[[#This Row],[LC Number]],'Combine_List'!A:E,5,0)</f>
        <v>1020070</v>
      </c>
      <c r="P1008" s="447">
        <f>MONTH(Advices[[#This Row],[Transaction Date]])</f>
        <v>12</v>
      </c>
      <c r="Q1008" s="447">
        <f>YEAR(Advices[[#This Row],[Transaction Date]])</f>
        <v>2025</v>
      </c>
      <c r="R1008" s="1"/>
    </row>
    <row r="1009" spans="1:18" hidden="1" x14ac:dyDescent="0.25">
      <c r="A1009" s="264" t="s">
        <v>366</v>
      </c>
      <c r="B1009" s="265">
        <v>45998</v>
      </c>
      <c r="C1009" s="264" t="s">
        <v>2060</v>
      </c>
      <c r="D1009" s="264" t="s">
        <v>3031</v>
      </c>
      <c r="E1009" s="264" t="s">
        <v>1675</v>
      </c>
      <c r="F1009" s="1" t="s">
        <v>3521</v>
      </c>
      <c r="G1009" s="264" t="s">
        <v>26</v>
      </c>
      <c r="H1009" s="266">
        <v>-851717.19</v>
      </c>
      <c r="I1009" s="13">
        <v>0</v>
      </c>
      <c r="J1009" s="264" t="s">
        <v>1126</v>
      </c>
      <c r="K1009" s="264" t="s">
        <v>2025</v>
      </c>
      <c r="L1009" s="1" t="str">
        <f>VLOOKUP(Advices[[#This Row],[LC Number]],'Combine_List'!A:D,2,0)</f>
        <v>Ezdehar Industrial Services Co.</v>
      </c>
      <c r="M1009" s="447" t="str">
        <f>VLOOKUP(Advices[[#This Row],[LC Number]],'Combine_List'!A:D,3,0)</f>
        <v>FIRST FIX</v>
      </c>
      <c r="N1009" s="447" t="str">
        <f>VLOOKUP(Advices[[#This Row],[LC Number]],'Combine_List'!A:D,4,0)</f>
        <v>CEER</v>
      </c>
      <c r="O1009" s="447">
        <f>VLOOKUP(Advices[[#This Row],[LC Number]],'Combine_List'!A:E,5,0)</f>
        <v>1020091</v>
      </c>
      <c r="P1009" s="447">
        <f>MONTH(Advices[[#This Row],[Transaction Date]])</f>
        <v>12</v>
      </c>
      <c r="Q1009" s="447">
        <f>YEAR(Advices[[#This Row],[Transaction Date]])</f>
        <v>2025</v>
      </c>
      <c r="R1009" s="1"/>
    </row>
    <row r="1010" spans="1:18" hidden="1" x14ac:dyDescent="0.25">
      <c r="A1010" s="264" t="s">
        <v>366</v>
      </c>
      <c r="B1010" s="265">
        <v>45998</v>
      </c>
      <c r="C1010" s="264" t="s">
        <v>2060</v>
      </c>
      <c r="D1010" s="264" t="s">
        <v>3032</v>
      </c>
      <c r="E1010" s="264" t="s">
        <v>1675</v>
      </c>
      <c r="F1010" s="264" t="s">
        <v>1675</v>
      </c>
      <c r="G1010" s="264" t="s">
        <v>26</v>
      </c>
      <c r="H1010" s="266"/>
      <c r="I1010" s="266">
        <v>851717.19</v>
      </c>
      <c r="J1010" s="264" t="s">
        <v>3083</v>
      </c>
      <c r="K1010" s="264" t="s">
        <v>3083</v>
      </c>
      <c r="L1010" s="1" t="str">
        <f>VLOOKUP(Advices[[#This Row],[LC Number]],'Combine_List'!A:D,2,0)</f>
        <v>Ezdehar Industrial Services Co.</v>
      </c>
      <c r="M1010" s="447" t="str">
        <f>VLOOKUP(Advices[[#This Row],[LC Number]],'Combine_List'!A:D,3,0)</f>
        <v>FIRST FIX</v>
      </c>
      <c r="N1010" s="447" t="str">
        <f>VLOOKUP(Advices[[#This Row],[LC Number]],'Combine_List'!A:D,4,0)</f>
        <v>CEER</v>
      </c>
      <c r="O1010" s="447">
        <f>VLOOKUP(Advices[[#This Row],[LC Number]],'Combine_List'!A:E,5,0)</f>
        <v>1020091</v>
      </c>
      <c r="P1010" s="447">
        <f>MONTH(Advices[[#This Row],[Transaction Date]])</f>
        <v>12</v>
      </c>
      <c r="Q1010" s="447">
        <f>YEAR(Advices[[#This Row],[Transaction Date]])</f>
        <v>2025</v>
      </c>
      <c r="R1010" s="1"/>
    </row>
    <row r="1011" spans="1:18" hidden="1" x14ac:dyDescent="0.25">
      <c r="A1011" s="264" t="s">
        <v>366</v>
      </c>
      <c r="B1011" s="265">
        <v>45998</v>
      </c>
      <c r="C1011" s="264" t="s">
        <v>2057</v>
      </c>
      <c r="D1011" s="264" t="s">
        <v>3033</v>
      </c>
      <c r="E1011" s="264" t="s">
        <v>1663</v>
      </c>
      <c r="F1011" s="1" t="s">
        <v>3522</v>
      </c>
      <c r="G1011" s="264" t="s">
        <v>26</v>
      </c>
      <c r="H1011" s="266">
        <v>-1500000</v>
      </c>
      <c r="I1011" s="13">
        <v>0</v>
      </c>
      <c r="J1011" s="264" t="s">
        <v>1126</v>
      </c>
      <c r="K1011" s="264" t="s">
        <v>2025</v>
      </c>
      <c r="L1011" s="1" t="str">
        <f>VLOOKUP(Advices[[#This Row],[LC Number]],'Combine_List'!A:D,2,0)</f>
        <v>IDEAL CALIBER COMPANY LTD</v>
      </c>
      <c r="M1011" s="447" t="str">
        <f>VLOOKUP(Advices[[#This Row],[LC Number]],'Combine_List'!A:D,3,0)</f>
        <v>FIRST FIX</v>
      </c>
      <c r="N1011" s="447" t="str">
        <f>VLOOKUP(Advices[[#This Row],[LC Number]],'Combine_List'!A:D,4,0)</f>
        <v>CEER</v>
      </c>
      <c r="O1011" s="447">
        <f>VLOOKUP(Advices[[#This Row],[LC Number]],'Combine_List'!A:E,5,0)</f>
        <v>1020091</v>
      </c>
      <c r="P1011" s="447">
        <f>MONTH(Advices[[#This Row],[Transaction Date]])</f>
        <v>12</v>
      </c>
      <c r="Q1011" s="447">
        <f>YEAR(Advices[[#This Row],[Transaction Date]])</f>
        <v>2025</v>
      </c>
      <c r="R1011" s="1"/>
    </row>
    <row r="1012" spans="1:18" hidden="1" x14ac:dyDescent="0.25">
      <c r="A1012" s="264" t="s">
        <v>366</v>
      </c>
      <c r="B1012" s="265">
        <v>45998</v>
      </c>
      <c r="C1012" s="264" t="s">
        <v>2057</v>
      </c>
      <c r="D1012" s="264" t="s">
        <v>3034</v>
      </c>
      <c r="E1012" s="264" t="s">
        <v>1651</v>
      </c>
      <c r="F1012" s="1" t="s">
        <v>3406</v>
      </c>
      <c r="G1012" s="264" t="s">
        <v>26</v>
      </c>
      <c r="H1012" s="266">
        <v>-1800000</v>
      </c>
      <c r="I1012" s="13">
        <v>0</v>
      </c>
      <c r="J1012" s="264" t="s">
        <v>1126</v>
      </c>
      <c r="K1012" s="264" t="s">
        <v>2025</v>
      </c>
      <c r="L1012" s="1" t="str">
        <f>VLOOKUP(Advices[[#This Row],[LC Number]],'Combine_List'!A:D,2,0)</f>
        <v xml:space="preserve">Masdar Technical Supplies Co. </v>
      </c>
      <c r="M1012" s="447" t="str">
        <f>VLOOKUP(Advices[[#This Row],[LC Number]],'Combine_List'!A:D,3,0)</f>
        <v>FIRST FIX</v>
      </c>
      <c r="N1012" s="447" t="str">
        <f>VLOOKUP(Advices[[#This Row],[LC Number]],'Combine_List'!A:D,4,0)</f>
        <v>CEER</v>
      </c>
      <c r="O1012" s="447">
        <f>VLOOKUP(Advices[[#This Row],[LC Number]],'Combine_List'!A:E,5,0)</f>
        <v>1020091</v>
      </c>
      <c r="P1012" s="447">
        <f>MONTH(Advices[[#This Row],[Transaction Date]])</f>
        <v>12</v>
      </c>
      <c r="Q1012" s="447">
        <f>YEAR(Advices[[#This Row],[Transaction Date]])</f>
        <v>2025</v>
      </c>
      <c r="R1012" s="1"/>
    </row>
    <row r="1013" spans="1:18" hidden="1" x14ac:dyDescent="0.25">
      <c r="A1013" s="264" t="s">
        <v>366</v>
      </c>
      <c r="B1013" s="265">
        <v>45998</v>
      </c>
      <c r="C1013" s="264" t="s">
        <v>2057</v>
      </c>
      <c r="D1013" s="264" t="s">
        <v>3035</v>
      </c>
      <c r="E1013" s="264" t="s">
        <v>1439</v>
      </c>
      <c r="F1013" s="1" t="s">
        <v>3414</v>
      </c>
      <c r="G1013" s="264" t="s">
        <v>26</v>
      </c>
      <c r="H1013" s="266">
        <v>-205760</v>
      </c>
      <c r="I1013" s="13">
        <v>0</v>
      </c>
      <c r="J1013" s="264" t="s">
        <v>1126</v>
      </c>
      <c r="K1013" s="264" t="s">
        <v>2025</v>
      </c>
      <c r="L1013" s="1" t="str">
        <f>VLOOKUP(Advices[[#This Row],[LC Number]],'Combine_List'!A:D,2,0)</f>
        <v>Al-Sayed Center A/C for Materials Company</v>
      </c>
      <c r="M1013" s="447" t="str">
        <f>VLOOKUP(Advices[[#This Row],[LC Number]],'Combine_List'!A:D,3,0)</f>
        <v>FIRST FIX</v>
      </c>
      <c r="N1013" s="447" t="str">
        <f>VLOOKUP(Advices[[#This Row],[LC Number]],'Combine_List'!A:D,4,0)</f>
        <v>MP1</v>
      </c>
      <c r="O1013" s="447">
        <f>VLOOKUP(Advices[[#This Row],[LC Number]],'Combine_List'!A:E,5,0)</f>
        <v>1020088</v>
      </c>
      <c r="P1013" s="447">
        <f>MONTH(Advices[[#This Row],[Transaction Date]])</f>
        <v>12</v>
      </c>
      <c r="Q1013" s="447">
        <f>YEAR(Advices[[#This Row],[Transaction Date]])</f>
        <v>2025</v>
      </c>
      <c r="R1013" s="1"/>
    </row>
    <row r="1014" spans="1:18" hidden="1" x14ac:dyDescent="0.25">
      <c r="A1014" s="264" t="s">
        <v>366</v>
      </c>
      <c r="B1014" s="265">
        <v>45998</v>
      </c>
      <c r="C1014" s="264" t="s">
        <v>2057</v>
      </c>
      <c r="D1014" s="264" t="s">
        <v>3036</v>
      </c>
      <c r="E1014" s="264" t="s">
        <v>1675</v>
      </c>
      <c r="F1014" s="264" t="s">
        <v>1675</v>
      </c>
      <c r="G1014" s="264" t="s">
        <v>26</v>
      </c>
      <c r="H1014" s="266">
        <v>-851717.19</v>
      </c>
      <c r="I1014" s="13">
        <v>0</v>
      </c>
      <c r="J1014" s="264" t="s">
        <v>3083</v>
      </c>
      <c r="K1014" s="264" t="s">
        <v>3083</v>
      </c>
      <c r="L1014" s="1" t="str">
        <f>VLOOKUP(Advices[[#This Row],[LC Number]],'Combine_List'!A:D,2,0)</f>
        <v>Ezdehar Industrial Services Co.</v>
      </c>
      <c r="M1014" s="447" t="str">
        <f>VLOOKUP(Advices[[#This Row],[LC Number]],'Combine_List'!A:D,3,0)</f>
        <v>FIRST FIX</v>
      </c>
      <c r="N1014" s="447" t="str">
        <f>VLOOKUP(Advices[[#This Row],[LC Number]],'Combine_List'!A:D,4,0)</f>
        <v>CEER</v>
      </c>
      <c r="O1014" s="447">
        <f>VLOOKUP(Advices[[#This Row],[LC Number]],'Combine_List'!A:E,5,0)</f>
        <v>1020091</v>
      </c>
      <c r="P1014" s="447">
        <f>MONTH(Advices[[#This Row],[Transaction Date]])</f>
        <v>12</v>
      </c>
      <c r="Q1014" s="447">
        <f>YEAR(Advices[[#This Row],[Transaction Date]])</f>
        <v>2025</v>
      </c>
      <c r="R1014" s="1"/>
    </row>
    <row r="1015" spans="1:18" hidden="1" x14ac:dyDescent="0.25">
      <c r="A1015" s="264" t="s">
        <v>366</v>
      </c>
      <c r="B1015" s="265">
        <v>45998</v>
      </c>
      <c r="C1015" s="264" t="s">
        <v>2057</v>
      </c>
      <c r="D1015" s="264" t="s">
        <v>3037</v>
      </c>
      <c r="E1015" s="264" t="s">
        <v>1735</v>
      </c>
      <c r="F1015" s="1" t="s">
        <v>3523</v>
      </c>
      <c r="G1015" s="264" t="s">
        <v>26</v>
      </c>
      <c r="H1015" s="266">
        <v>-5443652.0700000003</v>
      </c>
      <c r="I1015" s="13">
        <v>0</v>
      </c>
      <c r="J1015" s="264" t="s">
        <v>1126</v>
      </c>
      <c r="K1015" s="264" t="s">
        <v>2025</v>
      </c>
      <c r="L1015" s="1" t="str">
        <f>VLOOKUP(Advices[[#This Row],[LC Number]],'Combine_List'!A:D,2,0)</f>
        <v>ALFANAR ELECTRICAL SYSTEMS</v>
      </c>
      <c r="M1015" s="447" t="str">
        <f>VLOOKUP(Advices[[#This Row],[LC Number]],'Combine_List'!A:D,3,0)</f>
        <v>FIRST FIX</v>
      </c>
      <c r="N1015" s="447" t="str">
        <f>VLOOKUP(Advices[[#This Row],[LC Number]],'Combine_List'!A:D,4,0)</f>
        <v>CEER</v>
      </c>
      <c r="O1015" s="447">
        <f>VLOOKUP(Advices[[#This Row],[LC Number]],'Combine_List'!A:E,5,0)</f>
        <v>1020091</v>
      </c>
      <c r="P1015" s="447">
        <f>MONTH(Advices[[#This Row],[Transaction Date]])</f>
        <v>12</v>
      </c>
      <c r="Q1015" s="447">
        <f>YEAR(Advices[[#This Row],[Transaction Date]])</f>
        <v>2025</v>
      </c>
      <c r="R1015" s="1"/>
    </row>
    <row r="1016" spans="1:18" hidden="1" x14ac:dyDescent="0.25">
      <c r="A1016" s="264" t="s">
        <v>366</v>
      </c>
      <c r="B1016" s="265">
        <v>45998</v>
      </c>
      <c r="C1016" s="264" t="s">
        <v>2057</v>
      </c>
      <c r="D1016" s="264" t="s">
        <v>3038</v>
      </c>
      <c r="E1016" s="264" t="s">
        <v>1736</v>
      </c>
      <c r="F1016" s="1" t="s">
        <v>3524</v>
      </c>
      <c r="G1016" s="264" t="s">
        <v>26</v>
      </c>
      <c r="H1016" s="266">
        <v>-5000000</v>
      </c>
      <c r="I1016" s="13">
        <v>0</v>
      </c>
      <c r="J1016" s="264" t="s">
        <v>1126</v>
      </c>
      <c r="K1016" s="264" t="s">
        <v>2025</v>
      </c>
      <c r="L1016" s="1" t="str">
        <f>VLOOKUP(Advices[[#This Row],[LC Number]],'Combine_List'!A:D,2,0)</f>
        <v>Electric House Trading Company L.L.C.</v>
      </c>
      <c r="M1016" s="447" t="str">
        <f>VLOOKUP(Advices[[#This Row],[LC Number]],'Combine_List'!A:D,3,0)</f>
        <v>FIRST FIX</v>
      </c>
      <c r="N1016" s="447" t="str">
        <f>VLOOKUP(Advices[[#This Row],[LC Number]],'Combine_List'!A:D,4,0)</f>
        <v>CEER</v>
      </c>
      <c r="O1016" s="447">
        <f>VLOOKUP(Advices[[#This Row],[LC Number]],'Combine_List'!A:E,5,0)</f>
        <v>1020091</v>
      </c>
      <c r="P1016" s="447">
        <f>MONTH(Advices[[#This Row],[Transaction Date]])</f>
        <v>12</v>
      </c>
      <c r="Q1016" s="447">
        <f>YEAR(Advices[[#This Row],[Transaction Date]])</f>
        <v>2025</v>
      </c>
      <c r="R1016" s="1"/>
    </row>
    <row r="1017" spans="1:18" hidden="1" x14ac:dyDescent="0.25">
      <c r="A1017" s="264" t="s">
        <v>366</v>
      </c>
      <c r="B1017" s="265">
        <v>45998</v>
      </c>
      <c r="C1017" s="264" t="s">
        <v>2057</v>
      </c>
      <c r="D1017" s="264" t="s">
        <v>3039</v>
      </c>
      <c r="E1017" s="264" t="s">
        <v>1734</v>
      </c>
      <c r="F1017" s="1" t="s">
        <v>3525</v>
      </c>
      <c r="G1017" s="264" t="s">
        <v>26</v>
      </c>
      <c r="H1017" s="266">
        <v>-5000000</v>
      </c>
      <c r="I1017" s="13">
        <v>0</v>
      </c>
      <c r="J1017" s="264" t="s">
        <v>1126</v>
      </c>
      <c r="K1017" s="264" t="s">
        <v>2025</v>
      </c>
      <c r="L1017" s="1" t="str">
        <f>VLOOKUP(Advices[[#This Row],[LC Number]],'Combine_List'!A:D,2,0)</f>
        <v>Johnson Controls Arabia Ltd</v>
      </c>
      <c r="M1017" s="447" t="str">
        <f>VLOOKUP(Advices[[#This Row],[LC Number]],'Combine_List'!A:D,3,0)</f>
        <v>FIRST FIX</v>
      </c>
      <c r="N1017" s="447" t="str">
        <f>VLOOKUP(Advices[[#This Row],[LC Number]],'Combine_List'!A:D,4,0)</f>
        <v>CEER</v>
      </c>
      <c r="O1017" s="447">
        <f>VLOOKUP(Advices[[#This Row],[LC Number]],'Combine_List'!A:E,5,0)</f>
        <v>1020091</v>
      </c>
      <c r="P1017" s="447">
        <f>MONTH(Advices[[#This Row],[Transaction Date]])</f>
        <v>12</v>
      </c>
      <c r="Q1017" s="447">
        <f>YEAR(Advices[[#This Row],[Transaction Date]])</f>
        <v>2025</v>
      </c>
      <c r="R1017" s="1"/>
    </row>
    <row r="1018" spans="1:18" hidden="1" x14ac:dyDescent="0.25">
      <c r="A1018" s="264" t="s">
        <v>366</v>
      </c>
      <c r="B1018" s="265">
        <v>45998</v>
      </c>
      <c r="C1018" s="264" t="s">
        <v>2057</v>
      </c>
      <c r="D1018" s="264" t="s">
        <v>3040</v>
      </c>
      <c r="E1018" s="264" t="s">
        <v>1636</v>
      </c>
      <c r="F1018" s="1" t="s">
        <v>3402</v>
      </c>
      <c r="G1018" s="264" t="s">
        <v>26</v>
      </c>
      <c r="H1018" s="266">
        <v>-5000000</v>
      </c>
      <c r="I1018" s="13">
        <v>0</v>
      </c>
      <c r="J1018" s="264" t="s">
        <v>1126</v>
      </c>
      <c r="K1018" s="264" t="s">
        <v>2025</v>
      </c>
      <c r="L1018" s="1" t="str">
        <f>VLOOKUP(Advices[[#This Row],[LC Number]],'Combine_List'!A:D,2,0)</f>
        <v>SAFID CO.LTD</v>
      </c>
      <c r="M1018" s="447" t="str">
        <f>VLOOKUP(Advices[[#This Row],[LC Number]],'Combine_List'!A:D,3,0)</f>
        <v>FIRST FIX</v>
      </c>
      <c r="N1018" s="447" t="str">
        <f>VLOOKUP(Advices[[#This Row],[LC Number]],'Combine_List'!A:D,4,0)</f>
        <v>CEER</v>
      </c>
      <c r="O1018" s="447">
        <f>VLOOKUP(Advices[[#This Row],[LC Number]],'Combine_List'!A:E,5,0)</f>
        <v>1020091</v>
      </c>
      <c r="P1018" s="447">
        <f>MONTH(Advices[[#This Row],[Transaction Date]])</f>
        <v>12</v>
      </c>
      <c r="Q1018" s="447">
        <f>YEAR(Advices[[#This Row],[Transaction Date]])</f>
        <v>2025</v>
      </c>
      <c r="R1018" s="1"/>
    </row>
    <row r="1019" spans="1:18" hidden="1" x14ac:dyDescent="0.25">
      <c r="A1019" s="264" t="s">
        <v>366</v>
      </c>
      <c r="B1019" s="265">
        <v>46000</v>
      </c>
      <c r="C1019" s="264" t="s">
        <v>2060</v>
      </c>
      <c r="D1019" s="264" t="s">
        <v>3041</v>
      </c>
      <c r="E1019" s="264" t="s">
        <v>1901</v>
      </c>
      <c r="F1019" s="1" t="s">
        <v>3463</v>
      </c>
      <c r="G1019" s="264" t="s">
        <v>26</v>
      </c>
      <c r="H1019" s="266">
        <v>-2156.25</v>
      </c>
      <c r="I1019" s="13">
        <v>0</v>
      </c>
      <c r="J1019" s="264" t="s">
        <v>1125</v>
      </c>
      <c r="K1019" s="264" t="s">
        <v>2025</v>
      </c>
      <c r="L1019" s="1" t="str">
        <f>VLOOKUP(Advices[[#This Row],[LC Number]],'Combine_List'!A:D,2,0)</f>
        <v>Al-Sayed Center A/C &amp; Refrigeration Materials Company</v>
      </c>
      <c r="M1019" s="447" t="str">
        <f>VLOOKUP(Advices[[#This Row],[LC Number]],'Combine_List'!A:D,3,0)</f>
        <v>FIRST FIX</v>
      </c>
      <c r="N1019" s="447" t="str">
        <f>VLOOKUP(Advices[[#This Row],[LC Number]],'Combine_List'!A:D,4,0)</f>
        <v>MP1</v>
      </c>
      <c r="O1019" s="447">
        <f>VLOOKUP(Advices[[#This Row],[LC Number]],'Combine_List'!A:E,5,0)</f>
        <v>1020088</v>
      </c>
      <c r="P1019" s="447">
        <f>MONTH(Advices[[#This Row],[Transaction Date]])</f>
        <v>12</v>
      </c>
      <c r="Q1019" s="447">
        <f>YEAR(Advices[[#This Row],[Transaction Date]])</f>
        <v>2025</v>
      </c>
      <c r="R1019" s="1"/>
    </row>
    <row r="1020" spans="1:18" hidden="1" x14ac:dyDescent="0.25">
      <c r="A1020" s="264" t="s">
        <v>366</v>
      </c>
      <c r="B1020" s="265">
        <v>46000</v>
      </c>
      <c r="C1020" s="264" t="s">
        <v>2060</v>
      </c>
      <c r="D1020" s="264" t="s">
        <v>3042</v>
      </c>
      <c r="E1020" s="264" t="s">
        <v>1599</v>
      </c>
      <c r="F1020" s="1" t="s">
        <v>3526</v>
      </c>
      <c r="G1020" s="264" t="s">
        <v>26</v>
      </c>
      <c r="H1020" s="266">
        <v>-546393.94999999995</v>
      </c>
      <c r="I1020" s="13">
        <v>0</v>
      </c>
      <c r="J1020" s="264" t="s">
        <v>1126</v>
      </c>
      <c r="K1020" s="264" t="s">
        <v>2025</v>
      </c>
      <c r="L1020" s="1" t="str">
        <f>VLOOKUP(Advices[[#This Row],[LC Number]],'Combine_List'!A:D,2,0)</f>
        <v>ALFANAR ELECTRICAL SYSTEMS</v>
      </c>
      <c r="M1020" s="447" t="str">
        <f>VLOOKUP(Advices[[#This Row],[LC Number]],'Combine_List'!A:D,3,0)</f>
        <v>FIRST FIX</v>
      </c>
      <c r="N1020" s="447" t="str">
        <f>VLOOKUP(Advices[[#This Row],[LC Number]],'Combine_List'!A:D,4,0)</f>
        <v>MP1</v>
      </c>
      <c r="O1020" s="447">
        <f>VLOOKUP(Advices[[#This Row],[LC Number]],'Combine_List'!A:E,5,0)</f>
        <v>1020088</v>
      </c>
      <c r="P1020" s="447">
        <f>MONTH(Advices[[#This Row],[Transaction Date]])</f>
        <v>12</v>
      </c>
      <c r="Q1020" s="447">
        <f>YEAR(Advices[[#This Row],[Transaction Date]])</f>
        <v>2025</v>
      </c>
      <c r="R1020" s="1"/>
    </row>
    <row r="1021" spans="1:18" hidden="1" x14ac:dyDescent="0.25">
      <c r="A1021" s="264" t="s">
        <v>366</v>
      </c>
      <c r="B1021" s="265">
        <v>46000</v>
      </c>
      <c r="C1021" s="264" t="s">
        <v>2060</v>
      </c>
      <c r="D1021" s="264" t="s">
        <v>3043</v>
      </c>
      <c r="E1021" s="264" t="s">
        <v>1811</v>
      </c>
      <c r="F1021" s="1" t="s">
        <v>3464</v>
      </c>
      <c r="G1021" s="264" t="s">
        <v>26</v>
      </c>
      <c r="H1021" s="266">
        <v>-10143.15</v>
      </c>
      <c r="I1021" s="13">
        <v>0</v>
      </c>
      <c r="J1021" s="264" t="s">
        <v>1125</v>
      </c>
      <c r="K1021" s="264" t="s">
        <v>2025</v>
      </c>
      <c r="L1021" s="1" t="str">
        <f>VLOOKUP(Advices[[#This Row],[LC Number]],'Combine_List'!A:D,2,0)</f>
        <v>AL-TAYYAR AL-HAQIQI COMMERCIAL CO.</v>
      </c>
      <c r="M1021" s="447" t="str">
        <f>VLOOKUP(Advices[[#This Row],[LC Number]],'Combine_List'!A:D,3,0)</f>
        <v>MBL/ICAD</v>
      </c>
      <c r="N1021" s="447" t="str">
        <f>VLOOKUP(Advices[[#This Row],[LC Number]],'Combine_List'!A:D,4,0)</f>
        <v>ABHA</v>
      </c>
      <c r="O1021" s="447">
        <f>VLOOKUP(Advices[[#This Row],[LC Number]],'Combine_List'!A:E,5,0)</f>
        <v>1020070</v>
      </c>
      <c r="P1021" s="447">
        <f>MONTH(Advices[[#This Row],[Transaction Date]])</f>
        <v>12</v>
      </c>
      <c r="Q1021" s="447">
        <f>YEAR(Advices[[#This Row],[Transaction Date]])</f>
        <v>2025</v>
      </c>
      <c r="R1021" s="1"/>
    </row>
    <row r="1022" spans="1:18" hidden="1" x14ac:dyDescent="0.25">
      <c r="A1022" s="264" t="s">
        <v>366</v>
      </c>
      <c r="B1022" s="265">
        <v>46001</v>
      </c>
      <c r="C1022" s="264" t="s">
        <v>2057</v>
      </c>
      <c r="D1022" s="264" t="s">
        <v>3044</v>
      </c>
      <c r="E1022" s="264" t="s">
        <v>2929</v>
      </c>
      <c r="F1022" s="264" t="s">
        <v>2929</v>
      </c>
      <c r="G1022" s="264" t="s">
        <v>26</v>
      </c>
      <c r="H1022" s="266">
        <v>-537485.88</v>
      </c>
      <c r="I1022" s="13">
        <v>0</v>
      </c>
      <c r="J1022" s="264" t="s">
        <v>2830</v>
      </c>
      <c r="K1022" s="264" t="s">
        <v>2025</v>
      </c>
      <c r="L1022" s="1" t="str">
        <f>VLOOKUP(Advices[[#This Row],[LC Number]],'Combine_List'!A:D,2,0)</f>
        <v>Performance - CEER NATIONAL AUTOMOTIVE COMPANY</v>
      </c>
      <c r="M1022" s="447">
        <f>VLOOKUP(Advices[[#This Row],[LC Number]],'Combine_List'!A:D,3,0)</f>
        <v>0</v>
      </c>
      <c r="N1022" s="447">
        <f>VLOOKUP(Advices[[#This Row],[LC Number]],'Combine_List'!A:D,4,0)</f>
        <v>0</v>
      </c>
      <c r="O1022" s="447" t="str">
        <f>VLOOKUP(Advices[[#This Row],[LC Number]],'Combine_List'!A:E,5,0)</f>
        <v>1020091</v>
      </c>
      <c r="P1022" s="447">
        <f>MONTH(Advices[[#This Row],[Transaction Date]])</f>
        <v>12</v>
      </c>
      <c r="Q1022" s="447">
        <f>YEAR(Advices[[#This Row],[Transaction Date]])</f>
        <v>2025</v>
      </c>
      <c r="R1022" s="1"/>
    </row>
    <row r="1023" spans="1:18" hidden="1" x14ac:dyDescent="0.25">
      <c r="A1023" s="264" t="s">
        <v>366</v>
      </c>
      <c r="B1023" s="265">
        <v>46001</v>
      </c>
      <c r="C1023" s="264" t="s">
        <v>2057</v>
      </c>
      <c r="D1023" s="264" t="s">
        <v>3045</v>
      </c>
      <c r="E1023" s="264" t="s">
        <v>1530</v>
      </c>
      <c r="F1023" s="1" t="s">
        <v>3409</v>
      </c>
      <c r="G1023" s="264" t="s">
        <v>26</v>
      </c>
      <c r="H1023" s="266">
        <v>-570425.12</v>
      </c>
      <c r="I1023" s="13">
        <v>0</v>
      </c>
      <c r="J1023" s="264" t="s">
        <v>1126</v>
      </c>
      <c r="K1023" s="264" t="s">
        <v>2025</v>
      </c>
      <c r="L1023" s="1" t="str">
        <f>VLOOKUP(Advices[[#This Row],[LC Number]],'Combine_List'!A:D,2,0)</f>
        <v>Aluminium Products company (ALUPCO)</v>
      </c>
      <c r="M1023" s="447" t="str">
        <f>VLOOKUP(Advices[[#This Row],[LC Number]],'Combine_List'!A:D,3,0)</f>
        <v>MBL/Premium</v>
      </c>
      <c r="N1023" s="447" t="str">
        <f>VLOOKUP(Advices[[#This Row],[LC Number]],'Combine_List'!A:D,4,0)</f>
        <v>CEER</v>
      </c>
      <c r="O1023" s="447">
        <f>VLOOKUP(Advices[[#This Row],[LC Number]],'Combine_List'!A:E,5,0)</f>
        <v>1020091</v>
      </c>
      <c r="P1023" s="447">
        <f>MONTH(Advices[[#This Row],[Transaction Date]])</f>
        <v>12</v>
      </c>
      <c r="Q1023" s="447">
        <f>YEAR(Advices[[#This Row],[Transaction Date]])</f>
        <v>2025</v>
      </c>
      <c r="R1023" s="1"/>
    </row>
    <row r="1024" spans="1:18" hidden="1" x14ac:dyDescent="0.25">
      <c r="A1024" s="264" t="s">
        <v>366</v>
      </c>
      <c r="B1024" s="265">
        <v>46001</v>
      </c>
      <c r="C1024" s="264" t="s">
        <v>2057</v>
      </c>
      <c r="D1024" s="264" t="s">
        <v>3046</v>
      </c>
      <c r="E1024" s="264" t="s">
        <v>2929</v>
      </c>
      <c r="F1024" s="1" t="s">
        <v>3527</v>
      </c>
      <c r="G1024" s="264" t="s">
        <v>26</v>
      </c>
      <c r="H1024" s="266">
        <v>-537485.88</v>
      </c>
      <c r="I1024" s="13">
        <v>0</v>
      </c>
      <c r="J1024" s="264" t="s">
        <v>2830</v>
      </c>
      <c r="K1024" s="264" t="s">
        <v>2025</v>
      </c>
      <c r="L1024" s="1" t="str">
        <f>VLOOKUP(Advices[[#This Row],[LC Number]],'Combine_List'!A:D,2,0)</f>
        <v>Performance - CEER NATIONAL AUTOMOTIVE COMPANY</v>
      </c>
      <c r="M1024" s="447">
        <f>VLOOKUP(Advices[[#This Row],[LC Number]],'Combine_List'!A:D,3,0)</f>
        <v>0</v>
      </c>
      <c r="N1024" s="447">
        <f>VLOOKUP(Advices[[#This Row],[LC Number]],'Combine_List'!A:D,4,0)</f>
        <v>0</v>
      </c>
      <c r="O1024" s="447" t="str">
        <f>VLOOKUP(Advices[[#This Row],[LC Number]],'Combine_List'!A:E,5,0)</f>
        <v>1020091</v>
      </c>
      <c r="P1024" s="447">
        <f>MONTH(Advices[[#This Row],[Transaction Date]])</f>
        <v>12</v>
      </c>
      <c r="Q1024" s="447">
        <f>YEAR(Advices[[#This Row],[Transaction Date]])</f>
        <v>2025</v>
      </c>
      <c r="R1024" s="1"/>
    </row>
    <row r="1025" spans="1:18" hidden="1" x14ac:dyDescent="0.25">
      <c r="A1025" s="264" t="s">
        <v>366</v>
      </c>
      <c r="B1025" s="265">
        <v>46001</v>
      </c>
      <c r="C1025" s="264" t="s">
        <v>2060</v>
      </c>
      <c r="D1025" s="264" t="s">
        <v>3047</v>
      </c>
      <c r="E1025" s="264" t="s">
        <v>1607</v>
      </c>
      <c r="F1025" s="1" t="s">
        <v>3528</v>
      </c>
      <c r="G1025" s="264" t="s">
        <v>26</v>
      </c>
      <c r="H1025" s="266">
        <v>-160462</v>
      </c>
      <c r="I1025" s="13">
        <v>0</v>
      </c>
      <c r="J1025" s="264" t="s">
        <v>1126</v>
      </c>
      <c r="K1025" s="264" t="s">
        <v>2025</v>
      </c>
      <c r="L1025" s="1" t="str">
        <f>VLOOKUP(Advices[[#This Row],[LC Number]],'Combine_List'!A:D,2,0)</f>
        <v>MASDAR TECHNICAL SUPPLIES CO</v>
      </c>
      <c r="M1025" s="447" t="str">
        <f>VLOOKUP(Advices[[#This Row],[LC Number]],'Combine_List'!A:D,3,0)</f>
        <v>FIRST FIX</v>
      </c>
      <c r="N1025" s="447" t="str">
        <f>VLOOKUP(Advices[[#This Row],[LC Number]],'Combine_List'!A:D,4,0)</f>
        <v>MP1</v>
      </c>
      <c r="O1025" s="447">
        <f>VLOOKUP(Advices[[#This Row],[LC Number]],'Combine_List'!A:E,5,0)</f>
        <v>1020088</v>
      </c>
      <c r="P1025" s="447">
        <f>MONTH(Advices[[#This Row],[Transaction Date]])</f>
        <v>12</v>
      </c>
      <c r="Q1025" s="447">
        <f>YEAR(Advices[[#This Row],[Transaction Date]])</f>
        <v>2025</v>
      </c>
      <c r="R1025" s="1"/>
    </row>
    <row r="1026" spans="1:18" hidden="1" x14ac:dyDescent="0.25">
      <c r="A1026" s="264" t="s">
        <v>2089</v>
      </c>
      <c r="B1026" s="265">
        <v>45992</v>
      </c>
      <c r="C1026" s="264" t="s">
        <v>2093</v>
      </c>
      <c r="D1026" s="264" t="s">
        <v>2091</v>
      </c>
      <c r="E1026" s="264" t="s">
        <v>1294</v>
      </c>
      <c r="F1026" s="264" t="s">
        <v>3048</v>
      </c>
      <c r="G1026" s="264" t="s">
        <v>26</v>
      </c>
      <c r="H1026" s="266">
        <v>-1369.56</v>
      </c>
      <c r="I1026" s="13">
        <v>0</v>
      </c>
      <c r="J1026" s="264" t="s">
        <v>2041</v>
      </c>
      <c r="K1026" s="264" t="s">
        <v>2025</v>
      </c>
      <c r="L1026" s="1" t="str">
        <f>VLOOKUP(Advices[[#This Row],[LC Number]],'Combine_List'!A:D,2,0)</f>
        <v>BRC Industrial (Saudia) Company</v>
      </c>
      <c r="M1026" s="447" t="str">
        <f>VLOOKUP(Advices[[#This Row],[LC Number]],'Combine_List'!A:D,3,0)</f>
        <v>MBL</v>
      </c>
      <c r="N1026" s="447" t="str">
        <f>VLOOKUP(Advices[[#This Row],[LC Number]],'Combine_List'!A:D,4,0)</f>
        <v>Rabigh Power Plant</v>
      </c>
      <c r="O1026" s="447">
        <f>VLOOKUP(Advices[[#This Row],[LC Number]],'Combine_List'!A:E,5,0)</f>
        <v>1020107</v>
      </c>
      <c r="P1026" s="447">
        <f>MONTH(Advices[[#This Row],[Transaction Date]])</f>
        <v>12</v>
      </c>
      <c r="Q1026" s="447">
        <f>YEAR(Advices[[#This Row],[Transaction Date]])</f>
        <v>2025</v>
      </c>
      <c r="R1026" s="1"/>
    </row>
    <row r="1027" spans="1:18" hidden="1" x14ac:dyDescent="0.25">
      <c r="A1027" s="264" t="s">
        <v>2089</v>
      </c>
      <c r="B1027" s="265">
        <v>45992</v>
      </c>
      <c r="C1027" s="264" t="s">
        <v>2093</v>
      </c>
      <c r="D1027" s="264" t="s">
        <v>2099</v>
      </c>
      <c r="E1027" s="264" t="s">
        <v>1294</v>
      </c>
      <c r="F1027" s="264" t="s">
        <v>3048</v>
      </c>
      <c r="G1027" s="264" t="s">
        <v>26</v>
      </c>
      <c r="H1027" s="266">
        <v>-250</v>
      </c>
      <c r="I1027" s="13">
        <v>0</v>
      </c>
      <c r="J1027" s="264" t="s">
        <v>2041</v>
      </c>
      <c r="K1027" s="264" t="s">
        <v>2025</v>
      </c>
      <c r="L1027" s="1" t="str">
        <f>VLOOKUP(Advices[[#This Row],[LC Number]],'Combine_List'!A:D,2,0)</f>
        <v>BRC Industrial (Saudia) Company</v>
      </c>
      <c r="M1027" s="447" t="str">
        <f>VLOOKUP(Advices[[#This Row],[LC Number]],'Combine_List'!A:D,3,0)</f>
        <v>MBL</v>
      </c>
      <c r="N1027" s="447" t="str">
        <f>VLOOKUP(Advices[[#This Row],[LC Number]],'Combine_List'!A:D,4,0)</f>
        <v>Rabigh Power Plant</v>
      </c>
      <c r="O1027" s="447">
        <f>VLOOKUP(Advices[[#This Row],[LC Number]],'Combine_List'!A:E,5,0)</f>
        <v>1020107</v>
      </c>
      <c r="P1027" s="447">
        <f>MONTH(Advices[[#This Row],[Transaction Date]])</f>
        <v>12</v>
      </c>
      <c r="Q1027" s="447">
        <f>YEAR(Advices[[#This Row],[Transaction Date]])</f>
        <v>2025</v>
      </c>
      <c r="R1027" s="1"/>
    </row>
    <row r="1028" spans="1:18" hidden="1" x14ac:dyDescent="0.25">
      <c r="A1028" s="264" t="s">
        <v>2089</v>
      </c>
      <c r="B1028" s="265">
        <v>45992</v>
      </c>
      <c r="C1028" s="264" t="s">
        <v>2093</v>
      </c>
      <c r="D1028" s="264" t="s">
        <v>1174</v>
      </c>
      <c r="E1028" s="264" t="s">
        <v>1294</v>
      </c>
      <c r="F1028" s="264" t="s">
        <v>3048</v>
      </c>
      <c r="G1028" s="264" t="s">
        <v>26</v>
      </c>
      <c r="H1028" s="266">
        <v>-205.43</v>
      </c>
      <c r="I1028" s="13">
        <v>0</v>
      </c>
      <c r="J1028" s="264" t="s">
        <v>2041</v>
      </c>
      <c r="K1028" s="264" t="s">
        <v>2025</v>
      </c>
      <c r="L1028" s="1" t="str">
        <f>VLOOKUP(Advices[[#This Row],[LC Number]],'Combine_List'!A:D,2,0)</f>
        <v>BRC Industrial (Saudia) Company</v>
      </c>
      <c r="M1028" s="447" t="str">
        <f>VLOOKUP(Advices[[#This Row],[LC Number]],'Combine_List'!A:D,3,0)</f>
        <v>MBL</v>
      </c>
      <c r="N1028" s="447" t="str">
        <f>VLOOKUP(Advices[[#This Row],[LC Number]],'Combine_List'!A:D,4,0)</f>
        <v>Rabigh Power Plant</v>
      </c>
      <c r="O1028" s="447">
        <f>VLOOKUP(Advices[[#This Row],[LC Number]],'Combine_List'!A:E,5,0)</f>
        <v>1020107</v>
      </c>
      <c r="P1028" s="447">
        <f>MONTH(Advices[[#This Row],[Transaction Date]])</f>
        <v>12</v>
      </c>
      <c r="Q1028" s="447">
        <f>YEAR(Advices[[#This Row],[Transaction Date]])</f>
        <v>2025</v>
      </c>
      <c r="R1028" s="1"/>
    </row>
    <row r="1029" spans="1:18" hidden="1" x14ac:dyDescent="0.25">
      <c r="A1029" s="264" t="s">
        <v>2089</v>
      </c>
      <c r="B1029" s="265">
        <v>45992</v>
      </c>
      <c r="C1029" s="264" t="s">
        <v>2093</v>
      </c>
      <c r="D1029" s="264" t="s">
        <v>1174</v>
      </c>
      <c r="E1029" s="264" t="s">
        <v>1294</v>
      </c>
      <c r="F1029" s="264" t="s">
        <v>3048</v>
      </c>
      <c r="G1029" s="264" t="s">
        <v>26</v>
      </c>
      <c r="H1029" s="266">
        <v>-37.5</v>
      </c>
      <c r="I1029" s="13">
        <v>0</v>
      </c>
      <c r="J1029" s="264" t="s">
        <v>2041</v>
      </c>
      <c r="K1029" s="264" t="s">
        <v>2025</v>
      </c>
      <c r="L1029" s="1" t="str">
        <f>VLOOKUP(Advices[[#This Row],[LC Number]],'Combine_List'!A:D,2,0)</f>
        <v>BRC Industrial (Saudia) Company</v>
      </c>
      <c r="M1029" s="447" t="str">
        <f>VLOOKUP(Advices[[#This Row],[LC Number]],'Combine_List'!A:D,3,0)</f>
        <v>MBL</v>
      </c>
      <c r="N1029" s="447" t="str">
        <f>VLOOKUP(Advices[[#This Row],[LC Number]],'Combine_List'!A:D,4,0)</f>
        <v>Rabigh Power Plant</v>
      </c>
      <c r="O1029" s="447">
        <f>VLOOKUP(Advices[[#This Row],[LC Number]],'Combine_List'!A:E,5,0)</f>
        <v>1020107</v>
      </c>
      <c r="P1029" s="447">
        <f>MONTH(Advices[[#This Row],[Transaction Date]])</f>
        <v>12</v>
      </c>
      <c r="Q1029" s="447">
        <f>YEAR(Advices[[#This Row],[Transaction Date]])</f>
        <v>2025</v>
      </c>
      <c r="R1029" s="1"/>
    </row>
    <row r="1030" spans="1:18" hidden="1" x14ac:dyDescent="0.25">
      <c r="A1030" s="264" t="s">
        <v>612</v>
      </c>
      <c r="B1030" s="265">
        <v>45992</v>
      </c>
      <c r="C1030" s="264" t="s">
        <v>2101</v>
      </c>
      <c r="D1030" s="264" t="s">
        <v>3049</v>
      </c>
      <c r="E1030" s="264" t="s">
        <v>1558</v>
      </c>
      <c r="F1030" s="264" t="s">
        <v>2041</v>
      </c>
      <c r="G1030" s="264" t="s">
        <v>26</v>
      </c>
      <c r="H1030" s="266">
        <v>528000</v>
      </c>
      <c r="I1030" s="266">
        <v>0</v>
      </c>
      <c r="J1030" s="264" t="s">
        <v>1126</v>
      </c>
      <c r="K1030" s="264" t="s">
        <v>2025</v>
      </c>
      <c r="L1030" s="1" t="str">
        <f>VLOOKUP(Advices[[#This Row],[LC Number]],'Combine_List'!A:D,2,0)</f>
        <v>Saudi Hepco Co Ltd</v>
      </c>
      <c r="M1030" s="447" t="str">
        <f>VLOOKUP(Advices[[#This Row],[LC Number]],'Combine_List'!A:D,3,0)</f>
        <v>FIRST FIX</v>
      </c>
      <c r="N1030" s="447" t="str">
        <f>VLOOKUP(Advices[[#This Row],[LC Number]],'Combine_List'!A:D,4,0)</f>
        <v>RCRC</v>
      </c>
      <c r="O1030" s="447">
        <f>VLOOKUP(Advices[[#This Row],[LC Number]],'Combine_List'!A:E,5,0)</f>
        <v>1020106</v>
      </c>
      <c r="P1030" s="447">
        <f>MONTH(Advices[[#This Row],[Transaction Date]])</f>
        <v>12</v>
      </c>
      <c r="Q1030" s="447">
        <f>YEAR(Advices[[#This Row],[Transaction Date]])</f>
        <v>2025</v>
      </c>
      <c r="R1030" s="1"/>
    </row>
    <row r="1031" spans="1:18" hidden="1" x14ac:dyDescent="0.25">
      <c r="A1031" s="264" t="s">
        <v>612</v>
      </c>
      <c r="B1031" s="265">
        <v>45995</v>
      </c>
      <c r="C1031" s="264" t="s">
        <v>2101</v>
      </c>
      <c r="D1031" s="264" t="s">
        <v>3050</v>
      </c>
      <c r="E1031" s="264" t="s">
        <v>1569</v>
      </c>
      <c r="F1031" s="264" t="s">
        <v>2041</v>
      </c>
      <c r="G1031" s="264" t="s">
        <v>26</v>
      </c>
      <c r="H1031" s="266">
        <v>100</v>
      </c>
      <c r="I1031" s="266">
        <v>0</v>
      </c>
      <c r="J1031" s="264" t="s">
        <v>1125</v>
      </c>
      <c r="K1031" s="264" t="s">
        <v>2025</v>
      </c>
      <c r="L1031" s="1" t="str">
        <f>VLOOKUP(Advices[[#This Row],[LC Number]],'Combine_List'!A:D,2,0)</f>
        <v>ALFANAR ELECTRICAL SYSTEMS</v>
      </c>
      <c r="M1031" s="447" t="str">
        <f>VLOOKUP(Advices[[#This Row],[LC Number]],'Combine_List'!A:D,3,0)</f>
        <v>FIRST FIX</v>
      </c>
      <c r="N1031" s="447" t="str">
        <f>VLOOKUP(Advices[[#This Row],[LC Number]],'Combine_List'!A:D,4,0)</f>
        <v>RCRC</v>
      </c>
      <c r="O1031" s="447">
        <f>VLOOKUP(Advices[[#This Row],[LC Number]],'Combine_List'!A:E,5,0)</f>
        <v>1020106</v>
      </c>
      <c r="P1031" s="447">
        <f>MONTH(Advices[[#This Row],[Transaction Date]])</f>
        <v>12</v>
      </c>
      <c r="Q1031" s="447">
        <f>YEAR(Advices[[#This Row],[Transaction Date]])</f>
        <v>2025</v>
      </c>
      <c r="R1031" s="1"/>
    </row>
    <row r="1032" spans="1:18" hidden="1" x14ac:dyDescent="0.25">
      <c r="A1032" s="264" t="s">
        <v>612</v>
      </c>
      <c r="B1032" s="265">
        <v>45995</v>
      </c>
      <c r="C1032" s="264" t="s">
        <v>2101</v>
      </c>
      <c r="D1032" s="264" t="s">
        <v>3051</v>
      </c>
      <c r="E1032" s="264" t="s">
        <v>1569</v>
      </c>
      <c r="F1032" s="264" t="s">
        <v>2041</v>
      </c>
      <c r="G1032" s="264" t="s">
        <v>26</v>
      </c>
      <c r="H1032" s="266">
        <v>15</v>
      </c>
      <c r="I1032" s="266">
        <v>0</v>
      </c>
      <c r="J1032" s="264" t="s">
        <v>1174</v>
      </c>
      <c r="K1032" s="264" t="s">
        <v>2025</v>
      </c>
      <c r="L1032" s="1" t="str">
        <f>VLOOKUP(Advices[[#This Row],[LC Number]],'Combine_List'!A:D,2,0)</f>
        <v>ALFANAR ELECTRICAL SYSTEMS</v>
      </c>
      <c r="M1032" s="447" t="str">
        <f>VLOOKUP(Advices[[#This Row],[LC Number]],'Combine_List'!A:D,3,0)</f>
        <v>FIRST FIX</v>
      </c>
      <c r="N1032" s="447" t="str">
        <f>VLOOKUP(Advices[[#This Row],[LC Number]],'Combine_List'!A:D,4,0)</f>
        <v>RCRC</v>
      </c>
      <c r="O1032" s="447">
        <f>VLOOKUP(Advices[[#This Row],[LC Number]],'Combine_List'!A:E,5,0)</f>
        <v>1020106</v>
      </c>
      <c r="P1032" s="447">
        <f>MONTH(Advices[[#This Row],[Transaction Date]])</f>
        <v>12</v>
      </c>
      <c r="Q1032" s="447">
        <f>YEAR(Advices[[#This Row],[Transaction Date]])</f>
        <v>2025</v>
      </c>
      <c r="R1032" s="1"/>
    </row>
    <row r="1033" spans="1:18" hidden="1" x14ac:dyDescent="0.25">
      <c r="A1033" s="264" t="s">
        <v>612</v>
      </c>
      <c r="B1033" s="265">
        <v>45995</v>
      </c>
      <c r="C1033" s="264" t="s">
        <v>2101</v>
      </c>
      <c r="D1033" s="264" t="s">
        <v>3052</v>
      </c>
      <c r="E1033" s="264" t="s">
        <v>1569</v>
      </c>
      <c r="F1033" s="264" t="s">
        <v>2041</v>
      </c>
      <c r="G1033" s="264" t="s">
        <v>26</v>
      </c>
      <c r="H1033" s="266">
        <v>460</v>
      </c>
      <c r="I1033" s="266">
        <v>0</v>
      </c>
      <c r="J1033" s="264" t="s">
        <v>1125</v>
      </c>
      <c r="K1033" s="264" t="s">
        <v>2025</v>
      </c>
      <c r="L1033" s="1" t="str">
        <f>VLOOKUP(Advices[[#This Row],[LC Number]],'Combine_List'!A:D,2,0)</f>
        <v>ALFANAR ELECTRICAL SYSTEMS</v>
      </c>
      <c r="M1033" s="447" t="str">
        <f>VLOOKUP(Advices[[#This Row],[LC Number]],'Combine_List'!A:D,3,0)</f>
        <v>FIRST FIX</v>
      </c>
      <c r="N1033" s="447" t="str">
        <f>VLOOKUP(Advices[[#This Row],[LC Number]],'Combine_List'!A:D,4,0)</f>
        <v>RCRC</v>
      </c>
      <c r="O1033" s="447">
        <f>VLOOKUP(Advices[[#This Row],[LC Number]],'Combine_List'!A:E,5,0)</f>
        <v>1020106</v>
      </c>
      <c r="P1033" s="447">
        <f>MONTH(Advices[[#This Row],[Transaction Date]])</f>
        <v>12</v>
      </c>
      <c r="Q1033" s="447">
        <f>YEAR(Advices[[#This Row],[Transaction Date]])</f>
        <v>2025</v>
      </c>
      <c r="R1033" s="1"/>
    </row>
    <row r="1034" spans="1:18" hidden="1" x14ac:dyDescent="0.25">
      <c r="A1034" s="264" t="s">
        <v>612</v>
      </c>
      <c r="B1034" s="265">
        <v>45995</v>
      </c>
      <c r="C1034" s="264" t="s">
        <v>2101</v>
      </c>
      <c r="D1034" s="264" t="s">
        <v>3053</v>
      </c>
      <c r="E1034" s="264" t="s">
        <v>1569</v>
      </c>
      <c r="F1034" s="264" t="s">
        <v>2041</v>
      </c>
      <c r="G1034" s="264" t="s">
        <v>26</v>
      </c>
      <c r="H1034" s="266">
        <v>69</v>
      </c>
      <c r="I1034" s="266">
        <v>0</v>
      </c>
      <c r="J1034" s="264" t="s">
        <v>1174</v>
      </c>
      <c r="K1034" s="264" t="s">
        <v>2025</v>
      </c>
      <c r="L1034" s="1" t="str">
        <f>VLOOKUP(Advices[[#This Row],[LC Number]],'Combine_List'!A:D,2,0)</f>
        <v>ALFANAR ELECTRICAL SYSTEMS</v>
      </c>
      <c r="M1034" s="447" t="str">
        <f>VLOOKUP(Advices[[#This Row],[LC Number]],'Combine_List'!A:D,3,0)</f>
        <v>FIRST FIX</v>
      </c>
      <c r="N1034" s="447" t="str">
        <f>VLOOKUP(Advices[[#This Row],[LC Number]],'Combine_List'!A:D,4,0)</f>
        <v>RCRC</v>
      </c>
      <c r="O1034" s="447">
        <f>VLOOKUP(Advices[[#This Row],[LC Number]],'Combine_List'!A:E,5,0)</f>
        <v>1020106</v>
      </c>
      <c r="P1034" s="447">
        <f>MONTH(Advices[[#This Row],[Transaction Date]])</f>
        <v>12</v>
      </c>
      <c r="Q1034" s="447">
        <f>YEAR(Advices[[#This Row],[Transaction Date]])</f>
        <v>2025</v>
      </c>
      <c r="R1034" s="1"/>
    </row>
    <row r="1035" spans="1:18" hidden="1" x14ac:dyDescent="0.25">
      <c r="A1035" s="264" t="s">
        <v>612</v>
      </c>
      <c r="B1035" s="265">
        <v>45995</v>
      </c>
      <c r="C1035" s="264" t="s">
        <v>2101</v>
      </c>
      <c r="D1035" s="264" t="s">
        <v>3054</v>
      </c>
      <c r="E1035" s="264" t="s">
        <v>1569</v>
      </c>
      <c r="F1035" s="264" t="s">
        <v>2041</v>
      </c>
      <c r="G1035" s="264" t="s">
        <v>26</v>
      </c>
      <c r="H1035" s="266">
        <v>200</v>
      </c>
      <c r="I1035" s="266">
        <v>0</v>
      </c>
      <c r="J1035" s="264" t="s">
        <v>1125</v>
      </c>
      <c r="K1035" s="264" t="s">
        <v>2025</v>
      </c>
      <c r="L1035" s="1" t="str">
        <f>VLOOKUP(Advices[[#This Row],[LC Number]],'Combine_List'!A:D,2,0)</f>
        <v>ALFANAR ELECTRICAL SYSTEMS</v>
      </c>
      <c r="M1035" s="447" t="str">
        <f>VLOOKUP(Advices[[#This Row],[LC Number]],'Combine_List'!A:D,3,0)</f>
        <v>FIRST FIX</v>
      </c>
      <c r="N1035" s="447" t="str">
        <f>VLOOKUP(Advices[[#This Row],[LC Number]],'Combine_List'!A:D,4,0)</f>
        <v>RCRC</v>
      </c>
      <c r="O1035" s="447">
        <f>VLOOKUP(Advices[[#This Row],[LC Number]],'Combine_List'!A:E,5,0)</f>
        <v>1020106</v>
      </c>
      <c r="P1035" s="447">
        <f>MONTH(Advices[[#This Row],[Transaction Date]])</f>
        <v>12</v>
      </c>
      <c r="Q1035" s="447">
        <f>YEAR(Advices[[#This Row],[Transaction Date]])</f>
        <v>2025</v>
      </c>
      <c r="R1035" s="1"/>
    </row>
    <row r="1036" spans="1:18" hidden="1" x14ac:dyDescent="0.25">
      <c r="A1036" s="264" t="s">
        <v>612</v>
      </c>
      <c r="B1036" s="265">
        <v>45995</v>
      </c>
      <c r="C1036" s="264" t="s">
        <v>2101</v>
      </c>
      <c r="D1036" s="264" t="s">
        <v>3055</v>
      </c>
      <c r="E1036" s="264" t="s">
        <v>1569</v>
      </c>
      <c r="F1036" s="264" t="s">
        <v>2041</v>
      </c>
      <c r="G1036" s="264" t="s">
        <v>26</v>
      </c>
      <c r="H1036" s="266">
        <v>30</v>
      </c>
      <c r="I1036" s="266">
        <v>0</v>
      </c>
      <c r="J1036" s="264" t="s">
        <v>1174</v>
      </c>
      <c r="K1036" s="264" t="s">
        <v>2025</v>
      </c>
      <c r="L1036" s="1" t="str">
        <f>VLOOKUP(Advices[[#This Row],[LC Number]],'Combine_List'!A:D,2,0)</f>
        <v>ALFANAR ELECTRICAL SYSTEMS</v>
      </c>
      <c r="M1036" s="447" t="str">
        <f>VLOOKUP(Advices[[#This Row],[LC Number]],'Combine_List'!A:D,3,0)</f>
        <v>FIRST FIX</v>
      </c>
      <c r="N1036" s="447" t="str">
        <f>VLOOKUP(Advices[[#This Row],[LC Number]],'Combine_List'!A:D,4,0)</f>
        <v>RCRC</v>
      </c>
      <c r="O1036" s="447">
        <f>VLOOKUP(Advices[[#This Row],[LC Number]],'Combine_List'!A:E,5,0)</f>
        <v>1020106</v>
      </c>
      <c r="P1036" s="447">
        <f>MONTH(Advices[[#This Row],[Transaction Date]])</f>
        <v>12</v>
      </c>
      <c r="Q1036" s="447">
        <f>YEAR(Advices[[#This Row],[Transaction Date]])</f>
        <v>2025</v>
      </c>
      <c r="R1036" s="1"/>
    </row>
    <row r="1037" spans="1:18" hidden="1" x14ac:dyDescent="0.25">
      <c r="A1037" s="264" t="s">
        <v>612</v>
      </c>
      <c r="B1037" s="265">
        <v>45998</v>
      </c>
      <c r="C1037" s="264" t="s">
        <v>2101</v>
      </c>
      <c r="D1037" s="264" t="s">
        <v>3056</v>
      </c>
      <c r="E1037" s="264" t="s">
        <v>1822</v>
      </c>
      <c r="F1037" s="264" t="s">
        <v>2041</v>
      </c>
      <c r="G1037" s="264" t="s">
        <v>26</v>
      </c>
      <c r="H1037" s="266">
        <v>500</v>
      </c>
      <c r="I1037" s="266">
        <v>0</v>
      </c>
      <c r="J1037" s="264" t="s">
        <v>1124</v>
      </c>
      <c r="K1037" s="264" t="s">
        <v>2025</v>
      </c>
      <c r="L1037" s="1" t="str">
        <f>VLOOKUP(Advices[[#This Row],[LC Number]],'Combine_List'!A:D,2,0)</f>
        <v>SAUDI HEPCO CO LTD</v>
      </c>
      <c r="M1037" s="447" t="str">
        <f>VLOOKUP(Advices[[#This Row],[LC Number]],'Combine_List'!A:D,3,0)</f>
        <v>FIRST FIX</v>
      </c>
      <c r="N1037" s="447" t="str">
        <f>VLOOKUP(Advices[[#This Row],[LC Number]],'Combine_List'!A:D,4,0)</f>
        <v>RCRC</v>
      </c>
      <c r="O1037" s="447">
        <f>VLOOKUP(Advices[[#This Row],[LC Number]],'Combine_List'!A:E,5,0)</f>
        <v>1020106</v>
      </c>
      <c r="P1037" s="447">
        <f>MONTH(Advices[[#This Row],[Transaction Date]])</f>
        <v>12</v>
      </c>
      <c r="Q1037" s="447">
        <f>YEAR(Advices[[#This Row],[Transaction Date]])</f>
        <v>2025</v>
      </c>
      <c r="R1037" s="1"/>
    </row>
    <row r="1038" spans="1:18" hidden="1" x14ac:dyDescent="0.25">
      <c r="A1038" s="264" t="s">
        <v>612</v>
      </c>
      <c r="B1038" s="265">
        <v>45998</v>
      </c>
      <c r="C1038" s="264" t="s">
        <v>2101</v>
      </c>
      <c r="D1038" s="264" t="s">
        <v>3057</v>
      </c>
      <c r="E1038" s="264" t="s">
        <v>1822</v>
      </c>
      <c r="F1038" s="264" t="s">
        <v>2041</v>
      </c>
      <c r="G1038" s="264" t="s">
        <v>26</v>
      </c>
      <c r="H1038" s="266">
        <v>75</v>
      </c>
      <c r="I1038" s="266">
        <v>0</v>
      </c>
      <c r="J1038" s="264" t="s">
        <v>1174</v>
      </c>
      <c r="K1038" s="264" t="s">
        <v>2025</v>
      </c>
      <c r="L1038" s="1" t="str">
        <f>VLOOKUP(Advices[[#This Row],[LC Number]],'Combine_List'!A:D,2,0)</f>
        <v>SAUDI HEPCO CO LTD</v>
      </c>
      <c r="M1038" s="447" t="str">
        <f>VLOOKUP(Advices[[#This Row],[LC Number]],'Combine_List'!A:D,3,0)</f>
        <v>FIRST FIX</v>
      </c>
      <c r="N1038" s="447" t="str">
        <f>VLOOKUP(Advices[[#This Row],[LC Number]],'Combine_List'!A:D,4,0)</f>
        <v>RCRC</v>
      </c>
      <c r="O1038" s="447">
        <f>VLOOKUP(Advices[[#This Row],[LC Number]],'Combine_List'!A:E,5,0)</f>
        <v>1020106</v>
      </c>
      <c r="P1038" s="447">
        <f>MONTH(Advices[[#This Row],[Transaction Date]])</f>
        <v>12</v>
      </c>
      <c r="Q1038" s="447">
        <f>YEAR(Advices[[#This Row],[Transaction Date]])</f>
        <v>2025</v>
      </c>
      <c r="R1038" s="1"/>
    </row>
    <row r="1039" spans="1:18" hidden="1" x14ac:dyDescent="0.25">
      <c r="A1039" s="264" t="s">
        <v>612</v>
      </c>
      <c r="B1039" s="265">
        <v>45998</v>
      </c>
      <c r="C1039" s="264" t="s">
        <v>2101</v>
      </c>
      <c r="D1039" s="264" t="s">
        <v>3058</v>
      </c>
      <c r="E1039" s="264" t="s">
        <v>1822</v>
      </c>
      <c r="F1039" s="264" t="s">
        <v>2041</v>
      </c>
      <c r="G1039" s="264" t="s">
        <v>26</v>
      </c>
      <c r="H1039" s="266">
        <v>400</v>
      </c>
      <c r="I1039" s="266">
        <v>0</v>
      </c>
      <c r="J1039" s="264" t="s">
        <v>1124</v>
      </c>
      <c r="K1039" s="264" t="s">
        <v>2025</v>
      </c>
      <c r="L1039" s="1" t="str">
        <f>VLOOKUP(Advices[[#This Row],[LC Number]],'Combine_List'!A:D,2,0)</f>
        <v>SAUDI HEPCO CO LTD</v>
      </c>
      <c r="M1039" s="447" t="str">
        <f>VLOOKUP(Advices[[#This Row],[LC Number]],'Combine_List'!A:D,3,0)</f>
        <v>FIRST FIX</v>
      </c>
      <c r="N1039" s="447" t="str">
        <f>VLOOKUP(Advices[[#This Row],[LC Number]],'Combine_List'!A:D,4,0)</f>
        <v>RCRC</v>
      </c>
      <c r="O1039" s="447">
        <f>VLOOKUP(Advices[[#This Row],[LC Number]],'Combine_List'!A:E,5,0)</f>
        <v>1020106</v>
      </c>
      <c r="P1039" s="447">
        <f>MONTH(Advices[[#This Row],[Transaction Date]])</f>
        <v>12</v>
      </c>
      <c r="Q1039" s="447">
        <f>YEAR(Advices[[#This Row],[Transaction Date]])</f>
        <v>2025</v>
      </c>
      <c r="R1039" s="1"/>
    </row>
    <row r="1040" spans="1:18" hidden="1" x14ac:dyDescent="0.25">
      <c r="A1040" s="264" t="s">
        <v>612</v>
      </c>
      <c r="B1040" s="265">
        <v>45998</v>
      </c>
      <c r="C1040" s="264" t="s">
        <v>2101</v>
      </c>
      <c r="D1040" s="264" t="s">
        <v>3059</v>
      </c>
      <c r="E1040" s="264" t="s">
        <v>1822</v>
      </c>
      <c r="F1040" s="264" t="s">
        <v>2041</v>
      </c>
      <c r="G1040" s="264" t="s">
        <v>26</v>
      </c>
      <c r="H1040" s="266">
        <v>60</v>
      </c>
      <c r="I1040" s="266">
        <v>0</v>
      </c>
      <c r="J1040" s="264" t="s">
        <v>1174</v>
      </c>
      <c r="K1040" s="264" t="s">
        <v>2025</v>
      </c>
      <c r="L1040" s="1" t="str">
        <f>VLOOKUP(Advices[[#This Row],[LC Number]],'Combine_List'!A:D,2,0)</f>
        <v>SAUDI HEPCO CO LTD</v>
      </c>
      <c r="M1040" s="447" t="str">
        <f>VLOOKUP(Advices[[#This Row],[LC Number]],'Combine_List'!A:D,3,0)</f>
        <v>FIRST FIX</v>
      </c>
      <c r="N1040" s="447" t="str">
        <f>VLOOKUP(Advices[[#This Row],[LC Number]],'Combine_List'!A:D,4,0)</f>
        <v>RCRC</v>
      </c>
      <c r="O1040" s="447">
        <f>VLOOKUP(Advices[[#This Row],[LC Number]],'Combine_List'!A:E,5,0)</f>
        <v>1020106</v>
      </c>
      <c r="P1040" s="447">
        <f>MONTH(Advices[[#This Row],[Transaction Date]])</f>
        <v>12</v>
      </c>
      <c r="Q1040" s="447">
        <f>YEAR(Advices[[#This Row],[Transaction Date]])</f>
        <v>2025</v>
      </c>
      <c r="R1040" s="1"/>
    </row>
    <row r="1041" spans="1:18" hidden="1" x14ac:dyDescent="0.25">
      <c r="A1041" s="264" t="s">
        <v>612</v>
      </c>
      <c r="B1041" s="265">
        <v>45998</v>
      </c>
      <c r="C1041" s="264" t="s">
        <v>2101</v>
      </c>
      <c r="D1041" s="264" t="s">
        <v>3060</v>
      </c>
      <c r="E1041" s="264" t="s">
        <v>1823</v>
      </c>
      <c r="F1041" s="264" t="s">
        <v>2041</v>
      </c>
      <c r="G1041" s="264" t="s">
        <v>26</v>
      </c>
      <c r="H1041" s="266">
        <v>937.5</v>
      </c>
      <c r="I1041" s="266">
        <v>0</v>
      </c>
      <c r="J1041" s="264" t="s">
        <v>1124</v>
      </c>
      <c r="K1041" s="264" t="s">
        <v>2025</v>
      </c>
      <c r="L1041" s="1" t="str">
        <f>VLOOKUP(Advices[[#This Row],[LC Number]],'Combine_List'!A:D,2,0)</f>
        <v>SAUDI HEPCO CO LTD</v>
      </c>
      <c r="M1041" s="447" t="str">
        <f>VLOOKUP(Advices[[#This Row],[LC Number]],'Combine_List'!A:D,3,0)</f>
        <v>FIRST FIX</v>
      </c>
      <c r="N1041" s="447" t="str">
        <f>VLOOKUP(Advices[[#This Row],[LC Number]],'Combine_List'!A:D,4,0)</f>
        <v>RCRC</v>
      </c>
      <c r="O1041" s="447">
        <f>VLOOKUP(Advices[[#This Row],[LC Number]],'Combine_List'!A:E,5,0)</f>
        <v>1020106</v>
      </c>
      <c r="P1041" s="447">
        <f>MONTH(Advices[[#This Row],[Transaction Date]])</f>
        <v>12</v>
      </c>
      <c r="Q1041" s="447">
        <f>YEAR(Advices[[#This Row],[Transaction Date]])</f>
        <v>2025</v>
      </c>
      <c r="R1041" s="1"/>
    </row>
    <row r="1042" spans="1:18" hidden="1" x14ac:dyDescent="0.25">
      <c r="A1042" s="264" t="s">
        <v>612</v>
      </c>
      <c r="B1042" s="265">
        <v>45998</v>
      </c>
      <c r="C1042" s="264" t="s">
        <v>2101</v>
      </c>
      <c r="D1042" s="264" t="s">
        <v>3061</v>
      </c>
      <c r="E1042" s="264" t="s">
        <v>1823</v>
      </c>
      <c r="F1042" s="264" t="s">
        <v>2041</v>
      </c>
      <c r="G1042" s="264" t="s">
        <v>26</v>
      </c>
      <c r="H1042" s="266">
        <v>140.63</v>
      </c>
      <c r="I1042" s="266">
        <v>0</v>
      </c>
      <c r="J1042" s="264" t="s">
        <v>1174</v>
      </c>
      <c r="K1042" s="264" t="s">
        <v>2025</v>
      </c>
      <c r="L1042" s="1" t="str">
        <f>VLOOKUP(Advices[[#This Row],[LC Number]],'Combine_List'!A:D,2,0)</f>
        <v>SAUDI HEPCO CO LTD</v>
      </c>
      <c r="M1042" s="447" t="str">
        <f>VLOOKUP(Advices[[#This Row],[LC Number]],'Combine_List'!A:D,3,0)</f>
        <v>FIRST FIX</v>
      </c>
      <c r="N1042" s="447" t="str">
        <f>VLOOKUP(Advices[[#This Row],[LC Number]],'Combine_List'!A:D,4,0)</f>
        <v>RCRC</v>
      </c>
      <c r="O1042" s="447">
        <f>VLOOKUP(Advices[[#This Row],[LC Number]],'Combine_List'!A:E,5,0)</f>
        <v>1020106</v>
      </c>
      <c r="P1042" s="447">
        <f>MONTH(Advices[[#This Row],[Transaction Date]])</f>
        <v>12</v>
      </c>
      <c r="Q1042" s="447">
        <f>YEAR(Advices[[#This Row],[Transaction Date]])</f>
        <v>2025</v>
      </c>
      <c r="R1042" s="1"/>
    </row>
    <row r="1043" spans="1:18" hidden="1" x14ac:dyDescent="0.25">
      <c r="A1043" s="264" t="s">
        <v>612</v>
      </c>
      <c r="B1043" s="265">
        <v>45998</v>
      </c>
      <c r="C1043" s="264" t="s">
        <v>2101</v>
      </c>
      <c r="D1043" s="264" t="s">
        <v>3062</v>
      </c>
      <c r="E1043" s="264" t="s">
        <v>1823</v>
      </c>
      <c r="F1043" s="264" t="s">
        <v>2041</v>
      </c>
      <c r="G1043" s="264" t="s">
        <v>26</v>
      </c>
      <c r="H1043" s="266">
        <v>400</v>
      </c>
      <c r="I1043" s="266">
        <v>0</v>
      </c>
      <c r="J1043" s="264" t="s">
        <v>1124</v>
      </c>
      <c r="K1043" s="264" t="s">
        <v>2025</v>
      </c>
      <c r="L1043" s="1" t="str">
        <f>VLOOKUP(Advices[[#This Row],[LC Number]],'Combine_List'!A:D,2,0)</f>
        <v>SAUDI HEPCO CO LTD</v>
      </c>
      <c r="M1043" s="447" t="str">
        <f>VLOOKUP(Advices[[#This Row],[LC Number]],'Combine_List'!A:D,3,0)</f>
        <v>FIRST FIX</v>
      </c>
      <c r="N1043" s="447" t="str">
        <f>VLOOKUP(Advices[[#This Row],[LC Number]],'Combine_List'!A:D,4,0)</f>
        <v>RCRC</v>
      </c>
      <c r="O1043" s="447">
        <f>VLOOKUP(Advices[[#This Row],[LC Number]],'Combine_List'!A:E,5,0)</f>
        <v>1020106</v>
      </c>
      <c r="P1043" s="447">
        <f>MONTH(Advices[[#This Row],[Transaction Date]])</f>
        <v>12</v>
      </c>
      <c r="Q1043" s="447">
        <f>YEAR(Advices[[#This Row],[Transaction Date]])</f>
        <v>2025</v>
      </c>
      <c r="R1043" s="1"/>
    </row>
    <row r="1044" spans="1:18" hidden="1" x14ac:dyDescent="0.25">
      <c r="A1044" s="264" t="s">
        <v>612</v>
      </c>
      <c r="B1044" s="265">
        <v>45998</v>
      </c>
      <c r="C1044" s="264" t="s">
        <v>2101</v>
      </c>
      <c r="D1044" s="264" t="s">
        <v>3063</v>
      </c>
      <c r="E1044" s="264" t="s">
        <v>1823</v>
      </c>
      <c r="F1044" s="264" t="s">
        <v>2041</v>
      </c>
      <c r="G1044" s="264" t="s">
        <v>26</v>
      </c>
      <c r="H1044" s="266">
        <v>60</v>
      </c>
      <c r="I1044" s="266">
        <v>0</v>
      </c>
      <c r="J1044" s="264" t="s">
        <v>1174</v>
      </c>
      <c r="K1044" s="264" t="s">
        <v>2025</v>
      </c>
      <c r="L1044" s="1" t="str">
        <f>VLOOKUP(Advices[[#This Row],[LC Number]],'Combine_List'!A:D,2,0)</f>
        <v>SAUDI HEPCO CO LTD</v>
      </c>
      <c r="M1044" s="447" t="str">
        <f>VLOOKUP(Advices[[#This Row],[LC Number]],'Combine_List'!A:D,3,0)</f>
        <v>FIRST FIX</v>
      </c>
      <c r="N1044" s="447" t="str">
        <f>VLOOKUP(Advices[[#This Row],[LC Number]],'Combine_List'!A:D,4,0)</f>
        <v>RCRC</v>
      </c>
      <c r="O1044" s="447">
        <f>VLOOKUP(Advices[[#This Row],[LC Number]],'Combine_List'!A:E,5,0)</f>
        <v>1020106</v>
      </c>
      <c r="P1044" s="447">
        <f>MONTH(Advices[[#This Row],[Transaction Date]])</f>
        <v>12</v>
      </c>
      <c r="Q1044" s="447">
        <f>YEAR(Advices[[#This Row],[Transaction Date]])</f>
        <v>2025</v>
      </c>
      <c r="R1044" s="1"/>
    </row>
    <row r="1045" spans="1:18" hidden="1" x14ac:dyDescent="0.25">
      <c r="A1045" s="264" t="s">
        <v>612</v>
      </c>
      <c r="B1045" s="265">
        <v>45998</v>
      </c>
      <c r="C1045" s="264" t="s">
        <v>2101</v>
      </c>
      <c r="D1045" s="264" t="s">
        <v>3064</v>
      </c>
      <c r="E1045" s="264" t="s">
        <v>1819</v>
      </c>
      <c r="F1045" s="264" t="s">
        <v>2041</v>
      </c>
      <c r="G1045" s="264" t="s">
        <v>26</v>
      </c>
      <c r="H1045" s="266">
        <v>500</v>
      </c>
      <c r="I1045" s="266">
        <v>0</v>
      </c>
      <c r="J1045" s="264" t="s">
        <v>1124</v>
      </c>
      <c r="K1045" s="264" t="s">
        <v>2025</v>
      </c>
      <c r="L1045" s="1" t="str">
        <f>VLOOKUP(Advices[[#This Row],[LC Number]],'Combine_List'!A:D,2,0)</f>
        <v>United Park Co.</v>
      </c>
      <c r="M1045" s="447" t="str">
        <f>VLOOKUP(Advices[[#This Row],[LC Number]],'Combine_List'!A:D,3,0)</f>
        <v>FIRST FIX</v>
      </c>
      <c r="N1045" s="447" t="str">
        <f>VLOOKUP(Advices[[#This Row],[LC Number]],'Combine_List'!A:D,4,0)</f>
        <v>RCRC</v>
      </c>
      <c r="O1045" s="447">
        <f>VLOOKUP(Advices[[#This Row],[LC Number]],'Combine_List'!A:E,5,0)</f>
        <v>1020106</v>
      </c>
      <c r="P1045" s="447">
        <f>MONTH(Advices[[#This Row],[Transaction Date]])</f>
        <v>12</v>
      </c>
      <c r="Q1045" s="447">
        <f>YEAR(Advices[[#This Row],[Transaction Date]])</f>
        <v>2025</v>
      </c>
      <c r="R1045" s="1"/>
    </row>
    <row r="1046" spans="1:18" hidden="1" x14ac:dyDescent="0.25">
      <c r="A1046" s="264" t="s">
        <v>612</v>
      </c>
      <c r="B1046" s="265">
        <v>45998</v>
      </c>
      <c r="C1046" s="264" t="s">
        <v>2101</v>
      </c>
      <c r="D1046" s="264" t="s">
        <v>3065</v>
      </c>
      <c r="E1046" s="264" t="s">
        <v>1819</v>
      </c>
      <c r="F1046" s="264" t="s">
        <v>2041</v>
      </c>
      <c r="G1046" s="264" t="s">
        <v>26</v>
      </c>
      <c r="H1046" s="266">
        <v>75</v>
      </c>
      <c r="I1046" s="266">
        <v>0</v>
      </c>
      <c r="J1046" s="264" t="s">
        <v>1174</v>
      </c>
      <c r="K1046" s="264" t="s">
        <v>2025</v>
      </c>
      <c r="L1046" s="1" t="str">
        <f>VLOOKUP(Advices[[#This Row],[LC Number]],'Combine_List'!A:D,2,0)</f>
        <v>United Park Co.</v>
      </c>
      <c r="M1046" s="447" t="str">
        <f>VLOOKUP(Advices[[#This Row],[LC Number]],'Combine_List'!A:D,3,0)</f>
        <v>FIRST FIX</v>
      </c>
      <c r="N1046" s="447" t="str">
        <f>VLOOKUP(Advices[[#This Row],[LC Number]],'Combine_List'!A:D,4,0)</f>
        <v>RCRC</v>
      </c>
      <c r="O1046" s="447">
        <f>VLOOKUP(Advices[[#This Row],[LC Number]],'Combine_List'!A:E,5,0)</f>
        <v>1020106</v>
      </c>
      <c r="P1046" s="447">
        <f>MONTH(Advices[[#This Row],[Transaction Date]])</f>
        <v>12</v>
      </c>
      <c r="Q1046" s="447">
        <f>YEAR(Advices[[#This Row],[Transaction Date]])</f>
        <v>2025</v>
      </c>
      <c r="R1046" s="1"/>
    </row>
    <row r="1047" spans="1:18" hidden="1" x14ac:dyDescent="0.25">
      <c r="A1047" s="264" t="s">
        <v>612</v>
      </c>
      <c r="B1047" s="265">
        <v>45998</v>
      </c>
      <c r="C1047" s="264" t="s">
        <v>2101</v>
      </c>
      <c r="D1047" s="264" t="s">
        <v>3066</v>
      </c>
      <c r="E1047" s="264" t="s">
        <v>1819</v>
      </c>
      <c r="F1047" s="264" t="s">
        <v>2041</v>
      </c>
      <c r="G1047" s="264" t="s">
        <v>26</v>
      </c>
      <c r="H1047" s="266">
        <v>400</v>
      </c>
      <c r="I1047" s="266">
        <v>0</v>
      </c>
      <c r="J1047" s="264" t="s">
        <v>1124</v>
      </c>
      <c r="K1047" s="264" t="s">
        <v>2025</v>
      </c>
      <c r="L1047" s="1" t="str">
        <f>VLOOKUP(Advices[[#This Row],[LC Number]],'Combine_List'!A:D,2,0)</f>
        <v>United Park Co.</v>
      </c>
      <c r="M1047" s="447" t="str">
        <f>VLOOKUP(Advices[[#This Row],[LC Number]],'Combine_List'!A:D,3,0)</f>
        <v>FIRST FIX</v>
      </c>
      <c r="N1047" s="447" t="str">
        <f>VLOOKUP(Advices[[#This Row],[LC Number]],'Combine_List'!A:D,4,0)</f>
        <v>RCRC</v>
      </c>
      <c r="O1047" s="447">
        <f>VLOOKUP(Advices[[#This Row],[LC Number]],'Combine_List'!A:E,5,0)</f>
        <v>1020106</v>
      </c>
      <c r="P1047" s="447">
        <f>MONTH(Advices[[#This Row],[Transaction Date]])</f>
        <v>12</v>
      </c>
      <c r="Q1047" s="447">
        <f>YEAR(Advices[[#This Row],[Transaction Date]])</f>
        <v>2025</v>
      </c>
      <c r="R1047" s="1"/>
    </row>
    <row r="1048" spans="1:18" hidden="1" x14ac:dyDescent="0.25">
      <c r="A1048" s="264" t="s">
        <v>612</v>
      </c>
      <c r="B1048" s="265">
        <v>45998</v>
      </c>
      <c r="C1048" s="264" t="s">
        <v>2101</v>
      </c>
      <c r="D1048" s="264" t="s">
        <v>3067</v>
      </c>
      <c r="E1048" s="264" t="s">
        <v>1819</v>
      </c>
      <c r="F1048" s="264" t="s">
        <v>2041</v>
      </c>
      <c r="G1048" s="264" t="s">
        <v>26</v>
      </c>
      <c r="H1048" s="266">
        <v>60</v>
      </c>
      <c r="I1048" s="266">
        <v>0</v>
      </c>
      <c r="J1048" s="264" t="s">
        <v>1174</v>
      </c>
      <c r="K1048" s="264" t="s">
        <v>2025</v>
      </c>
      <c r="L1048" s="1" t="str">
        <f>VLOOKUP(Advices[[#This Row],[LC Number]],'Combine_List'!A:D,2,0)</f>
        <v>United Park Co.</v>
      </c>
      <c r="M1048" s="447" t="str">
        <f>VLOOKUP(Advices[[#This Row],[LC Number]],'Combine_List'!A:D,3,0)</f>
        <v>FIRST FIX</v>
      </c>
      <c r="N1048" s="447" t="str">
        <f>VLOOKUP(Advices[[#This Row],[LC Number]],'Combine_List'!A:D,4,0)</f>
        <v>RCRC</v>
      </c>
      <c r="O1048" s="447">
        <f>VLOOKUP(Advices[[#This Row],[LC Number]],'Combine_List'!A:E,5,0)</f>
        <v>1020106</v>
      </c>
      <c r="P1048" s="447">
        <f>MONTH(Advices[[#This Row],[Transaction Date]])</f>
        <v>12</v>
      </c>
      <c r="Q1048" s="447">
        <f>YEAR(Advices[[#This Row],[Transaction Date]])</f>
        <v>2025</v>
      </c>
      <c r="R1048" s="1"/>
    </row>
    <row r="1049" spans="1:18" hidden="1" x14ac:dyDescent="0.25">
      <c r="A1049" s="264" t="s">
        <v>612</v>
      </c>
      <c r="B1049" s="265">
        <v>45998</v>
      </c>
      <c r="C1049" s="264" t="s">
        <v>2101</v>
      </c>
      <c r="D1049" s="264" t="s">
        <v>3068</v>
      </c>
      <c r="E1049" s="264" t="s">
        <v>1821</v>
      </c>
      <c r="F1049" s="264" t="s">
        <v>2041</v>
      </c>
      <c r="G1049" s="264" t="s">
        <v>26</v>
      </c>
      <c r="H1049" s="266">
        <v>626.44000000000005</v>
      </c>
      <c r="I1049" s="266">
        <v>0</v>
      </c>
      <c r="J1049" s="264" t="s">
        <v>1124</v>
      </c>
      <c r="K1049" s="264" t="s">
        <v>2025</v>
      </c>
      <c r="L1049" s="1" t="str">
        <f>VLOOKUP(Advices[[#This Row],[LC Number]],'Combine_List'!A:D,2,0)</f>
        <v>Mohammed Ramadan Shat Factory</v>
      </c>
      <c r="M1049" s="447" t="str">
        <f>VLOOKUP(Advices[[#This Row],[LC Number]],'Combine_List'!A:D,3,0)</f>
        <v>FIRST FIX</v>
      </c>
      <c r="N1049" s="447" t="str">
        <f>VLOOKUP(Advices[[#This Row],[LC Number]],'Combine_List'!A:D,4,0)</f>
        <v>RCRC</v>
      </c>
      <c r="O1049" s="447">
        <f>VLOOKUP(Advices[[#This Row],[LC Number]],'Combine_List'!A:E,5,0)</f>
        <v>1020106</v>
      </c>
      <c r="P1049" s="447">
        <f>MONTH(Advices[[#This Row],[Transaction Date]])</f>
        <v>12</v>
      </c>
      <c r="Q1049" s="447">
        <f>YEAR(Advices[[#This Row],[Transaction Date]])</f>
        <v>2025</v>
      </c>
      <c r="R1049" s="1"/>
    </row>
    <row r="1050" spans="1:18" hidden="1" x14ac:dyDescent="0.25">
      <c r="A1050" s="264" t="s">
        <v>612</v>
      </c>
      <c r="B1050" s="265">
        <v>45998</v>
      </c>
      <c r="C1050" s="264" t="s">
        <v>2101</v>
      </c>
      <c r="D1050" s="264" t="s">
        <v>3069</v>
      </c>
      <c r="E1050" s="264" t="s">
        <v>1821</v>
      </c>
      <c r="F1050" s="264" t="s">
        <v>2041</v>
      </c>
      <c r="G1050" s="264" t="s">
        <v>26</v>
      </c>
      <c r="H1050" s="266">
        <v>93.97</v>
      </c>
      <c r="I1050" s="266">
        <v>0</v>
      </c>
      <c r="J1050" s="264" t="s">
        <v>1174</v>
      </c>
      <c r="K1050" s="264" t="s">
        <v>2025</v>
      </c>
      <c r="L1050" s="1" t="str">
        <f>VLOOKUP(Advices[[#This Row],[LC Number]],'Combine_List'!A:D,2,0)</f>
        <v>Mohammed Ramadan Shat Factory</v>
      </c>
      <c r="M1050" s="447" t="str">
        <f>VLOOKUP(Advices[[#This Row],[LC Number]],'Combine_List'!A:D,3,0)</f>
        <v>FIRST FIX</v>
      </c>
      <c r="N1050" s="447" t="str">
        <f>VLOOKUP(Advices[[#This Row],[LC Number]],'Combine_List'!A:D,4,0)</f>
        <v>RCRC</v>
      </c>
      <c r="O1050" s="447">
        <f>VLOOKUP(Advices[[#This Row],[LC Number]],'Combine_List'!A:E,5,0)</f>
        <v>1020106</v>
      </c>
      <c r="P1050" s="447">
        <f>MONTH(Advices[[#This Row],[Transaction Date]])</f>
        <v>12</v>
      </c>
      <c r="Q1050" s="447">
        <f>YEAR(Advices[[#This Row],[Transaction Date]])</f>
        <v>2025</v>
      </c>
      <c r="R1050" s="1"/>
    </row>
    <row r="1051" spans="1:18" hidden="1" x14ac:dyDescent="0.25">
      <c r="A1051" s="264" t="s">
        <v>612</v>
      </c>
      <c r="B1051" s="265">
        <v>45998</v>
      </c>
      <c r="C1051" s="264" t="s">
        <v>2101</v>
      </c>
      <c r="D1051" s="264" t="s">
        <v>3070</v>
      </c>
      <c r="E1051" s="264" t="s">
        <v>1821</v>
      </c>
      <c r="F1051" s="264" t="s">
        <v>2041</v>
      </c>
      <c r="G1051" s="264" t="s">
        <v>26</v>
      </c>
      <c r="H1051" s="266">
        <v>400</v>
      </c>
      <c r="I1051" s="266">
        <v>0</v>
      </c>
      <c r="J1051" s="264" t="s">
        <v>1124</v>
      </c>
      <c r="K1051" s="264" t="s">
        <v>2025</v>
      </c>
      <c r="L1051" s="1" t="str">
        <f>VLOOKUP(Advices[[#This Row],[LC Number]],'Combine_List'!A:D,2,0)</f>
        <v>Mohammed Ramadan Shat Factory</v>
      </c>
      <c r="M1051" s="447" t="str">
        <f>VLOOKUP(Advices[[#This Row],[LC Number]],'Combine_List'!A:D,3,0)</f>
        <v>FIRST FIX</v>
      </c>
      <c r="N1051" s="447" t="str">
        <f>VLOOKUP(Advices[[#This Row],[LC Number]],'Combine_List'!A:D,4,0)</f>
        <v>RCRC</v>
      </c>
      <c r="O1051" s="447">
        <f>VLOOKUP(Advices[[#This Row],[LC Number]],'Combine_List'!A:E,5,0)</f>
        <v>1020106</v>
      </c>
      <c r="P1051" s="447">
        <f>MONTH(Advices[[#This Row],[Transaction Date]])</f>
        <v>12</v>
      </c>
      <c r="Q1051" s="447">
        <f>YEAR(Advices[[#This Row],[Transaction Date]])</f>
        <v>2025</v>
      </c>
      <c r="R1051" s="1"/>
    </row>
    <row r="1052" spans="1:18" hidden="1" x14ac:dyDescent="0.25">
      <c r="A1052" s="264" t="s">
        <v>612</v>
      </c>
      <c r="B1052" s="265">
        <v>45998</v>
      </c>
      <c r="C1052" s="264" t="s">
        <v>2101</v>
      </c>
      <c r="D1052" s="264" t="s">
        <v>3071</v>
      </c>
      <c r="E1052" s="264" t="s">
        <v>1821</v>
      </c>
      <c r="F1052" s="264" t="s">
        <v>2041</v>
      </c>
      <c r="G1052" s="264" t="s">
        <v>26</v>
      </c>
      <c r="H1052" s="266">
        <v>60</v>
      </c>
      <c r="I1052" s="266">
        <v>0</v>
      </c>
      <c r="J1052" s="264" t="s">
        <v>1174</v>
      </c>
      <c r="K1052" s="264" t="s">
        <v>2025</v>
      </c>
      <c r="L1052" s="1" t="str">
        <f>VLOOKUP(Advices[[#This Row],[LC Number]],'Combine_List'!A:D,2,0)</f>
        <v>Mohammed Ramadan Shat Factory</v>
      </c>
      <c r="M1052" s="447" t="str">
        <f>VLOOKUP(Advices[[#This Row],[LC Number]],'Combine_List'!A:D,3,0)</f>
        <v>FIRST FIX</v>
      </c>
      <c r="N1052" s="447" t="str">
        <f>VLOOKUP(Advices[[#This Row],[LC Number]],'Combine_List'!A:D,4,0)</f>
        <v>RCRC</v>
      </c>
      <c r="O1052" s="447">
        <f>VLOOKUP(Advices[[#This Row],[LC Number]],'Combine_List'!A:E,5,0)</f>
        <v>1020106</v>
      </c>
      <c r="P1052" s="447">
        <f>MONTH(Advices[[#This Row],[Transaction Date]])</f>
        <v>12</v>
      </c>
      <c r="Q1052" s="447">
        <f>YEAR(Advices[[#This Row],[Transaction Date]])</f>
        <v>2025</v>
      </c>
      <c r="R1052" s="1"/>
    </row>
    <row r="1053" spans="1:18" hidden="1" x14ac:dyDescent="0.25">
      <c r="A1053" s="264" t="s">
        <v>612</v>
      </c>
      <c r="B1053" s="265">
        <v>45999</v>
      </c>
      <c r="C1053" s="264" t="s">
        <v>2101</v>
      </c>
      <c r="D1053" s="264" t="s">
        <v>3072</v>
      </c>
      <c r="E1053" s="264" t="s">
        <v>734</v>
      </c>
      <c r="F1053" s="264" t="s">
        <v>2041</v>
      </c>
      <c r="G1053" s="264" t="s">
        <v>26</v>
      </c>
      <c r="H1053" s="266">
        <v>100</v>
      </c>
      <c r="I1053" s="266">
        <v>0</v>
      </c>
      <c r="J1053" s="264" t="s">
        <v>1125</v>
      </c>
      <c r="K1053" s="264" t="s">
        <v>2025</v>
      </c>
      <c r="L1053" s="1" t="str">
        <f>VLOOKUP(Advices[[#This Row],[LC Number]],'Combine_List'!A:D,2,0)</f>
        <v>SITE TECHNOLOGY SAUDI ARABIA LTD</v>
      </c>
      <c r="M1053" s="447" t="str">
        <f>VLOOKUP(Advices[[#This Row],[LC Number]],'Combine_List'!A:D,3,0)</f>
        <v>FIRST FIX</v>
      </c>
      <c r="N1053" s="447" t="str">
        <f>VLOOKUP(Advices[[#This Row],[LC Number]],'Combine_List'!A:D,4,0)</f>
        <v>RCRC</v>
      </c>
      <c r="O1053" s="447">
        <f>VLOOKUP(Advices[[#This Row],[LC Number]],'Combine_List'!A:E,5,0)</f>
        <v>1020106</v>
      </c>
      <c r="P1053" s="447">
        <f>MONTH(Advices[[#This Row],[Transaction Date]])</f>
        <v>12</v>
      </c>
      <c r="Q1053" s="447">
        <f>YEAR(Advices[[#This Row],[Transaction Date]])</f>
        <v>2025</v>
      </c>
      <c r="R1053" s="1"/>
    </row>
    <row r="1054" spans="1:18" hidden="1" x14ac:dyDescent="0.25">
      <c r="A1054" s="264" t="s">
        <v>612</v>
      </c>
      <c r="B1054" s="265">
        <v>45999</v>
      </c>
      <c r="C1054" s="264" t="s">
        <v>2101</v>
      </c>
      <c r="D1054" s="264" t="s">
        <v>3073</v>
      </c>
      <c r="E1054" s="264" t="s">
        <v>734</v>
      </c>
      <c r="F1054" s="264" t="s">
        <v>2041</v>
      </c>
      <c r="G1054" s="264" t="s">
        <v>26</v>
      </c>
      <c r="H1054" s="266">
        <v>15</v>
      </c>
      <c r="I1054" s="266">
        <v>0</v>
      </c>
      <c r="J1054" s="264" t="s">
        <v>1174</v>
      </c>
      <c r="K1054" s="264" t="s">
        <v>2025</v>
      </c>
      <c r="L1054" s="1" t="str">
        <f>VLOOKUP(Advices[[#This Row],[LC Number]],'Combine_List'!A:D,2,0)</f>
        <v>SITE TECHNOLOGY SAUDI ARABIA LTD</v>
      </c>
      <c r="M1054" s="447" t="str">
        <f>VLOOKUP(Advices[[#This Row],[LC Number]],'Combine_List'!A:D,3,0)</f>
        <v>FIRST FIX</v>
      </c>
      <c r="N1054" s="447" t="str">
        <f>VLOOKUP(Advices[[#This Row],[LC Number]],'Combine_List'!A:D,4,0)</f>
        <v>RCRC</v>
      </c>
      <c r="O1054" s="447">
        <f>VLOOKUP(Advices[[#This Row],[LC Number]],'Combine_List'!A:E,5,0)</f>
        <v>1020106</v>
      </c>
      <c r="P1054" s="447">
        <f>MONTH(Advices[[#This Row],[Transaction Date]])</f>
        <v>12</v>
      </c>
      <c r="Q1054" s="447">
        <f>YEAR(Advices[[#This Row],[Transaction Date]])</f>
        <v>2025</v>
      </c>
      <c r="R1054" s="1"/>
    </row>
    <row r="1055" spans="1:18" hidden="1" x14ac:dyDescent="0.25">
      <c r="A1055" s="264" t="s">
        <v>612</v>
      </c>
      <c r="B1055" s="265">
        <v>45999</v>
      </c>
      <c r="C1055" s="264" t="s">
        <v>2101</v>
      </c>
      <c r="D1055" s="264" t="s">
        <v>3074</v>
      </c>
      <c r="E1055" s="264" t="s">
        <v>734</v>
      </c>
      <c r="F1055" s="264" t="s">
        <v>2041</v>
      </c>
      <c r="G1055" s="264" t="s">
        <v>26</v>
      </c>
      <c r="H1055" s="266">
        <v>250</v>
      </c>
      <c r="I1055" s="266">
        <v>0</v>
      </c>
      <c r="J1055" s="264" t="s">
        <v>1125</v>
      </c>
      <c r="K1055" s="264" t="s">
        <v>2025</v>
      </c>
      <c r="L1055" s="1" t="str">
        <f>VLOOKUP(Advices[[#This Row],[LC Number]],'Combine_List'!A:D,2,0)</f>
        <v>SITE TECHNOLOGY SAUDI ARABIA LTD</v>
      </c>
      <c r="M1055" s="447" t="str">
        <f>VLOOKUP(Advices[[#This Row],[LC Number]],'Combine_List'!A:D,3,0)</f>
        <v>FIRST FIX</v>
      </c>
      <c r="N1055" s="447" t="str">
        <f>VLOOKUP(Advices[[#This Row],[LC Number]],'Combine_List'!A:D,4,0)</f>
        <v>RCRC</v>
      </c>
      <c r="O1055" s="447">
        <f>VLOOKUP(Advices[[#This Row],[LC Number]],'Combine_List'!A:E,5,0)</f>
        <v>1020106</v>
      </c>
      <c r="P1055" s="447">
        <f>MONTH(Advices[[#This Row],[Transaction Date]])</f>
        <v>12</v>
      </c>
      <c r="Q1055" s="447">
        <f>YEAR(Advices[[#This Row],[Transaction Date]])</f>
        <v>2025</v>
      </c>
      <c r="R1055" s="1"/>
    </row>
    <row r="1056" spans="1:18" hidden="1" x14ac:dyDescent="0.25">
      <c r="A1056" s="264" t="s">
        <v>612</v>
      </c>
      <c r="B1056" s="265">
        <v>45999</v>
      </c>
      <c r="C1056" s="264" t="s">
        <v>2101</v>
      </c>
      <c r="D1056" s="264" t="s">
        <v>3075</v>
      </c>
      <c r="E1056" s="264" t="s">
        <v>734</v>
      </c>
      <c r="F1056" s="264" t="s">
        <v>2041</v>
      </c>
      <c r="G1056" s="264" t="s">
        <v>26</v>
      </c>
      <c r="H1056" s="266">
        <v>37.5</v>
      </c>
      <c r="I1056" s="266">
        <v>0</v>
      </c>
      <c r="J1056" s="264" t="s">
        <v>1174</v>
      </c>
      <c r="K1056" s="264" t="s">
        <v>2025</v>
      </c>
      <c r="L1056" s="1" t="str">
        <f>VLOOKUP(Advices[[#This Row],[LC Number]],'Combine_List'!A:D,2,0)</f>
        <v>SITE TECHNOLOGY SAUDI ARABIA LTD</v>
      </c>
      <c r="M1056" s="447" t="str">
        <f>VLOOKUP(Advices[[#This Row],[LC Number]],'Combine_List'!A:D,3,0)</f>
        <v>FIRST FIX</v>
      </c>
      <c r="N1056" s="447" t="str">
        <f>VLOOKUP(Advices[[#This Row],[LC Number]],'Combine_List'!A:D,4,0)</f>
        <v>RCRC</v>
      </c>
      <c r="O1056" s="447">
        <f>VLOOKUP(Advices[[#This Row],[LC Number]],'Combine_List'!A:E,5,0)</f>
        <v>1020106</v>
      </c>
      <c r="P1056" s="447">
        <f>MONTH(Advices[[#This Row],[Transaction Date]])</f>
        <v>12</v>
      </c>
      <c r="Q1056" s="447">
        <f>YEAR(Advices[[#This Row],[Transaction Date]])</f>
        <v>2025</v>
      </c>
      <c r="R1056" s="1"/>
    </row>
    <row r="1057" spans="1:18" hidden="1" x14ac:dyDescent="0.25">
      <c r="A1057" s="264" t="s">
        <v>612</v>
      </c>
      <c r="B1057" s="265">
        <v>45999</v>
      </c>
      <c r="C1057" s="264" t="s">
        <v>2101</v>
      </c>
      <c r="D1057" s="264" t="s">
        <v>3076</v>
      </c>
      <c r="E1057" s="264" t="s">
        <v>734</v>
      </c>
      <c r="F1057" s="264" t="s">
        <v>2041</v>
      </c>
      <c r="G1057" s="264" t="s">
        <v>26</v>
      </c>
      <c r="H1057" s="266">
        <v>200</v>
      </c>
      <c r="I1057" s="266">
        <v>0</v>
      </c>
      <c r="J1057" s="264" t="s">
        <v>1125</v>
      </c>
      <c r="K1057" s="264" t="s">
        <v>2025</v>
      </c>
      <c r="L1057" s="1" t="str">
        <f>VLOOKUP(Advices[[#This Row],[LC Number]],'Combine_List'!A:D,2,0)</f>
        <v>SITE TECHNOLOGY SAUDI ARABIA LTD</v>
      </c>
      <c r="M1057" s="447" t="str">
        <f>VLOOKUP(Advices[[#This Row],[LC Number]],'Combine_List'!A:D,3,0)</f>
        <v>FIRST FIX</v>
      </c>
      <c r="N1057" s="447" t="str">
        <f>VLOOKUP(Advices[[#This Row],[LC Number]],'Combine_List'!A:D,4,0)</f>
        <v>RCRC</v>
      </c>
      <c r="O1057" s="447">
        <f>VLOOKUP(Advices[[#This Row],[LC Number]],'Combine_List'!A:E,5,0)</f>
        <v>1020106</v>
      </c>
      <c r="P1057" s="447">
        <f>MONTH(Advices[[#This Row],[Transaction Date]])</f>
        <v>12</v>
      </c>
      <c r="Q1057" s="447">
        <f>YEAR(Advices[[#This Row],[Transaction Date]])</f>
        <v>2025</v>
      </c>
      <c r="R1057" s="1"/>
    </row>
    <row r="1058" spans="1:18" hidden="1" x14ac:dyDescent="0.25">
      <c r="A1058" s="264" t="s">
        <v>612</v>
      </c>
      <c r="B1058" s="265">
        <v>45999</v>
      </c>
      <c r="C1058" s="264" t="s">
        <v>2101</v>
      </c>
      <c r="D1058" s="264" t="s">
        <v>3077</v>
      </c>
      <c r="E1058" s="264" t="s">
        <v>734</v>
      </c>
      <c r="F1058" s="264" t="s">
        <v>2041</v>
      </c>
      <c r="G1058" s="264" t="s">
        <v>26</v>
      </c>
      <c r="H1058" s="266">
        <v>30</v>
      </c>
      <c r="I1058" s="266">
        <v>0</v>
      </c>
      <c r="J1058" s="264" t="s">
        <v>1174</v>
      </c>
      <c r="K1058" s="264" t="s">
        <v>2025</v>
      </c>
      <c r="L1058" s="1" t="str">
        <f>VLOOKUP(Advices[[#This Row],[LC Number]],'Combine_List'!A:D,2,0)</f>
        <v>SITE TECHNOLOGY SAUDI ARABIA LTD</v>
      </c>
      <c r="M1058" s="447" t="str">
        <f>VLOOKUP(Advices[[#This Row],[LC Number]],'Combine_List'!A:D,3,0)</f>
        <v>FIRST FIX</v>
      </c>
      <c r="N1058" s="447" t="str">
        <f>VLOOKUP(Advices[[#This Row],[LC Number]],'Combine_List'!A:D,4,0)</f>
        <v>RCRC</v>
      </c>
      <c r="O1058" s="447">
        <f>VLOOKUP(Advices[[#This Row],[LC Number]],'Combine_List'!A:E,5,0)</f>
        <v>1020106</v>
      </c>
      <c r="P1058" s="447">
        <f>MONTH(Advices[[#This Row],[Transaction Date]])</f>
        <v>12</v>
      </c>
      <c r="Q1058" s="447">
        <f>YEAR(Advices[[#This Row],[Transaction Date]])</f>
        <v>2025</v>
      </c>
      <c r="R1058" s="1"/>
    </row>
    <row r="1059" spans="1:18" hidden="1" x14ac:dyDescent="0.25">
      <c r="A1059" s="264" t="s">
        <v>612</v>
      </c>
      <c r="B1059" s="265">
        <v>46000</v>
      </c>
      <c r="C1059" s="264" t="s">
        <v>2101</v>
      </c>
      <c r="D1059" s="264" t="s">
        <v>3078</v>
      </c>
      <c r="E1059" s="264" t="s">
        <v>3082</v>
      </c>
      <c r="F1059" s="264" t="s">
        <v>2041</v>
      </c>
      <c r="G1059" s="264" t="s">
        <v>26</v>
      </c>
      <c r="H1059" s="266">
        <v>12124</v>
      </c>
      <c r="I1059" s="266">
        <v>0</v>
      </c>
      <c r="J1059" s="264" t="s">
        <v>2793</v>
      </c>
      <c r="K1059" s="264" t="s">
        <v>2025</v>
      </c>
      <c r="L1059" s="1" t="e">
        <f>VLOOKUP(Advices[[#This Row],[LC Number]],'Combine_List'!A:D,2,0)</f>
        <v>#N/A</v>
      </c>
      <c r="M1059" s="447" t="e">
        <f>VLOOKUP(Advices[[#This Row],[LC Number]],'Combine_List'!A:D,3,0)</f>
        <v>#N/A</v>
      </c>
      <c r="N1059" s="447" t="e">
        <f>VLOOKUP(Advices[[#This Row],[LC Number]],'Combine_List'!A:D,4,0)</f>
        <v>#N/A</v>
      </c>
      <c r="O1059" s="447" t="e">
        <f>VLOOKUP(Advices[[#This Row],[LC Number]],'Combine_List'!A:E,5,0)</f>
        <v>#N/A</v>
      </c>
      <c r="P1059" s="447">
        <f>MONTH(Advices[[#This Row],[Transaction Date]])</f>
        <v>12</v>
      </c>
      <c r="Q1059" s="447">
        <f>YEAR(Advices[[#This Row],[Transaction Date]])</f>
        <v>2025</v>
      </c>
      <c r="R1059" s="1"/>
    </row>
    <row r="1060" spans="1:18" hidden="1" x14ac:dyDescent="0.25">
      <c r="A1060" s="264" t="s">
        <v>612</v>
      </c>
      <c r="B1060" s="265">
        <v>46000</v>
      </c>
      <c r="C1060" s="264" t="s">
        <v>2101</v>
      </c>
      <c r="D1060" s="264" t="s">
        <v>3079</v>
      </c>
      <c r="E1060" s="264" t="s">
        <v>3082</v>
      </c>
      <c r="F1060" s="264" t="s">
        <v>2041</v>
      </c>
      <c r="G1060" s="264" t="s">
        <v>26</v>
      </c>
      <c r="H1060" s="266">
        <v>1818.6</v>
      </c>
      <c r="I1060" s="266">
        <v>0</v>
      </c>
      <c r="J1060" s="264" t="s">
        <v>1174</v>
      </c>
      <c r="K1060" s="264" t="s">
        <v>2025</v>
      </c>
      <c r="L1060" s="1" t="e">
        <f>VLOOKUP(Advices[[#This Row],[LC Number]],'Combine_List'!A:D,2,0)</f>
        <v>#N/A</v>
      </c>
      <c r="M1060" s="447" t="e">
        <f>VLOOKUP(Advices[[#This Row],[LC Number]],'Combine_List'!A:D,3,0)</f>
        <v>#N/A</v>
      </c>
      <c r="N1060" s="447" t="e">
        <f>VLOOKUP(Advices[[#This Row],[LC Number]],'Combine_List'!A:D,4,0)</f>
        <v>#N/A</v>
      </c>
      <c r="O1060" s="447" t="e">
        <f>VLOOKUP(Advices[[#This Row],[LC Number]],'Combine_List'!A:E,5,0)</f>
        <v>#N/A</v>
      </c>
      <c r="P1060" s="447">
        <f>MONTH(Advices[[#This Row],[Transaction Date]])</f>
        <v>12</v>
      </c>
      <c r="Q1060" s="447">
        <f>YEAR(Advices[[#This Row],[Transaction Date]])</f>
        <v>2025</v>
      </c>
      <c r="R1060" s="1"/>
    </row>
    <row r="1061" spans="1:18" hidden="1" x14ac:dyDescent="0.25">
      <c r="A1061" s="264" t="s">
        <v>612</v>
      </c>
      <c r="B1061" s="265">
        <v>46000</v>
      </c>
      <c r="C1061" s="264" t="s">
        <v>2101</v>
      </c>
      <c r="D1061" s="264" t="s">
        <v>3080</v>
      </c>
      <c r="E1061" s="264" t="s">
        <v>3082</v>
      </c>
      <c r="F1061" s="264" t="s">
        <v>2041</v>
      </c>
      <c r="G1061" s="264" t="s">
        <v>26</v>
      </c>
      <c r="H1061" s="266">
        <v>26973.97</v>
      </c>
      <c r="I1061" s="266">
        <v>0</v>
      </c>
      <c r="J1061" s="264" t="s">
        <v>2793</v>
      </c>
      <c r="K1061" s="264" t="s">
        <v>2025</v>
      </c>
      <c r="L1061" s="1" t="e">
        <f>VLOOKUP(Advices[[#This Row],[LC Number]],'Combine_List'!A:D,2,0)</f>
        <v>#N/A</v>
      </c>
      <c r="M1061" s="447" t="e">
        <f>VLOOKUP(Advices[[#This Row],[LC Number]],'Combine_List'!A:D,3,0)</f>
        <v>#N/A</v>
      </c>
      <c r="N1061" s="447" t="e">
        <f>VLOOKUP(Advices[[#This Row],[LC Number]],'Combine_List'!A:D,4,0)</f>
        <v>#N/A</v>
      </c>
      <c r="O1061" s="447" t="e">
        <f>VLOOKUP(Advices[[#This Row],[LC Number]],'Combine_List'!A:E,5,0)</f>
        <v>#N/A</v>
      </c>
      <c r="P1061" s="447">
        <f>MONTH(Advices[[#This Row],[Transaction Date]])</f>
        <v>12</v>
      </c>
      <c r="Q1061" s="447">
        <f>YEAR(Advices[[#This Row],[Transaction Date]])</f>
        <v>2025</v>
      </c>
      <c r="R1061" s="1"/>
    </row>
    <row r="1062" spans="1:18" hidden="1" x14ac:dyDescent="0.25">
      <c r="A1062" s="264" t="s">
        <v>612</v>
      </c>
      <c r="B1062" s="265">
        <v>46000</v>
      </c>
      <c r="C1062" s="264" t="s">
        <v>2101</v>
      </c>
      <c r="D1062" s="264" t="s">
        <v>3081</v>
      </c>
      <c r="E1062" s="264" t="s">
        <v>3082</v>
      </c>
      <c r="F1062" s="264" t="s">
        <v>2041</v>
      </c>
      <c r="G1062" s="264" t="s">
        <v>26</v>
      </c>
      <c r="H1062" s="266">
        <v>4046.1</v>
      </c>
      <c r="I1062" s="266">
        <v>0</v>
      </c>
      <c r="J1062" s="264" t="s">
        <v>1174</v>
      </c>
      <c r="K1062" s="264" t="s">
        <v>2025</v>
      </c>
      <c r="L1062" s="1" t="e">
        <f>VLOOKUP(Advices[[#This Row],[LC Number]],'Combine_List'!A:D,2,0)</f>
        <v>#N/A</v>
      </c>
      <c r="M1062" s="447" t="e">
        <f>VLOOKUP(Advices[[#This Row],[LC Number]],'Combine_List'!A:D,3,0)</f>
        <v>#N/A</v>
      </c>
      <c r="N1062" s="447" t="e">
        <f>VLOOKUP(Advices[[#This Row],[LC Number]],'Combine_List'!A:D,4,0)</f>
        <v>#N/A</v>
      </c>
      <c r="O1062" s="447" t="e">
        <f>VLOOKUP(Advices[[#This Row],[LC Number]],'Combine_List'!A:E,5,0)</f>
        <v>#N/A</v>
      </c>
      <c r="P1062" s="447">
        <f>MONTH(Advices[[#This Row],[Transaction Date]])</f>
        <v>12</v>
      </c>
      <c r="Q1062" s="447">
        <f>YEAR(Advices[[#This Row],[Transaction Date]])</f>
        <v>2025</v>
      </c>
      <c r="R1062" s="1"/>
    </row>
    <row r="1063" spans="1:18" x14ac:dyDescent="0.25">
      <c r="A1063" s="264" t="s">
        <v>21</v>
      </c>
      <c r="B1063" s="265">
        <v>46002</v>
      </c>
      <c r="C1063" s="264" t="s">
        <v>1951</v>
      </c>
      <c r="D1063" s="264" t="s">
        <v>1960</v>
      </c>
      <c r="E1063" s="264" t="s">
        <v>1654</v>
      </c>
      <c r="F1063" s="264" t="s">
        <v>1958</v>
      </c>
      <c r="G1063" s="264" t="s">
        <v>26</v>
      </c>
      <c r="H1063" s="266">
        <v>-11.25</v>
      </c>
      <c r="I1063" s="13">
        <v>0</v>
      </c>
      <c r="J1063" s="264" t="s">
        <v>1174</v>
      </c>
      <c r="K1063" s="264" t="s">
        <v>2025</v>
      </c>
      <c r="L1063" s="1" t="str">
        <f>VLOOKUP(Advices[[#This Row],[LC Number]],'Combine_List'!A:D,2,0)</f>
        <v>ATLANTIC SUPPLIES FOR TRADING</v>
      </c>
      <c r="M1063" s="447" t="str">
        <f>VLOOKUP(Advices[[#This Row],[LC Number]],'Combine_List'!A:D,3,0)</f>
        <v>FIRST FIX</v>
      </c>
      <c r="N1063" s="447" t="str">
        <f>VLOOKUP(Advices[[#This Row],[LC Number]],'Combine_List'!A:D,4,0)</f>
        <v>KSP</v>
      </c>
      <c r="O1063" s="447">
        <f>VLOOKUP(Advices[[#This Row],[LC Number]],'Combine_List'!A:E,5,0)</f>
        <v>1020055</v>
      </c>
      <c r="P1063" s="447">
        <f>MONTH(Advices[[#This Row],[Transaction Date]])</f>
        <v>12</v>
      </c>
      <c r="Q1063" s="447">
        <f>YEAR(Advices[[#This Row],[Transaction Date]])</f>
        <v>2025</v>
      </c>
      <c r="R1063" s="1"/>
    </row>
    <row r="1064" spans="1:18" x14ac:dyDescent="0.25">
      <c r="A1064" s="264" t="s">
        <v>21</v>
      </c>
      <c r="B1064" s="265">
        <v>46002</v>
      </c>
      <c r="C1064" s="264" t="s">
        <v>1951</v>
      </c>
      <c r="D1064" s="264" t="s">
        <v>3085</v>
      </c>
      <c r="E1064" s="264" t="s">
        <v>1654</v>
      </c>
      <c r="F1064" s="264" t="s">
        <v>1958</v>
      </c>
      <c r="G1064" s="264" t="s">
        <v>26</v>
      </c>
      <c r="H1064" s="266">
        <v>-75</v>
      </c>
      <c r="I1064" s="13">
        <v>0</v>
      </c>
      <c r="J1064" s="264" t="s">
        <v>1963</v>
      </c>
      <c r="K1064" s="264" t="s">
        <v>2025</v>
      </c>
      <c r="L1064" s="1" t="str">
        <f>VLOOKUP(Advices[[#This Row],[LC Number]],'Combine_List'!A:D,2,0)</f>
        <v>ATLANTIC SUPPLIES FOR TRADING</v>
      </c>
      <c r="M1064" s="447" t="str">
        <f>VLOOKUP(Advices[[#This Row],[LC Number]],'Combine_List'!A:D,3,0)</f>
        <v>FIRST FIX</v>
      </c>
      <c r="N1064" s="447" t="str">
        <f>VLOOKUP(Advices[[#This Row],[LC Number]],'Combine_List'!A:D,4,0)</f>
        <v>KSP</v>
      </c>
      <c r="O1064" s="447">
        <f>VLOOKUP(Advices[[#This Row],[LC Number]],'Combine_List'!A:E,5,0)</f>
        <v>1020055</v>
      </c>
      <c r="P1064" s="447">
        <f>MONTH(Advices[[#This Row],[Transaction Date]])</f>
        <v>12</v>
      </c>
      <c r="Q1064" s="447">
        <f>YEAR(Advices[[#This Row],[Transaction Date]])</f>
        <v>2025</v>
      </c>
      <c r="R1064" s="1"/>
    </row>
    <row r="1065" spans="1:18" x14ac:dyDescent="0.25">
      <c r="A1065" s="264" t="s">
        <v>21</v>
      </c>
      <c r="B1065" s="265">
        <v>46002</v>
      </c>
      <c r="C1065" s="264" t="s">
        <v>1951</v>
      </c>
      <c r="D1065" s="264" t="s">
        <v>3086</v>
      </c>
      <c r="E1065" s="264" t="s">
        <v>1654</v>
      </c>
      <c r="F1065" s="264" t="s">
        <v>1958</v>
      </c>
      <c r="G1065" s="264" t="s">
        <v>26</v>
      </c>
      <c r="H1065" s="266">
        <v>-311571.08</v>
      </c>
      <c r="I1065" s="13">
        <v>0</v>
      </c>
      <c r="J1065" s="264" t="s">
        <v>1126</v>
      </c>
      <c r="K1065" s="264" t="s">
        <v>2025</v>
      </c>
      <c r="L1065" s="1" t="str">
        <f>VLOOKUP(Advices[[#This Row],[LC Number]],'Combine_List'!A:D,2,0)</f>
        <v>ATLANTIC SUPPLIES FOR TRADING</v>
      </c>
      <c r="M1065" s="447" t="str">
        <f>VLOOKUP(Advices[[#This Row],[LC Number]],'Combine_List'!A:D,3,0)</f>
        <v>FIRST FIX</v>
      </c>
      <c r="N1065" s="447" t="str">
        <f>VLOOKUP(Advices[[#This Row],[LC Number]],'Combine_List'!A:D,4,0)</f>
        <v>KSP</v>
      </c>
      <c r="O1065" s="447">
        <f>VLOOKUP(Advices[[#This Row],[LC Number]],'Combine_List'!A:E,5,0)</f>
        <v>1020055</v>
      </c>
      <c r="P1065" s="447">
        <f>MONTH(Advices[[#This Row],[Transaction Date]])</f>
        <v>12</v>
      </c>
      <c r="Q1065" s="447">
        <f>YEAR(Advices[[#This Row],[Transaction Date]])</f>
        <v>2025</v>
      </c>
      <c r="R1065" s="1"/>
    </row>
    <row r="1066" spans="1:18" x14ac:dyDescent="0.25">
      <c r="A1066" s="264" t="s">
        <v>21</v>
      </c>
      <c r="B1066" s="265">
        <v>46002</v>
      </c>
      <c r="C1066" s="264" t="s">
        <v>1951</v>
      </c>
      <c r="D1066" s="264" t="s">
        <v>1960</v>
      </c>
      <c r="E1066" s="264" t="s">
        <v>1896</v>
      </c>
      <c r="F1066" s="264" t="s">
        <v>2989</v>
      </c>
      <c r="G1066" s="264" t="s">
        <v>26</v>
      </c>
      <c r="H1066" s="266">
        <v>-11.25</v>
      </c>
      <c r="I1066" s="13">
        <v>0</v>
      </c>
      <c r="J1066" s="264" t="s">
        <v>1174</v>
      </c>
      <c r="K1066" s="264" t="s">
        <v>2025</v>
      </c>
      <c r="L1066" s="1" t="str">
        <f>VLOOKUP(Advices[[#This Row],[LC Number]],'Combine_List'!A:D,2,0)</f>
        <v>Saudi Perfect Pumps Trading &amp; Manufacturing Company</v>
      </c>
      <c r="M1066" s="447" t="str">
        <f>VLOOKUP(Advices[[#This Row],[LC Number]],'Combine_List'!A:D,3,0)</f>
        <v>MBL</v>
      </c>
      <c r="N1066" s="447" t="str">
        <f>VLOOKUP(Advices[[#This Row],[LC Number]],'Combine_List'!A:D,4,0)</f>
        <v>Rabigh Power Plant</v>
      </c>
      <c r="O1066" s="447">
        <f>VLOOKUP(Advices[[#This Row],[LC Number]],'Combine_List'!A:E,5,0)</f>
        <v>1020107</v>
      </c>
      <c r="P1066" s="447">
        <f>MONTH(Advices[[#This Row],[Transaction Date]])</f>
        <v>12</v>
      </c>
      <c r="Q1066" s="447">
        <f>YEAR(Advices[[#This Row],[Transaction Date]])</f>
        <v>2025</v>
      </c>
      <c r="R1066" s="1"/>
    </row>
    <row r="1067" spans="1:18" x14ac:dyDescent="0.25">
      <c r="A1067" s="264" t="s">
        <v>21</v>
      </c>
      <c r="B1067" s="265">
        <v>46002</v>
      </c>
      <c r="C1067" s="264" t="s">
        <v>1951</v>
      </c>
      <c r="D1067" s="264" t="s">
        <v>3087</v>
      </c>
      <c r="E1067" s="264" t="s">
        <v>1896</v>
      </c>
      <c r="F1067" s="264" t="s">
        <v>2989</v>
      </c>
      <c r="G1067" s="264" t="s">
        <v>26</v>
      </c>
      <c r="H1067" s="266">
        <v>-75</v>
      </c>
      <c r="I1067" s="13">
        <v>0</v>
      </c>
      <c r="J1067" s="264" t="s">
        <v>1963</v>
      </c>
      <c r="K1067" s="264" t="s">
        <v>2025</v>
      </c>
      <c r="L1067" s="1" t="str">
        <f>VLOOKUP(Advices[[#This Row],[LC Number]],'Combine_List'!A:D,2,0)</f>
        <v>Saudi Perfect Pumps Trading &amp; Manufacturing Company</v>
      </c>
      <c r="M1067" s="447" t="str">
        <f>VLOOKUP(Advices[[#This Row],[LC Number]],'Combine_List'!A:D,3,0)</f>
        <v>MBL</v>
      </c>
      <c r="N1067" s="447" t="str">
        <f>VLOOKUP(Advices[[#This Row],[LC Number]],'Combine_List'!A:D,4,0)</f>
        <v>Rabigh Power Plant</v>
      </c>
      <c r="O1067" s="447">
        <f>VLOOKUP(Advices[[#This Row],[LC Number]],'Combine_List'!A:E,5,0)</f>
        <v>1020107</v>
      </c>
      <c r="P1067" s="447">
        <f>MONTH(Advices[[#This Row],[Transaction Date]])</f>
        <v>12</v>
      </c>
      <c r="Q1067" s="447">
        <f>YEAR(Advices[[#This Row],[Transaction Date]])</f>
        <v>2025</v>
      </c>
      <c r="R1067" s="1"/>
    </row>
    <row r="1068" spans="1:18" x14ac:dyDescent="0.25">
      <c r="A1068" s="264" t="s">
        <v>21</v>
      </c>
      <c r="B1068" s="265">
        <v>46002</v>
      </c>
      <c r="C1068" s="264" t="s">
        <v>1951</v>
      </c>
      <c r="D1068" s="264" t="s">
        <v>3088</v>
      </c>
      <c r="E1068" s="264" t="s">
        <v>1896</v>
      </c>
      <c r="F1068" s="264" t="s">
        <v>2989</v>
      </c>
      <c r="G1068" s="264" t="s">
        <v>26</v>
      </c>
      <c r="H1068" s="266">
        <v>-530502</v>
      </c>
      <c r="I1068" s="13">
        <v>0</v>
      </c>
      <c r="J1068" s="264" t="s">
        <v>1126</v>
      </c>
      <c r="K1068" s="264" t="s">
        <v>2025</v>
      </c>
      <c r="L1068" s="1" t="str">
        <f>VLOOKUP(Advices[[#This Row],[LC Number]],'Combine_List'!A:D,2,0)</f>
        <v>Saudi Perfect Pumps Trading &amp; Manufacturing Company</v>
      </c>
      <c r="M1068" s="447" t="str">
        <f>VLOOKUP(Advices[[#This Row],[LC Number]],'Combine_List'!A:D,3,0)</f>
        <v>MBL</v>
      </c>
      <c r="N1068" s="447" t="str">
        <f>VLOOKUP(Advices[[#This Row],[LC Number]],'Combine_List'!A:D,4,0)</f>
        <v>Rabigh Power Plant</v>
      </c>
      <c r="O1068" s="447">
        <f>VLOOKUP(Advices[[#This Row],[LC Number]],'Combine_List'!A:E,5,0)</f>
        <v>1020107</v>
      </c>
      <c r="P1068" s="447">
        <f>MONTH(Advices[[#This Row],[Transaction Date]])</f>
        <v>12</v>
      </c>
      <c r="Q1068" s="447">
        <f>YEAR(Advices[[#This Row],[Transaction Date]])</f>
        <v>2025</v>
      </c>
      <c r="R1068" s="1"/>
    </row>
    <row r="1069" spans="1:18" hidden="1" x14ac:dyDescent="0.25">
      <c r="A1069" s="264" t="s">
        <v>62</v>
      </c>
      <c r="B1069" s="265">
        <v>46001</v>
      </c>
      <c r="C1069" s="264" t="s">
        <v>2039</v>
      </c>
      <c r="D1069" s="264" t="s">
        <v>3006</v>
      </c>
      <c r="E1069" s="264" t="s">
        <v>1834</v>
      </c>
      <c r="F1069" s="264" t="s">
        <v>2041</v>
      </c>
      <c r="G1069" s="264" t="s">
        <v>26</v>
      </c>
      <c r="H1069" s="266">
        <v>64985.08</v>
      </c>
      <c r="I1069" s="266">
        <v>0</v>
      </c>
      <c r="J1069" s="264"/>
      <c r="K1069" s="264" t="s">
        <v>2025</v>
      </c>
      <c r="L1069" s="1" t="str">
        <f>VLOOKUP(Advices[[#This Row],[LC Number]],'Combine_List'!A:D,2,0)</f>
        <v>Jiangsu Donchamp New Materials Technology Co.Ltd.</v>
      </c>
      <c r="M1069" s="447" t="str">
        <f>VLOOKUP(Advices[[#This Row],[LC Number]],'Combine_List'!A:D,3,0)</f>
        <v>MBL</v>
      </c>
      <c r="N1069" s="447" t="str">
        <f>VLOOKUP(Advices[[#This Row],[LC Number]],'Combine_List'!A:D,4,0)</f>
        <v>Oceanarium</v>
      </c>
      <c r="O1069" s="447">
        <f>VLOOKUP(Advices[[#This Row],[LC Number]],'Combine_List'!A:E,5,0)</f>
        <v>1020096</v>
      </c>
      <c r="P1069" s="447">
        <f>MONTH(Advices[[#This Row],[Transaction Date]])</f>
        <v>12</v>
      </c>
      <c r="Q1069" s="447">
        <f>YEAR(Advices[[#This Row],[Transaction Date]])</f>
        <v>2025</v>
      </c>
      <c r="R1069" s="1"/>
    </row>
    <row r="1070" spans="1:18" hidden="1" x14ac:dyDescent="0.25">
      <c r="A1070" s="264" t="s">
        <v>62</v>
      </c>
      <c r="B1070" s="265">
        <v>46001</v>
      </c>
      <c r="C1070" s="264" t="s">
        <v>2039</v>
      </c>
      <c r="D1070" s="264" t="s">
        <v>3007</v>
      </c>
      <c r="E1070" s="264" t="s">
        <v>1859</v>
      </c>
      <c r="F1070" s="264" t="s">
        <v>2041</v>
      </c>
      <c r="G1070" s="264" t="s">
        <v>26</v>
      </c>
      <c r="H1070" s="266">
        <v>5750</v>
      </c>
      <c r="I1070" s="266">
        <v>0</v>
      </c>
      <c r="J1070" s="264"/>
      <c r="K1070" s="264" t="s">
        <v>2025</v>
      </c>
      <c r="L1070" s="1" t="str">
        <f>VLOOKUP(Advices[[#This Row],[LC Number]],'Combine_List'!A:D,2,0)</f>
        <v>Safid Co. Ltd.</v>
      </c>
      <c r="M1070" s="447" t="str">
        <f>VLOOKUP(Advices[[#This Row],[LC Number]],'Combine_List'!A:D,3,0)</f>
        <v>FIRST FIX</v>
      </c>
      <c r="N1070" s="447" t="str">
        <f>VLOOKUP(Advices[[#This Row],[LC Number]],'Combine_List'!A:D,4,0)</f>
        <v>Oceanarium</v>
      </c>
      <c r="O1070" s="447">
        <f>VLOOKUP(Advices[[#This Row],[LC Number]],'Combine_List'!A:E,5,0)</f>
        <v>1020096</v>
      </c>
      <c r="P1070" s="447">
        <f>MONTH(Advices[[#This Row],[Transaction Date]])</f>
        <v>12</v>
      </c>
      <c r="Q1070" s="447">
        <f>YEAR(Advices[[#This Row],[Transaction Date]])</f>
        <v>2025</v>
      </c>
      <c r="R1070" s="1"/>
    </row>
    <row r="1071" spans="1:18" hidden="1" x14ac:dyDescent="0.25">
      <c r="A1071" s="264" t="s">
        <v>62</v>
      </c>
      <c r="B1071" s="265">
        <v>46001</v>
      </c>
      <c r="C1071" s="264" t="s">
        <v>2039</v>
      </c>
      <c r="D1071" s="264" t="s">
        <v>3008</v>
      </c>
      <c r="E1071" s="264" t="s">
        <v>1860</v>
      </c>
      <c r="F1071" s="264" t="s">
        <v>2041</v>
      </c>
      <c r="G1071" s="264" t="s">
        <v>26</v>
      </c>
      <c r="H1071" s="266">
        <v>2587.5</v>
      </c>
      <c r="I1071" s="266">
        <v>0</v>
      </c>
      <c r="J1071" s="264"/>
      <c r="K1071" s="264" t="s">
        <v>2025</v>
      </c>
      <c r="L1071" s="1" t="str">
        <f>VLOOKUP(Advices[[#This Row],[LC Number]],'Combine_List'!A:D,2,0)</f>
        <v>lmdadat Al Jazera Al Arabia Trading Co.</v>
      </c>
      <c r="M1071" s="447" t="str">
        <f>VLOOKUP(Advices[[#This Row],[LC Number]],'Combine_List'!A:D,3,0)</f>
        <v>FIRST FIX</v>
      </c>
      <c r="N1071" s="447" t="str">
        <f>VLOOKUP(Advices[[#This Row],[LC Number]],'Combine_List'!A:D,4,0)</f>
        <v>Oceanarium</v>
      </c>
      <c r="O1071" s="447">
        <f>VLOOKUP(Advices[[#This Row],[LC Number]],'Combine_List'!A:E,5,0)</f>
        <v>1020096</v>
      </c>
      <c r="P1071" s="447">
        <f>MONTH(Advices[[#This Row],[Transaction Date]])</f>
        <v>12</v>
      </c>
      <c r="Q1071" s="447">
        <f>YEAR(Advices[[#This Row],[Transaction Date]])</f>
        <v>2025</v>
      </c>
      <c r="R1071" s="1"/>
    </row>
    <row r="1072" spans="1:18" hidden="1" x14ac:dyDescent="0.25">
      <c r="A1072" s="264" t="s">
        <v>62</v>
      </c>
      <c r="B1072" s="265">
        <v>46001</v>
      </c>
      <c r="C1072" s="264" t="s">
        <v>2042</v>
      </c>
      <c r="D1072" s="264" t="s">
        <v>3009</v>
      </c>
      <c r="E1072" s="1" t="s">
        <v>1934</v>
      </c>
      <c r="F1072" s="264" t="s">
        <v>2041</v>
      </c>
      <c r="G1072" s="264" t="s">
        <v>26</v>
      </c>
      <c r="H1072" s="266">
        <v>94588.42</v>
      </c>
      <c r="I1072" s="266">
        <v>0</v>
      </c>
      <c r="J1072" s="264"/>
      <c r="K1072" s="264" t="s">
        <v>2025</v>
      </c>
      <c r="L1072" s="1" t="str">
        <f>VLOOKUP(Advices[[#This Row],[LC Number]],'Combine_List'!A:D,2,0)</f>
        <v>Mat Filtrasyon Teknolojeleri A.S</v>
      </c>
      <c r="M1072" s="447" t="str">
        <f>VLOOKUP(Advices[[#This Row],[LC Number]],'Combine_List'!A:D,3,0)</f>
        <v>MBL</v>
      </c>
      <c r="N1072" s="447" t="str">
        <f>VLOOKUP(Advices[[#This Row],[LC Number]],'Combine_List'!A:D,4,0)</f>
        <v>Oceanarium</v>
      </c>
      <c r="O1072" s="447">
        <f>VLOOKUP(Advices[[#This Row],[LC Number]],'Combine_List'!A:E,5,0)</f>
        <v>1020096</v>
      </c>
      <c r="P1072" s="447">
        <f>MONTH(Advices[[#This Row],[Transaction Date]])</f>
        <v>12</v>
      </c>
      <c r="Q1072" s="447">
        <f>YEAR(Advices[[#This Row],[Transaction Date]])</f>
        <v>2025</v>
      </c>
      <c r="R1072" s="1"/>
    </row>
    <row r="1073" spans="1:18" hidden="1" x14ac:dyDescent="0.25">
      <c r="A1073" s="264" t="s">
        <v>366</v>
      </c>
      <c r="B1073" s="265">
        <v>46001</v>
      </c>
      <c r="C1073" s="264" t="s">
        <v>2057</v>
      </c>
      <c r="D1073" s="264" t="s">
        <v>3044</v>
      </c>
      <c r="E1073" s="264" t="s">
        <v>2929</v>
      </c>
      <c r="F1073" s="264" t="s">
        <v>2929</v>
      </c>
      <c r="G1073" s="264" t="s">
        <v>26</v>
      </c>
      <c r="H1073" s="266">
        <v>-537485.88</v>
      </c>
      <c r="I1073" s="13">
        <v>0</v>
      </c>
      <c r="J1073" s="264" t="s">
        <v>3103</v>
      </c>
      <c r="K1073" s="264" t="s">
        <v>2025</v>
      </c>
      <c r="L1073" s="1" t="str">
        <f>VLOOKUP(Advices[[#This Row],[LC Number]],'Combine_List'!A:D,2,0)</f>
        <v>Performance - CEER NATIONAL AUTOMOTIVE COMPANY</v>
      </c>
      <c r="M1073" s="447">
        <f>VLOOKUP(Advices[[#This Row],[LC Number]],'Combine_List'!A:D,3,0)</f>
        <v>0</v>
      </c>
      <c r="N1073" s="447">
        <f>VLOOKUP(Advices[[#This Row],[LC Number]],'Combine_List'!A:D,4,0)</f>
        <v>0</v>
      </c>
      <c r="O1073" s="447" t="str">
        <f>VLOOKUP(Advices[[#This Row],[LC Number]],'Combine_List'!A:E,5,0)</f>
        <v>1020091</v>
      </c>
      <c r="P1073" s="447">
        <f>MONTH(Advices[[#This Row],[Transaction Date]])</f>
        <v>12</v>
      </c>
      <c r="Q1073" s="447">
        <f>YEAR(Advices[[#This Row],[Transaction Date]])</f>
        <v>2025</v>
      </c>
      <c r="R1073" s="1"/>
    </row>
    <row r="1074" spans="1:18" hidden="1" x14ac:dyDescent="0.25">
      <c r="A1074" s="264" t="s">
        <v>366</v>
      </c>
      <c r="B1074" s="265">
        <v>46001</v>
      </c>
      <c r="C1074" s="264" t="s">
        <v>2057</v>
      </c>
      <c r="D1074" s="264" t="s">
        <v>3045</v>
      </c>
      <c r="E1074" s="264" t="s">
        <v>1530</v>
      </c>
      <c r="F1074" s="1" t="s">
        <v>3409</v>
      </c>
      <c r="G1074" s="264" t="s">
        <v>26</v>
      </c>
      <c r="H1074" s="266">
        <v>-570425.12</v>
      </c>
      <c r="I1074" s="13">
        <v>0</v>
      </c>
      <c r="J1074" s="264" t="s">
        <v>1126</v>
      </c>
      <c r="K1074" s="264" t="s">
        <v>2025</v>
      </c>
      <c r="L1074" s="1" t="str">
        <f>VLOOKUP(Advices[[#This Row],[LC Number]],'Combine_List'!A:D,2,0)</f>
        <v>Aluminium Products company (ALUPCO)</v>
      </c>
      <c r="M1074" s="447" t="str">
        <f>VLOOKUP(Advices[[#This Row],[LC Number]],'Combine_List'!A:D,3,0)</f>
        <v>MBL/Premium</v>
      </c>
      <c r="N1074" s="447" t="str">
        <f>VLOOKUP(Advices[[#This Row],[LC Number]],'Combine_List'!A:D,4,0)</f>
        <v>CEER</v>
      </c>
      <c r="O1074" s="447">
        <f>VLOOKUP(Advices[[#This Row],[LC Number]],'Combine_List'!A:E,5,0)</f>
        <v>1020091</v>
      </c>
      <c r="P1074" s="447">
        <f>MONTH(Advices[[#This Row],[Transaction Date]])</f>
        <v>12</v>
      </c>
      <c r="Q1074" s="447">
        <f>YEAR(Advices[[#This Row],[Transaction Date]])</f>
        <v>2025</v>
      </c>
      <c r="R1074" s="1"/>
    </row>
    <row r="1075" spans="1:18" hidden="1" x14ac:dyDescent="0.25">
      <c r="A1075" s="264" t="s">
        <v>366</v>
      </c>
      <c r="B1075" s="265">
        <v>46001</v>
      </c>
      <c r="C1075" s="264" t="s">
        <v>2057</v>
      </c>
      <c r="D1075" s="264" t="s">
        <v>3046</v>
      </c>
      <c r="E1075" s="264" t="s">
        <v>2929</v>
      </c>
      <c r="F1075" s="1" t="s">
        <v>3527</v>
      </c>
      <c r="G1075" s="264" t="s">
        <v>26</v>
      </c>
      <c r="H1075" s="266">
        <v>-537485.88</v>
      </c>
      <c r="I1075" s="13">
        <v>0</v>
      </c>
      <c r="J1075" s="264" t="s">
        <v>3103</v>
      </c>
      <c r="K1075" s="264" t="s">
        <v>2025</v>
      </c>
      <c r="L1075" s="1" t="str">
        <f>VLOOKUP(Advices[[#This Row],[LC Number]],'Combine_List'!A:D,2,0)</f>
        <v>Performance - CEER NATIONAL AUTOMOTIVE COMPANY</v>
      </c>
      <c r="M1075" s="447">
        <f>VLOOKUP(Advices[[#This Row],[LC Number]],'Combine_List'!A:D,3,0)</f>
        <v>0</v>
      </c>
      <c r="N1075" s="447">
        <f>VLOOKUP(Advices[[#This Row],[LC Number]],'Combine_List'!A:D,4,0)</f>
        <v>0</v>
      </c>
      <c r="O1075" s="447" t="str">
        <f>VLOOKUP(Advices[[#This Row],[LC Number]],'Combine_List'!A:E,5,0)</f>
        <v>1020091</v>
      </c>
      <c r="P1075" s="447">
        <f>MONTH(Advices[[#This Row],[Transaction Date]])</f>
        <v>12</v>
      </c>
      <c r="Q1075" s="447">
        <f>YEAR(Advices[[#This Row],[Transaction Date]])</f>
        <v>2025</v>
      </c>
      <c r="R1075" s="1"/>
    </row>
    <row r="1076" spans="1:18" hidden="1" x14ac:dyDescent="0.25">
      <c r="A1076" s="264" t="s">
        <v>366</v>
      </c>
      <c r="B1076" s="265">
        <v>46001</v>
      </c>
      <c r="C1076" s="264" t="s">
        <v>2060</v>
      </c>
      <c r="D1076" s="264" t="s">
        <v>3047</v>
      </c>
      <c r="E1076" s="264" t="s">
        <v>1607</v>
      </c>
      <c r="F1076" s="1" t="s">
        <v>3528</v>
      </c>
      <c r="G1076" s="264" t="s">
        <v>26</v>
      </c>
      <c r="H1076" s="266">
        <v>-160462</v>
      </c>
      <c r="I1076" s="13">
        <v>0</v>
      </c>
      <c r="J1076" s="264" t="s">
        <v>1126</v>
      </c>
      <c r="K1076" s="264" t="s">
        <v>2025</v>
      </c>
      <c r="L1076" s="1" t="str">
        <f>VLOOKUP(Advices[[#This Row],[LC Number]],'Combine_List'!A:D,2,0)</f>
        <v>MASDAR TECHNICAL SUPPLIES CO</v>
      </c>
      <c r="M1076" s="447" t="str">
        <f>VLOOKUP(Advices[[#This Row],[LC Number]],'Combine_List'!A:D,3,0)</f>
        <v>FIRST FIX</v>
      </c>
      <c r="N1076" s="447" t="str">
        <f>VLOOKUP(Advices[[#This Row],[LC Number]],'Combine_List'!A:D,4,0)</f>
        <v>MP1</v>
      </c>
      <c r="O1076" s="447">
        <f>VLOOKUP(Advices[[#This Row],[LC Number]],'Combine_List'!A:E,5,0)</f>
        <v>1020088</v>
      </c>
      <c r="P1076" s="447">
        <f>MONTH(Advices[[#This Row],[Transaction Date]])</f>
        <v>12</v>
      </c>
      <c r="Q1076" s="447">
        <f>YEAR(Advices[[#This Row],[Transaction Date]])</f>
        <v>2025</v>
      </c>
      <c r="R1076" s="1"/>
    </row>
    <row r="1077" spans="1:18" hidden="1" x14ac:dyDescent="0.25">
      <c r="A1077" s="264" t="s">
        <v>366</v>
      </c>
      <c r="B1077" s="265">
        <v>46002</v>
      </c>
      <c r="C1077" s="264" t="s">
        <v>2057</v>
      </c>
      <c r="D1077" s="264" t="s">
        <v>3044</v>
      </c>
      <c r="E1077" s="264" t="s">
        <v>2929</v>
      </c>
      <c r="F1077" s="264" t="s">
        <v>2929</v>
      </c>
      <c r="G1077" s="264" t="s">
        <v>26</v>
      </c>
      <c r="H1077" s="266">
        <v>-209144.43</v>
      </c>
      <c r="I1077" s="13">
        <v>0</v>
      </c>
      <c r="J1077" s="264" t="s">
        <v>3103</v>
      </c>
      <c r="K1077" s="264" t="s">
        <v>2025</v>
      </c>
      <c r="L1077" s="1" t="str">
        <f>VLOOKUP(Advices[[#This Row],[LC Number]],'Combine_List'!A:D,2,0)</f>
        <v>Performance - CEER NATIONAL AUTOMOTIVE COMPANY</v>
      </c>
      <c r="M1077" s="447">
        <f>VLOOKUP(Advices[[#This Row],[LC Number]],'Combine_List'!A:D,3,0)</f>
        <v>0</v>
      </c>
      <c r="N1077" s="447">
        <f>VLOOKUP(Advices[[#This Row],[LC Number]],'Combine_List'!A:D,4,0)</f>
        <v>0</v>
      </c>
      <c r="O1077" s="447" t="str">
        <f>VLOOKUP(Advices[[#This Row],[LC Number]],'Combine_List'!A:E,5,0)</f>
        <v>1020091</v>
      </c>
      <c r="P1077" s="447">
        <f>MONTH(Advices[[#This Row],[Transaction Date]])</f>
        <v>12</v>
      </c>
      <c r="Q1077" s="447">
        <f>YEAR(Advices[[#This Row],[Transaction Date]])</f>
        <v>2025</v>
      </c>
      <c r="R1077" s="1"/>
    </row>
    <row r="1078" spans="1:18" hidden="1" x14ac:dyDescent="0.25">
      <c r="A1078" s="264" t="s">
        <v>612</v>
      </c>
      <c r="B1078" s="265">
        <v>46002</v>
      </c>
      <c r="C1078" s="264" t="s">
        <v>2101</v>
      </c>
      <c r="D1078" s="264" t="s">
        <v>3089</v>
      </c>
      <c r="E1078" s="264" t="s">
        <v>1569</v>
      </c>
      <c r="F1078" s="264" t="s">
        <v>2041</v>
      </c>
      <c r="G1078" s="264" t="s">
        <v>26</v>
      </c>
      <c r="H1078" s="266">
        <v>368005.11</v>
      </c>
      <c r="I1078" s="266">
        <v>0</v>
      </c>
      <c r="J1078" s="264" t="s">
        <v>1126</v>
      </c>
      <c r="K1078" s="264" t="s">
        <v>2025</v>
      </c>
      <c r="L1078" s="1" t="str">
        <f>VLOOKUP(Advices[[#This Row],[LC Number]],'Combine_List'!A:D,2,0)</f>
        <v>ALFANAR ELECTRICAL SYSTEMS</v>
      </c>
      <c r="M1078" s="447" t="str">
        <f>VLOOKUP(Advices[[#This Row],[LC Number]],'Combine_List'!A:D,3,0)</f>
        <v>FIRST FIX</v>
      </c>
      <c r="N1078" s="447" t="str">
        <f>VLOOKUP(Advices[[#This Row],[LC Number]],'Combine_List'!A:D,4,0)</f>
        <v>RCRC</v>
      </c>
      <c r="O1078" s="447">
        <f>VLOOKUP(Advices[[#This Row],[LC Number]],'Combine_List'!A:E,5,0)</f>
        <v>1020106</v>
      </c>
      <c r="P1078" s="447">
        <f>MONTH(Advices[[#This Row],[Transaction Date]])</f>
        <v>12</v>
      </c>
      <c r="Q1078" s="447">
        <f>YEAR(Advices[[#This Row],[Transaction Date]])</f>
        <v>2025</v>
      </c>
      <c r="R1078" s="1"/>
    </row>
    <row r="1079" spans="1:18" hidden="1" x14ac:dyDescent="0.25">
      <c r="A1079" s="264" t="s">
        <v>612</v>
      </c>
      <c r="B1079" s="265">
        <v>46002</v>
      </c>
      <c r="C1079" s="264" t="s">
        <v>2101</v>
      </c>
      <c r="D1079" s="264" t="s">
        <v>3090</v>
      </c>
      <c r="E1079" s="264" t="s">
        <v>1814</v>
      </c>
      <c r="F1079" s="264" t="s">
        <v>2041</v>
      </c>
      <c r="G1079" s="264" t="s">
        <v>26</v>
      </c>
      <c r="H1079" s="266">
        <v>1000000</v>
      </c>
      <c r="I1079" s="266">
        <v>0</v>
      </c>
      <c r="J1079" s="264" t="s">
        <v>1126</v>
      </c>
      <c r="K1079" s="264" t="s">
        <v>2025</v>
      </c>
      <c r="L1079" s="1" t="str">
        <f>VLOOKUP(Advices[[#This Row],[LC Number]],'Combine_List'!A:D,2,0)</f>
        <v>ALFANAR ELECTRICAL SYSTEMS</v>
      </c>
      <c r="M1079" s="447" t="str">
        <f>VLOOKUP(Advices[[#This Row],[LC Number]],'Combine_List'!A:D,3,0)</f>
        <v>FIRST FIX</v>
      </c>
      <c r="N1079" s="447" t="str">
        <f>VLOOKUP(Advices[[#This Row],[LC Number]],'Combine_List'!A:D,4,0)</f>
        <v>RCRC</v>
      </c>
      <c r="O1079" s="447">
        <f>VLOOKUP(Advices[[#This Row],[LC Number]],'Combine_List'!A:E,5,0)</f>
        <v>1020106</v>
      </c>
      <c r="P1079" s="447">
        <f>MONTH(Advices[[#This Row],[Transaction Date]])</f>
        <v>12</v>
      </c>
      <c r="Q1079" s="447">
        <f>YEAR(Advices[[#This Row],[Transaction Date]])</f>
        <v>2025</v>
      </c>
      <c r="R1079" s="1"/>
    </row>
    <row r="1080" spans="1:18" hidden="1" x14ac:dyDescent="0.25">
      <c r="A1080" s="264" t="s">
        <v>612</v>
      </c>
      <c r="B1080" s="265">
        <v>46002</v>
      </c>
      <c r="C1080" s="264" t="s">
        <v>2101</v>
      </c>
      <c r="D1080" s="264" t="s">
        <v>3091</v>
      </c>
      <c r="E1080" s="264" t="s">
        <v>1810</v>
      </c>
      <c r="F1080" s="1" t="s">
        <v>1810</v>
      </c>
      <c r="G1080" s="264" t="s">
        <v>26</v>
      </c>
      <c r="H1080" s="266">
        <v>100</v>
      </c>
      <c r="I1080" s="266">
        <v>0</v>
      </c>
      <c r="J1080" s="264" t="s">
        <v>1125</v>
      </c>
      <c r="K1080" s="264" t="s">
        <v>2025</v>
      </c>
      <c r="L1080" s="1" t="str">
        <f>VLOOKUP(Advices[[#This Row],[LC Number]],'Combine_List'!A:D,2,0)</f>
        <v>AL FALWA CO. LTD. FOR READYMIX CONCRETE</v>
      </c>
      <c r="M1080" s="447" t="str">
        <f>VLOOKUP(Advices[[#This Row],[LC Number]],'Combine_List'!A:D,3,0)</f>
        <v>MBL</v>
      </c>
      <c r="N1080" s="447" t="str">
        <f>VLOOKUP(Advices[[#This Row],[LC Number]],'Combine_List'!A:D,4,0)</f>
        <v>RCRC</v>
      </c>
      <c r="O1080" s="447">
        <f>VLOOKUP(Advices[[#This Row],[LC Number]],'Combine_List'!A:E,5,0)</f>
        <v>1020106</v>
      </c>
      <c r="P1080" s="447">
        <f>MONTH(Advices[[#This Row],[Transaction Date]])</f>
        <v>12</v>
      </c>
      <c r="Q1080" s="447">
        <f>YEAR(Advices[[#This Row],[Transaction Date]])</f>
        <v>2025</v>
      </c>
      <c r="R1080" s="1"/>
    </row>
    <row r="1081" spans="1:18" hidden="1" x14ac:dyDescent="0.25">
      <c r="A1081" s="264" t="s">
        <v>612</v>
      </c>
      <c r="B1081" s="265">
        <v>46002</v>
      </c>
      <c r="C1081" s="264" t="s">
        <v>2101</v>
      </c>
      <c r="D1081" s="264" t="s">
        <v>3092</v>
      </c>
      <c r="E1081" s="264" t="s">
        <v>1810</v>
      </c>
      <c r="F1081" s="1" t="s">
        <v>1810</v>
      </c>
      <c r="G1081" s="264" t="s">
        <v>26</v>
      </c>
      <c r="H1081" s="266">
        <v>15</v>
      </c>
      <c r="I1081" s="266">
        <v>0</v>
      </c>
      <c r="J1081" s="264" t="s">
        <v>1174</v>
      </c>
      <c r="K1081" s="264" t="s">
        <v>2025</v>
      </c>
      <c r="L1081" s="1" t="str">
        <f>VLOOKUP(Advices[[#This Row],[LC Number]],'Combine_List'!A:D,2,0)</f>
        <v>AL FALWA CO. LTD. FOR READYMIX CONCRETE</v>
      </c>
      <c r="M1081" s="447" t="str">
        <f>VLOOKUP(Advices[[#This Row],[LC Number]],'Combine_List'!A:D,3,0)</f>
        <v>MBL</v>
      </c>
      <c r="N1081" s="447" t="str">
        <f>VLOOKUP(Advices[[#This Row],[LC Number]],'Combine_List'!A:D,4,0)</f>
        <v>RCRC</v>
      </c>
      <c r="O1081" s="447">
        <f>VLOOKUP(Advices[[#This Row],[LC Number]],'Combine_List'!A:E,5,0)</f>
        <v>1020106</v>
      </c>
      <c r="P1081" s="447">
        <f>MONTH(Advices[[#This Row],[Transaction Date]])</f>
        <v>12</v>
      </c>
      <c r="Q1081" s="447">
        <f>YEAR(Advices[[#This Row],[Transaction Date]])</f>
        <v>2025</v>
      </c>
      <c r="R1081" s="1"/>
    </row>
    <row r="1082" spans="1:18" hidden="1" x14ac:dyDescent="0.25">
      <c r="A1082" s="264" t="s">
        <v>612</v>
      </c>
      <c r="B1082" s="265">
        <v>46002</v>
      </c>
      <c r="C1082" s="264" t="s">
        <v>2101</v>
      </c>
      <c r="D1082" s="264" t="s">
        <v>3093</v>
      </c>
      <c r="E1082" s="264" t="s">
        <v>1810</v>
      </c>
      <c r="F1082" s="1" t="s">
        <v>1810</v>
      </c>
      <c r="G1082" s="264" t="s">
        <v>26</v>
      </c>
      <c r="H1082" s="266">
        <v>250</v>
      </c>
      <c r="I1082" s="266">
        <v>0</v>
      </c>
      <c r="J1082" s="264" t="s">
        <v>1125</v>
      </c>
      <c r="K1082" s="264" t="s">
        <v>2025</v>
      </c>
      <c r="L1082" s="1" t="str">
        <f>VLOOKUP(Advices[[#This Row],[LC Number]],'Combine_List'!A:D,2,0)</f>
        <v>AL FALWA CO. LTD. FOR READYMIX CONCRETE</v>
      </c>
      <c r="M1082" s="447" t="str">
        <f>VLOOKUP(Advices[[#This Row],[LC Number]],'Combine_List'!A:D,3,0)</f>
        <v>MBL</v>
      </c>
      <c r="N1082" s="447" t="str">
        <f>VLOOKUP(Advices[[#This Row],[LC Number]],'Combine_List'!A:D,4,0)</f>
        <v>RCRC</v>
      </c>
      <c r="O1082" s="447">
        <f>VLOOKUP(Advices[[#This Row],[LC Number]],'Combine_List'!A:E,5,0)</f>
        <v>1020106</v>
      </c>
      <c r="P1082" s="447">
        <f>MONTH(Advices[[#This Row],[Transaction Date]])</f>
        <v>12</v>
      </c>
      <c r="Q1082" s="447">
        <f>YEAR(Advices[[#This Row],[Transaction Date]])</f>
        <v>2025</v>
      </c>
      <c r="R1082" s="1"/>
    </row>
    <row r="1083" spans="1:18" hidden="1" x14ac:dyDescent="0.25">
      <c r="A1083" s="264" t="s">
        <v>612</v>
      </c>
      <c r="B1083" s="265">
        <v>46002</v>
      </c>
      <c r="C1083" s="264" t="s">
        <v>2101</v>
      </c>
      <c r="D1083" s="264" t="s">
        <v>3094</v>
      </c>
      <c r="E1083" s="264" t="s">
        <v>1810</v>
      </c>
      <c r="F1083" s="1" t="s">
        <v>1810</v>
      </c>
      <c r="G1083" s="264" t="s">
        <v>26</v>
      </c>
      <c r="H1083" s="266">
        <v>37.5</v>
      </c>
      <c r="I1083" s="266">
        <v>0</v>
      </c>
      <c r="J1083" s="264" t="s">
        <v>1174</v>
      </c>
      <c r="K1083" s="264" t="s">
        <v>2025</v>
      </c>
      <c r="L1083" s="1" t="str">
        <f>VLOOKUP(Advices[[#This Row],[LC Number]],'Combine_List'!A:D,2,0)</f>
        <v>AL FALWA CO. LTD. FOR READYMIX CONCRETE</v>
      </c>
      <c r="M1083" s="447" t="str">
        <f>VLOOKUP(Advices[[#This Row],[LC Number]],'Combine_List'!A:D,3,0)</f>
        <v>MBL</v>
      </c>
      <c r="N1083" s="447" t="str">
        <f>VLOOKUP(Advices[[#This Row],[LC Number]],'Combine_List'!A:D,4,0)</f>
        <v>RCRC</v>
      </c>
      <c r="O1083" s="447">
        <f>VLOOKUP(Advices[[#This Row],[LC Number]],'Combine_List'!A:E,5,0)</f>
        <v>1020106</v>
      </c>
      <c r="P1083" s="447">
        <f>MONTH(Advices[[#This Row],[Transaction Date]])</f>
        <v>12</v>
      </c>
      <c r="Q1083" s="447">
        <f>YEAR(Advices[[#This Row],[Transaction Date]])</f>
        <v>2025</v>
      </c>
      <c r="R1083" s="1"/>
    </row>
    <row r="1084" spans="1:18" hidden="1" x14ac:dyDescent="0.25">
      <c r="A1084" s="264" t="s">
        <v>612</v>
      </c>
      <c r="B1084" s="265">
        <v>46002</v>
      </c>
      <c r="C1084" s="264" t="s">
        <v>2101</v>
      </c>
      <c r="D1084" s="264" t="s">
        <v>3095</v>
      </c>
      <c r="E1084" s="264" t="s">
        <v>1810</v>
      </c>
      <c r="F1084" s="1" t="s">
        <v>1810</v>
      </c>
      <c r="G1084" s="264" t="s">
        <v>26</v>
      </c>
      <c r="H1084" s="266">
        <v>200</v>
      </c>
      <c r="I1084" s="266">
        <v>0</v>
      </c>
      <c r="J1084" s="264" t="s">
        <v>1125</v>
      </c>
      <c r="K1084" s="264" t="s">
        <v>2025</v>
      </c>
      <c r="L1084" s="1" t="str">
        <f>VLOOKUP(Advices[[#This Row],[LC Number]],'Combine_List'!A:D,2,0)</f>
        <v>AL FALWA CO. LTD. FOR READYMIX CONCRETE</v>
      </c>
      <c r="M1084" s="447" t="str">
        <f>VLOOKUP(Advices[[#This Row],[LC Number]],'Combine_List'!A:D,3,0)</f>
        <v>MBL</v>
      </c>
      <c r="N1084" s="447" t="str">
        <f>VLOOKUP(Advices[[#This Row],[LC Number]],'Combine_List'!A:D,4,0)</f>
        <v>RCRC</v>
      </c>
      <c r="O1084" s="447">
        <f>VLOOKUP(Advices[[#This Row],[LC Number]],'Combine_List'!A:E,5,0)</f>
        <v>1020106</v>
      </c>
      <c r="P1084" s="447">
        <f>MONTH(Advices[[#This Row],[Transaction Date]])</f>
        <v>12</v>
      </c>
      <c r="Q1084" s="447">
        <f>YEAR(Advices[[#This Row],[Transaction Date]])</f>
        <v>2025</v>
      </c>
      <c r="R1084" s="1"/>
    </row>
    <row r="1085" spans="1:18" hidden="1" x14ac:dyDescent="0.25">
      <c r="A1085" s="264" t="s">
        <v>612</v>
      </c>
      <c r="B1085" s="265">
        <v>46002</v>
      </c>
      <c r="C1085" s="264" t="s">
        <v>2101</v>
      </c>
      <c r="D1085" s="264" t="s">
        <v>3096</v>
      </c>
      <c r="E1085" s="264" t="s">
        <v>1810</v>
      </c>
      <c r="F1085" s="1" t="s">
        <v>1810</v>
      </c>
      <c r="G1085" s="264" t="s">
        <v>26</v>
      </c>
      <c r="H1085" s="266">
        <v>30</v>
      </c>
      <c r="I1085" s="266">
        <v>0</v>
      </c>
      <c r="J1085" s="264" t="s">
        <v>1174</v>
      </c>
      <c r="K1085" s="264" t="s">
        <v>2025</v>
      </c>
      <c r="L1085" s="1" t="str">
        <f>VLOOKUP(Advices[[#This Row],[LC Number]],'Combine_List'!A:D,2,0)</f>
        <v>AL FALWA CO. LTD. FOR READYMIX CONCRETE</v>
      </c>
      <c r="M1085" s="447" t="str">
        <f>VLOOKUP(Advices[[#This Row],[LC Number]],'Combine_List'!A:D,3,0)</f>
        <v>MBL</v>
      </c>
      <c r="N1085" s="447" t="str">
        <f>VLOOKUP(Advices[[#This Row],[LC Number]],'Combine_List'!A:D,4,0)</f>
        <v>RCRC</v>
      </c>
      <c r="O1085" s="447">
        <f>VLOOKUP(Advices[[#This Row],[LC Number]],'Combine_List'!A:E,5,0)</f>
        <v>1020106</v>
      </c>
      <c r="P1085" s="447">
        <f>MONTH(Advices[[#This Row],[Transaction Date]])</f>
        <v>12</v>
      </c>
      <c r="Q1085" s="447">
        <f>YEAR(Advices[[#This Row],[Transaction Date]])</f>
        <v>2025</v>
      </c>
      <c r="R1085" s="1"/>
    </row>
    <row r="1086" spans="1:18" hidden="1" x14ac:dyDescent="0.25">
      <c r="A1086" s="264" t="s">
        <v>612</v>
      </c>
      <c r="B1086" s="265">
        <v>46002</v>
      </c>
      <c r="C1086" s="264" t="s">
        <v>2101</v>
      </c>
      <c r="D1086" s="264" t="s">
        <v>3097</v>
      </c>
      <c r="E1086" s="264" t="s">
        <v>2394</v>
      </c>
      <c r="F1086" s="264" t="s">
        <v>2041</v>
      </c>
      <c r="G1086" s="264" t="s">
        <v>26</v>
      </c>
      <c r="H1086" s="266">
        <v>100</v>
      </c>
      <c r="I1086" s="266">
        <v>0</v>
      </c>
      <c r="J1086" s="264" t="s">
        <v>1125</v>
      </c>
      <c r="K1086" s="264" t="s">
        <v>2025</v>
      </c>
      <c r="L1086" s="1" t="str">
        <f>VLOOKUP(Advices[[#This Row],[LC Number]],'Combine_List'!A:D,2,0)</f>
        <v>ALFANAR ELECTRICAL SYSTEMS</v>
      </c>
      <c r="M1086" s="447" t="str">
        <f>VLOOKUP(Advices[[#This Row],[LC Number]],'Combine_List'!A:D,3,0)</f>
        <v>FIRST FIX</v>
      </c>
      <c r="N1086" s="447" t="str">
        <f>VLOOKUP(Advices[[#This Row],[LC Number]],'Combine_List'!A:D,4,0)</f>
        <v>RCRC</v>
      </c>
      <c r="O1086" s="447">
        <f>VLOOKUP(Advices[[#This Row],[LC Number]],'Combine_List'!A:E,5,0)</f>
        <v>1020106</v>
      </c>
      <c r="P1086" s="447">
        <f>MONTH(Advices[[#This Row],[Transaction Date]])</f>
        <v>12</v>
      </c>
      <c r="Q1086" s="447">
        <f>YEAR(Advices[[#This Row],[Transaction Date]])</f>
        <v>2025</v>
      </c>
      <c r="R1086" s="1"/>
    </row>
    <row r="1087" spans="1:18" hidden="1" x14ac:dyDescent="0.25">
      <c r="A1087" s="264" t="s">
        <v>612</v>
      </c>
      <c r="B1087" s="265">
        <v>46002</v>
      </c>
      <c r="C1087" s="264" t="s">
        <v>2101</v>
      </c>
      <c r="D1087" s="264" t="s">
        <v>3098</v>
      </c>
      <c r="E1087" s="264" t="s">
        <v>2394</v>
      </c>
      <c r="F1087" s="264" t="s">
        <v>2041</v>
      </c>
      <c r="G1087" s="264" t="s">
        <v>26</v>
      </c>
      <c r="H1087" s="266">
        <v>15</v>
      </c>
      <c r="I1087" s="266">
        <v>0</v>
      </c>
      <c r="J1087" s="264" t="s">
        <v>1174</v>
      </c>
      <c r="K1087" s="264" t="s">
        <v>2025</v>
      </c>
      <c r="L1087" s="1" t="str">
        <f>VLOOKUP(Advices[[#This Row],[LC Number]],'Combine_List'!A:D,2,0)</f>
        <v>ALFANAR ELECTRICAL SYSTEMS</v>
      </c>
      <c r="M1087" s="447" t="str">
        <f>VLOOKUP(Advices[[#This Row],[LC Number]],'Combine_List'!A:D,3,0)</f>
        <v>FIRST FIX</v>
      </c>
      <c r="N1087" s="447" t="str">
        <f>VLOOKUP(Advices[[#This Row],[LC Number]],'Combine_List'!A:D,4,0)</f>
        <v>RCRC</v>
      </c>
      <c r="O1087" s="447">
        <f>VLOOKUP(Advices[[#This Row],[LC Number]],'Combine_List'!A:E,5,0)</f>
        <v>1020106</v>
      </c>
      <c r="P1087" s="447">
        <f>MONTH(Advices[[#This Row],[Transaction Date]])</f>
        <v>12</v>
      </c>
      <c r="Q1087" s="447">
        <f>YEAR(Advices[[#This Row],[Transaction Date]])</f>
        <v>2025</v>
      </c>
      <c r="R1087" s="1"/>
    </row>
    <row r="1088" spans="1:18" hidden="1" x14ac:dyDescent="0.25">
      <c r="A1088" s="264" t="s">
        <v>612</v>
      </c>
      <c r="B1088" s="265">
        <v>46002</v>
      </c>
      <c r="C1088" s="264" t="s">
        <v>2101</v>
      </c>
      <c r="D1088" s="264" t="s">
        <v>3099</v>
      </c>
      <c r="E1088" s="264" t="s">
        <v>2394</v>
      </c>
      <c r="F1088" s="264" t="s">
        <v>2041</v>
      </c>
      <c r="G1088" s="264" t="s">
        <v>26</v>
      </c>
      <c r="H1088" s="266">
        <v>2500</v>
      </c>
      <c r="I1088" s="266">
        <v>0</v>
      </c>
      <c r="J1088" s="264" t="s">
        <v>1125</v>
      </c>
      <c r="K1088" s="264" t="s">
        <v>2025</v>
      </c>
      <c r="L1088" s="1" t="str">
        <f>VLOOKUP(Advices[[#This Row],[LC Number]],'Combine_List'!A:D,2,0)</f>
        <v>ALFANAR ELECTRICAL SYSTEMS</v>
      </c>
      <c r="M1088" s="447" t="str">
        <f>VLOOKUP(Advices[[#This Row],[LC Number]],'Combine_List'!A:D,3,0)</f>
        <v>FIRST FIX</v>
      </c>
      <c r="N1088" s="447" t="str">
        <f>VLOOKUP(Advices[[#This Row],[LC Number]],'Combine_List'!A:D,4,0)</f>
        <v>RCRC</v>
      </c>
      <c r="O1088" s="447">
        <f>VLOOKUP(Advices[[#This Row],[LC Number]],'Combine_List'!A:E,5,0)</f>
        <v>1020106</v>
      </c>
      <c r="P1088" s="447">
        <f>MONTH(Advices[[#This Row],[Transaction Date]])</f>
        <v>12</v>
      </c>
      <c r="Q1088" s="447">
        <f>YEAR(Advices[[#This Row],[Transaction Date]])</f>
        <v>2025</v>
      </c>
      <c r="R1088" s="1"/>
    </row>
    <row r="1089" spans="1:18" hidden="1" x14ac:dyDescent="0.25">
      <c r="A1089" s="264" t="s">
        <v>612</v>
      </c>
      <c r="B1089" s="265">
        <v>46002</v>
      </c>
      <c r="C1089" s="264" t="s">
        <v>2101</v>
      </c>
      <c r="D1089" s="264" t="s">
        <v>3100</v>
      </c>
      <c r="E1089" s="264" t="s">
        <v>2394</v>
      </c>
      <c r="F1089" s="264" t="s">
        <v>2041</v>
      </c>
      <c r="G1089" s="264" t="s">
        <v>26</v>
      </c>
      <c r="H1089" s="266">
        <v>375</v>
      </c>
      <c r="I1089" s="266">
        <v>0</v>
      </c>
      <c r="J1089" s="264" t="s">
        <v>1174</v>
      </c>
      <c r="K1089" s="264" t="s">
        <v>2025</v>
      </c>
      <c r="L1089" s="1" t="str">
        <f>VLOOKUP(Advices[[#This Row],[LC Number]],'Combine_List'!A:D,2,0)</f>
        <v>ALFANAR ELECTRICAL SYSTEMS</v>
      </c>
      <c r="M1089" s="447" t="str">
        <f>VLOOKUP(Advices[[#This Row],[LC Number]],'Combine_List'!A:D,3,0)</f>
        <v>FIRST FIX</v>
      </c>
      <c r="N1089" s="447" t="str">
        <f>VLOOKUP(Advices[[#This Row],[LC Number]],'Combine_List'!A:D,4,0)</f>
        <v>RCRC</v>
      </c>
      <c r="O1089" s="447">
        <f>VLOOKUP(Advices[[#This Row],[LC Number]],'Combine_List'!A:E,5,0)</f>
        <v>1020106</v>
      </c>
      <c r="P1089" s="447">
        <f>MONTH(Advices[[#This Row],[Transaction Date]])</f>
        <v>12</v>
      </c>
      <c r="Q1089" s="447">
        <f>YEAR(Advices[[#This Row],[Transaction Date]])</f>
        <v>2025</v>
      </c>
      <c r="R1089" s="1"/>
    </row>
    <row r="1090" spans="1:18" hidden="1" x14ac:dyDescent="0.25">
      <c r="A1090" s="264" t="s">
        <v>612</v>
      </c>
      <c r="B1090" s="265">
        <v>46002</v>
      </c>
      <c r="C1090" s="264" t="s">
        <v>2101</v>
      </c>
      <c r="D1090" s="264" t="s">
        <v>3101</v>
      </c>
      <c r="E1090" s="264" t="s">
        <v>2394</v>
      </c>
      <c r="F1090" s="264" t="s">
        <v>2041</v>
      </c>
      <c r="G1090" s="264" t="s">
        <v>26</v>
      </c>
      <c r="H1090" s="266">
        <v>200</v>
      </c>
      <c r="I1090" s="266">
        <v>0</v>
      </c>
      <c r="J1090" s="264" t="s">
        <v>1125</v>
      </c>
      <c r="K1090" s="264" t="s">
        <v>2025</v>
      </c>
      <c r="L1090" s="1" t="str">
        <f>VLOOKUP(Advices[[#This Row],[LC Number]],'Combine_List'!A:D,2,0)</f>
        <v>ALFANAR ELECTRICAL SYSTEMS</v>
      </c>
      <c r="M1090" s="447" t="str">
        <f>VLOOKUP(Advices[[#This Row],[LC Number]],'Combine_List'!A:D,3,0)</f>
        <v>FIRST FIX</v>
      </c>
      <c r="N1090" s="447" t="str">
        <f>VLOOKUP(Advices[[#This Row],[LC Number]],'Combine_List'!A:D,4,0)</f>
        <v>RCRC</v>
      </c>
      <c r="O1090" s="447">
        <f>VLOOKUP(Advices[[#This Row],[LC Number]],'Combine_List'!A:E,5,0)</f>
        <v>1020106</v>
      </c>
      <c r="P1090" s="447">
        <f>MONTH(Advices[[#This Row],[Transaction Date]])</f>
        <v>12</v>
      </c>
      <c r="Q1090" s="447">
        <f>YEAR(Advices[[#This Row],[Transaction Date]])</f>
        <v>2025</v>
      </c>
      <c r="R1090" s="1"/>
    </row>
    <row r="1091" spans="1:18" hidden="1" x14ac:dyDescent="0.25">
      <c r="A1091" s="264" t="s">
        <v>612</v>
      </c>
      <c r="B1091" s="265">
        <v>46002</v>
      </c>
      <c r="C1091" s="264" t="s">
        <v>2101</v>
      </c>
      <c r="D1091" s="264" t="s">
        <v>3102</v>
      </c>
      <c r="E1091" s="264" t="s">
        <v>2394</v>
      </c>
      <c r="F1091" s="264" t="s">
        <v>2041</v>
      </c>
      <c r="G1091" s="264" t="s">
        <v>26</v>
      </c>
      <c r="H1091" s="266">
        <v>30</v>
      </c>
      <c r="I1091" s="266">
        <v>0</v>
      </c>
      <c r="J1091" s="264" t="s">
        <v>1174</v>
      </c>
      <c r="K1091" s="264" t="s">
        <v>2025</v>
      </c>
      <c r="L1091" s="1" t="str">
        <f>VLOOKUP(Advices[[#This Row],[LC Number]],'Combine_List'!A:D,2,0)</f>
        <v>ALFANAR ELECTRICAL SYSTEMS</v>
      </c>
      <c r="M1091" s="447" t="str">
        <f>VLOOKUP(Advices[[#This Row],[LC Number]],'Combine_List'!A:D,3,0)</f>
        <v>FIRST FIX</v>
      </c>
      <c r="N1091" s="447" t="str">
        <f>VLOOKUP(Advices[[#This Row],[LC Number]],'Combine_List'!A:D,4,0)</f>
        <v>RCRC</v>
      </c>
      <c r="O1091" s="447">
        <f>VLOOKUP(Advices[[#This Row],[LC Number]],'Combine_List'!A:E,5,0)</f>
        <v>1020106</v>
      </c>
      <c r="P1091" s="447">
        <f>MONTH(Advices[[#This Row],[Transaction Date]])</f>
        <v>12</v>
      </c>
      <c r="Q1091" s="447">
        <f>YEAR(Advices[[#This Row],[Transaction Date]])</f>
        <v>2025</v>
      </c>
      <c r="R1091" s="1"/>
    </row>
    <row r="1092" spans="1:18" hidden="1" x14ac:dyDescent="0.25">
      <c r="A1092" s="264" t="s">
        <v>62</v>
      </c>
      <c r="B1092" s="265">
        <v>46005</v>
      </c>
      <c r="C1092" s="264" t="s">
        <v>2039</v>
      </c>
      <c r="D1092" s="264" t="s">
        <v>3105</v>
      </c>
      <c r="E1092" s="264" t="s">
        <v>1834</v>
      </c>
      <c r="F1092" s="264" t="s">
        <v>2041</v>
      </c>
      <c r="G1092" s="264" t="s">
        <v>26</v>
      </c>
      <c r="H1092" s="266">
        <v>48079.06</v>
      </c>
      <c r="I1092" s="266">
        <v>0</v>
      </c>
      <c r="J1092" s="264" t="s">
        <v>1125</v>
      </c>
      <c r="K1092" s="264" t="s">
        <v>2025</v>
      </c>
      <c r="L1092" s="1" t="str">
        <f>VLOOKUP(Advices[[#This Row],[LC Number]],'Combine_List'!A:D,2,0)</f>
        <v>Jiangsu Donchamp New Materials Technology Co.Ltd.</v>
      </c>
      <c r="M1092" s="447" t="str">
        <f>VLOOKUP(Advices[[#This Row],[LC Number]],'Combine_List'!A:D,3,0)</f>
        <v>MBL</v>
      </c>
      <c r="N1092" s="447" t="str">
        <f>VLOOKUP(Advices[[#This Row],[LC Number]],'Combine_List'!A:D,4,0)</f>
        <v>Oceanarium</v>
      </c>
      <c r="O1092" s="447">
        <f>VLOOKUP(Advices[[#This Row],[LC Number]],'Combine_List'!A:E,5,0)</f>
        <v>1020096</v>
      </c>
      <c r="P1092" s="447">
        <f>MONTH(Advices[[#This Row],[Transaction Date]])</f>
        <v>12</v>
      </c>
      <c r="Q1092" s="447">
        <f>YEAR(Advices[[#This Row],[Transaction Date]])</f>
        <v>2025</v>
      </c>
      <c r="R1092" s="1"/>
    </row>
    <row r="1093" spans="1:18" hidden="1" x14ac:dyDescent="0.25">
      <c r="A1093" s="264" t="s">
        <v>62</v>
      </c>
      <c r="B1093" s="265">
        <v>46005</v>
      </c>
      <c r="C1093" s="264" t="s">
        <v>2039</v>
      </c>
      <c r="D1093" s="264" t="s">
        <v>3106</v>
      </c>
      <c r="E1093" s="264" t="s">
        <v>2462</v>
      </c>
      <c r="F1093" s="264" t="s">
        <v>2041</v>
      </c>
      <c r="G1093" s="264" t="s">
        <v>26</v>
      </c>
      <c r="H1093" s="266">
        <v>460</v>
      </c>
      <c r="I1093" s="266">
        <v>0</v>
      </c>
      <c r="J1093" s="264" t="s">
        <v>2830</v>
      </c>
      <c r="K1093" s="264" t="s">
        <v>2025</v>
      </c>
      <c r="L1093" s="1" t="e">
        <f>VLOOKUP(Advices[[#This Row],[LC Number]],'Combine_List'!A:D,2,0)</f>
        <v>#N/A</v>
      </c>
      <c r="M1093" s="447" t="e">
        <f>VLOOKUP(Advices[[#This Row],[LC Number]],'Combine_List'!A:D,3,0)</f>
        <v>#N/A</v>
      </c>
      <c r="N1093" s="447" t="e">
        <f>VLOOKUP(Advices[[#This Row],[LC Number]],'Combine_List'!A:D,4,0)</f>
        <v>#N/A</v>
      </c>
      <c r="O1093" s="447" t="e">
        <f>VLOOKUP(Advices[[#This Row],[LC Number]],'Combine_List'!A:E,5,0)</f>
        <v>#N/A</v>
      </c>
      <c r="P1093" s="447">
        <f>MONTH(Advices[[#This Row],[Transaction Date]])</f>
        <v>12</v>
      </c>
      <c r="Q1093" s="447">
        <f>YEAR(Advices[[#This Row],[Transaction Date]])</f>
        <v>2025</v>
      </c>
      <c r="R1093" s="1"/>
    </row>
    <row r="1094" spans="1:18" hidden="1" x14ac:dyDescent="0.25">
      <c r="A1094" s="264" t="s">
        <v>62</v>
      </c>
      <c r="B1094" s="265">
        <v>46005</v>
      </c>
      <c r="C1094" s="264" t="s">
        <v>2039</v>
      </c>
      <c r="D1094" s="264" t="s">
        <v>3107</v>
      </c>
      <c r="E1094" s="264" t="s">
        <v>1902</v>
      </c>
      <c r="F1094" s="264" t="s">
        <v>2041</v>
      </c>
      <c r="G1094" s="264" t="s">
        <v>26</v>
      </c>
      <c r="H1094" s="266">
        <v>18340.2</v>
      </c>
      <c r="I1094" s="266">
        <v>0</v>
      </c>
      <c r="J1094" s="264" t="s">
        <v>2830</v>
      </c>
      <c r="K1094" s="264" t="s">
        <v>2025</v>
      </c>
      <c r="L1094" s="1" t="str">
        <f>VLOOKUP(Advices[[#This Row],[LC Number]],'Combine_List'!A:D,2,0)</f>
        <v>Bid - ROYAL COMMISSION FOR RIYADH CITY (RCRC)</v>
      </c>
      <c r="M1094" s="447">
        <f>VLOOKUP(Advices[[#This Row],[LC Number]],'Combine_List'!A:D,3,0)</f>
        <v>0</v>
      </c>
      <c r="N1094" s="447" t="str">
        <f>VLOOKUP(Advices[[#This Row],[LC Number]],'Combine_List'!A:D,4,0)</f>
        <v>RCRC</v>
      </c>
      <c r="O1094" s="447" t="str">
        <f>VLOOKUP(Advices[[#This Row],[LC Number]],'Combine_List'!A:E,5,0)</f>
        <v>1020106</v>
      </c>
      <c r="P1094" s="447">
        <f>MONTH(Advices[[#This Row],[Transaction Date]])</f>
        <v>12</v>
      </c>
      <c r="Q1094" s="447">
        <f>YEAR(Advices[[#This Row],[Transaction Date]])</f>
        <v>2025</v>
      </c>
      <c r="R1094" s="1"/>
    </row>
    <row r="1095" spans="1:18" hidden="1" x14ac:dyDescent="0.25">
      <c r="A1095" s="264" t="s">
        <v>95</v>
      </c>
      <c r="B1095" s="265">
        <v>46005</v>
      </c>
      <c r="C1095" s="264" t="s">
        <v>2026</v>
      </c>
      <c r="D1095" s="264" t="s">
        <v>2878</v>
      </c>
      <c r="E1095" s="264" t="s">
        <v>1639</v>
      </c>
      <c r="F1095" s="264" t="s">
        <v>2879</v>
      </c>
      <c r="G1095" s="264" t="s">
        <v>26</v>
      </c>
      <c r="H1095" s="266">
        <v>-1456.51</v>
      </c>
      <c r="I1095" s="13">
        <v>0</v>
      </c>
      <c r="J1095" s="264" t="s">
        <v>1124</v>
      </c>
      <c r="K1095" s="264" t="s">
        <v>2025</v>
      </c>
      <c r="L1095" s="1" t="str">
        <f>VLOOKUP(Advices[[#This Row],[LC Number]],'Combine_List'!A:D,2,0)</f>
        <v>Mohammed A. Al-Awani Trading</v>
      </c>
      <c r="M1095" s="447" t="str">
        <f>VLOOKUP(Advices[[#This Row],[LC Number]],'Combine_List'!A:D,3,0)</f>
        <v>MBL</v>
      </c>
      <c r="N1095" s="447" t="str">
        <f>VLOOKUP(Advices[[#This Row],[LC Number]],'Combine_List'!A:D,4,0)</f>
        <v>Rabigh Power Plant</v>
      </c>
      <c r="O1095" s="447">
        <f>VLOOKUP(Advices[[#This Row],[LC Number]],'Combine_List'!A:E,5,0)</f>
        <v>1020107</v>
      </c>
      <c r="P1095" s="447">
        <f>MONTH(Advices[[#This Row],[Transaction Date]])</f>
        <v>12</v>
      </c>
      <c r="Q1095" s="447">
        <f>YEAR(Advices[[#This Row],[Transaction Date]])</f>
        <v>2025</v>
      </c>
      <c r="R1095" s="1"/>
    </row>
    <row r="1096" spans="1:18" hidden="1" x14ac:dyDescent="0.25">
      <c r="A1096" s="264" t="s">
        <v>366</v>
      </c>
      <c r="B1096" s="265">
        <v>46005</v>
      </c>
      <c r="C1096" s="264" t="s">
        <v>2057</v>
      </c>
      <c r="D1096" s="264" t="s">
        <v>3108</v>
      </c>
      <c r="E1096" s="264" t="s">
        <v>1673</v>
      </c>
      <c r="F1096" s="1" t="s">
        <v>3465</v>
      </c>
      <c r="G1096" s="264" t="s">
        <v>26</v>
      </c>
      <c r="H1096" s="266">
        <v>-1754.74</v>
      </c>
      <c r="I1096" s="13">
        <v>0</v>
      </c>
      <c r="J1096" s="264" t="s">
        <v>1125</v>
      </c>
      <c r="K1096" s="264" t="s">
        <v>2025</v>
      </c>
      <c r="L1096" s="1" t="str">
        <f>VLOOKUP(Advices[[#This Row],[LC Number]],'Combine_List'!A:D,2,0)</f>
        <v>Mab United For Trading &amp; Contracting Co</v>
      </c>
      <c r="M1096" s="447" t="str">
        <f>VLOOKUP(Advices[[#This Row],[LC Number]],'Combine_List'!A:D,3,0)</f>
        <v>FIRST FIX</v>
      </c>
      <c r="N1096" s="447" t="str">
        <f>VLOOKUP(Advices[[#This Row],[LC Number]],'Combine_List'!A:D,4,0)</f>
        <v>CEER</v>
      </c>
      <c r="O1096" s="447">
        <f>VLOOKUP(Advices[[#This Row],[LC Number]],'Combine_List'!A:E,5,0)</f>
        <v>1020091</v>
      </c>
      <c r="P1096" s="447">
        <f>MONTH(Advices[[#This Row],[Transaction Date]])</f>
        <v>12</v>
      </c>
      <c r="Q1096" s="447">
        <f>YEAR(Advices[[#This Row],[Transaction Date]])</f>
        <v>2025</v>
      </c>
      <c r="R1096" s="1"/>
    </row>
    <row r="1097" spans="1:18" hidden="1" x14ac:dyDescent="0.25">
      <c r="A1097" s="264" t="s">
        <v>366</v>
      </c>
      <c r="B1097" s="265">
        <v>46005</v>
      </c>
      <c r="C1097" s="264" t="s">
        <v>2057</v>
      </c>
      <c r="D1097" s="264" t="s">
        <v>3109</v>
      </c>
      <c r="E1097" s="264" t="s">
        <v>1662</v>
      </c>
      <c r="F1097" s="1" t="s">
        <v>3466</v>
      </c>
      <c r="G1097" s="264" t="s">
        <v>26</v>
      </c>
      <c r="H1097" s="266">
        <v>-708.07</v>
      </c>
      <c r="I1097" s="13">
        <v>0</v>
      </c>
      <c r="J1097" s="264" t="s">
        <v>1125</v>
      </c>
      <c r="K1097" s="264" t="s">
        <v>2025</v>
      </c>
      <c r="L1097" s="1" t="str">
        <f>VLOOKUP(Advices[[#This Row],[LC Number]],'Combine_List'!A:D,2,0)</f>
        <v>JAD AL RIYADH Trading Co. Ltd</v>
      </c>
      <c r="M1097" s="447" t="str">
        <f>VLOOKUP(Advices[[#This Row],[LC Number]],'Combine_List'!A:D,3,0)</f>
        <v>FIRST FIX</v>
      </c>
      <c r="N1097" s="447" t="str">
        <f>VLOOKUP(Advices[[#This Row],[LC Number]],'Combine_List'!A:D,4,0)</f>
        <v>CEER</v>
      </c>
      <c r="O1097" s="447">
        <f>VLOOKUP(Advices[[#This Row],[LC Number]],'Combine_List'!A:E,5,0)</f>
        <v>1020091</v>
      </c>
      <c r="P1097" s="447">
        <f>MONTH(Advices[[#This Row],[Transaction Date]])</f>
        <v>12</v>
      </c>
      <c r="Q1097" s="447">
        <f>YEAR(Advices[[#This Row],[Transaction Date]])</f>
        <v>2025</v>
      </c>
      <c r="R1097" s="1"/>
    </row>
    <row r="1098" spans="1:18" hidden="1" x14ac:dyDescent="0.25">
      <c r="A1098" s="264" t="s">
        <v>366</v>
      </c>
      <c r="B1098" s="265">
        <v>46005</v>
      </c>
      <c r="C1098" s="264" t="s">
        <v>2060</v>
      </c>
      <c r="D1098" s="264" t="s">
        <v>3110</v>
      </c>
      <c r="E1098" s="264" t="s">
        <v>1875</v>
      </c>
      <c r="F1098" s="1" t="s">
        <v>3467</v>
      </c>
      <c r="G1098" s="264" t="s">
        <v>26</v>
      </c>
      <c r="H1098" s="266">
        <v>-17250</v>
      </c>
      <c r="I1098" s="13">
        <v>0</v>
      </c>
      <c r="J1098" s="264" t="s">
        <v>1125</v>
      </c>
      <c r="K1098" s="264" t="s">
        <v>2025</v>
      </c>
      <c r="L1098" s="1" t="str">
        <f>VLOOKUP(Advices[[#This Row],[LC Number]],'Combine_List'!A:D,2,0)</f>
        <v>Power Center Company for Industries LLC</v>
      </c>
      <c r="M1098" s="447" t="str">
        <f>VLOOKUP(Advices[[#This Row],[LC Number]],'Combine_List'!A:D,3,0)</f>
        <v>FIRST FIX</v>
      </c>
      <c r="N1098" s="447" t="str">
        <f>VLOOKUP(Advices[[#This Row],[LC Number]],'Combine_List'!A:D,4,0)</f>
        <v>MP1</v>
      </c>
      <c r="O1098" s="447">
        <f>VLOOKUP(Advices[[#This Row],[LC Number]],'Combine_List'!A:E,5,0)</f>
        <v>1020088</v>
      </c>
      <c r="P1098" s="447">
        <f>MONTH(Advices[[#This Row],[Transaction Date]])</f>
        <v>12</v>
      </c>
      <c r="Q1098" s="447">
        <f>YEAR(Advices[[#This Row],[Transaction Date]])</f>
        <v>2025</v>
      </c>
      <c r="R1098" s="1"/>
    </row>
    <row r="1099" spans="1:18" hidden="1" x14ac:dyDescent="0.25">
      <c r="A1099" s="264" t="s">
        <v>366</v>
      </c>
      <c r="B1099" s="265">
        <v>46005</v>
      </c>
      <c r="C1099" s="264" t="s">
        <v>2060</v>
      </c>
      <c r="D1099" s="264" t="s">
        <v>3111</v>
      </c>
      <c r="E1099" s="264" t="s">
        <v>2236</v>
      </c>
      <c r="F1099" s="1" t="s">
        <v>3468</v>
      </c>
      <c r="G1099" s="264" t="s">
        <v>26</v>
      </c>
      <c r="H1099" s="266">
        <v>-575</v>
      </c>
      <c r="I1099" s="13">
        <v>0</v>
      </c>
      <c r="J1099" s="264" t="s">
        <v>1125</v>
      </c>
      <c r="K1099" s="264" t="s">
        <v>2025</v>
      </c>
      <c r="L1099" s="1" t="str">
        <f>VLOOKUP(Advices[[#This Row],[LC Number]],'Combine_List'!A:D,2,0)</f>
        <v>Building System Intelligent Est.</v>
      </c>
      <c r="M1099" s="447" t="str">
        <f>VLOOKUP(Advices[[#This Row],[LC Number]],'Combine_List'!A:D,3,0)</f>
        <v>FIRST FIX</v>
      </c>
      <c r="N1099" s="447" t="str">
        <f>VLOOKUP(Advices[[#This Row],[LC Number]],'Combine_List'!A:D,4,0)</f>
        <v>MP1</v>
      </c>
      <c r="O1099" s="447">
        <f>VLOOKUP(Advices[[#This Row],[LC Number]],'Combine_List'!A:E,5,0)</f>
        <v>1020088</v>
      </c>
      <c r="P1099" s="447">
        <f>MONTH(Advices[[#This Row],[Transaction Date]])</f>
        <v>12</v>
      </c>
      <c r="Q1099" s="447">
        <f>YEAR(Advices[[#This Row],[Transaction Date]])</f>
        <v>2025</v>
      </c>
      <c r="R1099" s="1"/>
    </row>
    <row r="1100" spans="1:18" x14ac:dyDescent="0.25">
      <c r="A1100" s="264" t="s">
        <v>21</v>
      </c>
      <c r="B1100" s="265">
        <v>46006</v>
      </c>
      <c r="C1100" s="264" t="s">
        <v>1951</v>
      </c>
      <c r="D1100" s="264" t="s">
        <v>1960</v>
      </c>
      <c r="E1100" s="264" t="s">
        <v>1339</v>
      </c>
      <c r="F1100" s="264" t="s">
        <v>2004</v>
      </c>
      <c r="G1100" s="264" t="s">
        <v>26</v>
      </c>
      <c r="H1100" s="266">
        <v>-11.25</v>
      </c>
      <c r="I1100" s="13">
        <v>0</v>
      </c>
      <c r="J1100" s="264" t="s">
        <v>1174</v>
      </c>
      <c r="K1100" s="264" t="s">
        <v>2025</v>
      </c>
      <c r="L1100" s="1" t="str">
        <f>VLOOKUP(Advices[[#This Row],[LC Number]],'Combine_List'!A:D,2,0)</f>
        <v>IDEAL CALIBER COMPANY</v>
      </c>
      <c r="M1100" s="447" t="str">
        <f>VLOOKUP(Advices[[#This Row],[LC Number]],'Combine_List'!A:D,3,0)</f>
        <v>FIRST FIX</v>
      </c>
      <c r="N1100" s="447" t="str">
        <f>VLOOKUP(Advices[[#This Row],[LC Number]],'Combine_List'!A:D,4,0)</f>
        <v>KSP</v>
      </c>
      <c r="O1100" s="447">
        <f>VLOOKUP(Advices[[#This Row],[LC Number]],'Combine_List'!A:E,5,0)</f>
        <v>1020055</v>
      </c>
      <c r="P1100" s="447">
        <f>MONTH(Advices[[#This Row],[Transaction Date]])</f>
        <v>12</v>
      </c>
      <c r="Q1100" s="447">
        <f>YEAR(Advices[[#This Row],[Transaction Date]])</f>
        <v>2025</v>
      </c>
      <c r="R1100" s="1"/>
    </row>
    <row r="1101" spans="1:18" x14ac:dyDescent="0.25">
      <c r="A1101" s="264" t="s">
        <v>21</v>
      </c>
      <c r="B1101" s="265">
        <v>46006</v>
      </c>
      <c r="C1101" s="264" t="s">
        <v>1951</v>
      </c>
      <c r="D1101" s="264" t="s">
        <v>3112</v>
      </c>
      <c r="E1101" s="264" t="s">
        <v>1339</v>
      </c>
      <c r="F1101" s="264" t="s">
        <v>2004</v>
      </c>
      <c r="G1101" s="264" t="s">
        <v>26</v>
      </c>
      <c r="H1101" s="266">
        <v>-75</v>
      </c>
      <c r="I1101" s="13">
        <v>0</v>
      </c>
      <c r="J1101" s="264" t="s">
        <v>1963</v>
      </c>
      <c r="K1101" s="264" t="s">
        <v>2025</v>
      </c>
      <c r="L1101" s="1" t="str">
        <f>VLOOKUP(Advices[[#This Row],[LC Number]],'Combine_List'!A:D,2,0)</f>
        <v>IDEAL CALIBER COMPANY</v>
      </c>
      <c r="M1101" s="447" t="str">
        <f>VLOOKUP(Advices[[#This Row],[LC Number]],'Combine_List'!A:D,3,0)</f>
        <v>FIRST FIX</v>
      </c>
      <c r="N1101" s="447" t="str">
        <f>VLOOKUP(Advices[[#This Row],[LC Number]],'Combine_List'!A:D,4,0)</f>
        <v>KSP</v>
      </c>
      <c r="O1101" s="447">
        <f>VLOOKUP(Advices[[#This Row],[LC Number]],'Combine_List'!A:E,5,0)</f>
        <v>1020055</v>
      </c>
      <c r="P1101" s="447">
        <f>MONTH(Advices[[#This Row],[Transaction Date]])</f>
        <v>12</v>
      </c>
      <c r="Q1101" s="447">
        <f>YEAR(Advices[[#This Row],[Transaction Date]])</f>
        <v>2025</v>
      </c>
      <c r="R1101" s="1"/>
    </row>
    <row r="1102" spans="1:18" x14ac:dyDescent="0.25">
      <c r="A1102" s="264" t="s">
        <v>21</v>
      </c>
      <c r="B1102" s="265">
        <v>46006</v>
      </c>
      <c r="C1102" s="264" t="s">
        <v>1951</v>
      </c>
      <c r="D1102" s="264" t="s">
        <v>3113</v>
      </c>
      <c r="E1102" s="264" t="s">
        <v>1339</v>
      </c>
      <c r="F1102" s="264" t="s">
        <v>2004</v>
      </c>
      <c r="G1102" s="264" t="s">
        <v>26</v>
      </c>
      <c r="H1102" s="266">
        <v>-124411.18</v>
      </c>
      <c r="I1102" s="13">
        <v>0</v>
      </c>
      <c r="J1102" s="264" t="s">
        <v>1126</v>
      </c>
      <c r="K1102" s="264" t="s">
        <v>2025</v>
      </c>
      <c r="L1102" s="1" t="str">
        <f>VLOOKUP(Advices[[#This Row],[LC Number]],'Combine_List'!A:D,2,0)</f>
        <v>IDEAL CALIBER COMPANY</v>
      </c>
      <c r="M1102" s="447" t="str">
        <f>VLOOKUP(Advices[[#This Row],[LC Number]],'Combine_List'!A:D,3,0)</f>
        <v>FIRST FIX</v>
      </c>
      <c r="N1102" s="447" t="str">
        <f>VLOOKUP(Advices[[#This Row],[LC Number]],'Combine_List'!A:D,4,0)</f>
        <v>KSP</v>
      </c>
      <c r="O1102" s="447">
        <f>VLOOKUP(Advices[[#This Row],[LC Number]],'Combine_List'!A:E,5,0)</f>
        <v>1020055</v>
      </c>
      <c r="P1102" s="447">
        <f>MONTH(Advices[[#This Row],[Transaction Date]])</f>
        <v>12</v>
      </c>
      <c r="Q1102" s="447">
        <f>YEAR(Advices[[#This Row],[Transaction Date]])</f>
        <v>2025</v>
      </c>
      <c r="R1102" s="1"/>
    </row>
    <row r="1103" spans="1:18" hidden="1" x14ac:dyDescent="0.25">
      <c r="A1103" s="264" t="s">
        <v>62</v>
      </c>
      <c r="B1103" s="265">
        <v>46006</v>
      </c>
      <c r="C1103" s="264" t="s">
        <v>2716</v>
      </c>
      <c r="D1103" s="264" t="s">
        <v>3114</v>
      </c>
      <c r="E1103" s="264" t="s">
        <v>1665</v>
      </c>
      <c r="F1103" s="264" t="s">
        <v>2041</v>
      </c>
      <c r="G1103" s="264" t="s">
        <v>26</v>
      </c>
      <c r="H1103" s="266">
        <v>125792.75</v>
      </c>
      <c r="I1103" s="266">
        <v>0</v>
      </c>
      <c r="J1103" s="264" t="s">
        <v>2830</v>
      </c>
      <c r="K1103" s="264" t="s">
        <v>2025</v>
      </c>
      <c r="L1103" s="1" t="str">
        <f>VLOOKUP(Advices[[#This Row],[LC Number]],'Combine_List'!A:D,2,0)</f>
        <v>Bid - ROYAL COMMISSION (RCRC)</v>
      </c>
      <c r="M1103" s="447">
        <f>VLOOKUP(Advices[[#This Row],[LC Number]],'Combine_List'!A:D,3,0)</f>
        <v>0</v>
      </c>
      <c r="N1103" s="447">
        <f>VLOOKUP(Advices[[#This Row],[LC Number]],'Combine_List'!A:D,4,0)</f>
        <v>0</v>
      </c>
      <c r="O1103" s="447" t="str">
        <f>VLOOKUP(Advices[[#This Row],[LC Number]],'Combine_List'!A:E,5,0)</f>
        <v>0</v>
      </c>
      <c r="P1103" s="447">
        <f>MONTH(Advices[[#This Row],[Transaction Date]])</f>
        <v>12</v>
      </c>
      <c r="Q1103" s="447">
        <f>YEAR(Advices[[#This Row],[Transaction Date]])</f>
        <v>2025</v>
      </c>
      <c r="R1103" s="1"/>
    </row>
    <row r="1104" spans="1:18" hidden="1" x14ac:dyDescent="0.25">
      <c r="A1104" s="264" t="s">
        <v>62</v>
      </c>
      <c r="B1104" s="265">
        <v>46006</v>
      </c>
      <c r="C1104" s="264" t="s">
        <v>2716</v>
      </c>
      <c r="D1104" s="264" t="s">
        <v>3115</v>
      </c>
      <c r="E1104" s="264" t="s">
        <v>1773</v>
      </c>
      <c r="F1104" s="264" t="s">
        <v>2041</v>
      </c>
      <c r="G1104" s="264" t="s">
        <v>26</v>
      </c>
      <c r="H1104" s="266">
        <v>17261.5</v>
      </c>
      <c r="I1104" s="266">
        <v>0</v>
      </c>
      <c r="J1104" s="264" t="s">
        <v>2830</v>
      </c>
      <c r="K1104" s="264" t="s">
        <v>2025</v>
      </c>
      <c r="L1104" s="1" t="str">
        <f>VLOOKUP(Advices[[#This Row],[LC Number]],'Combine_List'!A:D,2,0)</f>
        <v>Bid - ROYAL COMMISSION OF RIYADH CITY</v>
      </c>
      <c r="M1104" s="447">
        <f>VLOOKUP(Advices[[#This Row],[LC Number]],'Combine_List'!A:D,3,0)</f>
        <v>0</v>
      </c>
      <c r="N1104" s="447">
        <f>VLOOKUP(Advices[[#This Row],[LC Number]],'Combine_List'!A:D,4,0)</f>
        <v>0</v>
      </c>
      <c r="O1104" s="447" t="str">
        <f>VLOOKUP(Advices[[#This Row],[LC Number]],'Combine_List'!A:E,5,0)</f>
        <v>0</v>
      </c>
      <c r="P1104" s="447">
        <f>MONTH(Advices[[#This Row],[Transaction Date]])</f>
        <v>12</v>
      </c>
      <c r="Q1104" s="447">
        <f>YEAR(Advices[[#This Row],[Transaction Date]])</f>
        <v>2025</v>
      </c>
      <c r="R1104" s="1"/>
    </row>
    <row r="1105" spans="1:18" hidden="1" x14ac:dyDescent="0.25">
      <c r="A1105" s="264" t="s">
        <v>62</v>
      </c>
      <c r="B1105" s="265">
        <v>46006</v>
      </c>
      <c r="C1105" s="264" t="s">
        <v>2042</v>
      </c>
      <c r="D1105" s="264" t="s">
        <v>3116</v>
      </c>
      <c r="E1105" s="264" t="s">
        <v>1083</v>
      </c>
      <c r="F1105" s="264" t="s">
        <v>2041</v>
      </c>
      <c r="G1105" s="264" t="s">
        <v>26</v>
      </c>
      <c r="H1105" s="266">
        <v>168203.6</v>
      </c>
      <c r="I1105" s="266">
        <v>0</v>
      </c>
      <c r="J1105" s="264" t="s">
        <v>2830</v>
      </c>
      <c r="K1105" s="264" t="s">
        <v>2025</v>
      </c>
      <c r="L1105" s="1" t="str">
        <f>VLOOKUP(Advices[[#This Row],[LC Number]],'Combine_List'!A:D,2,0)</f>
        <v>Performance - JEDDAH CENTRAL DEVELOPMENT COMPANY</v>
      </c>
      <c r="M1105" s="447">
        <f>VLOOKUP(Advices[[#This Row],[LC Number]],'Combine_List'!A:D,3,0)</f>
        <v>0</v>
      </c>
      <c r="N1105" s="447" t="str">
        <f>VLOOKUP(Advices[[#This Row],[LC Number]],'Combine_List'!A:D,4,0)</f>
        <v>JCD</v>
      </c>
      <c r="O1105" s="447" t="str">
        <f>VLOOKUP(Advices[[#This Row],[LC Number]],'Combine_List'!A:E,5,0)</f>
        <v>1020051</v>
      </c>
      <c r="P1105" s="447">
        <f>MONTH(Advices[[#This Row],[Transaction Date]])</f>
        <v>12</v>
      </c>
      <c r="Q1105" s="447">
        <f>YEAR(Advices[[#This Row],[Transaction Date]])</f>
        <v>2025</v>
      </c>
      <c r="R1105" s="1"/>
    </row>
    <row r="1106" spans="1:18" hidden="1" x14ac:dyDescent="0.25">
      <c r="A1106" s="264" t="s">
        <v>62</v>
      </c>
      <c r="B1106" s="265">
        <v>46006</v>
      </c>
      <c r="C1106" s="264" t="s">
        <v>2042</v>
      </c>
      <c r="D1106" s="264" t="s">
        <v>3117</v>
      </c>
      <c r="E1106" s="264" t="s">
        <v>1082</v>
      </c>
      <c r="F1106" s="264" t="s">
        <v>2041</v>
      </c>
      <c r="G1106" s="264" t="s">
        <v>26</v>
      </c>
      <c r="H1106" s="266">
        <v>25083.8</v>
      </c>
      <c r="I1106" s="266">
        <v>0</v>
      </c>
      <c r="J1106" s="264" t="s">
        <v>2830</v>
      </c>
      <c r="K1106" s="264" t="s">
        <v>2025</v>
      </c>
      <c r="L1106" s="1" t="str">
        <f>VLOOKUP(Advices[[#This Row],[LC Number]],'Combine_List'!A:D,2,0)</f>
        <v xml:space="preserve">Advance - JEDDAH CENTRAL DEVELOPMENT COMPANY (JCD) </v>
      </c>
      <c r="M1106" s="447">
        <f>VLOOKUP(Advices[[#This Row],[LC Number]],'Combine_List'!A:D,3,0)</f>
        <v>0</v>
      </c>
      <c r="N1106" s="447" t="str">
        <f>VLOOKUP(Advices[[#This Row],[LC Number]],'Combine_List'!A:D,4,0)</f>
        <v>JCD</v>
      </c>
      <c r="O1106" s="447" t="str">
        <f>VLOOKUP(Advices[[#This Row],[LC Number]],'Combine_List'!A:E,5,0)</f>
        <v>1020100</v>
      </c>
      <c r="P1106" s="447">
        <f>MONTH(Advices[[#This Row],[Transaction Date]])</f>
        <v>12</v>
      </c>
      <c r="Q1106" s="447">
        <f>YEAR(Advices[[#This Row],[Transaction Date]])</f>
        <v>2025</v>
      </c>
      <c r="R1106" s="1"/>
    </row>
    <row r="1107" spans="1:18" hidden="1" x14ac:dyDescent="0.25">
      <c r="A1107" s="264" t="s">
        <v>62</v>
      </c>
      <c r="B1107" s="265">
        <v>46006</v>
      </c>
      <c r="C1107" s="264" t="s">
        <v>2039</v>
      </c>
      <c r="D1107" s="264" t="s">
        <v>3118</v>
      </c>
      <c r="E1107" s="264" t="s">
        <v>1080</v>
      </c>
      <c r="F1107" s="264" t="s">
        <v>2041</v>
      </c>
      <c r="G1107" s="264" t="s">
        <v>26</v>
      </c>
      <c r="H1107" s="266">
        <v>21979.95</v>
      </c>
      <c r="I1107" s="266">
        <v>0</v>
      </c>
      <c r="J1107" s="264" t="s">
        <v>2830</v>
      </c>
      <c r="K1107" s="264" t="s">
        <v>2025</v>
      </c>
      <c r="L1107" s="1" t="str">
        <f>VLOOKUP(Advices[[#This Row],[LC Number]],'Combine_List'!A:D,2,0)</f>
        <v xml:space="preserve">Advance - JEDDAH CENTRAL DEVELOPMENT COMPANY (JCD) </v>
      </c>
      <c r="M1107" s="447">
        <f>VLOOKUP(Advices[[#This Row],[LC Number]],'Combine_List'!A:D,3,0)</f>
        <v>0</v>
      </c>
      <c r="N1107" s="447" t="str">
        <f>VLOOKUP(Advices[[#This Row],[LC Number]],'Combine_List'!A:D,4,0)</f>
        <v>JCD</v>
      </c>
      <c r="O1107" s="447" t="str">
        <f>VLOOKUP(Advices[[#This Row],[LC Number]],'Combine_List'!A:E,5,0)</f>
        <v>1020051</v>
      </c>
      <c r="P1107" s="447">
        <f>MONTH(Advices[[#This Row],[Transaction Date]])</f>
        <v>12</v>
      </c>
      <c r="Q1107" s="447">
        <f>YEAR(Advices[[#This Row],[Transaction Date]])</f>
        <v>2025</v>
      </c>
      <c r="R1107" s="1"/>
    </row>
    <row r="1108" spans="1:18" hidden="1" x14ac:dyDescent="0.25">
      <c r="A1108" s="264" t="s">
        <v>366</v>
      </c>
      <c r="B1108" s="265">
        <v>46006</v>
      </c>
      <c r="C1108" s="264" t="s">
        <v>2057</v>
      </c>
      <c r="D1108" s="264" t="s">
        <v>3119</v>
      </c>
      <c r="E1108" s="264" t="s">
        <v>1605</v>
      </c>
      <c r="F1108" s="1" t="s">
        <v>3529</v>
      </c>
      <c r="G1108" s="264" t="s">
        <v>26</v>
      </c>
      <c r="H1108" s="266">
        <v>-300000</v>
      </c>
      <c r="I1108" s="13">
        <v>0</v>
      </c>
      <c r="J1108" s="264" t="s">
        <v>1126</v>
      </c>
      <c r="K1108" s="264" t="s">
        <v>2025</v>
      </c>
      <c r="L1108" s="1" t="str">
        <f>VLOOKUP(Advices[[#This Row],[LC Number]],'Combine_List'!A:D,2,0)</f>
        <v>OPTIMAL ENGINEERING SOLUTIONS</v>
      </c>
      <c r="M1108" s="447" t="str">
        <f>VLOOKUP(Advices[[#This Row],[LC Number]],'Combine_List'!A:D,3,0)</f>
        <v>FIRST FIX</v>
      </c>
      <c r="N1108" s="447" t="str">
        <f>VLOOKUP(Advices[[#This Row],[LC Number]],'Combine_List'!A:D,4,0)</f>
        <v>MP1</v>
      </c>
      <c r="O1108" s="447">
        <f>VLOOKUP(Advices[[#This Row],[LC Number]],'Combine_List'!A:E,5,0)</f>
        <v>1020088</v>
      </c>
      <c r="P1108" s="447">
        <f>MONTH(Advices[[#This Row],[Transaction Date]])</f>
        <v>12</v>
      </c>
      <c r="Q1108" s="447">
        <f>YEAR(Advices[[#This Row],[Transaction Date]])</f>
        <v>2025</v>
      </c>
      <c r="R1108" s="1"/>
    </row>
    <row r="1109" spans="1:18" hidden="1" x14ac:dyDescent="0.25">
      <c r="A1109" s="264" t="s">
        <v>2089</v>
      </c>
      <c r="B1109" s="265">
        <v>46006</v>
      </c>
      <c r="C1109" s="264" t="s">
        <v>2093</v>
      </c>
      <c r="D1109" s="264" t="s">
        <v>2263</v>
      </c>
      <c r="E1109" s="264" t="s">
        <v>1280</v>
      </c>
      <c r="F1109" s="264" t="s">
        <v>2094</v>
      </c>
      <c r="G1109" s="264" t="s">
        <v>26</v>
      </c>
      <c r="H1109" s="266">
        <v>-65902.81</v>
      </c>
      <c r="I1109" s="13">
        <v>0</v>
      </c>
      <c r="J1109" s="264" t="s">
        <v>1126</v>
      </c>
      <c r="K1109" s="264" t="s">
        <v>2025</v>
      </c>
      <c r="L1109" s="1" t="str">
        <f>VLOOKUP(Advices[[#This Row],[LC Number]],'Combine_List'!A:D,2,0)</f>
        <v>KENZ SARAB MACHINERY AND EQUIPMENT COMPANY</v>
      </c>
      <c r="M1109" s="447" t="str">
        <f>VLOOKUP(Advices[[#This Row],[LC Number]],'Combine_List'!A:D,3,0)</f>
        <v>FIRST FIX</v>
      </c>
      <c r="N1109" s="447" t="str">
        <f>VLOOKUP(Advices[[#This Row],[LC Number]],'Combine_List'!A:D,4,0)</f>
        <v>JCD SPMI</v>
      </c>
      <c r="O1109" s="447">
        <f>VLOOKUP(Advices[[#This Row],[LC Number]],'Combine_List'!A:E,5,0)</f>
        <v>1020100</v>
      </c>
      <c r="P1109" s="447">
        <f>MONTH(Advices[[#This Row],[Transaction Date]])</f>
        <v>12</v>
      </c>
      <c r="Q1109" s="447">
        <f>YEAR(Advices[[#This Row],[Transaction Date]])</f>
        <v>2025</v>
      </c>
      <c r="R1109" s="1"/>
    </row>
    <row r="1110" spans="1:18" hidden="1" x14ac:dyDescent="0.25">
      <c r="A1110" s="264" t="s">
        <v>62</v>
      </c>
      <c r="B1110" s="265">
        <v>46007</v>
      </c>
      <c r="C1110" s="264" t="s">
        <v>2039</v>
      </c>
      <c r="D1110" s="264" t="s">
        <v>3120</v>
      </c>
      <c r="E1110" s="1" t="s">
        <v>1934</v>
      </c>
      <c r="F1110" s="264" t="s">
        <v>2041</v>
      </c>
      <c r="G1110" s="264" t="s">
        <v>26</v>
      </c>
      <c r="H1110" s="266">
        <v>3890.78</v>
      </c>
      <c r="I1110" s="266">
        <v>0</v>
      </c>
      <c r="J1110" s="264" t="s">
        <v>1125</v>
      </c>
      <c r="K1110" s="264" t="s">
        <v>2025</v>
      </c>
      <c r="L1110" s="1" t="str">
        <f>VLOOKUP(Advices[[#This Row],[LC Number]],'Combine_List'!A:D,2,0)</f>
        <v>Mat Filtrasyon Teknolojeleri A.S</v>
      </c>
      <c r="M1110" s="447" t="str">
        <f>VLOOKUP(Advices[[#This Row],[LC Number]],'Combine_List'!A:D,3,0)</f>
        <v>MBL</v>
      </c>
      <c r="N1110" s="447" t="str">
        <f>VLOOKUP(Advices[[#This Row],[LC Number]],'Combine_List'!A:D,4,0)</f>
        <v>Oceanarium</v>
      </c>
      <c r="O1110" s="447">
        <f>VLOOKUP(Advices[[#This Row],[LC Number]],'Combine_List'!A:E,5,0)</f>
        <v>1020096</v>
      </c>
      <c r="P1110" s="447">
        <f>MONTH(Advices[[#This Row],[Transaction Date]])</f>
        <v>12</v>
      </c>
      <c r="Q1110" s="447">
        <f>YEAR(Advices[[#This Row],[Transaction Date]])</f>
        <v>2025</v>
      </c>
      <c r="R1110" s="1"/>
    </row>
    <row r="1111" spans="1:18" hidden="1" x14ac:dyDescent="0.25">
      <c r="A1111" s="264" t="s">
        <v>62</v>
      </c>
      <c r="B1111" s="265">
        <v>46007</v>
      </c>
      <c r="C1111" s="264" t="s">
        <v>2039</v>
      </c>
      <c r="D1111" s="264" t="s">
        <v>3121</v>
      </c>
      <c r="E1111" s="1" t="s">
        <v>1934</v>
      </c>
      <c r="F1111" s="264" t="s">
        <v>2041</v>
      </c>
      <c r="G1111" s="264" t="s">
        <v>26</v>
      </c>
      <c r="H1111" s="266">
        <v>9900.2800000000007</v>
      </c>
      <c r="I1111" s="266">
        <v>0</v>
      </c>
      <c r="J1111" s="264" t="s">
        <v>1125</v>
      </c>
      <c r="K1111" s="264" t="s">
        <v>2025</v>
      </c>
      <c r="L1111" s="1" t="str">
        <f>VLOOKUP(Advices[[#This Row],[LC Number]],'Combine_List'!A:D,2,0)</f>
        <v>Mat Filtrasyon Teknolojeleri A.S</v>
      </c>
      <c r="M1111" s="447" t="str">
        <f>VLOOKUP(Advices[[#This Row],[LC Number]],'Combine_List'!A:D,3,0)</f>
        <v>MBL</v>
      </c>
      <c r="N1111" s="447" t="str">
        <f>VLOOKUP(Advices[[#This Row],[LC Number]],'Combine_List'!A:D,4,0)</f>
        <v>Oceanarium</v>
      </c>
      <c r="O1111" s="447">
        <f>VLOOKUP(Advices[[#This Row],[LC Number]],'Combine_List'!A:E,5,0)</f>
        <v>1020096</v>
      </c>
      <c r="P1111" s="447">
        <f>MONTH(Advices[[#This Row],[Transaction Date]])</f>
        <v>12</v>
      </c>
      <c r="Q1111" s="447">
        <f>YEAR(Advices[[#This Row],[Transaction Date]])</f>
        <v>2025</v>
      </c>
      <c r="R1111" s="1"/>
    </row>
    <row r="1112" spans="1:18" hidden="1" x14ac:dyDescent="0.25">
      <c r="A1112" s="264" t="s">
        <v>95</v>
      </c>
      <c r="B1112" s="265">
        <v>46007</v>
      </c>
      <c r="C1112" s="264" t="s">
        <v>2026</v>
      </c>
      <c r="D1112" s="264" t="s">
        <v>3122</v>
      </c>
      <c r="E1112" s="264" t="s">
        <v>1420</v>
      </c>
      <c r="F1112" s="264" t="s">
        <v>3123</v>
      </c>
      <c r="G1112" s="264" t="s">
        <v>26</v>
      </c>
      <c r="H1112" s="266">
        <v>-615.25</v>
      </c>
      <c r="I1112" s="13">
        <v>0</v>
      </c>
      <c r="J1112" s="264" t="s">
        <v>1125</v>
      </c>
      <c r="K1112" s="264" t="s">
        <v>2025</v>
      </c>
      <c r="L1112" s="1" t="str">
        <f>VLOOKUP(Advices[[#This Row],[LC Number]],'Combine_List'!A:D,2,0)</f>
        <v>ALFANAR ELECTRICAL SYSTEMS</v>
      </c>
      <c r="M1112" s="447" t="str">
        <f>VLOOKUP(Advices[[#This Row],[LC Number]],'Combine_List'!A:D,3,0)</f>
        <v>FIRST FIX</v>
      </c>
      <c r="N1112" s="447" t="str">
        <f>VLOOKUP(Advices[[#This Row],[LC Number]],'Combine_List'!A:D,4,0)</f>
        <v>KSP</v>
      </c>
      <c r="O1112" s="447">
        <f>VLOOKUP(Advices[[#This Row],[LC Number]],'Combine_List'!A:E,5,0)</f>
        <v>1020055</v>
      </c>
      <c r="P1112" s="447">
        <f>MONTH(Advices[[#This Row],[Transaction Date]])</f>
        <v>12</v>
      </c>
      <c r="Q1112" s="447">
        <f>YEAR(Advices[[#This Row],[Transaction Date]])</f>
        <v>2025</v>
      </c>
      <c r="R1112" s="1"/>
    </row>
    <row r="1113" spans="1:18" hidden="1" x14ac:dyDescent="0.25">
      <c r="A1113" s="264" t="s">
        <v>366</v>
      </c>
      <c r="B1113" s="265">
        <v>46007</v>
      </c>
      <c r="C1113" s="264" t="s">
        <v>2057</v>
      </c>
      <c r="D1113" s="264" t="s">
        <v>3124</v>
      </c>
      <c r="E1113" s="264" t="s">
        <v>1686</v>
      </c>
      <c r="F1113" s="1" t="s">
        <v>3530</v>
      </c>
      <c r="G1113" s="264" t="s">
        <v>26</v>
      </c>
      <c r="H1113" s="266">
        <v>-4782000</v>
      </c>
      <c r="I1113" s="13">
        <v>0</v>
      </c>
      <c r="J1113" s="264" t="s">
        <v>1126</v>
      </c>
      <c r="K1113" s="264" t="s">
        <v>2025</v>
      </c>
      <c r="L1113" s="1" t="str">
        <f>VLOOKUP(Advices[[#This Row],[LC Number]],'Combine_List'!A:D,2,0)</f>
        <v>National Fire Fighting Manufacturing</v>
      </c>
      <c r="M1113" s="447" t="str">
        <f>VLOOKUP(Advices[[#This Row],[LC Number]],'Combine_List'!A:D,3,0)</f>
        <v>FIRST FIX</v>
      </c>
      <c r="N1113" s="447" t="str">
        <f>VLOOKUP(Advices[[#This Row],[LC Number]],'Combine_List'!A:D,4,0)</f>
        <v>CEER</v>
      </c>
      <c r="O1113" s="447">
        <f>VLOOKUP(Advices[[#This Row],[LC Number]],'Combine_List'!A:E,5,0)</f>
        <v>1020091</v>
      </c>
      <c r="P1113" s="447">
        <f>MONTH(Advices[[#This Row],[Transaction Date]])</f>
        <v>12</v>
      </c>
      <c r="Q1113" s="447">
        <f>YEAR(Advices[[#This Row],[Transaction Date]])</f>
        <v>2025</v>
      </c>
      <c r="R1113" s="1"/>
    </row>
    <row r="1114" spans="1:18" hidden="1" x14ac:dyDescent="0.25">
      <c r="A1114" s="264" t="s">
        <v>366</v>
      </c>
      <c r="B1114" s="265">
        <v>46007</v>
      </c>
      <c r="C1114" s="264" t="s">
        <v>2060</v>
      </c>
      <c r="D1114" s="264" t="s">
        <v>3125</v>
      </c>
      <c r="E1114" s="264" t="s">
        <v>1869</v>
      </c>
      <c r="F1114" s="1" t="s">
        <v>3469</v>
      </c>
      <c r="G1114" s="264" t="s">
        <v>26</v>
      </c>
      <c r="H1114" s="266">
        <v>-4653.6000000000004</v>
      </c>
      <c r="I1114" s="13">
        <v>0</v>
      </c>
      <c r="J1114" s="264" t="s">
        <v>1125</v>
      </c>
      <c r="K1114" s="264" t="s">
        <v>2025</v>
      </c>
      <c r="L1114" s="1" t="str">
        <f>VLOOKUP(Advices[[#This Row],[LC Number]],'Combine_List'!A:D,2,0)</f>
        <v xml:space="preserve">DAIKIN AIR CONDITIONING SAUDI ARABIA LLC </v>
      </c>
      <c r="M1114" s="447" t="str">
        <f>VLOOKUP(Advices[[#This Row],[LC Number]],'Combine_List'!A:D,3,0)</f>
        <v>FIRST FIX</v>
      </c>
      <c r="N1114" s="447" t="str">
        <f>VLOOKUP(Advices[[#This Row],[LC Number]],'Combine_List'!A:D,4,0)</f>
        <v>MP1</v>
      </c>
      <c r="O1114" s="447">
        <f>VLOOKUP(Advices[[#This Row],[LC Number]],'Combine_List'!A:E,5,0)</f>
        <v>1020088</v>
      </c>
      <c r="P1114" s="447">
        <f>MONTH(Advices[[#This Row],[Transaction Date]])</f>
        <v>12</v>
      </c>
      <c r="Q1114" s="447">
        <f>YEAR(Advices[[#This Row],[Transaction Date]])</f>
        <v>2025</v>
      </c>
      <c r="R1114" s="1"/>
    </row>
    <row r="1115" spans="1:18" hidden="1" x14ac:dyDescent="0.25">
      <c r="A1115" s="264" t="s">
        <v>366</v>
      </c>
      <c r="B1115" s="265">
        <v>46007</v>
      </c>
      <c r="C1115" s="264" t="s">
        <v>2060</v>
      </c>
      <c r="D1115" s="264" t="s">
        <v>3126</v>
      </c>
      <c r="E1115" s="264" t="s">
        <v>1731</v>
      </c>
      <c r="F1115" s="264" t="s">
        <v>1731</v>
      </c>
      <c r="G1115" s="264" t="s">
        <v>26</v>
      </c>
      <c r="H1115" s="266">
        <v>-1264.69</v>
      </c>
      <c r="I1115" s="13">
        <v>0</v>
      </c>
      <c r="J1115" s="264" t="s">
        <v>1125</v>
      </c>
      <c r="K1115" s="264" t="s">
        <v>5459</v>
      </c>
      <c r="L1115" s="1" t="str">
        <f>VLOOKUP(Advices[[#This Row],[LC Number]],'Combine_List'!A:D,2,0)</f>
        <v>GIBCA Furniture Industry Co Ltd</v>
      </c>
      <c r="M1115" s="447" t="str">
        <f>VLOOKUP(Advices[[#This Row],[LC Number]],'Combine_List'!A:D,3,0)</f>
        <v>MBL</v>
      </c>
      <c r="N1115" s="447" t="str">
        <f>VLOOKUP(Advices[[#This Row],[LC Number]],'Combine_List'!A:D,4,0)</f>
        <v>ABHA</v>
      </c>
      <c r="O1115" s="447">
        <f>VLOOKUP(Advices[[#This Row],[LC Number]],'Combine_List'!A:E,5,0)</f>
        <v>1020070</v>
      </c>
      <c r="P1115" s="447">
        <f>MONTH(Advices[[#This Row],[Transaction Date]])</f>
        <v>12</v>
      </c>
      <c r="Q1115" s="447">
        <f>YEAR(Advices[[#This Row],[Transaction Date]])</f>
        <v>2025</v>
      </c>
      <c r="R1115" s="1" t="s">
        <v>3360</v>
      </c>
    </row>
    <row r="1116" spans="1:18" hidden="1" x14ac:dyDescent="0.25">
      <c r="A1116" s="264" t="s">
        <v>366</v>
      </c>
      <c r="B1116" s="265">
        <v>46007</v>
      </c>
      <c r="C1116" s="264" t="s">
        <v>2060</v>
      </c>
      <c r="D1116" s="264" t="s">
        <v>3127</v>
      </c>
      <c r="E1116" s="264" t="s">
        <v>1597</v>
      </c>
      <c r="F1116" s="1" t="s">
        <v>3425</v>
      </c>
      <c r="G1116" s="264" t="s">
        <v>26</v>
      </c>
      <c r="H1116" s="266">
        <v>-283333.74</v>
      </c>
      <c r="I1116" s="13">
        <v>0</v>
      </c>
      <c r="J1116" s="264" t="s">
        <v>1126</v>
      </c>
      <c r="K1116" s="264" t="s">
        <v>2025</v>
      </c>
      <c r="L1116" s="1" t="str">
        <f>VLOOKUP(Advices[[#This Row],[LC Number]],'Combine_List'!A:D,2,0)</f>
        <v>JOHNSON CONTROLS ARABIA LTD.</v>
      </c>
      <c r="M1116" s="447" t="str">
        <f>VLOOKUP(Advices[[#This Row],[LC Number]],'Combine_List'!A:D,3,0)</f>
        <v>FIRST FIX</v>
      </c>
      <c r="N1116" s="447" t="str">
        <f>VLOOKUP(Advices[[#This Row],[LC Number]],'Combine_List'!A:D,4,0)</f>
        <v>MP1</v>
      </c>
      <c r="O1116" s="1"/>
      <c r="P1116" s="1">
        <f>MONTH(Advices[[#This Row],[Transaction Date]])</f>
        <v>12</v>
      </c>
      <c r="Q1116" s="1">
        <f>YEAR(Advices[[#This Row],[Transaction Date]])</f>
        <v>2025</v>
      </c>
      <c r="R1116" s="1"/>
    </row>
    <row r="1117" spans="1:18" hidden="1" x14ac:dyDescent="0.25">
      <c r="A1117" s="264" t="s">
        <v>366</v>
      </c>
      <c r="B1117" s="265">
        <v>46007</v>
      </c>
      <c r="C1117" s="264" t="s">
        <v>2057</v>
      </c>
      <c r="D1117" s="264" t="s">
        <v>3128</v>
      </c>
      <c r="E1117" s="264" t="s">
        <v>1649</v>
      </c>
      <c r="F1117" s="1" t="s">
        <v>3531</v>
      </c>
      <c r="G1117" s="264" t="s">
        <v>26</v>
      </c>
      <c r="H1117" s="266">
        <v>-621000</v>
      </c>
      <c r="I1117" s="13">
        <v>0</v>
      </c>
      <c r="J1117" s="264" t="s">
        <v>1126</v>
      </c>
      <c r="K1117" s="264" t="s">
        <v>2025</v>
      </c>
      <c r="L1117" s="1" t="str">
        <f>VLOOKUP(Advices[[#This Row],[LC Number]],'Combine_List'!A:D,2,0)</f>
        <v>Alkhorayef Commercial co.</v>
      </c>
      <c r="M1117" s="447" t="str">
        <f>VLOOKUP(Advices[[#This Row],[LC Number]],'Combine_List'!A:D,3,0)</f>
        <v>FIRST FIX</v>
      </c>
      <c r="N1117" s="447" t="str">
        <f>VLOOKUP(Advices[[#This Row],[LC Number]],'Combine_List'!A:D,4,0)</f>
        <v>CEER</v>
      </c>
      <c r="O1117" s="1"/>
      <c r="P1117" s="1">
        <f>MONTH(Advices[[#This Row],[Transaction Date]])</f>
        <v>12</v>
      </c>
      <c r="Q1117" s="1">
        <f>YEAR(Advices[[#This Row],[Transaction Date]])</f>
        <v>2025</v>
      </c>
      <c r="R1117" s="1"/>
    </row>
    <row r="1118" spans="1:18" hidden="1" x14ac:dyDescent="0.25">
      <c r="A1118" s="264" t="s">
        <v>366</v>
      </c>
      <c r="B1118" s="265">
        <v>46007</v>
      </c>
      <c r="C1118" s="264" t="s">
        <v>2060</v>
      </c>
      <c r="D1118" s="264" t="s">
        <v>3129</v>
      </c>
      <c r="E1118" s="264" t="s">
        <v>1188</v>
      </c>
      <c r="F1118" s="1" t="s">
        <v>3470</v>
      </c>
      <c r="G1118" s="264" t="s">
        <v>26</v>
      </c>
      <c r="H1118" s="266">
        <v>-1114.79</v>
      </c>
      <c r="I1118" s="13">
        <v>0</v>
      </c>
      <c r="J1118" s="264" t="s">
        <v>1125</v>
      </c>
      <c r="K1118" s="264" t="s">
        <v>2025</v>
      </c>
      <c r="L1118" s="1" t="str">
        <f>VLOOKUP(Advices[[#This Row],[LC Number]],'Combine_List'!A:D,2,0)</f>
        <v>DAIKIN AIR CONDITIONING SAUDI ARABIA</v>
      </c>
      <c r="M1118" s="447" t="str">
        <f>VLOOKUP(Advices[[#This Row],[LC Number]],'Combine_List'!A:D,3,0)</f>
        <v>FIRST FIX</v>
      </c>
      <c r="N1118" s="447" t="str">
        <f>VLOOKUP(Advices[[#This Row],[LC Number]],'Combine_List'!A:D,4,0)</f>
        <v>MP1</v>
      </c>
      <c r="O1118" s="1"/>
      <c r="P1118" s="1">
        <f>MONTH(Advices[[#This Row],[Transaction Date]])</f>
        <v>12</v>
      </c>
      <c r="Q1118" s="1">
        <f>YEAR(Advices[[#This Row],[Transaction Date]])</f>
        <v>2025</v>
      </c>
      <c r="R1118" s="1"/>
    </row>
    <row r="1119" spans="1:18" hidden="1" x14ac:dyDescent="0.25">
      <c r="A1119" s="264" t="s">
        <v>612</v>
      </c>
      <c r="B1119" s="265">
        <v>46007</v>
      </c>
      <c r="C1119" s="264" t="s">
        <v>2101</v>
      </c>
      <c r="D1119" s="264" t="s">
        <v>3130</v>
      </c>
      <c r="E1119" s="264" t="s">
        <v>721</v>
      </c>
      <c r="F1119" s="264" t="s">
        <v>2041</v>
      </c>
      <c r="G1119" s="264" t="s">
        <v>26</v>
      </c>
      <c r="H1119" s="266">
        <v>565800</v>
      </c>
      <c r="I1119" s="266">
        <v>0</v>
      </c>
      <c r="J1119" s="264" t="s">
        <v>1126</v>
      </c>
      <c r="K1119" s="264" t="s">
        <v>2025</v>
      </c>
      <c r="L1119" s="1" t="str">
        <f>VLOOKUP(Advices[[#This Row],[LC Number]],'Combine_List'!A:D,2,0)</f>
        <v>ALFANAR ELECTRICAL SYSTEMS</v>
      </c>
      <c r="M1119" s="447" t="str">
        <f>VLOOKUP(Advices[[#This Row],[LC Number]],'Combine_List'!A:D,3,0)</f>
        <v>FIRST FIX</v>
      </c>
      <c r="N1119" s="447" t="str">
        <f>VLOOKUP(Advices[[#This Row],[LC Number]],'Combine_List'!A:D,4,0)</f>
        <v>RCRC</v>
      </c>
      <c r="O1119" s="1"/>
      <c r="P1119" s="1">
        <f>MONTH(Advices[[#This Row],[Transaction Date]])</f>
        <v>12</v>
      </c>
      <c r="Q1119" s="1">
        <f>YEAR(Advices[[#This Row],[Transaction Date]])</f>
        <v>2025</v>
      </c>
      <c r="R1119" s="1"/>
    </row>
    <row r="1120" spans="1:18" hidden="1" x14ac:dyDescent="0.25">
      <c r="A1120" s="264" t="s">
        <v>2089</v>
      </c>
      <c r="B1120" s="265">
        <v>46007</v>
      </c>
      <c r="C1120" s="264" t="s">
        <v>2093</v>
      </c>
      <c r="D1120" s="264" t="s">
        <v>3131</v>
      </c>
      <c r="E1120" s="264" t="s">
        <v>1280</v>
      </c>
      <c r="F1120" s="264" t="s">
        <v>2094</v>
      </c>
      <c r="G1120" s="264" t="s">
        <v>26</v>
      </c>
      <c r="H1120" s="266"/>
      <c r="I1120" s="266">
        <v>65902.81</v>
      </c>
      <c r="J1120" s="264" t="s">
        <v>1126</v>
      </c>
      <c r="K1120" s="264" t="s">
        <v>2025</v>
      </c>
      <c r="L1120" s="1" t="str">
        <f>VLOOKUP(Advices[[#This Row],[LC Number]],'Combine_List'!A:D,2,0)</f>
        <v>KENZ SARAB MACHINERY AND EQUIPMENT COMPANY</v>
      </c>
      <c r="M1120" s="447" t="str">
        <f>VLOOKUP(Advices[[#This Row],[LC Number]],'Combine_List'!A:D,3,0)</f>
        <v>FIRST FIX</v>
      </c>
      <c r="N1120" s="447" t="str">
        <f>VLOOKUP(Advices[[#This Row],[LC Number]],'Combine_List'!A:D,4,0)</f>
        <v>JCD SPMI</v>
      </c>
      <c r="O1120" s="1"/>
      <c r="P1120" s="1">
        <f>MONTH(Advices[[#This Row],[Transaction Date]])</f>
        <v>12</v>
      </c>
      <c r="Q1120" s="1">
        <f>YEAR(Advices[[#This Row],[Transaction Date]])</f>
        <v>2025</v>
      </c>
      <c r="R1120" s="1"/>
    </row>
    <row r="1121" spans="1:18" hidden="1" x14ac:dyDescent="0.25">
      <c r="A1121" s="264" t="s">
        <v>62</v>
      </c>
      <c r="B1121" s="265">
        <v>46008</v>
      </c>
      <c r="C1121" s="264" t="s">
        <v>2039</v>
      </c>
      <c r="D1121" s="264" t="s">
        <v>3132</v>
      </c>
      <c r="E1121" s="264" t="s">
        <v>1834</v>
      </c>
      <c r="F1121" s="264" t="s">
        <v>2041</v>
      </c>
      <c r="G1121" s="264" t="s">
        <v>26</v>
      </c>
      <c r="H1121" s="266">
        <v>1653.77</v>
      </c>
      <c r="I1121" s="266">
        <v>0</v>
      </c>
      <c r="J1121" s="264" t="s">
        <v>1125</v>
      </c>
      <c r="K1121" s="264" t="s">
        <v>2025</v>
      </c>
      <c r="L1121" s="1" t="str">
        <f>VLOOKUP(Advices[[#This Row],[LC Number]],'Combine_List'!A:D,2,0)</f>
        <v>Jiangsu Donchamp New Materials Technology Co.Ltd.</v>
      </c>
      <c r="M1121" s="447" t="str">
        <f>VLOOKUP(Advices[[#This Row],[LC Number]],'Combine_List'!A:D,3,0)</f>
        <v>MBL</v>
      </c>
      <c r="N1121" s="447" t="str">
        <f>VLOOKUP(Advices[[#This Row],[LC Number]],'Combine_List'!A:D,4,0)</f>
        <v>Oceanarium</v>
      </c>
      <c r="O1121" s="1"/>
      <c r="P1121" s="1">
        <f>MONTH(Advices[[#This Row],[Transaction Date]])</f>
        <v>12</v>
      </c>
      <c r="Q1121" s="1">
        <f>YEAR(Advices[[#This Row],[Transaction Date]])</f>
        <v>2025</v>
      </c>
      <c r="R1121" s="1"/>
    </row>
    <row r="1122" spans="1:18" hidden="1" x14ac:dyDescent="0.25">
      <c r="A1122" s="264" t="s">
        <v>366</v>
      </c>
      <c r="B1122" s="265">
        <v>46008</v>
      </c>
      <c r="C1122" s="264" t="s">
        <v>2057</v>
      </c>
      <c r="D1122" s="264" t="s">
        <v>3133</v>
      </c>
      <c r="E1122" s="264" t="s">
        <v>1769</v>
      </c>
      <c r="F1122" s="1" t="s">
        <v>3532</v>
      </c>
      <c r="G1122" s="264" t="s">
        <v>26</v>
      </c>
      <c r="H1122" s="266">
        <v>-700000</v>
      </c>
      <c r="I1122" s="13">
        <v>0</v>
      </c>
      <c r="J1122" s="264" t="s">
        <v>1126</v>
      </c>
      <c r="K1122" s="264" t="s">
        <v>2025</v>
      </c>
      <c r="L1122" s="1" t="str">
        <f>VLOOKUP(Advices[[#This Row],[LC Number]],'Combine_List'!A:D,2,0)</f>
        <v>MASQ FOR ELECTRICAL TOOLS CO</v>
      </c>
      <c r="M1122" s="447" t="str">
        <f>VLOOKUP(Advices[[#This Row],[LC Number]],'Combine_List'!A:D,3,0)</f>
        <v>FIRST FIX</v>
      </c>
      <c r="N1122" s="447" t="str">
        <f>VLOOKUP(Advices[[#This Row],[LC Number]],'Combine_List'!A:D,4,0)</f>
        <v>MP1</v>
      </c>
      <c r="O1122" s="1"/>
      <c r="P1122" s="1">
        <f>MONTH(Advices[[#This Row],[Transaction Date]])</f>
        <v>12</v>
      </c>
      <c r="Q1122" s="1">
        <f>YEAR(Advices[[#This Row],[Transaction Date]])</f>
        <v>2025</v>
      </c>
      <c r="R1122" s="1"/>
    </row>
    <row r="1123" spans="1:18" hidden="1" x14ac:dyDescent="0.25">
      <c r="A1123" s="264" t="s">
        <v>366</v>
      </c>
      <c r="B1123" s="265">
        <v>46008</v>
      </c>
      <c r="C1123" s="264" t="s">
        <v>2057</v>
      </c>
      <c r="D1123" s="264" t="s">
        <v>3134</v>
      </c>
      <c r="E1123" s="264" t="s">
        <v>1768</v>
      </c>
      <c r="F1123" s="1" t="s">
        <v>3420</v>
      </c>
      <c r="G1123" s="264" t="s">
        <v>26</v>
      </c>
      <c r="H1123" s="266">
        <v>-200000</v>
      </c>
      <c r="I1123" s="13">
        <v>0</v>
      </c>
      <c r="J1123" s="264" t="s">
        <v>1126</v>
      </c>
      <c r="K1123" s="264" t="s">
        <v>2025</v>
      </c>
      <c r="L1123" s="1" t="str">
        <f>VLOOKUP(Advices[[#This Row],[LC Number]],'Combine_List'!A:D,2,0)</f>
        <v>Masdar Technical Supplies Co.</v>
      </c>
      <c r="M1123" s="447" t="str">
        <f>VLOOKUP(Advices[[#This Row],[LC Number]],'Combine_List'!A:D,3,0)</f>
        <v>FIRST FIX</v>
      </c>
      <c r="N1123" s="447" t="str">
        <f>VLOOKUP(Advices[[#This Row],[LC Number]],'Combine_List'!A:D,4,0)</f>
        <v>MP1</v>
      </c>
      <c r="O1123" s="1"/>
      <c r="P1123" s="1">
        <f>MONTH(Advices[[#This Row],[Transaction Date]])</f>
        <v>12</v>
      </c>
      <c r="Q1123" s="1">
        <f>YEAR(Advices[[#This Row],[Transaction Date]])</f>
        <v>2025</v>
      </c>
      <c r="R1123" s="1"/>
    </row>
    <row r="1124" spans="1:18" hidden="1" x14ac:dyDescent="0.25">
      <c r="A1124" s="264" t="s">
        <v>366</v>
      </c>
      <c r="B1124" s="265">
        <v>46008</v>
      </c>
      <c r="C1124" s="264" t="s">
        <v>2057</v>
      </c>
      <c r="D1124" s="264" t="s">
        <v>3135</v>
      </c>
      <c r="E1124" s="264" t="s">
        <v>1816</v>
      </c>
      <c r="F1124" s="1" t="s">
        <v>3533</v>
      </c>
      <c r="G1124" s="264" t="s">
        <v>26</v>
      </c>
      <c r="H1124" s="266">
        <v>-809915</v>
      </c>
      <c r="I1124" s="13">
        <v>0</v>
      </c>
      <c r="J1124" s="264" t="s">
        <v>1126</v>
      </c>
      <c r="K1124" s="264" t="s">
        <v>2025</v>
      </c>
      <c r="L1124" s="1" t="str">
        <f>VLOOKUP(Advices[[#This Row],[LC Number]],'Combine_List'!A:D,2,0)</f>
        <v>Electric House Trading Company L.L.C.</v>
      </c>
      <c r="M1124" s="447" t="str">
        <f>VLOOKUP(Advices[[#This Row],[LC Number]],'Combine_List'!A:D,3,0)</f>
        <v>MBL/ICAD</v>
      </c>
      <c r="N1124" s="447" t="str">
        <f>VLOOKUP(Advices[[#This Row],[LC Number]],'Combine_List'!A:D,4,0)</f>
        <v>ABHA</v>
      </c>
      <c r="O1124" s="1"/>
      <c r="P1124" s="1">
        <f>MONTH(Advices[[#This Row],[Transaction Date]])</f>
        <v>12</v>
      </c>
      <c r="Q1124" s="1">
        <f>YEAR(Advices[[#This Row],[Transaction Date]])</f>
        <v>2025</v>
      </c>
      <c r="R1124" s="1"/>
    </row>
    <row r="1125" spans="1:18" hidden="1" x14ac:dyDescent="0.25">
      <c r="A1125" s="264" t="s">
        <v>612</v>
      </c>
      <c r="B1125" s="265">
        <v>46008</v>
      </c>
      <c r="C1125" s="264" t="s">
        <v>2101</v>
      </c>
      <c r="D1125" s="264" t="s">
        <v>3136</v>
      </c>
      <c r="E1125" s="264" t="s">
        <v>1819</v>
      </c>
      <c r="F1125" s="264" t="s">
        <v>2041</v>
      </c>
      <c r="G1125" s="264" t="s">
        <v>26</v>
      </c>
      <c r="H1125" s="266">
        <v>100</v>
      </c>
      <c r="I1125" s="266">
        <v>0</v>
      </c>
      <c r="J1125" s="264" t="s">
        <v>1125</v>
      </c>
      <c r="K1125" s="264" t="s">
        <v>2025</v>
      </c>
      <c r="L1125" s="1" t="str">
        <f>VLOOKUP(Advices[[#This Row],[LC Number]],'Combine_List'!A:D,2,0)</f>
        <v>United Park Co.</v>
      </c>
      <c r="M1125" s="447" t="str">
        <f>VLOOKUP(Advices[[#This Row],[LC Number]],'Combine_List'!A:D,3,0)</f>
        <v>FIRST FIX</v>
      </c>
      <c r="N1125" s="447" t="str">
        <f>VLOOKUP(Advices[[#This Row],[LC Number]],'Combine_List'!A:D,4,0)</f>
        <v>RCRC</v>
      </c>
      <c r="O1125" s="1"/>
      <c r="P1125" s="1">
        <f>MONTH(Advices[[#This Row],[Transaction Date]])</f>
        <v>12</v>
      </c>
      <c r="Q1125" s="1">
        <f>YEAR(Advices[[#This Row],[Transaction Date]])</f>
        <v>2025</v>
      </c>
      <c r="R1125" s="1"/>
    </row>
    <row r="1126" spans="1:18" hidden="1" x14ac:dyDescent="0.25">
      <c r="A1126" s="264" t="s">
        <v>612</v>
      </c>
      <c r="B1126" s="265">
        <v>46008</v>
      </c>
      <c r="C1126" s="264" t="s">
        <v>2101</v>
      </c>
      <c r="D1126" s="264" t="s">
        <v>3137</v>
      </c>
      <c r="E1126" s="264" t="s">
        <v>1819</v>
      </c>
      <c r="F1126" s="264" t="s">
        <v>2041</v>
      </c>
      <c r="G1126" s="264" t="s">
        <v>26</v>
      </c>
      <c r="H1126" s="266">
        <v>15</v>
      </c>
      <c r="I1126" s="266">
        <v>0</v>
      </c>
      <c r="J1126" s="264" t="s">
        <v>1174</v>
      </c>
      <c r="K1126" s="264" t="s">
        <v>2025</v>
      </c>
      <c r="L1126" s="1" t="str">
        <f>VLOOKUP(Advices[[#This Row],[LC Number]],'Combine_List'!A:D,2,0)</f>
        <v>United Park Co.</v>
      </c>
      <c r="M1126" s="447" t="str">
        <f>VLOOKUP(Advices[[#This Row],[LC Number]],'Combine_List'!A:D,3,0)</f>
        <v>FIRST FIX</v>
      </c>
      <c r="N1126" s="447" t="str">
        <f>VLOOKUP(Advices[[#This Row],[LC Number]],'Combine_List'!A:D,4,0)</f>
        <v>RCRC</v>
      </c>
      <c r="O1126" s="1"/>
      <c r="P1126" s="1">
        <f>MONTH(Advices[[#This Row],[Transaction Date]])</f>
        <v>12</v>
      </c>
      <c r="Q1126" s="1">
        <f>YEAR(Advices[[#This Row],[Transaction Date]])</f>
        <v>2025</v>
      </c>
      <c r="R1126" s="1"/>
    </row>
    <row r="1127" spans="1:18" hidden="1" x14ac:dyDescent="0.25">
      <c r="A1127" s="264" t="s">
        <v>612</v>
      </c>
      <c r="B1127" s="265">
        <v>46008</v>
      </c>
      <c r="C1127" s="264" t="s">
        <v>2101</v>
      </c>
      <c r="D1127" s="264" t="s">
        <v>3138</v>
      </c>
      <c r="E1127" s="264" t="s">
        <v>1819</v>
      </c>
      <c r="F1127" s="264" t="s">
        <v>2041</v>
      </c>
      <c r="G1127" s="264" t="s">
        <v>26</v>
      </c>
      <c r="H1127" s="266">
        <v>314</v>
      </c>
      <c r="I1127" s="266">
        <v>0</v>
      </c>
      <c r="J1127" s="264" t="s">
        <v>1125</v>
      </c>
      <c r="K1127" s="264" t="s">
        <v>2025</v>
      </c>
      <c r="L1127" s="1" t="str">
        <f>VLOOKUP(Advices[[#This Row],[LC Number]],'Combine_List'!A:D,2,0)</f>
        <v>United Park Co.</v>
      </c>
      <c r="M1127" s="447" t="str">
        <f>VLOOKUP(Advices[[#This Row],[LC Number]],'Combine_List'!A:D,3,0)</f>
        <v>FIRST FIX</v>
      </c>
      <c r="N1127" s="447" t="str">
        <f>VLOOKUP(Advices[[#This Row],[LC Number]],'Combine_List'!A:D,4,0)</f>
        <v>RCRC</v>
      </c>
      <c r="O1127" s="1"/>
      <c r="P1127" s="1">
        <f>MONTH(Advices[[#This Row],[Transaction Date]])</f>
        <v>12</v>
      </c>
      <c r="Q1127" s="1">
        <f>YEAR(Advices[[#This Row],[Transaction Date]])</f>
        <v>2025</v>
      </c>
      <c r="R1127" s="1"/>
    </row>
    <row r="1128" spans="1:18" hidden="1" x14ac:dyDescent="0.25">
      <c r="A1128" s="264" t="s">
        <v>612</v>
      </c>
      <c r="B1128" s="265">
        <v>46008</v>
      </c>
      <c r="C1128" s="264" t="s">
        <v>2101</v>
      </c>
      <c r="D1128" s="264" t="s">
        <v>3139</v>
      </c>
      <c r="E1128" s="264" t="s">
        <v>1819</v>
      </c>
      <c r="F1128" s="264" t="s">
        <v>2041</v>
      </c>
      <c r="G1128" s="264" t="s">
        <v>26</v>
      </c>
      <c r="H1128" s="266">
        <v>47.1</v>
      </c>
      <c r="I1128" s="266">
        <v>0</v>
      </c>
      <c r="J1128" s="264" t="s">
        <v>1174</v>
      </c>
      <c r="K1128" s="264" t="s">
        <v>2025</v>
      </c>
      <c r="L1128" s="1" t="str">
        <f>VLOOKUP(Advices[[#This Row],[LC Number]],'Combine_List'!A:D,2,0)</f>
        <v>United Park Co.</v>
      </c>
      <c r="M1128" s="447" t="str">
        <f>VLOOKUP(Advices[[#This Row],[LC Number]],'Combine_List'!A:D,3,0)</f>
        <v>FIRST FIX</v>
      </c>
      <c r="N1128" s="447" t="str">
        <f>VLOOKUP(Advices[[#This Row],[LC Number]],'Combine_List'!A:D,4,0)</f>
        <v>RCRC</v>
      </c>
      <c r="O1128" s="1"/>
      <c r="P1128" s="1">
        <f>MONTH(Advices[[#This Row],[Transaction Date]])</f>
        <v>12</v>
      </c>
      <c r="Q1128" s="1">
        <f>YEAR(Advices[[#This Row],[Transaction Date]])</f>
        <v>2025</v>
      </c>
      <c r="R1128" s="1"/>
    </row>
    <row r="1129" spans="1:18" hidden="1" x14ac:dyDescent="0.25">
      <c r="A1129" s="264" t="s">
        <v>612</v>
      </c>
      <c r="B1129" s="265">
        <v>46008</v>
      </c>
      <c r="C1129" s="264" t="s">
        <v>2101</v>
      </c>
      <c r="D1129" s="264" t="s">
        <v>3140</v>
      </c>
      <c r="E1129" s="264" t="s">
        <v>1819</v>
      </c>
      <c r="F1129" s="264" t="s">
        <v>2041</v>
      </c>
      <c r="G1129" s="264" t="s">
        <v>26</v>
      </c>
      <c r="H1129" s="266">
        <v>200</v>
      </c>
      <c r="I1129" s="266">
        <v>0</v>
      </c>
      <c r="J1129" s="264" t="s">
        <v>1125</v>
      </c>
      <c r="K1129" s="264" t="s">
        <v>2025</v>
      </c>
      <c r="L1129" s="1" t="str">
        <f>VLOOKUP(Advices[[#This Row],[LC Number]],'Combine_List'!A:D,2,0)</f>
        <v>United Park Co.</v>
      </c>
      <c r="M1129" s="447" t="str">
        <f>VLOOKUP(Advices[[#This Row],[LC Number]],'Combine_List'!A:D,3,0)</f>
        <v>FIRST FIX</v>
      </c>
      <c r="N1129" s="447" t="str">
        <f>VLOOKUP(Advices[[#This Row],[LC Number]],'Combine_List'!A:D,4,0)</f>
        <v>RCRC</v>
      </c>
      <c r="O1129" s="1"/>
      <c r="P1129" s="1">
        <f>MONTH(Advices[[#This Row],[Transaction Date]])</f>
        <v>12</v>
      </c>
      <c r="Q1129" s="1">
        <f>YEAR(Advices[[#This Row],[Transaction Date]])</f>
        <v>2025</v>
      </c>
      <c r="R1129" s="1"/>
    </row>
    <row r="1130" spans="1:18" hidden="1" x14ac:dyDescent="0.25">
      <c r="A1130" s="264" t="s">
        <v>612</v>
      </c>
      <c r="B1130" s="265">
        <v>46008</v>
      </c>
      <c r="C1130" s="264" t="s">
        <v>2101</v>
      </c>
      <c r="D1130" s="264" t="s">
        <v>3141</v>
      </c>
      <c r="E1130" s="264" t="s">
        <v>1819</v>
      </c>
      <c r="F1130" s="264" t="s">
        <v>2041</v>
      </c>
      <c r="G1130" s="264" t="s">
        <v>26</v>
      </c>
      <c r="H1130" s="266">
        <v>30</v>
      </c>
      <c r="I1130" s="266">
        <v>0</v>
      </c>
      <c r="J1130" s="264" t="s">
        <v>1174</v>
      </c>
      <c r="K1130" s="264" t="s">
        <v>2025</v>
      </c>
      <c r="L1130" s="1" t="str">
        <f>VLOOKUP(Advices[[#This Row],[LC Number]],'Combine_List'!A:D,2,0)</f>
        <v>United Park Co.</v>
      </c>
      <c r="M1130" s="447" t="str">
        <f>VLOOKUP(Advices[[#This Row],[LC Number]],'Combine_List'!A:D,3,0)</f>
        <v>FIRST FIX</v>
      </c>
      <c r="N1130" s="447" t="str">
        <f>VLOOKUP(Advices[[#This Row],[LC Number]],'Combine_List'!A:D,4,0)</f>
        <v>RCRC</v>
      </c>
      <c r="O1130" s="1"/>
      <c r="P1130" s="1">
        <f>MONTH(Advices[[#This Row],[Transaction Date]])</f>
        <v>12</v>
      </c>
      <c r="Q1130" s="1">
        <f>YEAR(Advices[[#This Row],[Transaction Date]])</f>
        <v>2025</v>
      </c>
      <c r="R1130" s="1"/>
    </row>
    <row r="1131" spans="1:18" x14ac:dyDescent="0.25">
      <c r="A1131" s="264" t="s">
        <v>21</v>
      </c>
      <c r="B1131" s="265">
        <v>46009</v>
      </c>
      <c r="C1131" s="264" t="s">
        <v>1951</v>
      </c>
      <c r="D1131" s="264" t="s">
        <v>3148</v>
      </c>
      <c r="E1131" s="264" t="s">
        <v>3144</v>
      </c>
      <c r="F1131" s="264" t="s">
        <v>3144</v>
      </c>
      <c r="G1131" s="264" t="s">
        <v>26</v>
      </c>
      <c r="H1131" s="266">
        <v>-105</v>
      </c>
      <c r="I1131" s="13">
        <v>0</v>
      </c>
      <c r="J1131" s="264" t="s">
        <v>1174</v>
      </c>
      <c r="K1131" s="264" t="s">
        <v>2025</v>
      </c>
      <c r="L1131" s="1" t="str">
        <f>VLOOKUP(Advices[[#This Row],[LC Number]],'Combine_List'!A:D,2,0)</f>
        <v>Depa Saudi Arabia for Contracting and Interior Decorating Co. Ltd.</v>
      </c>
      <c r="M1131" s="447" t="str">
        <f>VLOOKUP(Advices[[#This Row],[LC Number]],'Combine_List'!A:D,3,0)</f>
        <v>MBL</v>
      </c>
      <c r="N1131" s="447" t="str">
        <f>VLOOKUP(Advices[[#This Row],[LC Number]],'Combine_List'!A:D,4,0)</f>
        <v>KSP</v>
      </c>
      <c r="O1131" s="1"/>
      <c r="P1131" s="1">
        <f>MONTH(Advices[[#This Row],[Transaction Date]])</f>
        <v>12</v>
      </c>
      <c r="Q1131" s="1">
        <f>YEAR(Advices[[#This Row],[Transaction Date]])</f>
        <v>2025</v>
      </c>
      <c r="R1131" s="1"/>
    </row>
    <row r="1132" spans="1:18" x14ac:dyDescent="0.25">
      <c r="A1132" s="264" t="s">
        <v>21</v>
      </c>
      <c r="B1132" s="265">
        <v>46009</v>
      </c>
      <c r="C1132" s="264" t="s">
        <v>1951</v>
      </c>
      <c r="D1132" s="264" t="s">
        <v>3149</v>
      </c>
      <c r="E1132" s="264" t="s">
        <v>3144</v>
      </c>
      <c r="F1132" s="264" t="s">
        <v>3144</v>
      </c>
      <c r="G1132" s="264" t="s">
        <v>26</v>
      </c>
      <c r="H1132" s="266">
        <v>-700</v>
      </c>
      <c r="I1132" s="13">
        <v>0</v>
      </c>
      <c r="J1132" s="264" t="s">
        <v>1963</v>
      </c>
      <c r="K1132" s="264" t="s">
        <v>2025</v>
      </c>
      <c r="L1132" s="1" t="str">
        <f>VLOOKUP(Advices[[#This Row],[LC Number]],'Combine_List'!A:D,2,0)</f>
        <v>Depa Saudi Arabia for Contracting and Interior Decorating Co. Ltd.</v>
      </c>
      <c r="M1132" s="447" t="str">
        <f>VLOOKUP(Advices[[#This Row],[LC Number]],'Combine_List'!A:D,3,0)</f>
        <v>MBL</v>
      </c>
      <c r="N1132" s="447" t="str">
        <f>VLOOKUP(Advices[[#This Row],[LC Number]],'Combine_List'!A:D,4,0)</f>
        <v>KSP</v>
      </c>
      <c r="O1132" s="1"/>
      <c r="P1132" s="1">
        <f>MONTH(Advices[[#This Row],[Transaction Date]])</f>
        <v>12</v>
      </c>
      <c r="Q1132" s="1">
        <f>YEAR(Advices[[#This Row],[Transaction Date]])</f>
        <v>2025</v>
      </c>
      <c r="R1132" s="1"/>
    </row>
    <row r="1133" spans="1:18" x14ac:dyDescent="0.25">
      <c r="A1133" s="264" t="s">
        <v>21</v>
      </c>
      <c r="B1133" s="265">
        <v>46009</v>
      </c>
      <c r="C1133" s="264" t="s">
        <v>1951</v>
      </c>
      <c r="D1133" s="264" t="s">
        <v>3148</v>
      </c>
      <c r="E1133" s="264" t="s">
        <v>3144</v>
      </c>
      <c r="F1133" s="264" t="s">
        <v>3144</v>
      </c>
      <c r="G1133" s="264" t="s">
        <v>26</v>
      </c>
      <c r="H1133" s="266">
        <v>-5700</v>
      </c>
      <c r="I1133" s="13">
        <v>0</v>
      </c>
      <c r="J1133" s="264" t="s">
        <v>1174</v>
      </c>
      <c r="K1133" s="264" t="s">
        <v>2025</v>
      </c>
      <c r="L1133" s="1" t="str">
        <f>VLOOKUP(Advices[[#This Row],[LC Number]],'Combine_List'!A:D,2,0)</f>
        <v>Depa Saudi Arabia for Contracting and Interior Decorating Co. Ltd.</v>
      </c>
      <c r="M1133" s="447" t="str">
        <f>VLOOKUP(Advices[[#This Row],[LC Number]],'Combine_List'!A:D,3,0)</f>
        <v>MBL</v>
      </c>
      <c r="N1133" s="447" t="str">
        <f>VLOOKUP(Advices[[#This Row],[LC Number]],'Combine_List'!A:D,4,0)</f>
        <v>KSP</v>
      </c>
      <c r="O1133" s="1"/>
      <c r="P1133" s="1">
        <f>MONTH(Advices[[#This Row],[Transaction Date]])</f>
        <v>12</v>
      </c>
      <c r="Q1133" s="1">
        <f>YEAR(Advices[[#This Row],[Transaction Date]])</f>
        <v>2025</v>
      </c>
      <c r="R1133" s="1"/>
    </row>
    <row r="1134" spans="1:18" x14ac:dyDescent="0.25">
      <c r="A1134" s="264" t="s">
        <v>21</v>
      </c>
      <c r="B1134" s="265">
        <v>46009</v>
      </c>
      <c r="C1134" s="264" t="s">
        <v>1951</v>
      </c>
      <c r="D1134" s="264" t="s">
        <v>3150</v>
      </c>
      <c r="E1134" s="264" t="s">
        <v>3144</v>
      </c>
      <c r="F1134" s="264" t="s">
        <v>3144</v>
      </c>
      <c r="G1134" s="264" t="s">
        <v>26</v>
      </c>
      <c r="H1134" s="266">
        <v>-38000</v>
      </c>
      <c r="I1134" s="13">
        <v>0</v>
      </c>
      <c r="J1134" s="264" t="s">
        <v>2616</v>
      </c>
      <c r="K1134" s="264" t="s">
        <v>2025</v>
      </c>
      <c r="L1134" s="1" t="str">
        <f>VLOOKUP(Advices[[#This Row],[LC Number]],'Combine_List'!A:D,2,0)</f>
        <v>Depa Saudi Arabia for Contracting and Interior Decorating Co. Ltd.</v>
      </c>
      <c r="M1134" s="447" t="str">
        <f>VLOOKUP(Advices[[#This Row],[LC Number]],'Combine_List'!A:D,3,0)</f>
        <v>MBL</v>
      </c>
      <c r="N1134" s="447" t="str">
        <f>VLOOKUP(Advices[[#This Row],[LC Number]],'Combine_List'!A:D,4,0)</f>
        <v>KSP</v>
      </c>
      <c r="O1134" s="1"/>
      <c r="P1134" s="1">
        <f>MONTH(Advices[[#This Row],[Transaction Date]])</f>
        <v>12</v>
      </c>
      <c r="Q1134" s="1">
        <f>YEAR(Advices[[#This Row],[Transaction Date]])</f>
        <v>2025</v>
      </c>
      <c r="R1134" s="1"/>
    </row>
    <row r="1135" spans="1:18" x14ac:dyDescent="0.25">
      <c r="A1135" s="264" t="s">
        <v>21</v>
      </c>
      <c r="B1135" s="265">
        <v>46009</v>
      </c>
      <c r="C1135" s="264" t="s">
        <v>1951</v>
      </c>
      <c r="D1135" s="264" t="s">
        <v>3151</v>
      </c>
      <c r="E1135" s="264" t="s">
        <v>3145</v>
      </c>
      <c r="F1135" s="264" t="s">
        <v>3145</v>
      </c>
      <c r="G1135" s="264" t="s">
        <v>26</v>
      </c>
      <c r="H1135" s="266">
        <v>-105</v>
      </c>
      <c r="I1135" s="13">
        <v>0</v>
      </c>
      <c r="J1135" s="264" t="s">
        <v>1174</v>
      </c>
      <c r="K1135" s="264" t="s">
        <v>2025</v>
      </c>
      <c r="L1135" s="1" t="str">
        <f>VLOOKUP(Advices[[#This Row],[LC Number]],'Combine_List'!A:D,2,0)</f>
        <v>Mahmoud Al Tahini and Partners Company</v>
      </c>
      <c r="M1135" s="447" t="str">
        <f>VLOOKUP(Advices[[#This Row],[LC Number]],'Combine_List'!A:D,3,0)</f>
        <v>Signal Control</v>
      </c>
      <c r="N1135" s="447" t="str">
        <f>VLOOKUP(Advices[[#This Row],[LC Number]],'Combine_List'!A:D,4,0)</f>
        <v>KSP</v>
      </c>
      <c r="O1135" s="1"/>
      <c r="P1135" s="1">
        <f>MONTH(Advices[[#This Row],[Transaction Date]])</f>
        <v>12</v>
      </c>
      <c r="Q1135" s="1">
        <f>YEAR(Advices[[#This Row],[Transaction Date]])</f>
        <v>2025</v>
      </c>
      <c r="R1135" s="1"/>
    </row>
    <row r="1136" spans="1:18" x14ac:dyDescent="0.25">
      <c r="A1136" s="264" t="s">
        <v>21</v>
      </c>
      <c r="B1136" s="265">
        <v>46009</v>
      </c>
      <c r="C1136" s="264" t="s">
        <v>1951</v>
      </c>
      <c r="D1136" s="264" t="s">
        <v>3151</v>
      </c>
      <c r="E1136" s="264" t="s">
        <v>3145</v>
      </c>
      <c r="F1136" s="264" t="s">
        <v>3145</v>
      </c>
      <c r="G1136" s="264" t="s">
        <v>26</v>
      </c>
      <c r="H1136" s="266">
        <v>-309.37</v>
      </c>
      <c r="I1136" s="13">
        <v>0</v>
      </c>
      <c r="J1136" s="264" t="s">
        <v>1174</v>
      </c>
      <c r="K1136" s="264" t="s">
        <v>2025</v>
      </c>
      <c r="L1136" s="1" t="str">
        <f>VLOOKUP(Advices[[#This Row],[LC Number]],'Combine_List'!A:D,2,0)</f>
        <v>Mahmoud Al Tahini and Partners Company</v>
      </c>
      <c r="M1136" s="447" t="str">
        <f>VLOOKUP(Advices[[#This Row],[LC Number]],'Combine_List'!A:D,3,0)</f>
        <v>Signal Control</v>
      </c>
      <c r="N1136" s="447" t="str">
        <f>VLOOKUP(Advices[[#This Row],[LC Number]],'Combine_List'!A:D,4,0)</f>
        <v>KSP</v>
      </c>
      <c r="O1136" s="1"/>
      <c r="P1136" s="1">
        <f>MONTH(Advices[[#This Row],[Transaction Date]])</f>
        <v>12</v>
      </c>
      <c r="Q1136" s="1">
        <f>YEAR(Advices[[#This Row],[Transaction Date]])</f>
        <v>2025</v>
      </c>
      <c r="R1136" s="1"/>
    </row>
    <row r="1137" spans="1:18" x14ac:dyDescent="0.25">
      <c r="A1137" s="264" t="s">
        <v>21</v>
      </c>
      <c r="B1137" s="265">
        <v>46009</v>
      </c>
      <c r="C1137" s="264" t="s">
        <v>1951</v>
      </c>
      <c r="D1137" s="264" t="s">
        <v>3152</v>
      </c>
      <c r="E1137" s="264" t="s">
        <v>3145</v>
      </c>
      <c r="F1137" s="264" t="s">
        <v>3145</v>
      </c>
      <c r="G1137" s="264" t="s">
        <v>26</v>
      </c>
      <c r="H1137" s="266">
        <v>-700</v>
      </c>
      <c r="I1137" s="13">
        <v>0</v>
      </c>
      <c r="J1137" s="264" t="s">
        <v>1963</v>
      </c>
      <c r="K1137" s="264" t="s">
        <v>2025</v>
      </c>
      <c r="L1137" s="1" t="str">
        <f>VLOOKUP(Advices[[#This Row],[LC Number]],'Combine_List'!A:D,2,0)</f>
        <v>Mahmoud Al Tahini and Partners Company</v>
      </c>
      <c r="M1137" s="447" t="str">
        <f>VLOOKUP(Advices[[#This Row],[LC Number]],'Combine_List'!A:D,3,0)</f>
        <v>Signal Control</v>
      </c>
      <c r="N1137" s="447" t="str">
        <f>VLOOKUP(Advices[[#This Row],[LC Number]],'Combine_List'!A:D,4,0)</f>
        <v>KSP</v>
      </c>
      <c r="O1137" s="1"/>
      <c r="P1137" s="1">
        <f>MONTH(Advices[[#This Row],[Transaction Date]])</f>
        <v>12</v>
      </c>
      <c r="Q1137" s="1">
        <f>YEAR(Advices[[#This Row],[Transaction Date]])</f>
        <v>2025</v>
      </c>
      <c r="R1137" s="1"/>
    </row>
    <row r="1138" spans="1:18" x14ac:dyDescent="0.25">
      <c r="A1138" s="264" t="s">
        <v>21</v>
      </c>
      <c r="B1138" s="265">
        <v>46009</v>
      </c>
      <c r="C1138" s="264" t="s">
        <v>1951</v>
      </c>
      <c r="D1138" s="264" t="s">
        <v>3153</v>
      </c>
      <c r="E1138" s="264" t="s">
        <v>3145</v>
      </c>
      <c r="F1138" s="264" t="s">
        <v>3145</v>
      </c>
      <c r="G1138" s="264" t="s">
        <v>26</v>
      </c>
      <c r="H1138" s="266">
        <v>-2062.4899999999998</v>
      </c>
      <c r="I1138" s="13">
        <v>0</v>
      </c>
      <c r="J1138" s="264" t="s">
        <v>2616</v>
      </c>
      <c r="K1138" s="264" t="s">
        <v>2025</v>
      </c>
      <c r="L1138" s="1" t="str">
        <f>VLOOKUP(Advices[[#This Row],[LC Number]],'Combine_List'!A:D,2,0)</f>
        <v>Mahmoud Al Tahini and Partners Company</v>
      </c>
      <c r="M1138" s="447" t="str">
        <f>VLOOKUP(Advices[[#This Row],[LC Number]],'Combine_List'!A:D,3,0)</f>
        <v>Signal Control</v>
      </c>
      <c r="N1138" s="447" t="str">
        <f>VLOOKUP(Advices[[#This Row],[LC Number]],'Combine_List'!A:D,4,0)</f>
        <v>KSP</v>
      </c>
      <c r="O1138" s="1"/>
      <c r="P1138" s="1">
        <f>MONTH(Advices[[#This Row],[Transaction Date]])</f>
        <v>12</v>
      </c>
      <c r="Q1138" s="1">
        <f>YEAR(Advices[[#This Row],[Transaction Date]])</f>
        <v>2025</v>
      </c>
      <c r="R1138" s="1"/>
    </row>
    <row r="1139" spans="1:18" x14ac:dyDescent="0.25">
      <c r="A1139" s="264" t="s">
        <v>21</v>
      </c>
      <c r="B1139" s="265">
        <v>46009</v>
      </c>
      <c r="C1139" s="264" t="s">
        <v>1951</v>
      </c>
      <c r="D1139" s="264" t="s">
        <v>3154</v>
      </c>
      <c r="E1139" s="264" t="s">
        <v>3146</v>
      </c>
      <c r="F1139" s="264" t="s">
        <v>3146</v>
      </c>
      <c r="G1139" s="264" t="s">
        <v>26</v>
      </c>
      <c r="H1139" s="266">
        <v>-105</v>
      </c>
      <c r="I1139" s="13">
        <v>0</v>
      </c>
      <c r="J1139" s="264" t="s">
        <v>1174</v>
      </c>
      <c r="K1139" s="264" t="s">
        <v>2025</v>
      </c>
      <c r="L1139" s="1" t="str">
        <f>VLOOKUP(Advices[[#This Row],[LC Number]],'Combine_List'!A:D,2,0)</f>
        <v>SIEMENS Limited Company</v>
      </c>
      <c r="M1139" s="447" t="str">
        <f>VLOOKUP(Advices[[#This Row],[LC Number]],'Combine_List'!A:D,3,0)</f>
        <v>Signal Control</v>
      </c>
      <c r="N1139" s="447" t="str">
        <f>VLOOKUP(Advices[[#This Row],[LC Number]],'Combine_List'!A:D,4,0)</f>
        <v>KSP</v>
      </c>
      <c r="O1139" s="1"/>
      <c r="P1139" s="1">
        <f>MONTH(Advices[[#This Row],[Transaction Date]])</f>
        <v>12</v>
      </c>
      <c r="Q1139" s="1">
        <f>YEAR(Advices[[#This Row],[Transaction Date]])</f>
        <v>2025</v>
      </c>
      <c r="R1139" s="1"/>
    </row>
    <row r="1140" spans="1:18" x14ac:dyDescent="0.25">
      <c r="A1140" s="264" t="s">
        <v>21</v>
      </c>
      <c r="B1140" s="265">
        <v>46009</v>
      </c>
      <c r="C1140" s="264" t="s">
        <v>1951</v>
      </c>
      <c r="D1140" s="264" t="s">
        <v>3155</v>
      </c>
      <c r="E1140" s="264" t="s">
        <v>3146</v>
      </c>
      <c r="F1140" s="264" t="s">
        <v>3146</v>
      </c>
      <c r="G1140" s="264" t="s">
        <v>26</v>
      </c>
      <c r="H1140" s="266">
        <v>-700</v>
      </c>
      <c r="I1140" s="13">
        <v>0</v>
      </c>
      <c r="J1140" s="264" t="s">
        <v>1963</v>
      </c>
      <c r="K1140" s="264" t="s">
        <v>2025</v>
      </c>
      <c r="L1140" s="1" t="str">
        <f>VLOOKUP(Advices[[#This Row],[LC Number]],'Combine_List'!A:D,2,0)</f>
        <v>SIEMENS Limited Company</v>
      </c>
      <c r="M1140" s="447" t="str">
        <f>VLOOKUP(Advices[[#This Row],[LC Number]],'Combine_List'!A:D,3,0)</f>
        <v>Signal Control</v>
      </c>
      <c r="N1140" s="447" t="str">
        <f>VLOOKUP(Advices[[#This Row],[LC Number]],'Combine_List'!A:D,4,0)</f>
        <v>KSP</v>
      </c>
      <c r="O1140" s="1"/>
      <c r="P1140" s="1">
        <f>MONTH(Advices[[#This Row],[Transaction Date]])</f>
        <v>12</v>
      </c>
      <c r="Q1140" s="1">
        <f>YEAR(Advices[[#This Row],[Transaction Date]])</f>
        <v>2025</v>
      </c>
      <c r="R1140" s="1"/>
    </row>
    <row r="1141" spans="1:18" x14ac:dyDescent="0.25">
      <c r="A1141" s="264" t="s">
        <v>21</v>
      </c>
      <c r="B1141" s="265">
        <v>46009</v>
      </c>
      <c r="C1141" s="264" t="s">
        <v>1951</v>
      </c>
      <c r="D1141" s="264" t="s">
        <v>3154</v>
      </c>
      <c r="E1141" s="264" t="s">
        <v>3146</v>
      </c>
      <c r="F1141" s="264" t="s">
        <v>3146</v>
      </c>
      <c r="G1141" s="264" t="s">
        <v>26</v>
      </c>
      <c r="H1141" s="266">
        <v>-1436.1</v>
      </c>
      <c r="I1141" s="13">
        <v>0</v>
      </c>
      <c r="J1141" s="264" t="s">
        <v>1174</v>
      </c>
      <c r="K1141" s="264" t="s">
        <v>2025</v>
      </c>
      <c r="L1141" s="1" t="str">
        <f>VLOOKUP(Advices[[#This Row],[LC Number]],'Combine_List'!A:D,2,0)</f>
        <v>SIEMENS Limited Company</v>
      </c>
      <c r="M1141" s="447" t="str">
        <f>VLOOKUP(Advices[[#This Row],[LC Number]],'Combine_List'!A:D,3,0)</f>
        <v>Signal Control</v>
      </c>
      <c r="N1141" s="447" t="str">
        <f>VLOOKUP(Advices[[#This Row],[LC Number]],'Combine_List'!A:D,4,0)</f>
        <v>KSP</v>
      </c>
      <c r="O1141" s="1"/>
      <c r="P1141" s="1">
        <f>MONTH(Advices[[#This Row],[Transaction Date]])</f>
        <v>12</v>
      </c>
      <c r="Q1141" s="1">
        <f>YEAR(Advices[[#This Row],[Transaction Date]])</f>
        <v>2025</v>
      </c>
      <c r="R1141" s="1"/>
    </row>
    <row r="1142" spans="1:18" x14ac:dyDescent="0.25">
      <c r="A1142" s="264" t="s">
        <v>21</v>
      </c>
      <c r="B1142" s="265">
        <v>46009</v>
      </c>
      <c r="C1142" s="264" t="s">
        <v>1951</v>
      </c>
      <c r="D1142" s="264" t="s">
        <v>3156</v>
      </c>
      <c r="E1142" s="264" t="s">
        <v>3146</v>
      </c>
      <c r="F1142" s="264" t="s">
        <v>3146</v>
      </c>
      <c r="G1142" s="264" t="s">
        <v>26</v>
      </c>
      <c r="H1142" s="266">
        <v>-9574</v>
      </c>
      <c r="I1142" s="13">
        <v>0</v>
      </c>
      <c r="J1142" s="264" t="s">
        <v>2616</v>
      </c>
      <c r="K1142" s="264" t="s">
        <v>2025</v>
      </c>
      <c r="L1142" s="1" t="str">
        <f>VLOOKUP(Advices[[#This Row],[LC Number]],'Combine_List'!A:D,2,0)</f>
        <v>SIEMENS Limited Company</v>
      </c>
      <c r="M1142" s="447" t="str">
        <f>VLOOKUP(Advices[[#This Row],[LC Number]],'Combine_List'!A:D,3,0)</f>
        <v>Signal Control</v>
      </c>
      <c r="N1142" s="447" t="str">
        <f>VLOOKUP(Advices[[#This Row],[LC Number]],'Combine_List'!A:D,4,0)</f>
        <v>KSP</v>
      </c>
      <c r="O1142" s="1"/>
      <c r="P1142" s="1">
        <f>MONTH(Advices[[#This Row],[Transaction Date]])</f>
        <v>12</v>
      </c>
      <c r="Q1142" s="1">
        <f>YEAR(Advices[[#This Row],[Transaction Date]])</f>
        <v>2025</v>
      </c>
      <c r="R1142" s="1"/>
    </row>
    <row r="1143" spans="1:18" hidden="1" x14ac:dyDescent="0.25">
      <c r="A1143" s="264" t="s">
        <v>62</v>
      </c>
      <c r="B1143" s="265">
        <v>46009</v>
      </c>
      <c r="C1143" s="264" t="s">
        <v>2039</v>
      </c>
      <c r="D1143" s="264" t="s">
        <v>3157</v>
      </c>
      <c r="E1143" s="264" t="s">
        <v>1834</v>
      </c>
      <c r="F1143" s="264" t="s">
        <v>2041</v>
      </c>
      <c r="G1143" s="264" t="s">
        <v>26</v>
      </c>
      <c r="H1143" s="266">
        <v>16834950.23</v>
      </c>
      <c r="I1143" s="266">
        <v>0</v>
      </c>
      <c r="J1143" s="264" t="s">
        <v>1126</v>
      </c>
      <c r="K1143" s="264" t="s">
        <v>2025</v>
      </c>
      <c r="L1143" s="1" t="str">
        <f>VLOOKUP(Advices[[#This Row],[LC Number]],'Combine_List'!A:D,2,0)</f>
        <v>Jiangsu Donchamp New Materials Technology Co.Ltd.</v>
      </c>
      <c r="M1143" s="447" t="str">
        <f>VLOOKUP(Advices[[#This Row],[LC Number]],'Combine_List'!A:D,3,0)</f>
        <v>MBL</v>
      </c>
      <c r="N1143" s="447" t="str">
        <f>VLOOKUP(Advices[[#This Row],[LC Number]],'Combine_List'!A:D,4,0)</f>
        <v>Oceanarium</v>
      </c>
      <c r="O1143" s="1"/>
      <c r="P1143" s="1">
        <f>MONTH(Advices[[#This Row],[Transaction Date]])</f>
        <v>12</v>
      </c>
      <c r="Q1143" s="1">
        <f>YEAR(Advices[[#This Row],[Transaction Date]])</f>
        <v>2025</v>
      </c>
      <c r="R1143" s="1"/>
    </row>
    <row r="1144" spans="1:18" hidden="1" x14ac:dyDescent="0.25">
      <c r="A1144" s="264" t="s">
        <v>95</v>
      </c>
      <c r="B1144" s="265">
        <v>46009</v>
      </c>
      <c r="C1144" s="264" t="s">
        <v>2026</v>
      </c>
      <c r="D1144" s="264" t="s">
        <v>3158</v>
      </c>
      <c r="E1144" s="264" t="s">
        <v>3142</v>
      </c>
      <c r="F1144" s="264" t="s">
        <v>3159</v>
      </c>
      <c r="G1144" s="264" t="s">
        <v>26</v>
      </c>
      <c r="H1144" s="266">
        <v>-4431.3999999999996</v>
      </c>
      <c r="I1144" s="13">
        <v>0</v>
      </c>
      <c r="J1144" s="264" t="s">
        <v>2616</v>
      </c>
      <c r="K1144" s="264" t="s">
        <v>2025</v>
      </c>
      <c r="L1144" s="1" t="str">
        <f>VLOOKUP(Advices[[#This Row],[LC Number]],'Combine_List'!A:D,2,0)</f>
        <v>APS ARABIAN CONTRACTING COMPANY</v>
      </c>
      <c r="M1144" s="447" t="str">
        <f>VLOOKUP(Advices[[#This Row],[LC Number]],'Combine_List'!A:D,3,0)</f>
        <v>MBL/AICS</v>
      </c>
      <c r="N1144" s="447" t="str">
        <f>VLOOKUP(Advices[[#This Row],[LC Number]],'Combine_List'!A:D,4,0)</f>
        <v>OPERA House</v>
      </c>
      <c r="O1144" s="1"/>
      <c r="P1144" s="1">
        <f>MONTH(Advices[[#This Row],[Transaction Date]])</f>
        <v>12</v>
      </c>
      <c r="Q1144" s="1">
        <f>YEAR(Advices[[#This Row],[Transaction Date]])</f>
        <v>2025</v>
      </c>
      <c r="R1144" s="1"/>
    </row>
    <row r="1145" spans="1:18" hidden="1" x14ac:dyDescent="0.25">
      <c r="A1145" s="264" t="s">
        <v>366</v>
      </c>
      <c r="B1145" s="265">
        <v>46009</v>
      </c>
      <c r="C1145" s="264" t="s">
        <v>2057</v>
      </c>
      <c r="D1145" s="264" t="s">
        <v>3160</v>
      </c>
      <c r="E1145" s="264" t="s">
        <v>1689</v>
      </c>
      <c r="F1145" s="264" t="s">
        <v>1689</v>
      </c>
      <c r="G1145" s="264" t="s">
        <v>26</v>
      </c>
      <c r="H1145" s="266">
        <v>-88221.07</v>
      </c>
      <c r="I1145" s="13">
        <v>0</v>
      </c>
      <c r="J1145" s="264" t="s">
        <v>3083</v>
      </c>
      <c r="K1145" s="264" t="s">
        <v>3083</v>
      </c>
      <c r="L1145" s="1" t="str">
        <f>VLOOKUP(Advices[[#This Row],[LC Number]],'Combine_List'!A:D,2,0)</f>
        <v>EVOLVING CONSTELLATION CO. FOR ENERGY</v>
      </c>
      <c r="M1145" s="447" t="str">
        <f>VLOOKUP(Advices[[#This Row],[LC Number]],'Combine_List'!A:D,3,0)</f>
        <v>FIRST FIX</v>
      </c>
      <c r="N1145" s="447" t="str">
        <f>VLOOKUP(Advices[[#This Row],[LC Number]],'Combine_List'!A:D,4,0)</f>
        <v>CEER</v>
      </c>
      <c r="O1145" s="1"/>
      <c r="P1145" s="1">
        <f>MONTH(Advices[[#This Row],[Transaction Date]])</f>
        <v>12</v>
      </c>
      <c r="Q1145" s="1">
        <f>YEAR(Advices[[#This Row],[Transaction Date]])</f>
        <v>2025</v>
      </c>
      <c r="R1145" s="1"/>
    </row>
    <row r="1146" spans="1:18" hidden="1" x14ac:dyDescent="0.25">
      <c r="A1146" s="264" t="s">
        <v>366</v>
      </c>
      <c r="B1146" s="265">
        <v>46009</v>
      </c>
      <c r="C1146" s="264" t="s">
        <v>2060</v>
      </c>
      <c r="D1146" s="264" t="s">
        <v>3161</v>
      </c>
      <c r="E1146" s="264" t="s">
        <v>1689</v>
      </c>
      <c r="F1146" s="1" t="s">
        <v>3433</v>
      </c>
      <c r="G1146" s="264" t="s">
        <v>26</v>
      </c>
      <c r="H1146" s="266">
        <v>-88221.07</v>
      </c>
      <c r="I1146" s="13">
        <v>0</v>
      </c>
      <c r="J1146" s="264" t="s">
        <v>1126</v>
      </c>
      <c r="K1146" s="264" t="s">
        <v>2025</v>
      </c>
      <c r="L1146" s="1" t="str">
        <f>VLOOKUP(Advices[[#This Row],[LC Number]],'Combine_List'!A:D,2,0)</f>
        <v>EVOLVING CONSTELLATION CO. FOR ENERGY</v>
      </c>
      <c r="M1146" s="447" t="str">
        <f>VLOOKUP(Advices[[#This Row],[LC Number]],'Combine_List'!A:D,3,0)</f>
        <v>FIRST FIX</v>
      </c>
      <c r="N1146" s="447" t="str">
        <f>VLOOKUP(Advices[[#This Row],[LC Number]],'Combine_List'!A:D,4,0)</f>
        <v>CEER</v>
      </c>
      <c r="O1146" s="1"/>
      <c r="P1146" s="1">
        <f>MONTH(Advices[[#This Row],[Transaction Date]])</f>
        <v>12</v>
      </c>
      <c r="Q1146" s="1">
        <f>YEAR(Advices[[#This Row],[Transaction Date]])</f>
        <v>2025</v>
      </c>
      <c r="R1146" s="1"/>
    </row>
    <row r="1147" spans="1:18" hidden="1" x14ac:dyDescent="0.25">
      <c r="A1147" s="264" t="s">
        <v>366</v>
      </c>
      <c r="B1147" s="265">
        <v>46009</v>
      </c>
      <c r="C1147" s="264" t="s">
        <v>2060</v>
      </c>
      <c r="D1147" s="264" t="s">
        <v>3162</v>
      </c>
      <c r="E1147" s="264" t="s">
        <v>1689</v>
      </c>
      <c r="F1147" s="264" t="s">
        <v>1689</v>
      </c>
      <c r="G1147" s="264" t="s">
        <v>26</v>
      </c>
      <c r="H1147" s="266"/>
      <c r="I1147" s="266">
        <v>88221.07</v>
      </c>
      <c r="J1147" s="264" t="s">
        <v>3083</v>
      </c>
      <c r="K1147" s="264" t="s">
        <v>3083</v>
      </c>
      <c r="L1147" s="1" t="str">
        <f>VLOOKUP(Advices[[#This Row],[LC Number]],'Combine_List'!A:D,2,0)</f>
        <v>EVOLVING CONSTELLATION CO. FOR ENERGY</v>
      </c>
      <c r="M1147" s="447" t="str">
        <f>VLOOKUP(Advices[[#This Row],[LC Number]],'Combine_List'!A:D,3,0)</f>
        <v>FIRST FIX</v>
      </c>
      <c r="N1147" s="447" t="str">
        <f>VLOOKUP(Advices[[#This Row],[LC Number]],'Combine_List'!A:D,4,0)</f>
        <v>CEER</v>
      </c>
      <c r="O1147" s="1"/>
      <c r="P1147" s="1">
        <f>MONTH(Advices[[#This Row],[Transaction Date]])</f>
        <v>12</v>
      </c>
      <c r="Q1147" s="1">
        <f>YEAR(Advices[[#This Row],[Transaction Date]])</f>
        <v>2025</v>
      </c>
      <c r="R1147" s="1"/>
    </row>
    <row r="1148" spans="1:18" hidden="1" x14ac:dyDescent="0.25">
      <c r="A1148" s="264" t="s">
        <v>612</v>
      </c>
      <c r="B1148" s="265">
        <v>46009</v>
      </c>
      <c r="C1148" s="264" t="s">
        <v>2101</v>
      </c>
      <c r="D1148" s="264" t="s">
        <v>3163</v>
      </c>
      <c r="E1148" s="264" t="s">
        <v>1235</v>
      </c>
      <c r="F1148" s="264" t="s">
        <v>2041</v>
      </c>
      <c r="G1148" s="264" t="s">
        <v>26</v>
      </c>
      <c r="H1148" s="266">
        <v>130844.12</v>
      </c>
      <c r="I1148" s="266">
        <v>0</v>
      </c>
      <c r="J1148" s="264" t="s">
        <v>1126</v>
      </c>
      <c r="K1148" s="264" t="s">
        <v>2025</v>
      </c>
      <c r="L1148" s="1" t="str">
        <f>VLOOKUP(Advices[[#This Row],[LC Number]],'Combine_List'!A:D,2,0)</f>
        <v>MOHAMMED RAMADAN SHAT FACTORY FOR METAL INDUSTRIES</v>
      </c>
      <c r="M1148" s="447" t="str">
        <f>VLOOKUP(Advices[[#This Row],[LC Number]],'Combine_List'!A:D,3,0)</f>
        <v>FIRST FIX</v>
      </c>
      <c r="N1148" s="447" t="str">
        <f>VLOOKUP(Advices[[#This Row],[LC Number]],'Combine_List'!A:D,4,0)</f>
        <v>RCRC</v>
      </c>
      <c r="O1148" s="1"/>
      <c r="P1148" s="1">
        <f>MONTH(Advices[[#This Row],[Transaction Date]])</f>
        <v>12</v>
      </c>
      <c r="Q1148" s="1">
        <f>YEAR(Advices[[#This Row],[Transaction Date]])</f>
        <v>2025</v>
      </c>
      <c r="R1148" s="1"/>
    </row>
    <row r="1149" spans="1:18" hidden="1" x14ac:dyDescent="0.25">
      <c r="A1149" s="264" t="s">
        <v>1073</v>
      </c>
      <c r="B1149" s="265">
        <v>46009</v>
      </c>
      <c r="C1149" s="264" t="s">
        <v>3164</v>
      </c>
      <c r="D1149" s="264" t="s">
        <v>3165</v>
      </c>
      <c r="E1149" s="264" t="s">
        <v>4545</v>
      </c>
      <c r="F1149" s="264" t="s">
        <v>2041</v>
      </c>
      <c r="G1149" s="264" t="s">
        <v>26</v>
      </c>
      <c r="H1149" s="266">
        <v>22201.15</v>
      </c>
      <c r="I1149" s="13">
        <v>0</v>
      </c>
      <c r="J1149" s="264" t="s">
        <v>2616</v>
      </c>
      <c r="K1149" s="264" t="s">
        <v>2025</v>
      </c>
      <c r="L1149" s="1" t="str">
        <f>VLOOKUP(Advices[[#This Row],[LC Number]],'Combine_List'!A:D,2,0)</f>
        <v>Al Arabia for Construction &amp; Building Co.</v>
      </c>
      <c r="M1149" s="447" t="str">
        <f>VLOOKUP(Advices[[#This Row],[LC Number]],'Combine_List'!A:D,3,0)</f>
        <v>MBL</v>
      </c>
      <c r="N1149" s="447" t="str">
        <f>VLOOKUP(Advices[[#This Row],[LC Number]],'Combine_List'!A:D,4,0)</f>
        <v>Lagoon</v>
      </c>
      <c r="O1149" s="1"/>
      <c r="P1149" s="1">
        <f>MONTH(Advices[[#This Row],[Transaction Date]])</f>
        <v>12</v>
      </c>
      <c r="Q1149" s="1">
        <f>YEAR(Advices[[#This Row],[Transaction Date]])</f>
        <v>2025</v>
      </c>
      <c r="R1149" s="1"/>
    </row>
    <row r="1150" spans="1:18" hidden="1" x14ac:dyDescent="0.25">
      <c r="A1150" s="264" t="s">
        <v>1073</v>
      </c>
      <c r="B1150" s="265">
        <v>46009</v>
      </c>
      <c r="C1150" s="264" t="s">
        <v>3164</v>
      </c>
      <c r="D1150" s="264" t="s">
        <v>3165</v>
      </c>
      <c r="E1150" s="264" t="s">
        <v>4544</v>
      </c>
      <c r="F1150" s="264" t="s">
        <v>2041</v>
      </c>
      <c r="G1150" s="264" t="s">
        <v>26</v>
      </c>
      <c r="H1150" s="266">
        <v>25965.38</v>
      </c>
      <c r="I1150" s="13">
        <v>0</v>
      </c>
      <c r="J1150" s="264" t="s">
        <v>2616</v>
      </c>
      <c r="K1150" s="264" t="s">
        <v>2025</v>
      </c>
      <c r="L1150" s="1" t="str">
        <f>VLOOKUP(Advices[[#This Row],[LC Number]],'Combine_List'!A:D,2,0)</f>
        <v>NIZAR ABDALGHANY KABLI FOR GENERAL CONTRACTING</v>
      </c>
      <c r="M1150" s="447" t="str">
        <f>VLOOKUP(Advices[[#This Row],[LC Number]],'Combine_List'!A:D,3,0)</f>
        <v>MBL</v>
      </c>
      <c r="N1150" s="447" t="str">
        <f>VLOOKUP(Advices[[#This Row],[LC Number]],'Combine_List'!A:D,4,0)</f>
        <v>Lagoon</v>
      </c>
      <c r="O1150" s="1"/>
      <c r="P1150" s="1">
        <f>MONTH(Advices[[#This Row],[Transaction Date]])</f>
        <v>12</v>
      </c>
      <c r="Q1150" s="1">
        <f>YEAR(Advices[[#This Row],[Transaction Date]])</f>
        <v>2025</v>
      </c>
      <c r="R1150" s="1"/>
    </row>
    <row r="1151" spans="1:18" hidden="1" x14ac:dyDescent="0.25">
      <c r="A1151" s="264" t="s">
        <v>1073</v>
      </c>
      <c r="B1151" s="265">
        <v>46009</v>
      </c>
      <c r="C1151" s="264" t="s">
        <v>3164</v>
      </c>
      <c r="D1151" s="264" t="s">
        <v>3166</v>
      </c>
      <c r="E1151" s="264" t="s">
        <v>4545</v>
      </c>
      <c r="F1151" s="264" t="s">
        <v>2041</v>
      </c>
      <c r="G1151" s="264" t="s">
        <v>26</v>
      </c>
      <c r="H1151" s="266">
        <v>1000</v>
      </c>
      <c r="I1151" s="13">
        <v>0</v>
      </c>
      <c r="J1151" s="264" t="s">
        <v>2616</v>
      </c>
      <c r="K1151" s="264" t="s">
        <v>2025</v>
      </c>
      <c r="L1151" s="1" t="str">
        <f>VLOOKUP(Advices[[#This Row],[LC Number]],'Combine_List'!A:D,2,0)</f>
        <v>Al Arabia for Construction &amp; Building Co.</v>
      </c>
      <c r="M1151" s="447" t="str">
        <f>VLOOKUP(Advices[[#This Row],[LC Number]],'Combine_List'!A:D,3,0)</f>
        <v>MBL</v>
      </c>
      <c r="N1151" s="447" t="str">
        <f>VLOOKUP(Advices[[#This Row],[LC Number]],'Combine_List'!A:D,4,0)</f>
        <v>Lagoon</v>
      </c>
      <c r="O1151" s="1"/>
      <c r="P1151" s="1">
        <f>MONTH(Advices[[#This Row],[Transaction Date]])</f>
        <v>12</v>
      </c>
      <c r="Q1151" s="1">
        <f>YEAR(Advices[[#This Row],[Transaction Date]])</f>
        <v>2025</v>
      </c>
      <c r="R1151" s="1"/>
    </row>
    <row r="1152" spans="1:18" hidden="1" x14ac:dyDescent="0.25">
      <c r="A1152" s="264" t="s">
        <v>1073</v>
      </c>
      <c r="B1152" s="265">
        <v>46009</v>
      </c>
      <c r="C1152" s="264" t="s">
        <v>3164</v>
      </c>
      <c r="D1152" s="264" t="s">
        <v>3166</v>
      </c>
      <c r="E1152" s="264" t="s">
        <v>4544</v>
      </c>
      <c r="F1152" s="264" t="s">
        <v>2041</v>
      </c>
      <c r="G1152" s="264" t="s">
        <v>26</v>
      </c>
      <c r="H1152" s="266">
        <v>1000</v>
      </c>
      <c r="I1152" s="13">
        <v>0</v>
      </c>
      <c r="J1152" s="264" t="s">
        <v>2616</v>
      </c>
      <c r="K1152" s="264" t="s">
        <v>2025</v>
      </c>
      <c r="L1152" s="1" t="str">
        <f>VLOOKUP(Advices[[#This Row],[LC Number]],'Combine_List'!A:D,2,0)</f>
        <v>NIZAR ABDALGHANY KABLI FOR GENERAL CONTRACTING</v>
      </c>
      <c r="M1152" s="447" t="str">
        <f>VLOOKUP(Advices[[#This Row],[LC Number]],'Combine_List'!A:D,3,0)</f>
        <v>MBL</v>
      </c>
      <c r="N1152" s="447" t="str">
        <f>VLOOKUP(Advices[[#This Row],[LC Number]],'Combine_List'!A:D,4,0)</f>
        <v>Lagoon</v>
      </c>
      <c r="O1152" s="1"/>
      <c r="P1152" s="1">
        <f>MONTH(Advices[[#This Row],[Transaction Date]])</f>
        <v>12</v>
      </c>
      <c r="Q1152" s="1">
        <f>YEAR(Advices[[#This Row],[Transaction Date]])</f>
        <v>2025</v>
      </c>
      <c r="R1152" s="1"/>
    </row>
    <row r="1153" spans="1:18" hidden="1" x14ac:dyDescent="0.25">
      <c r="A1153" s="264" t="s">
        <v>1073</v>
      </c>
      <c r="B1153" s="265">
        <v>46009</v>
      </c>
      <c r="C1153" s="264" t="s">
        <v>3164</v>
      </c>
      <c r="D1153" s="264" t="s">
        <v>3167</v>
      </c>
      <c r="E1153" s="264" t="s">
        <v>4545</v>
      </c>
      <c r="F1153" s="264" t="s">
        <v>2041</v>
      </c>
      <c r="G1153" s="264" t="s">
        <v>26</v>
      </c>
      <c r="H1153" s="266">
        <v>250</v>
      </c>
      <c r="I1153" s="13">
        <v>0</v>
      </c>
      <c r="J1153" s="264" t="s">
        <v>2616</v>
      </c>
      <c r="K1153" s="264" t="s">
        <v>2025</v>
      </c>
      <c r="L1153" s="1" t="str">
        <f>VLOOKUP(Advices[[#This Row],[LC Number]],'Combine_List'!A:D,2,0)</f>
        <v>Al Arabia for Construction &amp; Building Co.</v>
      </c>
      <c r="M1153" s="447" t="str">
        <f>VLOOKUP(Advices[[#This Row],[LC Number]],'Combine_List'!A:D,3,0)</f>
        <v>MBL</v>
      </c>
      <c r="N1153" s="447" t="str">
        <f>VLOOKUP(Advices[[#This Row],[LC Number]],'Combine_List'!A:D,4,0)</f>
        <v>Lagoon</v>
      </c>
      <c r="O1153" s="1"/>
      <c r="P1153" s="1">
        <f>MONTH(Advices[[#This Row],[Transaction Date]])</f>
        <v>12</v>
      </c>
      <c r="Q1153" s="1">
        <f>YEAR(Advices[[#This Row],[Transaction Date]])</f>
        <v>2025</v>
      </c>
      <c r="R1153" s="1"/>
    </row>
    <row r="1154" spans="1:18" hidden="1" x14ac:dyDescent="0.25">
      <c r="A1154" s="264" t="s">
        <v>1073</v>
      </c>
      <c r="B1154" s="265">
        <v>46009</v>
      </c>
      <c r="C1154" s="264" t="s">
        <v>3164</v>
      </c>
      <c r="D1154" s="264" t="s">
        <v>3167</v>
      </c>
      <c r="E1154" s="264" t="s">
        <v>4544</v>
      </c>
      <c r="F1154" s="264" t="s">
        <v>2041</v>
      </c>
      <c r="G1154" s="264" t="s">
        <v>26</v>
      </c>
      <c r="H1154" s="266">
        <v>250</v>
      </c>
      <c r="I1154" s="13">
        <v>0</v>
      </c>
      <c r="J1154" s="264" t="s">
        <v>2616</v>
      </c>
      <c r="K1154" s="264" t="s">
        <v>2025</v>
      </c>
      <c r="L1154" s="1" t="str">
        <f>VLOOKUP(Advices[[#This Row],[LC Number]],'Combine_List'!A:D,2,0)</f>
        <v>NIZAR ABDALGHANY KABLI FOR GENERAL CONTRACTING</v>
      </c>
      <c r="M1154" s="447" t="str">
        <f>VLOOKUP(Advices[[#This Row],[LC Number]],'Combine_List'!A:D,3,0)</f>
        <v>MBL</v>
      </c>
      <c r="N1154" s="447" t="str">
        <f>VLOOKUP(Advices[[#This Row],[LC Number]],'Combine_List'!A:D,4,0)</f>
        <v>Lagoon</v>
      </c>
      <c r="O1154" s="1"/>
      <c r="P1154" s="1">
        <f>MONTH(Advices[[#This Row],[Transaction Date]])</f>
        <v>12</v>
      </c>
      <c r="Q1154" s="1">
        <f>YEAR(Advices[[#This Row],[Transaction Date]])</f>
        <v>2025</v>
      </c>
      <c r="R1154" s="1"/>
    </row>
    <row r="1155" spans="1:18" hidden="1" x14ac:dyDescent="0.25">
      <c r="A1155" s="264" t="s">
        <v>1073</v>
      </c>
      <c r="B1155" s="265">
        <v>46009</v>
      </c>
      <c r="C1155" s="264" t="s">
        <v>3164</v>
      </c>
      <c r="D1155" s="264" t="s">
        <v>3168</v>
      </c>
      <c r="E1155" s="264" t="s">
        <v>4545</v>
      </c>
      <c r="F1155" s="264" t="s">
        <v>2041</v>
      </c>
      <c r="G1155" s="264" t="s">
        <v>26</v>
      </c>
      <c r="H1155" s="266">
        <v>3330.17</v>
      </c>
      <c r="I1155" s="13">
        <v>0</v>
      </c>
      <c r="J1155" s="264" t="s">
        <v>2616</v>
      </c>
      <c r="K1155" s="264" t="s">
        <v>2025</v>
      </c>
      <c r="L1155" s="1" t="str">
        <f>VLOOKUP(Advices[[#This Row],[LC Number]],'Combine_List'!A:D,2,0)</f>
        <v>Al Arabia for Construction &amp; Building Co.</v>
      </c>
      <c r="M1155" s="447" t="str">
        <f>VLOOKUP(Advices[[#This Row],[LC Number]],'Combine_List'!A:D,3,0)</f>
        <v>MBL</v>
      </c>
      <c r="N1155" s="447" t="str">
        <f>VLOOKUP(Advices[[#This Row],[LC Number]],'Combine_List'!A:D,4,0)</f>
        <v>Lagoon</v>
      </c>
      <c r="O1155" s="1"/>
      <c r="P1155" s="1">
        <f>MONTH(Advices[[#This Row],[Transaction Date]])</f>
        <v>12</v>
      </c>
      <c r="Q1155" s="1">
        <f>YEAR(Advices[[#This Row],[Transaction Date]])</f>
        <v>2025</v>
      </c>
      <c r="R1155" s="1"/>
    </row>
    <row r="1156" spans="1:18" hidden="1" x14ac:dyDescent="0.25">
      <c r="A1156" s="264" t="s">
        <v>1073</v>
      </c>
      <c r="B1156" s="265">
        <v>46009</v>
      </c>
      <c r="C1156" s="264" t="s">
        <v>3164</v>
      </c>
      <c r="D1156" s="264" t="s">
        <v>3168</v>
      </c>
      <c r="E1156" s="264" t="s">
        <v>4545</v>
      </c>
      <c r="F1156" s="264" t="s">
        <v>2041</v>
      </c>
      <c r="G1156" s="264" t="s">
        <v>26</v>
      </c>
      <c r="H1156" s="266">
        <v>150</v>
      </c>
      <c r="I1156" s="13">
        <v>0</v>
      </c>
      <c r="J1156" s="264" t="s">
        <v>2616</v>
      </c>
      <c r="K1156" s="264" t="s">
        <v>2025</v>
      </c>
      <c r="L1156" s="1" t="str">
        <f>VLOOKUP(Advices[[#This Row],[LC Number]],'Combine_List'!A:D,2,0)</f>
        <v>Al Arabia for Construction &amp; Building Co.</v>
      </c>
      <c r="M1156" s="447" t="str">
        <f>VLOOKUP(Advices[[#This Row],[LC Number]],'Combine_List'!A:D,3,0)</f>
        <v>MBL</v>
      </c>
      <c r="N1156" s="447" t="str">
        <f>VLOOKUP(Advices[[#This Row],[LC Number]],'Combine_List'!A:D,4,0)</f>
        <v>Lagoon</v>
      </c>
      <c r="O1156" s="1"/>
      <c r="P1156" s="1">
        <f>MONTH(Advices[[#This Row],[Transaction Date]])</f>
        <v>12</v>
      </c>
      <c r="Q1156" s="1">
        <f>YEAR(Advices[[#This Row],[Transaction Date]])</f>
        <v>2025</v>
      </c>
      <c r="R1156" s="1"/>
    </row>
    <row r="1157" spans="1:18" hidden="1" x14ac:dyDescent="0.25">
      <c r="A1157" s="264" t="s">
        <v>1073</v>
      </c>
      <c r="B1157" s="265">
        <v>46009</v>
      </c>
      <c r="C1157" s="264" t="s">
        <v>3164</v>
      </c>
      <c r="D1157" s="264" t="s">
        <v>3168</v>
      </c>
      <c r="E1157" s="264" t="s">
        <v>4545</v>
      </c>
      <c r="F1157" s="264" t="s">
        <v>2041</v>
      </c>
      <c r="G1157" s="264" t="s">
        <v>26</v>
      </c>
      <c r="H1157" s="266">
        <v>37.5</v>
      </c>
      <c r="I1157" s="13">
        <v>0</v>
      </c>
      <c r="J1157" s="264" t="s">
        <v>2616</v>
      </c>
      <c r="K1157" s="264" t="s">
        <v>2025</v>
      </c>
      <c r="L1157" s="1" t="str">
        <f>VLOOKUP(Advices[[#This Row],[LC Number]],'Combine_List'!A:D,2,0)</f>
        <v>Al Arabia for Construction &amp; Building Co.</v>
      </c>
      <c r="M1157" s="447" t="str">
        <f>VLOOKUP(Advices[[#This Row],[LC Number]],'Combine_List'!A:D,3,0)</f>
        <v>MBL</v>
      </c>
      <c r="N1157" s="447" t="str">
        <f>VLOOKUP(Advices[[#This Row],[LC Number]],'Combine_List'!A:D,4,0)</f>
        <v>Lagoon</v>
      </c>
      <c r="O1157" s="1"/>
      <c r="P1157" s="1">
        <f>MONTH(Advices[[#This Row],[Transaction Date]])</f>
        <v>12</v>
      </c>
      <c r="Q1157" s="1">
        <f>YEAR(Advices[[#This Row],[Transaction Date]])</f>
        <v>2025</v>
      </c>
      <c r="R1157" s="1"/>
    </row>
    <row r="1158" spans="1:18" hidden="1" x14ac:dyDescent="0.25">
      <c r="A1158" s="264" t="s">
        <v>1073</v>
      </c>
      <c r="B1158" s="265">
        <v>46009</v>
      </c>
      <c r="C1158" s="264" t="s">
        <v>3164</v>
      </c>
      <c r="D1158" s="264" t="s">
        <v>3168</v>
      </c>
      <c r="E1158" s="264" t="s">
        <v>4544</v>
      </c>
      <c r="F1158" s="264" t="s">
        <v>2041</v>
      </c>
      <c r="G1158" s="264" t="s">
        <v>26</v>
      </c>
      <c r="H1158" s="266">
        <v>3894.8</v>
      </c>
      <c r="I1158" s="13">
        <v>0</v>
      </c>
      <c r="J1158" s="264" t="s">
        <v>2616</v>
      </c>
      <c r="K1158" s="264" t="s">
        <v>2025</v>
      </c>
      <c r="L1158" s="1" t="str">
        <f>VLOOKUP(Advices[[#This Row],[LC Number]],'Combine_List'!A:D,2,0)</f>
        <v>NIZAR ABDALGHANY KABLI FOR GENERAL CONTRACTING</v>
      </c>
      <c r="M1158" s="447" t="str">
        <f>VLOOKUP(Advices[[#This Row],[LC Number]],'Combine_List'!A:D,3,0)</f>
        <v>MBL</v>
      </c>
      <c r="N1158" s="447" t="str">
        <f>VLOOKUP(Advices[[#This Row],[LC Number]],'Combine_List'!A:D,4,0)</f>
        <v>Lagoon</v>
      </c>
      <c r="O1158" s="1"/>
      <c r="P1158" s="1">
        <f>MONTH(Advices[[#This Row],[Transaction Date]])</f>
        <v>12</v>
      </c>
      <c r="Q1158" s="1">
        <f>YEAR(Advices[[#This Row],[Transaction Date]])</f>
        <v>2025</v>
      </c>
      <c r="R1158" s="1"/>
    </row>
    <row r="1159" spans="1:18" hidden="1" x14ac:dyDescent="0.25">
      <c r="A1159" s="264" t="s">
        <v>1073</v>
      </c>
      <c r="B1159" s="265">
        <v>46009</v>
      </c>
      <c r="C1159" s="264" t="s">
        <v>3164</v>
      </c>
      <c r="D1159" s="264" t="s">
        <v>3168</v>
      </c>
      <c r="E1159" s="264" t="s">
        <v>4544</v>
      </c>
      <c r="F1159" s="264" t="s">
        <v>2041</v>
      </c>
      <c r="G1159" s="264" t="s">
        <v>26</v>
      </c>
      <c r="H1159" s="266">
        <v>150</v>
      </c>
      <c r="I1159" s="13">
        <v>0</v>
      </c>
      <c r="J1159" s="264" t="s">
        <v>2616</v>
      </c>
      <c r="K1159" s="264" t="s">
        <v>2025</v>
      </c>
      <c r="L1159" s="1" t="str">
        <f>VLOOKUP(Advices[[#This Row],[LC Number]],'Combine_List'!A:D,2,0)</f>
        <v>NIZAR ABDALGHANY KABLI FOR GENERAL CONTRACTING</v>
      </c>
      <c r="M1159" s="447" t="str">
        <f>VLOOKUP(Advices[[#This Row],[LC Number]],'Combine_List'!A:D,3,0)</f>
        <v>MBL</v>
      </c>
      <c r="N1159" s="447" t="str">
        <f>VLOOKUP(Advices[[#This Row],[LC Number]],'Combine_List'!A:D,4,0)</f>
        <v>Lagoon</v>
      </c>
      <c r="O1159" s="1"/>
      <c r="P1159" s="1">
        <f>MONTH(Advices[[#This Row],[Transaction Date]])</f>
        <v>12</v>
      </c>
      <c r="Q1159" s="1">
        <f>YEAR(Advices[[#This Row],[Transaction Date]])</f>
        <v>2025</v>
      </c>
      <c r="R1159" s="1"/>
    </row>
    <row r="1160" spans="1:18" hidden="1" x14ac:dyDescent="0.25">
      <c r="A1160" s="264" t="s">
        <v>1073</v>
      </c>
      <c r="B1160" s="265">
        <v>46009</v>
      </c>
      <c r="C1160" s="264" t="s">
        <v>3164</v>
      </c>
      <c r="D1160" s="264" t="s">
        <v>3168</v>
      </c>
      <c r="E1160" s="264" t="s">
        <v>4544</v>
      </c>
      <c r="F1160" s="264" t="s">
        <v>2041</v>
      </c>
      <c r="G1160" s="264" t="s">
        <v>26</v>
      </c>
      <c r="H1160" s="266">
        <v>37.5</v>
      </c>
      <c r="I1160" s="13">
        <v>0</v>
      </c>
      <c r="J1160" s="264" t="s">
        <v>2616</v>
      </c>
      <c r="K1160" s="264" t="s">
        <v>2025</v>
      </c>
      <c r="L1160" s="1" t="str">
        <f>VLOOKUP(Advices[[#This Row],[LC Number]],'Combine_List'!A:D,2,0)</f>
        <v>NIZAR ABDALGHANY KABLI FOR GENERAL CONTRACTING</v>
      </c>
      <c r="M1160" s="447" t="str">
        <f>VLOOKUP(Advices[[#This Row],[LC Number]],'Combine_List'!A:D,3,0)</f>
        <v>MBL</v>
      </c>
      <c r="N1160" s="447" t="str">
        <f>VLOOKUP(Advices[[#This Row],[LC Number]],'Combine_List'!A:D,4,0)</f>
        <v>Lagoon</v>
      </c>
      <c r="O1160" s="1"/>
      <c r="P1160" s="1">
        <f>MONTH(Advices[[#This Row],[Transaction Date]])</f>
        <v>12</v>
      </c>
      <c r="Q1160" s="1">
        <f>YEAR(Advices[[#This Row],[Transaction Date]])</f>
        <v>2025</v>
      </c>
      <c r="R1160" s="1"/>
    </row>
    <row r="1161" spans="1:18" x14ac:dyDescent="0.25">
      <c r="A1161" s="264" t="s">
        <v>21</v>
      </c>
      <c r="B1161" s="265">
        <v>46012</v>
      </c>
      <c r="C1161" s="264" t="s">
        <v>1951</v>
      </c>
      <c r="D1161" s="264" t="s">
        <v>1960</v>
      </c>
      <c r="E1161" s="264" t="s">
        <v>1487</v>
      </c>
      <c r="F1161" s="264" t="s">
        <v>1990</v>
      </c>
      <c r="G1161" s="264" t="s">
        <v>26</v>
      </c>
      <c r="H1161" s="266">
        <v>-11.25</v>
      </c>
      <c r="I1161" s="13">
        <v>0</v>
      </c>
      <c r="J1161" s="264" t="s">
        <v>1174</v>
      </c>
      <c r="K1161" s="264" t="s">
        <v>2025</v>
      </c>
      <c r="L1161" s="1" t="str">
        <f>VLOOKUP(Advices[[#This Row],[LC Number]],'Combine_List'!A:D,2,0)</f>
        <v>SCHNEIDER ELECTRIC SAUDI ARABIA CO</v>
      </c>
      <c r="M1161" s="447" t="str">
        <f>VLOOKUP(Advices[[#This Row],[LC Number]],'Combine_List'!A:D,3,0)</f>
        <v>FIRST FIX</v>
      </c>
      <c r="N1161" s="447" t="str">
        <f>VLOOKUP(Advices[[#This Row],[LC Number]],'Combine_List'!A:D,4,0)</f>
        <v>JCD SPMI</v>
      </c>
      <c r="O1161" s="1"/>
      <c r="P1161" s="1">
        <f>MONTH(Advices[[#This Row],[Transaction Date]])</f>
        <v>12</v>
      </c>
      <c r="Q1161" s="1">
        <f>YEAR(Advices[[#This Row],[Transaction Date]])</f>
        <v>2025</v>
      </c>
      <c r="R1161" s="1"/>
    </row>
    <row r="1162" spans="1:18" x14ac:dyDescent="0.25">
      <c r="A1162" s="264" t="s">
        <v>21</v>
      </c>
      <c r="B1162" s="265">
        <v>46012</v>
      </c>
      <c r="C1162" s="264" t="s">
        <v>1951</v>
      </c>
      <c r="D1162" s="264" t="s">
        <v>3170</v>
      </c>
      <c r="E1162" s="264" t="s">
        <v>1487</v>
      </c>
      <c r="F1162" s="264" t="s">
        <v>1990</v>
      </c>
      <c r="G1162" s="264" t="s">
        <v>26</v>
      </c>
      <c r="H1162" s="266">
        <v>-75</v>
      </c>
      <c r="I1162" s="13">
        <v>0</v>
      </c>
      <c r="J1162" s="264" t="s">
        <v>1963</v>
      </c>
      <c r="K1162" s="264" t="s">
        <v>2025</v>
      </c>
      <c r="L1162" s="1" t="str">
        <f>VLOOKUP(Advices[[#This Row],[LC Number]],'Combine_List'!A:D,2,0)</f>
        <v>SCHNEIDER ELECTRIC SAUDI ARABIA CO</v>
      </c>
      <c r="M1162" s="447" t="str">
        <f>VLOOKUP(Advices[[#This Row],[LC Number]],'Combine_List'!A:D,3,0)</f>
        <v>FIRST FIX</v>
      </c>
      <c r="N1162" s="447" t="str">
        <f>VLOOKUP(Advices[[#This Row],[LC Number]],'Combine_List'!A:D,4,0)</f>
        <v>JCD SPMI</v>
      </c>
      <c r="O1162" s="1"/>
      <c r="P1162" s="1">
        <f>MONTH(Advices[[#This Row],[Transaction Date]])</f>
        <v>12</v>
      </c>
      <c r="Q1162" s="1">
        <f>YEAR(Advices[[#This Row],[Transaction Date]])</f>
        <v>2025</v>
      </c>
      <c r="R1162" s="1"/>
    </row>
    <row r="1163" spans="1:18" x14ac:dyDescent="0.25">
      <c r="A1163" s="264" t="s">
        <v>21</v>
      </c>
      <c r="B1163" s="265">
        <v>46012</v>
      </c>
      <c r="C1163" s="264" t="s">
        <v>1951</v>
      </c>
      <c r="D1163" s="264" t="s">
        <v>3171</v>
      </c>
      <c r="E1163" s="264" t="s">
        <v>1487</v>
      </c>
      <c r="F1163" s="264" t="s">
        <v>1990</v>
      </c>
      <c r="G1163" s="264" t="s">
        <v>26</v>
      </c>
      <c r="H1163" s="266">
        <v>-578910</v>
      </c>
      <c r="I1163" s="13">
        <v>0</v>
      </c>
      <c r="J1163" s="264" t="s">
        <v>1126</v>
      </c>
      <c r="K1163" s="264" t="s">
        <v>2025</v>
      </c>
      <c r="L1163" s="1" t="str">
        <f>VLOOKUP(Advices[[#This Row],[LC Number]],'Combine_List'!A:D,2,0)</f>
        <v>SCHNEIDER ELECTRIC SAUDI ARABIA CO</v>
      </c>
      <c r="M1163" s="447" t="str">
        <f>VLOOKUP(Advices[[#This Row],[LC Number]],'Combine_List'!A:D,3,0)</f>
        <v>FIRST FIX</v>
      </c>
      <c r="N1163" s="447" t="str">
        <f>VLOOKUP(Advices[[#This Row],[LC Number]],'Combine_List'!A:D,4,0)</f>
        <v>JCD SPMI</v>
      </c>
      <c r="O1163" s="1"/>
      <c r="P1163" s="1">
        <f>MONTH(Advices[[#This Row],[Transaction Date]])</f>
        <v>12</v>
      </c>
      <c r="Q1163" s="1">
        <f>YEAR(Advices[[#This Row],[Transaction Date]])</f>
        <v>2025</v>
      </c>
      <c r="R1163" s="1"/>
    </row>
    <row r="1164" spans="1:18" x14ac:dyDescent="0.25">
      <c r="A1164" s="264" t="s">
        <v>21</v>
      </c>
      <c r="B1164" s="265">
        <v>46012</v>
      </c>
      <c r="C1164" s="264" t="s">
        <v>1951</v>
      </c>
      <c r="D1164" s="264" t="s">
        <v>3172</v>
      </c>
      <c r="E1164" s="264" t="s">
        <v>3169</v>
      </c>
      <c r="F1164" s="264" t="s">
        <v>3169</v>
      </c>
      <c r="G1164" s="264" t="s">
        <v>26</v>
      </c>
      <c r="H1164" s="266">
        <v>-105</v>
      </c>
      <c r="I1164" s="13">
        <v>0</v>
      </c>
      <c r="J1164" s="264" t="s">
        <v>1174</v>
      </c>
      <c r="K1164" s="264" t="s">
        <v>2025</v>
      </c>
      <c r="L1164" s="1" t="str">
        <f>VLOOKUP(Advices[[#This Row],[LC Number]],'Combine_List'!A:D,2,0)</f>
        <v>Osalas GMBH</v>
      </c>
      <c r="M1164" s="447" t="str">
        <f>VLOOKUP(Advices[[#This Row],[LC Number]],'Combine_List'!A:D,3,0)</f>
        <v>MBL</v>
      </c>
      <c r="N1164" s="447" t="str">
        <f>VLOOKUP(Advices[[#This Row],[LC Number]],'Combine_List'!A:D,4,0)</f>
        <v>ADF</v>
      </c>
      <c r="O1164" s="1"/>
      <c r="P1164" s="1">
        <f>MONTH(Advices[[#This Row],[Transaction Date]])</f>
        <v>12</v>
      </c>
      <c r="Q1164" s="1">
        <f>YEAR(Advices[[#This Row],[Transaction Date]])</f>
        <v>2025</v>
      </c>
      <c r="R1164" s="1"/>
    </row>
    <row r="1165" spans="1:18" x14ac:dyDescent="0.25">
      <c r="A1165" s="264" t="s">
        <v>21</v>
      </c>
      <c r="B1165" s="265">
        <v>46012</v>
      </c>
      <c r="C1165" s="264" t="s">
        <v>1951</v>
      </c>
      <c r="D1165" s="264" t="s">
        <v>3173</v>
      </c>
      <c r="E1165" s="264" t="s">
        <v>3169</v>
      </c>
      <c r="F1165" s="264" t="s">
        <v>3169</v>
      </c>
      <c r="G1165" s="264" t="s">
        <v>26</v>
      </c>
      <c r="H1165" s="266">
        <v>-700</v>
      </c>
      <c r="I1165" s="13">
        <v>0</v>
      </c>
      <c r="J1165" s="264" t="s">
        <v>1963</v>
      </c>
      <c r="K1165" s="264" t="s">
        <v>2025</v>
      </c>
      <c r="L1165" s="1" t="str">
        <f>VLOOKUP(Advices[[#This Row],[LC Number]],'Combine_List'!A:D,2,0)</f>
        <v>Osalas GMBH</v>
      </c>
      <c r="M1165" s="447" t="str">
        <f>VLOOKUP(Advices[[#This Row],[LC Number]],'Combine_List'!A:D,3,0)</f>
        <v>MBL</v>
      </c>
      <c r="N1165" s="447" t="str">
        <f>VLOOKUP(Advices[[#This Row],[LC Number]],'Combine_List'!A:D,4,0)</f>
        <v>ADF</v>
      </c>
      <c r="O1165" s="1"/>
      <c r="P1165" s="1">
        <f>MONTH(Advices[[#This Row],[Transaction Date]])</f>
        <v>12</v>
      </c>
      <c r="Q1165" s="1">
        <f>YEAR(Advices[[#This Row],[Transaction Date]])</f>
        <v>2025</v>
      </c>
      <c r="R1165" s="1"/>
    </row>
    <row r="1166" spans="1:18" x14ac:dyDescent="0.25">
      <c r="A1166" s="264" t="s">
        <v>21</v>
      </c>
      <c r="B1166" s="265">
        <v>46012</v>
      </c>
      <c r="C1166" s="264" t="s">
        <v>1951</v>
      </c>
      <c r="D1166" s="264" t="s">
        <v>3172</v>
      </c>
      <c r="E1166" s="264" t="s">
        <v>3169</v>
      </c>
      <c r="F1166" s="264" t="s">
        <v>3169</v>
      </c>
      <c r="G1166" s="264" t="s">
        <v>26</v>
      </c>
      <c r="H1166" s="266">
        <v>-4200</v>
      </c>
      <c r="I1166" s="13">
        <v>0</v>
      </c>
      <c r="J1166" s="264" t="s">
        <v>1174</v>
      </c>
      <c r="K1166" s="264" t="s">
        <v>2025</v>
      </c>
      <c r="L1166" s="1" t="str">
        <f>VLOOKUP(Advices[[#This Row],[LC Number]],'Combine_List'!A:D,2,0)</f>
        <v>Osalas GMBH</v>
      </c>
      <c r="M1166" s="447" t="str">
        <f>VLOOKUP(Advices[[#This Row],[LC Number]],'Combine_List'!A:D,3,0)</f>
        <v>MBL</v>
      </c>
      <c r="N1166" s="447" t="str">
        <f>VLOOKUP(Advices[[#This Row],[LC Number]],'Combine_List'!A:D,4,0)</f>
        <v>ADF</v>
      </c>
      <c r="O1166" s="1"/>
      <c r="P1166" s="1">
        <f>MONTH(Advices[[#This Row],[Transaction Date]])</f>
        <v>12</v>
      </c>
      <c r="Q1166" s="1">
        <f>YEAR(Advices[[#This Row],[Transaction Date]])</f>
        <v>2025</v>
      </c>
      <c r="R1166" s="1"/>
    </row>
    <row r="1167" spans="1:18" x14ac:dyDescent="0.25">
      <c r="A1167" s="264" t="s">
        <v>21</v>
      </c>
      <c r="B1167" s="265">
        <v>46012</v>
      </c>
      <c r="C1167" s="264" t="s">
        <v>1951</v>
      </c>
      <c r="D1167" s="264" t="s">
        <v>3174</v>
      </c>
      <c r="E1167" s="264" t="s">
        <v>3169</v>
      </c>
      <c r="F1167" s="264" t="s">
        <v>3169</v>
      </c>
      <c r="G1167" s="264" t="s">
        <v>26</v>
      </c>
      <c r="H1167" s="266">
        <v>-28000</v>
      </c>
      <c r="I1167" s="13">
        <v>0</v>
      </c>
      <c r="J1167" s="264" t="s">
        <v>2616</v>
      </c>
      <c r="K1167" s="264" t="s">
        <v>2025</v>
      </c>
      <c r="L1167" s="1" t="str">
        <f>VLOOKUP(Advices[[#This Row],[LC Number]],'Combine_List'!A:D,2,0)</f>
        <v>Osalas GMBH</v>
      </c>
      <c r="M1167" s="447" t="str">
        <f>VLOOKUP(Advices[[#This Row],[LC Number]],'Combine_List'!A:D,3,0)</f>
        <v>MBL</v>
      </c>
      <c r="N1167" s="447" t="str">
        <f>VLOOKUP(Advices[[#This Row],[LC Number]],'Combine_List'!A:D,4,0)</f>
        <v>ADF</v>
      </c>
      <c r="O1167" s="1"/>
      <c r="P1167" s="1">
        <f>MONTH(Advices[[#This Row],[Transaction Date]])</f>
        <v>12</v>
      </c>
      <c r="Q1167" s="1">
        <f>YEAR(Advices[[#This Row],[Transaction Date]])</f>
        <v>2025</v>
      </c>
      <c r="R1167" s="1"/>
    </row>
    <row r="1168" spans="1:18" hidden="1" x14ac:dyDescent="0.25">
      <c r="A1168" s="264" t="s">
        <v>62</v>
      </c>
      <c r="B1168" s="265">
        <v>46012</v>
      </c>
      <c r="C1168" s="264" t="s">
        <v>2716</v>
      </c>
      <c r="D1168" s="264" t="s">
        <v>3175</v>
      </c>
      <c r="E1168" s="1" t="s">
        <v>1934</v>
      </c>
      <c r="F1168" s="264" t="s">
        <v>2041</v>
      </c>
      <c r="G1168" s="264" t="s">
        <v>26</v>
      </c>
      <c r="H1168" s="266">
        <v>1479912.9</v>
      </c>
      <c r="I1168" s="266">
        <v>0</v>
      </c>
      <c r="J1168" s="264" t="s">
        <v>1126</v>
      </c>
      <c r="K1168" s="264" t="s">
        <v>2025</v>
      </c>
      <c r="L1168" s="1" t="str">
        <f>VLOOKUP(Advices[[#This Row],[LC Number]],'Combine_List'!A:D,2,0)</f>
        <v>Mat Filtrasyon Teknolojeleri A.S</v>
      </c>
      <c r="M1168" s="447" t="str">
        <f>VLOOKUP(Advices[[#This Row],[LC Number]],'Combine_List'!A:D,3,0)</f>
        <v>MBL</v>
      </c>
      <c r="N1168" s="447" t="str">
        <f>VLOOKUP(Advices[[#This Row],[LC Number]],'Combine_List'!A:D,4,0)</f>
        <v>Oceanarium</v>
      </c>
      <c r="O1168" s="447">
        <f>VLOOKUP(Advices[[#This Row],[LC Number]],'Combine_List'!A:E,5,0)</f>
        <v>1020096</v>
      </c>
      <c r="P1168" s="447">
        <f>MONTH(Advices[[#This Row],[Transaction Date]])</f>
        <v>12</v>
      </c>
      <c r="Q1168" s="447">
        <f>YEAR(Advices[[#This Row],[Transaction Date]])</f>
        <v>2025</v>
      </c>
      <c r="R1168" s="1"/>
    </row>
    <row r="1169" spans="1:18" hidden="1" x14ac:dyDescent="0.25">
      <c r="A1169" s="264" t="s">
        <v>95</v>
      </c>
      <c r="B1169" s="265">
        <v>46012</v>
      </c>
      <c r="C1169" s="264" t="s">
        <v>2026</v>
      </c>
      <c r="D1169" s="264" t="s">
        <v>3176</v>
      </c>
      <c r="E1169" s="264" t="s">
        <v>2907</v>
      </c>
      <c r="F1169" s="264" t="s">
        <v>3177</v>
      </c>
      <c r="G1169" s="264" t="s">
        <v>26</v>
      </c>
      <c r="H1169" s="266">
        <v>-1237.17</v>
      </c>
      <c r="I1169" s="13">
        <v>0</v>
      </c>
      <c r="J1169" s="264" t="s">
        <v>1125</v>
      </c>
      <c r="K1169" s="264" t="s">
        <v>2025</v>
      </c>
      <c r="L1169" s="1" t="str">
        <f>VLOOKUP(Advices[[#This Row],[LC Number]],'Combine_List'!A:D,2,0)</f>
        <v>ALNAFIE METAL INDUSTRIES CO LTD</v>
      </c>
      <c r="M1169" s="447" t="str">
        <f>VLOOKUP(Advices[[#This Row],[LC Number]],'Combine_List'!A:D,3,0)</f>
        <v>MBL/AICS</v>
      </c>
      <c r="N1169" s="447" t="str">
        <f>VLOOKUP(Advices[[#This Row],[LC Number]],'Combine_List'!A:D,4,0)</f>
        <v>OPERA House</v>
      </c>
      <c r="O1169" s="1"/>
      <c r="P1169" s="1">
        <f>MONTH(Advices[[#This Row],[Transaction Date]])</f>
        <v>12</v>
      </c>
      <c r="Q1169" s="1">
        <f>YEAR(Advices[[#This Row],[Transaction Date]])</f>
        <v>2025</v>
      </c>
      <c r="R1169" s="1"/>
    </row>
    <row r="1170" spans="1:18" hidden="1" x14ac:dyDescent="0.25">
      <c r="A1170" s="264" t="s">
        <v>95</v>
      </c>
      <c r="B1170" s="265">
        <v>46012</v>
      </c>
      <c r="C1170" s="264" t="s">
        <v>2026</v>
      </c>
      <c r="D1170" s="264" t="s">
        <v>3178</v>
      </c>
      <c r="E1170" s="264" t="s">
        <v>1639</v>
      </c>
      <c r="F1170" s="264" t="s">
        <v>3179</v>
      </c>
      <c r="G1170" s="264" t="s">
        <v>26</v>
      </c>
      <c r="H1170" s="266">
        <v>-1211.4000000000001</v>
      </c>
      <c r="I1170" s="13">
        <v>0</v>
      </c>
      <c r="J1170" s="264" t="s">
        <v>1125</v>
      </c>
      <c r="K1170" s="264" t="s">
        <v>2025</v>
      </c>
      <c r="L1170" s="1" t="str">
        <f>VLOOKUP(Advices[[#This Row],[LC Number]],'Combine_List'!A:D,2,0)</f>
        <v>Mohammed A. Al-Awani Trading</v>
      </c>
      <c r="M1170" s="447" t="str">
        <f>VLOOKUP(Advices[[#This Row],[LC Number]],'Combine_List'!A:D,3,0)</f>
        <v>MBL</v>
      </c>
      <c r="N1170" s="447" t="str">
        <f>VLOOKUP(Advices[[#This Row],[LC Number]],'Combine_List'!A:D,4,0)</f>
        <v>Rabigh Power Plant</v>
      </c>
      <c r="O1170" s="1"/>
      <c r="P1170" s="1">
        <f>MONTH(Advices[[#This Row],[Transaction Date]])</f>
        <v>12</v>
      </c>
      <c r="Q1170" s="1">
        <f>YEAR(Advices[[#This Row],[Transaction Date]])</f>
        <v>2025</v>
      </c>
      <c r="R1170" s="1"/>
    </row>
    <row r="1171" spans="1:18" hidden="1" x14ac:dyDescent="0.25">
      <c r="A1171" s="264" t="s">
        <v>95</v>
      </c>
      <c r="B1171" s="265">
        <v>46012</v>
      </c>
      <c r="C1171" s="264" t="s">
        <v>2304</v>
      </c>
      <c r="D1171" s="264" t="s">
        <v>3180</v>
      </c>
      <c r="E1171" s="264" t="s">
        <v>3142</v>
      </c>
      <c r="F1171" s="264" t="s">
        <v>3142</v>
      </c>
      <c r="G1171" s="264"/>
      <c r="H1171" s="266"/>
      <c r="I1171" s="266">
        <v>4431.3999999999996</v>
      </c>
      <c r="J1171" s="264" t="s">
        <v>3083</v>
      </c>
      <c r="K1171" s="264" t="s">
        <v>3083</v>
      </c>
      <c r="L1171" s="1" t="str">
        <f>VLOOKUP(Advices[[#This Row],[LC Number]],'Combine_List'!A:D,2,0)</f>
        <v>APS ARABIAN CONTRACTING COMPANY</v>
      </c>
      <c r="M1171" s="447" t="str">
        <f>VLOOKUP(Advices[[#This Row],[LC Number]],'Combine_List'!A:D,3,0)</f>
        <v>MBL/AICS</v>
      </c>
      <c r="N1171" s="447" t="str">
        <f>VLOOKUP(Advices[[#This Row],[LC Number]],'Combine_List'!A:D,4,0)</f>
        <v>OPERA House</v>
      </c>
      <c r="O1171" s="1"/>
      <c r="P1171" s="1">
        <f>MONTH(Advices[[#This Row],[Transaction Date]])</f>
        <v>12</v>
      </c>
      <c r="Q1171" s="1">
        <f>YEAR(Advices[[#This Row],[Transaction Date]])</f>
        <v>2025</v>
      </c>
      <c r="R1171" s="1"/>
    </row>
    <row r="1172" spans="1:18" hidden="1" x14ac:dyDescent="0.25">
      <c r="A1172" s="264" t="s">
        <v>95</v>
      </c>
      <c r="B1172" s="265">
        <v>46012</v>
      </c>
      <c r="C1172" s="264" t="s">
        <v>2307</v>
      </c>
      <c r="D1172" s="264" t="s">
        <v>3181</v>
      </c>
      <c r="E1172" s="264" t="s">
        <v>3142</v>
      </c>
      <c r="F1172" s="264" t="s">
        <v>3142</v>
      </c>
      <c r="G1172" s="264"/>
      <c r="H1172" s="266">
        <v>-4431.3999999999996</v>
      </c>
      <c r="I1172" s="13">
        <v>0</v>
      </c>
      <c r="J1172" s="264" t="s">
        <v>2616</v>
      </c>
      <c r="K1172" s="264" t="s">
        <v>2025</v>
      </c>
      <c r="L1172" s="1" t="str">
        <f>VLOOKUP(Advices[[#This Row],[LC Number]],'Combine_List'!A:D,2,0)</f>
        <v>APS ARABIAN CONTRACTING COMPANY</v>
      </c>
      <c r="M1172" s="447" t="str">
        <f>VLOOKUP(Advices[[#This Row],[LC Number]],'Combine_List'!A:D,3,0)</f>
        <v>MBL/AICS</v>
      </c>
      <c r="N1172" s="447" t="str">
        <f>VLOOKUP(Advices[[#This Row],[LC Number]],'Combine_List'!A:D,4,0)</f>
        <v>OPERA House</v>
      </c>
      <c r="O1172" s="1"/>
      <c r="P1172" s="1">
        <f>MONTH(Advices[[#This Row],[Transaction Date]])</f>
        <v>12</v>
      </c>
      <c r="Q1172" s="1">
        <f>YEAR(Advices[[#This Row],[Transaction Date]])</f>
        <v>2025</v>
      </c>
      <c r="R1172" s="1"/>
    </row>
    <row r="1173" spans="1:18" hidden="1" x14ac:dyDescent="0.25">
      <c r="A1173" s="264" t="s">
        <v>95</v>
      </c>
      <c r="B1173" s="265">
        <v>46012</v>
      </c>
      <c r="C1173" s="264" t="s">
        <v>3182</v>
      </c>
      <c r="D1173" s="264" t="s">
        <v>3183</v>
      </c>
      <c r="E1173" s="264" t="s">
        <v>707</v>
      </c>
      <c r="F1173" s="264" t="s">
        <v>2379</v>
      </c>
      <c r="G1173" s="264" t="s">
        <v>67</v>
      </c>
      <c r="H1173" s="266">
        <v>-1875.92</v>
      </c>
      <c r="I1173" s="13">
        <v>0</v>
      </c>
      <c r="J1173" s="264" t="s">
        <v>3186</v>
      </c>
      <c r="K1173" s="264" t="s">
        <v>2025</v>
      </c>
      <c r="L1173" s="1" t="str">
        <f>VLOOKUP(Advices[[#This Row],[LC Number]],'Combine_List'!A:D,2,0)</f>
        <v>BBH-CHEMTROL INTERNATIONAL ORGANIZATION S.L</v>
      </c>
      <c r="M1173" s="447" t="str">
        <f>VLOOKUP(Advices[[#This Row],[LC Number]],'Combine_List'!A:D,3,0)</f>
        <v>MBL/ICAD</v>
      </c>
      <c r="N1173" s="447" t="str">
        <f>VLOOKUP(Advices[[#This Row],[LC Number]],'Combine_List'!A:D,4,0)</f>
        <v>OPERA House</v>
      </c>
      <c r="O1173" s="1"/>
      <c r="P1173" s="1">
        <f>MONTH(Advices[[#This Row],[Transaction Date]])</f>
        <v>12</v>
      </c>
      <c r="Q1173" s="1">
        <f>YEAR(Advices[[#This Row],[Transaction Date]])</f>
        <v>2025</v>
      </c>
      <c r="R1173" s="1"/>
    </row>
    <row r="1174" spans="1:18" hidden="1" x14ac:dyDescent="0.25">
      <c r="A1174" s="264" t="s">
        <v>366</v>
      </c>
      <c r="B1174" s="265">
        <v>46012</v>
      </c>
      <c r="C1174" s="264" t="s">
        <v>2057</v>
      </c>
      <c r="D1174" s="264" t="s">
        <v>3184</v>
      </c>
      <c r="E1174" s="264" t="s">
        <v>1674</v>
      </c>
      <c r="F1174" s="1" t="s">
        <v>3534</v>
      </c>
      <c r="G1174" s="264" t="s">
        <v>26</v>
      </c>
      <c r="H1174" s="266">
        <v>-1246756.1200000001</v>
      </c>
      <c r="I1174" s="13">
        <v>0</v>
      </c>
      <c r="J1174" s="264" t="s">
        <v>1126</v>
      </c>
      <c r="K1174" s="264" t="s">
        <v>2025</v>
      </c>
      <c r="L1174" s="1" t="str">
        <f>VLOOKUP(Advices[[#This Row],[LC Number]],'Combine_List'!A:D,2,0)</f>
        <v>AL-RIYADHA AL-OULA FOR INDUSTRIAL MATERIAL SUPPLY CO.</v>
      </c>
      <c r="M1174" s="447" t="str">
        <f>VLOOKUP(Advices[[#This Row],[LC Number]],'Combine_List'!A:D,3,0)</f>
        <v>FIRST FIX</v>
      </c>
      <c r="N1174" s="447" t="str">
        <f>VLOOKUP(Advices[[#This Row],[LC Number]],'Combine_List'!A:D,4,0)</f>
        <v>CEER</v>
      </c>
      <c r="O1174" s="1"/>
      <c r="P1174" s="1">
        <f>MONTH(Advices[[#This Row],[Transaction Date]])</f>
        <v>12</v>
      </c>
      <c r="Q1174" s="1">
        <f>YEAR(Advices[[#This Row],[Transaction Date]])</f>
        <v>2025</v>
      </c>
      <c r="R1174" s="1"/>
    </row>
    <row r="1175" spans="1:18" hidden="1" x14ac:dyDescent="0.25">
      <c r="A1175" s="264" t="s">
        <v>366</v>
      </c>
      <c r="B1175" s="265">
        <v>46012</v>
      </c>
      <c r="C1175" s="264" t="s">
        <v>2057</v>
      </c>
      <c r="D1175" s="264" t="s">
        <v>3185</v>
      </c>
      <c r="E1175" s="264" t="s">
        <v>1689</v>
      </c>
      <c r="F1175" s="1" t="s">
        <v>3432</v>
      </c>
      <c r="G1175" s="264" t="s">
        <v>26</v>
      </c>
      <c r="H1175" s="266">
        <v>-379272.9</v>
      </c>
      <c r="I1175" s="13">
        <v>0</v>
      </c>
      <c r="J1175" s="264" t="s">
        <v>1126</v>
      </c>
      <c r="K1175" s="264" t="s">
        <v>2025</v>
      </c>
      <c r="L1175" s="1" t="str">
        <f>VLOOKUP(Advices[[#This Row],[LC Number]],'Combine_List'!A:D,2,0)</f>
        <v>EVOLVING CONSTELLATION CO. FOR ENERGY</v>
      </c>
      <c r="M1175" s="447" t="str">
        <f>VLOOKUP(Advices[[#This Row],[LC Number]],'Combine_List'!A:D,3,0)</f>
        <v>FIRST FIX</v>
      </c>
      <c r="N1175" s="447" t="str">
        <f>VLOOKUP(Advices[[#This Row],[LC Number]],'Combine_List'!A:D,4,0)</f>
        <v>CEER</v>
      </c>
      <c r="O1175" s="1"/>
      <c r="P1175" s="1">
        <f>MONTH(Advices[[#This Row],[Transaction Date]])</f>
        <v>12</v>
      </c>
      <c r="Q1175" s="1">
        <f>YEAR(Advices[[#This Row],[Transaction Date]])</f>
        <v>2025</v>
      </c>
      <c r="R1175" s="1"/>
    </row>
    <row r="1176" spans="1:18" x14ac:dyDescent="0.25">
      <c r="A1176" s="264" t="s">
        <v>21</v>
      </c>
      <c r="B1176" s="265">
        <v>46013</v>
      </c>
      <c r="C1176" s="264" t="s">
        <v>1951</v>
      </c>
      <c r="D1176" s="264" t="s">
        <v>1952</v>
      </c>
      <c r="E1176" s="264" t="s">
        <v>1428</v>
      </c>
      <c r="F1176" s="264" t="s">
        <v>3191</v>
      </c>
      <c r="G1176" s="264" t="s">
        <v>26</v>
      </c>
      <c r="H1176" s="266">
        <v>-187.5</v>
      </c>
      <c r="I1176" s="13">
        <v>0</v>
      </c>
      <c r="J1176" s="264" t="s">
        <v>1174</v>
      </c>
      <c r="K1176" s="264" t="s">
        <v>2025</v>
      </c>
      <c r="L1176" s="1" t="str">
        <f>VLOOKUP(Advices[[#This Row],[LC Number]],'Combine_List'!A:D,2,0)</f>
        <v>DAR-AL MAWARED TRADING CO.</v>
      </c>
      <c r="M1176" s="447" t="str">
        <f>VLOOKUP(Advices[[#This Row],[LC Number]],'Combine_List'!A:D,3,0)</f>
        <v>FIRST FIX</v>
      </c>
      <c r="N1176" s="447" t="str">
        <f>VLOOKUP(Advices[[#This Row],[LC Number]],'Combine_List'!A:D,4,0)</f>
        <v>KSP</v>
      </c>
      <c r="O1176" s="1"/>
      <c r="P1176" s="1">
        <f>MONTH(Advices[[#This Row],[Transaction Date]])</f>
        <v>12</v>
      </c>
      <c r="Q1176" s="1">
        <f>YEAR(Advices[[#This Row],[Transaction Date]])</f>
        <v>2025</v>
      </c>
      <c r="R1176" s="1"/>
    </row>
    <row r="1177" spans="1:18" x14ac:dyDescent="0.25">
      <c r="A1177" s="264" t="s">
        <v>21</v>
      </c>
      <c r="B1177" s="265">
        <v>46013</v>
      </c>
      <c r="C1177" s="264" t="s">
        <v>1951</v>
      </c>
      <c r="D1177" s="264" t="s">
        <v>3192</v>
      </c>
      <c r="E1177" s="264" t="s">
        <v>1428</v>
      </c>
      <c r="F1177" s="264" t="s">
        <v>3191</v>
      </c>
      <c r="G1177" s="264" t="s">
        <v>26</v>
      </c>
      <c r="H1177" s="266">
        <v>-1250</v>
      </c>
      <c r="I1177" s="13">
        <v>0</v>
      </c>
      <c r="J1177" s="264" t="s">
        <v>1125</v>
      </c>
      <c r="K1177" s="264" t="s">
        <v>2025</v>
      </c>
      <c r="L1177" s="1" t="str">
        <f>VLOOKUP(Advices[[#This Row],[LC Number]],'Combine_List'!A:D,2,0)</f>
        <v>DAR-AL MAWARED TRADING CO.</v>
      </c>
      <c r="M1177" s="447" t="str">
        <f>VLOOKUP(Advices[[#This Row],[LC Number]],'Combine_List'!A:D,3,0)</f>
        <v>FIRST FIX</v>
      </c>
      <c r="N1177" s="447" t="str">
        <f>VLOOKUP(Advices[[#This Row],[LC Number]],'Combine_List'!A:D,4,0)</f>
        <v>KSP</v>
      </c>
      <c r="O1177" s="1"/>
      <c r="P1177" s="1">
        <f>MONTH(Advices[[#This Row],[Transaction Date]])</f>
        <v>12</v>
      </c>
      <c r="Q1177" s="1">
        <f>YEAR(Advices[[#This Row],[Transaction Date]])</f>
        <v>2025</v>
      </c>
      <c r="R1177" s="1"/>
    </row>
    <row r="1178" spans="1:18" hidden="1" x14ac:dyDescent="0.25">
      <c r="A1178" s="264" t="s">
        <v>95</v>
      </c>
      <c r="B1178" s="265">
        <v>46013</v>
      </c>
      <c r="C1178" s="264" t="s">
        <v>2026</v>
      </c>
      <c r="D1178" s="264" t="s">
        <v>3193</v>
      </c>
      <c r="E1178" s="264" t="s">
        <v>1451</v>
      </c>
      <c r="F1178" s="264" t="s">
        <v>3194</v>
      </c>
      <c r="G1178" s="264" t="s">
        <v>26</v>
      </c>
      <c r="H1178" s="266">
        <v>-14461.15</v>
      </c>
      <c r="I1178" s="13">
        <v>0</v>
      </c>
      <c r="J1178" s="264" t="s">
        <v>1125</v>
      </c>
      <c r="K1178" s="264" t="s">
        <v>2025</v>
      </c>
      <c r="L1178" s="1" t="str">
        <f>VLOOKUP(Advices[[#This Row],[LC Number]],'Combine_List'!A:D,2,0)</f>
        <v>APTEC SAUDI ARABIA</v>
      </c>
      <c r="M1178" s="447" t="str">
        <f>VLOOKUP(Advices[[#This Row],[LC Number]],'Combine_List'!A:D,3,0)</f>
        <v>ICAD</v>
      </c>
      <c r="N1178" s="447" t="str">
        <f>VLOOKUP(Advices[[#This Row],[LC Number]],'Combine_List'!A:D,4,0)</f>
        <v>ADF</v>
      </c>
      <c r="O1178" s="1"/>
      <c r="P1178" s="1">
        <f>MONTH(Advices[[#This Row],[Transaction Date]])</f>
        <v>12</v>
      </c>
      <c r="Q1178" s="1">
        <f>YEAR(Advices[[#This Row],[Transaction Date]])</f>
        <v>2025</v>
      </c>
      <c r="R1178" s="1"/>
    </row>
    <row r="1179" spans="1:18" hidden="1" x14ac:dyDescent="0.25">
      <c r="A1179" s="264" t="s">
        <v>95</v>
      </c>
      <c r="B1179" s="265">
        <v>46013</v>
      </c>
      <c r="C1179" s="264" t="s">
        <v>2026</v>
      </c>
      <c r="D1179" s="264" t="s">
        <v>3195</v>
      </c>
      <c r="E1179" s="264" t="s">
        <v>2907</v>
      </c>
      <c r="F1179" s="264" t="s">
        <v>3196</v>
      </c>
      <c r="G1179" s="264" t="s">
        <v>26</v>
      </c>
      <c r="H1179" s="266"/>
      <c r="I1179" s="266">
        <v>1237.17</v>
      </c>
      <c r="J1179" s="264" t="s">
        <v>3083</v>
      </c>
      <c r="K1179" s="264" t="s">
        <v>3083</v>
      </c>
      <c r="L1179" s="1" t="str">
        <f>VLOOKUP(Advices[[#This Row],[LC Number]],'Combine_List'!A:D,2,0)</f>
        <v>ALNAFIE METAL INDUSTRIES CO LTD</v>
      </c>
      <c r="M1179" s="447" t="str">
        <f>VLOOKUP(Advices[[#This Row],[LC Number]],'Combine_List'!A:D,3,0)</f>
        <v>MBL/AICS</v>
      </c>
      <c r="N1179" s="447" t="str">
        <f>VLOOKUP(Advices[[#This Row],[LC Number]],'Combine_List'!A:D,4,0)</f>
        <v>OPERA House</v>
      </c>
      <c r="O1179" s="1"/>
      <c r="P1179" s="1">
        <f>MONTH(Advices[[#This Row],[Transaction Date]])</f>
        <v>12</v>
      </c>
      <c r="Q1179" s="1">
        <f>YEAR(Advices[[#This Row],[Transaction Date]])</f>
        <v>2025</v>
      </c>
      <c r="R1179" s="1"/>
    </row>
    <row r="1180" spans="1:18" hidden="1" x14ac:dyDescent="0.25">
      <c r="A1180" s="264" t="s">
        <v>95</v>
      </c>
      <c r="B1180" s="265">
        <v>46013</v>
      </c>
      <c r="C1180" s="264" t="s">
        <v>2307</v>
      </c>
      <c r="D1180" s="264" t="s">
        <v>3197</v>
      </c>
      <c r="E1180" s="264" t="s">
        <v>2907</v>
      </c>
      <c r="F1180" s="264" t="s">
        <v>3196</v>
      </c>
      <c r="G1180" s="264"/>
      <c r="H1180" s="266">
        <v>-1237.17</v>
      </c>
      <c r="I1180" s="13">
        <v>0</v>
      </c>
      <c r="J1180" s="264" t="s">
        <v>3083</v>
      </c>
      <c r="K1180" s="264" t="s">
        <v>3083</v>
      </c>
      <c r="L1180" s="1" t="str">
        <f>VLOOKUP(Advices[[#This Row],[LC Number]],'Combine_List'!A:D,2,0)</f>
        <v>ALNAFIE METAL INDUSTRIES CO LTD</v>
      </c>
      <c r="M1180" s="447" t="str">
        <f>VLOOKUP(Advices[[#This Row],[LC Number]],'Combine_List'!A:D,3,0)</f>
        <v>MBL/AICS</v>
      </c>
      <c r="N1180" s="447" t="str">
        <f>VLOOKUP(Advices[[#This Row],[LC Number]],'Combine_List'!A:D,4,0)</f>
        <v>OPERA House</v>
      </c>
      <c r="O1180" s="1"/>
      <c r="P1180" s="1">
        <f>MONTH(Advices[[#This Row],[Transaction Date]])</f>
        <v>12</v>
      </c>
      <c r="Q1180" s="1">
        <f>YEAR(Advices[[#This Row],[Transaction Date]])</f>
        <v>2025</v>
      </c>
      <c r="R1180" s="1"/>
    </row>
    <row r="1181" spans="1:18" hidden="1" x14ac:dyDescent="0.25">
      <c r="A1181" s="264" t="s">
        <v>366</v>
      </c>
      <c r="B1181" s="265">
        <v>46013</v>
      </c>
      <c r="C1181" s="264" t="s">
        <v>2057</v>
      </c>
      <c r="D1181" s="264" t="s">
        <v>3198</v>
      </c>
      <c r="E1181" s="264" t="s">
        <v>1445</v>
      </c>
      <c r="F1181" s="1" t="s">
        <v>3419</v>
      </c>
      <c r="G1181" s="264" t="s">
        <v>26</v>
      </c>
      <c r="H1181" s="266">
        <v>-2000000</v>
      </c>
      <c r="I1181" s="13">
        <v>0</v>
      </c>
      <c r="J1181" s="264" t="s">
        <v>1126</v>
      </c>
      <c r="K1181" s="264" t="s">
        <v>2025</v>
      </c>
      <c r="L1181" s="1" t="str">
        <f>VLOOKUP(Advices[[#This Row],[LC Number]],'Combine_List'!A:D,2,0)</f>
        <v xml:space="preserve">Daikin Air Conditioning Saudi Arabia </v>
      </c>
      <c r="M1181" s="447" t="str">
        <f>VLOOKUP(Advices[[#This Row],[LC Number]],'Combine_List'!A:D,3,0)</f>
        <v>FIRST FIX</v>
      </c>
      <c r="N1181" s="447" t="str">
        <f>VLOOKUP(Advices[[#This Row],[LC Number]],'Combine_List'!A:D,4,0)</f>
        <v>MP1</v>
      </c>
      <c r="O1181" s="1"/>
      <c r="P1181" s="1">
        <f>MONTH(Advices[[#This Row],[Transaction Date]])</f>
        <v>12</v>
      </c>
      <c r="Q1181" s="1">
        <f>YEAR(Advices[[#This Row],[Transaction Date]])</f>
        <v>2025</v>
      </c>
      <c r="R1181" s="1"/>
    </row>
    <row r="1182" spans="1:18" x14ac:dyDescent="0.25">
      <c r="A1182" s="264" t="s">
        <v>21</v>
      </c>
      <c r="B1182" s="265">
        <v>46014</v>
      </c>
      <c r="C1182" s="264" t="s">
        <v>1951</v>
      </c>
      <c r="D1182" s="264" t="s">
        <v>1960</v>
      </c>
      <c r="E1182" s="264" t="s">
        <v>1792</v>
      </c>
      <c r="F1182" s="264" t="s">
        <v>2020</v>
      </c>
      <c r="G1182" s="264" t="s">
        <v>26</v>
      </c>
      <c r="H1182" s="266">
        <v>-11.25</v>
      </c>
      <c r="I1182" s="13">
        <v>0</v>
      </c>
      <c r="J1182" s="264" t="s">
        <v>1174</v>
      </c>
      <c r="K1182" s="264" t="s">
        <v>2025</v>
      </c>
      <c r="L1182" s="1" t="str">
        <f>VLOOKUP(Advices[[#This Row],[LC Number]],'Combine_List'!A:D,2,0)</f>
        <v>Prime Star Technologies Company Limited</v>
      </c>
      <c r="M1182" s="447" t="str">
        <f>VLOOKUP(Advices[[#This Row],[LC Number]],'Combine_List'!A:D,3,0)</f>
        <v>FIRST FIX</v>
      </c>
      <c r="N1182" s="447" t="str">
        <f>VLOOKUP(Advices[[#This Row],[LC Number]],'Combine_List'!A:D,4,0)</f>
        <v>KSP</v>
      </c>
      <c r="O1182" s="1"/>
      <c r="P1182" s="1">
        <f>MONTH(Advices[[#This Row],[Transaction Date]])</f>
        <v>12</v>
      </c>
      <c r="Q1182" s="1">
        <f>YEAR(Advices[[#This Row],[Transaction Date]])</f>
        <v>2025</v>
      </c>
      <c r="R1182" s="1"/>
    </row>
    <row r="1183" spans="1:18" x14ac:dyDescent="0.25">
      <c r="A1183" s="264" t="s">
        <v>21</v>
      </c>
      <c r="B1183" s="265">
        <v>46014</v>
      </c>
      <c r="C1183" s="264" t="s">
        <v>1951</v>
      </c>
      <c r="D1183" s="264" t="s">
        <v>3203</v>
      </c>
      <c r="E1183" s="264" t="s">
        <v>1792</v>
      </c>
      <c r="F1183" s="264" t="s">
        <v>2020</v>
      </c>
      <c r="G1183" s="264" t="s">
        <v>26</v>
      </c>
      <c r="H1183" s="266">
        <v>-75</v>
      </c>
      <c r="I1183" s="13">
        <v>0</v>
      </c>
      <c r="J1183" s="264" t="s">
        <v>1963</v>
      </c>
      <c r="K1183" s="264" t="s">
        <v>2025</v>
      </c>
      <c r="L1183" s="1" t="str">
        <f>VLOOKUP(Advices[[#This Row],[LC Number]],'Combine_List'!A:D,2,0)</f>
        <v>Prime Star Technologies Company Limited</v>
      </c>
      <c r="M1183" s="447" t="str">
        <f>VLOOKUP(Advices[[#This Row],[LC Number]],'Combine_List'!A:D,3,0)</f>
        <v>FIRST FIX</v>
      </c>
      <c r="N1183" s="447" t="str">
        <f>VLOOKUP(Advices[[#This Row],[LC Number]],'Combine_List'!A:D,4,0)</f>
        <v>KSP</v>
      </c>
      <c r="O1183" s="1"/>
      <c r="P1183" s="1">
        <f>MONTH(Advices[[#This Row],[Transaction Date]])</f>
        <v>12</v>
      </c>
      <c r="Q1183" s="1">
        <f>YEAR(Advices[[#This Row],[Transaction Date]])</f>
        <v>2025</v>
      </c>
      <c r="R1183" s="1"/>
    </row>
    <row r="1184" spans="1:18" x14ac:dyDescent="0.25">
      <c r="A1184" s="264" t="s">
        <v>21</v>
      </c>
      <c r="B1184" s="265">
        <v>46014</v>
      </c>
      <c r="C1184" s="264" t="s">
        <v>1951</v>
      </c>
      <c r="D1184" s="264" t="s">
        <v>3204</v>
      </c>
      <c r="E1184" s="264" t="s">
        <v>1792</v>
      </c>
      <c r="F1184" s="264" t="s">
        <v>2020</v>
      </c>
      <c r="G1184" s="264" t="s">
        <v>26</v>
      </c>
      <c r="H1184" s="266">
        <v>-900000</v>
      </c>
      <c r="I1184" s="13">
        <v>0</v>
      </c>
      <c r="J1184" s="264" t="s">
        <v>1126</v>
      </c>
      <c r="K1184" s="264" t="s">
        <v>2025</v>
      </c>
      <c r="L1184" s="1" t="str">
        <f>VLOOKUP(Advices[[#This Row],[LC Number]],'Combine_List'!A:D,2,0)</f>
        <v>Prime Star Technologies Company Limited</v>
      </c>
      <c r="M1184" s="447" t="str">
        <f>VLOOKUP(Advices[[#This Row],[LC Number]],'Combine_List'!A:D,3,0)</f>
        <v>FIRST FIX</v>
      </c>
      <c r="N1184" s="447" t="str">
        <f>VLOOKUP(Advices[[#This Row],[LC Number]],'Combine_List'!A:D,4,0)</f>
        <v>KSP</v>
      </c>
      <c r="O1184" s="1"/>
      <c r="P1184" s="1">
        <f>MONTH(Advices[[#This Row],[Transaction Date]])</f>
        <v>12</v>
      </c>
      <c r="Q1184" s="1">
        <f>YEAR(Advices[[#This Row],[Transaction Date]])</f>
        <v>2025</v>
      </c>
      <c r="R1184" s="1"/>
    </row>
    <row r="1185" spans="1:18" x14ac:dyDescent="0.25">
      <c r="A1185" s="264" t="s">
        <v>21</v>
      </c>
      <c r="B1185" s="265">
        <v>46014</v>
      </c>
      <c r="C1185" s="264" t="s">
        <v>1951</v>
      </c>
      <c r="D1185" s="264" t="s">
        <v>3205</v>
      </c>
      <c r="E1185" s="264" t="s">
        <v>1887</v>
      </c>
      <c r="F1185" s="264" t="s">
        <v>3206</v>
      </c>
      <c r="G1185" s="264" t="s">
        <v>26</v>
      </c>
      <c r="H1185" s="266">
        <v>-218.72</v>
      </c>
      <c r="I1185" s="13">
        <v>0</v>
      </c>
      <c r="J1185" s="264" t="s">
        <v>1174</v>
      </c>
      <c r="K1185" s="264" t="s">
        <v>2025</v>
      </c>
      <c r="L1185" s="1" t="str">
        <f>VLOOKUP(Advices[[#This Row],[LC Number]],'Combine_List'!A:D,2,0)</f>
        <v>Future Pipe Industries LLC</v>
      </c>
      <c r="M1185" s="447" t="str">
        <f>VLOOKUP(Advices[[#This Row],[LC Number]],'Combine_List'!A:D,3,0)</f>
        <v>MBL</v>
      </c>
      <c r="N1185" s="447" t="str">
        <f>VLOOKUP(Advices[[#This Row],[LC Number]],'Combine_List'!A:D,4,0)</f>
        <v>Rabigh Power Plant</v>
      </c>
      <c r="O1185" s="1"/>
      <c r="P1185" s="1">
        <f>MONTH(Advices[[#This Row],[Transaction Date]])</f>
        <v>12</v>
      </c>
      <c r="Q1185" s="1">
        <f>YEAR(Advices[[#This Row],[Transaction Date]])</f>
        <v>2025</v>
      </c>
      <c r="R1185" s="1"/>
    </row>
    <row r="1186" spans="1:18" x14ac:dyDescent="0.25">
      <c r="A1186" s="264" t="s">
        <v>21</v>
      </c>
      <c r="B1186" s="265">
        <v>46014</v>
      </c>
      <c r="C1186" s="264" t="s">
        <v>1951</v>
      </c>
      <c r="D1186" s="264" t="s">
        <v>3207</v>
      </c>
      <c r="E1186" s="264" t="s">
        <v>1887</v>
      </c>
      <c r="F1186" s="264" t="s">
        <v>3206</v>
      </c>
      <c r="G1186" s="264" t="s">
        <v>26</v>
      </c>
      <c r="H1186" s="266">
        <v>-1458.14</v>
      </c>
      <c r="I1186" s="13">
        <v>0</v>
      </c>
      <c r="J1186" s="264" t="s">
        <v>1125</v>
      </c>
      <c r="K1186" s="264" t="s">
        <v>2025</v>
      </c>
      <c r="L1186" s="1" t="str">
        <f>VLOOKUP(Advices[[#This Row],[LC Number]],'Combine_List'!A:D,2,0)</f>
        <v>Future Pipe Industries LLC</v>
      </c>
      <c r="M1186" s="447" t="str">
        <f>VLOOKUP(Advices[[#This Row],[LC Number]],'Combine_List'!A:D,3,0)</f>
        <v>MBL</v>
      </c>
      <c r="N1186" s="447" t="str">
        <f>VLOOKUP(Advices[[#This Row],[LC Number]],'Combine_List'!A:D,4,0)</f>
        <v>Rabigh Power Plant</v>
      </c>
      <c r="O1186" s="1"/>
      <c r="P1186" s="1">
        <f>MONTH(Advices[[#This Row],[Transaction Date]])</f>
        <v>12</v>
      </c>
      <c r="Q1186" s="1">
        <f>YEAR(Advices[[#This Row],[Transaction Date]])</f>
        <v>2025</v>
      </c>
      <c r="R1186" s="1"/>
    </row>
    <row r="1187" spans="1:18" hidden="1" x14ac:dyDescent="0.25">
      <c r="A1187" s="264" t="s">
        <v>366</v>
      </c>
      <c r="B1187" s="265">
        <v>46014</v>
      </c>
      <c r="C1187" s="264" t="s">
        <v>2060</v>
      </c>
      <c r="D1187" s="264" t="s">
        <v>3208</v>
      </c>
      <c r="E1187" s="264" t="s">
        <v>2237</v>
      </c>
      <c r="F1187" s="1" t="s">
        <v>3471</v>
      </c>
      <c r="G1187" s="264" t="s">
        <v>26</v>
      </c>
      <c r="H1187" s="266">
        <v>-2899.05</v>
      </c>
      <c r="I1187" s="13">
        <v>0</v>
      </c>
      <c r="J1187" s="264" t="s">
        <v>1125</v>
      </c>
      <c r="K1187" s="264" t="s">
        <v>2025</v>
      </c>
      <c r="L1187" s="1" t="str">
        <f>VLOOKUP(Advices[[#This Row],[LC Number]],'Combine_List'!A:D,2,0)</f>
        <v>TAWREED INTEGRATED INDUSTRIES</v>
      </c>
      <c r="M1187" s="447" t="str">
        <f>VLOOKUP(Advices[[#This Row],[LC Number]],'Combine_List'!A:D,3,0)</f>
        <v>FIRST FIX</v>
      </c>
      <c r="N1187" s="447" t="str">
        <f>VLOOKUP(Advices[[#This Row],[LC Number]],'Combine_List'!A:D,4,0)</f>
        <v>MP1</v>
      </c>
      <c r="O1187" s="1"/>
      <c r="P1187" s="1">
        <f>MONTH(Advices[[#This Row],[Transaction Date]])</f>
        <v>12</v>
      </c>
      <c r="Q1187" s="1">
        <f>YEAR(Advices[[#This Row],[Transaction Date]])</f>
        <v>2025</v>
      </c>
      <c r="R1187" s="1"/>
    </row>
    <row r="1188" spans="1:18" hidden="1" x14ac:dyDescent="0.25">
      <c r="A1188" s="264" t="s">
        <v>612</v>
      </c>
      <c r="B1188" s="265">
        <v>46014</v>
      </c>
      <c r="C1188" s="264" t="s">
        <v>2101</v>
      </c>
      <c r="D1188" s="264" t="s">
        <v>3209</v>
      </c>
      <c r="E1188" s="264" t="s">
        <v>1810</v>
      </c>
      <c r="F1188" s="1" t="s">
        <v>1810</v>
      </c>
      <c r="G1188" s="264" t="s">
        <v>26</v>
      </c>
      <c r="H1188" s="266">
        <v>15248.85</v>
      </c>
      <c r="I1188" s="266">
        <v>0</v>
      </c>
      <c r="J1188" s="264" t="s">
        <v>1124</v>
      </c>
      <c r="K1188" s="264" t="s">
        <v>2025</v>
      </c>
      <c r="L1188" s="1" t="str">
        <f>VLOOKUP(Advices[[#This Row],[LC Number]],'Combine_List'!A:D,2,0)</f>
        <v>AL FALWA CO. LTD. FOR READYMIX CONCRETE</v>
      </c>
      <c r="M1188" s="447" t="str">
        <f>VLOOKUP(Advices[[#This Row],[LC Number]],'Combine_List'!A:D,3,0)</f>
        <v>MBL</v>
      </c>
      <c r="N1188" s="447" t="str">
        <f>VLOOKUP(Advices[[#This Row],[LC Number]],'Combine_List'!A:D,4,0)</f>
        <v>RCRC</v>
      </c>
      <c r="O1188" s="1"/>
      <c r="P1188" s="1">
        <f>MONTH(Advices[[#This Row],[Transaction Date]])</f>
        <v>12</v>
      </c>
      <c r="Q1188" s="1">
        <f>YEAR(Advices[[#This Row],[Transaction Date]])</f>
        <v>2025</v>
      </c>
      <c r="R1188" s="1"/>
    </row>
    <row r="1189" spans="1:18" hidden="1" x14ac:dyDescent="0.25">
      <c r="A1189" s="264" t="s">
        <v>612</v>
      </c>
      <c r="B1189" s="265">
        <v>46014</v>
      </c>
      <c r="C1189" s="264" t="s">
        <v>2101</v>
      </c>
      <c r="D1189" s="264" t="s">
        <v>3210</v>
      </c>
      <c r="E1189" s="264" t="s">
        <v>1810</v>
      </c>
      <c r="F1189" s="1" t="s">
        <v>1810</v>
      </c>
      <c r="G1189" s="264" t="s">
        <v>26</v>
      </c>
      <c r="H1189" s="266">
        <v>2287.33</v>
      </c>
      <c r="I1189" s="266">
        <v>0</v>
      </c>
      <c r="J1189" s="264" t="s">
        <v>1174</v>
      </c>
      <c r="K1189" s="264" t="s">
        <v>2025</v>
      </c>
      <c r="L1189" s="1" t="str">
        <f>VLOOKUP(Advices[[#This Row],[LC Number]],'Combine_List'!A:D,2,0)</f>
        <v>AL FALWA CO. LTD. FOR READYMIX CONCRETE</v>
      </c>
      <c r="M1189" s="447" t="str">
        <f>VLOOKUP(Advices[[#This Row],[LC Number]],'Combine_List'!A:D,3,0)</f>
        <v>MBL</v>
      </c>
      <c r="N1189" s="447" t="str">
        <f>VLOOKUP(Advices[[#This Row],[LC Number]],'Combine_List'!A:D,4,0)</f>
        <v>RCRC</v>
      </c>
      <c r="O1189" s="1"/>
      <c r="P1189" s="1">
        <f>MONTH(Advices[[#This Row],[Transaction Date]])</f>
        <v>12</v>
      </c>
      <c r="Q1189" s="1">
        <f>YEAR(Advices[[#This Row],[Transaction Date]])</f>
        <v>2025</v>
      </c>
      <c r="R1189" s="1"/>
    </row>
    <row r="1190" spans="1:18" hidden="1" x14ac:dyDescent="0.25">
      <c r="A1190" s="264" t="s">
        <v>612</v>
      </c>
      <c r="B1190" s="265">
        <v>46014</v>
      </c>
      <c r="C1190" s="264" t="s">
        <v>2101</v>
      </c>
      <c r="D1190" s="264" t="s">
        <v>3211</v>
      </c>
      <c r="E1190" s="264" t="s">
        <v>1810</v>
      </c>
      <c r="F1190" s="1" t="s">
        <v>1810</v>
      </c>
      <c r="G1190" s="264" t="s">
        <v>26</v>
      </c>
      <c r="H1190" s="266">
        <v>400</v>
      </c>
      <c r="I1190" s="266">
        <v>0</v>
      </c>
      <c r="J1190" s="264" t="s">
        <v>1124</v>
      </c>
      <c r="K1190" s="264" t="s">
        <v>2025</v>
      </c>
      <c r="L1190" s="1" t="str">
        <f>VLOOKUP(Advices[[#This Row],[LC Number]],'Combine_List'!A:D,2,0)</f>
        <v>AL FALWA CO. LTD. FOR READYMIX CONCRETE</v>
      </c>
      <c r="M1190" s="447" t="str">
        <f>VLOOKUP(Advices[[#This Row],[LC Number]],'Combine_List'!A:D,3,0)</f>
        <v>MBL</v>
      </c>
      <c r="N1190" s="447" t="str">
        <f>VLOOKUP(Advices[[#This Row],[LC Number]],'Combine_List'!A:D,4,0)</f>
        <v>RCRC</v>
      </c>
      <c r="O1190" s="1"/>
      <c r="P1190" s="1">
        <f>MONTH(Advices[[#This Row],[Transaction Date]])</f>
        <v>12</v>
      </c>
      <c r="Q1190" s="1">
        <f>YEAR(Advices[[#This Row],[Transaction Date]])</f>
        <v>2025</v>
      </c>
      <c r="R1190" s="1"/>
    </row>
    <row r="1191" spans="1:18" hidden="1" x14ac:dyDescent="0.25">
      <c r="A1191" s="264" t="s">
        <v>612</v>
      </c>
      <c r="B1191" s="265">
        <v>46014</v>
      </c>
      <c r="C1191" s="264" t="s">
        <v>2101</v>
      </c>
      <c r="D1191" s="264" t="s">
        <v>3212</v>
      </c>
      <c r="E1191" s="264" t="s">
        <v>1810</v>
      </c>
      <c r="F1191" s="1" t="s">
        <v>1810</v>
      </c>
      <c r="G1191" s="264" t="s">
        <v>26</v>
      </c>
      <c r="H1191" s="266">
        <v>60</v>
      </c>
      <c r="I1191" s="266">
        <v>0</v>
      </c>
      <c r="J1191" s="264" t="s">
        <v>1174</v>
      </c>
      <c r="K1191" s="264" t="s">
        <v>2025</v>
      </c>
      <c r="L1191" s="1" t="str">
        <f>VLOOKUP(Advices[[#This Row],[LC Number]],'Combine_List'!A:D,2,0)</f>
        <v>AL FALWA CO. LTD. FOR READYMIX CONCRETE</v>
      </c>
      <c r="M1191" s="447" t="str">
        <f>VLOOKUP(Advices[[#This Row],[LC Number]],'Combine_List'!A:D,3,0)</f>
        <v>MBL</v>
      </c>
      <c r="N1191" s="447" t="str">
        <f>VLOOKUP(Advices[[#This Row],[LC Number]],'Combine_List'!A:D,4,0)</f>
        <v>RCRC</v>
      </c>
      <c r="O1191" s="1"/>
      <c r="P1191" s="1">
        <f>MONTH(Advices[[#This Row],[Transaction Date]])</f>
        <v>12</v>
      </c>
      <c r="Q1191" s="1">
        <f>YEAR(Advices[[#This Row],[Transaction Date]])</f>
        <v>2025</v>
      </c>
      <c r="R1191" s="1"/>
    </row>
    <row r="1192" spans="1:18" hidden="1" x14ac:dyDescent="0.25">
      <c r="A1192" s="264" t="s">
        <v>612</v>
      </c>
      <c r="B1192" s="265">
        <v>46014</v>
      </c>
      <c r="C1192" s="264" t="s">
        <v>2101</v>
      </c>
      <c r="D1192" s="264" t="s">
        <v>3213</v>
      </c>
      <c r="E1192" s="264" t="s">
        <v>2396</v>
      </c>
      <c r="F1192" s="264" t="s">
        <v>2041</v>
      </c>
      <c r="G1192" s="264" t="s">
        <v>26</v>
      </c>
      <c r="H1192" s="266">
        <v>100</v>
      </c>
      <c r="I1192" s="266">
        <v>0</v>
      </c>
      <c r="J1192" s="264" t="s">
        <v>1125</v>
      </c>
      <c r="K1192" s="264" t="s">
        <v>2025</v>
      </c>
      <c r="L1192" s="1" t="str">
        <f>VLOOKUP(Advices[[#This Row],[LC Number]],'Combine_List'!A:D,2,0)</f>
        <v>Saudi Benaa Company For Building Materials</v>
      </c>
      <c r="M1192" s="447" t="str">
        <f>VLOOKUP(Advices[[#This Row],[LC Number]],'Combine_List'!A:D,3,0)</f>
        <v>FIRST FIX</v>
      </c>
      <c r="N1192" s="447" t="str">
        <f>VLOOKUP(Advices[[#This Row],[LC Number]],'Combine_List'!A:D,4,0)</f>
        <v>RCRC</v>
      </c>
      <c r="O1192" s="1"/>
      <c r="P1192" s="1">
        <f>MONTH(Advices[[#This Row],[Transaction Date]])</f>
        <v>12</v>
      </c>
      <c r="Q1192" s="1">
        <f>YEAR(Advices[[#This Row],[Transaction Date]])</f>
        <v>2025</v>
      </c>
      <c r="R1192" s="1"/>
    </row>
    <row r="1193" spans="1:18" hidden="1" x14ac:dyDescent="0.25">
      <c r="A1193" s="264" t="s">
        <v>612</v>
      </c>
      <c r="B1193" s="265">
        <v>46014</v>
      </c>
      <c r="C1193" s="264" t="s">
        <v>2101</v>
      </c>
      <c r="D1193" s="264" t="s">
        <v>3214</v>
      </c>
      <c r="E1193" s="264" t="s">
        <v>2396</v>
      </c>
      <c r="F1193" s="264" t="s">
        <v>2041</v>
      </c>
      <c r="G1193" s="264" t="s">
        <v>26</v>
      </c>
      <c r="H1193" s="266">
        <v>15</v>
      </c>
      <c r="I1193" s="266">
        <v>0</v>
      </c>
      <c r="J1193" s="264" t="s">
        <v>1174</v>
      </c>
      <c r="K1193" s="264" t="s">
        <v>2025</v>
      </c>
      <c r="L1193" s="1" t="str">
        <f>VLOOKUP(Advices[[#This Row],[LC Number]],'Combine_List'!A:D,2,0)</f>
        <v>Saudi Benaa Company For Building Materials</v>
      </c>
      <c r="M1193" s="447" t="str">
        <f>VLOOKUP(Advices[[#This Row],[LC Number]],'Combine_List'!A:D,3,0)</f>
        <v>FIRST FIX</v>
      </c>
      <c r="N1193" s="447" t="str">
        <f>VLOOKUP(Advices[[#This Row],[LC Number]],'Combine_List'!A:D,4,0)</f>
        <v>RCRC</v>
      </c>
      <c r="O1193" s="1"/>
      <c r="P1193" s="1">
        <f>MONTH(Advices[[#This Row],[Transaction Date]])</f>
        <v>12</v>
      </c>
      <c r="Q1193" s="1">
        <f>YEAR(Advices[[#This Row],[Transaction Date]])</f>
        <v>2025</v>
      </c>
      <c r="R1193" s="1"/>
    </row>
    <row r="1194" spans="1:18" hidden="1" x14ac:dyDescent="0.25">
      <c r="A1194" s="264" t="s">
        <v>612</v>
      </c>
      <c r="B1194" s="265">
        <v>46014</v>
      </c>
      <c r="C1194" s="264" t="s">
        <v>2101</v>
      </c>
      <c r="D1194" s="264" t="s">
        <v>3215</v>
      </c>
      <c r="E1194" s="264" t="s">
        <v>2396</v>
      </c>
      <c r="F1194" s="264" t="s">
        <v>2041</v>
      </c>
      <c r="G1194" s="264" t="s">
        <v>26</v>
      </c>
      <c r="H1194" s="266">
        <v>658</v>
      </c>
      <c r="I1194" s="266">
        <v>0</v>
      </c>
      <c r="J1194" s="264" t="s">
        <v>1125</v>
      </c>
      <c r="K1194" s="264" t="s">
        <v>2025</v>
      </c>
      <c r="L1194" s="1" t="str">
        <f>VLOOKUP(Advices[[#This Row],[LC Number]],'Combine_List'!A:D,2,0)</f>
        <v>Saudi Benaa Company For Building Materials</v>
      </c>
      <c r="M1194" s="447" t="str">
        <f>VLOOKUP(Advices[[#This Row],[LC Number]],'Combine_List'!A:D,3,0)</f>
        <v>FIRST FIX</v>
      </c>
      <c r="N1194" s="447" t="str">
        <f>VLOOKUP(Advices[[#This Row],[LC Number]],'Combine_List'!A:D,4,0)</f>
        <v>RCRC</v>
      </c>
      <c r="O1194" s="1"/>
      <c r="P1194" s="1">
        <f>MONTH(Advices[[#This Row],[Transaction Date]])</f>
        <v>12</v>
      </c>
      <c r="Q1194" s="1">
        <f>YEAR(Advices[[#This Row],[Transaction Date]])</f>
        <v>2025</v>
      </c>
      <c r="R1194" s="1"/>
    </row>
    <row r="1195" spans="1:18" hidden="1" x14ac:dyDescent="0.25">
      <c r="A1195" s="264" t="s">
        <v>612</v>
      </c>
      <c r="B1195" s="265">
        <v>46014</v>
      </c>
      <c r="C1195" s="264" t="s">
        <v>2101</v>
      </c>
      <c r="D1195" s="264" t="s">
        <v>3216</v>
      </c>
      <c r="E1195" s="264" t="s">
        <v>2396</v>
      </c>
      <c r="F1195" s="264" t="s">
        <v>2041</v>
      </c>
      <c r="G1195" s="264" t="s">
        <v>26</v>
      </c>
      <c r="H1195" s="266">
        <v>98.7</v>
      </c>
      <c r="I1195" s="266">
        <v>0</v>
      </c>
      <c r="J1195" s="264" t="s">
        <v>1174</v>
      </c>
      <c r="K1195" s="264" t="s">
        <v>2025</v>
      </c>
      <c r="L1195" s="1" t="str">
        <f>VLOOKUP(Advices[[#This Row],[LC Number]],'Combine_List'!A:D,2,0)</f>
        <v>Saudi Benaa Company For Building Materials</v>
      </c>
      <c r="M1195" s="447" t="str">
        <f>VLOOKUP(Advices[[#This Row],[LC Number]],'Combine_List'!A:D,3,0)</f>
        <v>FIRST FIX</v>
      </c>
      <c r="N1195" s="447" t="str">
        <f>VLOOKUP(Advices[[#This Row],[LC Number]],'Combine_List'!A:D,4,0)</f>
        <v>RCRC</v>
      </c>
      <c r="O1195" s="1"/>
      <c r="P1195" s="1">
        <f>MONTH(Advices[[#This Row],[Transaction Date]])</f>
        <v>12</v>
      </c>
      <c r="Q1195" s="1">
        <f>YEAR(Advices[[#This Row],[Transaction Date]])</f>
        <v>2025</v>
      </c>
      <c r="R1195" s="1"/>
    </row>
    <row r="1196" spans="1:18" hidden="1" x14ac:dyDescent="0.25">
      <c r="A1196" s="264" t="s">
        <v>612</v>
      </c>
      <c r="B1196" s="265">
        <v>46014</v>
      </c>
      <c r="C1196" s="264" t="s">
        <v>2101</v>
      </c>
      <c r="D1196" s="264" t="s">
        <v>3217</v>
      </c>
      <c r="E1196" s="264" t="s">
        <v>2396</v>
      </c>
      <c r="F1196" s="264" t="s">
        <v>2041</v>
      </c>
      <c r="G1196" s="264" t="s">
        <v>26</v>
      </c>
      <c r="H1196" s="266">
        <v>200</v>
      </c>
      <c r="I1196" s="266">
        <v>0</v>
      </c>
      <c r="J1196" s="264" t="s">
        <v>1125</v>
      </c>
      <c r="K1196" s="264" t="s">
        <v>2025</v>
      </c>
      <c r="L1196" s="1" t="str">
        <f>VLOOKUP(Advices[[#This Row],[LC Number]],'Combine_List'!A:D,2,0)</f>
        <v>Saudi Benaa Company For Building Materials</v>
      </c>
      <c r="M1196" s="447" t="str">
        <f>VLOOKUP(Advices[[#This Row],[LC Number]],'Combine_List'!A:D,3,0)</f>
        <v>FIRST FIX</v>
      </c>
      <c r="N1196" s="447" t="str">
        <f>VLOOKUP(Advices[[#This Row],[LC Number]],'Combine_List'!A:D,4,0)</f>
        <v>RCRC</v>
      </c>
      <c r="O1196" s="1"/>
      <c r="P1196" s="1">
        <f>MONTH(Advices[[#This Row],[Transaction Date]])</f>
        <v>12</v>
      </c>
      <c r="Q1196" s="1">
        <f>YEAR(Advices[[#This Row],[Transaction Date]])</f>
        <v>2025</v>
      </c>
      <c r="R1196" s="1"/>
    </row>
    <row r="1197" spans="1:18" hidden="1" x14ac:dyDescent="0.25">
      <c r="A1197" s="264" t="s">
        <v>612</v>
      </c>
      <c r="B1197" s="265">
        <v>46014</v>
      </c>
      <c r="C1197" s="264" t="s">
        <v>2101</v>
      </c>
      <c r="D1197" s="264" t="s">
        <v>3218</v>
      </c>
      <c r="E1197" s="264" t="s">
        <v>2396</v>
      </c>
      <c r="F1197" s="264" t="s">
        <v>2041</v>
      </c>
      <c r="G1197" s="264" t="s">
        <v>26</v>
      </c>
      <c r="H1197" s="266">
        <v>30</v>
      </c>
      <c r="I1197" s="266">
        <v>0</v>
      </c>
      <c r="J1197" s="264" t="s">
        <v>1174</v>
      </c>
      <c r="K1197" s="264" t="s">
        <v>2025</v>
      </c>
      <c r="L1197" s="1" t="str">
        <f>VLOOKUP(Advices[[#This Row],[LC Number]],'Combine_List'!A:D,2,0)</f>
        <v>Saudi Benaa Company For Building Materials</v>
      </c>
      <c r="M1197" s="447" t="str">
        <f>VLOOKUP(Advices[[#This Row],[LC Number]],'Combine_List'!A:D,3,0)</f>
        <v>FIRST FIX</v>
      </c>
      <c r="N1197" s="447" t="str">
        <f>VLOOKUP(Advices[[#This Row],[LC Number]],'Combine_List'!A:D,4,0)</f>
        <v>RCRC</v>
      </c>
      <c r="O1197" s="1"/>
      <c r="P1197" s="1">
        <f>MONTH(Advices[[#This Row],[Transaction Date]])</f>
        <v>12</v>
      </c>
      <c r="Q1197" s="1">
        <f>YEAR(Advices[[#This Row],[Transaction Date]])</f>
        <v>2025</v>
      </c>
      <c r="R1197" s="1"/>
    </row>
    <row r="1198" spans="1:18" hidden="1" x14ac:dyDescent="0.25">
      <c r="A1198" s="264" t="s">
        <v>366</v>
      </c>
      <c r="B1198" s="265">
        <v>46015</v>
      </c>
      <c r="C1198" s="264" t="s">
        <v>2057</v>
      </c>
      <c r="D1198" s="264" t="s">
        <v>3223</v>
      </c>
      <c r="E1198" s="264" t="s">
        <v>1736</v>
      </c>
      <c r="F1198" s="1" t="s">
        <v>3401</v>
      </c>
      <c r="G1198" s="264" t="s">
        <v>26</v>
      </c>
      <c r="H1198" s="266">
        <v>-25000000</v>
      </c>
      <c r="I1198" s="13">
        <v>0</v>
      </c>
      <c r="J1198" s="264" t="s">
        <v>1126</v>
      </c>
      <c r="K1198" s="264" t="s">
        <v>2025</v>
      </c>
      <c r="L1198" s="1" t="str">
        <f>VLOOKUP(Advices[[#This Row],[LC Number]],'Combine_List'!A:D,2,0)</f>
        <v>Electric House Trading Company L.L.C.</v>
      </c>
      <c r="M1198" s="447" t="str">
        <f>VLOOKUP(Advices[[#This Row],[LC Number]],'Combine_List'!A:D,3,0)</f>
        <v>FIRST FIX</v>
      </c>
      <c r="N1198" s="447" t="str">
        <f>VLOOKUP(Advices[[#This Row],[LC Number]],'Combine_List'!A:D,4,0)</f>
        <v>CEER</v>
      </c>
      <c r="O1198" s="1"/>
      <c r="P1198" s="1">
        <f>MONTH(Advices[[#This Row],[Transaction Date]])</f>
        <v>12</v>
      </c>
      <c r="Q1198" s="1">
        <f>YEAR(Advices[[#This Row],[Transaction Date]])</f>
        <v>2025</v>
      </c>
      <c r="R1198" s="1"/>
    </row>
    <row r="1199" spans="1:18" hidden="1" x14ac:dyDescent="0.25">
      <c r="A1199" s="264" t="s">
        <v>366</v>
      </c>
      <c r="B1199" s="265">
        <v>46015</v>
      </c>
      <c r="C1199" s="264" t="s">
        <v>2057</v>
      </c>
      <c r="D1199" s="264" t="s">
        <v>3224</v>
      </c>
      <c r="E1199" s="264" t="s">
        <v>1601</v>
      </c>
      <c r="F1199" s="1" t="s">
        <v>3535</v>
      </c>
      <c r="G1199" s="264" t="s">
        <v>26</v>
      </c>
      <c r="H1199" s="266">
        <v>-378800.2</v>
      </c>
      <c r="I1199" s="13">
        <v>0</v>
      </c>
      <c r="J1199" s="264" t="s">
        <v>1126</v>
      </c>
      <c r="K1199" s="264" t="s">
        <v>2025</v>
      </c>
      <c r="L1199" s="1" t="str">
        <f>VLOOKUP(Advices[[#This Row],[LC Number]],'Combine_List'!A:D,2,0)</f>
        <v>ALGHAMDI COMPANY FOR SANITARY WARES</v>
      </c>
      <c r="M1199" s="447" t="str">
        <f>VLOOKUP(Advices[[#This Row],[LC Number]],'Combine_List'!A:D,3,0)</f>
        <v>FIRST FIX</v>
      </c>
      <c r="N1199" s="447" t="str">
        <f>VLOOKUP(Advices[[#This Row],[LC Number]],'Combine_List'!A:D,4,0)</f>
        <v>MP1</v>
      </c>
      <c r="O1199" s="1"/>
      <c r="P1199" s="1">
        <f>MONTH(Advices[[#This Row],[Transaction Date]])</f>
        <v>12</v>
      </c>
      <c r="Q1199" s="1">
        <f>YEAR(Advices[[#This Row],[Transaction Date]])</f>
        <v>2025</v>
      </c>
      <c r="R1199" s="1"/>
    </row>
    <row r="1200" spans="1:18" hidden="1" x14ac:dyDescent="0.25">
      <c r="A1200" s="264" t="s">
        <v>612</v>
      </c>
      <c r="B1200" s="265">
        <v>46015</v>
      </c>
      <c r="C1200" s="264" t="s">
        <v>2101</v>
      </c>
      <c r="D1200" s="264" t="s">
        <v>3225</v>
      </c>
      <c r="E1200" s="264" t="s">
        <v>1447</v>
      </c>
      <c r="F1200" s="264" t="s">
        <v>2041</v>
      </c>
      <c r="G1200" s="264" t="s">
        <v>26</v>
      </c>
      <c r="H1200" s="266">
        <v>500000</v>
      </c>
      <c r="I1200" s="266">
        <v>0</v>
      </c>
      <c r="J1200" s="264" t="s">
        <v>1126</v>
      </c>
      <c r="K1200" s="264" t="s">
        <v>2025</v>
      </c>
      <c r="L1200" s="1" t="str">
        <f>VLOOKUP(Advices[[#This Row],[LC Number]],'Combine_List'!A:D,2,0)</f>
        <v>Metal and Glass Trading Co</v>
      </c>
      <c r="M1200" s="447" t="str">
        <f>VLOOKUP(Advices[[#This Row],[LC Number]],'Combine_List'!A:D,3,0)</f>
        <v>FIRST FIX</v>
      </c>
      <c r="N1200" s="447" t="str">
        <f>VLOOKUP(Advices[[#This Row],[LC Number]],'Combine_List'!A:D,4,0)</f>
        <v>RCRC</v>
      </c>
      <c r="O1200" s="1"/>
      <c r="P1200" s="1">
        <f>MONTH(Advices[[#This Row],[Transaction Date]])</f>
        <v>12</v>
      </c>
      <c r="Q1200" s="1">
        <f>YEAR(Advices[[#This Row],[Transaction Date]])</f>
        <v>2025</v>
      </c>
      <c r="R1200" s="1"/>
    </row>
    <row r="1201" spans="1:18" x14ac:dyDescent="0.25">
      <c r="A1201" s="264" t="s">
        <v>21</v>
      </c>
      <c r="B1201" s="265">
        <v>46016</v>
      </c>
      <c r="C1201" s="264" t="s">
        <v>1951</v>
      </c>
      <c r="D1201" s="264" t="s">
        <v>1960</v>
      </c>
      <c r="E1201" s="264" t="s">
        <v>1887</v>
      </c>
      <c r="F1201" s="264" t="s">
        <v>3206</v>
      </c>
      <c r="G1201" s="264" t="s">
        <v>26</v>
      </c>
      <c r="H1201" s="266">
        <v>-11.25</v>
      </c>
      <c r="I1201" s="13">
        <v>0</v>
      </c>
      <c r="J1201" s="264" t="s">
        <v>1174</v>
      </c>
      <c r="K1201" s="264" t="s">
        <v>2025</v>
      </c>
      <c r="L1201" s="1" t="str">
        <f>VLOOKUP(Advices[[#This Row],[LC Number]],'Combine_List'!A:D,2,0)</f>
        <v>Future Pipe Industries LLC</v>
      </c>
      <c r="M1201" s="447" t="str">
        <f>VLOOKUP(Advices[[#This Row],[LC Number]],'Combine_List'!A:D,3,0)</f>
        <v>MBL</v>
      </c>
      <c r="N1201" s="447" t="str">
        <f>VLOOKUP(Advices[[#This Row],[LC Number]],'Combine_List'!A:D,4,0)</f>
        <v>Rabigh Power Plant</v>
      </c>
      <c r="O1201" s="1"/>
      <c r="P1201" s="1">
        <f>MONTH(Advices[[#This Row],[Transaction Date]])</f>
        <v>12</v>
      </c>
      <c r="Q1201" s="1">
        <f>YEAR(Advices[[#This Row],[Transaction Date]])</f>
        <v>2025</v>
      </c>
      <c r="R1201" s="1"/>
    </row>
    <row r="1202" spans="1:18" x14ac:dyDescent="0.25">
      <c r="A1202" s="264" t="s">
        <v>21</v>
      </c>
      <c r="B1202" s="265">
        <v>46016</v>
      </c>
      <c r="C1202" s="264" t="s">
        <v>1951</v>
      </c>
      <c r="D1202" s="264" t="s">
        <v>3241</v>
      </c>
      <c r="E1202" s="264" t="s">
        <v>1887</v>
      </c>
      <c r="F1202" s="264" t="s">
        <v>3206</v>
      </c>
      <c r="G1202" s="264" t="s">
        <v>26</v>
      </c>
      <c r="H1202" s="266">
        <v>-75</v>
      </c>
      <c r="I1202" s="13">
        <v>0</v>
      </c>
      <c r="J1202" s="264" t="s">
        <v>1963</v>
      </c>
      <c r="K1202" s="264" t="s">
        <v>2025</v>
      </c>
      <c r="L1202" s="1" t="str">
        <f>VLOOKUP(Advices[[#This Row],[LC Number]],'Combine_List'!A:D,2,0)</f>
        <v>Future Pipe Industries LLC</v>
      </c>
      <c r="M1202" s="447" t="str">
        <f>VLOOKUP(Advices[[#This Row],[LC Number]],'Combine_List'!A:D,3,0)</f>
        <v>MBL</v>
      </c>
      <c r="N1202" s="447" t="str">
        <f>VLOOKUP(Advices[[#This Row],[LC Number]],'Combine_List'!A:D,4,0)</f>
        <v>Rabigh Power Plant</v>
      </c>
      <c r="O1202" s="1"/>
      <c r="P1202" s="1">
        <f>MONTH(Advices[[#This Row],[Transaction Date]])</f>
        <v>12</v>
      </c>
      <c r="Q1202" s="1">
        <f>YEAR(Advices[[#This Row],[Transaction Date]])</f>
        <v>2025</v>
      </c>
      <c r="R1202" s="1"/>
    </row>
    <row r="1203" spans="1:18" x14ac:dyDescent="0.25">
      <c r="A1203" s="264" t="s">
        <v>21</v>
      </c>
      <c r="B1203" s="265">
        <v>46016</v>
      </c>
      <c r="C1203" s="264" t="s">
        <v>1951</v>
      </c>
      <c r="D1203" s="264" t="s">
        <v>3242</v>
      </c>
      <c r="E1203" s="264" t="s">
        <v>1887</v>
      </c>
      <c r="F1203" s="264" t="s">
        <v>3206</v>
      </c>
      <c r="G1203" s="264" t="s">
        <v>26</v>
      </c>
      <c r="H1203" s="266">
        <v>-1749763.62</v>
      </c>
      <c r="I1203" s="13">
        <v>0</v>
      </c>
      <c r="J1203" s="264" t="s">
        <v>1126</v>
      </c>
      <c r="K1203" s="264" t="s">
        <v>2025</v>
      </c>
      <c r="L1203" s="1" t="str">
        <f>VLOOKUP(Advices[[#This Row],[LC Number]],'Combine_List'!A:D,2,0)</f>
        <v>Future Pipe Industries LLC</v>
      </c>
      <c r="M1203" s="447" t="str">
        <f>VLOOKUP(Advices[[#This Row],[LC Number]],'Combine_List'!A:D,3,0)</f>
        <v>MBL</v>
      </c>
      <c r="N1203" s="447" t="str">
        <f>VLOOKUP(Advices[[#This Row],[LC Number]],'Combine_List'!A:D,4,0)</f>
        <v>Rabigh Power Plant</v>
      </c>
      <c r="O1203" s="1"/>
      <c r="P1203" s="1">
        <f>MONTH(Advices[[#This Row],[Transaction Date]])</f>
        <v>12</v>
      </c>
      <c r="Q1203" s="1">
        <f>YEAR(Advices[[#This Row],[Transaction Date]])</f>
        <v>2025</v>
      </c>
      <c r="R1203" s="1"/>
    </row>
    <row r="1204" spans="1:18" x14ac:dyDescent="0.25">
      <c r="A1204" s="264" t="s">
        <v>21</v>
      </c>
      <c r="B1204" s="265">
        <v>46016</v>
      </c>
      <c r="C1204" s="264" t="s">
        <v>1951</v>
      </c>
      <c r="D1204" s="264" t="s">
        <v>3243</v>
      </c>
      <c r="E1204" s="264" t="s">
        <v>2569</v>
      </c>
      <c r="F1204" s="264" t="s">
        <v>3244</v>
      </c>
      <c r="G1204" s="264" t="s">
        <v>26</v>
      </c>
      <c r="H1204" s="266">
        <v>-7000</v>
      </c>
      <c r="I1204" s="13">
        <v>0</v>
      </c>
      <c r="J1204" s="264" t="s">
        <v>1174</v>
      </c>
      <c r="K1204" s="264" t="s">
        <v>2025</v>
      </c>
      <c r="L1204" s="1" t="str">
        <f>VLOOKUP(Advices[[#This Row],[LC Number]],'Combine_List'!A:D,2,0)</f>
        <v>Hamada Decoration Company</v>
      </c>
      <c r="M1204" s="447" t="str">
        <f>VLOOKUP(Advices[[#This Row],[LC Number]],'Combine_List'!A:D,3,0)</f>
        <v>MBL</v>
      </c>
      <c r="N1204" s="447" t="str">
        <f>VLOOKUP(Advices[[#This Row],[LC Number]],'Combine_List'!A:D,4,0)</f>
        <v>ADF</v>
      </c>
      <c r="O1204" s="1"/>
      <c r="P1204" s="1">
        <f>MONTH(Advices[[#This Row],[Transaction Date]])</f>
        <v>12</v>
      </c>
      <c r="Q1204" s="1">
        <f>YEAR(Advices[[#This Row],[Transaction Date]])</f>
        <v>2025</v>
      </c>
      <c r="R1204" s="1"/>
    </row>
    <row r="1205" spans="1:18" x14ac:dyDescent="0.25">
      <c r="A1205" s="264" t="s">
        <v>21</v>
      </c>
      <c r="B1205" s="265">
        <v>46016</v>
      </c>
      <c r="C1205" s="264" t="s">
        <v>1951</v>
      </c>
      <c r="D1205" s="264" t="s">
        <v>3245</v>
      </c>
      <c r="E1205" s="264" t="s">
        <v>2569</v>
      </c>
      <c r="F1205" s="264" t="s">
        <v>3244</v>
      </c>
      <c r="G1205" s="264" t="s">
        <v>26</v>
      </c>
      <c r="H1205" s="266">
        <v>-46666.67</v>
      </c>
      <c r="I1205" s="13">
        <v>0</v>
      </c>
      <c r="J1205" s="264" t="s">
        <v>1125</v>
      </c>
      <c r="K1205" s="264" t="s">
        <v>2025</v>
      </c>
      <c r="L1205" s="1" t="str">
        <f>VLOOKUP(Advices[[#This Row],[LC Number]],'Combine_List'!A:D,2,0)</f>
        <v>Hamada Decoration Company</v>
      </c>
      <c r="M1205" s="447" t="str">
        <f>VLOOKUP(Advices[[#This Row],[LC Number]],'Combine_List'!A:D,3,0)</f>
        <v>MBL</v>
      </c>
      <c r="N1205" s="447" t="str">
        <f>VLOOKUP(Advices[[#This Row],[LC Number]],'Combine_List'!A:D,4,0)</f>
        <v>ADF</v>
      </c>
      <c r="O1205" s="1"/>
      <c r="P1205" s="1">
        <f>MONTH(Advices[[#This Row],[Transaction Date]])</f>
        <v>12</v>
      </c>
      <c r="Q1205" s="1">
        <f>YEAR(Advices[[#This Row],[Transaction Date]])</f>
        <v>2025</v>
      </c>
      <c r="R1205" s="1"/>
    </row>
    <row r="1206" spans="1:18" x14ac:dyDescent="0.25">
      <c r="A1206" s="264" t="s">
        <v>21</v>
      </c>
      <c r="B1206" s="265">
        <v>46016</v>
      </c>
      <c r="C1206" s="264" t="s">
        <v>1951</v>
      </c>
      <c r="D1206" s="264" t="s">
        <v>3246</v>
      </c>
      <c r="E1206" s="264" t="s">
        <v>3228</v>
      </c>
      <c r="F1206" s="264" t="s">
        <v>3228</v>
      </c>
      <c r="G1206" s="264" t="s">
        <v>26</v>
      </c>
      <c r="H1206" s="266">
        <v>-45</v>
      </c>
      <c r="I1206" s="13">
        <v>0</v>
      </c>
      <c r="J1206" s="264" t="s">
        <v>1174</v>
      </c>
      <c r="K1206" s="264" t="s">
        <v>2025</v>
      </c>
      <c r="L1206" s="1" t="str">
        <f>VLOOKUP(Advices[[#This Row],[LC Number]],'Combine_List'!A:D,2,0)</f>
        <v>LSI PROJECTS LIMITED</v>
      </c>
      <c r="M1206" s="447" t="str">
        <f>VLOOKUP(Advices[[#This Row],[LC Number]],'Combine_List'!A:D,3,0)</f>
        <v>ICAD</v>
      </c>
      <c r="N1206" s="447" t="str">
        <f>VLOOKUP(Advices[[#This Row],[LC Number]],'Combine_List'!A:D,4,0)</f>
        <v>KSP</v>
      </c>
      <c r="O1206" s="1"/>
      <c r="P1206" s="1">
        <f>MONTH(Advices[[#This Row],[Transaction Date]])</f>
        <v>12</v>
      </c>
      <c r="Q1206" s="1">
        <f>YEAR(Advices[[#This Row],[Transaction Date]])</f>
        <v>2025</v>
      </c>
      <c r="R1206" s="1"/>
    </row>
    <row r="1207" spans="1:18" x14ac:dyDescent="0.25">
      <c r="A1207" s="264" t="s">
        <v>21</v>
      </c>
      <c r="B1207" s="265">
        <v>46016</v>
      </c>
      <c r="C1207" s="264" t="s">
        <v>1951</v>
      </c>
      <c r="D1207" s="264" t="s">
        <v>3247</v>
      </c>
      <c r="E1207" s="264" t="s">
        <v>3228</v>
      </c>
      <c r="F1207" s="264" t="s">
        <v>3228</v>
      </c>
      <c r="G1207" s="264" t="s">
        <v>26</v>
      </c>
      <c r="H1207" s="266">
        <v>-105</v>
      </c>
      <c r="I1207" s="13">
        <v>0</v>
      </c>
      <c r="J1207" s="264" t="s">
        <v>1174</v>
      </c>
      <c r="K1207" s="264" t="s">
        <v>2025</v>
      </c>
      <c r="L1207" s="1" t="str">
        <f>VLOOKUP(Advices[[#This Row],[LC Number]],'Combine_List'!A:D,2,0)</f>
        <v>LSI PROJECTS LIMITED</v>
      </c>
      <c r="M1207" s="447" t="str">
        <f>VLOOKUP(Advices[[#This Row],[LC Number]],'Combine_List'!A:D,3,0)</f>
        <v>ICAD</v>
      </c>
      <c r="N1207" s="447" t="str">
        <f>VLOOKUP(Advices[[#This Row],[LC Number]],'Combine_List'!A:D,4,0)</f>
        <v>KSP</v>
      </c>
      <c r="O1207" s="1"/>
      <c r="P1207" s="1">
        <f>MONTH(Advices[[#This Row],[Transaction Date]])</f>
        <v>12</v>
      </c>
      <c r="Q1207" s="1">
        <f>YEAR(Advices[[#This Row],[Transaction Date]])</f>
        <v>2025</v>
      </c>
      <c r="R1207" s="1"/>
    </row>
    <row r="1208" spans="1:18" x14ac:dyDescent="0.25">
      <c r="A1208" s="264" t="s">
        <v>21</v>
      </c>
      <c r="B1208" s="265">
        <v>46016</v>
      </c>
      <c r="C1208" s="264" t="s">
        <v>1951</v>
      </c>
      <c r="D1208" s="264" t="s">
        <v>3248</v>
      </c>
      <c r="E1208" s="264" t="s">
        <v>3228</v>
      </c>
      <c r="F1208" s="264" t="s">
        <v>3228</v>
      </c>
      <c r="G1208" s="264" t="s">
        <v>26</v>
      </c>
      <c r="H1208" s="266">
        <v>-300</v>
      </c>
      <c r="I1208" s="13">
        <v>0</v>
      </c>
      <c r="J1208" s="264" t="s">
        <v>1176</v>
      </c>
      <c r="K1208" s="264" t="s">
        <v>2025</v>
      </c>
      <c r="L1208" s="1" t="str">
        <f>VLOOKUP(Advices[[#This Row],[LC Number]],'Combine_List'!A:D,2,0)</f>
        <v>LSI PROJECTS LIMITED</v>
      </c>
      <c r="M1208" s="447" t="str">
        <f>VLOOKUP(Advices[[#This Row],[LC Number]],'Combine_List'!A:D,3,0)</f>
        <v>ICAD</v>
      </c>
      <c r="N1208" s="447" t="str">
        <f>VLOOKUP(Advices[[#This Row],[LC Number]],'Combine_List'!A:D,4,0)</f>
        <v>KSP</v>
      </c>
      <c r="O1208" s="1"/>
      <c r="P1208" s="1">
        <f>MONTH(Advices[[#This Row],[Transaction Date]])</f>
        <v>12</v>
      </c>
      <c r="Q1208" s="1">
        <f>YEAR(Advices[[#This Row],[Transaction Date]])</f>
        <v>2025</v>
      </c>
      <c r="R1208" s="1"/>
    </row>
    <row r="1209" spans="1:18" x14ac:dyDescent="0.25">
      <c r="A1209" s="264" t="s">
        <v>21</v>
      </c>
      <c r="B1209" s="265">
        <v>46016</v>
      </c>
      <c r="C1209" s="264" t="s">
        <v>1951</v>
      </c>
      <c r="D1209" s="264" t="s">
        <v>3249</v>
      </c>
      <c r="E1209" s="264" t="s">
        <v>3228</v>
      </c>
      <c r="F1209" s="264" t="s">
        <v>3228</v>
      </c>
      <c r="G1209" s="264" t="s">
        <v>26</v>
      </c>
      <c r="H1209" s="266">
        <v>-700</v>
      </c>
      <c r="I1209" s="13">
        <v>0</v>
      </c>
      <c r="J1209" s="264" t="s">
        <v>1963</v>
      </c>
      <c r="K1209" s="264" t="s">
        <v>2025</v>
      </c>
      <c r="L1209" s="1" t="str">
        <f>VLOOKUP(Advices[[#This Row],[LC Number]],'Combine_List'!A:D,2,0)</f>
        <v>LSI PROJECTS LIMITED</v>
      </c>
      <c r="M1209" s="447" t="str">
        <f>VLOOKUP(Advices[[#This Row],[LC Number]],'Combine_List'!A:D,3,0)</f>
        <v>ICAD</v>
      </c>
      <c r="N1209" s="447" t="str">
        <f>VLOOKUP(Advices[[#This Row],[LC Number]],'Combine_List'!A:D,4,0)</f>
        <v>KSP</v>
      </c>
      <c r="O1209" s="1"/>
      <c r="P1209" s="1">
        <f>MONTH(Advices[[#This Row],[Transaction Date]])</f>
        <v>12</v>
      </c>
      <c r="Q1209" s="1">
        <f>YEAR(Advices[[#This Row],[Transaction Date]])</f>
        <v>2025</v>
      </c>
      <c r="R1209" s="1"/>
    </row>
    <row r="1210" spans="1:18" x14ac:dyDescent="0.25">
      <c r="A1210" s="264" t="s">
        <v>21</v>
      </c>
      <c r="B1210" s="265">
        <v>46016</v>
      </c>
      <c r="C1210" s="264" t="s">
        <v>1951</v>
      </c>
      <c r="D1210" s="264" t="s">
        <v>3247</v>
      </c>
      <c r="E1210" s="264" t="s">
        <v>3228</v>
      </c>
      <c r="F1210" s="264" t="s">
        <v>3228</v>
      </c>
      <c r="G1210" s="264" t="s">
        <v>26</v>
      </c>
      <c r="H1210" s="266">
        <v>-1533.14</v>
      </c>
      <c r="I1210" s="13">
        <v>0</v>
      </c>
      <c r="J1210" s="264" t="s">
        <v>1174</v>
      </c>
      <c r="K1210" s="264" t="s">
        <v>2025</v>
      </c>
      <c r="L1210" s="1" t="str">
        <f>VLOOKUP(Advices[[#This Row],[LC Number]],'Combine_List'!A:D,2,0)</f>
        <v>LSI PROJECTS LIMITED</v>
      </c>
      <c r="M1210" s="447" t="str">
        <f>VLOOKUP(Advices[[#This Row],[LC Number]],'Combine_List'!A:D,3,0)</f>
        <v>ICAD</v>
      </c>
      <c r="N1210" s="447" t="str">
        <f>VLOOKUP(Advices[[#This Row],[LC Number]],'Combine_List'!A:D,4,0)</f>
        <v>KSP</v>
      </c>
      <c r="O1210" s="1"/>
      <c r="P1210" s="1">
        <f>MONTH(Advices[[#This Row],[Transaction Date]])</f>
        <v>12</v>
      </c>
      <c r="Q1210" s="1">
        <f>YEAR(Advices[[#This Row],[Transaction Date]])</f>
        <v>2025</v>
      </c>
      <c r="R1210" s="1"/>
    </row>
    <row r="1211" spans="1:18" x14ac:dyDescent="0.25">
      <c r="A1211" s="264" t="s">
        <v>21</v>
      </c>
      <c r="B1211" s="265">
        <v>46016</v>
      </c>
      <c r="C1211" s="264" t="s">
        <v>1951</v>
      </c>
      <c r="D1211" s="264" t="s">
        <v>3246</v>
      </c>
      <c r="E1211" s="264" t="s">
        <v>3228</v>
      </c>
      <c r="F1211" s="264" t="s">
        <v>3228</v>
      </c>
      <c r="G1211" s="264" t="s">
        <v>26</v>
      </c>
      <c r="H1211" s="266">
        <v>-4374.43</v>
      </c>
      <c r="I1211" s="13">
        <v>0</v>
      </c>
      <c r="J1211" s="264" t="s">
        <v>1174</v>
      </c>
      <c r="K1211" s="264" t="s">
        <v>2025</v>
      </c>
      <c r="L1211" s="1" t="str">
        <f>VLOOKUP(Advices[[#This Row],[LC Number]],'Combine_List'!A:D,2,0)</f>
        <v>LSI PROJECTS LIMITED</v>
      </c>
      <c r="M1211" s="447" t="str">
        <f>VLOOKUP(Advices[[#This Row],[LC Number]],'Combine_List'!A:D,3,0)</f>
        <v>ICAD</v>
      </c>
      <c r="N1211" s="447" t="str">
        <f>VLOOKUP(Advices[[#This Row],[LC Number]],'Combine_List'!A:D,4,0)</f>
        <v>KSP</v>
      </c>
      <c r="O1211" s="1"/>
      <c r="P1211" s="1">
        <f>MONTH(Advices[[#This Row],[Transaction Date]])</f>
        <v>12</v>
      </c>
      <c r="Q1211" s="1">
        <f>YEAR(Advices[[#This Row],[Transaction Date]])</f>
        <v>2025</v>
      </c>
      <c r="R1211" s="1"/>
    </row>
    <row r="1212" spans="1:18" x14ac:dyDescent="0.25">
      <c r="A1212" s="264" t="s">
        <v>21</v>
      </c>
      <c r="B1212" s="265">
        <v>46016</v>
      </c>
      <c r="C1212" s="264" t="s">
        <v>1951</v>
      </c>
      <c r="D1212" s="264" t="s">
        <v>3250</v>
      </c>
      <c r="E1212" s="264" t="s">
        <v>3228</v>
      </c>
      <c r="F1212" s="264" t="s">
        <v>3228</v>
      </c>
      <c r="G1212" s="264" t="s">
        <v>26</v>
      </c>
      <c r="H1212" s="266">
        <v>-10220.959999999999</v>
      </c>
      <c r="I1212" s="13">
        <v>0</v>
      </c>
      <c r="J1212" s="264" t="s">
        <v>2616</v>
      </c>
      <c r="K1212" s="264" t="s">
        <v>2025</v>
      </c>
      <c r="L1212" s="1" t="str">
        <f>VLOOKUP(Advices[[#This Row],[LC Number]],'Combine_List'!A:D,2,0)</f>
        <v>LSI PROJECTS LIMITED</v>
      </c>
      <c r="M1212" s="447" t="str">
        <f>VLOOKUP(Advices[[#This Row],[LC Number]],'Combine_List'!A:D,3,0)</f>
        <v>ICAD</v>
      </c>
      <c r="N1212" s="447" t="str">
        <f>VLOOKUP(Advices[[#This Row],[LC Number]],'Combine_List'!A:D,4,0)</f>
        <v>KSP</v>
      </c>
      <c r="O1212" s="1"/>
      <c r="P1212" s="1">
        <f>MONTH(Advices[[#This Row],[Transaction Date]])</f>
        <v>12</v>
      </c>
      <c r="Q1212" s="1">
        <f>YEAR(Advices[[#This Row],[Transaction Date]])</f>
        <v>2025</v>
      </c>
      <c r="R1212" s="1"/>
    </row>
    <row r="1213" spans="1:18" x14ac:dyDescent="0.25">
      <c r="A1213" s="264" t="s">
        <v>21</v>
      </c>
      <c r="B1213" s="265">
        <v>46016</v>
      </c>
      <c r="C1213" s="264" t="s">
        <v>1951</v>
      </c>
      <c r="D1213" s="264" t="s">
        <v>3250</v>
      </c>
      <c r="E1213" s="264" t="s">
        <v>3228</v>
      </c>
      <c r="F1213" s="264" t="s">
        <v>3228</v>
      </c>
      <c r="G1213" s="264" t="s">
        <v>26</v>
      </c>
      <c r="H1213" s="266">
        <v>-29162.87</v>
      </c>
      <c r="I1213" s="13">
        <v>0</v>
      </c>
      <c r="J1213" s="264" t="s">
        <v>2616</v>
      </c>
      <c r="K1213" s="264" t="s">
        <v>2025</v>
      </c>
      <c r="L1213" s="1" t="str">
        <f>VLOOKUP(Advices[[#This Row],[LC Number]],'Combine_List'!A:D,2,0)</f>
        <v>LSI PROJECTS LIMITED</v>
      </c>
      <c r="M1213" s="447" t="str">
        <f>VLOOKUP(Advices[[#This Row],[LC Number]],'Combine_List'!A:D,3,0)</f>
        <v>ICAD</v>
      </c>
      <c r="N1213" s="447" t="str">
        <f>VLOOKUP(Advices[[#This Row],[LC Number]],'Combine_List'!A:D,4,0)</f>
        <v>KSP</v>
      </c>
      <c r="O1213" s="1"/>
      <c r="P1213" s="1">
        <f>MONTH(Advices[[#This Row],[Transaction Date]])</f>
        <v>12</v>
      </c>
      <c r="Q1213" s="1">
        <f>YEAR(Advices[[#This Row],[Transaction Date]])</f>
        <v>2025</v>
      </c>
      <c r="R1213" s="1"/>
    </row>
    <row r="1214" spans="1:18" x14ac:dyDescent="0.25">
      <c r="A1214" s="264" t="s">
        <v>21</v>
      </c>
      <c r="B1214" s="265">
        <v>46016</v>
      </c>
      <c r="C1214" s="264" t="s">
        <v>1951</v>
      </c>
      <c r="D1214" s="264" t="s">
        <v>3251</v>
      </c>
      <c r="E1214" s="264" t="s">
        <v>3227</v>
      </c>
      <c r="F1214" s="264" t="s">
        <v>3227</v>
      </c>
      <c r="G1214" s="264" t="s">
        <v>26</v>
      </c>
      <c r="H1214" s="266">
        <v>-45</v>
      </c>
      <c r="I1214" s="13">
        <v>0</v>
      </c>
      <c r="J1214" s="264" t="s">
        <v>1174</v>
      </c>
      <c r="K1214" s="264" t="s">
        <v>2025</v>
      </c>
      <c r="L1214" s="1" t="str">
        <f>VLOOKUP(Advices[[#This Row],[LC Number]],'Combine_List'!A:D,2,0)</f>
        <v>BBH-CHEMTROL INTERNATIONAL ORGANIZATION S.L</v>
      </c>
      <c r="M1214" s="447" t="str">
        <f>VLOOKUP(Advices[[#This Row],[LC Number]],'Combine_List'!A:D,3,0)</f>
        <v>ICAD</v>
      </c>
      <c r="N1214" s="447" t="str">
        <f>VLOOKUP(Advices[[#This Row],[LC Number]],'Combine_List'!A:D,4,0)</f>
        <v>KSP</v>
      </c>
      <c r="O1214" s="1"/>
      <c r="P1214" s="1">
        <f>MONTH(Advices[[#This Row],[Transaction Date]])</f>
        <v>12</v>
      </c>
      <c r="Q1214" s="1">
        <f>YEAR(Advices[[#This Row],[Transaction Date]])</f>
        <v>2025</v>
      </c>
      <c r="R1214" s="1"/>
    </row>
    <row r="1215" spans="1:18" x14ac:dyDescent="0.25">
      <c r="A1215" s="264" t="s">
        <v>21</v>
      </c>
      <c r="B1215" s="265">
        <v>46016</v>
      </c>
      <c r="C1215" s="264" t="s">
        <v>1951</v>
      </c>
      <c r="D1215" s="264" t="s">
        <v>3251</v>
      </c>
      <c r="E1215" s="264" t="s">
        <v>3227</v>
      </c>
      <c r="F1215" s="264" t="s">
        <v>3227</v>
      </c>
      <c r="G1215" s="264" t="s">
        <v>26</v>
      </c>
      <c r="H1215" s="299">
        <v>-105</v>
      </c>
      <c r="I1215" s="13">
        <v>0</v>
      </c>
      <c r="J1215" s="264" t="s">
        <v>1174</v>
      </c>
      <c r="K1215" s="264" t="s">
        <v>2025</v>
      </c>
      <c r="L1215" s="1" t="str">
        <f>VLOOKUP(Advices[[#This Row],[LC Number]],'Combine_List'!A:D,2,0)</f>
        <v>BBH-CHEMTROL INTERNATIONAL ORGANIZATION S.L</v>
      </c>
      <c r="M1215" s="447" t="str">
        <f>VLOOKUP(Advices[[#This Row],[LC Number]],'Combine_List'!A:D,3,0)</f>
        <v>ICAD</v>
      </c>
      <c r="N1215" s="447" t="str">
        <f>VLOOKUP(Advices[[#This Row],[LC Number]],'Combine_List'!A:D,4,0)</f>
        <v>KSP</v>
      </c>
      <c r="O1215" s="1"/>
      <c r="P1215" s="1">
        <f>MONTH(Advices[[#This Row],[Transaction Date]])</f>
        <v>12</v>
      </c>
      <c r="Q1215" s="1">
        <f>YEAR(Advices[[#This Row],[Transaction Date]])</f>
        <v>2025</v>
      </c>
      <c r="R1215" s="1"/>
    </row>
    <row r="1216" spans="1:18" x14ac:dyDescent="0.25">
      <c r="A1216" s="264" t="s">
        <v>21</v>
      </c>
      <c r="B1216" s="265">
        <v>46016</v>
      </c>
      <c r="C1216" s="264" t="s">
        <v>1951</v>
      </c>
      <c r="D1216" s="264" t="s">
        <v>3252</v>
      </c>
      <c r="E1216" s="264" t="s">
        <v>3227</v>
      </c>
      <c r="F1216" s="264" t="s">
        <v>3227</v>
      </c>
      <c r="G1216" s="264" t="s">
        <v>26</v>
      </c>
      <c r="H1216" s="299">
        <v>-300</v>
      </c>
      <c r="I1216" s="13">
        <v>0</v>
      </c>
      <c r="J1216" s="264" t="s">
        <v>1176</v>
      </c>
      <c r="K1216" s="264" t="s">
        <v>2025</v>
      </c>
      <c r="L1216" s="1" t="str">
        <f>VLOOKUP(Advices[[#This Row],[LC Number]],'Combine_List'!A:D,2,0)</f>
        <v>BBH-CHEMTROL INTERNATIONAL ORGANIZATION S.L</v>
      </c>
      <c r="M1216" s="447" t="str">
        <f>VLOOKUP(Advices[[#This Row],[LC Number]],'Combine_List'!A:D,3,0)</f>
        <v>ICAD</v>
      </c>
      <c r="N1216" s="447" t="str">
        <f>VLOOKUP(Advices[[#This Row],[LC Number]],'Combine_List'!A:D,4,0)</f>
        <v>KSP</v>
      </c>
      <c r="O1216" s="1"/>
      <c r="P1216" s="1">
        <f>MONTH(Advices[[#This Row],[Transaction Date]])</f>
        <v>12</v>
      </c>
      <c r="Q1216" s="1">
        <f>YEAR(Advices[[#This Row],[Transaction Date]])</f>
        <v>2025</v>
      </c>
      <c r="R1216" s="1"/>
    </row>
    <row r="1217" spans="1:18" x14ac:dyDescent="0.25">
      <c r="A1217" s="264" t="s">
        <v>21</v>
      </c>
      <c r="B1217" s="265">
        <v>46016</v>
      </c>
      <c r="C1217" s="264" t="s">
        <v>1951</v>
      </c>
      <c r="D1217" s="264" t="s">
        <v>3253</v>
      </c>
      <c r="E1217" s="264" t="s">
        <v>3227</v>
      </c>
      <c r="F1217" s="264" t="s">
        <v>3227</v>
      </c>
      <c r="G1217" s="264" t="s">
        <v>26</v>
      </c>
      <c r="H1217" s="299">
        <v>-700</v>
      </c>
      <c r="I1217" s="13">
        <v>0</v>
      </c>
      <c r="J1217" s="264" t="s">
        <v>1963</v>
      </c>
      <c r="K1217" s="264" t="s">
        <v>2025</v>
      </c>
      <c r="L1217" s="1" t="str">
        <f>VLOOKUP(Advices[[#This Row],[LC Number]],'Combine_List'!A:D,2,0)</f>
        <v>BBH-CHEMTROL INTERNATIONAL ORGANIZATION S.L</v>
      </c>
      <c r="M1217" s="447" t="str">
        <f>VLOOKUP(Advices[[#This Row],[LC Number]],'Combine_List'!A:D,3,0)</f>
        <v>ICAD</v>
      </c>
      <c r="N1217" s="447" t="str">
        <f>VLOOKUP(Advices[[#This Row],[LC Number]],'Combine_List'!A:D,4,0)</f>
        <v>KSP</v>
      </c>
      <c r="O1217" s="1"/>
      <c r="P1217" s="1">
        <f>MONTH(Advices[[#This Row],[Transaction Date]])</f>
        <v>12</v>
      </c>
      <c r="Q1217" s="1">
        <f>YEAR(Advices[[#This Row],[Transaction Date]])</f>
        <v>2025</v>
      </c>
      <c r="R1217" s="1"/>
    </row>
    <row r="1218" spans="1:18" x14ac:dyDescent="0.25">
      <c r="A1218" s="264" t="s">
        <v>21</v>
      </c>
      <c r="B1218" s="265">
        <v>46016</v>
      </c>
      <c r="C1218" s="264" t="s">
        <v>1951</v>
      </c>
      <c r="D1218" s="264" t="s">
        <v>3251</v>
      </c>
      <c r="E1218" s="264" t="s">
        <v>3227</v>
      </c>
      <c r="F1218" s="264" t="s">
        <v>3227</v>
      </c>
      <c r="G1218" s="264" t="s">
        <v>26</v>
      </c>
      <c r="H1218" s="299">
        <v>-5664.86</v>
      </c>
      <c r="I1218" s="13">
        <v>0</v>
      </c>
      <c r="J1218" s="264" t="s">
        <v>1174</v>
      </c>
      <c r="K1218" s="264" t="s">
        <v>2025</v>
      </c>
      <c r="L1218" s="1" t="str">
        <f>VLOOKUP(Advices[[#This Row],[LC Number]],'Combine_List'!A:D,2,0)</f>
        <v>BBH-CHEMTROL INTERNATIONAL ORGANIZATION S.L</v>
      </c>
      <c r="M1218" s="447" t="str">
        <f>VLOOKUP(Advices[[#This Row],[LC Number]],'Combine_List'!A:D,3,0)</f>
        <v>ICAD</v>
      </c>
      <c r="N1218" s="447" t="str">
        <f>VLOOKUP(Advices[[#This Row],[LC Number]],'Combine_List'!A:D,4,0)</f>
        <v>KSP</v>
      </c>
      <c r="O1218" s="1"/>
      <c r="P1218" s="1">
        <f>MONTH(Advices[[#This Row],[Transaction Date]])</f>
        <v>12</v>
      </c>
      <c r="Q1218" s="1">
        <f>YEAR(Advices[[#This Row],[Transaction Date]])</f>
        <v>2025</v>
      </c>
      <c r="R1218" s="1"/>
    </row>
    <row r="1219" spans="1:18" x14ac:dyDescent="0.25">
      <c r="A1219" s="264" t="s">
        <v>21</v>
      </c>
      <c r="B1219" s="265">
        <v>46016</v>
      </c>
      <c r="C1219" s="264" t="s">
        <v>1951</v>
      </c>
      <c r="D1219" s="264" t="s">
        <v>3254</v>
      </c>
      <c r="E1219" s="264" t="s">
        <v>3227</v>
      </c>
      <c r="F1219" s="264" t="s">
        <v>3227</v>
      </c>
      <c r="G1219" s="264" t="s">
        <v>26</v>
      </c>
      <c r="H1219" s="299">
        <v>-37765.74</v>
      </c>
      <c r="I1219" s="13">
        <v>0</v>
      </c>
      <c r="J1219" s="264" t="s">
        <v>2616</v>
      </c>
      <c r="K1219" s="264" t="s">
        <v>2025</v>
      </c>
      <c r="L1219" s="1" t="str">
        <f>VLOOKUP(Advices[[#This Row],[LC Number]],'Combine_List'!A:D,2,0)</f>
        <v>BBH-CHEMTROL INTERNATIONAL ORGANIZATION S.L</v>
      </c>
      <c r="M1219" s="447" t="str">
        <f>VLOOKUP(Advices[[#This Row],[LC Number]],'Combine_List'!A:D,3,0)</f>
        <v>ICAD</v>
      </c>
      <c r="N1219" s="447" t="str">
        <f>VLOOKUP(Advices[[#This Row],[LC Number]],'Combine_List'!A:D,4,0)</f>
        <v>KSP</v>
      </c>
      <c r="O1219" s="1"/>
      <c r="P1219" s="1">
        <f>MONTH(Advices[[#This Row],[Transaction Date]])</f>
        <v>12</v>
      </c>
      <c r="Q1219" s="1">
        <f>YEAR(Advices[[#This Row],[Transaction Date]])</f>
        <v>2025</v>
      </c>
      <c r="R1219" s="1"/>
    </row>
    <row r="1220" spans="1:18" hidden="1" x14ac:dyDescent="0.25">
      <c r="A1220" s="264" t="s">
        <v>366</v>
      </c>
      <c r="B1220" s="265">
        <v>46016</v>
      </c>
      <c r="C1220" s="264" t="s">
        <v>2057</v>
      </c>
      <c r="D1220" s="264" t="s">
        <v>3255</v>
      </c>
      <c r="E1220" s="264" t="s">
        <v>1687</v>
      </c>
      <c r="F1220" s="1" t="s">
        <v>3536</v>
      </c>
      <c r="G1220" s="264" t="s">
        <v>26</v>
      </c>
      <c r="H1220" s="266">
        <v>-98871.6</v>
      </c>
      <c r="I1220" s="13">
        <v>0</v>
      </c>
      <c r="J1220" s="264" t="s">
        <v>1126</v>
      </c>
      <c r="K1220" s="264" t="s">
        <v>2025</v>
      </c>
      <c r="L1220" s="1" t="str">
        <f>VLOOKUP(Advices[[#This Row],[LC Number]],'Combine_List'!A:D,2,0)</f>
        <v>Alshrkt Mzaya Almttwrt Alsnaayt shkhs Wahd</v>
      </c>
      <c r="M1220" s="447" t="str">
        <f>VLOOKUP(Advices[[#This Row],[LC Number]],'Combine_List'!A:D,3,0)</f>
        <v>FIRST FIX</v>
      </c>
      <c r="N1220" s="447" t="str">
        <f>VLOOKUP(Advices[[#This Row],[LC Number]],'Combine_List'!A:D,4,0)</f>
        <v>CEER</v>
      </c>
      <c r="O1220" s="1"/>
      <c r="P1220" s="1">
        <f>MONTH(Advices[[#This Row],[Transaction Date]])</f>
        <v>12</v>
      </c>
      <c r="Q1220" s="1">
        <f>YEAR(Advices[[#This Row],[Transaction Date]])</f>
        <v>2025</v>
      </c>
      <c r="R1220" s="1"/>
    </row>
    <row r="1221" spans="1:18" hidden="1" x14ac:dyDescent="0.25">
      <c r="A1221" s="264" t="s">
        <v>366</v>
      </c>
      <c r="B1221" s="265">
        <v>46016</v>
      </c>
      <c r="C1221" s="264" t="s">
        <v>2057</v>
      </c>
      <c r="D1221" s="264" t="s">
        <v>3256</v>
      </c>
      <c r="E1221" s="264" t="s">
        <v>1801</v>
      </c>
      <c r="F1221" s="1" t="s">
        <v>3537</v>
      </c>
      <c r="G1221" s="264" t="s">
        <v>26</v>
      </c>
      <c r="H1221" s="266">
        <v>-1500000</v>
      </c>
      <c r="I1221" s="13">
        <v>0</v>
      </c>
      <c r="J1221" s="264" t="s">
        <v>1126</v>
      </c>
      <c r="K1221" s="264" t="s">
        <v>2025</v>
      </c>
      <c r="L1221" s="1" t="str">
        <f>VLOOKUP(Advices[[#This Row],[LC Number]],'Combine_List'!A:D,2,0)</f>
        <v>Soundlines Administrative Co Ltd.</v>
      </c>
      <c r="M1221" s="447" t="str">
        <f>VLOOKUP(Advices[[#This Row],[LC Number]],'Combine_List'!A:D,3,0)</f>
        <v>MBL/ICAD</v>
      </c>
      <c r="N1221" s="447" t="str">
        <f>VLOOKUP(Advices[[#This Row],[LC Number]],'Combine_List'!A:D,4,0)</f>
        <v>ABHA</v>
      </c>
      <c r="O1221" s="1"/>
      <c r="P1221" s="1">
        <f>MONTH(Advices[[#This Row],[Transaction Date]])</f>
        <v>12</v>
      </c>
      <c r="Q1221" s="1">
        <f>YEAR(Advices[[#This Row],[Transaction Date]])</f>
        <v>2025</v>
      </c>
      <c r="R1221" s="1"/>
    </row>
    <row r="1222" spans="1:18" hidden="1" x14ac:dyDescent="0.25">
      <c r="A1222" s="264" t="s">
        <v>366</v>
      </c>
      <c r="B1222" s="265">
        <v>46016</v>
      </c>
      <c r="C1222" s="264" t="s">
        <v>2057</v>
      </c>
      <c r="D1222" s="264" t="s">
        <v>3257</v>
      </c>
      <c r="E1222" s="264" t="s">
        <v>1637</v>
      </c>
      <c r="F1222" s="1" t="s">
        <v>3444</v>
      </c>
      <c r="G1222" s="264" t="s">
        <v>26</v>
      </c>
      <c r="H1222" s="266">
        <v>-15540825</v>
      </c>
      <c r="I1222" s="13">
        <v>0</v>
      </c>
      <c r="J1222" s="264" t="s">
        <v>1126</v>
      </c>
      <c r="K1222" s="264" t="s">
        <v>2025</v>
      </c>
      <c r="L1222" s="1" t="str">
        <f>VLOOKUP(Advices[[#This Row],[LC Number]],'Combine_List'!A:D,2,0)</f>
        <v>The Fundamental Installation For Electric Work Co</v>
      </c>
      <c r="M1222" s="447" t="str">
        <f>VLOOKUP(Advices[[#This Row],[LC Number]],'Combine_List'!A:D,3,0)</f>
        <v>FIRST FIX</v>
      </c>
      <c r="N1222" s="447" t="str">
        <f>VLOOKUP(Advices[[#This Row],[LC Number]],'Combine_List'!A:D,4,0)</f>
        <v>CEER</v>
      </c>
      <c r="O1222" s="1"/>
      <c r="P1222" s="1">
        <f>MONTH(Advices[[#This Row],[Transaction Date]])</f>
        <v>12</v>
      </c>
      <c r="Q1222" s="1">
        <f>YEAR(Advices[[#This Row],[Transaction Date]])</f>
        <v>2025</v>
      </c>
      <c r="R1222" s="1"/>
    </row>
    <row r="1223" spans="1:18" hidden="1" x14ac:dyDescent="0.25">
      <c r="A1223" s="264" t="s">
        <v>366</v>
      </c>
      <c r="B1223" s="265">
        <v>46016</v>
      </c>
      <c r="C1223" s="264" t="s">
        <v>2060</v>
      </c>
      <c r="D1223" s="264" t="s">
        <v>3258</v>
      </c>
      <c r="E1223" s="264" t="s">
        <v>1891</v>
      </c>
      <c r="F1223" s="1" t="s">
        <v>3538</v>
      </c>
      <c r="G1223" s="264" t="s">
        <v>26</v>
      </c>
      <c r="H1223" s="266">
        <v>-197611.33</v>
      </c>
      <c r="I1223" s="13">
        <v>0</v>
      </c>
      <c r="J1223" s="264" t="s">
        <v>2900</v>
      </c>
      <c r="K1223" s="264" t="s">
        <v>5459</v>
      </c>
      <c r="L1223" s="1" t="str">
        <f>VLOOKUP(Advices[[#This Row],[LC Number]],'Combine_List'!A:D,2,0)</f>
        <v>Performance - SIXTY INVESTMENT CO</v>
      </c>
      <c r="M1223" s="447">
        <f>VLOOKUP(Advices[[#This Row],[LC Number]],'Combine_List'!A:D,3,0)</f>
        <v>0</v>
      </c>
      <c r="N1223" s="447">
        <f>VLOOKUP(Advices[[#This Row],[LC Number]],'Combine_List'!A:D,4,0)</f>
        <v>0</v>
      </c>
      <c r="O1223" s="1" t="s">
        <v>3360</v>
      </c>
      <c r="P1223" s="1">
        <f>MONTH(Advices[[#This Row],[Transaction Date]])</f>
        <v>12</v>
      </c>
      <c r="Q1223" s="1">
        <f>YEAR(Advices[[#This Row],[Transaction Date]])</f>
        <v>2025</v>
      </c>
      <c r="R1223" s="1" t="s">
        <v>3360</v>
      </c>
    </row>
    <row r="1224" spans="1:18" hidden="1" x14ac:dyDescent="0.25">
      <c r="A1224" s="264" t="s">
        <v>612</v>
      </c>
      <c r="B1224" s="265">
        <v>46016</v>
      </c>
      <c r="C1224" s="264" t="s">
        <v>2101</v>
      </c>
      <c r="D1224" s="264" t="s">
        <v>3259</v>
      </c>
      <c r="E1224" s="264" t="s">
        <v>1151</v>
      </c>
      <c r="F1224" s="264" t="s">
        <v>2041</v>
      </c>
      <c r="G1224" s="264" t="s">
        <v>26</v>
      </c>
      <c r="H1224" s="266">
        <v>100</v>
      </c>
      <c r="I1224" s="266">
        <v>0</v>
      </c>
      <c r="J1224" s="264" t="s">
        <v>1125</v>
      </c>
      <c r="K1224" s="264" t="s">
        <v>2025</v>
      </c>
      <c r="L1224" s="1" t="str">
        <f>VLOOKUP(Advices[[#This Row],[LC Number]],'Combine_List'!A:D,2,0)</f>
        <v>SAUDI VITRIFIED CLAY PIPE CO</v>
      </c>
      <c r="M1224" s="447" t="str">
        <f>VLOOKUP(Advices[[#This Row],[LC Number]],'Combine_List'!A:D,3,0)</f>
        <v>FIRST FIX</v>
      </c>
      <c r="N1224" s="447" t="str">
        <f>VLOOKUP(Advices[[#This Row],[LC Number]],'Combine_List'!A:D,4,0)</f>
        <v>RCRC</v>
      </c>
      <c r="O1224" s="1"/>
      <c r="P1224" s="1">
        <f>MONTH(Advices[[#This Row],[Transaction Date]])</f>
        <v>12</v>
      </c>
      <c r="Q1224" s="1">
        <f>YEAR(Advices[[#This Row],[Transaction Date]])</f>
        <v>2025</v>
      </c>
      <c r="R1224" s="1"/>
    </row>
    <row r="1225" spans="1:18" hidden="1" x14ac:dyDescent="0.25">
      <c r="A1225" s="264" t="s">
        <v>612</v>
      </c>
      <c r="B1225" s="265">
        <v>46016</v>
      </c>
      <c r="C1225" s="264" t="s">
        <v>2101</v>
      </c>
      <c r="D1225" s="264" t="s">
        <v>3260</v>
      </c>
      <c r="E1225" s="264" t="s">
        <v>1151</v>
      </c>
      <c r="F1225" s="264" t="s">
        <v>2041</v>
      </c>
      <c r="G1225" s="264" t="s">
        <v>26</v>
      </c>
      <c r="H1225" s="266">
        <v>15</v>
      </c>
      <c r="I1225" s="266">
        <v>0</v>
      </c>
      <c r="J1225" s="264" t="s">
        <v>1174</v>
      </c>
      <c r="K1225" s="264" t="s">
        <v>2025</v>
      </c>
      <c r="L1225" s="1" t="str">
        <f>VLOOKUP(Advices[[#This Row],[LC Number]],'Combine_List'!A:D,2,0)</f>
        <v>SAUDI VITRIFIED CLAY PIPE CO</v>
      </c>
      <c r="M1225" s="447" t="str">
        <f>VLOOKUP(Advices[[#This Row],[LC Number]],'Combine_List'!A:D,3,0)</f>
        <v>FIRST FIX</v>
      </c>
      <c r="N1225" s="447" t="str">
        <f>VLOOKUP(Advices[[#This Row],[LC Number]],'Combine_List'!A:D,4,0)</f>
        <v>RCRC</v>
      </c>
      <c r="O1225" s="1"/>
      <c r="P1225" s="1">
        <f>MONTH(Advices[[#This Row],[Transaction Date]])</f>
        <v>12</v>
      </c>
      <c r="Q1225" s="1">
        <f>YEAR(Advices[[#This Row],[Transaction Date]])</f>
        <v>2025</v>
      </c>
      <c r="R1225" s="1"/>
    </row>
    <row r="1226" spans="1:18" hidden="1" x14ac:dyDescent="0.25">
      <c r="A1226" s="264" t="s">
        <v>612</v>
      </c>
      <c r="B1226" s="265">
        <v>46016</v>
      </c>
      <c r="C1226" s="264" t="s">
        <v>2101</v>
      </c>
      <c r="D1226" s="264" t="s">
        <v>3261</v>
      </c>
      <c r="E1226" s="264" t="s">
        <v>1151</v>
      </c>
      <c r="F1226" s="264" t="s">
        <v>2041</v>
      </c>
      <c r="G1226" s="264" t="s">
        <v>26</v>
      </c>
      <c r="H1226" s="266">
        <v>250</v>
      </c>
      <c r="I1226" s="266">
        <v>0</v>
      </c>
      <c r="J1226" s="264" t="s">
        <v>1125</v>
      </c>
      <c r="K1226" s="264" t="s">
        <v>2025</v>
      </c>
      <c r="L1226" s="1" t="str">
        <f>VLOOKUP(Advices[[#This Row],[LC Number]],'Combine_List'!A:D,2,0)</f>
        <v>SAUDI VITRIFIED CLAY PIPE CO</v>
      </c>
      <c r="M1226" s="447" t="str">
        <f>VLOOKUP(Advices[[#This Row],[LC Number]],'Combine_List'!A:D,3,0)</f>
        <v>FIRST FIX</v>
      </c>
      <c r="N1226" s="447" t="str">
        <f>VLOOKUP(Advices[[#This Row],[LC Number]],'Combine_List'!A:D,4,0)</f>
        <v>RCRC</v>
      </c>
      <c r="O1226" s="1"/>
      <c r="P1226" s="1">
        <f>MONTH(Advices[[#This Row],[Transaction Date]])</f>
        <v>12</v>
      </c>
      <c r="Q1226" s="1">
        <f>YEAR(Advices[[#This Row],[Transaction Date]])</f>
        <v>2025</v>
      </c>
      <c r="R1226" s="1"/>
    </row>
    <row r="1227" spans="1:18" hidden="1" x14ac:dyDescent="0.25">
      <c r="A1227" s="264" t="s">
        <v>612</v>
      </c>
      <c r="B1227" s="265">
        <v>46016</v>
      </c>
      <c r="C1227" s="264" t="s">
        <v>2101</v>
      </c>
      <c r="D1227" s="264" t="s">
        <v>3262</v>
      </c>
      <c r="E1227" s="264" t="s">
        <v>1151</v>
      </c>
      <c r="F1227" s="264" t="s">
        <v>2041</v>
      </c>
      <c r="G1227" s="264" t="s">
        <v>26</v>
      </c>
      <c r="H1227" s="266">
        <v>37.5</v>
      </c>
      <c r="I1227" s="266">
        <v>0</v>
      </c>
      <c r="J1227" s="264" t="s">
        <v>1174</v>
      </c>
      <c r="K1227" s="264" t="s">
        <v>2025</v>
      </c>
      <c r="L1227" s="1" t="str">
        <f>VLOOKUP(Advices[[#This Row],[LC Number]],'Combine_List'!A:D,2,0)</f>
        <v>SAUDI VITRIFIED CLAY PIPE CO</v>
      </c>
      <c r="M1227" s="447" t="str">
        <f>VLOOKUP(Advices[[#This Row],[LC Number]],'Combine_List'!A:D,3,0)</f>
        <v>FIRST FIX</v>
      </c>
      <c r="N1227" s="447" t="str">
        <f>VLOOKUP(Advices[[#This Row],[LC Number]],'Combine_List'!A:D,4,0)</f>
        <v>RCRC</v>
      </c>
      <c r="O1227" s="1"/>
      <c r="P1227" s="1">
        <f>MONTH(Advices[[#This Row],[Transaction Date]])</f>
        <v>12</v>
      </c>
      <c r="Q1227" s="1">
        <f>YEAR(Advices[[#This Row],[Transaction Date]])</f>
        <v>2025</v>
      </c>
      <c r="R1227" s="1"/>
    </row>
    <row r="1228" spans="1:18" hidden="1" x14ac:dyDescent="0.25">
      <c r="A1228" s="264" t="s">
        <v>612</v>
      </c>
      <c r="B1228" s="265">
        <v>46016</v>
      </c>
      <c r="C1228" s="264" t="s">
        <v>2101</v>
      </c>
      <c r="D1228" s="264" t="s">
        <v>3263</v>
      </c>
      <c r="E1228" s="264" t="s">
        <v>1151</v>
      </c>
      <c r="F1228" s="264" t="s">
        <v>2041</v>
      </c>
      <c r="G1228" s="264" t="s">
        <v>26</v>
      </c>
      <c r="H1228" s="266">
        <v>200</v>
      </c>
      <c r="I1228" s="266">
        <v>0</v>
      </c>
      <c r="J1228" s="264" t="s">
        <v>1125</v>
      </c>
      <c r="K1228" s="264" t="s">
        <v>2025</v>
      </c>
      <c r="L1228" s="1" t="str">
        <f>VLOOKUP(Advices[[#This Row],[LC Number]],'Combine_List'!A:D,2,0)</f>
        <v>SAUDI VITRIFIED CLAY PIPE CO</v>
      </c>
      <c r="M1228" s="447" t="str">
        <f>VLOOKUP(Advices[[#This Row],[LC Number]],'Combine_List'!A:D,3,0)</f>
        <v>FIRST FIX</v>
      </c>
      <c r="N1228" s="447" t="str">
        <f>VLOOKUP(Advices[[#This Row],[LC Number]],'Combine_List'!A:D,4,0)</f>
        <v>RCRC</v>
      </c>
      <c r="O1228" s="1"/>
      <c r="P1228" s="1">
        <f>MONTH(Advices[[#This Row],[Transaction Date]])</f>
        <v>12</v>
      </c>
      <c r="Q1228" s="1">
        <f>YEAR(Advices[[#This Row],[Transaction Date]])</f>
        <v>2025</v>
      </c>
      <c r="R1228" s="1"/>
    </row>
    <row r="1229" spans="1:18" hidden="1" x14ac:dyDescent="0.25">
      <c r="A1229" s="264" t="s">
        <v>612</v>
      </c>
      <c r="B1229" s="265">
        <v>46016</v>
      </c>
      <c r="C1229" s="264" t="s">
        <v>2101</v>
      </c>
      <c r="D1229" s="264" t="s">
        <v>3264</v>
      </c>
      <c r="E1229" s="264" t="s">
        <v>1151</v>
      </c>
      <c r="F1229" s="264" t="s">
        <v>2041</v>
      </c>
      <c r="G1229" s="264" t="s">
        <v>26</v>
      </c>
      <c r="H1229" s="266">
        <v>30</v>
      </c>
      <c r="I1229" s="266">
        <v>0</v>
      </c>
      <c r="J1229" s="264" t="s">
        <v>1174</v>
      </c>
      <c r="K1229" s="264" t="s">
        <v>2025</v>
      </c>
      <c r="L1229" s="1" t="str">
        <f>VLOOKUP(Advices[[#This Row],[LC Number]],'Combine_List'!A:D,2,0)</f>
        <v>SAUDI VITRIFIED CLAY PIPE CO</v>
      </c>
      <c r="M1229" s="447" t="str">
        <f>VLOOKUP(Advices[[#This Row],[LC Number]],'Combine_List'!A:D,3,0)</f>
        <v>FIRST FIX</v>
      </c>
      <c r="N1229" s="447" t="str">
        <f>VLOOKUP(Advices[[#This Row],[LC Number]],'Combine_List'!A:D,4,0)</f>
        <v>RCRC</v>
      </c>
      <c r="O1229" s="1"/>
      <c r="P1229" s="1">
        <f>MONTH(Advices[[#This Row],[Transaction Date]])</f>
        <v>12</v>
      </c>
      <c r="Q1229" s="1">
        <f>YEAR(Advices[[#This Row],[Transaction Date]])</f>
        <v>2025</v>
      </c>
      <c r="R1229" s="1"/>
    </row>
    <row r="1230" spans="1:18" x14ac:dyDescent="0.25">
      <c r="A1230" s="264" t="s">
        <v>21</v>
      </c>
      <c r="B1230" s="265">
        <v>46019</v>
      </c>
      <c r="C1230" s="264" t="s">
        <v>1951</v>
      </c>
      <c r="D1230" s="264" t="s">
        <v>3271</v>
      </c>
      <c r="E1230" s="264" t="s">
        <v>3169</v>
      </c>
      <c r="F1230" s="264" t="s">
        <v>3169</v>
      </c>
      <c r="G1230" s="264" t="s">
        <v>26</v>
      </c>
      <c r="H1230" s="266">
        <v>-37.5</v>
      </c>
      <c r="I1230" s="13">
        <v>0</v>
      </c>
      <c r="J1230" s="264" t="s">
        <v>1174</v>
      </c>
      <c r="K1230" s="264" t="s">
        <v>2025</v>
      </c>
      <c r="L1230" s="1" t="str">
        <f>VLOOKUP(Advices[[#This Row],[LC Number]],'Combine_List'!A:D,2,0)</f>
        <v>Osalas GMBH</v>
      </c>
      <c r="M1230" s="447" t="str">
        <f>VLOOKUP(Advices[[#This Row],[LC Number]],'Combine_List'!A:D,3,0)</f>
        <v>MBL</v>
      </c>
      <c r="N1230" s="447" t="str">
        <f>VLOOKUP(Advices[[#This Row],[LC Number]],'Combine_List'!A:D,4,0)</f>
        <v>ADF</v>
      </c>
      <c r="O1230" s="1"/>
      <c r="P1230" s="1">
        <f>MONTH(Advices[[#This Row],[Transaction Date]])</f>
        <v>12</v>
      </c>
      <c r="Q1230" s="1">
        <f>YEAR(Advices[[#This Row],[Transaction Date]])</f>
        <v>2025</v>
      </c>
      <c r="R1230" s="1"/>
    </row>
    <row r="1231" spans="1:18" x14ac:dyDescent="0.25">
      <c r="A1231" s="264" t="s">
        <v>21</v>
      </c>
      <c r="B1231" s="265">
        <v>46019</v>
      </c>
      <c r="C1231" s="264" t="s">
        <v>1951</v>
      </c>
      <c r="D1231" s="264" t="s">
        <v>3173</v>
      </c>
      <c r="E1231" s="264" t="s">
        <v>3169</v>
      </c>
      <c r="F1231" s="264" t="s">
        <v>3169</v>
      </c>
      <c r="G1231" s="264" t="s">
        <v>26</v>
      </c>
      <c r="H1231" s="266">
        <v>-250</v>
      </c>
      <c r="I1231" s="13">
        <v>0</v>
      </c>
      <c r="J1231" s="264" t="s">
        <v>1963</v>
      </c>
      <c r="K1231" s="264" t="s">
        <v>2025</v>
      </c>
      <c r="L1231" s="1" t="str">
        <f>VLOOKUP(Advices[[#This Row],[LC Number]],'Combine_List'!A:D,2,0)</f>
        <v>Osalas GMBH</v>
      </c>
      <c r="M1231" s="447" t="str">
        <f>VLOOKUP(Advices[[#This Row],[LC Number]],'Combine_List'!A:D,3,0)</f>
        <v>MBL</v>
      </c>
      <c r="N1231" s="447" t="str">
        <f>VLOOKUP(Advices[[#This Row],[LC Number]],'Combine_List'!A:D,4,0)</f>
        <v>ADF</v>
      </c>
      <c r="O1231" s="1"/>
      <c r="P1231" s="1">
        <f>MONTH(Advices[[#This Row],[Transaction Date]])</f>
        <v>12</v>
      </c>
      <c r="Q1231" s="1">
        <f>YEAR(Advices[[#This Row],[Transaction Date]])</f>
        <v>2025</v>
      </c>
      <c r="R1231" s="1"/>
    </row>
    <row r="1232" spans="1:18" x14ac:dyDescent="0.25">
      <c r="A1232" s="264" t="s">
        <v>21</v>
      </c>
      <c r="B1232" s="265">
        <v>46019</v>
      </c>
      <c r="C1232" s="264" t="s">
        <v>1951</v>
      </c>
      <c r="D1232" s="264" t="s">
        <v>3271</v>
      </c>
      <c r="E1232" s="264" t="s">
        <v>3169</v>
      </c>
      <c r="F1232" s="264" t="s">
        <v>3169</v>
      </c>
      <c r="G1232" s="264" t="s">
        <v>26</v>
      </c>
      <c r="H1232" s="266">
        <v>-10348.24</v>
      </c>
      <c r="I1232" s="13">
        <v>0</v>
      </c>
      <c r="J1232" s="264" t="s">
        <v>1174</v>
      </c>
      <c r="K1232" s="264" t="s">
        <v>2025</v>
      </c>
      <c r="L1232" s="1" t="str">
        <f>VLOOKUP(Advices[[#This Row],[LC Number]],'Combine_List'!A:D,2,0)</f>
        <v>Osalas GMBH</v>
      </c>
      <c r="M1232" s="447" t="str">
        <f>VLOOKUP(Advices[[#This Row],[LC Number]],'Combine_List'!A:D,3,0)</f>
        <v>MBL</v>
      </c>
      <c r="N1232" s="447" t="str">
        <f>VLOOKUP(Advices[[#This Row],[LC Number]],'Combine_List'!A:D,4,0)</f>
        <v>ADF</v>
      </c>
      <c r="O1232" s="1"/>
      <c r="P1232" s="1">
        <f>MONTH(Advices[[#This Row],[Transaction Date]])</f>
        <v>12</v>
      </c>
      <c r="Q1232" s="1">
        <f>YEAR(Advices[[#This Row],[Transaction Date]])</f>
        <v>2025</v>
      </c>
      <c r="R1232" s="1"/>
    </row>
    <row r="1233" spans="1:18" x14ac:dyDescent="0.25">
      <c r="A1233" s="264" t="s">
        <v>21</v>
      </c>
      <c r="B1233" s="265">
        <v>46019</v>
      </c>
      <c r="C1233" s="264" t="s">
        <v>1951</v>
      </c>
      <c r="D1233" s="264" t="s">
        <v>3272</v>
      </c>
      <c r="E1233" s="264" t="s">
        <v>3169</v>
      </c>
      <c r="F1233" s="264" t="s">
        <v>3169</v>
      </c>
      <c r="G1233" s="264" t="s">
        <v>26</v>
      </c>
      <c r="H1233" s="266">
        <v>-68988.28</v>
      </c>
      <c r="I1233" s="13">
        <v>0</v>
      </c>
      <c r="J1233" s="264" t="s">
        <v>1124</v>
      </c>
      <c r="K1233" s="264" t="s">
        <v>2025</v>
      </c>
      <c r="L1233" s="1" t="str">
        <f>VLOOKUP(Advices[[#This Row],[LC Number]],'Combine_List'!A:D,2,0)</f>
        <v>Osalas GMBH</v>
      </c>
      <c r="M1233" s="447" t="str">
        <f>VLOOKUP(Advices[[#This Row],[LC Number]],'Combine_List'!A:D,3,0)</f>
        <v>MBL</v>
      </c>
      <c r="N1233" s="447" t="str">
        <f>VLOOKUP(Advices[[#This Row],[LC Number]],'Combine_List'!A:D,4,0)</f>
        <v>ADF</v>
      </c>
      <c r="O1233" s="1"/>
      <c r="P1233" s="1">
        <f>MONTH(Advices[[#This Row],[Transaction Date]])</f>
        <v>12</v>
      </c>
      <c r="Q1233" s="1">
        <f>YEAR(Advices[[#This Row],[Transaction Date]])</f>
        <v>2025</v>
      </c>
      <c r="R1233" s="1"/>
    </row>
    <row r="1234" spans="1:18" hidden="1" x14ac:dyDescent="0.25">
      <c r="A1234" s="264" t="s">
        <v>95</v>
      </c>
      <c r="B1234" s="265">
        <v>46019</v>
      </c>
      <c r="C1234" s="264" t="s">
        <v>2026</v>
      </c>
      <c r="D1234" s="264" t="s">
        <v>3193</v>
      </c>
      <c r="E1234" s="264" t="s">
        <v>1451</v>
      </c>
      <c r="F1234" s="264" t="s">
        <v>3194</v>
      </c>
      <c r="G1234" s="264" t="s">
        <v>26</v>
      </c>
      <c r="H1234" s="266">
        <v>-6019158.46</v>
      </c>
      <c r="I1234" s="13">
        <v>0</v>
      </c>
      <c r="J1234" s="264" t="s">
        <v>1126</v>
      </c>
      <c r="K1234" s="264" t="s">
        <v>2025</v>
      </c>
      <c r="L1234" s="1" t="str">
        <f>VLOOKUP(Advices[[#This Row],[LC Number]],'Combine_List'!A:D,2,0)</f>
        <v>APTEC SAUDI ARABIA</v>
      </c>
      <c r="M1234" s="447" t="str">
        <f>VLOOKUP(Advices[[#This Row],[LC Number]],'Combine_List'!A:D,3,0)</f>
        <v>ICAD</v>
      </c>
      <c r="N1234" s="447" t="str">
        <f>VLOOKUP(Advices[[#This Row],[LC Number]],'Combine_List'!A:D,4,0)</f>
        <v>ADF</v>
      </c>
      <c r="O1234" s="1"/>
      <c r="P1234" s="1">
        <f>MONTH(Advices[[#This Row],[Transaction Date]])</f>
        <v>12</v>
      </c>
      <c r="Q1234" s="1">
        <f>YEAR(Advices[[#This Row],[Transaction Date]])</f>
        <v>2025</v>
      </c>
      <c r="R1234" s="1"/>
    </row>
    <row r="1235" spans="1:18" hidden="1" x14ac:dyDescent="0.25">
      <c r="A1235" s="264" t="s">
        <v>95</v>
      </c>
      <c r="B1235" s="265">
        <v>46019</v>
      </c>
      <c r="C1235" s="264" t="s">
        <v>2026</v>
      </c>
      <c r="D1235" s="264" t="s">
        <v>3178</v>
      </c>
      <c r="E1235" s="264" t="s">
        <v>1639</v>
      </c>
      <c r="F1235" s="264" t="s">
        <v>3179</v>
      </c>
      <c r="G1235" s="264" t="s">
        <v>26</v>
      </c>
      <c r="H1235" s="266">
        <v>-488824.87</v>
      </c>
      <c r="I1235" s="13">
        <v>0</v>
      </c>
      <c r="J1235" s="264" t="s">
        <v>1126</v>
      </c>
      <c r="K1235" s="264" t="s">
        <v>2025</v>
      </c>
      <c r="L1235" s="1" t="str">
        <f>VLOOKUP(Advices[[#This Row],[LC Number]],'Combine_List'!A:D,2,0)</f>
        <v>Mohammed A. Al-Awani Trading</v>
      </c>
      <c r="M1235" s="447" t="str">
        <f>VLOOKUP(Advices[[#This Row],[LC Number]],'Combine_List'!A:D,3,0)</f>
        <v>MBL</v>
      </c>
      <c r="N1235" s="447" t="str">
        <f>VLOOKUP(Advices[[#This Row],[LC Number]],'Combine_List'!A:D,4,0)</f>
        <v>Rabigh Power Plant</v>
      </c>
      <c r="O1235" s="1"/>
      <c r="P1235" s="1">
        <f>MONTH(Advices[[#This Row],[Transaction Date]])</f>
        <v>12</v>
      </c>
      <c r="Q1235" s="1">
        <f>YEAR(Advices[[#This Row],[Transaction Date]])</f>
        <v>2025</v>
      </c>
      <c r="R1235" s="1"/>
    </row>
    <row r="1236" spans="1:18" hidden="1" x14ac:dyDescent="0.25">
      <c r="A1236" s="264" t="s">
        <v>366</v>
      </c>
      <c r="B1236" s="265">
        <v>46019</v>
      </c>
      <c r="C1236" s="264" t="s">
        <v>2057</v>
      </c>
      <c r="D1236" s="264" t="s">
        <v>3273</v>
      </c>
      <c r="E1236" s="264" t="s">
        <v>1735</v>
      </c>
      <c r="F1236" s="1" t="s">
        <v>3416</v>
      </c>
      <c r="G1236" s="264" t="s">
        <v>26</v>
      </c>
      <c r="H1236" s="266">
        <v>-806347.93</v>
      </c>
      <c r="I1236" s="13">
        <v>0</v>
      </c>
      <c r="J1236" s="264" t="s">
        <v>1126</v>
      </c>
      <c r="K1236" s="264" t="s">
        <v>2025</v>
      </c>
      <c r="L1236" s="1" t="str">
        <f>VLOOKUP(Advices[[#This Row],[LC Number]],'Combine_List'!A:D,2,0)</f>
        <v>ALFANAR ELECTRICAL SYSTEMS</v>
      </c>
      <c r="M1236" s="447" t="str">
        <f>VLOOKUP(Advices[[#This Row],[LC Number]],'Combine_List'!A:D,3,0)</f>
        <v>FIRST FIX</v>
      </c>
      <c r="N1236" s="447" t="str">
        <f>VLOOKUP(Advices[[#This Row],[LC Number]],'Combine_List'!A:D,4,0)</f>
        <v>CEER</v>
      </c>
      <c r="O1236" s="1"/>
      <c r="P1236" s="1">
        <f>MONTH(Advices[[#This Row],[Transaction Date]])</f>
        <v>12</v>
      </c>
      <c r="Q1236" s="1">
        <f>YEAR(Advices[[#This Row],[Transaction Date]])</f>
        <v>2025</v>
      </c>
      <c r="R1236" s="1"/>
    </row>
    <row r="1237" spans="1:18" hidden="1" x14ac:dyDescent="0.25">
      <c r="A1237" s="264" t="s">
        <v>366</v>
      </c>
      <c r="B1237" s="265">
        <v>46019</v>
      </c>
      <c r="C1237" s="264" t="s">
        <v>2060</v>
      </c>
      <c r="D1237" s="264" t="s">
        <v>3274</v>
      </c>
      <c r="E1237" s="264" t="s">
        <v>3265</v>
      </c>
      <c r="F1237" s="264" t="s">
        <v>3265</v>
      </c>
      <c r="G1237" s="264" t="s">
        <v>26</v>
      </c>
      <c r="H1237" s="266">
        <v>-50772.51</v>
      </c>
      <c r="I1237" s="13">
        <v>0</v>
      </c>
      <c r="J1237" s="264" t="s">
        <v>1125</v>
      </c>
      <c r="K1237" s="264" t="s">
        <v>2025</v>
      </c>
      <c r="L1237" s="1" t="str">
        <f>VLOOKUP(Advices[[#This Row],[LC Number]],'Combine_List'!A:D,2,0)</f>
        <v>MASQ FOR ELECTRICAL TOOLS CO</v>
      </c>
      <c r="M1237" s="447" t="str">
        <f>VLOOKUP(Advices[[#This Row],[LC Number]],'Combine_List'!A:D,3,0)</f>
        <v>FIRST FIX</v>
      </c>
      <c r="N1237" s="447" t="str">
        <f>VLOOKUP(Advices[[#This Row],[LC Number]],'Combine_List'!A:D,4,0)</f>
        <v>MP1</v>
      </c>
      <c r="O1237" s="1"/>
      <c r="P1237" s="1">
        <f>MONTH(Advices[[#This Row],[Transaction Date]])</f>
        <v>12</v>
      </c>
      <c r="Q1237" s="1">
        <f>YEAR(Advices[[#This Row],[Transaction Date]])</f>
        <v>2025</v>
      </c>
      <c r="R1237" s="1"/>
    </row>
    <row r="1238" spans="1:18" hidden="1" x14ac:dyDescent="0.25">
      <c r="A1238" s="264" t="s">
        <v>366</v>
      </c>
      <c r="B1238" s="265">
        <v>46019</v>
      </c>
      <c r="C1238" s="264" t="s">
        <v>2060</v>
      </c>
      <c r="D1238" s="264" t="s">
        <v>3275</v>
      </c>
      <c r="E1238" s="264" t="s">
        <v>1869</v>
      </c>
      <c r="F1238" s="1" t="s">
        <v>3472</v>
      </c>
      <c r="G1238" s="264" t="s">
        <v>26</v>
      </c>
      <c r="H1238" s="266">
        <v>-8454.44</v>
      </c>
      <c r="I1238" s="13">
        <v>0</v>
      </c>
      <c r="J1238" s="264" t="s">
        <v>1125</v>
      </c>
      <c r="K1238" s="264" t="s">
        <v>2025</v>
      </c>
      <c r="L1238" s="1" t="str">
        <f>VLOOKUP(Advices[[#This Row],[LC Number]],'Combine_List'!A:D,2,0)</f>
        <v xml:space="preserve">DAIKIN AIR CONDITIONING SAUDI ARABIA LLC </v>
      </c>
      <c r="M1238" s="447" t="str">
        <f>VLOOKUP(Advices[[#This Row],[LC Number]],'Combine_List'!A:D,3,0)</f>
        <v>FIRST FIX</v>
      </c>
      <c r="N1238" s="447" t="str">
        <f>VLOOKUP(Advices[[#This Row],[LC Number]],'Combine_List'!A:D,4,0)</f>
        <v>MP1</v>
      </c>
      <c r="O1238" s="1"/>
      <c r="P1238" s="1">
        <f>MONTH(Advices[[#This Row],[Transaction Date]])</f>
        <v>12</v>
      </c>
      <c r="Q1238" s="1">
        <f>YEAR(Advices[[#This Row],[Transaction Date]])</f>
        <v>2025</v>
      </c>
      <c r="R1238" s="1"/>
    </row>
    <row r="1239" spans="1:18" x14ac:dyDescent="0.25">
      <c r="A1239" s="264" t="s">
        <v>21</v>
      </c>
      <c r="B1239" s="265">
        <v>46020</v>
      </c>
      <c r="C1239" s="264" t="s">
        <v>1951</v>
      </c>
      <c r="D1239" s="264" t="s">
        <v>1960</v>
      </c>
      <c r="E1239" s="264" t="s">
        <v>1794</v>
      </c>
      <c r="F1239" s="264" t="s">
        <v>2954</v>
      </c>
      <c r="G1239" s="264" t="s">
        <v>26</v>
      </c>
      <c r="H1239" s="266">
        <v>-11.25</v>
      </c>
      <c r="I1239" s="13">
        <v>0</v>
      </c>
      <c r="J1239" s="264" t="s">
        <v>1174</v>
      </c>
      <c r="K1239" s="264" t="s">
        <v>2025</v>
      </c>
      <c r="L1239" s="1" t="str">
        <f>VLOOKUP(Advices[[#This Row],[LC Number]],'Combine_List'!A:D,2,0)</f>
        <v>STAR SQUARES CO. LTD.</v>
      </c>
      <c r="M1239" s="447" t="str">
        <f>VLOOKUP(Advices[[#This Row],[LC Number]],'Combine_List'!A:D,3,0)</f>
        <v>FIRST FIX</v>
      </c>
      <c r="N1239" s="447" t="str">
        <f>VLOOKUP(Advices[[#This Row],[LC Number]],'Combine_List'!A:D,4,0)</f>
        <v>KSP</v>
      </c>
      <c r="O1239" s="1"/>
      <c r="P1239" s="1">
        <f>MONTH(Advices[[#This Row],[Transaction Date]])</f>
        <v>12</v>
      </c>
      <c r="Q1239" s="1">
        <f>YEAR(Advices[[#This Row],[Transaction Date]])</f>
        <v>2025</v>
      </c>
      <c r="R1239" s="1"/>
    </row>
    <row r="1240" spans="1:18" x14ac:dyDescent="0.25">
      <c r="A1240" s="264" t="s">
        <v>21</v>
      </c>
      <c r="B1240" s="265">
        <v>46020</v>
      </c>
      <c r="C1240" s="264" t="s">
        <v>1951</v>
      </c>
      <c r="D1240" s="264" t="s">
        <v>3279</v>
      </c>
      <c r="E1240" s="264" t="s">
        <v>1794</v>
      </c>
      <c r="F1240" s="264" t="s">
        <v>2954</v>
      </c>
      <c r="G1240" s="264" t="s">
        <v>26</v>
      </c>
      <c r="H1240" s="266">
        <v>-75</v>
      </c>
      <c r="I1240" s="13">
        <v>0</v>
      </c>
      <c r="J1240" s="264" t="s">
        <v>1963</v>
      </c>
      <c r="K1240" s="264" t="s">
        <v>2025</v>
      </c>
      <c r="L1240" s="1" t="str">
        <f>VLOOKUP(Advices[[#This Row],[LC Number]],'Combine_List'!A:D,2,0)</f>
        <v>STAR SQUARES CO. LTD.</v>
      </c>
      <c r="M1240" s="447" t="str">
        <f>VLOOKUP(Advices[[#This Row],[LC Number]],'Combine_List'!A:D,3,0)</f>
        <v>FIRST FIX</v>
      </c>
      <c r="N1240" s="447" t="str">
        <f>VLOOKUP(Advices[[#This Row],[LC Number]],'Combine_List'!A:D,4,0)</f>
        <v>KSP</v>
      </c>
      <c r="O1240" s="1"/>
      <c r="P1240" s="1">
        <f>MONTH(Advices[[#This Row],[Transaction Date]])</f>
        <v>12</v>
      </c>
      <c r="Q1240" s="1">
        <f>YEAR(Advices[[#This Row],[Transaction Date]])</f>
        <v>2025</v>
      </c>
      <c r="R1240" s="1"/>
    </row>
    <row r="1241" spans="1:18" x14ac:dyDescent="0.25">
      <c r="A1241" s="264" t="s">
        <v>21</v>
      </c>
      <c r="B1241" s="265">
        <v>46020</v>
      </c>
      <c r="C1241" s="264" t="s">
        <v>1951</v>
      </c>
      <c r="D1241" s="264" t="s">
        <v>3280</v>
      </c>
      <c r="E1241" s="264" t="s">
        <v>1794</v>
      </c>
      <c r="F1241" s="264" t="s">
        <v>2954</v>
      </c>
      <c r="G1241" s="264" t="s">
        <v>26</v>
      </c>
      <c r="H1241" s="266">
        <v>-200000</v>
      </c>
      <c r="I1241" s="13">
        <v>0</v>
      </c>
      <c r="J1241" s="264" t="s">
        <v>1126</v>
      </c>
      <c r="K1241" s="264" t="s">
        <v>2025</v>
      </c>
      <c r="L1241" s="1" t="str">
        <f>VLOOKUP(Advices[[#This Row],[LC Number]],'Combine_List'!A:D,2,0)</f>
        <v>STAR SQUARES CO. LTD.</v>
      </c>
      <c r="M1241" s="447" t="str">
        <f>VLOOKUP(Advices[[#This Row],[LC Number]],'Combine_List'!A:D,3,0)</f>
        <v>FIRST FIX</v>
      </c>
      <c r="N1241" s="447" t="str">
        <f>VLOOKUP(Advices[[#This Row],[LC Number]],'Combine_List'!A:D,4,0)</f>
        <v>KSP</v>
      </c>
      <c r="O1241" s="1"/>
      <c r="P1241" s="1">
        <f>MONTH(Advices[[#This Row],[Transaction Date]])</f>
        <v>12</v>
      </c>
      <c r="Q1241" s="1">
        <f>YEAR(Advices[[#This Row],[Transaction Date]])</f>
        <v>2025</v>
      </c>
      <c r="R1241" s="1"/>
    </row>
    <row r="1242" spans="1:18" hidden="1" x14ac:dyDescent="0.25">
      <c r="A1242" s="264" t="s">
        <v>62</v>
      </c>
      <c r="B1242" s="265">
        <v>46020</v>
      </c>
      <c r="C1242" s="264" t="s">
        <v>2039</v>
      </c>
      <c r="D1242" s="264" t="s">
        <v>3281</v>
      </c>
      <c r="E1242" s="264" t="s">
        <v>317</v>
      </c>
      <c r="F1242" s="264" t="s">
        <v>2041</v>
      </c>
      <c r="G1242" s="264" t="s">
        <v>26</v>
      </c>
      <c r="H1242" s="266">
        <v>687.6</v>
      </c>
      <c r="I1242" s="266">
        <v>0</v>
      </c>
      <c r="J1242" s="264" t="s">
        <v>1124</v>
      </c>
      <c r="K1242" s="264" t="s">
        <v>2025</v>
      </c>
      <c r="L1242" s="1" t="str">
        <f>VLOOKUP(Advices[[#This Row],[LC Number]],'Combine_List'!A:D,2,0)</f>
        <v>SAMSARA SRL</v>
      </c>
      <c r="M1242" s="447" t="str">
        <f>VLOOKUP(Advices[[#This Row],[LC Number]],'Combine_List'!A:D,3,0)</f>
        <v>MBL</v>
      </c>
      <c r="N1242" s="447" t="str">
        <f>VLOOKUP(Advices[[#This Row],[LC Number]],'Combine_List'!A:D,4,0)</f>
        <v>L01-YAMMAMA</v>
      </c>
      <c r="O1242" s="1"/>
      <c r="P1242" s="1">
        <f>MONTH(Advices[[#This Row],[Transaction Date]])</f>
        <v>12</v>
      </c>
      <c r="Q1242" s="1">
        <f>YEAR(Advices[[#This Row],[Transaction Date]])</f>
        <v>2025</v>
      </c>
      <c r="R1242" s="1"/>
    </row>
    <row r="1243" spans="1:18" hidden="1" x14ac:dyDescent="0.25">
      <c r="A1243" s="264" t="s">
        <v>62</v>
      </c>
      <c r="B1243" s="265">
        <v>46020</v>
      </c>
      <c r="C1243" s="264" t="s">
        <v>2042</v>
      </c>
      <c r="D1243" s="264" t="s">
        <v>3282</v>
      </c>
      <c r="E1243" s="264" t="s">
        <v>306</v>
      </c>
      <c r="F1243" s="264" t="s">
        <v>2041</v>
      </c>
      <c r="G1243" s="264" t="s">
        <v>26</v>
      </c>
      <c r="H1243" s="266">
        <v>5946.29</v>
      </c>
      <c r="I1243" s="266">
        <v>0</v>
      </c>
      <c r="J1243" s="264" t="s">
        <v>1124</v>
      </c>
      <c r="K1243" s="264" t="s">
        <v>2025</v>
      </c>
      <c r="L1243" s="1" t="str">
        <f>VLOOKUP(Advices[[#This Row],[LC Number]],'Combine_List'!A:D,2,0)</f>
        <v>ATELIER HOSPITALITY SRL</v>
      </c>
      <c r="M1243" s="447" t="str">
        <f>VLOOKUP(Advices[[#This Row],[LC Number]],'Combine_List'!A:D,3,0)</f>
        <v>MBL</v>
      </c>
      <c r="N1243" s="447" t="str">
        <f>VLOOKUP(Advices[[#This Row],[LC Number]],'Combine_List'!A:D,4,0)</f>
        <v>L01-YAMMAMA</v>
      </c>
      <c r="O1243" s="1"/>
      <c r="P1243" s="1">
        <f>MONTH(Advices[[#This Row],[Transaction Date]])</f>
        <v>12</v>
      </c>
      <c r="Q1243" s="1">
        <f>YEAR(Advices[[#This Row],[Transaction Date]])</f>
        <v>2025</v>
      </c>
      <c r="R1243" s="1"/>
    </row>
    <row r="1244" spans="1:18" hidden="1" x14ac:dyDescent="0.25">
      <c r="A1244" s="264" t="s">
        <v>62</v>
      </c>
      <c r="B1244" s="265">
        <v>46020</v>
      </c>
      <c r="C1244" s="264" t="s">
        <v>2039</v>
      </c>
      <c r="D1244" s="264" t="s">
        <v>3283</v>
      </c>
      <c r="E1244" s="264" t="s">
        <v>321</v>
      </c>
      <c r="F1244" s="264" t="s">
        <v>2041</v>
      </c>
      <c r="G1244" s="264" t="s">
        <v>26</v>
      </c>
      <c r="H1244" s="266">
        <v>2174.36</v>
      </c>
      <c r="I1244" s="266">
        <v>0</v>
      </c>
      <c r="J1244" s="264" t="s">
        <v>1124</v>
      </c>
      <c r="K1244" s="264" t="s">
        <v>2025</v>
      </c>
      <c r="L1244" s="1" t="str">
        <f>VLOOKUP(Advices[[#This Row],[LC Number]],'Combine_List'!A:D,2,0)</f>
        <v>Visio INC</v>
      </c>
      <c r="M1244" s="447" t="str">
        <f>VLOOKUP(Advices[[#This Row],[LC Number]],'Combine_List'!A:D,3,0)</f>
        <v>MBL</v>
      </c>
      <c r="N1244" s="447" t="str">
        <f>VLOOKUP(Advices[[#This Row],[LC Number]],'Combine_List'!A:D,4,0)</f>
        <v>L01-YAMMAMA</v>
      </c>
      <c r="O1244" s="1"/>
      <c r="P1244" s="1">
        <f>MONTH(Advices[[#This Row],[Transaction Date]])</f>
        <v>12</v>
      </c>
      <c r="Q1244" s="1">
        <f>YEAR(Advices[[#This Row],[Transaction Date]])</f>
        <v>2025</v>
      </c>
      <c r="R1244" s="1"/>
    </row>
    <row r="1245" spans="1:18" hidden="1" x14ac:dyDescent="0.25">
      <c r="A1245" s="264" t="s">
        <v>366</v>
      </c>
      <c r="B1245" s="265">
        <v>46020</v>
      </c>
      <c r="C1245" s="264" t="s">
        <v>2060</v>
      </c>
      <c r="D1245" s="264" t="s">
        <v>3284</v>
      </c>
      <c r="E1245" s="264" t="s">
        <v>1891</v>
      </c>
      <c r="F1245" s="264" t="s">
        <v>1891</v>
      </c>
      <c r="G1245" s="264" t="s">
        <v>26</v>
      </c>
      <c r="H1245" s="266">
        <v>-29641.7</v>
      </c>
      <c r="I1245" s="13">
        <v>0</v>
      </c>
      <c r="J1245" s="264" t="s">
        <v>3083</v>
      </c>
      <c r="K1245" s="264" t="s">
        <v>3083</v>
      </c>
      <c r="L1245" s="1" t="str">
        <f>VLOOKUP(Advices[[#This Row],[LC Number]],'Combine_List'!A:D,2,0)</f>
        <v>Performance - SIXTY INVESTMENT CO</v>
      </c>
      <c r="M1245" s="447">
        <f>VLOOKUP(Advices[[#This Row],[LC Number]],'Combine_List'!A:D,3,0)</f>
        <v>0</v>
      </c>
      <c r="N1245" s="447">
        <f>VLOOKUP(Advices[[#This Row],[LC Number]],'Combine_List'!A:D,4,0)</f>
        <v>0</v>
      </c>
      <c r="O1245" s="1"/>
      <c r="P1245" s="1">
        <f>MONTH(Advices[[#This Row],[Transaction Date]])</f>
        <v>12</v>
      </c>
      <c r="Q1245" s="1">
        <f>YEAR(Advices[[#This Row],[Transaction Date]])</f>
        <v>2025</v>
      </c>
      <c r="R1245" s="1"/>
    </row>
    <row r="1246" spans="1:18" hidden="1" x14ac:dyDescent="0.25">
      <c r="A1246" s="264" t="s">
        <v>366</v>
      </c>
      <c r="B1246" s="265">
        <v>46020</v>
      </c>
      <c r="C1246" s="264" t="s">
        <v>2060</v>
      </c>
      <c r="D1246" s="264" t="s">
        <v>3285</v>
      </c>
      <c r="E1246" s="264" t="s">
        <v>1800</v>
      </c>
      <c r="F1246" s="1" t="s">
        <v>3438</v>
      </c>
      <c r="G1246" s="264" t="s">
        <v>26</v>
      </c>
      <c r="H1246" s="266">
        <v>-295975</v>
      </c>
      <c r="I1246" s="13">
        <v>0</v>
      </c>
      <c r="J1246" s="264" t="s">
        <v>1126</v>
      </c>
      <c r="K1246" s="264" t="s">
        <v>2025</v>
      </c>
      <c r="L1246" s="1" t="str">
        <f>VLOOKUP(Advices[[#This Row],[LC Number]],'Combine_List'!A:D,2,0)</f>
        <v>Depth Modern Technologies</v>
      </c>
      <c r="M1246" s="447" t="str">
        <f>VLOOKUP(Advices[[#This Row],[LC Number]],'Combine_List'!A:D,3,0)</f>
        <v>MBL/ICAD</v>
      </c>
      <c r="N1246" s="447" t="str">
        <f>VLOOKUP(Advices[[#This Row],[LC Number]],'Combine_List'!A:D,4,0)</f>
        <v>ABHA</v>
      </c>
      <c r="O1246" s="1"/>
      <c r="P1246" s="1">
        <f>MONTH(Advices[[#This Row],[Transaction Date]])</f>
        <v>12</v>
      </c>
      <c r="Q1246" s="1">
        <f>YEAR(Advices[[#This Row],[Transaction Date]])</f>
        <v>2025</v>
      </c>
      <c r="R1246" s="1"/>
    </row>
    <row r="1247" spans="1:18" hidden="1" x14ac:dyDescent="0.25">
      <c r="A1247" s="264" t="s">
        <v>366</v>
      </c>
      <c r="B1247" s="265">
        <v>46020</v>
      </c>
      <c r="C1247" s="264" t="s">
        <v>2060</v>
      </c>
      <c r="D1247" s="264" t="s">
        <v>3286</v>
      </c>
      <c r="E1247" s="264" t="s">
        <v>2236</v>
      </c>
      <c r="F1247" s="1" t="s">
        <v>3473</v>
      </c>
      <c r="G1247" s="264" t="s">
        <v>26</v>
      </c>
      <c r="H1247" s="266">
        <v>-2185.02</v>
      </c>
      <c r="I1247" s="13">
        <v>0</v>
      </c>
      <c r="J1247" s="264" t="s">
        <v>1125</v>
      </c>
      <c r="K1247" s="264" t="s">
        <v>2025</v>
      </c>
      <c r="L1247" s="1" t="str">
        <f>VLOOKUP(Advices[[#This Row],[LC Number]],'Combine_List'!A:D,2,0)</f>
        <v>Building System Intelligent Est.</v>
      </c>
      <c r="M1247" s="447" t="str">
        <f>VLOOKUP(Advices[[#This Row],[LC Number]],'Combine_List'!A:D,3,0)</f>
        <v>FIRST FIX</v>
      </c>
      <c r="N1247" s="447" t="str">
        <f>VLOOKUP(Advices[[#This Row],[LC Number]],'Combine_List'!A:D,4,0)</f>
        <v>MP1</v>
      </c>
      <c r="O1247" s="1"/>
      <c r="P1247" s="1">
        <f>MONTH(Advices[[#This Row],[Transaction Date]])</f>
        <v>12</v>
      </c>
      <c r="Q1247" s="1">
        <f>YEAR(Advices[[#This Row],[Transaction Date]])</f>
        <v>2025</v>
      </c>
      <c r="R1247" s="1"/>
    </row>
    <row r="1248" spans="1:18" hidden="1" x14ac:dyDescent="0.25">
      <c r="A1248" s="264" t="s">
        <v>62</v>
      </c>
      <c r="B1248" s="265">
        <v>46021</v>
      </c>
      <c r="C1248" s="264" t="s">
        <v>2039</v>
      </c>
      <c r="D1248" s="264" t="s">
        <v>3296</v>
      </c>
      <c r="E1248" s="1" t="s">
        <v>1934</v>
      </c>
      <c r="F1248" s="264" t="s">
        <v>2041</v>
      </c>
      <c r="G1248" s="264" t="s">
        <v>26</v>
      </c>
      <c r="H1248" s="266">
        <v>8733.42</v>
      </c>
      <c r="I1248" s="266">
        <v>0</v>
      </c>
      <c r="J1248" s="264" t="s">
        <v>1125</v>
      </c>
      <c r="K1248" s="264" t="s">
        <v>2025</v>
      </c>
      <c r="L1248" s="1" t="str">
        <f>VLOOKUP(Advices[[#This Row],[LC Number]],'Combine_List'!A:D,2,0)</f>
        <v>Mat Filtrasyon Teknolojeleri A.S</v>
      </c>
      <c r="M1248" s="447" t="str">
        <f>VLOOKUP(Advices[[#This Row],[LC Number]],'Combine_List'!A:D,3,0)</f>
        <v>MBL</v>
      </c>
      <c r="N1248" s="447" t="str">
        <f>VLOOKUP(Advices[[#This Row],[LC Number]],'Combine_List'!A:D,4,0)</f>
        <v>Oceanarium</v>
      </c>
      <c r="O1248" s="447">
        <f>VLOOKUP(Advices[[#This Row],[LC Number]],'Combine_List'!A:E,5,0)</f>
        <v>1020096</v>
      </c>
      <c r="P1248" s="447">
        <f>MONTH(Advices[[#This Row],[Transaction Date]])</f>
        <v>12</v>
      </c>
      <c r="Q1248" s="447">
        <f>YEAR(Advices[[#This Row],[Transaction Date]])</f>
        <v>2025</v>
      </c>
      <c r="R1248" s="1"/>
    </row>
    <row r="1249" spans="1:18" hidden="1" x14ac:dyDescent="0.25">
      <c r="A1249" s="264" t="s">
        <v>95</v>
      </c>
      <c r="B1249" s="265">
        <v>46021</v>
      </c>
      <c r="C1249" s="264" t="s">
        <v>2026</v>
      </c>
      <c r="D1249" s="264" t="s">
        <v>3297</v>
      </c>
      <c r="E1249" s="264" t="s">
        <v>1451</v>
      </c>
      <c r="F1249" s="264" t="s">
        <v>3298</v>
      </c>
      <c r="G1249" s="264" t="s">
        <v>26</v>
      </c>
      <c r="H1249" s="266">
        <v>-1325637.25</v>
      </c>
      <c r="I1249" s="13">
        <v>0</v>
      </c>
      <c r="J1249" s="264" t="s">
        <v>1126</v>
      </c>
      <c r="K1249" s="264" t="s">
        <v>2025</v>
      </c>
      <c r="L1249" s="1" t="str">
        <f>VLOOKUP(Advices[[#This Row],[LC Number]],'Combine_List'!A:D,2,0)</f>
        <v>APTEC SAUDI ARABIA</v>
      </c>
      <c r="M1249" s="447" t="str">
        <f>VLOOKUP(Advices[[#This Row],[LC Number]],'Combine_List'!A:D,3,0)</f>
        <v>ICAD</v>
      </c>
      <c r="N1249" s="447" t="str">
        <f>VLOOKUP(Advices[[#This Row],[LC Number]],'Combine_List'!A:D,4,0)</f>
        <v>ADF</v>
      </c>
      <c r="O1249" s="1"/>
      <c r="P1249" s="1">
        <f>MONTH(Advices[[#This Row],[Transaction Date]])</f>
        <v>12</v>
      </c>
      <c r="Q1249" s="1">
        <f>YEAR(Advices[[#This Row],[Transaction Date]])</f>
        <v>2025</v>
      </c>
      <c r="R1249" s="1"/>
    </row>
    <row r="1250" spans="1:18" hidden="1" x14ac:dyDescent="0.25">
      <c r="A1250" s="264" t="s">
        <v>95</v>
      </c>
      <c r="B1250" s="265">
        <v>46021</v>
      </c>
      <c r="C1250" s="264" t="s">
        <v>2026</v>
      </c>
      <c r="D1250" s="264" t="s">
        <v>3299</v>
      </c>
      <c r="E1250" s="264" t="s">
        <v>1425</v>
      </c>
      <c r="F1250" s="264" t="s">
        <v>3300</v>
      </c>
      <c r="G1250" s="264" t="s">
        <v>26</v>
      </c>
      <c r="H1250" s="266">
        <v>-613.33000000000004</v>
      </c>
      <c r="I1250" s="13">
        <v>0</v>
      </c>
      <c r="J1250" s="264" t="s">
        <v>1124</v>
      </c>
      <c r="K1250" s="264" t="s">
        <v>2025</v>
      </c>
      <c r="L1250" s="1" t="str">
        <f>VLOOKUP(Advices[[#This Row],[LC Number]],'Combine_List'!A:D,2,0)</f>
        <v>Electric House Trading Company L.L.C.</v>
      </c>
      <c r="M1250" s="447" t="str">
        <f>VLOOKUP(Advices[[#This Row],[LC Number]],'Combine_List'!A:D,3,0)</f>
        <v>FIRST FIX</v>
      </c>
      <c r="N1250" s="447" t="str">
        <f>VLOOKUP(Advices[[#This Row],[LC Number]],'Combine_List'!A:D,4,0)</f>
        <v>KSP</v>
      </c>
      <c r="O1250" s="1"/>
      <c r="P1250" s="1">
        <f>MONTH(Advices[[#This Row],[Transaction Date]])</f>
        <v>12</v>
      </c>
      <c r="Q1250" s="1">
        <f>YEAR(Advices[[#This Row],[Transaction Date]])</f>
        <v>2025</v>
      </c>
      <c r="R1250" s="1"/>
    </row>
    <row r="1251" spans="1:18" hidden="1" x14ac:dyDescent="0.25">
      <c r="A1251" s="264" t="s">
        <v>612</v>
      </c>
      <c r="B1251" s="265">
        <v>46021</v>
      </c>
      <c r="C1251" s="264" t="s">
        <v>2101</v>
      </c>
      <c r="D1251" s="264" t="s">
        <v>3301</v>
      </c>
      <c r="E1251" s="264" t="s">
        <v>611</v>
      </c>
      <c r="F1251" s="264" t="s">
        <v>2041</v>
      </c>
      <c r="G1251" s="264" t="s">
        <v>26</v>
      </c>
      <c r="H1251" s="266">
        <v>1000000</v>
      </c>
      <c r="I1251" s="266">
        <v>0</v>
      </c>
      <c r="J1251" s="264" t="s">
        <v>1126</v>
      </c>
      <c r="K1251" s="264" t="s">
        <v>2025</v>
      </c>
      <c r="L1251" s="1" t="str">
        <f>VLOOKUP(Advices[[#This Row],[LC Number]],'Combine_List'!A:D,2,0)</f>
        <v>AL-Tawi Ready Mix Concrete Factory Co</v>
      </c>
      <c r="M1251" s="447" t="str">
        <f>VLOOKUP(Advices[[#This Row],[LC Number]],'Combine_List'!A:D,3,0)</f>
        <v>FIRST FIX</v>
      </c>
      <c r="N1251" s="447" t="str">
        <f>VLOOKUP(Advices[[#This Row],[LC Number]],'Combine_List'!A:D,4,0)</f>
        <v>RCRC</v>
      </c>
      <c r="O1251" s="1"/>
      <c r="P1251" s="1">
        <f>MONTH(Advices[[#This Row],[Transaction Date]])</f>
        <v>12</v>
      </c>
      <c r="Q1251" s="1">
        <f>YEAR(Advices[[#This Row],[Transaction Date]])</f>
        <v>2025</v>
      </c>
      <c r="R1251" s="1"/>
    </row>
    <row r="1252" spans="1:18" x14ac:dyDescent="0.25">
      <c r="A1252" s="264" t="s">
        <v>21</v>
      </c>
      <c r="B1252" s="265">
        <v>46022</v>
      </c>
      <c r="C1252" s="264" t="s">
        <v>1951</v>
      </c>
      <c r="D1252" s="264" t="s">
        <v>2574</v>
      </c>
      <c r="E1252" s="264" t="s">
        <v>815</v>
      </c>
      <c r="F1252" s="264" t="s">
        <v>815</v>
      </c>
      <c r="G1252" s="264" t="s">
        <v>26</v>
      </c>
      <c r="H1252" s="266">
        <v>-37.5</v>
      </c>
      <c r="I1252" s="13">
        <v>0</v>
      </c>
      <c r="J1252" s="264" t="s">
        <v>1174</v>
      </c>
      <c r="K1252" s="264" t="s">
        <v>2025</v>
      </c>
      <c r="L1252" s="1" t="str">
        <f>VLOOKUP(Advices[[#This Row],[LC Number]],'Combine_List'!A:D,2,0)</f>
        <v>Afaq Al Malaz Trading Co Ltd</v>
      </c>
      <c r="M1252" s="447" t="str">
        <f>VLOOKUP(Advices[[#This Row],[LC Number]],'Combine_List'!A:D,3,0)</f>
        <v>FIRST FIX</v>
      </c>
      <c r="N1252" s="447" t="str">
        <f>VLOOKUP(Advices[[#This Row],[LC Number]],'Combine_List'!A:D,4,0)</f>
        <v>KSP</v>
      </c>
      <c r="O1252" s="1"/>
      <c r="P1252" s="1">
        <f>MONTH(Advices[[#This Row],[Transaction Date]])</f>
        <v>12</v>
      </c>
      <c r="Q1252" s="1">
        <f>YEAR(Advices[[#This Row],[Transaction Date]])</f>
        <v>2025</v>
      </c>
      <c r="R1252" s="1"/>
    </row>
    <row r="1253" spans="1:18" x14ac:dyDescent="0.25">
      <c r="A1253" s="264" t="s">
        <v>21</v>
      </c>
      <c r="B1253" s="265">
        <v>46022</v>
      </c>
      <c r="C1253" s="264" t="s">
        <v>1951</v>
      </c>
      <c r="D1253" s="264" t="s">
        <v>2574</v>
      </c>
      <c r="E1253" s="264" t="s">
        <v>815</v>
      </c>
      <c r="F1253" s="264" t="s">
        <v>815</v>
      </c>
      <c r="G1253" s="264" t="s">
        <v>26</v>
      </c>
      <c r="H1253" s="266">
        <v>-75</v>
      </c>
      <c r="I1253" s="13">
        <v>0</v>
      </c>
      <c r="J1253" s="264" t="s">
        <v>1174</v>
      </c>
      <c r="K1253" s="264" t="s">
        <v>2025</v>
      </c>
      <c r="L1253" s="1" t="str">
        <f>VLOOKUP(Advices[[#This Row],[LC Number]],'Combine_List'!A:D,2,0)</f>
        <v>Afaq Al Malaz Trading Co Ltd</v>
      </c>
      <c r="M1253" s="447" t="str">
        <f>VLOOKUP(Advices[[#This Row],[LC Number]],'Combine_List'!A:D,3,0)</f>
        <v>FIRST FIX</v>
      </c>
      <c r="N1253" s="447" t="str">
        <f>VLOOKUP(Advices[[#This Row],[LC Number]],'Combine_List'!A:D,4,0)</f>
        <v>KSP</v>
      </c>
      <c r="O1253" s="1"/>
      <c r="P1253" s="1">
        <f>MONTH(Advices[[#This Row],[Transaction Date]])</f>
        <v>12</v>
      </c>
      <c r="Q1253" s="1">
        <f>YEAR(Advices[[#This Row],[Transaction Date]])</f>
        <v>2025</v>
      </c>
      <c r="R1253" s="1"/>
    </row>
    <row r="1254" spans="1:18" x14ac:dyDescent="0.25">
      <c r="A1254" s="264" t="s">
        <v>21</v>
      </c>
      <c r="B1254" s="265">
        <v>46022</v>
      </c>
      <c r="C1254" s="264" t="s">
        <v>1951</v>
      </c>
      <c r="D1254" s="264" t="s">
        <v>2632</v>
      </c>
      <c r="E1254" s="264" t="s">
        <v>815</v>
      </c>
      <c r="F1254" s="264" t="s">
        <v>815</v>
      </c>
      <c r="G1254" s="264" t="s">
        <v>26</v>
      </c>
      <c r="H1254" s="266">
        <v>-250</v>
      </c>
      <c r="I1254" s="13">
        <v>0</v>
      </c>
      <c r="J1254" s="264" t="s">
        <v>1963</v>
      </c>
      <c r="K1254" s="264" t="s">
        <v>2025</v>
      </c>
      <c r="L1254" s="1" t="str">
        <f>VLOOKUP(Advices[[#This Row],[LC Number]],'Combine_List'!A:D,2,0)</f>
        <v>Afaq Al Malaz Trading Co Ltd</v>
      </c>
      <c r="M1254" s="447" t="str">
        <f>VLOOKUP(Advices[[#This Row],[LC Number]],'Combine_List'!A:D,3,0)</f>
        <v>FIRST FIX</v>
      </c>
      <c r="N1254" s="447" t="str">
        <f>VLOOKUP(Advices[[#This Row],[LC Number]],'Combine_List'!A:D,4,0)</f>
        <v>KSP</v>
      </c>
      <c r="O1254" s="1"/>
      <c r="P1254" s="1">
        <f>MONTH(Advices[[#This Row],[Transaction Date]])</f>
        <v>12</v>
      </c>
      <c r="Q1254" s="1">
        <f>YEAR(Advices[[#This Row],[Transaction Date]])</f>
        <v>2025</v>
      </c>
      <c r="R1254" s="1"/>
    </row>
    <row r="1255" spans="1:18" x14ac:dyDescent="0.25">
      <c r="A1255" s="264" t="s">
        <v>21</v>
      </c>
      <c r="B1255" s="265">
        <v>46022</v>
      </c>
      <c r="C1255" s="264" t="s">
        <v>1951</v>
      </c>
      <c r="D1255" s="264" t="s">
        <v>2633</v>
      </c>
      <c r="E1255" s="264" t="s">
        <v>815</v>
      </c>
      <c r="F1255" s="264" t="s">
        <v>815</v>
      </c>
      <c r="G1255" s="264" t="s">
        <v>26</v>
      </c>
      <c r="H1255" s="266">
        <v>-500</v>
      </c>
      <c r="I1255" s="13">
        <v>0</v>
      </c>
      <c r="J1255" s="264" t="s">
        <v>1124</v>
      </c>
      <c r="K1255" s="264" t="s">
        <v>2025</v>
      </c>
      <c r="L1255" s="1" t="str">
        <f>VLOOKUP(Advices[[#This Row],[LC Number]],'Combine_List'!A:D,2,0)</f>
        <v>Afaq Al Malaz Trading Co Ltd</v>
      </c>
      <c r="M1255" s="447" t="str">
        <f>VLOOKUP(Advices[[#This Row],[LC Number]],'Combine_List'!A:D,3,0)</f>
        <v>FIRST FIX</v>
      </c>
      <c r="N1255" s="447" t="str">
        <f>VLOOKUP(Advices[[#This Row],[LC Number]],'Combine_List'!A:D,4,0)</f>
        <v>KSP</v>
      </c>
      <c r="O1255" s="1"/>
      <c r="P1255" s="1">
        <f>MONTH(Advices[[#This Row],[Transaction Date]])</f>
        <v>12</v>
      </c>
      <c r="Q1255" s="1">
        <f>YEAR(Advices[[#This Row],[Transaction Date]])</f>
        <v>2025</v>
      </c>
      <c r="R1255" s="1"/>
    </row>
    <row r="1256" spans="1:18" x14ac:dyDescent="0.25">
      <c r="A1256" s="264" t="s">
        <v>21</v>
      </c>
      <c r="B1256" s="265">
        <v>46022</v>
      </c>
      <c r="C1256" s="264" t="s">
        <v>1951</v>
      </c>
      <c r="D1256" s="264" t="s">
        <v>2574</v>
      </c>
      <c r="E1256" s="264" t="s">
        <v>1195</v>
      </c>
      <c r="F1256" s="264" t="s">
        <v>1195</v>
      </c>
      <c r="G1256" s="264" t="s">
        <v>26</v>
      </c>
      <c r="H1256" s="266">
        <v>-37.5</v>
      </c>
      <c r="I1256" s="13">
        <v>0</v>
      </c>
      <c r="J1256" s="264" t="s">
        <v>1174</v>
      </c>
      <c r="K1256" s="264" t="s">
        <v>2025</v>
      </c>
      <c r="L1256" s="1" t="str">
        <f>VLOOKUP(Advices[[#This Row],[LC Number]],'Combine_List'!A:D,2,0)</f>
        <v>SKM AIR CONDITIONING CO</v>
      </c>
      <c r="M1256" s="447" t="str">
        <f>VLOOKUP(Advices[[#This Row],[LC Number]],'Combine_List'!A:D,3,0)</f>
        <v>FIRST FIX</v>
      </c>
      <c r="N1256" s="447" t="str">
        <f>VLOOKUP(Advices[[#This Row],[LC Number]],'Combine_List'!A:D,4,0)</f>
        <v>JCD SPMI</v>
      </c>
      <c r="O1256" s="1"/>
      <c r="P1256" s="1">
        <f>MONTH(Advices[[#This Row],[Transaction Date]])</f>
        <v>12</v>
      </c>
      <c r="Q1256" s="1">
        <f>YEAR(Advices[[#This Row],[Transaction Date]])</f>
        <v>2025</v>
      </c>
      <c r="R1256" s="1"/>
    </row>
    <row r="1257" spans="1:18" x14ac:dyDescent="0.25">
      <c r="A1257" s="264" t="s">
        <v>21</v>
      </c>
      <c r="B1257" s="265">
        <v>46022</v>
      </c>
      <c r="C1257" s="264" t="s">
        <v>1951</v>
      </c>
      <c r="D1257" s="264" t="s">
        <v>2574</v>
      </c>
      <c r="E1257" s="264" t="s">
        <v>1195</v>
      </c>
      <c r="F1257" s="264" t="s">
        <v>1195</v>
      </c>
      <c r="G1257" s="264" t="s">
        <v>26</v>
      </c>
      <c r="H1257" s="266">
        <v>-75</v>
      </c>
      <c r="I1257" s="13">
        <v>0</v>
      </c>
      <c r="J1257" s="264" t="s">
        <v>1174</v>
      </c>
      <c r="K1257" s="264" t="s">
        <v>2025</v>
      </c>
      <c r="L1257" s="1" t="str">
        <f>VLOOKUP(Advices[[#This Row],[LC Number]],'Combine_List'!A:D,2,0)</f>
        <v>SKM AIR CONDITIONING CO</v>
      </c>
      <c r="M1257" s="447" t="str">
        <f>VLOOKUP(Advices[[#This Row],[LC Number]],'Combine_List'!A:D,3,0)</f>
        <v>FIRST FIX</v>
      </c>
      <c r="N1257" s="447" t="str">
        <f>VLOOKUP(Advices[[#This Row],[LC Number]],'Combine_List'!A:D,4,0)</f>
        <v>JCD SPMI</v>
      </c>
      <c r="O1257" s="1"/>
      <c r="P1257" s="1">
        <f>MONTH(Advices[[#This Row],[Transaction Date]])</f>
        <v>12</v>
      </c>
      <c r="Q1257" s="1">
        <f>YEAR(Advices[[#This Row],[Transaction Date]])</f>
        <v>2025</v>
      </c>
      <c r="R1257" s="1"/>
    </row>
    <row r="1258" spans="1:18" x14ac:dyDescent="0.25">
      <c r="A1258" s="264" t="s">
        <v>21</v>
      </c>
      <c r="B1258" s="265">
        <v>46022</v>
      </c>
      <c r="C1258" s="264" t="s">
        <v>1951</v>
      </c>
      <c r="D1258" s="264" t="s">
        <v>2634</v>
      </c>
      <c r="E1258" s="264" t="s">
        <v>1195</v>
      </c>
      <c r="F1258" s="264" t="s">
        <v>1195</v>
      </c>
      <c r="G1258" s="264" t="s">
        <v>26</v>
      </c>
      <c r="H1258" s="266">
        <v>-250</v>
      </c>
      <c r="I1258" s="13">
        <v>0</v>
      </c>
      <c r="J1258" s="264" t="s">
        <v>1963</v>
      </c>
      <c r="K1258" s="264" t="s">
        <v>2025</v>
      </c>
      <c r="L1258" s="1" t="str">
        <f>VLOOKUP(Advices[[#This Row],[LC Number]],'Combine_List'!A:D,2,0)</f>
        <v>SKM AIR CONDITIONING CO</v>
      </c>
      <c r="M1258" s="447" t="str">
        <f>VLOOKUP(Advices[[#This Row],[LC Number]],'Combine_List'!A:D,3,0)</f>
        <v>FIRST FIX</v>
      </c>
      <c r="N1258" s="447" t="str">
        <f>VLOOKUP(Advices[[#This Row],[LC Number]],'Combine_List'!A:D,4,0)</f>
        <v>JCD SPMI</v>
      </c>
      <c r="O1258" s="1"/>
      <c r="P1258" s="1">
        <f>MONTH(Advices[[#This Row],[Transaction Date]])</f>
        <v>12</v>
      </c>
      <c r="Q1258" s="1">
        <f>YEAR(Advices[[#This Row],[Transaction Date]])</f>
        <v>2025</v>
      </c>
      <c r="R1258" s="1"/>
    </row>
    <row r="1259" spans="1:18" x14ac:dyDescent="0.25">
      <c r="A1259" s="264" t="s">
        <v>21</v>
      </c>
      <c r="B1259" s="265">
        <v>46022</v>
      </c>
      <c r="C1259" s="264" t="s">
        <v>1951</v>
      </c>
      <c r="D1259" s="264" t="s">
        <v>2635</v>
      </c>
      <c r="E1259" s="264" t="s">
        <v>1195</v>
      </c>
      <c r="F1259" s="264" t="s">
        <v>1195</v>
      </c>
      <c r="G1259" s="264" t="s">
        <v>26</v>
      </c>
      <c r="H1259" s="266">
        <v>-500</v>
      </c>
      <c r="I1259" s="13">
        <v>0</v>
      </c>
      <c r="J1259" s="264" t="s">
        <v>1124</v>
      </c>
      <c r="K1259" s="264" t="s">
        <v>2025</v>
      </c>
      <c r="L1259" s="1" t="str">
        <f>VLOOKUP(Advices[[#This Row],[LC Number]],'Combine_List'!A:D,2,0)</f>
        <v>SKM AIR CONDITIONING CO</v>
      </c>
      <c r="M1259" s="447" t="str">
        <f>VLOOKUP(Advices[[#This Row],[LC Number]],'Combine_List'!A:D,3,0)</f>
        <v>FIRST FIX</v>
      </c>
      <c r="N1259" s="447" t="str">
        <f>VLOOKUP(Advices[[#This Row],[LC Number]],'Combine_List'!A:D,4,0)</f>
        <v>JCD SPMI</v>
      </c>
      <c r="O1259" s="1"/>
      <c r="P1259" s="1">
        <f>MONTH(Advices[[#This Row],[Transaction Date]])</f>
        <v>12</v>
      </c>
      <c r="Q1259" s="1">
        <f>YEAR(Advices[[#This Row],[Transaction Date]])</f>
        <v>2025</v>
      </c>
      <c r="R1259" s="1"/>
    </row>
    <row r="1260" spans="1:18" x14ac:dyDescent="0.25">
      <c r="A1260" s="264" t="s">
        <v>21</v>
      </c>
      <c r="B1260" s="265">
        <v>46022</v>
      </c>
      <c r="C1260" s="264" t="s">
        <v>1951</v>
      </c>
      <c r="D1260" s="264" t="s">
        <v>2574</v>
      </c>
      <c r="E1260" s="264" t="s">
        <v>1312</v>
      </c>
      <c r="F1260" s="264" t="s">
        <v>1312</v>
      </c>
      <c r="G1260" s="264" t="s">
        <v>26</v>
      </c>
      <c r="H1260" s="266">
        <v>-37.5</v>
      </c>
      <c r="I1260" s="13">
        <v>0</v>
      </c>
      <c r="J1260" s="264" t="s">
        <v>1174</v>
      </c>
      <c r="K1260" s="264" t="s">
        <v>2025</v>
      </c>
      <c r="L1260" s="1" t="str">
        <f>VLOOKUP(Advices[[#This Row],[LC Number]],'Combine_List'!A:D,2,0)</f>
        <v>ALBYT ALTHAKI TRADING CO</v>
      </c>
      <c r="M1260" s="447" t="str">
        <f>VLOOKUP(Advices[[#This Row],[LC Number]],'Combine_List'!A:D,3,0)</f>
        <v>FIRST FIX</v>
      </c>
      <c r="N1260" s="447" t="str">
        <f>VLOOKUP(Advices[[#This Row],[LC Number]],'Combine_List'!A:D,4,0)</f>
        <v>KSP</v>
      </c>
      <c r="O1260" s="1"/>
      <c r="P1260" s="1">
        <f>MONTH(Advices[[#This Row],[Transaction Date]])</f>
        <v>12</v>
      </c>
      <c r="Q1260" s="1">
        <f>YEAR(Advices[[#This Row],[Transaction Date]])</f>
        <v>2025</v>
      </c>
      <c r="R1260" s="1"/>
    </row>
    <row r="1261" spans="1:18" x14ac:dyDescent="0.25">
      <c r="A1261" s="264" t="s">
        <v>21</v>
      </c>
      <c r="B1261" s="265">
        <v>46022</v>
      </c>
      <c r="C1261" s="264" t="s">
        <v>1951</v>
      </c>
      <c r="D1261" s="264" t="s">
        <v>2574</v>
      </c>
      <c r="E1261" s="264" t="s">
        <v>1312</v>
      </c>
      <c r="F1261" s="264" t="s">
        <v>1312</v>
      </c>
      <c r="G1261" s="264" t="s">
        <v>26</v>
      </c>
      <c r="H1261" s="266">
        <v>-75</v>
      </c>
      <c r="I1261" s="13">
        <v>0</v>
      </c>
      <c r="J1261" s="264" t="s">
        <v>1174</v>
      </c>
      <c r="K1261" s="264" t="s">
        <v>2025</v>
      </c>
      <c r="L1261" s="1" t="str">
        <f>VLOOKUP(Advices[[#This Row],[LC Number]],'Combine_List'!A:D,2,0)</f>
        <v>ALBYT ALTHAKI TRADING CO</v>
      </c>
      <c r="M1261" s="447" t="str">
        <f>VLOOKUP(Advices[[#This Row],[LC Number]],'Combine_List'!A:D,3,0)</f>
        <v>FIRST FIX</v>
      </c>
      <c r="N1261" s="447" t="str">
        <f>VLOOKUP(Advices[[#This Row],[LC Number]],'Combine_List'!A:D,4,0)</f>
        <v>KSP</v>
      </c>
      <c r="O1261" s="1"/>
      <c r="P1261" s="1">
        <f>MONTH(Advices[[#This Row],[Transaction Date]])</f>
        <v>12</v>
      </c>
      <c r="Q1261" s="1">
        <f>YEAR(Advices[[#This Row],[Transaction Date]])</f>
        <v>2025</v>
      </c>
      <c r="R1261" s="1"/>
    </row>
    <row r="1262" spans="1:18" x14ac:dyDescent="0.25">
      <c r="A1262" s="264" t="s">
        <v>21</v>
      </c>
      <c r="B1262" s="265">
        <v>46022</v>
      </c>
      <c r="C1262" s="264" t="s">
        <v>1951</v>
      </c>
      <c r="D1262" s="264" t="s">
        <v>2636</v>
      </c>
      <c r="E1262" s="264" t="s">
        <v>1312</v>
      </c>
      <c r="F1262" s="264" t="s">
        <v>1312</v>
      </c>
      <c r="G1262" s="264" t="s">
        <v>26</v>
      </c>
      <c r="H1262" s="266">
        <v>-250</v>
      </c>
      <c r="I1262" s="13">
        <v>0</v>
      </c>
      <c r="J1262" s="264" t="s">
        <v>1963</v>
      </c>
      <c r="K1262" s="264" t="s">
        <v>2025</v>
      </c>
      <c r="L1262" s="1" t="str">
        <f>VLOOKUP(Advices[[#This Row],[LC Number]],'Combine_List'!A:D,2,0)</f>
        <v>ALBYT ALTHAKI TRADING CO</v>
      </c>
      <c r="M1262" s="447" t="str">
        <f>VLOOKUP(Advices[[#This Row],[LC Number]],'Combine_List'!A:D,3,0)</f>
        <v>FIRST FIX</v>
      </c>
      <c r="N1262" s="447" t="str">
        <f>VLOOKUP(Advices[[#This Row],[LC Number]],'Combine_List'!A:D,4,0)</f>
        <v>KSP</v>
      </c>
      <c r="O1262" s="1"/>
      <c r="P1262" s="1">
        <f>MONTH(Advices[[#This Row],[Transaction Date]])</f>
        <v>12</v>
      </c>
      <c r="Q1262" s="1">
        <f>YEAR(Advices[[#This Row],[Transaction Date]])</f>
        <v>2025</v>
      </c>
      <c r="R1262" s="1"/>
    </row>
    <row r="1263" spans="1:18" x14ac:dyDescent="0.25">
      <c r="A1263" s="264" t="s">
        <v>21</v>
      </c>
      <c r="B1263" s="265">
        <v>46022</v>
      </c>
      <c r="C1263" s="264" t="s">
        <v>1951</v>
      </c>
      <c r="D1263" s="264" t="s">
        <v>2637</v>
      </c>
      <c r="E1263" s="264" t="s">
        <v>1312</v>
      </c>
      <c r="F1263" s="264" t="s">
        <v>1312</v>
      </c>
      <c r="G1263" s="264" t="s">
        <v>26</v>
      </c>
      <c r="H1263" s="266">
        <v>-500</v>
      </c>
      <c r="I1263" s="13">
        <v>0</v>
      </c>
      <c r="J1263" s="264" t="s">
        <v>1124</v>
      </c>
      <c r="K1263" s="264" t="s">
        <v>2025</v>
      </c>
      <c r="L1263" s="1" t="str">
        <f>VLOOKUP(Advices[[#This Row],[LC Number]],'Combine_List'!A:D,2,0)</f>
        <v>ALBYT ALTHAKI TRADING CO</v>
      </c>
      <c r="M1263" s="447" t="str">
        <f>VLOOKUP(Advices[[#This Row],[LC Number]],'Combine_List'!A:D,3,0)</f>
        <v>FIRST FIX</v>
      </c>
      <c r="N1263" s="447" t="str">
        <f>VLOOKUP(Advices[[#This Row],[LC Number]],'Combine_List'!A:D,4,0)</f>
        <v>KSP</v>
      </c>
      <c r="O1263" s="1"/>
      <c r="P1263" s="1">
        <f>MONTH(Advices[[#This Row],[Transaction Date]])</f>
        <v>12</v>
      </c>
      <c r="Q1263" s="1">
        <f>YEAR(Advices[[#This Row],[Transaction Date]])</f>
        <v>2025</v>
      </c>
      <c r="R1263" s="1"/>
    </row>
    <row r="1264" spans="1:18" x14ac:dyDescent="0.25">
      <c r="A1264" s="264" t="s">
        <v>21</v>
      </c>
      <c r="B1264" s="265">
        <v>46022</v>
      </c>
      <c r="C1264" s="264" t="s">
        <v>1951</v>
      </c>
      <c r="D1264" s="264" t="s">
        <v>2574</v>
      </c>
      <c r="E1264" s="264" t="s">
        <v>1343</v>
      </c>
      <c r="F1264" s="264" t="s">
        <v>1343</v>
      </c>
      <c r="G1264" s="264" t="s">
        <v>26</v>
      </c>
      <c r="H1264" s="266">
        <v>-37.5</v>
      </c>
      <c r="I1264" s="13">
        <v>0</v>
      </c>
      <c r="J1264" s="264" t="s">
        <v>1174</v>
      </c>
      <c r="K1264" s="264" t="s">
        <v>2025</v>
      </c>
      <c r="L1264" s="1" t="str">
        <f>VLOOKUP(Advices[[#This Row],[LC Number]],'Combine_List'!A:D,2,0)</f>
        <v>MASDAR TECHNICAL Supplies CO.</v>
      </c>
      <c r="M1264" s="447" t="str">
        <f>VLOOKUP(Advices[[#This Row],[LC Number]],'Combine_List'!A:D,3,0)</f>
        <v>FIRST FIX</v>
      </c>
      <c r="N1264" s="447" t="str">
        <f>VLOOKUP(Advices[[#This Row],[LC Number]],'Combine_List'!A:D,4,0)</f>
        <v>KSP</v>
      </c>
      <c r="O1264" s="1"/>
      <c r="P1264" s="1">
        <f>MONTH(Advices[[#This Row],[Transaction Date]])</f>
        <v>12</v>
      </c>
      <c r="Q1264" s="1">
        <f>YEAR(Advices[[#This Row],[Transaction Date]])</f>
        <v>2025</v>
      </c>
      <c r="R1264" s="1"/>
    </row>
    <row r="1265" spans="1:18" x14ac:dyDescent="0.25">
      <c r="A1265" s="264" t="s">
        <v>21</v>
      </c>
      <c r="B1265" s="265">
        <v>46022</v>
      </c>
      <c r="C1265" s="264" t="s">
        <v>1951</v>
      </c>
      <c r="D1265" s="264" t="s">
        <v>2574</v>
      </c>
      <c r="E1265" s="264" t="s">
        <v>1343</v>
      </c>
      <c r="F1265" s="264" t="s">
        <v>1343</v>
      </c>
      <c r="G1265" s="264" t="s">
        <v>26</v>
      </c>
      <c r="H1265" s="266">
        <v>-75</v>
      </c>
      <c r="I1265" s="13">
        <v>0</v>
      </c>
      <c r="J1265" s="264" t="s">
        <v>1174</v>
      </c>
      <c r="K1265" s="264" t="s">
        <v>2025</v>
      </c>
      <c r="L1265" s="1" t="str">
        <f>VLOOKUP(Advices[[#This Row],[LC Number]],'Combine_List'!A:D,2,0)</f>
        <v>MASDAR TECHNICAL Supplies CO.</v>
      </c>
      <c r="M1265" s="447" t="str">
        <f>VLOOKUP(Advices[[#This Row],[LC Number]],'Combine_List'!A:D,3,0)</f>
        <v>FIRST FIX</v>
      </c>
      <c r="N1265" s="447" t="str">
        <f>VLOOKUP(Advices[[#This Row],[LC Number]],'Combine_List'!A:D,4,0)</f>
        <v>KSP</v>
      </c>
      <c r="O1265" s="1"/>
      <c r="P1265" s="1">
        <f>MONTH(Advices[[#This Row],[Transaction Date]])</f>
        <v>12</v>
      </c>
      <c r="Q1265" s="1">
        <f>YEAR(Advices[[#This Row],[Transaction Date]])</f>
        <v>2025</v>
      </c>
      <c r="R1265" s="1"/>
    </row>
    <row r="1266" spans="1:18" x14ac:dyDescent="0.25">
      <c r="A1266" s="264" t="s">
        <v>21</v>
      </c>
      <c r="B1266" s="265">
        <v>46022</v>
      </c>
      <c r="C1266" s="264" t="s">
        <v>1951</v>
      </c>
      <c r="D1266" s="264" t="s">
        <v>2638</v>
      </c>
      <c r="E1266" s="264" t="s">
        <v>1343</v>
      </c>
      <c r="F1266" s="264" t="s">
        <v>1343</v>
      </c>
      <c r="G1266" s="264" t="s">
        <v>26</v>
      </c>
      <c r="H1266" s="266">
        <v>-250</v>
      </c>
      <c r="I1266" s="13">
        <v>0</v>
      </c>
      <c r="J1266" s="264" t="s">
        <v>1963</v>
      </c>
      <c r="K1266" s="264" t="s">
        <v>2025</v>
      </c>
      <c r="L1266" s="1" t="str">
        <f>VLOOKUP(Advices[[#This Row],[LC Number]],'Combine_List'!A:D,2,0)</f>
        <v>MASDAR TECHNICAL Supplies CO.</v>
      </c>
      <c r="M1266" s="447" t="str">
        <f>VLOOKUP(Advices[[#This Row],[LC Number]],'Combine_List'!A:D,3,0)</f>
        <v>FIRST FIX</v>
      </c>
      <c r="N1266" s="447" t="str">
        <f>VLOOKUP(Advices[[#This Row],[LC Number]],'Combine_List'!A:D,4,0)</f>
        <v>KSP</v>
      </c>
      <c r="O1266" s="1"/>
      <c r="P1266" s="1">
        <f>MONTH(Advices[[#This Row],[Transaction Date]])</f>
        <v>12</v>
      </c>
      <c r="Q1266" s="1">
        <f>YEAR(Advices[[#This Row],[Transaction Date]])</f>
        <v>2025</v>
      </c>
      <c r="R1266" s="1"/>
    </row>
    <row r="1267" spans="1:18" x14ac:dyDescent="0.25">
      <c r="A1267" s="264" t="s">
        <v>21</v>
      </c>
      <c r="B1267" s="265">
        <v>46022</v>
      </c>
      <c r="C1267" s="264" t="s">
        <v>1951</v>
      </c>
      <c r="D1267" s="264" t="s">
        <v>2639</v>
      </c>
      <c r="E1267" s="264" t="s">
        <v>1343</v>
      </c>
      <c r="F1267" s="264" t="s">
        <v>1343</v>
      </c>
      <c r="G1267" s="264" t="s">
        <v>26</v>
      </c>
      <c r="H1267" s="266">
        <v>-500</v>
      </c>
      <c r="I1267" s="13">
        <v>0</v>
      </c>
      <c r="J1267" s="264" t="s">
        <v>1124</v>
      </c>
      <c r="K1267" s="264" t="s">
        <v>2025</v>
      </c>
      <c r="L1267" s="1" t="str">
        <f>VLOOKUP(Advices[[#This Row],[LC Number]],'Combine_List'!A:D,2,0)</f>
        <v>MASDAR TECHNICAL Supplies CO.</v>
      </c>
      <c r="M1267" s="447" t="str">
        <f>VLOOKUP(Advices[[#This Row],[LC Number]],'Combine_List'!A:D,3,0)</f>
        <v>FIRST FIX</v>
      </c>
      <c r="N1267" s="447" t="str">
        <f>VLOOKUP(Advices[[#This Row],[LC Number]],'Combine_List'!A:D,4,0)</f>
        <v>KSP</v>
      </c>
      <c r="O1267" s="1"/>
      <c r="P1267" s="1">
        <f>MONTH(Advices[[#This Row],[Transaction Date]])</f>
        <v>12</v>
      </c>
      <c r="Q1267" s="1">
        <f>YEAR(Advices[[#This Row],[Transaction Date]])</f>
        <v>2025</v>
      </c>
      <c r="R1267" s="1"/>
    </row>
    <row r="1268" spans="1:18" x14ac:dyDescent="0.25">
      <c r="A1268" s="264" t="s">
        <v>21</v>
      </c>
      <c r="B1268" s="265">
        <v>46022</v>
      </c>
      <c r="C1268" s="264" t="s">
        <v>1951</v>
      </c>
      <c r="D1268" s="264" t="s">
        <v>2574</v>
      </c>
      <c r="E1268" s="264" t="s">
        <v>1400</v>
      </c>
      <c r="F1268" s="264" t="s">
        <v>1400</v>
      </c>
      <c r="G1268" s="264" t="s">
        <v>26</v>
      </c>
      <c r="H1268" s="266">
        <v>-37.5</v>
      </c>
      <c r="I1268" s="13">
        <v>0</v>
      </c>
      <c r="J1268" s="264" t="s">
        <v>1174</v>
      </c>
      <c r="K1268" s="264" t="s">
        <v>2025</v>
      </c>
      <c r="L1268" s="1" t="str">
        <f>VLOOKUP(Advices[[#This Row],[LC Number]],'Combine_List'!A:D,2,0)</f>
        <v>ALBYT ALTHAKI TRADING CO</v>
      </c>
      <c r="M1268" s="447" t="str">
        <f>VLOOKUP(Advices[[#This Row],[LC Number]],'Combine_List'!A:D,3,0)</f>
        <v>FIRST FIX</v>
      </c>
      <c r="N1268" s="447" t="str">
        <f>VLOOKUP(Advices[[#This Row],[LC Number]],'Combine_List'!A:D,4,0)</f>
        <v>KSP</v>
      </c>
      <c r="O1268" s="1"/>
      <c r="P1268" s="1">
        <f>MONTH(Advices[[#This Row],[Transaction Date]])</f>
        <v>12</v>
      </c>
      <c r="Q1268" s="1">
        <f>YEAR(Advices[[#This Row],[Transaction Date]])</f>
        <v>2025</v>
      </c>
      <c r="R1268" s="1"/>
    </row>
    <row r="1269" spans="1:18" x14ac:dyDescent="0.25">
      <c r="A1269" s="264" t="s">
        <v>21</v>
      </c>
      <c r="B1269" s="265">
        <v>46022</v>
      </c>
      <c r="C1269" s="264" t="s">
        <v>1951</v>
      </c>
      <c r="D1269" s="264" t="s">
        <v>2574</v>
      </c>
      <c r="E1269" s="264" t="s">
        <v>1400</v>
      </c>
      <c r="F1269" s="264" t="s">
        <v>1400</v>
      </c>
      <c r="G1269" s="264" t="s">
        <v>26</v>
      </c>
      <c r="H1269" s="266">
        <v>-75</v>
      </c>
      <c r="I1269" s="13">
        <v>0</v>
      </c>
      <c r="J1269" s="264" t="s">
        <v>1174</v>
      </c>
      <c r="K1269" s="264" t="s">
        <v>2025</v>
      </c>
      <c r="L1269" s="1" t="str">
        <f>VLOOKUP(Advices[[#This Row],[LC Number]],'Combine_List'!A:D,2,0)</f>
        <v>ALBYT ALTHAKI TRADING CO</v>
      </c>
      <c r="M1269" s="447" t="str">
        <f>VLOOKUP(Advices[[#This Row],[LC Number]],'Combine_List'!A:D,3,0)</f>
        <v>FIRST FIX</v>
      </c>
      <c r="N1269" s="447" t="str">
        <f>VLOOKUP(Advices[[#This Row],[LC Number]],'Combine_List'!A:D,4,0)</f>
        <v>KSP</v>
      </c>
      <c r="O1269" s="1"/>
      <c r="P1269" s="1">
        <f>MONTH(Advices[[#This Row],[Transaction Date]])</f>
        <v>12</v>
      </c>
      <c r="Q1269" s="1">
        <f>YEAR(Advices[[#This Row],[Transaction Date]])</f>
        <v>2025</v>
      </c>
      <c r="R1269" s="1"/>
    </row>
    <row r="1270" spans="1:18" x14ac:dyDescent="0.25">
      <c r="A1270" s="264" t="s">
        <v>21</v>
      </c>
      <c r="B1270" s="265">
        <v>46022</v>
      </c>
      <c r="C1270" s="264" t="s">
        <v>1951</v>
      </c>
      <c r="D1270" s="264" t="s">
        <v>2644</v>
      </c>
      <c r="E1270" s="264" t="s">
        <v>1400</v>
      </c>
      <c r="F1270" s="264" t="s">
        <v>1400</v>
      </c>
      <c r="G1270" s="264" t="s">
        <v>26</v>
      </c>
      <c r="H1270" s="266">
        <v>-250</v>
      </c>
      <c r="I1270" s="13">
        <v>0</v>
      </c>
      <c r="J1270" s="264" t="s">
        <v>1963</v>
      </c>
      <c r="K1270" s="264" t="s">
        <v>2025</v>
      </c>
      <c r="L1270" s="1" t="str">
        <f>VLOOKUP(Advices[[#This Row],[LC Number]],'Combine_List'!A:D,2,0)</f>
        <v>ALBYT ALTHAKI TRADING CO</v>
      </c>
      <c r="M1270" s="447" t="str">
        <f>VLOOKUP(Advices[[#This Row],[LC Number]],'Combine_List'!A:D,3,0)</f>
        <v>FIRST FIX</v>
      </c>
      <c r="N1270" s="447" t="str">
        <f>VLOOKUP(Advices[[#This Row],[LC Number]],'Combine_List'!A:D,4,0)</f>
        <v>KSP</v>
      </c>
      <c r="O1270" s="1"/>
      <c r="P1270" s="1">
        <f>MONTH(Advices[[#This Row],[Transaction Date]])</f>
        <v>12</v>
      </c>
      <c r="Q1270" s="1">
        <f>YEAR(Advices[[#This Row],[Transaction Date]])</f>
        <v>2025</v>
      </c>
      <c r="R1270" s="1"/>
    </row>
    <row r="1271" spans="1:18" x14ac:dyDescent="0.25">
      <c r="A1271" s="264" t="s">
        <v>21</v>
      </c>
      <c r="B1271" s="265">
        <v>46022</v>
      </c>
      <c r="C1271" s="264" t="s">
        <v>1951</v>
      </c>
      <c r="D1271" s="264" t="s">
        <v>2645</v>
      </c>
      <c r="E1271" s="264" t="s">
        <v>1400</v>
      </c>
      <c r="F1271" s="264" t="s">
        <v>1400</v>
      </c>
      <c r="G1271" s="264" t="s">
        <v>26</v>
      </c>
      <c r="H1271" s="266">
        <v>-500</v>
      </c>
      <c r="I1271" s="13">
        <v>0</v>
      </c>
      <c r="J1271" s="264" t="s">
        <v>1124</v>
      </c>
      <c r="K1271" s="264" t="s">
        <v>2025</v>
      </c>
      <c r="L1271" s="1" t="str">
        <f>VLOOKUP(Advices[[#This Row],[LC Number]],'Combine_List'!A:D,2,0)</f>
        <v>ALBYT ALTHAKI TRADING CO</v>
      </c>
      <c r="M1271" s="447" t="str">
        <f>VLOOKUP(Advices[[#This Row],[LC Number]],'Combine_List'!A:D,3,0)</f>
        <v>FIRST FIX</v>
      </c>
      <c r="N1271" s="447" t="str">
        <f>VLOOKUP(Advices[[#This Row],[LC Number]],'Combine_List'!A:D,4,0)</f>
        <v>KSP</v>
      </c>
      <c r="O1271" s="1"/>
      <c r="P1271" s="1">
        <f>MONTH(Advices[[#This Row],[Transaction Date]])</f>
        <v>12</v>
      </c>
      <c r="Q1271" s="1">
        <f>YEAR(Advices[[#This Row],[Transaction Date]])</f>
        <v>2025</v>
      </c>
      <c r="R1271" s="1"/>
    </row>
    <row r="1272" spans="1:18" x14ac:dyDescent="0.25">
      <c r="A1272" s="264" t="s">
        <v>21</v>
      </c>
      <c r="B1272" s="265">
        <v>46022</v>
      </c>
      <c r="C1272" s="264" t="s">
        <v>1951</v>
      </c>
      <c r="D1272" s="264" t="s">
        <v>2574</v>
      </c>
      <c r="E1272" s="264" t="s">
        <v>1399</v>
      </c>
      <c r="F1272" s="264" t="s">
        <v>1399</v>
      </c>
      <c r="G1272" s="264" t="s">
        <v>26</v>
      </c>
      <c r="H1272" s="266">
        <v>-37.5</v>
      </c>
      <c r="I1272" s="13">
        <v>0</v>
      </c>
      <c r="J1272" s="264" t="s">
        <v>1174</v>
      </c>
      <c r="K1272" s="264" t="s">
        <v>2025</v>
      </c>
      <c r="L1272" s="1" t="str">
        <f>VLOOKUP(Advices[[#This Row],[LC Number]],'Combine_List'!A:D,2,0)</f>
        <v>GAS SOLUTIONS</v>
      </c>
      <c r="M1272" s="447" t="str">
        <f>VLOOKUP(Advices[[#This Row],[LC Number]],'Combine_List'!A:D,3,0)</f>
        <v>FIRST FIX</v>
      </c>
      <c r="N1272" s="447" t="str">
        <f>VLOOKUP(Advices[[#This Row],[LC Number]],'Combine_List'!A:D,4,0)</f>
        <v>KSP</v>
      </c>
      <c r="O1272" s="1"/>
      <c r="P1272" s="1">
        <f>MONTH(Advices[[#This Row],[Transaction Date]])</f>
        <v>12</v>
      </c>
      <c r="Q1272" s="1">
        <f>YEAR(Advices[[#This Row],[Transaction Date]])</f>
        <v>2025</v>
      </c>
      <c r="R1272" s="1"/>
    </row>
    <row r="1273" spans="1:18" x14ac:dyDescent="0.25">
      <c r="A1273" s="264" t="s">
        <v>21</v>
      </c>
      <c r="B1273" s="265">
        <v>46022</v>
      </c>
      <c r="C1273" s="264" t="s">
        <v>1951</v>
      </c>
      <c r="D1273" s="264" t="s">
        <v>2574</v>
      </c>
      <c r="E1273" s="264" t="s">
        <v>1399</v>
      </c>
      <c r="F1273" s="264" t="s">
        <v>1399</v>
      </c>
      <c r="G1273" s="264" t="s">
        <v>26</v>
      </c>
      <c r="H1273" s="266">
        <v>-75</v>
      </c>
      <c r="I1273" s="13">
        <v>0</v>
      </c>
      <c r="J1273" s="264" t="s">
        <v>1174</v>
      </c>
      <c r="K1273" s="264" t="s">
        <v>2025</v>
      </c>
      <c r="L1273" s="1" t="str">
        <f>VLOOKUP(Advices[[#This Row],[LC Number]],'Combine_List'!A:D,2,0)</f>
        <v>GAS SOLUTIONS</v>
      </c>
      <c r="M1273" s="447" t="str">
        <f>VLOOKUP(Advices[[#This Row],[LC Number]],'Combine_List'!A:D,3,0)</f>
        <v>FIRST FIX</v>
      </c>
      <c r="N1273" s="447" t="str">
        <f>VLOOKUP(Advices[[#This Row],[LC Number]],'Combine_List'!A:D,4,0)</f>
        <v>KSP</v>
      </c>
      <c r="O1273" s="1"/>
      <c r="P1273" s="1">
        <f>MONTH(Advices[[#This Row],[Transaction Date]])</f>
        <v>12</v>
      </c>
      <c r="Q1273" s="1">
        <f>YEAR(Advices[[#This Row],[Transaction Date]])</f>
        <v>2025</v>
      </c>
      <c r="R1273" s="1"/>
    </row>
    <row r="1274" spans="1:18" x14ac:dyDescent="0.25">
      <c r="A1274" s="264" t="s">
        <v>21</v>
      </c>
      <c r="B1274" s="265">
        <v>46022</v>
      </c>
      <c r="C1274" s="264" t="s">
        <v>1951</v>
      </c>
      <c r="D1274" s="264" t="s">
        <v>2575</v>
      </c>
      <c r="E1274" s="264" t="s">
        <v>1399</v>
      </c>
      <c r="F1274" s="264" t="s">
        <v>1399</v>
      </c>
      <c r="G1274" s="264" t="s">
        <v>26</v>
      </c>
      <c r="H1274" s="266">
        <v>-250</v>
      </c>
      <c r="I1274" s="13">
        <v>0</v>
      </c>
      <c r="J1274" s="264" t="s">
        <v>1963</v>
      </c>
      <c r="K1274" s="264" t="s">
        <v>2025</v>
      </c>
      <c r="L1274" s="1" t="str">
        <f>VLOOKUP(Advices[[#This Row],[LC Number]],'Combine_List'!A:D,2,0)</f>
        <v>GAS SOLUTIONS</v>
      </c>
      <c r="M1274" s="447" t="str">
        <f>VLOOKUP(Advices[[#This Row],[LC Number]],'Combine_List'!A:D,3,0)</f>
        <v>FIRST FIX</v>
      </c>
      <c r="N1274" s="447" t="str">
        <f>VLOOKUP(Advices[[#This Row],[LC Number]],'Combine_List'!A:D,4,0)</f>
        <v>KSP</v>
      </c>
      <c r="O1274" s="1"/>
      <c r="P1274" s="1">
        <f>MONTH(Advices[[#This Row],[Transaction Date]])</f>
        <v>12</v>
      </c>
      <c r="Q1274" s="1">
        <f>YEAR(Advices[[#This Row],[Transaction Date]])</f>
        <v>2025</v>
      </c>
      <c r="R1274" s="1"/>
    </row>
    <row r="1275" spans="1:18" x14ac:dyDescent="0.25">
      <c r="A1275" s="264" t="s">
        <v>21</v>
      </c>
      <c r="B1275" s="265">
        <v>46022</v>
      </c>
      <c r="C1275" s="264" t="s">
        <v>1951</v>
      </c>
      <c r="D1275" s="264" t="s">
        <v>2576</v>
      </c>
      <c r="E1275" s="264" t="s">
        <v>1399</v>
      </c>
      <c r="F1275" s="264" t="s">
        <v>1399</v>
      </c>
      <c r="G1275" s="264" t="s">
        <v>26</v>
      </c>
      <c r="H1275" s="266">
        <v>-500</v>
      </c>
      <c r="I1275" s="13">
        <v>0</v>
      </c>
      <c r="J1275" s="264" t="s">
        <v>1124</v>
      </c>
      <c r="K1275" s="264" t="s">
        <v>2025</v>
      </c>
      <c r="L1275" s="1" t="str">
        <f>VLOOKUP(Advices[[#This Row],[LC Number]],'Combine_List'!A:D,2,0)</f>
        <v>GAS SOLUTIONS</v>
      </c>
      <c r="M1275" s="447" t="str">
        <f>VLOOKUP(Advices[[#This Row],[LC Number]],'Combine_List'!A:D,3,0)</f>
        <v>FIRST FIX</v>
      </c>
      <c r="N1275" s="447" t="str">
        <f>VLOOKUP(Advices[[#This Row],[LC Number]],'Combine_List'!A:D,4,0)</f>
        <v>KSP</v>
      </c>
      <c r="O1275" s="1"/>
      <c r="P1275" s="1">
        <f>MONTH(Advices[[#This Row],[Transaction Date]])</f>
        <v>12</v>
      </c>
      <c r="Q1275" s="1">
        <f>YEAR(Advices[[#This Row],[Transaction Date]])</f>
        <v>2025</v>
      </c>
      <c r="R1275" s="1"/>
    </row>
    <row r="1276" spans="1:18" x14ac:dyDescent="0.25">
      <c r="A1276" s="264" t="s">
        <v>21</v>
      </c>
      <c r="B1276" s="265">
        <v>46022</v>
      </c>
      <c r="C1276" s="264" t="s">
        <v>1951</v>
      </c>
      <c r="D1276" s="264" t="s">
        <v>2574</v>
      </c>
      <c r="E1276" s="264" t="s">
        <v>1402</v>
      </c>
      <c r="F1276" s="264" t="s">
        <v>1402</v>
      </c>
      <c r="G1276" s="264" t="s">
        <v>26</v>
      </c>
      <c r="H1276" s="266">
        <v>-37.5</v>
      </c>
      <c r="I1276" s="13">
        <v>0</v>
      </c>
      <c r="J1276" s="264" t="s">
        <v>1174</v>
      </c>
      <c r="K1276" s="264" t="s">
        <v>2025</v>
      </c>
      <c r="L1276" s="1" t="str">
        <f>VLOOKUP(Advices[[#This Row],[LC Number]],'Combine_List'!A:D,2,0)</f>
        <v>NAJM AL FALAK TRADING CO.</v>
      </c>
      <c r="M1276" s="447" t="str">
        <f>VLOOKUP(Advices[[#This Row],[LC Number]],'Combine_List'!A:D,3,0)</f>
        <v>FIRST FIX</v>
      </c>
      <c r="N1276" s="447" t="str">
        <f>VLOOKUP(Advices[[#This Row],[LC Number]],'Combine_List'!A:D,4,0)</f>
        <v>KSP</v>
      </c>
      <c r="O1276" s="1"/>
      <c r="P1276" s="1">
        <f>MONTH(Advices[[#This Row],[Transaction Date]])</f>
        <v>12</v>
      </c>
      <c r="Q1276" s="1">
        <f>YEAR(Advices[[#This Row],[Transaction Date]])</f>
        <v>2025</v>
      </c>
      <c r="R1276" s="1"/>
    </row>
    <row r="1277" spans="1:18" x14ac:dyDescent="0.25">
      <c r="A1277" s="264" t="s">
        <v>21</v>
      </c>
      <c r="B1277" s="265">
        <v>46022</v>
      </c>
      <c r="C1277" s="264" t="s">
        <v>1951</v>
      </c>
      <c r="D1277" s="264" t="s">
        <v>2574</v>
      </c>
      <c r="E1277" s="264" t="s">
        <v>1402</v>
      </c>
      <c r="F1277" s="264" t="s">
        <v>1402</v>
      </c>
      <c r="G1277" s="264" t="s">
        <v>26</v>
      </c>
      <c r="H1277" s="266">
        <v>-75</v>
      </c>
      <c r="I1277" s="13">
        <v>0</v>
      </c>
      <c r="J1277" s="264" t="s">
        <v>1174</v>
      </c>
      <c r="K1277" s="264" t="s">
        <v>2025</v>
      </c>
      <c r="L1277" s="1" t="str">
        <f>VLOOKUP(Advices[[#This Row],[LC Number]],'Combine_List'!A:D,2,0)</f>
        <v>NAJM AL FALAK TRADING CO.</v>
      </c>
      <c r="M1277" s="447" t="str">
        <f>VLOOKUP(Advices[[#This Row],[LC Number]],'Combine_List'!A:D,3,0)</f>
        <v>FIRST FIX</v>
      </c>
      <c r="N1277" s="447" t="str">
        <f>VLOOKUP(Advices[[#This Row],[LC Number]],'Combine_List'!A:D,4,0)</f>
        <v>KSP</v>
      </c>
      <c r="O1277" s="1"/>
      <c r="P1277" s="1">
        <f>MONTH(Advices[[#This Row],[Transaction Date]])</f>
        <v>12</v>
      </c>
      <c r="Q1277" s="1">
        <f>YEAR(Advices[[#This Row],[Transaction Date]])</f>
        <v>2025</v>
      </c>
      <c r="R1277" s="1"/>
    </row>
    <row r="1278" spans="1:18" x14ac:dyDescent="0.25">
      <c r="A1278" s="264" t="s">
        <v>21</v>
      </c>
      <c r="B1278" s="265">
        <v>46022</v>
      </c>
      <c r="C1278" s="264" t="s">
        <v>1951</v>
      </c>
      <c r="D1278" s="264" t="s">
        <v>2577</v>
      </c>
      <c r="E1278" s="264" t="s">
        <v>1402</v>
      </c>
      <c r="F1278" s="264" t="s">
        <v>1402</v>
      </c>
      <c r="G1278" s="264" t="s">
        <v>26</v>
      </c>
      <c r="H1278" s="266">
        <v>-250</v>
      </c>
      <c r="I1278" s="13">
        <v>0</v>
      </c>
      <c r="J1278" s="264" t="s">
        <v>1963</v>
      </c>
      <c r="K1278" s="264" t="s">
        <v>2025</v>
      </c>
      <c r="L1278" s="1" t="str">
        <f>VLOOKUP(Advices[[#This Row],[LC Number]],'Combine_List'!A:D,2,0)</f>
        <v>NAJM AL FALAK TRADING CO.</v>
      </c>
      <c r="M1278" s="447" t="str">
        <f>VLOOKUP(Advices[[#This Row],[LC Number]],'Combine_List'!A:D,3,0)</f>
        <v>FIRST FIX</v>
      </c>
      <c r="N1278" s="447" t="str">
        <f>VLOOKUP(Advices[[#This Row],[LC Number]],'Combine_List'!A:D,4,0)</f>
        <v>KSP</v>
      </c>
      <c r="O1278" s="1"/>
      <c r="P1278" s="1">
        <f>MONTH(Advices[[#This Row],[Transaction Date]])</f>
        <v>12</v>
      </c>
      <c r="Q1278" s="1">
        <f>YEAR(Advices[[#This Row],[Transaction Date]])</f>
        <v>2025</v>
      </c>
      <c r="R1278" s="1"/>
    </row>
    <row r="1279" spans="1:18" x14ac:dyDescent="0.25">
      <c r="A1279" s="264" t="s">
        <v>21</v>
      </c>
      <c r="B1279" s="265">
        <v>46022</v>
      </c>
      <c r="C1279" s="264" t="s">
        <v>1951</v>
      </c>
      <c r="D1279" s="264" t="s">
        <v>2578</v>
      </c>
      <c r="E1279" s="264" t="s">
        <v>1402</v>
      </c>
      <c r="F1279" s="264" t="s">
        <v>1402</v>
      </c>
      <c r="G1279" s="264" t="s">
        <v>26</v>
      </c>
      <c r="H1279" s="266">
        <v>-500</v>
      </c>
      <c r="I1279" s="13">
        <v>0</v>
      </c>
      <c r="J1279" s="264" t="s">
        <v>1124</v>
      </c>
      <c r="K1279" s="264" t="s">
        <v>2025</v>
      </c>
      <c r="L1279" s="1" t="str">
        <f>VLOOKUP(Advices[[#This Row],[LC Number]],'Combine_List'!A:D,2,0)</f>
        <v>NAJM AL FALAK TRADING CO.</v>
      </c>
      <c r="M1279" s="447" t="str">
        <f>VLOOKUP(Advices[[#This Row],[LC Number]],'Combine_List'!A:D,3,0)</f>
        <v>FIRST FIX</v>
      </c>
      <c r="N1279" s="447" t="str">
        <f>VLOOKUP(Advices[[#This Row],[LC Number]],'Combine_List'!A:D,4,0)</f>
        <v>KSP</v>
      </c>
      <c r="O1279" s="1"/>
      <c r="P1279" s="1">
        <f>MONTH(Advices[[#This Row],[Transaction Date]])</f>
        <v>12</v>
      </c>
      <c r="Q1279" s="1">
        <f>YEAR(Advices[[#This Row],[Transaction Date]])</f>
        <v>2025</v>
      </c>
      <c r="R1279" s="1"/>
    </row>
    <row r="1280" spans="1:18" x14ac:dyDescent="0.25">
      <c r="A1280" s="264" t="s">
        <v>21</v>
      </c>
      <c r="B1280" s="265">
        <v>46022</v>
      </c>
      <c r="C1280" s="264" t="s">
        <v>1951</v>
      </c>
      <c r="D1280" s="264" t="s">
        <v>2574</v>
      </c>
      <c r="E1280" s="264" t="s">
        <v>1489</v>
      </c>
      <c r="F1280" s="264" t="s">
        <v>1489</v>
      </c>
      <c r="G1280" s="264" t="s">
        <v>26</v>
      </c>
      <c r="H1280" s="266">
        <v>-37.5</v>
      </c>
      <c r="I1280" s="13">
        <v>0</v>
      </c>
      <c r="J1280" s="264" t="s">
        <v>1174</v>
      </c>
      <c r="K1280" s="264" t="s">
        <v>2025</v>
      </c>
      <c r="L1280" s="1" t="str">
        <f>VLOOKUP(Advices[[#This Row],[LC Number]],'Combine_List'!A:D,2,0)</f>
        <v>AFAQ AL MALAZ TRADING CO. LTD</v>
      </c>
      <c r="M1280" s="447" t="str">
        <f>VLOOKUP(Advices[[#This Row],[LC Number]],'Combine_List'!A:D,3,0)</f>
        <v>FIRST FIX</v>
      </c>
      <c r="N1280" s="447" t="str">
        <f>VLOOKUP(Advices[[#This Row],[LC Number]],'Combine_List'!A:D,4,0)</f>
        <v>JCD SPMI</v>
      </c>
      <c r="O1280" s="1"/>
      <c r="P1280" s="1">
        <f>MONTH(Advices[[#This Row],[Transaction Date]])</f>
        <v>12</v>
      </c>
      <c r="Q1280" s="1">
        <f>YEAR(Advices[[#This Row],[Transaction Date]])</f>
        <v>2025</v>
      </c>
      <c r="R1280" s="1"/>
    </row>
    <row r="1281" spans="1:18" x14ac:dyDescent="0.25">
      <c r="A1281" s="264" t="s">
        <v>21</v>
      </c>
      <c r="B1281" s="265">
        <v>46022</v>
      </c>
      <c r="C1281" s="264" t="s">
        <v>1951</v>
      </c>
      <c r="D1281" s="264" t="s">
        <v>2574</v>
      </c>
      <c r="E1281" s="264" t="s">
        <v>1489</v>
      </c>
      <c r="F1281" s="264" t="s">
        <v>1489</v>
      </c>
      <c r="G1281" s="264" t="s">
        <v>26</v>
      </c>
      <c r="H1281" s="266">
        <v>-75</v>
      </c>
      <c r="I1281" s="13">
        <v>0</v>
      </c>
      <c r="J1281" s="264" t="s">
        <v>1174</v>
      </c>
      <c r="K1281" s="264" t="s">
        <v>2025</v>
      </c>
      <c r="L1281" s="1" t="str">
        <f>VLOOKUP(Advices[[#This Row],[LC Number]],'Combine_List'!A:D,2,0)</f>
        <v>AFAQ AL MALAZ TRADING CO. LTD</v>
      </c>
      <c r="M1281" s="447" t="str">
        <f>VLOOKUP(Advices[[#This Row],[LC Number]],'Combine_List'!A:D,3,0)</f>
        <v>FIRST FIX</v>
      </c>
      <c r="N1281" s="447" t="str">
        <f>VLOOKUP(Advices[[#This Row],[LC Number]],'Combine_List'!A:D,4,0)</f>
        <v>JCD SPMI</v>
      </c>
      <c r="O1281" s="1"/>
      <c r="P1281" s="1">
        <f>MONTH(Advices[[#This Row],[Transaction Date]])</f>
        <v>12</v>
      </c>
      <c r="Q1281" s="1">
        <f>YEAR(Advices[[#This Row],[Transaction Date]])</f>
        <v>2025</v>
      </c>
      <c r="R1281" s="1"/>
    </row>
    <row r="1282" spans="1:18" x14ac:dyDescent="0.25">
      <c r="A1282" s="264" t="s">
        <v>21</v>
      </c>
      <c r="B1282" s="265">
        <v>46022</v>
      </c>
      <c r="C1282" s="264" t="s">
        <v>1951</v>
      </c>
      <c r="D1282" s="264" t="s">
        <v>2581</v>
      </c>
      <c r="E1282" s="264" t="s">
        <v>1489</v>
      </c>
      <c r="F1282" s="264" t="s">
        <v>1489</v>
      </c>
      <c r="G1282" s="264" t="s">
        <v>26</v>
      </c>
      <c r="H1282" s="266">
        <v>-250</v>
      </c>
      <c r="I1282" s="13">
        <v>0</v>
      </c>
      <c r="J1282" s="264" t="s">
        <v>1963</v>
      </c>
      <c r="K1282" s="264" t="s">
        <v>2025</v>
      </c>
      <c r="L1282" s="1" t="str">
        <f>VLOOKUP(Advices[[#This Row],[LC Number]],'Combine_List'!A:D,2,0)</f>
        <v>AFAQ AL MALAZ TRADING CO. LTD</v>
      </c>
      <c r="M1282" s="447" t="str">
        <f>VLOOKUP(Advices[[#This Row],[LC Number]],'Combine_List'!A:D,3,0)</f>
        <v>FIRST FIX</v>
      </c>
      <c r="N1282" s="447" t="str">
        <f>VLOOKUP(Advices[[#This Row],[LC Number]],'Combine_List'!A:D,4,0)</f>
        <v>JCD SPMI</v>
      </c>
      <c r="O1282" s="1"/>
      <c r="P1282" s="1">
        <f>MONTH(Advices[[#This Row],[Transaction Date]])</f>
        <v>12</v>
      </c>
      <c r="Q1282" s="1">
        <f>YEAR(Advices[[#This Row],[Transaction Date]])</f>
        <v>2025</v>
      </c>
      <c r="R1282" s="1"/>
    </row>
    <row r="1283" spans="1:18" x14ac:dyDescent="0.25">
      <c r="A1283" s="264" t="s">
        <v>21</v>
      </c>
      <c r="B1283" s="265">
        <v>46022</v>
      </c>
      <c r="C1283" s="264" t="s">
        <v>1951</v>
      </c>
      <c r="D1283" s="264" t="s">
        <v>2582</v>
      </c>
      <c r="E1283" s="264" t="s">
        <v>1489</v>
      </c>
      <c r="F1283" s="264" t="s">
        <v>1489</v>
      </c>
      <c r="G1283" s="264" t="s">
        <v>26</v>
      </c>
      <c r="H1283" s="266">
        <v>-500</v>
      </c>
      <c r="I1283" s="13">
        <v>0</v>
      </c>
      <c r="J1283" s="264" t="s">
        <v>1124</v>
      </c>
      <c r="K1283" s="264" t="s">
        <v>2025</v>
      </c>
      <c r="L1283" s="1" t="str">
        <f>VLOOKUP(Advices[[#This Row],[LC Number]],'Combine_List'!A:D,2,0)</f>
        <v>AFAQ AL MALAZ TRADING CO. LTD</v>
      </c>
      <c r="M1283" s="447" t="str">
        <f>VLOOKUP(Advices[[#This Row],[LC Number]],'Combine_List'!A:D,3,0)</f>
        <v>FIRST FIX</v>
      </c>
      <c r="N1283" s="447" t="str">
        <f>VLOOKUP(Advices[[#This Row],[LC Number]],'Combine_List'!A:D,4,0)</f>
        <v>JCD SPMI</v>
      </c>
      <c r="O1283" s="1"/>
      <c r="P1283" s="1">
        <f>MONTH(Advices[[#This Row],[Transaction Date]])</f>
        <v>12</v>
      </c>
      <c r="Q1283" s="1">
        <f>YEAR(Advices[[#This Row],[Transaction Date]])</f>
        <v>2025</v>
      </c>
      <c r="R1283" s="1"/>
    </row>
    <row r="1284" spans="1:18" x14ac:dyDescent="0.25">
      <c r="A1284" s="264" t="s">
        <v>21</v>
      </c>
      <c r="B1284" s="265">
        <v>46022</v>
      </c>
      <c r="C1284" s="264" t="s">
        <v>1951</v>
      </c>
      <c r="D1284" s="264" t="s">
        <v>2574</v>
      </c>
      <c r="E1284" s="264" t="s">
        <v>1495</v>
      </c>
      <c r="F1284" s="264" t="s">
        <v>1495</v>
      </c>
      <c r="G1284" s="264" t="s">
        <v>26</v>
      </c>
      <c r="H1284" s="266">
        <v>-37.5</v>
      </c>
      <c r="I1284" s="13">
        <v>0</v>
      </c>
      <c r="J1284" s="264" t="s">
        <v>1174</v>
      </c>
      <c r="K1284" s="264" t="s">
        <v>2025</v>
      </c>
      <c r="L1284" s="1" t="str">
        <f>VLOOKUP(Advices[[#This Row],[LC Number]],'Combine_List'!A:D,2,0)</f>
        <v>Almansha Almubasher Trading Company</v>
      </c>
      <c r="M1284" s="447" t="str">
        <f>VLOOKUP(Advices[[#This Row],[LC Number]],'Combine_List'!A:D,3,0)</f>
        <v>FIRST FIX</v>
      </c>
      <c r="N1284" s="447" t="str">
        <f>VLOOKUP(Advices[[#This Row],[LC Number]],'Combine_List'!A:D,4,0)</f>
        <v>JCD SPMI</v>
      </c>
      <c r="O1284" s="1"/>
      <c r="P1284" s="1">
        <f>MONTH(Advices[[#This Row],[Transaction Date]])</f>
        <v>12</v>
      </c>
      <c r="Q1284" s="1">
        <f>YEAR(Advices[[#This Row],[Transaction Date]])</f>
        <v>2025</v>
      </c>
      <c r="R1284" s="1"/>
    </row>
    <row r="1285" spans="1:18" x14ac:dyDescent="0.25">
      <c r="A1285" s="264" t="s">
        <v>21</v>
      </c>
      <c r="B1285" s="265">
        <v>46022</v>
      </c>
      <c r="C1285" s="264" t="s">
        <v>1951</v>
      </c>
      <c r="D1285" s="264" t="s">
        <v>2574</v>
      </c>
      <c r="E1285" s="264" t="s">
        <v>1495</v>
      </c>
      <c r="F1285" s="264" t="s">
        <v>1495</v>
      </c>
      <c r="G1285" s="264" t="s">
        <v>26</v>
      </c>
      <c r="H1285" s="266">
        <v>-75</v>
      </c>
      <c r="I1285" s="13">
        <v>0</v>
      </c>
      <c r="J1285" s="264" t="s">
        <v>1174</v>
      </c>
      <c r="K1285" s="264" t="s">
        <v>2025</v>
      </c>
      <c r="L1285" s="1" t="str">
        <f>VLOOKUP(Advices[[#This Row],[LC Number]],'Combine_List'!A:D,2,0)</f>
        <v>Almansha Almubasher Trading Company</v>
      </c>
      <c r="M1285" s="447" t="str">
        <f>VLOOKUP(Advices[[#This Row],[LC Number]],'Combine_List'!A:D,3,0)</f>
        <v>FIRST FIX</v>
      </c>
      <c r="N1285" s="447" t="str">
        <f>VLOOKUP(Advices[[#This Row],[LC Number]],'Combine_List'!A:D,4,0)</f>
        <v>JCD SPMI</v>
      </c>
      <c r="O1285" s="1"/>
      <c r="P1285" s="1">
        <f>MONTH(Advices[[#This Row],[Transaction Date]])</f>
        <v>12</v>
      </c>
      <c r="Q1285" s="1">
        <f>YEAR(Advices[[#This Row],[Transaction Date]])</f>
        <v>2025</v>
      </c>
      <c r="R1285" s="1"/>
    </row>
    <row r="1286" spans="1:18" x14ac:dyDescent="0.25">
      <c r="A1286" s="264" t="s">
        <v>21</v>
      </c>
      <c r="B1286" s="265">
        <v>46022</v>
      </c>
      <c r="C1286" s="264" t="s">
        <v>1951</v>
      </c>
      <c r="D1286" s="264" t="s">
        <v>2583</v>
      </c>
      <c r="E1286" s="264" t="s">
        <v>1495</v>
      </c>
      <c r="F1286" s="264" t="s">
        <v>1495</v>
      </c>
      <c r="G1286" s="264" t="s">
        <v>26</v>
      </c>
      <c r="H1286" s="266">
        <v>-250</v>
      </c>
      <c r="I1286" s="13">
        <v>0</v>
      </c>
      <c r="J1286" s="264" t="s">
        <v>1963</v>
      </c>
      <c r="K1286" s="264" t="s">
        <v>2025</v>
      </c>
      <c r="L1286" s="1" t="str">
        <f>VLOOKUP(Advices[[#This Row],[LC Number]],'Combine_List'!A:D,2,0)</f>
        <v>Almansha Almubasher Trading Company</v>
      </c>
      <c r="M1286" s="447" t="str">
        <f>VLOOKUP(Advices[[#This Row],[LC Number]],'Combine_List'!A:D,3,0)</f>
        <v>FIRST FIX</v>
      </c>
      <c r="N1286" s="447" t="str">
        <f>VLOOKUP(Advices[[#This Row],[LC Number]],'Combine_List'!A:D,4,0)</f>
        <v>JCD SPMI</v>
      </c>
      <c r="O1286" s="1"/>
      <c r="P1286" s="1">
        <f>MONTH(Advices[[#This Row],[Transaction Date]])</f>
        <v>12</v>
      </c>
      <c r="Q1286" s="1">
        <f>YEAR(Advices[[#This Row],[Transaction Date]])</f>
        <v>2025</v>
      </c>
      <c r="R1286" s="1"/>
    </row>
    <row r="1287" spans="1:18" x14ac:dyDescent="0.25">
      <c r="A1287" s="264" t="s">
        <v>21</v>
      </c>
      <c r="B1287" s="265">
        <v>46022</v>
      </c>
      <c r="C1287" s="264" t="s">
        <v>1951</v>
      </c>
      <c r="D1287" s="264" t="s">
        <v>2584</v>
      </c>
      <c r="E1287" s="264" t="s">
        <v>1495</v>
      </c>
      <c r="F1287" s="264" t="s">
        <v>1495</v>
      </c>
      <c r="G1287" s="264" t="s">
        <v>26</v>
      </c>
      <c r="H1287" s="266">
        <v>-500</v>
      </c>
      <c r="I1287" s="13">
        <v>0</v>
      </c>
      <c r="J1287" s="264" t="s">
        <v>1124</v>
      </c>
      <c r="K1287" s="264" t="s">
        <v>2025</v>
      </c>
      <c r="L1287" s="1" t="str">
        <f>VLOOKUP(Advices[[#This Row],[LC Number]],'Combine_List'!A:D,2,0)</f>
        <v>Almansha Almubasher Trading Company</v>
      </c>
      <c r="M1287" s="447" t="str">
        <f>VLOOKUP(Advices[[#This Row],[LC Number]],'Combine_List'!A:D,3,0)</f>
        <v>FIRST FIX</v>
      </c>
      <c r="N1287" s="447" t="str">
        <f>VLOOKUP(Advices[[#This Row],[LC Number]],'Combine_List'!A:D,4,0)</f>
        <v>JCD SPMI</v>
      </c>
      <c r="O1287" s="1"/>
      <c r="P1287" s="1">
        <f>MONTH(Advices[[#This Row],[Transaction Date]])</f>
        <v>12</v>
      </c>
      <c r="Q1287" s="1">
        <f>YEAR(Advices[[#This Row],[Transaction Date]])</f>
        <v>2025</v>
      </c>
      <c r="R1287" s="1"/>
    </row>
    <row r="1288" spans="1:18" x14ac:dyDescent="0.25">
      <c r="A1288" s="264" t="s">
        <v>21</v>
      </c>
      <c r="B1288" s="265">
        <v>46022</v>
      </c>
      <c r="C1288" s="264" t="s">
        <v>1951</v>
      </c>
      <c r="D1288" s="264" t="s">
        <v>3302</v>
      </c>
      <c r="E1288" s="264" t="s">
        <v>1503</v>
      </c>
      <c r="F1288" s="264" t="s">
        <v>1503</v>
      </c>
      <c r="G1288" s="264" t="s">
        <v>26</v>
      </c>
      <c r="H1288" s="266">
        <v>-37.5</v>
      </c>
      <c r="I1288" s="13">
        <v>0</v>
      </c>
      <c r="J1288" s="264" t="s">
        <v>1174</v>
      </c>
      <c r="K1288" s="264" t="s">
        <v>2025</v>
      </c>
      <c r="L1288" s="1" t="str">
        <f>VLOOKUP(Advices[[#This Row],[LC Number]],'Combine_List'!A:D,2,0)</f>
        <v>SKM AIR CONDITIONING CO</v>
      </c>
      <c r="M1288" s="447" t="str">
        <f>VLOOKUP(Advices[[#This Row],[LC Number]],'Combine_List'!A:D,3,0)</f>
        <v>FIRST FIX</v>
      </c>
      <c r="N1288" s="447" t="str">
        <f>VLOOKUP(Advices[[#This Row],[LC Number]],'Combine_List'!A:D,4,0)</f>
        <v>JCD SPMI</v>
      </c>
      <c r="O1288" s="1"/>
      <c r="P1288" s="1">
        <f>MONTH(Advices[[#This Row],[Transaction Date]])</f>
        <v>12</v>
      </c>
      <c r="Q1288" s="1">
        <f>YEAR(Advices[[#This Row],[Transaction Date]])</f>
        <v>2025</v>
      </c>
      <c r="R1288" s="1"/>
    </row>
    <row r="1289" spans="1:18" x14ac:dyDescent="0.25">
      <c r="A1289" s="264" t="s">
        <v>21</v>
      </c>
      <c r="B1289" s="265">
        <v>46022</v>
      </c>
      <c r="C1289" s="264" t="s">
        <v>1951</v>
      </c>
      <c r="D1289" s="264" t="s">
        <v>3302</v>
      </c>
      <c r="E1289" s="264" t="s">
        <v>1503</v>
      </c>
      <c r="F1289" s="264" t="s">
        <v>1503</v>
      </c>
      <c r="G1289" s="264" t="s">
        <v>26</v>
      </c>
      <c r="H1289" s="266">
        <v>-133.94999999999999</v>
      </c>
      <c r="I1289" s="13">
        <v>0</v>
      </c>
      <c r="J1289" s="264" t="s">
        <v>1174</v>
      </c>
      <c r="K1289" s="264" t="s">
        <v>2025</v>
      </c>
      <c r="L1289" s="1" t="str">
        <f>VLOOKUP(Advices[[#This Row],[LC Number]],'Combine_List'!A:D,2,0)</f>
        <v>SKM AIR CONDITIONING CO</v>
      </c>
      <c r="M1289" s="447" t="str">
        <f>VLOOKUP(Advices[[#This Row],[LC Number]],'Combine_List'!A:D,3,0)</f>
        <v>FIRST FIX</v>
      </c>
      <c r="N1289" s="447" t="str">
        <f>VLOOKUP(Advices[[#This Row],[LC Number]],'Combine_List'!A:D,4,0)</f>
        <v>JCD SPMI</v>
      </c>
      <c r="O1289" s="1"/>
      <c r="P1289" s="1">
        <f>MONTH(Advices[[#This Row],[Transaction Date]])</f>
        <v>12</v>
      </c>
      <c r="Q1289" s="1">
        <f>YEAR(Advices[[#This Row],[Transaction Date]])</f>
        <v>2025</v>
      </c>
      <c r="R1289" s="1"/>
    </row>
    <row r="1290" spans="1:18" x14ac:dyDescent="0.25">
      <c r="A1290" s="264" t="s">
        <v>21</v>
      </c>
      <c r="B1290" s="265">
        <v>46022</v>
      </c>
      <c r="C1290" s="264" t="s">
        <v>1951</v>
      </c>
      <c r="D1290" s="264" t="s">
        <v>2586</v>
      </c>
      <c r="E1290" s="264" t="s">
        <v>1503</v>
      </c>
      <c r="F1290" s="264" t="s">
        <v>1503</v>
      </c>
      <c r="G1290" s="264" t="s">
        <v>26</v>
      </c>
      <c r="H1290" s="266">
        <v>-250</v>
      </c>
      <c r="I1290" s="13">
        <v>0</v>
      </c>
      <c r="J1290" s="264" t="s">
        <v>1963</v>
      </c>
      <c r="K1290" s="264" t="s">
        <v>2025</v>
      </c>
      <c r="L1290" s="1" t="str">
        <f>VLOOKUP(Advices[[#This Row],[LC Number]],'Combine_List'!A:D,2,0)</f>
        <v>SKM AIR CONDITIONING CO</v>
      </c>
      <c r="M1290" s="447" t="str">
        <f>VLOOKUP(Advices[[#This Row],[LC Number]],'Combine_List'!A:D,3,0)</f>
        <v>FIRST FIX</v>
      </c>
      <c r="N1290" s="447" t="str">
        <f>VLOOKUP(Advices[[#This Row],[LC Number]],'Combine_List'!A:D,4,0)</f>
        <v>JCD SPMI</v>
      </c>
      <c r="O1290" s="1"/>
      <c r="P1290" s="1">
        <f>MONTH(Advices[[#This Row],[Transaction Date]])</f>
        <v>12</v>
      </c>
      <c r="Q1290" s="1">
        <f>YEAR(Advices[[#This Row],[Transaction Date]])</f>
        <v>2025</v>
      </c>
      <c r="R1290" s="1"/>
    </row>
    <row r="1291" spans="1:18" x14ac:dyDescent="0.25">
      <c r="A1291" s="264" t="s">
        <v>21</v>
      </c>
      <c r="B1291" s="265">
        <v>46022</v>
      </c>
      <c r="C1291" s="264" t="s">
        <v>1951</v>
      </c>
      <c r="D1291" s="264" t="s">
        <v>2587</v>
      </c>
      <c r="E1291" s="264" t="s">
        <v>1503</v>
      </c>
      <c r="F1291" s="264" t="s">
        <v>1503</v>
      </c>
      <c r="G1291" s="264" t="s">
        <v>26</v>
      </c>
      <c r="H1291" s="266">
        <v>-893.02</v>
      </c>
      <c r="I1291" s="13">
        <v>0</v>
      </c>
      <c r="J1291" s="264" t="s">
        <v>1124</v>
      </c>
      <c r="K1291" s="264" t="s">
        <v>2025</v>
      </c>
      <c r="L1291" s="1" t="str">
        <f>VLOOKUP(Advices[[#This Row],[LC Number]],'Combine_List'!A:D,2,0)</f>
        <v>SKM AIR CONDITIONING CO</v>
      </c>
      <c r="M1291" s="447" t="str">
        <f>VLOOKUP(Advices[[#This Row],[LC Number]],'Combine_List'!A:D,3,0)</f>
        <v>FIRST FIX</v>
      </c>
      <c r="N1291" s="447" t="str">
        <f>VLOOKUP(Advices[[#This Row],[LC Number]],'Combine_List'!A:D,4,0)</f>
        <v>JCD SPMI</v>
      </c>
      <c r="O1291" s="1"/>
      <c r="P1291" s="1">
        <f>MONTH(Advices[[#This Row],[Transaction Date]])</f>
        <v>12</v>
      </c>
      <c r="Q1291" s="1">
        <f>YEAR(Advices[[#This Row],[Transaction Date]])</f>
        <v>2025</v>
      </c>
      <c r="R1291" s="1"/>
    </row>
    <row r="1292" spans="1:18" x14ac:dyDescent="0.25">
      <c r="A1292" s="264" t="s">
        <v>21</v>
      </c>
      <c r="B1292" s="265">
        <v>46022</v>
      </c>
      <c r="C1292" s="264" t="s">
        <v>1951</v>
      </c>
      <c r="D1292" s="264" t="s">
        <v>1952</v>
      </c>
      <c r="E1292" s="264" t="s">
        <v>1519</v>
      </c>
      <c r="F1292" s="264" t="s">
        <v>3303</v>
      </c>
      <c r="G1292" s="264" t="s">
        <v>26</v>
      </c>
      <c r="H1292" s="266">
        <v>-187.5</v>
      </c>
      <c r="I1292" s="13">
        <v>0</v>
      </c>
      <c r="J1292" s="264" t="s">
        <v>1174</v>
      </c>
      <c r="K1292" s="264" t="s">
        <v>2025</v>
      </c>
      <c r="L1292" s="1" t="str">
        <f>VLOOKUP(Advices[[#This Row],[LC Number]],'Combine_List'!A:D,2,0)</f>
        <v>MAHAWAR AL JAZEERA CONTRACTING CO.</v>
      </c>
      <c r="M1292" s="447" t="str">
        <f>VLOOKUP(Advices[[#This Row],[LC Number]],'Combine_List'!A:D,3,0)</f>
        <v>FIRST FIX</v>
      </c>
      <c r="N1292" s="447" t="str">
        <f>VLOOKUP(Advices[[#This Row],[LC Number]],'Combine_List'!A:D,4,0)</f>
        <v>JCD SPMI</v>
      </c>
      <c r="O1292" s="1"/>
      <c r="P1292" s="1">
        <f>MONTH(Advices[[#This Row],[Transaction Date]])</f>
        <v>12</v>
      </c>
      <c r="Q1292" s="1">
        <f>YEAR(Advices[[#This Row],[Transaction Date]])</f>
        <v>2025</v>
      </c>
      <c r="R1292" s="1"/>
    </row>
    <row r="1293" spans="1:18" x14ac:dyDescent="0.25">
      <c r="A1293" s="264" t="s">
        <v>21</v>
      </c>
      <c r="B1293" s="265">
        <v>46022</v>
      </c>
      <c r="C1293" s="264" t="s">
        <v>1951</v>
      </c>
      <c r="D1293" s="264" t="s">
        <v>3304</v>
      </c>
      <c r="E1293" s="264" t="s">
        <v>1519</v>
      </c>
      <c r="F1293" s="264" t="s">
        <v>3303</v>
      </c>
      <c r="G1293" s="264" t="s">
        <v>26</v>
      </c>
      <c r="H1293" s="266">
        <v>-1250</v>
      </c>
      <c r="I1293" s="13">
        <v>0</v>
      </c>
      <c r="J1293" s="264" t="s">
        <v>1125</v>
      </c>
      <c r="K1293" s="264" t="s">
        <v>2025</v>
      </c>
      <c r="L1293" s="1" t="str">
        <f>VLOOKUP(Advices[[#This Row],[LC Number]],'Combine_List'!A:D,2,0)</f>
        <v>MAHAWAR AL JAZEERA CONTRACTING CO.</v>
      </c>
      <c r="M1293" s="447" t="str">
        <f>VLOOKUP(Advices[[#This Row],[LC Number]],'Combine_List'!A:D,3,0)</f>
        <v>FIRST FIX</v>
      </c>
      <c r="N1293" s="447" t="str">
        <f>VLOOKUP(Advices[[#This Row],[LC Number]],'Combine_List'!A:D,4,0)</f>
        <v>JCD SPMI</v>
      </c>
      <c r="O1293" s="1"/>
      <c r="P1293" s="1">
        <f>MONTH(Advices[[#This Row],[Transaction Date]])</f>
        <v>12</v>
      </c>
      <c r="Q1293" s="1">
        <f>YEAR(Advices[[#This Row],[Transaction Date]])</f>
        <v>2025</v>
      </c>
      <c r="R1293" s="1"/>
    </row>
    <row r="1294" spans="1:18" x14ac:dyDescent="0.25">
      <c r="A1294" s="264" t="s">
        <v>21</v>
      </c>
      <c r="B1294" s="265">
        <v>46022</v>
      </c>
      <c r="C1294" s="264" t="s">
        <v>1951</v>
      </c>
      <c r="D1294" s="264" t="s">
        <v>2574</v>
      </c>
      <c r="E1294" s="264" t="s">
        <v>1525</v>
      </c>
      <c r="F1294" s="264" t="s">
        <v>1525</v>
      </c>
      <c r="G1294" s="264" t="s">
        <v>26</v>
      </c>
      <c r="H1294" s="266">
        <v>-37.5</v>
      </c>
      <c r="I1294" s="13">
        <v>0</v>
      </c>
      <c r="J1294" s="264" t="s">
        <v>1174</v>
      </c>
      <c r="K1294" s="264" t="s">
        <v>2025</v>
      </c>
      <c r="L1294" s="1" t="str">
        <f>VLOOKUP(Advices[[#This Row],[LC Number]],'Combine_List'!A:D,2,0)</f>
        <v>STAR SQUARES CO LTD</v>
      </c>
      <c r="M1294" s="447" t="str">
        <f>VLOOKUP(Advices[[#This Row],[LC Number]],'Combine_List'!A:D,3,0)</f>
        <v>FIRST FIX</v>
      </c>
      <c r="N1294" s="447" t="str">
        <f>VLOOKUP(Advices[[#This Row],[LC Number]],'Combine_List'!A:D,4,0)</f>
        <v>JCD SPMI</v>
      </c>
      <c r="O1294" s="1"/>
      <c r="P1294" s="1">
        <f>MONTH(Advices[[#This Row],[Transaction Date]])</f>
        <v>12</v>
      </c>
      <c r="Q1294" s="1">
        <f>YEAR(Advices[[#This Row],[Transaction Date]])</f>
        <v>2025</v>
      </c>
      <c r="R1294" s="1"/>
    </row>
    <row r="1295" spans="1:18" x14ac:dyDescent="0.25">
      <c r="A1295" s="264" t="s">
        <v>21</v>
      </c>
      <c r="B1295" s="265">
        <v>46022</v>
      </c>
      <c r="C1295" s="264" t="s">
        <v>1951</v>
      </c>
      <c r="D1295" s="264" t="s">
        <v>2574</v>
      </c>
      <c r="E1295" s="264" t="s">
        <v>1525</v>
      </c>
      <c r="F1295" s="264" t="s">
        <v>1525</v>
      </c>
      <c r="G1295" s="264" t="s">
        <v>26</v>
      </c>
      <c r="H1295" s="266">
        <v>-75</v>
      </c>
      <c r="I1295" s="13">
        <v>0</v>
      </c>
      <c r="J1295" s="264" t="s">
        <v>1174</v>
      </c>
      <c r="K1295" s="264" t="s">
        <v>2025</v>
      </c>
      <c r="L1295" s="1" t="str">
        <f>VLOOKUP(Advices[[#This Row],[LC Number]],'Combine_List'!A:D,2,0)</f>
        <v>STAR SQUARES CO LTD</v>
      </c>
      <c r="M1295" s="447" t="str">
        <f>VLOOKUP(Advices[[#This Row],[LC Number]],'Combine_List'!A:D,3,0)</f>
        <v>FIRST FIX</v>
      </c>
      <c r="N1295" s="447" t="str">
        <f>VLOOKUP(Advices[[#This Row],[LC Number]],'Combine_List'!A:D,4,0)</f>
        <v>JCD SPMI</v>
      </c>
      <c r="O1295" s="1"/>
      <c r="P1295" s="1">
        <f>MONTH(Advices[[#This Row],[Transaction Date]])</f>
        <v>12</v>
      </c>
      <c r="Q1295" s="1">
        <f>YEAR(Advices[[#This Row],[Transaction Date]])</f>
        <v>2025</v>
      </c>
      <c r="R1295" s="1"/>
    </row>
    <row r="1296" spans="1:18" x14ac:dyDescent="0.25">
      <c r="A1296" s="264" t="s">
        <v>21</v>
      </c>
      <c r="B1296" s="265">
        <v>46022</v>
      </c>
      <c r="C1296" s="264" t="s">
        <v>1951</v>
      </c>
      <c r="D1296" s="264" t="s">
        <v>2590</v>
      </c>
      <c r="E1296" s="264" t="s">
        <v>1525</v>
      </c>
      <c r="F1296" s="264" t="s">
        <v>1525</v>
      </c>
      <c r="G1296" s="264" t="s">
        <v>26</v>
      </c>
      <c r="H1296" s="266">
        <v>-250</v>
      </c>
      <c r="I1296" s="13">
        <v>0</v>
      </c>
      <c r="J1296" s="264" t="s">
        <v>1963</v>
      </c>
      <c r="K1296" s="264" t="s">
        <v>2025</v>
      </c>
      <c r="L1296" s="1" t="str">
        <f>VLOOKUP(Advices[[#This Row],[LC Number]],'Combine_List'!A:D,2,0)</f>
        <v>STAR SQUARES CO LTD</v>
      </c>
      <c r="M1296" s="447" t="str">
        <f>VLOOKUP(Advices[[#This Row],[LC Number]],'Combine_List'!A:D,3,0)</f>
        <v>FIRST FIX</v>
      </c>
      <c r="N1296" s="447" t="str">
        <f>VLOOKUP(Advices[[#This Row],[LC Number]],'Combine_List'!A:D,4,0)</f>
        <v>JCD SPMI</v>
      </c>
      <c r="O1296" s="1"/>
      <c r="P1296" s="1">
        <f>MONTH(Advices[[#This Row],[Transaction Date]])</f>
        <v>12</v>
      </c>
      <c r="Q1296" s="1">
        <f>YEAR(Advices[[#This Row],[Transaction Date]])</f>
        <v>2025</v>
      </c>
      <c r="R1296" s="1"/>
    </row>
    <row r="1297" spans="1:18" x14ac:dyDescent="0.25">
      <c r="A1297" s="264" t="s">
        <v>21</v>
      </c>
      <c r="B1297" s="265">
        <v>46022</v>
      </c>
      <c r="C1297" s="264" t="s">
        <v>1951</v>
      </c>
      <c r="D1297" s="264" t="s">
        <v>2591</v>
      </c>
      <c r="E1297" s="264" t="s">
        <v>1525</v>
      </c>
      <c r="F1297" s="264" t="s">
        <v>1525</v>
      </c>
      <c r="G1297" s="264" t="s">
        <v>26</v>
      </c>
      <c r="H1297" s="266">
        <v>-500</v>
      </c>
      <c r="I1297" s="13">
        <v>0</v>
      </c>
      <c r="J1297" s="264" t="s">
        <v>1124</v>
      </c>
      <c r="K1297" s="264" t="s">
        <v>2025</v>
      </c>
      <c r="L1297" s="1" t="str">
        <f>VLOOKUP(Advices[[#This Row],[LC Number]],'Combine_List'!A:D,2,0)</f>
        <v>STAR SQUARES CO LTD</v>
      </c>
      <c r="M1297" s="447" t="str">
        <f>VLOOKUP(Advices[[#This Row],[LC Number]],'Combine_List'!A:D,3,0)</f>
        <v>FIRST FIX</v>
      </c>
      <c r="N1297" s="447" t="str">
        <f>VLOOKUP(Advices[[#This Row],[LC Number]],'Combine_List'!A:D,4,0)</f>
        <v>JCD SPMI</v>
      </c>
      <c r="O1297" s="1"/>
      <c r="P1297" s="1">
        <f>MONTH(Advices[[#This Row],[Transaction Date]])</f>
        <v>12</v>
      </c>
      <c r="Q1297" s="1">
        <f>YEAR(Advices[[#This Row],[Transaction Date]])</f>
        <v>2025</v>
      </c>
      <c r="R1297" s="1"/>
    </row>
    <row r="1298" spans="1:18" x14ac:dyDescent="0.25">
      <c r="A1298" s="264" t="s">
        <v>21</v>
      </c>
      <c r="B1298" s="265">
        <v>46022</v>
      </c>
      <c r="C1298" s="264" t="s">
        <v>1951</v>
      </c>
      <c r="D1298" s="264" t="s">
        <v>3305</v>
      </c>
      <c r="E1298" s="264" t="s">
        <v>2917</v>
      </c>
      <c r="F1298" s="264" t="s">
        <v>3306</v>
      </c>
      <c r="G1298" s="264" t="s">
        <v>26</v>
      </c>
      <c r="H1298" s="266">
        <v>-750</v>
      </c>
      <c r="I1298" s="13">
        <v>0</v>
      </c>
      <c r="J1298" s="264" t="s">
        <v>1174</v>
      </c>
      <c r="K1298" s="264" t="s">
        <v>2025</v>
      </c>
      <c r="L1298" s="1" t="str">
        <f>VLOOKUP(Advices[[#This Row],[LC Number]],'Combine_List'!A:D,2,0)</f>
        <v>Depth Modern Technologies Co.</v>
      </c>
      <c r="M1298" s="447" t="str">
        <f>VLOOKUP(Advices[[#This Row],[LC Number]],'Combine_List'!A:D,3,0)</f>
        <v>FIRST FIX</v>
      </c>
      <c r="N1298" s="447" t="str">
        <f>VLOOKUP(Advices[[#This Row],[LC Number]],'Combine_List'!A:D,4,0)</f>
        <v>KSP</v>
      </c>
      <c r="O1298" s="1"/>
      <c r="P1298" s="1">
        <f>MONTH(Advices[[#This Row],[Transaction Date]])</f>
        <v>12</v>
      </c>
      <c r="Q1298" s="1">
        <f>YEAR(Advices[[#This Row],[Transaction Date]])</f>
        <v>2025</v>
      </c>
      <c r="R1298" s="1"/>
    </row>
    <row r="1299" spans="1:18" x14ac:dyDescent="0.25">
      <c r="A1299" s="264" t="s">
        <v>21</v>
      </c>
      <c r="B1299" s="265">
        <v>46022</v>
      </c>
      <c r="C1299" s="264" t="s">
        <v>1951</v>
      </c>
      <c r="D1299" s="264" t="s">
        <v>3307</v>
      </c>
      <c r="E1299" s="264" t="s">
        <v>2917</v>
      </c>
      <c r="F1299" s="264" t="s">
        <v>3306</v>
      </c>
      <c r="G1299" s="264" t="s">
        <v>26</v>
      </c>
      <c r="H1299" s="266">
        <v>-5000</v>
      </c>
      <c r="I1299" s="13">
        <v>0</v>
      </c>
      <c r="J1299" s="264" t="s">
        <v>1125</v>
      </c>
      <c r="K1299" s="264" t="s">
        <v>2025</v>
      </c>
      <c r="L1299" s="1" t="str">
        <f>VLOOKUP(Advices[[#This Row],[LC Number]],'Combine_List'!A:D,2,0)</f>
        <v>Depth Modern Technologies Co.</v>
      </c>
      <c r="M1299" s="447" t="str">
        <f>VLOOKUP(Advices[[#This Row],[LC Number]],'Combine_List'!A:D,3,0)</f>
        <v>FIRST FIX</v>
      </c>
      <c r="N1299" s="447" t="str">
        <f>VLOOKUP(Advices[[#This Row],[LC Number]],'Combine_List'!A:D,4,0)</f>
        <v>KSP</v>
      </c>
      <c r="O1299" s="1"/>
      <c r="P1299" s="1">
        <f>MONTH(Advices[[#This Row],[Transaction Date]])</f>
        <v>12</v>
      </c>
      <c r="Q1299" s="1">
        <f>YEAR(Advices[[#This Row],[Transaction Date]])</f>
        <v>2025</v>
      </c>
      <c r="R1299" s="1"/>
    </row>
    <row r="1300" spans="1:18" hidden="1" x14ac:dyDescent="0.25">
      <c r="A1300" s="264" t="s">
        <v>95</v>
      </c>
      <c r="B1300" s="265">
        <v>46022</v>
      </c>
      <c r="C1300" s="264" t="s">
        <v>2026</v>
      </c>
      <c r="D1300" s="264" t="s">
        <v>3308</v>
      </c>
      <c r="E1300" s="264" t="s">
        <v>707</v>
      </c>
      <c r="F1300" s="264" t="s">
        <v>3309</v>
      </c>
      <c r="G1300" s="264" t="s">
        <v>26</v>
      </c>
      <c r="H1300" s="266">
        <v>-655.76</v>
      </c>
      <c r="I1300" s="13">
        <v>0</v>
      </c>
      <c r="J1300" s="264" t="s">
        <v>1125</v>
      </c>
      <c r="K1300" s="264" t="s">
        <v>2025</v>
      </c>
      <c r="L1300" s="1" t="str">
        <f>VLOOKUP(Advices[[#This Row],[LC Number]],'Combine_List'!A:D,2,0)</f>
        <v>BBH-CHEMTROL INTERNATIONAL ORGANIZATION S.L</v>
      </c>
      <c r="M1300" s="447" t="str">
        <f>VLOOKUP(Advices[[#This Row],[LC Number]],'Combine_List'!A:D,3,0)</f>
        <v>MBL/ICAD</v>
      </c>
      <c r="N1300" s="447" t="str">
        <f>VLOOKUP(Advices[[#This Row],[LC Number]],'Combine_List'!A:D,4,0)</f>
        <v>OPERA House</v>
      </c>
      <c r="O1300" s="1"/>
      <c r="P1300" s="1">
        <f>MONTH(Advices[[#This Row],[Transaction Date]])</f>
        <v>12</v>
      </c>
      <c r="Q1300" s="1">
        <f>YEAR(Advices[[#This Row],[Transaction Date]])</f>
        <v>2025</v>
      </c>
      <c r="R1300" s="1"/>
    </row>
    <row r="1301" spans="1:18" hidden="1" x14ac:dyDescent="0.25">
      <c r="A1301" s="264" t="s">
        <v>95</v>
      </c>
      <c r="B1301" s="265">
        <v>46022</v>
      </c>
      <c r="C1301" s="264" t="s">
        <v>2304</v>
      </c>
      <c r="D1301" s="264" t="s">
        <v>3310</v>
      </c>
      <c r="E1301" s="264" t="s">
        <v>1095</v>
      </c>
      <c r="F1301" s="264" t="s">
        <v>3311</v>
      </c>
      <c r="G1301" s="264"/>
      <c r="H1301" s="266">
        <v>-385250</v>
      </c>
      <c r="I1301" s="13">
        <v>0</v>
      </c>
      <c r="J1301" s="264" t="s">
        <v>2900</v>
      </c>
      <c r="K1301" s="264" t="s">
        <v>2025</v>
      </c>
      <c r="L1301" s="1" t="str">
        <f>VLOOKUP(Advices[[#This Row],[LC Number]],'Combine_List'!A:D,2,0)</f>
        <v>Material - JEDDAH CENTRAL DEVELOPMENT COMPANY (JCD)</v>
      </c>
      <c r="M1301" s="447">
        <f>VLOOKUP(Advices[[#This Row],[LC Number]],'Combine_List'!A:D,3,0)</f>
        <v>0</v>
      </c>
      <c r="N1301" s="447" t="str">
        <f>VLOOKUP(Advices[[#This Row],[LC Number]],'Combine_List'!A:D,4,0)</f>
        <v>Opera House</v>
      </c>
      <c r="O1301" s="1"/>
      <c r="P1301" s="1">
        <f>MONTH(Advices[[#This Row],[Transaction Date]])</f>
        <v>12</v>
      </c>
      <c r="Q1301" s="1">
        <f>YEAR(Advices[[#This Row],[Transaction Date]])</f>
        <v>2025</v>
      </c>
      <c r="R1301" s="1"/>
    </row>
    <row r="1302" spans="1:18" hidden="1" x14ac:dyDescent="0.25">
      <c r="A1302" s="264" t="s">
        <v>612</v>
      </c>
      <c r="B1302" s="265">
        <v>46022</v>
      </c>
      <c r="C1302" s="264" t="s">
        <v>2101</v>
      </c>
      <c r="D1302" s="264" t="s">
        <v>3312</v>
      </c>
      <c r="E1302" s="264" t="s">
        <v>1809</v>
      </c>
      <c r="F1302" s="264" t="s">
        <v>2041</v>
      </c>
      <c r="G1302" s="264" t="s">
        <v>26</v>
      </c>
      <c r="H1302" s="266">
        <v>100</v>
      </c>
      <c r="I1302" s="266">
        <v>0</v>
      </c>
      <c r="J1302" s="264" t="s">
        <v>1125</v>
      </c>
      <c r="K1302" s="264" t="s">
        <v>2025</v>
      </c>
      <c r="L1302" s="1" t="str">
        <f>VLOOKUP(Advices[[#This Row],[LC Number]],'Combine_List'!A:D,2,0)</f>
        <v>EALAA FOR GENERAL CONTRACTING CO</v>
      </c>
      <c r="M1302" s="447" t="str">
        <f>VLOOKUP(Advices[[#This Row],[LC Number]],'Combine_List'!A:D,3,0)</f>
        <v>FIRST FIX</v>
      </c>
      <c r="N1302" s="447" t="str">
        <f>VLOOKUP(Advices[[#This Row],[LC Number]],'Combine_List'!A:D,4,0)</f>
        <v>RCRC</v>
      </c>
      <c r="O1302" s="1"/>
      <c r="P1302" s="1">
        <f>MONTH(Advices[[#This Row],[Transaction Date]])</f>
        <v>12</v>
      </c>
      <c r="Q1302" s="1">
        <f>YEAR(Advices[[#This Row],[Transaction Date]])</f>
        <v>2025</v>
      </c>
      <c r="R1302" s="1"/>
    </row>
    <row r="1303" spans="1:18" hidden="1" x14ac:dyDescent="0.25">
      <c r="A1303" s="264" t="s">
        <v>612</v>
      </c>
      <c r="B1303" s="265">
        <v>46022</v>
      </c>
      <c r="C1303" s="264" t="s">
        <v>2101</v>
      </c>
      <c r="D1303" s="264" t="s">
        <v>3313</v>
      </c>
      <c r="E1303" s="264" t="s">
        <v>1809</v>
      </c>
      <c r="F1303" s="264" t="s">
        <v>2041</v>
      </c>
      <c r="G1303" s="264" t="s">
        <v>26</v>
      </c>
      <c r="H1303" s="266">
        <v>15</v>
      </c>
      <c r="I1303" s="266">
        <v>0</v>
      </c>
      <c r="J1303" s="264" t="s">
        <v>1174</v>
      </c>
      <c r="K1303" s="264" t="s">
        <v>2025</v>
      </c>
      <c r="L1303" s="1" t="str">
        <f>VLOOKUP(Advices[[#This Row],[LC Number]],'Combine_List'!A:D,2,0)</f>
        <v>EALAA FOR GENERAL CONTRACTING CO</v>
      </c>
      <c r="M1303" s="447" t="str">
        <f>VLOOKUP(Advices[[#This Row],[LC Number]],'Combine_List'!A:D,3,0)</f>
        <v>FIRST FIX</v>
      </c>
      <c r="N1303" s="447" t="str">
        <f>VLOOKUP(Advices[[#This Row],[LC Number]],'Combine_List'!A:D,4,0)</f>
        <v>RCRC</v>
      </c>
      <c r="O1303" s="1"/>
      <c r="P1303" s="1">
        <f>MONTH(Advices[[#This Row],[Transaction Date]])</f>
        <v>12</v>
      </c>
      <c r="Q1303" s="1">
        <f>YEAR(Advices[[#This Row],[Transaction Date]])</f>
        <v>2025</v>
      </c>
      <c r="R1303" s="1"/>
    </row>
    <row r="1304" spans="1:18" hidden="1" x14ac:dyDescent="0.25">
      <c r="A1304" s="264" t="s">
        <v>612</v>
      </c>
      <c r="B1304" s="265">
        <v>46022</v>
      </c>
      <c r="C1304" s="264" t="s">
        <v>2101</v>
      </c>
      <c r="D1304" s="264" t="s">
        <v>3314</v>
      </c>
      <c r="E1304" s="264" t="s">
        <v>1809</v>
      </c>
      <c r="F1304" s="264" t="s">
        <v>2041</v>
      </c>
      <c r="G1304" s="264" t="s">
        <v>26</v>
      </c>
      <c r="H1304" s="266">
        <v>250</v>
      </c>
      <c r="I1304" s="266">
        <v>0</v>
      </c>
      <c r="J1304" s="264" t="s">
        <v>1125</v>
      </c>
      <c r="K1304" s="264" t="s">
        <v>2025</v>
      </c>
      <c r="L1304" s="1" t="str">
        <f>VLOOKUP(Advices[[#This Row],[LC Number]],'Combine_List'!A:D,2,0)</f>
        <v>EALAA FOR GENERAL CONTRACTING CO</v>
      </c>
      <c r="M1304" s="447" t="str">
        <f>VLOOKUP(Advices[[#This Row],[LC Number]],'Combine_List'!A:D,3,0)</f>
        <v>FIRST FIX</v>
      </c>
      <c r="N1304" s="447" t="str">
        <f>VLOOKUP(Advices[[#This Row],[LC Number]],'Combine_List'!A:D,4,0)</f>
        <v>RCRC</v>
      </c>
      <c r="O1304" s="1"/>
      <c r="P1304" s="1">
        <f>MONTH(Advices[[#This Row],[Transaction Date]])</f>
        <v>12</v>
      </c>
      <c r="Q1304" s="1">
        <f>YEAR(Advices[[#This Row],[Transaction Date]])</f>
        <v>2025</v>
      </c>
      <c r="R1304" s="1"/>
    </row>
    <row r="1305" spans="1:18" hidden="1" x14ac:dyDescent="0.25">
      <c r="A1305" s="264" t="s">
        <v>612</v>
      </c>
      <c r="B1305" s="265">
        <v>46022</v>
      </c>
      <c r="C1305" s="264" t="s">
        <v>2101</v>
      </c>
      <c r="D1305" s="264" t="s">
        <v>3315</v>
      </c>
      <c r="E1305" s="264" t="s">
        <v>1809</v>
      </c>
      <c r="F1305" s="264" t="s">
        <v>2041</v>
      </c>
      <c r="G1305" s="264" t="s">
        <v>26</v>
      </c>
      <c r="H1305" s="266">
        <v>37.5</v>
      </c>
      <c r="I1305" s="266">
        <v>0</v>
      </c>
      <c r="J1305" s="264" t="s">
        <v>1174</v>
      </c>
      <c r="K1305" s="264" t="s">
        <v>2025</v>
      </c>
      <c r="L1305" s="1" t="str">
        <f>VLOOKUP(Advices[[#This Row],[LC Number]],'Combine_List'!A:D,2,0)</f>
        <v>EALAA FOR GENERAL CONTRACTING CO</v>
      </c>
      <c r="M1305" s="447" t="str">
        <f>VLOOKUP(Advices[[#This Row],[LC Number]],'Combine_List'!A:D,3,0)</f>
        <v>FIRST FIX</v>
      </c>
      <c r="N1305" s="447" t="str">
        <f>VLOOKUP(Advices[[#This Row],[LC Number]],'Combine_List'!A:D,4,0)</f>
        <v>RCRC</v>
      </c>
      <c r="O1305" s="1"/>
      <c r="P1305" s="1">
        <f>MONTH(Advices[[#This Row],[Transaction Date]])</f>
        <v>12</v>
      </c>
      <c r="Q1305" s="1">
        <f>YEAR(Advices[[#This Row],[Transaction Date]])</f>
        <v>2025</v>
      </c>
      <c r="R1305" s="1"/>
    </row>
    <row r="1306" spans="1:18" hidden="1" x14ac:dyDescent="0.25">
      <c r="A1306" s="264" t="s">
        <v>612</v>
      </c>
      <c r="B1306" s="265">
        <v>46022</v>
      </c>
      <c r="C1306" s="264" t="s">
        <v>2101</v>
      </c>
      <c r="D1306" s="264" t="s">
        <v>3316</v>
      </c>
      <c r="E1306" s="264" t="s">
        <v>1809</v>
      </c>
      <c r="F1306" s="264" t="s">
        <v>2041</v>
      </c>
      <c r="G1306" s="264" t="s">
        <v>26</v>
      </c>
      <c r="H1306" s="266">
        <v>200</v>
      </c>
      <c r="I1306" s="266">
        <v>0</v>
      </c>
      <c r="J1306" s="264" t="s">
        <v>1125</v>
      </c>
      <c r="K1306" s="264" t="s">
        <v>2025</v>
      </c>
      <c r="L1306" s="1" t="str">
        <f>VLOOKUP(Advices[[#This Row],[LC Number]],'Combine_List'!A:D,2,0)</f>
        <v>EALAA FOR GENERAL CONTRACTING CO</v>
      </c>
      <c r="M1306" s="447" t="str">
        <f>VLOOKUP(Advices[[#This Row],[LC Number]],'Combine_List'!A:D,3,0)</f>
        <v>FIRST FIX</v>
      </c>
      <c r="N1306" s="447" t="str">
        <f>VLOOKUP(Advices[[#This Row],[LC Number]],'Combine_List'!A:D,4,0)</f>
        <v>RCRC</v>
      </c>
      <c r="O1306" s="1"/>
      <c r="P1306" s="1">
        <f>MONTH(Advices[[#This Row],[Transaction Date]])</f>
        <v>12</v>
      </c>
      <c r="Q1306" s="1">
        <f>YEAR(Advices[[#This Row],[Transaction Date]])</f>
        <v>2025</v>
      </c>
      <c r="R1306" s="1"/>
    </row>
    <row r="1307" spans="1:18" hidden="1" x14ac:dyDescent="0.25">
      <c r="A1307" s="264" t="s">
        <v>612</v>
      </c>
      <c r="B1307" s="265">
        <v>46022</v>
      </c>
      <c r="C1307" s="264" t="s">
        <v>2101</v>
      </c>
      <c r="D1307" s="264" t="s">
        <v>3317</v>
      </c>
      <c r="E1307" s="264" t="s">
        <v>1809</v>
      </c>
      <c r="F1307" s="264" t="s">
        <v>2041</v>
      </c>
      <c r="G1307" s="264" t="s">
        <v>26</v>
      </c>
      <c r="H1307" s="266">
        <v>30</v>
      </c>
      <c r="I1307" s="266">
        <v>0</v>
      </c>
      <c r="J1307" s="264" t="s">
        <v>1174</v>
      </c>
      <c r="K1307" s="264" t="s">
        <v>2025</v>
      </c>
      <c r="L1307" s="1" t="str">
        <f>VLOOKUP(Advices[[#This Row],[LC Number]],'Combine_List'!A:D,2,0)</f>
        <v>EALAA FOR GENERAL CONTRACTING CO</v>
      </c>
      <c r="M1307" s="447" t="str">
        <f>VLOOKUP(Advices[[#This Row],[LC Number]],'Combine_List'!A:D,3,0)</f>
        <v>FIRST FIX</v>
      </c>
      <c r="N1307" s="447" t="str">
        <f>VLOOKUP(Advices[[#This Row],[LC Number]],'Combine_List'!A:D,4,0)</f>
        <v>RCRC</v>
      </c>
      <c r="O1307" s="1"/>
      <c r="P1307" s="1">
        <f>MONTH(Advices[[#This Row],[Transaction Date]])</f>
        <v>12</v>
      </c>
      <c r="Q1307" s="1">
        <f>YEAR(Advices[[#This Row],[Transaction Date]])</f>
        <v>2025</v>
      </c>
      <c r="R1307" s="1"/>
    </row>
    <row r="1308" spans="1:18" x14ac:dyDescent="0.25">
      <c r="A1308" s="264" t="s">
        <v>21</v>
      </c>
      <c r="B1308" s="265">
        <v>46023</v>
      </c>
      <c r="C1308" s="264" t="s">
        <v>1951</v>
      </c>
      <c r="D1308" s="264" t="s">
        <v>2574</v>
      </c>
      <c r="E1308" s="264" t="s">
        <v>651</v>
      </c>
      <c r="F1308" s="264" t="s">
        <v>651</v>
      </c>
      <c r="G1308" s="264" t="s">
        <v>26</v>
      </c>
      <c r="H1308" s="266">
        <v>-37.5</v>
      </c>
      <c r="I1308" s="13">
        <v>0</v>
      </c>
      <c r="J1308" s="264" t="s">
        <v>1174</v>
      </c>
      <c r="K1308" s="264" t="s">
        <v>2025</v>
      </c>
      <c r="L1308" s="1" t="str">
        <f>VLOOKUP(Advices[[#This Row],[LC Number]],'Combine_List'!A:D,2,0)</f>
        <v>AL BILAD CONCRETE PIPE CO.LTD</v>
      </c>
      <c r="M1308" s="447" t="str">
        <f>VLOOKUP(Advices[[#This Row],[LC Number]],'Combine_List'!A:D,3,0)</f>
        <v>FIRST FIX</v>
      </c>
      <c r="N1308" s="447" t="str">
        <f>VLOOKUP(Advices[[#This Row],[LC Number]],'Combine_List'!A:D,4,0)</f>
        <v>KSP</v>
      </c>
      <c r="O1308" s="1"/>
      <c r="P1308" s="1">
        <f>MONTH(Advices[[#This Row],[Transaction Date]])</f>
        <v>1</v>
      </c>
      <c r="Q1308" s="1">
        <f>YEAR(Advices[[#This Row],[Transaction Date]])</f>
        <v>2026</v>
      </c>
      <c r="R1308" s="1"/>
    </row>
    <row r="1309" spans="1:18" x14ac:dyDescent="0.25">
      <c r="A1309" s="264" t="s">
        <v>21</v>
      </c>
      <c r="B1309" s="265">
        <v>46023</v>
      </c>
      <c r="C1309" s="264" t="s">
        <v>1951</v>
      </c>
      <c r="D1309" s="264" t="s">
        <v>2574</v>
      </c>
      <c r="E1309" s="264" t="s">
        <v>651</v>
      </c>
      <c r="F1309" s="264" t="s">
        <v>651</v>
      </c>
      <c r="G1309" s="264" t="s">
        <v>26</v>
      </c>
      <c r="H1309" s="266">
        <v>-75</v>
      </c>
      <c r="I1309" s="13">
        <v>0</v>
      </c>
      <c r="J1309" s="264" t="s">
        <v>1174</v>
      </c>
      <c r="K1309" s="264" t="s">
        <v>2025</v>
      </c>
      <c r="L1309" s="1" t="str">
        <f>VLOOKUP(Advices[[#This Row],[LC Number]],'Combine_List'!A:D,2,0)</f>
        <v>AL BILAD CONCRETE PIPE CO.LTD</v>
      </c>
      <c r="M1309" s="447" t="str">
        <f>VLOOKUP(Advices[[#This Row],[LC Number]],'Combine_List'!A:D,3,0)</f>
        <v>FIRST FIX</v>
      </c>
      <c r="N1309" s="447" t="str">
        <f>VLOOKUP(Advices[[#This Row],[LC Number]],'Combine_List'!A:D,4,0)</f>
        <v>KSP</v>
      </c>
      <c r="O1309" s="1"/>
      <c r="P1309" s="1">
        <f>MONTH(Advices[[#This Row],[Transaction Date]])</f>
        <v>1</v>
      </c>
      <c r="Q1309" s="1">
        <f>YEAR(Advices[[#This Row],[Transaction Date]])</f>
        <v>2026</v>
      </c>
      <c r="R1309" s="1"/>
    </row>
    <row r="1310" spans="1:18" x14ac:dyDescent="0.25">
      <c r="A1310" s="264" t="s">
        <v>21</v>
      </c>
      <c r="B1310" s="265">
        <v>46023</v>
      </c>
      <c r="C1310" s="264" t="s">
        <v>1951</v>
      </c>
      <c r="D1310" s="264" t="s">
        <v>2630</v>
      </c>
      <c r="E1310" s="264" t="s">
        <v>651</v>
      </c>
      <c r="F1310" s="264" t="s">
        <v>651</v>
      </c>
      <c r="G1310" s="264" t="s">
        <v>26</v>
      </c>
      <c r="H1310" s="266">
        <v>-250</v>
      </c>
      <c r="I1310" s="13">
        <v>0</v>
      </c>
      <c r="J1310" s="264" t="s">
        <v>1963</v>
      </c>
      <c r="K1310" s="264" t="s">
        <v>2025</v>
      </c>
      <c r="L1310" s="1" t="str">
        <f>VLOOKUP(Advices[[#This Row],[LC Number]],'Combine_List'!A:D,2,0)</f>
        <v>AL BILAD CONCRETE PIPE CO.LTD</v>
      </c>
      <c r="M1310" s="447" t="str">
        <f>VLOOKUP(Advices[[#This Row],[LC Number]],'Combine_List'!A:D,3,0)</f>
        <v>FIRST FIX</v>
      </c>
      <c r="N1310" s="447" t="str">
        <f>VLOOKUP(Advices[[#This Row],[LC Number]],'Combine_List'!A:D,4,0)</f>
        <v>KSP</v>
      </c>
      <c r="O1310" s="1"/>
      <c r="P1310" s="1">
        <f>MONTH(Advices[[#This Row],[Transaction Date]])</f>
        <v>1</v>
      </c>
      <c r="Q1310" s="1">
        <f>YEAR(Advices[[#This Row],[Transaction Date]])</f>
        <v>2026</v>
      </c>
      <c r="R1310" s="1"/>
    </row>
    <row r="1311" spans="1:18" x14ac:dyDescent="0.25">
      <c r="A1311" s="264" t="s">
        <v>21</v>
      </c>
      <c r="B1311" s="265">
        <v>46023</v>
      </c>
      <c r="C1311" s="264" t="s">
        <v>1951</v>
      </c>
      <c r="D1311" s="264" t="s">
        <v>3333</v>
      </c>
      <c r="E1311" s="264" t="s">
        <v>651</v>
      </c>
      <c r="F1311" s="264" t="s">
        <v>651</v>
      </c>
      <c r="G1311" s="264" t="s">
        <v>26</v>
      </c>
      <c r="H1311" s="266">
        <v>-500</v>
      </c>
      <c r="I1311" s="13">
        <v>0</v>
      </c>
      <c r="J1311" s="264" t="s">
        <v>1124</v>
      </c>
      <c r="K1311" s="264" t="s">
        <v>2025</v>
      </c>
      <c r="L1311" s="1" t="str">
        <f>VLOOKUP(Advices[[#This Row],[LC Number]],'Combine_List'!A:D,2,0)</f>
        <v>AL BILAD CONCRETE PIPE CO.LTD</v>
      </c>
      <c r="M1311" s="447" t="str">
        <f>VLOOKUP(Advices[[#This Row],[LC Number]],'Combine_List'!A:D,3,0)</f>
        <v>FIRST FIX</v>
      </c>
      <c r="N1311" s="447" t="str">
        <f>VLOOKUP(Advices[[#This Row],[LC Number]],'Combine_List'!A:D,4,0)</f>
        <v>KSP</v>
      </c>
      <c r="O1311" s="1"/>
      <c r="P1311" s="1">
        <f>MONTH(Advices[[#This Row],[Transaction Date]])</f>
        <v>1</v>
      </c>
      <c r="Q1311" s="1">
        <f>YEAR(Advices[[#This Row],[Transaction Date]])</f>
        <v>2026</v>
      </c>
      <c r="R1311" s="1"/>
    </row>
    <row r="1312" spans="1:18" x14ac:dyDescent="0.25">
      <c r="A1312" s="264" t="s">
        <v>21</v>
      </c>
      <c r="B1312" s="265">
        <v>46023</v>
      </c>
      <c r="C1312" s="264" t="s">
        <v>1951</v>
      </c>
      <c r="D1312" s="264" t="s">
        <v>3334</v>
      </c>
      <c r="E1312" s="264" t="s">
        <v>3227</v>
      </c>
      <c r="F1312" s="264" t="s">
        <v>3227</v>
      </c>
      <c r="G1312" s="264" t="s">
        <v>26</v>
      </c>
      <c r="H1312" s="266">
        <v>-37.5</v>
      </c>
      <c r="I1312" s="13">
        <v>0</v>
      </c>
      <c r="J1312" s="264" t="s">
        <v>1174</v>
      </c>
      <c r="K1312" s="264" t="s">
        <v>2025</v>
      </c>
      <c r="L1312" s="1" t="str">
        <f>VLOOKUP(Advices[[#This Row],[LC Number]],'Combine_List'!A:D,2,0)</f>
        <v>BBH-CHEMTROL INTERNATIONAL ORGANIZATION S.L</v>
      </c>
      <c r="M1312" s="447" t="str">
        <f>VLOOKUP(Advices[[#This Row],[LC Number]],'Combine_List'!A:D,3,0)</f>
        <v>ICAD</v>
      </c>
      <c r="N1312" s="447" t="str">
        <f>VLOOKUP(Advices[[#This Row],[LC Number]],'Combine_List'!A:D,4,0)</f>
        <v>KSP</v>
      </c>
      <c r="O1312" s="1"/>
      <c r="P1312" s="1">
        <f>MONTH(Advices[[#This Row],[Transaction Date]])</f>
        <v>1</v>
      </c>
      <c r="Q1312" s="1">
        <f>YEAR(Advices[[#This Row],[Transaction Date]])</f>
        <v>2026</v>
      </c>
      <c r="R1312" s="1"/>
    </row>
    <row r="1313" spans="1:18" x14ac:dyDescent="0.25">
      <c r="A1313" s="264" t="s">
        <v>21</v>
      </c>
      <c r="B1313" s="265">
        <v>46023</v>
      </c>
      <c r="C1313" s="264" t="s">
        <v>1951</v>
      </c>
      <c r="D1313" s="264" t="s">
        <v>3253</v>
      </c>
      <c r="E1313" s="264" t="s">
        <v>3227</v>
      </c>
      <c r="F1313" s="264" t="s">
        <v>3227</v>
      </c>
      <c r="G1313" s="264" t="s">
        <v>26</v>
      </c>
      <c r="H1313" s="266">
        <v>-250</v>
      </c>
      <c r="I1313" s="13">
        <v>0</v>
      </c>
      <c r="J1313" s="264" t="s">
        <v>1963</v>
      </c>
      <c r="K1313" s="264" t="s">
        <v>2025</v>
      </c>
      <c r="L1313" s="1" t="str">
        <f>VLOOKUP(Advices[[#This Row],[LC Number]],'Combine_List'!A:D,2,0)</f>
        <v>BBH-CHEMTROL INTERNATIONAL ORGANIZATION S.L</v>
      </c>
      <c r="M1313" s="447" t="str">
        <f>VLOOKUP(Advices[[#This Row],[LC Number]],'Combine_List'!A:D,3,0)</f>
        <v>ICAD</v>
      </c>
      <c r="N1313" s="447" t="str">
        <f>VLOOKUP(Advices[[#This Row],[LC Number]],'Combine_List'!A:D,4,0)</f>
        <v>KSP</v>
      </c>
      <c r="O1313" s="1"/>
      <c r="P1313" s="1">
        <f>MONTH(Advices[[#This Row],[Transaction Date]])</f>
        <v>1</v>
      </c>
      <c r="Q1313" s="1">
        <f>YEAR(Advices[[#This Row],[Transaction Date]])</f>
        <v>2026</v>
      </c>
      <c r="R1313" s="1"/>
    </row>
    <row r="1314" spans="1:18" x14ac:dyDescent="0.25">
      <c r="A1314" s="264" t="s">
        <v>21</v>
      </c>
      <c r="B1314" s="265">
        <v>46023</v>
      </c>
      <c r="C1314" s="264" t="s">
        <v>1951</v>
      </c>
      <c r="D1314" s="264" t="s">
        <v>3334</v>
      </c>
      <c r="E1314" s="264" t="s">
        <v>3227</v>
      </c>
      <c r="F1314" s="264" t="s">
        <v>3227</v>
      </c>
      <c r="G1314" s="264" t="s">
        <v>26</v>
      </c>
      <c r="H1314" s="266">
        <v>-2090.6</v>
      </c>
      <c r="I1314" s="13">
        <v>0</v>
      </c>
      <c r="J1314" s="264" t="s">
        <v>1174</v>
      </c>
      <c r="K1314" s="264" t="s">
        <v>2025</v>
      </c>
      <c r="L1314" s="1" t="str">
        <f>VLOOKUP(Advices[[#This Row],[LC Number]],'Combine_List'!A:D,2,0)</f>
        <v>BBH-CHEMTROL INTERNATIONAL ORGANIZATION S.L</v>
      </c>
      <c r="M1314" s="447" t="str">
        <f>VLOOKUP(Advices[[#This Row],[LC Number]],'Combine_List'!A:D,3,0)</f>
        <v>ICAD</v>
      </c>
      <c r="N1314" s="447" t="str">
        <f>VLOOKUP(Advices[[#This Row],[LC Number]],'Combine_List'!A:D,4,0)</f>
        <v>KSP</v>
      </c>
      <c r="O1314" s="1"/>
      <c r="P1314" s="1">
        <f>MONTH(Advices[[#This Row],[Transaction Date]])</f>
        <v>1</v>
      </c>
      <c r="Q1314" s="1">
        <f>YEAR(Advices[[#This Row],[Transaction Date]])</f>
        <v>2026</v>
      </c>
      <c r="R1314" s="1"/>
    </row>
    <row r="1315" spans="1:18" x14ac:dyDescent="0.25">
      <c r="A1315" s="264" t="s">
        <v>21</v>
      </c>
      <c r="B1315" s="265">
        <v>46023</v>
      </c>
      <c r="C1315" s="264" t="s">
        <v>1951</v>
      </c>
      <c r="D1315" s="264" t="s">
        <v>3335</v>
      </c>
      <c r="E1315" s="264" t="s">
        <v>3227</v>
      </c>
      <c r="F1315" s="264" t="s">
        <v>3227</v>
      </c>
      <c r="G1315" s="264" t="s">
        <v>26</v>
      </c>
      <c r="H1315" s="266">
        <v>-13937.32</v>
      </c>
      <c r="I1315" s="13">
        <v>0</v>
      </c>
      <c r="J1315" s="264" t="s">
        <v>1124</v>
      </c>
      <c r="K1315" s="264" t="s">
        <v>2025</v>
      </c>
      <c r="L1315" s="1" t="str">
        <f>VLOOKUP(Advices[[#This Row],[LC Number]],'Combine_List'!A:D,2,0)</f>
        <v>BBH-CHEMTROL INTERNATIONAL ORGANIZATION S.L</v>
      </c>
      <c r="M1315" s="447" t="str">
        <f>VLOOKUP(Advices[[#This Row],[LC Number]],'Combine_List'!A:D,3,0)</f>
        <v>ICAD</v>
      </c>
      <c r="N1315" s="447" t="str">
        <f>VLOOKUP(Advices[[#This Row],[LC Number]],'Combine_List'!A:D,4,0)</f>
        <v>KSP</v>
      </c>
      <c r="O1315" s="1"/>
      <c r="P1315" s="1">
        <f>MONTH(Advices[[#This Row],[Transaction Date]])</f>
        <v>1</v>
      </c>
      <c r="Q1315" s="1">
        <f>YEAR(Advices[[#This Row],[Transaction Date]])</f>
        <v>2026</v>
      </c>
      <c r="R1315" s="1"/>
    </row>
    <row r="1316" spans="1:18" hidden="1" x14ac:dyDescent="0.25">
      <c r="A1316" s="264" t="s">
        <v>62</v>
      </c>
      <c r="B1316" s="265">
        <v>46023</v>
      </c>
      <c r="C1316" s="264" t="s">
        <v>2039</v>
      </c>
      <c r="D1316" s="264" t="s">
        <v>3336</v>
      </c>
      <c r="E1316" s="264" t="s">
        <v>3324</v>
      </c>
      <c r="F1316" s="264" t="s">
        <v>2041</v>
      </c>
      <c r="G1316" s="264" t="s">
        <v>26</v>
      </c>
      <c r="H1316" s="266">
        <v>9151.52</v>
      </c>
      <c r="I1316" s="266">
        <v>0</v>
      </c>
      <c r="J1316" s="264" t="s">
        <v>2616</v>
      </c>
      <c r="K1316" s="264" t="s">
        <v>2025</v>
      </c>
      <c r="L1316" s="1" t="str">
        <f>VLOOKUP(Advices[[#This Row],[LC Number]],'Combine_List'!A:D,2,0)</f>
        <v>SCHNEIDER ELECTRIC SAUDI ARABIA CO</v>
      </c>
      <c r="M1316" s="447" t="str">
        <f>VLOOKUP(Advices[[#This Row],[LC Number]],'Combine_List'!A:D,3,0)</f>
        <v>FIRST FIX</v>
      </c>
      <c r="N1316" s="447" t="str">
        <f>VLOOKUP(Advices[[#This Row],[LC Number]],'Combine_List'!A:D,4,0)</f>
        <v>Oceanarium</v>
      </c>
      <c r="O1316" s="1"/>
      <c r="P1316" s="1">
        <f>MONTH(Advices[[#This Row],[Transaction Date]])</f>
        <v>1</v>
      </c>
      <c r="Q1316" s="1">
        <f>YEAR(Advices[[#This Row],[Transaction Date]])</f>
        <v>2026</v>
      </c>
      <c r="R1316" s="1"/>
    </row>
    <row r="1317" spans="1:18" hidden="1" x14ac:dyDescent="0.25">
      <c r="A1317" s="264" t="s">
        <v>62</v>
      </c>
      <c r="B1317" s="265">
        <v>46023</v>
      </c>
      <c r="C1317" s="264" t="s">
        <v>2039</v>
      </c>
      <c r="D1317" s="264" t="s">
        <v>3337</v>
      </c>
      <c r="E1317" s="264" t="s">
        <v>3323</v>
      </c>
      <c r="F1317" s="264" t="s">
        <v>2041</v>
      </c>
      <c r="G1317" s="264" t="s">
        <v>26</v>
      </c>
      <c r="H1317" s="266">
        <v>7328.86</v>
      </c>
      <c r="I1317" s="266">
        <v>0</v>
      </c>
      <c r="J1317" s="264" t="s">
        <v>2616</v>
      </c>
      <c r="K1317" s="264" t="s">
        <v>2025</v>
      </c>
      <c r="L1317" s="1" t="str">
        <f>VLOOKUP(Advices[[#This Row],[LC Number]],'Combine_List'!A:D,2,0)</f>
        <v>ALFANAR ELECTRICAL SYSTEMS</v>
      </c>
      <c r="M1317" s="447" t="str">
        <f>VLOOKUP(Advices[[#This Row],[LC Number]],'Combine_List'!A:D,3,0)</f>
        <v>FIRST FIX</v>
      </c>
      <c r="N1317" s="447" t="str">
        <f>VLOOKUP(Advices[[#This Row],[LC Number]],'Combine_List'!A:D,4,0)</f>
        <v>Oceanarium</v>
      </c>
      <c r="O1317" s="1"/>
      <c r="P1317" s="1">
        <f>MONTH(Advices[[#This Row],[Transaction Date]])</f>
        <v>1</v>
      </c>
      <c r="Q1317" s="1">
        <f>YEAR(Advices[[#This Row],[Transaction Date]])</f>
        <v>2026</v>
      </c>
      <c r="R1317" s="1"/>
    </row>
    <row r="1318" spans="1:18" hidden="1" x14ac:dyDescent="0.25">
      <c r="A1318" s="264" t="s">
        <v>62</v>
      </c>
      <c r="B1318" s="265">
        <v>46023</v>
      </c>
      <c r="C1318" s="264" t="s">
        <v>2039</v>
      </c>
      <c r="D1318" s="264" t="s">
        <v>3338</v>
      </c>
      <c r="E1318" s="264" t="s">
        <v>3329</v>
      </c>
      <c r="F1318" s="264" t="s">
        <v>2041</v>
      </c>
      <c r="G1318" s="264" t="s">
        <v>26</v>
      </c>
      <c r="H1318" s="266">
        <v>7061.64</v>
      </c>
      <c r="I1318" s="266">
        <v>0</v>
      </c>
      <c r="J1318" s="264" t="s">
        <v>2616</v>
      </c>
      <c r="K1318" s="264" t="s">
        <v>2025</v>
      </c>
      <c r="L1318" s="1" t="str">
        <f>VLOOKUP(Advices[[#This Row],[LC Number]],'Combine_List'!A:D,2,0)</f>
        <v>Electric House Trading Company L.L.C.</v>
      </c>
      <c r="M1318" s="447" t="str">
        <f>VLOOKUP(Advices[[#This Row],[LC Number]],'Combine_List'!A:D,3,0)</f>
        <v>FIRST FIX</v>
      </c>
      <c r="N1318" s="447" t="str">
        <f>VLOOKUP(Advices[[#This Row],[LC Number]],'Combine_List'!A:D,4,0)</f>
        <v>Oceanarium</v>
      </c>
      <c r="O1318" s="1"/>
      <c r="P1318" s="1">
        <f>MONTH(Advices[[#This Row],[Transaction Date]])</f>
        <v>1</v>
      </c>
      <c r="Q1318" s="1">
        <f>YEAR(Advices[[#This Row],[Transaction Date]])</f>
        <v>2026</v>
      </c>
      <c r="R1318" s="1"/>
    </row>
    <row r="1319" spans="1:18" hidden="1" x14ac:dyDescent="0.25">
      <c r="A1319" s="264" t="s">
        <v>62</v>
      </c>
      <c r="B1319" s="265">
        <v>46023</v>
      </c>
      <c r="C1319" s="264" t="s">
        <v>2039</v>
      </c>
      <c r="D1319" s="264" t="s">
        <v>3339</v>
      </c>
      <c r="E1319" s="264" t="s">
        <v>3322</v>
      </c>
      <c r="F1319" s="264" t="s">
        <v>2041</v>
      </c>
      <c r="G1319" s="264" t="s">
        <v>26</v>
      </c>
      <c r="H1319" s="266">
        <v>4380.71</v>
      </c>
      <c r="I1319" s="266">
        <v>0</v>
      </c>
      <c r="J1319" s="264" t="s">
        <v>2616</v>
      </c>
      <c r="K1319" s="264" t="s">
        <v>2025</v>
      </c>
      <c r="L1319" s="1" t="str">
        <f>VLOOKUP(Advices[[#This Row],[LC Number]],'Combine_List'!A:D,2,0)</f>
        <v>Mahmoud Altaheni &amp; Partners Trading Co.</v>
      </c>
      <c r="M1319" s="447" t="str">
        <f>VLOOKUP(Advices[[#This Row],[LC Number]],'Combine_List'!A:D,3,0)</f>
        <v>FIRST FIX</v>
      </c>
      <c r="N1319" s="447" t="str">
        <f>VLOOKUP(Advices[[#This Row],[LC Number]],'Combine_List'!A:D,4,0)</f>
        <v>Oceanarium</v>
      </c>
      <c r="O1319" s="1"/>
      <c r="P1319" s="1">
        <f>MONTH(Advices[[#This Row],[Transaction Date]])</f>
        <v>1</v>
      </c>
      <c r="Q1319" s="1">
        <f>YEAR(Advices[[#This Row],[Transaction Date]])</f>
        <v>2026</v>
      </c>
      <c r="R1319" s="1"/>
    </row>
    <row r="1320" spans="1:18" hidden="1" x14ac:dyDescent="0.25">
      <c r="A1320" s="264" t="s">
        <v>62</v>
      </c>
      <c r="B1320" s="265">
        <v>46023</v>
      </c>
      <c r="C1320" s="264" t="s">
        <v>2039</v>
      </c>
      <c r="D1320" s="264" t="s">
        <v>3340</v>
      </c>
      <c r="E1320" s="264" t="s">
        <v>3325</v>
      </c>
      <c r="F1320" s="264" t="s">
        <v>2041</v>
      </c>
      <c r="G1320" s="264" t="s">
        <v>26</v>
      </c>
      <c r="H1320" s="266">
        <v>4082.82</v>
      </c>
      <c r="I1320" s="266">
        <v>0</v>
      </c>
      <c r="J1320" s="264" t="s">
        <v>2616</v>
      </c>
      <c r="K1320" s="264" t="s">
        <v>2025</v>
      </c>
      <c r="L1320" s="1" t="str">
        <f>VLOOKUP(Advices[[#This Row],[LC Number]],'Combine_List'!A:D,2,0)</f>
        <v>National Marketing Est. Co. Ltd</v>
      </c>
      <c r="M1320" s="447" t="str">
        <f>VLOOKUP(Advices[[#This Row],[LC Number]],'Combine_List'!A:D,3,0)</f>
        <v>FIRST FIX</v>
      </c>
      <c r="N1320" s="447" t="str">
        <f>VLOOKUP(Advices[[#This Row],[LC Number]],'Combine_List'!A:D,4,0)</f>
        <v>Oceanarium</v>
      </c>
      <c r="O1320" s="1"/>
      <c r="P1320" s="1">
        <f>MONTH(Advices[[#This Row],[Transaction Date]])</f>
        <v>1</v>
      </c>
      <c r="Q1320" s="1">
        <f>YEAR(Advices[[#This Row],[Transaction Date]])</f>
        <v>2026</v>
      </c>
      <c r="R1320" s="1"/>
    </row>
    <row r="1321" spans="1:18" hidden="1" x14ac:dyDescent="0.25">
      <c r="A1321" s="264" t="s">
        <v>62</v>
      </c>
      <c r="B1321" s="265">
        <v>46023</v>
      </c>
      <c r="C1321" s="264" t="s">
        <v>2039</v>
      </c>
      <c r="D1321" s="264" t="s">
        <v>3341</v>
      </c>
      <c r="E1321" s="264" t="s">
        <v>3326</v>
      </c>
      <c r="F1321" s="264" t="s">
        <v>2041</v>
      </c>
      <c r="G1321" s="264" t="s">
        <v>26</v>
      </c>
      <c r="H1321" s="266">
        <v>4082.82</v>
      </c>
      <c r="I1321" s="266">
        <v>0</v>
      </c>
      <c r="J1321" s="264" t="s">
        <v>2616</v>
      </c>
      <c r="K1321" s="264" t="s">
        <v>2025</v>
      </c>
      <c r="L1321" s="1" t="str">
        <f>VLOOKUP(Advices[[#This Row],[LC Number]],'Combine_List'!A:D,2,0)</f>
        <v>AFKAR ALTATHBET TRADING COMPANY</v>
      </c>
      <c r="M1321" s="447" t="str">
        <f>VLOOKUP(Advices[[#This Row],[LC Number]],'Combine_List'!A:D,3,0)</f>
        <v>FIRST FIX</v>
      </c>
      <c r="N1321" s="447" t="str">
        <f>VLOOKUP(Advices[[#This Row],[LC Number]],'Combine_List'!A:D,4,0)</f>
        <v>Oceanarium</v>
      </c>
      <c r="O1321" s="1"/>
      <c r="P1321" s="1">
        <f>MONTH(Advices[[#This Row],[Transaction Date]])</f>
        <v>1</v>
      </c>
      <c r="Q1321" s="1">
        <f>YEAR(Advices[[#This Row],[Transaction Date]])</f>
        <v>2026</v>
      </c>
      <c r="R1321" s="1"/>
    </row>
    <row r="1322" spans="1:18" hidden="1" x14ac:dyDescent="0.25">
      <c r="A1322" s="264" t="s">
        <v>62</v>
      </c>
      <c r="B1322" s="265">
        <v>46023</v>
      </c>
      <c r="C1322" s="264" t="s">
        <v>2039</v>
      </c>
      <c r="D1322" s="264" t="s">
        <v>3342</v>
      </c>
      <c r="E1322" s="264" t="s">
        <v>3327</v>
      </c>
      <c r="F1322" s="264" t="s">
        <v>2041</v>
      </c>
      <c r="G1322" s="264" t="s">
        <v>26</v>
      </c>
      <c r="H1322" s="266">
        <v>4082.82</v>
      </c>
      <c r="I1322" s="266">
        <v>0</v>
      </c>
      <c r="J1322" s="264" t="s">
        <v>2616</v>
      </c>
      <c r="K1322" s="264" t="s">
        <v>2025</v>
      </c>
      <c r="L1322" s="1" t="str">
        <f>VLOOKUP(Advices[[#This Row],[LC Number]],'Combine_List'!A:D,2,0)</f>
        <v>Teqniye Al-Majra For Contracting</v>
      </c>
      <c r="M1322" s="447" t="str">
        <f>VLOOKUP(Advices[[#This Row],[LC Number]],'Combine_List'!A:D,3,0)</f>
        <v>FIRST FIX</v>
      </c>
      <c r="N1322" s="447" t="str">
        <f>VLOOKUP(Advices[[#This Row],[LC Number]],'Combine_List'!A:D,4,0)</f>
        <v>Oceanarium</v>
      </c>
      <c r="O1322" s="1"/>
      <c r="P1322" s="1">
        <f>MONTH(Advices[[#This Row],[Transaction Date]])</f>
        <v>1</v>
      </c>
      <c r="Q1322" s="1">
        <f>YEAR(Advices[[#This Row],[Transaction Date]])</f>
        <v>2026</v>
      </c>
      <c r="R1322" s="1"/>
    </row>
    <row r="1323" spans="1:18" hidden="1" x14ac:dyDescent="0.25">
      <c r="A1323" s="264" t="s">
        <v>62</v>
      </c>
      <c r="B1323" s="265">
        <v>46023</v>
      </c>
      <c r="C1323" s="264" t="s">
        <v>2039</v>
      </c>
      <c r="D1323" s="264" t="s">
        <v>3343</v>
      </c>
      <c r="E1323" s="264" t="s">
        <v>3328</v>
      </c>
      <c r="F1323" s="264" t="s">
        <v>2041</v>
      </c>
      <c r="G1323" s="264" t="s">
        <v>26</v>
      </c>
      <c r="H1323" s="266">
        <v>4082.82</v>
      </c>
      <c r="I1323" s="266">
        <v>0</v>
      </c>
      <c r="J1323" s="264" t="s">
        <v>2616</v>
      </c>
      <c r="K1323" s="264" t="s">
        <v>2025</v>
      </c>
      <c r="L1323" s="1" t="str">
        <f>VLOOKUP(Advices[[#This Row],[LC Number]],'Combine_List'!A:D,2,0)</f>
        <v>ISAM KABBANI &amp; PARTNERS LTD-UNITECH</v>
      </c>
      <c r="M1323" s="447" t="str">
        <f>VLOOKUP(Advices[[#This Row],[LC Number]],'Combine_List'!A:D,3,0)</f>
        <v>FIRST FIX</v>
      </c>
      <c r="N1323" s="447" t="str">
        <f>VLOOKUP(Advices[[#This Row],[LC Number]],'Combine_List'!A:D,4,0)</f>
        <v>Oceanarium</v>
      </c>
      <c r="O1323" s="1"/>
      <c r="P1323" s="1">
        <f>MONTH(Advices[[#This Row],[Transaction Date]])</f>
        <v>1</v>
      </c>
      <c r="Q1323" s="1">
        <f>YEAR(Advices[[#This Row],[Transaction Date]])</f>
        <v>2026</v>
      </c>
      <c r="R1323" s="1"/>
    </row>
    <row r="1324" spans="1:18" hidden="1" x14ac:dyDescent="0.25">
      <c r="A1324" s="264" t="s">
        <v>62</v>
      </c>
      <c r="B1324" s="265">
        <v>46023</v>
      </c>
      <c r="C1324" s="264" t="s">
        <v>2039</v>
      </c>
      <c r="D1324" s="264" t="s">
        <v>3344</v>
      </c>
      <c r="E1324" s="264" t="s">
        <v>3320</v>
      </c>
      <c r="F1324" s="264" t="s">
        <v>2041</v>
      </c>
      <c r="G1324" s="264" t="s">
        <v>26</v>
      </c>
      <c r="H1324" s="266">
        <v>4082.82</v>
      </c>
      <c r="I1324" s="266">
        <v>0</v>
      </c>
      <c r="J1324" s="264" t="s">
        <v>2616</v>
      </c>
      <c r="K1324" s="264" t="s">
        <v>2025</v>
      </c>
      <c r="L1324" s="1" t="str">
        <f>VLOOKUP(Advices[[#This Row],[LC Number]],'Combine_List'!A:D,2,0)</f>
        <v>Riyadh Unity for Trading</v>
      </c>
      <c r="M1324" s="447" t="str">
        <f>VLOOKUP(Advices[[#This Row],[LC Number]],'Combine_List'!A:D,3,0)</f>
        <v>FIRST FIX</v>
      </c>
      <c r="N1324" s="447" t="str">
        <f>VLOOKUP(Advices[[#This Row],[LC Number]],'Combine_List'!A:D,4,0)</f>
        <v>Oceanarium</v>
      </c>
      <c r="O1324" s="1"/>
      <c r="P1324" s="1">
        <f>MONTH(Advices[[#This Row],[Transaction Date]])</f>
        <v>1</v>
      </c>
      <c r="Q1324" s="1">
        <f>YEAR(Advices[[#This Row],[Transaction Date]])</f>
        <v>2026</v>
      </c>
      <c r="R1324" s="1"/>
    </row>
    <row r="1325" spans="1:18" hidden="1" x14ac:dyDescent="0.25">
      <c r="A1325" s="264" t="s">
        <v>62</v>
      </c>
      <c r="B1325" s="265">
        <v>46023</v>
      </c>
      <c r="C1325" s="264" t="s">
        <v>2039</v>
      </c>
      <c r="D1325" s="264" t="s">
        <v>3345</v>
      </c>
      <c r="E1325" s="264" t="s">
        <v>3321</v>
      </c>
      <c r="F1325" s="264" t="s">
        <v>2041</v>
      </c>
      <c r="G1325" s="264" t="s">
        <v>26</v>
      </c>
      <c r="H1325" s="266">
        <v>4082.82</v>
      </c>
      <c r="I1325" s="266">
        <v>0</v>
      </c>
      <c r="J1325" s="264" t="s">
        <v>2616</v>
      </c>
      <c r="K1325" s="264" t="s">
        <v>2025</v>
      </c>
      <c r="L1325" s="1" t="str">
        <f>VLOOKUP(Advices[[#This Row],[LC Number]],'Combine_List'!A:D,2,0)</f>
        <v>SKM Air Conditioning Company</v>
      </c>
      <c r="M1325" s="447" t="str">
        <f>VLOOKUP(Advices[[#This Row],[LC Number]],'Combine_List'!A:D,3,0)</f>
        <v>FIRST FIX</v>
      </c>
      <c r="N1325" s="447" t="str">
        <f>VLOOKUP(Advices[[#This Row],[LC Number]],'Combine_List'!A:D,4,0)</f>
        <v>Oceanarium</v>
      </c>
      <c r="O1325" s="1"/>
      <c r="P1325" s="1">
        <f>MONTH(Advices[[#This Row],[Transaction Date]])</f>
        <v>1</v>
      </c>
      <c r="Q1325" s="1">
        <f>YEAR(Advices[[#This Row],[Transaction Date]])</f>
        <v>2026</v>
      </c>
      <c r="R1325" s="1"/>
    </row>
    <row r="1326" spans="1:18" hidden="1" x14ac:dyDescent="0.25">
      <c r="A1326" s="264" t="s">
        <v>95</v>
      </c>
      <c r="B1326" s="265">
        <v>46026</v>
      </c>
      <c r="C1326" s="264" t="s">
        <v>2026</v>
      </c>
      <c r="D1326" s="264" t="s">
        <v>3346</v>
      </c>
      <c r="E1326" s="264" t="s">
        <v>2907</v>
      </c>
      <c r="F1326" s="264" t="s">
        <v>3177</v>
      </c>
      <c r="G1326" s="264" t="s">
        <v>26</v>
      </c>
      <c r="H1326" s="266">
        <v>-999166</v>
      </c>
      <c r="I1326" s="13">
        <v>0</v>
      </c>
      <c r="J1326" s="264" t="s">
        <v>1126</v>
      </c>
      <c r="K1326" s="264" t="s">
        <v>2025</v>
      </c>
      <c r="L1326" s="1" t="str">
        <f>VLOOKUP(Advices[[#This Row],[LC Number]],'Combine_List'!A:D,2,0)</f>
        <v>ALNAFIE METAL INDUSTRIES CO LTD</v>
      </c>
      <c r="M1326" s="447" t="str">
        <f>VLOOKUP(Advices[[#This Row],[LC Number]],'Combine_List'!A:D,3,0)</f>
        <v>MBL/AICS</v>
      </c>
      <c r="N1326" s="447" t="str">
        <f>VLOOKUP(Advices[[#This Row],[LC Number]],'Combine_List'!A:D,4,0)</f>
        <v>OPERA House</v>
      </c>
      <c r="O1326" s="1"/>
      <c r="P1326" s="1">
        <f>MONTH(Advices[[#This Row],[Transaction Date]])</f>
        <v>1</v>
      </c>
      <c r="Q1326" s="1">
        <f>YEAR(Advices[[#This Row],[Transaction Date]])</f>
        <v>2026</v>
      </c>
      <c r="R1326" s="1"/>
    </row>
    <row r="1327" spans="1:18" hidden="1" x14ac:dyDescent="0.25">
      <c r="A1327" s="264" t="s">
        <v>366</v>
      </c>
      <c r="B1327" s="265">
        <v>46023</v>
      </c>
      <c r="C1327" s="264" t="s">
        <v>2060</v>
      </c>
      <c r="D1327" s="264" t="s">
        <v>3347</v>
      </c>
      <c r="E1327" s="264" t="s">
        <v>1811</v>
      </c>
      <c r="F1327" s="1" t="s">
        <v>3474</v>
      </c>
      <c r="G1327" s="264" t="s">
        <v>26</v>
      </c>
      <c r="H1327" s="266">
        <v>-11956.88</v>
      </c>
      <c r="I1327" s="13">
        <v>0</v>
      </c>
      <c r="J1327" s="264" t="s">
        <v>1125</v>
      </c>
      <c r="K1327" s="264" t="s">
        <v>2025</v>
      </c>
      <c r="L1327" s="1" t="str">
        <f>VLOOKUP(Advices[[#This Row],[LC Number]],'Combine_List'!A:D,2,0)</f>
        <v>AL-TAYYAR AL-HAQIQI COMMERCIAL CO.</v>
      </c>
      <c r="M1327" s="447" t="str">
        <f>VLOOKUP(Advices[[#This Row],[LC Number]],'Combine_List'!A:D,3,0)</f>
        <v>MBL/ICAD</v>
      </c>
      <c r="N1327" s="447" t="str">
        <f>VLOOKUP(Advices[[#This Row],[LC Number]],'Combine_List'!A:D,4,0)</f>
        <v>ABHA</v>
      </c>
      <c r="O1327" s="1"/>
      <c r="P1327" s="1">
        <f>MONTH(Advices[[#This Row],[Transaction Date]])</f>
        <v>1</v>
      </c>
      <c r="Q1327" s="1">
        <f>YEAR(Advices[[#This Row],[Transaction Date]])</f>
        <v>2026</v>
      </c>
      <c r="R1327" s="1"/>
    </row>
    <row r="1328" spans="1:18" hidden="1" x14ac:dyDescent="0.25">
      <c r="A1328" s="264" t="s">
        <v>366</v>
      </c>
      <c r="B1328" s="265">
        <v>46026</v>
      </c>
      <c r="C1328" s="264" t="s">
        <v>2060</v>
      </c>
      <c r="D1328" s="264" t="s">
        <v>3348</v>
      </c>
      <c r="E1328" s="264" t="s">
        <v>1811</v>
      </c>
      <c r="F1328" s="1" t="s">
        <v>3464</v>
      </c>
      <c r="G1328" s="264" t="s">
        <v>26</v>
      </c>
      <c r="H1328" s="266">
        <v>-2352034.91</v>
      </c>
      <c r="I1328" s="13">
        <v>0</v>
      </c>
      <c r="J1328" s="264" t="s">
        <v>1126</v>
      </c>
      <c r="K1328" s="264" t="s">
        <v>2025</v>
      </c>
      <c r="L1328" s="1" t="str">
        <f>VLOOKUP(Advices[[#This Row],[LC Number]],'Combine_List'!A:D,2,0)</f>
        <v>AL-TAYYAR AL-HAQIQI COMMERCIAL CO.</v>
      </c>
      <c r="M1328" s="447" t="str">
        <f>VLOOKUP(Advices[[#This Row],[LC Number]],'Combine_List'!A:D,3,0)</f>
        <v>MBL/ICAD</v>
      </c>
      <c r="N1328" s="447" t="str">
        <f>VLOOKUP(Advices[[#This Row],[LC Number]],'Combine_List'!A:D,4,0)</f>
        <v>ABHA</v>
      </c>
      <c r="O1328" s="1"/>
      <c r="P1328" s="1">
        <f>MONTH(Advices[[#This Row],[Transaction Date]])</f>
        <v>1</v>
      </c>
      <c r="Q1328" s="1">
        <f>YEAR(Advices[[#This Row],[Transaction Date]])</f>
        <v>2026</v>
      </c>
      <c r="R1328" s="1"/>
    </row>
    <row r="1329" spans="1:18" hidden="1" x14ac:dyDescent="0.25">
      <c r="A1329" s="264" t="s">
        <v>366</v>
      </c>
      <c r="B1329" s="265">
        <v>46026</v>
      </c>
      <c r="C1329" s="264" t="s">
        <v>2060</v>
      </c>
      <c r="D1329" s="264" t="s">
        <v>3349</v>
      </c>
      <c r="E1329" s="264" t="s">
        <v>2903</v>
      </c>
      <c r="F1329" s="1" t="s">
        <v>3475</v>
      </c>
      <c r="G1329" s="264" t="s">
        <v>26</v>
      </c>
      <c r="H1329" s="266">
        <v>-3913.85</v>
      </c>
      <c r="I1329" s="13">
        <v>0</v>
      </c>
      <c r="J1329" s="264" t="s">
        <v>1125</v>
      </c>
      <c r="K1329" s="264" t="s">
        <v>2025</v>
      </c>
      <c r="L1329" s="1" t="str">
        <f>VLOOKUP(Advices[[#This Row],[LC Number]],'Combine_List'!A:D,2,0)</f>
        <v>Ajzal United for Safety CO.LTD.</v>
      </c>
      <c r="M1329" s="447" t="str">
        <f>VLOOKUP(Advices[[#This Row],[LC Number]],'Combine_List'!A:D,3,0)</f>
        <v>FIRST FIX</v>
      </c>
      <c r="N1329" s="447" t="str">
        <f>VLOOKUP(Advices[[#This Row],[LC Number]],'Combine_List'!A:D,4,0)</f>
        <v>MP1</v>
      </c>
      <c r="O1329" s="1"/>
      <c r="P1329" s="1">
        <f>MONTH(Advices[[#This Row],[Transaction Date]])</f>
        <v>1</v>
      </c>
      <c r="Q1329" s="1">
        <f>YEAR(Advices[[#This Row],[Transaction Date]])</f>
        <v>2026</v>
      </c>
      <c r="R1329" s="1"/>
    </row>
    <row r="1330" spans="1:18" hidden="1" x14ac:dyDescent="0.25">
      <c r="A1330" s="264" t="s">
        <v>366</v>
      </c>
      <c r="B1330" s="265">
        <v>46026</v>
      </c>
      <c r="C1330" s="264" t="s">
        <v>2057</v>
      </c>
      <c r="D1330" s="264" t="s">
        <v>3350</v>
      </c>
      <c r="E1330" s="264" t="s">
        <v>1530</v>
      </c>
      <c r="F1330" s="1" t="s">
        <v>3426</v>
      </c>
      <c r="G1330" s="264" t="s">
        <v>26</v>
      </c>
      <c r="H1330" s="266">
        <v>-1302055.49</v>
      </c>
      <c r="I1330" s="13">
        <v>0</v>
      </c>
      <c r="J1330" s="264" t="s">
        <v>1126</v>
      </c>
      <c r="K1330" s="264" t="s">
        <v>2025</v>
      </c>
      <c r="L1330" s="1" t="str">
        <f>VLOOKUP(Advices[[#This Row],[LC Number]],'Combine_List'!A:D,2,0)</f>
        <v>Aluminium Products company (ALUPCO)</v>
      </c>
      <c r="M1330" s="447" t="str">
        <f>VLOOKUP(Advices[[#This Row],[LC Number]],'Combine_List'!A:D,3,0)</f>
        <v>MBL/Premium</v>
      </c>
      <c r="N1330" s="447" t="str">
        <f>VLOOKUP(Advices[[#This Row],[LC Number]],'Combine_List'!A:D,4,0)</f>
        <v>CEER</v>
      </c>
      <c r="O1330" s="1"/>
      <c r="P1330" s="1">
        <f>MONTH(Advices[[#This Row],[Transaction Date]])</f>
        <v>1</v>
      </c>
      <c r="Q1330" s="1">
        <f>YEAR(Advices[[#This Row],[Transaction Date]])</f>
        <v>2026</v>
      </c>
      <c r="R1330" s="1"/>
    </row>
    <row r="1331" spans="1:18" hidden="1" x14ac:dyDescent="0.25">
      <c r="A1331" s="264" t="s">
        <v>612</v>
      </c>
      <c r="B1331" s="265">
        <v>46023</v>
      </c>
      <c r="C1331" s="264" t="s">
        <v>2101</v>
      </c>
      <c r="D1331" s="264" t="s">
        <v>3351</v>
      </c>
      <c r="E1331" s="264" t="s">
        <v>3319</v>
      </c>
      <c r="F1331" s="264" t="s">
        <v>2041</v>
      </c>
      <c r="G1331" s="264" t="s">
        <v>26</v>
      </c>
      <c r="H1331" s="266">
        <v>750</v>
      </c>
      <c r="I1331" s="266">
        <v>0</v>
      </c>
      <c r="J1331" s="264" t="s">
        <v>2616</v>
      </c>
      <c r="K1331" s="264" t="s">
        <v>2025</v>
      </c>
      <c r="L1331" s="1" t="str">
        <f>VLOOKUP(Advices[[#This Row],[LC Number]],'Combine_List'!A:D,2,0)</f>
        <v>Green Concrete CJSC</v>
      </c>
      <c r="M1331" s="447" t="str">
        <f>VLOOKUP(Advices[[#This Row],[LC Number]],'Combine_List'!A:D,3,0)</f>
        <v>MBL</v>
      </c>
      <c r="N1331" s="447" t="str">
        <f>VLOOKUP(Advices[[#This Row],[LC Number]],'Combine_List'!A:D,4,0)</f>
        <v>RCRC</v>
      </c>
      <c r="O1331" s="1"/>
      <c r="P1331" s="1">
        <f>MONTH(Advices[[#This Row],[Transaction Date]])</f>
        <v>1</v>
      </c>
      <c r="Q1331" s="1">
        <f>YEAR(Advices[[#This Row],[Transaction Date]])</f>
        <v>2026</v>
      </c>
      <c r="R1331" s="1"/>
    </row>
    <row r="1332" spans="1:18" hidden="1" x14ac:dyDescent="0.25">
      <c r="A1332" s="264" t="s">
        <v>612</v>
      </c>
      <c r="B1332" s="265">
        <v>46023</v>
      </c>
      <c r="C1332" s="264" t="s">
        <v>2101</v>
      </c>
      <c r="D1332" s="264" t="s">
        <v>3352</v>
      </c>
      <c r="E1332" s="264" t="s">
        <v>3319</v>
      </c>
      <c r="F1332" s="264" t="s">
        <v>2041</v>
      </c>
      <c r="G1332" s="264" t="s">
        <v>26</v>
      </c>
      <c r="H1332" s="266">
        <v>112.5</v>
      </c>
      <c r="I1332" s="266">
        <v>0</v>
      </c>
      <c r="J1332" s="264" t="s">
        <v>1174</v>
      </c>
      <c r="K1332" s="264" t="s">
        <v>2025</v>
      </c>
      <c r="L1332" s="1" t="str">
        <f>VLOOKUP(Advices[[#This Row],[LC Number]],'Combine_List'!A:D,2,0)</f>
        <v>Green Concrete CJSC</v>
      </c>
      <c r="M1332" s="447" t="str">
        <f>VLOOKUP(Advices[[#This Row],[LC Number]],'Combine_List'!A:D,3,0)</f>
        <v>MBL</v>
      </c>
      <c r="N1332" s="447" t="str">
        <f>VLOOKUP(Advices[[#This Row],[LC Number]],'Combine_List'!A:D,4,0)</f>
        <v>RCRC</v>
      </c>
      <c r="O1332" s="1"/>
      <c r="P1332" s="1">
        <f>MONTH(Advices[[#This Row],[Transaction Date]])</f>
        <v>1</v>
      </c>
      <c r="Q1332" s="1">
        <f>YEAR(Advices[[#This Row],[Transaction Date]])</f>
        <v>2026</v>
      </c>
      <c r="R1332" s="1"/>
    </row>
    <row r="1333" spans="1:18" hidden="1" x14ac:dyDescent="0.25">
      <c r="A1333" s="264" t="s">
        <v>612</v>
      </c>
      <c r="B1333" s="265">
        <v>46023</v>
      </c>
      <c r="C1333" s="264" t="s">
        <v>2101</v>
      </c>
      <c r="D1333" s="264" t="s">
        <v>3353</v>
      </c>
      <c r="E1333" s="264" t="s">
        <v>3319</v>
      </c>
      <c r="F1333" s="264" t="s">
        <v>2041</v>
      </c>
      <c r="G1333" s="264" t="s">
        <v>26</v>
      </c>
      <c r="H1333" s="266">
        <v>7753.63</v>
      </c>
      <c r="I1333" s="266">
        <v>0</v>
      </c>
      <c r="J1333" s="264" t="s">
        <v>2793</v>
      </c>
      <c r="K1333" s="264" t="s">
        <v>2025</v>
      </c>
      <c r="L1333" s="1" t="str">
        <f>VLOOKUP(Advices[[#This Row],[LC Number]],'Combine_List'!A:D,2,0)</f>
        <v>Green Concrete CJSC</v>
      </c>
      <c r="M1333" s="447" t="str">
        <f>VLOOKUP(Advices[[#This Row],[LC Number]],'Combine_List'!A:D,3,0)</f>
        <v>MBL</v>
      </c>
      <c r="N1333" s="447" t="str">
        <f>VLOOKUP(Advices[[#This Row],[LC Number]],'Combine_List'!A:D,4,0)</f>
        <v>RCRC</v>
      </c>
      <c r="O1333" s="1"/>
      <c r="P1333" s="1">
        <f>MONTH(Advices[[#This Row],[Transaction Date]])</f>
        <v>1</v>
      </c>
      <c r="Q1333" s="1">
        <f>YEAR(Advices[[#This Row],[Transaction Date]])</f>
        <v>2026</v>
      </c>
      <c r="R1333" s="1"/>
    </row>
    <row r="1334" spans="1:18" hidden="1" x14ac:dyDescent="0.25">
      <c r="A1334" s="264" t="s">
        <v>612</v>
      </c>
      <c r="B1334" s="265">
        <v>46023</v>
      </c>
      <c r="C1334" s="264" t="s">
        <v>2101</v>
      </c>
      <c r="D1334" s="264" t="s">
        <v>3354</v>
      </c>
      <c r="E1334" s="264" t="s">
        <v>3319</v>
      </c>
      <c r="F1334" s="264" t="s">
        <v>2041</v>
      </c>
      <c r="G1334" s="264" t="s">
        <v>26</v>
      </c>
      <c r="H1334" s="266">
        <v>1163.04</v>
      </c>
      <c r="I1334" s="266">
        <v>0</v>
      </c>
      <c r="J1334" s="264" t="s">
        <v>1174</v>
      </c>
      <c r="K1334" s="264" t="s">
        <v>2025</v>
      </c>
      <c r="L1334" s="1" t="str">
        <f>VLOOKUP(Advices[[#This Row],[LC Number]],'Combine_List'!A:D,2,0)</f>
        <v>Green Concrete CJSC</v>
      </c>
      <c r="M1334" s="447" t="str">
        <f>VLOOKUP(Advices[[#This Row],[LC Number]],'Combine_List'!A:D,3,0)</f>
        <v>MBL</v>
      </c>
      <c r="N1334" s="447" t="str">
        <f>VLOOKUP(Advices[[#This Row],[LC Number]],'Combine_List'!A:D,4,0)</f>
        <v>RCRC</v>
      </c>
      <c r="O1334" s="1"/>
      <c r="P1334" s="1">
        <f>MONTH(Advices[[#This Row],[Transaction Date]])</f>
        <v>1</v>
      </c>
      <c r="Q1334" s="1">
        <f>YEAR(Advices[[#This Row],[Transaction Date]])</f>
        <v>2026</v>
      </c>
      <c r="R1334" s="1"/>
    </row>
    <row r="1335" spans="1:18" hidden="1" x14ac:dyDescent="0.25">
      <c r="A1335" s="264" t="s">
        <v>612</v>
      </c>
      <c r="B1335" s="265">
        <v>46023</v>
      </c>
      <c r="C1335" s="264" t="s">
        <v>2101</v>
      </c>
      <c r="D1335" s="264" t="s">
        <v>3355</v>
      </c>
      <c r="E1335" s="264" t="s">
        <v>3319</v>
      </c>
      <c r="F1335" s="264" t="s">
        <v>2041</v>
      </c>
      <c r="G1335" s="264" t="s">
        <v>26</v>
      </c>
      <c r="H1335" s="266">
        <v>7074.77</v>
      </c>
      <c r="I1335" s="266">
        <v>0</v>
      </c>
      <c r="J1335" s="264" t="s">
        <v>2616</v>
      </c>
      <c r="K1335" s="264" t="s">
        <v>2025</v>
      </c>
      <c r="L1335" s="1" t="str">
        <f>VLOOKUP(Advices[[#This Row],[LC Number]],'Combine_List'!A:D,2,0)</f>
        <v>Green Concrete CJSC</v>
      </c>
      <c r="M1335" s="447" t="str">
        <f>VLOOKUP(Advices[[#This Row],[LC Number]],'Combine_List'!A:D,3,0)</f>
        <v>MBL</v>
      </c>
      <c r="N1335" s="447" t="str">
        <f>VLOOKUP(Advices[[#This Row],[LC Number]],'Combine_List'!A:D,4,0)</f>
        <v>RCRC</v>
      </c>
      <c r="O1335" s="1"/>
      <c r="P1335" s="1">
        <f>MONTH(Advices[[#This Row],[Transaction Date]])</f>
        <v>1</v>
      </c>
      <c r="Q1335" s="1">
        <f>YEAR(Advices[[#This Row],[Transaction Date]])</f>
        <v>2026</v>
      </c>
      <c r="R1335" s="1"/>
    </row>
    <row r="1336" spans="1:18" hidden="1" x14ac:dyDescent="0.25">
      <c r="A1336" s="264" t="s">
        <v>612</v>
      </c>
      <c r="B1336" s="265">
        <v>46023</v>
      </c>
      <c r="C1336" s="264" t="s">
        <v>2101</v>
      </c>
      <c r="D1336" s="264" t="s">
        <v>3356</v>
      </c>
      <c r="E1336" s="264" t="s">
        <v>3319</v>
      </c>
      <c r="F1336" s="264" t="s">
        <v>2041</v>
      </c>
      <c r="G1336" s="264" t="s">
        <v>26</v>
      </c>
      <c r="H1336" s="266">
        <v>1061.22</v>
      </c>
      <c r="I1336" s="266">
        <v>0</v>
      </c>
      <c r="J1336" s="264" t="s">
        <v>1174</v>
      </c>
      <c r="K1336" s="264" t="s">
        <v>2025</v>
      </c>
      <c r="L1336" s="1" t="str">
        <f>VLOOKUP(Advices[[#This Row],[LC Number]],'Combine_List'!A:D,2,0)</f>
        <v>Green Concrete CJSC</v>
      </c>
      <c r="M1336" s="447" t="str">
        <f>VLOOKUP(Advices[[#This Row],[LC Number]],'Combine_List'!A:D,3,0)</f>
        <v>MBL</v>
      </c>
      <c r="N1336" s="447" t="str">
        <f>VLOOKUP(Advices[[#This Row],[LC Number]],'Combine_List'!A:D,4,0)</f>
        <v>RCRC</v>
      </c>
      <c r="O1336" s="1"/>
      <c r="P1336" s="1">
        <f>MONTH(Advices[[#This Row],[Transaction Date]])</f>
        <v>1</v>
      </c>
      <c r="Q1336" s="1">
        <f>YEAR(Advices[[#This Row],[Transaction Date]])</f>
        <v>2026</v>
      </c>
      <c r="R1336" s="1"/>
    </row>
    <row r="1337" spans="1:18" hidden="1" x14ac:dyDescent="0.25">
      <c r="A1337" s="264" t="s">
        <v>612</v>
      </c>
      <c r="B1337" s="265">
        <v>46023</v>
      </c>
      <c r="C1337" s="264" t="s">
        <v>2101</v>
      </c>
      <c r="D1337" s="264" t="s">
        <v>3357</v>
      </c>
      <c r="E1337" s="264" t="s">
        <v>3319</v>
      </c>
      <c r="F1337" s="264" t="s">
        <v>2041</v>
      </c>
      <c r="G1337" s="264" t="s">
        <v>26</v>
      </c>
      <c r="H1337" s="266">
        <v>75</v>
      </c>
      <c r="I1337" s="266">
        <v>0</v>
      </c>
      <c r="J1337" s="264" t="s">
        <v>2616</v>
      </c>
      <c r="K1337" s="264" t="s">
        <v>2025</v>
      </c>
      <c r="L1337" s="1" t="str">
        <f>VLOOKUP(Advices[[#This Row],[LC Number]],'Combine_List'!A:D,2,0)</f>
        <v>Green Concrete CJSC</v>
      </c>
      <c r="M1337" s="447" t="str">
        <f>VLOOKUP(Advices[[#This Row],[LC Number]],'Combine_List'!A:D,3,0)</f>
        <v>MBL</v>
      </c>
      <c r="N1337" s="447" t="str">
        <f>VLOOKUP(Advices[[#This Row],[LC Number]],'Combine_List'!A:D,4,0)</f>
        <v>RCRC</v>
      </c>
      <c r="O1337" s="1"/>
      <c r="P1337" s="1">
        <f>MONTH(Advices[[#This Row],[Transaction Date]])</f>
        <v>1</v>
      </c>
      <c r="Q1337" s="1">
        <f>YEAR(Advices[[#This Row],[Transaction Date]])</f>
        <v>2026</v>
      </c>
      <c r="R1337" s="1"/>
    </row>
    <row r="1338" spans="1:18" hidden="1" x14ac:dyDescent="0.25">
      <c r="A1338" s="264" t="s">
        <v>612</v>
      </c>
      <c r="B1338" s="265">
        <v>46023</v>
      </c>
      <c r="C1338" s="264" t="s">
        <v>2101</v>
      </c>
      <c r="D1338" s="264" t="s">
        <v>3358</v>
      </c>
      <c r="E1338" s="264" t="s">
        <v>3319</v>
      </c>
      <c r="F1338" s="264" t="s">
        <v>2041</v>
      </c>
      <c r="G1338" s="264" t="s">
        <v>26</v>
      </c>
      <c r="H1338" s="266">
        <v>11.25</v>
      </c>
      <c r="I1338" s="266">
        <v>0</v>
      </c>
      <c r="J1338" s="264" t="s">
        <v>1174</v>
      </c>
      <c r="K1338" s="264" t="s">
        <v>2025</v>
      </c>
      <c r="L1338" s="1" t="str">
        <f>VLOOKUP(Advices[[#This Row],[LC Number]],'Combine_List'!A:D,2,0)</f>
        <v>Green Concrete CJSC</v>
      </c>
      <c r="M1338" s="447" t="str">
        <f>VLOOKUP(Advices[[#This Row],[LC Number]],'Combine_List'!A:D,3,0)</f>
        <v>MBL</v>
      </c>
      <c r="N1338" s="447" t="str">
        <f>VLOOKUP(Advices[[#This Row],[LC Number]],'Combine_List'!A:D,4,0)</f>
        <v>RCRC</v>
      </c>
      <c r="O1338" s="1"/>
      <c r="P1338" s="1">
        <f>MONTH(Advices[[#This Row],[Transaction Date]])</f>
        <v>1</v>
      </c>
      <c r="Q1338" s="1">
        <f>YEAR(Advices[[#This Row],[Transaction Date]])</f>
        <v>2026</v>
      </c>
      <c r="R1338" s="1"/>
    </row>
    <row r="1339" spans="1:18" hidden="1" x14ac:dyDescent="0.25">
      <c r="A1339" s="264" t="s">
        <v>612</v>
      </c>
      <c r="B1339" s="265">
        <v>46026</v>
      </c>
      <c r="C1339" s="264" t="s">
        <v>2101</v>
      </c>
      <c r="D1339" s="264" t="s">
        <v>3359</v>
      </c>
      <c r="E1339" s="264" t="s">
        <v>721</v>
      </c>
      <c r="F1339" s="264" t="s">
        <v>2041</v>
      </c>
      <c r="G1339" s="264" t="s">
        <v>26</v>
      </c>
      <c r="H1339" s="266">
        <v>497076</v>
      </c>
      <c r="I1339" s="266">
        <v>0</v>
      </c>
      <c r="J1339" s="264" t="s">
        <v>1126</v>
      </c>
      <c r="K1339" s="264" t="s">
        <v>2025</v>
      </c>
      <c r="L1339" s="1" t="str">
        <f>VLOOKUP(Advices[[#This Row],[LC Number]],'Combine_List'!A:D,2,0)</f>
        <v>ALFANAR ELECTRICAL SYSTEMS</v>
      </c>
      <c r="M1339" s="447" t="str">
        <f>VLOOKUP(Advices[[#This Row],[LC Number]],'Combine_List'!A:D,3,0)</f>
        <v>FIRST FIX</v>
      </c>
      <c r="N1339" s="447" t="str">
        <f>VLOOKUP(Advices[[#This Row],[LC Number]],'Combine_List'!A:D,4,0)</f>
        <v>RCRC</v>
      </c>
      <c r="O1339" s="264"/>
      <c r="P1339" s="264">
        <f>MONTH(Advices[[#This Row],[Transaction Date]])</f>
        <v>1</v>
      </c>
      <c r="Q1339" s="264">
        <f>YEAR(Advices[[#This Row],[Transaction Date]])</f>
        <v>2026</v>
      </c>
      <c r="R1339" s="1"/>
    </row>
    <row r="1340" spans="1:18" x14ac:dyDescent="0.25">
      <c r="A1340" s="264" t="s">
        <v>21</v>
      </c>
      <c r="B1340" s="265">
        <v>46027</v>
      </c>
      <c r="C1340" s="264" t="s">
        <v>1951</v>
      </c>
      <c r="D1340" s="264" t="s">
        <v>1960</v>
      </c>
      <c r="E1340" s="264" t="s">
        <v>1668</v>
      </c>
      <c r="F1340" s="264" t="s">
        <v>3361</v>
      </c>
      <c r="G1340" s="264" t="s">
        <v>26</v>
      </c>
      <c r="H1340" s="266">
        <v>-11.25</v>
      </c>
      <c r="I1340" s="266">
        <v>0</v>
      </c>
      <c r="J1340" s="264" t="s">
        <v>1174</v>
      </c>
      <c r="K1340" s="264" t="s">
        <v>2025</v>
      </c>
      <c r="L1340" s="1" t="str">
        <f>VLOOKUP(Advices[[#This Row],[LC Number]],'Combine_List'!A:D,2,0)</f>
        <v>Albarq Alarabi For Logistics Services</v>
      </c>
      <c r="M1340" s="447" t="str">
        <f>VLOOKUP(Advices[[#This Row],[LC Number]],'Combine_List'!A:D,3,0)</f>
        <v>FIRST FIX</v>
      </c>
      <c r="N1340" s="447" t="str">
        <f>VLOOKUP(Advices[[#This Row],[LC Number]],'Combine_List'!A:D,4,0)</f>
        <v>KSP</v>
      </c>
      <c r="O1340" s="1"/>
      <c r="P1340" s="1">
        <f>MONTH(Advices[[#This Row],[Transaction Date]])</f>
        <v>1</v>
      </c>
      <c r="Q1340" s="1">
        <f>YEAR(Advices[[#This Row],[Transaction Date]])</f>
        <v>2026</v>
      </c>
      <c r="R1340" s="1"/>
    </row>
    <row r="1341" spans="1:18" x14ac:dyDescent="0.25">
      <c r="A1341" s="264" t="s">
        <v>21</v>
      </c>
      <c r="B1341" s="265">
        <v>46027</v>
      </c>
      <c r="C1341" s="264" t="s">
        <v>1951</v>
      </c>
      <c r="D1341" s="264" t="s">
        <v>3362</v>
      </c>
      <c r="E1341" s="264" t="s">
        <v>1668</v>
      </c>
      <c r="F1341" s="264" t="s">
        <v>3361</v>
      </c>
      <c r="G1341" s="264" t="s">
        <v>26</v>
      </c>
      <c r="H1341" s="266">
        <v>-75</v>
      </c>
      <c r="I1341" s="266">
        <v>0</v>
      </c>
      <c r="J1341" s="264" t="s">
        <v>1963</v>
      </c>
      <c r="K1341" s="264" t="s">
        <v>2025</v>
      </c>
      <c r="L1341" s="1" t="str">
        <f>VLOOKUP(Advices[[#This Row],[LC Number]],'Combine_List'!A:D,2,0)</f>
        <v>Albarq Alarabi For Logistics Services</v>
      </c>
      <c r="M1341" s="447" t="str">
        <f>VLOOKUP(Advices[[#This Row],[LC Number]],'Combine_List'!A:D,3,0)</f>
        <v>FIRST FIX</v>
      </c>
      <c r="N1341" s="447" t="str">
        <f>VLOOKUP(Advices[[#This Row],[LC Number]],'Combine_List'!A:D,4,0)</f>
        <v>KSP</v>
      </c>
      <c r="O1341" s="1"/>
      <c r="P1341" s="1">
        <f>MONTH(Advices[[#This Row],[Transaction Date]])</f>
        <v>1</v>
      </c>
      <c r="Q1341" s="1">
        <f>YEAR(Advices[[#This Row],[Transaction Date]])</f>
        <v>2026</v>
      </c>
      <c r="R1341" s="1"/>
    </row>
    <row r="1342" spans="1:18" x14ac:dyDescent="0.25">
      <c r="A1342" s="264" t="s">
        <v>21</v>
      </c>
      <c r="B1342" s="265">
        <v>46027</v>
      </c>
      <c r="C1342" s="264" t="s">
        <v>1951</v>
      </c>
      <c r="D1342" s="264" t="s">
        <v>3363</v>
      </c>
      <c r="E1342" s="264" t="s">
        <v>1668</v>
      </c>
      <c r="F1342" s="264" t="s">
        <v>3361</v>
      </c>
      <c r="G1342" s="264" t="s">
        <v>26</v>
      </c>
      <c r="H1342" s="266">
        <v>-150000</v>
      </c>
      <c r="I1342" s="266">
        <v>0</v>
      </c>
      <c r="J1342" s="264" t="s">
        <v>1126</v>
      </c>
      <c r="K1342" s="264" t="s">
        <v>2025</v>
      </c>
      <c r="L1342" s="1" t="str">
        <f>VLOOKUP(Advices[[#This Row],[LC Number]],'Combine_List'!A:D,2,0)</f>
        <v>Albarq Alarabi For Logistics Services</v>
      </c>
      <c r="M1342" s="447" t="str">
        <f>VLOOKUP(Advices[[#This Row],[LC Number]],'Combine_List'!A:D,3,0)</f>
        <v>FIRST FIX</v>
      </c>
      <c r="N1342" s="447" t="str">
        <f>VLOOKUP(Advices[[#This Row],[LC Number]],'Combine_List'!A:D,4,0)</f>
        <v>KSP</v>
      </c>
      <c r="O1342" s="264"/>
      <c r="P1342" s="264">
        <f>MONTH(Advices[[#This Row],[Transaction Date]])</f>
        <v>1</v>
      </c>
      <c r="Q1342" s="264">
        <f>YEAR(Advices[[#This Row],[Transaction Date]])</f>
        <v>2026</v>
      </c>
      <c r="R1342" s="1"/>
    </row>
    <row r="1343" spans="1:18" hidden="1" x14ac:dyDescent="0.25">
      <c r="A1343" s="264" t="s">
        <v>62</v>
      </c>
      <c r="B1343" s="265">
        <v>46027</v>
      </c>
      <c r="C1343" s="264" t="s">
        <v>2039</v>
      </c>
      <c r="D1343" s="264" t="s">
        <v>3364</v>
      </c>
      <c r="E1343" s="264" t="s">
        <v>3365</v>
      </c>
      <c r="F1343" s="264" t="s">
        <v>2041</v>
      </c>
      <c r="G1343" s="264" t="s">
        <v>26</v>
      </c>
      <c r="H1343" s="266">
        <v>661.25</v>
      </c>
      <c r="I1343" s="266">
        <v>0</v>
      </c>
      <c r="J1343" s="264" t="s">
        <v>3377</v>
      </c>
      <c r="K1343" s="264" t="s">
        <v>2025</v>
      </c>
      <c r="L1343" s="1" t="str">
        <f>VLOOKUP(Advices[[#This Row],[LC Number]],'Combine_List'!A:D,2,0)</f>
        <v>Bid - MAKARAT OFFICE</v>
      </c>
      <c r="M1343" s="447" t="str">
        <f>VLOOKUP(Advices[[#This Row],[LC Number]],'Combine_List'!A:D,3,0)</f>
        <v>MBL</v>
      </c>
      <c r="N1343" s="447">
        <f>VLOOKUP(Advices[[#This Row],[LC Number]],'Combine_List'!A:D,4,0)</f>
        <v>0</v>
      </c>
      <c r="O1343" s="1"/>
      <c r="P1343" s="1">
        <f>MONTH(Advices[[#This Row],[Transaction Date]])</f>
        <v>1</v>
      </c>
      <c r="Q1343" s="1">
        <f>YEAR(Advices[[#This Row],[Transaction Date]])</f>
        <v>2026</v>
      </c>
      <c r="R1343" s="1"/>
    </row>
    <row r="1344" spans="1:18" hidden="1" x14ac:dyDescent="0.25">
      <c r="A1344" s="264" t="s">
        <v>62</v>
      </c>
      <c r="B1344" s="265">
        <v>46027</v>
      </c>
      <c r="C1344" s="264" t="s">
        <v>2055</v>
      </c>
      <c r="D1344" s="264" t="s">
        <v>3366</v>
      </c>
      <c r="E1344" s="264" t="s">
        <v>1834</v>
      </c>
      <c r="F1344" s="264" t="s">
        <v>2041</v>
      </c>
      <c r="G1344" s="264" t="s">
        <v>78</v>
      </c>
      <c r="H1344" s="266">
        <v>152903.39000000001</v>
      </c>
      <c r="I1344" s="266">
        <v>0</v>
      </c>
      <c r="J1344" s="264" t="s">
        <v>1126</v>
      </c>
      <c r="K1344" s="264" t="s">
        <v>2025</v>
      </c>
      <c r="L1344" s="1" t="str">
        <f>VLOOKUP(Advices[[#This Row],[LC Number]],'Combine_List'!A:D,2,0)</f>
        <v>Jiangsu Donchamp New Materials Technology Co.Ltd.</v>
      </c>
      <c r="M1344" s="447" t="str">
        <f>VLOOKUP(Advices[[#This Row],[LC Number]],'Combine_List'!A:D,3,0)</f>
        <v>MBL</v>
      </c>
      <c r="N1344" s="447" t="str">
        <f>VLOOKUP(Advices[[#This Row],[LC Number]],'Combine_List'!A:D,4,0)</f>
        <v>Oceanarium</v>
      </c>
      <c r="O1344" s="264"/>
      <c r="P1344" s="264">
        <f>MONTH(Advices[[#This Row],[Transaction Date]])</f>
        <v>1</v>
      </c>
      <c r="Q1344" s="264">
        <f>YEAR(Advices[[#This Row],[Transaction Date]])</f>
        <v>2026</v>
      </c>
      <c r="R1344" s="1"/>
    </row>
    <row r="1345" spans="1:18" hidden="1" x14ac:dyDescent="0.25">
      <c r="A1345" s="264" t="s">
        <v>366</v>
      </c>
      <c r="B1345" s="265">
        <v>46027</v>
      </c>
      <c r="C1345" s="264" t="s">
        <v>2060</v>
      </c>
      <c r="D1345" s="264" t="s">
        <v>3367</v>
      </c>
      <c r="E1345" s="264" t="s">
        <v>1872</v>
      </c>
      <c r="F1345" s="1" t="s">
        <v>3476</v>
      </c>
      <c r="G1345" s="264" t="s">
        <v>26</v>
      </c>
      <c r="H1345" s="266">
        <v>-2532.52</v>
      </c>
      <c r="I1345" s="266">
        <v>0</v>
      </c>
      <c r="J1345" s="264" t="s">
        <v>1125</v>
      </c>
      <c r="K1345" s="264" t="s">
        <v>2025</v>
      </c>
      <c r="L1345" s="1" t="str">
        <f>VLOOKUP(Advices[[#This Row],[LC Number]],'Combine_List'!A:D,2,0)</f>
        <v>Mimar For Construction Tools &amp; Trading Ltd.</v>
      </c>
      <c r="M1345" s="447" t="str">
        <f>VLOOKUP(Advices[[#This Row],[LC Number]],'Combine_List'!A:D,3,0)</f>
        <v>FIRST FIX</v>
      </c>
      <c r="N1345" s="447" t="str">
        <f>VLOOKUP(Advices[[#This Row],[LC Number]],'Combine_List'!A:D,4,0)</f>
        <v>MP1</v>
      </c>
      <c r="O1345" s="264"/>
      <c r="P1345" s="264">
        <f>MONTH(Advices[[#This Row],[Transaction Date]])</f>
        <v>1</v>
      </c>
      <c r="Q1345" s="264">
        <f>YEAR(Advices[[#This Row],[Transaction Date]])</f>
        <v>2026</v>
      </c>
      <c r="R1345" s="1"/>
    </row>
    <row r="1346" spans="1:18" hidden="1" x14ac:dyDescent="0.25">
      <c r="A1346" s="264" t="s">
        <v>366</v>
      </c>
      <c r="B1346" s="265">
        <v>46027</v>
      </c>
      <c r="C1346" s="264" t="s">
        <v>2060</v>
      </c>
      <c r="D1346" s="264" t="s">
        <v>3368</v>
      </c>
      <c r="E1346" s="264" t="s">
        <v>1602</v>
      </c>
      <c r="F1346" s="1" t="s">
        <v>3539</v>
      </c>
      <c r="G1346" s="264" t="s">
        <v>26</v>
      </c>
      <c r="H1346" s="266">
        <v>-250000</v>
      </c>
      <c r="I1346" s="266">
        <v>0</v>
      </c>
      <c r="J1346" s="264" t="s">
        <v>1126</v>
      </c>
      <c r="K1346" s="264" t="s">
        <v>2025</v>
      </c>
      <c r="L1346" s="1" t="str">
        <f>VLOOKUP(Advices[[#This Row],[LC Number]],'Combine_List'!A:D,2,0)</f>
        <v>Electric House Trading Company L.L.C.</v>
      </c>
      <c r="M1346" s="447" t="str">
        <f>VLOOKUP(Advices[[#This Row],[LC Number]],'Combine_List'!A:D,3,0)</f>
        <v>FIRST FIX</v>
      </c>
      <c r="N1346" s="447" t="str">
        <f>VLOOKUP(Advices[[#This Row],[LC Number]],'Combine_List'!A:D,4,0)</f>
        <v>MP1</v>
      </c>
      <c r="O1346" s="1"/>
      <c r="P1346" s="1">
        <f>MONTH(Advices[[#This Row],[Transaction Date]])</f>
        <v>1</v>
      </c>
      <c r="Q1346" s="1">
        <f>YEAR(Advices[[#This Row],[Transaction Date]])</f>
        <v>2026</v>
      </c>
      <c r="R1346" s="1"/>
    </row>
    <row r="1347" spans="1:18" hidden="1" x14ac:dyDescent="0.25">
      <c r="A1347" s="264" t="s">
        <v>366</v>
      </c>
      <c r="B1347" s="265">
        <v>46027</v>
      </c>
      <c r="C1347" s="264" t="s">
        <v>2060</v>
      </c>
      <c r="D1347" s="264" t="s">
        <v>3369</v>
      </c>
      <c r="E1347" s="264" t="s">
        <v>1436</v>
      </c>
      <c r="F1347" s="1" t="s">
        <v>3540</v>
      </c>
      <c r="G1347" s="264" t="s">
        <v>26</v>
      </c>
      <c r="H1347" s="266">
        <v>-400000</v>
      </c>
      <c r="I1347" s="266">
        <v>0</v>
      </c>
      <c r="J1347" s="264" t="s">
        <v>1126</v>
      </c>
      <c r="K1347" s="264" t="s">
        <v>2025</v>
      </c>
      <c r="L1347" s="1" t="str">
        <f>VLOOKUP(Advices[[#This Row],[LC Number]],'Combine_List'!A:D,2,0)</f>
        <v>Electric House Trading Company L.L.C.</v>
      </c>
      <c r="M1347" s="447" t="str">
        <f>VLOOKUP(Advices[[#This Row],[LC Number]],'Combine_List'!A:D,3,0)</f>
        <v>FIRST FIX</v>
      </c>
      <c r="N1347" s="447" t="str">
        <f>VLOOKUP(Advices[[#This Row],[LC Number]],'Combine_List'!A:D,4,0)</f>
        <v>MP1</v>
      </c>
      <c r="O1347" s="1"/>
      <c r="P1347" s="1">
        <f>MONTH(Advices[[#This Row],[Transaction Date]])</f>
        <v>1</v>
      </c>
      <c r="Q1347" s="1">
        <f>YEAR(Advices[[#This Row],[Transaction Date]])</f>
        <v>2026</v>
      </c>
      <c r="R1347" s="1"/>
    </row>
    <row r="1348" spans="1:18" hidden="1" x14ac:dyDescent="0.25">
      <c r="A1348" s="264" t="s">
        <v>366</v>
      </c>
      <c r="B1348" s="265">
        <v>46027</v>
      </c>
      <c r="C1348" s="264" t="s">
        <v>2057</v>
      </c>
      <c r="D1348" s="264" t="s">
        <v>3370</v>
      </c>
      <c r="E1348" s="264" t="s">
        <v>1649</v>
      </c>
      <c r="F1348" s="1" t="s">
        <v>3541</v>
      </c>
      <c r="G1348" s="264" t="s">
        <v>26</v>
      </c>
      <c r="H1348" s="266">
        <v>-1459350</v>
      </c>
      <c r="I1348" s="266">
        <v>0</v>
      </c>
      <c r="J1348" s="264" t="s">
        <v>1126</v>
      </c>
      <c r="K1348" s="264" t="s">
        <v>2025</v>
      </c>
      <c r="L1348" s="1" t="str">
        <f>VLOOKUP(Advices[[#This Row],[LC Number]],'Combine_List'!A:D,2,0)</f>
        <v>Alkhorayef Commercial co.</v>
      </c>
      <c r="M1348" s="447" t="str">
        <f>VLOOKUP(Advices[[#This Row],[LC Number]],'Combine_List'!A:D,3,0)</f>
        <v>FIRST FIX</v>
      </c>
      <c r="N1348" s="447" t="str">
        <f>VLOOKUP(Advices[[#This Row],[LC Number]],'Combine_List'!A:D,4,0)</f>
        <v>CEER</v>
      </c>
      <c r="O1348" s="1"/>
      <c r="P1348" s="1">
        <f>MONTH(Advices[[#This Row],[Transaction Date]])</f>
        <v>1</v>
      </c>
      <c r="Q1348" s="1">
        <f>YEAR(Advices[[#This Row],[Transaction Date]])</f>
        <v>2026</v>
      </c>
      <c r="R1348" s="1"/>
    </row>
    <row r="1349" spans="1:18" hidden="1" x14ac:dyDescent="0.25">
      <c r="A1349" s="264" t="s">
        <v>612</v>
      </c>
      <c r="B1349" s="265">
        <v>46027</v>
      </c>
      <c r="C1349" s="264" t="s">
        <v>2101</v>
      </c>
      <c r="D1349" s="264" t="s">
        <v>3371</v>
      </c>
      <c r="E1349" s="264" t="s">
        <v>1566</v>
      </c>
      <c r="F1349" s="264" t="s">
        <v>2041</v>
      </c>
      <c r="G1349" s="264" t="s">
        <v>26</v>
      </c>
      <c r="H1349" s="266">
        <v>100</v>
      </c>
      <c r="I1349" s="266">
        <v>0</v>
      </c>
      <c r="J1349" s="264" t="s">
        <v>1125</v>
      </c>
      <c r="K1349" s="264" t="s">
        <v>2025</v>
      </c>
      <c r="L1349" s="1" t="str">
        <f>VLOOKUP(Advices[[#This Row],[LC Number]],'Combine_List'!A:D,2,0)</f>
        <v>Alpha Limit Trading and Contracting Company</v>
      </c>
      <c r="M1349" s="447" t="str">
        <f>VLOOKUP(Advices[[#This Row],[LC Number]],'Combine_List'!A:D,3,0)</f>
        <v>FIRST FIX</v>
      </c>
      <c r="N1349" s="447" t="str">
        <f>VLOOKUP(Advices[[#This Row],[LC Number]],'Combine_List'!A:D,4,0)</f>
        <v>RCRC</v>
      </c>
      <c r="O1349" s="1"/>
      <c r="P1349" s="1">
        <f>MONTH(Advices[[#This Row],[Transaction Date]])</f>
        <v>1</v>
      </c>
      <c r="Q1349" s="1">
        <f>YEAR(Advices[[#This Row],[Transaction Date]])</f>
        <v>2026</v>
      </c>
      <c r="R1349" s="1"/>
    </row>
    <row r="1350" spans="1:18" hidden="1" x14ac:dyDescent="0.25">
      <c r="A1350" s="264" t="s">
        <v>612</v>
      </c>
      <c r="B1350" s="265">
        <v>46027</v>
      </c>
      <c r="C1350" s="264" t="s">
        <v>2101</v>
      </c>
      <c r="D1350" s="264" t="s">
        <v>3372</v>
      </c>
      <c r="E1350" s="264" t="s">
        <v>1566</v>
      </c>
      <c r="F1350" s="264" t="s">
        <v>2041</v>
      </c>
      <c r="G1350" s="264" t="s">
        <v>26</v>
      </c>
      <c r="H1350" s="266">
        <v>15</v>
      </c>
      <c r="I1350" s="266">
        <v>0</v>
      </c>
      <c r="J1350" s="264" t="s">
        <v>1174</v>
      </c>
      <c r="K1350" s="264" t="s">
        <v>2025</v>
      </c>
      <c r="L1350" s="1" t="str">
        <f>VLOOKUP(Advices[[#This Row],[LC Number]],'Combine_List'!A:D,2,0)</f>
        <v>Alpha Limit Trading and Contracting Company</v>
      </c>
      <c r="M1350" s="447" t="str">
        <f>VLOOKUP(Advices[[#This Row],[LC Number]],'Combine_List'!A:D,3,0)</f>
        <v>FIRST FIX</v>
      </c>
      <c r="N1350" s="447" t="str">
        <f>VLOOKUP(Advices[[#This Row],[LC Number]],'Combine_List'!A:D,4,0)</f>
        <v>RCRC</v>
      </c>
      <c r="O1350" s="1"/>
      <c r="P1350" s="1">
        <f>MONTH(Advices[[#This Row],[Transaction Date]])</f>
        <v>1</v>
      </c>
      <c r="Q1350" s="1">
        <f>YEAR(Advices[[#This Row],[Transaction Date]])</f>
        <v>2026</v>
      </c>
      <c r="R1350" s="1"/>
    </row>
    <row r="1351" spans="1:18" hidden="1" x14ac:dyDescent="0.25">
      <c r="A1351" s="264" t="s">
        <v>612</v>
      </c>
      <c r="B1351" s="265">
        <v>46027</v>
      </c>
      <c r="C1351" s="264" t="s">
        <v>2101</v>
      </c>
      <c r="D1351" s="264" t="s">
        <v>3373</v>
      </c>
      <c r="E1351" s="264" t="s">
        <v>1566</v>
      </c>
      <c r="F1351" s="264" t="s">
        <v>2041</v>
      </c>
      <c r="G1351" s="264" t="s">
        <v>26</v>
      </c>
      <c r="H1351" s="266">
        <v>250</v>
      </c>
      <c r="I1351" s="266">
        <v>0</v>
      </c>
      <c r="J1351" s="264" t="s">
        <v>1125</v>
      </c>
      <c r="K1351" s="264" t="s">
        <v>2025</v>
      </c>
      <c r="L1351" s="1" t="str">
        <f>VLOOKUP(Advices[[#This Row],[LC Number]],'Combine_List'!A:D,2,0)</f>
        <v>Alpha Limit Trading and Contracting Company</v>
      </c>
      <c r="M1351" s="447" t="str">
        <f>VLOOKUP(Advices[[#This Row],[LC Number]],'Combine_List'!A:D,3,0)</f>
        <v>FIRST FIX</v>
      </c>
      <c r="N1351" s="447" t="str">
        <f>VLOOKUP(Advices[[#This Row],[LC Number]],'Combine_List'!A:D,4,0)</f>
        <v>RCRC</v>
      </c>
      <c r="O1351" s="1"/>
      <c r="P1351" s="1">
        <f>MONTH(Advices[[#This Row],[Transaction Date]])</f>
        <v>1</v>
      </c>
      <c r="Q1351" s="1">
        <f>YEAR(Advices[[#This Row],[Transaction Date]])</f>
        <v>2026</v>
      </c>
      <c r="R1351" s="1"/>
    </row>
    <row r="1352" spans="1:18" hidden="1" x14ac:dyDescent="0.25">
      <c r="A1352" s="264" t="s">
        <v>612</v>
      </c>
      <c r="B1352" s="265">
        <v>46027</v>
      </c>
      <c r="C1352" s="264" t="s">
        <v>2101</v>
      </c>
      <c r="D1352" s="264" t="s">
        <v>3374</v>
      </c>
      <c r="E1352" s="264" t="s">
        <v>1566</v>
      </c>
      <c r="F1352" s="264" t="s">
        <v>2041</v>
      </c>
      <c r="G1352" s="264" t="s">
        <v>26</v>
      </c>
      <c r="H1352" s="266">
        <v>37.5</v>
      </c>
      <c r="I1352" s="266">
        <v>0</v>
      </c>
      <c r="J1352" s="264" t="s">
        <v>1174</v>
      </c>
      <c r="K1352" s="264" t="s">
        <v>2025</v>
      </c>
      <c r="L1352" s="1" t="str">
        <f>VLOOKUP(Advices[[#This Row],[LC Number]],'Combine_List'!A:D,2,0)</f>
        <v>Alpha Limit Trading and Contracting Company</v>
      </c>
      <c r="M1352" s="447" t="str">
        <f>VLOOKUP(Advices[[#This Row],[LC Number]],'Combine_List'!A:D,3,0)</f>
        <v>FIRST FIX</v>
      </c>
      <c r="N1352" s="447" t="str">
        <f>VLOOKUP(Advices[[#This Row],[LC Number]],'Combine_List'!A:D,4,0)</f>
        <v>RCRC</v>
      </c>
      <c r="O1352" s="1"/>
      <c r="P1352" s="1">
        <f>MONTH(Advices[[#This Row],[Transaction Date]])</f>
        <v>1</v>
      </c>
      <c r="Q1352" s="1">
        <f>YEAR(Advices[[#This Row],[Transaction Date]])</f>
        <v>2026</v>
      </c>
      <c r="R1352" s="1"/>
    </row>
    <row r="1353" spans="1:18" hidden="1" x14ac:dyDescent="0.25">
      <c r="A1353" s="264" t="s">
        <v>612</v>
      </c>
      <c r="B1353" s="265">
        <v>46027</v>
      </c>
      <c r="C1353" s="264" t="s">
        <v>2101</v>
      </c>
      <c r="D1353" s="264" t="s">
        <v>3375</v>
      </c>
      <c r="E1353" s="264" t="s">
        <v>1566</v>
      </c>
      <c r="F1353" s="264" t="s">
        <v>2041</v>
      </c>
      <c r="G1353" s="264" t="s">
        <v>26</v>
      </c>
      <c r="H1353" s="266">
        <v>200</v>
      </c>
      <c r="I1353" s="266">
        <v>0</v>
      </c>
      <c r="J1353" s="264" t="s">
        <v>1125</v>
      </c>
      <c r="K1353" s="264" t="s">
        <v>2025</v>
      </c>
      <c r="L1353" s="1" t="str">
        <f>VLOOKUP(Advices[[#This Row],[LC Number]],'Combine_List'!A:D,2,0)</f>
        <v>Alpha Limit Trading and Contracting Company</v>
      </c>
      <c r="M1353" s="447" t="str">
        <f>VLOOKUP(Advices[[#This Row],[LC Number]],'Combine_List'!A:D,3,0)</f>
        <v>FIRST FIX</v>
      </c>
      <c r="N1353" s="447" t="str">
        <f>VLOOKUP(Advices[[#This Row],[LC Number]],'Combine_List'!A:D,4,0)</f>
        <v>RCRC</v>
      </c>
      <c r="O1353" s="1"/>
      <c r="P1353" s="1">
        <f>MONTH(Advices[[#This Row],[Transaction Date]])</f>
        <v>1</v>
      </c>
      <c r="Q1353" s="1">
        <f>YEAR(Advices[[#This Row],[Transaction Date]])</f>
        <v>2026</v>
      </c>
      <c r="R1353" s="1"/>
    </row>
    <row r="1354" spans="1:18" hidden="1" x14ac:dyDescent="0.25">
      <c r="A1354" s="264" t="s">
        <v>612</v>
      </c>
      <c r="B1354" s="265">
        <v>46027</v>
      </c>
      <c r="C1354" s="264" t="s">
        <v>2101</v>
      </c>
      <c r="D1354" s="264" t="s">
        <v>3376</v>
      </c>
      <c r="E1354" s="264" t="s">
        <v>1566</v>
      </c>
      <c r="F1354" s="264" t="s">
        <v>2041</v>
      </c>
      <c r="G1354" s="264" t="s">
        <v>26</v>
      </c>
      <c r="H1354" s="266">
        <v>30</v>
      </c>
      <c r="I1354" s="266">
        <v>0</v>
      </c>
      <c r="J1354" s="264" t="s">
        <v>1174</v>
      </c>
      <c r="K1354" s="264" t="s">
        <v>2025</v>
      </c>
      <c r="L1354" s="1" t="str">
        <f>VLOOKUP(Advices[[#This Row],[LC Number]],'Combine_List'!A:D,2,0)</f>
        <v>Alpha Limit Trading and Contracting Company</v>
      </c>
      <c r="M1354" s="447" t="str">
        <f>VLOOKUP(Advices[[#This Row],[LC Number]],'Combine_List'!A:D,3,0)</f>
        <v>FIRST FIX</v>
      </c>
      <c r="N1354" s="447" t="str">
        <f>VLOOKUP(Advices[[#This Row],[LC Number]],'Combine_List'!A:D,4,0)</f>
        <v>RCRC</v>
      </c>
      <c r="O1354" s="264"/>
      <c r="P1354" s="264">
        <f>MONTH(Advices[[#This Row],[Transaction Date]])</f>
        <v>1</v>
      </c>
      <c r="Q1354" s="264">
        <f>YEAR(Advices[[#This Row],[Transaction Date]])</f>
        <v>2026</v>
      </c>
      <c r="R1354" s="1"/>
    </row>
    <row r="1355" spans="1:18" x14ac:dyDescent="0.25">
      <c r="A1355" s="264" t="s">
        <v>21</v>
      </c>
      <c r="B1355" s="265">
        <v>46028</v>
      </c>
      <c r="C1355" s="264" t="s">
        <v>1951</v>
      </c>
      <c r="D1355" s="264" t="s">
        <v>1960</v>
      </c>
      <c r="E1355" s="264" t="s">
        <v>1311</v>
      </c>
      <c r="F1355" s="264" t="s">
        <v>1953</v>
      </c>
      <c r="G1355" s="264" t="s">
        <v>26</v>
      </c>
      <c r="H1355" s="266">
        <v>-11.25</v>
      </c>
      <c r="I1355" s="266">
        <v>0</v>
      </c>
      <c r="J1355" s="264" t="s">
        <v>1174</v>
      </c>
      <c r="K1355" s="264" t="s">
        <v>2025</v>
      </c>
      <c r="L1355" s="1" t="str">
        <f>VLOOKUP(Advices[[#This Row],[LC Number]],'Combine_List'!A:D,2,0)</f>
        <v>AFAQ AL MALAZ TRADING CO.LTD</v>
      </c>
      <c r="M1355" s="447" t="str">
        <f>VLOOKUP(Advices[[#This Row],[LC Number]],'Combine_List'!A:D,3,0)</f>
        <v>FIRST FIX</v>
      </c>
      <c r="N1355" s="447" t="str">
        <f>VLOOKUP(Advices[[#This Row],[LC Number]],'Combine_List'!A:D,4,0)</f>
        <v>KSP</v>
      </c>
      <c r="O1355" s="1"/>
      <c r="P1355" s="1">
        <f>MONTH(Advices[[#This Row],[Transaction Date]])</f>
        <v>1</v>
      </c>
      <c r="Q1355" s="1">
        <f>YEAR(Advices[[#This Row],[Transaction Date]])</f>
        <v>2026</v>
      </c>
      <c r="R1355" s="1"/>
    </row>
    <row r="1356" spans="1:18" x14ac:dyDescent="0.25">
      <c r="A1356" s="264" t="s">
        <v>21</v>
      </c>
      <c r="B1356" s="265">
        <v>46028</v>
      </c>
      <c r="C1356" s="264" t="s">
        <v>1951</v>
      </c>
      <c r="D1356" s="264" t="s">
        <v>3378</v>
      </c>
      <c r="E1356" s="264" t="s">
        <v>1311</v>
      </c>
      <c r="F1356" s="264" t="s">
        <v>1953</v>
      </c>
      <c r="G1356" s="264" t="s">
        <v>26</v>
      </c>
      <c r="H1356" s="266">
        <v>-75</v>
      </c>
      <c r="I1356" s="266">
        <v>0</v>
      </c>
      <c r="J1356" s="264" t="s">
        <v>1963</v>
      </c>
      <c r="K1356" s="264" t="s">
        <v>2025</v>
      </c>
      <c r="L1356" s="1" t="str">
        <f>VLOOKUP(Advices[[#This Row],[LC Number]],'Combine_List'!A:D,2,0)</f>
        <v>AFAQ AL MALAZ TRADING CO.LTD</v>
      </c>
      <c r="M1356" s="447" t="str">
        <f>VLOOKUP(Advices[[#This Row],[LC Number]],'Combine_List'!A:D,3,0)</f>
        <v>FIRST FIX</v>
      </c>
      <c r="N1356" s="447" t="str">
        <f>VLOOKUP(Advices[[#This Row],[LC Number]],'Combine_List'!A:D,4,0)</f>
        <v>KSP</v>
      </c>
      <c r="O1356" s="1"/>
      <c r="P1356" s="1">
        <f>MONTH(Advices[[#This Row],[Transaction Date]])</f>
        <v>1</v>
      </c>
      <c r="Q1356" s="1">
        <f>YEAR(Advices[[#This Row],[Transaction Date]])</f>
        <v>2026</v>
      </c>
      <c r="R1356" s="1"/>
    </row>
    <row r="1357" spans="1:18" x14ac:dyDescent="0.25">
      <c r="A1357" s="264" t="s">
        <v>21</v>
      </c>
      <c r="B1357" s="265">
        <v>46028</v>
      </c>
      <c r="C1357" s="264" t="s">
        <v>1951</v>
      </c>
      <c r="D1357" s="264" t="s">
        <v>3379</v>
      </c>
      <c r="E1357" s="264" t="s">
        <v>1311</v>
      </c>
      <c r="F1357" s="264" t="s">
        <v>1953</v>
      </c>
      <c r="G1357" s="264" t="s">
        <v>26</v>
      </c>
      <c r="H1357" s="266">
        <v>-47696.38</v>
      </c>
      <c r="I1357" s="266">
        <v>0</v>
      </c>
      <c r="J1357" s="264" t="s">
        <v>1126</v>
      </c>
      <c r="K1357" s="264" t="s">
        <v>2025</v>
      </c>
      <c r="L1357" s="1" t="str">
        <f>VLOOKUP(Advices[[#This Row],[LC Number]],'Combine_List'!A:D,2,0)</f>
        <v>AFAQ AL MALAZ TRADING CO.LTD</v>
      </c>
      <c r="M1357" s="447" t="str">
        <f>VLOOKUP(Advices[[#This Row],[LC Number]],'Combine_List'!A:D,3,0)</f>
        <v>FIRST FIX</v>
      </c>
      <c r="N1357" s="447" t="str">
        <f>VLOOKUP(Advices[[#This Row],[LC Number]],'Combine_List'!A:D,4,0)</f>
        <v>KSP</v>
      </c>
      <c r="O1357" s="1"/>
      <c r="P1357" s="1">
        <f>MONTH(Advices[[#This Row],[Transaction Date]])</f>
        <v>1</v>
      </c>
      <c r="Q1357" s="1">
        <f>YEAR(Advices[[#This Row],[Transaction Date]])</f>
        <v>2026</v>
      </c>
      <c r="R1357" s="1"/>
    </row>
    <row r="1358" spans="1:18" x14ac:dyDescent="0.25">
      <c r="A1358" s="264" t="s">
        <v>21</v>
      </c>
      <c r="B1358" s="265">
        <v>46028</v>
      </c>
      <c r="C1358" s="264" t="s">
        <v>1951</v>
      </c>
      <c r="D1358" s="264" t="s">
        <v>1960</v>
      </c>
      <c r="E1358" s="264" t="s">
        <v>1315</v>
      </c>
      <c r="F1358" s="264" t="s">
        <v>1992</v>
      </c>
      <c r="G1358" s="264" t="s">
        <v>26</v>
      </c>
      <c r="H1358" s="266">
        <v>-11.25</v>
      </c>
      <c r="I1358" s="266">
        <v>0</v>
      </c>
      <c r="J1358" s="264" t="s">
        <v>1174</v>
      </c>
      <c r="K1358" s="264" t="s">
        <v>2025</v>
      </c>
      <c r="L1358" s="1" t="str">
        <f>VLOOKUP(Advices[[#This Row],[LC Number]],'Combine_List'!A:D,2,0)</f>
        <v>RAWABI AL MAHFAR TRADING CO.</v>
      </c>
      <c r="M1358" s="447" t="str">
        <f>VLOOKUP(Advices[[#This Row],[LC Number]],'Combine_List'!A:D,3,0)</f>
        <v>FIRST FIX</v>
      </c>
      <c r="N1358" s="447" t="str">
        <f>VLOOKUP(Advices[[#This Row],[LC Number]],'Combine_List'!A:D,4,0)</f>
        <v>KSP</v>
      </c>
      <c r="O1358" s="1"/>
      <c r="P1358" s="1">
        <f>MONTH(Advices[[#This Row],[Transaction Date]])</f>
        <v>1</v>
      </c>
      <c r="Q1358" s="1">
        <f>YEAR(Advices[[#This Row],[Transaction Date]])</f>
        <v>2026</v>
      </c>
      <c r="R1358" s="1"/>
    </row>
    <row r="1359" spans="1:18" x14ac:dyDescent="0.25">
      <c r="A1359" s="264" t="s">
        <v>21</v>
      </c>
      <c r="B1359" s="265">
        <v>46028</v>
      </c>
      <c r="C1359" s="264" t="s">
        <v>1951</v>
      </c>
      <c r="D1359" s="264" t="s">
        <v>3380</v>
      </c>
      <c r="E1359" s="264" t="s">
        <v>1315</v>
      </c>
      <c r="F1359" s="264" t="s">
        <v>1992</v>
      </c>
      <c r="G1359" s="264" t="s">
        <v>26</v>
      </c>
      <c r="H1359" s="266">
        <v>-75</v>
      </c>
      <c r="I1359" s="266">
        <v>0</v>
      </c>
      <c r="J1359" s="264" t="s">
        <v>1963</v>
      </c>
      <c r="K1359" s="264" t="s">
        <v>2025</v>
      </c>
      <c r="L1359" s="1" t="str">
        <f>VLOOKUP(Advices[[#This Row],[LC Number]],'Combine_List'!A:D,2,0)</f>
        <v>RAWABI AL MAHFAR TRADING CO.</v>
      </c>
      <c r="M1359" s="447" t="str">
        <f>VLOOKUP(Advices[[#This Row],[LC Number]],'Combine_List'!A:D,3,0)</f>
        <v>FIRST FIX</v>
      </c>
      <c r="N1359" s="447" t="str">
        <f>VLOOKUP(Advices[[#This Row],[LC Number]],'Combine_List'!A:D,4,0)</f>
        <v>KSP</v>
      </c>
      <c r="O1359" s="1"/>
      <c r="P1359" s="1">
        <f>MONTH(Advices[[#This Row],[Transaction Date]])</f>
        <v>1</v>
      </c>
      <c r="Q1359" s="1">
        <f>YEAR(Advices[[#This Row],[Transaction Date]])</f>
        <v>2026</v>
      </c>
      <c r="R1359" s="1"/>
    </row>
    <row r="1360" spans="1:18" x14ac:dyDescent="0.25">
      <c r="A1360" s="264" t="s">
        <v>21</v>
      </c>
      <c r="B1360" s="265">
        <v>46028</v>
      </c>
      <c r="C1360" s="264" t="s">
        <v>1951</v>
      </c>
      <c r="D1360" s="264" t="s">
        <v>3381</v>
      </c>
      <c r="E1360" s="264" t="s">
        <v>1315</v>
      </c>
      <c r="F1360" s="264" t="s">
        <v>1992</v>
      </c>
      <c r="G1360" s="264" t="s">
        <v>26</v>
      </c>
      <c r="H1360" s="266">
        <v>-102859.94</v>
      </c>
      <c r="I1360" s="266">
        <v>0</v>
      </c>
      <c r="J1360" s="264" t="s">
        <v>1126</v>
      </c>
      <c r="K1360" s="264" t="s">
        <v>2025</v>
      </c>
      <c r="L1360" s="1" t="str">
        <f>VLOOKUP(Advices[[#This Row],[LC Number]],'Combine_List'!A:D,2,0)</f>
        <v>RAWABI AL MAHFAR TRADING CO.</v>
      </c>
      <c r="M1360" s="447" t="str">
        <f>VLOOKUP(Advices[[#This Row],[LC Number]],'Combine_List'!A:D,3,0)</f>
        <v>FIRST FIX</v>
      </c>
      <c r="N1360" s="447" t="str">
        <f>VLOOKUP(Advices[[#This Row],[LC Number]],'Combine_List'!A:D,4,0)</f>
        <v>KSP</v>
      </c>
      <c r="O1360" s="1"/>
      <c r="P1360" s="1">
        <f>MONTH(Advices[[#This Row],[Transaction Date]])</f>
        <v>1</v>
      </c>
      <c r="Q1360" s="1">
        <f>YEAR(Advices[[#This Row],[Transaction Date]])</f>
        <v>2026</v>
      </c>
      <c r="R1360" s="1"/>
    </row>
    <row r="1361" spans="1:18" x14ac:dyDescent="0.25">
      <c r="A1361" s="264" t="s">
        <v>21</v>
      </c>
      <c r="B1361" s="265">
        <v>46028</v>
      </c>
      <c r="C1361" s="264" t="s">
        <v>1951</v>
      </c>
      <c r="D1361" s="264" t="s">
        <v>1960</v>
      </c>
      <c r="E1361" s="264" t="s">
        <v>1313</v>
      </c>
      <c r="F1361" s="264" t="s">
        <v>3382</v>
      </c>
      <c r="G1361" s="264" t="s">
        <v>26</v>
      </c>
      <c r="H1361" s="266">
        <v>-11.25</v>
      </c>
      <c r="I1361" s="266">
        <v>0</v>
      </c>
      <c r="J1361" s="264" t="s">
        <v>1174</v>
      </c>
      <c r="K1361" s="264" t="s">
        <v>2025</v>
      </c>
      <c r="L1361" s="1" t="str">
        <f>VLOOKUP(Advices[[#This Row],[LC Number]],'Combine_List'!A:D,2,0)</f>
        <v>ELECTRIC HOUSE TRADING COMPANY L.L.C.</v>
      </c>
      <c r="M1361" s="447" t="str">
        <f>VLOOKUP(Advices[[#This Row],[LC Number]],'Combine_List'!A:D,3,0)</f>
        <v>FIRST FIX</v>
      </c>
      <c r="N1361" s="447" t="str">
        <f>VLOOKUP(Advices[[#This Row],[LC Number]],'Combine_List'!A:D,4,0)</f>
        <v>KSP</v>
      </c>
      <c r="O1361" s="1"/>
      <c r="P1361" s="1">
        <f>MONTH(Advices[[#This Row],[Transaction Date]])</f>
        <v>1</v>
      </c>
      <c r="Q1361" s="1">
        <f>YEAR(Advices[[#This Row],[Transaction Date]])</f>
        <v>2026</v>
      </c>
      <c r="R1361" s="1"/>
    </row>
    <row r="1362" spans="1:18" x14ac:dyDescent="0.25">
      <c r="A1362" s="264" t="s">
        <v>21</v>
      </c>
      <c r="B1362" s="265">
        <v>46028</v>
      </c>
      <c r="C1362" s="264" t="s">
        <v>1951</v>
      </c>
      <c r="D1362" s="264" t="s">
        <v>3383</v>
      </c>
      <c r="E1362" s="264" t="s">
        <v>1313</v>
      </c>
      <c r="F1362" s="264" t="s">
        <v>3382</v>
      </c>
      <c r="G1362" s="264" t="s">
        <v>26</v>
      </c>
      <c r="H1362" s="266">
        <v>-75</v>
      </c>
      <c r="I1362" s="266">
        <v>0</v>
      </c>
      <c r="J1362" s="264" t="s">
        <v>1963</v>
      </c>
      <c r="K1362" s="264" t="s">
        <v>2025</v>
      </c>
      <c r="L1362" s="1" t="str">
        <f>VLOOKUP(Advices[[#This Row],[LC Number]],'Combine_List'!A:D,2,0)</f>
        <v>ELECTRIC HOUSE TRADING COMPANY L.L.C.</v>
      </c>
      <c r="M1362" s="447" t="str">
        <f>VLOOKUP(Advices[[#This Row],[LC Number]],'Combine_List'!A:D,3,0)</f>
        <v>FIRST FIX</v>
      </c>
      <c r="N1362" s="447" t="str">
        <f>VLOOKUP(Advices[[#This Row],[LC Number]],'Combine_List'!A:D,4,0)</f>
        <v>KSP</v>
      </c>
      <c r="O1362" s="1"/>
      <c r="P1362" s="1">
        <f>MONTH(Advices[[#This Row],[Transaction Date]])</f>
        <v>1</v>
      </c>
      <c r="Q1362" s="1">
        <f>YEAR(Advices[[#This Row],[Transaction Date]])</f>
        <v>2026</v>
      </c>
      <c r="R1362" s="1"/>
    </row>
    <row r="1363" spans="1:18" x14ac:dyDescent="0.25">
      <c r="A1363" s="264" t="s">
        <v>21</v>
      </c>
      <c r="B1363" s="265">
        <v>46028</v>
      </c>
      <c r="C1363" s="264" t="s">
        <v>1951</v>
      </c>
      <c r="D1363" s="264" t="s">
        <v>3384</v>
      </c>
      <c r="E1363" s="264" t="s">
        <v>1313</v>
      </c>
      <c r="F1363" s="264" t="s">
        <v>3382</v>
      </c>
      <c r="G1363" s="264" t="s">
        <v>26</v>
      </c>
      <c r="H1363" s="266">
        <v>-891914.65</v>
      </c>
      <c r="I1363" s="266">
        <v>0</v>
      </c>
      <c r="J1363" s="264" t="s">
        <v>1126</v>
      </c>
      <c r="K1363" s="264" t="s">
        <v>2025</v>
      </c>
      <c r="L1363" s="1" t="str">
        <f>VLOOKUP(Advices[[#This Row],[LC Number]],'Combine_List'!A:D,2,0)</f>
        <v>ELECTRIC HOUSE TRADING COMPANY L.L.C.</v>
      </c>
      <c r="M1363" s="447" t="str">
        <f>VLOOKUP(Advices[[#This Row],[LC Number]],'Combine_List'!A:D,3,0)</f>
        <v>FIRST FIX</v>
      </c>
      <c r="N1363" s="447" t="str">
        <f>VLOOKUP(Advices[[#This Row],[LC Number]],'Combine_List'!A:D,4,0)</f>
        <v>KSP</v>
      </c>
      <c r="O1363" s="1"/>
      <c r="P1363" s="1">
        <f>MONTH(Advices[[#This Row],[Transaction Date]])</f>
        <v>1</v>
      </c>
      <c r="Q1363" s="1">
        <f>YEAR(Advices[[#This Row],[Transaction Date]])</f>
        <v>2026</v>
      </c>
      <c r="R1363" s="1"/>
    </row>
    <row r="1364" spans="1:18" x14ac:dyDescent="0.25">
      <c r="A1364" s="264" t="s">
        <v>21</v>
      </c>
      <c r="B1364" s="265">
        <v>46028</v>
      </c>
      <c r="C1364" s="264" t="s">
        <v>1951</v>
      </c>
      <c r="D1364" s="264" t="s">
        <v>1960</v>
      </c>
      <c r="E1364" s="264" t="s">
        <v>1347</v>
      </c>
      <c r="F1364" s="264" t="s">
        <v>2267</v>
      </c>
      <c r="G1364" s="264" t="s">
        <v>26</v>
      </c>
      <c r="H1364" s="266">
        <v>-11.25</v>
      </c>
      <c r="I1364" s="266">
        <v>0</v>
      </c>
      <c r="J1364" s="264" t="s">
        <v>1174</v>
      </c>
      <c r="K1364" s="264" t="s">
        <v>2025</v>
      </c>
      <c r="L1364" s="1" t="str">
        <f>VLOOKUP(Advices[[#This Row],[LC Number]],'Combine_List'!A:D,2,0)</f>
        <v>MODERN HOUSING CONTRACTING CO.</v>
      </c>
      <c r="M1364" s="447" t="str">
        <f>VLOOKUP(Advices[[#This Row],[LC Number]],'Combine_List'!A:D,3,0)</f>
        <v>FIRST FIX</v>
      </c>
      <c r="N1364" s="447" t="str">
        <f>VLOOKUP(Advices[[#This Row],[LC Number]],'Combine_List'!A:D,4,0)</f>
        <v>KSP</v>
      </c>
      <c r="O1364" s="1"/>
      <c r="P1364" s="1">
        <f>MONTH(Advices[[#This Row],[Transaction Date]])</f>
        <v>1</v>
      </c>
      <c r="Q1364" s="1">
        <f>YEAR(Advices[[#This Row],[Transaction Date]])</f>
        <v>2026</v>
      </c>
      <c r="R1364" s="1"/>
    </row>
    <row r="1365" spans="1:18" x14ac:dyDescent="0.25">
      <c r="A1365" s="264" t="s">
        <v>21</v>
      </c>
      <c r="B1365" s="265">
        <v>46028</v>
      </c>
      <c r="C1365" s="264" t="s">
        <v>1951</v>
      </c>
      <c r="D1365" s="264" t="s">
        <v>3385</v>
      </c>
      <c r="E1365" s="264" t="s">
        <v>1347</v>
      </c>
      <c r="F1365" s="264" t="s">
        <v>2267</v>
      </c>
      <c r="G1365" s="264" t="s">
        <v>26</v>
      </c>
      <c r="H1365" s="266">
        <v>-75</v>
      </c>
      <c r="I1365" s="266">
        <v>0</v>
      </c>
      <c r="J1365" s="264" t="s">
        <v>1963</v>
      </c>
      <c r="K1365" s="264" t="s">
        <v>2025</v>
      </c>
      <c r="L1365" s="1" t="str">
        <f>VLOOKUP(Advices[[#This Row],[LC Number]],'Combine_List'!A:D,2,0)</f>
        <v>MODERN HOUSING CONTRACTING CO.</v>
      </c>
      <c r="M1365" s="447" t="str">
        <f>VLOOKUP(Advices[[#This Row],[LC Number]],'Combine_List'!A:D,3,0)</f>
        <v>FIRST FIX</v>
      </c>
      <c r="N1365" s="447" t="str">
        <f>VLOOKUP(Advices[[#This Row],[LC Number]],'Combine_List'!A:D,4,0)</f>
        <v>KSP</v>
      </c>
      <c r="O1365" s="1"/>
      <c r="P1365" s="1">
        <f>MONTH(Advices[[#This Row],[Transaction Date]])</f>
        <v>1</v>
      </c>
      <c r="Q1365" s="1">
        <f>YEAR(Advices[[#This Row],[Transaction Date]])</f>
        <v>2026</v>
      </c>
      <c r="R1365" s="1"/>
    </row>
    <row r="1366" spans="1:18" x14ac:dyDescent="0.25">
      <c r="A1366" s="264" t="s">
        <v>21</v>
      </c>
      <c r="B1366" s="265">
        <v>46028</v>
      </c>
      <c r="C1366" s="264" t="s">
        <v>1951</v>
      </c>
      <c r="D1366" s="264" t="s">
        <v>3386</v>
      </c>
      <c r="E1366" s="264" t="s">
        <v>1347</v>
      </c>
      <c r="F1366" s="264" t="s">
        <v>2267</v>
      </c>
      <c r="G1366" s="264" t="s">
        <v>26</v>
      </c>
      <c r="H1366" s="266">
        <v>-254390</v>
      </c>
      <c r="I1366" s="266">
        <v>0</v>
      </c>
      <c r="J1366" s="264" t="s">
        <v>1126</v>
      </c>
      <c r="K1366" s="264" t="s">
        <v>2025</v>
      </c>
      <c r="L1366" s="1" t="str">
        <f>VLOOKUP(Advices[[#This Row],[LC Number]],'Combine_List'!A:D,2,0)</f>
        <v>MODERN HOUSING CONTRACTING CO.</v>
      </c>
      <c r="M1366" s="447" t="str">
        <f>VLOOKUP(Advices[[#This Row],[LC Number]],'Combine_List'!A:D,3,0)</f>
        <v>FIRST FIX</v>
      </c>
      <c r="N1366" s="447" t="str">
        <f>VLOOKUP(Advices[[#This Row],[LC Number]],'Combine_List'!A:D,4,0)</f>
        <v>KSP</v>
      </c>
      <c r="O1366" s="1"/>
      <c r="P1366" s="1">
        <f>MONTH(Advices[[#This Row],[Transaction Date]])</f>
        <v>1</v>
      </c>
      <c r="Q1366" s="1">
        <f>YEAR(Advices[[#This Row],[Transaction Date]])</f>
        <v>2026</v>
      </c>
      <c r="R1366" s="1"/>
    </row>
    <row r="1367" spans="1:18" x14ac:dyDescent="0.25">
      <c r="A1367" s="264" t="s">
        <v>21</v>
      </c>
      <c r="B1367" s="265">
        <v>46028</v>
      </c>
      <c r="C1367" s="264" t="s">
        <v>1951</v>
      </c>
      <c r="D1367" s="264" t="s">
        <v>1960</v>
      </c>
      <c r="E1367" s="264" t="s">
        <v>1353</v>
      </c>
      <c r="F1367" s="264" t="s">
        <v>2012</v>
      </c>
      <c r="G1367" s="264" t="s">
        <v>26</v>
      </c>
      <c r="H1367" s="266">
        <v>-11.25</v>
      </c>
      <c r="I1367" s="266">
        <v>0</v>
      </c>
      <c r="J1367" s="264" t="s">
        <v>1174</v>
      </c>
      <c r="K1367" s="264" t="s">
        <v>2025</v>
      </c>
      <c r="L1367" s="1" t="str">
        <f>VLOOKUP(Advices[[#This Row],[LC Number]],'Combine_List'!A:D,2,0)</f>
        <v>MANATIQ GENERAL CONTRACTING COMPANY</v>
      </c>
      <c r="M1367" s="447" t="str">
        <f>VLOOKUP(Advices[[#This Row],[LC Number]],'Combine_List'!A:D,3,0)</f>
        <v>FIRST FIX</v>
      </c>
      <c r="N1367" s="447" t="str">
        <f>VLOOKUP(Advices[[#This Row],[LC Number]],'Combine_List'!A:D,4,0)</f>
        <v>KSP</v>
      </c>
      <c r="O1367" s="1"/>
      <c r="P1367" s="1">
        <f>MONTH(Advices[[#This Row],[Transaction Date]])</f>
        <v>1</v>
      </c>
      <c r="Q1367" s="1">
        <f>YEAR(Advices[[#This Row],[Transaction Date]])</f>
        <v>2026</v>
      </c>
      <c r="R1367" s="1"/>
    </row>
    <row r="1368" spans="1:18" x14ac:dyDescent="0.25">
      <c r="A1368" s="264" t="s">
        <v>21</v>
      </c>
      <c r="B1368" s="265">
        <v>46028</v>
      </c>
      <c r="C1368" s="264" t="s">
        <v>1951</v>
      </c>
      <c r="D1368" s="264" t="s">
        <v>3387</v>
      </c>
      <c r="E1368" s="264" t="s">
        <v>1353</v>
      </c>
      <c r="F1368" s="264" t="s">
        <v>2012</v>
      </c>
      <c r="G1368" s="264" t="s">
        <v>26</v>
      </c>
      <c r="H1368" s="266">
        <v>-75</v>
      </c>
      <c r="I1368" s="266">
        <v>0</v>
      </c>
      <c r="J1368" s="264" t="s">
        <v>1963</v>
      </c>
      <c r="K1368" s="264" t="s">
        <v>2025</v>
      </c>
      <c r="L1368" s="1" t="str">
        <f>VLOOKUP(Advices[[#This Row],[LC Number]],'Combine_List'!A:D,2,0)</f>
        <v>MANATIQ GENERAL CONTRACTING COMPANY</v>
      </c>
      <c r="M1368" s="447" t="str">
        <f>VLOOKUP(Advices[[#This Row],[LC Number]],'Combine_List'!A:D,3,0)</f>
        <v>FIRST FIX</v>
      </c>
      <c r="N1368" s="447" t="str">
        <f>VLOOKUP(Advices[[#This Row],[LC Number]],'Combine_List'!A:D,4,0)</f>
        <v>KSP</v>
      </c>
      <c r="O1368" s="1"/>
      <c r="P1368" s="1">
        <f>MONTH(Advices[[#This Row],[Transaction Date]])</f>
        <v>1</v>
      </c>
      <c r="Q1368" s="1">
        <f>YEAR(Advices[[#This Row],[Transaction Date]])</f>
        <v>2026</v>
      </c>
      <c r="R1368" s="1"/>
    </row>
    <row r="1369" spans="1:18" x14ac:dyDescent="0.25">
      <c r="A1369" s="264" t="s">
        <v>21</v>
      </c>
      <c r="B1369" s="265">
        <v>46028</v>
      </c>
      <c r="C1369" s="264" t="s">
        <v>1951</v>
      </c>
      <c r="D1369" s="264" t="s">
        <v>3388</v>
      </c>
      <c r="E1369" s="264" t="s">
        <v>1353</v>
      </c>
      <c r="F1369" s="264" t="s">
        <v>2012</v>
      </c>
      <c r="G1369" s="264" t="s">
        <v>26</v>
      </c>
      <c r="H1369" s="266">
        <v>-283912</v>
      </c>
      <c r="I1369" s="266">
        <v>0</v>
      </c>
      <c r="J1369" s="264" t="s">
        <v>1126</v>
      </c>
      <c r="K1369" s="264" t="s">
        <v>2025</v>
      </c>
      <c r="L1369" s="1" t="str">
        <f>VLOOKUP(Advices[[#This Row],[LC Number]],'Combine_List'!A:D,2,0)</f>
        <v>MANATIQ GENERAL CONTRACTING COMPANY</v>
      </c>
      <c r="M1369" s="447" t="str">
        <f>VLOOKUP(Advices[[#This Row],[LC Number]],'Combine_List'!A:D,3,0)</f>
        <v>FIRST FIX</v>
      </c>
      <c r="N1369" s="447" t="str">
        <f>VLOOKUP(Advices[[#This Row],[LC Number]],'Combine_List'!A:D,4,0)</f>
        <v>KSP</v>
      </c>
      <c r="O1369" s="1"/>
      <c r="P1369" s="1">
        <f>MONTH(Advices[[#This Row],[Transaction Date]])</f>
        <v>1</v>
      </c>
      <c r="Q1369" s="1">
        <f>YEAR(Advices[[#This Row],[Transaction Date]])</f>
        <v>2026</v>
      </c>
      <c r="R1369" s="1"/>
    </row>
    <row r="1370" spans="1:18" x14ac:dyDescent="0.25">
      <c r="A1370" s="264" t="s">
        <v>21</v>
      </c>
      <c r="B1370" s="265">
        <v>46028</v>
      </c>
      <c r="C1370" s="264" t="s">
        <v>1951</v>
      </c>
      <c r="D1370" s="264" t="s">
        <v>1960</v>
      </c>
      <c r="E1370" s="264" t="s">
        <v>1412</v>
      </c>
      <c r="F1370" s="264" t="s">
        <v>3389</v>
      </c>
      <c r="G1370" s="264" t="s">
        <v>26</v>
      </c>
      <c r="H1370" s="266">
        <v>-11.25</v>
      </c>
      <c r="I1370" s="266">
        <v>0</v>
      </c>
      <c r="J1370" s="264" t="s">
        <v>1174</v>
      </c>
      <c r="K1370" s="264" t="s">
        <v>2025</v>
      </c>
      <c r="L1370" s="1" t="str">
        <f>VLOOKUP(Advices[[#This Row],[LC Number]],'Combine_List'!A:D,2,0)</f>
        <v>Klimacontra International</v>
      </c>
      <c r="M1370" s="447" t="str">
        <f>VLOOKUP(Advices[[#This Row],[LC Number]],'Combine_List'!A:D,3,0)</f>
        <v>FIRST FIX</v>
      </c>
      <c r="N1370" s="447" t="str">
        <f>VLOOKUP(Advices[[#This Row],[LC Number]],'Combine_List'!A:D,4,0)</f>
        <v>KSP</v>
      </c>
      <c r="O1370" s="1"/>
      <c r="P1370" s="1">
        <f>MONTH(Advices[[#This Row],[Transaction Date]])</f>
        <v>1</v>
      </c>
      <c r="Q1370" s="1">
        <f>YEAR(Advices[[#This Row],[Transaction Date]])</f>
        <v>2026</v>
      </c>
      <c r="R1370" s="1"/>
    </row>
    <row r="1371" spans="1:18" x14ac:dyDescent="0.25">
      <c r="A1371" s="264" t="s">
        <v>21</v>
      </c>
      <c r="B1371" s="265">
        <v>46028</v>
      </c>
      <c r="C1371" s="264" t="s">
        <v>1951</v>
      </c>
      <c r="D1371" s="264" t="s">
        <v>3390</v>
      </c>
      <c r="E1371" s="264" t="s">
        <v>1412</v>
      </c>
      <c r="F1371" s="264" t="s">
        <v>3389</v>
      </c>
      <c r="G1371" s="264" t="s">
        <v>26</v>
      </c>
      <c r="H1371" s="266">
        <v>-75</v>
      </c>
      <c r="I1371" s="266">
        <v>0</v>
      </c>
      <c r="J1371" s="264" t="s">
        <v>1963</v>
      </c>
      <c r="K1371" s="264" t="s">
        <v>2025</v>
      </c>
      <c r="L1371" s="1" t="str">
        <f>VLOOKUP(Advices[[#This Row],[LC Number]],'Combine_List'!A:D,2,0)</f>
        <v>Klimacontra International</v>
      </c>
      <c r="M1371" s="447" t="str">
        <f>VLOOKUP(Advices[[#This Row],[LC Number]],'Combine_List'!A:D,3,0)</f>
        <v>FIRST FIX</v>
      </c>
      <c r="N1371" s="447" t="str">
        <f>VLOOKUP(Advices[[#This Row],[LC Number]],'Combine_List'!A:D,4,0)</f>
        <v>KSP</v>
      </c>
      <c r="O1371" s="1"/>
      <c r="P1371" s="1">
        <f>MONTH(Advices[[#This Row],[Transaction Date]])</f>
        <v>1</v>
      </c>
      <c r="Q1371" s="1">
        <f>YEAR(Advices[[#This Row],[Transaction Date]])</f>
        <v>2026</v>
      </c>
      <c r="R1371" s="1"/>
    </row>
    <row r="1372" spans="1:18" x14ac:dyDescent="0.25">
      <c r="A1372" s="264" t="s">
        <v>21</v>
      </c>
      <c r="B1372" s="265">
        <v>46028</v>
      </c>
      <c r="C1372" s="264" t="s">
        <v>1951</v>
      </c>
      <c r="D1372" s="264" t="s">
        <v>3391</v>
      </c>
      <c r="E1372" s="264" t="s">
        <v>1412</v>
      </c>
      <c r="F1372" s="264" t="s">
        <v>3389</v>
      </c>
      <c r="G1372" s="264" t="s">
        <v>26</v>
      </c>
      <c r="H1372" s="266">
        <v>-255852.91</v>
      </c>
      <c r="I1372" s="266">
        <v>0</v>
      </c>
      <c r="J1372" s="264" t="s">
        <v>1126</v>
      </c>
      <c r="K1372" s="264" t="s">
        <v>2025</v>
      </c>
      <c r="L1372" s="1" t="str">
        <f>VLOOKUP(Advices[[#This Row],[LC Number]],'Combine_List'!A:D,2,0)</f>
        <v>Klimacontra International</v>
      </c>
      <c r="M1372" s="447" t="str">
        <f>VLOOKUP(Advices[[#This Row],[LC Number]],'Combine_List'!A:D,3,0)</f>
        <v>FIRST FIX</v>
      </c>
      <c r="N1372" s="447" t="str">
        <f>VLOOKUP(Advices[[#This Row],[LC Number]],'Combine_List'!A:D,4,0)</f>
        <v>KSP</v>
      </c>
      <c r="O1372" s="1"/>
      <c r="P1372" s="1">
        <f>MONTH(Advices[[#This Row],[Transaction Date]])</f>
        <v>1</v>
      </c>
      <c r="Q1372" s="1">
        <f>YEAR(Advices[[#This Row],[Transaction Date]])</f>
        <v>2026</v>
      </c>
      <c r="R1372" s="1"/>
    </row>
    <row r="1373" spans="1:18" x14ac:dyDescent="0.25">
      <c r="A1373" s="264" t="s">
        <v>21</v>
      </c>
      <c r="B1373" s="265">
        <v>46028</v>
      </c>
      <c r="C1373" s="264" t="s">
        <v>1951</v>
      </c>
      <c r="D1373" s="264" t="s">
        <v>1960</v>
      </c>
      <c r="E1373" s="264" t="s">
        <v>1399</v>
      </c>
      <c r="F1373" s="264" t="s">
        <v>1994</v>
      </c>
      <c r="G1373" s="264" t="s">
        <v>26</v>
      </c>
      <c r="H1373" s="266">
        <v>-11.25</v>
      </c>
      <c r="I1373" s="266">
        <v>0</v>
      </c>
      <c r="J1373" s="264" t="s">
        <v>1174</v>
      </c>
      <c r="K1373" s="264" t="s">
        <v>2025</v>
      </c>
      <c r="L1373" s="1" t="str">
        <f>VLOOKUP(Advices[[#This Row],[LC Number]],'Combine_List'!A:D,2,0)</f>
        <v>GAS SOLUTIONS</v>
      </c>
      <c r="M1373" s="447" t="str">
        <f>VLOOKUP(Advices[[#This Row],[LC Number]],'Combine_List'!A:D,3,0)</f>
        <v>FIRST FIX</v>
      </c>
      <c r="N1373" s="447" t="str">
        <f>VLOOKUP(Advices[[#This Row],[LC Number]],'Combine_List'!A:D,4,0)</f>
        <v>KSP</v>
      </c>
      <c r="O1373" s="1"/>
      <c r="P1373" s="1">
        <f>MONTH(Advices[[#This Row],[Transaction Date]])</f>
        <v>1</v>
      </c>
      <c r="Q1373" s="1">
        <f>YEAR(Advices[[#This Row],[Transaction Date]])</f>
        <v>2026</v>
      </c>
      <c r="R1373" s="1"/>
    </row>
    <row r="1374" spans="1:18" x14ac:dyDescent="0.25">
      <c r="A1374" s="264" t="s">
        <v>21</v>
      </c>
      <c r="B1374" s="265">
        <v>46028</v>
      </c>
      <c r="C1374" s="264" t="s">
        <v>1951</v>
      </c>
      <c r="D1374" s="264" t="s">
        <v>3392</v>
      </c>
      <c r="E1374" s="264" t="s">
        <v>1399</v>
      </c>
      <c r="F1374" s="264" t="s">
        <v>1994</v>
      </c>
      <c r="G1374" s="264" t="s">
        <v>26</v>
      </c>
      <c r="H1374" s="266">
        <v>-75</v>
      </c>
      <c r="I1374" s="266">
        <v>0</v>
      </c>
      <c r="J1374" s="264" t="s">
        <v>1963</v>
      </c>
      <c r="K1374" s="264" t="s">
        <v>2025</v>
      </c>
      <c r="L1374" s="1" t="str">
        <f>VLOOKUP(Advices[[#This Row],[LC Number]],'Combine_List'!A:D,2,0)</f>
        <v>GAS SOLUTIONS</v>
      </c>
      <c r="M1374" s="447" t="str">
        <f>VLOOKUP(Advices[[#This Row],[LC Number]],'Combine_List'!A:D,3,0)</f>
        <v>FIRST FIX</v>
      </c>
      <c r="N1374" s="447" t="str">
        <f>VLOOKUP(Advices[[#This Row],[LC Number]],'Combine_List'!A:D,4,0)</f>
        <v>KSP</v>
      </c>
      <c r="O1374" s="1"/>
      <c r="P1374" s="1">
        <f>MONTH(Advices[[#This Row],[Transaction Date]])</f>
        <v>1</v>
      </c>
      <c r="Q1374" s="1">
        <f>YEAR(Advices[[#This Row],[Transaction Date]])</f>
        <v>2026</v>
      </c>
      <c r="R1374" s="1"/>
    </row>
    <row r="1375" spans="1:18" x14ac:dyDescent="0.25">
      <c r="A1375" s="264" t="s">
        <v>21</v>
      </c>
      <c r="B1375" s="265">
        <v>46028</v>
      </c>
      <c r="C1375" s="264" t="s">
        <v>1951</v>
      </c>
      <c r="D1375" s="264" t="s">
        <v>3393</v>
      </c>
      <c r="E1375" s="264" t="s">
        <v>1399</v>
      </c>
      <c r="F1375" s="264" t="s">
        <v>1994</v>
      </c>
      <c r="G1375" s="264" t="s">
        <v>26</v>
      </c>
      <c r="H1375" s="266">
        <v>-140641.01</v>
      </c>
      <c r="I1375" s="266">
        <v>0</v>
      </c>
      <c r="J1375" s="264" t="s">
        <v>1126</v>
      </c>
      <c r="K1375" s="264" t="s">
        <v>2025</v>
      </c>
      <c r="L1375" s="1" t="str">
        <f>VLOOKUP(Advices[[#This Row],[LC Number]],'Combine_List'!A:D,2,0)</f>
        <v>GAS SOLUTIONS</v>
      </c>
      <c r="M1375" s="447" t="str">
        <f>VLOOKUP(Advices[[#This Row],[LC Number]],'Combine_List'!A:D,3,0)</f>
        <v>FIRST FIX</v>
      </c>
      <c r="N1375" s="447" t="str">
        <f>VLOOKUP(Advices[[#This Row],[LC Number]],'Combine_List'!A:D,4,0)</f>
        <v>KSP</v>
      </c>
      <c r="O1375" s="1"/>
      <c r="P1375" s="1">
        <f>MONTH(Advices[[#This Row],[Transaction Date]])</f>
        <v>1</v>
      </c>
      <c r="Q1375" s="1">
        <f>YEAR(Advices[[#This Row],[Transaction Date]])</f>
        <v>2026</v>
      </c>
      <c r="R1375" s="1"/>
    </row>
    <row r="1376" spans="1:18" x14ac:dyDescent="0.25">
      <c r="A1376" s="264" t="s">
        <v>21</v>
      </c>
      <c r="B1376" s="265">
        <v>46028</v>
      </c>
      <c r="C1376" s="264" t="s">
        <v>1951</v>
      </c>
      <c r="D1376" s="264" t="s">
        <v>1960</v>
      </c>
      <c r="E1376" s="264" t="s">
        <v>1403</v>
      </c>
      <c r="F1376" s="264" t="s">
        <v>2270</v>
      </c>
      <c r="G1376" s="264" t="s">
        <v>26</v>
      </c>
      <c r="H1376" s="266">
        <v>-11.25</v>
      </c>
      <c r="I1376" s="266">
        <v>0</v>
      </c>
      <c r="J1376" s="264" t="s">
        <v>1174</v>
      </c>
      <c r="K1376" s="264" t="s">
        <v>2025</v>
      </c>
      <c r="L1376" s="1" t="str">
        <f>VLOOKUP(Advices[[#This Row],[LC Number]],'Combine_List'!A:D,2,0)</f>
        <v>World Systems Co. Ltd.</v>
      </c>
      <c r="M1376" s="447" t="str">
        <f>VLOOKUP(Advices[[#This Row],[LC Number]],'Combine_List'!A:D,3,0)</f>
        <v>FIRST FIX</v>
      </c>
      <c r="N1376" s="447" t="str">
        <f>VLOOKUP(Advices[[#This Row],[LC Number]],'Combine_List'!A:D,4,0)</f>
        <v>KSP</v>
      </c>
      <c r="O1376" s="1"/>
      <c r="P1376" s="1">
        <f>MONTH(Advices[[#This Row],[Transaction Date]])</f>
        <v>1</v>
      </c>
      <c r="Q1376" s="1">
        <f>YEAR(Advices[[#This Row],[Transaction Date]])</f>
        <v>2026</v>
      </c>
      <c r="R1376" s="1"/>
    </row>
    <row r="1377" spans="1:18" x14ac:dyDescent="0.25">
      <c r="A1377" s="264" t="s">
        <v>21</v>
      </c>
      <c r="B1377" s="265">
        <v>46028</v>
      </c>
      <c r="C1377" s="264" t="s">
        <v>1951</v>
      </c>
      <c r="D1377" s="264" t="s">
        <v>3394</v>
      </c>
      <c r="E1377" s="264" t="s">
        <v>1403</v>
      </c>
      <c r="F1377" s="264" t="s">
        <v>2270</v>
      </c>
      <c r="G1377" s="264" t="s">
        <v>26</v>
      </c>
      <c r="H1377" s="266">
        <v>-75</v>
      </c>
      <c r="I1377" s="266">
        <v>0</v>
      </c>
      <c r="J1377" s="264" t="s">
        <v>1963</v>
      </c>
      <c r="K1377" s="264" t="s">
        <v>2025</v>
      </c>
      <c r="L1377" s="1" t="str">
        <f>VLOOKUP(Advices[[#This Row],[LC Number]],'Combine_List'!A:D,2,0)</f>
        <v>World Systems Co. Ltd.</v>
      </c>
      <c r="M1377" s="447" t="str">
        <f>VLOOKUP(Advices[[#This Row],[LC Number]],'Combine_List'!A:D,3,0)</f>
        <v>FIRST FIX</v>
      </c>
      <c r="N1377" s="447" t="str">
        <f>VLOOKUP(Advices[[#This Row],[LC Number]],'Combine_List'!A:D,4,0)</f>
        <v>KSP</v>
      </c>
      <c r="O1377" s="1"/>
      <c r="P1377" s="1">
        <f>MONTH(Advices[[#This Row],[Transaction Date]])</f>
        <v>1</v>
      </c>
      <c r="Q1377" s="1">
        <f>YEAR(Advices[[#This Row],[Transaction Date]])</f>
        <v>2026</v>
      </c>
      <c r="R1377" s="1"/>
    </row>
    <row r="1378" spans="1:18" x14ac:dyDescent="0.25">
      <c r="A1378" s="264" t="s">
        <v>21</v>
      </c>
      <c r="B1378" s="265">
        <v>46028</v>
      </c>
      <c r="C1378" s="264" t="s">
        <v>1951</v>
      </c>
      <c r="D1378" s="264" t="s">
        <v>3395</v>
      </c>
      <c r="E1378" s="264" t="s">
        <v>1403</v>
      </c>
      <c r="F1378" s="264" t="s">
        <v>2270</v>
      </c>
      <c r="G1378" s="264" t="s">
        <v>26</v>
      </c>
      <c r="H1378" s="266">
        <v>-381871.86</v>
      </c>
      <c r="I1378" s="266">
        <v>0</v>
      </c>
      <c r="J1378" s="264" t="s">
        <v>1126</v>
      </c>
      <c r="K1378" s="264" t="s">
        <v>2025</v>
      </c>
      <c r="L1378" s="1" t="str">
        <f>VLOOKUP(Advices[[#This Row],[LC Number]],'Combine_List'!A:D,2,0)</f>
        <v>World Systems Co. Ltd.</v>
      </c>
      <c r="M1378" s="447" t="str">
        <f>VLOOKUP(Advices[[#This Row],[LC Number]],'Combine_List'!A:D,3,0)</f>
        <v>FIRST FIX</v>
      </c>
      <c r="N1378" s="447" t="str">
        <f>VLOOKUP(Advices[[#This Row],[LC Number]],'Combine_List'!A:D,4,0)</f>
        <v>KSP</v>
      </c>
      <c r="O1378" s="1"/>
      <c r="P1378" s="1">
        <f>MONTH(Advices[[#This Row],[Transaction Date]])</f>
        <v>1</v>
      </c>
      <c r="Q1378" s="1">
        <f>YEAR(Advices[[#This Row],[Transaction Date]])</f>
        <v>2026</v>
      </c>
      <c r="R1378" s="1"/>
    </row>
    <row r="1379" spans="1:18" x14ac:dyDescent="0.25">
      <c r="A1379" s="264" t="s">
        <v>21</v>
      </c>
      <c r="B1379" s="265">
        <v>46028</v>
      </c>
      <c r="C1379" s="264" t="s">
        <v>1951</v>
      </c>
      <c r="D1379" s="264" t="s">
        <v>1960</v>
      </c>
      <c r="E1379" s="264" t="s">
        <v>1504</v>
      </c>
      <c r="F1379" s="264" t="s">
        <v>3396</v>
      </c>
      <c r="G1379" s="264" t="s">
        <v>26</v>
      </c>
      <c r="H1379" s="266">
        <v>-11.25</v>
      </c>
      <c r="I1379" s="266">
        <v>0</v>
      </c>
      <c r="J1379" s="264" t="s">
        <v>1174</v>
      </c>
      <c r="K1379" s="264" t="s">
        <v>2025</v>
      </c>
      <c r="L1379" s="1" t="str">
        <f>VLOOKUP(Advices[[#This Row],[LC Number]],'Combine_List'!A:D,2,0)</f>
        <v>HILTI SAUDI ARABIA FOR CONSTRUCTION TOOLS</v>
      </c>
      <c r="M1379" s="447" t="str">
        <f>VLOOKUP(Advices[[#This Row],[LC Number]],'Combine_List'!A:D,3,0)</f>
        <v>FIRST FIX</v>
      </c>
      <c r="N1379" s="447" t="str">
        <f>VLOOKUP(Advices[[#This Row],[LC Number]],'Combine_List'!A:D,4,0)</f>
        <v>JCD SPMI</v>
      </c>
      <c r="O1379" s="1"/>
      <c r="P1379" s="1">
        <f>MONTH(Advices[[#This Row],[Transaction Date]])</f>
        <v>1</v>
      </c>
      <c r="Q1379" s="1">
        <f>YEAR(Advices[[#This Row],[Transaction Date]])</f>
        <v>2026</v>
      </c>
      <c r="R1379" s="1"/>
    </row>
    <row r="1380" spans="1:18" x14ac:dyDescent="0.25">
      <c r="A1380" s="264" t="s">
        <v>21</v>
      </c>
      <c r="B1380" s="265">
        <v>46028</v>
      </c>
      <c r="C1380" s="264" t="s">
        <v>1951</v>
      </c>
      <c r="D1380" s="264" t="s">
        <v>3397</v>
      </c>
      <c r="E1380" s="264" t="s">
        <v>1504</v>
      </c>
      <c r="F1380" s="264" t="s">
        <v>3396</v>
      </c>
      <c r="G1380" s="264" t="s">
        <v>26</v>
      </c>
      <c r="H1380" s="266">
        <v>-75</v>
      </c>
      <c r="I1380" s="266">
        <v>0</v>
      </c>
      <c r="J1380" s="264" t="s">
        <v>1963</v>
      </c>
      <c r="K1380" s="264" t="s">
        <v>2025</v>
      </c>
      <c r="L1380" s="1" t="str">
        <f>VLOOKUP(Advices[[#This Row],[LC Number]],'Combine_List'!A:D,2,0)</f>
        <v>HILTI SAUDI ARABIA FOR CONSTRUCTION TOOLS</v>
      </c>
      <c r="M1380" s="447" t="str">
        <f>VLOOKUP(Advices[[#This Row],[LC Number]],'Combine_List'!A:D,3,0)</f>
        <v>FIRST FIX</v>
      </c>
      <c r="N1380" s="447" t="str">
        <f>VLOOKUP(Advices[[#This Row],[LC Number]],'Combine_List'!A:D,4,0)</f>
        <v>JCD SPMI</v>
      </c>
      <c r="O1380" s="1"/>
      <c r="P1380" s="1">
        <f>MONTH(Advices[[#This Row],[Transaction Date]])</f>
        <v>1</v>
      </c>
      <c r="Q1380" s="1">
        <f>YEAR(Advices[[#This Row],[Transaction Date]])</f>
        <v>2026</v>
      </c>
      <c r="R1380" s="1"/>
    </row>
    <row r="1381" spans="1:18" x14ac:dyDescent="0.25">
      <c r="A1381" s="264" t="s">
        <v>21</v>
      </c>
      <c r="B1381" s="265">
        <v>46028</v>
      </c>
      <c r="C1381" s="264" t="s">
        <v>1951</v>
      </c>
      <c r="D1381" s="264" t="s">
        <v>3398</v>
      </c>
      <c r="E1381" s="264" t="s">
        <v>1504</v>
      </c>
      <c r="F1381" s="264" t="s">
        <v>3396</v>
      </c>
      <c r="G1381" s="264" t="s">
        <v>26</v>
      </c>
      <c r="H1381" s="266">
        <v>-200000</v>
      </c>
      <c r="I1381" s="266">
        <v>0</v>
      </c>
      <c r="J1381" s="264" t="s">
        <v>1126</v>
      </c>
      <c r="K1381" s="264" t="s">
        <v>2025</v>
      </c>
      <c r="L1381" s="1" t="str">
        <f>VLOOKUP(Advices[[#This Row],[LC Number]],'Combine_List'!A:D,2,0)</f>
        <v>HILTI SAUDI ARABIA FOR CONSTRUCTION TOOLS</v>
      </c>
      <c r="M1381" s="447" t="str">
        <f>VLOOKUP(Advices[[#This Row],[LC Number]],'Combine_List'!A:D,3,0)</f>
        <v>FIRST FIX</v>
      </c>
      <c r="N1381" s="447" t="str">
        <f>VLOOKUP(Advices[[#This Row],[LC Number]],'Combine_List'!A:D,4,0)</f>
        <v>JCD SPMI</v>
      </c>
      <c r="O1381" s="1"/>
      <c r="P1381" s="1">
        <f>MONTH(Advices[[#This Row],[Transaction Date]])</f>
        <v>1</v>
      </c>
      <c r="Q1381" s="1">
        <f>YEAR(Advices[[#This Row],[Transaction Date]])</f>
        <v>2026</v>
      </c>
      <c r="R1381" s="1"/>
    </row>
    <row r="1382" spans="1:18" x14ac:dyDescent="0.25">
      <c r="A1382" s="264" t="s">
        <v>21</v>
      </c>
      <c r="B1382" s="265">
        <v>46028</v>
      </c>
      <c r="C1382" s="264" t="s">
        <v>1951</v>
      </c>
      <c r="D1382" s="264" t="s">
        <v>1960</v>
      </c>
      <c r="E1382" s="264" t="s">
        <v>1519</v>
      </c>
      <c r="F1382" s="264" t="s">
        <v>3303</v>
      </c>
      <c r="G1382" s="264" t="s">
        <v>26</v>
      </c>
      <c r="H1382" s="266">
        <v>-11.25</v>
      </c>
      <c r="I1382" s="266">
        <v>0</v>
      </c>
      <c r="J1382" s="264" t="s">
        <v>1174</v>
      </c>
      <c r="K1382" s="264" t="s">
        <v>2025</v>
      </c>
      <c r="L1382" s="1" t="str">
        <f>VLOOKUP(Advices[[#This Row],[LC Number]],'Combine_List'!A:D,2,0)</f>
        <v>MAHAWAR AL JAZEERA CONTRACTING CO.</v>
      </c>
      <c r="M1382" s="447" t="str">
        <f>VLOOKUP(Advices[[#This Row],[LC Number]],'Combine_List'!A:D,3,0)</f>
        <v>FIRST FIX</v>
      </c>
      <c r="N1382" s="447" t="str">
        <f>VLOOKUP(Advices[[#This Row],[LC Number]],'Combine_List'!A:D,4,0)</f>
        <v>JCD SPMI</v>
      </c>
      <c r="O1382" s="1"/>
      <c r="P1382" s="1">
        <f>MONTH(Advices[[#This Row],[Transaction Date]])</f>
        <v>1</v>
      </c>
      <c r="Q1382" s="1">
        <f>YEAR(Advices[[#This Row],[Transaction Date]])</f>
        <v>2026</v>
      </c>
      <c r="R1382" s="1"/>
    </row>
    <row r="1383" spans="1:18" x14ac:dyDescent="0.25">
      <c r="A1383" s="264" t="s">
        <v>21</v>
      </c>
      <c r="B1383" s="265">
        <v>46028</v>
      </c>
      <c r="C1383" s="264" t="s">
        <v>1951</v>
      </c>
      <c r="D1383" s="264" t="s">
        <v>3399</v>
      </c>
      <c r="E1383" s="264" t="s">
        <v>1519</v>
      </c>
      <c r="F1383" s="264" t="s">
        <v>3303</v>
      </c>
      <c r="G1383" s="264" t="s">
        <v>26</v>
      </c>
      <c r="H1383" s="266">
        <v>-75</v>
      </c>
      <c r="I1383" s="266">
        <v>0</v>
      </c>
      <c r="J1383" s="264" t="s">
        <v>1963</v>
      </c>
      <c r="K1383" s="264" t="s">
        <v>2025</v>
      </c>
      <c r="L1383" s="1" t="str">
        <f>VLOOKUP(Advices[[#This Row],[LC Number]],'Combine_List'!A:D,2,0)</f>
        <v>MAHAWAR AL JAZEERA CONTRACTING CO.</v>
      </c>
      <c r="M1383" s="447" t="str">
        <f>VLOOKUP(Advices[[#This Row],[LC Number]],'Combine_List'!A:D,3,0)</f>
        <v>FIRST FIX</v>
      </c>
      <c r="N1383" s="447" t="str">
        <f>VLOOKUP(Advices[[#This Row],[LC Number]],'Combine_List'!A:D,4,0)</f>
        <v>JCD SPMI</v>
      </c>
      <c r="O1383" s="1"/>
      <c r="P1383" s="1">
        <f>MONTH(Advices[[#This Row],[Transaction Date]])</f>
        <v>1</v>
      </c>
      <c r="Q1383" s="1">
        <f>YEAR(Advices[[#This Row],[Transaction Date]])</f>
        <v>2026</v>
      </c>
      <c r="R1383" s="1"/>
    </row>
    <row r="1384" spans="1:18" x14ac:dyDescent="0.25">
      <c r="A1384" s="264" t="s">
        <v>21</v>
      </c>
      <c r="B1384" s="265">
        <v>46028</v>
      </c>
      <c r="C1384" s="264" t="s">
        <v>1951</v>
      </c>
      <c r="D1384" s="264" t="s">
        <v>3400</v>
      </c>
      <c r="E1384" s="264" t="s">
        <v>1519</v>
      </c>
      <c r="F1384" s="264" t="s">
        <v>3303</v>
      </c>
      <c r="G1384" s="264" t="s">
        <v>26</v>
      </c>
      <c r="H1384" s="266">
        <v>-93771</v>
      </c>
      <c r="I1384" s="266">
        <v>0</v>
      </c>
      <c r="J1384" s="264" t="s">
        <v>1126</v>
      </c>
      <c r="K1384" s="264" t="s">
        <v>2025</v>
      </c>
      <c r="L1384" s="1" t="str">
        <f>VLOOKUP(Advices[[#This Row],[LC Number]],'Combine_List'!A:D,2,0)</f>
        <v>MAHAWAR AL JAZEERA CONTRACTING CO.</v>
      </c>
      <c r="M1384" s="447" t="str">
        <f>VLOOKUP(Advices[[#This Row],[LC Number]],'Combine_List'!A:D,3,0)</f>
        <v>FIRST FIX</v>
      </c>
      <c r="N1384" s="447" t="str">
        <f>VLOOKUP(Advices[[#This Row],[LC Number]],'Combine_List'!A:D,4,0)</f>
        <v>JCD SPMI</v>
      </c>
      <c r="O1384" s="264"/>
      <c r="P1384" s="264">
        <f>MONTH(Advices[[#This Row],[Transaction Date]])</f>
        <v>1</v>
      </c>
      <c r="Q1384" s="264">
        <f>YEAR(Advices[[#This Row],[Transaction Date]])</f>
        <v>2026</v>
      </c>
      <c r="R1384" s="1"/>
    </row>
    <row r="1385" spans="1:18" x14ac:dyDescent="0.25">
      <c r="A1385" s="264" t="s">
        <v>21</v>
      </c>
      <c r="B1385" s="265">
        <v>46029</v>
      </c>
      <c r="C1385" s="264" t="s">
        <v>1951</v>
      </c>
      <c r="D1385" s="264" t="s">
        <v>1960</v>
      </c>
      <c r="E1385" s="264" t="s">
        <v>1332</v>
      </c>
      <c r="F1385" s="264" t="s">
        <v>1984</v>
      </c>
      <c r="G1385" s="264" t="s">
        <v>26</v>
      </c>
      <c r="H1385" s="266">
        <v>-11.25</v>
      </c>
      <c r="I1385" s="266">
        <v>0</v>
      </c>
      <c r="J1385" s="264" t="s">
        <v>1174</v>
      </c>
      <c r="K1385" s="264" t="s">
        <v>2025</v>
      </c>
      <c r="L1385" s="1" t="str">
        <f>VLOOKUP(Advices[[#This Row],[LC Number]],'Combine_List'!A:D,2,0)</f>
        <v>AKNAN ALKHAIR TRADING EST</v>
      </c>
      <c r="M1385" s="447" t="str">
        <f>VLOOKUP(Advices[[#This Row],[LC Number]],'Combine_List'!A:D,3,0)</f>
        <v>FIRST FIX</v>
      </c>
      <c r="N1385" s="447" t="str">
        <f>VLOOKUP(Advices[[#This Row],[LC Number]],'Combine_List'!A:D,4,0)</f>
        <v>KSP</v>
      </c>
      <c r="O1385" s="1"/>
      <c r="P1385" s="1">
        <f>MONTH(Advices[[#This Row],[Transaction Date]])</f>
        <v>1</v>
      </c>
      <c r="Q1385" s="1">
        <f>YEAR(Advices[[#This Row],[Transaction Date]])</f>
        <v>2026</v>
      </c>
      <c r="R1385" s="1"/>
    </row>
    <row r="1386" spans="1:18" x14ac:dyDescent="0.25">
      <c r="A1386" s="264" t="s">
        <v>21</v>
      </c>
      <c r="B1386" s="265">
        <v>46029</v>
      </c>
      <c r="C1386" s="264" t="s">
        <v>1951</v>
      </c>
      <c r="D1386" s="264" t="s">
        <v>3542</v>
      </c>
      <c r="E1386" s="264" t="s">
        <v>1332</v>
      </c>
      <c r="F1386" s="264" t="s">
        <v>1984</v>
      </c>
      <c r="G1386" s="264" t="s">
        <v>26</v>
      </c>
      <c r="H1386" s="266">
        <v>-75</v>
      </c>
      <c r="I1386" s="266">
        <v>0</v>
      </c>
      <c r="J1386" s="264" t="s">
        <v>1963</v>
      </c>
      <c r="K1386" s="264" t="s">
        <v>2025</v>
      </c>
      <c r="L1386" s="1" t="str">
        <f>VLOOKUP(Advices[[#This Row],[LC Number]],'Combine_List'!A:D,2,0)</f>
        <v>AKNAN ALKHAIR TRADING EST</v>
      </c>
      <c r="M1386" s="447" t="str">
        <f>VLOOKUP(Advices[[#This Row],[LC Number]],'Combine_List'!A:D,3,0)</f>
        <v>FIRST FIX</v>
      </c>
      <c r="N1386" s="447" t="str">
        <f>VLOOKUP(Advices[[#This Row],[LC Number]],'Combine_List'!A:D,4,0)</f>
        <v>KSP</v>
      </c>
      <c r="O1386" s="1"/>
      <c r="P1386" s="1">
        <f>MONTH(Advices[[#This Row],[Transaction Date]])</f>
        <v>1</v>
      </c>
      <c r="Q1386" s="1">
        <f>YEAR(Advices[[#This Row],[Transaction Date]])</f>
        <v>2026</v>
      </c>
      <c r="R1386" s="1"/>
    </row>
    <row r="1387" spans="1:18" x14ac:dyDescent="0.25">
      <c r="A1387" s="264" t="s">
        <v>21</v>
      </c>
      <c r="B1387" s="265">
        <v>46029</v>
      </c>
      <c r="C1387" s="264" t="s">
        <v>1951</v>
      </c>
      <c r="D1387" s="264" t="s">
        <v>3543</v>
      </c>
      <c r="E1387" s="264" t="s">
        <v>1332</v>
      </c>
      <c r="F1387" s="264" t="s">
        <v>1984</v>
      </c>
      <c r="G1387" s="264" t="s">
        <v>26</v>
      </c>
      <c r="H1387" s="266">
        <v>-253537.11</v>
      </c>
      <c r="I1387" s="266">
        <v>0</v>
      </c>
      <c r="J1387" s="264" t="s">
        <v>1126</v>
      </c>
      <c r="K1387" s="264" t="s">
        <v>2025</v>
      </c>
      <c r="L1387" s="1" t="str">
        <f>VLOOKUP(Advices[[#This Row],[LC Number]],'Combine_List'!A:D,2,0)</f>
        <v>AKNAN ALKHAIR TRADING EST</v>
      </c>
      <c r="M1387" s="447" t="str">
        <f>VLOOKUP(Advices[[#This Row],[LC Number]],'Combine_List'!A:D,3,0)</f>
        <v>FIRST FIX</v>
      </c>
      <c r="N1387" s="447" t="str">
        <f>VLOOKUP(Advices[[#This Row],[LC Number]],'Combine_List'!A:D,4,0)</f>
        <v>KSP</v>
      </c>
      <c r="O1387" s="1"/>
      <c r="P1387" s="1">
        <f>MONTH(Advices[[#This Row],[Transaction Date]])</f>
        <v>1</v>
      </c>
      <c r="Q1387" s="1">
        <f>YEAR(Advices[[#This Row],[Transaction Date]])</f>
        <v>2026</v>
      </c>
      <c r="R1387" s="1"/>
    </row>
    <row r="1388" spans="1:18" x14ac:dyDescent="0.25">
      <c r="A1388" s="264" t="s">
        <v>21</v>
      </c>
      <c r="B1388" s="265">
        <v>46029</v>
      </c>
      <c r="C1388" s="264" t="s">
        <v>1951</v>
      </c>
      <c r="D1388" s="264" t="s">
        <v>1960</v>
      </c>
      <c r="E1388" s="264" t="s">
        <v>1517</v>
      </c>
      <c r="F1388" s="264" t="s">
        <v>2947</v>
      </c>
      <c r="G1388" s="264" t="s">
        <v>26</v>
      </c>
      <c r="H1388" s="266">
        <v>-11.25</v>
      </c>
      <c r="I1388" s="266">
        <v>0</v>
      </c>
      <c r="J1388" s="264" t="s">
        <v>1174</v>
      </c>
      <c r="K1388" s="264" t="s">
        <v>2025</v>
      </c>
      <c r="L1388" s="1" t="str">
        <f>VLOOKUP(Advices[[#This Row],[LC Number]],'Combine_List'!A:D,2,0)</f>
        <v>ENGINEERING STYLES EST FOR CONTRACTING</v>
      </c>
      <c r="M1388" s="447" t="str">
        <f>VLOOKUP(Advices[[#This Row],[LC Number]],'Combine_List'!A:D,3,0)</f>
        <v>FIRST FIX</v>
      </c>
      <c r="N1388" s="447" t="str">
        <f>VLOOKUP(Advices[[#This Row],[LC Number]],'Combine_List'!A:D,4,0)</f>
        <v>JCD SPMI</v>
      </c>
      <c r="O1388" s="1"/>
      <c r="P1388" s="1">
        <f>MONTH(Advices[[#This Row],[Transaction Date]])</f>
        <v>1</v>
      </c>
      <c r="Q1388" s="1">
        <f>YEAR(Advices[[#This Row],[Transaction Date]])</f>
        <v>2026</v>
      </c>
      <c r="R1388" s="1"/>
    </row>
    <row r="1389" spans="1:18" x14ac:dyDescent="0.25">
      <c r="A1389" s="264" t="s">
        <v>21</v>
      </c>
      <c r="B1389" s="265">
        <v>46029</v>
      </c>
      <c r="C1389" s="264" t="s">
        <v>1951</v>
      </c>
      <c r="D1389" s="264" t="s">
        <v>3544</v>
      </c>
      <c r="E1389" s="264" t="s">
        <v>1517</v>
      </c>
      <c r="F1389" s="264" t="s">
        <v>2947</v>
      </c>
      <c r="G1389" s="264" t="s">
        <v>26</v>
      </c>
      <c r="H1389" s="266">
        <v>-75</v>
      </c>
      <c r="I1389" s="266">
        <v>0</v>
      </c>
      <c r="J1389" s="264" t="s">
        <v>1963</v>
      </c>
      <c r="K1389" s="264" t="s">
        <v>2025</v>
      </c>
      <c r="L1389" s="1" t="str">
        <f>VLOOKUP(Advices[[#This Row],[LC Number]],'Combine_List'!A:D,2,0)</f>
        <v>ENGINEERING STYLES EST FOR CONTRACTING</v>
      </c>
      <c r="M1389" s="447" t="str">
        <f>VLOOKUP(Advices[[#This Row],[LC Number]],'Combine_List'!A:D,3,0)</f>
        <v>FIRST FIX</v>
      </c>
      <c r="N1389" s="447" t="str">
        <f>VLOOKUP(Advices[[#This Row],[LC Number]],'Combine_List'!A:D,4,0)</f>
        <v>JCD SPMI</v>
      </c>
      <c r="O1389" s="1"/>
      <c r="P1389" s="1">
        <f>MONTH(Advices[[#This Row],[Transaction Date]])</f>
        <v>1</v>
      </c>
      <c r="Q1389" s="1">
        <f>YEAR(Advices[[#This Row],[Transaction Date]])</f>
        <v>2026</v>
      </c>
      <c r="R1389" s="1"/>
    </row>
    <row r="1390" spans="1:18" x14ac:dyDescent="0.25">
      <c r="A1390" s="264" t="s">
        <v>21</v>
      </c>
      <c r="B1390" s="265">
        <v>46029</v>
      </c>
      <c r="C1390" s="264" t="s">
        <v>1951</v>
      </c>
      <c r="D1390" s="264" t="s">
        <v>3545</v>
      </c>
      <c r="E1390" s="264" t="s">
        <v>1517</v>
      </c>
      <c r="F1390" s="264" t="s">
        <v>2947</v>
      </c>
      <c r="G1390" s="264" t="s">
        <v>26</v>
      </c>
      <c r="H1390" s="266">
        <v>-378574</v>
      </c>
      <c r="I1390" s="266">
        <v>0</v>
      </c>
      <c r="J1390" s="264" t="s">
        <v>1126</v>
      </c>
      <c r="K1390" s="264" t="s">
        <v>2025</v>
      </c>
      <c r="L1390" s="1" t="str">
        <f>VLOOKUP(Advices[[#This Row],[LC Number]],'Combine_List'!A:D,2,0)</f>
        <v>ENGINEERING STYLES EST FOR CONTRACTING</v>
      </c>
      <c r="M1390" s="447" t="str">
        <f>VLOOKUP(Advices[[#This Row],[LC Number]],'Combine_List'!A:D,3,0)</f>
        <v>FIRST FIX</v>
      </c>
      <c r="N1390" s="447" t="str">
        <f>VLOOKUP(Advices[[#This Row],[LC Number]],'Combine_List'!A:D,4,0)</f>
        <v>JCD SPMI</v>
      </c>
      <c r="O1390" s="1"/>
      <c r="P1390" s="1">
        <f>MONTH(Advices[[#This Row],[Transaction Date]])</f>
        <v>1</v>
      </c>
      <c r="Q1390" s="1">
        <f>YEAR(Advices[[#This Row],[Transaction Date]])</f>
        <v>2026</v>
      </c>
      <c r="R1390" s="1"/>
    </row>
    <row r="1391" spans="1:18" x14ac:dyDescent="0.25">
      <c r="A1391" s="264" t="s">
        <v>21</v>
      </c>
      <c r="B1391" s="265">
        <v>46029</v>
      </c>
      <c r="C1391" s="264" t="s">
        <v>1951</v>
      </c>
      <c r="D1391" s="264" t="s">
        <v>1960</v>
      </c>
      <c r="E1391" s="264" t="s">
        <v>1518</v>
      </c>
      <c r="F1391" s="264" t="s">
        <v>2015</v>
      </c>
      <c r="G1391" s="264" t="s">
        <v>26</v>
      </c>
      <c r="H1391" s="266">
        <v>-11.25</v>
      </c>
      <c r="I1391" s="266">
        <v>0</v>
      </c>
      <c r="J1391" s="264" t="s">
        <v>1174</v>
      </c>
      <c r="K1391" s="264" t="s">
        <v>2025</v>
      </c>
      <c r="L1391" s="1" t="str">
        <f>VLOOKUP(Advices[[#This Row],[LC Number]],'Combine_List'!A:D,2,0)</f>
        <v>AL RAWNAQ AL THAHABI ENGINEERING CONSULTING. CO.</v>
      </c>
      <c r="M1391" s="447" t="str">
        <f>VLOOKUP(Advices[[#This Row],[LC Number]],'Combine_List'!A:D,3,0)</f>
        <v>FIRST FIX</v>
      </c>
      <c r="N1391" s="447" t="str">
        <f>VLOOKUP(Advices[[#This Row],[LC Number]],'Combine_List'!A:D,4,0)</f>
        <v>JCD SPMI</v>
      </c>
      <c r="O1391" s="1"/>
      <c r="P1391" s="1">
        <f>MONTH(Advices[[#This Row],[Transaction Date]])</f>
        <v>1</v>
      </c>
      <c r="Q1391" s="1">
        <f>YEAR(Advices[[#This Row],[Transaction Date]])</f>
        <v>2026</v>
      </c>
      <c r="R1391" s="1"/>
    </row>
    <row r="1392" spans="1:18" x14ac:dyDescent="0.25">
      <c r="A1392" s="264" t="s">
        <v>21</v>
      </c>
      <c r="B1392" s="265">
        <v>46029</v>
      </c>
      <c r="C1392" s="264" t="s">
        <v>1951</v>
      </c>
      <c r="D1392" s="264" t="s">
        <v>3546</v>
      </c>
      <c r="E1392" s="264" t="s">
        <v>1518</v>
      </c>
      <c r="F1392" s="264" t="s">
        <v>2015</v>
      </c>
      <c r="G1392" s="264" t="s">
        <v>26</v>
      </c>
      <c r="H1392" s="266">
        <v>-75</v>
      </c>
      <c r="I1392" s="266">
        <v>0</v>
      </c>
      <c r="J1392" s="264" t="s">
        <v>1963</v>
      </c>
      <c r="K1392" s="264" t="s">
        <v>2025</v>
      </c>
      <c r="L1392" s="1" t="str">
        <f>VLOOKUP(Advices[[#This Row],[LC Number]],'Combine_List'!A:D,2,0)</f>
        <v>AL RAWNAQ AL THAHABI ENGINEERING CONSULTING. CO.</v>
      </c>
      <c r="M1392" s="447" t="str">
        <f>VLOOKUP(Advices[[#This Row],[LC Number]],'Combine_List'!A:D,3,0)</f>
        <v>FIRST FIX</v>
      </c>
      <c r="N1392" s="447" t="str">
        <f>VLOOKUP(Advices[[#This Row],[LC Number]],'Combine_List'!A:D,4,0)</f>
        <v>JCD SPMI</v>
      </c>
      <c r="O1392" s="1"/>
      <c r="P1392" s="1">
        <f>MONTH(Advices[[#This Row],[Transaction Date]])</f>
        <v>1</v>
      </c>
      <c r="Q1392" s="1">
        <f>YEAR(Advices[[#This Row],[Transaction Date]])</f>
        <v>2026</v>
      </c>
      <c r="R1392" s="1"/>
    </row>
    <row r="1393" spans="1:18" x14ac:dyDescent="0.25">
      <c r="A1393" s="264" t="s">
        <v>21</v>
      </c>
      <c r="B1393" s="265">
        <v>46029</v>
      </c>
      <c r="C1393" s="264" t="s">
        <v>1951</v>
      </c>
      <c r="D1393" s="264" t="s">
        <v>3547</v>
      </c>
      <c r="E1393" s="264" t="s">
        <v>1518</v>
      </c>
      <c r="F1393" s="264" t="s">
        <v>2015</v>
      </c>
      <c r="G1393" s="264" t="s">
        <v>26</v>
      </c>
      <c r="H1393" s="266">
        <v>-350461</v>
      </c>
      <c r="I1393" s="266">
        <v>0</v>
      </c>
      <c r="J1393" s="264" t="s">
        <v>1126</v>
      </c>
      <c r="K1393" s="264" t="s">
        <v>2025</v>
      </c>
      <c r="L1393" s="1" t="str">
        <f>VLOOKUP(Advices[[#This Row],[LC Number]],'Combine_List'!A:D,2,0)</f>
        <v>AL RAWNAQ AL THAHABI ENGINEERING CONSULTING. CO.</v>
      </c>
      <c r="M1393" s="447" t="str">
        <f>VLOOKUP(Advices[[#This Row],[LC Number]],'Combine_List'!A:D,3,0)</f>
        <v>FIRST FIX</v>
      </c>
      <c r="N1393" s="447" t="str">
        <f>VLOOKUP(Advices[[#This Row],[LC Number]],'Combine_List'!A:D,4,0)</f>
        <v>JCD SPMI</v>
      </c>
      <c r="O1393" s="1"/>
      <c r="P1393" s="1">
        <f>MONTH(Advices[[#This Row],[Transaction Date]])</f>
        <v>1</v>
      </c>
      <c r="Q1393" s="1">
        <f>YEAR(Advices[[#This Row],[Transaction Date]])</f>
        <v>2026</v>
      </c>
      <c r="R1393" s="1"/>
    </row>
    <row r="1394" spans="1:18" x14ac:dyDescent="0.25">
      <c r="A1394" s="264" t="s">
        <v>21</v>
      </c>
      <c r="B1394" s="265">
        <v>46029</v>
      </c>
      <c r="C1394" s="264" t="s">
        <v>1951</v>
      </c>
      <c r="D1394" s="264" t="s">
        <v>1960</v>
      </c>
      <c r="E1394" s="264" t="s">
        <v>1522</v>
      </c>
      <c r="F1394" s="264" t="s">
        <v>1955</v>
      </c>
      <c r="G1394" s="264" t="s">
        <v>26</v>
      </c>
      <c r="H1394" s="266">
        <v>-11.25</v>
      </c>
      <c r="I1394" s="266">
        <v>0</v>
      </c>
      <c r="J1394" s="264" t="s">
        <v>1174</v>
      </c>
      <c r="K1394" s="264" t="s">
        <v>2025</v>
      </c>
      <c r="L1394" s="1" t="str">
        <f>VLOOKUP(Advices[[#This Row],[LC Number]],'Combine_List'!A:D,2,0)</f>
        <v>LAILA M.BIN ABDULLAH AL-FARAJ FOR GENERAL CONT.EST</v>
      </c>
      <c r="M1394" s="447" t="str">
        <f>VLOOKUP(Advices[[#This Row],[LC Number]],'Combine_List'!A:D,3,0)</f>
        <v>FIRST FIX</v>
      </c>
      <c r="N1394" s="447" t="str">
        <f>VLOOKUP(Advices[[#This Row],[LC Number]],'Combine_List'!A:D,4,0)</f>
        <v>JCD SPMI</v>
      </c>
      <c r="O1394" s="1"/>
      <c r="P1394" s="1">
        <f>MONTH(Advices[[#This Row],[Transaction Date]])</f>
        <v>1</v>
      </c>
      <c r="Q1394" s="1">
        <f>YEAR(Advices[[#This Row],[Transaction Date]])</f>
        <v>2026</v>
      </c>
      <c r="R1394" s="1"/>
    </row>
    <row r="1395" spans="1:18" x14ac:dyDescent="0.25">
      <c r="A1395" s="264" t="s">
        <v>21</v>
      </c>
      <c r="B1395" s="265">
        <v>46029</v>
      </c>
      <c r="C1395" s="264" t="s">
        <v>1951</v>
      </c>
      <c r="D1395" s="264" t="s">
        <v>3548</v>
      </c>
      <c r="E1395" s="264" t="s">
        <v>1522</v>
      </c>
      <c r="F1395" s="264" t="s">
        <v>1955</v>
      </c>
      <c r="G1395" s="264" t="s">
        <v>26</v>
      </c>
      <c r="H1395" s="266">
        <v>-75</v>
      </c>
      <c r="I1395" s="266">
        <v>0</v>
      </c>
      <c r="J1395" s="264" t="s">
        <v>1963</v>
      </c>
      <c r="K1395" s="264" t="s">
        <v>2025</v>
      </c>
      <c r="L1395" s="1" t="str">
        <f>VLOOKUP(Advices[[#This Row],[LC Number]],'Combine_List'!A:D,2,0)</f>
        <v>LAILA M.BIN ABDULLAH AL-FARAJ FOR GENERAL CONT.EST</v>
      </c>
      <c r="M1395" s="447" t="str">
        <f>VLOOKUP(Advices[[#This Row],[LC Number]],'Combine_List'!A:D,3,0)</f>
        <v>FIRST FIX</v>
      </c>
      <c r="N1395" s="447" t="str">
        <f>VLOOKUP(Advices[[#This Row],[LC Number]],'Combine_List'!A:D,4,0)</f>
        <v>JCD SPMI</v>
      </c>
      <c r="O1395" s="1"/>
      <c r="P1395" s="1">
        <f>MONTH(Advices[[#This Row],[Transaction Date]])</f>
        <v>1</v>
      </c>
      <c r="Q1395" s="1">
        <f>YEAR(Advices[[#This Row],[Transaction Date]])</f>
        <v>2026</v>
      </c>
      <c r="R1395" s="1"/>
    </row>
    <row r="1396" spans="1:18" x14ac:dyDescent="0.25">
      <c r="A1396" s="264" t="s">
        <v>21</v>
      </c>
      <c r="B1396" s="265">
        <v>46029</v>
      </c>
      <c r="C1396" s="264" t="s">
        <v>1951</v>
      </c>
      <c r="D1396" s="264" t="s">
        <v>3549</v>
      </c>
      <c r="E1396" s="264" t="s">
        <v>1522</v>
      </c>
      <c r="F1396" s="264" t="s">
        <v>1955</v>
      </c>
      <c r="G1396" s="264" t="s">
        <v>26</v>
      </c>
      <c r="H1396" s="266">
        <v>-263032</v>
      </c>
      <c r="I1396" s="266">
        <v>0</v>
      </c>
      <c r="J1396" s="264" t="s">
        <v>1126</v>
      </c>
      <c r="K1396" s="264" t="s">
        <v>2025</v>
      </c>
      <c r="L1396" s="1" t="str">
        <f>VLOOKUP(Advices[[#This Row],[LC Number]],'Combine_List'!A:D,2,0)</f>
        <v>LAILA M.BIN ABDULLAH AL-FARAJ FOR GENERAL CONT.EST</v>
      </c>
      <c r="M1396" s="447" t="str">
        <f>VLOOKUP(Advices[[#This Row],[LC Number]],'Combine_List'!A:D,3,0)</f>
        <v>FIRST FIX</v>
      </c>
      <c r="N1396" s="447" t="str">
        <f>VLOOKUP(Advices[[#This Row],[LC Number]],'Combine_List'!A:D,4,0)</f>
        <v>JCD SPMI</v>
      </c>
      <c r="O1396" s="264"/>
      <c r="P1396" s="264">
        <f>MONTH(Advices[[#This Row],[Transaction Date]])</f>
        <v>1</v>
      </c>
      <c r="Q1396" s="264">
        <f>YEAR(Advices[[#This Row],[Transaction Date]])</f>
        <v>2026</v>
      </c>
      <c r="R1396" s="1"/>
    </row>
    <row r="1397" spans="1:18" hidden="1" x14ac:dyDescent="0.25">
      <c r="A1397" s="264" t="s">
        <v>95</v>
      </c>
      <c r="B1397" s="265">
        <v>46029</v>
      </c>
      <c r="C1397" s="264" t="s">
        <v>2026</v>
      </c>
      <c r="D1397" s="264" t="s">
        <v>3550</v>
      </c>
      <c r="E1397" s="264" t="s">
        <v>1617</v>
      </c>
      <c r="F1397" s="264" t="s">
        <v>2030</v>
      </c>
      <c r="G1397" s="264" t="s">
        <v>26</v>
      </c>
      <c r="H1397" s="266">
        <v>-184701.44</v>
      </c>
      <c r="I1397" s="266">
        <v>0</v>
      </c>
      <c r="J1397" s="264" t="s">
        <v>1126</v>
      </c>
      <c r="K1397" s="264" t="s">
        <v>2025</v>
      </c>
      <c r="L1397" s="1" t="str">
        <f>VLOOKUP(Advices[[#This Row],[LC Number]],'Combine_List'!A:D,2,0)</f>
        <v>Sami Yousee Bin Abdel Rahim Alharbi Foundation</v>
      </c>
      <c r="M1397" s="447" t="str">
        <f>VLOOKUP(Advices[[#This Row],[LC Number]],'Combine_List'!A:D,3,0)</f>
        <v>FIRST FIX</v>
      </c>
      <c r="N1397" s="447" t="str">
        <f>VLOOKUP(Advices[[#This Row],[LC Number]],'Combine_List'!A:D,4,0)</f>
        <v>JCD SPMI</v>
      </c>
      <c r="O1397" s="264"/>
      <c r="P1397" s="264">
        <f>MONTH(Advices[[#This Row],[Transaction Date]])</f>
        <v>1</v>
      </c>
      <c r="Q1397" s="264">
        <f>YEAR(Advices[[#This Row],[Transaction Date]])</f>
        <v>2026</v>
      </c>
      <c r="R1397" s="1"/>
    </row>
    <row r="1398" spans="1:18" hidden="1" x14ac:dyDescent="0.25">
      <c r="A1398" s="264" t="s">
        <v>366</v>
      </c>
      <c r="B1398" s="265">
        <v>46029</v>
      </c>
      <c r="C1398" s="264" t="s">
        <v>2060</v>
      </c>
      <c r="D1398" s="264" t="s">
        <v>3551</v>
      </c>
      <c r="E1398" s="264" t="s">
        <v>1771</v>
      </c>
      <c r="F1398" s="264" t="s">
        <v>3404</v>
      </c>
      <c r="G1398" s="264" t="s">
        <v>26</v>
      </c>
      <c r="H1398" s="266">
        <v>-300000</v>
      </c>
      <c r="I1398" s="266">
        <v>0</v>
      </c>
      <c r="J1398" s="264" t="s">
        <v>1126</v>
      </c>
      <c r="K1398" s="264" t="s">
        <v>2025</v>
      </c>
      <c r="L1398" s="1" t="str">
        <f>VLOOKUP(Advices[[#This Row],[LC Number]],'Combine_List'!A:D,2,0)</f>
        <v>TEN POINTS TRADING EST</v>
      </c>
      <c r="M1398" s="447" t="str">
        <f>VLOOKUP(Advices[[#This Row],[LC Number]],'Combine_List'!A:D,3,0)</f>
        <v>FIRST FIX</v>
      </c>
      <c r="N1398" s="447" t="str">
        <f>VLOOKUP(Advices[[#This Row],[LC Number]],'Combine_List'!A:D,4,0)</f>
        <v>MP1</v>
      </c>
      <c r="O1398" s="264"/>
      <c r="P1398" s="264">
        <f>MONTH(Advices[[#This Row],[Transaction Date]])</f>
        <v>1</v>
      </c>
      <c r="Q1398" s="264">
        <f>YEAR(Advices[[#This Row],[Transaction Date]])</f>
        <v>2026</v>
      </c>
      <c r="R1398" s="1"/>
    </row>
    <row r="1399" spans="1:18" hidden="1" x14ac:dyDescent="0.25">
      <c r="A1399" s="264" t="s">
        <v>612</v>
      </c>
      <c r="B1399" s="265">
        <v>46029</v>
      </c>
      <c r="C1399" s="264" t="s">
        <v>2101</v>
      </c>
      <c r="D1399" s="264" t="s">
        <v>3552</v>
      </c>
      <c r="E1399" s="264" t="s">
        <v>1810</v>
      </c>
      <c r="F1399" s="1" t="s">
        <v>1810</v>
      </c>
      <c r="G1399" s="264" t="s">
        <v>26</v>
      </c>
      <c r="H1399" s="266">
        <v>253366.85</v>
      </c>
      <c r="I1399" s="266">
        <v>0</v>
      </c>
      <c r="J1399" s="264" t="s">
        <v>1126</v>
      </c>
      <c r="K1399" s="264" t="s">
        <v>2025</v>
      </c>
      <c r="L1399" s="1" t="str">
        <f>VLOOKUP(Advices[[#This Row],[LC Number]],'Combine_List'!A:D,2,0)</f>
        <v>AL FALWA CO. LTD. FOR READYMIX CONCRETE</v>
      </c>
      <c r="M1399" s="447" t="str">
        <f>VLOOKUP(Advices[[#This Row],[LC Number]],'Combine_List'!A:D,3,0)</f>
        <v>MBL</v>
      </c>
      <c r="N1399" s="447" t="str">
        <f>VLOOKUP(Advices[[#This Row],[LC Number]],'Combine_List'!A:D,4,0)</f>
        <v>RCRC</v>
      </c>
      <c r="O1399" s="264"/>
      <c r="P1399" s="264">
        <f>MONTH(Advices[[#This Row],[Transaction Date]])</f>
        <v>1</v>
      </c>
      <c r="Q1399" s="264">
        <f>YEAR(Advices[[#This Row],[Transaction Date]])</f>
        <v>2026</v>
      </c>
      <c r="R1399" s="1"/>
    </row>
    <row r="1400" spans="1:18" x14ac:dyDescent="0.25">
      <c r="A1400" s="264" t="s">
        <v>21</v>
      </c>
      <c r="B1400" s="265">
        <v>46030</v>
      </c>
      <c r="C1400" s="264" t="s">
        <v>1951</v>
      </c>
      <c r="D1400" s="264" t="s">
        <v>1960</v>
      </c>
      <c r="E1400" s="264" t="s">
        <v>1354</v>
      </c>
      <c r="F1400" s="264" t="s">
        <v>3555</v>
      </c>
      <c r="G1400" s="264" t="s">
        <v>26</v>
      </c>
      <c r="H1400" s="266">
        <v>-11.25</v>
      </c>
      <c r="I1400" s="266">
        <v>0</v>
      </c>
      <c r="J1400" s="264" t="s">
        <v>1174</v>
      </c>
      <c r="K1400" s="264" t="s">
        <v>2025</v>
      </c>
      <c r="L1400" s="1" t="str">
        <f>VLOOKUP(Advices[[#This Row],[LC Number]],'Combine_List'!A:D,2,0)</f>
        <v>ALI MANEA ALYAMI TRADING EST.</v>
      </c>
      <c r="M1400" s="447" t="str">
        <f>VLOOKUP(Advices[[#This Row],[LC Number]],'Combine_List'!A:D,3,0)</f>
        <v>FIRST FIX</v>
      </c>
      <c r="N1400" s="447" t="str">
        <f>VLOOKUP(Advices[[#This Row],[LC Number]],'Combine_List'!A:D,4,0)</f>
        <v>KSP</v>
      </c>
      <c r="O1400" s="1"/>
      <c r="P1400" s="1">
        <f>MONTH(Advices[[#This Row],[Transaction Date]])</f>
        <v>1</v>
      </c>
      <c r="Q1400" s="1">
        <f>YEAR(Advices[[#This Row],[Transaction Date]])</f>
        <v>2026</v>
      </c>
      <c r="R1400" s="1"/>
    </row>
    <row r="1401" spans="1:18" x14ac:dyDescent="0.25">
      <c r="A1401" s="264" t="s">
        <v>21</v>
      </c>
      <c r="B1401" s="265">
        <v>46030</v>
      </c>
      <c r="C1401" s="264" t="s">
        <v>1951</v>
      </c>
      <c r="D1401" s="264" t="s">
        <v>3556</v>
      </c>
      <c r="E1401" s="264" t="s">
        <v>1354</v>
      </c>
      <c r="F1401" s="264" t="s">
        <v>3555</v>
      </c>
      <c r="G1401" s="264" t="s">
        <v>26</v>
      </c>
      <c r="H1401" s="266">
        <v>-75</v>
      </c>
      <c r="I1401" s="266">
        <v>0</v>
      </c>
      <c r="J1401" s="264" t="s">
        <v>1963</v>
      </c>
      <c r="K1401" s="264" t="s">
        <v>2025</v>
      </c>
      <c r="L1401" s="1" t="str">
        <f>VLOOKUP(Advices[[#This Row],[LC Number]],'Combine_List'!A:D,2,0)</f>
        <v>ALI MANEA ALYAMI TRADING EST.</v>
      </c>
      <c r="M1401" s="447" t="str">
        <f>VLOOKUP(Advices[[#This Row],[LC Number]],'Combine_List'!A:D,3,0)</f>
        <v>FIRST FIX</v>
      </c>
      <c r="N1401" s="447" t="str">
        <f>VLOOKUP(Advices[[#This Row],[LC Number]],'Combine_List'!A:D,4,0)</f>
        <v>KSP</v>
      </c>
      <c r="O1401" s="1"/>
      <c r="P1401" s="1">
        <f>MONTH(Advices[[#This Row],[Transaction Date]])</f>
        <v>1</v>
      </c>
      <c r="Q1401" s="1">
        <f>YEAR(Advices[[#This Row],[Transaction Date]])</f>
        <v>2026</v>
      </c>
      <c r="R1401" s="1"/>
    </row>
    <row r="1402" spans="1:18" x14ac:dyDescent="0.25">
      <c r="A1402" s="264" t="s">
        <v>21</v>
      </c>
      <c r="B1402" s="265">
        <v>46030</v>
      </c>
      <c r="C1402" s="264" t="s">
        <v>1951</v>
      </c>
      <c r="D1402" s="264" t="s">
        <v>1952</v>
      </c>
      <c r="E1402" s="264" t="s">
        <v>1354</v>
      </c>
      <c r="F1402" s="264" t="s">
        <v>3555</v>
      </c>
      <c r="G1402" s="264" t="s">
        <v>26</v>
      </c>
      <c r="H1402" s="266">
        <v>-187.5</v>
      </c>
      <c r="I1402" s="266">
        <v>0</v>
      </c>
      <c r="J1402" s="264" t="s">
        <v>1174</v>
      </c>
      <c r="K1402" s="264" t="s">
        <v>2025</v>
      </c>
      <c r="L1402" s="1" t="str">
        <f>VLOOKUP(Advices[[#This Row],[LC Number]],'Combine_List'!A:D,2,0)</f>
        <v>ALI MANEA ALYAMI TRADING EST.</v>
      </c>
      <c r="M1402" s="447" t="str">
        <f>VLOOKUP(Advices[[#This Row],[LC Number]],'Combine_List'!A:D,3,0)</f>
        <v>FIRST FIX</v>
      </c>
      <c r="N1402" s="447" t="str">
        <f>VLOOKUP(Advices[[#This Row],[LC Number]],'Combine_List'!A:D,4,0)</f>
        <v>KSP</v>
      </c>
      <c r="O1402" s="1"/>
      <c r="P1402" s="1">
        <f>MONTH(Advices[[#This Row],[Transaction Date]])</f>
        <v>1</v>
      </c>
      <c r="Q1402" s="1">
        <f>YEAR(Advices[[#This Row],[Transaction Date]])</f>
        <v>2026</v>
      </c>
      <c r="R1402" s="1"/>
    </row>
    <row r="1403" spans="1:18" x14ac:dyDescent="0.25">
      <c r="A1403" s="264" t="s">
        <v>21</v>
      </c>
      <c r="B1403" s="265">
        <v>46030</v>
      </c>
      <c r="C1403" s="264" t="s">
        <v>1951</v>
      </c>
      <c r="D1403" s="264" t="s">
        <v>3557</v>
      </c>
      <c r="E1403" s="264" t="s">
        <v>1354</v>
      </c>
      <c r="F1403" s="264" t="s">
        <v>3555</v>
      </c>
      <c r="G1403" s="264" t="s">
        <v>26</v>
      </c>
      <c r="H1403" s="266">
        <v>-1250</v>
      </c>
      <c r="I1403" s="266">
        <v>0</v>
      </c>
      <c r="J1403" s="264" t="s">
        <v>1125</v>
      </c>
      <c r="K1403" s="264" t="s">
        <v>2025</v>
      </c>
      <c r="L1403" s="1" t="str">
        <f>VLOOKUP(Advices[[#This Row],[LC Number]],'Combine_List'!A:D,2,0)</f>
        <v>ALI MANEA ALYAMI TRADING EST.</v>
      </c>
      <c r="M1403" s="447" t="str">
        <f>VLOOKUP(Advices[[#This Row],[LC Number]],'Combine_List'!A:D,3,0)</f>
        <v>FIRST FIX</v>
      </c>
      <c r="N1403" s="447" t="str">
        <f>VLOOKUP(Advices[[#This Row],[LC Number]],'Combine_List'!A:D,4,0)</f>
        <v>KSP</v>
      </c>
      <c r="O1403" s="1"/>
      <c r="P1403" s="1">
        <f>MONTH(Advices[[#This Row],[Transaction Date]])</f>
        <v>1</v>
      </c>
      <c r="Q1403" s="1">
        <f>YEAR(Advices[[#This Row],[Transaction Date]])</f>
        <v>2026</v>
      </c>
      <c r="R1403" s="1"/>
    </row>
    <row r="1404" spans="1:18" x14ac:dyDescent="0.25">
      <c r="A1404" s="264" t="s">
        <v>21</v>
      </c>
      <c r="B1404" s="265">
        <v>46030</v>
      </c>
      <c r="C1404" s="264" t="s">
        <v>1951</v>
      </c>
      <c r="D1404" s="264" t="s">
        <v>3558</v>
      </c>
      <c r="E1404" s="264" t="s">
        <v>1354</v>
      </c>
      <c r="F1404" s="264" t="s">
        <v>3555</v>
      </c>
      <c r="G1404" s="264" t="s">
        <v>26</v>
      </c>
      <c r="H1404" s="266">
        <v>-221169.27</v>
      </c>
      <c r="I1404" s="266">
        <v>0</v>
      </c>
      <c r="J1404" s="264" t="s">
        <v>1126</v>
      </c>
      <c r="K1404" s="264" t="s">
        <v>2025</v>
      </c>
      <c r="L1404" s="1" t="str">
        <f>VLOOKUP(Advices[[#This Row],[LC Number]],'Combine_List'!A:D,2,0)</f>
        <v>ALI MANEA ALYAMI TRADING EST.</v>
      </c>
      <c r="M1404" s="447" t="str">
        <f>VLOOKUP(Advices[[#This Row],[LC Number]],'Combine_List'!A:D,3,0)</f>
        <v>FIRST FIX</v>
      </c>
      <c r="N1404" s="447" t="str">
        <f>VLOOKUP(Advices[[#This Row],[LC Number]],'Combine_List'!A:D,4,0)</f>
        <v>KSP</v>
      </c>
      <c r="O1404" s="1"/>
      <c r="P1404" s="1">
        <f>MONTH(Advices[[#This Row],[Transaction Date]])</f>
        <v>1</v>
      </c>
      <c r="Q1404" s="1">
        <f>YEAR(Advices[[#This Row],[Transaction Date]])</f>
        <v>2026</v>
      </c>
      <c r="R1404" s="1"/>
    </row>
    <row r="1405" spans="1:18" x14ac:dyDescent="0.25">
      <c r="A1405" s="264" t="s">
        <v>21</v>
      </c>
      <c r="B1405" s="265">
        <v>46030</v>
      </c>
      <c r="C1405" s="264" t="s">
        <v>1951</v>
      </c>
      <c r="D1405" s="264" t="s">
        <v>1960</v>
      </c>
      <c r="E1405" s="264" t="s">
        <v>1680</v>
      </c>
      <c r="F1405" s="264" t="s">
        <v>2017</v>
      </c>
      <c r="G1405" s="264" t="s">
        <v>26</v>
      </c>
      <c r="H1405" s="266">
        <v>-11.25</v>
      </c>
      <c r="I1405" s="266">
        <v>0</v>
      </c>
      <c r="J1405" s="264" t="s">
        <v>1174</v>
      </c>
      <c r="K1405" s="264" t="s">
        <v>2025</v>
      </c>
      <c r="L1405" s="1" t="str">
        <f>VLOOKUP(Advices[[#This Row],[LC Number]],'Combine_List'!A:D,2,0)</f>
        <v>DELHAM ALJANOUB FOR TRADING CONTRACTING</v>
      </c>
      <c r="M1405" s="447" t="str">
        <f>VLOOKUP(Advices[[#This Row],[LC Number]],'Combine_List'!A:D,3,0)</f>
        <v>FIRST FIX</v>
      </c>
      <c r="N1405" s="447" t="str">
        <f>VLOOKUP(Advices[[#This Row],[LC Number]],'Combine_List'!A:D,4,0)</f>
        <v>KSP</v>
      </c>
      <c r="O1405" s="1"/>
      <c r="P1405" s="1">
        <f>MONTH(Advices[[#This Row],[Transaction Date]])</f>
        <v>1</v>
      </c>
      <c r="Q1405" s="1">
        <f>YEAR(Advices[[#This Row],[Transaction Date]])</f>
        <v>2026</v>
      </c>
      <c r="R1405" s="1"/>
    </row>
    <row r="1406" spans="1:18" x14ac:dyDescent="0.25">
      <c r="A1406" s="264" t="s">
        <v>21</v>
      </c>
      <c r="B1406" s="265">
        <v>46030</v>
      </c>
      <c r="C1406" s="264" t="s">
        <v>1951</v>
      </c>
      <c r="D1406" s="264" t="s">
        <v>3559</v>
      </c>
      <c r="E1406" s="264" t="s">
        <v>1680</v>
      </c>
      <c r="F1406" s="264" t="s">
        <v>2017</v>
      </c>
      <c r="G1406" s="264" t="s">
        <v>26</v>
      </c>
      <c r="H1406" s="266">
        <v>-75</v>
      </c>
      <c r="I1406" s="266">
        <v>0</v>
      </c>
      <c r="J1406" s="264" t="s">
        <v>1963</v>
      </c>
      <c r="K1406" s="264" t="s">
        <v>2025</v>
      </c>
      <c r="L1406" s="1" t="str">
        <f>VLOOKUP(Advices[[#This Row],[LC Number]],'Combine_List'!A:D,2,0)</f>
        <v>DELHAM ALJANOUB FOR TRADING CONTRACTING</v>
      </c>
      <c r="M1406" s="447" t="str">
        <f>VLOOKUP(Advices[[#This Row],[LC Number]],'Combine_List'!A:D,3,0)</f>
        <v>FIRST FIX</v>
      </c>
      <c r="N1406" s="447" t="str">
        <f>VLOOKUP(Advices[[#This Row],[LC Number]],'Combine_List'!A:D,4,0)</f>
        <v>KSP</v>
      </c>
      <c r="O1406" s="1"/>
      <c r="P1406" s="1">
        <f>MONTH(Advices[[#This Row],[Transaction Date]])</f>
        <v>1</v>
      </c>
      <c r="Q1406" s="1">
        <f>YEAR(Advices[[#This Row],[Transaction Date]])</f>
        <v>2026</v>
      </c>
      <c r="R1406" s="1"/>
    </row>
    <row r="1407" spans="1:18" x14ac:dyDescent="0.25">
      <c r="A1407" s="264" t="s">
        <v>21</v>
      </c>
      <c r="B1407" s="265">
        <v>46030</v>
      </c>
      <c r="C1407" s="264" t="s">
        <v>1951</v>
      </c>
      <c r="D1407" s="264" t="s">
        <v>3560</v>
      </c>
      <c r="E1407" s="264" t="s">
        <v>1680</v>
      </c>
      <c r="F1407" s="264" t="s">
        <v>2017</v>
      </c>
      <c r="G1407" s="264" t="s">
        <v>26</v>
      </c>
      <c r="H1407" s="266">
        <v>-200000</v>
      </c>
      <c r="I1407" s="266">
        <v>0</v>
      </c>
      <c r="J1407" s="264" t="s">
        <v>1126</v>
      </c>
      <c r="K1407" s="264" t="s">
        <v>2025</v>
      </c>
      <c r="L1407" s="1" t="str">
        <f>VLOOKUP(Advices[[#This Row],[LC Number]],'Combine_List'!A:D,2,0)</f>
        <v>DELHAM ALJANOUB FOR TRADING CONTRACTING</v>
      </c>
      <c r="M1407" s="447" t="str">
        <f>VLOOKUP(Advices[[#This Row],[LC Number]],'Combine_List'!A:D,3,0)</f>
        <v>FIRST FIX</v>
      </c>
      <c r="N1407" s="447" t="str">
        <f>VLOOKUP(Advices[[#This Row],[LC Number]],'Combine_List'!A:D,4,0)</f>
        <v>KSP</v>
      </c>
      <c r="O1407" s="1"/>
      <c r="P1407" s="1">
        <f>MONTH(Advices[[#This Row],[Transaction Date]])</f>
        <v>1</v>
      </c>
      <c r="Q1407" s="1">
        <f>YEAR(Advices[[#This Row],[Transaction Date]])</f>
        <v>2026</v>
      </c>
      <c r="R1407" s="1"/>
    </row>
    <row r="1408" spans="1:18" x14ac:dyDescent="0.25">
      <c r="A1408" s="264" t="s">
        <v>21</v>
      </c>
      <c r="B1408" s="265">
        <v>46030</v>
      </c>
      <c r="C1408" s="264" t="s">
        <v>1951</v>
      </c>
      <c r="D1408" s="264" t="s">
        <v>2574</v>
      </c>
      <c r="E1408" s="264" t="s">
        <v>3145</v>
      </c>
      <c r="F1408" s="264" t="s">
        <v>3145</v>
      </c>
      <c r="G1408" s="264" t="s">
        <v>26</v>
      </c>
      <c r="H1408" s="266">
        <v>-37.5</v>
      </c>
      <c r="I1408" s="266">
        <v>0</v>
      </c>
      <c r="J1408" s="264" t="s">
        <v>1174</v>
      </c>
      <c r="K1408" s="264" t="s">
        <v>2025</v>
      </c>
      <c r="L1408" s="1" t="str">
        <f>VLOOKUP(Advices[[#This Row],[LC Number]],'Combine_List'!A:D,2,0)</f>
        <v>Mahmoud Al Tahini and Partners Company</v>
      </c>
      <c r="M1408" s="447" t="str">
        <f>VLOOKUP(Advices[[#This Row],[LC Number]],'Combine_List'!A:D,3,0)</f>
        <v>Signal Control</v>
      </c>
      <c r="N1408" s="447" t="str">
        <f>VLOOKUP(Advices[[#This Row],[LC Number]],'Combine_List'!A:D,4,0)</f>
        <v>KSP</v>
      </c>
      <c r="O1408" s="1"/>
      <c r="P1408" s="1">
        <f>MONTH(Advices[[#This Row],[Transaction Date]])</f>
        <v>1</v>
      </c>
      <c r="Q1408" s="1">
        <f>YEAR(Advices[[#This Row],[Transaction Date]])</f>
        <v>2026</v>
      </c>
      <c r="R1408" s="1"/>
    </row>
    <row r="1409" spans="1:18" x14ac:dyDescent="0.25">
      <c r="A1409" s="264" t="s">
        <v>21</v>
      </c>
      <c r="B1409" s="265">
        <v>46030</v>
      </c>
      <c r="C1409" s="264" t="s">
        <v>1951</v>
      </c>
      <c r="D1409" s="264" t="s">
        <v>2574</v>
      </c>
      <c r="E1409" s="264" t="s">
        <v>3145</v>
      </c>
      <c r="F1409" s="264" t="s">
        <v>3145</v>
      </c>
      <c r="G1409" s="264" t="s">
        <v>26</v>
      </c>
      <c r="H1409" s="266">
        <v>-75</v>
      </c>
      <c r="I1409" s="266">
        <v>0</v>
      </c>
      <c r="J1409" s="264" t="s">
        <v>1174</v>
      </c>
      <c r="K1409" s="264" t="s">
        <v>2025</v>
      </c>
      <c r="L1409" s="1" t="str">
        <f>VLOOKUP(Advices[[#This Row],[LC Number]],'Combine_List'!A:D,2,0)</f>
        <v>Mahmoud Al Tahini and Partners Company</v>
      </c>
      <c r="M1409" s="447" t="str">
        <f>VLOOKUP(Advices[[#This Row],[LC Number]],'Combine_List'!A:D,3,0)</f>
        <v>Signal Control</v>
      </c>
      <c r="N1409" s="447" t="str">
        <f>VLOOKUP(Advices[[#This Row],[LC Number]],'Combine_List'!A:D,4,0)</f>
        <v>KSP</v>
      </c>
      <c r="O1409" s="1"/>
      <c r="P1409" s="1">
        <f>MONTH(Advices[[#This Row],[Transaction Date]])</f>
        <v>1</v>
      </c>
      <c r="Q1409" s="1">
        <f>YEAR(Advices[[#This Row],[Transaction Date]])</f>
        <v>2026</v>
      </c>
      <c r="R1409" s="1"/>
    </row>
    <row r="1410" spans="1:18" x14ac:dyDescent="0.25">
      <c r="A1410" s="264" t="s">
        <v>21</v>
      </c>
      <c r="B1410" s="265">
        <v>46030</v>
      </c>
      <c r="C1410" s="264" t="s">
        <v>1951</v>
      </c>
      <c r="D1410" s="264" t="s">
        <v>3152</v>
      </c>
      <c r="E1410" s="264" t="s">
        <v>3145</v>
      </c>
      <c r="F1410" s="264" t="s">
        <v>3145</v>
      </c>
      <c r="G1410" s="264" t="s">
        <v>26</v>
      </c>
      <c r="H1410" s="266">
        <v>-250</v>
      </c>
      <c r="I1410" s="266">
        <v>0</v>
      </c>
      <c r="J1410" s="264" t="s">
        <v>1963</v>
      </c>
      <c r="K1410" s="264" t="s">
        <v>2025</v>
      </c>
      <c r="L1410" s="1" t="str">
        <f>VLOOKUP(Advices[[#This Row],[LC Number]],'Combine_List'!A:D,2,0)</f>
        <v>Mahmoud Al Tahini and Partners Company</v>
      </c>
      <c r="M1410" s="447" t="str">
        <f>VLOOKUP(Advices[[#This Row],[LC Number]],'Combine_List'!A:D,3,0)</f>
        <v>Signal Control</v>
      </c>
      <c r="N1410" s="447" t="str">
        <f>VLOOKUP(Advices[[#This Row],[LC Number]],'Combine_List'!A:D,4,0)</f>
        <v>KSP</v>
      </c>
      <c r="O1410" s="1"/>
      <c r="P1410" s="1">
        <f>MONTH(Advices[[#This Row],[Transaction Date]])</f>
        <v>1</v>
      </c>
      <c r="Q1410" s="1">
        <f>YEAR(Advices[[#This Row],[Transaction Date]])</f>
        <v>2026</v>
      </c>
      <c r="R1410" s="1"/>
    </row>
    <row r="1411" spans="1:18" x14ac:dyDescent="0.25">
      <c r="A1411" s="264" t="s">
        <v>21</v>
      </c>
      <c r="B1411" s="265">
        <v>46030</v>
      </c>
      <c r="C1411" s="264" t="s">
        <v>1951</v>
      </c>
      <c r="D1411" s="264" t="s">
        <v>3561</v>
      </c>
      <c r="E1411" s="264" t="s">
        <v>3145</v>
      </c>
      <c r="F1411" s="264" t="s">
        <v>3145</v>
      </c>
      <c r="G1411" s="264" t="s">
        <v>26</v>
      </c>
      <c r="H1411" s="266">
        <v>-500</v>
      </c>
      <c r="I1411" s="266">
        <v>0</v>
      </c>
      <c r="J1411" s="264" t="s">
        <v>1124</v>
      </c>
      <c r="K1411" s="264" t="s">
        <v>2025</v>
      </c>
      <c r="L1411" s="1" t="str">
        <f>VLOOKUP(Advices[[#This Row],[LC Number]],'Combine_List'!A:D,2,0)</f>
        <v>Mahmoud Al Tahini and Partners Company</v>
      </c>
      <c r="M1411" s="447" t="str">
        <f>VLOOKUP(Advices[[#This Row],[LC Number]],'Combine_List'!A:D,3,0)</f>
        <v>Signal Control</v>
      </c>
      <c r="N1411" s="447" t="str">
        <f>VLOOKUP(Advices[[#This Row],[LC Number]],'Combine_List'!A:D,4,0)</f>
        <v>KSP</v>
      </c>
      <c r="O1411" s="1"/>
      <c r="P1411" s="1">
        <f>MONTH(Advices[[#This Row],[Transaction Date]])</f>
        <v>1</v>
      </c>
      <c r="Q1411" s="1">
        <f>YEAR(Advices[[#This Row],[Transaction Date]])</f>
        <v>2026</v>
      </c>
      <c r="R1411" s="1"/>
    </row>
    <row r="1412" spans="1:18" x14ac:dyDescent="0.25">
      <c r="A1412" s="264" t="s">
        <v>21</v>
      </c>
      <c r="B1412" s="265">
        <v>46030</v>
      </c>
      <c r="C1412" s="264" t="s">
        <v>1951</v>
      </c>
      <c r="D1412" s="264" t="s">
        <v>2574</v>
      </c>
      <c r="E1412" s="264" t="s">
        <v>3146</v>
      </c>
      <c r="F1412" s="264" t="s">
        <v>3146</v>
      </c>
      <c r="G1412" s="264" t="s">
        <v>26</v>
      </c>
      <c r="H1412" s="266">
        <v>-37.5</v>
      </c>
      <c r="I1412" s="266">
        <v>0</v>
      </c>
      <c r="J1412" s="264" t="s">
        <v>1174</v>
      </c>
      <c r="K1412" s="264" t="s">
        <v>2025</v>
      </c>
      <c r="L1412" s="1" t="str">
        <f>VLOOKUP(Advices[[#This Row],[LC Number]],'Combine_List'!A:D,2,0)</f>
        <v>SIEMENS Limited Company</v>
      </c>
      <c r="M1412" s="447" t="str">
        <f>VLOOKUP(Advices[[#This Row],[LC Number]],'Combine_List'!A:D,3,0)</f>
        <v>Signal Control</v>
      </c>
      <c r="N1412" s="447" t="str">
        <f>VLOOKUP(Advices[[#This Row],[LC Number]],'Combine_List'!A:D,4,0)</f>
        <v>KSP</v>
      </c>
      <c r="O1412" s="1"/>
      <c r="P1412" s="1">
        <f>MONTH(Advices[[#This Row],[Transaction Date]])</f>
        <v>1</v>
      </c>
      <c r="Q1412" s="1">
        <f>YEAR(Advices[[#This Row],[Transaction Date]])</f>
        <v>2026</v>
      </c>
      <c r="R1412" s="1"/>
    </row>
    <row r="1413" spans="1:18" x14ac:dyDescent="0.25">
      <c r="A1413" s="264" t="s">
        <v>21</v>
      </c>
      <c r="B1413" s="265">
        <v>46030</v>
      </c>
      <c r="C1413" s="264" t="s">
        <v>1951</v>
      </c>
      <c r="D1413" s="264" t="s">
        <v>2574</v>
      </c>
      <c r="E1413" s="264" t="s">
        <v>3146</v>
      </c>
      <c r="F1413" s="264" t="s">
        <v>3146</v>
      </c>
      <c r="G1413" s="264" t="s">
        <v>26</v>
      </c>
      <c r="H1413" s="266">
        <v>-75</v>
      </c>
      <c r="I1413" s="266">
        <v>0</v>
      </c>
      <c r="J1413" s="264" t="s">
        <v>1174</v>
      </c>
      <c r="K1413" s="264" t="s">
        <v>2025</v>
      </c>
      <c r="L1413" s="1" t="str">
        <f>VLOOKUP(Advices[[#This Row],[LC Number]],'Combine_List'!A:D,2,0)</f>
        <v>SIEMENS Limited Company</v>
      </c>
      <c r="M1413" s="447" t="str">
        <f>VLOOKUP(Advices[[#This Row],[LC Number]],'Combine_List'!A:D,3,0)</f>
        <v>Signal Control</v>
      </c>
      <c r="N1413" s="447" t="str">
        <f>VLOOKUP(Advices[[#This Row],[LC Number]],'Combine_List'!A:D,4,0)</f>
        <v>KSP</v>
      </c>
      <c r="O1413" s="1"/>
      <c r="P1413" s="1">
        <f>MONTH(Advices[[#This Row],[Transaction Date]])</f>
        <v>1</v>
      </c>
      <c r="Q1413" s="1">
        <f>YEAR(Advices[[#This Row],[Transaction Date]])</f>
        <v>2026</v>
      </c>
      <c r="R1413" s="1"/>
    </row>
    <row r="1414" spans="1:18" x14ac:dyDescent="0.25">
      <c r="A1414" s="264" t="s">
        <v>21</v>
      </c>
      <c r="B1414" s="265">
        <v>46030</v>
      </c>
      <c r="C1414" s="264" t="s">
        <v>1951</v>
      </c>
      <c r="D1414" s="264" t="s">
        <v>3155</v>
      </c>
      <c r="E1414" s="264" t="s">
        <v>3146</v>
      </c>
      <c r="F1414" s="264" t="s">
        <v>3146</v>
      </c>
      <c r="G1414" s="264" t="s">
        <v>26</v>
      </c>
      <c r="H1414" s="266">
        <v>-250</v>
      </c>
      <c r="I1414" s="266">
        <v>0</v>
      </c>
      <c r="J1414" s="264" t="s">
        <v>1963</v>
      </c>
      <c r="K1414" s="264" t="s">
        <v>2025</v>
      </c>
      <c r="L1414" s="1" t="str">
        <f>VLOOKUP(Advices[[#This Row],[LC Number]],'Combine_List'!A:D,2,0)</f>
        <v>SIEMENS Limited Company</v>
      </c>
      <c r="M1414" s="447" t="str">
        <f>VLOOKUP(Advices[[#This Row],[LC Number]],'Combine_List'!A:D,3,0)</f>
        <v>Signal Control</v>
      </c>
      <c r="N1414" s="447" t="str">
        <f>VLOOKUP(Advices[[#This Row],[LC Number]],'Combine_List'!A:D,4,0)</f>
        <v>KSP</v>
      </c>
      <c r="O1414" s="1"/>
      <c r="P1414" s="1">
        <f>MONTH(Advices[[#This Row],[Transaction Date]])</f>
        <v>1</v>
      </c>
      <c r="Q1414" s="1">
        <f>YEAR(Advices[[#This Row],[Transaction Date]])</f>
        <v>2026</v>
      </c>
      <c r="R1414" s="1"/>
    </row>
    <row r="1415" spans="1:18" x14ac:dyDescent="0.25">
      <c r="A1415" s="264" t="s">
        <v>21</v>
      </c>
      <c r="B1415" s="265">
        <v>46030</v>
      </c>
      <c r="C1415" s="264" t="s">
        <v>1951</v>
      </c>
      <c r="D1415" s="264" t="s">
        <v>3562</v>
      </c>
      <c r="E1415" s="264" t="s">
        <v>3146</v>
      </c>
      <c r="F1415" s="264" t="s">
        <v>3146</v>
      </c>
      <c r="G1415" s="264" t="s">
        <v>26</v>
      </c>
      <c r="H1415" s="266">
        <v>-500</v>
      </c>
      <c r="I1415" s="266">
        <v>0</v>
      </c>
      <c r="J1415" s="264" t="s">
        <v>1124</v>
      </c>
      <c r="K1415" s="264" t="s">
        <v>2025</v>
      </c>
      <c r="L1415" s="1" t="str">
        <f>VLOOKUP(Advices[[#This Row],[LC Number]],'Combine_List'!A:D,2,0)</f>
        <v>SIEMENS Limited Company</v>
      </c>
      <c r="M1415" s="447" t="str">
        <f>VLOOKUP(Advices[[#This Row],[LC Number]],'Combine_List'!A:D,3,0)</f>
        <v>Signal Control</v>
      </c>
      <c r="N1415" s="447" t="str">
        <f>VLOOKUP(Advices[[#This Row],[LC Number]],'Combine_List'!A:D,4,0)</f>
        <v>KSP</v>
      </c>
      <c r="O1415" s="264"/>
      <c r="P1415" s="264">
        <f>MONTH(Advices[[#This Row],[Transaction Date]])</f>
        <v>1</v>
      </c>
      <c r="Q1415" s="264">
        <f>YEAR(Advices[[#This Row],[Transaction Date]])</f>
        <v>2026</v>
      </c>
      <c r="R1415" s="1"/>
    </row>
    <row r="1416" spans="1:18" hidden="1" x14ac:dyDescent="0.25">
      <c r="A1416" s="264" t="s">
        <v>366</v>
      </c>
      <c r="B1416" s="265">
        <v>46030</v>
      </c>
      <c r="C1416" s="264" t="s">
        <v>2060</v>
      </c>
      <c r="D1416" s="264" t="s">
        <v>3563</v>
      </c>
      <c r="E1416" s="264" t="s">
        <v>1608</v>
      </c>
      <c r="F1416" s="264" t="s">
        <v>3427</v>
      </c>
      <c r="G1416" s="264" t="s">
        <v>26</v>
      </c>
      <c r="H1416" s="266">
        <v>-200000</v>
      </c>
      <c r="I1416" s="266">
        <v>0</v>
      </c>
      <c r="J1416" s="264" t="s">
        <v>1126</v>
      </c>
      <c r="K1416" s="264" t="s">
        <v>2025</v>
      </c>
      <c r="L1416" s="1" t="str">
        <f>VLOOKUP(Advices[[#This Row],[LC Number]],'Combine_List'!A:D,2,0)</f>
        <v>Al Wasail Industrial Co.</v>
      </c>
      <c r="M1416" s="447" t="str">
        <f>VLOOKUP(Advices[[#This Row],[LC Number]],'Combine_List'!A:D,3,0)</f>
        <v>FIRST FIX</v>
      </c>
      <c r="N1416" s="447" t="str">
        <f>VLOOKUP(Advices[[#This Row],[LC Number]],'Combine_List'!A:D,4,0)</f>
        <v>MP1</v>
      </c>
      <c r="O1416" s="1"/>
      <c r="P1416" s="1">
        <f>MONTH(Advices[[#This Row],[Transaction Date]])</f>
        <v>1</v>
      </c>
      <c r="Q1416" s="1">
        <f>YEAR(Advices[[#This Row],[Transaction Date]])</f>
        <v>2026</v>
      </c>
      <c r="R1416" s="1"/>
    </row>
    <row r="1417" spans="1:18" hidden="1" x14ac:dyDescent="0.25">
      <c r="A1417" s="264" t="s">
        <v>366</v>
      </c>
      <c r="B1417" s="265">
        <v>46030</v>
      </c>
      <c r="C1417" s="264" t="s">
        <v>2060</v>
      </c>
      <c r="D1417" s="264" t="s">
        <v>3564</v>
      </c>
      <c r="E1417" s="264" t="s">
        <v>1443</v>
      </c>
      <c r="F1417" s="264" t="s">
        <v>3565</v>
      </c>
      <c r="G1417" s="264" t="s">
        <v>26</v>
      </c>
      <c r="H1417" s="266">
        <v>-766157.63</v>
      </c>
      <c r="I1417" s="266">
        <v>0</v>
      </c>
      <c r="J1417" s="264" t="s">
        <v>1126</v>
      </c>
      <c r="K1417" s="264" t="s">
        <v>2025</v>
      </c>
      <c r="L1417" s="1" t="str">
        <f>VLOOKUP(Advices[[#This Row],[LC Number]],'Combine_List'!A:D,2,0)</f>
        <v>Bahra Advanced Cable Manufacture Co.Ltd</v>
      </c>
      <c r="M1417" s="447" t="str">
        <f>VLOOKUP(Advices[[#This Row],[LC Number]],'Combine_List'!A:D,3,0)</f>
        <v>FIRST FIX</v>
      </c>
      <c r="N1417" s="447" t="str">
        <f>VLOOKUP(Advices[[#This Row],[LC Number]],'Combine_List'!A:D,4,0)</f>
        <v>MP1</v>
      </c>
      <c r="O1417" s="264"/>
      <c r="P1417" s="264">
        <f>MONTH(Advices[[#This Row],[Transaction Date]])</f>
        <v>1</v>
      </c>
      <c r="Q1417" s="264">
        <f>YEAR(Advices[[#This Row],[Transaction Date]])</f>
        <v>2026</v>
      </c>
      <c r="R1417" s="1"/>
    </row>
    <row r="1418" spans="1:18" hidden="1" x14ac:dyDescent="0.25">
      <c r="A1418" s="264" t="s">
        <v>95</v>
      </c>
      <c r="B1418" s="265">
        <v>46033</v>
      </c>
      <c r="C1418" s="264" t="s">
        <v>2026</v>
      </c>
      <c r="D1418" s="264" t="s">
        <v>3573</v>
      </c>
      <c r="E1418" s="264" t="s">
        <v>3572</v>
      </c>
      <c r="F1418" s="264" t="s">
        <v>3574</v>
      </c>
      <c r="G1418" s="264" t="s">
        <v>26</v>
      </c>
      <c r="H1418" s="266">
        <v>1716.38</v>
      </c>
      <c r="I1418" s="266">
        <v>0</v>
      </c>
      <c r="J1418" s="264" t="s">
        <v>1111</v>
      </c>
      <c r="K1418" s="264" t="s">
        <v>2025</v>
      </c>
      <c r="L1418" s="1" t="str">
        <f>VLOOKUP(Advices[[#This Row],[LC Number]],'Combine_List'!A:D,2,0)</f>
        <v>BRC Industrial Saudia Company.</v>
      </c>
      <c r="M1418" s="447" t="str">
        <f>VLOOKUP(Advices[[#This Row],[LC Number]],'Combine_List'!A:D,3,0)</f>
        <v>MBL</v>
      </c>
      <c r="N1418" s="447" t="str">
        <f>VLOOKUP(Advices[[#This Row],[LC Number]],'Combine_List'!A:D,4,0)</f>
        <v>OPERA House</v>
      </c>
      <c r="O1418" s="264"/>
      <c r="P1418" s="264">
        <f>MONTH(Advices[[#This Row],[Transaction Date]])</f>
        <v>1</v>
      </c>
      <c r="Q1418" s="264">
        <f>YEAR(Advices[[#This Row],[Transaction Date]])</f>
        <v>2026</v>
      </c>
      <c r="R1418" s="1"/>
    </row>
    <row r="1419" spans="1:18" hidden="1" x14ac:dyDescent="0.25">
      <c r="A1419" s="264" t="s">
        <v>366</v>
      </c>
      <c r="B1419" s="265">
        <v>46033</v>
      </c>
      <c r="C1419" s="264" t="s">
        <v>2060</v>
      </c>
      <c r="D1419" s="264" t="s">
        <v>3575</v>
      </c>
      <c r="E1419" s="264" t="s">
        <v>1188</v>
      </c>
      <c r="F1419" s="264" t="s">
        <v>3470</v>
      </c>
      <c r="G1419" s="264" t="s">
        <v>26</v>
      </c>
      <c r="H1419" s="266">
        <v>258500.05</v>
      </c>
      <c r="I1419" s="266">
        <v>0</v>
      </c>
      <c r="J1419" s="264" t="s">
        <v>1126</v>
      </c>
      <c r="K1419" s="264" t="s">
        <v>2025</v>
      </c>
      <c r="L1419" s="1" t="str">
        <f>VLOOKUP(Advices[[#This Row],[LC Number]],'Combine_List'!A:D,2,0)</f>
        <v>DAIKIN AIR CONDITIONING SAUDI ARABIA</v>
      </c>
      <c r="M1419" s="447" t="str">
        <f>VLOOKUP(Advices[[#This Row],[LC Number]],'Combine_List'!A:D,3,0)</f>
        <v>FIRST FIX</v>
      </c>
      <c r="N1419" s="447" t="str">
        <f>VLOOKUP(Advices[[#This Row],[LC Number]],'Combine_List'!A:D,4,0)</f>
        <v>MP1</v>
      </c>
      <c r="O1419" s="1"/>
      <c r="P1419" s="1">
        <f>MONTH(Advices[[#This Row],[Transaction Date]])</f>
        <v>1</v>
      </c>
      <c r="Q1419" s="1">
        <f>YEAR(Advices[[#This Row],[Transaction Date]])</f>
        <v>2026</v>
      </c>
      <c r="R1419" s="1"/>
    </row>
    <row r="1420" spans="1:18" hidden="1" x14ac:dyDescent="0.25">
      <c r="A1420" s="264" t="s">
        <v>366</v>
      </c>
      <c r="B1420" s="265">
        <v>46033</v>
      </c>
      <c r="C1420" s="264" t="s">
        <v>2057</v>
      </c>
      <c r="D1420" s="264" t="s">
        <v>3576</v>
      </c>
      <c r="E1420" s="264" t="s">
        <v>1670</v>
      </c>
      <c r="F1420" s="264" t="s">
        <v>3577</v>
      </c>
      <c r="G1420" s="264" t="s">
        <v>26</v>
      </c>
      <c r="H1420" s="266">
        <v>487.39</v>
      </c>
      <c r="I1420" s="266">
        <v>0</v>
      </c>
      <c r="J1420" s="264" t="s">
        <v>1125</v>
      </c>
      <c r="K1420" s="264" t="s">
        <v>2025</v>
      </c>
      <c r="L1420" s="1" t="str">
        <f>VLOOKUP(Advices[[#This Row],[LC Number]],'Combine_List'!A:D,2,0)</f>
        <v>AFKAR ALTATHBET TRADING COMPANY</v>
      </c>
      <c r="M1420" s="447" t="str">
        <f>VLOOKUP(Advices[[#This Row],[LC Number]],'Combine_List'!A:D,3,0)</f>
        <v>FIRST FIX</v>
      </c>
      <c r="N1420" s="447" t="str">
        <f>VLOOKUP(Advices[[#This Row],[LC Number]],'Combine_List'!A:D,4,0)</f>
        <v>CEER</v>
      </c>
      <c r="O1420" s="264"/>
      <c r="P1420" s="264">
        <f>MONTH(Advices[[#This Row],[Transaction Date]])</f>
        <v>1</v>
      </c>
      <c r="Q1420" s="264">
        <f>YEAR(Advices[[#This Row],[Transaction Date]])</f>
        <v>2026</v>
      </c>
      <c r="R1420" s="1"/>
    </row>
    <row r="1421" spans="1:18" hidden="1" x14ac:dyDescent="0.25">
      <c r="A1421" s="264" t="s">
        <v>612</v>
      </c>
      <c r="B1421" s="265">
        <v>46033</v>
      </c>
      <c r="C1421" s="264" t="s">
        <v>2101</v>
      </c>
      <c r="D1421" s="264" t="s">
        <v>3578</v>
      </c>
      <c r="E1421" s="264" t="s">
        <v>734</v>
      </c>
      <c r="F1421" s="264" t="s">
        <v>2041</v>
      </c>
      <c r="G1421" s="264" t="s">
        <v>26</v>
      </c>
      <c r="H1421" s="266">
        <v>263925</v>
      </c>
      <c r="I1421" s="266">
        <v>0</v>
      </c>
      <c r="J1421" s="264" t="s">
        <v>1126</v>
      </c>
      <c r="K1421" s="264" t="s">
        <v>2025</v>
      </c>
      <c r="L1421" s="1" t="str">
        <f>VLOOKUP(Advices[[#This Row],[LC Number]],'Combine_List'!A:D,2,0)</f>
        <v>SITE TECHNOLOGY SAUDI ARABIA LTD</v>
      </c>
      <c r="M1421" s="447" t="str">
        <f>VLOOKUP(Advices[[#This Row],[LC Number]],'Combine_List'!A:D,3,0)</f>
        <v>FIRST FIX</v>
      </c>
      <c r="N1421" s="447" t="str">
        <f>VLOOKUP(Advices[[#This Row],[LC Number]],'Combine_List'!A:D,4,0)</f>
        <v>RCRC</v>
      </c>
      <c r="O1421" s="1"/>
      <c r="P1421" s="1">
        <f>MONTH(Advices[[#This Row],[Transaction Date]])</f>
        <v>1</v>
      </c>
      <c r="Q1421" s="1">
        <f>YEAR(Advices[[#This Row],[Transaction Date]])</f>
        <v>2026</v>
      </c>
      <c r="R1421" s="1"/>
    </row>
    <row r="1422" spans="1:18" hidden="1" x14ac:dyDescent="0.25">
      <c r="A1422" s="264" t="s">
        <v>612</v>
      </c>
      <c r="B1422" s="265">
        <v>46033</v>
      </c>
      <c r="C1422" s="264" t="s">
        <v>2101</v>
      </c>
      <c r="D1422" s="264" t="s">
        <v>3579</v>
      </c>
      <c r="E1422" s="264" t="s">
        <v>3571</v>
      </c>
      <c r="F1422" s="264" t="s">
        <v>2041</v>
      </c>
      <c r="G1422" s="264" t="s">
        <v>26</v>
      </c>
      <c r="H1422" s="266">
        <v>2375</v>
      </c>
      <c r="I1422" s="266">
        <v>0</v>
      </c>
      <c r="J1422" s="264" t="s">
        <v>1111</v>
      </c>
      <c r="K1422" s="264" t="s">
        <v>2025</v>
      </c>
      <c r="L1422" s="1" t="str">
        <f>VLOOKUP(Advices[[#This Row],[LC Number]],'Combine_List'!A:D,2,0)</f>
        <v>Alfanar Electrical Systems</v>
      </c>
      <c r="M1422" s="447" t="str">
        <f>VLOOKUP(Advices[[#This Row],[LC Number]],'Combine_List'!A:D,3,0)</f>
        <v>FIRST FIX</v>
      </c>
      <c r="N1422" s="447" t="str">
        <f>VLOOKUP(Advices[[#This Row],[LC Number]],'Combine_List'!A:D,4,0)</f>
        <v>RCRC</v>
      </c>
      <c r="O1422" s="1"/>
      <c r="P1422" s="1">
        <f>MONTH(Advices[[#This Row],[Transaction Date]])</f>
        <v>1</v>
      </c>
      <c r="Q1422" s="1">
        <f>YEAR(Advices[[#This Row],[Transaction Date]])</f>
        <v>2026</v>
      </c>
      <c r="R1422" s="1"/>
    </row>
    <row r="1423" spans="1:18" hidden="1" x14ac:dyDescent="0.25">
      <c r="A1423" s="264" t="s">
        <v>612</v>
      </c>
      <c r="B1423" s="265">
        <v>46033</v>
      </c>
      <c r="C1423" s="264" t="s">
        <v>2101</v>
      </c>
      <c r="D1423" s="264" t="s">
        <v>3580</v>
      </c>
      <c r="E1423" s="264" t="s">
        <v>3571</v>
      </c>
      <c r="F1423" s="264" t="s">
        <v>2041</v>
      </c>
      <c r="G1423" s="264" t="s">
        <v>26</v>
      </c>
      <c r="H1423" s="266">
        <v>356.25</v>
      </c>
      <c r="I1423" s="266">
        <v>0</v>
      </c>
      <c r="J1423" s="264" t="s">
        <v>1174</v>
      </c>
      <c r="K1423" s="264" t="s">
        <v>2025</v>
      </c>
      <c r="L1423" s="1" t="str">
        <f>VLOOKUP(Advices[[#This Row],[LC Number]],'Combine_List'!A:D,2,0)</f>
        <v>Alfanar Electrical Systems</v>
      </c>
      <c r="M1423" s="447" t="str">
        <f>VLOOKUP(Advices[[#This Row],[LC Number]],'Combine_List'!A:D,3,0)</f>
        <v>FIRST FIX</v>
      </c>
      <c r="N1423" s="447" t="str">
        <f>VLOOKUP(Advices[[#This Row],[LC Number]],'Combine_List'!A:D,4,0)</f>
        <v>RCRC</v>
      </c>
      <c r="O1423" s="1"/>
      <c r="P1423" s="1">
        <f>MONTH(Advices[[#This Row],[Transaction Date]])</f>
        <v>1</v>
      </c>
      <c r="Q1423" s="1">
        <f>YEAR(Advices[[#This Row],[Transaction Date]])</f>
        <v>2026</v>
      </c>
      <c r="R1423" s="1"/>
    </row>
    <row r="1424" spans="1:18" hidden="1" x14ac:dyDescent="0.25">
      <c r="A1424" s="264" t="s">
        <v>612</v>
      </c>
      <c r="B1424" s="265">
        <v>46033</v>
      </c>
      <c r="C1424" s="264" t="s">
        <v>2101</v>
      </c>
      <c r="D1424" s="264" t="s">
        <v>3581</v>
      </c>
      <c r="E1424" s="264" t="s">
        <v>3571</v>
      </c>
      <c r="F1424" s="264" t="s">
        <v>2041</v>
      </c>
      <c r="G1424" s="264" t="s">
        <v>26</v>
      </c>
      <c r="H1424" s="266">
        <v>750</v>
      </c>
      <c r="I1424" s="266">
        <v>0</v>
      </c>
      <c r="J1424" s="264" t="s">
        <v>2616</v>
      </c>
      <c r="K1424" s="264" t="s">
        <v>2025</v>
      </c>
      <c r="L1424" s="1" t="str">
        <f>VLOOKUP(Advices[[#This Row],[LC Number]],'Combine_List'!A:D,2,0)</f>
        <v>Alfanar Electrical Systems</v>
      </c>
      <c r="M1424" s="447" t="str">
        <f>VLOOKUP(Advices[[#This Row],[LC Number]],'Combine_List'!A:D,3,0)</f>
        <v>FIRST FIX</v>
      </c>
      <c r="N1424" s="447" t="str">
        <f>VLOOKUP(Advices[[#This Row],[LC Number]],'Combine_List'!A:D,4,0)</f>
        <v>RCRC</v>
      </c>
      <c r="O1424" s="1"/>
      <c r="P1424" s="1">
        <f>MONTH(Advices[[#This Row],[Transaction Date]])</f>
        <v>1</v>
      </c>
      <c r="Q1424" s="1">
        <f>YEAR(Advices[[#This Row],[Transaction Date]])</f>
        <v>2026</v>
      </c>
      <c r="R1424" s="1"/>
    </row>
    <row r="1425" spans="1:18" hidden="1" x14ac:dyDescent="0.25">
      <c r="A1425" s="264" t="s">
        <v>612</v>
      </c>
      <c r="B1425" s="265">
        <v>46033</v>
      </c>
      <c r="C1425" s="264" t="s">
        <v>2101</v>
      </c>
      <c r="D1425" s="264" t="s">
        <v>3582</v>
      </c>
      <c r="E1425" s="264" t="s">
        <v>3571</v>
      </c>
      <c r="F1425" s="264" t="s">
        <v>2041</v>
      </c>
      <c r="G1425" s="264" t="s">
        <v>26</v>
      </c>
      <c r="H1425" s="266">
        <v>112.5</v>
      </c>
      <c r="I1425" s="266">
        <v>0</v>
      </c>
      <c r="J1425" s="264" t="s">
        <v>1174</v>
      </c>
      <c r="K1425" s="264" t="s">
        <v>2025</v>
      </c>
      <c r="L1425" s="1" t="str">
        <f>VLOOKUP(Advices[[#This Row],[LC Number]],'Combine_List'!A:D,2,0)</f>
        <v>Alfanar Electrical Systems</v>
      </c>
      <c r="M1425" s="447" t="str">
        <f>VLOOKUP(Advices[[#This Row],[LC Number]],'Combine_List'!A:D,3,0)</f>
        <v>FIRST FIX</v>
      </c>
      <c r="N1425" s="447" t="str">
        <f>VLOOKUP(Advices[[#This Row],[LC Number]],'Combine_List'!A:D,4,0)</f>
        <v>RCRC</v>
      </c>
      <c r="O1425" s="1"/>
      <c r="P1425" s="1">
        <f>MONTH(Advices[[#This Row],[Transaction Date]])</f>
        <v>1</v>
      </c>
      <c r="Q1425" s="1">
        <f>YEAR(Advices[[#This Row],[Transaction Date]])</f>
        <v>2026</v>
      </c>
      <c r="R1425" s="1"/>
    </row>
    <row r="1426" spans="1:18" hidden="1" x14ac:dyDescent="0.25">
      <c r="A1426" s="264" t="s">
        <v>612</v>
      </c>
      <c r="B1426" s="265">
        <v>46033</v>
      </c>
      <c r="C1426" s="264" t="s">
        <v>2101</v>
      </c>
      <c r="D1426" s="264" t="s">
        <v>3583</v>
      </c>
      <c r="E1426" s="264" t="s">
        <v>3571</v>
      </c>
      <c r="F1426" s="264" t="s">
        <v>2041</v>
      </c>
      <c r="G1426" s="264" t="s">
        <v>26</v>
      </c>
      <c r="H1426" s="266">
        <v>1645.83</v>
      </c>
      <c r="I1426" s="266">
        <v>0</v>
      </c>
      <c r="J1426" s="264" t="s">
        <v>2616</v>
      </c>
      <c r="K1426" s="264" t="s">
        <v>2025</v>
      </c>
      <c r="L1426" s="1" t="str">
        <f>VLOOKUP(Advices[[#This Row],[LC Number]],'Combine_List'!A:D,2,0)</f>
        <v>Alfanar Electrical Systems</v>
      </c>
      <c r="M1426" s="447" t="str">
        <f>VLOOKUP(Advices[[#This Row],[LC Number]],'Combine_List'!A:D,3,0)</f>
        <v>FIRST FIX</v>
      </c>
      <c r="N1426" s="447" t="str">
        <f>VLOOKUP(Advices[[#This Row],[LC Number]],'Combine_List'!A:D,4,0)</f>
        <v>RCRC</v>
      </c>
      <c r="O1426" s="1"/>
      <c r="P1426" s="1">
        <f>MONTH(Advices[[#This Row],[Transaction Date]])</f>
        <v>1</v>
      </c>
      <c r="Q1426" s="1">
        <f>YEAR(Advices[[#This Row],[Transaction Date]])</f>
        <v>2026</v>
      </c>
      <c r="R1426" s="1"/>
    </row>
    <row r="1427" spans="1:18" hidden="1" x14ac:dyDescent="0.25">
      <c r="A1427" s="264" t="s">
        <v>612</v>
      </c>
      <c r="B1427" s="265">
        <v>46033</v>
      </c>
      <c r="C1427" s="264" t="s">
        <v>2101</v>
      </c>
      <c r="D1427" s="264" t="s">
        <v>3584</v>
      </c>
      <c r="E1427" s="264" t="s">
        <v>3571</v>
      </c>
      <c r="F1427" s="264" t="s">
        <v>2041</v>
      </c>
      <c r="G1427" s="264" t="s">
        <v>26</v>
      </c>
      <c r="H1427" s="266">
        <v>246.87</v>
      </c>
      <c r="I1427" s="266">
        <v>0</v>
      </c>
      <c r="J1427" s="264" t="s">
        <v>1174</v>
      </c>
      <c r="K1427" s="264" t="s">
        <v>2025</v>
      </c>
      <c r="L1427" s="1" t="str">
        <f>VLOOKUP(Advices[[#This Row],[LC Number]],'Combine_List'!A:D,2,0)</f>
        <v>Alfanar Electrical Systems</v>
      </c>
      <c r="M1427" s="447" t="str">
        <f>VLOOKUP(Advices[[#This Row],[LC Number]],'Combine_List'!A:D,3,0)</f>
        <v>FIRST FIX</v>
      </c>
      <c r="N1427" s="447" t="str">
        <f>VLOOKUP(Advices[[#This Row],[LC Number]],'Combine_List'!A:D,4,0)</f>
        <v>RCRC</v>
      </c>
      <c r="O1427" s="1"/>
      <c r="P1427" s="1">
        <f>MONTH(Advices[[#This Row],[Transaction Date]])</f>
        <v>1</v>
      </c>
      <c r="Q1427" s="1">
        <f>YEAR(Advices[[#This Row],[Transaction Date]])</f>
        <v>2026</v>
      </c>
      <c r="R1427" s="1"/>
    </row>
    <row r="1428" spans="1:18" hidden="1" x14ac:dyDescent="0.25">
      <c r="A1428" s="264" t="s">
        <v>612</v>
      </c>
      <c r="B1428" s="265">
        <v>46033</v>
      </c>
      <c r="C1428" s="264" t="s">
        <v>2101</v>
      </c>
      <c r="D1428" s="264" t="s">
        <v>3585</v>
      </c>
      <c r="E1428" s="264" t="s">
        <v>3567</v>
      </c>
      <c r="F1428" s="264" t="s">
        <v>2041</v>
      </c>
      <c r="G1428" s="264" t="s">
        <v>26</v>
      </c>
      <c r="H1428" s="266">
        <v>1030.8699999999999</v>
      </c>
      <c r="I1428" s="266">
        <v>0</v>
      </c>
      <c r="J1428" s="264" t="s">
        <v>1111</v>
      </c>
      <c r="K1428" s="264" t="s">
        <v>2025</v>
      </c>
      <c r="L1428" s="1" t="str">
        <f>VLOOKUP(Advices[[#This Row],[LC Number]],'Combine_List'!A:D,2,0)</f>
        <v>Mohammed Masoud Al Khaldi Est</v>
      </c>
      <c r="M1428" s="447" t="str">
        <f>VLOOKUP(Advices[[#This Row],[LC Number]],'Combine_List'!A:D,3,0)</f>
        <v>FIRST FIX</v>
      </c>
      <c r="N1428" s="447" t="str">
        <f>VLOOKUP(Advices[[#This Row],[LC Number]],'Combine_List'!A:D,4,0)</f>
        <v>RCRC</v>
      </c>
      <c r="O1428" s="1"/>
      <c r="P1428" s="1">
        <f>MONTH(Advices[[#This Row],[Transaction Date]])</f>
        <v>1</v>
      </c>
      <c r="Q1428" s="1">
        <f>YEAR(Advices[[#This Row],[Transaction Date]])</f>
        <v>2026</v>
      </c>
      <c r="R1428" s="1"/>
    </row>
    <row r="1429" spans="1:18" hidden="1" x14ac:dyDescent="0.25">
      <c r="A1429" s="264" t="s">
        <v>612</v>
      </c>
      <c r="B1429" s="265">
        <v>46033</v>
      </c>
      <c r="C1429" s="264" t="s">
        <v>2101</v>
      </c>
      <c r="D1429" s="264" t="s">
        <v>3586</v>
      </c>
      <c r="E1429" s="264" t="s">
        <v>3567</v>
      </c>
      <c r="F1429" s="264" t="s">
        <v>2041</v>
      </c>
      <c r="G1429" s="264" t="s">
        <v>26</v>
      </c>
      <c r="H1429" s="266">
        <v>154.63</v>
      </c>
      <c r="I1429" s="266">
        <v>0</v>
      </c>
      <c r="J1429" s="264" t="s">
        <v>1174</v>
      </c>
      <c r="K1429" s="264" t="s">
        <v>2025</v>
      </c>
      <c r="L1429" s="1" t="str">
        <f>VLOOKUP(Advices[[#This Row],[LC Number]],'Combine_List'!A:D,2,0)</f>
        <v>Mohammed Masoud Al Khaldi Est</v>
      </c>
      <c r="M1429" s="447" t="str">
        <f>VLOOKUP(Advices[[#This Row],[LC Number]],'Combine_List'!A:D,3,0)</f>
        <v>FIRST FIX</v>
      </c>
      <c r="N1429" s="447" t="str">
        <f>VLOOKUP(Advices[[#This Row],[LC Number]],'Combine_List'!A:D,4,0)</f>
        <v>RCRC</v>
      </c>
      <c r="O1429" s="1"/>
      <c r="P1429" s="1">
        <f>MONTH(Advices[[#This Row],[Transaction Date]])</f>
        <v>1</v>
      </c>
      <c r="Q1429" s="1">
        <f>YEAR(Advices[[#This Row],[Transaction Date]])</f>
        <v>2026</v>
      </c>
      <c r="R1429" s="1"/>
    </row>
    <row r="1430" spans="1:18" hidden="1" x14ac:dyDescent="0.25">
      <c r="A1430" s="264" t="s">
        <v>612</v>
      </c>
      <c r="B1430" s="265">
        <v>46033</v>
      </c>
      <c r="C1430" s="264" t="s">
        <v>2101</v>
      </c>
      <c r="D1430" s="264" t="s">
        <v>3587</v>
      </c>
      <c r="E1430" s="264" t="s">
        <v>3567</v>
      </c>
      <c r="F1430" s="264" t="s">
        <v>2041</v>
      </c>
      <c r="G1430" s="264" t="s">
        <v>26</v>
      </c>
      <c r="H1430" s="266">
        <v>750</v>
      </c>
      <c r="I1430" s="266">
        <v>0</v>
      </c>
      <c r="J1430" s="264" t="s">
        <v>2616</v>
      </c>
      <c r="K1430" s="264" t="s">
        <v>2025</v>
      </c>
      <c r="L1430" s="1" t="str">
        <f>VLOOKUP(Advices[[#This Row],[LC Number]],'Combine_List'!A:D,2,0)</f>
        <v>Mohammed Masoud Al Khaldi Est</v>
      </c>
      <c r="M1430" s="447" t="str">
        <f>VLOOKUP(Advices[[#This Row],[LC Number]],'Combine_List'!A:D,3,0)</f>
        <v>FIRST FIX</v>
      </c>
      <c r="N1430" s="447" t="str">
        <f>VLOOKUP(Advices[[#This Row],[LC Number]],'Combine_List'!A:D,4,0)</f>
        <v>RCRC</v>
      </c>
      <c r="O1430" s="1"/>
      <c r="P1430" s="1">
        <f>MONTH(Advices[[#This Row],[Transaction Date]])</f>
        <v>1</v>
      </c>
      <c r="Q1430" s="1">
        <f>YEAR(Advices[[#This Row],[Transaction Date]])</f>
        <v>2026</v>
      </c>
      <c r="R1430" s="1"/>
    </row>
    <row r="1431" spans="1:18" hidden="1" x14ac:dyDescent="0.25">
      <c r="A1431" s="264" t="s">
        <v>612</v>
      </c>
      <c r="B1431" s="265">
        <v>46033</v>
      </c>
      <c r="C1431" s="264" t="s">
        <v>2101</v>
      </c>
      <c r="D1431" s="264" t="s">
        <v>3588</v>
      </c>
      <c r="E1431" s="264" t="s">
        <v>3567</v>
      </c>
      <c r="F1431" s="264" t="s">
        <v>2041</v>
      </c>
      <c r="G1431" s="264" t="s">
        <v>26</v>
      </c>
      <c r="H1431" s="266">
        <v>112.5</v>
      </c>
      <c r="I1431" s="266">
        <v>0</v>
      </c>
      <c r="J1431" s="264" t="s">
        <v>1174</v>
      </c>
      <c r="K1431" s="264" t="s">
        <v>2025</v>
      </c>
      <c r="L1431" s="1" t="str">
        <f>VLOOKUP(Advices[[#This Row],[LC Number]],'Combine_List'!A:D,2,0)</f>
        <v>Mohammed Masoud Al Khaldi Est</v>
      </c>
      <c r="M1431" s="447" t="str">
        <f>VLOOKUP(Advices[[#This Row],[LC Number]],'Combine_List'!A:D,3,0)</f>
        <v>FIRST FIX</v>
      </c>
      <c r="N1431" s="447" t="str">
        <f>VLOOKUP(Advices[[#This Row],[LC Number]],'Combine_List'!A:D,4,0)</f>
        <v>RCRC</v>
      </c>
      <c r="O1431" s="1"/>
      <c r="P1431" s="1">
        <f>MONTH(Advices[[#This Row],[Transaction Date]])</f>
        <v>1</v>
      </c>
      <c r="Q1431" s="1">
        <f>YEAR(Advices[[#This Row],[Transaction Date]])</f>
        <v>2026</v>
      </c>
      <c r="R1431" s="1"/>
    </row>
    <row r="1432" spans="1:18" hidden="1" x14ac:dyDescent="0.25">
      <c r="A1432" s="264" t="s">
        <v>612</v>
      </c>
      <c r="B1432" s="265">
        <v>46033</v>
      </c>
      <c r="C1432" s="264" t="s">
        <v>2101</v>
      </c>
      <c r="D1432" s="264" t="s">
        <v>3589</v>
      </c>
      <c r="E1432" s="264" t="s">
        <v>3567</v>
      </c>
      <c r="F1432" s="264" t="s">
        <v>2041</v>
      </c>
      <c r="G1432" s="264" t="s">
        <v>26</v>
      </c>
      <c r="H1432" s="266">
        <v>465.99</v>
      </c>
      <c r="I1432" s="266">
        <v>0</v>
      </c>
      <c r="J1432" s="264" t="s">
        <v>2616</v>
      </c>
      <c r="K1432" s="264" t="s">
        <v>2025</v>
      </c>
      <c r="L1432" s="1" t="str">
        <f>VLOOKUP(Advices[[#This Row],[LC Number]],'Combine_List'!A:D,2,0)</f>
        <v>Mohammed Masoud Al Khaldi Est</v>
      </c>
      <c r="M1432" s="447" t="str">
        <f>VLOOKUP(Advices[[#This Row],[LC Number]],'Combine_List'!A:D,3,0)</f>
        <v>FIRST FIX</v>
      </c>
      <c r="N1432" s="447" t="str">
        <f>VLOOKUP(Advices[[#This Row],[LC Number]],'Combine_List'!A:D,4,0)</f>
        <v>RCRC</v>
      </c>
      <c r="O1432" s="1"/>
      <c r="P1432" s="1">
        <f>MONTH(Advices[[#This Row],[Transaction Date]])</f>
        <v>1</v>
      </c>
      <c r="Q1432" s="1">
        <f>YEAR(Advices[[#This Row],[Transaction Date]])</f>
        <v>2026</v>
      </c>
      <c r="R1432" s="1"/>
    </row>
    <row r="1433" spans="1:18" hidden="1" x14ac:dyDescent="0.25">
      <c r="A1433" s="264" t="s">
        <v>612</v>
      </c>
      <c r="B1433" s="265">
        <v>46033</v>
      </c>
      <c r="C1433" s="264" t="s">
        <v>2101</v>
      </c>
      <c r="D1433" s="264" t="s">
        <v>3590</v>
      </c>
      <c r="E1433" s="264" t="s">
        <v>3567</v>
      </c>
      <c r="F1433" s="264" t="s">
        <v>2041</v>
      </c>
      <c r="G1433" s="264" t="s">
        <v>26</v>
      </c>
      <c r="H1433" s="266">
        <v>69.900000000000006</v>
      </c>
      <c r="I1433" s="266">
        <v>0</v>
      </c>
      <c r="J1433" s="264" t="s">
        <v>1174</v>
      </c>
      <c r="K1433" s="264" t="s">
        <v>2025</v>
      </c>
      <c r="L1433" s="1" t="str">
        <f>VLOOKUP(Advices[[#This Row],[LC Number]],'Combine_List'!A:D,2,0)</f>
        <v>Mohammed Masoud Al Khaldi Est</v>
      </c>
      <c r="M1433" s="447" t="str">
        <f>VLOOKUP(Advices[[#This Row],[LC Number]],'Combine_List'!A:D,3,0)</f>
        <v>FIRST FIX</v>
      </c>
      <c r="N1433" s="447" t="str">
        <f>VLOOKUP(Advices[[#This Row],[LC Number]],'Combine_List'!A:D,4,0)</f>
        <v>RCRC</v>
      </c>
      <c r="O1433" s="1"/>
      <c r="P1433" s="1">
        <f>MONTH(Advices[[#This Row],[Transaction Date]])</f>
        <v>1</v>
      </c>
      <c r="Q1433" s="1">
        <f>YEAR(Advices[[#This Row],[Transaction Date]])</f>
        <v>2026</v>
      </c>
      <c r="R1433" s="1"/>
    </row>
    <row r="1434" spans="1:18" hidden="1" x14ac:dyDescent="0.25">
      <c r="A1434" s="264" t="s">
        <v>612</v>
      </c>
      <c r="B1434" s="265">
        <v>46033</v>
      </c>
      <c r="C1434" s="264" t="s">
        <v>2101</v>
      </c>
      <c r="D1434" s="264" t="s">
        <v>3591</v>
      </c>
      <c r="E1434" s="264" t="s">
        <v>3567</v>
      </c>
      <c r="F1434" s="264" t="s">
        <v>2041</v>
      </c>
      <c r="G1434" s="264" t="s">
        <v>26</v>
      </c>
      <c r="H1434" s="266">
        <v>200</v>
      </c>
      <c r="I1434" s="266">
        <v>0</v>
      </c>
      <c r="J1434" s="264" t="s">
        <v>2616</v>
      </c>
      <c r="K1434" s="264" t="s">
        <v>2025</v>
      </c>
      <c r="L1434" s="1" t="str">
        <f>VLOOKUP(Advices[[#This Row],[LC Number]],'Combine_List'!A:D,2,0)</f>
        <v>Mohammed Masoud Al Khaldi Est</v>
      </c>
      <c r="M1434" s="447" t="str">
        <f>VLOOKUP(Advices[[#This Row],[LC Number]],'Combine_List'!A:D,3,0)</f>
        <v>FIRST FIX</v>
      </c>
      <c r="N1434" s="447" t="str">
        <f>VLOOKUP(Advices[[#This Row],[LC Number]],'Combine_List'!A:D,4,0)</f>
        <v>RCRC</v>
      </c>
      <c r="O1434" s="1"/>
      <c r="P1434" s="1">
        <f>MONTH(Advices[[#This Row],[Transaction Date]])</f>
        <v>1</v>
      </c>
      <c r="Q1434" s="1">
        <f>YEAR(Advices[[#This Row],[Transaction Date]])</f>
        <v>2026</v>
      </c>
      <c r="R1434" s="1"/>
    </row>
    <row r="1435" spans="1:18" hidden="1" x14ac:dyDescent="0.25">
      <c r="A1435" s="264" t="s">
        <v>612</v>
      </c>
      <c r="B1435" s="265">
        <v>46033</v>
      </c>
      <c r="C1435" s="264" t="s">
        <v>2101</v>
      </c>
      <c r="D1435" s="264" t="s">
        <v>3592</v>
      </c>
      <c r="E1435" s="264" t="s">
        <v>3567</v>
      </c>
      <c r="F1435" s="264" t="s">
        <v>2041</v>
      </c>
      <c r="G1435" s="264" t="s">
        <v>26</v>
      </c>
      <c r="H1435" s="266">
        <v>30</v>
      </c>
      <c r="I1435" s="266">
        <v>0</v>
      </c>
      <c r="J1435" s="264" t="s">
        <v>1174</v>
      </c>
      <c r="K1435" s="264" t="s">
        <v>2025</v>
      </c>
      <c r="L1435" s="1" t="str">
        <f>VLOOKUP(Advices[[#This Row],[LC Number]],'Combine_List'!A:D,2,0)</f>
        <v>Mohammed Masoud Al Khaldi Est</v>
      </c>
      <c r="M1435" s="447" t="str">
        <f>VLOOKUP(Advices[[#This Row],[LC Number]],'Combine_List'!A:D,3,0)</f>
        <v>FIRST FIX</v>
      </c>
      <c r="N1435" s="447" t="str">
        <f>VLOOKUP(Advices[[#This Row],[LC Number]],'Combine_List'!A:D,4,0)</f>
        <v>RCRC</v>
      </c>
      <c r="O1435" s="1"/>
      <c r="P1435" s="1">
        <f>MONTH(Advices[[#This Row],[Transaction Date]])</f>
        <v>1</v>
      </c>
      <c r="Q1435" s="1">
        <f>YEAR(Advices[[#This Row],[Transaction Date]])</f>
        <v>2026</v>
      </c>
      <c r="R1435" s="1"/>
    </row>
    <row r="1436" spans="1:18" hidden="1" x14ac:dyDescent="0.25">
      <c r="A1436" s="264" t="s">
        <v>612</v>
      </c>
      <c r="B1436" s="265">
        <v>46033</v>
      </c>
      <c r="C1436" s="264" t="s">
        <v>2101</v>
      </c>
      <c r="D1436" s="264" t="s">
        <v>3593</v>
      </c>
      <c r="E1436" s="264" t="s">
        <v>3570</v>
      </c>
      <c r="F1436" s="264" t="s">
        <v>2041</v>
      </c>
      <c r="G1436" s="264" t="s">
        <v>26</v>
      </c>
      <c r="H1436" s="266">
        <v>1424.31</v>
      </c>
      <c r="I1436" s="266">
        <v>0</v>
      </c>
      <c r="J1436" s="264" t="s">
        <v>1111</v>
      </c>
      <c r="K1436" s="264" t="s">
        <v>2025</v>
      </c>
      <c r="L1436" s="1" t="str">
        <f>VLOOKUP(Advices[[#This Row],[LC Number]],'Combine_List'!A:D,2,0)</f>
        <v>Isam Kabanni And Partners For Construction And Maintenance Co Ltd</v>
      </c>
      <c r="M1436" s="447" t="str">
        <f>VLOOKUP(Advices[[#This Row],[LC Number]],'Combine_List'!A:D,3,0)</f>
        <v>FIRST FIX</v>
      </c>
      <c r="N1436" s="447" t="str">
        <f>VLOOKUP(Advices[[#This Row],[LC Number]],'Combine_List'!A:D,4,0)</f>
        <v>RCRC</v>
      </c>
      <c r="O1436" s="1"/>
      <c r="P1436" s="1">
        <f>MONTH(Advices[[#This Row],[Transaction Date]])</f>
        <v>1</v>
      </c>
      <c r="Q1436" s="1">
        <f>YEAR(Advices[[#This Row],[Transaction Date]])</f>
        <v>2026</v>
      </c>
      <c r="R1436" s="1"/>
    </row>
    <row r="1437" spans="1:18" hidden="1" x14ac:dyDescent="0.25">
      <c r="A1437" s="264" t="s">
        <v>612</v>
      </c>
      <c r="B1437" s="265">
        <v>46033</v>
      </c>
      <c r="C1437" s="264" t="s">
        <v>2101</v>
      </c>
      <c r="D1437" s="264" t="s">
        <v>3594</v>
      </c>
      <c r="E1437" s="264" t="s">
        <v>3570</v>
      </c>
      <c r="F1437" s="264" t="s">
        <v>2041</v>
      </c>
      <c r="G1437" s="264" t="s">
        <v>26</v>
      </c>
      <c r="H1437" s="266">
        <v>213.65</v>
      </c>
      <c r="I1437" s="266">
        <v>0</v>
      </c>
      <c r="J1437" s="264" t="s">
        <v>1174</v>
      </c>
      <c r="K1437" s="264" t="s">
        <v>2025</v>
      </c>
      <c r="L1437" s="1" t="str">
        <f>VLOOKUP(Advices[[#This Row],[LC Number]],'Combine_List'!A:D,2,0)</f>
        <v>Isam Kabanni And Partners For Construction And Maintenance Co Ltd</v>
      </c>
      <c r="M1437" s="447" t="str">
        <f>VLOOKUP(Advices[[#This Row],[LC Number]],'Combine_List'!A:D,3,0)</f>
        <v>FIRST FIX</v>
      </c>
      <c r="N1437" s="447" t="str">
        <f>VLOOKUP(Advices[[#This Row],[LC Number]],'Combine_List'!A:D,4,0)</f>
        <v>RCRC</v>
      </c>
      <c r="O1437" s="1"/>
      <c r="P1437" s="1">
        <f>MONTH(Advices[[#This Row],[Transaction Date]])</f>
        <v>1</v>
      </c>
      <c r="Q1437" s="1">
        <f>YEAR(Advices[[#This Row],[Transaction Date]])</f>
        <v>2026</v>
      </c>
      <c r="R1437" s="1"/>
    </row>
    <row r="1438" spans="1:18" hidden="1" x14ac:dyDescent="0.25">
      <c r="A1438" s="264" t="s">
        <v>612</v>
      </c>
      <c r="B1438" s="265">
        <v>46033</v>
      </c>
      <c r="C1438" s="264" t="s">
        <v>2101</v>
      </c>
      <c r="D1438" s="264" t="s">
        <v>3595</v>
      </c>
      <c r="E1438" s="264" t="s">
        <v>3570</v>
      </c>
      <c r="F1438" s="264" t="s">
        <v>2041</v>
      </c>
      <c r="G1438" s="264" t="s">
        <v>26</v>
      </c>
      <c r="H1438" s="266">
        <v>750</v>
      </c>
      <c r="I1438" s="266">
        <v>0</v>
      </c>
      <c r="J1438" s="264" t="s">
        <v>2616</v>
      </c>
      <c r="K1438" s="264" t="s">
        <v>2025</v>
      </c>
      <c r="L1438" s="1" t="str">
        <f>VLOOKUP(Advices[[#This Row],[LC Number]],'Combine_List'!A:D,2,0)</f>
        <v>Isam Kabanni And Partners For Construction And Maintenance Co Ltd</v>
      </c>
      <c r="M1438" s="447" t="str">
        <f>VLOOKUP(Advices[[#This Row],[LC Number]],'Combine_List'!A:D,3,0)</f>
        <v>FIRST FIX</v>
      </c>
      <c r="N1438" s="447" t="str">
        <f>VLOOKUP(Advices[[#This Row],[LC Number]],'Combine_List'!A:D,4,0)</f>
        <v>RCRC</v>
      </c>
      <c r="O1438" s="1"/>
      <c r="P1438" s="1">
        <f>MONTH(Advices[[#This Row],[Transaction Date]])</f>
        <v>1</v>
      </c>
      <c r="Q1438" s="1">
        <f>YEAR(Advices[[#This Row],[Transaction Date]])</f>
        <v>2026</v>
      </c>
      <c r="R1438" s="1"/>
    </row>
    <row r="1439" spans="1:18" hidden="1" x14ac:dyDescent="0.25">
      <c r="A1439" s="264" t="s">
        <v>612</v>
      </c>
      <c r="B1439" s="265">
        <v>46033</v>
      </c>
      <c r="C1439" s="264" t="s">
        <v>2101</v>
      </c>
      <c r="D1439" s="264" t="s">
        <v>3596</v>
      </c>
      <c r="E1439" s="264" t="s">
        <v>3570</v>
      </c>
      <c r="F1439" s="264" t="s">
        <v>2041</v>
      </c>
      <c r="G1439" s="264" t="s">
        <v>26</v>
      </c>
      <c r="H1439" s="266">
        <v>112.5</v>
      </c>
      <c r="I1439" s="266">
        <v>0</v>
      </c>
      <c r="J1439" s="264" t="s">
        <v>1174</v>
      </c>
      <c r="K1439" s="264" t="s">
        <v>2025</v>
      </c>
      <c r="L1439" s="1" t="str">
        <f>VLOOKUP(Advices[[#This Row],[LC Number]],'Combine_List'!A:D,2,0)</f>
        <v>Isam Kabanni And Partners For Construction And Maintenance Co Ltd</v>
      </c>
      <c r="M1439" s="447" t="str">
        <f>VLOOKUP(Advices[[#This Row],[LC Number]],'Combine_List'!A:D,3,0)</f>
        <v>FIRST FIX</v>
      </c>
      <c r="N1439" s="447" t="str">
        <f>VLOOKUP(Advices[[#This Row],[LC Number]],'Combine_List'!A:D,4,0)</f>
        <v>RCRC</v>
      </c>
      <c r="O1439" s="1"/>
      <c r="P1439" s="1">
        <f>MONTH(Advices[[#This Row],[Transaction Date]])</f>
        <v>1</v>
      </c>
      <c r="Q1439" s="1">
        <f>YEAR(Advices[[#This Row],[Transaction Date]])</f>
        <v>2026</v>
      </c>
      <c r="R1439" s="1"/>
    </row>
    <row r="1440" spans="1:18" hidden="1" x14ac:dyDescent="0.25">
      <c r="A1440" s="264" t="s">
        <v>612</v>
      </c>
      <c r="B1440" s="265">
        <v>46033</v>
      </c>
      <c r="C1440" s="264" t="s">
        <v>2101</v>
      </c>
      <c r="D1440" s="264" t="s">
        <v>3597</v>
      </c>
      <c r="E1440" s="264" t="s">
        <v>3570</v>
      </c>
      <c r="F1440" s="264" t="s">
        <v>2041</v>
      </c>
      <c r="G1440" s="264" t="s">
        <v>26</v>
      </c>
      <c r="H1440" s="266">
        <v>811.34</v>
      </c>
      <c r="I1440" s="266">
        <v>0</v>
      </c>
      <c r="J1440" s="264" t="s">
        <v>2616</v>
      </c>
      <c r="K1440" s="264" t="s">
        <v>2025</v>
      </c>
      <c r="L1440" s="1" t="str">
        <f>VLOOKUP(Advices[[#This Row],[LC Number]],'Combine_List'!A:D,2,0)</f>
        <v>Isam Kabanni And Partners For Construction And Maintenance Co Ltd</v>
      </c>
      <c r="M1440" s="447" t="str">
        <f>VLOOKUP(Advices[[#This Row],[LC Number]],'Combine_List'!A:D,3,0)</f>
        <v>FIRST FIX</v>
      </c>
      <c r="N1440" s="447" t="str">
        <f>VLOOKUP(Advices[[#This Row],[LC Number]],'Combine_List'!A:D,4,0)</f>
        <v>RCRC</v>
      </c>
      <c r="O1440" s="1"/>
      <c r="P1440" s="1">
        <f>MONTH(Advices[[#This Row],[Transaction Date]])</f>
        <v>1</v>
      </c>
      <c r="Q1440" s="1">
        <f>YEAR(Advices[[#This Row],[Transaction Date]])</f>
        <v>2026</v>
      </c>
      <c r="R1440" s="1"/>
    </row>
    <row r="1441" spans="1:18" hidden="1" x14ac:dyDescent="0.25">
      <c r="A1441" s="264" t="s">
        <v>612</v>
      </c>
      <c r="B1441" s="265">
        <v>46033</v>
      </c>
      <c r="C1441" s="264" t="s">
        <v>2101</v>
      </c>
      <c r="D1441" s="264" t="s">
        <v>3598</v>
      </c>
      <c r="E1441" s="264" t="s">
        <v>3570</v>
      </c>
      <c r="F1441" s="264" t="s">
        <v>2041</v>
      </c>
      <c r="G1441" s="264" t="s">
        <v>26</v>
      </c>
      <c r="H1441" s="266">
        <v>121.7</v>
      </c>
      <c r="I1441" s="266">
        <v>0</v>
      </c>
      <c r="J1441" s="264" t="s">
        <v>1174</v>
      </c>
      <c r="K1441" s="264" t="s">
        <v>2025</v>
      </c>
      <c r="L1441" s="1" t="str">
        <f>VLOOKUP(Advices[[#This Row],[LC Number]],'Combine_List'!A:D,2,0)</f>
        <v>Isam Kabanni And Partners For Construction And Maintenance Co Ltd</v>
      </c>
      <c r="M1441" s="447" t="str">
        <f>VLOOKUP(Advices[[#This Row],[LC Number]],'Combine_List'!A:D,3,0)</f>
        <v>FIRST FIX</v>
      </c>
      <c r="N1441" s="447" t="str">
        <f>VLOOKUP(Advices[[#This Row],[LC Number]],'Combine_List'!A:D,4,0)</f>
        <v>RCRC</v>
      </c>
      <c r="O1441" s="1"/>
      <c r="P1441" s="1">
        <f>MONTH(Advices[[#This Row],[Transaction Date]])</f>
        <v>1</v>
      </c>
      <c r="Q1441" s="1">
        <f>YEAR(Advices[[#This Row],[Transaction Date]])</f>
        <v>2026</v>
      </c>
      <c r="R1441" s="1"/>
    </row>
    <row r="1442" spans="1:18" hidden="1" x14ac:dyDescent="0.25">
      <c r="A1442" s="264" t="s">
        <v>612</v>
      </c>
      <c r="B1442" s="265">
        <v>46033</v>
      </c>
      <c r="C1442" s="264" t="s">
        <v>2101</v>
      </c>
      <c r="D1442" s="264" t="s">
        <v>3599</v>
      </c>
      <c r="E1442" s="264" t="s">
        <v>3570</v>
      </c>
      <c r="F1442" s="264" t="s">
        <v>2041</v>
      </c>
      <c r="G1442" s="264" t="s">
        <v>26</v>
      </c>
      <c r="H1442" s="266">
        <v>200</v>
      </c>
      <c r="I1442" s="266">
        <v>0</v>
      </c>
      <c r="J1442" s="264" t="s">
        <v>2616</v>
      </c>
      <c r="K1442" s="264" t="s">
        <v>2025</v>
      </c>
      <c r="L1442" s="1" t="str">
        <f>VLOOKUP(Advices[[#This Row],[LC Number]],'Combine_List'!A:D,2,0)</f>
        <v>Isam Kabanni And Partners For Construction And Maintenance Co Ltd</v>
      </c>
      <c r="M1442" s="447" t="str">
        <f>VLOOKUP(Advices[[#This Row],[LC Number]],'Combine_List'!A:D,3,0)</f>
        <v>FIRST FIX</v>
      </c>
      <c r="N1442" s="447" t="str">
        <f>VLOOKUP(Advices[[#This Row],[LC Number]],'Combine_List'!A:D,4,0)</f>
        <v>RCRC</v>
      </c>
      <c r="O1442" s="1"/>
      <c r="P1442" s="1">
        <f>MONTH(Advices[[#This Row],[Transaction Date]])</f>
        <v>1</v>
      </c>
      <c r="Q1442" s="1">
        <f>YEAR(Advices[[#This Row],[Transaction Date]])</f>
        <v>2026</v>
      </c>
      <c r="R1442" s="1"/>
    </row>
    <row r="1443" spans="1:18" hidden="1" x14ac:dyDescent="0.25">
      <c r="A1443" s="264" t="s">
        <v>612</v>
      </c>
      <c r="B1443" s="265">
        <v>46033</v>
      </c>
      <c r="C1443" s="264" t="s">
        <v>2101</v>
      </c>
      <c r="D1443" s="264" t="s">
        <v>3600</v>
      </c>
      <c r="E1443" s="264" t="s">
        <v>3570</v>
      </c>
      <c r="F1443" s="264" t="s">
        <v>2041</v>
      </c>
      <c r="G1443" s="264" t="s">
        <v>26</v>
      </c>
      <c r="H1443" s="266">
        <v>30</v>
      </c>
      <c r="I1443" s="266">
        <v>0</v>
      </c>
      <c r="J1443" s="264" t="s">
        <v>1174</v>
      </c>
      <c r="K1443" s="264" t="s">
        <v>2025</v>
      </c>
      <c r="L1443" s="1" t="str">
        <f>VLOOKUP(Advices[[#This Row],[LC Number]],'Combine_List'!A:D,2,0)</f>
        <v>Isam Kabanni And Partners For Construction And Maintenance Co Ltd</v>
      </c>
      <c r="M1443" s="447" t="str">
        <f>VLOOKUP(Advices[[#This Row],[LC Number]],'Combine_List'!A:D,3,0)</f>
        <v>FIRST FIX</v>
      </c>
      <c r="N1443" s="447" t="str">
        <f>VLOOKUP(Advices[[#This Row],[LC Number]],'Combine_List'!A:D,4,0)</f>
        <v>RCRC</v>
      </c>
      <c r="O1443" s="1"/>
      <c r="P1443" s="1">
        <f>MONTH(Advices[[#This Row],[Transaction Date]])</f>
        <v>1</v>
      </c>
      <c r="Q1443" s="1">
        <f>YEAR(Advices[[#This Row],[Transaction Date]])</f>
        <v>2026</v>
      </c>
      <c r="R1443" s="1"/>
    </row>
    <row r="1444" spans="1:18" hidden="1" x14ac:dyDescent="0.25">
      <c r="A1444" s="264" t="s">
        <v>612</v>
      </c>
      <c r="B1444" s="265">
        <v>46033</v>
      </c>
      <c r="C1444" s="264" t="s">
        <v>2101</v>
      </c>
      <c r="D1444" s="264" t="s">
        <v>3601</v>
      </c>
      <c r="E1444" s="264" t="s">
        <v>3569</v>
      </c>
      <c r="F1444" s="264" t="s">
        <v>2041</v>
      </c>
      <c r="G1444" s="264" t="s">
        <v>26</v>
      </c>
      <c r="H1444" s="266">
        <v>630.27</v>
      </c>
      <c r="I1444" s="266">
        <v>0</v>
      </c>
      <c r="J1444" s="264" t="s">
        <v>2793</v>
      </c>
      <c r="K1444" s="264" t="s">
        <v>2025</v>
      </c>
      <c r="L1444" s="1" t="str">
        <f>VLOOKUP(Advices[[#This Row],[LC Number]],'Combine_List'!A:D,2,0)</f>
        <v>United Park Co.</v>
      </c>
      <c r="M1444" s="447" t="str">
        <f>VLOOKUP(Advices[[#This Row],[LC Number]],'Combine_List'!A:D,3,0)</f>
        <v>FIRST FIX</v>
      </c>
      <c r="N1444" s="447" t="str">
        <f>VLOOKUP(Advices[[#This Row],[LC Number]],'Combine_List'!A:D,4,0)</f>
        <v>RCRC</v>
      </c>
      <c r="O1444" s="1"/>
      <c r="P1444" s="1">
        <f>MONTH(Advices[[#This Row],[Transaction Date]])</f>
        <v>1</v>
      </c>
      <c r="Q1444" s="1">
        <f>YEAR(Advices[[#This Row],[Transaction Date]])</f>
        <v>2026</v>
      </c>
      <c r="R1444" s="1"/>
    </row>
    <row r="1445" spans="1:18" hidden="1" x14ac:dyDescent="0.25">
      <c r="A1445" s="264" t="s">
        <v>612</v>
      </c>
      <c r="B1445" s="265">
        <v>46033</v>
      </c>
      <c r="C1445" s="264" t="s">
        <v>2101</v>
      </c>
      <c r="D1445" s="264" t="s">
        <v>3602</v>
      </c>
      <c r="E1445" s="264" t="s">
        <v>3569</v>
      </c>
      <c r="F1445" s="264" t="s">
        <v>2041</v>
      </c>
      <c r="G1445" s="264" t="s">
        <v>26</v>
      </c>
      <c r="H1445" s="266">
        <v>94.54</v>
      </c>
      <c r="I1445" s="266">
        <v>0</v>
      </c>
      <c r="J1445" s="264" t="s">
        <v>1174</v>
      </c>
      <c r="K1445" s="264" t="s">
        <v>2025</v>
      </c>
      <c r="L1445" s="1" t="str">
        <f>VLOOKUP(Advices[[#This Row],[LC Number]],'Combine_List'!A:D,2,0)</f>
        <v>United Park Co.</v>
      </c>
      <c r="M1445" s="447" t="str">
        <f>VLOOKUP(Advices[[#This Row],[LC Number]],'Combine_List'!A:D,3,0)</f>
        <v>FIRST FIX</v>
      </c>
      <c r="N1445" s="447" t="str">
        <f>VLOOKUP(Advices[[#This Row],[LC Number]],'Combine_List'!A:D,4,0)</f>
        <v>RCRC</v>
      </c>
      <c r="O1445" s="1"/>
      <c r="P1445" s="1">
        <f>MONTH(Advices[[#This Row],[Transaction Date]])</f>
        <v>1</v>
      </c>
      <c r="Q1445" s="1">
        <f>YEAR(Advices[[#This Row],[Transaction Date]])</f>
        <v>2026</v>
      </c>
      <c r="R1445" s="1"/>
    </row>
    <row r="1446" spans="1:18" hidden="1" x14ac:dyDescent="0.25">
      <c r="A1446" s="264" t="s">
        <v>612</v>
      </c>
      <c r="B1446" s="265">
        <v>46033</v>
      </c>
      <c r="C1446" s="264" t="s">
        <v>2101</v>
      </c>
      <c r="D1446" s="264" t="s">
        <v>3603</v>
      </c>
      <c r="E1446" s="264" t="s">
        <v>3569</v>
      </c>
      <c r="F1446" s="264" t="s">
        <v>2041</v>
      </c>
      <c r="G1446" s="264" t="s">
        <v>26</v>
      </c>
      <c r="H1446" s="266">
        <v>750</v>
      </c>
      <c r="I1446" s="266">
        <v>0</v>
      </c>
      <c r="J1446" s="264" t="s">
        <v>2616</v>
      </c>
      <c r="K1446" s="264" t="s">
        <v>2025</v>
      </c>
      <c r="L1446" s="1" t="str">
        <f>VLOOKUP(Advices[[#This Row],[LC Number]],'Combine_List'!A:D,2,0)</f>
        <v>United Park Co.</v>
      </c>
      <c r="M1446" s="447" t="str">
        <f>VLOOKUP(Advices[[#This Row],[LC Number]],'Combine_List'!A:D,3,0)</f>
        <v>FIRST FIX</v>
      </c>
      <c r="N1446" s="447" t="str">
        <f>VLOOKUP(Advices[[#This Row],[LC Number]],'Combine_List'!A:D,4,0)</f>
        <v>RCRC</v>
      </c>
      <c r="O1446" s="1"/>
      <c r="P1446" s="1">
        <f>MONTH(Advices[[#This Row],[Transaction Date]])</f>
        <v>1</v>
      </c>
      <c r="Q1446" s="1">
        <f>YEAR(Advices[[#This Row],[Transaction Date]])</f>
        <v>2026</v>
      </c>
      <c r="R1446" s="1"/>
    </row>
    <row r="1447" spans="1:18" hidden="1" x14ac:dyDescent="0.25">
      <c r="A1447" s="264" t="s">
        <v>612</v>
      </c>
      <c r="B1447" s="265">
        <v>46033</v>
      </c>
      <c r="C1447" s="264" t="s">
        <v>2101</v>
      </c>
      <c r="D1447" s="264" t="s">
        <v>3604</v>
      </c>
      <c r="E1447" s="264" t="s">
        <v>3569</v>
      </c>
      <c r="F1447" s="264" t="s">
        <v>2041</v>
      </c>
      <c r="G1447" s="264" t="s">
        <v>26</v>
      </c>
      <c r="H1447" s="266">
        <v>112.5</v>
      </c>
      <c r="I1447" s="266">
        <v>0</v>
      </c>
      <c r="J1447" s="264" t="s">
        <v>1174</v>
      </c>
      <c r="K1447" s="264" t="s">
        <v>2025</v>
      </c>
      <c r="L1447" s="1" t="str">
        <f>VLOOKUP(Advices[[#This Row],[LC Number]],'Combine_List'!A:D,2,0)</f>
        <v>United Park Co.</v>
      </c>
      <c r="M1447" s="447" t="str">
        <f>VLOOKUP(Advices[[#This Row],[LC Number]],'Combine_List'!A:D,3,0)</f>
        <v>FIRST FIX</v>
      </c>
      <c r="N1447" s="447" t="str">
        <f>VLOOKUP(Advices[[#This Row],[LC Number]],'Combine_List'!A:D,4,0)</f>
        <v>RCRC</v>
      </c>
      <c r="O1447" s="1"/>
      <c r="P1447" s="1">
        <f>MONTH(Advices[[#This Row],[Transaction Date]])</f>
        <v>1</v>
      </c>
      <c r="Q1447" s="1">
        <f>YEAR(Advices[[#This Row],[Transaction Date]])</f>
        <v>2026</v>
      </c>
      <c r="R1447" s="1"/>
    </row>
    <row r="1448" spans="1:18" hidden="1" x14ac:dyDescent="0.25">
      <c r="A1448" s="264" t="s">
        <v>612</v>
      </c>
      <c r="B1448" s="265">
        <v>46033</v>
      </c>
      <c r="C1448" s="264" t="s">
        <v>2101</v>
      </c>
      <c r="D1448" s="264" t="s">
        <v>3605</v>
      </c>
      <c r="E1448" s="264" t="s">
        <v>3569</v>
      </c>
      <c r="F1448" s="264" t="s">
        <v>2041</v>
      </c>
      <c r="G1448" s="264" t="s">
        <v>26</v>
      </c>
      <c r="H1448" s="266">
        <v>276.62</v>
      </c>
      <c r="I1448" s="266">
        <v>0</v>
      </c>
      <c r="J1448" s="264" t="s">
        <v>2616</v>
      </c>
      <c r="K1448" s="264" t="s">
        <v>2025</v>
      </c>
      <c r="L1448" s="1" t="str">
        <f>VLOOKUP(Advices[[#This Row],[LC Number]],'Combine_List'!A:D,2,0)</f>
        <v>United Park Co.</v>
      </c>
      <c r="M1448" s="447" t="str">
        <f>VLOOKUP(Advices[[#This Row],[LC Number]],'Combine_List'!A:D,3,0)</f>
        <v>FIRST FIX</v>
      </c>
      <c r="N1448" s="447" t="str">
        <f>VLOOKUP(Advices[[#This Row],[LC Number]],'Combine_List'!A:D,4,0)</f>
        <v>RCRC</v>
      </c>
      <c r="O1448" s="1"/>
      <c r="P1448" s="1">
        <f>MONTH(Advices[[#This Row],[Transaction Date]])</f>
        <v>1</v>
      </c>
      <c r="Q1448" s="1">
        <f>YEAR(Advices[[#This Row],[Transaction Date]])</f>
        <v>2026</v>
      </c>
      <c r="R1448" s="1"/>
    </row>
    <row r="1449" spans="1:18" hidden="1" x14ac:dyDescent="0.25">
      <c r="A1449" s="264" t="s">
        <v>612</v>
      </c>
      <c r="B1449" s="265">
        <v>46033</v>
      </c>
      <c r="C1449" s="264" t="s">
        <v>2101</v>
      </c>
      <c r="D1449" s="264" t="s">
        <v>3606</v>
      </c>
      <c r="E1449" s="264" t="s">
        <v>3569</v>
      </c>
      <c r="F1449" s="264" t="s">
        <v>2041</v>
      </c>
      <c r="G1449" s="264" t="s">
        <v>26</v>
      </c>
      <c r="H1449" s="266">
        <v>41.49</v>
      </c>
      <c r="I1449" s="266">
        <v>0</v>
      </c>
      <c r="J1449" s="264" t="s">
        <v>1174</v>
      </c>
      <c r="K1449" s="264" t="s">
        <v>2025</v>
      </c>
      <c r="L1449" s="1" t="str">
        <f>VLOOKUP(Advices[[#This Row],[LC Number]],'Combine_List'!A:D,2,0)</f>
        <v>United Park Co.</v>
      </c>
      <c r="M1449" s="447" t="str">
        <f>VLOOKUP(Advices[[#This Row],[LC Number]],'Combine_List'!A:D,3,0)</f>
        <v>FIRST FIX</v>
      </c>
      <c r="N1449" s="447" t="str">
        <f>VLOOKUP(Advices[[#This Row],[LC Number]],'Combine_List'!A:D,4,0)</f>
        <v>RCRC</v>
      </c>
      <c r="O1449" s="1"/>
      <c r="P1449" s="1">
        <f>MONTH(Advices[[#This Row],[Transaction Date]])</f>
        <v>1</v>
      </c>
      <c r="Q1449" s="1">
        <f>YEAR(Advices[[#This Row],[Transaction Date]])</f>
        <v>2026</v>
      </c>
      <c r="R1449" s="1"/>
    </row>
    <row r="1450" spans="1:18" hidden="1" x14ac:dyDescent="0.25">
      <c r="A1450" s="264" t="s">
        <v>612</v>
      </c>
      <c r="B1450" s="265">
        <v>46033</v>
      </c>
      <c r="C1450" s="264" t="s">
        <v>2101</v>
      </c>
      <c r="D1450" s="264" t="s">
        <v>3607</v>
      </c>
      <c r="E1450" s="264" t="s">
        <v>3569</v>
      </c>
      <c r="F1450" s="264" t="s">
        <v>2041</v>
      </c>
      <c r="G1450" s="264" t="s">
        <v>26</v>
      </c>
      <c r="H1450" s="266">
        <v>200</v>
      </c>
      <c r="I1450" s="266">
        <v>0</v>
      </c>
      <c r="J1450" s="264" t="s">
        <v>2616</v>
      </c>
      <c r="K1450" s="264" t="s">
        <v>2025</v>
      </c>
      <c r="L1450" s="1" t="str">
        <f>VLOOKUP(Advices[[#This Row],[LC Number]],'Combine_List'!A:D,2,0)</f>
        <v>United Park Co.</v>
      </c>
      <c r="M1450" s="447" t="str">
        <f>VLOOKUP(Advices[[#This Row],[LC Number]],'Combine_List'!A:D,3,0)</f>
        <v>FIRST FIX</v>
      </c>
      <c r="N1450" s="447" t="str">
        <f>VLOOKUP(Advices[[#This Row],[LC Number]],'Combine_List'!A:D,4,0)</f>
        <v>RCRC</v>
      </c>
      <c r="O1450" s="1"/>
      <c r="P1450" s="1">
        <f>MONTH(Advices[[#This Row],[Transaction Date]])</f>
        <v>1</v>
      </c>
      <c r="Q1450" s="1">
        <f>YEAR(Advices[[#This Row],[Transaction Date]])</f>
        <v>2026</v>
      </c>
      <c r="R1450" s="1"/>
    </row>
    <row r="1451" spans="1:18" hidden="1" x14ac:dyDescent="0.25">
      <c r="A1451" s="264" t="s">
        <v>612</v>
      </c>
      <c r="B1451" s="265">
        <v>46033</v>
      </c>
      <c r="C1451" s="264" t="s">
        <v>2101</v>
      </c>
      <c r="D1451" s="264" t="s">
        <v>3608</v>
      </c>
      <c r="E1451" s="264" t="s">
        <v>3569</v>
      </c>
      <c r="F1451" s="264" t="s">
        <v>2041</v>
      </c>
      <c r="G1451" s="264" t="s">
        <v>26</v>
      </c>
      <c r="H1451" s="266">
        <v>30</v>
      </c>
      <c r="I1451" s="266">
        <v>0</v>
      </c>
      <c r="J1451" s="264" t="s">
        <v>1174</v>
      </c>
      <c r="K1451" s="264" t="s">
        <v>2025</v>
      </c>
      <c r="L1451" s="1" t="str">
        <f>VLOOKUP(Advices[[#This Row],[LC Number]],'Combine_List'!A:D,2,0)</f>
        <v>United Park Co.</v>
      </c>
      <c r="M1451" s="447" t="str">
        <f>VLOOKUP(Advices[[#This Row],[LC Number]],'Combine_List'!A:D,3,0)</f>
        <v>FIRST FIX</v>
      </c>
      <c r="N1451" s="447" t="str">
        <f>VLOOKUP(Advices[[#This Row],[LC Number]],'Combine_List'!A:D,4,0)</f>
        <v>RCRC</v>
      </c>
      <c r="O1451" s="1"/>
      <c r="P1451" s="1">
        <f>MONTH(Advices[[#This Row],[Transaction Date]])</f>
        <v>1</v>
      </c>
      <c r="Q1451" s="1">
        <f>YEAR(Advices[[#This Row],[Transaction Date]])</f>
        <v>2026</v>
      </c>
      <c r="R1451" s="1"/>
    </row>
    <row r="1452" spans="1:18" hidden="1" x14ac:dyDescent="0.25">
      <c r="A1452" s="264" t="s">
        <v>612</v>
      </c>
      <c r="B1452" s="265">
        <v>46033</v>
      </c>
      <c r="C1452" s="264" t="s">
        <v>2101</v>
      </c>
      <c r="D1452" s="264" t="s">
        <v>3609</v>
      </c>
      <c r="E1452" s="264" t="s">
        <v>3568</v>
      </c>
      <c r="F1452" s="264" t="s">
        <v>2041</v>
      </c>
      <c r="G1452" s="264" t="s">
        <v>26</v>
      </c>
      <c r="H1452" s="266">
        <v>524.69000000000005</v>
      </c>
      <c r="I1452" s="266">
        <v>0</v>
      </c>
      <c r="J1452" s="264" t="s">
        <v>1111</v>
      </c>
      <c r="K1452" s="264" t="s">
        <v>2025</v>
      </c>
      <c r="L1452" s="1" t="str">
        <f>VLOOKUP(Advices[[#This Row],[LC Number]],'Combine_List'!A:D,2,0)</f>
        <v xml:space="preserve">Al Wasail Industrial Co </v>
      </c>
      <c r="M1452" s="447" t="str">
        <f>VLOOKUP(Advices[[#This Row],[LC Number]],'Combine_List'!A:D,3,0)</f>
        <v>FIRST FIX</v>
      </c>
      <c r="N1452" s="447" t="str">
        <f>VLOOKUP(Advices[[#This Row],[LC Number]],'Combine_List'!A:D,4,0)</f>
        <v>RCRC</v>
      </c>
      <c r="O1452" s="1"/>
      <c r="P1452" s="1">
        <f>MONTH(Advices[[#This Row],[Transaction Date]])</f>
        <v>1</v>
      </c>
      <c r="Q1452" s="1">
        <f>YEAR(Advices[[#This Row],[Transaction Date]])</f>
        <v>2026</v>
      </c>
      <c r="R1452" s="1"/>
    </row>
    <row r="1453" spans="1:18" hidden="1" x14ac:dyDescent="0.25">
      <c r="A1453" s="264" t="s">
        <v>612</v>
      </c>
      <c r="B1453" s="265">
        <v>46033</v>
      </c>
      <c r="C1453" s="264" t="s">
        <v>2101</v>
      </c>
      <c r="D1453" s="264" t="s">
        <v>3610</v>
      </c>
      <c r="E1453" s="264" t="s">
        <v>3568</v>
      </c>
      <c r="F1453" s="264" t="s">
        <v>2041</v>
      </c>
      <c r="G1453" s="264" t="s">
        <v>26</v>
      </c>
      <c r="H1453" s="266">
        <v>78.7</v>
      </c>
      <c r="I1453" s="266">
        <v>0</v>
      </c>
      <c r="J1453" s="264" t="s">
        <v>1174</v>
      </c>
      <c r="K1453" s="264" t="s">
        <v>2025</v>
      </c>
      <c r="L1453" s="1" t="str">
        <f>VLOOKUP(Advices[[#This Row],[LC Number]],'Combine_List'!A:D,2,0)</f>
        <v xml:space="preserve">Al Wasail Industrial Co </v>
      </c>
      <c r="M1453" s="447" t="str">
        <f>VLOOKUP(Advices[[#This Row],[LC Number]],'Combine_List'!A:D,3,0)</f>
        <v>FIRST FIX</v>
      </c>
      <c r="N1453" s="447" t="str">
        <f>VLOOKUP(Advices[[#This Row],[LC Number]],'Combine_List'!A:D,4,0)</f>
        <v>RCRC</v>
      </c>
      <c r="O1453" s="1"/>
      <c r="P1453" s="1">
        <f>MONTH(Advices[[#This Row],[Transaction Date]])</f>
        <v>1</v>
      </c>
      <c r="Q1453" s="1">
        <f>YEAR(Advices[[#This Row],[Transaction Date]])</f>
        <v>2026</v>
      </c>
      <c r="R1453" s="1"/>
    </row>
    <row r="1454" spans="1:18" hidden="1" x14ac:dyDescent="0.25">
      <c r="A1454" s="264" t="s">
        <v>612</v>
      </c>
      <c r="B1454" s="265">
        <v>46033</v>
      </c>
      <c r="C1454" s="264" t="s">
        <v>2101</v>
      </c>
      <c r="D1454" s="264" t="s">
        <v>3611</v>
      </c>
      <c r="E1454" s="264" t="s">
        <v>3568</v>
      </c>
      <c r="F1454" s="264" t="s">
        <v>2041</v>
      </c>
      <c r="G1454" s="264" t="s">
        <v>26</v>
      </c>
      <c r="H1454" s="266">
        <v>750</v>
      </c>
      <c r="I1454" s="266">
        <v>0</v>
      </c>
      <c r="J1454" s="264" t="s">
        <v>2616</v>
      </c>
      <c r="K1454" s="264" t="s">
        <v>2025</v>
      </c>
      <c r="L1454" s="1" t="str">
        <f>VLOOKUP(Advices[[#This Row],[LC Number]],'Combine_List'!A:D,2,0)</f>
        <v xml:space="preserve">Al Wasail Industrial Co </v>
      </c>
      <c r="M1454" s="447" t="str">
        <f>VLOOKUP(Advices[[#This Row],[LC Number]],'Combine_List'!A:D,3,0)</f>
        <v>FIRST FIX</v>
      </c>
      <c r="N1454" s="447" t="str">
        <f>VLOOKUP(Advices[[#This Row],[LC Number]],'Combine_List'!A:D,4,0)</f>
        <v>RCRC</v>
      </c>
      <c r="O1454" s="1"/>
      <c r="P1454" s="1">
        <f>MONTH(Advices[[#This Row],[Transaction Date]])</f>
        <v>1</v>
      </c>
      <c r="Q1454" s="1">
        <f>YEAR(Advices[[#This Row],[Transaction Date]])</f>
        <v>2026</v>
      </c>
      <c r="R1454" s="1"/>
    </row>
    <row r="1455" spans="1:18" hidden="1" x14ac:dyDescent="0.25">
      <c r="A1455" s="264" t="s">
        <v>612</v>
      </c>
      <c r="B1455" s="265">
        <v>46033</v>
      </c>
      <c r="C1455" s="264" t="s">
        <v>2101</v>
      </c>
      <c r="D1455" s="264" t="s">
        <v>3612</v>
      </c>
      <c r="E1455" s="264" t="s">
        <v>3568</v>
      </c>
      <c r="F1455" s="264" t="s">
        <v>2041</v>
      </c>
      <c r="G1455" s="264" t="s">
        <v>26</v>
      </c>
      <c r="H1455" s="266">
        <v>112.5</v>
      </c>
      <c r="I1455" s="266">
        <v>0</v>
      </c>
      <c r="J1455" s="264" t="s">
        <v>1174</v>
      </c>
      <c r="K1455" s="264" t="s">
        <v>2025</v>
      </c>
      <c r="L1455" s="1" t="str">
        <f>VLOOKUP(Advices[[#This Row],[LC Number]],'Combine_List'!A:D,2,0)</f>
        <v xml:space="preserve">Al Wasail Industrial Co </v>
      </c>
      <c r="M1455" s="447" t="str">
        <f>VLOOKUP(Advices[[#This Row],[LC Number]],'Combine_List'!A:D,3,0)</f>
        <v>FIRST FIX</v>
      </c>
      <c r="N1455" s="447" t="str">
        <f>VLOOKUP(Advices[[#This Row],[LC Number]],'Combine_List'!A:D,4,0)</f>
        <v>RCRC</v>
      </c>
      <c r="O1455" s="1"/>
      <c r="P1455" s="1">
        <f>MONTH(Advices[[#This Row],[Transaction Date]])</f>
        <v>1</v>
      </c>
      <c r="Q1455" s="1">
        <f>YEAR(Advices[[#This Row],[Transaction Date]])</f>
        <v>2026</v>
      </c>
      <c r="R1455" s="1"/>
    </row>
    <row r="1456" spans="1:18" hidden="1" x14ac:dyDescent="0.25">
      <c r="A1456" s="264" t="s">
        <v>612</v>
      </c>
      <c r="B1456" s="265">
        <v>46033</v>
      </c>
      <c r="C1456" s="264" t="s">
        <v>2101</v>
      </c>
      <c r="D1456" s="264" t="s">
        <v>3613</v>
      </c>
      <c r="E1456" s="264" t="s">
        <v>3568</v>
      </c>
      <c r="F1456" s="264" t="s">
        <v>2041</v>
      </c>
      <c r="G1456" s="264" t="s">
        <v>26</v>
      </c>
      <c r="H1456" s="266">
        <v>230.28</v>
      </c>
      <c r="I1456" s="266">
        <v>0</v>
      </c>
      <c r="J1456" s="264" t="s">
        <v>2616</v>
      </c>
      <c r="K1456" s="264" t="s">
        <v>2025</v>
      </c>
      <c r="L1456" s="1" t="str">
        <f>VLOOKUP(Advices[[#This Row],[LC Number]],'Combine_List'!A:D,2,0)</f>
        <v xml:space="preserve">Al Wasail Industrial Co </v>
      </c>
      <c r="M1456" s="447" t="str">
        <f>VLOOKUP(Advices[[#This Row],[LC Number]],'Combine_List'!A:D,3,0)</f>
        <v>FIRST FIX</v>
      </c>
      <c r="N1456" s="447" t="str">
        <f>VLOOKUP(Advices[[#This Row],[LC Number]],'Combine_List'!A:D,4,0)</f>
        <v>RCRC</v>
      </c>
      <c r="O1456" s="1"/>
      <c r="P1456" s="1">
        <f>MONTH(Advices[[#This Row],[Transaction Date]])</f>
        <v>1</v>
      </c>
      <c r="Q1456" s="1">
        <f>YEAR(Advices[[#This Row],[Transaction Date]])</f>
        <v>2026</v>
      </c>
      <c r="R1456" s="1"/>
    </row>
    <row r="1457" spans="1:18" hidden="1" x14ac:dyDescent="0.25">
      <c r="A1457" s="264" t="s">
        <v>612</v>
      </c>
      <c r="B1457" s="265">
        <v>46033</v>
      </c>
      <c r="C1457" s="264" t="s">
        <v>2101</v>
      </c>
      <c r="D1457" s="264" t="s">
        <v>3614</v>
      </c>
      <c r="E1457" s="264" t="s">
        <v>3568</v>
      </c>
      <c r="F1457" s="264" t="s">
        <v>2041</v>
      </c>
      <c r="G1457" s="264" t="s">
        <v>26</v>
      </c>
      <c r="H1457" s="266">
        <v>34.54</v>
      </c>
      <c r="I1457" s="266">
        <v>0</v>
      </c>
      <c r="J1457" s="264" t="s">
        <v>1174</v>
      </c>
      <c r="K1457" s="264" t="s">
        <v>2025</v>
      </c>
      <c r="L1457" s="1" t="str">
        <f>VLOOKUP(Advices[[#This Row],[LC Number]],'Combine_List'!A:D,2,0)</f>
        <v xml:space="preserve">Al Wasail Industrial Co </v>
      </c>
      <c r="M1457" s="447" t="str">
        <f>VLOOKUP(Advices[[#This Row],[LC Number]],'Combine_List'!A:D,3,0)</f>
        <v>FIRST FIX</v>
      </c>
      <c r="N1457" s="447" t="str">
        <f>VLOOKUP(Advices[[#This Row],[LC Number]],'Combine_List'!A:D,4,0)</f>
        <v>RCRC</v>
      </c>
      <c r="O1457" s="1"/>
      <c r="P1457" s="1">
        <f>MONTH(Advices[[#This Row],[Transaction Date]])</f>
        <v>1</v>
      </c>
      <c r="Q1457" s="1">
        <f>YEAR(Advices[[#This Row],[Transaction Date]])</f>
        <v>2026</v>
      </c>
      <c r="R1457" s="1"/>
    </row>
    <row r="1458" spans="1:18" hidden="1" x14ac:dyDescent="0.25">
      <c r="A1458" s="264" t="s">
        <v>612</v>
      </c>
      <c r="B1458" s="265">
        <v>46033</v>
      </c>
      <c r="C1458" s="264" t="s">
        <v>2101</v>
      </c>
      <c r="D1458" s="264" t="s">
        <v>3615</v>
      </c>
      <c r="E1458" s="264" t="s">
        <v>3568</v>
      </c>
      <c r="F1458" s="264" t="s">
        <v>2041</v>
      </c>
      <c r="G1458" s="264" t="s">
        <v>26</v>
      </c>
      <c r="H1458" s="266">
        <v>200</v>
      </c>
      <c r="I1458" s="266">
        <v>0</v>
      </c>
      <c r="J1458" s="264" t="s">
        <v>2616</v>
      </c>
      <c r="K1458" s="264" t="s">
        <v>2025</v>
      </c>
      <c r="L1458" s="1" t="str">
        <f>VLOOKUP(Advices[[#This Row],[LC Number]],'Combine_List'!A:D,2,0)</f>
        <v xml:space="preserve">Al Wasail Industrial Co </v>
      </c>
      <c r="M1458" s="447" t="str">
        <f>VLOOKUP(Advices[[#This Row],[LC Number]],'Combine_List'!A:D,3,0)</f>
        <v>FIRST FIX</v>
      </c>
      <c r="N1458" s="447" t="str">
        <f>VLOOKUP(Advices[[#This Row],[LC Number]],'Combine_List'!A:D,4,0)</f>
        <v>RCRC</v>
      </c>
      <c r="O1458" s="1"/>
      <c r="P1458" s="1">
        <f>MONTH(Advices[[#This Row],[Transaction Date]])</f>
        <v>1</v>
      </c>
      <c r="Q1458" s="1">
        <f>YEAR(Advices[[#This Row],[Transaction Date]])</f>
        <v>2026</v>
      </c>
      <c r="R1458" s="1"/>
    </row>
    <row r="1459" spans="1:18" hidden="1" x14ac:dyDescent="0.25">
      <c r="A1459" s="264" t="s">
        <v>612</v>
      </c>
      <c r="B1459" s="265">
        <v>46033</v>
      </c>
      <c r="C1459" s="264" t="s">
        <v>2101</v>
      </c>
      <c r="D1459" s="264" t="s">
        <v>3616</v>
      </c>
      <c r="E1459" s="264" t="s">
        <v>3568</v>
      </c>
      <c r="F1459" s="264" t="s">
        <v>2041</v>
      </c>
      <c r="G1459" s="264" t="s">
        <v>26</v>
      </c>
      <c r="H1459" s="266">
        <v>30</v>
      </c>
      <c r="I1459" s="266">
        <v>0</v>
      </c>
      <c r="J1459" s="264" t="s">
        <v>1174</v>
      </c>
      <c r="K1459" s="264" t="s">
        <v>2025</v>
      </c>
      <c r="L1459" s="1" t="str">
        <f>VLOOKUP(Advices[[#This Row],[LC Number]],'Combine_List'!A:D,2,0)</f>
        <v xml:space="preserve">Al Wasail Industrial Co </v>
      </c>
      <c r="M1459" s="447" t="str">
        <f>VLOOKUP(Advices[[#This Row],[LC Number]],'Combine_List'!A:D,3,0)</f>
        <v>FIRST FIX</v>
      </c>
      <c r="N1459" s="447" t="str">
        <f>VLOOKUP(Advices[[#This Row],[LC Number]],'Combine_List'!A:D,4,0)</f>
        <v>RCRC</v>
      </c>
      <c r="O1459" s="264"/>
      <c r="P1459" s="264">
        <f>MONTH(Advices[[#This Row],[Transaction Date]])</f>
        <v>1</v>
      </c>
      <c r="Q1459" s="264">
        <f>YEAR(Advices[[#This Row],[Transaction Date]])</f>
        <v>2026</v>
      </c>
      <c r="R1459" s="1"/>
    </row>
    <row r="1460" spans="1:18" x14ac:dyDescent="0.25">
      <c r="A1460" s="264" t="s">
        <v>21</v>
      </c>
      <c r="B1460" s="265">
        <v>46034</v>
      </c>
      <c r="C1460" s="264" t="s">
        <v>1951</v>
      </c>
      <c r="D1460" s="264" t="s">
        <v>1952</v>
      </c>
      <c r="E1460" s="264" t="s">
        <v>1312</v>
      </c>
      <c r="F1460" s="264" t="s">
        <v>3628</v>
      </c>
      <c r="G1460" s="264" t="s">
        <v>26</v>
      </c>
      <c r="H1460" s="266">
        <v>187.5</v>
      </c>
      <c r="I1460" s="266">
        <v>0</v>
      </c>
      <c r="J1460" s="264" t="s">
        <v>1174</v>
      </c>
      <c r="K1460" s="264" t="s">
        <v>2025</v>
      </c>
      <c r="L1460" s="1" t="str">
        <f>VLOOKUP(Advices[[#This Row],[LC Number]],'Combine_List'!A:D,2,0)</f>
        <v>ALBYT ALTHAKI TRADING CO</v>
      </c>
      <c r="M1460" s="447" t="str">
        <f>VLOOKUP(Advices[[#This Row],[LC Number]],'Combine_List'!A:D,3,0)</f>
        <v>FIRST FIX</v>
      </c>
      <c r="N1460" s="447" t="str">
        <f>VLOOKUP(Advices[[#This Row],[LC Number]],'Combine_List'!A:D,4,0)</f>
        <v>KSP</v>
      </c>
      <c r="O1460" s="1"/>
      <c r="P1460" s="1">
        <f>MONTH(Advices[[#This Row],[Transaction Date]])</f>
        <v>1</v>
      </c>
      <c r="Q1460" s="1">
        <f>YEAR(Advices[[#This Row],[Transaction Date]])</f>
        <v>2026</v>
      </c>
      <c r="R1460" s="1"/>
    </row>
    <row r="1461" spans="1:18" x14ac:dyDescent="0.25">
      <c r="A1461" s="264" t="s">
        <v>21</v>
      </c>
      <c r="B1461" s="265">
        <v>46034</v>
      </c>
      <c r="C1461" s="264" t="s">
        <v>1951</v>
      </c>
      <c r="D1461" s="264" t="s">
        <v>3629</v>
      </c>
      <c r="E1461" s="264" t="s">
        <v>1312</v>
      </c>
      <c r="F1461" s="264" t="s">
        <v>3628</v>
      </c>
      <c r="G1461" s="264" t="s">
        <v>26</v>
      </c>
      <c r="H1461" s="266">
        <v>1250</v>
      </c>
      <c r="I1461" s="266">
        <v>0</v>
      </c>
      <c r="J1461" s="264" t="s">
        <v>1125</v>
      </c>
      <c r="K1461" s="264" t="s">
        <v>2025</v>
      </c>
      <c r="L1461" s="1" t="str">
        <f>VLOOKUP(Advices[[#This Row],[LC Number]],'Combine_List'!A:D,2,0)</f>
        <v>ALBYT ALTHAKI TRADING CO</v>
      </c>
      <c r="M1461" s="447" t="str">
        <f>VLOOKUP(Advices[[#This Row],[LC Number]],'Combine_List'!A:D,3,0)</f>
        <v>FIRST FIX</v>
      </c>
      <c r="N1461" s="447" t="str">
        <f>VLOOKUP(Advices[[#This Row],[LC Number]],'Combine_List'!A:D,4,0)</f>
        <v>KSP</v>
      </c>
      <c r="O1461" s="1"/>
      <c r="P1461" s="1">
        <f>MONTH(Advices[[#This Row],[Transaction Date]])</f>
        <v>1</v>
      </c>
      <c r="Q1461" s="1">
        <f>YEAR(Advices[[#This Row],[Transaction Date]])</f>
        <v>2026</v>
      </c>
      <c r="R1461" s="1"/>
    </row>
    <row r="1462" spans="1:18" x14ac:dyDescent="0.25">
      <c r="A1462" s="264" t="s">
        <v>21</v>
      </c>
      <c r="B1462" s="265">
        <v>46034</v>
      </c>
      <c r="C1462" s="264" t="s">
        <v>1951</v>
      </c>
      <c r="D1462" s="264" t="s">
        <v>1952</v>
      </c>
      <c r="E1462" s="264" t="s">
        <v>1400</v>
      </c>
      <c r="F1462" s="264" t="s">
        <v>3630</v>
      </c>
      <c r="G1462" s="264" t="s">
        <v>26</v>
      </c>
      <c r="H1462" s="266">
        <v>187.5</v>
      </c>
      <c r="I1462" s="266">
        <v>0</v>
      </c>
      <c r="J1462" s="264" t="s">
        <v>1174</v>
      </c>
      <c r="K1462" s="264" t="s">
        <v>2025</v>
      </c>
      <c r="L1462" s="1" t="str">
        <f>VLOOKUP(Advices[[#This Row],[LC Number]],'Combine_List'!A:D,2,0)</f>
        <v>ALBYT ALTHAKI TRADING CO</v>
      </c>
      <c r="M1462" s="447" t="str">
        <f>VLOOKUP(Advices[[#This Row],[LC Number]],'Combine_List'!A:D,3,0)</f>
        <v>FIRST FIX</v>
      </c>
      <c r="N1462" s="447" t="str">
        <f>VLOOKUP(Advices[[#This Row],[LC Number]],'Combine_List'!A:D,4,0)</f>
        <v>KSP</v>
      </c>
      <c r="O1462" s="1"/>
      <c r="P1462" s="1">
        <f>MONTH(Advices[[#This Row],[Transaction Date]])</f>
        <v>1</v>
      </c>
      <c r="Q1462" s="1">
        <f>YEAR(Advices[[#This Row],[Transaction Date]])</f>
        <v>2026</v>
      </c>
      <c r="R1462" s="1"/>
    </row>
    <row r="1463" spans="1:18" x14ac:dyDescent="0.25">
      <c r="A1463" s="264" t="s">
        <v>21</v>
      </c>
      <c r="B1463" s="265">
        <v>46034</v>
      </c>
      <c r="C1463" s="264" t="s">
        <v>1951</v>
      </c>
      <c r="D1463" s="264" t="s">
        <v>3631</v>
      </c>
      <c r="E1463" s="264" t="s">
        <v>1400</v>
      </c>
      <c r="F1463" s="264" t="s">
        <v>3630</v>
      </c>
      <c r="G1463" s="264" t="s">
        <v>26</v>
      </c>
      <c r="H1463" s="266">
        <v>1250</v>
      </c>
      <c r="I1463" s="266">
        <v>0</v>
      </c>
      <c r="J1463" s="264" t="s">
        <v>1125</v>
      </c>
      <c r="K1463" s="264" t="s">
        <v>2025</v>
      </c>
      <c r="L1463" s="1" t="str">
        <f>VLOOKUP(Advices[[#This Row],[LC Number]],'Combine_List'!A:D,2,0)</f>
        <v>ALBYT ALTHAKI TRADING CO</v>
      </c>
      <c r="M1463" s="447" t="str">
        <f>VLOOKUP(Advices[[#This Row],[LC Number]],'Combine_List'!A:D,3,0)</f>
        <v>FIRST FIX</v>
      </c>
      <c r="N1463" s="447" t="str">
        <f>VLOOKUP(Advices[[#This Row],[LC Number]],'Combine_List'!A:D,4,0)</f>
        <v>KSP</v>
      </c>
      <c r="O1463" s="264"/>
      <c r="P1463" s="264">
        <f>MONTH(Advices[[#This Row],[Transaction Date]])</f>
        <v>1</v>
      </c>
      <c r="Q1463" s="264">
        <f>YEAR(Advices[[#This Row],[Transaction Date]])</f>
        <v>2026</v>
      </c>
      <c r="R1463" s="1"/>
    </row>
    <row r="1464" spans="1:18" hidden="1" x14ac:dyDescent="0.25">
      <c r="A1464" s="264" t="s">
        <v>62</v>
      </c>
      <c r="B1464" s="265">
        <v>46034</v>
      </c>
      <c r="C1464" s="264" t="s">
        <v>2039</v>
      </c>
      <c r="D1464" s="264" t="s">
        <v>3632</v>
      </c>
      <c r="E1464" s="1" t="s">
        <v>1934</v>
      </c>
      <c r="F1464" s="264" t="s">
        <v>2041</v>
      </c>
      <c r="G1464" s="264" t="s">
        <v>26</v>
      </c>
      <c r="H1464" s="266">
        <v>959062.35</v>
      </c>
      <c r="I1464" s="266">
        <v>0</v>
      </c>
      <c r="J1464" s="264" t="s">
        <v>1126</v>
      </c>
      <c r="K1464" s="264" t="s">
        <v>2025</v>
      </c>
      <c r="L1464" s="1" t="str">
        <f>VLOOKUP(Advices[[#This Row],[LC Number]],'Combine_List'!A:D,2,0)</f>
        <v>Mat Filtrasyon Teknolojeleri A.S</v>
      </c>
      <c r="M1464" s="447" t="str">
        <f>VLOOKUP(Advices[[#This Row],[LC Number]],'Combine_List'!A:D,3,0)</f>
        <v>MBL</v>
      </c>
      <c r="N1464" s="447" t="str">
        <f>VLOOKUP(Advices[[#This Row],[LC Number]],'Combine_List'!A:D,4,0)</f>
        <v>Oceanarium</v>
      </c>
      <c r="O1464" s="447">
        <f>VLOOKUP(Advices[[#This Row],[LC Number]],'Combine_List'!A:E,5,0)</f>
        <v>1020096</v>
      </c>
      <c r="P1464" s="447">
        <f>MONTH(Advices[[#This Row],[Transaction Date]])</f>
        <v>1</v>
      </c>
      <c r="Q1464" s="447">
        <f>YEAR(Advices[[#This Row],[Transaction Date]])</f>
        <v>2026</v>
      </c>
      <c r="R1464" s="1"/>
    </row>
    <row r="1465" spans="1:18" hidden="1" x14ac:dyDescent="0.25">
      <c r="A1465" s="264" t="s">
        <v>612</v>
      </c>
      <c r="B1465" s="265">
        <v>46034</v>
      </c>
      <c r="C1465" s="264" t="s">
        <v>2101</v>
      </c>
      <c r="D1465" s="264" t="s">
        <v>3633</v>
      </c>
      <c r="E1465" s="264" t="s">
        <v>694</v>
      </c>
      <c r="F1465" s="264" t="s">
        <v>2041</v>
      </c>
      <c r="G1465" s="264" t="s">
        <v>26</v>
      </c>
      <c r="H1465" s="266">
        <v>119761.29</v>
      </c>
      <c r="I1465" s="266">
        <v>0</v>
      </c>
      <c r="J1465" s="264" t="s">
        <v>1126</v>
      </c>
      <c r="K1465" s="264" t="s">
        <v>2025</v>
      </c>
      <c r="L1465" s="1" t="str">
        <f>VLOOKUP(Advices[[#This Row],[LC Number]],'Combine_List'!A:D,2,0)</f>
        <v>MOHAMMED RAMADAN SHAT FACTORY FOR METAL</v>
      </c>
      <c r="M1465" s="447" t="str">
        <f>VLOOKUP(Advices[[#This Row],[LC Number]],'Combine_List'!A:D,3,0)</f>
        <v>FIRST FIX</v>
      </c>
      <c r="N1465" s="447" t="str">
        <f>VLOOKUP(Advices[[#This Row],[LC Number]],'Combine_List'!A:D,4,0)</f>
        <v>RCRC</v>
      </c>
      <c r="O1465" s="1"/>
      <c r="P1465" s="1">
        <f>MONTH(Advices[[#This Row],[Transaction Date]])</f>
        <v>1</v>
      </c>
      <c r="Q1465" s="1">
        <f>YEAR(Advices[[#This Row],[Transaction Date]])</f>
        <v>2026</v>
      </c>
      <c r="R1465" s="1"/>
    </row>
    <row r="1466" spans="1:18" hidden="1" x14ac:dyDescent="0.25">
      <c r="A1466" s="264" t="s">
        <v>612</v>
      </c>
      <c r="B1466" s="265">
        <v>46034</v>
      </c>
      <c r="C1466" s="264" t="s">
        <v>2101</v>
      </c>
      <c r="D1466" s="264" t="s">
        <v>3634</v>
      </c>
      <c r="E1466" s="264" t="s">
        <v>723</v>
      </c>
      <c r="F1466" s="264" t="s">
        <v>2041</v>
      </c>
      <c r="G1466" s="264" t="s">
        <v>26</v>
      </c>
      <c r="H1466" s="266">
        <v>100</v>
      </c>
      <c r="I1466" s="266">
        <v>0</v>
      </c>
      <c r="J1466" s="264" t="s">
        <v>1125</v>
      </c>
      <c r="K1466" s="264" t="s">
        <v>2025</v>
      </c>
      <c r="L1466" s="1" t="str">
        <f>VLOOKUP(Advices[[#This Row],[LC Number]],'Combine_List'!A:D,2,0)</f>
        <v>UNITED PARK CO</v>
      </c>
      <c r="M1466" s="447" t="str">
        <f>VLOOKUP(Advices[[#This Row],[LC Number]],'Combine_List'!A:D,3,0)</f>
        <v>FIRST FIX</v>
      </c>
      <c r="N1466" s="447" t="str">
        <f>VLOOKUP(Advices[[#This Row],[LC Number]],'Combine_List'!A:D,4,0)</f>
        <v>RCRC</v>
      </c>
      <c r="O1466" s="1"/>
      <c r="P1466" s="1">
        <f>MONTH(Advices[[#This Row],[Transaction Date]])</f>
        <v>1</v>
      </c>
      <c r="Q1466" s="1">
        <f>YEAR(Advices[[#This Row],[Transaction Date]])</f>
        <v>2026</v>
      </c>
      <c r="R1466" s="1"/>
    </row>
    <row r="1467" spans="1:18" hidden="1" x14ac:dyDescent="0.25">
      <c r="A1467" s="264" t="s">
        <v>612</v>
      </c>
      <c r="B1467" s="265">
        <v>46034</v>
      </c>
      <c r="C1467" s="264" t="s">
        <v>2101</v>
      </c>
      <c r="D1467" s="264" t="s">
        <v>3635</v>
      </c>
      <c r="E1467" s="264" t="s">
        <v>723</v>
      </c>
      <c r="F1467" s="264" t="s">
        <v>2041</v>
      </c>
      <c r="G1467" s="264" t="s">
        <v>26</v>
      </c>
      <c r="H1467" s="266">
        <v>15</v>
      </c>
      <c r="I1467" s="266">
        <v>0</v>
      </c>
      <c r="J1467" s="264" t="s">
        <v>1174</v>
      </c>
      <c r="K1467" s="264" t="s">
        <v>2025</v>
      </c>
      <c r="L1467" s="1" t="str">
        <f>VLOOKUP(Advices[[#This Row],[LC Number]],'Combine_List'!A:D,2,0)</f>
        <v>UNITED PARK CO</v>
      </c>
      <c r="M1467" s="447" t="str">
        <f>VLOOKUP(Advices[[#This Row],[LC Number]],'Combine_List'!A:D,3,0)</f>
        <v>FIRST FIX</v>
      </c>
      <c r="N1467" s="447" t="str">
        <f>VLOOKUP(Advices[[#This Row],[LC Number]],'Combine_List'!A:D,4,0)</f>
        <v>RCRC</v>
      </c>
      <c r="O1467" s="1"/>
      <c r="P1467" s="1">
        <f>MONTH(Advices[[#This Row],[Transaction Date]])</f>
        <v>1</v>
      </c>
      <c r="Q1467" s="1">
        <f>YEAR(Advices[[#This Row],[Transaction Date]])</f>
        <v>2026</v>
      </c>
      <c r="R1467" s="1"/>
    </row>
    <row r="1468" spans="1:18" hidden="1" x14ac:dyDescent="0.25">
      <c r="A1468" s="264" t="s">
        <v>612</v>
      </c>
      <c r="B1468" s="265">
        <v>46034</v>
      </c>
      <c r="C1468" s="264" t="s">
        <v>2101</v>
      </c>
      <c r="D1468" s="264" t="s">
        <v>3636</v>
      </c>
      <c r="E1468" s="264" t="s">
        <v>723</v>
      </c>
      <c r="F1468" s="264" t="s">
        <v>2041</v>
      </c>
      <c r="G1468" s="264" t="s">
        <v>26</v>
      </c>
      <c r="H1468" s="266">
        <v>314</v>
      </c>
      <c r="I1468" s="266">
        <v>0</v>
      </c>
      <c r="J1468" s="264" t="s">
        <v>1125</v>
      </c>
      <c r="K1468" s="264" t="s">
        <v>2025</v>
      </c>
      <c r="L1468" s="1" t="str">
        <f>VLOOKUP(Advices[[#This Row],[LC Number]],'Combine_List'!A:D,2,0)</f>
        <v>UNITED PARK CO</v>
      </c>
      <c r="M1468" s="447" t="str">
        <f>VLOOKUP(Advices[[#This Row],[LC Number]],'Combine_List'!A:D,3,0)</f>
        <v>FIRST FIX</v>
      </c>
      <c r="N1468" s="447" t="str">
        <f>VLOOKUP(Advices[[#This Row],[LC Number]],'Combine_List'!A:D,4,0)</f>
        <v>RCRC</v>
      </c>
      <c r="O1468" s="1"/>
      <c r="P1468" s="1">
        <f>MONTH(Advices[[#This Row],[Transaction Date]])</f>
        <v>1</v>
      </c>
      <c r="Q1468" s="1">
        <f>YEAR(Advices[[#This Row],[Transaction Date]])</f>
        <v>2026</v>
      </c>
      <c r="R1468" s="1"/>
    </row>
    <row r="1469" spans="1:18" hidden="1" x14ac:dyDescent="0.25">
      <c r="A1469" s="264" t="s">
        <v>612</v>
      </c>
      <c r="B1469" s="265">
        <v>46034</v>
      </c>
      <c r="C1469" s="264" t="s">
        <v>2101</v>
      </c>
      <c r="D1469" s="264" t="s">
        <v>3637</v>
      </c>
      <c r="E1469" s="264" t="s">
        <v>723</v>
      </c>
      <c r="F1469" s="264" t="s">
        <v>2041</v>
      </c>
      <c r="G1469" s="264" t="s">
        <v>26</v>
      </c>
      <c r="H1469" s="266">
        <v>47.1</v>
      </c>
      <c r="I1469" s="266">
        <v>0</v>
      </c>
      <c r="J1469" s="264" t="s">
        <v>1174</v>
      </c>
      <c r="K1469" s="264" t="s">
        <v>2025</v>
      </c>
      <c r="L1469" s="1" t="str">
        <f>VLOOKUP(Advices[[#This Row],[LC Number]],'Combine_List'!A:D,2,0)</f>
        <v>UNITED PARK CO</v>
      </c>
      <c r="M1469" s="447" t="str">
        <f>VLOOKUP(Advices[[#This Row],[LC Number]],'Combine_List'!A:D,3,0)</f>
        <v>FIRST FIX</v>
      </c>
      <c r="N1469" s="447" t="str">
        <f>VLOOKUP(Advices[[#This Row],[LC Number]],'Combine_List'!A:D,4,0)</f>
        <v>RCRC</v>
      </c>
      <c r="O1469" s="1"/>
      <c r="P1469" s="1">
        <f>MONTH(Advices[[#This Row],[Transaction Date]])</f>
        <v>1</v>
      </c>
      <c r="Q1469" s="1">
        <f>YEAR(Advices[[#This Row],[Transaction Date]])</f>
        <v>2026</v>
      </c>
      <c r="R1469" s="1"/>
    </row>
    <row r="1470" spans="1:18" hidden="1" x14ac:dyDescent="0.25">
      <c r="A1470" s="264" t="s">
        <v>612</v>
      </c>
      <c r="B1470" s="265">
        <v>46034</v>
      </c>
      <c r="C1470" s="264" t="s">
        <v>2101</v>
      </c>
      <c r="D1470" s="264" t="s">
        <v>3638</v>
      </c>
      <c r="E1470" s="264" t="s">
        <v>1151</v>
      </c>
      <c r="F1470" s="264" t="s">
        <v>2041</v>
      </c>
      <c r="G1470" s="264" t="s">
        <v>26</v>
      </c>
      <c r="H1470" s="266">
        <v>65268.54</v>
      </c>
      <c r="I1470" s="266">
        <v>0</v>
      </c>
      <c r="J1470" s="264" t="s">
        <v>1126</v>
      </c>
      <c r="K1470" s="264" t="s">
        <v>2025</v>
      </c>
      <c r="L1470" s="1" t="str">
        <f>VLOOKUP(Advices[[#This Row],[LC Number]],'Combine_List'!A:D,2,0)</f>
        <v>SAUDI VITRIFIED CLAY PIPE CO</v>
      </c>
      <c r="M1470" s="447" t="str">
        <f>VLOOKUP(Advices[[#This Row],[LC Number]],'Combine_List'!A:D,3,0)</f>
        <v>FIRST FIX</v>
      </c>
      <c r="N1470" s="447" t="str">
        <f>VLOOKUP(Advices[[#This Row],[LC Number]],'Combine_List'!A:D,4,0)</f>
        <v>RCRC</v>
      </c>
      <c r="O1470" s="1"/>
      <c r="P1470" s="1">
        <f>MONTH(Advices[[#This Row],[Transaction Date]])</f>
        <v>1</v>
      </c>
      <c r="Q1470" s="1">
        <f>YEAR(Advices[[#This Row],[Transaction Date]])</f>
        <v>2026</v>
      </c>
      <c r="R1470" s="1"/>
    </row>
    <row r="1471" spans="1:18" hidden="1" x14ac:dyDescent="0.25">
      <c r="A1471" s="264" t="s">
        <v>612</v>
      </c>
      <c r="B1471" s="265">
        <v>46034</v>
      </c>
      <c r="C1471" s="264" t="s">
        <v>2101</v>
      </c>
      <c r="D1471" s="264" t="s">
        <v>3639</v>
      </c>
      <c r="E1471" s="264" t="s">
        <v>2395</v>
      </c>
      <c r="F1471" s="264" t="s">
        <v>2041</v>
      </c>
      <c r="G1471" s="264" t="s">
        <v>26</v>
      </c>
      <c r="H1471" s="266">
        <v>100</v>
      </c>
      <c r="I1471" s="266">
        <v>0</v>
      </c>
      <c r="J1471" s="264" t="s">
        <v>1125</v>
      </c>
      <c r="K1471" s="264" t="s">
        <v>2025</v>
      </c>
      <c r="L1471" s="1" t="str">
        <f>VLOOKUP(Advices[[#This Row],[LC Number]],'Combine_List'!A:D,2,0)</f>
        <v>Rawabi Al Mahfar Trading Co.</v>
      </c>
      <c r="M1471" s="447" t="str">
        <f>VLOOKUP(Advices[[#This Row],[LC Number]],'Combine_List'!A:D,3,0)</f>
        <v>FIRST FIX</v>
      </c>
      <c r="N1471" s="447" t="str">
        <f>VLOOKUP(Advices[[#This Row],[LC Number]],'Combine_List'!A:D,4,0)</f>
        <v>RCRC</v>
      </c>
      <c r="O1471" s="1"/>
      <c r="P1471" s="1">
        <f>MONTH(Advices[[#This Row],[Transaction Date]])</f>
        <v>1</v>
      </c>
      <c r="Q1471" s="1">
        <f>YEAR(Advices[[#This Row],[Transaction Date]])</f>
        <v>2026</v>
      </c>
      <c r="R1471" s="1"/>
    </row>
    <row r="1472" spans="1:18" hidden="1" x14ac:dyDescent="0.25">
      <c r="A1472" s="264" t="s">
        <v>612</v>
      </c>
      <c r="B1472" s="265">
        <v>46034</v>
      </c>
      <c r="C1472" s="264" t="s">
        <v>2101</v>
      </c>
      <c r="D1472" s="264" t="s">
        <v>3640</v>
      </c>
      <c r="E1472" s="264" t="s">
        <v>2395</v>
      </c>
      <c r="F1472" s="264" t="s">
        <v>2041</v>
      </c>
      <c r="G1472" s="264" t="s">
        <v>26</v>
      </c>
      <c r="H1472" s="266">
        <v>15</v>
      </c>
      <c r="I1472" s="266">
        <v>0</v>
      </c>
      <c r="J1472" s="264" t="s">
        <v>1174</v>
      </c>
      <c r="K1472" s="264" t="s">
        <v>2025</v>
      </c>
      <c r="L1472" s="1" t="str">
        <f>VLOOKUP(Advices[[#This Row],[LC Number]],'Combine_List'!A:D,2,0)</f>
        <v>Rawabi Al Mahfar Trading Co.</v>
      </c>
      <c r="M1472" s="447" t="str">
        <f>VLOOKUP(Advices[[#This Row],[LC Number]],'Combine_List'!A:D,3,0)</f>
        <v>FIRST FIX</v>
      </c>
      <c r="N1472" s="447" t="str">
        <f>VLOOKUP(Advices[[#This Row],[LC Number]],'Combine_List'!A:D,4,0)</f>
        <v>RCRC</v>
      </c>
      <c r="O1472" s="1"/>
      <c r="P1472" s="1">
        <f>MONTH(Advices[[#This Row],[Transaction Date]])</f>
        <v>1</v>
      </c>
      <c r="Q1472" s="1">
        <f>YEAR(Advices[[#This Row],[Transaction Date]])</f>
        <v>2026</v>
      </c>
      <c r="R1472" s="1"/>
    </row>
    <row r="1473" spans="1:18" hidden="1" x14ac:dyDescent="0.25">
      <c r="A1473" s="264" t="s">
        <v>612</v>
      </c>
      <c r="B1473" s="265">
        <v>46034</v>
      </c>
      <c r="C1473" s="264" t="s">
        <v>2101</v>
      </c>
      <c r="D1473" s="264" t="s">
        <v>3641</v>
      </c>
      <c r="E1473" s="264" t="s">
        <v>2395</v>
      </c>
      <c r="F1473" s="264" t="s">
        <v>2041</v>
      </c>
      <c r="G1473" s="264" t="s">
        <v>26</v>
      </c>
      <c r="H1473" s="266">
        <v>353</v>
      </c>
      <c r="I1473" s="266">
        <v>0</v>
      </c>
      <c r="J1473" s="264" t="s">
        <v>1125</v>
      </c>
      <c r="K1473" s="264" t="s">
        <v>2025</v>
      </c>
      <c r="L1473" s="1" t="str">
        <f>VLOOKUP(Advices[[#This Row],[LC Number]],'Combine_List'!A:D,2,0)</f>
        <v>Rawabi Al Mahfar Trading Co.</v>
      </c>
      <c r="M1473" s="447" t="str">
        <f>VLOOKUP(Advices[[#This Row],[LC Number]],'Combine_List'!A:D,3,0)</f>
        <v>FIRST FIX</v>
      </c>
      <c r="N1473" s="447" t="str">
        <f>VLOOKUP(Advices[[#This Row],[LC Number]],'Combine_List'!A:D,4,0)</f>
        <v>RCRC</v>
      </c>
      <c r="O1473" s="1"/>
      <c r="P1473" s="1">
        <f>MONTH(Advices[[#This Row],[Transaction Date]])</f>
        <v>1</v>
      </c>
      <c r="Q1473" s="1">
        <f>YEAR(Advices[[#This Row],[Transaction Date]])</f>
        <v>2026</v>
      </c>
      <c r="R1473" s="1"/>
    </row>
    <row r="1474" spans="1:18" hidden="1" x14ac:dyDescent="0.25">
      <c r="A1474" s="264" t="s">
        <v>612</v>
      </c>
      <c r="B1474" s="265">
        <v>46034</v>
      </c>
      <c r="C1474" s="264" t="s">
        <v>2101</v>
      </c>
      <c r="D1474" s="264" t="s">
        <v>3642</v>
      </c>
      <c r="E1474" s="264" t="s">
        <v>2395</v>
      </c>
      <c r="F1474" s="264" t="s">
        <v>2041</v>
      </c>
      <c r="G1474" s="264" t="s">
        <v>26</v>
      </c>
      <c r="H1474" s="266">
        <v>52.95</v>
      </c>
      <c r="I1474" s="266">
        <v>0</v>
      </c>
      <c r="J1474" s="264" t="s">
        <v>1174</v>
      </c>
      <c r="K1474" s="264" t="s">
        <v>2025</v>
      </c>
      <c r="L1474" s="1" t="str">
        <f>VLOOKUP(Advices[[#This Row],[LC Number]],'Combine_List'!A:D,2,0)</f>
        <v>Rawabi Al Mahfar Trading Co.</v>
      </c>
      <c r="M1474" s="447" t="str">
        <f>VLOOKUP(Advices[[#This Row],[LC Number]],'Combine_List'!A:D,3,0)</f>
        <v>FIRST FIX</v>
      </c>
      <c r="N1474" s="447" t="str">
        <f>VLOOKUP(Advices[[#This Row],[LC Number]],'Combine_List'!A:D,4,0)</f>
        <v>RCRC</v>
      </c>
      <c r="O1474" s="1"/>
      <c r="P1474" s="1">
        <f>MONTH(Advices[[#This Row],[Transaction Date]])</f>
        <v>1</v>
      </c>
      <c r="Q1474" s="1">
        <f>YEAR(Advices[[#This Row],[Transaction Date]])</f>
        <v>2026</v>
      </c>
      <c r="R1474" s="1"/>
    </row>
    <row r="1475" spans="1:18" hidden="1" x14ac:dyDescent="0.25">
      <c r="A1475" s="264" t="s">
        <v>612</v>
      </c>
      <c r="B1475" s="265">
        <v>46034</v>
      </c>
      <c r="C1475" s="264" t="s">
        <v>2101</v>
      </c>
      <c r="D1475" s="264" t="s">
        <v>3643</v>
      </c>
      <c r="E1475" s="264" t="s">
        <v>2395</v>
      </c>
      <c r="F1475" s="264" t="s">
        <v>2041</v>
      </c>
      <c r="G1475" s="264" t="s">
        <v>26</v>
      </c>
      <c r="H1475" s="266">
        <v>200</v>
      </c>
      <c r="I1475" s="266">
        <v>0</v>
      </c>
      <c r="J1475" s="264" t="s">
        <v>1125</v>
      </c>
      <c r="K1475" s="264" t="s">
        <v>2025</v>
      </c>
      <c r="L1475" s="1" t="str">
        <f>VLOOKUP(Advices[[#This Row],[LC Number]],'Combine_List'!A:D,2,0)</f>
        <v>Rawabi Al Mahfar Trading Co.</v>
      </c>
      <c r="M1475" s="447" t="str">
        <f>VLOOKUP(Advices[[#This Row],[LC Number]],'Combine_List'!A:D,3,0)</f>
        <v>FIRST FIX</v>
      </c>
      <c r="N1475" s="447" t="str">
        <f>VLOOKUP(Advices[[#This Row],[LC Number]],'Combine_List'!A:D,4,0)</f>
        <v>RCRC</v>
      </c>
      <c r="O1475" s="1"/>
      <c r="P1475" s="1">
        <f>MONTH(Advices[[#This Row],[Transaction Date]])</f>
        <v>1</v>
      </c>
      <c r="Q1475" s="1">
        <f>YEAR(Advices[[#This Row],[Transaction Date]])</f>
        <v>2026</v>
      </c>
      <c r="R1475" s="1"/>
    </row>
    <row r="1476" spans="1:18" hidden="1" x14ac:dyDescent="0.25">
      <c r="A1476" s="264" t="s">
        <v>612</v>
      </c>
      <c r="B1476" s="265">
        <v>46034</v>
      </c>
      <c r="C1476" s="264" t="s">
        <v>2101</v>
      </c>
      <c r="D1476" s="264" t="s">
        <v>3644</v>
      </c>
      <c r="E1476" s="264" t="s">
        <v>2395</v>
      </c>
      <c r="F1476" s="264" t="s">
        <v>2041</v>
      </c>
      <c r="G1476" s="264" t="s">
        <v>26</v>
      </c>
      <c r="H1476" s="266">
        <v>30</v>
      </c>
      <c r="I1476" s="266">
        <v>0</v>
      </c>
      <c r="J1476" s="264" t="s">
        <v>1174</v>
      </c>
      <c r="K1476" s="264" t="s">
        <v>2025</v>
      </c>
      <c r="L1476" s="1" t="str">
        <f>VLOOKUP(Advices[[#This Row],[LC Number]],'Combine_List'!A:D,2,0)</f>
        <v>Rawabi Al Mahfar Trading Co.</v>
      </c>
      <c r="M1476" s="447" t="str">
        <f>VLOOKUP(Advices[[#This Row],[LC Number]],'Combine_List'!A:D,3,0)</f>
        <v>FIRST FIX</v>
      </c>
      <c r="N1476" s="447" t="str">
        <f>VLOOKUP(Advices[[#This Row],[LC Number]],'Combine_List'!A:D,4,0)</f>
        <v>RCRC</v>
      </c>
      <c r="O1476" s="1"/>
      <c r="P1476" s="1">
        <f>MONTH(Advices[[#This Row],[Transaction Date]])</f>
        <v>1</v>
      </c>
      <c r="Q1476" s="1">
        <f>YEAR(Advices[[#This Row],[Transaction Date]])</f>
        <v>2026</v>
      </c>
      <c r="R1476" s="1"/>
    </row>
    <row r="1477" spans="1:18" hidden="1" x14ac:dyDescent="0.25">
      <c r="A1477" s="264" t="s">
        <v>612</v>
      </c>
      <c r="B1477" s="265">
        <v>46034</v>
      </c>
      <c r="C1477" s="264" t="s">
        <v>2101</v>
      </c>
      <c r="D1477" s="264" t="s">
        <v>3645</v>
      </c>
      <c r="E1477" s="264" t="s">
        <v>2794</v>
      </c>
      <c r="F1477" s="264" t="s">
        <v>2041</v>
      </c>
      <c r="G1477" s="264" t="s">
        <v>26</v>
      </c>
      <c r="H1477" s="266">
        <v>4479.16</v>
      </c>
      <c r="I1477" s="266">
        <v>0</v>
      </c>
      <c r="J1477" s="264" t="s">
        <v>2793</v>
      </c>
      <c r="K1477" s="264" t="s">
        <v>2025</v>
      </c>
      <c r="L1477" s="1" t="str">
        <f>VLOOKUP(Advices[[#This Row],[LC Number]],'Combine_List'!A:D,2,0)</f>
        <v>Bid - King Salman International Airport Development Company (KSIADC)</v>
      </c>
      <c r="M1477" s="447">
        <f>VLOOKUP(Advices[[#This Row],[LC Number]],'Combine_List'!A:D,3,0)</f>
        <v>0</v>
      </c>
      <c r="N1477" s="447">
        <f>VLOOKUP(Advices[[#This Row],[LC Number]],'Combine_List'!A:D,4,0)</f>
        <v>0</v>
      </c>
      <c r="O1477" s="1"/>
      <c r="P1477" s="1">
        <f>MONTH(Advices[[#This Row],[Transaction Date]])</f>
        <v>1</v>
      </c>
      <c r="Q1477" s="1">
        <f>YEAR(Advices[[#This Row],[Transaction Date]])</f>
        <v>2026</v>
      </c>
      <c r="R1477" s="1"/>
    </row>
    <row r="1478" spans="1:18" hidden="1" x14ac:dyDescent="0.25">
      <c r="A1478" s="264" t="s">
        <v>612</v>
      </c>
      <c r="B1478" s="265">
        <v>46034</v>
      </c>
      <c r="C1478" s="264" t="s">
        <v>2101</v>
      </c>
      <c r="D1478" s="264" t="s">
        <v>3646</v>
      </c>
      <c r="E1478" s="264" t="s">
        <v>2794</v>
      </c>
      <c r="F1478" s="264" t="s">
        <v>2041</v>
      </c>
      <c r="G1478" s="264" t="s">
        <v>26</v>
      </c>
      <c r="H1478" s="266">
        <v>671.87</v>
      </c>
      <c r="I1478" s="266">
        <v>0</v>
      </c>
      <c r="J1478" s="264" t="s">
        <v>1174</v>
      </c>
      <c r="K1478" s="264" t="s">
        <v>2025</v>
      </c>
      <c r="L1478" s="1" t="str">
        <f>VLOOKUP(Advices[[#This Row],[LC Number]],'Combine_List'!A:D,2,0)</f>
        <v>Bid - King Salman International Airport Development Company (KSIADC)</v>
      </c>
      <c r="M1478" s="447">
        <f>VLOOKUP(Advices[[#This Row],[LC Number]],'Combine_List'!A:D,3,0)</f>
        <v>0</v>
      </c>
      <c r="N1478" s="447">
        <f>VLOOKUP(Advices[[#This Row],[LC Number]],'Combine_List'!A:D,4,0)</f>
        <v>0</v>
      </c>
      <c r="O1478" s="1"/>
      <c r="P1478" s="1">
        <f>MONTH(Advices[[#This Row],[Transaction Date]])</f>
        <v>1</v>
      </c>
      <c r="Q1478" s="1">
        <f>YEAR(Advices[[#This Row],[Transaction Date]])</f>
        <v>2026</v>
      </c>
      <c r="R1478" s="1"/>
    </row>
    <row r="1479" spans="1:18" hidden="1" x14ac:dyDescent="0.25">
      <c r="A1479" s="264" t="s">
        <v>612</v>
      </c>
      <c r="B1479" s="265">
        <v>46034</v>
      </c>
      <c r="C1479" s="264" t="s">
        <v>2101</v>
      </c>
      <c r="D1479" s="264" t="s">
        <v>3647</v>
      </c>
      <c r="E1479" s="264" t="s">
        <v>2794</v>
      </c>
      <c r="F1479" s="264" t="s">
        <v>2041</v>
      </c>
      <c r="G1479" s="264" t="s">
        <v>26</v>
      </c>
      <c r="H1479" s="266">
        <v>6773.97</v>
      </c>
      <c r="I1479" s="266">
        <v>0</v>
      </c>
      <c r="J1479" s="264" t="s">
        <v>2793</v>
      </c>
      <c r="K1479" s="264" t="s">
        <v>2025</v>
      </c>
      <c r="L1479" s="1" t="str">
        <f>VLOOKUP(Advices[[#This Row],[LC Number]],'Combine_List'!A:D,2,0)</f>
        <v>Bid - King Salman International Airport Development Company (KSIADC)</v>
      </c>
      <c r="M1479" s="447">
        <f>VLOOKUP(Advices[[#This Row],[LC Number]],'Combine_List'!A:D,3,0)</f>
        <v>0</v>
      </c>
      <c r="N1479" s="447">
        <f>VLOOKUP(Advices[[#This Row],[LC Number]],'Combine_List'!A:D,4,0)</f>
        <v>0</v>
      </c>
      <c r="O1479" s="1"/>
      <c r="P1479" s="1">
        <f>MONTH(Advices[[#This Row],[Transaction Date]])</f>
        <v>1</v>
      </c>
      <c r="Q1479" s="1">
        <f>YEAR(Advices[[#This Row],[Transaction Date]])</f>
        <v>2026</v>
      </c>
      <c r="R1479" s="1"/>
    </row>
    <row r="1480" spans="1:18" hidden="1" x14ac:dyDescent="0.25">
      <c r="A1480" s="264" t="s">
        <v>612</v>
      </c>
      <c r="B1480" s="265">
        <v>46034</v>
      </c>
      <c r="C1480" s="264" t="s">
        <v>2101</v>
      </c>
      <c r="D1480" s="264" t="s">
        <v>3648</v>
      </c>
      <c r="E1480" s="264" t="s">
        <v>2794</v>
      </c>
      <c r="F1480" s="264" t="s">
        <v>2041</v>
      </c>
      <c r="G1480" s="264" t="s">
        <v>26</v>
      </c>
      <c r="H1480" s="266">
        <v>1016.1</v>
      </c>
      <c r="I1480" s="266">
        <v>0</v>
      </c>
      <c r="J1480" s="264" t="s">
        <v>1174</v>
      </c>
      <c r="K1480" s="264" t="s">
        <v>2025</v>
      </c>
      <c r="L1480" s="1" t="str">
        <f>VLOOKUP(Advices[[#This Row],[LC Number]],'Combine_List'!A:D,2,0)</f>
        <v>Bid - King Salman International Airport Development Company (KSIADC)</v>
      </c>
      <c r="M1480" s="447">
        <f>VLOOKUP(Advices[[#This Row],[LC Number]],'Combine_List'!A:D,3,0)</f>
        <v>0</v>
      </c>
      <c r="N1480" s="447">
        <f>VLOOKUP(Advices[[#This Row],[LC Number]],'Combine_List'!A:D,4,0)</f>
        <v>0</v>
      </c>
      <c r="O1480" s="264"/>
      <c r="P1480" s="264">
        <f>MONTH(Advices[[#This Row],[Transaction Date]])</f>
        <v>1</v>
      </c>
      <c r="Q1480" s="264">
        <f>YEAR(Advices[[#This Row],[Transaction Date]])</f>
        <v>2026</v>
      </c>
      <c r="R1480" s="1"/>
    </row>
    <row r="1481" spans="1:18" hidden="1" x14ac:dyDescent="0.25">
      <c r="A1481" s="264" t="s">
        <v>62</v>
      </c>
      <c r="B1481" s="265">
        <v>46035</v>
      </c>
      <c r="C1481" s="264" t="s">
        <v>2039</v>
      </c>
      <c r="D1481" s="264" t="s">
        <v>3651</v>
      </c>
      <c r="E1481" s="264" t="s">
        <v>3617</v>
      </c>
      <c r="F1481" s="264" t="s">
        <v>2041</v>
      </c>
      <c r="G1481" s="264" t="s">
        <v>26</v>
      </c>
      <c r="H1481" s="266">
        <v>4312.5</v>
      </c>
      <c r="I1481" s="266">
        <v>0</v>
      </c>
      <c r="J1481" s="264" t="s">
        <v>2830</v>
      </c>
      <c r="K1481" s="264" t="s">
        <v>2025</v>
      </c>
      <c r="L1481" s="1" t="str">
        <f>VLOOKUP(Advices[[#This Row],[LC Number]],'Combine_List'!A:D,2,0)</f>
        <v>Performance - CROWN PRINCE PRIVATE AFFAIRS (CPPA)</v>
      </c>
      <c r="M1481" s="447" t="str">
        <f>VLOOKUP(Advices[[#This Row],[LC Number]],'Combine_List'!A:D,3,0)</f>
        <v>IFAS</v>
      </c>
      <c r="N1481" s="447" t="str">
        <f>VLOOKUP(Advices[[#This Row],[LC Number]],'Combine_List'!A:D,4,0)</f>
        <v>L01</v>
      </c>
      <c r="O1481" s="1"/>
      <c r="P1481" s="1">
        <f>MONTH(Advices[[#This Row],[Transaction Date]])</f>
        <v>1</v>
      </c>
      <c r="Q1481" s="1">
        <f>YEAR(Advices[[#This Row],[Transaction Date]])</f>
        <v>2026</v>
      </c>
      <c r="R1481" s="1"/>
    </row>
    <row r="1482" spans="1:18" hidden="1" x14ac:dyDescent="0.25">
      <c r="A1482" s="264" t="s">
        <v>62</v>
      </c>
      <c r="B1482" s="265">
        <v>46035</v>
      </c>
      <c r="C1482" s="264" t="s">
        <v>2039</v>
      </c>
      <c r="D1482" s="264" t="s">
        <v>3652</v>
      </c>
      <c r="E1482" s="1" t="s">
        <v>1934</v>
      </c>
      <c r="F1482" s="264" t="s">
        <v>2041</v>
      </c>
      <c r="G1482" s="264" t="s">
        <v>26</v>
      </c>
      <c r="H1482" s="266">
        <v>2440379.4900000002</v>
      </c>
      <c r="I1482" s="266">
        <v>0</v>
      </c>
      <c r="J1482" s="264" t="s">
        <v>1126</v>
      </c>
      <c r="K1482" s="264" t="s">
        <v>2025</v>
      </c>
      <c r="L1482" s="1" t="str">
        <f>VLOOKUP(Advices[[#This Row],[LC Number]],'Combine_List'!A:D,2,0)</f>
        <v>Mat Filtrasyon Teknolojeleri A.S</v>
      </c>
      <c r="M1482" s="447" t="str">
        <f>VLOOKUP(Advices[[#This Row],[LC Number]],'Combine_List'!A:D,3,0)</f>
        <v>MBL</v>
      </c>
      <c r="N1482" s="447" t="str">
        <f>VLOOKUP(Advices[[#This Row],[LC Number]],'Combine_List'!A:D,4,0)</f>
        <v>Oceanarium</v>
      </c>
      <c r="O1482" s="447">
        <f>VLOOKUP(Advices[[#This Row],[LC Number]],'Combine_List'!A:E,5,0)</f>
        <v>1020096</v>
      </c>
      <c r="P1482" s="447">
        <f>MONTH(Advices[[#This Row],[Transaction Date]])</f>
        <v>1</v>
      </c>
      <c r="Q1482" s="447">
        <f>YEAR(Advices[[#This Row],[Transaction Date]])</f>
        <v>2026</v>
      </c>
      <c r="R1482" s="1"/>
    </row>
    <row r="1483" spans="1:18" hidden="1" x14ac:dyDescent="0.25">
      <c r="A1483" s="264" t="s">
        <v>62</v>
      </c>
      <c r="B1483" s="265">
        <v>46035</v>
      </c>
      <c r="C1483" s="264" t="s">
        <v>2039</v>
      </c>
      <c r="D1483" s="264" t="s">
        <v>3653</v>
      </c>
      <c r="E1483" s="1" t="s">
        <v>1934</v>
      </c>
      <c r="F1483" s="264" t="s">
        <v>2041</v>
      </c>
      <c r="G1483" s="264" t="s">
        <v>26</v>
      </c>
      <c r="H1483" s="266">
        <v>9554.9599999999991</v>
      </c>
      <c r="I1483" s="266">
        <v>0</v>
      </c>
      <c r="J1483" s="264" t="s">
        <v>1125</v>
      </c>
      <c r="K1483" s="264" t="s">
        <v>2025</v>
      </c>
      <c r="L1483" s="1" t="str">
        <f>VLOOKUP(Advices[[#This Row],[LC Number]],'Combine_List'!A:D,2,0)</f>
        <v>Mat Filtrasyon Teknolojeleri A.S</v>
      </c>
      <c r="M1483" s="447" t="str">
        <f>VLOOKUP(Advices[[#This Row],[LC Number]],'Combine_List'!A:D,3,0)</f>
        <v>MBL</v>
      </c>
      <c r="N1483" s="447" t="str">
        <f>VLOOKUP(Advices[[#This Row],[LC Number]],'Combine_List'!A:D,4,0)</f>
        <v>Oceanarium</v>
      </c>
      <c r="O1483" s="447">
        <f>VLOOKUP(Advices[[#This Row],[LC Number]],'Combine_List'!A:E,5,0)</f>
        <v>1020096</v>
      </c>
      <c r="P1483" s="447">
        <f>MONTH(Advices[[#This Row],[Transaction Date]])</f>
        <v>1</v>
      </c>
      <c r="Q1483" s="447">
        <f>YEAR(Advices[[#This Row],[Transaction Date]])</f>
        <v>2026</v>
      </c>
      <c r="R1483" s="1"/>
    </row>
    <row r="1484" spans="1:18" hidden="1" x14ac:dyDescent="0.25">
      <c r="A1484" s="264" t="s">
        <v>95</v>
      </c>
      <c r="B1484" s="265">
        <v>46035</v>
      </c>
      <c r="C1484" s="264" t="s">
        <v>2026</v>
      </c>
      <c r="D1484" s="264" t="s">
        <v>3654</v>
      </c>
      <c r="E1484" s="264" t="s">
        <v>707</v>
      </c>
      <c r="F1484" s="264" t="s">
        <v>2379</v>
      </c>
      <c r="G1484" s="264" t="s">
        <v>26</v>
      </c>
      <c r="H1484" s="266">
        <v>257208.69</v>
      </c>
      <c r="I1484" s="266">
        <v>0</v>
      </c>
      <c r="J1484" s="264" t="s">
        <v>3702</v>
      </c>
      <c r="K1484" s="264" t="s">
        <v>2025</v>
      </c>
      <c r="L1484" s="1" t="str">
        <f>VLOOKUP(Advices[[#This Row],[LC Number]],'Combine_List'!A:D,2,0)</f>
        <v>BBH-CHEMTROL INTERNATIONAL ORGANIZATION S.L</v>
      </c>
      <c r="M1484" s="447" t="str">
        <f>VLOOKUP(Advices[[#This Row],[LC Number]],'Combine_List'!A:D,3,0)</f>
        <v>MBL/ICAD</v>
      </c>
      <c r="N1484" s="447" t="str">
        <f>VLOOKUP(Advices[[#This Row],[LC Number]],'Combine_List'!A:D,4,0)</f>
        <v>OPERA House</v>
      </c>
      <c r="O1484" s="264"/>
      <c r="P1484" s="264">
        <f>MONTH(Advices[[#This Row],[Transaction Date]])</f>
        <v>1</v>
      </c>
      <c r="Q1484" s="264">
        <f>YEAR(Advices[[#This Row],[Transaction Date]])</f>
        <v>2026</v>
      </c>
      <c r="R1484" s="1"/>
    </row>
    <row r="1485" spans="1:18" hidden="1" x14ac:dyDescent="0.25">
      <c r="A1485" s="264" t="s">
        <v>366</v>
      </c>
      <c r="B1485" s="265">
        <v>46035</v>
      </c>
      <c r="C1485" s="264" t="s">
        <v>2060</v>
      </c>
      <c r="D1485" s="264" t="s">
        <v>3655</v>
      </c>
      <c r="E1485" s="264" t="s">
        <v>3650</v>
      </c>
      <c r="F1485" s="264" t="s">
        <v>3656</v>
      </c>
      <c r="G1485" s="264" t="s">
        <v>26</v>
      </c>
      <c r="H1485" s="266">
        <v>607147.12</v>
      </c>
      <c r="I1485" s="266">
        <v>0</v>
      </c>
      <c r="J1485" s="264" t="s">
        <v>1044</v>
      </c>
      <c r="K1485" s="264" t="s">
        <v>2025</v>
      </c>
      <c r="L1485" s="1" t="str">
        <f>VLOOKUP(Advices[[#This Row],[LC Number]],'Combine_List'!A:D,2,0)</f>
        <v>Performance - RIYADH AIRPORTS COMPANY (RAC)-First Fix</v>
      </c>
      <c r="M1485" s="447" t="str">
        <f>VLOOKUP(Advices[[#This Row],[LC Number]],'Combine_List'!A:D,3,0)</f>
        <v>First Fix</v>
      </c>
      <c r="N1485" s="447" t="str">
        <f>VLOOKUP(Advices[[#This Row],[LC Number]],'Combine_List'!A:D,4,0)</f>
        <v>RAC</v>
      </c>
      <c r="O1485" s="264"/>
      <c r="P1485" s="264">
        <f>MONTH(Advices[[#This Row],[Transaction Date]])</f>
        <v>1</v>
      </c>
      <c r="Q1485" s="264">
        <f>YEAR(Advices[[#This Row],[Transaction Date]])</f>
        <v>2026</v>
      </c>
      <c r="R1485" s="1"/>
    </row>
    <row r="1486" spans="1:18" hidden="1" x14ac:dyDescent="0.25">
      <c r="A1486" s="264" t="s">
        <v>2089</v>
      </c>
      <c r="B1486" s="265">
        <v>46034</v>
      </c>
      <c r="C1486" s="264" t="s">
        <v>2093</v>
      </c>
      <c r="D1486" s="264" t="s">
        <v>3663</v>
      </c>
      <c r="E1486" s="264" t="s">
        <v>3664</v>
      </c>
      <c r="F1486" s="264" t="s">
        <v>3665</v>
      </c>
      <c r="G1486" s="264" t="s">
        <v>26</v>
      </c>
      <c r="H1486" s="266">
        <v>0</v>
      </c>
      <c r="I1486" s="266">
        <v>205932.55</v>
      </c>
      <c r="J1486" s="264" t="s">
        <v>2899</v>
      </c>
      <c r="K1486" s="264" t="s">
        <v>2025</v>
      </c>
      <c r="L1486" s="1" t="e">
        <f>VLOOKUP(Advices[[#This Row],[LC Number]],'Combine_List'!A:D,2,0)</f>
        <v>#N/A</v>
      </c>
      <c r="M1486" s="447" t="e">
        <f>VLOOKUP(Advices[[#This Row],[LC Number]],'Combine_List'!A:D,3,0)</f>
        <v>#N/A</v>
      </c>
      <c r="N1486" s="447" t="e">
        <f>VLOOKUP(Advices[[#This Row],[LC Number]],'Combine_List'!A:D,4,0)</f>
        <v>#N/A</v>
      </c>
      <c r="O1486" s="1"/>
      <c r="P1486" s="1">
        <f>MONTH(Advices[[#This Row],[Transaction Date]])</f>
        <v>1</v>
      </c>
      <c r="Q1486" s="1">
        <f>YEAR(Advices[[#This Row],[Transaction Date]])</f>
        <v>2026</v>
      </c>
      <c r="R1486" s="1"/>
    </row>
    <row r="1487" spans="1:18" hidden="1" x14ac:dyDescent="0.25">
      <c r="A1487" s="264" t="s">
        <v>2089</v>
      </c>
      <c r="B1487" s="265">
        <v>46035</v>
      </c>
      <c r="C1487" s="264" t="s">
        <v>2093</v>
      </c>
      <c r="D1487" s="264" t="s">
        <v>3657</v>
      </c>
      <c r="E1487" s="264" t="s">
        <v>3658</v>
      </c>
      <c r="F1487" s="264" t="s">
        <v>3659</v>
      </c>
      <c r="G1487" s="264" t="s">
        <v>26</v>
      </c>
      <c r="H1487" s="266">
        <v>0</v>
      </c>
      <c r="I1487" s="266">
        <v>0.2</v>
      </c>
      <c r="J1487" s="264" t="s">
        <v>2899</v>
      </c>
      <c r="K1487" s="264" t="s">
        <v>2025</v>
      </c>
      <c r="L1487" s="1" t="e">
        <f>VLOOKUP(Advices[[#This Row],[LC Number]],'Combine_List'!A:D,2,0)</f>
        <v>#N/A</v>
      </c>
      <c r="M1487" s="447" t="e">
        <f>VLOOKUP(Advices[[#This Row],[LC Number]],'Combine_List'!A:D,3,0)</f>
        <v>#N/A</v>
      </c>
      <c r="N1487" s="447" t="e">
        <f>VLOOKUP(Advices[[#This Row],[LC Number]],'Combine_List'!A:D,4,0)</f>
        <v>#N/A</v>
      </c>
      <c r="O1487" s="1"/>
      <c r="P1487" s="1">
        <f>MONTH(Advices[[#This Row],[Transaction Date]])</f>
        <v>1</v>
      </c>
      <c r="Q1487" s="1">
        <f>YEAR(Advices[[#This Row],[Transaction Date]])</f>
        <v>2026</v>
      </c>
      <c r="R1487" s="1"/>
    </row>
    <row r="1488" spans="1:18" hidden="1" x14ac:dyDescent="0.25">
      <c r="A1488" s="264" t="s">
        <v>2089</v>
      </c>
      <c r="B1488" s="265">
        <v>46035</v>
      </c>
      <c r="C1488" s="264" t="s">
        <v>2093</v>
      </c>
      <c r="D1488" s="264" t="s">
        <v>3660</v>
      </c>
      <c r="E1488" s="264" t="s">
        <v>3661</v>
      </c>
      <c r="F1488" s="264" t="s">
        <v>3662</v>
      </c>
      <c r="G1488" s="264" t="s">
        <v>26</v>
      </c>
      <c r="H1488" s="266">
        <v>-822387.22</v>
      </c>
      <c r="I1488" s="266">
        <v>0</v>
      </c>
      <c r="J1488" s="264" t="s">
        <v>3700</v>
      </c>
      <c r="K1488" s="264" t="s">
        <v>2025</v>
      </c>
      <c r="L1488" s="1" t="e">
        <f>VLOOKUP(Advices[[#This Row],[LC Number]],'Combine_List'!A:D,2,0)</f>
        <v>#N/A</v>
      </c>
      <c r="M1488" s="447" t="e">
        <f>VLOOKUP(Advices[[#This Row],[LC Number]],'Combine_List'!A:D,3,0)</f>
        <v>#N/A</v>
      </c>
      <c r="N1488" s="447" t="e">
        <f>VLOOKUP(Advices[[#This Row],[LC Number]],'Combine_List'!A:D,4,0)</f>
        <v>#N/A</v>
      </c>
      <c r="O1488" s="1"/>
      <c r="P1488" s="1">
        <f>MONTH(Advices[[#This Row],[Transaction Date]])</f>
        <v>1</v>
      </c>
      <c r="Q1488" s="1">
        <f>YEAR(Advices[[#This Row],[Transaction Date]])</f>
        <v>2026</v>
      </c>
      <c r="R1488" s="1"/>
    </row>
    <row r="1489" spans="1:18" hidden="1" x14ac:dyDescent="0.25">
      <c r="A1489" s="264" t="s">
        <v>2089</v>
      </c>
      <c r="B1489" s="265">
        <v>46035</v>
      </c>
      <c r="C1489" s="264" t="s">
        <v>2093</v>
      </c>
      <c r="D1489" s="264" t="s">
        <v>3660</v>
      </c>
      <c r="E1489" s="264" t="s">
        <v>3661</v>
      </c>
      <c r="F1489" s="264" t="s">
        <v>3662</v>
      </c>
      <c r="G1489" s="264" t="s">
        <v>26</v>
      </c>
      <c r="H1489" s="266">
        <v>-900</v>
      </c>
      <c r="I1489" s="266">
        <v>0</v>
      </c>
      <c r="J1489" s="264" t="s">
        <v>3700</v>
      </c>
      <c r="K1489" s="264" t="s">
        <v>2025</v>
      </c>
      <c r="L1489" s="1" t="e">
        <f>VLOOKUP(Advices[[#This Row],[LC Number]],'Combine_List'!A:D,2,0)</f>
        <v>#N/A</v>
      </c>
      <c r="M1489" s="447" t="e">
        <f>VLOOKUP(Advices[[#This Row],[LC Number]],'Combine_List'!A:D,3,0)</f>
        <v>#N/A</v>
      </c>
      <c r="N1489" s="447" t="e">
        <f>VLOOKUP(Advices[[#This Row],[LC Number]],'Combine_List'!A:D,4,0)</f>
        <v>#N/A</v>
      </c>
      <c r="O1489" s="1"/>
      <c r="P1489" s="1">
        <f>MONTH(Advices[[#This Row],[Transaction Date]])</f>
        <v>1</v>
      </c>
      <c r="Q1489" s="1">
        <f>YEAR(Advices[[#This Row],[Transaction Date]])</f>
        <v>2026</v>
      </c>
      <c r="R1489" s="1"/>
    </row>
    <row r="1490" spans="1:18" hidden="1" x14ac:dyDescent="0.25">
      <c r="A1490" s="264" t="s">
        <v>2089</v>
      </c>
      <c r="B1490" s="265">
        <v>46035</v>
      </c>
      <c r="C1490" s="264" t="s">
        <v>2093</v>
      </c>
      <c r="D1490" s="264" t="s">
        <v>3660</v>
      </c>
      <c r="E1490" s="264" t="s">
        <v>3661</v>
      </c>
      <c r="F1490" s="264" t="s">
        <v>3662</v>
      </c>
      <c r="G1490" s="264" t="s">
        <v>26</v>
      </c>
      <c r="H1490" s="266">
        <v>-400</v>
      </c>
      <c r="I1490" s="266">
        <v>0</v>
      </c>
      <c r="J1490" s="264" t="s">
        <v>3700</v>
      </c>
      <c r="K1490" s="264" t="s">
        <v>2025</v>
      </c>
      <c r="L1490" s="1" t="e">
        <f>VLOOKUP(Advices[[#This Row],[LC Number]],'Combine_List'!A:D,2,0)</f>
        <v>#N/A</v>
      </c>
      <c r="M1490" s="447" t="e">
        <f>VLOOKUP(Advices[[#This Row],[LC Number]],'Combine_List'!A:D,3,0)</f>
        <v>#N/A</v>
      </c>
      <c r="N1490" s="447" t="e">
        <f>VLOOKUP(Advices[[#This Row],[LC Number]],'Combine_List'!A:D,4,0)</f>
        <v>#N/A</v>
      </c>
      <c r="O1490" s="1"/>
      <c r="P1490" s="1">
        <f>MONTH(Advices[[#This Row],[Transaction Date]])</f>
        <v>1</v>
      </c>
      <c r="Q1490" s="1">
        <f>YEAR(Advices[[#This Row],[Transaction Date]])</f>
        <v>2026</v>
      </c>
      <c r="R1490" s="1"/>
    </row>
    <row r="1491" spans="1:18" hidden="1" x14ac:dyDescent="0.25">
      <c r="A1491" s="264" t="s">
        <v>2089</v>
      </c>
      <c r="B1491" s="265">
        <v>46035</v>
      </c>
      <c r="C1491" s="264" t="s">
        <v>2093</v>
      </c>
      <c r="D1491" s="264" t="s">
        <v>3660</v>
      </c>
      <c r="E1491" s="264" t="s">
        <v>3661</v>
      </c>
      <c r="F1491" s="264" t="s">
        <v>3662</v>
      </c>
      <c r="G1491" s="264" t="s">
        <v>26</v>
      </c>
      <c r="H1491" s="266">
        <v>-135</v>
      </c>
      <c r="I1491" s="266">
        <v>0</v>
      </c>
      <c r="J1491" s="264" t="s">
        <v>3700</v>
      </c>
      <c r="K1491" s="264" t="s">
        <v>2025</v>
      </c>
      <c r="L1491" s="1" t="e">
        <f>VLOOKUP(Advices[[#This Row],[LC Number]],'Combine_List'!A:D,2,0)</f>
        <v>#N/A</v>
      </c>
      <c r="M1491" s="447" t="e">
        <f>VLOOKUP(Advices[[#This Row],[LC Number]],'Combine_List'!A:D,3,0)</f>
        <v>#N/A</v>
      </c>
      <c r="N1491" s="447" t="e">
        <f>VLOOKUP(Advices[[#This Row],[LC Number]],'Combine_List'!A:D,4,0)</f>
        <v>#N/A</v>
      </c>
      <c r="O1491" s="1"/>
      <c r="P1491" s="1">
        <f>MONTH(Advices[[#This Row],[Transaction Date]])</f>
        <v>1</v>
      </c>
      <c r="Q1491" s="1">
        <f>YEAR(Advices[[#This Row],[Transaction Date]])</f>
        <v>2026</v>
      </c>
      <c r="R1491" s="1"/>
    </row>
    <row r="1492" spans="1:18" hidden="1" x14ac:dyDescent="0.25">
      <c r="A1492" s="264" t="s">
        <v>2089</v>
      </c>
      <c r="B1492" s="265">
        <v>46035</v>
      </c>
      <c r="C1492" s="264" t="s">
        <v>2093</v>
      </c>
      <c r="D1492" s="264" t="s">
        <v>3660</v>
      </c>
      <c r="E1492" s="264" t="s">
        <v>3661</v>
      </c>
      <c r="F1492" s="264" t="s">
        <v>3662</v>
      </c>
      <c r="G1492" s="264" t="s">
        <v>26</v>
      </c>
      <c r="H1492" s="266">
        <v>-60</v>
      </c>
      <c r="I1492" s="266">
        <v>0</v>
      </c>
      <c r="J1492" s="264" t="s">
        <v>3700</v>
      </c>
      <c r="K1492" s="264" t="s">
        <v>2025</v>
      </c>
      <c r="L1492" s="1" t="e">
        <f>VLOOKUP(Advices[[#This Row],[LC Number]],'Combine_List'!A:D,2,0)</f>
        <v>#N/A</v>
      </c>
      <c r="M1492" s="447" t="e">
        <f>VLOOKUP(Advices[[#This Row],[LC Number]],'Combine_List'!A:D,3,0)</f>
        <v>#N/A</v>
      </c>
      <c r="N1492" s="447" t="e">
        <f>VLOOKUP(Advices[[#This Row],[LC Number]],'Combine_List'!A:D,4,0)</f>
        <v>#N/A</v>
      </c>
      <c r="O1492" s="1"/>
      <c r="P1492" s="1">
        <f>MONTH(Advices[[#This Row],[Transaction Date]])</f>
        <v>1</v>
      </c>
      <c r="Q1492" s="1">
        <f>YEAR(Advices[[#This Row],[Transaction Date]])</f>
        <v>2026</v>
      </c>
      <c r="R1492" s="1"/>
    </row>
    <row r="1493" spans="1:18" hidden="1" x14ac:dyDescent="0.25">
      <c r="A1493" s="264" t="s">
        <v>2089</v>
      </c>
      <c r="B1493" s="265">
        <v>46035</v>
      </c>
      <c r="C1493" s="264" t="s">
        <v>2093</v>
      </c>
      <c r="D1493" s="264" t="s">
        <v>3660</v>
      </c>
      <c r="E1493" s="264" t="s">
        <v>3661</v>
      </c>
      <c r="F1493" s="264" t="s">
        <v>3662</v>
      </c>
      <c r="G1493" s="264" t="s">
        <v>26</v>
      </c>
      <c r="H1493" s="266">
        <v>-20</v>
      </c>
      <c r="I1493" s="266">
        <v>0</v>
      </c>
      <c r="J1493" s="264" t="s">
        <v>3700</v>
      </c>
      <c r="K1493" s="264" t="s">
        <v>2025</v>
      </c>
      <c r="L1493" s="1" t="e">
        <f>VLOOKUP(Advices[[#This Row],[LC Number]],'Combine_List'!A:D,2,0)</f>
        <v>#N/A</v>
      </c>
      <c r="M1493" s="447" t="e">
        <f>VLOOKUP(Advices[[#This Row],[LC Number]],'Combine_List'!A:D,3,0)</f>
        <v>#N/A</v>
      </c>
      <c r="N1493" s="447" t="e">
        <f>VLOOKUP(Advices[[#This Row],[LC Number]],'Combine_List'!A:D,4,0)</f>
        <v>#N/A</v>
      </c>
      <c r="O1493" s="1"/>
      <c r="P1493" s="1">
        <f>MONTH(Advices[[#This Row],[Transaction Date]])</f>
        <v>1</v>
      </c>
      <c r="Q1493" s="1">
        <f>YEAR(Advices[[#This Row],[Transaction Date]])</f>
        <v>2026</v>
      </c>
      <c r="R1493" s="1"/>
    </row>
    <row r="1494" spans="1:18" hidden="1" x14ac:dyDescent="0.25">
      <c r="A1494" s="264" t="s">
        <v>2089</v>
      </c>
      <c r="B1494" s="265">
        <v>46035</v>
      </c>
      <c r="C1494" s="264" t="s">
        <v>2093</v>
      </c>
      <c r="D1494" s="264" t="s">
        <v>3660</v>
      </c>
      <c r="E1494" s="264" t="s">
        <v>3661</v>
      </c>
      <c r="F1494" s="264" t="s">
        <v>3662</v>
      </c>
      <c r="G1494" s="264" t="s">
        <v>26</v>
      </c>
      <c r="H1494" s="266">
        <v>-3</v>
      </c>
      <c r="I1494" s="266">
        <v>0</v>
      </c>
      <c r="J1494" s="264" t="s">
        <v>3700</v>
      </c>
      <c r="K1494" s="264" t="s">
        <v>2025</v>
      </c>
      <c r="L1494" s="1" t="e">
        <f>VLOOKUP(Advices[[#This Row],[LC Number]],'Combine_List'!A:D,2,0)</f>
        <v>#N/A</v>
      </c>
      <c r="M1494" s="447" t="e">
        <f>VLOOKUP(Advices[[#This Row],[LC Number]],'Combine_List'!A:D,3,0)</f>
        <v>#N/A</v>
      </c>
      <c r="N1494" s="447" t="e">
        <f>VLOOKUP(Advices[[#This Row],[LC Number]],'Combine_List'!A:D,4,0)</f>
        <v>#N/A</v>
      </c>
      <c r="O1494" s="264"/>
      <c r="P1494" s="264">
        <f>MONTH(Advices[[#This Row],[Transaction Date]])</f>
        <v>1</v>
      </c>
      <c r="Q1494" s="264">
        <f>YEAR(Advices[[#This Row],[Transaction Date]])</f>
        <v>2026</v>
      </c>
      <c r="R1494" s="1"/>
    </row>
    <row r="1495" spans="1:18" hidden="1" x14ac:dyDescent="0.25">
      <c r="A1495" s="264" t="s">
        <v>612</v>
      </c>
      <c r="B1495" s="265">
        <v>46035</v>
      </c>
      <c r="C1495" s="264" t="s">
        <v>2101</v>
      </c>
      <c r="D1495" s="264" t="s">
        <v>3666</v>
      </c>
      <c r="E1495" s="264" t="s">
        <v>1565</v>
      </c>
      <c r="F1495" s="264" t="s">
        <v>2041</v>
      </c>
      <c r="G1495" s="264" t="s">
        <v>26</v>
      </c>
      <c r="H1495" s="266">
        <v>500</v>
      </c>
      <c r="I1495" s="266">
        <v>0</v>
      </c>
      <c r="J1495" s="264" t="s">
        <v>1124</v>
      </c>
      <c r="K1495" s="264" t="s">
        <v>2025</v>
      </c>
      <c r="L1495" s="1" t="str">
        <f>VLOOKUP(Advices[[#This Row],[LC Number]],'Combine_List'!A:D,2,0)</f>
        <v>Mohammed Ramadan Shat</v>
      </c>
      <c r="M1495" s="447" t="str">
        <f>VLOOKUP(Advices[[#This Row],[LC Number]],'Combine_List'!A:D,3,0)</f>
        <v>FIRST FIX</v>
      </c>
      <c r="N1495" s="447" t="str">
        <f>VLOOKUP(Advices[[#This Row],[LC Number]],'Combine_List'!A:D,4,0)</f>
        <v>RCRC</v>
      </c>
      <c r="O1495" s="1"/>
      <c r="P1495" s="1">
        <f>MONTH(Advices[[#This Row],[Transaction Date]])</f>
        <v>1</v>
      </c>
      <c r="Q1495" s="1">
        <f>YEAR(Advices[[#This Row],[Transaction Date]])</f>
        <v>2026</v>
      </c>
      <c r="R1495" s="1"/>
    </row>
    <row r="1496" spans="1:18" hidden="1" x14ac:dyDescent="0.25">
      <c r="A1496" s="264" t="s">
        <v>612</v>
      </c>
      <c r="B1496" s="265">
        <v>46035</v>
      </c>
      <c r="C1496" s="264" t="s">
        <v>2101</v>
      </c>
      <c r="D1496" s="264" t="s">
        <v>3667</v>
      </c>
      <c r="E1496" s="264" t="s">
        <v>1565</v>
      </c>
      <c r="F1496" s="264" t="s">
        <v>2041</v>
      </c>
      <c r="G1496" s="264" t="s">
        <v>26</v>
      </c>
      <c r="H1496" s="266">
        <v>75</v>
      </c>
      <c r="I1496" s="266">
        <v>0</v>
      </c>
      <c r="J1496" s="264" t="s">
        <v>1174</v>
      </c>
      <c r="K1496" s="264" t="s">
        <v>2025</v>
      </c>
      <c r="L1496" s="1" t="str">
        <f>VLOOKUP(Advices[[#This Row],[LC Number]],'Combine_List'!A:D,2,0)</f>
        <v>Mohammed Ramadan Shat</v>
      </c>
      <c r="M1496" s="447" t="str">
        <f>VLOOKUP(Advices[[#This Row],[LC Number]],'Combine_List'!A:D,3,0)</f>
        <v>FIRST FIX</v>
      </c>
      <c r="N1496" s="447" t="str">
        <f>VLOOKUP(Advices[[#This Row],[LC Number]],'Combine_List'!A:D,4,0)</f>
        <v>RCRC</v>
      </c>
      <c r="O1496" s="1"/>
      <c r="P1496" s="1">
        <f>MONTH(Advices[[#This Row],[Transaction Date]])</f>
        <v>1</v>
      </c>
      <c r="Q1496" s="1">
        <f>YEAR(Advices[[#This Row],[Transaction Date]])</f>
        <v>2026</v>
      </c>
      <c r="R1496" s="1"/>
    </row>
    <row r="1497" spans="1:18" hidden="1" x14ac:dyDescent="0.25">
      <c r="A1497" s="264" t="s">
        <v>612</v>
      </c>
      <c r="B1497" s="265">
        <v>46035</v>
      </c>
      <c r="C1497" s="264" t="s">
        <v>2101</v>
      </c>
      <c r="D1497" s="264" t="s">
        <v>3668</v>
      </c>
      <c r="E1497" s="264" t="s">
        <v>1565</v>
      </c>
      <c r="F1497" s="264" t="s">
        <v>2041</v>
      </c>
      <c r="G1497" s="264" t="s">
        <v>26</v>
      </c>
      <c r="H1497" s="266">
        <v>200</v>
      </c>
      <c r="I1497" s="266">
        <v>0</v>
      </c>
      <c r="J1497" s="264" t="s">
        <v>1124</v>
      </c>
      <c r="K1497" s="264" t="s">
        <v>2025</v>
      </c>
      <c r="L1497" s="1" t="str">
        <f>VLOOKUP(Advices[[#This Row],[LC Number]],'Combine_List'!A:D,2,0)</f>
        <v>Mohammed Ramadan Shat</v>
      </c>
      <c r="M1497" s="447" t="str">
        <f>VLOOKUP(Advices[[#This Row],[LC Number]],'Combine_List'!A:D,3,0)</f>
        <v>FIRST FIX</v>
      </c>
      <c r="N1497" s="447" t="str">
        <f>VLOOKUP(Advices[[#This Row],[LC Number]],'Combine_List'!A:D,4,0)</f>
        <v>RCRC</v>
      </c>
      <c r="O1497" s="1"/>
      <c r="P1497" s="1">
        <f>MONTH(Advices[[#This Row],[Transaction Date]])</f>
        <v>1</v>
      </c>
      <c r="Q1497" s="1">
        <f>YEAR(Advices[[#This Row],[Transaction Date]])</f>
        <v>2026</v>
      </c>
      <c r="R1497" s="1"/>
    </row>
    <row r="1498" spans="1:18" hidden="1" x14ac:dyDescent="0.25">
      <c r="A1498" s="264" t="s">
        <v>612</v>
      </c>
      <c r="B1498" s="265">
        <v>46035</v>
      </c>
      <c r="C1498" s="264" t="s">
        <v>2101</v>
      </c>
      <c r="D1498" s="264" t="s">
        <v>3669</v>
      </c>
      <c r="E1498" s="264" t="s">
        <v>1565</v>
      </c>
      <c r="F1498" s="264" t="s">
        <v>2041</v>
      </c>
      <c r="G1498" s="264" t="s">
        <v>26</v>
      </c>
      <c r="H1498" s="266">
        <v>30</v>
      </c>
      <c r="I1498" s="266">
        <v>0</v>
      </c>
      <c r="J1498" s="264" t="s">
        <v>1174</v>
      </c>
      <c r="K1498" s="264" t="s">
        <v>2025</v>
      </c>
      <c r="L1498" s="1" t="str">
        <f>VLOOKUP(Advices[[#This Row],[LC Number]],'Combine_List'!A:D,2,0)</f>
        <v>Mohammed Ramadan Shat</v>
      </c>
      <c r="M1498" s="447" t="str">
        <f>VLOOKUP(Advices[[#This Row],[LC Number]],'Combine_List'!A:D,3,0)</f>
        <v>FIRST FIX</v>
      </c>
      <c r="N1498" s="447" t="str">
        <f>VLOOKUP(Advices[[#This Row],[LC Number]],'Combine_List'!A:D,4,0)</f>
        <v>RCRC</v>
      </c>
      <c r="O1498" s="1"/>
      <c r="P1498" s="1">
        <f>MONTH(Advices[[#This Row],[Transaction Date]])</f>
        <v>1</v>
      </c>
      <c r="Q1498" s="1">
        <f>YEAR(Advices[[#This Row],[Transaction Date]])</f>
        <v>2026</v>
      </c>
      <c r="R1498" s="1"/>
    </row>
    <row r="1499" spans="1:18" hidden="1" x14ac:dyDescent="0.25">
      <c r="A1499" s="264" t="s">
        <v>612</v>
      </c>
      <c r="B1499" s="265">
        <v>46035</v>
      </c>
      <c r="C1499" s="264" t="s">
        <v>2101</v>
      </c>
      <c r="D1499" s="264" t="s">
        <v>3670</v>
      </c>
      <c r="E1499" s="264" t="s">
        <v>1396</v>
      </c>
      <c r="F1499" s="264" t="s">
        <v>2041</v>
      </c>
      <c r="G1499" s="264" t="s">
        <v>26</v>
      </c>
      <c r="H1499" s="266">
        <v>500</v>
      </c>
      <c r="I1499" s="266">
        <v>0</v>
      </c>
      <c r="J1499" s="264" t="s">
        <v>1124</v>
      </c>
      <c r="K1499" s="264" t="s">
        <v>2025</v>
      </c>
      <c r="L1499" s="1" t="str">
        <f>VLOOKUP(Advices[[#This Row],[LC Number]],'Combine_List'!A:D,2,0)</f>
        <v>Baamer Group for Trading Company</v>
      </c>
      <c r="M1499" s="447" t="str">
        <f>VLOOKUP(Advices[[#This Row],[LC Number]],'Combine_List'!A:D,3,0)</f>
        <v>FIRST FIX</v>
      </c>
      <c r="N1499" s="447" t="str">
        <f>VLOOKUP(Advices[[#This Row],[LC Number]],'Combine_List'!A:D,4,0)</f>
        <v>RCRC</v>
      </c>
      <c r="O1499" s="1"/>
      <c r="P1499" s="1">
        <f>MONTH(Advices[[#This Row],[Transaction Date]])</f>
        <v>1</v>
      </c>
      <c r="Q1499" s="1">
        <f>YEAR(Advices[[#This Row],[Transaction Date]])</f>
        <v>2026</v>
      </c>
      <c r="R1499" s="1"/>
    </row>
    <row r="1500" spans="1:18" hidden="1" x14ac:dyDescent="0.25">
      <c r="A1500" s="264" t="s">
        <v>612</v>
      </c>
      <c r="B1500" s="265">
        <v>46035</v>
      </c>
      <c r="C1500" s="264" t="s">
        <v>2101</v>
      </c>
      <c r="D1500" s="264" t="s">
        <v>3671</v>
      </c>
      <c r="E1500" s="264" t="s">
        <v>1396</v>
      </c>
      <c r="F1500" s="264" t="s">
        <v>2041</v>
      </c>
      <c r="G1500" s="264" t="s">
        <v>26</v>
      </c>
      <c r="H1500" s="266">
        <v>75</v>
      </c>
      <c r="I1500" s="266">
        <v>0</v>
      </c>
      <c r="J1500" s="264" t="s">
        <v>1174</v>
      </c>
      <c r="K1500" s="264" t="s">
        <v>2025</v>
      </c>
      <c r="L1500" s="1" t="str">
        <f>VLOOKUP(Advices[[#This Row],[LC Number]],'Combine_List'!A:D,2,0)</f>
        <v>Baamer Group for Trading Company</v>
      </c>
      <c r="M1500" s="447" t="str">
        <f>VLOOKUP(Advices[[#This Row],[LC Number]],'Combine_List'!A:D,3,0)</f>
        <v>FIRST FIX</v>
      </c>
      <c r="N1500" s="447" t="str">
        <f>VLOOKUP(Advices[[#This Row],[LC Number]],'Combine_List'!A:D,4,0)</f>
        <v>RCRC</v>
      </c>
      <c r="O1500" s="1"/>
      <c r="P1500" s="1">
        <f>MONTH(Advices[[#This Row],[Transaction Date]])</f>
        <v>1</v>
      </c>
      <c r="Q1500" s="1">
        <f>YEAR(Advices[[#This Row],[Transaction Date]])</f>
        <v>2026</v>
      </c>
      <c r="R1500" s="1"/>
    </row>
    <row r="1501" spans="1:18" hidden="1" x14ac:dyDescent="0.25">
      <c r="A1501" s="264" t="s">
        <v>612</v>
      </c>
      <c r="B1501" s="265">
        <v>46035</v>
      </c>
      <c r="C1501" s="264" t="s">
        <v>2101</v>
      </c>
      <c r="D1501" s="264" t="s">
        <v>3672</v>
      </c>
      <c r="E1501" s="264" t="s">
        <v>1396</v>
      </c>
      <c r="F1501" s="264" t="s">
        <v>2041</v>
      </c>
      <c r="G1501" s="264" t="s">
        <v>26</v>
      </c>
      <c r="H1501" s="266">
        <v>200</v>
      </c>
      <c r="I1501" s="266">
        <v>0</v>
      </c>
      <c r="J1501" s="264" t="s">
        <v>1124</v>
      </c>
      <c r="K1501" s="264" t="s">
        <v>2025</v>
      </c>
      <c r="L1501" s="1" t="str">
        <f>VLOOKUP(Advices[[#This Row],[LC Number]],'Combine_List'!A:D,2,0)</f>
        <v>Baamer Group for Trading Company</v>
      </c>
      <c r="M1501" s="447" t="str">
        <f>VLOOKUP(Advices[[#This Row],[LC Number]],'Combine_List'!A:D,3,0)</f>
        <v>FIRST FIX</v>
      </c>
      <c r="N1501" s="447" t="str">
        <f>VLOOKUP(Advices[[#This Row],[LC Number]],'Combine_List'!A:D,4,0)</f>
        <v>RCRC</v>
      </c>
      <c r="O1501" s="1"/>
      <c r="P1501" s="1">
        <f>MONTH(Advices[[#This Row],[Transaction Date]])</f>
        <v>1</v>
      </c>
      <c r="Q1501" s="1">
        <f>YEAR(Advices[[#This Row],[Transaction Date]])</f>
        <v>2026</v>
      </c>
      <c r="R1501" s="1"/>
    </row>
    <row r="1502" spans="1:18" hidden="1" x14ac:dyDescent="0.25">
      <c r="A1502" s="264" t="s">
        <v>612</v>
      </c>
      <c r="B1502" s="265">
        <v>46035</v>
      </c>
      <c r="C1502" s="264" t="s">
        <v>2101</v>
      </c>
      <c r="D1502" s="264" t="s">
        <v>3673</v>
      </c>
      <c r="E1502" s="264" t="s">
        <v>1396</v>
      </c>
      <c r="F1502" s="264" t="s">
        <v>2041</v>
      </c>
      <c r="G1502" s="264" t="s">
        <v>26</v>
      </c>
      <c r="H1502" s="266">
        <v>30</v>
      </c>
      <c r="I1502" s="266">
        <v>0</v>
      </c>
      <c r="J1502" s="264" t="s">
        <v>1174</v>
      </c>
      <c r="K1502" s="264" t="s">
        <v>2025</v>
      </c>
      <c r="L1502" s="1" t="str">
        <f>VLOOKUP(Advices[[#This Row],[LC Number]],'Combine_List'!A:D,2,0)</f>
        <v>Baamer Group for Trading Company</v>
      </c>
      <c r="M1502" s="447" t="str">
        <f>VLOOKUP(Advices[[#This Row],[LC Number]],'Combine_List'!A:D,3,0)</f>
        <v>FIRST FIX</v>
      </c>
      <c r="N1502" s="447" t="str">
        <f>VLOOKUP(Advices[[#This Row],[LC Number]],'Combine_List'!A:D,4,0)</f>
        <v>RCRC</v>
      </c>
      <c r="O1502" s="1"/>
      <c r="P1502" s="1">
        <f>MONTH(Advices[[#This Row],[Transaction Date]])</f>
        <v>1</v>
      </c>
      <c r="Q1502" s="1">
        <f>YEAR(Advices[[#This Row],[Transaction Date]])</f>
        <v>2026</v>
      </c>
      <c r="R1502" s="1"/>
    </row>
    <row r="1503" spans="1:18" hidden="1" x14ac:dyDescent="0.25">
      <c r="A1503" s="264" t="s">
        <v>612</v>
      </c>
      <c r="B1503" s="265">
        <v>46035</v>
      </c>
      <c r="C1503" s="264" t="s">
        <v>2101</v>
      </c>
      <c r="D1503" s="264" t="s">
        <v>3674</v>
      </c>
      <c r="E1503" s="264" t="s">
        <v>722</v>
      </c>
      <c r="F1503" s="264" t="s">
        <v>2041</v>
      </c>
      <c r="G1503" s="264" t="s">
        <v>26</v>
      </c>
      <c r="H1503" s="266">
        <v>1079.6199999999999</v>
      </c>
      <c r="I1503" s="266">
        <v>0</v>
      </c>
      <c r="J1503" s="264" t="s">
        <v>1124</v>
      </c>
      <c r="K1503" s="264" t="s">
        <v>2025</v>
      </c>
      <c r="L1503" s="1" t="str">
        <f>VLOOKUP(Advices[[#This Row],[LC Number]],'Combine_List'!A:D,2,0)</f>
        <v>Saudi Hepco Co. Ltd</v>
      </c>
      <c r="M1503" s="447" t="str">
        <f>VLOOKUP(Advices[[#This Row],[LC Number]],'Combine_List'!A:D,3,0)</f>
        <v>FIRST FIX</v>
      </c>
      <c r="N1503" s="447" t="str">
        <f>VLOOKUP(Advices[[#This Row],[LC Number]],'Combine_List'!A:D,4,0)</f>
        <v>RCRC</v>
      </c>
      <c r="O1503" s="1"/>
      <c r="P1503" s="1">
        <f>MONTH(Advices[[#This Row],[Transaction Date]])</f>
        <v>1</v>
      </c>
      <c r="Q1503" s="1">
        <f>YEAR(Advices[[#This Row],[Transaction Date]])</f>
        <v>2026</v>
      </c>
      <c r="R1503" s="1"/>
    </row>
    <row r="1504" spans="1:18" hidden="1" x14ac:dyDescent="0.25">
      <c r="A1504" s="264" t="s">
        <v>612</v>
      </c>
      <c r="B1504" s="265">
        <v>46035</v>
      </c>
      <c r="C1504" s="264" t="s">
        <v>2101</v>
      </c>
      <c r="D1504" s="264" t="s">
        <v>3675</v>
      </c>
      <c r="E1504" s="264" t="s">
        <v>722</v>
      </c>
      <c r="F1504" s="264" t="s">
        <v>2041</v>
      </c>
      <c r="G1504" s="264" t="s">
        <v>26</v>
      </c>
      <c r="H1504" s="266">
        <v>161.94</v>
      </c>
      <c r="I1504" s="266">
        <v>0</v>
      </c>
      <c r="J1504" s="264" t="s">
        <v>1174</v>
      </c>
      <c r="K1504" s="264" t="s">
        <v>2025</v>
      </c>
      <c r="L1504" s="1" t="str">
        <f>VLOOKUP(Advices[[#This Row],[LC Number]],'Combine_List'!A:D,2,0)</f>
        <v>Saudi Hepco Co. Ltd</v>
      </c>
      <c r="M1504" s="447" t="str">
        <f>VLOOKUP(Advices[[#This Row],[LC Number]],'Combine_List'!A:D,3,0)</f>
        <v>FIRST FIX</v>
      </c>
      <c r="N1504" s="447" t="str">
        <f>VLOOKUP(Advices[[#This Row],[LC Number]],'Combine_List'!A:D,4,0)</f>
        <v>RCRC</v>
      </c>
      <c r="O1504" s="1"/>
      <c r="P1504" s="1">
        <f>MONTH(Advices[[#This Row],[Transaction Date]])</f>
        <v>1</v>
      </c>
      <c r="Q1504" s="1">
        <f>YEAR(Advices[[#This Row],[Transaction Date]])</f>
        <v>2026</v>
      </c>
      <c r="R1504" s="1"/>
    </row>
    <row r="1505" spans="1:18" hidden="1" x14ac:dyDescent="0.25">
      <c r="A1505" s="264" t="s">
        <v>612</v>
      </c>
      <c r="B1505" s="265">
        <v>46035</v>
      </c>
      <c r="C1505" s="264" t="s">
        <v>2101</v>
      </c>
      <c r="D1505" s="264" t="s">
        <v>3676</v>
      </c>
      <c r="E1505" s="264" t="s">
        <v>722</v>
      </c>
      <c r="F1505" s="264" t="s">
        <v>2041</v>
      </c>
      <c r="G1505" s="264" t="s">
        <v>26</v>
      </c>
      <c r="H1505" s="266">
        <v>200</v>
      </c>
      <c r="I1505" s="266">
        <v>0</v>
      </c>
      <c r="J1505" s="264" t="s">
        <v>1124</v>
      </c>
      <c r="K1505" s="264" t="s">
        <v>2025</v>
      </c>
      <c r="L1505" s="1" t="str">
        <f>VLOOKUP(Advices[[#This Row],[LC Number]],'Combine_List'!A:D,2,0)</f>
        <v>Saudi Hepco Co. Ltd</v>
      </c>
      <c r="M1505" s="447" t="str">
        <f>VLOOKUP(Advices[[#This Row],[LC Number]],'Combine_List'!A:D,3,0)</f>
        <v>FIRST FIX</v>
      </c>
      <c r="N1505" s="447" t="str">
        <f>VLOOKUP(Advices[[#This Row],[LC Number]],'Combine_List'!A:D,4,0)</f>
        <v>RCRC</v>
      </c>
      <c r="O1505" s="1"/>
      <c r="P1505" s="1">
        <f>MONTH(Advices[[#This Row],[Transaction Date]])</f>
        <v>1</v>
      </c>
      <c r="Q1505" s="1">
        <f>YEAR(Advices[[#This Row],[Transaction Date]])</f>
        <v>2026</v>
      </c>
      <c r="R1505" s="1"/>
    </row>
    <row r="1506" spans="1:18" hidden="1" x14ac:dyDescent="0.25">
      <c r="A1506" s="264" t="s">
        <v>612</v>
      </c>
      <c r="B1506" s="265">
        <v>46035</v>
      </c>
      <c r="C1506" s="264" t="s">
        <v>2101</v>
      </c>
      <c r="D1506" s="264" t="s">
        <v>3677</v>
      </c>
      <c r="E1506" s="264" t="s">
        <v>722</v>
      </c>
      <c r="F1506" s="264" t="s">
        <v>2041</v>
      </c>
      <c r="G1506" s="264" t="s">
        <v>26</v>
      </c>
      <c r="H1506" s="266">
        <v>30</v>
      </c>
      <c r="I1506" s="266">
        <v>0</v>
      </c>
      <c r="J1506" s="264" t="s">
        <v>1174</v>
      </c>
      <c r="K1506" s="264" t="s">
        <v>2025</v>
      </c>
      <c r="L1506" s="1" t="str">
        <f>VLOOKUP(Advices[[#This Row],[LC Number]],'Combine_List'!A:D,2,0)</f>
        <v>Saudi Hepco Co. Ltd</v>
      </c>
      <c r="M1506" s="447" t="str">
        <f>VLOOKUP(Advices[[#This Row],[LC Number]],'Combine_List'!A:D,3,0)</f>
        <v>FIRST FIX</v>
      </c>
      <c r="N1506" s="447" t="str">
        <f>VLOOKUP(Advices[[#This Row],[LC Number]],'Combine_List'!A:D,4,0)</f>
        <v>RCRC</v>
      </c>
      <c r="O1506" s="1"/>
      <c r="P1506" s="1">
        <f>MONTH(Advices[[#This Row],[Transaction Date]])</f>
        <v>1</v>
      </c>
      <c r="Q1506" s="1">
        <f>YEAR(Advices[[#This Row],[Transaction Date]])</f>
        <v>2026</v>
      </c>
      <c r="R1506" s="1"/>
    </row>
    <row r="1507" spans="1:18" hidden="1" x14ac:dyDescent="0.25">
      <c r="A1507" s="264" t="s">
        <v>612</v>
      </c>
      <c r="B1507" s="265">
        <v>46035</v>
      </c>
      <c r="C1507" s="264" t="s">
        <v>2101</v>
      </c>
      <c r="D1507" s="264" t="s">
        <v>3678</v>
      </c>
      <c r="E1507" s="264" t="s">
        <v>1447</v>
      </c>
      <c r="F1507" s="264" t="s">
        <v>2041</v>
      </c>
      <c r="G1507" s="264" t="s">
        <v>26</v>
      </c>
      <c r="H1507" s="266">
        <v>652.12</v>
      </c>
      <c r="I1507" s="266">
        <v>0</v>
      </c>
      <c r="J1507" s="264" t="s">
        <v>1124</v>
      </c>
      <c r="K1507" s="264" t="s">
        <v>2025</v>
      </c>
      <c r="L1507" s="1" t="str">
        <f>VLOOKUP(Advices[[#This Row],[LC Number]],'Combine_List'!A:D,2,0)</f>
        <v>Metal and Glass Trading Co</v>
      </c>
      <c r="M1507" s="447" t="str">
        <f>VLOOKUP(Advices[[#This Row],[LC Number]],'Combine_List'!A:D,3,0)</f>
        <v>FIRST FIX</v>
      </c>
      <c r="N1507" s="447" t="str">
        <f>VLOOKUP(Advices[[#This Row],[LC Number]],'Combine_List'!A:D,4,0)</f>
        <v>RCRC</v>
      </c>
      <c r="O1507" s="1"/>
      <c r="P1507" s="1">
        <f>MONTH(Advices[[#This Row],[Transaction Date]])</f>
        <v>1</v>
      </c>
      <c r="Q1507" s="1">
        <f>YEAR(Advices[[#This Row],[Transaction Date]])</f>
        <v>2026</v>
      </c>
      <c r="R1507" s="1"/>
    </row>
    <row r="1508" spans="1:18" hidden="1" x14ac:dyDescent="0.25">
      <c r="A1508" s="264" t="s">
        <v>612</v>
      </c>
      <c r="B1508" s="265">
        <v>46035</v>
      </c>
      <c r="C1508" s="264" t="s">
        <v>2101</v>
      </c>
      <c r="D1508" s="264" t="s">
        <v>3679</v>
      </c>
      <c r="E1508" s="264" t="s">
        <v>1447</v>
      </c>
      <c r="F1508" s="264" t="s">
        <v>2041</v>
      </c>
      <c r="G1508" s="264" t="s">
        <v>26</v>
      </c>
      <c r="H1508" s="266">
        <v>97.82</v>
      </c>
      <c r="I1508" s="266">
        <v>0</v>
      </c>
      <c r="J1508" s="264" t="s">
        <v>1174</v>
      </c>
      <c r="K1508" s="264" t="s">
        <v>2025</v>
      </c>
      <c r="L1508" s="1" t="str">
        <f>VLOOKUP(Advices[[#This Row],[LC Number]],'Combine_List'!A:D,2,0)</f>
        <v>Metal and Glass Trading Co</v>
      </c>
      <c r="M1508" s="447" t="str">
        <f>VLOOKUP(Advices[[#This Row],[LC Number]],'Combine_List'!A:D,3,0)</f>
        <v>FIRST FIX</v>
      </c>
      <c r="N1508" s="447" t="str">
        <f>VLOOKUP(Advices[[#This Row],[LC Number]],'Combine_List'!A:D,4,0)</f>
        <v>RCRC</v>
      </c>
      <c r="O1508" s="1"/>
      <c r="P1508" s="1">
        <f>MONTH(Advices[[#This Row],[Transaction Date]])</f>
        <v>1</v>
      </c>
      <c r="Q1508" s="1">
        <f>YEAR(Advices[[#This Row],[Transaction Date]])</f>
        <v>2026</v>
      </c>
      <c r="R1508" s="1"/>
    </row>
    <row r="1509" spans="1:18" hidden="1" x14ac:dyDescent="0.25">
      <c r="A1509" s="264" t="s">
        <v>612</v>
      </c>
      <c r="B1509" s="265">
        <v>46035</v>
      </c>
      <c r="C1509" s="264" t="s">
        <v>2101</v>
      </c>
      <c r="D1509" s="264" t="s">
        <v>3680</v>
      </c>
      <c r="E1509" s="264" t="s">
        <v>1447</v>
      </c>
      <c r="F1509" s="264" t="s">
        <v>2041</v>
      </c>
      <c r="G1509" s="264" t="s">
        <v>26</v>
      </c>
      <c r="H1509" s="266">
        <v>200</v>
      </c>
      <c r="I1509" s="266">
        <v>0</v>
      </c>
      <c r="J1509" s="264" t="s">
        <v>1124</v>
      </c>
      <c r="K1509" s="264" t="s">
        <v>2025</v>
      </c>
      <c r="L1509" s="1" t="str">
        <f>VLOOKUP(Advices[[#This Row],[LC Number]],'Combine_List'!A:D,2,0)</f>
        <v>Metal and Glass Trading Co</v>
      </c>
      <c r="M1509" s="447" t="str">
        <f>VLOOKUP(Advices[[#This Row],[LC Number]],'Combine_List'!A:D,3,0)</f>
        <v>FIRST FIX</v>
      </c>
      <c r="N1509" s="447" t="str">
        <f>VLOOKUP(Advices[[#This Row],[LC Number]],'Combine_List'!A:D,4,0)</f>
        <v>RCRC</v>
      </c>
      <c r="O1509" s="1"/>
      <c r="P1509" s="1">
        <f>MONTH(Advices[[#This Row],[Transaction Date]])</f>
        <v>1</v>
      </c>
      <c r="Q1509" s="1">
        <f>YEAR(Advices[[#This Row],[Transaction Date]])</f>
        <v>2026</v>
      </c>
      <c r="R1509" s="1"/>
    </row>
    <row r="1510" spans="1:18" hidden="1" x14ac:dyDescent="0.25">
      <c r="A1510" s="264" t="s">
        <v>612</v>
      </c>
      <c r="B1510" s="265">
        <v>46035</v>
      </c>
      <c r="C1510" s="264" t="s">
        <v>2101</v>
      </c>
      <c r="D1510" s="264" t="s">
        <v>3681</v>
      </c>
      <c r="E1510" s="264" t="s">
        <v>1447</v>
      </c>
      <c r="F1510" s="264" t="s">
        <v>2041</v>
      </c>
      <c r="G1510" s="264" t="s">
        <v>26</v>
      </c>
      <c r="H1510" s="266">
        <v>30</v>
      </c>
      <c r="I1510" s="266">
        <v>0</v>
      </c>
      <c r="J1510" s="264" t="s">
        <v>1174</v>
      </c>
      <c r="K1510" s="264" t="s">
        <v>2025</v>
      </c>
      <c r="L1510" s="1" t="str">
        <f>VLOOKUP(Advices[[#This Row],[LC Number]],'Combine_List'!A:D,2,0)</f>
        <v>Metal and Glass Trading Co</v>
      </c>
      <c r="M1510" s="447" t="str">
        <f>VLOOKUP(Advices[[#This Row],[LC Number]],'Combine_List'!A:D,3,0)</f>
        <v>FIRST FIX</v>
      </c>
      <c r="N1510" s="447" t="str">
        <f>VLOOKUP(Advices[[#This Row],[LC Number]],'Combine_List'!A:D,4,0)</f>
        <v>RCRC</v>
      </c>
      <c r="O1510" s="1"/>
      <c r="P1510" s="1">
        <f>MONTH(Advices[[#This Row],[Transaction Date]])</f>
        <v>1</v>
      </c>
      <c r="Q1510" s="1">
        <f>YEAR(Advices[[#This Row],[Transaction Date]])</f>
        <v>2026</v>
      </c>
      <c r="R1510" s="1"/>
    </row>
    <row r="1511" spans="1:18" hidden="1" x14ac:dyDescent="0.25">
      <c r="A1511" s="264" t="s">
        <v>612</v>
      </c>
      <c r="B1511" s="265">
        <v>46035</v>
      </c>
      <c r="C1511" s="264" t="s">
        <v>2101</v>
      </c>
      <c r="D1511" s="264" t="s">
        <v>3682</v>
      </c>
      <c r="E1511" s="264" t="s">
        <v>734</v>
      </c>
      <c r="F1511" s="264" t="s">
        <v>2041</v>
      </c>
      <c r="G1511" s="264" t="s">
        <v>26</v>
      </c>
      <c r="H1511" s="266">
        <v>500</v>
      </c>
      <c r="I1511" s="266">
        <v>0</v>
      </c>
      <c r="J1511" s="264" t="s">
        <v>1124</v>
      </c>
      <c r="K1511" s="264" t="s">
        <v>2025</v>
      </c>
      <c r="L1511" s="1" t="str">
        <f>VLOOKUP(Advices[[#This Row],[LC Number]],'Combine_List'!A:D,2,0)</f>
        <v>SITE TECHNOLOGY SAUDI ARABIA LTD</v>
      </c>
      <c r="M1511" s="447" t="str">
        <f>VLOOKUP(Advices[[#This Row],[LC Number]],'Combine_List'!A:D,3,0)</f>
        <v>FIRST FIX</v>
      </c>
      <c r="N1511" s="447" t="str">
        <f>VLOOKUP(Advices[[#This Row],[LC Number]],'Combine_List'!A:D,4,0)</f>
        <v>RCRC</v>
      </c>
      <c r="O1511" s="1"/>
      <c r="P1511" s="1">
        <f>MONTH(Advices[[#This Row],[Transaction Date]])</f>
        <v>1</v>
      </c>
      <c r="Q1511" s="1">
        <f>YEAR(Advices[[#This Row],[Transaction Date]])</f>
        <v>2026</v>
      </c>
      <c r="R1511" s="1"/>
    </row>
    <row r="1512" spans="1:18" hidden="1" x14ac:dyDescent="0.25">
      <c r="A1512" s="264" t="s">
        <v>612</v>
      </c>
      <c r="B1512" s="265">
        <v>46035</v>
      </c>
      <c r="C1512" s="264" t="s">
        <v>2101</v>
      </c>
      <c r="D1512" s="264" t="s">
        <v>3683</v>
      </c>
      <c r="E1512" s="264" t="s">
        <v>734</v>
      </c>
      <c r="F1512" s="264" t="s">
        <v>2041</v>
      </c>
      <c r="G1512" s="264" t="s">
        <v>26</v>
      </c>
      <c r="H1512" s="266">
        <v>75</v>
      </c>
      <c r="I1512" s="266">
        <v>0</v>
      </c>
      <c r="J1512" s="264" t="s">
        <v>1174</v>
      </c>
      <c r="K1512" s="264" t="s">
        <v>2025</v>
      </c>
      <c r="L1512" s="1" t="str">
        <f>VLOOKUP(Advices[[#This Row],[LC Number]],'Combine_List'!A:D,2,0)</f>
        <v>SITE TECHNOLOGY SAUDI ARABIA LTD</v>
      </c>
      <c r="M1512" s="447" t="str">
        <f>VLOOKUP(Advices[[#This Row],[LC Number]],'Combine_List'!A:D,3,0)</f>
        <v>FIRST FIX</v>
      </c>
      <c r="N1512" s="447" t="str">
        <f>VLOOKUP(Advices[[#This Row],[LC Number]],'Combine_List'!A:D,4,0)</f>
        <v>RCRC</v>
      </c>
      <c r="O1512" s="1"/>
      <c r="P1512" s="1">
        <f>MONTH(Advices[[#This Row],[Transaction Date]])</f>
        <v>1</v>
      </c>
      <c r="Q1512" s="1">
        <f>YEAR(Advices[[#This Row],[Transaction Date]])</f>
        <v>2026</v>
      </c>
      <c r="R1512" s="1"/>
    </row>
    <row r="1513" spans="1:18" hidden="1" x14ac:dyDescent="0.25">
      <c r="A1513" s="264" t="s">
        <v>612</v>
      </c>
      <c r="B1513" s="265">
        <v>46035</v>
      </c>
      <c r="C1513" s="264" t="s">
        <v>2101</v>
      </c>
      <c r="D1513" s="264" t="s">
        <v>3684</v>
      </c>
      <c r="E1513" s="264" t="s">
        <v>734</v>
      </c>
      <c r="F1513" s="264" t="s">
        <v>2041</v>
      </c>
      <c r="G1513" s="264" t="s">
        <v>26</v>
      </c>
      <c r="H1513" s="266">
        <v>200</v>
      </c>
      <c r="I1513" s="266">
        <v>0</v>
      </c>
      <c r="J1513" s="264" t="s">
        <v>1124</v>
      </c>
      <c r="K1513" s="264" t="s">
        <v>2025</v>
      </c>
      <c r="L1513" s="1" t="str">
        <f>VLOOKUP(Advices[[#This Row],[LC Number]],'Combine_List'!A:D,2,0)</f>
        <v>SITE TECHNOLOGY SAUDI ARABIA LTD</v>
      </c>
      <c r="M1513" s="447" t="str">
        <f>VLOOKUP(Advices[[#This Row],[LC Number]],'Combine_List'!A:D,3,0)</f>
        <v>FIRST FIX</v>
      </c>
      <c r="N1513" s="447" t="str">
        <f>VLOOKUP(Advices[[#This Row],[LC Number]],'Combine_List'!A:D,4,0)</f>
        <v>RCRC</v>
      </c>
      <c r="O1513" s="1"/>
      <c r="P1513" s="1">
        <f>MONTH(Advices[[#This Row],[Transaction Date]])</f>
        <v>1</v>
      </c>
      <c r="Q1513" s="1">
        <f>YEAR(Advices[[#This Row],[Transaction Date]])</f>
        <v>2026</v>
      </c>
      <c r="R1513" s="1"/>
    </row>
    <row r="1514" spans="1:18" hidden="1" x14ac:dyDescent="0.25">
      <c r="A1514" s="264" t="s">
        <v>612</v>
      </c>
      <c r="B1514" s="265">
        <v>46035</v>
      </c>
      <c r="C1514" s="264" t="s">
        <v>2101</v>
      </c>
      <c r="D1514" s="264" t="s">
        <v>3685</v>
      </c>
      <c r="E1514" s="264" t="s">
        <v>734</v>
      </c>
      <c r="F1514" s="264" t="s">
        <v>2041</v>
      </c>
      <c r="G1514" s="264" t="s">
        <v>26</v>
      </c>
      <c r="H1514" s="266">
        <v>30</v>
      </c>
      <c r="I1514" s="266">
        <v>0</v>
      </c>
      <c r="J1514" s="264" t="s">
        <v>1174</v>
      </c>
      <c r="K1514" s="264" t="s">
        <v>2025</v>
      </c>
      <c r="L1514" s="1" t="str">
        <f>VLOOKUP(Advices[[#This Row],[LC Number]],'Combine_List'!A:D,2,0)</f>
        <v>SITE TECHNOLOGY SAUDI ARABIA LTD</v>
      </c>
      <c r="M1514" s="447" t="str">
        <f>VLOOKUP(Advices[[#This Row],[LC Number]],'Combine_List'!A:D,3,0)</f>
        <v>FIRST FIX</v>
      </c>
      <c r="N1514" s="447" t="str">
        <f>VLOOKUP(Advices[[#This Row],[LC Number]],'Combine_List'!A:D,4,0)</f>
        <v>RCRC</v>
      </c>
      <c r="O1514" s="1"/>
      <c r="P1514" s="1">
        <f>MONTH(Advices[[#This Row],[Transaction Date]])</f>
        <v>1</v>
      </c>
      <c r="Q1514" s="1">
        <f>YEAR(Advices[[#This Row],[Transaction Date]])</f>
        <v>2026</v>
      </c>
      <c r="R1514" s="1"/>
    </row>
    <row r="1515" spans="1:18" hidden="1" x14ac:dyDescent="0.25">
      <c r="A1515" s="264" t="s">
        <v>612</v>
      </c>
      <c r="B1515" s="265">
        <v>46035</v>
      </c>
      <c r="C1515" s="264" t="s">
        <v>2101</v>
      </c>
      <c r="D1515" s="264" t="s">
        <v>3686</v>
      </c>
      <c r="E1515" s="264" t="s">
        <v>1560</v>
      </c>
      <c r="F1515" s="264" t="s">
        <v>2041</v>
      </c>
      <c r="G1515" s="264" t="s">
        <v>26</v>
      </c>
      <c r="H1515" s="266">
        <v>500</v>
      </c>
      <c r="I1515" s="266">
        <v>0</v>
      </c>
      <c r="J1515" s="264" t="s">
        <v>1124</v>
      </c>
      <c r="K1515" s="264" t="s">
        <v>2025</v>
      </c>
      <c r="L1515" s="1" t="str">
        <f>VLOOKUP(Advices[[#This Row],[LC Number]],'Combine_List'!A:D,2,0)</f>
        <v>Ealla For General Contracting</v>
      </c>
      <c r="M1515" s="447" t="str">
        <f>VLOOKUP(Advices[[#This Row],[LC Number]],'Combine_List'!A:D,3,0)</f>
        <v>FIRST FIX</v>
      </c>
      <c r="N1515" s="447" t="str">
        <f>VLOOKUP(Advices[[#This Row],[LC Number]],'Combine_List'!A:D,4,0)</f>
        <v>RCRC</v>
      </c>
      <c r="O1515" s="1"/>
      <c r="P1515" s="1">
        <f>MONTH(Advices[[#This Row],[Transaction Date]])</f>
        <v>1</v>
      </c>
      <c r="Q1515" s="1">
        <f>YEAR(Advices[[#This Row],[Transaction Date]])</f>
        <v>2026</v>
      </c>
      <c r="R1515" s="1"/>
    </row>
    <row r="1516" spans="1:18" hidden="1" x14ac:dyDescent="0.25">
      <c r="A1516" s="264" t="s">
        <v>612</v>
      </c>
      <c r="B1516" s="265">
        <v>46035</v>
      </c>
      <c r="C1516" s="264" t="s">
        <v>2101</v>
      </c>
      <c r="D1516" s="264" t="s">
        <v>3687</v>
      </c>
      <c r="E1516" s="264" t="s">
        <v>1560</v>
      </c>
      <c r="F1516" s="264" t="s">
        <v>2041</v>
      </c>
      <c r="G1516" s="264" t="s">
        <v>26</v>
      </c>
      <c r="H1516" s="266">
        <v>75</v>
      </c>
      <c r="I1516" s="266">
        <v>0</v>
      </c>
      <c r="J1516" s="264" t="s">
        <v>1174</v>
      </c>
      <c r="K1516" s="264" t="s">
        <v>2025</v>
      </c>
      <c r="L1516" s="1" t="str">
        <f>VLOOKUP(Advices[[#This Row],[LC Number]],'Combine_List'!A:D,2,0)</f>
        <v>Ealla For General Contracting</v>
      </c>
      <c r="M1516" s="447" t="str">
        <f>VLOOKUP(Advices[[#This Row],[LC Number]],'Combine_List'!A:D,3,0)</f>
        <v>FIRST FIX</v>
      </c>
      <c r="N1516" s="447" t="str">
        <f>VLOOKUP(Advices[[#This Row],[LC Number]],'Combine_List'!A:D,4,0)</f>
        <v>RCRC</v>
      </c>
      <c r="O1516" s="1"/>
      <c r="P1516" s="1">
        <f>MONTH(Advices[[#This Row],[Transaction Date]])</f>
        <v>1</v>
      </c>
      <c r="Q1516" s="1">
        <f>YEAR(Advices[[#This Row],[Transaction Date]])</f>
        <v>2026</v>
      </c>
      <c r="R1516" s="1"/>
    </row>
    <row r="1517" spans="1:18" hidden="1" x14ac:dyDescent="0.25">
      <c r="A1517" s="264" t="s">
        <v>612</v>
      </c>
      <c r="B1517" s="265">
        <v>46035</v>
      </c>
      <c r="C1517" s="264" t="s">
        <v>2101</v>
      </c>
      <c r="D1517" s="264" t="s">
        <v>3688</v>
      </c>
      <c r="E1517" s="264" t="s">
        <v>1560</v>
      </c>
      <c r="F1517" s="264" t="s">
        <v>2041</v>
      </c>
      <c r="G1517" s="264" t="s">
        <v>26</v>
      </c>
      <c r="H1517" s="266">
        <v>200</v>
      </c>
      <c r="I1517" s="266">
        <v>0</v>
      </c>
      <c r="J1517" s="264" t="s">
        <v>1124</v>
      </c>
      <c r="K1517" s="264" t="s">
        <v>2025</v>
      </c>
      <c r="L1517" s="1" t="str">
        <f>VLOOKUP(Advices[[#This Row],[LC Number]],'Combine_List'!A:D,2,0)</f>
        <v>Ealla For General Contracting</v>
      </c>
      <c r="M1517" s="447" t="str">
        <f>VLOOKUP(Advices[[#This Row],[LC Number]],'Combine_List'!A:D,3,0)</f>
        <v>FIRST FIX</v>
      </c>
      <c r="N1517" s="447" t="str">
        <f>VLOOKUP(Advices[[#This Row],[LC Number]],'Combine_List'!A:D,4,0)</f>
        <v>RCRC</v>
      </c>
      <c r="O1517" s="1"/>
      <c r="P1517" s="1">
        <f>MONTH(Advices[[#This Row],[Transaction Date]])</f>
        <v>1</v>
      </c>
      <c r="Q1517" s="1">
        <f>YEAR(Advices[[#This Row],[Transaction Date]])</f>
        <v>2026</v>
      </c>
      <c r="R1517" s="1"/>
    </row>
    <row r="1518" spans="1:18" hidden="1" x14ac:dyDescent="0.25">
      <c r="A1518" s="264" t="s">
        <v>612</v>
      </c>
      <c r="B1518" s="265">
        <v>46035</v>
      </c>
      <c r="C1518" s="264" t="s">
        <v>2101</v>
      </c>
      <c r="D1518" s="264" t="s">
        <v>3689</v>
      </c>
      <c r="E1518" s="264" t="s">
        <v>1560</v>
      </c>
      <c r="F1518" s="264" t="s">
        <v>2041</v>
      </c>
      <c r="G1518" s="264" t="s">
        <v>26</v>
      </c>
      <c r="H1518" s="266">
        <v>30</v>
      </c>
      <c r="I1518" s="266">
        <v>0</v>
      </c>
      <c r="J1518" s="264" t="s">
        <v>1174</v>
      </c>
      <c r="K1518" s="264" t="s">
        <v>2025</v>
      </c>
      <c r="L1518" s="1" t="str">
        <f>VLOOKUP(Advices[[#This Row],[LC Number]],'Combine_List'!A:D,2,0)</f>
        <v>Ealla For General Contracting</v>
      </c>
      <c r="M1518" s="447" t="str">
        <f>VLOOKUP(Advices[[#This Row],[LC Number]],'Combine_List'!A:D,3,0)</f>
        <v>FIRST FIX</v>
      </c>
      <c r="N1518" s="447" t="str">
        <f>VLOOKUP(Advices[[#This Row],[LC Number]],'Combine_List'!A:D,4,0)</f>
        <v>RCRC</v>
      </c>
      <c r="O1518" s="1"/>
      <c r="P1518" s="1">
        <f>MONTH(Advices[[#This Row],[Transaction Date]])</f>
        <v>1</v>
      </c>
      <c r="Q1518" s="1">
        <f>YEAR(Advices[[#This Row],[Transaction Date]])</f>
        <v>2026</v>
      </c>
      <c r="R1518" s="1"/>
    </row>
    <row r="1519" spans="1:18" hidden="1" x14ac:dyDescent="0.25">
      <c r="A1519" s="264" t="s">
        <v>612</v>
      </c>
      <c r="B1519" s="265">
        <v>46035</v>
      </c>
      <c r="C1519" s="264" t="s">
        <v>2101</v>
      </c>
      <c r="D1519" s="264" t="s">
        <v>3690</v>
      </c>
      <c r="E1519" s="264" t="s">
        <v>1151</v>
      </c>
      <c r="F1519" s="264" t="s">
        <v>2041</v>
      </c>
      <c r="G1519" s="264" t="s">
        <v>26</v>
      </c>
      <c r="H1519" s="266">
        <v>802.84</v>
      </c>
      <c r="I1519" s="266">
        <v>0</v>
      </c>
      <c r="J1519" s="264" t="s">
        <v>1124</v>
      </c>
      <c r="K1519" s="264" t="s">
        <v>2025</v>
      </c>
      <c r="L1519" s="1" t="str">
        <f>VLOOKUP(Advices[[#This Row],[LC Number]],'Combine_List'!A:D,2,0)</f>
        <v>SAUDI VITRIFIED CLAY PIPE CO</v>
      </c>
      <c r="M1519" s="447" t="str">
        <f>VLOOKUP(Advices[[#This Row],[LC Number]],'Combine_List'!A:D,3,0)</f>
        <v>FIRST FIX</v>
      </c>
      <c r="N1519" s="447" t="str">
        <f>VLOOKUP(Advices[[#This Row],[LC Number]],'Combine_List'!A:D,4,0)</f>
        <v>RCRC</v>
      </c>
      <c r="O1519" s="1"/>
      <c r="P1519" s="1">
        <f>MONTH(Advices[[#This Row],[Transaction Date]])</f>
        <v>1</v>
      </c>
      <c r="Q1519" s="1">
        <f>YEAR(Advices[[#This Row],[Transaction Date]])</f>
        <v>2026</v>
      </c>
      <c r="R1519" s="1"/>
    </row>
    <row r="1520" spans="1:18" hidden="1" x14ac:dyDescent="0.25">
      <c r="A1520" s="264" t="s">
        <v>612</v>
      </c>
      <c r="B1520" s="265">
        <v>46035</v>
      </c>
      <c r="C1520" s="264" t="s">
        <v>2101</v>
      </c>
      <c r="D1520" s="264" t="s">
        <v>3691</v>
      </c>
      <c r="E1520" s="264" t="s">
        <v>1151</v>
      </c>
      <c r="F1520" s="264" t="s">
        <v>2041</v>
      </c>
      <c r="G1520" s="264" t="s">
        <v>26</v>
      </c>
      <c r="H1520" s="266">
        <v>120.43</v>
      </c>
      <c r="I1520" s="266">
        <v>0</v>
      </c>
      <c r="J1520" s="264" t="s">
        <v>1174</v>
      </c>
      <c r="K1520" s="264" t="s">
        <v>2025</v>
      </c>
      <c r="L1520" s="1" t="str">
        <f>VLOOKUP(Advices[[#This Row],[LC Number]],'Combine_List'!A:D,2,0)</f>
        <v>SAUDI VITRIFIED CLAY PIPE CO</v>
      </c>
      <c r="M1520" s="447" t="str">
        <f>VLOOKUP(Advices[[#This Row],[LC Number]],'Combine_List'!A:D,3,0)</f>
        <v>FIRST FIX</v>
      </c>
      <c r="N1520" s="447" t="str">
        <f>VLOOKUP(Advices[[#This Row],[LC Number]],'Combine_List'!A:D,4,0)</f>
        <v>RCRC</v>
      </c>
      <c r="O1520" s="1"/>
      <c r="P1520" s="1">
        <f>MONTH(Advices[[#This Row],[Transaction Date]])</f>
        <v>1</v>
      </c>
      <c r="Q1520" s="1">
        <f>YEAR(Advices[[#This Row],[Transaction Date]])</f>
        <v>2026</v>
      </c>
      <c r="R1520" s="1"/>
    </row>
    <row r="1521" spans="1:18" hidden="1" x14ac:dyDescent="0.25">
      <c r="A1521" s="264" t="s">
        <v>612</v>
      </c>
      <c r="B1521" s="265">
        <v>46035</v>
      </c>
      <c r="C1521" s="264" t="s">
        <v>2101</v>
      </c>
      <c r="D1521" s="264" t="s">
        <v>3692</v>
      </c>
      <c r="E1521" s="264" t="s">
        <v>1151</v>
      </c>
      <c r="F1521" s="264" t="s">
        <v>2041</v>
      </c>
      <c r="G1521" s="264" t="s">
        <v>26</v>
      </c>
      <c r="H1521" s="266">
        <v>200</v>
      </c>
      <c r="I1521" s="266">
        <v>0</v>
      </c>
      <c r="J1521" s="264" t="s">
        <v>1124</v>
      </c>
      <c r="K1521" s="264" t="s">
        <v>2025</v>
      </c>
      <c r="L1521" s="1" t="str">
        <f>VLOOKUP(Advices[[#This Row],[LC Number]],'Combine_List'!A:D,2,0)</f>
        <v>SAUDI VITRIFIED CLAY PIPE CO</v>
      </c>
      <c r="M1521" s="447" t="str">
        <f>VLOOKUP(Advices[[#This Row],[LC Number]],'Combine_List'!A:D,3,0)</f>
        <v>FIRST FIX</v>
      </c>
      <c r="N1521" s="447" t="str">
        <f>VLOOKUP(Advices[[#This Row],[LC Number]],'Combine_List'!A:D,4,0)</f>
        <v>RCRC</v>
      </c>
      <c r="O1521" s="1"/>
      <c r="P1521" s="1">
        <f>MONTH(Advices[[#This Row],[Transaction Date]])</f>
        <v>1</v>
      </c>
      <c r="Q1521" s="1">
        <f>YEAR(Advices[[#This Row],[Transaction Date]])</f>
        <v>2026</v>
      </c>
      <c r="R1521" s="1"/>
    </row>
    <row r="1522" spans="1:18" hidden="1" x14ac:dyDescent="0.25">
      <c r="A1522" s="264" t="s">
        <v>612</v>
      </c>
      <c r="B1522" s="265">
        <v>46035</v>
      </c>
      <c r="C1522" s="264" t="s">
        <v>2101</v>
      </c>
      <c r="D1522" s="264" t="s">
        <v>3693</v>
      </c>
      <c r="E1522" s="264" t="s">
        <v>1151</v>
      </c>
      <c r="F1522" s="264" t="s">
        <v>2041</v>
      </c>
      <c r="G1522" s="264" t="s">
        <v>26</v>
      </c>
      <c r="H1522" s="266">
        <v>30</v>
      </c>
      <c r="I1522" s="266">
        <v>0</v>
      </c>
      <c r="J1522" s="264" t="s">
        <v>1174</v>
      </c>
      <c r="K1522" s="264" t="s">
        <v>2025</v>
      </c>
      <c r="L1522" s="1" t="str">
        <f>VLOOKUP(Advices[[#This Row],[LC Number]],'Combine_List'!A:D,2,0)</f>
        <v>SAUDI VITRIFIED CLAY PIPE CO</v>
      </c>
      <c r="M1522" s="447" t="str">
        <f>VLOOKUP(Advices[[#This Row],[LC Number]],'Combine_List'!A:D,3,0)</f>
        <v>FIRST FIX</v>
      </c>
      <c r="N1522" s="447" t="str">
        <f>VLOOKUP(Advices[[#This Row],[LC Number]],'Combine_List'!A:D,4,0)</f>
        <v>RCRC</v>
      </c>
      <c r="O1522" s="1"/>
      <c r="P1522" s="1">
        <f>MONTH(Advices[[#This Row],[Transaction Date]])</f>
        <v>1</v>
      </c>
      <c r="Q1522" s="1">
        <f>YEAR(Advices[[#This Row],[Transaction Date]])</f>
        <v>2026</v>
      </c>
      <c r="R1522" s="1"/>
    </row>
    <row r="1523" spans="1:18" hidden="1" x14ac:dyDescent="0.25">
      <c r="A1523" s="264" t="s">
        <v>612</v>
      </c>
      <c r="B1523" s="265">
        <v>46035</v>
      </c>
      <c r="C1523" s="264" t="s">
        <v>2101</v>
      </c>
      <c r="D1523" s="264" t="s">
        <v>3694</v>
      </c>
      <c r="E1523" s="264" t="s">
        <v>1566</v>
      </c>
      <c r="F1523" s="264" t="s">
        <v>2041</v>
      </c>
      <c r="G1523" s="264" t="s">
        <v>26</v>
      </c>
      <c r="H1523" s="266">
        <v>500</v>
      </c>
      <c r="I1523" s="266">
        <v>0</v>
      </c>
      <c r="J1523" s="264" t="s">
        <v>1124</v>
      </c>
      <c r="K1523" s="264" t="s">
        <v>2025</v>
      </c>
      <c r="L1523" s="1" t="str">
        <f>VLOOKUP(Advices[[#This Row],[LC Number]],'Combine_List'!A:D,2,0)</f>
        <v>Alpha Limit Trading and Contracting Company</v>
      </c>
      <c r="M1523" s="447" t="str">
        <f>VLOOKUP(Advices[[#This Row],[LC Number]],'Combine_List'!A:D,3,0)</f>
        <v>FIRST FIX</v>
      </c>
      <c r="N1523" s="447" t="str">
        <f>VLOOKUP(Advices[[#This Row],[LC Number]],'Combine_List'!A:D,4,0)</f>
        <v>RCRC</v>
      </c>
      <c r="O1523" s="1"/>
      <c r="P1523" s="1">
        <f>MONTH(Advices[[#This Row],[Transaction Date]])</f>
        <v>1</v>
      </c>
      <c r="Q1523" s="1">
        <f>YEAR(Advices[[#This Row],[Transaction Date]])</f>
        <v>2026</v>
      </c>
      <c r="R1523" s="1"/>
    </row>
    <row r="1524" spans="1:18" hidden="1" x14ac:dyDescent="0.25">
      <c r="A1524" s="264" t="s">
        <v>612</v>
      </c>
      <c r="B1524" s="265">
        <v>46035</v>
      </c>
      <c r="C1524" s="264" t="s">
        <v>2101</v>
      </c>
      <c r="D1524" s="264" t="s">
        <v>3695</v>
      </c>
      <c r="E1524" s="264" t="s">
        <v>1566</v>
      </c>
      <c r="F1524" s="264" t="s">
        <v>2041</v>
      </c>
      <c r="G1524" s="264" t="s">
        <v>26</v>
      </c>
      <c r="H1524" s="266">
        <v>75</v>
      </c>
      <c r="I1524" s="266">
        <v>0</v>
      </c>
      <c r="J1524" s="264" t="s">
        <v>1174</v>
      </c>
      <c r="K1524" s="264" t="s">
        <v>2025</v>
      </c>
      <c r="L1524" s="1" t="str">
        <f>VLOOKUP(Advices[[#This Row],[LC Number]],'Combine_List'!A:D,2,0)</f>
        <v>Alpha Limit Trading and Contracting Company</v>
      </c>
      <c r="M1524" s="447" t="str">
        <f>VLOOKUP(Advices[[#This Row],[LC Number]],'Combine_List'!A:D,3,0)</f>
        <v>FIRST FIX</v>
      </c>
      <c r="N1524" s="447" t="str">
        <f>VLOOKUP(Advices[[#This Row],[LC Number]],'Combine_List'!A:D,4,0)</f>
        <v>RCRC</v>
      </c>
      <c r="O1524" s="1"/>
      <c r="P1524" s="1">
        <f>MONTH(Advices[[#This Row],[Transaction Date]])</f>
        <v>1</v>
      </c>
      <c r="Q1524" s="1">
        <f>YEAR(Advices[[#This Row],[Transaction Date]])</f>
        <v>2026</v>
      </c>
      <c r="R1524" s="1"/>
    </row>
    <row r="1525" spans="1:18" hidden="1" x14ac:dyDescent="0.25">
      <c r="A1525" s="264" t="s">
        <v>612</v>
      </c>
      <c r="B1525" s="265">
        <v>46035</v>
      </c>
      <c r="C1525" s="264" t="s">
        <v>2101</v>
      </c>
      <c r="D1525" s="264" t="s">
        <v>3696</v>
      </c>
      <c r="E1525" s="264" t="s">
        <v>1566</v>
      </c>
      <c r="F1525" s="264" t="s">
        <v>2041</v>
      </c>
      <c r="G1525" s="264" t="s">
        <v>26</v>
      </c>
      <c r="H1525" s="266">
        <v>200</v>
      </c>
      <c r="I1525" s="266">
        <v>0</v>
      </c>
      <c r="J1525" s="264" t="s">
        <v>1124</v>
      </c>
      <c r="K1525" s="264" t="s">
        <v>2025</v>
      </c>
      <c r="L1525" s="1" t="str">
        <f>VLOOKUP(Advices[[#This Row],[LC Number]],'Combine_List'!A:D,2,0)</f>
        <v>Alpha Limit Trading and Contracting Company</v>
      </c>
      <c r="M1525" s="447" t="str">
        <f>VLOOKUP(Advices[[#This Row],[LC Number]],'Combine_List'!A:D,3,0)</f>
        <v>FIRST FIX</v>
      </c>
      <c r="N1525" s="447" t="str">
        <f>VLOOKUP(Advices[[#This Row],[LC Number]],'Combine_List'!A:D,4,0)</f>
        <v>RCRC</v>
      </c>
      <c r="O1525" s="1"/>
      <c r="P1525" s="1">
        <f>MONTH(Advices[[#This Row],[Transaction Date]])</f>
        <v>1</v>
      </c>
      <c r="Q1525" s="1">
        <f>YEAR(Advices[[#This Row],[Transaction Date]])</f>
        <v>2026</v>
      </c>
      <c r="R1525" s="1"/>
    </row>
    <row r="1526" spans="1:18" hidden="1" x14ac:dyDescent="0.25">
      <c r="A1526" s="264" t="s">
        <v>612</v>
      </c>
      <c r="B1526" s="265">
        <v>46035</v>
      </c>
      <c r="C1526" s="264" t="s">
        <v>2101</v>
      </c>
      <c r="D1526" s="264" t="s">
        <v>3697</v>
      </c>
      <c r="E1526" s="264" t="s">
        <v>1566</v>
      </c>
      <c r="F1526" s="264" t="s">
        <v>2041</v>
      </c>
      <c r="G1526" s="264" t="s">
        <v>26</v>
      </c>
      <c r="H1526" s="266">
        <v>30</v>
      </c>
      <c r="I1526" s="266">
        <v>0</v>
      </c>
      <c r="J1526" s="264" t="s">
        <v>1174</v>
      </c>
      <c r="K1526" s="264" t="s">
        <v>2025</v>
      </c>
      <c r="L1526" s="1" t="str">
        <f>VLOOKUP(Advices[[#This Row],[LC Number]],'Combine_List'!A:D,2,0)</f>
        <v>Alpha Limit Trading and Contracting Company</v>
      </c>
      <c r="M1526" s="447" t="str">
        <f>VLOOKUP(Advices[[#This Row],[LC Number]],'Combine_List'!A:D,3,0)</f>
        <v>FIRST FIX</v>
      </c>
      <c r="N1526" s="447" t="str">
        <f>VLOOKUP(Advices[[#This Row],[LC Number]],'Combine_List'!A:D,4,0)</f>
        <v>RCRC</v>
      </c>
      <c r="O1526" s="1"/>
      <c r="P1526" s="1">
        <f>MONTH(Advices[[#This Row],[Transaction Date]])</f>
        <v>1</v>
      </c>
      <c r="Q1526" s="1">
        <f>YEAR(Advices[[#This Row],[Transaction Date]])</f>
        <v>2026</v>
      </c>
      <c r="R1526" s="1"/>
    </row>
    <row r="1527" spans="1:18" hidden="1" x14ac:dyDescent="0.25">
      <c r="A1527" s="264" t="s">
        <v>612</v>
      </c>
      <c r="B1527" s="265">
        <v>46035</v>
      </c>
      <c r="C1527" s="264" t="s">
        <v>2101</v>
      </c>
      <c r="D1527" s="264" t="s">
        <v>3698</v>
      </c>
      <c r="E1527" s="264" t="s">
        <v>3571</v>
      </c>
      <c r="F1527" s="264" t="s">
        <v>2041</v>
      </c>
      <c r="G1527" s="264" t="s">
        <v>26</v>
      </c>
      <c r="H1527" s="266">
        <v>200</v>
      </c>
      <c r="I1527" s="266">
        <v>0</v>
      </c>
      <c r="J1527" s="264" t="s">
        <v>2616</v>
      </c>
      <c r="K1527" s="264" t="s">
        <v>2025</v>
      </c>
      <c r="L1527" s="1" t="str">
        <f>VLOOKUP(Advices[[#This Row],[LC Number]],'Combine_List'!A:D,2,0)</f>
        <v>Alfanar Electrical Systems</v>
      </c>
      <c r="M1527" s="447" t="str">
        <f>VLOOKUP(Advices[[#This Row],[LC Number]],'Combine_List'!A:D,3,0)</f>
        <v>FIRST FIX</v>
      </c>
      <c r="N1527" s="447" t="str">
        <f>VLOOKUP(Advices[[#This Row],[LC Number]],'Combine_List'!A:D,4,0)</f>
        <v>RCRC</v>
      </c>
      <c r="O1527" s="1"/>
      <c r="P1527" s="1">
        <f>MONTH(Advices[[#This Row],[Transaction Date]])</f>
        <v>1</v>
      </c>
      <c r="Q1527" s="1">
        <f>YEAR(Advices[[#This Row],[Transaction Date]])</f>
        <v>2026</v>
      </c>
      <c r="R1527" s="1"/>
    </row>
    <row r="1528" spans="1:18" hidden="1" x14ac:dyDescent="0.25">
      <c r="A1528" s="264" t="s">
        <v>612</v>
      </c>
      <c r="B1528" s="265">
        <v>46035</v>
      </c>
      <c r="C1528" s="264" t="s">
        <v>2101</v>
      </c>
      <c r="D1528" s="264" t="s">
        <v>3699</v>
      </c>
      <c r="E1528" s="264" t="s">
        <v>3571</v>
      </c>
      <c r="F1528" s="264" t="s">
        <v>2041</v>
      </c>
      <c r="G1528" s="264" t="s">
        <v>26</v>
      </c>
      <c r="H1528" s="266">
        <v>30</v>
      </c>
      <c r="I1528" s="266">
        <v>0</v>
      </c>
      <c r="J1528" s="264" t="s">
        <v>1174</v>
      </c>
      <c r="K1528" s="264" t="s">
        <v>2025</v>
      </c>
      <c r="L1528" s="1" t="str">
        <f>VLOOKUP(Advices[[#This Row],[LC Number]],'Combine_List'!A:D,2,0)</f>
        <v>Alfanar Electrical Systems</v>
      </c>
      <c r="M1528" s="447" t="str">
        <f>VLOOKUP(Advices[[#This Row],[LC Number]],'Combine_List'!A:D,3,0)</f>
        <v>FIRST FIX</v>
      </c>
      <c r="N1528" s="447" t="str">
        <f>VLOOKUP(Advices[[#This Row],[LC Number]],'Combine_List'!A:D,4,0)</f>
        <v>RCRC</v>
      </c>
      <c r="O1528" s="264"/>
      <c r="P1528" s="264">
        <f>MONTH(Advices[[#This Row],[Transaction Date]])</f>
        <v>1</v>
      </c>
      <c r="Q1528" s="264">
        <f>YEAR(Advices[[#This Row],[Transaction Date]])</f>
        <v>2026</v>
      </c>
      <c r="R1528" s="1"/>
    </row>
    <row r="1529" spans="1:18" x14ac:dyDescent="0.25">
      <c r="A1529" s="264" t="s">
        <v>21</v>
      </c>
      <c r="B1529" s="265">
        <v>46036</v>
      </c>
      <c r="C1529" s="264" t="s">
        <v>1951</v>
      </c>
      <c r="D1529" s="264" t="s">
        <v>1996</v>
      </c>
      <c r="E1529" s="264" t="s">
        <v>3227</v>
      </c>
      <c r="F1529" s="264" t="s">
        <v>3227</v>
      </c>
      <c r="G1529" s="264" t="s">
        <v>26</v>
      </c>
      <c r="H1529" s="266">
        <v>37.5</v>
      </c>
      <c r="I1529" s="266">
        <v>0</v>
      </c>
      <c r="J1529" s="264" t="s">
        <v>1174</v>
      </c>
      <c r="K1529" s="264" t="s">
        <v>2025</v>
      </c>
      <c r="L1529" s="1" t="str">
        <f>VLOOKUP(Advices[[#This Row],[LC Number]],'Combine_List'!A:D,2,0)</f>
        <v>BBH-CHEMTROL INTERNATIONAL ORGANIZATION S.L</v>
      </c>
      <c r="M1529" s="447" t="str">
        <f>VLOOKUP(Advices[[#This Row],[LC Number]],'Combine_List'!A:D,3,0)</f>
        <v>ICAD</v>
      </c>
      <c r="N1529" s="447" t="str">
        <f>VLOOKUP(Advices[[#This Row],[LC Number]],'Combine_List'!A:D,4,0)</f>
        <v>KSP</v>
      </c>
      <c r="O1529" s="1"/>
      <c r="P1529" s="1">
        <f>MONTH(Advices[[#This Row],[Transaction Date]])</f>
        <v>1</v>
      </c>
      <c r="Q1529" s="1">
        <f>YEAR(Advices[[#This Row],[Transaction Date]])</f>
        <v>2026</v>
      </c>
      <c r="R1529" s="1"/>
    </row>
    <row r="1530" spans="1:18" x14ac:dyDescent="0.25">
      <c r="A1530" s="264" t="s">
        <v>21</v>
      </c>
      <c r="B1530" s="265">
        <v>46036</v>
      </c>
      <c r="C1530" s="264" t="s">
        <v>1951</v>
      </c>
      <c r="D1530" s="264" t="s">
        <v>1996</v>
      </c>
      <c r="E1530" s="264" t="s">
        <v>3227</v>
      </c>
      <c r="F1530" s="264" t="s">
        <v>3227</v>
      </c>
      <c r="G1530" s="264" t="s">
        <v>26</v>
      </c>
      <c r="H1530" s="266">
        <v>75</v>
      </c>
      <c r="I1530" s="266">
        <v>0</v>
      </c>
      <c r="J1530" s="264" t="s">
        <v>1174</v>
      </c>
      <c r="K1530" s="264" t="s">
        <v>2025</v>
      </c>
      <c r="L1530" s="1" t="str">
        <f>VLOOKUP(Advices[[#This Row],[LC Number]],'Combine_List'!A:D,2,0)</f>
        <v>BBH-CHEMTROL INTERNATIONAL ORGANIZATION S.L</v>
      </c>
      <c r="M1530" s="447" t="str">
        <f>VLOOKUP(Advices[[#This Row],[LC Number]],'Combine_List'!A:D,3,0)</f>
        <v>ICAD</v>
      </c>
      <c r="N1530" s="447" t="str">
        <f>VLOOKUP(Advices[[#This Row],[LC Number]],'Combine_List'!A:D,4,0)</f>
        <v>KSP</v>
      </c>
      <c r="O1530" s="1"/>
      <c r="P1530" s="1">
        <f>MONTH(Advices[[#This Row],[Transaction Date]])</f>
        <v>1</v>
      </c>
      <c r="Q1530" s="1">
        <f>YEAR(Advices[[#This Row],[Transaction Date]])</f>
        <v>2026</v>
      </c>
      <c r="R1530" s="1"/>
    </row>
    <row r="1531" spans="1:18" x14ac:dyDescent="0.25">
      <c r="A1531" s="264" t="s">
        <v>21</v>
      </c>
      <c r="B1531" s="265">
        <v>46036</v>
      </c>
      <c r="C1531" s="264" t="s">
        <v>1951</v>
      </c>
      <c r="D1531" s="264" t="s">
        <v>3253</v>
      </c>
      <c r="E1531" s="264" t="s">
        <v>3227</v>
      </c>
      <c r="F1531" s="264" t="s">
        <v>3227</v>
      </c>
      <c r="G1531" s="264" t="s">
        <v>26</v>
      </c>
      <c r="H1531" s="266">
        <v>250</v>
      </c>
      <c r="I1531" s="266">
        <v>0</v>
      </c>
      <c r="J1531" s="264" t="s">
        <v>1963</v>
      </c>
      <c r="K1531" s="264" t="s">
        <v>2025</v>
      </c>
      <c r="L1531" s="1" t="str">
        <f>VLOOKUP(Advices[[#This Row],[LC Number]],'Combine_List'!A:D,2,0)</f>
        <v>BBH-CHEMTROL INTERNATIONAL ORGANIZATION S.L</v>
      </c>
      <c r="M1531" s="447" t="str">
        <f>VLOOKUP(Advices[[#This Row],[LC Number]],'Combine_List'!A:D,3,0)</f>
        <v>ICAD</v>
      </c>
      <c r="N1531" s="447" t="str">
        <f>VLOOKUP(Advices[[#This Row],[LC Number]],'Combine_List'!A:D,4,0)</f>
        <v>KSP</v>
      </c>
      <c r="O1531" s="1"/>
      <c r="P1531" s="1">
        <f>MONTH(Advices[[#This Row],[Transaction Date]])</f>
        <v>1</v>
      </c>
      <c r="Q1531" s="1">
        <f>YEAR(Advices[[#This Row],[Transaction Date]])</f>
        <v>2026</v>
      </c>
      <c r="R1531" s="1"/>
    </row>
    <row r="1532" spans="1:18" x14ac:dyDescent="0.25">
      <c r="A1532" s="264" t="s">
        <v>21</v>
      </c>
      <c r="B1532" s="265">
        <v>46036</v>
      </c>
      <c r="C1532" s="264" t="s">
        <v>1951</v>
      </c>
      <c r="D1532" s="264" t="s">
        <v>3335</v>
      </c>
      <c r="E1532" s="264" t="s">
        <v>3227</v>
      </c>
      <c r="F1532" s="264" t="s">
        <v>3227</v>
      </c>
      <c r="G1532" s="264" t="s">
        <v>26</v>
      </c>
      <c r="H1532" s="266">
        <v>500</v>
      </c>
      <c r="I1532" s="266">
        <v>0</v>
      </c>
      <c r="J1532" s="264" t="s">
        <v>1124</v>
      </c>
      <c r="K1532" s="264" t="s">
        <v>2025</v>
      </c>
      <c r="L1532" s="1" t="str">
        <f>VLOOKUP(Advices[[#This Row],[LC Number]],'Combine_List'!A:D,2,0)</f>
        <v>BBH-CHEMTROL INTERNATIONAL ORGANIZATION S.L</v>
      </c>
      <c r="M1532" s="447" t="str">
        <f>VLOOKUP(Advices[[#This Row],[LC Number]],'Combine_List'!A:D,3,0)</f>
        <v>ICAD</v>
      </c>
      <c r="N1532" s="447" t="str">
        <f>VLOOKUP(Advices[[#This Row],[LC Number]],'Combine_List'!A:D,4,0)</f>
        <v>KSP</v>
      </c>
      <c r="O1532" s="264"/>
      <c r="P1532" s="264">
        <f>MONTH(Advices[[#This Row],[Transaction Date]])</f>
        <v>1</v>
      </c>
      <c r="Q1532" s="264">
        <f>YEAR(Advices[[#This Row],[Transaction Date]])</f>
        <v>2026</v>
      </c>
      <c r="R1532" s="1"/>
    </row>
    <row r="1533" spans="1:18" hidden="1" x14ac:dyDescent="0.25">
      <c r="A1533" s="264" t="s">
        <v>366</v>
      </c>
      <c r="B1533" s="265">
        <v>46036</v>
      </c>
      <c r="C1533" s="264" t="s">
        <v>2060</v>
      </c>
      <c r="D1533" s="264" t="s">
        <v>3705</v>
      </c>
      <c r="E1533" s="264" t="s">
        <v>1873</v>
      </c>
      <c r="F1533" s="264" t="s">
        <v>3706</v>
      </c>
      <c r="G1533" s="264" t="s">
        <v>26</v>
      </c>
      <c r="H1533" s="266">
        <v>9241.61</v>
      </c>
      <c r="I1533" s="266">
        <v>0</v>
      </c>
      <c r="J1533" s="264" t="s">
        <v>1125</v>
      </c>
      <c r="K1533" s="264" t="s">
        <v>2025</v>
      </c>
      <c r="L1533" s="1" t="str">
        <f>VLOOKUP(Advices[[#This Row],[LC Number]],'Combine_List'!A:D,2,0)</f>
        <v>BAHRA ADVANCED CABLE MANUFACTURE CO. LTD.</v>
      </c>
      <c r="M1533" s="447" t="str">
        <f>VLOOKUP(Advices[[#This Row],[LC Number]],'Combine_List'!A:D,3,0)</f>
        <v>FIRST FIX</v>
      </c>
      <c r="N1533" s="447" t="str">
        <f>VLOOKUP(Advices[[#This Row],[LC Number]],'Combine_List'!A:D,4,0)</f>
        <v>MP1</v>
      </c>
      <c r="O1533" s="1"/>
      <c r="P1533" s="1">
        <f>MONTH(Advices[[#This Row],[Transaction Date]])</f>
        <v>1</v>
      </c>
      <c r="Q1533" s="1">
        <f>YEAR(Advices[[#This Row],[Transaction Date]])</f>
        <v>2026</v>
      </c>
      <c r="R1533" s="1"/>
    </row>
    <row r="1534" spans="1:18" hidden="1" x14ac:dyDescent="0.25">
      <c r="A1534" s="264" t="s">
        <v>366</v>
      </c>
      <c r="B1534" s="265">
        <v>46036</v>
      </c>
      <c r="C1534" s="264" t="s">
        <v>2060</v>
      </c>
      <c r="D1534" s="264" t="s">
        <v>3707</v>
      </c>
      <c r="E1534" s="264" t="s">
        <v>1905</v>
      </c>
      <c r="F1534" s="264" t="s">
        <v>3708</v>
      </c>
      <c r="G1534" s="264" t="s">
        <v>26</v>
      </c>
      <c r="H1534" s="266">
        <v>4312.5</v>
      </c>
      <c r="I1534" s="266">
        <v>0</v>
      </c>
      <c r="J1534" s="264" t="s">
        <v>1125</v>
      </c>
      <c r="K1534" s="264" t="s">
        <v>2025</v>
      </c>
      <c r="L1534" s="1" t="str">
        <f>VLOOKUP(Advices[[#This Row],[LC Number]],'Combine_List'!A:D,2,0)</f>
        <v>Arabian International Company For Contracting</v>
      </c>
      <c r="M1534" s="447" t="str">
        <f>VLOOKUP(Advices[[#This Row],[LC Number]],'Combine_List'!A:D,3,0)</f>
        <v>FIRST FIX</v>
      </c>
      <c r="N1534" s="447" t="str">
        <f>VLOOKUP(Advices[[#This Row],[LC Number]],'Combine_List'!A:D,4,0)</f>
        <v>MP1</v>
      </c>
      <c r="O1534" s="1"/>
      <c r="P1534" s="1">
        <f>MONTH(Advices[[#This Row],[Transaction Date]])</f>
        <v>1</v>
      </c>
      <c r="Q1534" s="1">
        <f>YEAR(Advices[[#This Row],[Transaction Date]])</f>
        <v>2026</v>
      </c>
      <c r="R1534" s="1"/>
    </row>
    <row r="1535" spans="1:18" hidden="1" x14ac:dyDescent="0.25">
      <c r="A1535" s="264" t="s">
        <v>366</v>
      </c>
      <c r="B1535" s="265">
        <v>46036</v>
      </c>
      <c r="C1535" s="264" t="s">
        <v>2060</v>
      </c>
      <c r="D1535" s="264" t="s">
        <v>3709</v>
      </c>
      <c r="E1535" s="264" t="s">
        <v>3701</v>
      </c>
      <c r="F1535" s="264"/>
      <c r="G1535" s="264" t="s">
        <v>26</v>
      </c>
      <c r="H1535" s="266">
        <v>3105</v>
      </c>
      <c r="I1535" s="266">
        <v>0</v>
      </c>
      <c r="J1535" s="264" t="s">
        <v>2616</v>
      </c>
      <c r="K1535" s="264" t="s">
        <v>2025</v>
      </c>
      <c r="L1535" s="1" t="str">
        <f>VLOOKUP(Advices[[#This Row],[LC Number]],'Combine_List'!A:D,2,0)</f>
        <v>Masdar Technical Supplies Co.</v>
      </c>
      <c r="M1535" s="447" t="str">
        <f>VLOOKUP(Advices[[#This Row],[LC Number]],'Combine_List'!A:D,3,0)</f>
        <v>FIRST FIX</v>
      </c>
      <c r="N1535" s="447" t="str">
        <f>VLOOKUP(Advices[[#This Row],[LC Number]],'Combine_List'!A:D,4,0)</f>
        <v>MP1</v>
      </c>
      <c r="O1535" s="1"/>
      <c r="P1535" s="1">
        <f>MONTH(Advices[[#This Row],[Transaction Date]])</f>
        <v>1</v>
      </c>
      <c r="Q1535" s="1">
        <f>YEAR(Advices[[#This Row],[Transaction Date]])</f>
        <v>2026</v>
      </c>
      <c r="R1535" s="1"/>
    </row>
    <row r="1536" spans="1:18" hidden="1" x14ac:dyDescent="0.25">
      <c r="A1536" s="264" t="s">
        <v>366</v>
      </c>
      <c r="B1536" s="265">
        <v>46036</v>
      </c>
      <c r="C1536" s="264" t="s">
        <v>2060</v>
      </c>
      <c r="D1536" s="264" t="s">
        <v>3710</v>
      </c>
      <c r="E1536" s="264" t="s">
        <v>3703</v>
      </c>
      <c r="F1536" s="264"/>
      <c r="G1536" s="264" t="s">
        <v>26</v>
      </c>
      <c r="H1536" s="266">
        <v>3105</v>
      </c>
      <c r="I1536" s="266">
        <v>0</v>
      </c>
      <c r="J1536" s="264" t="s">
        <v>2616</v>
      </c>
      <c r="K1536" s="264" t="s">
        <v>2025</v>
      </c>
      <c r="L1536" s="1" t="str">
        <f>VLOOKUP(Advices[[#This Row],[LC Number]],'Combine_List'!A:D,2,0)</f>
        <v>BROOQ ALAMAAN TRAD COMPANY</v>
      </c>
      <c r="M1536" s="447" t="str">
        <f>VLOOKUP(Advices[[#This Row],[LC Number]],'Combine_List'!A:D,3,0)</f>
        <v>FIRST FIX</v>
      </c>
      <c r="N1536" s="447" t="str">
        <f>VLOOKUP(Advices[[#This Row],[LC Number]],'Combine_List'!A:D,4,0)</f>
        <v>MP1</v>
      </c>
      <c r="O1536" s="1"/>
      <c r="P1536" s="1">
        <f>MONTH(Advices[[#This Row],[Transaction Date]])</f>
        <v>1</v>
      </c>
      <c r="Q1536" s="1">
        <f>YEAR(Advices[[#This Row],[Transaction Date]])</f>
        <v>2026</v>
      </c>
      <c r="R1536" s="1"/>
    </row>
    <row r="1537" spans="1:18" hidden="1" x14ac:dyDescent="0.25">
      <c r="A1537" s="264" t="s">
        <v>366</v>
      </c>
      <c r="B1537" s="265">
        <v>46036</v>
      </c>
      <c r="C1537" s="264" t="s">
        <v>2060</v>
      </c>
      <c r="D1537" s="264" t="s">
        <v>3711</v>
      </c>
      <c r="E1537" s="264" t="s">
        <v>3704</v>
      </c>
      <c r="F1537" s="264"/>
      <c r="G1537" s="264" t="s">
        <v>26</v>
      </c>
      <c r="H1537" s="266">
        <v>5405</v>
      </c>
      <c r="I1537" s="266">
        <v>0</v>
      </c>
      <c r="J1537" s="264" t="s">
        <v>2616</v>
      </c>
      <c r="K1537" s="264" t="s">
        <v>2025</v>
      </c>
      <c r="L1537" s="1" t="str">
        <f>VLOOKUP(Advices[[#This Row],[LC Number]],'Combine_List'!A:D,2,0)</f>
        <v>Arabian International Company For Contracting</v>
      </c>
      <c r="M1537" s="447" t="str">
        <f>VLOOKUP(Advices[[#This Row],[LC Number]],'Combine_List'!A:D,3,0)</f>
        <v>FIRST FIX</v>
      </c>
      <c r="N1537" s="447" t="str">
        <f>VLOOKUP(Advices[[#This Row],[LC Number]],'Combine_List'!A:D,4,0)</f>
        <v>MP1</v>
      </c>
      <c r="O1537" s="264"/>
      <c r="P1537" s="264">
        <f>MONTH(Advices[[#This Row],[Transaction Date]])</f>
        <v>1</v>
      </c>
      <c r="Q1537" s="264">
        <f>YEAR(Advices[[#This Row],[Transaction Date]])</f>
        <v>2026</v>
      </c>
      <c r="R1537" s="1"/>
    </row>
    <row r="1538" spans="1:18" hidden="1" x14ac:dyDescent="0.25">
      <c r="A1538" s="264" t="s">
        <v>612</v>
      </c>
      <c r="B1538" s="265">
        <v>46036</v>
      </c>
      <c r="C1538" s="264" t="s">
        <v>2101</v>
      </c>
      <c r="D1538" s="264" t="s">
        <v>3712</v>
      </c>
      <c r="E1538" s="264" t="s">
        <v>1566</v>
      </c>
      <c r="F1538" s="264" t="s">
        <v>2041</v>
      </c>
      <c r="G1538" s="264" t="s">
        <v>26</v>
      </c>
      <c r="H1538" s="266">
        <v>48936.47</v>
      </c>
      <c r="I1538" s="266">
        <v>0</v>
      </c>
      <c r="J1538" s="264" t="s">
        <v>1126</v>
      </c>
      <c r="K1538" s="264" t="s">
        <v>2025</v>
      </c>
      <c r="L1538" s="1" t="str">
        <f>VLOOKUP(Advices[[#This Row],[LC Number]],'Combine_List'!A:D,2,0)</f>
        <v>Alpha Limit Trading and Contracting Company</v>
      </c>
      <c r="M1538" s="447" t="str">
        <f>VLOOKUP(Advices[[#This Row],[LC Number]],'Combine_List'!A:D,3,0)</f>
        <v>FIRST FIX</v>
      </c>
      <c r="N1538" s="447" t="str">
        <f>VLOOKUP(Advices[[#This Row],[LC Number]],'Combine_List'!A:D,4,0)</f>
        <v>RCRC</v>
      </c>
      <c r="O1538" s="264"/>
      <c r="P1538" s="264">
        <f>MONTH(Advices[[#This Row],[Transaction Date]])</f>
        <v>1</v>
      </c>
      <c r="Q1538" s="264">
        <f>YEAR(Advices[[#This Row],[Transaction Date]])</f>
        <v>2026</v>
      </c>
      <c r="R1538" s="1"/>
    </row>
    <row r="1539" spans="1:18" hidden="1" x14ac:dyDescent="0.25">
      <c r="A1539" s="264" t="s">
        <v>95</v>
      </c>
      <c r="B1539" s="265">
        <v>46037</v>
      </c>
      <c r="C1539" s="264" t="s">
        <v>2026</v>
      </c>
      <c r="D1539" s="264" t="s">
        <v>3724</v>
      </c>
      <c r="E1539" s="264" t="s">
        <v>1446</v>
      </c>
      <c r="F1539" s="264" t="s">
        <v>2559</v>
      </c>
      <c r="G1539" s="264" t="s">
        <v>26</v>
      </c>
      <c r="H1539" s="266">
        <v>4134.84</v>
      </c>
      <c r="I1539" s="266">
        <v>0</v>
      </c>
      <c r="J1539" s="264" t="s">
        <v>1124</v>
      </c>
      <c r="K1539" s="264" t="s">
        <v>2025</v>
      </c>
      <c r="L1539" s="1" t="str">
        <f>VLOOKUP(Advices[[#This Row],[LC Number]],'Combine_List'!A:D,2,0)</f>
        <v>Al Arabia Construction &amp; Building Co.</v>
      </c>
      <c r="M1539" s="447" t="str">
        <f>VLOOKUP(Advices[[#This Row],[LC Number]],'Combine_List'!A:D,3,0)</f>
        <v>MBL</v>
      </c>
      <c r="N1539" s="447" t="str">
        <f>VLOOKUP(Advices[[#This Row],[LC Number]],'Combine_List'!A:D,4,0)</f>
        <v>Rabigh Power Plant</v>
      </c>
      <c r="O1539" s="264"/>
      <c r="P1539" s="264">
        <f>MONTH(Advices[[#This Row],[Transaction Date]])</f>
        <v>1</v>
      </c>
      <c r="Q1539" s="264">
        <f>YEAR(Advices[[#This Row],[Transaction Date]])</f>
        <v>2026</v>
      </c>
      <c r="R1539" s="1"/>
    </row>
    <row r="1540" spans="1:18" hidden="1" x14ac:dyDescent="0.25">
      <c r="A1540" s="264" t="s">
        <v>366</v>
      </c>
      <c r="B1540" s="265">
        <v>46037</v>
      </c>
      <c r="C1540" s="264" t="s">
        <v>2060</v>
      </c>
      <c r="D1540" s="264" t="s">
        <v>3725</v>
      </c>
      <c r="E1540" s="264" t="s">
        <v>1872</v>
      </c>
      <c r="F1540" s="264" t="s">
        <v>3434</v>
      </c>
      <c r="G1540" s="264" t="s">
        <v>26</v>
      </c>
      <c r="H1540" s="266">
        <v>906374.06</v>
      </c>
      <c r="I1540" s="266">
        <v>0</v>
      </c>
      <c r="J1540" s="264" t="s">
        <v>1126</v>
      </c>
      <c r="K1540" s="264" t="s">
        <v>2025</v>
      </c>
      <c r="L1540" s="1" t="str">
        <f>VLOOKUP(Advices[[#This Row],[LC Number]],'Combine_List'!A:D,2,0)</f>
        <v>Mimar For Construction Tools &amp; Trading Ltd.</v>
      </c>
      <c r="M1540" s="447" t="str">
        <f>VLOOKUP(Advices[[#This Row],[LC Number]],'Combine_List'!A:D,3,0)</f>
        <v>FIRST FIX</v>
      </c>
      <c r="N1540" s="447" t="str">
        <f>VLOOKUP(Advices[[#This Row],[LC Number]],'Combine_List'!A:D,4,0)</f>
        <v>MP1</v>
      </c>
      <c r="O1540" s="1"/>
      <c r="P1540" s="1">
        <f>MONTH(Advices[[#This Row],[Transaction Date]])</f>
        <v>1</v>
      </c>
      <c r="Q1540" s="1">
        <f>YEAR(Advices[[#This Row],[Transaction Date]])</f>
        <v>2026</v>
      </c>
      <c r="R1540" s="1"/>
    </row>
    <row r="1541" spans="1:18" hidden="1" x14ac:dyDescent="0.25">
      <c r="A1541" s="264" t="s">
        <v>366</v>
      </c>
      <c r="B1541" s="265">
        <v>46037</v>
      </c>
      <c r="C1541" s="264" t="s">
        <v>2060</v>
      </c>
      <c r="D1541" s="264" t="s">
        <v>3726</v>
      </c>
      <c r="E1541" s="264" t="s">
        <v>3713</v>
      </c>
      <c r="F1541" s="264" t="s">
        <v>3713</v>
      </c>
      <c r="G1541" s="264" t="s">
        <v>26</v>
      </c>
      <c r="H1541" s="266">
        <v>3105</v>
      </c>
      <c r="I1541" s="266">
        <v>0</v>
      </c>
      <c r="J1541" s="264" t="s">
        <v>2616</v>
      </c>
      <c r="K1541" s="264" t="s">
        <v>2025</v>
      </c>
      <c r="L1541" s="1" t="str">
        <f>VLOOKUP(Advices[[#This Row],[LC Number]],'Combine_List'!A:D,2,0)</f>
        <v>Mase Gulf Company</v>
      </c>
      <c r="M1541" s="447" t="str">
        <f>VLOOKUP(Advices[[#This Row],[LC Number]],'Combine_List'!A:D,3,0)</f>
        <v>FIRST FIX</v>
      </c>
      <c r="N1541" s="447" t="str">
        <f>VLOOKUP(Advices[[#This Row],[LC Number]],'Combine_List'!A:D,4,0)</f>
        <v>MP1</v>
      </c>
      <c r="O1541" s="1"/>
      <c r="P1541" s="1">
        <f>MONTH(Advices[[#This Row],[Transaction Date]])</f>
        <v>1</v>
      </c>
      <c r="Q1541" s="1">
        <f>YEAR(Advices[[#This Row],[Transaction Date]])</f>
        <v>2026</v>
      </c>
      <c r="R1541" s="1"/>
    </row>
    <row r="1542" spans="1:18" hidden="1" x14ac:dyDescent="0.25">
      <c r="A1542" s="264" t="s">
        <v>366</v>
      </c>
      <c r="B1542" s="265">
        <v>46037</v>
      </c>
      <c r="C1542" s="264" t="s">
        <v>2060</v>
      </c>
      <c r="D1542" s="264" t="s">
        <v>3727</v>
      </c>
      <c r="E1542" s="264" t="s">
        <v>3714</v>
      </c>
      <c r="F1542" s="264" t="s">
        <v>3714</v>
      </c>
      <c r="G1542" s="264" t="s">
        <v>26</v>
      </c>
      <c r="H1542" s="266">
        <v>8855</v>
      </c>
      <c r="I1542" s="266">
        <v>0</v>
      </c>
      <c r="J1542" s="264" t="s">
        <v>2616</v>
      </c>
      <c r="K1542" s="264" t="s">
        <v>2025</v>
      </c>
      <c r="L1542" s="1" t="str">
        <f>VLOOKUP(Advices[[#This Row],[LC Number]],'Combine_List'!A:D,2,0)</f>
        <v>BAHRA ADVANCED CABLE MANUFACTURE CO. LTD</v>
      </c>
      <c r="M1542" s="447" t="str">
        <f>VLOOKUP(Advices[[#This Row],[LC Number]],'Combine_List'!A:D,3,0)</f>
        <v>FIRST FIX</v>
      </c>
      <c r="N1542" s="447" t="str">
        <f>VLOOKUP(Advices[[#This Row],[LC Number]],'Combine_List'!A:D,4,0)</f>
        <v>MP1</v>
      </c>
      <c r="O1542" s="1"/>
      <c r="P1542" s="1">
        <f>MONTH(Advices[[#This Row],[Transaction Date]])</f>
        <v>1</v>
      </c>
      <c r="Q1542" s="1">
        <f>YEAR(Advices[[#This Row],[Transaction Date]])</f>
        <v>2026</v>
      </c>
      <c r="R1542" s="1"/>
    </row>
    <row r="1543" spans="1:18" hidden="1" x14ac:dyDescent="0.25">
      <c r="A1543" s="264" t="s">
        <v>366</v>
      </c>
      <c r="B1543" s="265">
        <v>46037</v>
      </c>
      <c r="C1543" s="264" t="s">
        <v>2060</v>
      </c>
      <c r="D1543" s="264" t="s">
        <v>3728</v>
      </c>
      <c r="E1543" s="264" t="s">
        <v>3715</v>
      </c>
      <c r="F1543" s="264" t="s">
        <v>3715</v>
      </c>
      <c r="G1543" s="264" t="s">
        <v>26</v>
      </c>
      <c r="H1543" s="266">
        <v>5405</v>
      </c>
      <c r="I1543" s="266">
        <v>0</v>
      </c>
      <c r="J1543" s="264" t="s">
        <v>2616</v>
      </c>
      <c r="K1543" s="264" t="s">
        <v>2025</v>
      </c>
      <c r="L1543" s="1" t="str">
        <f>VLOOKUP(Advices[[#This Row],[LC Number]],'Combine_List'!A:D,2,0)</f>
        <v>Mimar for Construction Tools &amp; Trading Ltd.</v>
      </c>
      <c r="M1543" s="447" t="str">
        <f>VLOOKUP(Advices[[#This Row],[LC Number]],'Combine_List'!A:D,3,0)</f>
        <v>FIRST FIX</v>
      </c>
      <c r="N1543" s="447" t="str">
        <f>VLOOKUP(Advices[[#This Row],[LC Number]],'Combine_List'!A:D,4,0)</f>
        <v>MP1</v>
      </c>
      <c r="O1543" s="264"/>
      <c r="P1543" s="264">
        <f>MONTH(Advices[[#This Row],[Transaction Date]])</f>
        <v>1</v>
      </c>
      <c r="Q1543" s="264">
        <f>YEAR(Advices[[#This Row],[Transaction Date]])</f>
        <v>2026</v>
      </c>
      <c r="R1543" s="1"/>
    </row>
    <row r="1544" spans="1:18" x14ac:dyDescent="0.25">
      <c r="A1544" s="264" t="s">
        <v>21</v>
      </c>
      <c r="B1544" s="265">
        <v>46040</v>
      </c>
      <c r="C1544" s="264" t="s">
        <v>1951</v>
      </c>
      <c r="D1544" s="264" t="s">
        <v>1960</v>
      </c>
      <c r="E1544" s="264" t="s">
        <v>1658</v>
      </c>
      <c r="F1544" s="264" t="s">
        <v>2438</v>
      </c>
      <c r="G1544" s="264" t="s">
        <v>26</v>
      </c>
      <c r="H1544" s="266">
        <v>11.25</v>
      </c>
      <c r="I1544" s="266">
        <v>0</v>
      </c>
      <c r="J1544" s="264" t="s">
        <v>1174</v>
      </c>
      <c r="K1544" s="264" t="s">
        <v>2025</v>
      </c>
      <c r="L1544" s="1" t="str">
        <f>VLOOKUP(Advices[[#This Row],[LC Number]],'Combine_List'!A:D,2,0)</f>
        <v>TABARK AL-MOMMYZA FOR TRADING COMPANY</v>
      </c>
      <c r="M1544" s="447" t="str">
        <f>VLOOKUP(Advices[[#This Row],[LC Number]],'Combine_List'!A:D,3,0)</f>
        <v>FIRST FIX</v>
      </c>
      <c r="N1544" s="447" t="str">
        <f>VLOOKUP(Advices[[#This Row],[LC Number]],'Combine_List'!A:D,4,0)</f>
        <v>KSP</v>
      </c>
      <c r="O1544" s="1"/>
      <c r="P1544" s="1">
        <f>MONTH(Advices[[#This Row],[Transaction Date]])</f>
        <v>1</v>
      </c>
      <c r="Q1544" s="1">
        <f>YEAR(Advices[[#This Row],[Transaction Date]])</f>
        <v>2026</v>
      </c>
      <c r="R1544" s="1"/>
    </row>
    <row r="1545" spans="1:18" x14ac:dyDescent="0.25">
      <c r="A1545" s="264" t="s">
        <v>21</v>
      </c>
      <c r="B1545" s="265">
        <v>46040</v>
      </c>
      <c r="C1545" s="264" t="s">
        <v>1951</v>
      </c>
      <c r="D1545" s="264" t="s">
        <v>3734</v>
      </c>
      <c r="E1545" s="264" t="s">
        <v>1658</v>
      </c>
      <c r="F1545" s="264" t="s">
        <v>2438</v>
      </c>
      <c r="G1545" s="264" t="s">
        <v>26</v>
      </c>
      <c r="H1545" s="266">
        <v>75</v>
      </c>
      <c r="I1545" s="266">
        <v>0</v>
      </c>
      <c r="J1545" s="264" t="s">
        <v>1963</v>
      </c>
      <c r="K1545" s="264" t="s">
        <v>2025</v>
      </c>
      <c r="L1545" s="1" t="str">
        <f>VLOOKUP(Advices[[#This Row],[LC Number]],'Combine_List'!A:D,2,0)</f>
        <v>TABARK AL-MOMMYZA FOR TRADING COMPANY</v>
      </c>
      <c r="M1545" s="447" t="str">
        <f>VLOOKUP(Advices[[#This Row],[LC Number]],'Combine_List'!A:D,3,0)</f>
        <v>FIRST FIX</v>
      </c>
      <c r="N1545" s="447" t="str">
        <f>VLOOKUP(Advices[[#This Row],[LC Number]],'Combine_List'!A:D,4,0)</f>
        <v>KSP</v>
      </c>
      <c r="O1545" s="1"/>
      <c r="P1545" s="1">
        <f>MONTH(Advices[[#This Row],[Transaction Date]])</f>
        <v>1</v>
      </c>
      <c r="Q1545" s="1">
        <f>YEAR(Advices[[#This Row],[Transaction Date]])</f>
        <v>2026</v>
      </c>
      <c r="R1545" s="1"/>
    </row>
    <row r="1546" spans="1:18" x14ac:dyDescent="0.25">
      <c r="A1546" s="264" t="s">
        <v>21</v>
      </c>
      <c r="B1546" s="265">
        <v>46040</v>
      </c>
      <c r="C1546" s="264" t="s">
        <v>1951</v>
      </c>
      <c r="D1546" s="264" t="s">
        <v>3735</v>
      </c>
      <c r="E1546" s="264" t="s">
        <v>1658</v>
      </c>
      <c r="F1546" s="264" t="s">
        <v>2438</v>
      </c>
      <c r="G1546" s="264" t="s">
        <v>26</v>
      </c>
      <c r="H1546" s="266">
        <v>245588.5</v>
      </c>
      <c r="I1546" s="266">
        <v>0</v>
      </c>
      <c r="J1546" s="264" t="s">
        <v>1126</v>
      </c>
      <c r="K1546" s="264" t="s">
        <v>2025</v>
      </c>
      <c r="L1546" s="1" t="str">
        <f>VLOOKUP(Advices[[#This Row],[LC Number]],'Combine_List'!A:D,2,0)</f>
        <v>TABARK AL-MOMMYZA FOR TRADING COMPANY</v>
      </c>
      <c r="M1546" s="447" t="str">
        <f>VLOOKUP(Advices[[#This Row],[LC Number]],'Combine_List'!A:D,3,0)</f>
        <v>FIRST FIX</v>
      </c>
      <c r="N1546" s="447" t="str">
        <f>VLOOKUP(Advices[[#This Row],[LC Number]],'Combine_List'!A:D,4,0)</f>
        <v>KSP</v>
      </c>
      <c r="O1546" s="264"/>
      <c r="P1546" s="264">
        <f>MONTH(Advices[[#This Row],[Transaction Date]])</f>
        <v>1</v>
      </c>
      <c r="Q1546" s="264">
        <f>YEAR(Advices[[#This Row],[Transaction Date]])</f>
        <v>2026</v>
      </c>
      <c r="R1546" s="1"/>
    </row>
    <row r="1547" spans="1:18" hidden="1" x14ac:dyDescent="0.25">
      <c r="A1547" s="264" t="s">
        <v>62</v>
      </c>
      <c r="B1547" s="265">
        <v>46040</v>
      </c>
      <c r="C1547" s="264" t="s">
        <v>2039</v>
      </c>
      <c r="D1547" s="264" t="s">
        <v>3736</v>
      </c>
      <c r="E1547" s="264" t="s">
        <v>3737</v>
      </c>
      <c r="F1547" s="264" t="s">
        <v>2041</v>
      </c>
      <c r="G1547" s="264" t="s">
        <v>26</v>
      </c>
      <c r="H1547" s="266">
        <v>4312.5</v>
      </c>
      <c r="I1547" s="266">
        <v>0</v>
      </c>
      <c r="J1547" s="264" t="s">
        <v>2830</v>
      </c>
      <c r="K1547" s="264" t="s">
        <v>2025</v>
      </c>
      <c r="L1547" s="1" t="str">
        <f>VLOOKUP(Advices[[#This Row],[LC Number]],'Combine_List'!A:D,2,0)</f>
        <v>Bid - THAKHER DEVELOPMENT COMPANY</v>
      </c>
      <c r="M1547" s="447">
        <f>VLOOKUP(Advices[[#This Row],[LC Number]],'Combine_List'!A:D,3,0)</f>
        <v>0</v>
      </c>
      <c r="N1547" s="447">
        <f>VLOOKUP(Advices[[#This Row],[LC Number]],'Combine_List'!A:D,4,0)</f>
        <v>0</v>
      </c>
      <c r="O1547" s="264"/>
      <c r="P1547" s="264">
        <f>MONTH(Advices[[#This Row],[Transaction Date]])</f>
        <v>1</v>
      </c>
      <c r="Q1547" s="264">
        <f>YEAR(Advices[[#This Row],[Transaction Date]])</f>
        <v>2026</v>
      </c>
      <c r="R1547" s="1"/>
    </row>
    <row r="1548" spans="1:18" hidden="1" x14ac:dyDescent="0.25">
      <c r="A1548" s="264" t="s">
        <v>95</v>
      </c>
      <c r="B1548" s="265">
        <v>46040</v>
      </c>
      <c r="C1548" s="264" t="s">
        <v>2026</v>
      </c>
      <c r="D1548" s="264" t="s">
        <v>3738</v>
      </c>
      <c r="E1548" s="264" t="s">
        <v>2921</v>
      </c>
      <c r="F1548" s="264" t="s">
        <v>3739</v>
      </c>
      <c r="G1548" s="264" t="s">
        <v>26</v>
      </c>
      <c r="H1548" s="266">
        <v>4354.91</v>
      </c>
      <c r="I1548" s="266">
        <v>0</v>
      </c>
      <c r="J1548" s="264" t="s">
        <v>1125</v>
      </c>
      <c r="K1548" s="264" t="s">
        <v>2025</v>
      </c>
      <c r="L1548" s="1" t="str">
        <f>VLOOKUP(Advices[[#This Row],[LC Number]],'Combine_List'!A:D,2,0)</f>
        <v>Saudi Benaa Company For Building Materials</v>
      </c>
      <c r="M1548" s="447" t="str">
        <f>VLOOKUP(Advices[[#This Row],[LC Number]],'Combine_List'!A:D,3,0)</f>
        <v>MBL</v>
      </c>
      <c r="N1548" s="447" t="str">
        <f>VLOOKUP(Advices[[#This Row],[LC Number]],'Combine_List'!A:D,4,0)</f>
        <v>OPERA House</v>
      </c>
      <c r="O1548" s="1"/>
      <c r="P1548" s="1">
        <f>MONTH(Advices[[#This Row],[Transaction Date]])</f>
        <v>1</v>
      </c>
      <c r="Q1548" s="1">
        <f>YEAR(Advices[[#This Row],[Transaction Date]])</f>
        <v>2026</v>
      </c>
      <c r="R1548" s="1"/>
    </row>
    <row r="1549" spans="1:18" hidden="1" x14ac:dyDescent="0.25">
      <c r="A1549" s="264" t="s">
        <v>95</v>
      </c>
      <c r="B1549" s="265">
        <v>46040</v>
      </c>
      <c r="C1549" s="264" t="s">
        <v>2026</v>
      </c>
      <c r="D1549" s="264" t="s">
        <v>3740</v>
      </c>
      <c r="E1549" s="264" t="s">
        <v>3723</v>
      </c>
      <c r="F1549" s="264" t="s">
        <v>3741</v>
      </c>
      <c r="G1549" s="264" t="s">
        <v>26</v>
      </c>
      <c r="H1549" s="266">
        <v>1334</v>
      </c>
      <c r="I1549" s="266">
        <v>0</v>
      </c>
      <c r="J1549" s="264" t="s">
        <v>2616</v>
      </c>
      <c r="K1549" s="264" t="s">
        <v>2025</v>
      </c>
      <c r="L1549" s="1" t="str">
        <f>VLOOKUP(Advices[[#This Row],[LC Number]],'Combine_List'!A:D,2,0)</f>
        <v>Brooq Al Amaan Trading</v>
      </c>
      <c r="M1549" s="447" t="str">
        <f>VLOOKUP(Advices[[#This Row],[LC Number]],'Combine_List'!A:D,3,0)</f>
        <v>MBL/ICAD</v>
      </c>
      <c r="N1549" s="447" t="str">
        <f>VLOOKUP(Advices[[#This Row],[LC Number]],'Combine_List'!A:D,4,0)</f>
        <v>OPERA House</v>
      </c>
      <c r="O1549" s="1"/>
      <c r="P1549" s="1">
        <f>MONTH(Advices[[#This Row],[Transaction Date]])</f>
        <v>1</v>
      </c>
      <c r="Q1549" s="1">
        <f>YEAR(Advices[[#This Row],[Transaction Date]])</f>
        <v>2026</v>
      </c>
      <c r="R1549" s="1"/>
    </row>
    <row r="1550" spans="1:18" hidden="1" x14ac:dyDescent="0.25">
      <c r="A1550" s="264" t="s">
        <v>95</v>
      </c>
      <c r="B1550" s="265">
        <v>46040</v>
      </c>
      <c r="C1550" s="264" t="s">
        <v>2026</v>
      </c>
      <c r="D1550" s="264" t="s">
        <v>3742</v>
      </c>
      <c r="E1550" s="264" t="s">
        <v>3718</v>
      </c>
      <c r="F1550" s="264" t="s">
        <v>3743</v>
      </c>
      <c r="G1550" s="264" t="s">
        <v>26</v>
      </c>
      <c r="H1550" s="266">
        <v>699.58</v>
      </c>
      <c r="I1550" s="266">
        <v>0</v>
      </c>
      <c r="J1550" s="264" t="s">
        <v>2616</v>
      </c>
      <c r="K1550" s="264" t="s">
        <v>2025</v>
      </c>
      <c r="L1550" s="1" t="str">
        <f>VLOOKUP(Advices[[#This Row],[LC Number]],'Combine_List'!A:D,2,0)</f>
        <v>Electric House Trading Company L.L.C.</v>
      </c>
      <c r="M1550" s="447" t="str">
        <f>VLOOKUP(Advices[[#This Row],[LC Number]],'Combine_List'!A:D,3,0)</f>
        <v>MBL/ICAD</v>
      </c>
      <c r="N1550" s="447" t="str">
        <f>VLOOKUP(Advices[[#This Row],[LC Number]],'Combine_List'!A:D,4,0)</f>
        <v>OPERA House</v>
      </c>
      <c r="O1550" s="1"/>
      <c r="P1550" s="1">
        <f>MONTH(Advices[[#This Row],[Transaction Date]])</f>
        <v>1</v>
      </c>
      <c r="Q1550" s="1">
        <f>YEAR(Advices[[#This Row],[Transaction Date]])</f>
        <v>2026</v>
      </c>
      <c r="R1550" s="1"/>
    </row>
    <row r="1551" spans="1:18" hidden="1" x14ac:dyDescent="0.25">
      <c r="A1551" s="264" t="s">
        <v>95</v>
      </c>
      <c r="B1551" s="265">
        <v>46040</v>
      </c>
      <c r="C1551" s="264" t="s">
        <v>2026</v>
      </c>
      <c r="D1551" s="264" t="s">
        <v>3744</v>
      </c>
      <c r="E1551" s="264" t="s">
        <v>3719</v>
      </c>
      <c r="F1551" s="264" t="s">
        <v>3745</v>
      </c>
      <c r="G1551" s="264" t="s">
        <v>26</v>
      </c>
      <c r="H1551" s="266">
        <v>1226.67</v>
      </c>
      <c r="I1551" s="266">
        <v>0</v>
      </c>
      <c r="J1551" s="264" t="s">
        <v>2616</v>
      </c>
      <c r="K1551" s="264" t="s">
        <v>2025</v>
      </c>
      <c r="L1551" s="1" t="str">
        <f>VLOOKUP(Advices[[#This Row],[LC Number]],'Combine_List'!A:D,2,0)</f>
        <v>Johnson Controls Arabia Limited</v>
      </c>
      <c r="M1551" s="447" t="str">
        <f>VLOOKUP(Advices[[#This Row],[LC Number]],'Combine_List'!A:D,3,0)</f>
        <v>MBL/ICAD</v>
      </c>
      <c r="N1551" s="447" t="str">
        <f>VLOOKUP(Advices[[#This Row],[LC Number]],'Combine_List'!A:D,4,0)</f>
        <v>OPERA House</v>
      </c>
      <c r="O1551" s="1"/>
      <c r="P1551" s="1">
        <f>MONTH(Advices[[#This Row],[Transaction Date]])</f>
        <v>1</v>
      </c>
      <c r="Q1551" s="1">
        <f>YEAR(Advices[[#This Row],[Transaction Date]])</f>
        <v>2026</v>
      </c>
      <c r="R1551" s="1"/>
    </row>
    <row r="1552" spans="1:18" hidden="1" x14ac:dyDescent="0.25">
      <c r="A1552" s="264" t="s">
        <v>95</v>
      </c>
      <c r="B1552" s="265">
        <v>46040</v>
      </c>
      <c r="C1552" s="264" t="s">
        <v>2026</v>
      </c>
      <c r="D1552" s="264" t="s">
        <v>3746</v>
      </c>
      <c r="E1552" s="264" t="s">
        <v>3720</v>
      </c>
      <c r="F1552" s="264" t="s">
        <v>3747</v>
      </c>
      <c r="G1552" s="264" t="s">
        <v>26</v>
      </c>
      <c r="H1552" s="266">
        <v>1094.42</v>
      </c>
      <c r="I1552" s="266">
        <v>0</v>
      </c>
      <c r="J1552" s="264" t="s">
        <v>2616</v>
      </c>
      <c r="K1552" s="264" t="s">
        <v>2025</v>
      </c>
      <c r="L1552" s="1" t="str">
        <f>VLOOKUP(Advices[[#This Row],[LC Number]],'Combine_List'!A:D,2,0)</f>
        <v>Alkhorayef Commercial Company</v>
      </c>
      <c r="M1552" s="447" t="str">
        <f>VLOOKUP(Advices[[#This Row],[LC Number]],'Combine_List'!A:D,3,0)</f>
        <v>MBL/ICAD</v>
      </c>
      <c r="N1552" s="447" t="str">
        <f>VLOOKUP(Advices[[#This Row],[LC Number]],'Combine_List'!A:D,4,0)</f>
        <v>OPERA House</v>
      </c>
      <c r="O1552" s="1"/>
      <c r="P1552" s="1">
        <f>MONTH(Advices[[#This Row],[Transaction Date]])</f>
        <v>1</v>
      </c>
      <c r="Q1552" s="1">
        <f>YEAR(Advices[[#This Row],[Transaction Date]])</f>
        <v>2026</v>
      </c>
      <c r="R1552" s="1"/>
    </row>
    <row r="1553" spans="1:18" hidden="1" x14ac:dyDescent="0.25">
      <c r="A1553" s="264" t="s">
        <v>95</v>
      </c>
      <c r="B1553" s="265">
        <v>46040</v>
      </c>
      <c r="C1553" s="264" t="s">
        <v>2026</v>
      </c>
      <c r="D1553" s="264" t="s">
        <v>3748</v>
      </c>
      <c r="E1553" s="264" t="s">
        <v>3721</v>
      </c>
      <c r="F1553" s="264" t="s">
        <v>3749</v>
      </c>
      <c r="G1553" s="264" t="s">
        <v>26</v>
      </c>
      <c r="H1553" s="266">
        <v>1418.33</v>
      </c>
      <c r="I1553" s="266">
        <v>0</v>
      </c>
      <c r="J1553" s="264" t="s">
        <v>2616</v>
      </c>
      <c r="K1553" s="264" t="s">
        <v>2025</v>
      </c>
      <c r="L1553" s="1" t="str">
        <f>VLOOKUP(Advices[[#This Row],[LC Number]],'Combine_List'!A:D,2,0)</f>
        <v>Electro Mechanical Supplies Company</v>
      </c>
      <c r="M1553" s="447" t="str">
        <f>VLOOKUP(Advices[[#This Row],[LC Number]],'Combine_List'!A:D,3,0)</f>
        <v>MBL/ICAD</v>
      </c>
      <c r="N1553" s="447" t="str">
        <f>VLOOKUP(Advices[[#This Row],[LC Number]],'Combine_List'!A:D,4,0)</f>
        <v>OPERA House</v>
      </c>
      <c r="O1553" s="1"/>
      <c r="P1553" s="1">
        <f>MONTH(Advices[[#This Row],[Transaction Date]])</f>
        <v>1</v>
      </c>
      <c r="Q1553" s="1">
        <f>YEAR(Advices[[#This Row],[Transaction Date]])</f>
        <v>2026</v>
      </c>
      <c r="R1553" s="1"/>
    </row>
    <row r="1554" spans="1:18" hidden="1" x14ac:dyDescent="0.25">
      <c r="A1554" s="264" t="s">
        <v>95</v>
      </c>
      <c r="B1554" s="265">
        <v>46040</v>
      </c>
      <c r="C1554" s="264" t="s">
        <v>2026</v>
      </c>
      <c r="D1554" s="264" t="s">
        <v>3750</v>
      </c>
      <c r="E1554" s="264" t="s">
        <v>3722</v>
      </c>
      <c r="F1554" s="264" t="s">
        <v>3751</v>
      </c>
      <c r="G1554" s="264" t="s">
        <v>26</v>
      </c>
      <c r="H1554" s="266">
        <v>963.13</v>
      </c>
      <c r="I1554" s="266">
        <v>0</v>
      </c>
      <c r="J1554" s="264" t="s">
        <v>2616</v>
      </c>
      <c r="K1554" s="264" t="s">
        <v>2025</v>
      </c>
      <c r="L1554" s="1" t="str">
        <f>VLOOKUP(Advices[[#This Row],[LC Number]],'Combine_List'!A:D,2,0)</f>
        <v>Electric House Trading Company L.L.C.</v>
      </c>
      <c r="M1554" s="447" t="str">
        <f>VLOOKUP(Advices[[#This Row],[LC Number]],'Combine_List'!A:D,3,0)</f>
        <v>MBL/ICAD</v>
      </c>
      <c r="N1554" s="447" t="str">
        <f>VLOOKUP(Advices[[#This Row],[LC Number]],'Combine_List'!A:D,4,0)</f>
        <v>OPERA House</v>
      </c>
      <c r="O1554" s="264"/>
      <c r="P1554" s="264">
        <f>MONTH(Advices[[#This Row],[Transaction Date]])</f>
        <v>1</v>
      </c>
      <c r="Q1554" s="264">
        <f>YEAR(Advices[[#This Row],[Transaction Date]])</f>
        <v>2026</v>
      </c>
      <c r="R1554" s="1"/>
    </row>
    <row r="1555" spans="1:18" hidden="1" x14ac:dyDescent="0.25">
      <c r="A1555" s="264" t="s">
        <v>366</v>
      </c>
      <c r="B1555" s="265">
        <v>46040</v>
      </c>
      <c r="C1555" s="264" t="s">
        <v>2057</v>
      </c>
      <c r="D1555" s="264" t="s">
        <v>3752</v>
      </c>
      <c r="E1555" s="264" t="s">
        <v>1671</v>
      </c>
      <c r="F1555" s="264" t="s">
        <v>3436</v>
      </c>
      <c r="G1555" s="264" t="s">
        <v>26</v>
      </c>
      <c r="H1555" s="266">
        <v>871119.25</v>
      </c>
      <c r="I1555" s="266">
        <v>0</v>
      </c>
      <c r="J1555" s="264" t="s">
        <v>1126</v>
      </c>
      <c r="K1555" s="264" t="s">
        <v>2025</v>
      </c>
      <c r="L1555" s="1" t="str">
        <f>VLOOKUP(Advices[[#This Row],[LC Number]],'Combine_List'!A:D,2,0)</f>
        <v>Al-Sayed Center A/C &amp; Refrigeration Materials Company</v>
      </c>
      <c r="M1555" s="447" t="str">
        <f>VLOOKUP(Advices[[#This Row],[LC Number]],'Combine_List'!A:D,3,0)</f>
        <v>FIRST FIX</v>
      </c>
      <c r="N1555" s="447" t="str">
        <f>VLOOKUP(Advices[[#This Row],[LC Number]],'Combine_List'!A:D,4,0)</f>
        <v>CEER</v>
      </c>
      <c r="O1555" s="1"/>
      <c r="P1555" s="1">
        <f>MONTH(Advices[[#This Row],[Transaction Date]])</f>
        <v>1</v>
      </c>
      <c r="Q1555" s="1">
        <f>YEAR(Advices[[#This Row],[Transaction Date]])</f>
        <v>2026</v>
      </c>
      <c r="R1555" s="1"/>
    </row>
    <row r="1556" spans="1:18" hidden="1" x14ac:dyDescent="0.25">
      <c r="A1556" s="264" t="s">
        <v>366</v>
      </c>
      <c r="B1556" s="265">
        <v>46040</v>
      </c>
      <c r="C1556" s="264" t="s">
        <v>2057</v>
      </c>
      <c r="D1556" s="264" t="s">
        <v>3753</v>
      </c>
      <c r="E1556" s="264" t="s">
        <v>1664</v>
      </c>
      <c r="F1556" s="264" t="s">
        <v>3452</v>
      </c>
      <c r="G1556" s="264" t="s">
        <v>26</v>
      </c>
      <c r="H1556" s="266">
        <v>164946.54999999999</v>
      </c>
      <c r="I1556" s="266">
        <v>0</v>
      </c>
      <c r="J1556" s="264" t="s">
        <v>1126</v>
      </c>
      <c r="K1556" s="264" t="s">
        <v>2025</v>
      </c>
      <c r="L1556" s="1" t="str">
        <f>VLOOKUP(Advices[[#This Row],[LC Number]],'Combine_List'!A:D,2,0)</f>
        <v>AC SOLUTIONS TRADING CO</v>
      </c>
      <c r="M1556" s="447" t="str">
        <f>VLOOKUP(Advices[[#This Row],[LC Number]],'Combine_List'!A:D,3,0)</f>
        <v>FIRST FIX</v>
      </c>
      <c r="N1556" s="447" t="str">
        <f>VLOOKUP(Advices[[#This Row],[LC Number]],'Combine_List'!A:D,4,0)</f>
        <v>CEER</v>
      </c>
      <c r="O1556" s="1"/>
      <c r="P1556" s="1">
        <f>MONTH(Advices[[#This Row],[Transaction Date]])</f>
        <v>1</v>
      </c>
      <c r="Q1556" s="1">
        <f>YEAR(Advices[[#This Row],[Transaction Date]])</f>
        <v>2026</v>
      </c>
      <c r="R1556" s="1"/>
    </row>
    <row r="1557" spans="1:18" hidden="1" x14ac:dyDescent="0.25">
      <c r="A1557" s="264" t="s">
        <v>366</v>
      </c>
      <c r="B1557" s="265">
        <v>46040</v>
      </c>
      <c r="C1557" s="264" t="s">
        <v>2060</v>
      </c>
      <c r="D1557" s="264" t="s">
        <v>3754</v>
      </c>
      <c r="E1557" s="264" t="s">
        <v>1662</v>
      </c>
      <c r="F1557" s="264" t="s">
        <v>3431</v>
      </c>
      <c r="G1557" s="264" t="s">
        <v>26</v>
      </c>
      <c r="H1557" s="266">
        <v>314788.40000000002</v>
      </c>
      <c r="I1557" s="266">
        <v>0</v>
      </c>
      <c r="J1557" s="264" t="s">
        <v>1126</v>
      </c>
      <c r="K1557" s="264" t="s">
        <v>2025</v>
      </c>
      <c r="L1557" s="1" t="str">
        <f>VLOOKUP(Advices[[#This Row],[LC Number]],'Combine_List'!A:D,2,0)</f>
        <v>JAD AL RIYADH Trading Co. Ltd</v>
      </c>
      <c r="M1557" s="447" t="str">
        <f>VLOOKUP(Advices[[#This Row],[LC Number]],'Combine_List'!A:D,3,0)</f>
        <v>FIRST FIX</v>
      </c>
      <c r="N1557" s="447" t="str">
        <f>VLOOKUP(Advices[[#This Row],[LC Number]],'Combine_List'!A:D,4,0)</f>
        <v>CEER</v>
      </c>
      <c r="O1557" s="1"/>
      <c r="P1557" s="1">
        <f>MONTH(Advices[[#This Row],[Transaction Date]])</f>
        <v>1</v>
      </c>
      <c r="Q1557" s="1">
        <f>YEAR(Advices[[#This Row],[Transaction Date]])</f>
        <v>2026</v>
      </c>
      <c r="R1557" s="1"/>
    </row>
    <row r="1558" spans="1:18" hidden="1" x14ac:dyDescent="0.25">
      <c r="A1558" s="264" t="s">
        <v>366</v>
      </c>
      <c r="B1558" s="265">
        <v>46040</v>
      </c>
      <c r="C1558" s="264" t="s">
        <v>3755</v>
      </c>
      <c r="D1558" s="264" t="s">
        <v>3756</v>
      </c>
      <c r="E1558" s="264" t="s">
        <v>3730</v>
      </c>
      <c r="F1558" s="264" t="s">
        <v>3730</v>
      </c>
      <c r="G1558" s="264" t="s">
        <v>26</v>
      </c>
      <c r="H1558" s="266">
        <v>57611.75</v>
      </c>
      <c r="I1558" s="266">
        <v>0</v>
      </c>
      <c r="J1558" s="264" t="s">
        <v>2616</v>
      </c>
      <c r="K1558" s="264" t="s">
        <v>2025</v>
      </c>
      <c r="L1558" s="1" t="str">
        <f>VLOOKUP(Advices[[#This Row],[LC Number]],'Combine_List'!A:D,2,0)</f>
        <v>Off Premises Solutions</v>
      </c>
      <c r="M1558" s="447" t="str">
        <f>VLOOKUP(Advices[[#This Row],[LC Number]],'Combine_List'!A:D,3,0)</f>
        <v>MBL / Green Roots</v>
      </c>
      <c r="N1558" s="447" t="str">
        <f>VLOOKUP(Advices[[#This Row],[LC Number]],'Combine_List'!A:D,4,0)</f>
        <v>CEER</v>
      </c>
      <c r="O1558" s="1"/>
      <c r="P1558" s="1">
        <f>MONTH(Advices[[#This Row],[Transaction Date]])</f>
        <v>1</v>
      </c>
      <c r="Q1558" s="1">
        <f>YEAR(Advices[[#This Row],[Transaction Date]])</f>
        <v>2026</v>
      </c>
      <c r="R1558" s="1"/>
    </row>
    <row r="1559" spans="1:18" hidden="1" x14ac:dyDescent="0.25">
      <c r="A1559" s="264" t="s">
        <v>366</v>
      </c>
      <c r="B1559" s="265">
        <v>46040</v>
      </c>
      <c r="C1559" s="264" t="s">
        <v>2060</v>
      </c>
      <c r="D1559" s="264" t="s">
        <v>3757</v>
      </c>
      <c r="E1559" s="264" t="s">
        <v>2903</v>
      </c>
      <c r="F1559" s="264" t="s">
        <v>3758</v>
      </c>
      <c r="G1559" s="264" t="s">
        <v>26</v>
      </c>
      <c r="H1559" s="266">
        <v>940.67</v>
      </c>
      <c r="I1559" s="266">
        <v>0</v>
      </c>
      <c r="J1559" s="264" t="s">
        <v>1125</v>
      </c>
      <c r="K1559" s="264" t="s">
        <v>2025</v>
      </c>
      <c r="L1559" s="1" t="str">
        <f>VLOOKUP(Advices[[#This Row],[LC Number]],'Combine_List'!A:D,2,0)</f>
        <v>Ajzal United for Safety CO.LTD.</v>
      </c>
      <c r="M1559" s="447" t="str">
        <f>VLOOKUP(Advices[[#This Row],[LC Number]],'Combine_List'!A:D,3,0)</f>
        <v>FIRST FIX</v>
      </c>
      <c r="N1559" s="447" t="str">
        <f>VLOOKUP(Advices[[#This Row],[LC Number]],'Combine_List'!A:D,4,0)</f>
        <v>MP1</v>
      </c>
      <c r="O1559" s="1"/>
      <c r="P1559" s="1">
        <f>MONTH(Advices[[#This Row],[Transaction Date]])</f>
        <v>1</v>
      </c>
      <c r="Q1559" s="1">
        <f>YEAR(Advices[[#This Row],[Transaction Date]])</f>
        <v>2026</v>
      </c>
      <c r="R1559" s="1"/>
    </row>
    <row r="1560" spans="1:18" hidden="1" x14ac:dyDescent="0.25">
      <c r="A1560" s="264" t="s">
        <v>366</v>
      </c>
      <c r="B1560" s="265">
        <v>46040</v>
      </c>
      <c r="C1560" s="264" t="s">
        <v>2060</v>
      </c>
      <c r="D1560" s="264" t="s">
        <v>3759</v>
      </c>
      <c r="E1560" s="264" t="s">
        <v>1652</v>
      </c>
      <c r="F1560" s="264" t="s">
        <v>3440</v>
      </c>
      <c r="G1560" s="264" t="s">
        <v>26</v>
      </c>
      <c r="H1560" s="266">
        <v>194357.37</v>
      </c>
      <c r="I1560" s="266">
        <v>0</v>
      </c>
      <c r="J1560" s="264" t="s">
        <v>1126</v>
      </c>
      <c r="K1560" s="264" t="s">
        <v>2025</v>
      </c>
      <c r="L1560" s="1" t="str">
        <f>VLOOKUP(Advices[[#This Row],[LC Number]],'Combine_List'!A:D,2,0)</f>
        <v>Riyadh Unity for Trading</v>
      </c>
      <c r="M1560" s="447" t="str">
        <f>VLOOKUP(Advices[[#This Row],[LC Number]],'Combine_List'!A:D,3,0)</f>
        <v>FIRST FIX</v>
      </c>
      <c r="N1560" s="447" t="str">
        <f>VLOOKUP(Advices[[#This Row],[LC Number]],'Combine_List'!A:D,4,0)</f>
        <v>CEER</v>
      </c>
      <c r="O1560" s="1"/>
      <c r="P1560" s="1">
        <f>MONTH(Advices[[#This Row],[Transaction Date]])</f>
        <v>1</v>
      </c>
      <c r="Q1560" s="1">
        <f>YEAR(Advices[[#This Row],[Transaction Date]])</f>
        <v>2026</v>
      </c>
      <c r="R1560" s="1"/>
    </row>
    <row r="1561" spans="1:18" hidden="1" x14ac:dyDescent="0.25">
      <c r="A1561" s="264" t="s">
        <v>366</v>
      </c>
      <c r="B1561" s="265">
        <v>46040</v>
      </c>
      <c r="C1561" s="264" t="s">
        <v>2060</v>
      </c>
      <c r="D1561" s="264" t="s">
        <v>3760</v>
      </c>
      <c r="E1561" s="264" t="s">
        <v>1189</v>
      </c>
      <c r="F1561" s="264" t="s">
        <v>3459</v>
      </c>
      <c r="G1561" s="264" t="s">
        <v>26</v>
      </c>
      <c r="H1561" s="266">
        <v>188433.83</v>
      </c>
      <c r="I1561" s="266">
        <v>0</v>
      </c>
      <c r="J1561" s="264" t="s">
        <v>1126</v>
      </c>
      <c r="K1561" s="264" t="s">
        <v>2025</v>
      </c>
      <c r="L1561" s="1" t="str">
        <f>VLOOKUP(Advices[[#This Row],[LC Number]],'Combine_List'!A:D,2,0)</f>
        <v>Rawadf International Co.</v>
      </c>
      <c r="M1561" s="447" t="str">
        <f>VLOOKUP(Advices[[#This Row],[LC Number]],'Combine_List'!A:D,3,0)</f>
        <v>FIRST FIX</v>
      </c>
      <c r="N1561" s="447" t="str">
        <f>VLOOKUP(Advices[[#This Row],[LC Number]],'Combine_List'!A:D,4,0)</f>
        <v>MP1</v>
      </c>
      <c r="O1561" s="1"/>
      <c r="P1561" s="1">
        <f>MONTH(Advices[[#This Row],[Transaction Date]])</f>
        <v>1</v>
      </c>
      <c r="Q1561" s="1">
        <f>YEAR(Advices[[#This Row],[Transaction Date]])</f>
        <v>2026</v>
      </c>
      <c r="R1561" s="1"/>
    </row>
    <row r="1562" spans="1:18" hidden="1" x14ac:dyDescent="0.25">
      <c r="A1562" s="264" t="s">
        <v>366</v>
      </c>
      <c r="B1562" s="265">
        <v>46040</v>
      </c>
      <c r="C1562" s="264" t="s">
        <v>2057</v>
      </c>
      <c r="D1562" s="264" t="s">
        <v>3761</v>
      </c>
      <c r="E1562" s="264" t="s">
        <v>1648</v>
      </c>
      <c r="F1562" s="264" t="s">
        <v>3762</v>
      </c>
      <c r="G1562" s="264" t="s">
        <v>26</v>
      </c>
      <c r="H1562" s="266">
        <v>2874080</v>
      </c>
      <c r="I1562" s="266">
        <v>0</v>
      </c>
      <c r="J1562" s="264" t="s">
        <v>1126</v>
      </c>
      <c r="K1562" s="264" t="s">
        <v>2025</v>
      </c>
      <c r="L1562" s="1" t="str">
        <f>VLOOKUP(Advices[[#This Row],[LC Number]],'Combine_List'!A:D,2,0)</f>
        <v>Atlas Industrial Equipment Co.</v>
      </c>
      <c r="M1562" s="447" t="str">
        <f>VLOOKUP(Advices[[#This Row],[LC Number]],'Combine_List'!A:D,3,0)</f>
        <v>FIRST FIX</v>
      </c>
      <c r="N1562" s="447" t="str">
        <f>VLOOKUP(Advices[[#This Row],[LC Number]],'Combine_List'!A:D,4,0)</f>
        <v>CEER</v>
      </c>
      <c r="O1562" s="1"/>
      <c r="P1562" s="1">
        <f>MONTH(Advices[[#This Row],[Transaction Date]])</f>
        <v>1</v>
      </c>
      <c r="Q1562" s="1">
        <f>YEAR(Advices[[#This Row],[Transaction Date]])</f>
        <v>2026</v>
      </c>
      <c r="R1562" s="1"/>
    </row>
    <row r="1563" spans="1:18" hidden="1" x14ac:dyDescent="0.25">
      <c r="A1563" s="264" t="s">
        <v>366</v>
      </c>
      <c r="B1563" s="265">
        <v>46040</v>
      </c>
      <c r="C1563" s="264" t="s">
        <v>3755</v>
      </c>
      <c r="D1563" s="264" t="s">
        <v>3763</v>
      </c>
      <c r="E1563" s="264" t="s">
        <v>3731</v>
      </c>
      <c r="F1563" s="264" t="s">
        <v>3731</v>
      </c>
      <c r="G1563" s="264" t="s">
        <v>26</v>
      </c>
      <c r="H1563" s="266">
        <v>7529.38</v>
      </c>
      <c r="I1563" s="266">
        <v>0</v>
      </c>
      <c r="J1563" s="264" t="s">
        <v>2616</v>
      </c>
      <c r="K1563" s="264" t="s">
        <v>2025</v>
      </c>
      <c r="L1563" s="1" t="str">
        <f>VLOOKUP(Advices[[#This Row],[LC Number]],'Combine_List'!A:D,2,0)</f>
        <v>AlJammaz Hydrotek</v>
      </c>
      <c r="M1563" s="447" t="str">
        <f>VLOOKUP(Advices[[#This Row],[LC Number]],'Combine_List'!A:D,3,0)</f>
        <v>MBL / Green Roots</v>
      </c>
      <c r="N1563" s="447" t="str">
        <f>VLOOKUP(Advices[[#This Row],[LC Number]],'Combine_List'!A:D,4,0)</f>
        <v>CEER</v>
      </c>
      <c r="O1563" s="264"/>
      <c r="P1563" s="264">
        <f>MONTH(Advices[[#This Row],[Transaction Date]])</f>
        <v>1</v>
      </c>
      <c r="Q1563" s="264">
        <f>YEAR(Advices[[#This Row],[Transaction Date]])</f>
        <v>2026</v>
      </c>
      <c r="R1563" s="1"/>
    </row>
    <row r="1564" spans="1:18" hidden="1" x14ac:dyDescent="0.25">
      <c r="A1564" s="264" t="s">
        <v>62</v>
      </c>
      <c r="B1564" s="265">
        <v>46041</v>
      </c>
      <c r="C1564" s="264" t="s">
        <v>2039</v>
      </c>
      <c r="D1564" s="264" t="s">
        <v>3766</v>
      </c>
      <c r="E1564" s="264" t="s">
        <v>1834</v>
      </c>
      <c r="F1564" s="264" t="s">
        <v>2041</v>
      </c>
      <c r="G1564" s="264" t="s">
        <v>26</v>
      </c>
      <c r="H1564" s="266">
        <v>21172.26</v>
      </c>
      <c r="I1564" s="266">
        <v>0</v>
      </c>
      <c r="J1564" s="264" t="s">
        <v>1124</v>
      </c>
      <c r="K1564" s="264" t="s">
        <v>2025</v>
      </c>
      <c r="L1564" s="1" t="str">
        <f>VLOOKUP(Advices[[#This Row],[LC Number]],'Combine_List'!A:D,2,0)</f>
        <v>Jiangsu Donchamp New Materials Technology Co.Ltd.</v>
      </c>
      <c r="M1564" s="447" t="str">
        <f>VLOOKUP(Advices[[#This Row],[LC Number]],'Combine_List'!A:D,3,0)</f>
        <v>MBL</v>
      </c>
      <c r="N1564" s="447" t="str">
        <f>VLOOKUP(Advices[[#This Row],[LC Number]],'Combine_List'!A:D,4,0)</f>
        <v>Oceanarium</v>
      </c>
      <c r="O1564" s="1"/>
      <c r="P1564" s="1">
        <f>MONTH(Advices[[#This Row],[Transaction Date]])</f>
        <v>1</v>
      </c>
      <c r="Q1564" s="1">
        <f>YEAR(Advices[[#This Row],[Transaction Date]])</f>
        <v>2026</v>
      </c>
      <c r="R1564" s="1"/>
    </row>
    <row r="1565" spans="1:18" hidden="1" x14ac:dyDescent="0.25">
      <c r="A1565" s="264" t="s">
        <v>62</v>
      </c>
      <c r="B1565" s="265">
        <v>46041</v>
      </c>
      <c r="C1565" s="264" t="s">
        <v>2042</v>
      </c>
      <c r="D1565" s="264" t="s">
        <v>3767</v>
      </c>
      <c r="E1565" s="264" t="s">
        <v>2432</v>
      </c>
      <c r="F1565" s="264" t="s">
        <v>2041</v>
      </c>
      <c r="G1565" s="264" t="s">
        <v>26</v>
      </c>
      <c r="H1565" s="266">
        <v>92992.45</v>
      </c>
      <c r="I1565" s="266">
        <v>0</v>
      </c>
      <c r="J1565" s="264" t="s">
        <v>2830</v>
      </c>
      <c r="K1565" s="264" t="s">
        <v>2025</v>
      </c>
      <c r="L1565" s="1" t="str">
        <f>VLOOKUP(Advices[[#This Row],[LC Number]],'Combine_List'!A:D,2,0)</f>
        <v>Advance - JEDDAH ISLAMIC PORT</v>
      </c>
      <c r="M1565" s="447">
        <f>VLOOKUP(Advices[[#This Row],[LC Number]],'Combine_List'!A:D,3,0)</f>
        <v>0</v>
      </c>
      <c r="N1565" s="447">
        <f>VLOOKUP(Advices[[#This Row],[LC Number]],'Combine_List'!A:D,4,0)</f>
        <v>0</v>
      </c>
      <c r="O1565" s="1"/>
      <c r="P1565" s="1">
        <f>MONTH(Advices[[#This Row],[Transaction Date]])</f>
        <v>1</v>
      </c>
      <c r="Q1565" s="1">
        <f>YEAR(Advices[[#This Row],[Transaction Date]])</f>
        <v>2026</v>
      </c>
      <c r="R1565" s="1"/>
    </row>
    <row r="1566" spans="1:18" hidden="1" x14ac:dyDescent="0.25">
      <c r="A1566" s="264" t="s">
        <v>62</v>
      </c>
      <c r="B1566" s="265">
        <v>46041</v>
      </c>
      <c r="C1566" s="264" t="s">
        <v>2042</v>
      </c>
      <c r="D1566" s="264" t="s">
        <v>3768</v>
      </c>
      <c r="E1566" s="264" t="s">
        <v>3769</v>
      </c>
      <c r="F1566" s="264" t="s">
        <v>2041</v>
      </c>
      <c r="G1566" s="264" t="s">
        <v>26</v>
      </c>
      <c r="H1566" s="266">
        <v>79361.5</v>
      </c>
      <c r="I1566" s="266">
        <v>0</v>
      </c>
      <c r="J1566" s="264" t="s">
        <v>2830</v>
      </c>
      <c r="K1566" s="264" t="s">
        <v>2025</v>
      </c>
      <c r="L1566" s="1" t="str">
        <f>VLOOKUP(Advices[[#This Row],[LC Number]],'Combine_List'!A:D,2,0)</f>
        <v>Performance - GENERAL AUTHORITY OF PORTS - JEDDAH ISLAMIC PORT</v>
      </c>
      <c r="M1566" s="447">
        <f>VLOOKUP(Advices[[#This Row],[LC Number]],'Combine_List'!A:D,3,0)</f>
        <v>0</v>
      </c>
      <c r="N1566" s="447">
        <f>VLOOKUP(Advices[[#This Row],[LC Number]],'Combine_List'!A:D,4,0)</f>
        <v>0</v>
      </c>
      <c r="O1566" s="1"/>
      <c r="P1566" s="1">
        <f>MONTH(Advices[[#This Row],[Transaction Date]])</f>
        <v>1</v>
      </c>
      <c r="Q1566" s="1">
        <f>YEAR(Advices[[#This Row],[Transaction Date]])</f>
        <v>2026</v>
      </c>
      <c r="R1566" s="1"/>
    </row>
    <row r="1567" spans="1:18" hidden="1" x14ac:dyDescent="0.25">
      <c r="A1567" s="264" t="s">
        <v>62</v>
      </c>
      <c r="B1567" s="265">
        <v>46041</v>
      </c>
      <c r="C1567" s="264" t="s">
        <v>2039</v>
      </c>
      <c r="D1567" s="264" t="s">
        <v>3770</v>
      </c>
      <c r="E1567" s="1" t="s">
        <v>1934</v>
      </c>
      <c r="F1567" s="264" t="s">
        <v>2041</v>
      </c>
      <c r="G1567" s="264" t="s">
        <v>26</v>
      </c>
      <c r="H1567" s="266">
        <v>107076.5</v>
      </c>
      <c r="I1567" s="266">
        <v>0</v>
      </c>
      <c r="J1567" s="264" t="s">
        <v>1124</v>
      </c>
      <c r="K1567" s="264" t="s">
        <v>2025</v>
      </c>
      <c r="L1567" s="1" t="str">
        <f>VLOOKUP(Advices[[#This Row],[LC Number]],'Combine_List'!A:D,2,0)</f>
        <v>Mat Filtrasyon Teknolojeleri A.S</v>
      </c>
      <c r="M1567" s="447" t="str">
        <f>VLOOKUP(Advices[[#This Row],[LC Number]],'Combine_List'!A:D,3,0)</f>
        <v>MBL</v>
      </c>
      <c r="N1567" s="447" t="str">
        <f>VLOOKUP(Advices[[#This Row],[LC Number]],'Combine_List'!A:D,4,0)</f>
        <v>Oceanarium</v>
      </c>
      <c r="O1567" s="447">
        <f>VLOOKUP(Advices[[#This Row],[LC Number]],'Combine_List'!A:E,5,0)</f>
        <v>1020096</v>
      </c>
      <c r="P1567" s="447">
        <f>MONTH(Advices[[#This Row],[Transaction Date]])</f>
        <v>1</v>
      </c>
      <c r="Q1567" s="447">
        <f>YEAR(Advices[[#This Row],[Transaction Date]])</f>
        <v>2026</v>
      </c>
      <c r="R1567" s="1"/>
    </row>
    <row r="1568" spans="1:18" hidden="1" x14ac:dyDescent="0.25">
      <c r="A1568" s="264" t="s">
        <v>366</v>
      </c>
      <c r="B1568" s="265">
        <v>46041</v>
      </c>
      <c r="C1568" s="264" t="s">
        <v>2060</v>
      </c>
      <c r="D1568" s="264" t="s">
        <v>3771</v>
      </c>
      <c r="E1568" s="264" t="s">
        <v>1874</v>
      </c>
      <c r="F1568" s="264" t="s">
        <v>3460</v>
      </c>
      <c r="G1568" s="264" t="s">
        <v>26</v>
      </c>
      <c r="H1568" s="266">
        <v>2000000</v>
      </c>
      <c r="I1568" s="266">
        <v>0</v>
      </c>
      <c r="J1568" s="264" t="s">
        <v>1126</v>
      </c>
      <c r="K1568" s="264" t="s">
        <v>2025</v>
      </c>
      <c r="L1568" s="1" t="str">
        <f>VLOOKUP(Advices[[#This Row],[LC Number]],'Combine_List'!A:D,2,0)</f>
        <v>Saudi Electric Supply Company</v>
      </c>
      <c r="M1568" s="447" t="str">
        <f>VLOOKUP(Advices[[#This Row],[LC Number]],'Combine_List'!A:D,3,0)</f>
        <v>FIRST FIX</v>
      </c>
      <c r="N1568" s="447" t="str">
        <f>VLOOKUP(Advices[[#This Row],[LC Number]],'Combine_List'!A:D,4,0)</f>
        <v>MP1</v>
      </c>
      <c r="O1568" s="264"/>
      <c r="P1568" s="264">
        <f>MONTH(Advices[[#This Row],[Transaction Date]])</f>
        <v>1</v>
      </c>
      <c r="Q1568" s="264">
        <f>YEAR(Advices[[#This Row],[Transaction Date]])</f>
        <v>2026</v>
      </c>
      <c r="R1568" s="1"/>
    </row>
    <row r="1569" spans="1:18" hidden="1" x14ac:dyDescent="0.25">
      <c r="A1569" s="264" t="s">
        <v>612</v>
      </c>
      <c r="B1569" s="265">
        <v>46041</v>
      </c>
      <c r="C1569" s="264" t="s">
        <v>2101</v>
      </c>
      <c r="D1569" s="264" t="s">
        <v>3772</v>
      </c>
      <c r="E1569" s="264" t="s">
        <v>3733</v>
      </c>
      <c r="F1569" s="264" t="s">
        <v>2041</v>
      </c>
      <c r="G1569" s="264" t="s">
        <v>26</v>
      </c>
      <c r="H1569" s="266">
        <v>9374.98</v>
      </c>
      <c r="I1569" s="266">
        <v>0</v>
      </c>
      <c r="J1569" s="264" t="s">
        <v>2793</v>
      </c>
      <c r="K1569" s="264" t="s">
        <v>2025</v>
      </c>
      <c r="L1569" s="1" t="str">
        <f>VLOOKUP(Advices[[#This Row],[LC Number]],'Combine_List'!A:D,2,0)</f>
        <v>Bid - DIRIYAH COMPANY</v>
      </c>
      <c r="M1569" s="447" t="str">
        <f>VLOOKUP(Advices[[#This Row],[LC Number]],'Combine_List'!A:D,3,0)</f>
        <v>MBL</v>
      </c>
      <c r="N1569" s="447">
        <f>VLOOKUP(Advices[[#This Row],[LC Number]],'Combine_List'!A:D,4,0)</f>
        <v>0</v>
      </c>
      <c r="O1569" s="1"/>
      <c r="P1569" s="1">
        <f>MONTH(Advices[[#This Row],[Transaction Date]])</f>
        <v>1</v>
      </c>
      <c r="Q1569" s="1">
        <f>YEAR(Advices[[#This Row],[Transaction Date]])</f>
        <v>2026</v>
      </c>
      <c r="R1569" s="1"/>
    </row>
    <row r="1570" spans="1:18" hidden="1" x14ac:dyDescent="0.25">
      <c r="A1570" s="264" t="s">
        <v>612</v>
      </c>
      <c r="B1570" s="265">
        <v>46041</v>
      </c>
      <c r="C1570" s="264" t="s">
        <v>2101</v>
      </c>
      <c r="D1570" s="264" t="s">
        <v>3773</v>
      </c>
      <c r="E1570" s="264" t="s">
        <v>3733</v>
      </c>
      <c r="F1570" s="264" t="s">
        <v>2041</v>
      </c>
      <c r="G1570" s="264" t="s">
        <v>26</v>
      </c>
      <c r="H1570" s="266">
        <v>1406.25</v>
      </c>
      <c r="I1570" s="266">
        <v>0</v>
      </c>
      <c r="J1570" s="264" t="s">
        <v>1174</v>
      </c>
      <c r="K1570" s="264" t="s">
        <v>2025</v>
      </c>
      <c r="L1570" s="1" t="str">
        <f>VLOOKUP(Advices[[#This Row],[LC Number]],'Combine_List'!A:D,2,0)</f>
        <v>Bid - DIRIYAH COMPANY</v>
      </c>
      <c r="M1570" s="447" t="str">
        <f>VLOOKUP(Advices[[#This Row],[LC Number]],'Combine_List'!A:D,3,0)</f>
        <v>MBL</v>
      </c>
      <c r="N1570" s="447">
        <f>VLOOKUP(Advices[[#This Row],[LC Number]],'Combine_List'!A:D,4,0)</f>
        <v>0</v>
      </c>
      <c r="O1570" s="1"/>
      <c r="P1570" s="1">
        <f>MONTH(Advices[[#This Row],[Transaction Date]])</f>
        <v>1</v>
      </c>
      <c r="Q1570" s="1">
        <f>YEAR(Advices[[#This Row],[Transaction Date]])</f>
        <v>2026</v>
      </c>
      <c r="R1570" s="1"/>
    </row>
    <row r="1571" spans="1:18" hidden="1" x14ac:dyDescent="0.25">
      <c r="A1571" s="264" t="s">
        <v>612</v>
      </c>
      <c r="B1571" s="265">
        <v>46041</v>
      </c>
      <c r="C1571" s="264" t="s">
        <v>2101</v>
      </c>
      <c r="D1571" s="264" t="s">
        <v>3774</v>
      </c>
      <c r="E1571" s="264" t="s">
        <v>3733</v>
      </c>
      <c r="F1571" s="264" t="s">
        <v>2041</v>
      </c>
      <c r="G1571" s="264" t="s">
        <v>26</v>
      </c>
      <c r="H1571" s="266">
        <v>25479.45</v>
      </c>
      <c r="I1571" s="266">
        <v>0</v>
      </c>
      <c r="J1571" s="264" t="s">
        <v>2793</v>
      </c>
      <c r="K1571" s="264" t="s">
        <v>2025</v>
      </c>
      <c r="L1571" s="1" t="str">
        <f>VLOOKUP(Advices[[#This Row],[LC Number]],'Combine_List'!A:D,2,0)</f>
        <v>Bid - DIRIYAH COMPANY</v>
      </c>
      <c r="M1571" s="447" t="str">
        <f>VLOOKUP(Advices[[#This Row],[LC Number]],'Combine_List'!A:D,3,0)</f>
        <v>MBL</v>
      </c>
      <c r="N1571" s="447">
        <f>VLOOKUP(Advices[[#This Row],[LC Number]],'Combine_List'!A:D,4,0)</f>
        <v>0</v>
      </c>
      <c r="O1571" s="1"/>
      <c r="P1571" s="1">
        <f>MONTH(Advices[[#This Row],[Transaction Date]])</f>
        <v>1</v>
      </c>
      <c r="Q1571" s="1">
        <f>YEAR(Advices[[#This Row],[Transaction Date]])</f>
        <v>2026</v>
      </c>
      <c r="R1571" s="1"/>
    </row>
    <row r="1572" spans="1:18" hidden="1" x14ac:dyDescent="0.25">
      <c r="A1572" s="264" t="s">
        <v>612</v>
      </c>
      <c r="B1572" s="265">
        <v>46041</v>
      </c>
      <c r="C1572" s="264" t="s">
        <v>2101</v>
      </c>
      <c r="D1572" s="264" t="s">
        <v>3775</v>
      </c>
      <c r="E1572" s="264" t="s">
        <v>3733</v>
      </c>
      <c r="F1572" s="264" t="s">
        <v>2041</v>
      </c>
      <c r="G1572" s="264" t="s">
        <v>26</v>
      </c>
      <c r="H1572" s="266">
        <v>3821.92</v>
      </c>
      <c r="I1572" s="266">
        <v>0</v>
      </c>
      <c r="J1572" s="264" t="s">
        <v>1174</v>
      </c>
      <c r="K1572" s="264" t="s">
        <v>2025</v>
      </c>
      <c r="L1572" s="1" t="str">
        <f>VLOOKUP(Advices[[#This Row],[LC Number]],'Combine_List'!A:D,2,0)</f>
        <v>Bid - DIRIYAH COMPANY</v>
      </c>
      <c r="M1572" s="447" t="str">
        <f>VLOOKUP(Advices[[#This Row],[LC Number]],'Combine_List'!A:D,3,0)</f>
        <v>MBL</v>
      </c>
      <c r="N1572" s="447">
        <f>VLOOKUP(Advices[[#This Row],[LC Number]],'Combine_List'!A:D,4,0)</f>
        <v>0</v>
      </c>
      <c r="O1572" s="1"/>
      <c r="P1572" s="1">
        <f>MONTH(Advices[[#This Row],[Transaction Date]])</f>
        <v>1</v>
      </c>
      <c r="Q1572" s="1">
        <f>YEAR(Advices[[#This Row],[Transaction Date]])</f>
        <v>2026</v>
      </c>
      <c r="R1572" s="1"/>
    </row>
    <row r="1573" spans="1:18" hidden="1" x14ac:dyDescent="0.25">
      <c r="A1573" s="264" t="s">
        <v>612</v>
      </c>
      <c r="B1573" s="265">
        <v>46041</v>
      </c>
      <c r="C1573" s="264" t="s">
        <v>2101</v>
      </c>
      <c r="D1573" s="264" t="s">
        <v>3776</v>
      </c>
      <c r="E1573" s="264" t="s">
        <v>2287</v>
      </c>
      <c r="F1573" s="264" t="s">
        <v>2041</v>
      </c>
      <c r="G1573" s="264" t="s">
        <v>26</v>
      </c>
      <c r="H1573" s="266">
        <v>100</v>
      </c>
      <c r="I1573" s="266">
        <v>0</v>
      </c>
      <c r="J1573" s="264" t="s">
        <v>1125</v>
      </c>
      <c r="K1573" s="264" t="s">
        <v>2025</v>
      </c>
      <c r="L1573" s="1" t="str">
        <f>VLOOKUP(Advices[[#This Row],[LC Number]],'Combine_List'!A:D,2,0)</f>
        <v>Alrashid Trading and Contracting Company</v>
      </c>
      <c r="M1573" s="447" t="str">
        <f>VLOOKUP(Advices[[#This Row],[LC Number]],'Combine_List'!A:D,3,0)</f>
        <v>MBL</v>
      </c>
      <c r="N1573" s="447" t="str">
        <f>VLOOKUP(Advices[[#This Row],[LC Number]],'Combine_List'!A:D,4,0)</f>
        <v>RCRC</v>
      </c>
      <c r="O1573" s="1"/>
      <c r="P1573" s="1">
        <f>MONTH(Advices[[#This Row],[Transaction Date]])</f>
        <v>1</v>
      </c>
      <c r="Q1573" s="1">
        <f>YEAR(Advices[[#This Row],[Transaction Date]])</f>
        <v>2026</v>
      </c>
      <c r="R1573" s="1"/>
    </row>
    <row r="1574" spans="1:18" hidden="1" x14ac:dyDescent="0.25">
      <c r="A1574" s="264" t="s">
        <v>612</v>
      </c>
      <c r="B1574" s="265">
        <v>46041</v>
      </c>
      <c r="C1574" s="264" t="s">
        <v>2101</v>
      </c>
      <c r="D1574" s="264" t="s">
        <v>3777</v>
      </c>
      <c r="E1574" s="264" t="s">
        <v>2287</v>
      </c>
      <c r="F1574" s="264" t="s">
        <v>2041</v>
      </c>
      <c r="G1574" s="264" t="s">
        <v>26</v>
      </c>
      <c r="H1574" s="266">
        <v>15</v>
      </c>
      <c r="I1574" s="266">
        <v>0</v>
      </c>
      <c r="J1574" s="264" t="s">
        <v>1174</v>
      </c>
      <c r="K1574" s="264" t="s">
        <v>2025</v>
      </c>
      <c r="L1574" s="1" t="str">
        <f>VLOOKUP(Advices[[#This Row],[LC Number]],'Combine_List'!A:D,2,0)</f>
        <v>Alrashid Trading and Contracting Company</v>
      </c>
      <c r="M1574" s="447" t="str">
        <f>VLOOKUP(Advices[[#This Row],[LC Number]],'Combine_List'!A:D,3,0)</f>
        <v>MBL</v>
      </c>
      <c r="N1574" s="447" t="str">
        <f>VLOOKUP(Advices[[#This Row],[LC Number]],'Combine_List'!A:D,4,0)</f>
        <v>RCRC</v>
      </c>
      <c r="O1574" s="1"/>
      <c r="P1574" s="1">
        <f>MONTH(Advices[[#This Row],[Transaction Date]])</f>
        <v>1</v>
      </c>
      <c r="Q1574" s="1">
        <f>YEAR(Advices[[#This Row],[Transaction Date]])</f>
        <v>2026</v>
      </c>
      <c r="R1574" s="1"/>
    </row>
    <row r="1575" spans="1:18" hidden="1" x14ac:dyDescent="0.25">
      <c r="A1575" s="264" t="s">
        <v>612</v>
      </c>
      <c r="B1575" s="265">
        <v>46041</v>
      </c>
      <c r="C1575" s="264" t="s">
        <v>2101</v>
      </c>
      <c r="D1575" s="264" t="s">
        <v>3778</v>
      </c>
      <c r="E1575" s="264" t="s">
        <v>2287</v>
      </c>
      <c r="F1575" s="264" t="s">
        <v>2041</v>
      </c>
      <c r="G1575" s="264" t="s">
        <v>26</v>
      </c>
      <c r="H1575" s="266">
        <v>465</v>
      </c>
      <c r="I1575" s="266">
        <v>0</v>
      </c>
      <c r="J1575" s="264" t="s">
        <v>1125</v>
      </c>
      <c r="K1575" s="264" t="s">
        <v>2025</v>
      </c>
      <c r="L1575" s="1" t="str">
        <f>VLOOKUP(Advices[[#This Row],[LC Number]],'Combine_List'!A:D,2,0)</f>
        <v>Alrashid Trading and Contracting Company</v>
      </c>
      <c r="M1575" s="447" t="str">
        <f>VLOOKUP(Advices[[#This Row],[LC Number]],'Combine_List'!A:D,3,0)</f>
        <v>MBL</v>
      </c>
      <c r="N1575" s="447" t="str">
        <f>VLOOKUP(Advices[[#This Row],[LC Number]],'Combine_List'!A:D,4,0)</f>
        <v>RCRC</v>
      </c>
      <c r="O1575" s="1"/>
      <c r="P1575" s="1">
        <f>MONTH(Advices[[#This Row],[Transaction Date]])</f>
        <v>1</v>
      </c>
      <c r="Q1575" s="1">
        <f>YEAR(Advices[[#This Row],[Transaction Date]])</f>
        <v>2026</v>
      </c>
      <c r="R1575" s="1"/>
    </row>
    <row r="1576" spans="1:18" hidden="1" x14ac:dyDescent="0.25">
      <c r="A1576" s="264" t="s">
        <v>612</v>
      </c>
      <c r="B1576" s="265">
        <v>46041</v>
      </c>
      <c r="C1576" s="264" t="s">
        <v>2101</v>
      </c>
      <c r="D1576" s="264" t="s">
        <v>3779</v>
      </c>
      <c r="E1576" s="264" t="s">
        <v>2287</v>
      </c>
      <c r="F1576" s="264" t="s">
        <v>2041</v>
      </c>
      <c r="G1576" s="264" t="s">
        <v>26</v>
      </c>
      <c r="H1576" s="266">
        <v>69.75</v>
      </c>
      <c r="I1576" s="266">
        <v>0</v>
      </c>
      <c r="J1576" s="264" t="s">
        <v>1174</v>
      </c>
      <c r="K1576" s="264" t="s">
        <v>2025</v>
      </c>
      <c r="L1576" s="1" t="str">
        <f>VLOOKUP(Advices[[#This Row],[LC Number]],'Combine_List'!A:D,2,0)</f>
        <v>Alrashid Trading and Contracting Company</v>
      </c>
      <c r="M1576" s="447" t="str">
        <f>VLOOKUP(Advices[[#This Row],[LC Number]],'Combine_List'!A:D,3,0)</f>
        <v>MBL</v>
      </c>
      <c r="N1576" s="447" t="str">
        <f>VLOOKUP(Advices[[#This Row],[LC Number]],'Combine_List'!A:D,4,0)</f>
        <v>RCRC</v>
      </c>
      <c r="O1576" s="1"/>
      <c r="P1576" s="1">
        <f>MONTH(Advices[[#This Row],[Transaction Date]])</f>
        <v>1</v>
      </c>
      <c r="Q1576" s="1">
        <f>YEAR(Advices[[#This Row],[Transaction Date]])</f>
        <v>2026</v>
      </c>
      <c r="R1576" s="1"/>
    </row>
    <row r="1577" spans="1:18" hidden="1" x14ac:dyDescent="0.25">
      <c r="A1577" s="264" t="s">
        <v>612</v>
      </c>
      <c r="B1577" s="265">
        <v>46041</v>
      </c>
      <c r="C1577" s="264" t="s">
        <v>2101</v>
      </c>
      <c r="D1577" s="264" t="s">
        <v>3780</v>
      </c>
      <c r="E1577" s="264" t="s">
        <v>2287</v>
      </c>
      <c r="F1577" s="264" t="s">
        <v>2041</v>
      </c>
      <c r="G1577" s="264" t="s">
        <v>26</v>
      </c>
      <c r="H1577" s="266">
        <v>200</v>
      </c>
      <c r="I1577" s="266">
        <v>0</v>
      </c>
      <c r="J1577" s="264" t="s">
        <v>1125</v>
      </c>
      <c r="K1577" s="264" t="s">
        <v>2025</v>
      </c>
      <c r="L1577" s="1" t="str">
        <f>VLOOKUP(Advices[[#This Row],[LC Number]],'Combine_List'!A:D,2,0)</f>
        <v>Alrashid Trading and Contracting Company</v>
      </c>
      <c r="M1577" s="447" t="str">
        <f>VLOOKUP(Advices[[#This Row],[LC Number]],'Combine_List'!A:D,3,0)</f>
        <v>MBL</v>
      </c>
      <c r="N1577" s="447" t="str">
        <f>VLOOKUP(Advices[[#This Row],[LC Number]],'Combine_List'!A:D,4,0)</f>
        <v>RCRC</v>
      </c>
      <c r="O1577" s="1"/>
      <c r="P1577" s="1">
        <f>MONTH(Advices[[#This Row],[Transaction Date]])</f>
        <v>1</v>
      </c>
      <c r="Q1577" s="1">
        <f>YEAR(Advices[[#This Row],[Transaction Date]])</f>
        <v>2026</v>
      </c>
      <c r="R1577" s="1"/>
    </row>
    <row r="1578" spans="1:18" hidden="1" x14ac:dyDescent="0.25">
      <c r="A1578" s="264" t="s">
        <v>612</v>
      </c>
      <c r="B1578" s="265">
        <v>46041</v>
      </c>
      <c r="C1578" s="264" t="s">
        <v>2101</v>
      </c>
      <c r="D1578" s="264" t="s">
        <v>3781</v>
      </c>
      <c r="E1578" s="264" t="s">
        <v>2287</v>
      </c>
      <c r="F1578" s="264" t="s">
        <v>2041</v>
      </c>
      <c r="G1578" s="264" t="s">
        <v>26</v>
      </c>
      <c r="H1578" s="266">
        <v>30</v>
      </c>
      <c r="I1578" s="266">
        <v>0</v>
      </c>
      <c r="J1578" s="264" t="s">
        <v>1174</v>
      </c>
      <c r="K1578" s="264" t="s">
        <v>2025</v>
      </c>
      <c r="L1578" s="1" t="str">
        <f>VLOOKUP(Advices[[#This Row],[LC Number]],'Combine_List'!A:D,2,0)</f>
        <v>Alrashid Trading and Contracting Company</v>
      </c>
      <c r="M1578" s="447" t="str">
        <f>VLOOKUP(Advices[[#This Row],[LC Number]],'Combine_List'!A:D,3,0)</f>
        <v>MBL</v>
      </c>
      <c r="N1578" s="447" t="str">
        <f>VLOOKUP(Advices[[#This Row],[LC Number]],'Combine_List'!A:D,4,0)</f>
        <v>RCRC</v>
      </c>
      <c r="O1578" s="264"/>
      <c r="P1578" s="264">
        <f>MONTH(Advices[[#This Row],[Transaction Date]])</f>
        <v>1</v>
      </c>
      <c r="Q1578" s="264">
        <f>YEAR(Advices[[#This Row],[Transaction Date]])</f>
        <v>2026</v>
      </c>
      <c r="R1578" s="1"/>
    </row>
    <row r="1579" spans="1:18" hidden="1" x14ac:dyDescent="0.25">
      <c r="A1579" s="264" t="s">
        <v>95</v>
      </c>
      <c r="B1579" s="265">
        <v>46042</v>
      </c>
      <c r="C1579" s="264" t="s">
        <v>2026</v>
      </c>
      <c r="D1579" s="264" t="s">
        <v>3790</v>
      </c>
      <c r="E1579" s="264" t="s">
        <v>2562</v>
      </c>
      <c r="F1579" s="264" t="s">
        <v>2723</v>
      </c>
      <c r="G1579" s="264" t="s">
        <v>26</v>
      </c>
      <c r="H1579" s="266">
        <v>2894.94</v>
      </c>
      <c r="I1579" s="266">
        <v>0</v>
      </c>
      <c r="J1579" s="264" t="s">
        <v>1125</v>
      </c>
      <c r="K1579" s="264" t="s">
        <v>2025</v>
      </c>
      <c r="L1579" s="1" t="str">
        <f>VLOOKUP(Advices[[#This Row],[LC Number]],'Combine_List'!A:D,2,0)</f>
        <v>ALNAFIE METAL INDUSTRIES CO LTD</v>
      </c>
      <c r="M1579" s="447" t="str">
        <f>VLOOKUP(Advices[[#This Row],[LC Number]],'Combine_List'!A:D,3,0)</f>
        <v>MBL/AICS</v>
      </c>
      <c r="N1579" s="447" t="str">
        <f>VLOOKUP(Advices[[#This Row],[LC Number]],'Combine_List'!A:D,4,0)</f>
        <v>OPERA House</v>
      </c>
      <c r="O1579" s="1"/>
      <c r="P1579" s="1">
        <f>MONTH(Advices[[#This Row],[Transaction Date]])</f>
        <v>1</v>
      </c>
      <c r="Q1579" s="1">
        <f>YEAR(Advices[[#This Row],[Transaction Date]])</f>
        <v>2026</v>
      </c>
      <c r="R1579" s="1"/>
    </row>
    <row r="1580" spans="1:18" hidden="1" x14ac:dyDescent="0.25">
      <c r="A1580" s="264" t="s">
        <v>95</v>
      </c>
      <c r="B1580" s="265">
        <v>46042</v>
      </c>
      <c r="C1580" s="264" t="s">
        <v>2026</v>
      </c>
      <c r="D1580" s="264" t="s">
        <v>3791</v>
      </c>
      <c r="E1580" s="264" t="s">
        <v>3784</v>
      </c>
      <c r="F1580" s="264" t="s">
        <v>3792</v>
      </c>
      <c r="G1580" s="264" t="s">
        <v>26</v>
      </c>
      <c r="H1580" s="266">
        <v>1046.5</v>
      </c>
      <c r="I1580" s="266">
        <v>0</v>
      </c>
      <c r="J1580" s="264" t="s">
        <v>2616</v>
      </c>
      <c r="K1580" s="264" t="s">
        <v>2025</v>
      </c>
      <c r="L1580" s="1" t="str">
        <f>VLOOKUP(Advices[[#This Row],[LC Number]],'Combine_List'!A:D,2,0)</f>
        <v>Delmatic Co Ltd</v>
      </c>
      <c r="M1580" s="447" t="str">
        <f>VLOOKUP(Advices[[#This Row],[LC Number]],'Combine_List'!A:D,3,0)</f>
        <v>MBL/ICAD</v>
      </c>
      <c r="N1580" s="447" t="str">
        <f>VLOOKUP(Advices[[#This Row],[LC Number]],'Combine_List'!A:D,4,0)</f>
        <v>OPERA House</v>
      </c>
      <c r="O1580" s="1"/>
      <c r="P1580" s="1">
        <f>MONTH(Advices[[#This Row],[Transaction Date]])</f>
        <v>1</v>
      </c>
      <c r="Q1580" s="1">
        <f>YEAR(Advices[[#This Row],[Transaction Date]])</f>
        <v>2026</v>
      </c>
      <c r="R1580" s="1"/>
    </row>
    <row r="1581" spans="1:18" hidden="1" x14ac:dyDescent="0.25">
      <c r="A1581" s="264" t="s">
        <v>95</v>
      </c>
      <c r="B1581" s="265">
        <v>46042</v>
      </c>
      <c r="C1581" s="264" t="s">
        <v>2026</v>
      </c>
      <c r="D1581" s="264" t="s">
        <v>3793</v>
      </c>
      <c r="E1581" s="264" t="s">
        <v>3785</v>
      </c>
      <c r="F1581" s="264" t="s">
        <v>3794</v>
      </c>
      <c r="G1581" s="264" t="s">
        <v>26</v>
      </c>
      <c r="H1581" s="266">
        <v>1418.33</v>
      </c>
      <c r="I1581" s="266">
        <v>0</v>
      </c>
      <c r="J1581" s="264" t="s">
        <v>2616</v>
      </c>
      <c r="K1581" s="264" t="s">
        <v>2025</v>
      </c>
      <c r="L1581" s="1" t="str">
        <f>VLOOKUP(Advices[[#This Row],[LC Number]],'Combine_List'!A:D,2,0)</f>
        <v>Al Talal Modern Est</v>
      </c>
      <c r="M1581" s="447" t="str">
        <f>VLOOKUP(Advices[[#This Row],[LC Number]],'Combine_List'!A:D,3,0)</f>
        <v>MBL/ICAD</v>
      </c>
      <c r="N1581" s="447" t="str">
        <f>VLOOKUP(Advices[[#This Row],[LC Number]],'Combine_List'!A:D,4,0)</f>
        <v>OPERA House</v>
      </c>
      <c r="O1581" s="1"/>
      <c r="P1581" s="1">
        <f>MONTH(Advices[[#This Row],[Transaction Date]])</f>
        <v>1</v>
      </c>
      <c r="Q1581" s="1">
        <f>YEAR(Advices[[#This Row],[Transaction Date]])</f>
        <v>2026</v>
      </c>
      <c r="R1581" s="1"/>
    </row>
    <row r="1582" spans="1:18" hidden="1" x14ac:dyDescent="0.25">
      <c r="A1582" s="264" t="s">
        <v>95</v>
      </c>
      <c r="B1582" s="265">
        <v>46042</v>
      </c>
      <c r="C1582" s="264" t="s">
        <v>2026</v>
      </c>
      <c r="D1582" s="264" t="s">
        <v>3795</v>
      </c>
      <c r="E1582" s="264" t="s">
        <v>3783</v>
      </c>
      <c r="F1582" s="264" t="s">
        <v>3796</v>
      </c>
      <c r="G1582" s="264" t="s">
        <v>26</v>
      </c>
      <c r="H1582" s="266">
        <v>3335</v>
      </c>
      <c r="I1582" s="266">
        <v>0</v>
      </c>
      <c r="J1582" s="264" t="s">
        <v>2616</v>
      </c>
      <c r="K1582" s="264" t="s">
        <v>2025</v>
      </c>
      <c r="L1582" s="1" t="str">
        <f>VLOOKUP(Advices[[#This Row],[LC Number]],'Combine_List'!A:D,2,0)</f>
        <v>Electric House Trading Company L.L.C.</v>
      </c>
      <c r="M1582" s="447" t="str">
        <f>VLOOKUP(Advices[[#This Row],[LC Number]],'Combine_List'!A:D,3,0)</f>
        <v>MBL/ICAD</v>
      </c>
      <c r="N1582" s="447" t="str">
        <f>VLOOKUP(Advices[[#This Row],[LC Number]],'Combine_List'!A:D,4,0)</f>
        <v>OPERA House</v>
      </c>
      <c r="O1582" s="264"/>
      <c r="P1582" s="264">
        <f>MONTH(Advices[[#This Row],[Transaction Date]])</f>
        <v>1</v>
      </c>
      <c r="Q1582" s="264">
        <f>YEAR(Advices[[#This Row],[Transaction Date]])</f>
        <v>2026</v>
      </c>
      <c r="R1582" s="1"/>
    </row>
    <row r="1583" spans="1:18" x14ac:dyDescent="0.25">
      <c r="A1583" s="264" t="s">
        <v>21</v>
      </c>
      <c r="B1583" s="265">
        <v>46043</v>
      </c>
      <c r="C1583" s="264" t="s">
        <v>1951</v>
      </c>
      <c r="D1583" s="264" t="s">
        <v>3802</v>
      </c>
      <c r="E1583" s="264" t="s">
        <v>3144</v>
      </c>
      <c r="F1583" s="264" t="s">
        <v>3803</v>
      </c>
      <c r="G1583" s="264" t="s">
        <v>26</v>
      </c>
      <c r="H1583" s="266">
        <v>2206.64</v>
      </c>
      <c r="I1583" s="266">
        <v>0</v>
      </c>
      <c r="J1583" s="264" t="s">
        <v>1174</v>
      </c>
      <c r="K1583" s="264" t="s">
        <v>2025</v>
      </c>
      <c r="L1583" s="1" t="str">
        <f>VLOOKUP(Advices[[#This Row],[LC Number]],'Combine_List'!A:D,2,0)</f>
        <v>Depa Saudi Arabia for Contracting and Interior Decorating Co. Ltd.</v>
      </c>
      <c r="M1583" s="447" t="str">
        <f>VLOOKUP(Advices[[#This Row],[LC Number]],'Combine_List'!A:D,3,0)</f>
        <v>MBL</v>
      </c>
      <c r="N1583" s="447" t="str">
        <f>VLOOKUP(Advices[[#This Row],[LC Number]],'Combine_List'!A:D,4,0)</f>
        <v>KSP</v>
      </c>
      <c r="O1583" s="1"/>
      <c r="P1583" s="1">
        <f>MONTH(Advices[[#This Row],[Transaction Date]])</f>
        <v>1</v>
      </c>
      <c r="Q1583" s="1">
        <f>YEAR(Advices[[#This Row],[Transaction Date]])</f>
        <v>2026</v>
      </c>
      <c r="R1583" s="1"/>
    </row>
    <row r="1584" spans="1:18" x14ac:dyDescent="0.25">
      <c r="A1584" s="264" t="s">
        <v>21</v>
      </c>
      <c r="B1584" s="265">
        <v>46043</v>
      </c>
      <c r="C1584" s="264" t="s">
        <v>1951</v>
      </c>
      <c r="D1584" s="264" t="s">
        <v>3804</v>
      </c>
      <c r="E1584" s="264" t="s">
        <v>3144</v>
      </c>
      <c r="F1584" s="264" t="s">
        <v>3803</v>
      </c>
      <c r="G1584" s="264" t="s">
        <v>26</v>
      </c>
      <c r="H1584" s="266">
        <v>14710.93</v>
      </c>
      <c r="I1584" s="266">
        <v>0</v>
      </c>
      <c r="J1584" s="264" t="s">
        <v>1125</v>
      </c>
      <c r="K1584" s="264" t="s">
        <v>2025</v>
      </c>
      <c r="L1584" s="1" t="str">
        <f>VLOOKUP(Advices[[#This Row],[LC Number]],'Combine_List'!A:D,2,0)</f>
        <v>Depa Saudi Arabia for Contracting and Interior Decorating Co. Ltd.</v>
      </c>
      <c r="M1584" s="447" t="str">
        <f>VLOOKUP(Advices[[#This Row],[LC Number]],'Combine_List'!A:D,3,0)</f>
        <v>MBL</v>
      </c>
      <c r="N1584" s="447" t="str">
        <f>VLOOKUP(Advices[[#This Row],[LC Number]],'Combine_List'!A:D,4,0)</f>
        <v>KSP</v>
      </c>
      <c r="O1584" s="264"/>
      <c r="P1584" s="264">
        <f>MONTH(Advices[[#This Row],[Transaction Date]])</f>
        <v>1</v>
      </c>
      <c r="Q1584" s="264">
        <f>YEAR(Advices[[#This Row],[Transaction Date]])</f>
        <v>2026</v>
      </c>
      <c r="R1584" s="1"/>
    </row>
    <row r="1585" spans="1:18" hidden="1" x14ac:dyDescent="0.25">
      <c r="A1585" s="264" t="s">
        <v>62</v>
      </c>
      <c r="B1585" s="265">
        <v>46043</v>
      </c>
      <c r="C1585" s="264" t="s">
        <v>2039</v>
      </c>
      <c r="D1585" s="264" t="s">
        <v>3805</v>
      </c>
      <c r="E1585" s="264" t="s">
        <v>1834</v>
      </c>
      <c r="F1585" s="264" t="s">
        <v>2041</v>
      </c>
      <c r="G1585" s="264" t="s">
        <v>26</v>
      </c>
      <c r="H1585" s="266">
        <v>1555.75</v>
      </c>
      <c r="I1585" s="266">
        <v>0</v>
      </c>
      <c r="J1585" s="264" t="s">
        <v>1125</v>
      </c>
      <c r="K1585" s="264" t="s">
        <v>2025</v>
      </c>
      <c r="L1585" s="1" t="str">
        <f>VLOOKUP(Advices[[#This Row],[LC Number]],'Combine_List'!A:D,2,0)</f>
        <v>Jiangsu Donchamp New Materials Technology Co.Ltd.</v>
      </c>
      <c r="M1585" s="447" t="str">
        <f>VLOOKUP(Advices[[#This Row],[LC Number]],'Combine_List'!A:D,3,0)</f>
        <v>MBL</v>
      </c>
      <c r="N1585" s="447" t="str">
        <f>VLOOKUP(Advices[[#This Row],[LC Number]],'Combine_List'!A:D,4,0)</f>
        <v>Oceanarium</v>
      </c>
      <c r="O1585" s="1"/>
      <c r="P1585" s="1">
        <f>MONTH(Advices[[#This Row],[Transaction Date]])</f>
        <v>1</v>
      </c>
      <c r="Q1585" s="1">
        <f>YEAR(Advices[[#This Row],[Transaction Date]])</f>
        <v>2026</v>
      </c>
      <c r="R1585" s="1"/>
    </row>
    <row r="1586" spans="1:18" hidden="1" x14ac:dyDescent="0.25">
      <c r="A1586" s="264" t="s">
        <v>62</v>
      </c>
      <c r="B1586" s="265">
        <v>46043</v>
      </c>
      <c r="C1586" s="264" t="s">
        <v>2039</v>
      </c>
      <c r="D1586" s="264" t="s">
        <v>3806</v>
      </c>
      <c r="E1586" s="264" t="s">
        <v>3807</v>
      </c>
      <c r="F1586" s="264" t="s">
        <v>2041</v>
      </c>
      <c r="G1586" s="264" t="s">
        <v>26</v>
      </c>
      <c r="H1586" s="266">
        <v>399001.7</v>
      </c>
      <c r="I1586" s="266">
        <v>0</v>
      </c>
      <c r="J1586" s="264" t="s">
        <v>2830</v>
      </c>
      <c r="K1586" s="264" t="s">
        <v>2025</v>
      </c>
      <c r="L1586" s="1" t="str">
        <f>VLOOKUP(Advices[[#This Row],[LC Number]],'Combine_List'!A:D,2,0)</f>
        <v>Performance - ELSEWEDY ELECTRIC FOR POWER SYSTEMS</v>
      </c>
      <c r="M1586" s="447" t="str">
        <f>VLOOKUP(Advices[[#This Row],[LC Number]],'Combine_List'!A:D,3,0)</f>
        <v>MBL</v>
      </c>
      <c r="N1586" s="447" t="str">
        <f>VLOOKUP(Advices[[#This Row],[LC Number]],'Combine_List'!A:D,4,0)</f>
        <v>RRPP-2</v>
      </c>
      <c r="O1586" s="264"/>
      <c r="P1586" s="264">
        <f>MONTH(Advices[[#This Row],[Transaction Date]])</f>
        <v>1</v>
      </c>
      <c r="Q1586" s="264">
        <f>YEAR(Advices[[#This Row],[Transaction Date]])</f>
        <v>2026</v>
      </c>
      <c r="R1586" s="1"/>
    </row>
    <row r="1587" spans="1:18" hidden="1" x14ac:dyDescent="0.25">
      <c r="A1587" s="264" t="s">
        <v>366</v>
      </c>
      <c r="B1587" s="265">
        <v>46043</v>
      </c>
      <c r="C1587" s="264" t="s">
        <v>2060</v>
      </c>
      <c r="D1587" s="264" t="s">
        <v>3808</v>
      </c>
      <c r="E1587" s="264" t="s">
        <v>2916</v>
      </c>
      <c r="F1587" s="264" t="s">
        <v>3809</v>
      </c>
      <c r="G1587" s="264" t="s">
        <v>26</v>
      </c>
      <c r="H1587" s="266">
        <v>5728.84</v>
      </c>
      <c r="I1587" s="266">
        <v>0</v>
      </c>
      <c r="J1587" s="264" t="s">
        <v>1125</v>
      </c>
      <c r="K1587" s="264" t="s">
        <v>2025</v>
      </c>
      <c r="L1587" s="1" t="str">
        <f>VLOOKUP(Advices[[#This Row],[LC Number]],'Combine_List'!A:D,2,0)</f>
        <v>Mohamad Saeed Afifi Trading Est.</v>
      </c>
      <c r="M1587" s="447" t="str">
        <f>VLOOKUP(Advices[[#This Row],[LC Number]],'Combine_List'!A:D,3,0)</f>
        <v>FIRST FIX</v>
      </c>
      <c r="N1587" s="447" t="str">
        <f>VLOOKUP(Advices[[#This Row],[LC Number]],'Combine_List'!A:D,4,0)</f>
        <v>MP1</v>
      </c>
      <c r="O1587" s="264"/>
      <c r="P1587" s="264">
        <f>MONTH(Advices[[#This Row],[Transaction Date]])</f>
        <v>1</v>
      </c>
      <c r="Q1587" s="264">
        <f>YEAR(Advices[[#This Row],[Transaction Date]])</f>
        <v>2026</v>
      </c>
      <c r="R1587" s="1"/>
    </row>
    <row r="1588" spans="1:18" x14ac:dyDescent="0.25">
      <c r="A1588" s="264" t="s">
        <v>21</v>
      </c>
      <c r="B1588" s="265">
        <v>46044</v>
      </c>
      <c r="C1588" s="264" t="s">
        <v>1951</v>
      </c>
      <c r="D1588" s="264" t="s">
        <v>3816</v>
      </c>
      <c r="E1588" s="264" t="s">
        <v>2619</v>
      </c>
      <c r="F1588" s="264" t="s">
        <v>3817</v>
      </c>
      <c r="G1588" s="264" t="s">
        <v>26</v>
      </c>
      <c r="H1588" s="266">
        <v>234.83</v>
      </c>
      <c r="I1588" s="266">
        <v>0</v>
      </c>
      <c r="J1588" s="264" t="s">
        <v>1174</v>
      </c>
      <c r="K1588" s="264" t="s">
        <v>2025</v>
      </c>
      <c r="L1588" s="1" t="str">
        <f>VLOOKUP(Advices[[#This Row],[LC Number]],'Combine_List'!A:D,2,0)</f>
        <v>AL MOUSA TRADING CO.</v>
      </c>
      <c r="M1588" s="447" t="str">
        <f>VLOOKUP(Advices[[#This Row],[LC Number]],'Combine_List'!A:D,3,0)</f>
        <v>FIRST FIX</v>
      </c>
      <c r="N1588" s="447" t="str">
        <f>VLOOKUP(Advices[[#This Row],[LC Number]],'Combine_List'!A:D,4,0)</f>
        <v>KSP</v>
      </c>
      <c r="O1588" s="1"/>
      <c r="P1588" s="1">
        <f>MONTH(Advices[[#This Row],[Transaction Date]])</f>
        <v>1</v>
      </c>
      <c r="Q1588" s="1">
        <f>YEAR(Advices[[#This Row],[Transaction Date]])</f>
        <v>2026</v>
      </c>
      <c r="R1588" s="1"/>
    </row>
    <row r="1589" spans="1:18" x14ac:dyDescent="0.25">
      <c r="A1589" s="264" t="s">
        <v>21</v>
      </c>
      <c r="B1589" s="265">
        <v>46044</v>
      </c>
      <c r="C1589" s="264" t="s">
        <v>1951</v>
      </c>
      <c r="D1589" s="264" t="s">
        <v>3818</v>
      </c>
      <c r="E1589" s="264" t="s">
        <v>2619</v>
      </c>
      <c r="F1589" s="264" t="s">
        <v>3817</v>
      </c>
      <c r="G1589" s="264" t="s">
        <v>26</v>
      </c>
      <c r="H1589" s="266">
        <v>1565.55</v>
      </c>
      <c r="I1589" s="266">
        <v>0</v>
      </c>
      <c r="J1589" s="264" t="s">
        <v>1125</v>
      </c>
      <c r="K1589" s="264" t="s">
        <v>2025</v>
      </c>
      <c r="L1589" s="1" t="str">
        <f>VLOOKUP(Advices[[#This Row],[LC Number]],'Combine_List'!A:D,2,0)</f>
        <v>AL MOUSA TRADING CO.</v>
      </c>
      <c r="M1589" s="447" t="str">
        <f>VLOOKUP(Advices[[#This Row],[LC Number]],'Combine_List'!A:D,3,0)</f>
        <v>FIRST FIX</v>
      </c>
      <c r="N1589" s="447" t="str">
        <f>VLOOKUP(Advices[[#This Row],[LC Number]],'Combine_List'!A:D,4,0)</f>
        <v>KSP</v>
      </c>
      <c r="O1589" s="264"/>
      <c r="P1589" s="264">
        <f>MONTH(Advices[[#This Row],[Transaction Date]])</f>
        <v>1</v>
      </c>
      <c r="Q1589" s="264">
        <f>YEAR(Advices[[#This Row],[Transaction Date]])</f>
        <v>2026</v>
      </c>
      <c r="R1589" s="1"/>
    </row>
    <row r="1590" spans="1:18" hidden="1" x14ac:dyDescent="0.25">
      <c r="A1590" s="264" t="s">
        <v>62</v>
      </c>
      <c r="B1590" s="265">
        <v>46044</v>
      </c>
      <c r="C1590" s="264" t="s">
        <v>2055</v>
      </c>
      <c r="D1590" s="264" t="s">
        <v>3819</v>
      </c>
      <c r="E1590" s="264" t="s">
        <v>1834</v>
      </c>
      <c r="F1590" s="264" t="s">
        <v>2041</v>
      </c>
      <c r="G1590" s="264" t="s">
        <v>78</v>
      </c>
      <c r="H1590" s="266">
        <v>144571.51</v>
      </c>
      <c r="I1590" s="266">
        <v>0</v>
      </c>
      <c r="J1590" s="264" t="s">
        <v>1125</v>
      </c>
      <c r="K1590" s="264" t="s">
        <v>2025</v>
      </c>
      <c r="L1590" s="1" t="str">
        <f>VLOOKUP(Advices[[#This Row],[LC Number]],'Combine_List'!A:D,2,0)</f>
        <v>Jiangsu Donchamp New Materials Technology Co.Ltd.</v>
      </c>
      <c r="M1590" s="447" t="str">
        <f>VLOOKUP(Advices[[#This Row],[LC Number]],'Combine_List'!A:D,3,0)</f>
        <v>MBL</v>
      </c>
      <c r="N1590" s="447" t="str">
        <f>VLOOKUP(Advices[[#This Row],[LC Number]],'Combine_List'!A:D,4,0)</f>
        <v>Oceanarium</v>
      </c>
      <c r="O1590" s="1"/>
      <c r="P1590" s="1">
        <f>MONTH(Advices[[#This Row],[Transaction Date]])</f>
        <v>1</v>
      </c>
      <c r="Q1590" s="1">
        <f>YEAR(Advices[[#This Row],[Transaction Date]])</f>
        <v>2026</v>
      </c>
      <c r="R1590" s="1"/>
    </row>
    <row r="1591" spans="1:18" hidden="1" x14ac:dyDescent="0.25">
      <c r="A1591" s="264" t="s">
        <v>62</v>
      </c>
      <c r="B1591" s="265">
        <v>46044</v>
      </c>
      <c r="C1591" s="264" t="s">
        <v>2039</v>
      </c>
      <c r="D1591" s="264" t="s">
        <v>3820</v>
      </c>
      <c r="E1591" s="264" t="s">
        <v>3329</v>
      </c>
      <c r="F1591" s="264" t="s">
        <v>2041</v>
      </c>
      <c r="G1591" s="264" t="s">
        <v>26</v>
      </c>
      <c r="H1591" s="266">
        <v>4312.5</v>
      </c>
      <c r="I1591" s="266">
        <v>0</v>
      </c>
      <c r="J1591" s="264" t="s">
        <v>1125</v>
      </c>
      <c r="K1591" s="264" t="s">
        <v>2025</v>
      </c>
      <c r="L1591" s="1" t="str">
        <f>VLOOKUP(Advices[[#This Row],[LC Number]],'Combine_List'!A:D,2,0)</f>
        <v>Electric House Trading Company L.L.C.</v>
      </c>
      <c r="M1591" s="447" t="str">
        <f>VLOOKUP(Advices[[#This Row],[LC Number]],'Combine_List'!A:D,3,0)</f>
        <v>FIRST FIX</v>
      </c>
      <c r="N1591" s="447" t="str">
        <f>VLOOKUP(Advices[[#This Row],[LC Number]],'Combine_List'!A:D,4,0)</f>
        <v>Oceanarium</v>
      </c>
      <c r="O1591" s="264"/>
      <c r="P1591" s="264">
        <f>MONTH(Advices[[#This Row],[Transaction Date]])</f>
        <v>1</v>
      </c>
      <c r="Q1591" s="264">
        <f>YEAR(Advices[[#This Row],[Transaction Date]])</f>
        <v>2026</v>
      </c>
      <c r="R1591" s="1"/>
    </row>
    <row r="1592" spans="1:18" hidden="1" x14ac:dyDescent="0.25">
      <c r="A1592" s="264" t="s">
        <v>366</v>
      </c>
      <c r="B1592" s="265">
        <v>46044</v>
      </c>
      <c r="C1592" s="264" t="s">
        <v>2057</v>
      </c>
      <c r="D1592" s="264" t="s">
        <v>3821</v>
      </c>
      <c r="E1592" s="264" t="s">
        <v>1662</v>
      </c>
      <c r="F1592" s="264" t="s">
        <v>3822</v>
      </c>
      <c r="G1592" s="264" t="s">
        <v>26</v>
      </c>
      <c r="H1592" s="266">
        <v>320.91000000000003</v>
      </c>
      <c r="I1592" s="266">
        <v>0</v>
      </c>
      <c r="J1592" s="264" t="s">
        <v>1125</v>
      </c>
      <c r="K1592" s="264" t="s">
        <v>2025</v>
      </c>
      <c r="L1592" s="1" t="str">
        <f>VLOOKUP(Advices[[#This Row],[LC Number]],'Combine_List'!A:D,2,0)</f>
        <v>JAD AL RIYADH Trading Co. Ltd</v>
      </c>
      <c r="M1592" s="447" t="str">
        <f>VLOOKUP(Advices[[#This Row],[LC Number]],'Combine_List'!A:D,3,0)</f>
        <v>FIRST FIX</v>
      </c>
      <c r="N1592" s="447" t="str">
        <f>VLOOKUP(Advices[[#This Row],[LC Number]],'Combine_List'!A:D,4,0)</f>
        <v>CEER</v>
      </c>
      <c r="O1592" s="1"/>
      <c r="P1592" s="1">
        <f>MONTH(Advices[[#This Row],[Transaction Date]])</f>
        <v>1</v>
      </c>
      <c r="Q1592" s="1">
        <f>YEAR(Advices[[#This Row],[Transaction Date]])</f>
        <v>2026</v>
      </c>
      <c r="R1592" s="1"/>
    </row>
    <row r="1593" spans="1:18" hidden="1" x14ac:dyDescent="0.25">
      <c r="A1593" s="264" t="s">
        <v>366</v>
      </c>
      <c r="B1593" s="265">
        <v>46044</v>
      </c>
      <c r="C1593" s="264" t="s">
        <v>2060</v>
      </c>
      <c r="D1593" s="264" t="s">
        <v>3823</v>
      </c>
      <c r="E1593" s="264" t="s">
        <v>1876</v>
      </c>
      <c r="F1593" s="264" t="s">
        <v>3428</v>
      </c>
      <c r="G1593" s="264" t="s">
        <v>26</v>
      </c>
      <c r="H1593" s="266">
        <v>4182477.33</v>
      </c>
      <c r="I1593" s="266">
        <v>0</v>
      </c>
      <c r="J1593" s="264" t="s">
        <v>1126</v>
      </c>
      <c r="K1593" s="264" t="s">
        <v>2025</v>
      </c>
      <c r="L1593" s="1" t="str">
        <f>VLOOKUP(Advices[[#This Row],[LC Number]],'Combine_List'!A:D,2,0)</f>
        <v>ELSEWEDY CABLES COMPANY LTD.</v>
      </c>
      <c r="M1593" s="447" t="str">
        <f>VLOOKUP(Advices[[#This Row],[LC Number]],'Combine_List'!A:D,3,0)</f>
        <v>FIRST FIX</v>
      </c>
      <c r="N1593" s="447" t="str">
        <f>VLOOKUP(Advices[[#This Row],[LC Number]],'Combine_List'!A:D,4,0)</f>
        <v>MP1</v>
      </c>
      <c r="O1593" s="264"/>
      <c r="P1593" s="264">
        <f>MONTH(Advices[[#This Row],[Transaction Date]])</f>
        <v>1</v>
      </c>
      <c r="Q1593" s="264">
        <f>YEAR(Advices[[#This Row],[Transaction Date]])</f>
        <v>2026</v>
      </c>
      <c r="R1593" s="1"/>
    </row>
    <row r="1594" spans="1:18" hidden="1" x14ac:dyDescent="0.25">
      <c r="A1594" s="264" t="s">
        <v>612</v>
      </c>
      <c r="B1594" s="265">
        <v>46044</v>
      </c>
      <c r="C1594" s="264" t="s">
        <v>2101</v>
      </c>
      <c r="D1594" s="264" t="s">
        <v>3824</v>
      </c>
      <c r="E1594" s="264" t="s">
        <v>1823</v>
      </c>
      <c r="F1594" s="264" t="s">
        <v>2041</v>
      </c>
      <c r="G1594" s="264" t="s">
        <v>26</v>
      </c>
      <c r="H1594" s="266">
        <v>100</v>
      </c>
      <c r="I1594" s="266">
        <v>0</v>
      </c>
      <c r="J1594" s="264" t="s">
        <v>1125</v>
      </c>
      <c r="K1594" s="264" t="s">
        <v>2025</v>
      </c>
      <c r="L1594" s="1" t="str">
        <f>VLOOKUP(Advices[[#This Row],[LC Number]],'Combine_List'!A:D,2,0)</f>
        <v>SAUDI HEPCO CO LTD</v>
      </c>
      <c r="M1594" s="447" t="str">
        <f>VLOOKUP(Advices[[#This Row],[LC Number]],'Combine_List'!A:D,3,0)</f>
        <v>FIRST FIX</v>
      </c>
      <c r="N1594" s="447" t="str">
        <f>VLOOKUP(Advices[[#This Row],[LC Number]],'Combine_List'!A:D,4,0)</f>
        <v>RCRC</v>
      </c>
      <c r="O1594" s="1"/>
      <c r="P1594" s="1">
        <f>MONTH(Advices[[#This Row],[Transaction Date]])</f>
        <v>1</v>
      </c>
      <c r="Q1594" s="1">
        <f>YEAR(Advices[[#This Row],[Transaction Date]])</f>
        <v>2026</v>
      </c>
      <c r="R1594" s="1"/>
    </row>
    <row r="1595" spans="1:18" hidden="1" x14ac:dyDescent="0.25">
      <c r="A1595" s="264" t="s">
        <v>612</v>
      </c>
      <c r="B1595" s="265">
        <v>46044</v>
      </c>
      <c r="C1595" s="264" t="s">
        <v>2101</v>
      </c>
      <c r="D1595" s="264" t="s">
        <v>3825</v>
      </c>
      <c r="E1595" s="264" t="s">
        <v>1823</v>
      </c>
      <c r="F1595" s="264" t="s">
        <v>2041</v>
      </c>
      <c r="G1595" s="264" t="s">
        <v>26</v>
      </c>
      <c r="H1595" s="266">
        <v>15</v>
      </c>
      <c r="I1595" s="266">
        <v>0</v>
      </c>
      <c r="J1595" s="264" t="s">
        <v>1174</v>
      </c>
      <c r="K1595" s="264" t="s">
        <v>2025</v>
      </c>
      <c r="L1595" s="1" t="str">
        <f>VLOOKUP(Advices[[#This Row],[LC Number]],'Combine_List'!A:D,2,0)</f>
        <v>SAUDI HEPCO CO LTD</v>
      </c>
      <c r="M1595" s="447" t="str">
        <f>VLOOKUP(Advices[[#This Row],[LC Number]],'Combine_List'!A:D,3,0)</f>
        <v>FIRST FIX</v>
      </c>
      <c r="N1595" s="447" t="str">
        <f>VLOOKUP(Advices[[#This Row],[LC Number]],'Combine_List'!A:D,4,0)</f>
        <v>RCRC</v>
      </c>
      <c r="O1595" s="1"/>
      <c r="P1595" s="1">
        <f>MONTH(Advices[[#This Row],[Transaction Date]])</f>
        <v>1</v>
      </c>
      <c r="Q1595" s="1">
        <f>YEAR(Advices[[#This Row],[Transaction Date]])</f>
        <v>2026</v>
      </c>
      <c r="R1595" s="1"/>
    </row>
    <row r="1596" spans="1:18" hidden="1" x14ac:dyDescent="0.25">
      <c r="A1596" s="264" t="s">
        <v>612</v>
      </c>
      <c r="B1596" s="265">
        <v>46044</v>
      </c>
      <c r="C1596" s="264" t="s">
        <v>2101</v>
      </c>
      <c r="D1596" s="264" t="s">
        <v>3826</v>
      </c>
      <c r="E1596" s="264" t="s">
        <v>1823</v>
      </c>
      <c r="F1596" s="264" t="s">
        <v>2041</v>
      </c>
      <c r="G1596" s="264" t="s">
        <v>26</v>
      </c>
      <c r="H1596" s="266">
        <v>922</v>
      </c>
      <c r="I1596" s="266">
        <v>0</v>
      </c>
      <c r="J1596" s="264" t="s">
        <v>1125</v>
      </c>
      <c r="K1596" s="264" t="s">
        <v>2025</v>
      </c>
      <c r="L1596" s="1" t="str">
        <f>VLOOKUP(Advices[[#This Row],[LC Number]],'Combine_List'!A:D,2,0)</f>
        <v>SAUDI HEPCO CO LTD</v>
      </c>
      <c r="M1596" s="447" t="str">
        <f>VLOOKUP(Advices[[#This Row],[LC Number]],'Combine_List'!A:D,3,0)</f>
        <v>FIRST FIX</v>
      </c>
      <c r="N1596" s="447" t="str">
        <f>VLOOKUP(Advices[[#This Row],[LC Number]],'Combine_List'!A:D,4,0)</f>
        <v>RCRC</v>
      </c>
      <c r="O1596" s="1"/>
      <c r="P1596" s="1">
        <f>MONTH(Advices[[#This Row],[Transaction Date]])</f>
        <v>1</v>
      </c>
      <c r="Q1596" s="1">
        <f>YEAR(Advices[[#This Row],[Transaction Date]])</f>
        <v>2026</v>
      </c>
      <c r="R1596" s="1"/>
    </row>
    <row r="1597" spans="1:18" hidden="1" x14ac:dyDescent="0.25">
      <c r="A1597" s="264" t="s">
        <v>612</v>
      </c>
      <c r="B1597" s="265">
        <v>46044</v>
      </c>
      <c r="C1597" s="264" t="s">
        <v>2101</v>
      </c>
      <c r="D1597" s="264" t="s">
        <v>3827</v>
      </c>
      <c r="E1597" s="264" t="s">
        <v>1823</v>
      </c>
      <c r="F1597" s="264" t="s">
        <v>2041</v>
      </c>
      <c r="G1597" s="264" t="s">
        <v>26</v>
      </c>
      <c r="H1597" s="266">
        <v>138.30000000000001</v>
      </c>
      <c r="I1597" s="266">
        <v>0</v>
      </c>
      <c r="J1597" s="264" t="s">
        <v>1174</v>
      </c>
      <c r="K1597" s="264" t="s">
        <v>2025</v>
      </c>
      <c r="L1597" s="1" t="str">
        <f>VLOOKUP(Advices[[#This Row],[LC Number]],'Combine_List'!A:D,2,0)</f>
        <v>SAUDI HEPCO CO LTD</v>
      </c>
      <c r="M1597" s="447" t="str">
        <f>VLOOKUP(Advices[[#This Row],[LC Number]],'Combine_List'!A:D,3,0)</f>
        <v>FIRST FIX</v>
      </c>
      <c r="N1597" s="447" t="str">
        <f>VLOOKUP(Advices[[#This Row],[LC Number]],'Combine_List'!A:D,4,0)</f>
        <v>RCRC</v>
      </c>
      <c r="O1597" s="1"/>
      <c r="P1597" s="1">
        <f>MONTH(Advices[[#This Row],[Transaction Date]])</f>
        <v>1</v>
      </c>
      <c r="Q1597" s="1">
        <f>YEAR(Advices[[#This Row],[Transaction Date]])</f>
        <v>2026</v>
      </c>
      <c r="R1597" s="1"/>
    </row>
    <row r="1598" spans="1:18" hidden="1" x14ac:dyDescent="0.25">
      <c r="A1598" s="264" t="s">
        <v>612</v>
      </c>
      <c r="B1598" s="265">
        <v>46044</v>
      </c>
      <c r="C1598" s="264" t="s">
        <v>2101</v>
      </c>
      <c r="D1598" s="264" t="s">
        <v>3828</v>
      </c>
      <c r="E1598" s="264" t="s">
        <v>1823</v>
      </c>
      <c r="F1598" s="264" t="s">
        <v>2041</v>
      </c>
      <c r="G1598" s="264" t="s">
        <v>26</v>
      </c>
      <c r="H1598" s="266">
        <v>200</v>
      </c>
      <c r="I1598" s="266">
        <v>0</v>
      </c>
      <c r="J1598" s="264" t="s">
        <v>1125</v>
      </c>
      <c r="K1598" s="264" t="s">
        <v>2025</v>
      </c>
      <c r="L1598" s="1" t="str">
        <f>VLOOKUP(Advices[[#This Row],[LC Number]],'Combine_List'!A:D,2,0)</f>
        <v>SAUDI HEPCO CO LTD</v>
      </c>
      <c r="M1598" s="447" t="str">
        <f>VLOOKUP(Advices[[#This Row],[LC Number]],'Combine_List'!A:D,3,0)</f>
        <v>FIRST FIX</v>
      </c>
      <c r="N1598" s="447" t="str">
        <f>VLOOKUP(Advices[[#This Row],[LC Number]],'Combine_List'!A:D,4,0)</f>
        <v>RCRC</v>
      </c>
      <c r="O1598" s="1"/>
      <c r="P1598" s="1">
        <f>MONTH(Advices[[#This Row],[Transaction Date]])</f>
        <v>1</v>
      </c>
      <c r="Q1598" s="1">
        <f>YEAR(Advices[[#This Row],[Transaction Date]])</f>
        <v>2026</v>
      </c>
      <c r="R1598" s="1"/>
    </row>
    <row r="1599" spans="1:18" hidden="1" x14ac:dyDescent="0.25">
      <c r="A1599" s="264" t="s">
        <v>612</v>
      </c>
      <c r="B1599" s="265">
        <v>46044</v>
      </c>
      <c r="C1599" s="264" t="s">
        <v>2101</v>
      </c>
      <c r="D1599" s="264" t="s">
        <v>3829</v>
      </c>
      <c r="E1599" s="264" t="s">
        <v>1823</v>
      </c>
      <c r="F1599" s="264" t="s">
        <v>2041</v>
      </c>
      <c r="G1599" s="264" t="s">
        <v>26</v>
      </c>
      <c r="H1599" s="266">
        <v>30</v>
      </c>
      <c r="I1599" s="266">
        <v>0</v>
      </c>
      <c r="J1599" s="264" t="s">
        <v>1174</v>
      </c>
      <c r="K1599" s="264" t="s">
        <v>2025</v>
      </c>
      <c r="L1599" s="1" t="str">
        <f>VLOOKUP(Advices[[#This Row],[LC Number]],'Combine_List'!A:D,2,0)</f>
        <v>SAUDI HEPCO CO LTD</v>
      </c>
      <c r="M1599" s="447" t="str">
        <f>VLOOKUP(Advices[[#This Row],[LC Number]],'Combine_List'!A:D,3,0)</f>
        <v>FIRST FIX</v>
      </c>
      <c r="N1599" s="447" t="str">
        <f>VLOOKUP(Advices[[#This Row],[LC Number]],'Combine_List'!A:D,4,0)</f>
        <v>RCRC</v>
      </c>
      <c r="O1599" s="264"/>
      <c r="P1599" s="264">
        <f>MONTH(Advices[[#This Row],[Transaction Date]])</f>
        <v>1</v>
      </c>
      <c r="Q1599" s="264">
        <f>YEAR(Advices[[#This Row],[Transaction Date]])</f>
        <v>2026</v>
      </c>
      <c r="R1599" s="1"/>
    </row>
    <row r="1600" spans="1:18" x14ac:dyDescent="0.25">
      <c r="A1600" s="264" t="s">
        <v>21</v>
      </c>
      <c r="B1600" s="265">
        <v>46047</v>
      </c>
      <c r="C1600" s="264" t="s">
        <v>1951</v>
      </c>
      <c r="D1600" s="264" t="s">
        <v>1952</v>
      </c>
      <c r="E1600" s="264" t="s">
        <v>1489</v>
      </c>
      <c r="F1600" s="264" t="s">
        <v>3830</v>
      </c>
      <c r="G1600" s="264" t="s">
        <v>26</v>
      </c>
      <c r="H1600" s="266">
        <v>187.5</v>
      </c>
      <c r="I1600" s="266">
        <v>0</v>
      </c>
      <c r="J1600" s="264" t="s">
        <v>1174</v>
      </c>
      <c r="K1600" s="264" t="s">
        <v>2025</v>
      </c>
      <c r="L1600" s="1" t="str">
        <f>VLOOKUP(Advices[[#This Row],[LC Number]],'Combine_List'!A:D,2,0)</f>
        <v>AFAQ AL MALAZ TRADING CO. LTD</v>
      </c>
      <c r="M1600" s="447" t="str">
        <f>VLOOKUP(Advices[[#This Row],[LC Number]],'Combine_List'!A:D,3,0)</f>
        <v>FIRST FIX</v>
      </c>
      <c r="N1600" s="447" t="str">
        <f>VLOOKUP(Advices[[#This Row],[LC Number]],'Combine_List'!A:D,4,0)</f>
        <v>JCD SPMI</v>
      </c>
      <c r="O1600" s="1"/>
      <c r="P1600" s="1">
        <f>MONTH(Advices[[#This Row],[Transaction Date]])</f>
        <v>1</v>
      </c>
      <c r="Q1600" s="1">
        <f>YEAR(Advices[[#This Row],[Transaction Date]])</f>
        <v>2026</v>
      </c>
      <c r="R1600" s="1"/>
    </row>
    <row r="1601" spans="1:18" x14ac:dyDescent="0.25">
      <c r="A1601" s="264" t="s">
        <v>21</v>
      </c>
      <c r="B1601" s="265">
        <v>46047</v>
      </c>
      <c r="C1601" s="264" t="s">
        <v>1951</v>
      </c>
      <c r="D1601" s="264" t="s">
        <v>3831</v>
      </c>
      <c r="E1601" s="264" t="s">
        <v>1489</v>
      </c>
      <c r="F1601" s="264" t="s">
        <v>3830</v>
      </c>
      <c r="G1601" s="264" t="s">
        <v>26</v>
      </c>
      <c r="H1601" s="266">
        <v>1250</v>
      </c>
      <c r="I1601" s="266">
        <v>0</v>
      </c>
      <c r="J1601" s="264" t="s">
        <v>1125</v>
      </c>
      <c r="K1601" s="264" t="s">
        <v>2025</v>
      </c>
      <c r="L1601" s="1" t="str">
        <f>VLOOKUP(Advices[[#This Row],[LC Number]],'Combine_List'!A:D,2,0)</f>
        <v>AFAQ AL MALAZ TRADING CO. LTD</v>
      </c>
      <c r="M1601" s="447" t="str">
        <f>VLOOKUP(Advices[[#This Row],[LC Number]],'Combine_List'!A:D,3,0)</f>
        <v>FIRST FIX</v>
      </c>
      <c r="N1601" s="447" t="str">
        <f>VLOOKUP(Advices[[#This Row],[LC Number]],'Combine_List'!A:D,4,0)</f>
        <v>JCD SPMI</v>
      </c>
      <c r="O1601" s="1"/>
      <c r="P1601" s="1">
        <f>MONTH(Advices[[#This Row],[Transaction Date]])</f>
        <v>1</v>
      </c>
      <c r="Q1601" s="1">
        <f>YEAR(Advices[[#This Row],[Transaction Date]])</f>
        <v>2026</v>
      </c>
      <c r="R1601" s="1"/>
    </row>
    <row r="1602" spans="1:18" x14ac:dyDescent="0.25">
      <c r="A1602" s="264" t="s">
        <v>21</v>
      </c>
      <c r="B1602" s="265">
        <v>46047</v>
      </c>
      <c r="C1602" s="264" t="s">
        <v>1951</v>
      </c>
      <c r="D1602" s="264" t="s">
        <v>1960</v>
      </c>
      <c r="E1602" s="264" t="s">
        <v>1767</v>
      </c>
      <c r="F1602" s="264" t="s">
        <v>3832</v>
      </c>
      <c r="G1602" s="264" t="s">
        <v>26</v>
      </c>
      <c r="H1602" s="266">
        <v>11.25</v>
      </c>
      <c r="I1602" s="266">
        <v>0</v>
      </c>
      <c r="J1602" s="264" t="s">
        <v>1174</v>
      </c>
      <c r="K1602" s="264" t="s">
        <v>2025</v>
      </c>
      <c r="L1602" s="1" t="str">
        <f>VLOOKUP(Advices[[#This Row],[LC Number]],'Combine_List'!A:D,2,0)</f>
        <v>Al Arabia Construction &amp; Building Co.</v>
      </c>
      <c r="M1602" s="447" t="str">
        <f>VLOOKUP(Advices[[#This Row],[LC Number]],'Combine_List'!A:D,3,0)</f>
        <v>MBL</v>
      </c>
      <c r="N1602" s="447" t="str">
        <f>VLOOKUP(Advices[[#This Row],[LC Number]],'Combine_List'!A:D,4,0)</f>
        <v>Rabigh Power Plant</v>
      </c>
      <c r="O1602" s="1"/>
      <c r="P1602" s="1">
        <f>MONTH(Advices[[#This Row],[Transaction Date]])</f>
        <v>1</v>
      </c>
      <c r="Q1602" s="1">
        <f>YEAR(Advices[[#This Row],[Transaction Date]])</f>
        <v>2026</v>
      </c>
      <c r="R1602" s="1"/>
    </row>
    <row r="1603" spans="1:18" x14ac:dyDescent="0.25">
      <c r="A1603" s="264" t="s">
        <v>21</v>
      </c>
      <c r="B1603" s="265">
        <v>46047</v>
      </c>
      <c r="C1603" s="264" t="s">
        <v>1951</v>
      </c>
      <c r="D1603" s="264" t="s">
        <v>3833</v>
      </c>
      <c r="E1603" s="264" t="s">
        <v>1767</v>
      </c>
      <c r="F1603" s="264" t="s">
        <v>3832</v>
      </c>
      <c r="G1603" s="264" t="s">
        <v>26</v>
      </c>
      <c r="H1603" s="266">
        <v>75</v>
      </c>
      <c r="I1603" s="266">
        <v>0</v>
      </c>
      <c r="J1603" s="264" t="s">
        <v>1963</v>
      </c>
      <c r="K1603" s="264" t="s">
        <v>2025</v>
      </c>
      <c r="L1603" s="1" t="str">
        <f>VLOOKUP(Advices[[#This Row],[LC Number]],'Combine_List'!A:D,2,0)</f>
        <v>Al Arabia Construction &amp; Building Co.</v>
      </c>
      <c r="M1603" s="447" t="str">
        <f>VLOOKUP(Advices[[#This Row],[LC Number]],'Combine_List'!A:D,3,0)</f>
        <v>MBL</v>
      </c>
      <c r="N1603" s="447" t="str">
        <f>VLOOKUP(Advices[[#This Row],[LC Number]],'Combine_List'!A:D,4,0)</f>
        <v>Rabigh Power Plant</v>
      </c>
      <c r="O1603" s="1"/>
      <c r="P1603" s="1">
        <f>MONTH(Advices[[#This Row],[Transaction Date]])</f>
        <v>1</v>
      </c>
      <c r="Q1603" s="1">
        <f>YEAR(Advices[[#This Row],[Transaction Date]])</f>
        <v>2026</v>
      </c>
      <c r="R1603" s="1"/>
    </row>
    <row r="1604" spans="1:18" x14ac:dyDescent="0.25">
      <c r="A1604" s="264" t="s">
        <v>21</v>
      </c>
      <c r="B1604" s="265">
        <v>46047</v>
      </c>
      <c r="C1604" s="264" t="s">
        <v>1951</v>
      </c>
      <c r="D1604" s="264" t="s">
        <v>1952</v>
      </c>
      <c r="E1604" s="264" t="s">
        <v>1767</v>
      </c>
      <c r="F1604" s="264" t="s">
        <v>3832</v>
      </c>
      <c r="G1604" s="264" t="s">
        <v>26</v>
      </c>
      <c r="H1604" s="266">
        <v>187.5</v>
      </c>
      <c r="I1604" s="266">
        <v>0</v>
      </c>
      <c r="J1604" s="264" t="s">
        <v>1174</v>
      </c>
      <c r="K1604" s="264" t="s">
        <v>2025</v>
      </c>
      <c r="L1604" s="1" t="str">
        <f>VLOOKUP(Advices[[#This Row],[LC Number]],'Combine_List'!A:D,2,0)</f>
        <v>Al Arabia Construction &amp; Building Co.</v>
      </c>
      <c r="M1604" s="447" t="str">
        <f>VLOOKUP(Advices[[#This Row],[LC Number]],'Combine_List'!A:D,3,0)</f>
        <v>MBL</v>
      </c>
      <c r="N1604" s="447" t="str">
        <f>VLOOKUP(Advices[[#This Row],[LC Number]],'Combine_List'!A:D,4,0)</f>
        <v>Rabigh Power Plant</v>
      </c>
      <c r="O1604" s="1"/>
      <c r="P1604" s="1">
        <f>MONTH(Advices[[#This Row],[Transaction Date]])</f>
        <v>1</v>
      </c>
      <c r="Q1604" s="1">
        <f>YEAR(Advices[[#This Row],[Transaction Date]])</f>
        <v>2026</v>
      </c>
      <c r="R1604" s="1"/>
    </row>
    <row r="1605" spans="1:18" x14ac:dyDescent="0.25">
      <c r="A1605" s="264" t="s">
        <v>21</v>
      </c>
      <c r="B1605" s="265">
        <v>46047</v>
      </c>
      <c r="C1605" s="264" t="s">
        <v>1951</v>
      </c>
      <c r="D1605" s="264" t="s">
        <v>3834</v>
      </c>
      <c r="E1605" s="264" t="s">
        <v>1767</v>
      </c>
      <c r="F1605" s="264" t="s">
        <v>3832</v>
      </c>
      <c r="G1605" s="264" t="s">
        <v>26</v>
      </c>
      <c r="H1605" s="266">
        <v>1250</v>
      </c>
      <c r="I1605" s="266">
        <v>0</v>
      </c>
      <c r="J1605" s="264" t="s">
        <v>1125</v>
      </c>
      <c r="K1605" s="264" t="s">
        <v>2025</v>
      </c>
      <c r="L1605" s="1" t="str">
        <f>VLOOKUP(Advices[[#This Row],[LC Number]],'Combine_List'!A:D,2,0)</f>
        <v>Al Arabia Construction &amp; Building Co.</v>
      </c>
      <c r="M1605" s="447" t="str">
        <f>VLOOKUP(Advices[[#This Row],[LC Number]],'Combine_List'!A:D,3,0)</f>
        <v>MBL</v>
      </c>
      <c r="N1605" s="447" t="str">
        <f>VLOOKUP(Advices[[#This Row],[LC Number]],'Combine_List'!A:D,4,0)</f>
        <v>Rabigh Power Plant</v>
      </c>
      <c r="O1605" s="1"/>
      <c r="P1605" s="1">
        <f>MONTH(Advices[[#This Row],[Transaction Date]])</f>
        <v>1</v>
      </c>
      <c r="Q1605" s="1">
        <f>YEAR(Advices[[#This Row],[Transaction Date]])</f>
        <v>2026</v>
      </c>
      <c r="R1605" s="1"/>
    </row>
    <row r="1606" spans="1:18" x14ac:dyDescent="0.25">
      <c r="A1606" s="264" t="s">
        <v>21</v>
      </c>
      <c r="B1606" s="265">
        <v>46047</v>
      </c>
      <c r="C1606" s="264" t="s">
        <v>1951</v>
      </c>
      <c r="D1606" s="264" t="s">
        <v>3835</v>
      </c>
      <c r="E1606" s="264" t="s">
        <v>1767</v>
      </c>
      <c r="F1606" s="264" t="s">
        <v>3832</v>
      </c>
      <c r="G1606" s="264" t="s">
        <v>26</v>
      </c>
      <c r="H1606" s="266">
        <v>231118.72</v>
      </c>
      <c r="I1606" s="266">
        <v>0</v>
      </c>
      <c r="J1606" s="264" t="s">
        <v>1126</v>
      </c>
      <c r="K1606" s="264" t="s">
        <v>2025</v>
      </c>
      <c r="L1606" s="1" t="str">
        <f>VLOOKUP(Advices[[#This Row],[LC Number]],'Combine_List'!A:D,2,0)</f>
        <v>Al Arabia Construction &amp; Building Co.</v>
      </c>
      <c r="M1606" s="447" t="str">
        <f>VLOOKUP(Advices[[#This Row],[LC Number]],'Combine_List'!A:D,3,0)</f>
        <v>MBL</v>
      </c>
      <c r="N1606" s="447" t="str">
        <f>VLOOKUP(Advices[[#This Row],[LC Number]],'Combine_List'!A:D,4,0)</f>
        <v>Rabigh Power Plant</v>
      </c>
      <c r="O1606" s="1"/>
      <c r="P1606" s="1">
        <f>MONTH(Advices[[#This Row],[Transaction Date]])</f>
        <v>1</v>
      </c>
      <c r="Q1606" s="1">
        <f>YEAR(Advices[[#This Row],[Transaction Date]])</f>
        <v>2026</v>
      </c>
      <c r="R1606" s="1"/>
    </row>
    <row r="1607" spans="1:18" x14ac:dyDescent="0.25">
      <c r="A1607" s="264" t="s">
        <v>21</v>
      </c>
      <c r="B1607" s="265">
        <v>46047</v>
      </c>
      <c r="C1607" s="264" t="s">
        <v>1951</v>
      </c>
      <c r="D1607" s="264" t="s">
        <v>1960</v>
      </c>
      <c r="E1607" s="264" t="s">
        <v>1885</v>
      </c>
      <c r="F1607" s="264" t="s">
        <v>2824</v>
      </c>
      <c r="G1607" s="264" t="s">
        <v>26</v>
      </c>
      <c r="H1607" s="266">
        <v>11.25</v>
      </c>
      <c r="I1607" s="266">
        <v>0</v>
      </c>
      <c r="J1607" s="264" t="s">
        <v>1174</v>
      </c>
      <c r="K1607" s="264" t="s">
        <v>2025</v>
      </c>
      <c r="L1607" s="1" t="str">
        <f>VLOOKUP(Advices[[#This Row],[LC Number]],'Combine_List'!A:D,2,0)</f>
        <v>DANAH METAL CO.</v>
      </c>
      <c r="M1607" s="447" t="str">
        <f>VLOOKUP(Advices[[#This Row],[LC Number]],'Combine_List'!A:D,3,0)</f>
        <v>FIRST FIX</v>
      </c>
      <c r="N1607" s="447" t="str">
        <f>VLOOKUP(Advices[[#This Row],[LC Number]],'Combine_List'!A:D,4,0)</f>
        <v>KSP</v>
      </c>
      <c r="O1607" s="1"/>
      <c r="P1607" s="1">
        <f>MONTH(Advices[[#This Row],[Transaction Date]])</f>
        <v>1</v>
      </c>
      <c r="Q1607" s="1">
        <f>YEAR(Advices[[#This Row],[Transaction Date]])</f>
        <v>2026</v>
      </c>
      <c r="R1607" s="1"/>
    </row>
    <row r="1608" spans="1:18" x14ac:dyDescent="0.25">
      <c r="A1608" s="264" t="s">
        <v>21</v>
      </c>
      <c r="B1608" s="265">
        <v>46047</v>
      </c>
      <c r="C1608" s="264" t="s">
        <v>1951</v>
      </c>
      <c r="D1608" s="264" t="s">
        <v>3836</v>
      </c>
      <c r="E1608" s="264" t="s">
        <v>1885</v>
      </c>
      <c r="F1608" s="264" t="s">
        <v>2824</v>
      </c>
      <c r="G1608" s="264" t="s">
        <v>26</v>
      </c>
      <c r="H1608" s="266">
        <v>75</v>
      </c>
      <c r="I1608" s="266">
        <v>0</v>
      </c>
      <c r="J1608" s="264" t="s">
        <v>1963</v>
      </c>
      <c r="K1608" s="264" t="s">
        <v>2025</v>
      </c>
      <c r="L1608" s="1" t="str">
        <f>VLOOKUP(Advices[[#This Row],[LC Number]],'Combine_List'!A:D,2,0)</f>
        <v>DANAH METAL CO.</v>
      </c>
      <c r="M1608" s="447" t="str">
        <f>VLOOKUP(Advices[[#This Row],[LC Number]],'Combine_List'!A:D,3,0)</f>
        <v>FIRST FIX</v>
      </c>
      <c r="N1608" s="447" t="str">
        <f>VLOOKUP(Advices[[#This Row],[LC Number]],'Combine_List'!A:D,4,0)</f>
        <v>KSP</v>
      </c>
      <c r="O1608" s="1"/>
      <c r="P1608" s="1">
        <f>MONTH(Advices[[#This Row],[Transaction Date]])</f>
        <v>1</v>
      </c>
      <c r="Q1608" s="1">
        <f>YEAR(Advices[[#This Row],[Transaction Date]])</f>
        <v>2026</v>
      </c>
      <c r="R1608" s="1"/>
    </row>
    <row r="1609" spans="1:18" x14ac:dyDescent="0.25">
      <c r="A1609" s="264" t="s">
        <v>21</v>
      </c>
      <c r="B1609" s="265">
        <v>46047</v>
      </c>
      <c r="C1609" s="264" t="s">
        <v>1951</v>
      </c>
      <c r="D1609" s="264" t="s">
        <v>3837</v>
      </c>
      <c r="E1609" s="264" t="s">
        <v>1885</v>
      </c>
      <c r="F1609" s="264" t="s">
        <v>2824</v>
      </c>
      <c r="G1609" s="264" t="s">
        <v>26</v>
      </c>
      <c r="H1609" s="266">
        <v>207933.08</v>
      </c>
      <c r="I1609" s="266">
        <v>0</v>
      </c>
      <c r="J1609" s="264" t="s">
        <v>1126</v>
      </c>
      <c r="K1609" s="264" t="s">
        <v>2025</v>
      </c>
      <c r="L1609" s="1" t="str">
        <f>VLOOKUP(Advices[[#This Row],[LC Number]],'Combine_List'!A:D,2,0)</f>
        <v>DANAH METAL CO.</v>
      </c>
      <c r="M1609" s="447" t="str">
        <f>VLOOKUP(Advices[[#This Row],[LC Number]],'Combine_List'!A:D,3,0)</f>
        <v>FIRST FIX</v>
      </c>
      <c r="N1609" s="447" t="str">
        <f>VLOOKUP(Advices[[#This Row],[LC Number]],'Combine_List'!A:D,4,0)</f>
        <v>KSP</v>
      </c>
      <c r="O1609" s="264"/>
      <c r="P1609" s="264">
        <f>MONTH(Advices[[#This Row],[Transaction Date]])</f>
        <v>1</v>
      </c>
      <c r="Q1609" s="264">
        <f>YEAR(Advices[[#This Row],[Transaction Date]])</f>
        <v>2026</v>
      </c>
      <c r="R1609" s="1"/>
    </row>
    <row r="1610" spans="1:18" hidden="1" x14ac:dyDescent="0.25">
      <c r="A1610" s="264" t="s">
        <v>62</v>
      </c>
      <c r="B1610" s="265">
        <v>46047</v>
      </c>
      <c r="C1610" s="264" t="s">
        <v>2042</v>
      </c>
      <c r="D1610" s="264" t="s">
        <v>3838</v>
      </c>
      <c r="E1610" s="264" t="s">
        <v>3813</v>
      </c>
      <c r="F1610" s="264" t="s">
        <v>2041</v>
      </c>
      <c r="G1610" s="264" t="s">
        <v>26</v>
      </c>
      <c r="H1610" s="266">
        <v>8176.5</v>
      </c>
      <c r="I1610" s="266">
        <v>0</v>
      </c>
      <c r="J1610" s="264" t="s">
        <v>3851</v>
      </c>
      <c r="K1610" s="264" t="s">
        <v>2025</v>
      </c>
      <c r="L1610" s="1" t="str">
        <f>VLOOKUP(Advices[[#This Row],[LC Number]],'Combine_List'!A:D,2,0)</f>
        <v>Performance - MADINAH REGIONAL DEVELOPMENT CO.</v>
      </c>
      <c r="M1610" s="447">
        <f>VLOOKUP(Advices[[#This Row],[LC Number]],'Combine_List'!A:D,3,0)</f>
        <v>0</v>
      </c>
      <c r="N1610" s="447">
        <f>VLOOKUP(Advices[[#This Row],[LC Number]],'Combine_List'!A:D,4,0)</f>
        <v>0</v>
      </c>
      <c r="O1610" s="1"/>
      <c r="P1610" s="1">
        <f>MONTH(Advices[[#This Row],[Transaction Date]])</f>
        <v>1</v>
      </c>
      <c r="Q1610" s="1">
        <f>YEAR(Advices[[#This Row],[Transaction Date]])</f>
        <v>2026</v>
      </c>
      <c r="R1610" s="1"/>
    </row>
    <row r="1611" spans="1:18" hidden="1" x14ac:dyDescent="0.25">
      <c r="A1611" s="264" t="s">
        <v>62</v>
      </c>
      <c r="B1611" s="265">
        <v>46047</v>
      </c>
      <c r="C1611" s="264" t="s">
        <v>2039</v>
      </c>
      <c r="D1611" s="264" t="s">
        <v>3839</v>
      </c>
      <c r="E1611" s="264" t="s">
        <v>3322</v>
      </c>
      <c r="F1611" s="264" t="s">
        <v>2041</v>
      </c>
      <c r="G1611" s="264" t="s">
        <v>26</v>
      </c>
      <c r="H1611" s="266">
        <v>2371.88</v>
      </c>
      <c r="I1611" s="266">
        <v>0</v>
      </c>
      <c r="J1611" s="264" t="s">
        <v>1125</v>
      </c>
      <c r="K1611" s="264" t="s">
        <v>2025</v>
      </c>
      <c r="L1611" s="1" t="str">
        <f>VLOOKUP(Advices[[#This Row],[LC Number]],'Combine_List'!A:D,2,0)</f>
        <v>Mahmoud Altaheni &amp; Partners Trading Co.</v>
      </c>
      <c r="M1611" s="447" t="str">
        <f>VLOOKUP(Advices[[#This Row],[LC Number]],'Combine_List'!A:D,3,0)</f>
        <v>FIRST FIX</v>
      </c>
      <c r="N1611" s="447" t="str">
        <f>VLOOKUP(Advices[[#This Row],[LC Number]],'Combine_List'!A:D,4,0)</f>
        <v>Oceanarium</v>
      </c>
      <c r="O1611" s="264"/>
      <c r="P1611" s="264">
        <f>MONTH(Advices[[#This Row],[Transaction Date]])</f>
        <v>1</v>
      </c>
      <c r="Q1611" s="264">
        <f>YEAR(Advices[[#This Row],[Transaction Date]])</f>
        <v>2026</v>
      </c>
      <c r="R1611" s="1"/>
    </row>
    <row r="1612" spans="1:18" ht="15.75" hidden="1" customHeight="1" x14ac:dyDescent="0.25">
      <c r="A1612" s="264" t="s">
        <v>95</v>
      </c>
      <c r="B1612" s="265">
        <v>46047</v>
      </c>
      <c r="C1612" s="264" t="s">
        <v>2026</v>
      </c>
      <c r="D1612" s="264" t="s">
        <v>3840</v>
      </c>
      <c r="E1612" s="264" t="s">
        <v>3572</v>
      </c>
      <c r="F1612" s="264" t="s">
        <v>3841</v>
      </c>
      <c r="G1612" s="264" t="s">
        <v>26</v>
      </c>
      <c r="H1612" s="266">
        <v>460</v>
      </c>
      <c r="I1612" s="266">
        <v>0</v>
      </c>
      <c r="J1612" s="264" t="s">
        <v>1124</v>
      </c>
      <c r="K1612" s="264" t="s">
        <v>2025</v>
      </c>
      <c r="L1612" s="1" t="str">
        <f>VLOOKUP(Advices[[#This Row],[LC Number]],'Combine_List'!A:D,2,0)</f>
        <v>BRC Industrial Saudia Company.</v>
      </c>
      <c r="M1612" s="447" t="str">
        <f>VLOOKUP(Advices[[#This Row],[LC Number]],'Combine_List'!A:D,3,0)</f>
        <v>MBL</v>
      </c>
      <c r="N1612" s="447" t="str">
        <f>VLOOKUP(Advices[[#This Row],[LC Number]],'Combine_List'!A:D,4,0)</f>
        <v>OPERA House</v>
      </c>
      <c r="O1612" s="264"/>
      <c r="P1612" s="264">
        <f>MONTH(Advices[[#This Row],[Transaction Date]])</f>
        <v>1</v>
      </c>
      <c r="Q1612" s="264">
        <f>YEAR(Advices[[#This Row],[Transaction Date]])</f>
        <v>2026</v>
      </c>
      <c r="R1612" s="1"/>
    </row>
    <row r="1613" spans="1:18" hidden="1" x14ac:dyDescent="0.25">
      <c r="A1613" s="264" t="s">
        <v>366</v>
      </c>
      <c r="B1613" s="265">
        <v>46047</v>
      </c>
      <c r="C1613" s="264" t="s">
        <v>2060</v>
      </c>
      <c r="D1613" s="264" t="s">
        <v>3842</v>
      </c>
      <c r="E1613" s="264" t="s">
        <v>1817</v>
      </c>
      <c r="F1613" s="264" t="s">
        <v>3445</v>
      </c>
      <c r="G1613" s="264" t="s">
        <v>26</v>
      </c>
      <c r="H1613" s="266">
        <v>1180195</v>
      </c>
      <c r="I1613" s="266">
        <v>0</v>
      </c>
      <c r="J1613" s="264" t="s">
        <v>1126</v>
      </c>
      <c r="K1613" s="264" t="s">
        <v>2025</v>
      </c>
      <c r="L1613" s="1" t="str">
        <f>VLOOKUP(Advices[[#This Row],[LC Number]],'Combine_List'!A:D,2,0)</f>
        <v>Safid Co. Ltd</v>
      </c>
      <c r="M1613" s="447" t="str">
        <f>VLOOKUP(Advices[[#This Row],[LC Number]],'Combine_List'!A:D,3,0)</f>
        <v>MBL/ICAD</v>
      </c>
      <c r="N1613" s="447" t="str">
        <f>VLOOKUP(Advices[[#This Row],[LC Number]],'Combine_List'!A:D,4,0)</f>
        <v>ABHA</v>
      </c>
      <c r="O1613" s="1"/>
      <c r="P1613" s="1">
        <f>MONTH(Advices[[#This Row],[Transaction Date]])</f>
        <v>1</v>
      </c>
      <c r="Q1613" s="1">
        <f>YEAR(Advices[[#This Row],[Transaction Date]])</f>
        <v>2026</v>
      </c>
      <c r="R1613" s="1"/>
    </row>
    <row r="1614" spans="1:18" hidden="1" x14ac:dyDescent="0.25">
      <c r="A1614" s="264" t="s">
        <v>366</v>
      </c>
      <c r="B1614" s="265">
        <v>46047</v>
      </c>
      <c r="C1614" s="264" t="s">
        <v>2060</v>
      </c>
      <c r="D1614" s="264" t="s">
        <v>3843</v>
      </c>
      <c r="E1614" s="264" t="s">
        <v>1673</v>
      </c>
      <c r="F1614" s="264" t="s">
        <v>3412</v>
      </c>
      <c r="G1614" s="264" t="s">
        <v>26</v>
      </c>
      <c r="H1614" s="266">
        <v>239654.07</v>
      </c>
      <c r="I1614" s="266">
        <v>0</v>
      </c>
      <c r="J1614" s="264" t="s">
        <v>1126</v>
      </c>
      <c r="K1614" s="264" t="s">
        <v>2025</v>
      </c>
      <c r="L1614" s="1" t="str">
        <f>VLOOKUP(Advices[[#This Row],[LC Number]],'Combine_List'!A:D,2,0)</f>
        <v>Mab United For Trading &amp; Contracting Co</v>
      </c>
      <c r="M1614" s="447" t="str">
        <f>VLOOKUP(Advices[[#This Row],[LC Number]],'Combine_List'!A:D,3,0)</f>
        <v>FIRST FIX</v>
      </c>
      <c r="N1614" s="447" t="str">
        <f>VLOOKUP(Advices[[#This Row],[LC Number]],'Combine_List'!A:D,4,0)</f>
        <v>CEER</v>
      </c>
      <c r="O1614" s="264"/>
      <c r="P1614" s="264">
        <f>MONTH(Advices[[#This Row],[Transaction Date]])</f>
        <v>1</v>
      </c>
      <c r="Q1614" s="264">
        <f>YEAR(Advices[[#This Row],[Transaction Date]])</f>
        <v>2026</v>
      </c>
      <c r="R1614" s="1"/>
    </row>
    <row r="1615" spans="1:18" hidden="1" x14ac:dyDescent="0.25">
      <c r="A1615" s="264" t="s">
        <v>612</v>
      </c>
      <c r="B1615" s="265">
        <v>46047</v>
      </c>
      <c r="C1615" s="264" t="s">
        <v>2101</v>
      </c>
      <c r="D1615" s="264" t="s">
        <v>3844</v>
      </c>
      <c r="E1615" s="264" t="s">
        <v>1566</v>
      </c>
      <c r="F1615" s="264" t="s">
        <v>2041</v>
      </c>
      <c r="G1615" s="264" t="s">
        <v>26</v>
      </c>
      <c r="H1615" s="266">
        <v>96824.6</v>
      </c>
      <c r="I1615" s="266">
        <v>0</v>
      </c>
      <c r="J1615" s="264" t="s">
        <v>1126</v>
      </c>
      <c r="K1615" s="264" t="s">
        <v>2025</v>
      </c>
      <c r="L1615" s="1" t="str">
        <f>VLOOKUP(Advices[[#This Row],[LC Number]],'Combine_List'!A:D,2,0)</f>
        <v>Alpha Limit Trading and Contracting Company</v>
      </c>
      <c r="M1615" s="447" t="str">
        <f>VLOOKUP(Advices[[#This Row],[LC Number]],'Combine_List'!A:D,3,0)</f>
        <v>FIRST FIX</v>
      </c>
      <c r="N1615" s="447" t="str">
        <f>VLOOKUP(Advices[[#This Row],[LC Number]],'Combine_List'!A:D,4,0)</f>
        <v>RCRC</v>
      </c>
      <c r="O1615" s="1"/>
      <c r="P1615" s="1">
        <f>MONTH(Advices[[#This Row],[Transaction Date]])</f>
        <v>1</v>
      </c>
      <c r="Q1615" s="1">
        <f>YEAR(Advices[[#This Row],[Transaction Date]])</f>
        <v>2026</v>
      </c>
      <c r="R1615" s="1"/>
    </row>
    <row r="1616" spans="1:18" hidden="1" x14ac:dyDescent="0.25">
      <c r="A1616" s="264" t="s">
        <v>612</v>
      </c>
      <c r="B1616" s="265">
        <v>46047</v>
      </c>
      <c r="C1616" s="264" t="s">
        <v>2101</v>
      </c>
      <c r="D1616" s="264" t="s">
        <v>3845</v>
      </c>
      <c r="E1616" s="264" t="s">
        <v>2287</v>
      </c>
      <c r="F1616" s="264" t="s">
        <v>2041</v>
      </c>
      <c r="G1616" s="264" t="s">
        <v>26</v>
      </c>
      <c r="H1616" s="266">
        <v>100</v>
      </c>
      <c r="I1616" s="266">
        <v>0</v>
      </c>
      <c r="J1616" s="264" t="s">
        <v>1125</v>
      </c>
      <c r="K1616" s="264" t="s">
        <v>2025</v>
      </c>
      <c r="L1616" s="1" t="str">
        <f>VLOOKUP(Advices[[#This Row],[LC Number]],'Combine_List'!A:D,2,0)</f>
        <v>Alrashid Trading and Contracting Company</v>
      </c>
      <c r="M1616" s="447" t="str">
        <f>VLOOKUP(Advices[[#This Row],[LC Number]],'Combine_List'!A:D,3,0)</f>
        <v>MBL</v>
      </c>
      <c r="N1616" s="447" t="str">
        <f>VLOOKUP(Advices[[#This Row],[LC Number]],'Combine_List'!A:D,4,0)</f>
        <v>RCRC</v>
      </c>
      <c r="O1616" s="1"/>
      <c r="P1616" s="1">
        <f>MONTH(Advices[[#This Row],[Transaction Date]])</f>
        <v>1</v>
      </c>
      <c r="Q1616" s="1">
        <f>YEAR(Advices[[#This Row],[Transaction Date]])</f>
        <v>2026</v>
      </c>
      <c r="R1616" s="1"/>
    </row>
    <row r="1617" spans="1:18" hidden="1" x14ac:dyDescent="0.25">
      <c r="A1617" s="264" t="s">
        <v>612</v>
      </c>
      <c r="B1617" s="265">
        <v>46047</v>
      </c>
      <c r="C1617" s="264" t="s">
        <v>2101</v>
      </c>
      <c r="D1617" s="264" t="s">
        <v>3846</v>
      </c>
      <c r="E1617" s="264" t="s">
        <v>2287</v>
      </c>
      <c r="F1617" s="264" t="s">
        <v>2041</v>
      </c>
      <c r="G1617" s="264" t="s">
        <v>26</v>
      </c>
      <c r="H1617" s="266">
        <v>15</v>
      </c>
      <c r="I1617" s="266">
        <v>0</v>
      </c>
      <c r="J1617" s="264" t="s">
        <v>1174</v>
      </c>
      <c r="K1617" s="264" t="s">
        <v>2025</v>
      </c>
      <c r="L1617" s="1" t="str">
        <f>VLOOKUP(Advices[[#This Row],[LC Number]],'Combine_List'!A:D,2,0)</f>
        <v>Alrashid Trading and Contracting Company</v>
      </c>
      <c r="M1617" s="447" t="str">
        <f>VLOOKUP(Advices[[#This Row],[LC Number]],'Combine_List'!A:D,3,0)</f>
        <v>MBL</v>
      </c>
      <c r="N1617" s="447" t="str">
        <f>VLOOKUP(Advices[[#This Row],[LC Number]],'Combine_List'!A:D,4,0)</f>
        <v>RCRC</v>
      </c>
      <c r="O1617" s="1"/>
      <c r="P1617" s="1">
        <f>MONTH(Advices[[#This Row],[Transaction Date]])</f>
        <v>1</v>
      </c>
      <c r="Q1617" s="1">
        <f>YEAR(Advices[[#This Row],[Transaction Date]])</f>
        <v>2026</v>
      </c>
      <c r="R1617" s="1"/>
    </row>
    <row r="1618" spans="1:18" hidden="1" x14ac:dyDescent="0.25">
      <c r="A1618" s="264" t="s">
        <v>612</v>
      </c>
      <c r="B1618" s="265">
        <v>46047</v>
      </c>
      <c r="C1618" s="264" t="s">
        <v>2101</v>
      </c>
      <c r="D1618" s="264" t="s">
        <v>3847</v>
      </c>
      <c r="E1618" s="264" t="s">
        <v>2287</v>
      </c>
      <c r="F1618" s="264" t="s">
        <v>2041</v>
      </c>
      <c r="G1618" s="264" t="s">
        <v>26</v>
      </c>
      <c r="H1618" s="266">
        <v>656</v>
      </c>
      <c r="I1618" s="266">
        <v>0</v>
      </c>
      <c r="J1618" s="264" t="s">
        <v>1125</v>
      </c>
      <c r="K1618" s="264" t="s">
        <v>2025</v>
      </c>
      <c r="L1618" s="1" t="str">
        <f>VLOOKUP(Advices[[#This Row],[LC Number]],'Combine_List'!A:D,2,0)</f>
        <v>Alrashid Trading and Contracting Company</v>
      </c>
      <c r="M1618" s="447" t="str">
        <f>VLOOKUP(Advices[[#This Row],[LC Number]],'Combine_List'!A:D,3,0)</f>
        <v>MBL</v>
      </c>
      <c r="N1618" s="447" t="str">
        <f>VLOOKUP(Advices[[#This Row],[LC Number]],'Combine_List'!A:D,4,0)</f>
        <v>RCRC</v>
      </c>
      <c r="O1618" s="1"/>
      <c r="P1618" s="1">
        <f>MONTH(Advices[[#This Row],[Transaction Date]])</f>
        <v>1</v>
      </c>
      <c r="Q1618" s="1">
        <f>YEAR(Advices[[#This Row],[Transaction Date]])</f>
        <v>2026</v>
      </c>
      <c r="R1618" s="1"/>
    </row>
    <row r="1619" spans="1:18" hidden="1" x14ac:dyDescent="0.25">
      <c r="A1619" s="264" t="s">
        <v>612</v>
      </c>
      <c r="B1619" s="265">
        <v>46047</v>
      </c>
      <c r="C1619" s="264" t="s">
        <v>2101</v>
      </c>
      <c r="D1619" s="264" t="s">
        <v>3848</v>
      </c>
      <c r="E1619" s="264" t="s">
        <v>2287</v>
      </c>
      <c r="F1619" s="264" t="s">
        <v>2041</v>
      </c>
      <c r="G1619" s="264" t="s">
        <v>26</v>
      </c>
      <c r="H1619" s="266">
        <v>98.4</v>
      </c>
      <c r="I1619" s="266">
        <v>0</v>
      </c>
      <c r="J1619" s="264" t="s">
        <v>1174</v>
      </c>
      <c r="K1619" s="264" t="s">
        <v>2025</v>
      </c>
      <c r="L1619" s="1" t="str">
        <f>VLOOKUP(Advices[[#This Row],[LC Number]],'Combine_List'!A:D,2,0)</f>
        <v>Alrashid Trading and Contracting Company</v>
      </c>
      <c r="M1619" s="447" t="str">
        <f>VLOOKUP(Advices[[#This Row],[LC Number]],'Combine_List'!A:D,3,0)</f>
        <v>MBL</v>
      </c>
      <c r="N1619" s="447" t="str">
        <f>VLOOKUP(Advices[[#This Row],[LC Number]],'Combine_List'!A:D,4,0)</f>
        <v>RCRC</v>
      </c>
      <c r="O1619" s="1"/>
      <c r="P1619" s="1">
        <f>MONTH(Advices[[#This Row],[Transaction Date]])</f>
        <v>1</v>
      </c>
      <c r="Q1619" s="1">
        <f>YEAR(Advices[[#This Row],[Transaction Date]])</f>
        <v>2026</v>
      </c>
      <c r="R1619" s="1"/>
    </row>
    <row r="1620" spans="1:18" hidden="1" x14ac:dyDescent="0.25">
      <c r="A1620" s="264" t="s">
        <v>612</v>
      </c>
      <c r="B1620" s="265">
        <v>46047</v>
      </c>
      <c r="C1620" s="264" t="s">
        <v>2101</v>
      </c>
      <c r="D1620" s="264" t="s">
        <v>3849</v>
      </c>
      <c r="E1620" s="264" t="s">
        <v>2287</v>
      </c>
      <c r="F1620" s="264" t="s">
        <v>2041</v>
      </c>
      <c r="G1620" s="264" t="s">
        <v>26</v>
      </c>
      <c r="H1620" s="266">
        <v>200</v>
      </c>
      <c r="I1620" s="266">
        <v>0</v>
      </c>
      <c r="J1620" s="264" t="s">
        <v>1125</v>
      </c>
      <c r="K1620" s="264" t="s">
        <v>2025</v>
      </c>
      <c r="L1620" s="1" t="str">
        <f>VLOOKUP(Advices[[#This Row],[LC Number]],'Combine_List'!A:D,2,0)</f>
        <v>Alrashid Trading and Contracting Company</v>
      </c>
      <c r="M1620" s="447" t="str">
        <f>VLOOKUP(Advices[[#This Row],[LC Number]],'Combine_List'!A:D,3,0)</f>
        <v>MBL</v>
      </c>
      <c r="N1620" s="447" t="str">
        <f>VLOOKUP(Advices[[#This Row],[LC Number]],'Combine_List'!A:D,4,0)</f>
        <v>RCRC</v>
      </c>
      <c r="O1620" s="1"/>
      <c r="P1620" s="1">
        <f>MONTH(Advices[[#This Row],[Transaction Date]])</f>
        <v>1</v>
      </c>
      <c r="Q1620" s="1">
        <f>YEAR(Advices[[#This Row],[Transaction Date]])</f>
        <v>2026</v>
      </c>
      <c r="R1620" s="1"/>
    </row>
    <row r="1621" spans="1:18" hidden="1" x14ac:dyDescent="0.25">
      <c r="A1621" s="264" t="s">
        <v>612</v>
      </c>
      <c r="B1621" s="265">
        <v>46047</v>
      </c>
      <c r="C1621" s="264" t="s">
        <v>2101</v>
      </c>
      <c r="D1621" s="264" t="s">
        <v>3850</v>
      </c>
      <c r="E1621" s="264" t="s">
        <v>2287</v>
      </c>
      <c r="F1621" s="264" t="s">
        <v>2041</v>
      </c>
      <c r="G1621" s="264" t="s">
        <v>26</v>
      </c>
      <c r="H1621" s="266">
        <v>30</v>
      </c>
      <c r="I1621" s="266">
        <v>0</v>
      </c>
      <c r="J1621" s="264" t="s">
        <v>1174</v>
      </c>
      <c r="K1621" s="264" t="s">
        <v>2025</v>
      </c>
      <c r="L1621" s="1" t="str">
        <f>VLOOKUP(Advices[[#This Row],[LC Number]],'Combine_List'!A:D,2,0)</f>
        <v>Alrashid Trading and Contracting Company</v>
      </c>
      <c r="M1621" s="447" t="str">
        <f>VLOOKUP(Advices[[#This Row],[LC Number]],'Combine_List'!A:D,3,0)</f>
        <v>MBL</v>
      </c>
      <c r="N1621" s="447" t="str">
        <f>VLOOKUP(Advices[[#This Row],[LC Number]],'Combine_List'!A:D,4,0)</f>
        <v>RCRC</v>
      </c>
      <c r="O1621" s="264"/>
      <c r="P1621" s="264">
        <f>MONTH(Advices[[#This Row],[Transaction Date]])</f>
        <v>1</v>
      </c>
      <c r="Q1621" s="264">
        <f>YEAR(Advices[[#This Row],[Transaction Date]])</f>
        <v>2026</v>
      </c>
      <c r="R1621" s="1"/>
    </row>
    <row r="1622" spans="1:18" x14ac:dyDescent="0.25">
      <c r="A1622" s="264" t="s">
        <v>21</v>
      </c>
      <c r="B1622" s="265">
        <v>46048</v>
      </c>
      <c r="C1622" s="264" t="s">
        <v>1951</v>
      </c>
      <c r="D1622" s="264" t="s">
        <v>3860</v>
      </c>
      <c r="E1622" s="264" t="s">
        <v>2918</v>
      </c>
      <c r="F1622" s="264" t="s">
        <v>3861</v>
      </c>
      <c r="G1622" s="264" t="s">
        <v>26</v>
      </c>
      <c r="H1622" s="266">
        <v>383.34</v>
      </c>
      <c r="I1622" s="266">
        <v>0</v>
      </c>
      <c r="J1622" s="264" t="s">
        <v>1174</v>
      </c>
      <c r="K1622" s="264" t="s">
        <v>2025</v>
      </c>
      <c r="L1622" s="1" t="str">
        <f>VLOOKUP(Advices[[#This Row],[LC Number]],'Combine_List'!A:D,2,0)</f>
        <v>Gulf Grilles Company</v>
      </c>
      <c r="M1622" s="447" t="str">
        <f>VLOOKUP(Advices[[#This Row],[LC Number]],'Combine_List'!A:D,3,0)</f>
        <v>FIRST FIX</v>
      </c>
      <c r="N1622" s="447" t="str">
        <f>VLOOKUP(Advices[[#This Row],[LC Number]],'Combine_List'!A:D,4,0)</f>
        <v>KSP</v>
      </c>
      <c r="O1622" s="1"/>
      <c r="P1622" s="1">
        <f>MONTH(Advices[[#This Row],[Transaction Date]])</f>
        <v>1</v>
      </c>
      <c r="Q1622" s="1">
        <f>YEAR(Advices[[#This Row],[Transaction Date]])</f>
        <v>2026</v>
      </c>
      <c r="R1622" s="1"/>
    </row>
    <row r="1623" spans="1:18" x14ac:dyDescent="0.25">
      <c r="A1623" s="264" t="s">
        <v>21</v>
      </c>
      <c r="B1623" s="265">
        <v>46048</v>
      </c>
      <c r="C1623" s="264" t="s">
        <v>1951</v>
      </c>
      <c r="D1623" s="264" t="s">
        <v>3862</v>
      </c>
      <c r="E1623" s="264" t="s">
        <v>2918</v>
      </c>
      <c r="F1623" s="264" t="s">
        <v>3861</v>
      </c>
      <c r="G1623" s="264" t="s">
        <v>26</v>
      </c>
      <c r="H1623" s="266">
        <v>2555.5700000000002</v>
      </c>
      <c r="I1623" s="266">
        <v>0</v>
      </c>
      <c r="J1623" s="264" t="s">
        <v>1125</v>
      </c>
      <c r="K1623" s="264" t="s">
        <v>2025</v>
      </c>
      <c r="L1623" s="1" t="str">
        <f>VLOOKUP(Advices[[#This Row],[LC Number]],'Combine_List'!A:D,2,0)</f>
        <v>Gulf Grilles Company</v>
      </c>
      <c r="M1623" s="447" t="str">
        <f>VLOOKUP(Advices[[#This Row],[LC Number]],'Combine_List'!A:D,3,0)</f>
        <v>FIRST FIX</v>
      </c>
      <c r="N1623" s="447" t="str">
        <f>VLOOKUP(Advices[[#This Row],[LC Number]],'Combine_List'!A:D,4,0)</f>
        <v>KSP</v>
      </c>
      <c r="O1623" s="264"/>
      <c r="P1623" s="264">
        <f>MONTH(Advices[[#This Row],[Transaction Date]])</f>
        <v>1</v>
      </c>
      <c r="Q1623" s="264">
        <f>YEAR(Advices[[#This Row],[Transaction Date]])</f>
        <v>2026</v>
      </c>
      <c r="R1623" s="1"/>
    </row>
    <row r="1624" spans="1:18" hidden="1" x14ac:dyDescent="0.25">
      <c r="A1624" s="264" t="s">
        <v>62</v>
      </c>
      <c r="B1624" s="265">
        <v>46048</v>
      </c>
      <c r="C1624" s="264" t="s">
        <v>2039</v>
      </c>
      <c r="D1624" s="264" t="s">
        <v>3863</v>
      </c>
      <c r="E1624" s="1" t="s">
        <v>1934</v>
      </c>
      <c r="F1624" s="264" t="s">
        <v>2041</v>
      </c>
      <c r="G1624" s="264" t="s">
        <v>26</v>
      </c>
      <c r="H1624" s="266">
        <v>2152754.59</v>
      </c>
      <c r="I1624" s="266">
        <v>0</v>
      </c>
      <c r="J1624" s="264" t="s">
        <v>1126</v>
      </c>
      <c r="K1624" s="264" t="s">
        <v>2025</v>
      </c>
      <c r="L1624" s="1" t="str">
        <f>VLOOKUP(Advices[[#This Row],[LC Number]],'Combine_List'!A:D,2,0)</f>
        <v>Mat Filtrasyon Teknolojeleri A.S</v>
      </c>
      <c r="M1624" s="447" t="str">
        <f>VLOOKUP(Advices[[#This Row],[LC Number]],'Combine_List'!A:D,3,0)</f>
        <v>MBL</v>
      </c>
      <c r="N1624" s="447" t="str">
        <f>VLOOKUP(Advices[[#This Row],[LC Number]],'Combine_List'!A:D,4,0)</f>
        <v>Oceanarium</v>
      </c>
      <c r="O1624" s="447">
        <f>VLOOKUP(Advices[[#This Row],[LC Number]],'Combine_List'!A:E,5,0)</f>
        <v>1020096</v>
      </c>
      <c r="P1624" s="447">
        <f>MONTH(Advices[[#This Row],[Transaction Date]])</f>
        <v>1</v>
      </c>
      <c r="Q1624" s="447">
        <f>YEAR(Advices[[#This Row],[Transaction Date]])</f>
        <v>2026</v>
      </c>
      <c r="R1624" s="1"/>
    </row>
    <row r="1625" spans="1:18" hidden="1" x14ac:dyDescent="0.25">
      <c r="A1625" s="264" t="s">
        <v>95</v>
      </c>
      <c r="B1625" s="265">
        <v>46048</v>
      </c>
      <c r="C1625" s="264" t="s">
        <v>2026</v>
      </c>
      <c r="D1625" s="264" t="s">
        <v>3864</v>
      </c>
      <c r="E1625" s="264" t="s">
        <v>1446</v>
      </c>
      <c r="F1625" s="264" t="s">
        <v>3865</v>
      </c>
      <c r="G1625" s="264" t="s">
        <v>26</v>
      </c>
      <c r="H1625" s="266">
        <v>125838.75</v>
      </c>
      <c r="I1625" s="266">
        <v>0</v>
      </c>
      <c r="J1625" s="264" t="s">
        <v>1126</v>
      </c>
      <c r="K1625" s="264" t="s">
        <v>2025</v>
      </c>
      <c r="L1625" s="1" t="str">
        <f>VLOOKUP(Advices[[#This Row],[LC Number]],'Combine_List'!A:D,2,0)</f>
        <v>Al Arabia Construction &amp; Building Co.</v>
      </c>
      <c r="M1625" s="447" t="str">
        <f>VLOOKUP(Advices[[#This Row],[LC Number]],'Combine_List'!A:D,3,0)</f>
        <v>MBL</v>
      </c>
      <c r="N1625" s="447" t="str">
        <f>VLOOKUP(Advices[[#This Row],[LC Number]],'Combine_List'!A:D,4,0)</f>
        <v>Rabigh Power Plant</v>
      </c>
      <c r="O1625" s="1"/>
      <c r="P1625" s="1">
        <f>MONTH(Advices[[#This Row],[Transaction Date]])</f>
        <v>1</v>
      </c>
      <c r="Q1625" s="1">
        <f>YEAR(Advices[[#This Row],[Transaction Date]])</f>
        <v>2026</v>
      </c>
      <c r="R1625" s="1"/>
    </row>
    <row r="1626" spans="1:18" hidden="1" x14ac:dyDescent="0.25">
      <c r="A1626" s="264" t="s">
        <v>95</v>
      </c>
      <c r="B1626" s="265">
        <v>46048</v>
      </c>
      <c r="C1626" s="264" t="s">
        <v>2026</v>
      </c>
      <c r="D1626" s="264" t="s">
        <v>3866</v>
      </c>
      <c r="E1626" s="264" t="s">
        <v>1446</v>
      </c>
      <c r="F1626" s="264" t="s">
        <v>3867</v>
      </c>
      <c r="G1626" s="264" t="s">
        <v>26</v>
      </c>
      <c r="H1626" s="266">
        <v>123182.25</v>
      </c>
      <c r="I1626" s="266">
        <v>0</v>
      </c>
      <c r="J1626" s="264" t="s">
        <v>1126</v>
      </c>
      <c r="K1626" s="264" t="s">
        <v>2025</v>
      </c>
      <c r="L1626" s="1" t="str">
        <f>VLOOKUP(Advices[[#This Row],[LC Number]],'Combine_List'!A:D,2,0)</f>
        <v>Al Arabia Construction &amp; Building Co.</v>
      </c>
      <c r="M1626" s="447" t="str">
        <f>VLOOKUP(Advices[[#This Row],[LC Number]],'Combine_List'!A:D,3,0)</f>
        <v>MBL</v>
      </c>
      <c r="N1626" s="447" t="str">
        <f>VLOOKUP(Advices[[#This Row],[LC Number]],'Combine_List'!A:D,4,0)</f>
        <v>Rabigh Power Plant</v>
      </c>
      <c r="O1626" s="264"/>
      <c r="P1626" s="264">
        <f>MONTH(Advices[[#This Row],[Transaction Date]])</f>
        <v>1</v>
      </c>
      <c r="Q1626" s="264">
        <f>YEAR(Advices[[#This Row],[Transaction Date]])</f>
        <v>2026</v>
      </c>
      <c r="R1626" s="1"/>
    </row>
    <row r="1627" spans="1:18" hidden="1" x14ac:dyDescent="0.25">
      <c r="A1627" s="264" t="s">
        <v>366</v>
      </c>
      <c r="B1627" s="265">
        <v>46048</v>
      </c>
      <c r="C1627" s="264" t="s">
        <v>2057</v>
      </c>
      <c r="D1627" s="264" t="s">
        <v>3868</v>
      </c>
      <c r="E1627" s="264" t="s">
        <v>1690</v>
      </c>
      <c r="F1627" s="264" t="s">
        <v>3869</v>
      </c>
      <c r="G1627" s="264" t="s">
        <v>26</v>
      </c>
      <c r="H1627" s="266">
        <v>2443.75</v>
      </c>
      <c r="I1627" s="266">
        <v>0</v>
      </c>
      <c r="J1627" s="264" t="s">
        <v>1125</v>
      </c>
      <c r="K1627" s="264" t="s">
        <v>2025</v>
      </c>
      <c r="L1627" s="1" t="str">
        <f>VLOOKUP(Advices[[#This Row],[LC Number]],'Combine_List'!A:D,2,0)</f>
        <v>Awraq Alqyqb Lltjart Company</v>
      </c>
      <c r="M1627" s="447" t="str">
        <f>VLOOKUP(Advices[[#This Row],[LC Number]],'Combine_List'!A:D,3,0)</f>
        <v>FIRST FIX</v>
      </c>
      <c r="N1627" s="447" t="str">
        <f>VLOOKUP(Advices[[#This Row],[LC Number]],'Combine_List'!A:D,4,0)</f>
        <v>CEER</v>
      </c>
      <c r="O1627" s="1"/>
      <c r="P1627" s="1">
        <f>MONTH(Advices[[#This Row],[Transaction Date]])</f>
        <v>1</v>
      </c>
      <c r="Q1627" s="1">
        <f>YEAR(Advices[[#This Row],[Transaction Date]])</f>
        <v>2026</v>
      </c>
      <c r="R1627" s="1"/>
    </row>
    <row r="1628" spans="1:18" hidden="1" x14ac:dyDescent="0.25">
      <c r="A1628" s="264" t="s">
        <v>366</v>
      </c>
      <c r="B1628" s="265">
        <v>46048</v>
      </c>
      <c r="C1628" s="264" t="s">
        <v>2060</v>
      </c>
      <c r="D1628" s="264" t="s">
        <v>3870</v>
      </c>
      <c r="E1628" s="264" t="s">
        <v>1899</v>
      </c>
      <c r="F1628" s="264" t="s">
        <v>3871</v>
      </c>
      <c r="G1628" s="264" t="s">
        <v>26</v>
      </c>
      <c r="H1628" s="266">
        <v>2994.95</v>
      </c>
      <c r="I1628" s="266">
        <v>0</v>
      </c>
      <c r="J1628" s="264" t="s">
        <v>1125</v>
      </c>
      <c r="K1628" s="264" t="s">
        <v>2025</v>
      </c>
      <c r="L1628" s="1" t="str">
        <f>VLOOKUP(Advices[[#This Row],[LC Number]],'Combine_List'!A:D,2,0)</f>
        <v>BROOQ ALAMAAN TRAD COMPANY</v>
      </c>
      <c r="M1628" s="447" t="str">
        <f>VLOOKUP(Advices[[#This Row],[LC Number]],'Combine_List'!A:D,3,0)</f>
        <v>FIRST FIX</v>
      </c>
      <c r="N1628" s="447" t="str">
        <f>VLOOKUP(Advices[[#This Row],[LC Number]],'Combine_List'!A:D,4,0)</f>
        <v>MP1</v>
      </c>
      <c r="O1628" s="264"/>
      <c r="P1628" s="264">
        <f>MONTH(Advices[[#This Row],[Transaction Date]])</f>
        <v>1</v>
      </c>
      <c r="Q1628" s="264">
        <f>YEAR(Advices[[#This Row],[Transaction Date]])</f>
        <v>2026</v>
      </c>
      <c r="R1628" s="1"/>
    </row>
    <row r="1629" spans="1:18" hidden="1" x14ac:dyDescent="0.25">
      <c r="A1629" s="264" t="s">
        <v>612</v>
      </c>
      <c r="B1629" s="265">
        <v>46048</v>
      </c>
      <c r="C1629" s="264" t="s">
        <v>2101</v>
      </c>
      <c r="D1629" s="264" t="s">
        <v>3872</v>
      </c>
      <c r="E1629" s="264" t="s">
        <v>1810</v>
      </c>
      <c r="F1629" s="1" t="s">
        <v>1810</v>
      </c>
      <c r="G1629" s="264" t="s">
        <v>26</v>
      </c>
      <c r="H1629" s="266">
        <v>100</v>
      </c>
      <c r="I1629" s="266">
        <v>0</v>
      </c>
      <c r="J1629" s="264" t="s">
        <v>1125</v>
      </c>
      <c r="K1629" s="264" t="s">
        <v>2025</v>
      </c>
      <c r="L1629" s="1" t="str">
        <f>VLOOKUP(Advices[[#This Row],[LC Number]],'Combine_List'!A:D,2,0)</f>
        <v>AL FALWA CO. LTD. FOR READYMIX CONCRETE</v>
      </c>
      <c r="M1629" s="447" t="str">
        <f>VLOOKUP(Advices[[#This Row],[LC Number]],'Combine_List'!A:D,3,0)</f>
        <v>MBL</v>
      </c>
      <c r="N1629" s="447" t="str">
        <f>VLOOKUP(Advices[[#This Row],[LC Number]],'Combine_List'!A:D,4,0)</f>
        <v>RCRC</v>
      </c>
      <c r="O1629" s="1"/>
      <c r="P1629" s="1">
        <f>MONTH(Advices[[#This Row],[Transaction Date]])</f>
        <v>1</v>
      </c>
      <c r="Q1629" s="1">
        <f>YEAR(Advices[[#This Row],[Transaction Date]])</f>
        <v>2026</v>
      </c>
      <c r="R1629" s="1"/>
    </row>
    <row r="1630" spans="1:18" hidden="1" x14ac:dyDescent="0.25">
      <c r="A1630" s="264" t="s">
        <v>612</v>
      </c>
      <c r="B1630" s="265">
        <v>46048</v>
      </c>
      <c r="C1630" s="264" t="s">
        <v>2101</v>
      </c>
      <c r="D1630" s="264" t="s">
        <v>3873</v>
      </c>
      <c r="E1630" s="264" t="s">
        <v>1810</v>
      </c>
      <c r="F1630" s="1" t="s">
        <v>1810</v>
      </c>
      <c r="G1630" s="264" t="s">
        <v>26</v>
      </c>
      <c r="H1630" s="266">
        <v>15</v>
      </c>
      <c r="I1630" s="266">
        <v>0</v>
      </c>
      <c r="J1630" s="264" t="s">
        <v>1174</v>
      </c>
      <c r="K1630" s="264" t="s">
        <v>2025</v>
      </c>
      <c r="L1630" s="1" t="str">
        <f>VLOOKUP(Advices[[#This Row],[LC Number]],'Combine_List'!A:D,2,0)</f>
        <v>AL FALWA CO. LTD. FOR READYMIX CONCRETE</v>
      </c>
      <c r="M1630" s="447" t="str">
        <f>VLOOKUP(Advices[[#This Row],[LC Number]],'Combine_List'!A:D,3,0)</f>
        <v>MBL</v>
      </c>
      <c r="N1630" s="447" t="str">
        <f>VLOOKUP(Advices[[#This Row],[LC Number]],'Combine_List'!A:D,4,0)</f>
        <v>RCRC</v>
      </c>
      <c r="O1630" s="1"/>
      <c r="P1630" s="1">
        <f>MONTH(Advices[[#This Row],[Transaction Date]])</f>
        <v>1</v>
      </c>
      <c r="Q1630" s="1">
        <f>YEAR(Advices[[#This Row],[Transaction Date]])</f>
        <v>2026</v>
      </c>
      <c r="R1630" s="1"/>
    </row>
    <row r="1631" spans="1:18" hidden="1" x14ac:dyDescent="0.25">
      <c r="A1631" s="264" t="s">
        <v>612</v>
      </c>
      <c r="B1631" s="265">
        <v>46048</v>
      </c>
      <c r="C1631" s="264" t="s">
        <v>2101</v>
      </c>
      <c r="D1631" s="264" t="s">
        <v>3874</v>
      </c>
      <c r="E1631" s="264" t="s">
        <v>1810</v>
      </c>
      <c r="F1631" s="1" t="s">
        <v>1810</v>
      </c>
      <c r="G1631" s="264" t="s">
        <v>26</v>
      </c>
      <c r="H1631" s="266">
        <v>433</v>
      </c>
      <c r="I1631" s="266">
        <v>0</v>
      </c>
      <c r="J1631" s="264" t="s">
        <v>1125</v>
      </c>
      <c r="K1631" s="264" t="s">
        <v>2025</v>
      </c>
      <c r="L1631" s="1" t="str">
        <f>VLOOKUP(Advices[[#This Row],[LC Number]],'Combine_List'!A:D,2,0)</f>
        <v>AL FALWA CO. LTD. FOR READYMIX CONCRETE</v>
      </c>
      <c r="M1631" s="447" t="str">
        <f>VLOOKUP(Advices[[#This Row],[LC Number]],'Combine_List'!A:D,3,0)</f>
        <v>MBL</v>
      </c>
      <c r="N1631" s="447" t="str">
        <f>VLOOKUP(Advices[[#This Row],[LC Number]],'Combine_List'!A:D,4,0)</f>
        <v>RCRC</v>
      </c>
      <c r="O1631" s="1"/>
      <c r="P1631" s="1">
        <f>MONTH(Advices[[#This Row],[Transaction Date]])</f>
        <v>1</v>
      </c>
      <c r="Q1631" s="1">
        <f>YEAR(Advices[[#This Row],[Transaction Date]])</f>
        <v>2026</v>
      </c>
      <c r="R1631" s="1"/>
    </row>
    <row r="1632" spans="1:18" hidden="1" x14ac:dyDescent="0.25">
      <c r="A1632" s="264" t="s">
        <v>612</v>
      </c>
      <c r="B1632" s="265">
        <v>46048</v>
      </c>
      <c r="C1632" s="264" t="s">
        <v>2101</v>
      </c>
      <c r="D1632" s="264" t="s">
        <v>3875</v>
      </c>
      <c r="E1632" s="264" t="s">
        <v>1810</v>
      </c>
      <c r="F1632" s="1" t="s">
        <v>1810</v>
      </c>
      <c r="G1632" s="264" t="s">
        <v>26</v>
      </c>
      <c r="H1632" s="266">
        <v>64.95</v>
      </c>
      <c r="I1632" s="266">
        <v>0</v>
      </c>
      <c r="J1632" s="264" t="s">
        <v>1174</v>
      </c>
      <c r="K1632" s="264" t="s">
        <v>2025</v>
      </c>
      <c r="L1632" s="1" t="str">
        <f>VLOOKUP(Advices[[#This Row],[LC Number]],'Combine_List'!A:D,2,0)</f>
        <v>AL FALWA CO. LTD. FOR READYMIX CONCRETE</v>
      </c>
      <c r="M1632" s="447" t="str">
        <f>VLOOKUP(Advices[[#This Row],[LC Number]],'Combine_List'!A:D,3,0)</f>
        <v>MBL</v>
      </c>
      <c r="N1632" s="447" t="str">
        <f>VLOOKUP(Advices[[#This Row],[LC Number]],'Combine_List'!A:D,4,0)</f>
        <v>RCRC</v>
      </c>
      <c r="O1632" s="1"/>
      <c r="P1632" s="1">
        <f>MONTH(Advices[[#This Row],[Transaction Date]])</f>
        <v>1</v>
      </c>
      <c r="Q1632" s="1">
        <f>YEAR(Advices[[#This Row],[Transaction Date]])</f>
        <v>2026</v>
      </c>
      <c r="R1632" s="1"/>
    </row>
    <row r="1633" spans="1:18" hidden="1" x14ac:dyDescent="0.25">
      <c r="A1633" s="264" t="s">
        <v>612</v>
      </c>
      <c r="B1633" s="265">
        <v>46048</v>
      </c>
      <c r="C1633" s="264" t="s">
        <v>2101</v>
      </c>
      <c r="D1633" s="264" t="s">
        <v>3876</v>
      </c>
      <c r="E1633" s="264" t="s">
        <v>1810</v>
      </c>
      <c r="F1633" s="1" t="s">
        <v>1810</v>
      </c>
      <c r="G1633" s="264" t="s">
        <v>26</v>
      </c>
      <c r="H1633" s="266">
        <v>200</v>
      </c>
      <c r="I1633" s="266">
        <v>0</v>
      </c>
      <c r="J1633" s="264" t="s">
        <v>1125</v>
      </c>
      <c r="K1633" s="264" t="s">
        <v>2025</v>
      </c>
      <c r="L1633" s="1" t="str">
        <f>VLOOKUP(Advices[[#This Row],[LC Number]],'Combine_List'!A:D,2,0)</f>
        <v>AL FALWA CO. LTD. FOR READYMIX CONCRETE</v>
      </c>
      <c r="M1633" s="447" t="str">
        <f>VLOOKUP(Advices[[#This Row],[LC Number]],'Combine_List'!A:D,3,0)</f>
        <v>MBL</v>
      </c>
      <c r="N1633" s="447" t="str">
        <f>VLOOKUP(Advices[[#This Row],[LC Number]],'Combine_List'!A:D,4,0)</f>
        <v>RCRC</v>
      </c>
      <c r="O1633" s="1"/>
      <c r="P1633" s="1">
        <f>MONTH(Advices[[#This Row],[Transaction Date]])</f>
        <v>1</v>
      </c>
      <c r="Q1633" s="1">
        <f>YEAR(Advices[[#This Row],[Transaction Date]])</f>
        <v>2026</v>
      </c>
      <c r="R1633" s="1"/>
    </row>
    <row r="1634" spans="1:18" hidden="1" x14ac:dyDescent="0.25">
      <c r="A1634" s="264" t="s">
        <v>612</v>
      </c>
      <c r="B1634" s="265">
        <v>46048</v>
      </c>
      <c r="C1634" s="264" t="s">
        <v>2101</v>
      </c>
      <c r="D1634" s="264" t="s">
        <v>3877</v>
      </c>
      <c r="E1634" s="264" t="s">
        <v>1810</v>
      </c>
      <c r="F1634" s="1" t="s">
        <v>1810</v>
      </c>
      <c r="G1634" s="264" t="s">
        <v>26</v>
      </c>
      <c r="H1634" s="266">
        <v>30</v>
      </c>
      <c r="I1634" s="266">
        <v>0</v>
      </c>
      <c r="J1634" s="264" t="s">
        <v>1174</v>
      </c>
      <c r="K1634" s="264" t="s">
        <v>2025</v>
      </c>
      <c r="L1634" s="1" t="str">
        <f>VLOOKUP(Advices[[#This Row],[LC Number]],'Combine_List'!A:D,2,0)</f>
        <v>AL FALWA CO. LTD. FOR READYMIX CONCRETE</v>
      </c>
      <c r="M1634" s="447" t="str">
        <f>VLOOKUP(Advices[[#This Row],[LC Number]],'Combine_List'!A:D,3,0)</f>
        <v>MBL</v>
      </c>
      <c r="N1634" s="447" t="str">
        <f>VLOOKUP(Advices[[#This Row],[LC Number]],'Combine_List'!A:D,4,0)</f>
        <v>RCRC</v>
      </c>
      <c r="O1634" s="264"/>
      <c r="P1634" s="264">
        <f>MONTH(Advices[[#This Row],[Transaction Date]])</f>
        <v>1</v>
      </c>
      <c r="Q1634" s="264">
        <f>YEAR(Advices[[#This Row],[Transaction Date]])</f>
        <v>2026</v>
      </c>
      <c r="R1634" s="1"/>
    </row>
    <row r="1635" spans="1:18" x14ac:dyDescent="0.25">
      <c r="A1635" s="264" t="s">
        <v>21</v>
      </c>
      <c r="B1635" s="265">
        <v>46049</v>
      </c>
      <c r="C1635" s="264" t="s">
        <v>1951</v>
      </c>
      <c r="D1635" s="264" t="s">
        <v>1960</v>
      </c>
      <c r="E1635" s="264" t="s">
        <v>1350</v>
      </c>
      <c r="F1635" s="264" t="s">
        <v>2942</v>
      </c>
      <c r="G1635" s="264" t="s">
        <v>26</v>
      </c>
      <c r="H1635" s="266">
        <v>11.25</v>
      </c>
      <c r="I1635" s="266">
        <v>0</v>
      </c>
      <c r="J1635" s="264" t="s">
        <v>1174</v>
      </c>
      <c r="K1635" s="264" t="s">
        <v>2025</v>
      </c>
      <c r="L1635" s="1" t="str">
        <f>VLOOKUP(Advices[[#This Row],[LC Number]],'Combine_List'!A:D,2,0)</f>
        <v>ANSSAM AL RIYADH CONTRACTING EST</v>
      </c>
      <c r="M1635" s="447" t="str">
        <f>VLOOKUP(Advices[[#This Row],[LC Number]],'Combine_List'!A:D,3,0)</f>
        <v>FIRST FIX</v>
      </c>
      <c r="N1635" s="447" t="str">
        <f>VLOOKUP(Advices[[#This Row],[LC Number]],'Combine_List'!A:D,4,0)</f>
        <v>KSP</v>
      </c>
      <c r="O1635" s="1"/>
      <c r="P1635" s="1">
        <f>MONTH(Advices[[#This Row],[Transaction Date]])</f>
        <v>1</v>
      </c>
      <c r="Q1635" s="1">
        <f>YEAR(Advices[[#This Row],[Transaction Date]])</f>
        <v>2026</v>
      </c>
      <c r="R1635" s="1"/>
    </row>
    <row r="1636" spans="1:18" x14ac:dyDescent="0.25">
      <c r="A1636" s="264" t="s">
        <v>21</v>
      </c>
      <c r="B1636" s="265">
        <v>46049</v>
      </c>
      <c r="C1636" s="264" t="s">
        <v>1951</v>
      </c>
      <c r="D1636" s="264" t="s">
        <v>3878</v>
      </c>
      <c r="E1636" s="264" t="s">
        <v>1350</v>
      </c>
      <c r="F1636" s="264" t="s">
        <v>2942</v>
      </c>
      <c r="G1636" s="264" t="s">
        <v>26</v>
      </c>
      <c r="H1636" s="266">
        <v>75</v>
      </c>
      <c r="I1636" s="266">
        <v>0</v>
      </c>
      <c r="J1636" s="264" t="s">
        <v>1963</v>
      </c>
      <c r="K1636" s="264" t="s">
        <v>2025</v>
      </c>
      <c r="L1636" s="1" t="str">
        <f>VLOOKUP(Advices[[#This Row],[LC Number]],'Combine_List'!A:D,2,0)</f>
        <v>ANSSAM AL RIYADH CONTRACTING EST</v>
      </c>
      <c r="M1636" s="447" t="str">
        <f>VLOOKUP(Advices[[#This Row],[LC Number]],'Combine_List'!A:D,3,0)</f>
        <v>FIRST FIX</v>
      </c>
      <c r="N1636" s="447" t="str">
        <f>VLOOKUP(Advices[[#This Row],[LC Number]],'Combine_List'!A:D,4,0)</f>
        <v>KSP</v>
      </c>
      <c r="O1636" s="1"/>
      <c r="P1636" s="1">
        <f>MONTH(Advices[[#This Row],[Transaction Date]])</f>
        <v>1</v>
      </c>
      <c r="Q1636" s="1">
        <f>YEAR(Advices[[#This Row],[Transaction Date]])</f>
        <v>2026</v>
      </c>
      <c r="R1636" s="1"/>
    </row>
    <row r="1637" spans="1:18" x14ac:dyDescent="0.25">
      <c r="A1637" s="264" t="s">
        <v>21</v>
      </c>
      <c r="B1637" s="265">
        <v>46049</v>
      </c>
      <c r="C1637" s="264" t="s">
        <v>1951</v>
      </c>
      <c r="D1637" s="264" t="s">
        <v>3879</v>
      </c>
      <c r="E1637" s="264" t="s">
        <v>1350</v>
      </c>
      <c r="F1637" s="264" t="s">
        <v>2942</v>
      </c>
      <c r="G1637" s="264" t="s">
        <v>26</v>
      </c>
      <c r="H1637" s="266">
        <v>235199.15</v>
      </c>
      <c r="I1637" s="266">
        <v>0</v>
      </c>
      <c r="J1637" s="264" t="s">
        <v>1126</v>
      </c>
      <c r="K1637" s="264" t="s">
        <v>2025</v>
      </c>
      <c r="L1637" s="1" t="str">
        <f>VLOOKUP(Advices[[#This Row],[LC Number]],'Combine_List'!A:D,2,0)</f>
        <v>ANSSAM AL RIYADH CONTRACTING EST</v>
      </c>
      <c r="M1637" s="447" t="str">
        <f>VLOOKUP(Advices[[#This Row],[LC Number]],'Combine_List'!A:D,3,0)</f>
        <v>FIRST FIX</v>
      </c>
      <c r="N1637" s="447" t="str">
        <f>VLOOKUP(Advices[[#This Row],[LC Number]],'Combine_List'!A:D,4,0)</f>
        <v>KSP</v>
      </c>
      <c r="O1637" s="1"/>
      <c r="P1637" s="1">
        <f>MONTH(Advices[[#This Row],[Transaction Date]])</f>
        <v>1</v>
      </c>
      <c r="Q1637" s="1">
        <f>YEAR(Advices[[#This Row],[Transaction Date]])</f>
        <v>2026</v>
      </c>
      <c r="R1637" s="1"/>
    </row>
    <row r="1638" spans="1:18" x14ac:dyDescent="0.25">
      <c r="A1638" s="264" t="s">
        <v>21</v>
      </c>
      <c r="B1638" s="265">
        <v>46049</v>
      </c>
      <c r="C1638" s="264" t="s">
        <v>1951</v>
      </c>
      <c r="D1638" s="264" t="s">
        <v>3880</v>
      </c>
      <c r="E1638" s="264" t="s">
        <v>2618</v>
      </c>
      <c r="F1638" s="264" t="s">
        <v>3881</v>
      </c>
      <c r="G1638" s="264" t="s">
        <v>26</v>
      </c>
      <c r="H1638" s="266">
        <v>373.1</v>
      </c>
      <c r="I1638" s="266">
        <v>0</v>
      </c>
      <c r="J1638" s="264" t="s">
        <v>1174</v>
      </c>
      <c r="K1638" s="264" t="s">
        <v>2025</v>
      </c>
      <c r="L1638" s="1" t="str">
        <f>VLOOKUP(Advices[[#This Row],[LC Number]],'Combine_List'!A:D,2,0)</f>
        <v>AI-Hadbania Trading Co.</v>
      </c>
      <c r="M1638" s="447" t="str">
        <f>VLOOKUP(Advices[[#This Row],[LC Number]],'Combine_List'!A:D,3,0)</f>
        <v>FIRST FIX</v>
      </c>
      <c r="N1638" s="447" t="str">
        <f>VLOOKUP(Advices[[#This Row],[LC Number]],'Combine_List'!A:D,4,0)</f>
        <v>KSP</v>
      </c>
      <c r="O1638" s="1"/>
      <c r="P1638" s="1">
        <f>MONTH(Advices[[#This Row],[Transaction Date]])</f>
        <v>1</v>
      </c>
      <c r="Q1638" s="1">
        <f>YEAR(Advices[[#This Row],[Transaction Date]])</f>
        <v>2026</v>
      </c>
      <c r="R1638" s="1"/>
    </row>
    <row r="1639" spans="1:18" x14ac:dyDescent="0.25">
      <c r="A1639" s="264" t="s">
        <v>21</v>
      </c>
      <c r="B1639" s="265">
        <v>46049</v>
      </c>
      <c r="C1639" s="264" t="s">
        <v>1951</v>
      </c>
      <c r="D1639" s="264" t="s">
        <v>3882</v>
      </c>
      <c r="E1639" s="264" t="s">
        <v>2618</v>
      </c>
      <c r="F1639" s="264" t="s">
        <v>3881</v>
      </c>
      <c r="G1639" s="264" t="s">
        <v>26</v>
      </c>
      <c r="H1639" s="266">
        <v>2487.33</v>
      </c>
      <c r="I1639" s="266">
        <v>0</v>
      </c>
      <c r="J1639" s="264" t="s">
        <v>1125</v>
      </c>
      <c r="K1639" s="264" t="s">
        <v>2025</v>
      </c>
      <c r="L1639" s="1" t="str">
        <f>VLOOKUP(Advices[[#This Row],[LC Number]],'Combine_List'!A:D,2,0)</f>
        <v>AI-Hadbania Trading Co.</v>
      </c>
      <c r="M1639" s="447" t="str">
        <f>VLOOKUP(Advices[[#This Row],[LC Number]],'Combine_List'!A:D,3,0)</f>
        <v>FIRST FIX</v>
      </c>
      <c r="N1639" s="447" t="str">
        <f>VLOOKUP(Advices[[#This Row],[LC Number]],'Combine_List'!A:D,4,0)</f>
        <v>KSP</v>
      </c>
      <c r="O1639" s="1"/>
      <c r="P1639" s="1">
        <f>MONTH(Advices[[#This Row],[Transaction Date]])</f>
        <v>1</v>
      </c>
      <c r="Q1639" s="1">
        <f>YEAR(Advices[[#This Row],[Transaction Date]])</f>
        <v>2026</v>
      </c>
      <c r="R1639" s="1"/>
    </row>
    <row r="1640" spans="1:18" x14ac:dyDescent="0.25">
      <c r="A1640" s="264" t="s">
        <v>21</v>
      </c>
      <c r="B1640" s="265">
        <v>46049</v>
      </c>
      <c r="C1640" s="264" t="s">
        <v>1951</v>
      </c>
      <c r="D1640" s="264" t="s">
        <v>3883</v>
      </c>
      <c r="E1640" s="264" t="s">
        <v>2919</v>
      </c>
      <c r="F1640" s="264" t="s">
        <v>2919</v>
      </c>
      <c r="G1640" s="264" t="s">
        <v>26</v>
      </c>
      <c r="H1640" s="266">
        <v>37.5</v>
      </c>
      <c r="I1640" s="266">
        <v>0</v>
      </c>
      <c r="J1640" s="264" t="s">
        <v>1174</v>
      </c>
      <c r="K1640" s="264" t="s">
        <v>2025</v>
      </c>
      <c r="L1640" s="1" t="str">
        <f>VLOOKUP(Advices[[#This Row],[LC Number]],'Combine_List'!A:D,2,0)</f>
        <v>LSI PROJECTS LIMITED</v>
      </c>
      <c r="M1640" s="447" t="str">
        <f>VLOOKUP(Advices[[#This Row],[LC Number]],'Combine_List'!A:D,3,0)</f>
        <v>ICAD</v>
      </c>
      <c r="N1640" s="447" t="str">
        <f>VLOOKUP(Advices[[#This Row],[LC Number]],'Combine_List'!A:D,4,0)</f>
        <v>KSP</v>
      </c>
      <c r="O1640" s="1"/>
      <c r="P1640" s="1">
        <f>MONTH(Advices[[#This Row],[Transaction Date]])</f>
        <v>1</v>
      </c>
      <c r="Q1640" s="1">
        <f>YEAR(Advices[[#This Row],[Transaction Date]])</f>
        <v>2026</v>
      </c>
      <c r="R1640" s="1"/>
    </row>
    <row r="1641" spans="1:18" x14ac:dyDescent="0.25">
      <c r="A1641" s="264" t="s">
        <v>21</v>
      </c>
      <c r="B1641" s="265">
        <v>46049</v>
      </c>
      <c r="C1641" s="264" t="s">
        <v>1951</v>
      </c>
      <c r="D1641" s="264" t="s">
        <v>3883</v>
      </c>
      <c r="E1641" s="264" t="s">
        <v>2919</v>
      </c>
      <c r="F1641" s="264" t="s">
        <v>2919</v>
      </c>
      <c r="G1641" s="264" t="s">
        <v>26</v>
      </c>
      <c r="H1641" s="266">
        <v>75</v>
      </c>
      <c r="I1641" s="266">
        <v>0</v>
      </c>
      <c r="J1641" s="264" t="s">
        <v>1174</v>
      </c>
      <c r="K1641" s="264" t="s">
        <v>2025</v>
      </c>
      <c r="L1641" s="1" t="str">
        <f>VLOOKUP(Advices[[#This Row],[LC Number]],'Combine_List'!A:D,2,0)</f>
        <v>LSI PROJECTS LIMITED</v>
      </c>
      <c r="M1641" s="447" t="str">
        <f>VLOOKUP(Advices[[#This Row],[LC Number]],'Combine_List'!A:D,3,0)</f>
        <v>ICAD</v>
      </c>
      <c r="N1641" s="447" t="str">
        <f>VLOOKUP(Advices[[#This Row],[LC Number]],'Combine_List'!A:D,4,0)</f>
        <v>KSP</v>
      </c>
      <c r="O1641" s="1"/>
      <c r="P1641" s="1">
        <f>MONTH(Advices[[#This Row],[Transaction Date]])</f>
        <v>1</v>
      </c>
      <c r="Q1641" s="1">
        <f>YEAR(Advices[[#This Row],[Transaction Date]])</f>
        <v>2026</v>
      </c>
      <c r="R1641" s="1"/>
    </row>
    <row r="1642" spans="1:18" x14ac:dyDescent="0.25">
      <c r="A1642" s="264" t="s">
        <v>21</v>
      </c>
      <c r="B1642" s="265">
        <v>46049</v>
      </c>
      <c r="C1642" s="264" t="s">
        <v>1951</v>
      </c>
      <c r="D1642" s="264" t="s">
        <v>2970</v>
      </c>
      <c r="E1642" s="264" t="s">
        <v>2919</v>
      </c>
      <c r="F1642" s="264" t="s">
        <v>2919</v>
      </c>
      <c r="G1642" s="264" t="s">
        <v>26</v>
      </c>
      <c r="H1642" s="266">
        <v>250</v>
      </c>
      <c r="I1642" s="266">
        <v>0</v>
      </c>
      <c r="J1642" s="264" t="s">
        <v>1963</v>
      </c>
      <c r="K1642" s="264" t="s">
        <v>2025</v>
      </c>
      <c r="L1642" s="1" t="str">
        <f>VLOOKUP(Advices[[#This Row],[LC Number]],'Combine_List'!A:D,2,0)</f>
        <v>LSI PROJECTS LIMITED</v>
      </c>
      <c r="M1642" s="447" t="str">
        <f>VLOOKUP(Advices[[#This Row],[LC Number]],'Combine_List'!A:D,3,0)</f>
        <v>ICAD</v>
      </c>
      <c r="N1642" s="447" t="str">
        <f>VLOOKUP(Advices[[#This Row],[LC Number]],'Combine_List'!A:D,4,0)</f>
        <v>KSP</v>
      </c>
      <c r="O1642" s="1"/>
      <c r="P1642" s="1">
        <f>MONTH(Advices[[#This Row],[Transaction Date]])</f>
        <v>1</v>
      </c>
      <c r="Q1642" s="1">
        <f>YEAR(Advices[[#This Row],[Transaction Date]])</f>
        <v>2026</v>
      </c>
      <c r="R1642" s="1"/>
    </row>
    <row r="1643" spans="1:18" x14ac:dyDescent="0.25">
      <c r="A1643" s="264" t="s">
        <v>21</v>
      </c>
      <c r="B1643" s="265">
        <v>46049</v>
      </c>
      <c r="C1643" s="264" t="s">
        <v>1951</v>
      </c>
      <c r="D1643" s="264" t="s">
        <v>3884</v>
      </c>
      <c r="E1643" s="264" t="s">
        <v>2919</v>
      </c>
      <c r="F1643" s="264" t="s">
        <v>2919</v>
      </c>
      <c r="G1643" s="264" t="s">
        <v>26</v>
      </c>
      <c r="H1643" s="266">
        <v>500</v>
      </c>
      <c r="I1643" s="266">
        <v>0</v>
      </c>
      <c r="J1643" s="264" t="s">
        <v>1124</v>
      </c>
      <c r="K1643" s="264" t="s">
        <v>2025</v>
      </c>
      <c r="L1643" s="1" t="str">
        <f>VLOOKUP(Advices[[#This Row],[LC Number]],'Combine_List'!A:D,2,0)</f>
        <v>LSI PROJECTS LIMITED</v>
      </c>
      <c r="M1643" s="447" t="str">
        <f>VLOOKUP(Advices[[#This Row],[LC Number]],'Combine_List'!A:D,3,0)</f>
        <v>ICAD</v>
      </c>
      <c r="N1643" s="447" t="str">
        <f>VLOOKUP(Advices[[#This Row],[LC Number]],'Combine_List'!A:D,4,0)</f>
        <v>KSP</v>
      </c>
      <c r="O1643" s="1"/>
      <c r="P1643" s="1">
        <f>MONTH(Advices[[#This Row],[Transaction Date]])</f>
        <v>1</v>
      </c>
      <c r="Q1643" s="1">
        <f>YEAR(Advices[[#This Row],[Transaction Date]])</f>
        <v>2026</v>
      </c>
      <c r="R1643" s="1"/>
    </row>
    <row r="1644" spans="1:18" x14ac:dyDescent="0.25">
      <c r="A1644" s="264" t="s">
        <v>21</v>
      </c>
      <c r="B1644" s="265">
        <v>46049</v>
      </c>
      <c r="C1644" s="264" t="s">
        <v>1951</v>
      </c>
      <c r="D1644" s="264" t="s">
        <v>2334</v>
      </c>
      <c r="E1644" s="264" t="s">
        <v>3169</v>
      </c>
      <c r="F1644" s="264" t="s">
        <v>3885</v>
      </c>
      <c r="G1644" s="264" t="s">
        <v>26</v>
      </c>
      <c r="H1644" s="266">
        <v>22.5</v>
      </c>
      <c r="I1644" s="266">
        <v>0</v>
      </c>
      <c r="J1644" s="264" t="s">
        <v>1174</v>
      </c>
      <c r="K1644" s="264" t="s">
        <v>2025</v>
      </c>
      <c r="L1644" s="1" t="str">
        <f>VLOOKUP(Advices[[#This Row],[LC Number]],'Combine_List'!A:D,2,0)</f>
        <v>Osalas GMBH</v>
      </c>
      <c r="M1644" s="447" t="str">
        <f>VLOOKUP(Advices[[#This Row],[LC Number]],'Combine_List'!A:D,3,0)</f>
        <v>MBL</v>
      </c>
      <c r="N1644" s="447" t="str">
        <f>VLOOKUP(Advices[[#This Row],[LC Number]],'Combine_List'!A:D,4,0)</f>
        <v>ADF</v>
      </c>
      <c r="O1644" s="1"/>
      <c r="P1644" s="1">
        <f>MONTH(Advices[[#This Row],[Transaction Date]])</f>
        <v>1</v>
      </c>
      <c r="Q1644" s="1">
        <f>YEAR(Advices[[#This Row],[Transaction Date]])</f>
        <v>2026</v>
      </c>
      <c r="R1644" s="1"/>
    </row>
    <row r="1645" spans="1:18" x14ac:dyDescent="0.25">
      <c r="A1645" s="264" t="s">
        <v>21</v>
      </c>
      <c r="B1645" s="265">
        <v>46049</v>
      </c>
      <c r="C1645" s="264" t="s">
        <v>1951</v>
      </c>
      <c r="D1645" s="264" t="s">
        <v>3886</v>
      </c>
      <c r="E1645" s="264" t="s">
        <v>3169</v>
      </c>
      <c r="F1645" s="264" t="s">
        <v>3885</v>
      </c>
      <c r="G1645" s="264" t="s">
        <v>26</v>
      </c>
      <c r="H1645" s="266">
        <v>150</v>
      </c>
      <c r="I1645" s="266">
        <v>0</v>
      </c>
      <c r="J1645" s="264" t="s">
        <v>1963</v>
      </c>
      <c r="K1645" s="264" t="s">
        <v>2025</v>
      </c>
      <c r="L1645" s="1" t="str">
        <f>VLOOKUP(Advices[[#This Row],[LC Number]],'Combine_List'!A:D,2,0)</f>
        <v>Osalas GMBH</v>
      </c>
      <c r="M1645" s="447" t="str">
        <f>VLOOKUP(Advices[[#This Row],[LC Number]],'Combine_List'!A:D,3,0)</f>
        <v>MBL</v>
      </c>
      <c r="N1645" s="447" t="str">
        <f>VLOOKUP(Advices[[#This Row],[LC Number]],'Combine_List'!A:D,4,0)</f>
        <v>ADF</v>
      </c>
      <c r="O1645" s="1"/>
      <c r="P1645" s="1">
        <f>MONTH(Advices[[#This Row],[Transaction Date]])</f>
        <v>1</v>
      </c>
      <c r="Q1645" s="1">
        <f>YEAR(Advices[[#This Row],[Transaction Date]])</f>
        <v>2026</v>
      </c>
      <c r="R1645" s="1"/>
    </row>
    <row r="1646" spans="1:18" x14ac:dyDescent="0.25">
      <c r="A1646" s="264" t="s">
        <v>21</v>
      </c>
      <c r="B1646" s="265">
        <v>46049</v>
      </c>
      <c r="C1646" s="264" t="s">
        <v>1951</v>
      </c>
      <c r="D1646" s="264" t="s">
        <v>3887</v>
      </c>
      <c r="E1646" s="264" t="s">
        <v>3169</v>
      </c>
      <c r="F1646" s="264" t="s">
        <v>3885</v>
      </c>
      <c r="G1646" s="264" t="s">
        <v>26</v>
      </c>
      <c r="H1646" s="266">
        <v>12782250</v>
      </c>
      <c r="I1646" s="266">
        <v>0</v>
      </c>
      <c r="J1646" s="264" t="s">
        <v>1126</v>
      </c>
      <c r="K1646" s="264" t="s">
        <v>2025</v>
      </c>
      <c r="L1646" s="1" t="str">
        <f>VLOOKUP(Advices[[#This Row],[LC Number]],'Combine_List'!A:D,2,0)</f>
        <v>Osalas GMBH</v>
      </c>
      <c r="M1646" s="447" t="str">
        <f>VLOOKUP(Advices[[#This Row],[LC Number]],'Combine_List'!A:D,3,0)</f>
        <v>MBL</v>
      </c>
      <c r="N1646" s="447" t="str">
        <f>VLOOKUP(Advices[[#This Row],[LC Number]],'Combine_List'!A:D,4,0)</f>
        <v>ADF</v>
      </c>
      <c r="O1646" s="1"/>
      <c r="P1646" s="1">
        <f>MONTH(Advices[[#This Row],[Transaction Date]])</f>
        <v>1</v>
      </c>
      <c r="Q1646" s="1">
        <f>YEAR(Advices[[#This Row],[Transaction Date]])</f>
        <v>2026</v>
      </c>
      <c r="R1646" s="1"/>
    </row>
    <row r="1647" spans="1:18" x14ac:dyDescent="0.25">
      <c r="A1647" s="264" t="s">
        <v>21</v>
      </c>
      <c r="B1647" s="265">
        <v>46049</v>
      </c>
      <c r="C1647" s="264" t="s">
        <v>1951</v>
      </c>
      <c r="D1647" s="264" t="s">
        <v>3883</v>
      </c>
      <c r="E1647" s="264" t="s">
        <v>3228</v>
      </c>
      <c r="F1647" s="264" t="s">
        <v>3228</v>
      </c>
      <c r="G1647" s="264" t="s">
        <v>26</v>
      </c>
      <c r="H1647" s="266">
        <v>37.5</v>
      </c>
      <c r="I1647" s="266">
        <v>0</v>
      </c>
      <c r="J1647" s="264" t="s">
        <v>1174</v>
      </c>
      <c r="K1647" s="264" t="s">
        <v>2025</v>
      </c>
      <c r="L1647" s="1" t="str">
        <f>VLOOKUP(Advices[[#This Row],[LC Number]],'Combine_List'!A:D,2,0)</f>
        <v>LSI PROJECTS LIMITED</v>
      </c>
      <c r="M1647" s="447" t="str">
        <f>VLOOKUP(Advices[[#This Row],[LC Number]],'Combine_List'!A:D,3,0)</f>
        <v>ICAD</v>
      </c>
      <c r="N1647" s="447" t="str">
        <f>VLOOKUP(Advices[[#This Row],[LC Number]],'Combine_List'!A:D,4,0)</f>
        <v>KSP</v>
      </c>
      <c r="O1647" s="1"/>
      <c r="P1647" s="1">
        <f>MONTH(Advices[[#This Row],[Transaction Date]])</f>
        <v>1</v>
      </c>
      <c r="Q1647" s="1">
        <f>YEAR(Advices[[#This Row],[Transaction Date]])</f>
        <v>2026</v>
      </c>
      <c r="R1647" s="1"/>
    </row>
    <row r="1648" spans="1:18" x14ac:dyDescent="0.25">
      <c r="A1648" s="264" t="s">
        <v>21</v>
      </c>
      <c r="B1648" s="265">
        <v>46049</v>
      </c>
      <c r="C1648" s="264" t="s">
        <v>1951</v>
      </c>
      <c r="D1648" s="264" t="s">
        <v>3883</v>
      </c>
      <c r="E1648" s="264" t="s">
        <v>3228</v>
      </c>
      <c r="F1648" s="264" t="s">
        <v>3228</v>
      </c>
      <c r="G1648" s="264" t="s">
        <v>26</v>
      </c>
      <c r="H1648" s="266">
        <v>75</v>
      </c>
      <c r="I1648" s="266">
        <v>0</v>
      </c>
      <c r="J1648" s="264" t="s">
        <v>1174</v>
      </c>
      <c r="K1648" s="264" t="s">
        <v>2025</v>
      </c>
      <c r="L1648" s="1" t="str">
        <f>VLOOKUP(Advices[[#This Row],[LC Number]],'Combine_List'!A:D,2,0)</f>
        <v>LSI PROJECTS LIMITED</v>
      </c>
      <c r="M1648" s="447" t="str">
        <f>VLOOKUP(Advices[[#This Row],[LC Number]],'Combine_List'!A:D,3,0)</f>
        <v>ICAD</v>
      </c>
      <c r="N1648" s="447" t="str">
        <f>VLOOKUP(Advices[[#This Row],[LC Number]],'Combine_List'!A:D,4,0)</f>
        <v>KSP</v>
      </c>
      <c r="O1648" s="1"/>
      <c r="P1648" s="1">
        <f>MONTH(Advices[[#This Row],[Transaction Date]])</f>
        <v>1</v>
      </c>
      <c r="Q1648" s="1">
        <f>YEAR(Advices[[#This Row],[Transaction Date]])</f>
        <v>2026</v>
      </c>
      <c r="R1648" s="1"/>
    </row>
    <row r="1649" spans="1:18" x14ac:dyDescent="0.25">
      <c r="A1649" s="264" t="s">
        <v>21</v>
      </c>
      <c r="B1649" s="265">
        <v>46049</v>
      </c>
      <c r="C1649" s="264" t="s">
        <v>1951</v>
      </c>
      <c r="D1649" s="264" t="s">
        <v>3249</v>
      </c>
      <c r="E1649" s="264" t="s">
        <v>3228</v>
      </c>
      <c r="F1649" s="264" t="s">
        <v>3228</v>
      </c>
      <c r="G1649" s="264" t="s">
        <v>26</v>
      </c>
      <c r="H1649" s="266">
        <v>250</v>
      </c>
      <c r="I1649" s="266">
        <v>0</v>
      </c>
      <c r="J1649" s="264" t="s">
        <v>1963</v>
      </c>
      <c r="K1649" s="264" t="s">
        <v>2025</v>
      </c>
      <c r="L1649" s="1" t="str">
        <f>VLOOKUP(Advices[[#This Row],[LC Number]],'Combine_List'!A:D,2,0)</f>
        <v>LSI PROJECTS LIMITED</v>
      </c>
      <c r="M1649" s="447" t="str">
        <f>VLOOKUP(Advices[[#This Row],[LC Number]],'Combine_List'!A:D,3,0)</f>
        <v>ICAD</v>
      </c>
      <c r="N1649" s="447" t="str">
        <f>VLOOKUP(Advices[[#This Row],[LC Number]],'Combine_List'!A:D,4,0)</f>
        <v>KSP</v>
      </c>
      <c r="O1649" s="1"/>
      <c r="P1649" s="1">
        <f>MONTH(Advices[[#This Row],[Transaction Date]])</f>
        <v>1</v>
      </c>
      <c r="Q1649" s="1">
        <f>YEAR(Advices[[#This Row],[Transaction Date]])</f>
        <v>2026</v>
      </c>
      <c r="R1649" s="1"/>
    </row>
    <row r="1650" spans="1:18" x14ac:dyDescent="0.25">
      <c r="A1650" s="264" t="s">
        <v>21</v>
      </c>
      <c r="B1650" s="265">
        <v>46049</v>
      </c>
      <c r="C1650" s="264" t="s">
        <v>1951</v>
      </c>
      <c r="D1650" s="264" t="s">
        <v>3888</v>
      </c>
      <c r="E1650" s="264" t="s">
        <v>3228</v>
      </c>
      <c r="F1650" s="264" t="s">
        <v>3228</v>
      </c>
      <c r="G1650" s="264" t="s">
        <v>26</v>
      </c>
      <c r="H1650" s="266">
        <v>500</v>
      </c>
      <c r="I1650" s="266">
        <v>0</v>
      </c>
      <c r="J1650" s="264" t="s">
        <v>1124</v>
      </c>
      <c r="K1650" s="264" t="s">
        <v>2025</v>
      </c>
      <c r="L1650" s="1" t="str">
        <f>VLOOKUP(Advices[[#This Row],[LC Number]],'Combine_List'!A:D,2,0)</f>
        <v>LSI PROJECTS LIMITED</v>
      </c>
      <c r="M1650" s="447" t="str">
        <f>VLOOKUP(Advices[[#This Row],[LC Number]],'Combine_List'!A:D,3,0)</f>
        <v>ICAD</v>
      </c>
      <c r="N1650" s="447" t="str">
        <f>VLOOKUP(Advices[[#This Row],[LC Number]],'Combine_List'!A:D,4,0)</f>
        <v>KSP</v>
      </c>
      <c r="O1650" s="264"/>
      <c r="P1650" s="264">
        <f>MONTH(Advices[[#This Row],[Transaction Date]])</f>
        <v>1</v>
      </c>
      <c r="Q1650" s="264">
        <f>YEAR(Advices[[#This Row],[Transaction Date]])</f>
        <v>2026</v>
      </c>
      <c r="R1650" s="1"/>
    </row>
    <row r="1651" spans="1:18" hidden="1" x14ac:dyDescent="0.25">
      <c r="A1651" s="264" t="s">
        <v>95</v>
      </c>
      <c r="B1651" s="265">
        <v>46049</v>
      </c>
      <c r="C1651" s="264" t="s">
        <v>2026</v>
      </c>
      <c r="D1651" s="264" t="s">
        <v>3889</v>
      </c>
      <c r="E1651" s="264" t="s">
        <v>2562</v>
      </c>
      <c r="F1651" s="264" t="s">
        <v>3890</v>
      </c>
      <c r="G1651" s="264" t="s">
        <v>26</v>
      </c>
      <c r="H1651" s="266">
        <v>3450.82</v>
      </c>
      <c r="I1651" s="266">
        <v>0</v>
      </c>
      <c r="J1651" s="264" t="s">
        <v>1125</v>
      </c>
      <c r="K1651" s="264" t="s">
        <v>2025</v>
      </c>
      <c r="L1651" s="1" t="str">
        <f>VLOOKUP(Advices[[#This Row],[LC Number]],'Combine_List'!A:D,2,0)</f>
        <v>ALNAFIE METAL INDUSTRIES CO LTD</v>
      </c>
      <c r="M1651" s="447" t="str">
        <f>VLOOKUP(Advices[[#This Row],[LC Number]],'Combine_List'!A:D,3,0)</f>
        <v>MBL/AICS</v>
      </c>
      <c r="N1651" s="447" t="str">
        <f>VLOOKUP(Advices[[#This Row],[LC Number]],'Combine_List'!A:D,4,0)</f>
        <v>OPERA House</v>
      </c>
      <c r="O1651" s="264"/>
      <c r="P1651" s="264">
        <f>MONTH(Advices[[#This Row],[Transaction Date]])</f>
        <v>1</v>
      </c>
      <c r="Q1651" s="264">
        <f>YEAR(Advices[[#This Row],[Transaction Date]])</f>
        <v>2026</v>
      </c>
      <c r="R1651" s="1"/>
    </row>
    <row r="1652" spans="1:18" hidden="1" x14ac:dyDescent="0.25">
      <c r="A1652" s="264" t="s">
        <v>366</v>
      </c>
      <c r="B1652" s="265">
        <v>46049</v>
      </c>
      <c r="C1652" s="264" t="s">
        <v>2057</v>
      </c>
      <c r="D1652" s="264" t="s">
        <v>3891</v>
      </c>
      <c r="E1652" s="264" t="s">
        <v>736</v>
      </c>
      <c r="F1652" s="264" t="s">
        <v>3407</v>
      </c>
      <c r="G1652" s="264" t="s">
        <v>26</v>
      </c>
      <c r="H1652" s="266">
        <v>3095923</v>
      </c>
      <c r="I1652" s="266">
        <v>0</v>
      </c>
      <c r="J1652" s="264" t="s">
        <v>1126</v>
      </c>
      <c r="K1652" s="264" t="s">
        <v>2025</v>
      </c>
      <c r="L1652" s="1" t="str">
        <f>VLOOKUP(Advices[[#This Row],[LC Number]],'Combine_List'!A:D,2,0)</f>
        <v>Kingspan Insulated Panels Manufacturing LLC</v>
      </c>
      <c r="M1652" s="447" t="str">
        <f>VLOOKUP(Advices[[#This Row],[LC Number]],'Combine_List'!A:D,3,0)</f>
        <v>MBL</v>
      </c>
      <c r="N1652" s="447" t="str">
        <f>VLOOKUP(Advices[[#This Row],[LC Number]],'Combine_List'!A:D,4,0)</f>
        <v>CEER</v>
      </c>
      <c r="O1652" s="1"/>
      <c r="P1652" s="1">
        <f>MONTH(Advices[[#This Row],[Transaction Date]])</f>
        <v>1</v>
      </c>
      <c r="Q1652" s="1">
        <f>YEAR(Advices[[#This Row],[Transaction Date]])</f>
        <v>2026</v>
      </c>
      <c r="R1652" s="1"/>
    </row>
    <row r="1653" spans="1:18" hidden="1" x14ac:dyDescent="0.25">
      <c r="A1653" s="264" t="s">
        <v>366</v>
      </c>
      <c r="B1653" s="265">
        <v>46049</v>
      </c>
      <c r="C1653" s="264" t="s">
        <v>2060</v>
      </c>
      <c r="D1653" s="264" t="s">
        <v>3892</v>
      </c>
      <c r="E1653" s="264" t="s">
        <v>1807</v>
      </c>
      <c r="F1653" s="264" t="s">
        <v>3448</v>
      </c>
      <c r="G1653" s="264" t="s">
        <v>26</v>
      </c>
      <c r="H1653" s="266">
        <v>500000</v>
      </c>
      <c r="I1653" s="266">
        <v>0</v>
      </c>
      <c r="J1653" s="264" t="s">
        <v>1126</v>
      </c>
      <c r="K1653" s="264" t="s">
        <v>2025</v>
      </c>
      <c r="L1653" s="1" t="str">
        <f>VLOOKUP(Advices[[#This Row],[LC Number]],'Combine_List'!A:D,2,0)</f>
        <v xml:space="preserve">Advance Future Al Arabiya </v>
      </c>
      <c r="M1653" s="447" t="str">
        <f>VLOOKUP(Advices[[#This Row],[LC Number]],'Combine_List'!A:D,3,0)</f>
        <v>MBL/ICAD</v>
      </c>
      <c r="N1653" s="447" t="str">
        <f>VLOOKUP(Advices[[#This Row],[LC Number]],'Combine_List'!A:D,4,0)</f>
        <v>ABHA</v>
      </c>
      <c r="O1653" s="1"/>
      <c r="P1653" s="1">
        <f>MONTH(Advices[[#This Row],[Transaction Date]])</f>
        <v>1</v>
      </c>
      <c r="Q1653" s="1">
        <f>YEAR(Advices[[#This Row],[Transaction Date]])</f>
        <v>2026</v>
      </c>
      <c r="R1653" s="1"/>
    </row>
    <row r="1654" spans="1:18" hidden="1" x14ac:dyDescent="0.25">
      <c r="A1654" s="264" t="s">
        <v>366</v>
      </c>
      <c r="B1654" s="265">
        <v>46049</v>
      </c>
      <c r="C1654" s="264" t="s">
        <v>2060</v>
      </c>
      <c r="D1654" s="264" t="s">
        <v>3893</v>
      </c>
      <c r="E1654" s="264" t="s">
        <v>1876</v>
      </c>
      <c r="F1654" s="264" t="s">
        <v>3439</v>
      </c>
      <c r="G1654" s="264" t="s">
        <v>26</v>
      </c>
      <c r="H1654" s="266">
        <v>816561.09</v>
      </c>
      <c r="I1654" s="266">
        <v>0</v>
      </c>
      <c r="J1654" s="264" t="s">
        <v>1126</v>
      </c>
      <c r="K1654" s="264" t="s">
        <v>2025</v>
      </c>
      <c r="L1654" s="1" t="str">
        <f>VLOOKUP(Advices[[#This Row],[LC Number]],'Combine_List'!A:D,2,0)</f>
        <v>ELSEWEDY CABLES COMPANY LTD.</v>
      </c>
      <c r="M1654" s="447" t="str">
        <f>VLOOKUP(Advices[[#This Row],[LC Number]],'Combine_List'!A:D,3,0)</f>
        <v>FIRST FIX</v>
      </c>
      <c r="N1654" s="447" t="str">
        <f>VLOOKUP(Advices[[#This Row],[LC Number]],'Combine_List'!A:D,4,0)</f>
        <v>MP1</v>
      </c>
      <c r="O1654" s="264"/>
      <c r="P1654" s="264">
        <f>MONTH(Advices[[#This Row],[Transaction Date]])</f>
        <v>1</v>
      </c>
      <c r="Q1654" s="264">
        <f>YEAR(Advices[[#This Row],[Transaction Date]])</f>
        <v>2026</v>
      </c>
      <c r="R1654" s="1"/>
    </row>
    <row r="1655" spans="1:18" hidden="1" x14ac:dyDescent="0.25">
      <c r="A1655" s="264" t="s">
        <v>366</v>
      </c>
      <c r="B1655" s="265">
        <v>46050</v>
      </c>
      <c r="C1655" s="264" t="s">
        <v>2060</v>
      </c>
      <c r="D1655" s="264" t="s">
        <v>3905</v>
      </c>
      <c r="E1655" s="264" t="s">
        <v>3900</v>
      </c>
      <c r="F1655" s="264" t="s">
        <v>3656</v>
      </c>
      <c r="G1655" s="264" t="s">
        <v>26</v>
      </c>
      <c r="H1655" s="266">
        <v>3105</v>
      </c>
      <c r="I1655" s="266">
        <v>0</v>
      </c>
      <c r="J1655" s="264" t="s">
        <v>2616</v>
      </c>
      <c r="K1655" s="264" t="s">
        <v>2025</v>
      </c>
      <c r="L1655" s="1" t="str">
        <f>VLOOKUP(Advices[[#This Row],[LC Number]],'Combine_List'!A:D,2,0)</f>
        <v>Mariam Trading CO. &amp; Partner</v>
      </c>
      <c r="M1655" s="447" t="str">
        <f>VLOOKUP(Advices[[#This Row],[LC Number]],'Combine_List'!A:D,3,0)</f>
        <v>FIRST FIX</v>
      </c>
      <c r="N1655" s="447" t="str">
        <f>VLOOKUP(Advices[[#This Row],[LC Number]],'Combine_List'!A:D,4,0)</f>
        <v>MP1</v>
      </c>
      <c r="O1655" s="1"/>
      <c r="P1655" s="1">
        <f>MONTH(Advices[[#This Row],[Transaction Date]])</f>
        <v>1</v>
      </c>
      <c r="Q1655" s="1">
        <f>YEAR(Advices[[#This Row],[Transaction Date]])</f>
        <v>2026</v>
      </c>
      <c r="R1655" s="1"/>
    </row>
    <row r="1656" spans="1:18" hidden="1" x14ac:dyDescent="0.25">
      <c r="A1656" s="264" t="s">
        <v>366</v>
      </c>
      <c r="B1656" s="265">
        <v>46050</v>
      </c>
      <c r="C1656" s="264" t="s">
        <v>2060</v>
      </c>
      <c r="D1656" s="264" t="s">
        <v>3906</v>
      </c>
      <c r="E1656" s="264" t="s">
        <v>3899</v>
      </c>
      <c r="F1656" s="264" t="s">
        <v>3656</v>
      </c>
      <c r="G1656" s="264" t="s">
        <v>26</v>
      </c>
      <c r="H1656" s="266">
        <v>3105</v>
      </c>
      <c r="I1656" s="266">
        <v>0</v>
      </c>
      <c r="J1656" s="264" t="s">
        <v>2616</v>
      </c>
      <c r="K1656" s="264" t="s">
        <v>2025</v>
      </c>
      <c r="L1656" s="1" t="str">
        <f>VLOOKUP(Advices[[#This Row],[LC Number]],'Combine_List'!A:D,2,0)</f>
        <v>IDEAL CALIBER COMPANY</v>
      </c>
      <c r="M1656" s="447" t="str">
        <f>VLOOKUP(Advices[[#This Row],[LC Number]],'Combine_List'!A:D,3,0)</f>
        <v>FIRST FIX</v>
      </c>
      <c r="N1656" s="447" t="str">
        <f>VLOOKUP(Advices[[#This Row],[LC Number]],'Combine_List'!A:D,4,0)</f>
        <v>MP1</v>
      </c>
      <c r="O1656" s="1"/>
      <c r="P1656" s="1">
        <f>MONTH(Advices[[#This Row],[Transaction Date]])</f>
        <v>1</v>
      </c>
      <c r="Q1656" s="1">
        <f>YEAR(Advices[[#This Row],[Transaction Date]])</f>
        <v>2026</v>
      </c>
      <c r="R1656" s="1"/>
    </row>
    <row r="1657" spans="1:18" hidden="1" x14ac:dyDescent="0.25">
      <c r="A1657" s="264" t="s">
        <v>366</v>
      </c>
      <c r="B1657" s="265">
        <v>46050</v>
      </c>
      <c r="C1657" s="264" t="s">
        <v>2060</v>
      </c>
      <c r="D1657" s="264" t="s">
        <v>3907</v>
      </c>
      <c r="E1657" s="264" t="s">
        <v>3898</v>
      </c>
      <c r="F1657" s="264" t="s">
        <v>3656</v>
      </c>
      <c r="G1657" s="264" t="s">
        <v>26</v>
      </c>
      <c r="H1657" s="266">
        <v>2369.52</v>
      </c>
      <c r="I1657" s="266">
        <v>0</v>
      </c>
      <c r="J1657" s="264" t="s">
        <v>2616</v>
      </c>
      <c r="K1657" s="264" t="s">
        <v>2025</v>
      </c>
      <c r="L1657" s="1" t="str">
        <f>VLOOKUP(Advices[[#This Row],[LC Number]],'Combine_List'!A:D,2,0)</f>
        <v>INTERPLAST CO. LTD</v>
      </c>
      <c r="M1657" s="447" t="str">
        <f>VLOOKUP(Advices[[#This Row],[LC Number]],'Combine_List'!A:D,3,0)</f>
        <v>FIRST FIX</v>
      </c>
      <c r="N1657" s="447" t="str">
        <f>VLOOKUP(Advices[[#This Row],[LC Number]],'Combine_List'!A:D,4,0)</f>
        <v>MP1</v>
      </c>
      <c r="O1657" s="1"/>
      <c r="P1657" s="1">
        <f>MONTH(Advices[[#This Row],[Transaction Date]])</f>
        <v>1</v>
      </c>
      <c r="Q1657" s="1">
        <f>YEAR(Advices[[#This Row],[Transaction Date]])</f>
        <v>2026</v>
      </c>
      <c r="R1657" s="1"/>
    </row>
    <row r="1658" spans="1:18" hidden="1" x14ac:dyDescent="0.25">
      <c r="A1658" s="264" t="s">
        <v>366</v>
      </c>
      <c r="B1658" s="265">
        <v>46050</v>
      </c>
      <c r="C1658" s="264" t="s">
        <v>2060</v>
      </c>
      <c r="D1658" s="264" t="s">
        <v>3908</v>
      </c>
      <c r="E1658" s="264" t="s">
        <v>1871</v>
      </c>
      <c r="F1658" s="264" t="s">
        <v>3421</v>
      </c>
      <c r="G1658" s="264" t="s">
        <v>26</v>
      </c>
      <c r="H1658" s="266">
        <v>500000</v>
      </c>
      <c r="I1658" s="266">
        <v>0</v>
      </c>
      <c r="J1658" s="264" t="s">
        <v>1126</v>
      </c>
      <c r="K1658" s="264" t="s">
        <v>2025</v>
      </c>
      <c r="L1658" s="1" t="str">
        <f>VLOOKUP(Advices[[#This Row],[LC Number]],'Combine_List'!A:D,2,0)</f>
        <v>TEN POINTS EST</v>
      </c>
      <c r="M1658" s="447" t="str">
        <f>VLOOKUP(Advices[[#This Row],[LC Number]],'Combine_List'!A:D,3,0)</f>
        <v>FIRST FIX</v>
      </c>
      <c r="N1658" s="447" t="str">
        <f>VLOOKUP(Advices[[#This Row],[LC Number]],'Combine_List'!A:D,4,0)</f>
        <v>MP1</v>
      </c>
      <c r="O1658" s="1"/>
      <c r="P1658" s="1">
        <f>MONTH(Advices[[#This Row],[Transaction Date]])</f>
        <v>1</v>
      </c>
      <c r="Q1658" s="1">
        <f>YEAR(Advices[[#This Row],[Transaction Date]])</f>
        <v>2026</v>
      </c>
      <c r="R1658" s="1"/>
    </row>
    <row r="1659" spans="1:18" hidden="1" x14ac:dyDescent="0.25">
      <c r="A1659" s="264" t="s">
        <v>366</v>
      </c>
      <c r="B1659" s="265">
        <v>46050</v>
      </c>
      <c r="C1659" s="264" t="s">
        <v>2060</v>
      </c>
      <c r="D1659" s="264" t="s">
        <v>3909</v>
      </c>
      <c r="E1659" s="264" t="s">
        <v>3896</v>
      </c>
      <c r="F1659" s="264" t="s">
        <v>3656</v>
      </c>
      <c r="G1659" s="264" t="s">
        <v>26</v>
      </c>
      <c r="H1659" s="266">
        <v>5836.25</v>
      </c>
      <c r="I1659" s="266">
        <v>0</v>
      </c>
      <c r="J1659" s="264" t="s">
        <v>2616</v>
      </c>
      <c r="K1659" s="264" t="s">
        <v>2025</v>
      </c>
      <c r="L1659" s="1" t="str">
        <f>VLOOKUP(Advices[[#This Row],[LC Number]],'Combine_List'!A:D,2,0)</f>
        <v>SAUDI ELECTRIC SUPPLY COMPANY</v>
      </c>
      <c r="M1659" s="447" t="str">
        <f>VLOOKUP(Advices[[#This Row],[LC Number]],'Combine_List'!A:D,3,0)</f>
        <v>FIRST FIX</v>
      </c>
      <c r="N1659" s="447" t="str">
        <f>VLOOKUP(Advices[[#This Row],[LC Number]],'Combine_List'!A:D,4,0)</f>
        <v>MP1</v>
      </c>
      <c r="O1659" s="1"/>
      <c r="P1659" s="1">
        <f>MONTH(Advices[[#This Row],[Transaction Date]])</f>
        <v>1</v>
      </c>
      <c r="Q1659" s="1">
        <f>YEAR(Advices[[#This Row],[Transaction Date]])</f>
        <v>2026</v>
      </c>
      <c r="R1659" s="1"/>
    </row>
    <row r="1660" spans="1:18" hidden="1" x14ac:dyDescent="0.25">
      <c r="A1660" s="264" t="s">
        <v>366</v>
      </c>
      <c r="B1660" s="265">
        <v>46050</v>
      </c>
      <c r="C1660" s="264" t="s">
        <v>2060</v>
      </c>
      <c r="D1660" s="264" t="s">
        <v>3910</v>
      </c>
      <c r="E1660" s="264" t="s">
        <v>3894</v>
      </c>
      <c r="F1660" s="264" t="s">
        <v>3656</v>
      </c>
      <c r="G1660" s="264" t="s">
        <v>26</v>
      </c>
      <c r="H1660" s="266">
        <v>11730</v>
      </c>
      <c r="I1660" s="266">
        <v>0</v>
      </c>
      <c r="J1660" s="264" t="s">
        <v>2616</v>
      </c>
      <c r="K1660" s="264" t="s">
        <v>2025</v>
      </c>
      <c r="L1660" s="1" t="str">
        <f>VLOOKUP(Advices[[#This Row],[LC Number]],'Combine_List'!A:D,2,0)</f>
        <v>Al Maymanah for Contracting Co. Ltd.</v>
      </c>
      <c r="M1660" s="447" t="str">
        <f>VLOOKUP(Advices[[#This Row],[LC Number]],'Combine_List'!A:D,3,0)</f>
        <v>FIRST FIX</v>
      </c>
      <c r="N1660" s="447" t="str">
        <f>VLOOKUP(Advices[[#This Row],[LC Number]],'Combine_List'!A:D,4,0)</f>
        <v>MP1</v>
      </c>
      <c r="O1660" s="1"/>
      <c r="P1660" s="1">
        <f>MONTH(Advices[[#This Row],[Transaction Date]])</f>
        <v>1</v>
      </c>
      <c r="Q1660" s="1">
        <f>YEAR(Advices[[#This Row],[Transaction Date]])</f>
        <v>2026</v>
      </c>
      <c r="R1660" s="1"/>
    </row>
    <row r="1661" spans="1:18" hidden="1" x14ac:dyDescent="0.25">
      <c r="A1661" s="264" t="s">
        <v>366</v>
      </c>
      <c r="B1661" s="265">
        <v>46050</v>
      </c>
      <c r="C1661" s="264" t="s">
        <v>2060</v>
      </c>
      <c r="D1661" s="264" t="s">
        <v>3911</v>
      </c>
      <c r="E1661" s="264" t="s">
        <v>2434</v>
      </c>
      <c r="F1661" s="264" t="s">
        <v>3457</v>
      </c>
      <c r="G1661" s="264" t="s">
        <v>26</v>
      </c>
      <c r="H1661" s="266">
        <v>1500000</v>
      </c>
      <c r="I1661" s="266">
        <v>0</v>
      </c>
      <c r="J1661" s="264" t="s">
        <v>1126</v>
      </c>
      <c r="K1661" s="264" t="s">
        <v>2025</v>
      </c>
      <c r="L1661" s="1" t="str">
        <f>VLOOKUP(Advices[[#This Row],[LC Number]],'Combine_List'!A:D,2,0)</f>
        <v>Branch of National Fire Fighting</v>
      </c>
      <c r="M1661" s="447" t="str">
        <f>VLOOKUP(Advices[[#This Row],[LC Number]],'Combine_List'!A:D,3,0)</f>
        <v>FIRST FIX</v>
      </c>
      <c r="N1661" s="447" t="str">
        <f>VLOOKUP(Advices[[#This Row],[LC Number]],'Combine_List'!A:D,4,0)</f>
        <v>MP1</v>
      </c>
      <c r="O1661" s="1"/>
      <c r="P1661" s="1">
        <f>MONTH(Advices[[#This Row],[Transaction Date]])</f>
        <v>1</v>
      </c>
      <c r="Q1661" s="1">
        <f>YEAR(Advices[[#This Row],[Transaction Date]])</f>
        <v>2026</v>
      </c>
      <c r="R1661" s="1"/>
    </row>
    <row r="1662" spans="1:18" hidden="1" x14ac:dyDescent="0.25">
      <c r="A1662" s="264" t="s">
        <v>366</v>
      </c>
      <c r="B1662" s="265">
        <v>46050</v>
      </c>
      <c r="C1662" s="264" t="s">
        <v>2060</v>
      </c>
      <c r="D1662" s="264" t="s">
        <v>3912</v>
      </c>
      <c r="E1662" s="264" t="s">
        <v>3897</v>
      </c>
      <c r="F1662" s="264" t="s">
        <v>3656</v>
      </c>
      <c r="G1662" s="264" t="s">
        <v>26</v>
      </c>
      <c r="H1662" s="266">
        <v>5836.25</v>
      </c>
      <c r="I1662" s="266">
        <v>0</v>
      </c>
      <c r="J1662" s="264" t="s">
        <v>2616</v>
      </c>
      <c r="K1662" s="264" t="s">
        <v>2025</v>
      </c>
      <c r="L1662" s="1" t="str">
        <f>VLOOKUP(Advices[[#This Row],[LC Number]],'Combine_List'!A:D,2,0)</f>
        <v>Electric House Trading Company L.L.C.</v>
      </c>
      <c r="M1662" s="447" t="str">
        <f>VLOOKUP(Advices[[#This Row],[LC Number]],'Combine_List'!A:D,3,0)</f>
        <v>FIRST FIX</v>
      </c>
      <c r="N1662" s="447" t="str">
        <f>VLOOKUP(Advices[[#This Row],[LC Number]],'Combine_List'!A:D,4,0)</f>
        <v>MP1</v>
      </c>
      <c r="O1662" s="1"/>
      <c r="P1662" s="1">
        <f>MONTH(Advices[[#This Row],[Transaction Date]])</f>
        <v>1</v>
      </c>
      <c r="Q1662" s="1">
        <f>YEAR(Advices[[#This Row],[Transaction Date]])</f>
        <v>2026</v>
      </c>
      <c r="R1662" s="1"/>
    </row>
    <row r="1663" spans="1:18" hidden="1" x14ac:dyDescent="0.25">
      <c r="A1663" s="264" t="s">
        <v>366</v>
      </c>
      <c r="B1663" s="265">
        <v>46050</v>
      </c>
      <c r="C1663" s="264" t="s">
        <v>2060</v>
      </c>
      <c r="D1663" s="264" t="s">
        <v>3913</v>
      </c>
      <c r="E1663" s="264" t="s">
        <v>3901</v>
      </c>
      <c r="F1663" s="264" t="s">
        <v>3656</v>
      </c>
      <c r="G1663" s="264" t="s">
        <v>26</v>
      </c>
      <c r="H1663" s="266">
        <v>3105</v>
      </c>
      <c r="I1663" s="266">
        <v>0</v>
      </c>
      <c r="J1663" s="264" t="s">
        <v>2616</v>
      </c>
      <c r="K1663" s="264" t="s">
        <v>2025</v>
      </c>
      <c r="L1663" s="1" t="str">
        <f>VLOOKUP(Advices[[#This Row],[LC Number]],'Combine_List'!A:D,2,0)</f>
        <v>Afaq Al Malaz Trading Co. LTD.</v>
      </c>
      <c r="M1663" s="447" t="str">
        <f>VLOOKUP(Advices[[#This Row],[LC Number]],'Combine_List'!A:D,3,0)</f>
        <v>FIRST FIX</v>
      </c>
      <c r="N1663" s="447" t="str">
        <f>VLOOKUP(Advices[[#This Row],[LC Number]],'Combine_List'!A:D,4,0)</f>
        <v>MP1</v>
      </c>
      <c r="O1663" s="264"/>
      <c r="P1663" s="264">
        <f>MONTH(Advices[[#This Row],[Transaction Date]])</f>
        <v>1</v>
      </c>
      <c r="Q1663" s="264">
        <f>YEAR(Advices[[#This Row],[Transaction Date]])</f>
        <v>2026</v>
      </c>
      <c r="R1663" s="1"/>
    </row>
    <row r="1664" spans="1:18" hidden="1" x14ac:dyDescent="0.25">
      <c r="A1664" s="264" t="s">
        <v>612</v>
      </c>
      <c r="B1664" s="265">
        <v>46050</v>
      </c>
      <c r="C1664" s="264" t="s">
        <v>2101</v>
      </c>
      <c r="D1664" s="264" t="s">
        <v>3914</v>
      </c>
      <c r="E1664" s="264" t="s">
        <v>2287</v>
      </c>
      <c r="F1664" s="264" t="s">
        <v>2041</v>
      </c>
      <c r="G1664" s="264" t="s">
        <v>26</v>
      </c>
      <c r="H1664" s="266">
        <v>1117011.5</v>
      </c>
      <c r="I1664" s="266">
        <v>0</v>
      </c>
      <c r="J1664" s="264" t="s">
        <v>1126</v>
      </c>
      <c r="K1664" s="264" t="s">
        <v>2025</v>
      </c>
      <c r="L1664" s="1" t="str">
        <f>VLOOKUP(Advices[[#This Row],[LC Number]],'Combine_List'!A:D,2,0)</f>
        <v>Alrashid Trading and Contracting Company</v>
      </c>
      <c r="M1664" s="447" t="str">
        <f>VLOOKUP(Advices[[#This Row],[LC Number]],'Combine_List'!A:D,3,0)</f>
        <v>MBL</v>
      </c>
      <c r="N1664" s="447" t="str">
        <f>VLOOKUP(Advices[[#This Row],[LC Number]],'Combine_List'!A:D,4,0)</f>
        <v>RCRC</v>
      </c>
      <c r="O1664" s="1"/>
      <c r="P1664" s="1">
        <f>MONTH(Advices[[#This Row],[Transaction Date]])</f>
        <v>1</v>
      </c>
      <c r="Q1664" s="1">
        <f>YEAR(Advices[[#This Row],[Transaction Date]])</f>
        <v>2026</v>
      </c>
      <c r="R1664" s="1"/>
    </row>
    <row r="1665" spans="1:18" hidden="1" x14ac:dyDescent="0.25">
      <c r="A1665" s="264" t="s">
        <v>612</v>
      </c>
      <c r="B1665" s="265">
        <v>46050</v>
      </c>
      <c r="C1665" s="264" t="s">
        <v>2101</v>
      </c>
      <c r="D1665" s="264" t="s">
        <v>3915</v>
      </c>
      <c r="E1665" s="264" t="s">
        <v>1396</v>
      </c>
      <c r="F1665" s="264" t="s">
        <v>2041</v>
      </c>
      <c r="G1665" s="264" t="s">
        <v>26</v>
      </c>
      <c r="H1665" s="266">
        <v>100</v>
      </c>
      <c r="I1665" s="266">
        <v>0</v>
      </c>
      <c r="J1665" s="264" t="s">
        <v>1125</v>
      </c>
      <c r="K1665" s="264" t="s">
        <v>2025</v>
      </c>
      <c r="L1665" s="1" t="str">
        <f>VLOOKUP(Advices[[#This Row],[LC Number]],'Combine_List'!A:D,2,0)</f>
        <v>Baamer Group for Trading Company</v>
      </c>
      <c r="M1665" s="447" t="str">
        <f>VLOOKUP(Advices[[#This Row],[LC Number]],'Combine_List'!A:D,3,0)</f>
        <v>FIRST FIX</v>
      </c>
      <c r="N1665" s="447" t="str">
        <f>VLOOKUP(Advices[[#This Row],[LC Number]],'Combine_List'!A:D,4,0)</f>
        <v>RCRC</v>
      </c>
      <c r="O1665" s="1"/>
      <c r="P1665" s="1">
        <f>MONTH(Advices[[#This Row],[Transaction Date]])</f>
        <v>1</v>
      </c>
      <c r="Q1665" s="1">
        <f>YEAR(Advices[[#This Row],[Transaction Date]])</f>
        <v>2026</v>
      </c>
      <c r="R1665" s="1"/>
    </row>
    <row r="1666" spans="1:18" hidden="1" x14ac:dyDescent="0.25">
      <c r="A1666" s="264" t="s">
        <v>612</v>
      </c>
      <c r="B1666" s="265">
        <v>46050</v>
      </c>
      <c r="C1666" s="264" t="s">
        <v>2101</v>
      </c>
      <c r="D1666" s="264" t="s">
        <v>3916</v>
      </c>
      <c r="E1666" s="264" t="s">
        <v>1396</v>
      </c>
      <c r="F1666" s="264" t="s">
        <v>2041</v>
      </c>
      <c r="G1666" s="264" t="s">
        <v>26</v>
      </c>
      <c r="H1666" s="266">
        <v>15</v>
      </c>
      <c r="I1666" s="266">
        <v>0</v>
      </c>
      <c r="J1666" s="264" t="s">
        <v>1174</v>
      </c>
      <c r="K1666" s="264" t="s">
        <v>2025</v>
      </c>
      <c r="L1666" s="1" t="str">
        <f>VLOOKUP(Advices[[#This Row],[LC Number]],'Combine_List'!A:D,2,0)</f>
        <v>Baamer Group for Trading Company</v>
      </c>
      <c r="M1666" s="447" t="str">
        <f>VLOOKUP(Advices[[#This Row],[LC Number]],'Combine_List'!A:D,3,0)</f>
        <v>FIRST FIX</v>
      </c>
      <c r="N1666" s="447" t="str">
        <f>VLOOKUP(Advices[[#This Row],[LC Number]],'Combine_List'!A:D,4,0)</f>
        <v>RCRC</v>
      </c>
      <c r="O1666" s="1"/>
      <c r="P1666" s="1">
        <f>MONTH(Advices[[#This Row],[Transaction Date]])</f>
        <v>1</v>
      </c>
      <c r="Q1666" s="1">
        <f>YEAR(Advices[[#This Row],[Transaction Date]])</f>
        <v>2026</v>
      </c>
      <c r="R1666" s="1"/>
    </row>
    <row r="1667" spans="1:18" hidden="1" x14ac:dyDescent="0.25">
      <c r="A1667" s="264" t="s">
        <v>612</v>
      </c>
      <c r="B1667" s="265">
        <v>46050</v>
      </c>
      <c r="C1667" s="264" t="s">
        <v>2101</v>
      </c>
      <c r="D1667" s="264" t="s">
        <v>3917</v>
      </c>
      <c r="E1667" s="264" t="s">
        <v>1396</v>
      </c>
      <c r="F1667" s="264" t="s">
        <v>2041</v>
      </c>
      <c r="G1667" s="264" t="s">
        <v>26</v>
      </c>
      <c r="H1667" s="266">
        <v>250</v>
      </c>
      <c r="I1667" s="266">
        <v>0</v>
      </c>
      <c r="J1667" s="264" t="s">
        <v>1125</v>
      </c>
      <c r="K1667" s="264" t="s">
        <v>2025</v>
      </c>
      <c r="L1667" s="1" t="str">
        <f>VLOOKUP(Advices[[#This Row],[LC Number]],'Combine_List'!A:D,2,0)</f>
        <v>Baamer Group for Trading Company</v>
      </c>
      <c r="M1667" s="447" t="str">
        <f>VLOOKUP(Advices[[#This Row],[LC Number]],'Combine_List'!A:D,3,0)</f>
        <v>FIRST FIX</v>
      </c>
      <c r="N1667" s="447" t="str">
        <f>VLOOKUP(Advices[[#This Row],[LC Number]],'Combine_List'!A:D,4,0)</f>
        <v>RCRC</v>
      </c>
      <c r="O1667" s="1"/>
      <c r="P1667" s="1">
        <f>MONTH(Advices[[#This Row],[Transaction Date]])</f>
        <v>1</v>
      </c>
      <c r="Q1667" s="1">
        <f>YEAR(Advices[[#This Row],[Transaction Date]])</f>
        <v>2026</v>
      </c>
      <c r="R1667" s="1"/>
    </row>
    <row r="1668" spans="1:18" hidden="1" x14ac:dyDescent="0.25">
      <c r="A1668" s="264" t="s">
        <v>612</v>
      </c>
      <c r="B1668" s="265">
        <v>46050</v>
      </c>
      <c r="C1668" s="264" t="s">
        <v>2101</v>
      </c>
      <c r="D1668" s="264" t="s">
        <v>3918</v>
      </c>
      <c r="E1668" s="264" t="s">
        <v>1396</v>
      </c>
      <c r="F1668" s="264" t="s">
        <v>2041</v>
      </c>
      <c r="G1668" s="264" t="s">
        <v>26</v>
      </c>
      <c r="H1668" s="266">
        <v>37.5</v>
      </c>
      <c r="I1668" s="266">
        <v>0</v>
      </c>
      <c r="J1668" s="264" t="s">
        <v>1174</v>
      </c>
      <c r="K1668" s="264" t="s">
        <v>2025</v>
      </c>
      <c r="L1668" s="1" t="str">
        <f>VLOOKUP(Advices[[#This Row],[LC Number]],'Combine_List'!A:D,2,0)</f>
        <v>Baamer Group for Trading Company</v>
      </c>
      <c r="M1668" s="447" t="str">
        <f>VLOOKUP(Advices[[#This Row],[LC Number]],'Combine_List'!A:D,3,0)</f>
        <v>FIRST FIX</v>
      </c>
      <c r="N1668" s="447" t="str">
        <f>VLOOKUP(Advices[[#This Row],[LC Number]],'Combine_List'!A:D,4,0)</f>
        <v>RCRC</v>
      </c>
      <c r="O1668" s="1"/>
      <c r="P1668" s="1">
        <f>MONTH(Advices[[#This Row],[Transaction Date]])</f>
        <v>1</v>
      </c>
      <c r="Q1668" s="1">
        <f>YEAR(Advices[[#This Row],[Transaction Date]])</f>
        <v>2026</v>
      </c>
      <c r="R1668" s="1"/>
    </row>
    <row r="1669" spans="1:18" hidden="1" x14ac:dyDescent="0.25">
      <c r="A1669" s="264" t="s">
        <v>612</v>
      </c>
      <c r="B1669" s="265">
        <v>46050</v>
      </c>
      <c r="C1669" s="264" t="s">
        <v>2101</v>
      </c>
      <c r="D1669" s="264" t="s">
        <v>3919</v>
      </c>
      <c r="E1669" s="264" t="s">
        <v>1396</v>
      </c>
      <c r="F1669" s="264" t="s">
        <v>2041</v>
      </c>
      <c r="G1669" s="264" t="s">
        <v>26</v>
      </c>
      <c r="H1669" s="266">
        <v>200</v>
      </c>
      <c r="I1669" s="266">
        <v>0</v>
      </c>
      <c r="J1669" s="264" t="s">
        <v>1125</v>
      </c>
      <c r="K1669" s="264" t="s">
        <v>2025</v>
      </c>
      <c r="L1669" s="1" t="str">
        <f>VLOOKUP(Advices[[#This Row],[LC Number]],'Combine_List'!A:D,2,0)</f>
        <v>Baamer Group for Trading Company</v>
      </c>
      <c r="M1669" s="447" t="str">
        <f>VLOOKUP(Advices[[#This Row],[LC Number]],'Combine_List'!A:D,3,0)</f>
        <v>FIRST FIX</v>
      </c>
      <c r="N1669" s="447" t="str">
        <f>VLOOKUP(Advices[[#This Row],[LC Number]],'Combine_List'!A:D,4,0)</f>
        <v>RCRC</v>
      </c>
      <c r="O1669" s="1"/>
      <c r="P1669" s="1">
        <f>MONTH(Advices[[#This Row],[Transaction Date]])</f>
        <v>1</v>
      </c>
      <c r="Q1669" s="1">
        <f>YEAR(Advices[[#This Row],[Transaction Date]])</f>
        <v>2026</v>
      </c>
      <c r="R1669" s="1"/>
    </row>
    <row r="1670" spans="1:18" hidden="1" x14ac:dyDescent="0.25">
      <c r="A1670" s="264" t="s">
        <v>612</v>
      </c>
      <c r="B1670" s="265">
        <v>46050</v>
      </c>
      <c r="C1670" s="264" t="s">
        <v>2101</v>
      </c>
      <c r="D1670" s="264" t="s">
        <v>3920</v>
      </c>
      <c r="E1670" s="264" t="s">
        <v>1396</v>
      </c>
      <c r="F1670" s="264" t="s">
        <v>2041</v>
      </c>
      <c r="G1670" s="264" t="s">
        <v>26</v>
      </c>
      <c r="H1670" s="266">
        <v>30</v>
      </c>
      <c r="I1670" s="266">
        <v>0</v>
      </c>
      <c r="J1670" s="264" t="s">
        <v>1174</v>
      </c>
      <c r="K1670" s="264" t="s">
        <v>2025</v>
      </c>
      <c r="L1670" s="1" t="str">
        <f>VLOOKUP(Advices[[#This Row],[LC Number]],'Combine_List'!A:D,2,0)</f>
        <v>Baamer Group for Trading Company</v>
      </c>
      <c r="M1670" s="447" t="str">
        <f>VLOOKUP(Advices[[#This Row],[LC Number]],'Combine_List'!A:D,3,0)</f>
        <v>FIRST FIX</v>
      </c>
      <c r="N1670" s="447" t="str">
        <f>VLOOKUP(Advices[[#This Row],[LC Number]],'Combine_List'!A:D,4,0)</f>
        <v>RCRC</v>
      </c>
      <c r="O1670" s="264"/>
      <c r="P1670" s="264">
        <f>MONTH(Advices[[#This Row],[Transaction Date]])</f>
        <v>1</v>
      </c>
      <c r="Q1670" s="264">
        <f>YEAR(Advices[[#This Row],[Transaction Date]])</f>
        <v>2026</v>
      </c>
      <c r="R1670" s="1"/>
    </row>
    <row r="1671" spans="1:18" hidden="1" x14ac:dyDescent="0.25">
      <c r="A1671" s="264" t="s">
        <v>2089</v>
      </c>
      <c r="B1671" s="265">
        <v>46052</v>
      </c>
      <c r="C1671" s="264" t="s">
        <v>2093</v>
      </c>
      <c r="D1671" s="300" t="s">
        <v>3923</v>
      </c>
      <c r="E1671" s="300" t="s">
        <v>1273</v>
      </c>
      <c r="F1671" s="300" t="s">
        <v>2092</v>
      </c>
      <c r="G1671" s="264" t="s">
        <v>26</v>
      </c>
      <c r="H1671" s="368">
        <v>0</v>
      </c>
      <c r="I1671" s="368">
        <v>21522.68</v>
      </c>
      <c r="J1671" s="264" t="s">
        <v>2899</v>
      </c>
      <c r="K1671" s="264" t="s">
        <v>2025</v>
      </c>
      <c r="L1671" s="1" t="str">
        <f>VLOOKUP(Advices[[#This Row],[LC Number]],'Combine_List'!A:D,2,0)</f>
        <v>AFAQ AL MALAZ TRADING CO LTD.</v>
      </c>
      <c r="M1671" s="447" t="str">
        <f>VLOOKUP(Advices[[#This Row],[LC Number]],'Combine_List'!A:D,3,0)</f>
        <v>FIRST FIX</v>
      </c>
      <c r="N1671" s="447" t="str">
        <f>VLOOKUP(Advices[[#This Row],[LC Number]],'Combine_List'!A:D,4,0)</f>
        <v>JCD SPMI</v>
      </c>
      <c r="O1671" s="264"/>
      <c r="P1671" s="264">
        <f>MONTH(Advices[[#This Row],[Transaction Date]])</f>
        <v>1</v>
      </c>
      <c r="Q1671" s="264">
        <f>YEAR(Advices[[#This Row],[Transaction Date]])</f>
        <v>2026</v>
      </c>
      <c r="R1671" s="1"/>
    </row>
    <row r="1672" spans="1:18" x14ac:dyDescent="0.25">
      <c r="A1672" s="264" t="s">
        <v>21</v>
      </c>
      <c r="B1672" s="265">
        <v>46055</v>
      </c>
      <c r="C1672" s="264" t="s">
        <v>1951</v>
      </c>
      <c r="D1672" s="300" t="s">
        <v>1960</v>
      </c>
      <c r="E1672" s="300" t="s">
        <v>1655</v>
      </c>
      <c r="F1672" s="300" t="s">
        <v>2986</v>
      </c>
      <c r="G1672" s="264" t="s">
        <v>26</v>
      </c>
      <c r="H1672" s="368">
        <v>11.25</v>
      </c>
      <c r="I1672" s="368">
        <v>0</v>
      </c>
      <c r="J1672" s="264" t="s">
        <v>1174</v>
      </c>
      <c r="K1672" s="264" t="s">
        <v>2025</v>
      </c>
      <c r="L1672" s="1" t="str">
        <f>VLOOKUP(Advices[[#This Row],[LC Number]],'Combine_List'!A:D,2,0)</f>
        <v>ALFANAR ELECTRICAL SYSTEMS</v>
      </c>
      <c r="M1672" s="447" t="str">
        <f>VLOOKUP(Advices[[#This Row],[LC Number]],'Combine_List'!A:D,3,0)</f>
        <v>FIRST FIX</v>
      </c>
      <c r="N1672" s="447" t="str">
        <f>VLOOKUP(Advices[[#This Row],[LC Number]],'Combine_List'!A:D,4,0)</f>
        <v>KSP</v>
      </c>
      <c r="O1672" s="1"/>
      <c r="P1672" s="1">
        <f>MONTH(Advices[[#This Row],[Transaction Date]])</f>
        <v>2</v>
      </c>
      <c r="Q1672" s="1">
        <f>YEAR(Advices[[#This Row],[Transaction Date]])</f>
        <v>2026</v>
      </c>
      <c r="R1672" s="1"/>
    </row>
    <row r="1673" spans="1:18" x14ac:dyDescent="0.25">
      <c r="A1673" s="264" t="s">
        <v>21</v>
      </c>
      <c r="B1673" s="265">
        <v>46055</v>
      </c>
      <c r="C1673" s="264" t="s">
        <v>1951</v>
      </c>
      <c r="D1673" s="300" t="s">
        <v>3933</v>
      </c>
      <c r="E1673" s="300" t="s">
        <v>1655</v>
      </c>
      <c r="F1673" s="300" t="s">
        <v>2986</v>
      </c>
      <c r="G1673" s="264" t="s">
        <v>26</v>
      </c>
      <c r="H1673" s="368">
        <v>75</v>
      </c>
      <c r="I1673" s="368">
        <v>0</v>
      </c>
      <c r="J1673" s="264" t="s">
        <v>1963</v>
      </c>
      <c r="K1673" s="264" t="s">
        <v>2025</v>
      </c>
      <c r="L1673" s="1" t="str">
        <f>VLOOKUP(Advices[[#This Row],[LC Number]],'Combine_List'!A:D,2,0)</f>
        <v>ALFANAR ELECTRICAL SYSTEMS</v>
      </c>
      <c r="M1673" s="447" t="str">
        <f>VLOOKUP(Advices[[#This Row],[LC Number]],'Combine_List'!A:D,3,0)</f>
        <v>FIRST FIX</v>
      </c>
      <c r="N1673" s="447" t="str">
        <f>VLOOKUP(Advices[[#This Row],[LC Number]],'Combine_List'!A:D,4,0)</f>
        <v>KSP</v>
      </c>
      <c r="O1673" s="1"/>
      <c r="P1673" s="1">
        <f>MONTH(Advices[[#This Row],[Transaction Date]])</f>
        <v>2</v>
      </c>
      <c r="Q1673" s="1">
        <f>YEAR(Advices[[#This Row],[Transaction Date]])</f>
        <v>2026</v>
      </c>
      <c r="R1673" s="1"/>
    </row>
    <row r="1674" spans="1:18" x14ac:dyDescent="0.25">
      <c r="A1674" s="264" t="s">
        <v>21</v>
      </c>
      <c r="B1674" s="265">
        <v>46055</v>
      </c>
      <c r="C1674" s="264" t="s">
        <v>1951</v>
      </c>
      <c r="D1674" s="300" t="s">
        <v>3934</v>
      </c>
      <c r="E1674" s="300" t="s">
        <v>1655</v>
      </c>
      <c r="F1674" s="300" t="s">
        <v>2986</v>
      </c>
      <c r="G1674" s="264" t="s">
        <v>26</v>
      </c>
      <c r="H1674" s="368">
        <v>500000</v>
      </c>
      <c r="I1674" s="368">
        <v>0</v>
      </c>
      <c r="J1674" s="264" t="s">
        <v>1126</v>
      </c>
      <c r="K1674" s="264" t="s">
        <v>2025</v>
      </c>
      <c r="L1674" s="1" t="str">
        <f>VLOOKUP(Advices[[#This Row],[LC Number]],'Combine_List'!A:D,2,0)</f>
        <v>ALFANAR ELECTRICAL SYSTEMS</v>
      </c>
      <c r="M1674" s="447" t="str">
        <f>VLOOKUP(Advices[[#This Row],[LC Number]],'Combine_List'!A:D,3,0)</f>
        <v>FIRST FIX</v>
      </c>
      <c r="N1674" s="447" t="str">
        <f>VLOOKUP(Advices[[#This Row],[LC Number]],'Combine_List'!A:D,4,0)</f>
        <v>KSP</v>
      </c>
      <c r="O1674" s="264"/>
      <c r="P1674" s="264">
        <f>MONTH(Advices[[#This Row],[Transaction Date]])</f>
        <v>2</v>
      </c>
      <c r="Q1674" s="264">
        <f>YEAR(Advices[[#This Row],[Transaction Date]])</f>
        <v>2026</v>
      </c>
      <c r="R1674" s="1"/>
    </row>
    <row r="1675" spans="1:18" hidden="1" x14ac:dyDescent="0.25">
      <c r="A1675" s="264" t="s">
        <v>62</v>
      </c>
      <c r="B1675" s="265">
        <v>46054</v>
      </c>
      <c r="C1675" s="264" t="s">
        <v>2039</v>
      </c>
      <c r="D1675" s="300" t="s">
        <v>3935</v>
      </c>
      <c r="E1675" s="300" t="s">
        <v>3922</v>
      </c>
      <c r="F1675" s="300" t="s">
        <v>2041</v>
      </c>
      <c r="G1675" s="264" t="s">
        <v>26</v>
      </c>
      <c r="H1675" s="368">
        <v>23001.15</v>
      </c>
      <c r="I1675" s="368">
        <v>0</v>
      </c>
      <c r="J1675" s="264" t="s">
        <v>3947</v>
      </c>
      <c r="K1675" s="264" t="s">
        <v>2025</v>
      </c>
      <c r="L1675" s="1" t="str">
        <f>VLOOKUP(Advices[[#This Row],[LC Number]],'Combine_List'!A:D,2,0)</f>
        <v>Bid - BARAKA FOR REAL ESTATE AND INVESTMENT</v>
      </c>
      <c r="M1675" s="447">
        <f>VLOOKUP(Advices[[#This Row],[LC Number]],'Combine_List'!A:D,3,0)</f>
        <v>0</v>
      </c>
      <c r="N1675" s="447">
        <f>VLOOKUP(Advices[[#This Row],[LC Number]],'Combine_List'!A:D,4,0)</f>
        <v>0</v>
      </c>
      <c r="O1675" s="264"/>
      <c r="P1675" s="264">
        <f>MONTH(Advices[[#This Row],[Transaction Date]])</f>
        <v>2</v>
      </c>
      <c r="Q1675" s="264">
        <f>YEAR(Advices[[#This Row],[Transaction Date]])</f>
        <v>2026</v>
      </c>
      <c r="R1675" s="1"/>
    </row>
    <row r="1676" spans="1:18" hidden="1" x14ac:dyDescent="0.25">
      <c r="A1676" s="264" t="s">
        <v>95</v>
      </c>
      <c r="B1676" s="265">
        <v>46054</v>
      </c>
      <c r="C1676" s="264" t="s">
        <v>2026</v>
      </c>
      <c r="D1676" s="300" t="s">
        <v>3889</v>
      </c>
      <c r="E1676" s="300" t="s">
        <v>2562</v>
      </c>
      <c r="F1676" s="300" t="s">
        <v>3890</v>
      </c>
      <c r="G1676" s="264" t="s">
        <v>26</v>
      </c>
      <c r="H1676" s="368">
        <v>8410.64</v>
      </c>
      <c r="I1676" s="368">
        <v>0</v>
      </c>
      <c r="J1676" s="264" t="s">
        <v>1124</v>
      </c>
      <c r="K1676" s="264" t="s">
        <v>2025</v>
      </c>
      <c r="L1676" s="1" t="str">
        <f>VLOOKUP(Advices[[#This Row],[LC Number]],'Combine_List'!A:D,2,0)</f>
        <v>ALNAFIE METAL INDUSTRIES CO LTD</v>
      </c>
      <c r="M1676" s="447" t="str">
        <f>VLOOKUP(Advices[[#This Row],[LC Number]],'Combine_List'!A:D,3,0)</f>
        <v>MBL/AICS</v>
      </c>
      <c r="N1676" s="447" t="str">
        <f>VLOOKUP(Advices[[#This Row],[LC Number]],'Combine_List'!A:D,4,0)</f>
        <v>OPERA House</v>
      </c>
      <c r="O1676" s="1"/>
      <c r="P1676" s="1">
        <f>MONTH(Advices[[#This Row],[Transaction Date]])</f>
        <v>2</v>
      </c>
      <c r="Q1676" s="1">
        <f>YEAR(Advices[[#This Row],[Transaction Date]])</f>
        <v>2026</v>
      </c>
      <c r="R1676" s="1"/>
    </row>
    <row r="1677" spans="1:18" hidden="1" x14ac:dyDescent="0.25">
      <c r="A1677" s="264" t="s">
        <v>95</v>
      </c>
      <c r="B1677" s="265">
        <v>46055</v>
      </c>
      <c r="C1677" s="264" t="s">
        <v>2026</v>
      </c>
      <c r="D1677" s="300" t="s">
        <v>3936</v>
      </c>
      <c r="E1677" s="300" t="s">
        <v>1425</v>
      </c>
      <c r="F1677" s="300" t="s">
        <v>3937</v>
      </c>
      <c r="G1677" s="264" t="s">
        <v>26</v>
      </c>
      <c r="H1677" s="368">
        <v>1956.92</v>
      </c>
      <c r="I1677" s="368">
        <v>0</v>
      </c>
      <c r="J1677" s="264" t="s">
        <v>1125</v>
      </c>
      <c r="K1677" s="264" t="s">
        <v>2025</v>
      </c>
      <c r="L1677" s="1" t="str">
        <f>VLOOKUP(Advices[[#This Row],[LC Number]],'Combine_List'!A:D,2,0)</f>
        <v>Electric House Trading Company L.L.C.</v>
      </c>
      <c r="M1677" s="447" t="str">
        <f>VLOOKUP(Advices[[#This Row],[LC Number]],'Combine_List'!A:D,3,0)</f>
        <v>FIRST FIX</v>
      </c>
      <c r="N1677" s="447" t="str">
        <f>VLOOKUP(Advices[[#This Row],[LC Number]],'Combine_List'!A:D,4,0)</f>
        <v>KSP</v>
      </c>
      <c r="O1677" s="264"/>
      <c r="P1677" s="264">
        <f>MONTH(Advices[[#This Row],[Transaction Date]])</f>
        <v>2</v>
      </c>
      <c r="Q1677" s="264">
        <f>YEAR(Advices[[#This Row],[Transaction Date]])</f>
        <v>2026</v>
      </c>
      <c r="R1677" s="1"/>
    </row>
    <row r="1678" spans="1:18" hidden="1" x14ac:dyDescent="0.25">
      <c r="A1678" s="264" t="s">
        <v>366</v>
      </c>
      <c r="B1678" s="265">
        <v>46054</v>
      </c>
      <c r="C1678" s="264" t="s">
        <v>2060</v>
      </c>
      <c r="D1678" s="300" t="s">
        <v>3938</v>
      </c>
      <c r="E1678" s="300" t="s">
        <v>1901</v>
      </c>
      <c r="F1678" s="300" t="s">
        <v>3463</v>
      </c>
      <c r="G1678" s="264" t="s">
        <v>26</v>
      </c>
      <c r="H1678" s="368">
        <v>250000</v>
      </c>
      <c r="I1678" s="368">
        <v>0</v>
      </c>
      <c r="J1678" s="264" t="s">
        <v>1126</v>
      </c>
      <c r="K1678" s="264" t="s">
        <v>2025</v>
      </c>
      <c r="L1678" s="1" t="str">
        <f>VLOOKUP(Advices[[#This Row],[LC Number]],'Combine_List'!A:D,2,0)</f>
        <v>Al-Sayed Center A/C &amp; Refrigeration Materials Company</v>
      </c>
      <c r="M1678" s="447" t="str">
        <f>VLOOKUP(Advices[[#This Row],[LC Number]],'Combine_List'!A:D,3,0)</f>
        <v>FIRST FIX</v>
      </c>
      <c r="N1678" s="447" t="str">
        <f>VLOOKUP(Advices[[#This Row],[LC Number]],'Combine_List'!A:D,4,0)</f>
        <v>MP1</v>
      </c>
      <c r="O1678" s="1"/>
      <c r="P1678" s="1">
        <f>MONTH(Advices[[#This Row],[Transaction Date]])</f>
        <v>2</v>
      </c>
      <c r="Q1678" s="1">
        <f>YEAR(Advices[[#This Row],[Transaction Date]])</f>
        <v>2026</v>
      </c>
      <c r="R1678" s="1"/>
    </row>
    <row r="1679" spans="1:18" hidden="1" x14ac:dyDescent="0.25">
      <c r="A1679" s="264" t="s">
        <v>366</v>
      </c>
      <c r="B1679" s="265">
        <v>46054</v>
      </c>
      <c r="C1679" s="264" t="s">
        <v>2057</v>
      </c>
      <c r="D1679" s="300" t="s">
        <v>3939</v>
      </c>
      <c r="E1679" s="300" t="s">
        <v>1811</v>
      </c>
      <c r="F1679" s="300" t="s">
        <v>3474</v>
      </c>
      <c r="G1679" s="264" t="s">
        <v>26</v>
      </c>
      <c r="H1679" s="368">
        <v>2772611.82</v>
      </c>
      <c r="I1679" s="368">
        <v>0</v>
      </c>
      <c r="J1679" s="264" t="s">
        <v>1126</v>
      </c>
      <c r="K1679" s="264" t="s">
        <v>2025</v>
      </c>
      <c r="L1679" s="1" t="str">
        <f>VLOOKUP(Advices[[#This Row],[LC Number]],'Combine_List'!A:D,2,0)</f>
        <v>AL-TAYYAR AL-HAQIQI COMMERCIAL CO.</v>
      </c>
      <c r="M1679" s="447" t="str">
        <f>VLOOKUP(Advices[[#This Row],[LC Number]],'Combine_List'!A:D,3,0)</f>
        <v>MBL/ICAD</v>
      </c>
      <c r="N1679" s="447" t="str">
        <f>VLOOKUP(Advices[[#This Row],[LC Number]],'Combine_List'!A:D,4,0)</f>
        <v>ABHA</v>
      </c>
      <c r="O1679" s="1"/>
      <c r="P1679" s="1">
        <f>MONTH(Advices[[#This Row],[Transaction Date]])</f>
        <v>2</v>
      </c>
      <c r="Q1679" s="1">
        <f>YEAR(Advices[[#This Row],[Transaction Date]])</f>
        <v>2026</v>
      </c>
      <c r="R1679" s="1"/>
    </row>
    <row r="1680" spans="1:18" hidden="1" x14ac:dyDescent="0.25">
      <c r="A1680" s="264" t="s">
        <v>366</v>
      </c>
      <c r="B1680" s="265">
        <v>46054</v>
      </c>
      <c r="C1680" s="264" t="s">
        <v>2057</v>
      </c>
      <c r="D1680" s="300" t="s">
        <v>3940</v>
      </c>
      <c r="E1680" s="300" t="s">
        <v>1906</v>
      </c>
      <c r="F1680" s="300" t="s">
        <v>3450</v>
      </c>
      <c r="G1680" s="264" t="s">
        <v>26</v>
      </c>
      <c r="H1680" s="368">
        <v>1500000</v>
      </c>
      <c r="I1680" s="368">
        <v>0</v>
      </c>
      <c r="J1680" s="264" t="s">
        <v>1126</v>
      </c>
      <c r="K1680" s="264" t="s">
        <v>2025</v>
      </c>
      <c r="L1680" s="1" t="str">
        <f>VLOOKUP(Advices[[#This Row],[LC Number]],'Combine_List'!A:D,2,0)</f>
        <v>Al Maymanah for Contracting Co. Ltd.</v>
      </c>
      <c r="M1680" s="447" t="str">
        <f>VLOOKUP(Advices[[#This Row],[LC Number]],'Combine_List'!A:D,3,0)</f>
        <v>FIRST FIX</v>
      </c>
      <c r="N1680" s="447" t="str">
        <f>VLOOKUP(Advices[[#This Row],[LC Number]],'Combine_List'!A:D,4,0)</f>
        <v>MP1</v>
      </c>
      <c r="O1680" s="1"/>
      <c r="P1680" s="1">
        <f>MONTH(Advices[[#This Row],[Transaction Date]])</f>
        <v>2</v>
      </c>
      <c r="Q1680" s="1">
        <f>YEAR(Advices[[#This Row],[Transaction Date]])</f>
        <v>2026</v>
      </c>
      <c r="R1680" s="1"/>
    </row>
    <row r="1681" spans="1:18" hidden="1" x14ac:dyDescent="0.25">
      <c r="A1681" s="264" t="s">
        <v>366</v>
      </c>
      <c r="B1681" s="265">
        <v>46055</v>
      </c>
      <c r="C1681" s="264" t="s">
        <v>2060</v>
      </c>
      <c r="D1681" s="300" t="s">
        <v>3941</v>
      </c>
      <c r="E1681" s="300" t="s">
        <v>2904</v>
      </c>
      <c r="F1681" s="300" t="s">
        <v>3942</v>
      </c>
      <c r="G1681" s="264" t="s">
        <v>26</v>
      </c>
      <c r="H1681" s="368">
        <v>50913.7</v>
      </c>
      <c r="I1681" s="368">
        <v>0</v>
      </c>
      <c r="J1681" s="264" t="s">
        <v>1125</v>
      </c>
      <c r="K1681" s="264" t="s">
        <v>2025</v>
      </c>
      <c r="L1681" s="1" t="str">
        <f>VLOOKUP(Advices[[#This Row],[LC Number]],'Combine_List'!A:D,2,0)</f>
        <v>ELSEWEDY CABLES CO. LIMITED</v>
      </c>
      <c r="M1681" s="447" t="str">
        <f>VLOOKUP(Advices[[#This Row],[LC Number]],'Combine_List'!A:D,3,0)</f>
        <v>FIRST FIX</v>
      </c>
      <c r="N1681" s="447" t="str">
        <f>VLOOKUP(Advices[[#This Row],[LC Number]],'Combine_List'!A:D,4,0)</f>
        <v>MP1</v>
      </c>
      <c r="O1681" s="1"/>
      <c r="P1681" s="1">
        <f>MONTH(Advices[[#This Row],[Transaction Date]])</f>
        <v>2</v>
      </c>
      <c r="Q1681" s="1">
        <f>YEAR(Advices[[#This Row],[Transaction Date]])</f>
        <v>2026</v>
      </c>
      <c r="R1681" s="1"/>
    </row>
    <row r="1682" spans="1:18" hidden="1" x14ac:dyDescent="0.25">
      <c r="A1682" s="264" t="s">
        <v>366</v>
      </c>
      <c r="B1682" s="265">
        <v>46055</v>
      </c>
      <c r="C1682" s="264" t="s">
        <v>2060</v>
      </c>
      <c r="D1682" s="300" t="s">
        <v>3943</v>
      </c>
      <c r="E1682" s="300" t="s">
        <v>2916</v>
      </c>
      <c r="F1682" s="300" t="s">
        <v>3944</v>
      </c>
      <c r="G1682" s="264" t="s">
        <v>26</v>
      </c>
      <c r="H1682" s="368">
        <v>10658.98</v>
      </c>
      <c r="I1682" s="368">
        <v>0</v>
      </c>
      <c r="J1682" s="264" t="s">
        <v>1125</v>
      </c>
      <c r="K1682" s="264" t="s">
        <v>2025</v>
      </c>
      <c r="L1682" s="1" t="str">
        <f>VLOOKUP(Advices[[#This Row],[LC Number]],'Combine_List'!A:D,2,0)</f>
        <v>Mohamad Saeed Afifi Trading Est.</v>
      </c>
      <c r="M1682" s="447" t="str">
        <f>VLOOKUP(Advices[[#This Row],[LC Number]],'Combine_List'!A:D,3,0)</f>
        <v>FIRST FIX</v>
      </c>
      <c r="N1682" s="447" t="str">
        <f>VLOOKUP(Advices[[#This Row],[LC Number]],'Combine_List'!A:D,4,0)</f>
        <v>MP1</v>
      </c>
      <c r="O1682" s="1"/>
      <c r="P1682" s="1">
        <f>MONTH(Advices[[#This Row],[Transaction Date]])</f>
        <v>2</v>
      </c>
      <c r="Q1682" s="1">
        <f>YEAR(Advices[[#This Row],[Transaction Date]])</f>
        <v>2026</v>
      </c>
      <c r="R1682" s="1"/>
    </row>
    <row r="1683" spans="1:18" hidden="1" x14ac:dyDescent="0.25">
      <c r="A1683" s="264" t="s">
        <v>366</v>
      </c>
      <c r="B1683" s="265">
        <v>46055</v>
      </c>
      <c r="C1683" s="264" t="s">
        <v>2057</v>
      </c>
      <c r="D1683" s="300" t="s">
        <v>3945</v>
      </c>
      <c r="E1683" s="300" t="s">
        <v>1689</v>
      </c>
      <c r="F1683" s="300" t="s">
        <v>3946</v>
      </c>
      <c r="G1683" s="264" t="s">
        <v>26</v>
      </c>
      <c r="H1683" s="368">
        <v>287.5</v>
      </c>
      <c r="I1683" s="368">
        <v>0</v>
      </c>
      <c r="J1683" s="264" t="s">
        <v>1125</v>
      </c>
      <c r="K1683" s="264" t="s">
        <v>2025</v>
      </c>
      <c r="L1683" s="1" t="str">
        <f>VLOOKUP(Advices[[#This Row],[LC Number]],'Combine_List'!A:D,2,0)</f>
        <v>EVOLVING CONSTELLATION CO. FOR ENERGY</v>
      </c>
      <c r="M1683" s="447" t="str">
        <f>VLOOKUP(Advices[[#This Row],[LC Number]],'Combine_List'!A:D,3,0)</f>
        <v>FIRST FIX</v>
      </c>
      <c r="N1683" s="447" t="str">
        <f>VLOOKUP(Advices[[#This Row],[LC Number]],'Combine_List'!A:D,4,0)</f>
        <v>CEER</v>
      </c>
      <c r="O1683" s="264"/>
      <c r="P1683" s="264">
        <f>MONTH(Advices[[#This Row],[Transaction Date]])</f>
        <v>2</v>
      </c>
      <c r="Q1683" s="264">
        <f>YEAR(Advices[[#This Row],[Transaction Date]])</f>
        <v>2026</v>
      </c>
      <c r="R1683" s="1"/>
    </row>
    <row r="1684" spans="1:18" x14ac:dyDescent="0.25">
      <c r="A1684" s="264" t="s">
        <v>21</v>
      </c>
      <c r="B1684" s="265">
        <v>46057</v>
      </c>
      <c r="C1684" s="264" t="s">
        <v>1951</v>
      </c>
      <c r="D1684" s="300" t="s">
        <v>1952</v>
      </c>
      <c r="E1684" s="300" t="s">
        <v>1343</v>
      </c>
      <c r="F1684" s="300" t="s">
        <v>3957</v>
      </c>
      <c r="G1684" s="264" t="s">
        <v>26</v>
      </c>
      <c r="H1684" s="368">
        <v>187.5</v>
      </c>
      <c r="I1684" s="368">
        <v>0</v>
      </c>
      <c r="J1684" s="264" t="s">
        <v>1174</v>
      </c>
      <c r="K1684" s="264" t="s">
        <v>2025</v>
      </c>
      <c r="L1684" s="1" t="str">
        <f>VLOOKUP(Advices[[#This Row],[LC Number]],'Combine_List'!A:D,2,0)</f>
        <v>MASDAR TECHNICAL Supplies CO.</v>
      </c>
      <c r="M1684" s="447" t="str">
        <f>VLOOKUP(Advices[[#This Row],[LC Number]],'Combine_List'!A:D,3,0)</f>
        <v>FIRST FIX</v>
      </c>
      <c r="N1684" s="447" t="str">
        <f>VLOOKUP(Advices[[#This Row],[LC Number]],'Combine_List'!A:D,4,0)</f>
        <v>KSP</v>
      </c>
      <c r="O1684" s="1"/>
      <c r="P1684" s="1">
        <f>MONTH(Advices[[#This Row],[Transaction Date]])</f>
        <v>2</v>
      </c>
      <c r="Q1684" s="1">
        <f>YEAR(Advices[[#This Row],[Transaction Date]])</f>
        <v>2026</v>
      </c>
      <c r="R1684" s="1"/>
    </row>
    <row r="1685" spans="1:18" x14ac:dyDescent="0.25">
      <c r="A1685" s="264" t="s">
        <v>21</v>
      </c>
      <c r="B1685" s="265">
        <v>46057</v>
      </c>
      <c r="C1685" s="264" t="s">
        <v>1951</v>
      </c>
      <c r="D1685" s="300" t="s">
        <v>3958</v>
      </c>
      <c r="E1685" s="300" t="s">
        <v>1343</v>
      </c>
      <c r="F1685" s="300" t="s">
        <v>3957</v>
      </c>
      <c r="G1685" s="264" t="s">
        <v>26</v>
      </c>
      <c r="H1685" s="368">
        <v>1250</v>
      </c>
      <c r="I1685" s="368">
        <v>0</v>
      </c>
      <c r="J1685" s="264" t="s">
        <v>1125</v>
      </c>
      <c r="K1685" s="264" t="s">
        <v>2025</v>
      </c>
      <c r="L1685" s="1" t="str">
        <f>VLOOKUP(Advices[[#This Row],[LC Number]],'Combine_List'!A:D,2,0)</f>
        <v>MASDAR TECHNICAL Supplies CO.</v>
      </c>
      <c r="M1685" s="447" t="str">
        <f>VLOOKUP(Advices[[#This Row],[LC Number]],'Combine_List'!A:D,3,0)</f>
        <v>FIRST FIX</v>
      </c>
      <c r="N1685" s="447" t="str">
        <f>VLOOKUP(Advices[[#This Row],[LC Number]],'Combine_List'!A:D,4,0)</f>
        <v>KSP</v>
      </c>
      <c r="O1685" s="1"/>
      <c r="P1685" s="1">
        <f>MONTH(Advices[[#This Row],[Transaction Date]])</f>
        <v>2</v>
      </c>
      <c r="Q1685" s="1">
        <f>YEAR(Advices[[#This Row],[Transaction Date]])</f>
        <v>2026</v>
      </c>
      <c r="R1685" s="1"/>
    </row>
    <row r="1686" spans="1:18" x14ac:dyDescent="0.25">
      <c r="A1686" s="264" t="s">
        <v>21</v>
      </c>
      <c r="B1686" s="265">
        <v>46057</v>
      </c>
      <c r="C1686" s="264" t="s">
        <v>1951</v>
      </c>
      <c r="D1686" s="300" t="s">
        <v>3959</v>
      </c>
      <c r="E1686" s="300" t="s">
        <v>3146</v>
      </c>
      <c r="F1686" s="300" t="s">
        <v>3960</v>
      </c>
      <c r="G1686" s="264" t="s">
        <v>26</v>
      </c>
      <c r="H1686" s="368">
        <v>342.33</v>
      </c>
      <c r="I1686" s="368">
        <v>0</v>
      </c>
      <c r="J1686" s="264" t="s">
        <v>1174</v>
      </c>
      <c r="K1686" s="264" t="s">
        <v>2025</v>
      </c>
      <c r="L1686" s="1" t="str">
        <f>VLOOKUP(Advices[[#This Row],[LC Number]],'Combine_List'!A:D,2,0)</f>
        <v>SIEMENS Limited Company</v>
      </c>
      <c r="M1686" s="447" t="str">
        <f>VLOOKUP(Advices[[#This Row],[LC Number]],'Combine_List'!A:D,3,0)</f>
        <v>Signal Control</v>
      </c>
      <c r="N1686" s="447" t="str">
        <f>VLOOKUP(Advices[[#This Row],[LC Number]],'Combine_List'!A:D,4,0)</f>
        <v>KSP</v>
      </c>
      <c r="O1686" s="1"/>
      <c r="P1686" s="1">
        <f>MONTH(Advices[[#This Row],[Transaction Date]])</f>
        <v>2</v>
      </c>
      <c r="Q1686" s="1">
        <f>YEAR(Advices[[#This Row],[Transaction Date]])</f>
        <v>2026</v>
      </c>
      <c r="R1686" s="1"/>
    </row>
    <row r="1687" spans="1:18" x14ac:dyDescent="0.25">
      <c r="A1687" s="264" t="s">
        <v>21</v>
      </c>
      <c r="B1687" s="265">
        <v>46057</v>
      </c>
      <c r="C1687" s="264" t="s">
        <v>1951</v>
      </c>
      <c r="D1687" s="300" t="s">
        <v>3961</v>
      </c>
      <c r="E1687" s="300" t="s">
        <v>3146</v>
      </c>
      <c r="F1687" s="300" t="s">
        <v>3960</v>
      </c>
      <c r="G1687" s="264" t="s">
        <v>26</v>
      </c>
      <c r="H1687" s="368">
        <v>2282.19</v>
      </c>
      <c r="I1687" s="368">
        <v>0</v>
      </c>
      <c r="J1687" s="264" t="s">
        <v>1125</v>
      </c>
      <c r="K1687" s="264" t="s">
        <v>2025</v>
      </c>
      <c r="L1687" s="1" t="str">
        <f>VLOOKUP(Advices[[#This Row],[LC Number]],'Combine_List'!A:D,2,0)</f>
        <v>SIEMENS Limited Company</v>
      </c>
      <c r="M1687" s="447" t="str">
        <f>VLOOKUP(Advices[[#This Row],[LC Number]],'Combine_List'!A:D,3,0)</f>
        <v>Signal Control</v>
      </c>
      <c r="N1687" s="447" t="str">
        <f>VLOOKUP(Advices[[#This Row],[LC Number]],'Combine_List'!A:D,4,0)</f>
        <v>KSP</v>
      </c>
      <c r="O1687" s="1"/>
      <c r="P1687" s="1">
        <f>MONTH(Advices[[#This Row],[Transaction Date]])</f>
        <v>2</v>
      </c>
      <c r="Q1687" s="1">
        <f>YEAR(Advices[[#This Row],[Transaction Date]])</f>
        <v>2026</v>
      </c>
      <c r="R1687" s="1"/>
    </row>
    <row r="1688" spans="1:18" x14ac:dyDescent="0.25">
      <c r="A1688" s="264" t="s">
        <v>21</v>
      </c>
      <c r="B1688" s="265">
        <v>46057</v>
      </c>
      <c r="C1688" s="264" t="s">
        <v>1951</v>
      </c>
      <c r="D1688" s="300" t="s">
        <v>1952</v>
      </c>
      <c r="E1688" s="300" t="s">
        <v>3146</v>
      </c>
      <c r="F1688" s="300" t="s">
        <v>3962</v>
      </c>
      <c r="G1688" s="264" t="s">
        <v>26</v>
      </c>
      <c r="H1688" s="368">
        <v>187.5</v>
      </c>
      <c r="I1688" s="368">
        <v>0</v>
      </c>
      <c r="J1688" s="264" t="s">
        <v>1174</v>
      </c>
      <c r="K1688" s="264" t="s">
        <v>2025</v>
      </c>
      <c r="L1688" s="1" t="str">
        <f>VLOOKUP(Advices[[#This Row],[LC Number]],'Combine_List'!A:D,2,0)</f>
        <v>SIEMENS Limited Company</v>
      </c>
      <c r="M1688" s="447" t="str">
        <f>VLOOKUP(Advices[[#This Row],[LC Number]],'Combine_List'!A:D,3,0)</f>
        <v>Signal Control</v>
      </c>
      <c r="N1688" s="447" t="str">
        <f>VLOOKUP(Advices[[#This Row],[LC Number]],'Combine_List'!A:D,4,0)</f>
        <v>KSP</v>
      </c>
      <c r="O1688" s="1"/>
      <c r="P1688" s="1">
        <f>MONTH(Advices[[#This Row],[Transaction Date]])</f>
        <v>2</v>
      </c>
      <c r="Q1688" s="1">
        <f>YEAR(Advices[[#This Row],[Transaction Date]])</f>
        <v>2026</v>
      </c>
      <c r="R1688" s="1"/>
    </row>
    <row r="1689" spans="1:18" x14ac:dyDescent="0.25">
      <c r="A1689" s="264" t="s">
        <v>21</v>
      </c>
      <c r="B1689" s="265">
        <v>46057</v>
      </c>
      <c r="C1689" s="264" t="s">
        <v>1951</v>
      </c>
      <c r="D1689" s="300" t="s">
        <v>3963</v>
      </c>
      <c r="E1689" s="300" t="s">
        <v>3146</v>
      </c>
      <c r="F1689" s="300" t="s">
        <v>3962</v>
      </c>
      <c r="G1689" s="264" t="s">
        <v>26</v>
      </c>
      <c r="H1689" s="368">
        <v>1250</v>
      </c>
      <c r="I1689" s="368">
        <v>0</v>
      </c>
      <c r="J1689" s="264" t="s">
        <v>1125</v>
      </c>
      <c r="K1689" s="264" t="s">
        <v>2025</v>
      </c>
      <c r="L1689" s="1" t="str">
        <f>VLOOKUP(Advices[[#This Row],[LC Number]],'Combine_List'!A:D,2,0)</f>
        <v>SIEMENS Limited Company</v>
      </c>
      <c r="M1689" s="447" t="str">
        <f>VLOOKUP(Advices[[#This Row],[LC Number]],'Combine_List'!A:D,3,0)</f>
        <v>Signal Control</v>
      </c>
      <c r="N1689" s="447" t="str">
        <f>VLOOKUP(Advices[[#This Row],[LC Number]],'Combine_List'!A:D,4,0)</f>
        <v>KSP</v>
      </c>
      <c r="O1689" s="264"/>
      <c r="P1689" s="264">
        <f>MONTH(Advices[[#This Row],[Transaction Date]])</f>
        <v>2</v>
      </c>
      <c r="Q1689" s="264">
        <f>YEAR(Advices[[#This Row],[Transaction Date]])</f>
        <v>2026</v>
      </c>
      <c r="R1689" s="1"/>
    </row>
    <row r="1690" spans="1:18" hidden="1" x14ac:dyDescent="0.25">
      <c r="A1690" s="264" t="s">
        <v>62</v>
      </c>
      <c r="B1690" s="265">
        <v>46057</v>
      </c>
      <c r="C1690" s="264" t="s">
        <v>2039</v>
      </c>
      <c r="D1690" s="300" t="s">
        <v>3964</v>
      </c>
      <c r="E1690" s="300" t="s">
        <v>3951</v>
      </c>
      <c r="F1690" s="300" t="s">
        <v>2041</v>
      </c>
      <c r="G1690" s="264" t="s">
        <v>26</v>
      </c>
      <c r="H1690" s="368">
        <v>5256.78</v>
      </c>
      <c r="I1690" s="368">
        <v>0</v>
      </c>
      <c r="J1690" s="264" t="s">
        <v>2616</v>
      </c>
      <c r="K1690" s="264" t="s">
        <v>2025</v>
      </c>
      <c r="L1690" s="1" t="str">
        <f>VLOOKUP(Advices[[#This Row],[LC Number]],'Combine_List'!A:D,2,0)</f>
        <v>Khorayef Industries</v>
      </c>
      <c r="M1690" s="447" t="str">
        <f>VLOOKUP(Advices[[#This Row],[LC Number]],'Combine_List'!A:D,3,0)</f>
        <v>FIRST FIX</v>
      </c>
      <c r="N1690" s="447" t="str">
        <f>VLOOKUP(Advices[[#This Row],[LC Number]],'Combine_List'!A:D,4,0)</f>
        <v>Oceanarium</v>
      </c>
      <c r="O1690" s="1"/>
      <c r="P1690" s="1">
        <f>MONTH(Advices[[#This Row],[Transaction Date]])</f>
        <v>2</v>
      </c>
      <c r="Q1690" s="1">
        <f>YEAR(Advices[[#This Row],[Transaction Date]])</f>
        <v>2026</v>
      </c>
      <c r="R1690" s="1"/>
    </row>
    <row r="1691" spans="1:18" hidden="1" x14ac:dyDescent="0.25">
      <c r="A1691" s="264" t="s">
        <v>62</v>
      </c>
      <c r="B1691" s="265">
        <v>46057</v>
      </c>
      <c r="C1691" s="264" t="s">
        <v>2039</v>
      </c>
      <c r="D1691" s="300" t="s">
        <v>3965</v>
      </c>
      <c r="E1691" s="300" t="s">
        <v>3950</v>
      </c>
      <c r="F1691" s="300" t="s">
        <v>2041</v>
      </c>
      <c r="G1691" s="264" t="s">
        <v>26</v>
      </c>
      <c r="H1691" s="368">
        <v>4218.58</v>
      </c>
      <c r="I1691" s="368">
        <v>0</v>
      </c>
      <c r="J1691" s="264" t="s">
        <v>2616</v>
      </c>
      <c r="K1691" s="264" t="s">
        <v>2025</v>
      </c>
      <c r="L1691" s="1" t="str">
        <f>VLOOKUP(Advices[[#This Row],[LC Number]],'Combine_List'!A:D,2,0)</f>
        <v>Schneider Electric Saudi Arabia Co</v>
      </c>
      <c r="M1691" s="447" t="str">
        <f>VLOOKUP(Advices[[#This Row],[LC Number]],'Combine_List'!A:D,3,0)</f>
        <v>FIRST FIX</v>
      </c>
      <c r="N1691" s="447" t="str">
        <f>VLOOKUP(Advices[[#This Row],[LC Number]],'Combine_List'!A:D,4,0)</f>
        <v>Oceanarium</v>
      </c>
      <c r="O1691" s="1"/>
      <c r="P1691" s="1">
        <f>MONTH(Advices[[#This Row],[Transaction Date]])</f>
        <v>2</v>
      </c>
      <c r="Q1691" s="1">
        <f>YEAR(Advices[[#This Row],[Transaction Date]])</f>
        <v>2026</v>
      </c>
      <c r="R1691" s="1"/>
    </row>
    <row r="1692" spans="1:18" hidden="1" x14ac:dyDescent="0.25">
      <c r="A1692" s="264" t="s">
        <v>62</v>
      </c>
      <c r="B1692" s="265">
        <v>46057</v>
      </c>
      <c r="C1692" s="264" t="s">
        <v>2039</v>
      </c>
      <c r="D1692" s="300" t="s">
        <v>3966</v>
      </c>
      <c r="E1692" s="300" t="s">
        <v>3955</v>
      </c>
      <c r="F1692" s="300" t="s">
        <v>2041</v>
      </c>
      <c r="G1692" s="264" t="s">
        <v>26</v>
      </c>
      <c r="H1692" s="368">
        <v>3180.39</v>
      </c>
      <c r="I1692" s="368">
        <v>0</v>
      </c>
      <c r="J1692" s="264" t="s">
        <v>2616</v>
      </c>
      <c r="K1692" s="264" t="s">
        <v>2025</v>
      </c>
      <c r="L1692" s="1" t="str">
        <f>VLOOKUP(Advices[[#This Row],[LC Number]],'Combine_List'!A:D,2,0)</f>
        <v>Riyadh Unity for Trading</v>
      </c>
      <c r="M1692" s="447" t="str">
        <f>VLOOKUP(Advices[[#This Row],[LC Number]],'Combine_List'!A:D,3,0)</f>
        <v>FIRST FIX</v>
      </c>
      <c r="N1692" s="447" t="str">
        <f>VLOOKUP(Advices[[#This Row],[LC Number]],'Combine_List'!A:D,4,0)</f>
        <v>Oceanarium</v>
      </c>
      <c r="O1692" s="1"/>
      <c r="P1692" s="1">
        <f>MONTH(Advices[[#This Row],[Transaction Date]])</f>
        <v>2</v>
      </c>
      <c r="Q1692" s="1">
        <f>YEAR(Advices[[#This Row],[Transaction Date]])</f>
        <v>2026</v>
      </c>
      <c r="R1692" s="1"/>
    </row>
    <row r="1693" spans="1:18" hidden="1" x14ac:dyDescent="0.25">
      <c r="A1693" s="264" t="s">
        <v>62</v>
      </c>
      <c r="B1693" s="265">
        <v>46057</v>
      </c>
      <c r="C1693" s="264" t="s">
        <v>2039</v>
      </c>
      <c r="D1693" s="300" t="s">
        <v>3967</v>
      </c>
      <c r="E1693" s="300" t="s">
        <v>3956</v>
      </c>
      <c r="F1693" s="300" t="s">
        <v>2041</v>
      </c>
      <c r="G1693" s="264" t="s">
        <v>26</v>
      </c>
      <c r="H1693" s="368">
        <v>3180.39</v>
      </c>
      <c r="I1693" s="368">
        <v>0</v>
      </c>
      <c r="J1693" s="264" t="s">
        <v>2616</v>
      </c>
      <c r="K1693" s="264" t="s">
        <v>2025</v>
      </c>
      <c r="L1693" s="1" t="str">
        <f>VLOOKUP(Advices[[#This Row],[LC Number]],'Combine_List'!A:D,2,0)</f>
        <v>SKM Air Conditioning Company</v>
      </c>
      <c r="M1693" s="447" t="str">
        <f>VLOOKUP(Advices[[#This Row],[LC Number]],'Combine_List'!A:D,3,0)</f>
        <v>FIRST FIX</v>
      </c>
      <c r="N1693" s="447" t="str">
        <f>VLOOKUP(Advices[[#This Row],[LC Number]],'Combine_List'!A:D,4,0)</f>
        <v>Oceanarium</v>
      </c>
      <c r="O1693" s="1"/>
      <c r="P1693" s="1">
        <f>MONTH(Advices[[#This Row],[Transaction Date]])</f>
        <v>2</v>
      </c>
      <c r="Q1693" s="1">
        <f>YEAR(Advices[[#This Row],[Transaction Date]])</f>
        <v>2026</v>
      </c>
      <c r="R1693" s="1"/>
    </row>
    <row r="1694" spans="1:18" hidden="1" x14ac:dyDescent="0.25">
      <c r="A1694" s="264" t="s">
        <v>62</v>
      </c>
      <c r="B1694" s="265">
        <v>46057</v>
      </c>
      <c r="C1694" s="264" t="s">
        <v>2039</v>
      </c>
      <c r="D1694" s="300" t="s">
        <v>3968</v>
      </c>
      <c r="E1694" s="300" t="s">
        <v>3954</v>
      </c>
      <c r="F1694" s="300" t="s">
        <v>2041</v>
      </c>
      <c r="G1694" s="264" t="s">
        <v>26</v>
      </c>
      <c r="H1694" s="368">
        <v>3180.39</v>
      </c>
      <c r="I1694" s="368">
        <v>0</v>
      </c>
      <c r="J1694" s="264" t="s">
        <v>2616</v>
      </c>
      <c r="K1694" s="264" t="s">
        <v>2025</v>
      </c>
      <c r="L1694" s="1" t="str">
        <f>VLOOKUP(Advices[[#This Row],[LC Number]],'Combine_List'!A:D,2,0)</f>
        <v>Mahmoud Altaheni And His Partners Trading Company</v>
      </c>
      <c r="M1694" s="447" t="str">
        <f>VLOOKUP(Advices[[#This Row],[LC Number]],'Combine_List'!A:D,3,0)</f>
        <v>FIRST FIX</v>
      </c>
      <c r="N1694" s="447" t="str">
        <f>VLOOKUP(Advices[[#This Row],[LC Number]],'Combine_List'!A:D,4,0)</f>
        <v>Oceanarium</v>
      </c>
      <c r="O1694" s="1"/>
      <c r="P1694" s="1">
        <f>MONTH(Advices[[#This Row],[Transaction Date]])</f>
        <v>2</v>
      </c>
      <c r="Q1694" s="1">
        <f>YEAR(Advices[[#This Row],[Transaction Date]])</f>
        <v>2026</v>
      </c>
      <c r="R1694" s="1"/>
    </row>
    <row r="1695" spans="1:18" hidden="1" x14ac:dyDescent="0.25">
      <c r="A1695" s="264" t="s">
        <v>62</v>
      </c>
      <c r="B1695" s="265">
        <v>46057</v>
      </c>
      <c r="C1695" s="264" t="s">
        <v>2039</v>
      </c>
      <c r="D1695" s="300" t="s">
        <v>3969</v>
      </c>
      <c r="E1695" s="300" t="s">
        <v>3953</v>
      </c>
      <c r="F1695" s="300" t="s">
        <v>2041</v>
      </c>
      <c r="G1695" s="264" t="s">
        <v>26</v>
      </c>
      <c r="H1695" s="368">
        <v>3180.39</v>
      </c>
      <c r="I1695" s="368">
        <v>0</v>
      </c>
      <c r="J1695" s="264" t="s">
        <v>2616</v>
      </c>
      <c r="K1695" s="264" t="s">
        <v>2025</v>
      </c>
      <c r="L1695" s="1" t="str">
        <f>VLOOKUP(Advices[[#This Row],[LC Number]],'Combine_List'!A:D,2,0)</f>
        <v>Electro Mechanical Supplies</v>
      </c>
      <c r="M1695" s="447" t="str">
        <f>VLOOKUP(Advices[[#This Row],[LC Number]],'Combine_List'!A:D,3,0)</f>
        <v>FIRST FIX</v>
      </c>
      <c r="N1695" s="447" t="str">
        <f>VLOOKUP(Advices[[#This Row],[LC Number]],'Combine_List'!A:D,4,0)</f>
        <v>Oceanarium</v>
      </c>
      <c r="O1695" s="1"/>
      <c r="P1695" s="1">
        <f>MONTH(Advices[[#This Row],[Transaction Date]])</f>
        <v>2</v>
      </c>
      <c r="Q1695" s="1">
        <f>YEAR(Advices[[#This Row],[Transaction Date]])</f>
        <v>2026</v>
      </c>
      <c r="R1695" s="1"/>
    </row>
    <row r="1696" spans="1:18" hidden="1" x14ac:dyDescent="0.25">
      <c r="A1696" s="264" t="s">
        <v>62</v>
      </c>
      <c r="B1696" s="265">
        <v>46057</v>
      </c>
      <c r="C1696" s="264" t="s">
        <v>2039</v>
      </c>
      <c r="D1696" s="300" t="s">
        <v>3970</v>
      </c>
      <c r="E1696" s="300" t="s">
        <v>3952</v>
      </c>
      <c r="F1696" s="300" t="s">
        <v>2041</v>
      </c>
      <c r="G1696" s="264" t="s">
        <v>26</v>
      </c>
      <c r="H1696" s="368">
        <v>3180.39</v>
      </c>
      <c r="I1696" s="368">
        <v>0</v>
      </c>
      <c r="J1696" s="264" t="s">
        <v>2616</v>
      </c>
      <c r="K1696" s="264" t="s">
        <v>2025</v>
      </c>
      <c r="L1696" s="1" t="str">
        <f>VLOOKUP(Advices[[#This Row],[LC Number]],'Combine_List'!A:D,2,0)</f>
        <v>Ideal Caliber Company</v>
      </c>
      <c r="M1696" s="447" t="str">
        <f>VLOOKUP(Advices[[#This Row],[LC Number]],'Combine_List'!A:D,3,0)</f>
        <v>FIRST FIX</v>
      </c>
      <c r="N1696" s="447" t="str">
        <f>VLOOKUP(Advices[[#This Row],[LC Number]],'Combine_List'!A:D,4,0)</f>
        <v>Oceanarium</v>
      </c>
      <c r="O1696" s="1"/>
      <c r="P1696" s="1">
        <f>MONTH(Advices[[#This Row],[Transaction Date]])</f>
        <v>2</v>
      </c>
      <c r="Q1696" s="1">
        <f>YEAR(Advices[[#This Row],[Transaction Date]])</f>
        <v>2026</v>
      </c>
      <c r="R1696" s="1"/>
    </row>
    <row r="1697" spans="1:18" hidden="1" x14ac:dyDescent="0.25">
      <c r="A1697" s="264" t="s">
        <v>62</v>
      </c>
      <c r="B1697" s="265">
        <v>46057</v>
      </c>
      <c r="C1697" s="264" t="s">
        <v>2039</v>
      </c>
      <c r="D1697" s="300" t="s">
        <v>3971</v>
      </c>
      <c r="E1697" s="300" t="s">
        <v>3949</v>
      </c>
      <c r="F1697" s="300" t="s">
        <v>2041</v>
      </c>
      <c r="G1697" s="264" t="s">
        <v>26</v>
      </c>
      <c r="H1697" s="368">
        <v>3180.39</v>
      </c>
      <c r="I1697" s="368">
        <v>0</v>
      </c>
      <c r="J1697" s="264" t="s">
        <v>2616</v>
      </c>
      <c r="K1697" s="264" t="s">
        <v>2025</v>
      </c>
      <c r="L1697" s="1" t="str">
        <f>VLOOKUP(Advices[[#This Row],[LC Number]],'Combine_List'!A:D,2,0)</f>
        <v>Systemair For Electrical Equipment Co.</v>
      </c>
      <c r="M1697" s="447" t="str">
        <f>VLOOKUP(Advices[[#This Row],[LC Number]],'Combine_List'!A:D,3,0)</f>
        <v>FIRST FIX</v>
      </c>
      <c r="N1697" s="447" t="str">
        <f>VLOOKUP(Advices[[#This Row],[LC Number]],'Combine_List'!A:D,4,0)</f>
        <v>Oceanarium</v>
      </c>
      <c r="O1697" s="1"/>
      <c r="P1697" s="1">
        <f>MONTH(Advices[[#This Row],[Transaction Date]])</f>
        <v>2</v>
      </c>
      <c r="Q1697" s="1">
        <f>YEAR(Advices[[#This Row],[Transaction Date]])</f>
        <v>2026</v>
      </c>
      <c r="R1697" s="1"/>
    </row>
    <row r="1698" spans="1:18" hidden="1" x14ac:dyDescent="0.25">
      <c r="A1698" s="264" t="s">
        <v>62</v>
      </c>
      <c r="B1698" s="265">
        <v>46057</v>
      </c>
      <c r="C1698" s="264" t="s">
        <v>2039</v>
      </c>
      <c r="D1698" s="300" t="s">
        <v>3972</v>
      </c>
      <c r="E1698" s="300" t="s">
        <v>3948</v>
      </c>
      <c r="F1698" s="300" t="s">
        <v>2041</v>
      </c>
      <c r="G1698" s="264" t="s">
        <v>26</v>
      </c>
      <c r="H1698" s="368">
        <v>3180.39</v>
      </c>
      <c r="I1698" s="368">
        <v>0</v>
      </c>
      <c r="J1698" s="264" t="s">
        <v>2616</v>
      </c>
      <c r="K1698" s="264" t="s">
        <v>2025</v>
      </c>
      <c r="L1698" s="1" t="str">
        <f>VLOOKUP(Advices[[#This Row],[LC Number]],'Combine_List'!A:D,2,0)</f>
        <v>Electric House Trading Company L.L.C.</v>
      </c>
      <c r="M1698" s="447" t="str">
        <f>VLOOKUP(Advices[[#This Row],[LC Number]],'Combine_List'!A:D,3,0)</f>
        <v>FIRST FIX</v>
      </c>
      <c r="N1698" s="447" t="str">
        <f>VLOOKUP(Advices[[#This Row],[LC Number]],'Combine_List'!A:D,4,0)</f>
        <v>Oceanarium</v>
      </c>
      <c r="O1698" s="264"/>
      <c r="P1698" s="264">
        <f>MONTH(Advices[[#This Row],[Transaction Date]])</f>
        <v>2</v>
      </c>
      <c r="Q1698" s="264">
        <f>YEAR(Advices[[#This Row],[Transaction Date]])</f>
        <v>2026</v>
      </c>
      <c r="R1698" s="1"/>
    </row>
    <row r="1699" spans="1:18" hidden="1" x14ac:dyDescent="0.25">
      <c r="A1699" s="264" t="s">
        <v>366</v>
      </c>
      <c r="B1699" s="265">
        <v>46057</v>
      </c>
      <c r="C1699" s="264" t="s">
        <v>2060</v>
      </c>
      <c r="D1699" s="300" t="s">
        <v>3973</v>
      </c>
      <c r="E1699" s="300" t="s">
        <v>713</v>
      </c>
      <c r="F1699" s="300" t="s">
        <v>3974</v>
      </c>
      <c r="G1699" s="264" t="s">
        <v>26</v>
      </c>
      <c r="H1699" s="368">
        <v>575</v>
      </c>
      <c r="I1699" s="368">
        <v>0</v>
      </c>
      <c r="J1699" s="264" t="s">
        <v>1125</v>
      </c>
      <c r="K1699" s="264" t="s">
        <v>2025</v>
      </c>
      <c r="L1699" s="1" t="str">
        <f>VLOOKUP(Advices[[#This Row],[LC Number]],'Combine_List'!A:D,2,0)</f>
        <v>Interplast Co Ltd</v>
      </c>
      <c r="M1699" s="447" t="str">
        <f>VLOOKUP(Advices[[#This Row],[LC Number]],'Combine_List'!A:D,3,0)</f>
        <v>FIRST FIX</v>
      </c>
      <c r="N1699" s="447" t="str">
        <f>VLOOKUP(Advices[[#This Row],[LC Number]],'Combine_List'!A:D,4,0)</f>
        <v>MP1</v>
      </c>
      <c r="O1699" s="1"/>
      <c r="P1699" s="1">
        <f>MONTH(Advices[[#This Row],[Transaction Date]])</f>
        <v>2</v>
      </c>
      <c r="Q1699" s="1">
        <f>YEAR(Advices[[#This Row],[Transaction Date]])</f>
        <v>2026</v>
      </c>
      <c r="R1699" s="1"/>
    </row>
    <row r="1700" spans="1:18" hidden="1" x14ac:dyDescent="0.25">
      <c r="A1700" s="264" t="s">
        <v>366</v>
      </c>
      <c r="B1700" s="265">
        <v>46057</v>
      </c>
      <c r="C1700" s="264" t="s">
        <v>2060</v>
      </c>
      <c r="D1700" s="300" t="s">
        <v>3975</v>
      </c>
      <c r="E1700" s="300" t="s">
        <v>1672</v>
      </c>
      <c r="F1700" s="300" t="s">
        <v>3454</v>
      </c>
      <c r="G1700" s="264" t="s">
        <v>26</v>
      </c>
      <c r="H1700" s="368">
        <v>73226.539999999994</v>
      </c>
      <c r="I1700" s="368">
        <v>0</v>
      </c>
      <c r="J1700" s="264" t="s">
        <v>1126</v>
      </c>
      <c r="K1700" s="264" t="s">
        <v>2025</v>
      </c>
      <c r="L1700" s="1" t="str">
        <f>VLOOKUP(Advices[[#This Row],[LC Number]],'Combine_List'!A:D,2,0)</f>
        <v>Systemair for Electrical Equipment Co.</v>
      </c>
      <c r="M1700" s="447" t="str">
        <f>VLOOKUP(Advices[[#This Row],[LC Number]],'Combine_List'!A:D,3,0)</f>
        <v>FIRST FIX</v>
      </c>
      <c r="N1700" s="447" t="str">
        <f>VLOOKUP(Advices[[#This Row],[LC Number]],'Combine_List'!A:D,4,0)</f>
        <v>CEER</v>
      </c>
      <c r="O1700" s="1"/>
      <c r="P1700" s="1">
        <f>MONTH(Advices[[#This Row],[Transaction Date]])</f>
        <v>2</v>
      </c>
      <c r="Q1700" s="1">
        <f>YEAR(Advices[[#This Row],[Transaction Date]])</f>
        <v>2026</v>
      </c>
      <c r="R1700" s="1"/>
    </row>
    <row r="1701" spans="1:18" hidden="1" x14ac:dyDescent="0.25">
      <c r="A1701" s="264" t="s">
        <v>366</v>
      </c>
      <c r="B1701" s="265">
        <v>46057</v>
      </c>
      <c r="C1701" s="264" t="s">
        <v>2060</v>
      </c>
      <c r="D1701" s="300" t="s">
        <v>3976</v>
      </c>
      <c r="E1701" s="300" t="s">
        <v>1434</v>
      </c>
      <c r="F1701" s="300" t="s">
        <v>3455</v>
      </c>
      <c r="G1701" s="264" t="s">
        <v>26</v>
      </c>
      <c r="H1701" s="368">
        <v>20278.96</v>
      </c>
      <c r="I1701" s="368">
        <v>0</v>
      </c>
      <c r="J1701" s="264" t="s">
        <v>1126</v>
      </c>
      <c r="K1701" s="264" t="s">
        <v>2025</v>
      </c>
      <c r="L1701" s="1" t="str">
        <f>VLOOKUP(Advices[[#This Row],[LC Number]],'Combine_List'!A:D,2,0)</f>
        <v>Brooq Al-Amaan Trading Company</v>
      </c>
      <c r="M1701" s="447" t="str">
        <f>VLOOKUP(Advices[[#This Row],[LC Number]],'Combine_List'!A:D,3,0)</f>
        <v>FIRST FIX</v>
      </c>
      <c r="N1701" s="447" t="str">
        <f>VLOOKUP(Advices[[#This Row],[LC Number]],'Combine_List'!A:D,4,0)</f>
        <v>MP1</v>
      </c>
      <c r="O1701" s="1"/>
      <c r="P1701" s="1">
        <f>MONTH(Advices[[#This Row],[Transaction Date]])</f>
        <v>2</v>
      </c>
      <c r="Q1701" s="1">
        <f>YEAR(Advices[[#This Row],[Transaction Date]])</f>
        <v>2026</v>
      </c>
      <c r="R1701" s="1"/>
    </row>
    <row r="1702" spans="1:18" hidden="1" x14ac:dyDescent="0.25">
      <c r="A1702" s="264" t="s">
        <v>366</v>
      </c>
      <c r="B1702" s="265">
        <v>46057</v>
      </c>
      <c r="C1702" s="264" t="s">
        <v>2057</v>
      </c>
      <c r="D1702" s="300" t="s">
        <v>3977</v>
      </c>
      <c r="E1702" s="300" t="s">
        <v>1898</v>
      </c>
      <c r="F1702" s="300" t="s">
        <v>3447</v>
      </c>
      <c r="G1702" s="264" t="s">
        <v>26</v>
      </c>
      <c r="H1702" s="368">
        <v>550000</v>
      </c>
      <c r="I1702" s="368">
        <v>0</v>
      </c>
      <c r="J1702" s="264" t="s">
        <v>1126</v>
      </c>
      <c r="K1702" s="264" t="s">
        <v>2025</v>
      </c>
      <c r="L1702" s="1" t="str">
        <f>VLOOKUP(Advices[[#This Row],[LC Number]],'Combine_List'!A:D,2,0)</f>
        <v xml:space="preserve">MARIAM TRADING CO. &amp; PARTNER </v>
      </c>
      <c r="M1702" s="447" t="str">
        <f>VLOOKUP(Advices[[#This Row],[LC Number]],'Combine_List'!A:D,3,0)</f>
        <v>FIRST FIX</v>
      </c>
      <c r="N1702" s="447" t="str">
        <f>VLOOKUP(Advices[[#This Row],[LC Number]],'Combine_List'!A:D,4,0)</f>
        <v>MP1</v>
      </c>
      <c r="O1702" s="1"/>
      <c r="P1702" s="1">
        <f>MONTH(Advices[[#This Row],[Transaction Date]])</f>
        <v>2</v>
      </c>
      <c r="Q1702" s="1">
        <f>YEAR(Advices[[#This Row],[Transaction Date]])</f>
        <v>2026</v>
      </c>
      <c r="R1702" s="1"/>
    </row>
    <row r="1703" spans="1:18" hidden="1" x14ac:dyDescent="0.25">
      <c r="A1703" s="264" t="s">
        <v>366</v>
      </c>
      <c r="B1703" s="265">
        <v>46057</v>
      </c>
      <c r="C1703" s="264" t="s">
        <v>2057</v>
      </c>
      <c r="D1703" s="300" t="s">
        <v>3978</v>
      </c>
      <c r="E1703" s="300" t="s">
        <v>1677</v>
      </c>
      <c r="F1703" s="300" t="s">
        <v>3451</v>
      </c>
      <c r="G1703" s="264" t="s">
        <v>26</v>
      </c>
      <c r="H1703" s="368">
        <v>456260.2</v>
      </c>
      <c r="I1703" s="368">
        <v>0</v>
      </c>
      <c r="J1703" s="264" t="s">
        <v>1126</v>
      </c>
      <c r="K1703" s="264" t="s">
        <v>2025</v>
      </c>
      <c r="L1703" s="1" t="str">
        <f>VLOOKUP(Advices[[#This Row],[LC Number]],'Combine_List'!A:D,2,0)</f>
        <v>Fawaz Refrigeration &amp; Air Conditioning Cont. Co. LLC</v>
      </c>
      <c r="M1703" s="447" t="str">
        <f>VLOOKUP(Advices[[#This Row],[LC Number]],'Combine_List'!A:D,3,0)</f>
        <v>FIRST FIX</v>
      </c>
      <c r="N1703" s="447" t="str">
        <f>VLOOKUP(Advices[[#This Row],[LC Number]],'Combine_List'!A:D,4,0)</f>
        <v>CEER</v>
      </c>
      <c r="O1703" s="1"/>
      <c r="P1703" s="1">
        <f>MONTH(Advices[[#This Row],[Transaction Date]])</f>
        <v>2</v>
      </c>
      <c r="Q1703" s="1">
        <f>YEAR(Advices[[#This Row],[Transaction Date]])</f>
        <v>2026</v>
      </c>
      <c r="R1703" s="1"/>
    </row>
    <row r="1704" spans="1:18" hidden="1" x14ac:dyDescent="0.25">
      <c r="A1704" s="264" t="s">
        <v>366</v>
      </c>
      <c r="B1704" s="265">
        <v>46057</v>
      </c>
      <c r="C1704" s="264" t="s">
        <v>2057</v>
      </c>
      <c r="D1704" s="300" t="s">
        <v>3979</v>
      </c>
      <c r="E1704" s="300" t="s">
        <v>1662</v>
      </c>
      <c r="F1704" s="300" t="s">
        <v>3456</v>
      </c>
      <c r="G1704" s="264" t="s">
        <v>26</v>
      </c>
      <c r="H1704" s="368">
        <v>266294.28999999998</v>
      </c>
      <c r="I1704" s="368">
        <v>0</v>
      </c>
      <c r="J1704" s="264" t="s">
        <v>1126</v>
      </c>
      <c r="K1704" s="264" t="s">
        <v>2025</v>
      </c>
      <c r="L1704" s="1" t="str">
        <f>VLOOKUP(Advices[[#This Row],[LC Number]],'Combine_List'!A:D,2,0)</f>
        <v>JAD AL RIYADH Trading Co. Ltd</v>
      </c>
      <c r="M1704" s="447" t="str">
        <f>VLOOKUP(Advices[[#This Row],[LC Number]],'Combine_List'!A:D,3,0)</f>
        <v>FIRST FIX</v>
      </c>
      <c r="N1704" s="447" t="str">
        <f>VLOOKUP(Advices[[#This Row],[LC Number]],'Combine_List'!A:D,4,0)</f>
        <v>CEER</v>
      </c>
      <c r="O1704" s="1"/>
      <c r="P1704" s="1">
        <f>MONTH(Advices[[#This Row],[Transaction Date]])</f>
        <v>2</v>
      </c>
      <c r="Q1704" s="1">
        <f>YEAR(Advices[[#This Row],[Transaction Date]])</f>
        <v>2026</v>
      </c>
      <c r="R1704" s="1"/>
    </row>
    <row r="1705" spans="1:18" hidden="1" x14ac:dyDescent="0.25">
      <c r="A1705" s="264" t="s">
        <v>366</v>
      </c>
      <c r="B1705" s="265">
        <v>46057</v>
      </c>
      <c r="C1705" s="264" t="s">
        <v>2057</v>
      </c>
      <c r="D1705" s="300" t="s">
        <v>3980</v>
      </c>
      <c r="E1705" s="300" t="s">
        <v>1648</v>
      </c>
      <c r="F1705" s="300" t="s">
        <v>3981</v>
      </c>
      <c r="G1705" s="264" t="s">
        <v>26</v>
      </c>
      <c r="H1705" s="368">
        <v>1156440.1000000001</v>
      </c>
      <c r="I1705" s="368">
        <v>0</v>
      </c>
      <c r="J1705" s="264" t="s">
        <v>1126</v>
      </c>
      <c r="K1705" s="264" t="s">
        <v>2025</v>
      </c>
      <c r="L1705" s="1" t="str">
        <f>VLOOKUP(Advices[[#This Row],[LC Number]],'Combine_List'!A:D,2,0)</f>
        <v>Atlas Industrial Equipment Co.</v>
      </c>
      <c r="M1705" s="447" t="str">
        <f>VLOOKUP(Advices[[#This Row],[LC Number]],'Combine_List'!A:D,3,0)</f>
        <v>FIRST FIX</v>
      </c>
      <c r="N1705" s="447" t="str">
        <f>VLOOKUP(Advices[[#This Row],[LC Number]],'Combine_List'!A:D,4,0)</f>
        <v>CEER</v>
      </c>
      <c r="O1705" s="264"/>
      <c r="P1705" s="264">
        <f>MONTH(Advices[[#This Row],[Transaction Date]])</f>
        <v>2</v>
      </c>
      <c r="Q1705" s="264">
        <f>YEAR(Advices[[#This Row],[Transaction Date]])</f>
        <v>2026</v>
      </c>
      <c r="R1705" s="1"/>
    </row>
    <row r="1706" spans="1:18" hidden="1" x14ac:dyDescent="0.25">
      <c r="A1706" s="264" t="s">
        <v>612</v>
      </c>
      <c r="B1706" s="265">
        <v>46057</v>
      </c>
      <c r="C1706" s="264" t="s">
        <v>2101</v>
      </c>
      <c r="D1706" s="300" t="s">
        <v>3982</v>
      </c>
      <c r="E1706" s="300" t="s">
        <v>1819</v>
      </c>
      <c r="F1706" s="300" t="s">
        <v>2041</v>
      </c>
      <c r="G1706" s="264" t="s">
        <v>26</v>
      </c>
      <c r="H1706" s="368">
        <v>251134</v>
      </c>
      <c r="I1706" s="368">
        <v>0</v>
      </c>
      <c r="J1706" s="264" t="s">
        <v>1126</v>
      </c>
      <c r="K1706" s="264" t="s">
        <v>2025</v>
      </c>
      <c r="L1706" s="1" t="str">
        <f>VLOOKUP(Advices[[#This Row],[LC Number]],'Combine_List'!A:D,2,0)</f>
        <v>United Park Co.</v>
      </c>
      <c r="M1706" s="447" t="str">
        <f>VLOOKUP(Advices[[#This Row],[LC Number]],'Combine_List'!A:D,3,0)</f>
        <v>FIRST FIX</v>
      </c>
      <c r="N1706" s="447" t="str">
        <f>VLOOKUP(Advices[[#This Row],[LC Number]],'Combine_List'!A:D,4,0)</f>
        <v>RCRC</v>
      </c>
      <c r="O1706" s="1"/>
      <c r="P1706" s="1">
        <f>MONTH(Advices[[#This Row],[Transaction Date]])</f>
        <v>2</v>
      </c>
      <c r="Q1706" s="1">
        <f>YEAR(Advices[[#This Row],[Transaction Date]])</f>
        <v>2026</v>
      </c>
      <c r="R1706" s="1"/>
    </row>
    <row r="1707" spans="1:18" hidden="1" x14ac:dyDescent="0.25">
      <c r="A1707" s="264" t="s">
        <v>612</v>
      </c>
      <c r="B1707" s="265">
        <v>46057</v>
      </c>
      <c r="C1707" s="264" t="s">
        <v>2101</v>
      </c>
      <c r="D1707" s="300" t="s">
        <v>3983</v>
      </c>
      <c r="E1707" s="300" t="s">
        <v>1821</v>
      </c>
      <c r="F1707" s="300" t="s">
        <v>2041</v>
      </c>
      <c r="G1707" s="264" t="s">
        <v>26</v>
      </c>
      <c r="H1707" s="368">
        <v>200</v>
      </c>
      <c r="I1707" s="368">
        <v>0</v>
      </c>
      <c r="J1707" s="264" t="s">
        <v>1124</v>
      </c>
      <c r="K1707" s="264" t="s">
        <v>2025</v>
      </c>
      <c r="L1707" s="1" t="str">
        <f>VLOOKUP(Advices[[#This Row],[LC Number]],'Combine_List'!A:D,2,0)</f>
        <v>Mohammed Ramadan Shat Factory</v>
      </c>
      <c r="M1707" s="447" t="str">
        <f>VLOOKUP(Advices[[#This Row],[LC Number]],'Combine_List'!A:D,3,0)</f>
        <v>FIRST FIX</v>
      </c>
      <c r="N1707" s="447" t="str">
        <f>VLOOKUP(Advices[[#This Row],[LC Number]],'Combine_List'!A:D,4,0)</f>
        <v>RCRC</v>
      </c>
      <c r="O1707" s="1"/>
      <c r="P1707" s="1">
        <f>MONTH(Advices[[#This Row],[Transaction Date]])</f>
        <v>2</v>
      </c>
      <c r="Q1707" s="1">
        <f>YEAR(Advices[[#This Row],[Transaction Date]])</f>
        <v>2026</v>
      </c>
      <c r="R1707" s="1"/>
    </row>
    <row r="1708" spans="1:18" hidden="1" x14ac:dyDescent="0.25">
      <c r="A1708" s="264" t="s">
        <v>612</v>
      </c>
      <c r="B1708" s="265">
        <v>46057</v>
      </c>
      <c r="C1708" s="264" t="s">
        <v>2101</v>
      </c>
      <c r="D1708" s="300" t="s">
        <v>3984</v>
      </c>
      <c r="E1708" s="300" t="s">
        <v>1821</v>
      </c>
      <c r="F1708" s="300" t="s">
        <v>2041</v>
      </c>
      <c r="G1708" s="264" t="s">
        <v>26</v>
      </c>
      <c r="H1708" s="368">
        <v>30</v>
      </c>
      <c r="I1708" s="368">
        <v>0</v>
      </c>
      <c r="J1708" s="264" t="s">
        <v>1174</v>
      </c>
      <c r="K1708" s="264" t="s">
        <v>2025</v>
      </c>
      <c r="L1708" s="1" t="str">
        <f>VLOOKUP(Advices[[#This Row],[LC Number]],'Combine_List'!A:D,2,0)</f>
        <v>Mohammed Ramadan Shat Factory</v>
      </c>
      <c r="M1708" s="447" t="str">
        <f>VLOOKUP(Advices[[#This Row],[LC Number]],'Combine_List'!A:D,3,0)</f>
        <v>FIRST FIX</v>
      </c>
      <c r="N1708" s="447" t="str">
        <f>VLOOKUP(Advices[[#This Row],[LC Number]],'Combine_List'!A:D,4,0)</f>
        <v>RCRC</v>
      </c>
      <c r="O1708" s="1"/>
      <c r="P1708" s="1">
        <f>MONTH(Advices[[#This Row],[Transaction Date]])</f>
        <v>2</v>
      </c>
      <c r="Q1708" s="1">
        <f>YEAR(Advices[[#This Row],[Transaction Date]])</f>
        <v>2026</v>
      </c>
      <c r="R1708" s="1"/>
    </row>
    <row r="1709" spans="1:18" hidden="1" x14ac:dyDescent="0.25">
      <c r="A1709" s="264" t="s">
        <v>612</v>
      </c>
      <c r="B1709" s="265">
        <v>46057</v>
      </c>
      <c r="C1709" s="264" t="s">
        <v>2101</v>
      </c>
      <c r="D1709" s="300" t="s">
        <v>3985</v>
      </c>
      <c r="E1709" s="300" t="s">
        <v>1821</v>
      </c>
      <c r="F1709" s="300" t="s">
        <v>2041</v>
      </c>
      <c r="G1709" s="264" t="s">
        <v>26</v>
      </c>
      <c r="H1709" s="368">
        <v>626.44000000000005</v>
      </c>
      <c r="I1709" s="368">
        <v>0</v>
      </c>
      <c r="J1709" s="264" t="s">
        <v>1124</v>
      </c>
      <c r="K1709" s="264" t="s">
        <v>2025</v>
      </c>
      <c r="L1709" s="1" t="str">
        <f>VLOOKUP(Advices[[#This Row],[LC Number]],'Combine_List'!A:D,2,0)</f>
        <v>Mohammed Ramadan Shat Factory</v>
      </c>
      <c r="M1709" s="447" t="str">
        <f>VLOOKUP(Advices[[#This Row],[LC Number]],'Combine_List'!A:D,3,0)</f>
        <v>FIRST FIX</v>
      </c>
      <c r="N1709" s="447" t="str">
        <f>VLOOKUP(Advices[[#This Row],[LC Number]],'Combine_List'!A:D,4,0)</f>
        <v>RCRC</v>
      </c>
      <c r="O1709" s="1"/>
      <c r="P1709" s="1">
        <f>MONTH(Advices[[#This Row],[Transaction Date]])</f>
        <v>2</v>
      </c>
      <c r="Q1709" s="1">
        <f>YEAR(Advices[[#This Row],[Transaction Date]])</f>
        <v>2026</v>
      </c>
      <c r="R1709" s="1"/>
    </row>
    <row r="1710" spans="1:18" hidden="1" x14ac:dyDescent="0.25">
      <c r="A1710" s="264" t="s">
        <v>612</v>
      </c>
      <c r="B1710" s="265">
        <v>46057</v>
      </c>
      <c r="C1710" s="264" t="s">
        <v>2101</v>
      </c>
      <c r="D1710" s="300" t="s">
        <v>3986</v>
      </c>
      <c r="E1710" s="300" t="s">
        <v>1821</v>
      </c>
      <c r="F1710" s="300" t="s">
        <v>2041</v>
      </c>
      <c r="G1710" s="264" t="s">
        <v>26</v>
      </c>
      <c r="H1710" s="368">
        <v>93.97</v>
      </c>
      <c r="I1710" s="368">
        <v>0</v>
      </c>
      <c r="J1710" s="264" t="s">
        <v>1174</v>
      </c>
      <c r="K1710" s="264" t="s">
        <v>2025</v>
      </c>
      <c r="L1710" s="1" t="str">
        <f>VLOOKUP(Advices[[#This Row],[LC Number]],'Combine_List'!A:D,2,0)</f>
        <v>Mohammed Ramadan Shat Factory</v>
      </c>
      <c r="M1710" s="447" t="str">
        <f>VLOOKUP(Advices[[#This Row],[LC Number]],'Combine_List'!A:D,3,0)</f>
        <v>FIRST FIX</v>
      </c>
      <c r="N1710" s="447" t="str">
        <f>VLOOKUP(Advices[[#This Row],[LC Number]],'Combine_List'!A:D,4,0)</f>
        <v>RCRC</v>
      </c>
      <c r="O1710" s="1"/>
      <c r="P1710" s="1">
        <f>MONTH(Advices[[#This Row],[Transaction Date]])</f>
        <v>2</v>
      </c>
      <c r="Q1710" s="1">
        <f>YEAR(Advices[[#This Row],[Transaction Date]])</f>
        <v>2026</v>
      </c>
      <c r="R1710" s="1"/>
    </row>
    <row r="1711" spans="1:18" hidden="1" x14ac:dyDescent="0.25">
      <c r="A1711" s="264" t="s">
        <v>612</v>
      </c>
      <c r="B1711" s="265">
        <v>46057</v>
      </c>
      <c r="C1711" s="264" t="s">
        <v>2101</v>
      </c>
      <c r="D1711" s="300" t="s">
        <v>3987</v>
      </c>
      <c r="E1711" s="300" t="s">
        <v>1822</v>
      </c>
      <c r="F1711" s="300" t="s">
        <v>2041</v>
      </c>
      <c r="G1711" s="264" t="s">
        <v>26</v>
      </c>
      <c r="H1711" s="368">
        <v>200</v>
      </c>
      <c r="I1711" s="368">
        <v>0</v>
      </c>
      <c r="J1711" s="264" t="s">
        <v>1124</v>
      </c>
      <c r="K1711" s="264" t="s">
        <v>2025</v>
      </c>
      <c r="L1711" s="1" t="str">
        <f>VLOOKUP(Advices[[#This Row],[LC Number]],'Combine_List'!A:D,2,0)</f>
        <v>SAUDI HEPCO CO LTD</v>
      </c>
      <c r="M1711" s="447" t="str">
        <f>VLOOKUP(Advices[[#This Row],[LC Number]],'Combine_List'!A:D,3,0)</f>
        <v>FIRST FIX</v>
      </c>
      <c r="N1711" s="447" t="str">
        <f>VLOOKUP(Advices[[#This Row],[LC Number]],'Combine_List'!A:D,4,0)</f>
        <v>RCRC</v>
      </c>
      <c r="O1711" s="1"/>
      <c r="P1711" s="1">
        <f>MONTH(Advices[[#This Row],[Transaction Date]])</f>
        <v>2</v>
      </c>
      <c r="Q1711" s="1">
        <f>YEAR(Advices[[#This Row],[Transaction Date]])</f>
        <v>2026</v>
      </c>
      <c r="R1711" s="1"/>
    </row>
    <row r="1712" spans="1:18" hidden="1" x14ac:dyDescent="0.25">
      <c r="A1712" s="264" t="s">
        <v>612</v>
      </c>
      <c r="B1712" s="265">
        <v>46057</v>
      </c>
      <c r="C1712" s="264" t="s">
        <v>2101</v>
      </c>
      <c r="D1712" s="300" t="s">
        <v>3988</v>
      </c>
      <c r="E1712" s="300" t="s">
        <v>1822</v>
      </c>
      <c r="F1712" s="300" t="s">
        <v>2041</v>
      </c>
      <c r="G1712" s="264" t="s">
        <v>26</v>
      </c>
      <c r="H1712" s="368">
        <v>30</v>
      </c>
      <c r="I1712" s="368">
        <v>0</v>
      </c>
      <c r="J1712" s="264" t="s">
        <v>1174</v>
      </c>
      <c r="K1712" s="264" t="s">
        <v>2025</v>
      </c>
      <c r="L1712" s="1" t="str">
        <f>VLOOKUP(Advices[[#This Row],[LC Number]],'Combine_List'!A:D,2,0)</f>
        <v>SAUDI HEPCO CO LTD</v>
      </c>
      <c r="M1712" s="447" t="str">
        <f>VLOOKUP(Advices[[#This Row],[LC Number]],'Combine_List'!A:D,3,0)</f>
        <v>FIRST FIX</v>
      </c>
      <c r="N1712" s="447" t="str">
        <f>VLOOKUP(Advices[[#This Row],[LC Number]],'Combine_List'!A:D,4,0)</f>
        <v>RCRC</v>
      </c>
      <c r="O1712" s="1"/>
      <c r="P1712" s="1">
        <f>MONTH(Advices[[#This Row],[Transaction Date]])</f>
        <v>2</v>
      </c>
      <c r="Q1712" s="1">
        <f>YEAR(Advices[[#This Row],[Transaction Date]])</f>
        <v>2026</v>
      </c>
      <c r="R1712" s="1"/>
    </row>
    <row r="1713" spans="1:18" hidden="1" x14ac:dyDescent="0.25">
      <c r="A1713" s="264" t="s">
        <v>612</v>
      </c>
      <c r="B1713" s="265">
        <v>46057</v>
      </c>
      <c r="C1713" s="264" t="s">
        <v>2101</v>
      </c>
      <c r="D1713" s="300" t="s">
        <v>3989</v>
      </c>
      <c r="E1713" s="300" t="s">
        <v>1822</v>
      </c>
      <c r="F1713" s="300" t="s">
        <v>2041</v>
      </c>
      <c r="G1713" s="264" t="s">
        <v>26</v>
      </c>
      <c r="H1713" s="368">
        <v>500</v>
      </c>
      <c r="I1713" s="368">
        <v>0</v>
      </c>
      <c r="J1713" s="264" t="s">
        <v>1124</v>
      </c>
      <c r="K1713" s="264" t="s">
        <v>2025</v>
      </c>
      <c r="L1713" s="1" t="str">
        <f>VLOOKUP(Advices[[#This Row],[LC Number]],'Combine_List'!A:D,2,0)</f>
        <v>SAUDI HEPCO CO LTD</v>
      </c>
      <c r="M1713" s="447" t="str">
        <f>VLOOKUP(Advices[[#This Row],[LC Number]],'Combine_List'!A:D,3,0)</f>
        <v>FIRST FIX</v>
      </c>
      <c r="N1713" s="447" t="str">
        <f>VLOOKUP(Advices[[#This Row],[LC Number]],'Combine_List'!A:D,4,0)</f>
        <v>RCRC</v>
      </c>
      <c r="O1713" s="1"/>
      <c r="P1713" s="1">
        <f>MONTH(Advices[[#This Row],[Transaction Date]])</f>
        <v>2</v>
      </c>
      <c r="Q1713" s="1">
        <f>YEAR(Advices[[#This Row],[Transaction Date]])</f>
        <v>2026</v>
      </c>
      <c r="R1713" s="1"/>
    </row>
    <row r="1714" spans="1:18" hidden="1" x14ac:dyDescent="0.25">
      <c r="A1714" s="264" t="s">
        <v>612</v>
      </c>
      <c r="B1714" s="265">
        <v>46057</v>
      </c>
      <c r="C1714" s="264" t="s">
        <v>2101</v>
      </c>
      <c r="D1714" s="300" t="s">
        <v>3990</v>
      </c>
      <c r="E1714" s="300" t="s">
        <v>1822</v>
      </c>
      <c r="F1714" s="300" t="s">
        <v>2041</v>
      </c>
      <c r="G1714" s="264" t="s">
        <v>26</v>
      </c>
      <c r="H1714" s="368">
        <v>75</v>
      </c>
      <c r="I1714" s="368">
        <v>0</v>
      </c>
      <c r="J1714" s="264" t="s">
        <v>1174</v>
      </c>
      <c r="K1714" s="264" t="s">
        <v>2025</v>
      </c>
      <c r="L1714" s="1" t="str">
        <f>VLOOKUP(Advices[[#This Row],[LC Number]],'Combine_List'!A:D,2,0)</f>
        <v>SAUDI HEPCO CO LTD</v>
      </c>
      <c r="M1714" s="447" t="str">
        <f>VLOOKUP(Advices[[#This Row],[LC Number]],'Combine_List'!A:D,3,0)</f>
        <v>FIRST FIX</v>
      </c>
      <c r="N1714" s="447" t="str">
        <f>VLOOKUP(Advices[[#This Row],[LC Number]],'Combine_List'!A:D,4,0)</f>
        <v>RCRC</v>
      </c>
      <c r="O1714" s="264"/>
      <c r="P1714" s="264">
        <f>MONTH(Advices[[#This Row],[Transaction Date]])</f>
        <v>2</v>
      </c>
      <c r="Q1714" s="264">
        <f>YEAR(Advices[[#This Row],[Transaction Date]])</f>
        <v>2026</v>
      </c>
      <c r="R1714" s="1"/>
    </row>
    <row r="1715" spans="1:18" hidden="1" x14ac:dyDescent="0.25">
      <c r="A1715" s="264" t="s">
        <v>366</v>
      </c>
      <c r="B1715" s="265">
        <v>46058</v>
      </c>
      <c r="C1715" s="264" t="s">
        <v>2060</v>
      </c>
      <c r="D1715" s="300" t="s">
        <v>4000</v>
      </c>
      <c r="E1715" s="300" t="s">
        <v>1609</v>
      </c>
      <c r="F1715" s="300" t="s">
        <v>3458</v>
      </c>
      <c r="G1715" s="264" t="s">
        <v>26</v>
      </c>
      <c r="H1715" s="368">
        <v>137792.10999999999</v>
      </c>
      <c r="I1715" s="368">
        <v>0</v>
      </c>
      <c r="J1715" s="264" t="s">
        <v>1126</v>
      </c>
      <c r="K1715" s="264" t="s">
        <v>2025</v>
      </c>
      <c r="L1715" s="1" t="str">
        <f>VLOOKUP(Advices[[#This Row],[LC Number]],'Combine_List'!A:D,2,0)</f>
        <v>BROOQ ALAMAAN TRAD COMPANY</v>
      </c>
      <c r="M1715" s="447" t="str">
        <f>VLOOKUP(Advices[[#This Row],[LC Number]],'Combine_List'!A:D,3,0)</f>
        <v>FIRST FIX</v>
      </c>
      <c r="N1715" s="447" t="str">
        <f>VLOOKUP(Advices[[#This Row],[LC Number]],'Combine_List'!A:D,4,0)</f>
        <v>MP1</v>
      </c>
      <c r="O1715" s="264"/>
      <c r="P1715" s="264">
        <f>MONTH(Advices[[#This Row],[Transaction Date]])</f>
        <v>2</v>
      </c>
      <c r="Q1715" s="264">
        <f>YEAR(Advices[[#This Row],[Transaction Date]])</f>
        <v>2026</v>
      </c>
      <c r="R1715" s="1"/>
    </row>
    <row r="1716" spans="1:18" hidden="1" x14ac:dyDescent="0.25">
      <c r="A1716" s="264" t="s">
        <v>612</v>
      </c>
      <c r="B1716" s="265">
        <v>46058</v>
      </c>
      <c r="C1716" s="264" t="s">
        <v>2101</v>
      </c>
      <c r="D1716" s="300" t="s">
        <v>4001</v>
      </c>
      <c r="E1716" s="300" t="s">
        <v>3569</v>
      </c>
      <c r="F1716" s="300" t="s">
        <v>2041</v>
      </c>
      <c r="G1716" s="264" t="s">
        <v>26</v>
      </c>
      <c r="H1716" s="368">
        <v>100</v>
      </c>
      <c r="I1716" s="368">
        <v>0</v>
      </c>
      <c r="J1716" s="264" t="s">
        <v>1125</v>
      </c>
      <c r="K1716" s="264" t="s">
        <v>2025</v>
      </c>
      <c r="L1716" s="1" t="str">
        <f>VLOOKUP(Advices[[#This Row],[LC Number]],'Combine_List'!A:D,2,0)</f>
        <v>United Park Co.</v>
      </c>
      <c r="M1716" s="447" t="str">
        <f>VLOOKUP(Advices[[#This Row],[LC Number]],'Combine_List'!A:D,3,0)</f>
        <v>FIRST FIX</v>
      </c>
      <c r="N1716" s="447" t="str">
        <f>VLOOKUP(Advices[[#This Row],[LC Number]],'Combine_List'!A:D,4,0)</f>
        <v>RCRC</v>
      </c>
      <c r="O1716" s="1"/>
      <c r="P1716" s="1">
        <f>MONTH(Advices[[#This Row],[Transaction Date]])</f>
        <v>2</v>
      </c>
      <c r="Q1716" s="1">
        <f>YEAR(Advices[[#This Row],[Transaction Date]])</f>
        <v>2026</v>
      </c>
      <c r="R1716" s="1"/>
    </row>
    <row r="1717" spans="1:18" hidden="1" x14ac:dyDescent="0.25">
      <c r="A1717" s="264" t="s">
        <v>612</v>
      </c>
      <c r="B1717" s="265">
        <v>46058</v>
      </c>
      <c r="C1717" s="264" t="s">
        <v>2101</v>
      </c>
      <c r="D1717" s="300" t="s">
        <v>4002</v>
      </c>
      <c r="E1717" s="300" t="s">
        <v>3569</v>
      </c>
      <c r="F1717" s="300" t="s">
        <v>2041</v>
      </c>
      <c r="G1717" s="264" t="s">
        <v>26</v>
      </c>
      <c r="H1717" s="368">
        <v>15</v>
      </c>
      <c r="I1717" s="368">
        <v>0</v>
      </c>
      <c r="J1717" s="264" t="s">
        <v>1174</v>
      </c>
      <c r="K1717" s="264" t="s">
        <v>2025</v>
      </c>
      <c r="L1717" s="1" t="str">
        <f>VLOOKUP(Advices[[#This Row],[LC Number]],'Combine_List'!A:D,2,0)</f>
        <v>United Park Co.</v>
      </c>
      <c r="M1717" s="447" t="str">
        <f>VLOOKUP(Advices[[#This Row],[LC Number]],'Combine_List'!A:D,3,0)</f>
        <v>FIRST FIX</v>
      </c>
      <c r="N1717" s="447" t="str">
        <f>VLOOKUP(Advices[[#This Row],[LC Number]],'Combine_List'!A:D,4,0)</f>
        <v>RCRC</v>
      </c>
      <c r="O1717" s="1"/>
      <c r="P1717" s="1">
        <f>MONTH(Advices[[#This Row],[Transaction Date]])</f>
        <v>2</v>
      </c>
      <c r="Q1717" s="1">
        <f>YEAR(Advices[[#This Row],[Transaction Date]])</f>
        <v>2026</v>
      </c>
      <c r="R1717" s="1"/>
    </row>
    <row r="1718" spans="1:18" hidden="1" x14ac:dyDescent="0.25">
      <c r="A1718" s="264" t="s">
        <v>612</v>
      </c>
      <c r="B1718" s="265">
        <v>46058</v>
      </c>
      <c r="C1718" s="264" t="s">
        <v>2101</v>
      </c>
      <c r="D1718" s="300" t="s">
        <v>4003</v>
      </c>
      <c r="E1718" s="300" t="s">
        <v>3569</v>
      </c>
      <c r="F1718" s="300" t="s">
        <v>2041</v>
      </c>
      <c r="G1718" s="264" t="s">
        <v>26</v>
      </c>
      <c r="H1718" s="368">
        <v>315</v>
      </c>
      <c r="I1718" s="368">
        <v>0</v>
      </c>
      <c r="J1718" s="264" t="s">
        <v>1125</v>
      </c>
      <c r="K1718" s="264" t="s">
        <v>2025</v>
      </c>
      <c r="L1718" s="1" t="str">
        <f>VLOOKUP(Advices[[#This Row],[LC Number]],'Combine_List'!A:D,2,0)</f>
        <v>United Park Co.</v>
      </c>
      <c r="M1718" s="447" t="str">
        <f>VLOOKUP(Advices[[#This Row],[LC Number]],'Combine_List'!A:D,3,0)</f>
        <v>FIRST FIX</v>
      </c>
      <c r="N1718" s="447" t="str">
        <f>VLOOKUP(Advices[[#This Row],[LC Number]],'Combine_List'!A:D,4,0)</f>
        <v>RCRC</v>
      </c>
      <c r="O1718" s="1"/>
      <c r="P1718" s="1">
        <f>MONTH(Advices[[#This Row],[Transaction Date]])</f>
        <v>2</v>
      </c>
      <c r="Q1718" s="1">
        <f>YEAR(Advices[[#This Row],[Transaction Date]])</f>
        <v>2026</v>
      </c>
      <c r="R1718" s="1"/>
    </row>
    <row r="1719" spans="1:18" hidden="1" x14ac:dyDescent="0.25">
      <c r="A1719" s="264" t="s">
        <v>612</v>
      </c>
      <c r="B1719" s="265">
        <v>46058</v>
      </c>
      <c r="C1719" s="264" t="s">
        <v>2101</v>
      </c>
      <c r="D1719" s="300" t="s">
        <v>4004</v>
      </c>
      <c r="E1719" s="300" t="s">
        <v>3569</v>
      </c>
      <c r="F1719" s="300" t="s">
        <v>2041</v>
      </c>
      <c r="G1719" s="264" t="s">
        <v>26</v>
      </c>
      <c r="H1719" s="368">
        <v>47.25</v>
      </c>
      <c r="I1719" s="368">
        <v>0</v>
      </c>
      <c r="J1719" s="264" t="s">
        <v>1174</v>
      </c>
      <c r="K1719" s="264" t="s">
        <v>2025</v>
      </c>
      <c r="L1719" s="1" t="str">
        <f>VLOOKUP(Advices[[#This Row],[LC Number]],'Combine_List'!A:D,2,0)</f>
        <v>United Park Co.</v>
      </c>
      <c r="M1719" s="447" t="str">
        <f>VLOOKUP(Advices[[#This Row],[LC Number]],'Combine_List'!A:D,3,0)</f>
        <v>FIRST FIX</v>
      </c>
      <c r="N1719" s="447" t="str">
        <f>VLOOKUP(Advices[[#This Row],[LC Number]],'Combine_List'!A:D,4,0)</f>
        <v>RCRC</v>
      </c>
      <c r="O1719" s="1"/>
      <c r="P1719" s="1">
        <f>MONTH(Advices[[#This Row],[Transaction Date]])</f>
        <v>2</v>
      </c>
      <c r="Q1719" s="1">
        <f>YEAR(Advices[[#This Row],[Transaction Date]])</f>
        <v>2026</v>
      </c>
      <c r="R1719" s="1"/>
    </row>
    <row r="1720" spans="1:18" hidden="1" x14ac:dyDescent="0.25">
      <c r="A1720" s="264" t="s">
        <v>612</v>
      </c>
      <c r="B1720" s="265">
        <v>46058</v>
      </c>
      <c r="C1720" s="264" t="s">
        <v>2101</v>
      </c>
      <c r="D1720" s="300" t="s">
        <v>4005</v>
      </c>
      <c r="E1720" s="300" t="s">
        <v>3569</v>
      </c>
      <c r="F1720" s="300" t="s">
        <v>2041</v>
      </c>
      <c r="G1720" s="264" t="s">
        <v>26</v>
      </c>
      <c r="H1720" s="368">
        <v>200</v>
      </c>
      <c r="I1720" s="368">
        <v>0</v>
      </c>
      <c r="J1720" s="264" t="s">
        <v>1125</v>
      </c>
      <c r="K1720" s="264" t="s">
        <v>2025</v>
      </c>
      <c r="L1720" s="1" t="str">
        <f>VLOOKUP(Advices[[#This Row],[LC Number]],'Combine_List'!A:D,2,0)</f>
        <v>United Park Co.</v>
      </c>
      <c r="M1720" s="447" t="str">
        <f>VLOOKUP(Advices[[#This Row],[LC Number]],'Combine_List'!A:D,3,0)</f>
        <v>FIRST FIX</v>
      </c>
      <c r="N1720" s="447" t="str">
        <f>VLOOKUP(Advices[[#This Row],[LC Number]],'Combine_List'!A:D,4,0)</f>
        <v>RCRC</v>
      </c>
      <c r="O1720" s="1"/>
      <c r="P1720" s="1">
        <f>MONTH(Advices[[#This Row],[Transaction Date]])</f>
        <v>2</v>
      </c>
      <c r="Q1720" s="1">
        <f>YEAR(Advices[[#This Row],[Transaction Date]])</f>
        <v>2026</v>
      </c>
      <c r="R1720" s="1"/>
    </row>
    <row r="1721" spans="1:18" hidden="1" x14ac:dyDescent="0.25">
      <c r="A1721" s="264" t="s">
        <v>612</v>
      </c>
      <c r="B1721" s="265">
        <v>46058</v>
      </c>
      <c r="C1721" s="264" t="s">
        <v>2101</v>
      </c>
      <c r="D1721" s="300" t="s">
        <v>4006</v>
      </c>
      <c r="E1721" s="300" t="s">
        <v>3569</v>
      </c>
      <c r="F1721" s="300" t="s">
        <v>2041</v>
      </c>
      <c r="G1721" s="264" t="s">
        <v>26</v>
      </c>
      <c r="H1721" s="368">
        <v>30</v>
      </c>
      <c r="I1721" s="368">
        <v>0</v>
      </c>
      <c r="J1721" s="264" t="s">
        <v>1174</v>
      </c>
      <c r="K1721" s="264" t="s">
        <v>2025</v>
      </c>
      <c r="L1721" s="1" t="str">
        <f>VLOOKUP(Advices[[#This Row],[LC Number]],'Combine_List'!A:D,2,0)</f>
        <v>United Park Co.</v>
      </c>
      <c r="M1721" s="447" t="str">
        <f>VLOOKUP(Advices[[#This Row],[LC Number]],'Combine_List'!A:D,3,0)</f>
        <v>FIRST FIX</v>
      </c>
      <c r="N1721" s="447" t="str">
        <f>VLOOKUP(Advices[[#This Row],[LC Number]],'Combine_List'!A:D,4,0)</f>
        <v>RCRC</v>
      </c>
      <c r="O1721" s="264"/>
      <c r="P1721" s="264">
        <f>MONTH(Advices[[#This Row],[Transaction Date]])</f>
        <v>2</v>
      </c>
      <c r="Q1721" s="264">
        <f>YEAR(Advices[[#This Row],[Transaction Date]])</f>
        <v>2026</v>
      </c>
      <c r="R1721" s="1"/>
    </row>
    <row r="1722" spans="1:18" x14ac:dyDescent="0.25">
      <c r="A1722" s="264" t="s">
        <v>21</v>
      </c>
      <c r="B1722" s="265">
        <v>46061</v>
      </c>
      <c r="C1722" s="264" t="s">
        <v>1951</v>
      </c>
      <c r="D1722" s="300" t="s">
        <v>4017</v>
      </c>
      <c r="E1722" s="300" t="s">
        <v>1767</v>
      </c>
      <c r="F1722" s="300" t="s">
        <v>1767</v>
      </c>
      <c r="G1722" s="264" t="s">
        <v>26</v>
      </c>
      <c r="H1722" s="368">
        <v>37.5</v>
      </c>
      <c r="I1722" s="368">
        <v>0</v>
      </c>
      <c r="J1722" s="264" t="s">
        <v>1174</v>
      </c>
      <c r="K1722" s="264" t="s">
        <v>2025</v>
      </c>
      <c r="L1722" s="1" t="str">
        <f>VLOOKUP(Advices[[#This Row],[LC Number]],'Combine_List'!A:D,2,0)</f>
        <v>Al Arabia Construction &amp; Building Co.</v>
      </c>
      <c r="M1722" s="447" t="str">
        <f>VLOOKUP(Advices[[#This Row],[LC Number]],'Combine_List'!A:D,3,0)</f>
        <v>MBL</v>
      </c>
      <c r="N1722" s="447" t="str">
        <f>VLOOKUP(Advices[[#This Row],[LC Number]],'Combine_List'!A:D,4,0)</f>
        <v>Rabigh Power Plant</v>
      </c>
      <c r="O1722" s="1"/>
      <c r="P1722" s="1">
        <f>MONTH(Advices[[#This Row],[Transaction Date]])</f>
        <v>2</v>
      </c>
      <c r="Q1722" s="1">
        <f>YEAR(Advices[[#This Row],[Transaction Date]])</f>
        <v>2026</v>
      </c>
      <c r="R1722" s="1"/>
    </row>
    <row r="1723" spans="1:18" x14ac:dyDescent="0.25">
      <c r="A1723" s="264" t="s">
        <v>21</v>
      </c>
      <c r="B1723" s="265">
        <v>46061</v>
      </c>
      <c r="C1723" s="264" t="s">
        <v>1951</v>
      </c>
      <c r="D1723" s="300" t="s">
        <v>2867</v>
      </c>
      <c r="E1723" s="300" t="s">
        <v>1767</v>
      </c>
      <c r="F1723" s="300" t="s">
        <v>1767</v>
      </c>
      <c r="G1723" s="264" t="s">
        <v>26</v>
      </c>
      <c r="H1723" s="368">
        <v>250</v>
      </c>
      <c r="I1723" s="368">
        <v>0</v>
      </c>
      <c r="J1723" s="264" t="s">
        <v>1963</v>
      </c>
      <c r="K1723" s="264" t="s">
        <v>2025</v>
      </c>
      <c r="L1723" s="1" t="str">
        <f>VLOOKUP(Advices[[#This Row],[LC Number]],'Combine_List'!A:D,2,0)</f>
        <v>Al Arabia Construction &amp; Building Co.</v>
      </c>
      <c r="M1723" s="447" t="str">
        <f>VLOOKUP(Advices[[#This Row],[LC Number]],'Combine_List'!A:D,3,0)</f>
        <v>MBL</v>
      </c>
      <c r="N1723" s="447" t="str">
        <f>VLOOKUP(Advices[[#This Row],[LC Number]],'Combine_List'!A:D,4,0)</f>
        <v>Rabigh Power Plant</v>
      </c>
      <c r="O1723" s="1"/>
      <c r="P1723" s="1">
        <f>MONTH(Advices[[#This Row],[Transaction Date]])</f>
        <v>2</v>
      </c>
      <c r="Q1723" s="1">
        <f>YEAR(Advices[[#This Row],[Transaction Date]])</f>
        <v>2026</v>
      </c>
      <c r="R1723" s="1"/>
    </row>
    <row r="1724" spans="1:18" x14ac:dyDescent="0.25">
      <c r="A1724" s="264" t="s">
        <v>21</v>
      </c>
      <c r="B1724" s="265">
        <v>46061</v>
      </c>
      <c r="C1724" s="264" t="s">
        <v>1951</v>
      </c>
      <c r="D1724" s="300" t="s">
        <v>4017</v>
      </c>
      <c r="E1724" s="300" t="s">
        <v>1767</v>
      </c>
      <c r="F1724" s="300" t="s">
        <v>1767</v>
      </c>
      <c r="G1724" s="264" t="s">
        <v>26</v>
      </c>
      <c r="H1724" s="368">
        <v>390.85</v>
      </c>
      <c r="I1724" s="368">
        <v>0</v>
      </c>
      <c r="J1724" s="264" t="s">
        <v>1174</v>
      </c>
      <c r="K1724" s="264" t="s">
        <v>2025</v>
      </c>
      <c r="L1724" s="1" t="str">
        <f>VLOOKUP(Advices[[#This Row],[LC Number]],'Combine_List'!A:D,2,0)</f>
        <v>Al Arabia Construction &amp; Building Co.</v>
      </c>
      <c r="M1724" s="447" t="str">
        <f>VLOOKUP(Advices[[#This Row],[LC Number]],'Combine_List'!A:D,3,0)</f>
        <v>MBL</v>
      </c>
      <c r="N1724" s="447" t="str">
        <f>VLOOKUP(Advices[[#This Row],[LC Number]],'Combine_List'!A:D,4,0)</f>
        <v>Rabigh Power Plant</v>
      </c>
      <c r="O1724" s="1"/>
      <c r="P1724" s="1">
        <f>MONTH(Advices[[#This Row],[Transaction Date]])</f>
        <v>2</v>
      </c>
      <c r="Q1724" s="1">
        <f>YEAR(Advices[[#This Row],[Transaction Date]])</f>
        <v>2026</v>
      </c>
      <c r="R1724" s="1"/>
    </row>
    <row r="1725" spans="1:18" x14ac:dyDescent="0.25">
      <c r="A1725" s="264" t="s">
        <v>21</v>
      </c>
      <c r="B1725" s="265">
        <v>46061</v>
      </c>
      <c r="C1725" s="264" t="s">
        <v>1951</v>
      </c>
      <c r="D1725" s="300" t="s">
        <v>2869</v>
      </c>
      <c r="E1725" s="300" t="s">
        <v>1767</v>
      </c>
      <c r="F1725" s="300" t="s">
        <v>1767</v>
      </c>
      <c r="G1725" s="264" t="s">
        <v>26</v>
      </c>
      <c r="H1725" s="368">
        <v>2605.6799999999998</v>
      </c>
      <c r="I1725" s="368">
        <v>0</v>
      </c>
      <c r="J1725" s="264" t="s">
        <v>1124</v>
      </c>
      <c r="K1725" s="264" t="s">
        <v>2025</v>
      </c>
      <c r="L1725" s="1" t="str">
        <f>VLOOKUP(Advices[[#This Row],[LC Number]],'Combine_List'!A:D,2,0)</f>
        <v>Al Arabia Construction &amp; Building Co.</v>
      </c>
      <c r="M1725" s="447" t="str">
        <f>VLOOKUP(Advices[[#This Row],[LC Number]],'Combine_List'!A:D,3,0)</f>
        <v>MBL</v>
      </c>
      <c r="N1725" s="447" t="str">
        <f>VLOOKUP(Advices[[#This Row],[LC Number]],'Combine_List'!A:D,4,0)</f>
        <v>Rabigh Power Plant</v>
      </c>
      <c r="O1725" s="1"/>
      <c r="P1725" s="1">
        <f>MONTH(Advices[[#This Row],[Transaction Date]])</f>
        <v>2</v>
      </c>
      <c r="Q1725" s="1">
        <f>YEAR(Advices[[#This Row],[Transaction Date]])</f>
        <v>2026</v>
      </c>
      <c r="R1725" s="1"/>
    </row>
    <row r="1726" spans="1:18" x14ac:dyDescent="0.25">
      <c r="A1726" s="264" t="s">
        <v>21</v>
      </c>
      <c r="B1726" s="265">
        <v>46061</v>
      </c>
      <c r="C1726" s="264" t="s">
        <v>1951</v>
      </c>
      <c r="D1726" s="300" t="s">
        <v>4018</v>
      </c>
      <c r="E1726" s="300" t="s">
        <v>1896</v>
      </c>
      <c r="F1726" s="300" t="s">
        <v>1896</v>
      </c>
      <c r="G1726" s="264" t="s">
        <v>26</v>
      </c>
      <c r="H1726" s="368">
        <v>37.5</v>
      </c>
      <c r="I1726" s="368">
        <v>0</v>
      </c>
      <c r="J1726" s="264" t="s">
        <v>1174</v>
      </c>
      <c r="K1726" s="264" t="s">
        <v>2025</v>
      </c>
      <c r="L1726" s="1" t="str">
        <f>VLOOKUP(Advices[[#This Row],[LC Number]],'Combine_List'!A:D,2,0)</f>
        <v>Saudi Perfect Pumps Trading &amp; Manufacturing Company</v>
      </c>
      <c r="M1726" s="447" t="str">
        <f>VLOOKUP(Advices[[#This Row],[LC Number]],'Combine_List'!A:D,3,0)</f>
        <v>MBL</v>
      </c>
      <c r="N1726" s="447" t="str">
        <f>VLOOKUP(Advices[[#This Row],[LC Number]],'Combine_List'!A:D,4,0)</f>
        <v>Rabigh Power Plant</v>
      </c>
      <c r="O1726" s="1"/>
      <c r="P1726" s="1">
        <f>MONTH(Advices[[#This Row],[Transaction Date]])</f>
        <v>2</v>
      </c>
      <c r="Q1726" s="1">
        <f>YEAR(Advices[[#This Row],[Transaction Date]])</f>
        <v>2026</v>
      </c>
      <c r="R1726" s="1"/>
    </row>
    <row r="1727" spans="1:18" x14ac:dyDescent="0.25">
      <c r="A1727" s="264" t="s">
        <v>21</v>
      </c>
      <c r="B1727" s="265">
        <v>46061</v>
      </c>
      <c r="C1727" s="264" t="s">
        <v>1951</v>
      </c>
      <c r="D1727" s="300" t="s">
        <v>2291</v>
      </c>
      <c r="E1727" s="300" t="s">
        <v>1896</v>
      </c>
      <c r="F1727" s="300" t="s">
        <v>1896</v>
      </c>
      <c r="G1727" s="264" t="s">
        <v>26</v>
      </c>
      <c r="H1727" s="368">
        <v>250</v>
      </c>
      <c r="I1727" s="368">
        <v>0</v>
      </c>
      <c r="J1727" s="264" t="s">
        <v>1963</v>
      </c>
      <c r="K1727" s="264" t="s">
        <v>2025</v>
      </c>
      <c r="L1727" s="1" t="str">
        <f>VLOOKUP(Advices[[#This Row],[LC Number]],'Combine_List'!A:D,2,0)</f>
        <v>Saudi Perfect Pumps Trading &amp; Manufacturing Company</v>
      </c>
      <c r="M1727" s="447" t="str">
        <f>VLOOKUP(Advices[[#This Row],[LC Number]],'Combine_List'!A:D,3,0)</f>
        <v>MBL</v>
      </c>
      <c r="N1727" s="447" t="str">
        <f>VLOOKUP(Advices[[#This Row],[LC Number]],'Combine_List'!A:D,4,0)</f>
        <v>Rabigh Power Plant</v>
      </c>
      <c r="O1727" s="1"/>
      <c r="P1727" s="1">
        <f>MONTH(Advices[[#This Row],[Transaction Date]])</f>
        <v>2</v>
      </c>
      <c r="Q1727" s="1">
        <f>YEAR(Advices[[#This Row],[Transaction Date]])</f>
        <v>2026</v>
      </c>
      <c r="R1727" s="1"/>
    </row>
    <row r="1728" spans="1:18" x14ac:dyDescent="0.25">
      <c r="A1728" s="264" t="s">
        <v>21</v>
      </c>
      <c r="B1728" s="265">
        <v>46061</v>
      </c>
      <c r="C1728" s="264" t="s">
        <v>1951</v>
      </c>
      <c r="D1728" s="300" t="s">
        <v>4018</v>
      </c>
      <c r="E1728" s="300" t="s">
        <v>1896</v>
      </c>
      <c r="F1728" s="300" t="s">
        <v>1896</v>
      </c>
      <c r="G1728" s="264" t="s">
        <v>26</v>
      </c>
      <c r="H1728" s="368">
        <v>2122.69</v>
      </c>
      <c r="I1728" s="368">
        <v>0</v>
      </c>
      <c r="J1728" s="264" t="s">
        <v>1174</v>
      </c>
      <c r="K1728" s="264" t="s">
        <v>2025</v>
      </c>
      <c r="L1728" s="1" t="str">
        <f>VLOOKUP(Advices[[#This Row],[LC Number]],'Combine_List'!A:D,2,0)</f>
        <v>Saudi Perfect Pumps Trading &amp; Manufacturing Company</v>
      </c>
      <c r="M1728" s="447" t="str">
        <f>VLOOKUP(Advices[[#This Row],[LC Number]],'Combine_List'!A:D,3,0)</f>
        <v>MBL</v>
      </c>
      <c r="N1728" s="447" t="str">
        <f>VLOOKUP(Advices[[#This Row],[LC Number]],'Combine_List'!A:D,4,0)</f>
        <v>Rabigh Power Plant</v>
      </c>
      <c r="O1728" s="1"/>
      <c r="P1728" s="1">
        <f>MONTH(Advices[[#This Row],[Transaction Date]])</f>
        <v>2</v>
      </c>
      <c r="Q1728" s="1">
        <f>YEAR(Advices[[#This Row],[Transaction Date]])</f>
        <v>2026</v>
      </c>
      <c r="R1728" s="1"/>
    </row>
    <row r="1729" spans="1:18" x14ac:dyDescent="0.25">
      <c r="A1729" s="264" t="s">
        <v>21</v>
      </c>
      <c r="B1729" s="265">
        <v>46061</v>
      </c>
      <c r="C1729" s="264" t="s">
        <v>1951</v>
      </c>
      <c r="D1729" s="300" t="s">
        <v>2292</v>
      </c>
      <c r="E1729" s="300" t="s">
        <v>1896</v>
      </c>
      <c r="F1729" s="300" t="s">
        <v>1896</v>
      </c>
      <c r="G1729" s="264" t="s">
        <v>26</v>
      </c>
      <c r="H1729" s="368">
        <v>14151.25</v>
      </c>
      <c r="I1729" s="368">
        <v>0</v>
      </c>
      <c r="J1729" s="264" t="s">
        <v>1124</v>
      </c>
      <c r="K1729" s="264" t="s">
        <v>2025</v>
      </c>
      <c r="L1729" s="1" t="str">
        <f>VLOOKUP(Advices[[#This Row],[LC Number]],'Combine_List'!A:D,2,0)</f>
        <v>Saudi Perfect Pumps Trading &amp; Manufacturing Company</v>
      </c>
      <c r="M1729" s="447" t="str">
        <f>VLOOKUP(Advices[[#This Row],[LC Number]],'Combine_List'!A:D,3,0)</f>
        <v>MBL</v>
      </c>
      <c r="N1729" s="447" t="str">
        <f>VLOOKUP(Advices[[#This Row],[LC Number]],'Combine_List'!A:D,4,0)</f>
        <v>Rabigh Power Plant</v>
      </c>
      <c r="O1729" s="1"/>
      <c r="P1729" s="1">
        <f>MONTH(Advices[[#This Row],[Transaction Date]])</f>
        <v>2</v>
      </c>
      <c r="Q1729" s="1">
        <f>YEAR(Advices[[#This Row],[Transaction Date]])</f>
        <v>2026</v>
      </c>
      <c r="R1729" s="1"/>
    </row>
    <row r="1730" spans="1:18" x14ac:dyDescent="0.25">
      <c r="A1730" s="264" t="s">
        <v>21</v>
      </c>
      <c r="B1730" s="265">
        <v>46061</v>
      </c>
      <c r="C1730" s="264" t="s">
        <v>1951</v>
      </c>
      <c r="D1730" s="300" t="s">
        <v>4019</v>
      </c>
      <c r="E1730" s="300" t="s">
        <v>3227</v>
      </c>
      <c r="F1730" s="300" t="s">
        <v>3227</v>
      </c>
      <c r="G1730" s="264" t="s">
        <v>26</v>
      </c>
      <c r="H1730" s="368">
        <v>45</v>
      </c>
      <c r="I1730" s="368">
        <v>0</v>
      </c>
      <c r="J1730" s="264" t="s">
        <v>1174</v>
      </c>
      <c r="K1730" s="264" t="s">
        <v>2025</v>
      </c>
      <c r="L1730" s="1" t="str">
        <f>VLOOKUP(Advices[[#This Row],[LC Number]],'Combine_List'!A:D,2,0)</f>
        <v>BBH-CHEMTROL INTERNATIONAL ORGANIZATION S.L</v>
      </c>
      <c r="M1730" s="447" t="str">
        <f>VLOOKUP(Advices[[#This Row],[LC Number]],'Combine_List'!A:D,3,0)</f>
        <v>ICAD</v>
      </c>
      <c r="N1730" s="447" t="str">
        <f>VLOOKUP(Advices[[#This Row],[LC Number]],'Combine_List'!A:D,4,0)</f>
        <v>KSP</v>
      </c>
      <c r="O1730" s="1"/>
      <c r="P1730" s="1">
        <f>MONTH(Advices[[#This Row],[Transaction Date]])</f>
        <v>2</v>
      </c>
      <c r="Q1730" s="1">
        <f>YEAR(Advices[[#This Row],[Transaction Date]])</f>
        <v>2026</v>
      </c>
      <c r="R1730" s="1"/>
    </row>
    <row r="1731" spans="1:18" x14ac:dyDescent="0.25">
      <c r="A1731" s="264" t="s">
        <v>21</v>
      </c>
      <c r="B1731" s="265">
        <v>46061</v>
      </c>
      <c r="C1731" s="264" t="s">
        <v>1951</v>
      </c>
      <c r="D1731" s="300" t="s">
        <v>3252</v>
      </c>
      <c r="E1731" s="300" t="s">
        <v>3227</v>
      </c>
      <c r="F1731" s="300" t="s">
        <v>3227</v>
      </c>
      <c r="G1731" s="264" t="s">
        <v>26</v>
      </c>
      <c r="H1731" s="368">
        <v>300</v>
      </c>
      <c r="I1731" s="368">
        <v>0</v>
      </c>
      <c r="J1731" s="264" t="s">
        <v>1176</v>
      </c>
      <c r="K1731" s="264" t="s">
        <v>2025</v>
      </c>
      <c r="L1731" s="1" t="str">
        <f>VLOOKUP(Advices[[#This Row],[LC Number]],'Combine_List'!A:D,2,0)</f>
        <v>BBH-CHEMTROL INTERNATIONAL ORGANIZATION S.L</v>
      </c>
      <c r="M1731" s="447" t="str">
        <f>VLOOKUP(Advices[[#This Row],[LC Number]],'Combine_List'!A:D,3,0)</f>
        <v>ICAD</v>
      </c>
      <c r="N1731" s="447" t="str">
        <f>VLOOKUP(Advices[[#This Row],[LC Number]],'Combine_List'!A:D,4,0)</f>
        <v>KSP</v>
      </c>
      <c r="O1731" s="264"/>
      <c r="P1731" s="264">
        <f>MONTH(Advices[[#This Row],[Transaction Date]])</f>
        <v>2</v>
      </c>
      <c r="Q1731" s="264">
        <f>YEAR(Advices[[#This Row],[Transaction Date]])</f>
        <v>2026</v>
      </c>
      <c r="R1731" s="1"/>
    </row>
    <row r="1732" spans="1:18" hidden="1" x14ac:dyDescent="0.25">
      <c r="A1732" s="264" t="s">
        <v>62</v>
      </c>
      <c r="B1732" s="265">
        <v>46061</v>
      </c>
      <c r="C1732" s="264" t="s">
        <v>2039</v>
      </c>
      <c r="D1732" s="300" t="s">
        <v>4020</v>
      </c>
      <c r="E1732" s="300" t="s">
        <v>3952</v>
      </c>
      <c r="F1732" s="300" t="s">
        <v>2041</v>
      </c>
      <c r="G1732" s="264" t="s">
        <v>26</v>
      </c>
      <c r="H1732" s="368">
        <v>816.5</v>
      </c>
      <c r="I1732" s="368">
        <v>0</v>
      </c>
      <c r="J1732" s="264"/>
      <c r="K1732" s="264" t="s">
        <v>2025</v>
      </c>
      <c r="L1732" s="1" t="str">
        <f>VLOOKUP(Advices[[#This Row],[LC Number]],'Combine_List'!A:D,2,0)</f>
        <v>Ideal Caliber Company</v>
      </c>
      <c r="M1732" s="447" t="str">
        <f>VLOOKUP(Advices[[#This Row],[LC Number]],'Combine_List'!A:D,3,0)</f>
        <v>FIRST FIX</v>
      </c>
      <c r="N1732" s="447" t="str">
        <f>VLOOKUP(Advices[[#This Row],[LC Number]],'Combine_List'!A:D,4,0)</f>
        <v>Oceanarium</v>
      </c>
      <c r="O1732" s="1"/>
      <c r="P1732" s="1">
        <f>MONTH(Advices[[#This Row],[Transaction Date]])</f>
        <v>2</v>
      </c>
      <c r="Q1732" s="1">
        <f>YEAR(Advices[[#This Row],[Transaction Date]])</f>
        <v>2026</v>
      </c>
      <c r="R1732" s="1"/>
    </row>
    <row r="1733" spans="1:18" hidden="1" x14ac:dyDescent="0.25">
      <c r="A1733" s="264" t="s">
        <v>62</v>
      </c>
      <c r="B1733" s="265">
        <v>46061</v>
      </c>
      <c r="C1733" s="264" t="s">
        <v>2716</v>
      </c>
      <c r="D1733" s="300" t="s">
        <v>4021</v>
      </c>
      <c r="E1733" s="300" t="s">
        <v>1534</v>
      </c>
      <c r="F1733" s="300" t="s">
        <v>2041</v>
      </c>
      <c r="G1733" s="264" t="s">
        <v>26</v>
      </c>
      <c r="H1733" s="368">
        <v>15315.7</v>
      </c>
      <c r="I1733" s="368">
        <v>0</v>
      </c>
      <c r="J1733" s="264" t="s">
        <v>2830</v>
      </c>
      <c r="K1733" s="264" t="s">
        <v>2025</v>
      </c>
      <c r="L1733" s="1" t="str">
        <f>VLOOKUP(Advices[[#This Row],[LC Number]],'Combine_List'!A:D,2,0)</f>
        <v>Performance - JEDDAH AIRPORTS COMPANY - JEDCO</v>
      </c>
      <c r="M1733" s="447" t="str">
        <f>VLOOKUP(Advices[[#This Row],[LC Number]],'Combine_List'!A:D,3,0)</f>
        <v>ICAD</v>
      </c>
      <c r="N1733" s="447">
        <f>VLOOKUP(Advices[[#This Row],[LC Number]],'Combine_List'!A:D,4,0)</f>
        <v>0</v>
      </c>
      <c r="O1733" s="1"/>
      <c r="P1733" s="1">
        <f>MONTH(Advices[[#This Row],[Transaction Date]])</f>
        <v>2</v>
      </c>
      <c r="Q1733" s="1">
        <f>YEAR(Advices[[#This Row],[Transaction Date]])</f>
        <v>2026</v>
      </c>
      <c r="R1733" s="1"/>
    </row>
    <row r="1734" spans="1:18" hidden="1" x14ac:dyDescent="0.25">
      <c r="A1734" s="264" t="s">
        <v>62</v>
      </c>
      <c r="B1734" s="265">
        <v>46061</v>
      </c>
      <c r="C1734" s="264" t="s">
        <v>2042</v>
      </c>
      <c r="D1734" s="300" t="s">
        <v>4022</v>
      </c>
      <c r="E1734" s="300" t="s">
        <v>1082</v>
      </c>
      <c r="F1734" s="300" t="s">
        <v>2041</v>
      </c>
      <c r="G1734" s="264" t="s">
        <v>26</v>
      </c>
      <c r="H1734" s="368">
        <v>75252.55</v>
      </c>
      <c r="I1734" s="368">
        <v>0</v>
      </c>
      <c r="J1734" s="264" t="s">
        <v>2830</v>
      </c>
      <c r="K1734" s="264" t="s">
        <v>2025</v>
      </c>
      <c r="L1734" s="1" t="str">
        <f>VLOOKUP(Advices[[#This Row],[LC Number]],'Combine_List'!A:D,2,0)</f>
        <v xml:space="preserve">Advance - JEDDAH CENTRAL DEVELOPMENT COMPANY (JCD) </v>
      </c>
      <c r="M1734" s="447">
        <f>VLOOKUP(Advices[[#This Row],[LC Number]],'Combine_List'!A:D,3,0)</f>
        <v>0</v>
      </c>
      <c r="N1734" s="447" t="str">
        <f>VLOOKUP(Advices[[#This Row],[LC Number]],'Combine_List'!A:D,4,0)</f>
        <v>JCD</v>
      </c>
      <c r="O1734" s="264"/>
      <c r="P1734" s="264">
        <f>MONTH(Advices[[#This Row],[Transaction Date]])</f>
        <v>2</v>
      </c>
      <c r="Q1734" s="264">
        <f>YEAR(Advices[[#This Row],[Transaction Date]])</f>
        <v>2026</v>
      </c>
      <c r="R1734" s="1"/>
    </row>
    <row r="1735" spans="1:18" hidden="1" x14ac:dyDescent="0.25">
      <c r="A1735" s="264" t="s">
        <v>95</v>
      </c>
      <c r="B1735" s="265">
        <v>46061</v>
      </c>
      <c r="C1735" s="264" t="s">
        <v>2026</v>
      </c>
      <c r="D1735" s="300" t="s">
        <v>4023</v>
      </c>
      <c r="E1735" s="300" t="s">
        <v>1550</v>
      </c>
      <c r="F1735" s="300" t="s">
        <v>2727</v>
      </c>
      <c r="G1735" s="264" t="s">
        <v>26</v>
      </c>
      <c r="H1735" s="368">
        <v>6331957.5</v>
      </c>
      <c r="I1735" s="368">
        <v>0</v>
      </c>
      <c r="J1735" s="264" t="s">
        <v>1126</v>
      </c>
      <c r="K1735" s="264" t="s">
        <v>2025</v>
      </c>
      <c r="L1735" s="1" t="str">
        <f>VLOOKUP(Advices[[#This Row],[LC Number]],'Combine_List'!A:D,2,0)</f>
        <v>Al Yamamah Company for Reinforcing Steel Bars</v>
      </c>
      <c r="M1735" s="447" t="str">
        <f>VLOOKUP(Advices[[#This Row],[LC Number]],'Combine_List'!A:D,3,0)</f>
        <v>MBL</v>
      </c>
      <c r="N1735" s="447" t="str">
        <f>VLOOKUP(Advices[[#This Row],[LC Number]],'Combine_List'!A:D,4,0)</f>
        <v>Oceanarium</v>
      </c>
      <c r="O1735" s="264"/>
      <c r="P1735" s="264">
        <f>MONTH(Advices[[#This Row],[Transaction Date]])</f>
        <v>2</v>
      </c>
      <c r="Q1735" s="264">
        <f>YEAR(Advices[[#This Row],[Transaction Date]])</f>
        <v>2026</v>
      </c>
      <c r="R1735" s="1"/>
    </row>
    <row r="1736" spans="1:18" hidden="1" x14ac:dyDescent="0.25">
      <c r="A1736" s="264" t="s">
        <v>366</v>
      </c>
      <c r="B1736" s="265">
        <v>46061</v>
      </c>
      <c r="C1736" s="264" t="s">
        <v>2060</v>
      </c>
      <c r="D1736" s="300" t="s">
        <v>4024</v>
      </c>
      <c r="E1736" s="300" t="s">
        <v>3265</v>
      </c>
      <c r="F1736" s="300" t="s">
        <v>4025</v>
      </c>
      <c r="G1736" s="264" t="s">
        <v>26</v>
      </c>
      <c r="H1736" s="368">
        <v>5610.71</v>
      </c>
      <c r="I1736" s="368">
        <v>0</v>
      </c>
      <c r="J1736" s="264" t="s">
        <v>1125</v>
      </c>
      <c r="K1736" s="264" t="s">
        <v>2025</v>
      </c>
      <c r="L1736" s="1" t="str">
        <f>VLOOKUP(Advices[[#This Row],[LC Number]],'Combine_List'!A:D,2,0)</f>
        <v>MASQ FOR ELECTRICAL TOOLS CO</v>
      </c>
      <c r="M1736" s="447" t="str">
        <f>VLOOKUP(Advices[[#This Row],[LC Number]],'Combine_List'!A:D,3,0)</f>
        <v>FIRST FIX</v>
      </c>
      <c r="N1736" s="447" t="str">
        <f>VLOOKUP(Advices[[#This Row],[LC Number]],'Combine_List'!A:D,4,0)</f>
        <v>MP1</v>
      </c>
      <c r="O1736" s="264"/>
      <c r="P1736" s="264">
        <f>MONTH(Advices[[#This Row],[Transaction Date]])</f>
        <v>2</v>
      </c>
      <c r="Q1736" s="264">
        <f>YEAR(Advices[[#This Row],[Transaction Date]])</f>
        <v>2026</v>
      </c>
      <c r="R1736" s="1"/>
    </row>
    <row r="1737" spans="1:18" hidden="1" x14ac:dyDescent="0.25">
      <c r="A1737" s="264" t="s">
        <v>612</v>
      </c>
      <c r="B1737" s="265">
        <v>46061</v>
      </c>
      <c r="C1737" s="264" t="s">
        <v>2101</v>
      </c>
      <c r="D1737" s="300" t="s">
        <v>4026</v>
      </c>
      <c r="E1737" s="300" t="s">
        <v>2396</v>
      </c>
      <c r="F1737" s="300" t="s">
        <v>2041</v>
      </c>
      <c r="G1737" s="264" t="s">
        <v>26</v>
      </c>
      <c r="H1737" s="368">
        <v>526125</v>
      </c>
      <c r="I1737" s="368">
        <v>0</v>
      </c>
      <c r="J1737" s="264" t="s">
        <v>1126</v>
      </c>
      <c r="K1737" s="264" t="s">
        <v>2025</v>
      </c>
      <c r="L1737" s="1" t="str">
        <f>VLOOKUP(Advices[[#This Row],[LC Number]],'Combine_List'!A:D,2,0)</f>
        <v>Saudi Benaa Company For Building Materials</v>
      </c>
      <c r="M1737" s="447" t="str">
        <f>VLOOKUP(Advices[[#This Row],[LC Number]],'Combine_List'!A:D,3,0)</f>
        <v>FIRST FIX</v>
      </c>
      <c r="N1737" s="447" t="str">
        <f>VLOOKUP(Advices[[#This Row],[LC Number]],'Combine_List'!A:D,4,0)</f>
        <v>RCRC</v>
      </c>
      <c r="O1737" s="264"/>
      <c r="P1737" s="264">
        <f>MONTH(Advices[[#This Row],[Transaction Date]])</f>
        <v>2</v>
      </c>
      <c r="Q1737" s="264">
        <f>YEAR(Advices[[#This Row],[Transaction Date]])</f>
        <v>2026</v>
      </c>
      <c r="R1737" s="1"/>
    </row>
    <row r="1738" spans="1:18" hidden="1" x14ac:dyDescent="0.25">
      <c r="A1738" s="264" t="s">
        <v>62</v>
      </c>
      <c r="B1738" s="265">
        <v>46062</v>
      </c>
      <c r="C1738" s="264" t="s">
        <v>2039</v>
      </c>
      <c r="D1738" s="300" t="s">
        <v>4029</v>
      </c>
      <c r="E1738" s="300" t="s">
        <v>3325</v>
      </c>
      <c r="F1738" s="300" t="s">
        <v>2041</v>
      </c>
      <c r="G1738" s="264" t="s">
        <v>26</v>
      </c>
      <c r="H1738" s="368">
        <v>2156.25</v>
      </c>
      <c r="I1738" s="368">
        <v>0</v>
      </c>
      <c r="J1738" s="264" t="s">
        <v>1125</v>
      </c>
      <c r="K1738" s="264" t="s">
        <v>2025</v>
      </c>
      <c r="L1738" s="1" t="str">
        <f>VLOOKUP(Advices[[#This Row],[LC Number]],'Combine_List'!A:D,2,0)</f>
        <v>National Marketing Est. Co. Ltd</v>
      </c>
      <c r="M1738" s="447" t="str">
        <f>VLOOKUP(Advices[[#This Row],[LC Number]],'Combine_List'!A:D,3,0)</f>
        <v>FIRST FIX</v>
      </c>
      <c r="N1738" s="447" t="str">
        <f>VLOOKUP(Advices[[#This Row],[LC Number]],'Combine_List'!A:D,4,0)</f>
        <v>Oceanarium</v>
      </c>
      <c r="O1738" s="1"/>
      <c r="P1738" s="1">
        <f>MONTH(Advices[[#This Row],[Transaction Date]])</f>
        <v>2</v>
      </c>
      <c r="Q1738" s="1">
        <f>YEAR(Advices[[#This Row],[Transaction Date]])</f>
        <v>2026</v>
      </c>
      <c r="R1738" s="1"/>
    </row>
    <row r="1739" spans="1:18" hidden="1" x14ac:dyDescent="0.25">
      <c r="A1739" s="264" t="s">
        <v>62</v>
      </c>
      <c r="B1739" s="265">
        <v>46062</v>
      </c>
      <c r="C1739" s="264" t="s">
        <v>2039</v>
      </c>
      <c r="D1739" s="300" t="s">
        <v>4030</v>
      </c>
      <c r="E1739" s="300" t="s">
        <v>4014</v>
      </c>
      <c r="F1739" s="300" t="s">
        <v>2041</v>
      </c>
      <c r="G1739" s="264" t="s">
        <v>26</v>
      </c>
      <c r="H1739" s="368">
        <v>14376.15</v>
      </c>
      <c r="I1739" s="368">
        <v>0</v>
      </c>
      <c r="J1739" s="264" t="s">
        <v>3947</v>
      </c>
      <c r="K1739" s="264" t="s">
        <v>2025</v>
      </c>
      <c r="L1739" s="1" t="str">
        <f>VLOOKUP(Advices[[#This Row],[LC Number]],'Combine_List'!A:D,2,0)</f>
        <v>Bid - KING SALMAN INTERNATIONAL AIRPORT (Frst Fix)</v>
      </c>
      <c r="M1739" s="447" t="str">
        <f>VLOOKUP(Advices[[#This Row],[LC Number]],'Combine_List'!A:D,3,0)</f>
        <v>First Fix/MBL</v>
      </c>
      <c r="N1739" s="447">
        <f>VLOOKUP(Advices[[#This Row],[LC Number]],'Combine_List'!A:D,4,0)</f>
        <v>0</v>
      </c>
      <c r="O1739" s="1"/>
      <c r="P1739" s="1">
        <f>MONTH(Advices[[#This Row],[Transaction Date]])</f>
        <v>2</v>
      </c>
      <c r="Q1739" s="1">
        <f>YEAR(Advices[[#This Row],[Transaction Date]])</f>
        <v>2026</v>
      </c>
      <c r="R1739" s="1"/>
    </row>
    <row r="1740" spans="1:18" hidden="1" x14ac:dyDescent="0.25">
      <c r="A1740" s="264" t="s">
        <v>62</v>
      </c>
      <c r="B1740" s="265">
        <v>46062</v>
      </c>
      <c r="C1740" s="264" t="s">
        <v>2039</v>
      </c>
      <c r="D1740" s="300" t="s">
        <v>4031</v>
      </c>
      <c r="E1740" s="1" t="s">
        <v>1934</v>
      </c>
      <c r="F1740" s="300" t="s">
        <v>2041</v>
      </c>
      <c r="G1740" s="264" t="s">
        <v>26</v>
      </c>
      <c r="H1740" s="368">
        <v>2355259.1800000002</v>
      </c>
      <c r="I1740" s="368">
        <v>0</v>
      </c>
      <c r="J1740" s="264" t="s">
        <v>1126</v>
      </c>
      <c r="K1740" s="264" t="s">
        <v>2025</v>
      </c>
      <c r="L1740" s="1" t="str">
        <f>VLOOKUP(Advices[[#This Row],[LC Number]],'Combine_List'!A:D,2,0)</f>
        <v>Mat Filtrasyon Teknolojeleri A.S</v>
      </c>
      <c r="M1740" s="447" t="str">
        <f>VLOOKUP(Advices[[#This Row],[LC Number]],'Combine_List'!A:D,3,0)</f>
        <v>MBL</v>
      </c>
      <c r="N1740" s="447" t="str">
        <f>VLOOKUP(Advices[[#This Row],[LC Number]],'Combine_List'!A:D,4,0)</f>
        <v>Oceanarium</v>
      </c>
      <c r="O1740" s="447">
        <f>VLOOKUP(Advices[[#This Row],[LC Number]],'Combine_List'!A:E,5,0)</f>
        <v>1020096</v>
      </c>
      <c r="P1740" s="447">
        <f>MONTH(Advices[[#This Row],[Transaction Date]])</f>
        <v>2</v>
      </c>
      <c r="Q1740" s="447">
        <f>YEAR(Advices[[#This Row],[Transaction Date]])</f>
        <v>2026</v>
      </c>
      <c r="R1740" s="1"/>
    </row>
    <row r="1741" spans="1:18" hidden="1" x14ac:dyDescent="0.25">
      <c r="A1741" s="264" t="s">
        <v>62</v>
      </c>
      <c r="B1741" s="265">
        <v>46062</v>
      </c>
      <c r="C1741" s="264" t="s">
        <v>2039</v>
      </c>
      <c r="D1741" s="300" t="s">
        <v>4032</v>
      </c>
      <c r="E1741" s="300" t="s">
        <v>3617</v>
      </c>
      <c r="F1741" s="300" t="s">
        <v>2041</v>
      </c>
      <c r="G1741" s="264" t="s">
        <v>26</v>
      </c>
      <c r="H1741" s="368">
        <v>4312.5</v>
      </c>
      <c r="I1741" s="368">
        <v>0</v>
      </c>
      <c r="J1741" s="264" t="s">
        <v>4038</v>
      </c>
      <c r="K1741" s="264" t="s">
        <v>2025</v>
      </c>
      <c r="L1741" s="1" t="str">
        <f>VLOOKUP(Advices[[#This Row],[LC Number]],'Combine_List'!A:D,2,0)</f>
        <v>Performance - CROWN PRINCE PRIVATE AFFAIRS (CPPA)</v>
      </c>
      <c r="M1741" s="447" t="str">
        <f>VLOOKUP(Advices[[#This Row],[LC Number]],'Combine_List'!A:D,3,0)</f>
        <v>IFAS</v>
      </c>
      <c r="N1741" s="447" t="str">
        <f>VLOOKUP(Advices[[#This Row],[LC Number]],'Combine_List'!A:D,4,0)</f>
        <v>L01</v>
      </c>
      <c r="O1741" s="1"/>
      <c r="P1741" s="1">
        <f>MONTH(Advices[[#This Row],[Transaction Date]])</f>
        <v>2</v>
      </c>
      <c r="Q1741" s="1">
        <f>YEAR(Advices[[#This Row],[Transaction Date]])</f>
        <v>2026</v>
      </c>
      <c r="R1741" s="1"/>
    </row>
    <row r="1742" spans="1:18" hidden="1" x14ac:dyDescent="0.25">
      <c r="A1742" s="264" t="s">
        <v>62</v>
      </c>
      <c r="B1742" s="265">
        <v>46062</v>
      </c>
      <c r="C1742" s="264" t="s">
        <v>2039</v>
      </c>
      <c r="D1742" s="300" t="s">
        <v>4033</v>
      </c>
      <c r="E1742" s="300" t="s">
        <v>1080</v>
      </c>
      <c r="F1742" s="300" t="s">
        <v>2041</v>
      </c>
      <c r="G1742" s="264" t="s">
        <v>26</v>
      </c>
      <c r="H1742" s="368">
        <v>43959.9</v>
      </c>
      <c r="I1742" s="368">
        <v>0</v>
      </c>
      <c r="J1742" s="264" t="s">
        <v>4039</v>
      </c>
      <c r="K1742" s="264" t="s">
        <v>2025</v>
      </c>
      <c r="L1742" s="1" t="str">
        <f>VLOOKUP(Advices[[#This Row],[LC Number]],'Combine_List'!A:D,2,0)</f>
        <v xml:space="preserve">Advance - JEDDAH CENTRAL DEVELOPMENT COMPANY (JCD) </v>
      </c>
      <c r="M1742" s="447">
        <f>VLOOKUP(Advices[[#This Row],[LC Number]],'Combine_List'!A:D,3,0)</f>
        <v>0</v>
      </c>
      <c r="N1742" s="447" t="str">
        <f>VLOOKUP(Advices[[#This Row],[LC Number]],'Combine_List'!A:D,4,0)</f>
        <v>JCD</v>
      </c>
      <c r="O1742" s="1"/>
      <c r="P1742" s="1">
        <f>MONTH(Advices[[#This Row],[Transaction Date]])</f>
        <v>2</v>
      </c>
      <c r="Q1742" s="1">
        <f>YEAR(Advices[[#This Row],[Transaction Date]])</f>
        <v>2026</v>
      </c>
      <c r="R1742" s="1"/>
    </row>
    <row r="1743" spans="1:18" hidden="1" x14ac:dyDescent="0.25">
      <c r="A1743" s="264" t="s">
        <v>62</v>
      </c>
      <c r="B1743" s="265">
        <v>46062</v>
      </c>
      <c r="C1743" s="264" t="s">
        <v>2039</v>
      </c>
      <c r="D1743" s="300" t="s">
        <v>4034</v>
      </c>
      <c r="E1743" s="300" t="s">
        <v>2238</v>
      </c>
      <c r="F1743" s="300" t="s">
        <v>2041</v>
      </c>
      <c r="G1743" s="264" t="s">
        <v>26</v>
      </c>
      <c r="H1743" s="368">
        <v>46004.6</v>
      </c>
      <c r="I1743" s="368">
        <v>0</v>
      </c>
      <c r="J1743" s="264" t="s">
        <v>4037</v>
      </c>
      <c r="K1743" s="264" t="s">
        <v>2025</v>
      </c>
      <c r="L1743" s="1" t="str">
        <f>VLOOKUP(Advices[[#This Row],[LC Number]],'Combine_List'!A:D,2,0)</f>
        <v>Retention - SAUDI ENTERTAINMENT VENTURES COMPANY (SEVEN)</v>
      </c>
      <c r="M1743" s="447">
        <f>VLOOKUP(Advices[[#This Row],[LC Number]],'Combine_List'!A:D,3,0)</f>
        <v>0</v>
      </c>
      <c r="N1743" s="447" t="str">
        <f>VLOOKUP(Advices[[#This Row],[LC Number]],'Combine_List'!A:D,4,0)</f>
        <v>ABHA</v>
      </c>
      <c r="O1743" s="1"/>
      <c r="P1743" s="1">
        <f>MONTH(Advices[[#This Row],[Transaction Date]])</f>
        <v>2</v>
      </c>
      <c r="Q1743" s="1">
        <f>YEAR(Advices[[#This Row],[Transaction Date]])</f>
        <v>2026</v>
      </c>
      <c r="R1743" s="1"/>
    </row>
    <row r="1744" spans="1:18" hidden="1" x14ac:dyDescent="0.25">
      <c r="A1744" s="264" t="s">
        <v>62</v>
      </c>
      <c r="B1744" s="265">
        <v>46062</v>
      </c>
      <c r="C1744" s="264" t="s">
        <v>2039</v>
      </c>
      <c r="D1744" s="300" t="s">
        <v>4035</v>
      </c>
      <c r="E1744" s="300" t="s">
        <v>1083</v>
      </c>
      <c r="F1744" s="300" t="s">
        <v>2041</v>
      </c>
      <c r="G1744" s="264" t="s">
        <v>26</v>
      </c>
      <c r="H1744" s="368">
        <v>285131</v>
      </c>
      <c r="I1744" s="368">
        <v>0</v>
      </c>
      <c r="J1744" s="264" t="s">
        <v>4038</v>
      </c>
      <c r="K1744" s="264" t="s">
        <v>2025</v>
      </c>
      <c r="L1744" s="1" t="str">
        <f>VLOOKUP(Advices[[#This Row],[LC Number]],'Combine_List'!A:D,2,0)</f>
        <v>Performance - JEDDAH CENTRAL DEVELOPMENT COMPANY</v>
      </c>
      <c r="M1744" s="447">
        <f>VLOOKUP(Advices[[#This Row],[LC Number]],'Combine_List'!A:D,3,0)</f>
        <v>0</v>
      </c>
      <c r="N1744" s="447" t="str">
        <f>VLOOKUP(Advices[[#This Row],[LC Number]],'Combine_List'!A:D,4,0)</f>
        <v>JCD</v>
      </c>
      <c r="O1744" s="264"/>
      <c r="P1744" s="264">
        <f>MONTH(Advices[[#This Row],[Transaction Date]])</f>
        <v>2</v>
      </c>
      <c r="Q1744" s="264">
        <f>YEAR(Advices[[#This Row],[Transaction Date]])</f>
        <v>2026</v>
      </c>
      <c r="R1744" s="1"/>
    </row>
    <row r="1745" spans="1:18" hidden="1" x14ac:dyDescent="0.25">
      <c r="A1745" s="264" t="s">
        <v>612</v>
      </c>
      <c r="B1745" s="265">
        <v>46062</v>
      </c>
      <c r="C1745" s="264" t="s">
        <v>2101</v>
      </c>
      <c r="D1745" s="300" t="s">
        <v>4036</v>
      </c>
      <c r="E1745" s="300" t="s">
        <v>1809</v>
      </c>
      <c r="F1745" s="300" t="s">
        <v>2041</v>
      </c>
      <c r="G1745" s="264" t="s">
        <v>26</v>
      </c>
      <c r="H1745" s="368">
        <v>70863</v>
      </c>
      <c r="I1745" s="368">
        <v>0</v>
      </c>
      <c r="J1745" s="264" t="s">
        <v>1126</v>
      </c>
      <c r="K1745" s="264" t="s">
        <v>2025</v>
      </c>
      <c r="L1745" s="1" t="str">
        <f>VLOOKUP(Advices[[#This Row],[LC Number]],'Combine_List'!A:D,2,0)</f>
        <v>EALAA FOR GENERAL CONTRACTING CO</v>
      </c>
      <c r="M1745" s="447" t="str">
        <f>VLOOKUP(Advices[[#This Row],[LC Number]],'Combine_List'!A:D,3,0)</f>
        <v>FIRST FIX</v>
      </c>
      <c r="N1745" s="447" t="str">
        <f>VLOOKUP(Advices[[#This Row],[LC Number]],'Combine_List'!A:D,4,0)</f>
        <v>RCRC</v>
      </c>
      <c r="O1745" s="264"/>
      <c r="P1745" s="264">
        <f>MONTH(Advices[[#This Row],[Transaction Date]])</f>
        <v>2</v>
      </c>
      <c r="Q1745" s="264">
        <f>YEAR(Advices[[#This Row],[Transaction Date]])</f>
        <v>2026</v>
      </c>
      <c r="R1745" s="1"/>
    </row>
    <row r="1746" spans="1:18" x14ac:dyDescent="0.25">
      <c r="A1746" s="264" t="s">
        <v>21</v>
      </c>
      <c r="B1746" s="265">
        <v>46063</v>
      </c>
      <c r="C1746" s="264" t="s">
        <v>1951</v>
      </c>
      <c r="D1746" s="300" t="s">
        <v>1952</v>
      </c>
      <c r="E1746" s="300" t="s">
        <v>2620</v>
      </c>
      <c r="F1746" s="300" t="s">
        <v>4041</v>
      </c>
      <c r="G1746" s="264" t="s">
        <v>26</v>
      </c>
      <c r="H1746" s="368">
        <v>187.5</v>
      </c>
      <c r="I1746" s="368">
        <v>0</v>
      </c>
      <c r="J1746" s="264" t="s">
        <v>1174</v>
      </c>
      <c r="K1746" s="264" t="s">
        <v>2025</v>
      </c>
      <c r="L1746" s="1" t="str">
        <f>VLOOKUP(Advices[[#This Row],[LC Number]],'Combine_List'!A:D,2,0)</f>
        <v>Mohammad Saleh Bahareth co.</v>
      </c>
      <c r="M1746" s="447" t="str">
        <f>VLOOKUP(Advices[[#This Row],[LC Number]],'Combine_List'!A:D,3,0)</f>
        <v>FIRST FIX</v>
      </c>
      <c r="N1746" s="447" t="str">
        <f>VLOOKUP(Advices[[#This Row],[LC Number]],'Combine_List'!A:D,4,0)</f>
        <v>KSP</v>
      </c>
      <c r="O1746" s="1"/>
      <c r="P1746" s="1">
        <f>MONTH(Advices[[#This Row],[Transaction Date]])</f>
        <v>2</v>
      </c>
      <c r="Q1746" s="1">
        <f>YEAR(Advices[[#This Row],[Transaction Date]])</f>
        <v>2026</v>
      </c>
      <c r="R1746" s="1"/>
    </row>
    <row r="1747" spans="1:18" x14ac:dyDescent="0.25">
      <c r="A1747" s="264" t="s">
        <v>21</v>
      </c>
      <c r="B1747" s="265">
        <v>46063</v>
      </c>
      <c r="C1747" s="264" t="s">
        <v>1951</v>
      </c>
      <c r="D1747" s="300" t="s">
        <v>4042</v>
      </c>
      <c r="E1747" s="300" t="s">
        <v>2620</v>
      </c>
      <c r="F1747" s="300" t="s">
        <v>4041</v>
      </c>
      <c r="G1747" s="264" t="s">
        <v>26</v>
      </c>
      <c r="H1747" s="368">
        <v>1250</v>
      </c>
      <c r="I1747" s="368">
        <v>0</v>
      </c>
      <c r="J1747" s="264" t="s">
        <v>1125</v>
      </c>
      <c r="K1747" s="264" t="s">
        <v>2025</v>
      </c>
      <c r="L1747" s="1" t="str">
        <f>VLOOKUP(Advices[[#This Row],[LC Number]],'Combine_List'!A:D,2,0)</f>
        <v>Mohammad Saleh Bahareth co.</v>
      </c>
      <c r="M1747" s="447" t="str">
        <f>VLOOKUP(Advices[[#This Row],[LC Number]],'Combine_List'!A:D,3,0)</f>
        <v>FIRST FIX</v>
      </c>
      <c r="N1747" s="447" t="str">
        <f>VLOOKUP(Advices[[#This Row],[LC Number]],'Combine_List'!A:D,4,0)</f>
        <v>KSP</v>
      </c>
      <c r="O1747" s="264"/>
      <c r="P1747" s="264">
        <f>MONTH(Advices[[#This Row],[Transaction Date]])</f>
        <v>2</v>
      </c>
      <c r="Q1747" s="264">
        <f>YEAR(Advices[[#This Row],[Transaction Date]])</f>
        <v>2026</v>
      </c>
      <c r="R1747" s="1"/>
    </row>
    <row r="1748" spans="1:18" hidden="1" x14ac:dyDescent="0.25">
      <c r="A1748" s="264" t="s">
        <v>62</v>
      </c>
      <c r="B1748" s="265">
        <v>46063</v>
      </c>
      <c r="C1748" s="264" t="s">
        <v>2039</v>
      </c>
      <c r="D1748" s="300" t="s">
        <v>4043</v>
      </c>
      <c r="E1748" s="300" t="s">
        <v>4014</v>
      </c>
      <c r="F1748" s="300" t="s">
        <v>2041</v>
      </c>
      <c r="G1748" s="264" t="s">
        <v>26</v>
      </c>
      <c r="H1748" s="368">
        <v>7188.65</v>
      </c>
      <c r="I1748" s="368">
        <v>0</v>
      </c>
      <c r="J1748" s="264" t="s">
        <v>3947</v>
      </c>
      <c r="K1748" s="264" t="s">
        <v>2025</v>
      </c>
      <c r="L1748" s="1" t="str">
        <f>VLOOKUP(Advices[[#This Row],[LC Number]],'Combine_List'!A:D,2,0)</f>
        <v>Bid - KING SALMAN INTERNATIONAL AIRPORT (Frst Fix)</v>
      </c>
      <c r="M1748" s="447" t="str">
        <f>VLOOKUP(Advices[[#This Row],[LC Number]],'Combine_List'!A:D,3,0)</f>
        <v>First Fix/MBL</v>
      </c>
      <c r="N1748" s="447">
        <f>VLOOKUP(Advices[[#This Row],[LC Number]],'Combine_List'!A:D,4,0)</f>
        <v>0</v>
      </c>
      <c r="O1748" s="264"/>
      <c r="P1748" s="264">
        <f>MONTH(Advices[[#This Row],[Transaction Date]])</f>
        <v>2</v>
      </c>
      <c r="Q1748" s="264">
        <f>YEAR(Advices[[#This Row],[Transaction Date]])</f>
        <v>2026</v>
      </c>
      <c r="R1748" s="1"/>
    </row>
    <row r="1749" spans="1:18" hidden="1" x14ac:dyDescent="0.25">
      <c r="A1749" s="264" t="s">
        <v>95</v>
      </c>
      <c r="B1749" s="265">
        <v>46063</v>
      </c>
      <c r="C1749" s="264" t="s">
        <v>2026</v>
      </c>
      <c r="D1749" s="300" t="s">
        <v>4044</v>
      </c>
      <c r="E1749" s="300" t="s">
        <v>1446</v>
      </c>
      <c r="F1749" s="300" t="s">
        <v>4045</v>
      </c>
      <c r="G1749" s="264" t="s">
        <v>26</v>
      </c>
      <c r="H1749" s="368">
        <v>2366.69</v>
      </c>
      <c r="I1749" s="368">
        <v>0</v>
      </c>
      <c r="J1749" s="264" t="s">
        <v>1125</v>
      </c>
      <c r="K1749" s="264" t="s">
        <v>2025</v>
      </c>
      <c r="L1749" s="1" t="str">
        <f>VLOOKUP(Advices[[#This Row],[LC Number]],'Combine_List'!A:D,2,0)</f>
        <v>Al Arabia Construction &amp; Building Co.</v>
      </c>
      <c r="M1749" s="447" t="str">
        <f>VLOOKUP(Advices[[#This Row],[LC Number]],'Combine_List'!A:D,3,0)</f>
        <v>MBL</v>
      </c>
      <c r="N1749" s="447" t="str">
        <f>VLOOKUP(Advices[[#This Row],[LC Number]],'Combine_List'!A:D,4,0)</f>
        <v>Rabigh Power Plant</v>
      </c>
      <c r="O1749" s="1"/>
      <c r="P1749" s="1">
        <f>MONTH(Advices[[#This Row],[Transaction Date]])</f>
        <v>2</v>
      </c>
      <c r="Q1749" s="1">
        <f>YEAR(Advices[[#This Row],[Transaction Date]])</f>
        <v>2026</v>
      </c>
      <c r="R1749" s="1"/>
    </row>
    <row r="1750" spans="1:18" hidden="1" x14ac:dyDescent="0.25">
      <c r="A1750" s="264" t="s">
        <v>95</v>
      </c>
      <c r="B1750" s="265">
        <v>46063</v>
      </c>
      <c r="C1750" s="264" t="s">
        <v>2026</v>
      </c>
      <c r="D1750" s="300" t="s">
        <v>4046</v>
      </c>
      <c r="E1750" s="300" t="s">
        <v>2562</v>
      </c>
      <c r="F1750" s="300" t="s">
        <v>2721</v>
      </c>
      <c r="G1750" s="264" t="s">
        <v>26</v>
      </c>
      <c r="H1750" s="368">
        <v>11269136.109999999</v>
      </c>
      <c r="I1750" s="368">
        <v>0</v>
      </c>
      <c r="J1750" s="264" t="s">
        <v>1126</v>
      </c>
      <c r="K1750" s="264" t="s">
        <v>2025</v>
      </c>
      <c r="L1750" s="1" t="str">
        <f>VLOOKUP(Advices[[#This Row],[LC Number]],'Combine_List'!A:D,2,0)</f>
        <v>ALNAFIE METAL INDUSTRIES CO LTD</v>
      </c>
      <c r="M1750" s="447" t="str">
        <f>VLOOKUP(Advices[[#This Row],[LC Number]],'Combine_List'!A:D,3,0)</f>
        <v>MBL/AICS</v>
      </c>
      <c r="N1750" s="447" t="str">
        <f>VLOOKUP(Advices[[#This Row],[LC Number]],'Combine_List'!A:D,4,0)</f>
        <v>OPERA House</v>
      </c>
      <c r="O1750" s="264"/>
      <c r="P1750" s="264">
        <f>MONTH(Advices[[#This Row],[Transaction Date]])</f>
        <v>2</v>
      </c>
      <c r="Q1750" s="264">
        <f>YEAR(Advices[[#This Row],[Transaction Date]])</f>
        <v>2026</v>
      </c>
      <c r="R1750" s="1"/>
    </row>
    <row r="1751" spans="1:18" hidden="1" x14ac:dyDescent="0.25">
      <c r="A1751" s="264" t="s">
        <v>366</v>
      </c>
      <c r="B1751" s="265">
        <v>46063</v>
      </c>
      <c r="C1751" s="264" t="s">
        <v>2057</v>
      </c>
      <c r="D1751" s="300" t="s">
        <v>4047</v>
      </c>
      <c r="E1751" s="300" t="s">
        <v>1869</v>
      </c>
      <c r="F1751" s="300" t="s">
        <v>3469</v>
      </c>
      <c r="G1751" s="264" t="s">
        <v>26</v>
      </c>
      <c r="H1751" s="368">
        <v>539548.79</v>
      </c>
      <c r="I1751" s="368">
        <v>0</v>
      </c>
      <c r="J1751" s="264" t="s">
        <v>1126</v>
      </c>
      <c r="K1751" s="264" t="s">
        <v>2025</v>
      </c>
      <c r="L1751" s="1" t="str">
        <f>VLOOKUP(Advices[[#This Row],[LC Number]],'Combine_List'!A:D,2,0)</f>
        <v xml:space="preserve">DAIKIN AIR CONDITIONING SAUDI ARABIA LLC </v>
      </c>
      <c r="M1751" s="447" t="str">
        <f>VLOOKUP(Advices[[#This Row],[LC Number]],'Combine_List'!A:D,3,0)</f>
        <v>FIRST FIX</v>
      </c>
      <c r="N1751" s="447" t="str">
        <f>VLOOKUP(Advices[[#This Row],[LC Number]],'Combine_List'!A:D,4,0)</f>
        <v>MP1</v>
      </c>
      <c r="O1751" s="264"/>
      <c r="P1751" s="264">
        <f>MONTH(Advices[[#This Row],[Transaction Date]])</f>
        <v>2</v>
      </c>
      <c r="Q1751" s="264">
        <f>YEAR(Advices[[#This Row],[Transaction Date]])</f>
        <v>2026</v>
      </c>
      <c r="R1751" s="1"/>
    </row>
    <row r="1752" spans="1:18" x14ac:dyDescent="0.25">
      <c r="A1752" s="264" t="s">
        <v>21</v>
      </c>
      <c r="B1752" s="265">
        <v>46064</v>
      </c>
      <c r="C1752" s="264" t="s">
        <v>1951</v>
      </c>
      <c r="D1752" s="300" t="s">
        <v>1960</v>
      </c>
      <c r="E1752" s="300" t="s">
        <v>1659</v>
      </c>
      <c r="F1752" s="300" t="s">
        <v>2934</v>
      </c>
      <c r="G1752" s="264" t="s">
        <v>26</v>
      </c>
      <c r="H1752" s="368">
        <v>11.25</v>
      </c>
      <c r="I1752" s="368">
        <v>0</v>
      </c>
      <c r="J1752" s="264" t="s">
        <v>1174</v>
      </c>
      <c r="K1752" s="264" t="s">
        <v>2025</v>
      </c>
      <c r="L1752" s="1" t="str">
        <f>VLOOKUP(Advices[[#This Row],[LC Number]],'Combine_List'!A:D,2,0)</f>
        <v>AL-HADBANIA TRADING CO.</v>
      </c>
      <c r="M1752" s="447" t="str">
        <f>VLOOKUP(Advices[[#This Row],[LC Number]],'Combine_List'!A:D,3,0)</f>
        <v>FIRST FIX</v>
      </c>
      <c r="N1752" s="447" t="str">
        <f>VLOOKUP(Advices[[#This Row],[LC Number]],'Combine_List'!A:D,4,0)</f>
        <v>KSP</v>
      </c>
      <c r="O1752" s="1"/>
      <c r="P1752" s="1">
        <f>MONTH(Advices[[#This Row],[Transaction Date]])</f>
        <v>2</v>
      </c>
      <c r="Q1752" s="1">
        <f>YEAR(Advices[[#This Row],[Transaction Date]])</f>
        <v>2026</v>
      </c>
      <c r="R1752" s="1"/>
    </row>
    <row r="1753" spans="1:18" x14ac:dyDescent="0.25">
      <c r="A1753" s="264" t="s">
        <v>21</v>
      </c>
      <c r="B1753" s="265">
        <v>46064</v>
      </c>
      <c r="C1753" s="264" t="s">
        <v>1951</v>
      </c>
      <c r="D1753" s="300" t="s">
        <v>4056</v>
      </c>
      <c r="E1753" s="300" t="s">
        <v>1659</v>
      </c>
      <c r="F1753" s="300" t="s">
        <v>2934</v>
      </c>
      <c r="G1753" s="264" t="s">
        <v>26</v>
      </c>
      <c r="H1753" s="368">
        <v>75</v>
      </c>
      <c r="I1753" s="368">
        <v>0</v>
      </c>
      <c r="J1753" s="264" t="s">
        <v>1963</v>
      </c>
      <c r="K1753" s="264" t="s">
        <v>2025</v>
      </c>
      <c r="L1753" s="1" t="str">
        <f>VLOOKUP(Advices[[#This Row],[LC Number]],'Combine_List'!A:D,2,0)</f>
        <v>AL-HADBANIA TRADING CO.</v>
      </c>
      <c r="M1753" s="447" t="str">
        <f>VLOOKUP(Advices[[#This Row],[LC Number]],'Combine_List'!A:D,3,0)</f>
        <v>FIRST FIX</v>
      </c>
      <c r="N1753" s="447" t="str">
        <f>VLOOKUP(Advices[[#This Row],[LC Number]],'Combine_List'!A:D,4,0)</f>
        <v>KSP</v>
      </c>
      <c r="O1753" s="1"/>
      <c r="P1753" s="1">
        <f>MONTH(Advices[[#This Row],[Transaction Date]])</f>
        <v>2</v>
      </c>
      <c r="Q1753" s="1">
        <f>YEAR(Advices[[#This Row],[Transaction Date]])</f>
        <v>2026</v>
      </c>
      <c r="R1753" s="1"/>
    </row>
    <row r="1754" spans="1:18" x14ac:dyDescent="0.25">
      <c r="A1754" s="264" t="s">
        <v>21</v>
      </c>
      <c r="B1754" s="265">
        <v>46064</v>
      </c>
      <c r="C1754" s="264" t="s">
        <v>1951</v>
      </c>
      <c r="D1754" s="300" t="s">
        <v>4057</v>
      </c>
      <c r="E1754" s="300" t="s">
        <v>1659</v>
      </c>
      <c r="F1754" s="300" t="s">
        <v>2934</v>
      </c>
      <c r="G1754" s="264" t="s">
        <v>26</v>
      </c>
      <c r="H1754" s="368">
        <v>250000</v>
      </c>
      <c r="I1754" s="368">
        <v>0</v>
      </c>
      <c r="J1754" s="264" t="s">
        <v>1126</v>
      </c>
      <c r="K1754" s="264" t="s">
        <v>2025</v>
      </c>
      <c r="L1754" s="1" t="str">
        <f>VLOOKUP(Advices[[#This Row],[LC Number]],'Combine_List'!A:D,2,0)</f>
        <v>AL-HADBANIA TRADING CO.</v>
      </c>
      <c r="M1754" s="447" t="str">
        <f>VLOOKUP(Advices[[#This Row],[LC Number]],'Combine_List'!A:D,3,0)</f>
        <v>FIRST FIX</v>
      </c>
      <c r="N1754" s="447" t="str">
        <f>VLOOKUP(Advices[[#This Row],[LC Number]],'Combine_List'!A:D,4,0)</f>
        <v>KSP</v>
      </c>
      <c r="O1754" s="1"/>
      <c r="P1754" s="1">
        <f>MONTH(Advices[[#This Row],[Transaction Date]])</f>
        <v>2</v>
      </c>
      <c r="Q1754" s="1">
        <f>YEAR(Advices[[#This Row],[Transaction Date]])</f>
        <v>2026</v>
      </c>
      <c r="R1754" s="1"/>
    </row>
    <row r="1755" spans="1:18" x14ac:dyDescent="0.25">
      <c r="A1755" s="264" t="s">
        <v>21</v>
      </c>
      <c r="B1755" s="265">
        <v>46064</v>
      </c>
      <c r="C1755" s="264" t="s">
        <v>1951</v>
      </c>
      <c r="D1755" s="300" t="s">
        <v>4058</v>
      </c>
      <c r="E1755" s="300" t="s">
        <v>4059</v>
      </c>
      <c r="F1755" s="300" t="s">
        <v>4059</v>
      </c>
      <c r="G1755" s="264" t="s">
        <v>26</v>
      </c>
      <c r="H1755" s="368">
        <v>30</v>
      </c>
      <c r="I1755" s="368">
        <v>0</v>
      </c>
      <c r="J1755" s="264" t="s">
        <v>1174</v>
      </c>
      <c r="K1755" s="264" t="s">
        <v>2025</v>
      </c>
      <c r="L1755" s="1" t="e">
        <f>VLOOKUP(Advices[[#This Row],[LC Number]],'Combine_List'!A:D,2,0)</f>
        <v>#N/A</v>
      </c>
      <c r="M1755" s="447" t="e">
        <f>VLOOKUP(Advices[[#This Row],[LC Number]],'Combine_List'!A:D,3,0)</f>
        <v>#N/A</v>
      </c>
      <c r="N1755" s="447" t="e">
        <f>VLOOKUP(Advices[[#This Row],[LC Number]],'Combine_List'!A:D,4,0)</f>
        <v>#N/A</v>
      </c>
      <c r="O1755" s="1"/>
      <c r="P1755" s="1">
        <f>MONTH(Advices[[#This Row],[Transaction Date]])</f>
        <v>2</v>
      </c>
      <c r="Q1755" s="1">
        <f>YEAR(Advices[[#This Row],[Transaction Date]])</f>
        <v>2026</v>
      </c>
      <c r="R1755" s="1"/>
    </row>
    <row r="1756" spans="1:18" x14ac:dyDescent="0.25">
      <c r="A1756" s="264" t="s">
        <v>21</v>
      </c>
      <c r="B1756" s="265">
        <v>46064</v>
      </c>
      <c r="C1756" s="264" t="s">
        <v>1951</v>
      </c>
      <c r="D1756" s="300" t="s">
        <v>4058</v>
      </c>
      <c r="E1756" s="300" t="s">
        <v>4059</v>
      </c>
      <c r="F1756" s="300" t="s">
        <v>4059</v>
      </c>
      <c r="G1756" s="264" t="s">
        <v>26</v>
      </c>
      <c r="H1756" s="368">
        <v>105</v>
      </c>
      <c r="I1756" s="368">
        <v>0</v>
      </c>
      <c r="J1756" s="264" t="s">
        <v>1174</v>
      </c>
      <c r="K1756" s="264" t="s">
        <v>2025</v>
      </c>
      <c r="L1756" s="1" t="e">
        <f>VLOOKUP(Advices[[#This Row],[LC Number]],'Combine_List'!A:D,2,0)</f>
        <v>#N/A</v>
      </c>
      <c r="M1756" s="447" t="e">
        <f>VLOOKUP(Advices[[#This Row],[LC Number]],'Combine_List'!A:D,3,0)</f>
        <v>#N/A</v>
      </c>
      <c r="N1756" s="447" t="e">
        <f>VLOOKUP(Advices[[#This Row],[LC Number]],'Combine_List'!A:D,4,0)</f>
        <v>#N/A</v>
      </c>
      <c r="O1756" s="1"/>
      <c r="P1756" s="1">
        <f>MONTH(Advices[[#This Row],[Transaction Date]])</f>
        <v>2</v>
      </c>
      <c r="Q1756" s="1">
        <f>YEAR(Advices[[#This Row],[Transaction Date]])</f>
        <v>2026</v>
      </c>
      <c r="R1756" s="1"/>
    </row>
    <row r="1757" spans="1:18" x14ac:dyDescent="0.25">
      <c r="A1757" s="264" t="s">
        <v>21</v>
      </c>
      <c r="B1757" s="265">
        <v>46064</v>
      </c>
      <c r="C1757" s="264" t="s">
        <v>1951</v>
      </c>
      <c r="D1757" s="300" t="s">
        <v>4060</v>
      </c>
      <c r="E1757" s="300" t="s">
        <v>4059</v>
      </c>
      <c r="F1757" s="300" t="s">
        <v>4059</v>
      </c>
      <c r="G1757" s="264" t="s">
        <v>26</v>
      </c>
      <c r="H1757" s="368">
        <v>200</v>
      </c>
      <c r="I1757" s="368">
        <v>0</v>
      </c>
      <c r="J1757" s="264" t="s">
        <v>1176</v>
      </c>
      <c r="K1757" s="264" t="s">
        <v>2025</v>
      </c>
      <c r="L1757" s="1" t="e">
        <f>VLOOKUP(Advices[[#This Row],[LC Number]],'Combine_List'!A:D,2,0)</f>
        <v>#N/A</v>
      </c>
      <c r="M1757" s="447" t="e">
        <f>VLOOKUP(Advices[[#This Row],[LC Number]],'Combine_List'!A:D,3,0)</f>
        <v>#N/A</v>
      </c>
      <c r="N1757" s="447" t="e">
        <f>VLOOKUP(Advices[[#This Row],[LC Number]],'Combine_List'!A:D,4,0)</f>
        <v>#N/A</v>
      </c>
      <c r="O1757" s="1"/>
      <c r="P1757" s="1">
        <f>MONTH(Advices[[#This Row],[Transaction Date]])</f>
        <v>2</v>
      </c>
      <c r="Q1757" s="1">
        <f>YEAR(Advices[[#This Row],[Transaction Date]])</f>
        <v>2026</v>
      </c>
      <c r="R1757" s="1"/>
    </row>
    <row r="1758" spans="1:18" x14ac:dyDescent="0.25">
      <c r="A1758" s="264" t="s">
        <v>21</v>
      </c>
      <c r="B1758" s="265">
        <v>46064</v>
      </c>
      <c r="C1758" s="264" t="s">
        <v>1951</v>
      </c>
      <c r="D1758" s="300" t="s">
        <v>4061</v>
      </c>
      <c r="E1758" s="300" t="s">
        <v>4059</v>
      </c>
      <c r="F1758" s="300" t="s">
        <v>4059</v>
      </c>
      <c r="G1758" s="264" t="s">
        <v>26</v>
      </c>
      <c r="H1758" s="368">
        <v>700</v>
      </c>
      <c r="I1758" s="368">
        <v>0</v>
      </c>
      <c r="J1758" s="264" t="s">
        <v>1963</v>
      </c>
      <c r="K1758" s="264" t="s">
        <v>2025</v>
      </c>
      <c r="L1758" s="1" t="e">
        <f>VLOOKUP(Advices[[#This Row],[LC Number]],'Combine_List'!A:D,2,0)</f>
        <v>#N/A</v>
      </c>
      <c r="M1758" s="447" t="e">
        <f>VLOOKUP(Advices[[#This Row],[LC Number]],'Combine_List'!A:D,3,0)</f>
        <v>#N/A</v>
      </c>
      <c r="N1758" s="447" t="e">
        <f>VLOOKUP(Advices[[#This Row],[LC Number]],'Combine_List'!A:D,4,0)</f>
        <v>#N/A</v>
      </c>
      <c r="O1758" s="1"/>
      <c r="P1758" s="1">
        <f>MONTH(Advices[[#This Row],[Transaction Date]])</f>
        <v>2</v>
      </c>
      <c r="Q1758" s="1">
        <f>YEAR(Advices[[#This Row],[Transaction Date]])</f>
        <v>2026</v>
      </c>
      <c r="R1758" s="1"/>
    </row>
    <row r="1759" spans="1:18" x14ac:dyDescent="0.25">
      <c r="A1759" s="264" t="s">
        <v>21</v>
      </c>
      <c r="B1759" s="265">
        <v>46064</v>
      </c>
      <c r="C1759" s="264" t="s">
        <v>1951</v>
      </c>
      <c r="D1759" s="300" t="s">
        <v>4058</v>
      </c>
      <c r="E1759" s="300" t="s">
        <v>4059</v>
      </c>
      <c r="F1759" s="300" t="s">
        <v>4059</v>
      </c>
      <c r="G1759" s="264" t="s">
        <v>26</v>
      </c>
      <c r="H1759" s="368">
        <v>4762.5</v>
      </c>
      <c r="I1759" s="368">
        <v>0</v>
      </c>
      <c r="J1759" s="264" t="s">
        <v>1174</v>
      </c>
      <c r="K1759" s="264" t="s">
        <v>2025</v>
      </c>
      <c r="L1759" s="1" t="e">
        <f>VLOOKUP(Advices[[#This Row],[LC Number]],'Combine_List'!A:D,2,0)</f>
        <v>#N/A</v>
      </c>
      <c r="M1759" s="447" t="e">
        <f>VLOOKUP(Advices[[#This Row],[LC Number]],'Combine_List'!A:D,3,0)</f>
        <v>#N/A</v>
      </c>
      <c r="N1759" s="447" t="e">
        <f>VLOOKUP(Advices[[#This Row],[LC Number]],'Combine_List'!A:D,4,0)</f>
        <v>#N/A</v>
      </c>
      <c r="O1759" s="1"/>
      <c r="P1759" s="1">
        <f>MONTH(Advices[[#This Row],[Transaction Date]])</f>
        <v>2</v>
      </c>
      <c r="Q1759" s="1">
        <f>YEAR(Advices[[#This Row],[Transaction Date]])</f>
        <v>2026</v>
      </c>
      <c r="R1759" s="1"/>
    </row>
    <row r="1760" spans="1:18" x14ac:dyDescent="0.25">
      <c r="A1760" s="264" t="s">
        <v>21</v>
      </c>
      <c r="B1760" s="265">
        <v>46064</v>
      </c>
      <c r="C1760" s="264" t="s">
        <v>1951</v>
      </c>
      <c r="D1760" s="300" t="s">
        <v>4062</v>
      </c>
      <c r="E1760" s="300" t="s">
        <v>4059</v>
      </c>
      <c r="F1760" s="300" t="s">
        <v>4059</v>
      </c>
      <c r="G1760" s="264" t="s">
        <v>26</v>
      </c>
      <c r="H1760" s="368">
        <v>31750</v>
      </c>
      <c r="I1760" s="368">
        <v>0</v>
      </c>
      <c r="J1760" s="264" t="s">
        <v>2616</v>
      </c>
      <c r="K1760" s="264" t="s">
        <v>2025</v>
      </c>
      <c r="L1760" s="1" t="e">
        <f>VLOOKUP(Advices[[#This Row],[LC Number]],'Combine_List'!A:D,2,0)</f>
        <v>#N/A</v>
      </c>
      <c r="M1760" s="447" t="e">
        <f>VLOOKUP(Advices[[#This Row],[LC Number]],'Combine_List'!A:D,3,0)</f>
        <v>#N/A</v>
      </c>
      <c r="N1760" s="447" t="e">
        <f>VLOOKUP(Advices[[#This Row],[LC Number]],'Combine_List'!A:D,4,0)</f>
        <v>#N/A</v>
      </c>
      <c r="O1760" s="264"/>
      <c r="P1760" s="264">
        <f>MONTH(Advices[[#This Row],[Transaction Date]])</f>
        <v>2</v>
      </c>
      <c r="Q1760" s="264">
        <f>YEAR(Advices[[#This Row],[Transaction Date]])</f>
        <v>2026</v>
      </c>
      <c r="R1760" s="1"/>
    </row>
    <row r="1761" spans="1:18" hidden="1" x14ac:dyDescent="0.25">
      <c r="A1761" s="264" t="s">
        <v>62</v>
      </c>
      <c r="B1761" s="265">
        <v>46064</v>
      </c>
      <c r="C1761" s="264" t="s">
        <v>2039</v>
      </c>
      <c r="D1761" s="300" t="s">
        <v>4063</v>
      </c>
      <c r="E1761" s="300" t="s">
        <v>3326</v>
      </c>
      <c r="F1761" s="300" t="s">
        <v>2041</v>
      </c>
      <c r="G1761" s="264" t="s">
        <v>26</v>
      </c>
      <c r="H1761" s="368">
        <v>1936.47</v>
      </c>
      <c r="I1761" s="368">
        <v>0</v>
      </c>
      <c r="J1761" s="264" t="s">
        <v>1125</v>
      </c>
      <c r="K1761" s="264" t="s">
        <v>2025</v>
      </c>
      <c r="L1761" s="1" t="str">
        <f>VLOOKUP(Advices[[#This Row],[LC Number]],'Combine_List'!A:D,2,0)</f>
        <v>AFKAR ALTATHBET TRADING COMPANY</v>
      </c>
      <c r="M1761" s="447" t="str">
        <f>VLOOKUP(Advices[[#This Row],[LC Number]],'Combine_List'!A:D,3,0)</f>
        <v>FIRST FIX</v>
      </c>
      <c r="N1761" s="447" t="str">
        <f>VLOOKUP(Advices[[#This Row],[LC Number]],'Combine_List'!A:D,4,0)</f>
        <v>Oceanarium</v>
      </c>
      <c r="O1761" s="1"/>
      <c r="P1761" s="1">
        <f>MONTH(Advices[[#This Row],[Transaction Date]])</f>
        <v>2</v>
      </c>
      <c r="Q1761" s="1">
        <f>YEAR(Advices[[#This Row],[Transaction Date]])</f>
        <v>2026</v>
      </c>
      <c r="R1761" s="1"/>
    </row>
    <row r="1762" spans="1:18" hidden="1" x14ac:dyDescent="0.25">
      <c r="A1762" s="264" t="s">
        <v>62</v>
      </c>
      <c r="B1762" s="265">
        <v>46064</v>
      </c>
      <c r="C1762" s="264" t="s">
        <v>2039</v>
      </c>
      <c r="D1762" s="300" t="s">
        <v>4064</v>
      </c>
      <c r="E1762" s="1" t="s">
        <v>1934</v>
      </c>
      <c r="F1762" s="300" t="s">
        <v>2041</v>
      </c>
      <c r="G1762" s="264" t="s">
        <v>26</v>
      </c>
      <c r="H1762" s="368">
        <v>9980.4</v>
      </c>
      <c r="I1762" s="368">
        <v>0</v>
      </c>
      <c r="J1762" s="264" t="s">
        <v>1125</v>
      </c>
      <c r="K1762" s="264" t="s">
        <v>2025</v>
      </c>
      <c r="L1762" s="1" t="str">
        <f>VLOOKUP(Advices[[#This Row],[LC Number]],'Combine_List'!A:D,2,0)</f>
        <v>Mat Filtrasyon Teknolojeleri A.S</v>
      </c>
      <c r="M1762" s="447" t="str">
        <f>VLOOKUP(Advices[[#This Row],[LC Number]],'Combine_List'!A:D,3,0)</f>
        <v>MBL</v>
      </c>
      <c r="N1762" s="447" t="str">
        <f>VLOOKUP(Advices[[#This Row],[LC Number]],'Combine_List'!A:D,4,0)</f>
        <v>Oceanarium</v>
      </c>
      <c r="O1762" s="447">
        <f>VLOOKUP(Advices[[#This Row],[LC Number]],'Combine_List'!A:E,5,0)</f>
        <v>1020096</v>
      </c>
      <c r="P1762" s="447">
        <f>MONTH(Advices[[#This Row],[Transaction Date]])</f>
        <v>2</v>
      </c>
      <c r="Q1762" s="447">
        <f>YEAR(Advices[[#This Row],[Transaction Date]])</f>
        <v>2026</v>
      </c>
      <c r="R1762" s="1"/>
    </row>
    <row r="1763" spans="1:18" hidden="1" x14ac:dyDescent="0.25">
      <c r="A1763" s="264" t="s">
        <v>366</v>
      </c>
      <c r="B1763" s="265">
        <v>46064</v>
      </c>
      <c r="C1763" s="264" t="s">
        <v>2057</v>
      </c>
      <c r="D1763" s="300" t="s">
        <v>4065</v>
      </c>
      <c r="E1763" s="300" t="s">
        <v>1897</v>
      </c>
      <c r="F1763" s="300" t="s">
        <v>3442</v>
      </c>
      <c r="G1763" s="264" t="s">
        <v>26</v>
      </c>
      <c r="H1763" s="368">
        <v>299950.92</v>
      </c>
      <c r="I1763" s="368">
        <v>0</v>
      </c>
      <c r="J1763" s="264" t="s">
        <v>1126</v>
      </c>
      <c r="K1763" s="264" t="s">
        <v>2025</v>
      </c>
      <c r="L1763" s="1" t="str">
        <f>VLOOKUP(Advices[[#This Row],[LC Number]],'Combine_List'!A:D,2,0)</f>
        <v xml:space="preserve">National Marketing Est. Co. Ltd. </v>
      </c>
      <c r="M1763" s="447" t="str">
        <f>VLOOKUP(Advices[[#This Row],[LC Number]],'Combine_List'!A:D,3,0)</f>
        <v>FIRST FIX</v>
      </c>
      <c r="N1763" s="447" t="str">
        <f>VLOOKUP(Advices[[#This Row],[LC Number]],'Combine_List'!A:D,4,0)</f>
        <v>MP1</v>
      </c>
      <c r="O1763" s="264"/>
      <c r="P1763" s="264">
        <f>MONTH(Advices[[#This Row],[Transaction Date]])</f>
        <v>2</v>
      </c>
      <c r="Q1763" s="264">
        <f>YEAR(Advices[[#This Row],[Transaction Date]])</f>
        <v>2026</v>
      </c>
      <c r="R1763" s="1"/>
    </row>
    <row r="1764" spans="1:18" hidden="1" x14ac:dyDescent="0.25">
      <c r="A1764" s="264" t="s">
        <v>612</v>
      </c>
      <c r="B1764" s="265">
        <v>46064</v>
      </c>
      <c r="C1764" s="264" t="s">
        <v>2101</v>
      </c>
      <c r="D1764" s="395" t="s">
        <v>4066</v>
      </c>
      <c r="E1764" s="300" t="s">
        <v>4048</v>
      </c>
      <c r="F1764" s="300" t="s">
        <v>2041</v>
      </c>
      <c r="G1764" s="264" t="s">
        <v>26</v>
      </c>
      <c r="H1764" s="368">
        <v>12500.01</v>
      </c>
      <c r="I1764" s="368">
        <v>0</v>
      </c>
      <c r="J1764" s="264" t="s">
        <v>2793</v>
      </c>
      <c r="K1764" s="264" t="s">
        <v>2025</v>
      </c>
      <c r="L1764" s="1" t="str">
        <f>VLOOKUP(Advices[[#This Row],[LC Number]],'Combine_List'!A:D,2,0)</f>
        <v>Bid - DIRIYAH COMPANY</v>
      </c>
      <c r="M1764" s="447">
        <f>VLOOKUP(Advices[[#This Row],[LC Number]],'Combine_List'!A:D,3,0)</f>
        <v>0</v>
      </c>
      <c r="N1764" s="447">
        <f>VLOOKUP(Advices[[#This Row],[LC Number]],'Combine_List'!A:D,4,0)</f>
        <v>0</v>
      </c>
      <c r="O1764" s="1"/>
      <c r="P1764" s="1">
        <f>MONTH(Advices[[#This Row],[Transaction Date]])</f>
        <v>2</v>
      </c>
      <c r="Q1764" s="1">
        <f>YEAR(Advices[[#This Row],[Transaction Date]])</f>
        <v>2026</v>
      </c>
      <c r="R1764" s="1"/>
    </row>
    <row r="1765" spans="1:18" hidden="1" x14ac:dyDescent="0.25">
      <c r="A1765" s="264" t="s">
        <v>612</v>
      </c>
      <c r="B1765" s="265">
        <v>46064</v>
      </c>
      <c r="C1765" s="264" t="s">
        <v>2101</v>
      </c>
      <c r="D1765" s="300" t="s">
        <v>4067</v>
      </c>
      <c r="E1765" s="300" t="s">
        <v>4048</v>
      </c>
      <c r="F1765" s="300" t="s">
        <v>2041</v>
      </c>
      <c r="G1765" s="264" t="s">
        <v>26</v>
      </c>
      <c r="H1765" s="368">
        <v>1875</v>
      </c>
      <c r="I1765" s="368">
        <v>0</v>
      </c>
      <c r="J1765" s="264" t="s">
        <v>1174</v>
      </c>
      <c r="K1765" s="264" t="s">
        <v>2025</v>
      </c>
      <c r="L1765" s="1" t="str">
        <f>VLOOKUP(Advices[[#This Row],[LC Number]],'Combine_List'!A:D,2,0)</f>
        <v>Bid - DIRIYAH COMPANY</v>
      </c>
      <c r="M1765" s="447">
        <f>VLOOKUP(Advices[[#This Row],[LC Number]],'Combine_List'!A:D,3,0)</f>
        <v>0</v>
      </c>
      <c r="N1765" s="447">
        <f>VLOOKUP(Advices[[#This Row],[LC Number]],'Combine_List'!A:D,4,0)</f>
        <v>0</v>
      </c>
      <c r="O1765" s="1"/>
      <c r="P1765" s="1">
        <f>MONTH(Advices[[#This Row],[Transaction Date]])</f>
        <v>2</v>
      </c>
      <c r="Q1765" s="1">
        <f>YEAR(Advices[[#This Row],[Transaction Date]])</f>
        <v>2026</v>
      </c>
      <c r="R1765" s="1"/>
    </row>
    <row r="1766" spans="1:18" hidden="1" x14ac:dyDescent="0.25">
      <c r="A1766" s="264" t="s">
        <v>612</v>
      </c>
      <c r="B1766" s="265">
        <v>46064</v>
      </c>
      <c r="C1766" s="264" t="s">
        <v>2101</v>
      </c>
      <c r="D1766" s="300" t="s">
        <v>4068</v>
      </c>
      <c r="E1766" s="300" t="s">
        <v>4048</v>
      </c>
      <c r="F1766" s="300" t="s">
        <v>2041</v>
      </c>
      <c r="G1766" s="264" t="s">
        <v>26</v>
      </c>
      <c r="H1766" s="368">
        <v>35616.44</v>
      </c>
      <c r="I1766" s="368">
        <v>0</v>
      </c>
      <c r="J1766" s="264" t="s">
        <v>2793</v>
      </c>
      <c r="K1766" s="264" t="s">
        <v>2025</v>
      </c>
      <c r="L1766" s="1" t="str">
        <f>VLOOKUP(Advices[[#This Row],[LC Number]],'Combine_List'!A:D,2,0)</f>
        <v>Bid - DIRIYAH COMPANY</v>
      </c>
      <c r="M1766" s="447">
        <f>VLOOKUP(Advices[[#This Row],[LC Number]],'Combine_List'!A:D,3,0)</f>
        <v>0</v>
      </c>
      <c r="N1766" s="447">
        <f>VLOOKUP(Advices[[#This Row],[LC Number]],'Combine_List'!A:D,4,0)</f>
        <v>0</v>
      </c>
      <c r="O1766" s="1"/>
      <c r="P1766" s="1">
        <f>MONTH(Advices[[#This Row],[Transaction Date]])</f>
        <v>2</v>
      </c>
      <c r="Q1766" s="1">
        <f>YEAR(Advices[[#This Row],[Transaction Date]])</f>
        <v>2026</v>
      </c>
      <c r="R1766" s="1"/>
    </row>
    <row r="1767" spans="1:18" hidden="1" x14ac:dyDescent="0.25">
      <c r="A1767" s="264" t="s">
        <v>612</v>
      </c>
      <c r="B1767" s="265">
        <v>46064</v>
      </c>
      <c r="C1767" s="264" t="s">
        <v>2101</v>
      </c>
      <c r="D1767" s="300" t="s">
        <v>4069</v>
      </c>
      <c r="E1767" s="300" t="s">
        <v>4048</v>
      </c>
      <c r="F1767" s="300" t="s">
        <v>2041</v>
      </c>
      <c r="G1767" s="264" t="s">
        <v>26</v>
      </c>
      <c r="H1767" s="368">
        <v>5342.47</v>
      </c>
      <c r="I1767" s="368">
        <v>0</v>
      </c>
      <c r="J1767" s="264" t="s">
        <v>1174</v>
      </c>
      <c r="K1767" s="264" t="s">
        <v>2025</v>
      </c>
      <c r="L1767" s="1" t="str">
        <f>VLOOKUP(Advices[[#This Row],[LC Number]],'Combine_List'!A:D,2,0)</f>
        <v>Bid - DIRIYAH COMPANY</v>
      </c>
      <c r="M1767" s="447">
        <f>VLOOKUP(Advices[[#This Row],[LC Number]],'Combine_List'!A:D,3,0)</f>
        <v>0</v>
      </c>
      <c r="N1767" s="447">
        <f>VLOOKUP(Advices[[#This Row],[LC Number]],'Combine_List'!A:D,4,0)</f>
        <v>0</v>
      </c>
      <c r="O1767" s="264"/>
      <c r="P1767" s="264">
        <f>MONTH(Advices[[#This Row],[Transaction Date]])</f>
        <v>2</v>
      </c>
      <c r="Q1767" s="264">
        <f>YEAR(Advices[[#This Row],[Transaction Date]])</f>
        <v>2026</v>
      </c>
      <c r="R1767" s="1"/>
    </row>
    <row r="1768" spans="1:18" hidden="1" x14ac:dyDescent="0.25">
      <c r="A1768" s="264" t="s">
        <v>62</v>
      </c>
      <c r="B1768" s="265">
        <v>46065</v>
      </c>
      <c r="C1768" s="264" t="s">
        <v>2042</v>
      </c>
      <c r="D1768" s="300" t="s">
        <v>4076</v>
      </c>
      <c r="E1768" s="300" t="s">
        <v>1082</v>
      </c>
      <c r="F1768" s="300" t="s">
        <v>2041</v>
      </c>
      <c r="G1768" s="264" t="s">
        <v>26</v>
      </c>
      <c r="H1768" s="368">
        <v>0</v>
      </c>
      <c r="I1768" s="368">
        <v>25083.8</v>
      </c>
      <c r="J1768" s="264" t="s">
        <v>4081</v>
      </c>
      <c r="K1768" s="264" t="s">
        <v>2025</v>
      </c>
      <c r="L1768" s="1" t="str">
        <f>VLOOKUP(Advices[[#This Row],[LC Number]],'Combine_List'!A:D,2,0)</f>
        <v xml:space="preserve">Advance - JEDDAH CENTRAL DEVELOPMENT COMPANY (JCD) </v>
      </c>
      <c r="M1768" s="447">
        <f>VLOOKUP(Advices[[#This Row],[LC Number]],'Combine_List'!A:D,3,0)</f>
        <v>0</v>
      </c>
      <c r="N1768" s="447" t="str">
        <f>VLOOKUP(Advices[[#This Row],[LC Number]],'Combine_List'!A:D,4,0)</f>
        <v>JCD</v>
      </c>
      <c r="O1768" s="264"/>
      <c r="P1768" s="264">
        <f>MONTH(Advices[[#This Row],[Transaction Date]])</f>
        <v>2</v>
      </c>
      <c r="Q1768" s="264">
        <f>YEAR(Advices[[#This Row],[Transaction Date]])</f>
        <v>2026</v>
      </c>
      <c r="R1768" s="1"/>
    </row>
    <row r="1769" spans="1:18" hidden="1" x14ac:dyDescent="0.25">
      <c r="A1769" s="264" t="s">
        <v>95</v>
      </c>
      <c r="B1769" s="265">
        <v>46065</v>
      </c>
      <c r="C1769" s="264" t="s">
        <v>2026</v>
      </c>
      <c r="D1769" s="300" t="s">
        <v>4077</v>
      </c>
      <c r="E1769" s="300" t="s">
        <v>4070</v>
      </c>
      <c r="F1769" s="300" t="s">
        <v>4078</v>
      </c>
      <c r="G1769" s="264" t="s">
        <v>26</v>
      </c>
      <c r="H1769" s="368">
        <v>7647.5</v>
      </c>
      <c r="I1769" s="368">
        <v>0</v>
      </c>
      <c r="J1769" s="264" t="s">
        <v>2616</v>
      </c>
      <c r="K1769" s="264" t="s">
        <v>2025</v>
      </c>
      <c r="L1769" s="1" t="str">
        <f>VLOOKUP(Advices[[#This Row],[LC Number]],'Combine_List'!A:D,2,0)</f>
        <v>BeWunder Turnkey Projects Arabia Contracting Company</v>
      </c>
      <c r="M1769" s="447" t="str">
        <f>VLOOKUP(Advices[[#This Row],[LC Number]],'Combine_List'!A:D,3,0)</f>
        <v>ICAD</v>
      </c>
      <c r="N1769" s="447" t="str">
        <f>VLOOKUP(Advices[[#This Row],[LC Number]],'Combine_List'!A:D,4,0)</f>
        <v>OPERA House</v>
      </c>
      <c r="O1769" s="264"/>
      <c r="P1769" s="264">
        <f>MONTH(Advices[[#This Row],[Transaction Date]])</f>
        <v>2</v>
      </c>
      <c r="Q1769" s="264">
        <f>YEAR(Advices[[#This Row],[Transaction Date]])</f>
        <v>2026</v>
      </c>
      <c r="R1769" s="1"/>
    </row>
    <row r="1770" spans="1:18" hidden="1" x14ac:dyDescent="0.25">
      <c r="A1770" s="264" t="s">
        <v>366</v>
      </c>
      <c r="B1770" s="265">
        <v>46065</v>
      </c>
      <c r="C1770" s="264" t="s">
        <v>2060</v>
      </c>
      <c r="D1770" s="300" t="s">
        <v>4079</v>
      </c>
      <c r="E1770" s="300" t="s">
        <v>4073</v>
      </c>
      <c r="F1770" s="300" t="s">
        <v>3656</v>
      </c>
      <c r="G1770" s="264" t="s">
        <v>26</v>
      </c>
      <c r="H1770" s="368">
        <v>4931.95</v>
      </c>
      <c r="I1770" s="368">
        <v>0</v>
      </c>
      <c r="J1770" s="264" t="s">
        <v>1125</v>
      </c>
      <c r="K1770" s="264" t="s">
        <v>2025</v>
      </c>
      <c r="L1770" s="1" t="str">
        <f>VLOOKUP(Advices[[#This Row],[LC Number]],'Combine_List'!A:D,2,0)</f>
        <v>SERGAS SAUDI CONTRACTING CO. L.L.C</v>
      </c>
      <c r="M1770" s="447" t="str">
        <f>VLOOKUP(Advices[[#This Row],[LC Number]],'Combine_List'!A:D,3,0)</f>
        <v>MBL/ICAD</v>
      </c>
      <c r="N1770" s="447" t="str">
        <f>VLOOKUP(Advices[[#This Row],[LC Number]],'Combine_List'!A:D,4,0)</f>
        <v>ABHA</v>
      </c>
      <c r="O1770" s="264"/>
      <c r="P1770" s="264">
        <f>MONTH(Advices[[#This Row],[Transaction Date]])</f>
        <v>2</v>
      </c>
      <c r="Q1770" s="264">
        <f>YEAR(Advices[[#This Row],[Transaction Date]])</f>
        <v>2026</v>
      </c>
      <c r="R1770" s="1"/>
    </row>
    <row r="1771" spans="1:18" hidden="1" x14ac:dyDescent="0.25">
      <c r="A1771" s="264" t="s">
        <v>612</v>
      </c>
      <c r="B1771" s="265">
        <v>46065</v>
      </c>
      <c r="C1771" s="264" t="s">
        <v>2101</v>
      </c>
      <c r="D1771" s="300" t="s">
        <v>4080</v>
      </c>
      <c r="E1771" s="300" t="s">
        <v>2287</v>
      </c>
      <c r="F1771" s="300" t="s">
        <v>2041</v>
      </c>
      <c r="G1771" s="264" t="s">
        <v>26</v>
      </c>
      <c r="H1771" s="368">
        <v>1575293.5</v>
      </c>
      <c r="I1771" s="368">
        <v>0</v>
      </c>
      <c r="J1771" s="264" t="s">
        <v>1126</v>
      </c>
      <c r="K1771" s="264" t="s">
        <v>2025</v>
      </c>
      <c r="L1771" s="1" t="str">
        <f>VLOOKUP(Advices[[#This Row],[LC Number]],'Combine_List'!A:D,2,0)</f>
        <v>Alrashid Trading and Contracting Company</v>
      </c>
      <c r="M1771" s="447" t="str">
        <f>VLOOKUP(Advices[[#This Row],[LC Number]],'Combine_List'!A:D,3,0)</f>
        <v>MBL</v>
      </c>
      <c r="N1771" s="447" t="str">
        <f>VLOOKUP(Advices[[#This Row],[LC Number]],'Combine_List'!A:D,4,0)</f>
        <v>RCRC</v>
      </c>
      <c r="O1771" s="264"/>
      <c r="P1771" s="264">
        <f>MONTH(Advices[[#This Row],[Transaction Date]])</f>
        <v>2</v>
      </c>
      <c r="Q1771" s="264">
        <f>YEAR(Advices[[#This Row],[Transaction Date]])</f>
        <v>2026</v>
      </c>
      <c r="R1771" s="1"/>
    </row>
    <row r="1772" spans="1:18" x14ac:dyDescent="0.25">
      <c r="A1772" s="264" t="s">
        <v>21</v>
      </c>
      <c r="B1772" s="265">
        <v>46068</v>
      </c>
      <c r="C1772" s="264" t="s">
        <v>1951</v>
      </c>
      <c r="D1772" s="300" t="s">
        <v>4084</v>
      </c>
      <c r="E1772" s="300" t="s">
        <v>3227</v>
      </c>
      <c r="F1772" s="300" t="s">
        <v>4085</v>
      </c>
      <c r="G1772" s="264" t="s">
        <v>26</v>
      </c>
      <c r="H1772" s="368">
        <v>187.5</v>
      </c>
      <c r="I1772" s="368">
        <v>0</v>
      </c>
      <c r="J1772" s="264" t="s">
        <v>1174</v>
      </c>
      <c r="K1772" s="264" t="s">
        <v>2025</v>
      </c>
      <c r="L1772" s="1" t="str">
        <f>VLOOKUP(Advices[[#This Row],[LC Number]],'Combine_List'!A:D,2,0)</f>
        <v>BBH-CHEMTROL INTERNATIONAL ORGANIZATION S.L</v>
      </c>
      <c r="M1772" s="447" t="str">
        <f>VLOOKUP(Advices[[#This Row],[LC Number]],'Combine_List'!A:D,3,0)</f>
        <v>ICAD</v>
      </c>
      <c r="N1772" s="447" t="str">
        <f>VLOOKUP(Advices[[#This Row],[LC Number]],'Combine_List'!A:D,4,0)</f>
        <v>KSP</v>
      </c>
      <c r="O1772" s="1"/>
      <c r="P1772" s="1">
        <f>MONTH(Advices[[#This Row],[Transaction Date]])</f>
        <v>2</v>
      </c>
      <c r="Q1772" s="1">
        <f>YEAR(Advices[[#This Row],[Transaction Date]])</f>
        <v>2026</v>
      </c>
      <c r="R1772" s="1"/>
    </row>
    <row r="1773" spans="1:18" x14ac:dyDescent="0.25">
      <c r="A1773" s="264" t="s">
        <v>21</v>
      </c>
      <c r="B1773" s="265">
        <v>46068</v>
      </c>
      <c r="C1773" s="264" t="s">
        <v>1951</v>
      </c>
      <c r="D1773" s="300" t="s">
        <v>4086</v>
      </c>
      <c r="E1773" s="300" t="s">
        <v>3227</v>
      </c>
      <c r="F1773" s="300" t="s">
        <v>4085</v>
      </c>
      <c r="G1773" s="264" t="s">
        <v>26</v>
      </c>
      <c r="H1773" s="368">
        <v>1250</v>
      </c>
      <c r="I1773" s="368">
        <v>0</v>
      </c>
      <c r="J1773" s="264" t="s">
        <v>1125</v>
      </c>
      <c r="K1773" s="264" t="s">
        <v>2025</v>
      </c>
      <c r="L1773" s="1" t="str">
        <f>VLOOKUP(Advices[[#This Row],[LC Number]],'Combine_List'!A:D,2,0)</f>
        <v>BBH-CHEMTROL INTERNATIONAL ORGANIZATION S.L</v>
      </c>
      <c r="M1773" s="447" t="str">
        <f>VLOOKUP(Advices[[#This Row],[LC Number]],'Combine_List'!A:D,3,0)</f>
        <v>ICAD</v>
      </c>
      <c r="N1773" s="447" t="str">
        <f>VLOOKUP(Advices[[#This Row],[LC Number]],'Combine_List'!A:D,4,0)</f>
        <v>KSP</v>
      </c>
      <c r="O1773" s="1"/>
      <c r="P1773" s="1">
        <f>MONTH(Advices[[#This Row],[Transaction Date]])</f>
        <v>2</v>
      </c>
      <c r="Q1773" s="1">
        <f>YEAR(Advices[[#This Row],[Transaction Date]])</f>
        <v>2026</v>
      </c>
      <c r="R1773" s="1"/>
    </row>
    <row r="1774" spans="1:18" x14ac:dyDescent="0.25">
      <c r="A1774" s="264" t="s">
        <v>21</v>
      </c>
      <c r="B1774" s="265">
        <v>46068</v>
      </c>
      <c r="C1774" s="264" t="s">
        <v>1951</v>
      </c>
      <c r="D1774" s="300" t="s">
        <v>4084</v>
      </c>
      <c r="E1774" s="300" t="s">
        <v>3227</v>
      </c>
      <c r="F1774" s="300" t="s">
        <v>4087</v>
      </c>
      <c r="G1774" s="264" t="s">
        <v>26</v>
      </c>
      <c r="H1774" s="368">
        <v>187.5</v>
      </c>
      <c r="I1774" s="368">
        <v>0</v>
      </c>
      <c r="J1774" s="264" t="s">
        <v>1174</v>
      </c>
      <c r="K1774" s="264" t="s">
        <v>2025</v>
      </c>
      <c r="L1774" s="1" t="str">
        <f>VLOOKUP(Advices[[#This Row],[LC Number]],'Combine_List'!A:D,2,0)</f>
        <v>BBH-CHEMTROL INTERNATIONAL ORGANIZATION S.L</v>
      </c>
      <c r="M1774" s="447" t="str">
        <f>VLOOKUP(Advices[[#This Row],[LC Number]],'Combine_List'!A:D,3,0)</f>
        <v>ICAD</v>
      </c>
      <c r="N1774" s="447" t="str">
        <f>VLOOKUP(Advices[[#This Row],[LC Number]],'Combine_List'!A:D,4,0)</f>
        <v>KSP</v>
      </c>
      <c r="O1774" s="1"/>
      <c r="P1774" s="1">
        <f>MONTH(Advices[[#This Row],[Transaction Date]])</f>
        <v>2</v>
      </c>
      <c r="Q1774" s="1">
        <f>YEAR(Advices[[#This Row],[Transaction Date]])</f>
        <v>2026</v>
      </c>
      <c r="R1774" s="1"/>
    </row>
    <row r="1775" spans="1:18" x14ac:dyDescent="0.25">
      <c r="A1775" s="264" t="s">
        <v>21</v>
      </c>
      <c r="B1775" s="265">
        <v>46068</v>
      </c>
      <c r="C1775" s="264" t="s">
        <v>1951</v>
      </c>
      <c r="D1775" s="300" t="s">
        <v>4088</v>
      </c>
      <c r="E1775" s="300" t="s">
        <v>3227</v>
      </c>
      <c r="F1775" s="300" t="s">
        <v>4087</v>
      </c>
      <c r="G1775" s="264" t="s">
        <v>26</v>
      </c>
      <c r="H1775" s="368">
        <v>1250</v>
      </c>
      <c r="I1775" s="368">
        <v>0</v>
      </c>
      <c r="J1775" s="264" t="s">
        <v>1125</v>
      </c>
      <c r="K1775" s="264" t="s">
        <v>2025</v>
      </c>
      <c r="L1775" s="1" t="str">
        <f>VLOOKUP(Advices[[#This Row],[LC Number]],'Combine_List'!A:D,2,0)</f>
        <v>BBH-CHEMTROL INTERNATIONAL ORGANIZATION S.L</v>
      </c>
      <c r="M1775" s="447" t="str">
        <f>VLOOKUP(Advices[[#This Row],[LC Number]],'Combine_List'!A:D,3,0)</f>
        <v>ICAD</v>
      </c>
      <c r="N1775" s="447" t="str">
        <f>VLOOKUP(Advices[[#This Row],[LC Number]],'Combine_List'!A:D,4,0)</f>
        <v>KSP</v>
      </c>
      <c r="O1775" s="1"/>
      <c r="P1775" s="1">
        <f>MONTH(Advices[[#This Row],[Transaction Date]])</f>
        <v>2</v>
      </c>
      <c r="Q1775" s="1">
        <f>YEAR(Advices[[#This Row],[Transaction Date]])</f>
        <v>2026</v>
      </c>
      <c r="R1775" s="1"/>
    </row>
    <row r="1776" spans="1:18" x14ac:dyDescent="0.25">
      <c r="A1776" s="264" t="s">
        <v>21</v>
      </c>
      <c r="B1776" s="265">
        <v>46068</v>
      </c>
      <c r="C1776" s="264" t="s">
        <v>1951</v>
      </c>
      <c r="D1776" s="300" t="s">
        <v>2574</v>
      </c>
      <c r="E1776" s="300" t="s">
        <v>4054</v>
      </c>
      <c r="F1776" s="300" t="s">
        <v>4059</v>
      </c>
      <c r="G1776" s="264" t="s">
        <v>26</v>
      </c>
      <c r="H1776" s="368">
        <v>37.5</v>
      </c>
      <c r="I1776" s="368">
        <v>0</v>
      </c>
      <c r="J1776" s="264" t="s">
        <v>1174</v>
      </c>
      <c r="K1776" s="264" t="s">
        <v>2025</v>
      </c>
      <c r="L1776" s="1" t="str">
        <f>VLOOKUP(Advices[[#This Row],[LC Number]],'Combine_List'!A:D,2,0)</f>
        <v>The Fundamental Installation For Electric Work Co</v>
      </c>
      <c r="M1776" s="447" t="str">
        <f>VLOOKUP(Advices[[#This Row],[LC Number]],'Combine_List'!A:D,3,0)</f>
        <v>FIRST FIX</v>
      </c>
      <c r="N1776" s="447" t="str">
        <f>VLOOKUP(Advices[[#This Row],[LC Number]],'Combine_List'!A:D,4,0)</f>
        <v>L01-YAMMAMA</v>
      </c>
      <c r="O1776" s="1"/>
      <c r="P1776" s="1">
        <f>MONTH(Advices[[#This Row],[Transaction Date]])</f>
        <v>2</v>
      </c>
      <c r="Q1776" s="1">
        <f>YEAR(Advices[[#This Row],[Transaction Date]])</f>
        <v>2026</v>
      </c>
      <c r="R1776" s="1"/>
    </row>
    <row r="1777" spans="1:18" x14ac:dyDescent="0.25">
      <c r="A1777" s="264" t="s">
        <v>21</v>
      </c>
      <c r="B1777" s="265">
        <v>46068</v>
      </c>
      <c r="C1777" s="264" t="s">
        <v>1951</v>
      </c>
      <c r="D1777" s="300" t="s">
        <v>2574</v>
      </c>
      <c r="E1777" s="300" t="s">
        <v>4054</v>
      </c>
      <c r="F1777" s="300" t="s">
        <v>4059</v>
      </c>
      <c r="G1777" s="264" t="s">
        <v>26</v>
      </c>
      <c r="H1777" s="368">
        <v>75</v>
      </c>
      <c r="I1777" s="368">
        <v>0</v>
      </c>
      <c r="J1777" s="264" t="s">
        <v>1174</v>
      </c>
      <c r="K1777" s="264" t="s">
        <v>2025</v>
      </c>
      <c r="L1777" s="1" t="str">
        <f>VLOOKUP(Advices[[#This Row],[LC Number]],'Combine_List'!A:D,2,0)</f>
        <v>The Fundamental Installation For Electric Work Co</v>
      </c>
      <c r="M1777" s="447" t="str">
        <f>VLOOKUP(Advices[[#This Row],[LC Number]],'Combine_List'!A:D,3,0)</f>
        <v>FIRST FIX</v>
      </c>
      <c r="N1777" s="447" t="str">
        <f>VLOOKUP(Advices[[#This Row],[LC Number]],'Combine_List'!A:D,4,0)</f>
        <v>L01-YAMMAMA</v>
      </c>
      <c r="O1777" s="1"/>
      <c r="P1777" s="1">
        <f>MONTH(Advices[[#This Row],[Transaction Date]])</f>
        <v>2</v>
      </c>
      <c r="Q1777" s="1">
        <f>YEAR(Advices[[#This Row],[Transaction Date]])</f>
        <v>2026</v>
      </c>
      <c r="R1777" s="1"/>
    </row>
    <row r="1778" spans="1:18" x14ac:dyDescent="0.25">
      <c r="A1778" s="264" t="s">
        <v>21</v>
      </c>
      <c r="B1778" s="265">
        <v>46068</v>
      </c>
      <c r="C1778" s="264" t="s">
        <v>1951</v>
      </c>
      <c r="D1778" s="300" t="s">
        <v>4061</v>
      </c>
      <c r="E1778" s="300" t="s">
        <v>4054</v>
      </c>
      <c r="F1778" s="300" t="s">
        <v>4059</v>
      </c>
      <c r="G1778" s="264" t="s">
        <v>26</v>
      </c>
      <c r="H1778" s="368">
        <v>250</v>
      </c>
      <c r="I1778" s="368">
        <v>0</v>
      </c>
      <c r="J1778" s="264" t="s">
        <v>1963</v>
      </c>
      <c r="K1778" s="264" t="s">
        <v>2025</v>
      </c>
      <c r="L1778" s="1" t="str">
        <f>VLOOKUP(Advices[[#This Row],[LC Number]],'Combine_List'!A:D,2,0)</f>
        <v>The Fundamental Installation For Electric Work Co</v>
      </c>
      <c r="M1778" s="447" t="str">
        <f>VLOOKUP(Advices[[#This Row],[LC Number]],'Combine_List'!A:D,3,0)</f>
        <v>FIRST FIX</v>
      </c>
      <c r="N1778" s="447" t="str">
        <f>VLOOKUP(Advices[[#This Row],[LC Number]],'Combine_List'!A:D,4,0)</f>
        <v>L01-YAMMAMA</v>
      </c>
      <c r="O1778" s="1"/>
      <c r="P1778" s="1">
        <f>MONTH(Advices[[#This Row],[Transaction Date]])</f>
        <v>2</v>
      </c>
      <c r="Q1778" s="1">
        <f>YEAR(Advices[[#This Row],[Transaction Date]])</f>
        <v>2026</v>
      </c>
      <c r="R1778" s="1"/>
    </row>
    <row r="1779" spans="1:18" x14ac:dyDescent="0.25">
      <c r="A1779" s="264" t="s">
        <v>21</v>
      </c>
      <c r="B1779" s="265">
        <v>46068</v>
      </c>
      <c r="C1779" s="264" t="s">
        <v>1951</v>
      </c>
      <c r="D1779" s="300" t="s">
        <v>4089</v>
      </c>
      <c r="E1779" s="300" t="s">
        <v>4054</v>
      </c>
      <c r="F1779" s="300" t="s">
        <v>4059</v>
      </c>
      <c r="G1779" s="264" t="s">
        <v>26</v>
      </c>
      <c r="H1779" s="368">
        <v>500</v>
      </c>
      <c r="I1779" s="368">
        <v>0</v>
      </c>
      <c r="J1779" s="264" t="s">
        <v>1124</v>
      </c>
      <c r="K1779" s="264" t="s">
        <v>2025</v>
      </c>
      <c r="L1779" s="1" t="str">
        <f>VLOOKUP(Advices[[#This Row],[LC Number]],'Combine_List'!A:D,2,0)</f>
        <v>The Fundamental Installation For Electric Work Co</v>
      </c>
      <c r="M1779" s="447" t="str">
        <f>VLOOKUP(Advices[[#This Row],[LC Number]],'Combine_List'!A:D,3,0)</f>
        <v>FIRST FIX</v>
      </c>
      <c r="N1779" s="447" t="str">
        <f>VLOOKUP(Advices[[#This Row],[LC Number]],'Combine_List'!A:D,4,0)</f>
        <v>L01-YAMMAMA</v>
      </c>
      <c r="O1779" s="264"/>
      <c r="P1779" s="264">
        <f>MONTH(Advices[[#This Row],[Transaction Date]])</f>
        <v>2</v>
      </c>
      <c r="Q1779" s="264">
        <f>YEAR(Advices[[#This Row],[Transaction Date]])</f>
        <v>2026</v>
      </c>
      <c r="R1779" s="1"/>
    </row>
    <row r="1780" spans="1:18" hidden="1" x14ac:dyDescent="0.25">
      <c r="A1780" s="264" t="s">
        <v>95</v>
      </c>
      <c r="B1780" s="265">
        <v>46068</v>
      </c>
      <c r="C1780" s="264" t="s">
        <v>2307</v>
      </c>
      <c r="D1780" s="300" t="s">
        <v>4090</v>
      </c>
      <c r="E1780" s="300" t="s">
        <v>1095</v>
      </c>
      <c r="F1780" s="300" t="s">
        <v>4094</v>
      </c>
      <c r="G1780" s="264"/>
      <c r="H1780" s="368">
        <v>71875</v>
      </c>
      <c r="I1780" s="368">
        <v>0</v>
      </c>
      <c r="J1780" s="264" t="s">
        <v>4095</v>
      </c>
      <c r="K1780" s="264" t="s">
        <v>2025</v>
      </c>
      <c r="L1780" s="1" t="str">
        <f>VLOOKUP(Advices[[#This Row],[LC Number]],'Combine_List'!A:D,2,0)</f>
        <v>Material - JEDDAH CENTRAL DEVELOPMENT COMPANY (JCD)</v>
      </c>
      <c r="M1780" s="447">
        <f>VLOOKUP(Advices[[#This Row],[LC Number]],'Combine_List'!A:D,3,0)</f>
        <v>0</v>
      </c>
      <c r="N1780" s="447" t="str">
        <f>VLOOKUP(Advices[[#This Row],[LC Number]],'Combine_List'!A:D,4,0)</f>
        <v>Opera House</v>
      </c>
      <c r="O1780" s="264"/>
      <c r="P1780" s="264">
        <f>MONTH(Advices[[#This Row],[Transaction Date]])</f>
        <v>2</v>
      </c>
      <c r="Q1780" s="264">
        <f>YEAR(Advices[[#This Row],[Transaction Date]])</f>
        <v>2026</v>
      </c>
      <c r="R1780" s="1"/>
    </row>
    <row r="1781" spans="1:18" hidden="1" x14ac:dyDescent="0.25">
      <c r="A1781" s="264" t="s">
        <v>366</v>
      </c>
      <c r="B1781" s="265">
        <v>46068</v>
      </c>
      <c r="C1781" s="264" t="s">
        <v>2057</v>
      </c>
      <c r="D1781" s="300" t="s">
        <v>4091</v>
      </c>
      <c r="E1781" s="300" t="s">
        <v>2236</v>
      </c>
      <c r="F1781" s="300" t="s">
        <v>3473</v>
      </c>
      <c r="G1781" s="264" t="s">
        <v>26</v>
      </c>
      <c r="H1781" s="368">
        <v>253336.46</v>
      </c>
      <c r="I1781" s="368">
        <v>0</v>
      </c>
      <c r="J1781" s="264" t="s">
        <v>1126</v>
      </c>
      <c r="K1781" s="264" t="s">
        <v>2025</v>
      </c>
      <c r="L1781" s="1" t="str">
        <f>VLOOKUP(Advices[[#This Row],[LC Number]],'Combine_List'!A:D,2,0)</f>
        <v>Building System Intelligent Est.</v>
      </c>
      <c r="M1781" s="447" t="str">
        <f>VLOOKUP(Advices[[#This Row],[LC Number]],'Combine_List'!A:D,3,0)</f>
        <v>FIRST FIX</v>
      </c>
      <c r="N1781" s="447" t="str">
        <f>VLOOKUP(Advices[[#This Row],[LC Number]],'Combine_List'!A:D,4,0)</f>
        <v>MP1</v>
      </c>
      <c r="O1781" s="1"/>
      <c r="P1781" s="1">
        <f>MONTH(Advices[[#This Row],[Transaction Date]])</f>
        <v>2</v>
      </c>
      <c r="Q1781" s="1">
        <f>YEAR(Advices[[#This Row],[Transaction Date]])</f>
        <v>2026</v>
      </c>
      <c r="R1781" s="1"/>
    </row>
    <row r="1782" spans="1:18" hidden="1" x14ac:dyDescent="0.25">
      <c r="A1782" s="264" t="s">
        <v>366</v>
      </c>
      <c r="B1782" s="265">
        <v>46068</v>
      </c>
      <c r="C1782" s="264" t="s">
        <v>2057</v>
      </c>
      <c r="D1782" s="300" t="s">
        <v>4092</v>
      </c>
      <c r="E1782" s="300" t="s">
        <v>1443</v>
      </c>
      <c r="F1782" s="300" t="s">
        <v>3429</v>
      </c>
      <c r="G1782" s="264" t="s">
        <v>26</v>
      </c>
      <c r="H1782" s="368">
        <v>109036.65</v>
      </c>
      <c r="I1782" s="368">
        <v>0</v>
      </c>
      <c r="J1782" s="264" t="s">
        <v>1126</v>
      </c>
      <c r="K1782" s="264" t="s">
        <v>2025</v>
      </c>
      <c r="L1782" s="1" t="str">
        <f>VLOOKUP(Advices[[#This Row],[LC Number]],'Combine_List'!A:D,2,0)</f>
        <v>Bahra Advanced Cable Manufacture Co.Ltd</v>
      </c>
      <c r="M1782" s="447" t="str">
        <f>VLOOKUP(Advices[[#This Row],[LC Number]],'Combine_List'!A:D,3,0)</f>
        <v>FIRST FIX</v>
      </c>
      <c r="N1782" s="447" t="str">
        <f>VLOOKUP(Advices[[#This Row],[LC Number]],'Combine_List'!A:D,4,0)</f>
        <v>MP1</v>
      </c>
      <c r="O1782" s="1"/>
      <c r="P1782" s="1">
        <f>MONTH(Advices[[#This Row],[Transaction Date]])</f>
        <v>2</v>
      </c>
      <c r="Q1782" s="1">
        <f>YEAR(Advices[[#This Row],[Transaction Date]])</f>
        <v>2026</v>
      </c>
      <c r="R1782" s="1"/>
    </row>
    <row r="1783" spans="1:18" hidden="1" x14ac:dyDescent="0.25">
      <c r="A1783" s="264" t="s">
        <v>366</v>
      </c>
      <c r="B1783" s="265">
        <v>46068</v>
      </c>
      <c r="C1783" s="264" t="s">
        <v>2060</v>
      </c>
      <c r="D1783" s="300" t="s">
        <v>4093</v>
      </c>
      <c r="E1783" s="300" t="s">
        <v>2236</v>
      </c>
      <c r="F1783" s="300" t="s">
        <v>3468</v>
      </c>
      <c r="G1783" s="264" t="s">
        <v>26</v>
      </c>
      <c r="H1783" s="368">
        <v>47630.53</v>
      </c>
      <c r="I1783" s="368">
        <v>0</v>
      </c>
      <c r="J1783" s="264" t="s">
        <v>1126</v>
      </c>
      <c r="K1783" s="264" t="s">
        <v>2025</v>
      </c>
      <c r="L1783" s="1" t="str">
        <f>VLOOKUP(Advices[[#This Row],[LC Number]],'Combine_List'!A:D,2,0)</f>
        <v>Building System Intelligent Est.</v>
      </c>
      <c r="M1783" s="447" t="str">
        <f>VLOOKUP(Advices[[#This Row],[LC Number]],'Combine_List'!A:D,3,0)</f>
        <v>FIRST FIX</v>
      </c>
      <c r="N1783" s="447" t="str">
        <f>VLOOKUP(Advices[[#This Row],[LC Number]],'Combine_List'!A:D,4,0)</f>
        <v>MP1</v>
      </c>
      <c r="O1783" s="264"/>
      <c r="P1783" s="264">
        <f>MONTH(Advices[[#This Row],[Transaction Date]])</f>
        <v>2</v>
      </c>
      <c r="Q1783" s="264">
        <f>YEAR(Advices[[#This Row],[Transaction Date]])</f>
        <v>2026</v>
      </c>
      <c r="R1783" s="1"/>
    </row>
    <row r="1784" spans="1:18" hidden="1" x14ac:dyDescent="0.25">
      <c r="A1784" s="264" t="s">
        <v>62</v>
      </c>
      <c r="B1784" s="265">
        <v>46069</v>
      </c>
      <c r="C1784" s="264" t="s">
        <v>2042</v>
      </c>
      <c r="D1784" s="300" t="s">
        <v>4102</v>
      </c>
      <c r="E1784" s="300" t="s">
        <v>306</v>
      </c>
      <c r="F1784" s="300" t="s">
        <v>2041</v>
      </c>
      <c r="G1784" s="264" t="s">
        <v>26</v>
      </c>
      <c r="H1784" s="368">
        <v>230</v>
      </c>
      <c r="I1784" s="368">
        <v>0</v>
      </c>
      <c r="J1784" s="264" t="s">
        <v>1125</v>
      </c>
      <c r="K1784" s="264" t="s">
        <v>2025</v>
      </c>
      <c r="L1784" s="1" t="str">
        <f>VLOOKUP(Advices[[#This Row],[LC Number]],'Combine_List'!A:D,2,0)</f>
        <v>ATELIER HOSPITALITY SRL</v>
      </c>
      <c r="M1784" s="447" t="str">
        <f>VLOOKUP(Advices[[#This Row],[LC Number]],'Combine_List'!A:D,3,0)</f>
        <v>MBL</v>
      </c>
      <c r="N1784" s="447" t="str">
        <f>VLOOKUP(Advices[[#This Row],[LC Number]],'Combine_List'!A:D,4,0)</f>
        <v>L01-YAMMAMA</v>
      </c>
      <c r="O1784" s="264"/>
      <c r="P1784" s="264">
        <f>MONTH(Advices[[#This Row],[Transaction Date]])</f>
        <v>2</v>
      </c>
      <c r="Q1784" s="264">
        <f>YEAR(Advices[[#This Row],[Transaction Date]])</f>
        <v>2026</v>
      </c>
      <c r="R1784" s="1"/>
    </row>
    <row r="1785" spans="1:18" hidden="1" x14ac:dyDescent="0.25">
      <c r="A1785" s="264" t="s">
        <v>366</v>
      </c>
      <c r="B1785" s="265">
        <v>46069</v>
      </c>
      <c r="C1785" s="264" t="s">
        <v>2057</v>
      </c>
      <c r="D1785" s="300" t="s">
        <v>4103</v>
      </c>
      <c r="E1785" s="300" t="s">
        <v>1857</v>
      </c>
      <c r="F1785" s="300" t="s">
        <v>3423</v>
      </c>
      <c r="G1785" s="264" t="s">
        <v>26</v>
      </c>
      <c r="H1785" s="368">
        <v>2000000</v>
      </c>
      <c r="I1785" s="368">
        <v>0</v>
      </c>
      <c r="J1785" s="264" t="s">
        <v>1126</v>
      </c>
      <c r="K1785" s="264" t="s">
        <v>2025</v>
      </c>
      <c r="L1785" s="1" t="str">
        <f>VLOOKUP(Advices[[#This Row],[LC Number]],'Combine_List'!A:D,2,0)</f>
        <v>ELECTRIC HOUSE LIMITED COMPANY.</v>
      </c>
      <c r="M1785" s="447" t="str">
        <f>VLOOKUP(Advices[[#This Row],[LC Number]],'Combine_List'!A:D,3,0)</f>
        <v>FIRST FIX</v>
      </c>
      <c r="N1785" s="447" t="str">
        <f>VLOOKUP(Advices[[#This Row],[LC Number]],'Combine_List'!A:D,4,0)</f>
        <v>CEER</v>
      </c>
      <c r="O1785" s="1"/>
      <c r="P1785" s="1">
        <f>MONTH(Advices[[#This Row],[Transaction Date]])</f>
        <v>2</v>
      </c>
      <c r="Q1785" s="1">
        <f>YEAR(Advices[[#This Row],[Transaction Date]])</f>
        <v>2026</v>
      </c>
      <c r="R1785" s="1"/>
    </row>
    <row r="1786" spans="1:18" hidden="1" x14ac:dyDescent="0.25">
      <c r="A1786" s="264" t="s">
        <v>366</v>
      </c>
      <c r="B1786" s="265">
        <v>46069</v>
      </c>
      <c r="C1786" s="264" t="s">
        <v>2057</v>
      </c>
      <c r="D1786" s="300" t="s">
        <v>4104</v>
      </c>
      <c r="E1786" s="300" t="s">
        <v>1674</v>
      </c>
      <c r="F1786" s="300" t="s">
        <v>3443</v>
      </c>
      <c r="G1786" s="264" t="s">
        <v>26</v>
      </c>
      <c r="H1786" s="368">
        <v>148419.23000000001</v>
      </c>
      <c r="I1786" s="368">
        <v>0</v>
      </c>
      <c r="J1786" s="264" t="s">
        <v>1126</v>
      </c>
      <c r="K1786" s="264" t="s">
        <v>2025</v>
      </c>
      <c r="L1786" s="1" t="str">
        <f>VLOOKUP(Advices[[#This Row],[LC Number]],'Combine_List'!A:D,2,0)</f>
        <v>AL-RIYADHA AL-OULA FOR INDUSTRIAL MATERIAL SUPPLY CO.</v>
      </c>
      <c r="M1786" s="447" t="str">
        <f>VLOOKUP(Advices[[#This Row],[LC Number]],'Combine_List'!A:D,3,0)</f>
        <v>FIRST FIX</v>
      </c>
      <c r="N1786" s="447" t="str">
        <f>VLOOKUP(Advices[[#This Row],[LC Number]],'Combine_List'!A:D,4,0)</f>
        <v>CEER</v>
      </c>
      <c r="O1786" s="264"/>
      <c r="P1786" s="264">
        <f>MONTH(Advices[[#This Row],[Transaction Date]])</f>
        <v>2</v>
      </c>
      <c r="Q1786" s="264">
        <f>YEAR(Advices[[#This Row],[Transaction Date]])</f>
        <v>2026</v>
      </c>
      <c r="R1786" s="1"/>
    </row>
    <row r="1787" spans="1:18" hidden="1" x14ac:dyDescent="0.25">
      <c r="A1787" s="264" t="s">
        <v>612</v>
      </c>
      <c r="B1787" s="265">
        <v>46069</v>
      </c>
      <c r="C1787" s="264" t="s">
        <v>2101</v>
      </c>
      <c r="D1787" s="300" t="s">
        <v>4105</v>
      </c>
      <c r="E1787" s="300" t="s">
        <v>723</v>
      </c>
      <c r="F1787" s="300" t="s">
        <v>2041</v>
      </c>
      <c r="G1787" s="264" t="s">
        <v>26</v>
      </c>
      <c r="H1787" s="368">
        <v>251134</v>
      </c>
      <c r="I1787" s="368">
        <v>0</v>
      </c>
      <c r="J1787" s="264" t="s">
        <v>1126</v>
      </c>
      <c r="K1787" s="264" t="s">
        <v>2025</v>
      </c>
      <c r="L1787" s="1" t="str">
        <f>VLOOKUP(Advices[[#This Row],[LC Number]],'Combine_List'!A:D,2,0)</f>
        <v>UNITED PARK CO</v>
      </c>
      <c r="M1787" s="447" t="str">
        <f>VLOOKUP(Advices[[#This Row],[LC Number]],'Combine_List'!A:D,3,0)</f>
        <v>FIRST FIX</v>
      </c>
      <c r="N1787" s="447" t="str">
        <f>VLOOKUP(Advices[[#This Row],[LC Number]],'Combine_List'!A:D,4,0)</f>
        <v>RCRC</v>
      </c>
      <c r="O1787" s="1"/>
      <c r="P1787" s="1">
        <f>MONTH(Advices[[#This Row],[Transaction Date]])</f>
        <v>2</v>
      </c>
      <c r="Q1787" s="1">
        <f>YEAR(Advices[[#This Row],[Transaction Date]])</f>
        <v>2026</v>
      </c>
      <c r="R1787" s="1"/>
    </row>
    <row r="1788" spans="1:18" hidden="1" x14ac:dyDescent="0.25">
      <c r="A1788" s="264" t="s">
        <v>612</v>
      </c>
      <c r="B1788" s="265">
        <v>46069</v>
      </c>
      <c r="C1788" s="264" t="s">
        <v>2101</v>
      </c>
      <c r="D1788" s="300" t="s">
        <v>4106</v>
      </c>
      <c r="E1788" s="300" t="s">
        <v>3568</v>
      </c>
      <c r="F1788" s="300" t="s">
        <v>2041</v>
      </c>
      <c r="G1788" s="264" t="s">
        <v>26</v>
      </c>
      <c r="H1788" s="368">
        <v>100</v>
      </c>
      <c r="I1788" s="368">
        <v>0</v>
      </c>
      <c r="J1788" s="264" t="s">
        <v>1125</v>
      </c>
      <c r="K1788" s="264" t="s">
        <v>2025</v>
      </c>
      <c r="L1788" s="1" t="str">
        <f>VLOOKUP(Advices[[#This Row],[LC Number]],'Combine_List'!A:D,2,0)</f>
        <v xml:space="preserve">Al Wasail Industrial Co </v>
      </c>
      <c r="M1788" s="447" t="str">
        <f>VLOOKUP(Advices[[#This Row],[LC Number]],'Combine_List'!A:D,3,0)</f>
        <v>FIRST FIX</v>
      </c>
      <c r="N1788" s="447" t="str">
        <f>VLOOKUP(Advices[[#This Row],[LC Number]],'Combine_List'!A:D,4,0)</f>
        <v>RCRC</v>
      </c>
      <c r="O1788" s="1"/>
      <c r="P1788" s="1">
        <f>MONTH(Advices[[#This Row],[Transaction Date]])</f>
        <v>2</v>
      </c>
      <c r="Q1788" s="1">
        <f>YEAR(Advices[[#This Row],[Transaction Date]])</f>
        <v>2026</v>
      </c>
      <c r="R1788" s="1"/>
    </row>
    <row r="1789" spans="1:18" hidden="1" x14ac:dyDescent="0.25">
      <c r="A1789" s="264" t="s">
        <v>612</v>
      </c>
      <c r="B1789" s="265">
        <v>46069</v>
      </c>
      <c r="C1789" s="264" t="s">
        <v>2101</v>
      </c>
      <c r="D1789" s="300" t="s">
        <v>4107</v>
      </c>
      <c r="E1789" s="300" t="s">
        <v>3568</v>
      </c>
      <c r="F1789" s="300" t="s">
        <v>2041</v>
      </c>
      <c r="G1789" s="264" t="s">
        <v>26</v>
      </c>
      <c r="H1789" s="368">
        <v>15</v>
      </c>
      <c r="I1789" s="368">
        <v>0</v>
      </c>
      <c r="J1789" s="264" t="s">
        <v>1174</v>
      </c>
      <c r="K1789" s="264" t="s">
        <v>2025</v>
      </c>
      <c r="L1789" s="1" t="str">
        <f>VLOOKUP(Advices[[#This Row],[LC Number]],'Combine_List'!A:D,2,0)</f>
        <v xml:space="preserve">Al Wasail Industrial Co </v>
      </c>
      <c r="M1789" s="447" t="str">
        <f>VLOOKUP(Advices[[#This Row],[LC Number]],'Combine_List'!A:D,3,0)</f>
        <v>FIRST FIX</v>
      </c>
      <c r="N1789" s="447" t="str">
        <f>VLOOKUP(Advices[[#This Row],[LC Number]],'Combine_List'!A:D,4,0)</f>
        <v>RCRC</v>
      </c>
      <c r="O1789" s="1"/>
      <c r="P1789" s="1">
        <f>MONTH(Advices[[#This Row],[Transaction Date]])</f>
        <v>2</v>
      </c>
      <c r="Q1789" s="1">
        <f>YEAR(Advices[[#This Row],[Transaction Date]])</f>
        <v>2026</v>
      </c>
      <c r="R1789" s="1"/>
    </row>
    <row r="1790" spans="1:18" hidden="1" x14ac:dyDescent="0.25">
      <c r="A1790" s="264" t="s">
        <v>612</v>
      </c>
      <c r="B1790" s="265">
        <v>46069</v>
      </c>
      <c r="C1790" s="264" t="s">
        <v>2101</v>
      </c>
      <c r="D1790" s="300" t="s">
        <v>4108</v>
      </c>
      <c r="E1790" s="300" t="s">
        <v>3568</v>
      </c>
      <c r="F1790" s="300" t="s">
        <v>2041</v>
      </c>
      <c r="G1790" s="264" t="s">
        <v>26</v>
      </c>
      <c r="H1790" s="368">
        <v>262</v>
      </c>
      <c r="I1790" s="368">
        <v>0</v>
      </c>
      <c r="J1790" s="264" t="s">
        <v>1125</v>
      </c>
      <c r="K1790" s="264" t="s">
        <v>2025</v>
      </c>
      <c r="L1790" s="1" t="str">
        <f>VLOOKUP(Advices[[#This Row],[LC Number]],'Combine_List'!A:D,2,0)</f>
        <v xml:space="preserve">Al Wasail Industrial Co </v>
      </c>
      <c r="M1790" s="447" t="str">
        <f>VLOOKUP(Advices[[#This Row],[LC Number]],'Combine_List'!A:D,3,0)</f>
        <v>FIRST FIX</v>
      </c>
      <c r="N1790" s="447" t="str">
        <f>VLOOKUP(Advices[[#This Row],[LC Number]],'Combine_List'!A:D,4,0)</f>
        <v>RCRC</v>
      </c>
      <c r="O1790" s="1"/>
      <c r="P1790" s="1">
        <f>MONTH(Advices[[#This Row],[Transaction Date]])</f>
        <v>2</v>
      </c>
      <c r="Q1790" s="1">
        <f>YEAR(Advices[[#This Row],[Transaction Date]])</f>
        <v>2026</v>
      </c>
      <c r="R1790" s="1"/>
    </row>
    <row r="1791" spans="1:18" hidden="1" x14ac:dyDescent="0.25">
      <c r="A1791" s="264" t="s">
        <v>612</v>
      </c>
      <c r="B1791" s="265">
        <v>46069</v>
      </c>
      <c r="C1791" s="264" t="s">
        <v>2101</v>
      </c>
      <c r="D1791" s="300" t="s">
        <v>4109</v>
      </c>
      <c r="E1791" s="300" t="s">
        <v>3568</v>
      </c>
      <c r="F1791" s="300" t="s">
        <v>2041</v>
      </c>
      <c r="G1791" s="264" t="s">
        <v>26</v>
      </c>
      <c r="H1791" s="368">
        <v>39.299999999999997</v>
      </c>
      <c r="I1791" s="368">
        <v>0</v>
      </c>
      <c r="J1791" s="264" t="s">
        <v>1174</v>
      </c>
      <c r="K1791" s="264" t="s">
        <v>2025</v>
      </c>
      <c r="L1791" s="1" t="str">
        <f>VLOOKUP(Advices[[#This Row],[LC Number]],'Combine_List'!A:D,2,0)</f>
        <v xml:space="preserve">Al Wasail Industrial Co </v>
      </c>
      <c r="M1791" s="447" t="str">
        <f>VLOOKUP(Advices[[#This Row],[LC Number]],'Combine_List'!A:D,3,0)</f>
        <v>FIRST FIX</v>
      </c>
      <c r="N1791" s="447" t="str">
        <f>VLOOKUP(Advices[[#This Row],[LC Number]],'Combine_List'!A:D,4,0)</f>
        <v>RCRC</v>
      </c>
      <c r="O1791" s="1"/>
      <c r="P1791" s="1">
        <f>MONTH(Advices[[#This Row],[Transaction Date]])</f>
        <v>2</v>
      </c>
      <c r="Q1791" s="1">
        <f>YEAR(Advices[[#This Row],[Transaction Date]])</f>
        <v>2026</v>
      </c>
      <c r="R1791" s="1"/>
    </row>
    <row r="1792" spans="1:18" hidden="1" x14ac:dyDescent="0.25">
      <c r="A1792" s="264" t="s">
        <v>612</v>
      </c>
      <c r="B1792" s="265">
        <v>46069</v>
      </c>
      <c r="C1792" s="264" t="s">
        <v>2101</v>
      </c>
      <c r="D1792" s="300" t="s">
        <v>4110</v>
      </c>
      <c r="E1792" s="300" t="s">
        <v>3568</v>
      </c>
      <c r="F1792" s="300" t="s">
        <v>2041</v>
      </c>
      <c r="G1792" s="264" t="s">
        <v>26</v>
      </c>
      <c r="H1792" s="368">
        <v>200</v>
      </c>
      <c r="I1792" s="368">
        <v>0</v>
      </c>
      <c r="J1792" s="264" t="s">
        <v>1125</v>
      </c>
      <c r="K1792" s="264" t="s">
        <v>2025</v>
      </c>
      <c r="L1792" s="1" t="str">
        <f>VLOOKUP(Advices[[#This Row],[LC Number]],'Combine_List'!A:D,2,0)</f>
        <v xml:space="preserve">Al Wasail Industrial Co </v>
      </c>
      <c r="M1792" s="447" t="str">
        <f>VLOOKUP(Advices[[#This Row],[LC Number]],'Combine_List'!A:D,3,0)</f>
        <v>FIRST FIX</v>
      </c>
      <c r="N1792" s="447" t="str">
        <f>VLOOKUP(Advices[[#This Row],[LC Number]],'Combine_List'!A:D,4,0)</f>
        <v>RCRC</v>
      </c>
      <c r="O1792" s="1"/>
      <c r="P1792" s="1">
        <f>MONTH(Advices[[#This Row],[Transaction Date]])</f>
        <v>2</v>
      </c>
      <c r="Q1792" s="1">
        <f>YEAR(Advices[[#This Row],[Transaction Date]])</f>
        <v>2026</v>
      </c>
      <c r="R1792" s="1"/>
    </row>
    <row r="1793" spans="1:18" hidden="1" x14ac:dyDescent="0.25">
      <c r="A1793" s="264" t="s">
        <v>612</v>
      </c>
      <c r="B1793" s="265">
        <v>46069</v>
      </c>
      <c r="C1793" s="264" t="s">
        <v>2101</v>
      </c>
      <c r="D1793" s="300" t="s">
        <v>4111</v>
      </c>
      <c r="E1793" s="300" t="s">
        <v>3568</v>
      </c>
      <c r="F1793" s="300" t="s">
        <v>2041</v>
      </c>
      <c r="G1793" s="264" t="s">
        <v>26</v>
      </c>
      <c r="H1793" s="368">
        <v>30</v>
      </c>
      <c r="I1793" s="368">
        <v>0</v>
      </c>
      <c r="J1793" s="264" t="s">
        <v>1174</v>
      </c>
      <c r="K1793" s="264" t="s">
        <v>2025</v>
      </c>
      <c r="L1793" s="1" t="str">
        <f>VLOOKUP(Advices[[#This Row],[LC Number]],'Combine_List'!A:D,2,0)</f>
        <v xml:space="preserve">Al Wasail Industrial Co </v>
      </c>
      <c r="M1793" s="447" t="str">
        <f>VLOOKUP(Advices[[#This Row],[LC Number]],'Combine_List'!A:D,3,0)</f>
        <v>FIRST FIX</v>
      </c>
      <c r="N1793" s="447" t="str">
        <f>VLOOKUP(Advices[[#This Row],[LC Number]],'Combine_List'!A:D,4,0)</f>
        <v>RCRC</v>
      </c>
      <c r="O1793" s="264"/>
      <c r="P1793" s="264">
        <f>MONTH(Advices[[#This Row],[Transaction Date]])</f>
        <v>2</v>
      </c>
      <c r="Q1793" s="264">
        <f>YEAR(Advices[[#This Row],[Transaction Date]])</f>
        <v>2026</v>
      </c>
      <c r="R1793" s="1"/>
    </row>
    <row r="1794" spans="1:18" hidden="1" x14ac:dyDescent="0.25">
      <c r="A1794" s="264" t="s">
        <v>62</v>
      </c>
      <c r="B1794" s="265">
        <v>46070</v>
      </c>
      <c r="C1794" s="264" t="s">
        <v>2712</v>
      </c>
      <c r="D1794" s="300" t="s">
        <v>4118</v>
      </c>
      <c r="E1794" s="300" t="s">
        <v>306</v>
      </c>
      <c r="F1794" s="300" t="s">
        <v>2041</v>
      </c>
      <c r="G1794" s="264" t="s">
        <v>67</v>
      </c>
      <c r="H1794" s="368">
        <v>18210.38</v>
      </c>
      <c r="I1794" s="368">
        <v>0</v>
      </c>
      <c r="J1794" s="264" t="s">
        <v>1126</v>
      </c>
      <c r="K1794" s="264" t="s">
        <v>2025</v>
      </c>
      <c r="L1794" s="1" t="str">
        <f>VLOOKUP(Advices[[#This Row],[LC Number]],'Combine_List'!A:D,2,0)</f>
        <v>ATELIER HOSPITALITY SRL</v>
      </c>
      <c r="M1794" s="447" t="str">
        <f>VLOOKUP(Advices[[#This Row],[LC Number]],'Combine_List'!A:D,3,0)</f>
        <v>MBL</v>
      </c>
      <c r="N1794" s="447" t="str">
        <f>VLOOKUP(Advices[[#This Row],[LC Number]],'Combine_List'!A:D,4,0)</f>
        <v>L01-YAMMAMA</v>
      </c>
      <c r="O1794" s="1"/>
      <c r="P1794" s="1">
        <f>MONTH(Advices[[#This Row],[Transaction Date]])</f>
        <v>2</v>
      </c>
      <c r="Q1794" s="1">
        <f>YEAR(Advices[[#This Row],[Transaction Date]])</f>
        <v>2026</v>
      </c>
      <c r="R1794" s="1"/>
    </row>
    <row r="1795" spans="1:18" hidden="1" x14ac:dyDescent="0.25">
      <c r="A1795" s="264" t="s">
        <v>62</v>
      </c>
      <c r="B1795" s="265">
        <v>46070</v>
      </c>
      <c r="C1795" s="264" t="s">
        <v>2042</v>
      </c>
      <c r="D1795" s="300" t="s">
        <v>4119</v>
      </c>
      <c r="E1795" s="300" t="s">
        <v>306</v>
      </c>
      <c r="F1795" s="300" t="s">
        <v>2041</v>
      </c>
      <c r="G1795" s="264" t="s">
        <v>26</v>
      </c>
      <c r="H1795" s="368">
        <v>0</v>
      </c>
      <c r="I1795" s="368">
        <v>83223.08</v>
      </c>
      <c r="J1795" s="264" t="s">
        <v>2899</v>
      </c>
      <c r="K1795" s="264" t="s">
        <v>2025</v>
      </c>
      <c r="L1795" s="1" t="str">
        <f>VLOOKUP(Advices[[#This Row],[LC Number]],'Combine_List'!A:D,2,0)</f>
        <v>ATELIER HOSPITALITY SRL</v>
      </c>
      <c r="M1795" s="447" t="str">
        <f>VLOOKUP(Advices[[#This Row],[LC Number]],'Combine_List'!A:D,3,0)</f>
        <v>MBL</v>
      </c>
      <c r="N1795" s="447" t="str">
        <f>VLOOKUP(Advices[[#This Row],[LC Number]],'Combine_List'!A:D,4,0)</f>
        <v>L01-YAMMAMA</v>
      </c>
      <c r="O1795" s="1"/>
      <c r="P1795" s="1">
        <f>MONTH(Advices[[#This Row],[Transaction Date]])</f>
        <v>2</v>
      </c>
      <c r="Q1795" s="1">
        <f>YEAR(Advices[[#This Row],[Transaction Date]])</f>
        <v>2026</v>
      </c>
      <c r="R1795" s="1"/>
    </row>
    <row r="1796" spans="1:18" hidden="1" x14ac:dyDescent="0.25">
      <c r="A1796" s="264" t="s">
        <v>62</v>
      </c>
      <c r="B1796" s="265">
        <v>46071</v>
      </c>
      <c r="C1796" s="264" t="s">
        <v>2039</v>
      </c>
      <c r="D1796" s="300" t="s">
        <v>4120</v>
      </c>
      <c r="E1796" s="300" t="s">
        <v>2906</v>
      </c>
      <c r="F1796" s="300" t="s">
        <v>2041</v>
      </c>
      <c r="G1796" s="264" t="s">
        <v>26</v>
      </c>
      <c r="H1796" s="368">
        <v>349.97</v>
      </c>
      <c r="I1796" s="368">
        <v>0</v>
      </c>
      <c r="J1796" s="264" t="s">
        <v>1125</v>
      </c>
      <c r="K1796" s="264" t="s">
        <v>2025</v>
      </c>
      <c r="L1796" s="1" t="str">
        <f>VLOOKUP(Advices[[#This Row],[LC Number]],'Combine_List'!A:D,2,0)</f>
        <v>IBA MIDDLE EAST FZE</v>
      </c>
      <c r="M1796" s="447" t="str">
        <f>VLOOKUP(Advices[[#This Row],[LC Number]],'Combine_List'!A:D,3,0)</f>
        <v>MBL/United Arab Aluminum Co</v>
      </c>
      <c r="N1796" s="447" t="str">
        <f>VLOOKUP(Advices[[#This Row],[LC Number]],'Combine_List'!A:D,4,0)</f>
        <v>Oceanarium</v>
      </c>
      <c r="O1796" s="1"/>
      <c r="P1796" s="1">
        <f>MONTH(Advices[[#This Row],[Transaction Date]])</f>
        <v>2</v>
      </c>
      <c r="Q1796" s="1">
        <f>YEAR(Advices[[#This Row],[Transaction Date]])</f>
        <v>2026</v>
      </c>
      <c r="R1796" s="1"/>
    </row>
    <row r="1797" spans="1:18" hidden="1" x14ac:dyDescent="0.25">
      <c r="A1797" s="264" t="s">
        <v>62</v>
      </c>
      <c r="B1797" s="265">
        <v>46071</v>
      </c>
      <c r="C1797" s="264" t="s">
        <v>2039</v>
      </c>
      <c r="D1797" s="300" t="s">
        <v>4121</v>
      </c>
      <c r="E1797" s="300" t="s">
        <v>2906</v>
      </c>
      <c r="F1797" s="300" t="s">
        <v>2041</v>
      </c>
      <c r="G1797" s="264" t="s">
        <v>26</v>
      </c>
      <c r="H1797" s="368">
        <v>1322.4</v>
      </c>
      <c r="I1797" s="368">
        <v>0</v>
      </c>
      <c r="J1797" s="264" t="s">
        <v>1125</v>
      </c>
      <c r="K1797" s="264" t="s">
        <v>2025</v>
      </c>
      <c r="L1797" s="1" t="str">
        <f>VLOOKUP(Advices[[#This Row],[LC Number]],'Combine_List'!A:D,2,0)</f>
        <v>IBA MIDDLE EAST FZE</v>
      </c>
      <c r="M1797" s="447" t="str">
        <f>VLOOKUP(Advices[[#This Row],[LC Number]],'Combine_List'!A:D,3,0)</f>
        <v>MBL/United Arab Aluminum Co</v>
      </c>
      <c r="N1797" s="447" t="str">
        <f>VLOOKUP(Advices[[#This Row],[LC Number]],'Combine_List'!A:D,4,0)</f>
        <v>Oceanarium</v>
      </c>
      <c r="O1797" s="264"/>
      <c r="P1797" s="264">
        <f>MONTH(Advices[[#This Row],[Transaction Date]])</f>
        <v>2</v>
      </c>
      <c r="Q1797" s="264">
        <f>YEAR(Advices[[#This Row],[Transaction Date]])</f>
        <v>2026</v>
      </c>
      <c r="R1797" s="1"/>
    </row>
    <row r="1798" spans="1:18" hidden="1" x14ac:dyDescent="0.25">
      <c r="A1798" s="264" t="s">
        <v>95</v>
      </c>
      <c r="B1798" s="265">
        <v>46071</v>
      </c>
      <c r="C1798" s="264" t="s">
        <v>2026</v>
      </c>
      <c r="D1798" s="300" t="s">
        <v>4044</v>
      </c>
      <c r="E1798" s="300" t="s">
        <v>1446</v>
      </c>
      <c r="F1798" s="300" t="s">
        <v>4045</v>
      </c>
      <c r="G1798" s="264" t="s">
        <v>26</v>
      </c>
      <c r="H1798" s="368">
        <v>971037</v>
      </c>
      <c r="I1798" s="368">
        <v>0</v>
      </c>
      <c r="J1798" s="264" t="s">
        <v>1126</v>
      </c>
      <c r="K1798" s="264" t="s">
        <v>2025</v>
      </c>
      <c r="L1798" s="1" t="str">
        <f>VLOOKUP(Advices[[#This Row],[LC Number]],'Combine_List'!A:D,2,0)</f>
        <v>Al Arabia Construction &amp; Building Co.</v>
      </c>
      <c r="M1798" s="447" t="str">
        <f>VLOOKUP(Advices[[#This Row],[LC Number]],'Combine_List'!A:D,3,0)</f>
        <v>MBL</v>
      </c>
      <c r="N1798" s="447" t="str">
        <f>VLOOKUP(Advices[[#This Row],[LC Number]],'Combine_List'!A:D,4,0)</f>
        <v>Rabigh Power Plant</v>
      </c>
      <c r="O1798" s="264"/>
      <c r="P1798" s="264">
        <f>MONTH(Advices[[#This Row],[Transaction Date]])</f>
        <v>2</v>
      </c>
      <c r="Q1798" s="264">
        <f>YEAR(Advices[[#This Row],[Transaction Date]])</f>
        <v>2026</v>
      </c>
      <c r="R1798" s="1"/>
    </row>
    <row r="1799" spans="1:18" hidden="1" x14ac:dyDescent="0.25">
      <c r="A1799" s="264" t="s">
        <v>366</v>
      </c>
      <c r="B1799" s="265">
        <v>46071</v>
      </c>
      <c r="C1799" s="264" t="s">
        <v>2060</v>
      </c>
      <c r="D1799" s="300" t="s">
        <v>4122</v>
      </c>
      <c r="E1799" s="300" t="s">
        <v>3897</v>
      </c>
      <c r="F1799" s="300" t="s">
        <v>4123</v>
      </c>
      <c r="G1799" s="264" t="s">
        <v>26</v>
      </c>
      <c r="H1799" s="368">
        <v>4312.5</v>
      </c>
      <c r="I1799" s="368">
        <v>0</v>
      </c>
      <c r="J1799" s="264" t="s">
        <v>1125</v>
      </c>
      <c r="K1799" s="264" t="s">
        <v>2025</v>
      </c>
      <c r="L1799" s="1" t="str">
        <f>VLOOKUP(Advices[[#This Row],[LC Number]],'Combine_List'!A:D,2,0)</f>
        <v>Electric House Trading Company L.L.C.</v>
      </c>
      <c r="M1799" s="447" t="str">
        <f>VLOOKUP(Advices[[#This Row],[LC Number]],'Combine_List'!A:D,3,0)</f>
        <v>FIRST FIX</v>
      </c>
      <c r="N1799" s="447" t="str">
        <f>VLOOKUP(Advices[[#This Row],[LC Number]],'Combine_List'!A:D,4,0)</f>
        <v>MP1</v>
      </c>
      <c r="O1799" s="264"/>
      <c r="P1799" s="264">
        <f>MONTH(Advices[[#This Row],[Transaction Date]])</f>
        <v>2</v>
      </c>
      <c r="Q1799" s="264">
        <f>YEAR(Advices[[#This Row],[Transaction Date]])</f>
        <v>2026</v>
      </c>
      <c r="R1799" s="1"/>
    </row>
    <row r="1800" spans="1:18" hidden="1" x14ac:dyDescent="0.25">
      <c r="A1800" s="264" t="s">
        <v>612</v>
      </c>
      <c r="B1800" s="265">
        <v>46070</v>
      </c>
      <c r="C1800" s="264" t="s">
        <v>2101</v>
      </c>
      <c r="D1800" s="395" t="s">
        <v>4124</v>
      </c>
      <c r="E1800" s="300" t="s">
        <v>1911</v>
      </c>
      <c r="F1800" s="300" t="s">
        <v>2041</v>
      </c>
      <c r="G1800" s="264" t="s">
        <v>26</v>
      </c>
      <c r="H1800" s="368">
        <v>12499.96</v>
      </c>
      <c r="I1800" s="368">
        <v>0</v>
      </c>
      <c r="J1800" s="264" t="s">
        <v>4196</v>
      </c>
      <c r="K1800" s="264" t="s">
        <v>2025</v>
      </c>
      <c r="L1800" s="1" t="str">
        <f>VLOOKUP(Advices[[#This Row],[LC Number]],'Combine_List'!A:D,2,0)</f>
        <v>Bid - ERTH Al-AWTAN REAL ESTATE DEVELOPMENT COMPANY</v>
      </c>
      <c r="M1800" s="447">
        <f>VLOOKUP(Advices[[#This Row],[LC Number]],'Combine_List'!A:D,3,0)</f>
        <v>0</v>
      </c>
      <c r="N1800" s="447">
        <f>VLOOKUP(Advices[[#This Row],[LC Number]],'Combine_List'!A:D,4,0)</f>
        <v>0</v>
      </c>
      <c r="O1800" s="1"/>
      <c r="P1800" s="1">
        <f>MONTH(Advices[[#This Row],[Transaction Date]])</f>
        <v>2</v>
      </c>
      <c r="Q1800" s="1">
        <f>YEAR(Advices[[#This Row],[Transaction Date]])</f>
        <v>2026</v>
      </c>
      <c r="R1800" s="1"/>
    </row>
    <row r="1801" spans="1:18" hidden="1" x14ac:dyDescent="0.25">
      <c r="A1801" s="264" t="s">
        <v>612</v>
      </c>
      <c r="B1801" s="265">
        <v>46070</v>
      </c>
      <c r="C1801" s="264" t="s">
        <v>2101</v>
      </c>
      <c r="D1801" s="300" t="s">
        <v>4125</v>
      </c>
      <c r="E1801" s="300" t="s">
        <v>1911</v>
      </c>
      <c r="F1801" s="300" t="s">
        <v>2041</v>
      </c>
      <c r="G1801" s="264" t="s">
        <v>26</v>
      </c>
      <c r="H1801" s="368">
        <v>1874.99</v>
      </c>
      <c r="I1801" s="368">
        <v>0</v>
      </c>
      <c r="J1801" s="264" t="s">
        <v>1174</v>
      </c>
      <c r="K1801" s="264" t="s">
        <v>2025</v>
      </c>
      <c r="L1801" s="1" t="str">
        <f>VLOOKUP(Advices[[#This Row],[LC Number]],'Combine_List'!A:D,2,0)</f>
        <v>Bid - ERTH Al-AWTAN REAL ESTATE DEVELOPMENT COMPANY</v>
      </c>
      <c r="M1801" s="447">
        <f>VLOOKUP(Advices[[#This Row],[LC Number]],'Combine_List'!A:D,3,0)</f>
        <v>0</v>
      </c>
      <c r="N1801" s="447">
        <f>VLOOKUP(Advices[[#This Row],[LC Number]],'Combine_List'!A:D,4,0)</f>
        <v>0</v>
      </c>
      <c r="O1801" s="1"/>
      <c r="P1801" s="1">
        <f>MONTH(Advices[[#This Row],[Transaction Date]])</f>
        <v>2</v>
      </c>
      <c r="Q1801" s="1">
        <f>YEAR(Advices[[#This Row],[Transaction Date]])</f>
        <v>2026</v>
      </c>
      <c r="R1801" s="1"/>
    </row>
    <row r="1802" spans="1:18" hidden="1" x14ac:dyDescent="0.25">
      <c r="A1802" s="264" t="s">
        <v>612</v>
      </c>
      <c r="B1802" s="265">
        <v>46070</v>
      </c>
      <c r="C1802" s="264" t="s">
        <v>2101</v>
      </c>
      <c r="D1802" s="300" t="s">
        <v>4126</v>
      </c>
      <c r="E1802" s="300" t="s">
        <v>1911</v>
      </c>
      <c r="F1802" s="300" t="s">
        <v>2041</v>
      </c>
      <c r="G1802" s="264" t="s">
        <v>26</v>
      </c>
      <c r="H1802" s="368">
        <v>31780.82</v>
      </c>
      <c r="I1802" s="368">
        <v>0</v>
      </c>
      <c r="J1802" s="264" t="s">
        <v>4196</v>
      </c>
      <c r="K1802" s="264" t="s">
        <v>2025</v>
      </c>
      <c r="L1802" s="1" t="str">
        <f>VLOOKUP(Advices[[#This Row],[LC Number]],'Combine_List'!A:D,2,0)</f>
        <v>Bid - ERTH Al-AWTAN REAL ESTATE DEVELOPMENT COMPANY</v>
      </c>
      <c r="M1802" s="447">
        <f>VLOOKUP(Advices[[#This Row],[LC Number]],'Combine_List'!A:D,3,0)</f>
        <v>0</v>
      </c>
      <c r="N1802" s="447">
        <f>VLOOKUP(Advices[[#This Row],[LC Number]],'Combine_List'!A:D,4,0)</f>
        <v>0</v>
      </c>
      <c r="O1802" s="1"/>
      <c r="P1802" s="1">
        <f>MONTH(Advices[[#This Row],[Transaction Date]])</f>
        <v>2</v>
      </c>
      <c r="Q1802" s="1">
        <f>YEAR(Advices[[#This Row],[Transaction Date]])</f>
        <v>2026</v>
      </c>
      <c r="R1802" s="1"/>
    </row>
    <row r="1803" spans="1:18" hidden="1" x14ac:dyDescent="0.25">
      <c r="A1803" s="264" t="s">
        <v>612</v>
      </c>
      <c r="B1803" s="265">
        <v>46070</v>
      </c>
      <c r="C1803" s="264" t="s">
        <v>2101</v>
      </c>
      <c r="D1803" s="300" t="s">
        <v>4127</v>
      </c>
      <c r="E1803" s="300" t="s">
        <v>1911</v>
      </c>
      <c r="F1803" s="300" t="s">
        <v>2041</v>
      </c>
      <c r="G1803" s="264" t="s">
        <v>26</v>
      </c>
      <c r="H1803" s="368">
        <v>4767.12</v>
      </c>
      <c r="I1803" s="368">
        <v>0</v>
      </c>
      <c r="J1803" s="264" t="s">
        <v>1174</v>
      </c>
      <c r="K1803" s="264" t="s">
        <v>2025</v>
      </c>
      <c r="L1803" s="1" t="str">
        <f>VLOOKUP(Advices[[#This Row],[LC Number]],'Combine_List'!A:D,2,0)</f>
        <v>Bid - ERTH Al-AWTAN REAL ESTATE DEVELOPMENT COMPANY</v>
      </c>
      <c r="M1803" s="447">
        <f>VLOOKUP(Advices[[#This Row],[LC Number]],'Combine_List'!A:D,3,0)</f>
        <v>0</v>
      </c>
      <c r="N1803" s="447">
        <f>VLOOKUP(Advices[[#This Row],[LC Number]],'Combine_List'!A:D,4,0)</f>
        <v>0</v>
      </c>
      <c r="O1803" s="1"/>
      <c r="P1803" s="1">
        <f>MONTH(Advices[[#This Row],[Transaction Date]])</f>
        <v>2</v>
      </c>
      <c r="Q1803" s="1">
        <f>YEAR(Advices[[#This Row],[Transaction Date]])</f>
        <v>2026</v>
      </c>
      <c r="R1803" s="1"/>
    </row>
    <row r="1804" spans="1:18" hidden="1" x14ac:dyDescent="0.25">
      <c r="A1804" s="264" t="s">
        <v>612</v>
      </c>
      <c r="B1804" s="265">
        <v>46070</v>
      </c>
      <c r="C1804" s="264" t="s">
        <v>2101</v>
      </c>
      <c r="D1804" s="300" t="s">
        <v>4128</v>
      </c>
      <c r="E1804" s="300" t="s">
        <v>1447</v>
      </c>
      <c r="F1804" s="300" t="s">
        <v>2041</v>
      </c>
      <c r="G1804" s="264" t="s">
        <v>26</v>
      </c>
      <c r="H1804" s="368">
        <v>100</v>
      </c>
      <c r="I1804" s="368">
        <v>0</v>
      </c>
      <c r="J1804" s="264" t="s">
        <v>1125</v>
      </c>
      <c r="K1804" s="264" t="s">
        <v>2025</v>
      </c>
      <c r="L1804" s="1" t="str">
        <f>VLOOKUP(Advices[[#This Row],[LC Number]],'Combine_List'!A:D,2,0)</f>
        <v>Metal and Glass Trading Co</v>
      </c>
      <c r="M1804" s="447" t="str">
        <f>VLOOKUP(Advices[[#This Row],[LC Number]],'Combine_List'!A:D,3,0)</f>
        <v>FIRST FIX</v>
      </c>
      <c r="N1804" s="447" t="str">
        <f>VLOOKUP(Advices[[#This Row],[LC Number]],'Combine_List'!A:D,4,0)</f>
        <v>RCRC</v>
      </c>
      <c r="O1804" s="1"/>
      <c r="P1804" s="1">
        <f>MONTH(Advices[[#This Row],[Transaction Date]])</f>
        <v>2</v>
      </c>
      <c r="Q1804" s="1">
        <f>YEAR(Advices[[#This Row],[Transaction Date]])</f>
        <v>2026</v>
      </c>
      <c r="R1804" s="1"/>
    </row>
    <row r="1805" spans="1:18" hidden="1" x14ac:dyDescent="0.25">
      <c r="A1805" s="264" t="s">
        <v>612</v>
      </c>
      <c r="B1805" s="265">
        <v>46070</v>
      </c>
      <c r="C1805" s="264" t="s">
        <v>2101</v>
      </c>
      <c r="D1805" s="300" t="s">
        <v>4129</v>
      </c>
      <c r="E1805" s="300" t="s">
        <v>1447</v>
      </c>
      <c r="F1805" s="300" t="s">
        <v>2041</v>
      </c>
      <c r="G1805" s="264" t="s">
        <v>26</v>
      </c>
      <c r="H1805" s="368">
        <v>15</v>
      </c>
      <c r="I1805" s="368">
        <v>0</v>
      </c>
      <c r="J1805" s="264" t="s">
        <v>1174</v>
      </c>
      <c r="K1805" s="264" t="s">
        <v>2025</v>
      </c>
      <c r="L1805" s="1" t="str">
        <f>VLOOKUP(Advices[[#This Row],[LC Number]],'Combine_List'!A:D,2,0)</f>
        <v>Metal and Glass Trading Co</v>
      </c>
      <c r="M1805" s="447" t="str">
        <f>VLOOKUP(Advices[[#This Row],[LC Number]],'Combine_List'!A:D,3,0)</f>
        <v>FIRST FIX</v>
      </c>
      <c r="N1805" s="447" t="str">
        <f>VLOOKUP(Advices[[#This Row],[LC Number]],'Combine_List'!A:D,4,0)</f>
        <v>RCRC</v>
      </c>
      <c r="O1805" s="1"/>
      <c r="P1805" s="1">
        <f>MONTH(Advices[[#This Row],[Transaction Date]])</f>
        <v>2</v>
      </c>
      <c r="Q1805" s="1">
        <f>YEAR(Advices[[#This Row],[Transaction Date]])</f>
        <v>2026</v>
      </c>
      <c r="R1805" s="1"/>
    </row>
    <row r="1806" spans="1:18" hidden="1" x14ac:dyDescent="0.25">
      <c r="A1806" s="264" t="s">
        <v>612</v>
      </c>
      <c r="B1806" s="265">
        <v>46070</v>
      </c>
      <c r="C1806" s="264" t="s">
        <v>2101</v>
      </c>
      <c r="D1806" s="300" t="s">
        <v>4130</v>
      </c>
      <c r="E1806" s="300" t="s">
        <v>1447</v>
      </c>
      <c r="F1806" s="300" t="s">
        <v>2041</v>
      </c>
      <c r="G1806" s="264" t="s">
        <v>26</v>
      </c>
      <c r="H1806" s="368">
        <v>652</v>
      </c>
      <c r="I1806" s="368">
        <v>0</v>
      </c>
      <c r="J1806" s="264" t="s">
        <v>1125</v>
      </c>
      <c r="K1806" s="264" t="s">
        <v>2025</v>
      </c>
      <c r="L1806" s="1" t="str">
        <f>VLOOKUP(Advices[[#This Row],[LC Number]],'Combine_List'!A:D,2,0)</f>
        <v>Metal and Glass Trading Co</v>
      </c>
      <c r="M1806" s="447" t="str">
        <f>VLOOKUP(Advices[[#This Row],[LC Number]],'Combine_List'!A:D,3,0)</f>
        <v>FIRST FIX</v>
      </c>
      <c r="N1806" s="447" t="str">
        <f>VLOOKUP(Advices[[#This Row],[LC Number]],'Combine_List'!A:D,4,0)</f>
        <v>RCRC</v>
      </c>
      <c r="O1806" s="1"/>
      <c r="P1806" s="1">
        <f>MONTH(Advices[[#This Row],[Transaction Date]])</f>
        <v>2</v>
      </c>
      <c r="Q1806" s="1">
        <f>YEAR(Advices[[#This Row],[Transaction Date]])</f>
        <v>2026</v>
      </c>
      <c r="R1806" s="1"/>
    </row>
    <row r="1807" spans="1:18" hidden="1" x14ac:dyDescent="0.25">
      <c r="A1807" s="264" t="s">
        <v>612</v>
      </c>
      <c r="B1807" s="265">
        <v>46070</v>
      </c>
      <c r="C1807" s="264" t="s">
        <v>2101</v>
      </c>
      <c r="D1807" s="300" t="s">
        <v>4131</v>
      </c>
      <c r="E1807" s="300" t="s">
        <v>1447</v>
      </c>
      <c r="F1807" s="300" t="s">
        <v>2041</v>
      </c>
      <c r="G1807" s="264" t="s">
        <v>26</v>
      </c>
      <c r="H1807" s="368">
        <v>97.8</v>
      </c>
      <c r="I1807" s="368">
        <v>0</v>
      </c>
      <c r="J1807" s="264" t="s">
        <v>1174</v>
      </c>
      <c r="K1807" s="264" t="s">
        <v>2025</v>
      </c>
      <c r="L1807" s="1" t="str">
        <f>VLOOKUP(Advices[[#This Row],[LC Number]],'Combine_List'!A:D,2,0)</f>
        <v>Metal and Glass Trading Co</v>
      </c>
      <c r="M1807" s="447" t="str">
        <f>VLOOKUP(Advices[[#This Row],[LC Number]],'Combine_List'!A:D,3,0)</f>
        <v>FIRST FIX</v>
      </c>
      <c r="N1807" s="447" t="str">
        <f>VLOOKUP(Advices[[#This Row],[LC Number]],'Combine_List'!A:D,4,0)</f>
        <v>RCRC</v>
      </c>
      <c r="O1807" s="1"/>
      <c r="P1807" s="1">
        <f>MONTH(Advices[[#This Row],[Transaction Date]])</f>
        <v>2</v>
      </c>
      <c r="Q1807" s="1">
        <f>YEAR(Advices[[#This Row],[Transaction Date]])</f>
        <v>2026</v>
      </c>
      <c r="R1807" s="1"/>
    </row>
    <row r="1808" spans="1:18" hidden="1" x14ac:dyDescent="0.25">
      <c r="A1808" s="264" t="s">
        <v>612</v>
      </c>
      <c r="B1808" s="265">
        <v>46070</v>
      </c>
      <c r="C1808" s="264" t="s">
        <v>2101</v>
      </c>
      <c r="D1808" s="300" t="s">
        <v>4132</v>
      </c>
      <c r="E1808" s="300" t="s">
        <v>1447</v>
      </c>
      <c r="F1808" s="300" t="s">
        <v>2041</v>
      </c>
      <c r="G1808" s="264" t="s">
        <v>26</v>
      </c>
      <c r="H1808" s="368">
        <v>200</v>
      </c>
      <c r="I1808" s="368">
        <v>0</v>
      </c>
      <c r="J1808" s="264" t="s">
        <v>1125</v>
      </c>
      <c r="K1808" s="264" t="s">
        <v>2025</v>
      </c>
      <c r="L1808" s="1" t="str">
        <f>VLOOKUP(Advices[[#This Row],[LC Number]],'Combine_List'!A:D,2,0)</f>
        <v>Metal and Glass Trading Co</v>
      </c>
      <c r="M1808" s="447" t="str">
        <f>VLOOKUP(Advices[[#This Row],[LC Number]],'Combine_List'!A:D,3,0)</f>
        <v>FIRST FIX</v>
      </c>
      <c r="N1808" s="447" t="str">
        <f>VLOOKUP(Advices[[#This Row],[LC Number]],'Combine_List'!A:D,4,0)</f>
        <v>RCRC</v>
      </c>
      <c r="O1808" s="1"/>
      <c r="P1808" s="1">
        <f>MONTH(Advices[[#This Row],[Transaction Date]])</f>
        <v>2</v>
      </c>
      <c r="Q1808" s="1">
        <f>YEAR(Advices[[#This Row],[Transaction Date]])</f>
        <v>2026</v>
      </c>
      <c r="R1808" s="1"/>
    </row>
    <row r="1809" spans="1:18" hidden="1" x14ac:dyDescent="0.25">
      <c r="A1809" s="264" t="s">
        <v>612</v>
      </c>
      <c r="B1809" s="265">
        <v>46070</v>
      </c>
      <c r="C1809" s="264" t="s">
        <v>2101</v>
      </c>
      <c r="D1809" s="300" t="s">
        <v>4133</v>
      </c>
      <c r="E1809" s="300" t="s">
        <v>1447</v>
      </c>
      <c r="F1809" s="300" t="s">
        <v>2041</v>
      </c>
      <c r="G1809" s="264" t="s">
        <v>26</v>
      </c>
      <c r="H1809" s="368">
        <v>30</v>
      </c>
      <c r="I1809" s="368">
        <v>0</v>
      </c>
      <c r="J1809" s="264" t="s">
        <v>1174</v>
      </c>
      <c r="K1809" s="264" t="s">
        <v>2025</v>
      </c>
      <c r="L1809" s="1" t="str">
        <f>VLOOKUP(Advices[[#This Row],[LC Number]],'Combine_List'!A:D,2,0)</f>
        <v>Metal and Glass Trading Co</v>
      </c>
      <c r="M1809" s="447" t="str">
        <f>VLOOKUP(Advices[[#This Row],[LC Number]],'Combine_List'!A:D,3,0)</f>
        <v>FIRST FIX</v>
      </c>
      <c r="N1809" s="447" t="str">
        <f>VLOOKUP(Advices[[#This Row],[LC Number]],'Combine_List'!A:D,4,0)</f>
        <v>RCRC</v>
      </c>
      <c r="O1809" s="264"/>
      <c r="P1809" s="264">
        <f>MONTH(Advices[[#This Row],[Transaction Date]])</f>
        <v>2</v>
      </c>
      <c r="Q1809" s="264">
        <f>YEAR(Advices[[#This Row],[Transaction Date]])</f>
        <v>2026</v>
      </c>
      <c r="R1809" s="1"/>
    </row>
    <row r="1810" spans="1:18" x14ac:dyDescent="0.25">
      <c r="A1810" s="264" t="s">
        <v>21</v>
      </c>
      <c r="B1810" s="265">
        <v>46072</v>
      </c>
      <c r="C1810" s="264" t="s">
        <v>1951</v>
      </c>
      <c r="D1810" s="300" t="s">
        <v>4138</v>
      </c>
      <c r="E1810" s="300" t="s">
        <v>3145</v>
      </c>
      <c r="F1810" s="300" t="s">
        <v>4139</v>
      </c>
      <c r="G1810" s="264" t="s">
        <v>26</v>
      </c>
      <c r="H1810" s="368">
        <v>234.37</v>
      </c>
      <c r="I1810" s="368">
        <v>0</v>
      </c>
      <c r="J1810" s="264" t="s">
        <v>1174</v>
      </c>
      <c r="K1810" s="264" t="s">
        <v>2025</v>
      </c>
      <c r="L1810" s="1" t="str">
        <f>VLOOKUP(Advices[[#This Row],[LC Number]],'Combine_List'!A:D,2,0)</f>
        <v>Mahmoud Al Tahini and Partners Company</v>
      </c>
      <c r="M1810" s="447" t="str">
        <f>VLOOKUP(Advices[[#This Row],[LC Number]],'Combine_List'!A:D,3,0)</f>
        <v>Signal Control</v>
      </c>
      <c r="N1810" s="447" t="str">
        <f>VLOOKUP(Advices[[#This Row],[LC Number]],'Combine_List'!A:D,4,0)</f>
        <v>KSP</v>
      </c>
      <c r="O1810" s="1"/>
      <c r="P1810" s="1">
        <f>MONTH(Advices[[#This Row],[Transaction Date]])</f>
        <v>2</v>
      </c>
      <c r="Q1810" s="1">
        <f>YEAR(Advices[[#This Row],[Transaction Date]])</f>
        <v>2026</v>
      </c>
      <c r="R1810" s="1"/>
    </row>
    <row r="1811" spans="1:18" x14ac:dyDescent="0.25">
      <c r="A1811" s="264" t="s">
        <v>21</v>
      </c>
      <c r="B1811" s="265">
        <v>46072</v>
      </c>
      <c r="C1811" s="264" t="s">
        <v>1951</v>
      </c>
      <c r="D1811" s="300" t="s">
        <v>4140</v>
      </c>
      <c r="E1811" s="300" t="s">
        <v>3145</v>
      </c>
      <c r="F1811" s="300" t="s">
        <v>4139</v>
      </c>
      <c r="G1811" s="264" t="s">
        <v>26</v>
      </c>
      <c r="H1811" s="368">
        <v>1562.49</v>
      </c>
      <c r="I1811" s="368">
        <v>0</v>
      </c>
      <c r="J1811" s="264" t="s">
        <v>1125</v>
      </c>
      <c r="K1811" s="264" t="s">
        <v>2025</v>
      </c>
      <c r="L1811" s="1" t="str">
        <f>VLOOKUP(Advices[[#This Row],[LC Number]],'Combine_List'!A:D,2,0)</f>
        <v>Mahmoud Al Tahini and Partners Company</v>
      </c>
      <c r="M1811" s="447" t="str">
        <f>VLOOKUP(Advices[[#This Row],[LC Number]],'Combine_List'!A:D,3,0)</f>
        <v>Signal Control</v>
      </c>
      <c r="N1811" s="447" t="str">
        <f>VLOOKUP(Advices[[#This Row],[LC Number]],'Combine_List'!A:D,4,0)</f>
        <v>KSP</v>
      </c>
      <c r="O1811" s="1"/>
      <c r="P1811" s="1">
        <f>MONTH(Advices[[#This Row],[Transaction Date]])</f>
        <v>2</v>
      </c>
      <c r="Q1811" s="1">
        <f>YEAR(Advices[[#This Row],[Transaction Date]])</f>
        <v>2026</v>
      </c>
      <c r="R1811" s="1"/>
    </row>
    <row r="1812" spans="1:18" x14ac:dyDescent="0.25">
      <c r="A1812" s="264" t="s">
        <v>21</v>
      </c>
      <c r="B1812" s="265">
        <v>46072</v>
      </c>
      <c r="C1812" s="264" t="s">
        <v>1951</v>
      </c>
      <c r="D1812" s="300" t="s">
        <v>4185</v>
      </c>
      <c r="E1812" s="300" t="s">
        <v>4054</v>
      </c>
      <c r="F1812" s="300" t="s">
        <v>4141</v>
      </c>
      <c r="G1812" s="264" t="s">
        <v>26</v>
      </c>
      <c r="H1812" s="368">
        <v>4687.5</v>
      </c>
      <c r="I1812" s="368">
        <v>0</v>
      </c>
      <c r="J1812" s="264" t="s">
        <v>1174</v>
      </c>
      <c r="K1812" s="264" t="s">
        <v>2025</v>
      </c>
      <c r="L1812" s="1" t="str">
        <f>VLOOKUP(Advices[[#This Row],[LC Number]],'Combine_List'!A:D,2,0)</f>
        <v>The Fundamental Installation For Electric Work Co</v>
      </c>
      <c r="M1812" s="447" t="str">
        <f>VLOOKUP(Advices[[#This Row],[LC Number]],'Combine_List'!A:D,3,0)</f>
        <v>FIRST FIX</v>
      </c>
      <c r="N1812" s="447" t="str">
        <f>VLOOKUP(Advices[[#This Row],[LC Number]],'Combine_List'!A:D,4,0)</f>
        <v>L01-YAMMAMA</v>
      </c>
      <c r="O1812" s="1"/>
      <c r="P1812" s="1">
        <f>MONTH(Advices[[#This Row],[Transaction Date]])</f>
        <v>2</v>
      </c>
      <c r="Q1812" s="1">
        <f>YEAR(Advices[[#This Row],[Transaction Date]])</f>
        <v>2026</v>
      </c>
      <c r="R1812" s="1"/>
    </row>
    <row r="1813" spans="1:18" x14ac:dyDescent="0.25">
      <c r="A1813" s="264" t="s">
        <v>21</v>
      </c>
      <c r="B1813" s="265">
        <v>46072</v>
      </c>
      <c r="C1813" s="264" t="s">
        <v>1951</v>
      </c>
      <c r="D1813" s="300" t="s">
        <v>4142</v>
      </c>
      <c r="E1813" s="300" t="s">
        <v>4054</v>
      </c>
      <c r="F1813" s="300" t="s">
        <v>4141</v>
      </c>
      <c r="G1813" s="264" t="s">
        <v>26</v>
      </c>
      <c r="H1813" s="368">
        <v>31250</v>
      </c>
      <c r="I1813" s="368">
        <v>0</v>
      </c>
      <c r="J1813" s="264" t="s">
        <v>1125</v>
      </c>
      <c r="K1813" s="264" t="s">
        <v>2025</v>
      </c>
      <c r="L1813" s="1" t="str">
        <f>VLOOKUP(Advices[[#This Row],[LC Number]],'Combine_List'!A:D,2,0)</f>
        <v>The Fundamental Installation For Electric Work Co</v>
      </c>
      <c r="M1813" s="447" t="str">
        <f>VLOOKUP(Advices[[#This Row],[LC Number]],'Combine_List'!A:D,3,0)</f>
        <v>FIRST FIX</v>
      </c>
      <c r="N1813" s="447" t="str">
        <f>VLOOKUP(Advices[[#This Row],[LC Number]],'Combine_List'!A:D,4,0)</f>
        <v>L01-YAMMAMA</v>
      </c>
      <c r="O1813" s="1"/>
      <c r="P1813" s="1">
        <f>MONTH(Advices[[#This Row],[Transaction Date]])</f>
        <v>2</v>
      </c>
      <c r="Q1813" s="1">
        <f>YEAR(Advices[[#This Row],[Transaction Date]])</f>
        <v>2026</v>
      </c>
      <c r="R1813" s="1"/>
    </row>
    <row r="1814" spans="1:18" x14ac:dyDescent="0.25">
      <c r="A1814" s="264" t="s">
        <v>21</v>
      </c>
      <c r="B1814" s="265">
        <v>46076</v>
      </c>
      <c r="C1814" s="264" t="s">
        <v>1951</v>
      </c>
      <c r="D1814" s="300" t="s">
        <v>1952</v>
      </c>
      <c r="E1814" s="300" t="s">
        <v>3146</v>
      </c>
      <c r="F1814" s="300" t="s">
        <v>4143</v>
      </c>
      <c r="G1814" s="264" t="s">
        <v>26</v>
      </c>
      <c r="H1814" s="368">
        <v>187.5</v>
      </c>
      <c r="I1814" s="368">
        <v>0</v>
      </c>
      <c r="J1814" s="264" t="s">
        <v>1174</v>
      </c>
      <c r="K1814" s="264" t="s">
        <v>2025</v>
      </c>
      <c r="L1814" s="1" t="str">
        <f>VLOOKUP(Advices[[#This Row],[LC Number]],'Combine_List'!A:D,2,0)</f>
        <v>SIEMENS Limited Company</v>
      </c>
      <c r="M1814" s="447" t="str">
        <f>VLOOKUP(Advices[[#This Row],[LC Number]],'Combine_List'!A:D,3,0)</f>
        <v>Signal Control</v>
      </c>
      <c r="N1814" s="447" t="str">
        <f>VLOOKUP(Advices[[#This Row],[LC Number]],'Combine_List'!A:D,4,0)</f>
        <v>KSP</v>
      </c>
      <c r="O1814" s="1"/>
      <c r="P1814" s="1">
        <f>MONTH(Advices[[#This Row],[Transaction Date]])</f>
        <v>2</v>
      </c>
      <c r="Q1814" s="1">
        <f>YEAR(Advices[[#This Row],[Transaction Date]])</f>
        <v>2026</v>
      </c>
      <c r="R1814" s="1"/>
    </row>
    <row r="1815" spans="1:18" x14ac:dyDescent="0.25">
      <c r="A1815" s="264" t="s">
        <v>21</v>
      </c>
      <c r="B1815" s="265">
        <v>46076</v>
      </c>
      <c r="C1815" s="264" t="s">
        <v>1951</v>
      </c>
      <c r="D1815" s="300" t="s">
        <v>4144</v>
      </c>
      <c r="E1815" s="300" t="s">
        <v>3146</v>
      </c>
      <c r="F1815" s="300" t="s">
        <v>4143</v>
      </c>
      <c r="G1815" s="264" t="s">
        <v>26</v>
      </c>
      <c r="H1815" s="368">
        <v>1250</v>
      </c>
      <c r="I1815" s="368">
        <v>0</v>
      </c>
      <c r="J1815" s="264" t="s">
        <v>1125</v>
      </c>
      <c r="K1815" s="264" t="s">
        <v>2025</v>
      </c>
      <c r="L1815" s="1" t="str">
        <f>VLOOKUP(Advices[[#This Row],[LC Number]],'Combine_List'!A:D,2,0)</f>
        <v>SIEMENS Limited Company</v>
      </c>
      <c r="M1815" s="447" t="str">
        <f>VLOOKUP(Advices[[#This Row],[LC Number]],'Combine_List'!A:D,3,0)</f>
        <v>Signal Control</v>
      </c>
      <c r="N1815" s="447" t="str">
        <f>VLOOKUP(Advices[[#This Row],[LC Number]],'Combine_List'!A:D,4,0)</f>
        <v>KSP</v>
      </c>
      <c r="O1815" s="1"/>
      <c r="P1815" s="1">
        <f>MONTH(Advices[[#This Row],[Transaction Date]])</f>
        <v>2</v>
      </c>
      <c r="Q1815" s="1">
        <f>YEAR(Advices[[#This Row],[Transaction Date]])</f>
        <v>2026</v>
      </c>
      <c r="R1815" s="1"/>
    </row>
    <row r="1816" spans="1:18" x14ac:dyDescent="0.25">
      <c r="A1816" s="264" t="s">
        <v>21</v>
      </c>
      <c r="B1816" s="265">
        <v>46076</v>
      </c>
      <c r="C1816" s="264" t="s">
        <v>1951</v>
      </c>
      <c r="D1816" s="300" t="s">
        <v>1952</v>
      </c>
      <c r="E1816" s="300" t="s">
        <v>3146</v>
      </c>
      <c r="F1816" s="300" t="s">
        <v>4145</v>
      </c>
      <c r="G1816" s="264" t="s">
        <v>26</v>
      </c>
      <c r="H1816" s="368">
        <v>187.5</v>
      </c>
      <c r="I1816" s="368">
        <v>0</v>
      </c>
      <c r="J1816" s="264" t="s">
        <v>1174</v>
      </c>
      <c r="K1816" s="264" t="s">
        <v>2025</v>
      </c>
      <c r="L1816" s="1" t="str">
        <f>VLOOKUP(Advices[[#This Row],[LC Number]],'Combine_List'!A:D,2,0)</f>
        <v>SIEMENS Limited Company</v>
      </c>
      <c r="M1816" s="447" t="str">
        <f>VLOOKUP(Advices[[#This Row],[LC Number]],'Combine_List'!A:D,3,0)</f>
        <v>Signal Control</v>
      </c>
      <c r="N1816" s="447" t="str">
        <f>VLOOKUP(Advices[[#This Row],[LC Number]],'Combine_List'!A:D,4,0)</f>
        <v>KSP</v>
      </c>
      <c r="O1816" s="1"/>
      <c r="P1816" s="1">
        <f>MONTH(Advices[[#This Row],[Transaction Date]])</f>
        <v>2</v>
      </c>
      <c r="Q1816" s="1">
        <f>YEAR(Advices[[#This Row],[Transaction Date]])</f>
        <v>2026</v>
      </c>
      <c r="R1816" s="1"/>
    </row>
    <row r="1817" spans="1:18" x14ac:dyDescent="0.25">
      <c r="A1817" s="264" t="s">
        <v>21</v>
      </c>
      <c r="B1817" s="265">
        <v>46076</v>
      </c>
      <c r="C1817" s="264" t="s">
        <v>1951</v>
      </c>
      <c r="D1817" s="300" t="s">
        <v>4146</v>
      </c>
      <c r="E1817" s="300" t="s">
        <v>3146</v>
      </c>
      <c r="F1817" s="300" t="s">
        <v>4145</v>
      </c>
      <c r="G1817" s="264" t="s">
        <v>26</v>
      </c>
      <c r="H1817" s="368">
        <v>1250</v>
      </c>
      <c r="I1817" s="368">
        <v>0</v>
      </c>
      <c r="J1817" s="264" t="s">
        <v>1125</v>
      </c>
      <c r="K1817" s="264" t="s">
        <v>2025</v>
      </c>
      <c r="L1817" s="1" t="str">
        <f>VLOOKUP(Advices[[#This Row],[LC Number]],'Combine_List'!A:D,2,0)</f>
        <v>SIEMENS Limited Company</v>
      </c>
      <c r="M1817" s="447" t="str">
        <f>VLOOKUP(Advices[[#This Row],[LC Number]],'Combine_List'!A:D,3,0)</f>
        <v>Signal Control</v>
      </c>
      <c r="N1817" s="447" t="str">
        <f>VLOOKUP(Advices[[#This Row],[LC Number]],'Combine_List'!A:D,4,0)</f>
        <v>KSP</v>
      </c>
      <c r="O1817" s="264"/>
      <c r="P1817" s="264">
        <f>MONTH(Advices[[#This Row],[Transaction Date]])</f>
        <v>2</v>
      </c>
      <c r="Q1817" s="264">
        <f>YEAR(Advices[[#This Row],[Transaction Date]])</f>
        <v>2026</v>
      </c>
      <c r="R1817" s="1"/>
    </row>
    <row r="1818" spans="1:18" hidden="1" x14ac:dyDescent="0.25">
      <c r="A1818" s="264" t="s">
        <v>62</v>
      </c>
      <c r="B1818" s="265">
        <v>46072</v>
      </c>
      <c r="C1818" s="264" t="s">
        <v>2039</v>
      </c>
      <c r="D1818" s="300" t="s">
        <v>4147</v>
      </c>
      <c r="E1818" s="300" t="s">
        <v>4148</v>
      </c>
      <c r="F1818" s="300" t="s">
        <v>2041</v>
      </c>
      <c r="G1818" s="264" t="s">
        <v>26</v>
      </c>
      <c r="H1818" s="368">
        <v>399432.95</v>
      </c>
      <c r="I1818" s="368">
        <v>0</v>
      </c>
      <c r="J1818" s="264" t="s">
        <v>2830</v>
      </c>
      <c r="K1818" s="264" t="s">
        <v>2025</v>
      </c>
      <c r="L1818" s="1" t="str">
        <f>VLOOKUP(Advices[[#This Row],[LC Number]],'Combine_List'!A:D,2,0)</f>
        <v>Performance - THE JOINT VENTURE OF THE BRANCH OF EL SEWEDY ELECTRIC FOR POWER SYSTEMS (PSP) AND THE BRANCH OF SINOHYDRO CORPORATION LIMITED (SHC)</v>
      </c>
      <c r="M1818" s="447" t="str">
        <f>VLOOKUP(Advices[[#This Row],[LC Number]],'Combine_List'!A:D,3,0)</f>
        <v>MBL</v>
      </c>
      <c r="N1818" s="447" t="str">
        <f>VLOOKUP(Advices[[#This Row],[LC Number]],'Combine_List'!A:D,4,0)</f>
        <v>RRPP-2</v>
      </c>
      <c r="O1818" s="264"/>
      <c r="P1818" s="264">
        <f>MONTH(Advices[[#This Row],[Transaction Date]])</f>
        <v>2</v>
      </c>
      <c r="Q1818" s="264">
        <f>YEAR(Advices[[#This Row],[Transaction Date]])</f>
        <v>2026</v>
      </c>
      <c r="R1818" s="1"/>
    </row>
    <row r="1819" spans="1:18" hidden="1" x14ac:dyDescent="0.25">
      <c r="A1819" s="264" t="s">
        <v>366</v>
      </c>
      <c r="B1819" s="265">
        <v>46072</v>
      </c>
      <c r="C1819" s="264" t="s">
        <v>2057</v>
      </c>
      <c r="D1819" s="300" t="s">
        <v>4149</v>
      </c>
      <c r="E1819" s="300" t="s">
        <v>1606</v>
      </c>
      <c r="F1819" s="300" t="s">
        <v>3461</v>
      </c>
      <c r="G1819" s="264" t="s">
        <v>26</v>
      </c>
      <c r="H1819" s="368">
        <v>250000</v>
      </c>
      <c r="I1819" s="368">
        <v>0</v>
      </c>
      <c r="J1819" s="264" t="s">
        <v>1126</v>
      </c>
      <c r="K1819" s="264" t="s">
        <v>2025</v>
      </c>
      <c r="L1819" s="1" t="str">
        <f>VLOOKUP(Advices[[#This Row],[LC Number]],'Combine_List'!A:D,2,0)</f>
        <v>INTERPLAST CO.LTD</v>
      </c>
      <c r="M1819" s="447" t="str">
        <f>VLOOKUP(Advices[[#This Row],[LC Number]],'Combine_List'!A:D,3,0)</f>
        <v>FIRST FIX</v>
      </c>
      <c r="N1819" s="447" t="str">
        <f>VLOOKUP(Advices[[#This Row],[LC Number]],'Combine_List'!A:D,4,0)</f>
        <v>MP1</v>
      </c>
      <c r="O1819" s="1"/>
      <c r="P1819" s="1">
        <f>MONTH(Advices[[#This Row],[Transaction Date]])</f>
        <v>2</v>
      </c>
      <c r="Q1819" s="1">
        <f>YEAR(Advices[[#This Row],[Transaction Date]])</f>
        <v>2026</v>
      </c>
      <c r="R1819" s="1"/>
    </row>
    <row r="1820" spans="1:18" hidden="1" x14ac:dyDescent="0.25">
      <c r="A1820" s="264" t="s">
        <v>366</v>
      </c>
      <c r="B1820" s="265">
        <v>46076</v>
      </c>
      <c r="C1820" s="264" t="s">
        <v>2057</v>
      </c>
      <c r="D1820" s="300" t="s">
        <v>4150</v>
      </c>
      <c r="E1820" s="300" t="s">
        <v>1670</v>
      </c>
      <c r="F1820" s="300" t="s">
        <v>3577</v>
      </c>
      <c r="G1820" s="264" t="s">
        <v>26</v>
      </c>
      <c r="H1820" s="368">
        <v>226041.29</v>
      </c>
      <c r="I1820" s="368">
        <v>0</v>
      </c>
      <c r="J1820" s="264" t="s">
        <v>1126</v>
      </c>
      <c r="K1820" s="264" t="s">
        <v>2025</v>
      </c>
      <c r="L1820" s="1" t="str">
        <f>VLOOKUP(Advices[[#This Row],[LC Number]],'Combine_List'!A:D,2,0)</f>
        <v>AFKAR ALTATHBET TRADING COMPANY</v>
      </c>
      <c r="M1820" s="447" t="str">
        <f>VLOOKUP(Advices[[#This Row],[LC Number]],'Combine_List'!A:D,3,0)</f>
        <v>FIRST FIX</v>
      </c>
      <c r="N1820" s="447" t="str">
        <f>VLOOKUP(Advices[[#This Row],[LC Number]],'Combine_List'!A:D,4,0)</f>
        <v>CEER</v>
      </c>
      <c r="O1820" s="1"/>
      <c r="P1820" s="1">
        <f>MONTH(Advices[[#This Row],[Transaction Date]])</f>
        <v>2</v>
      </c>
      <c r="Q1820" s="1">
        <f>YEAR(Advices[[#This Row],[Transaction Date]])</f>
        <v>2026</v>
      </c>
      <c r="R1820" s="1"/>
    </row>
    <row r="1821" spans="1:18" hidden="1" x14ac:dyDescent="0.25">
      <c r="A1821" s="264" t="s">
        <v>366</v>
      </c>
      <c r="B1821" s="265">
        <v>46076</v>
      </c>
      <c r="C1821" s="264" t="s">
        <v>2057</v>
      </c>
      <c r="D1821" s="300" t="s">
        <v>4151</v>
      </c>
      <c r="E1821" s="300" t="s">
        <v>1662</v>
      </c>
      <c r="F1821" s="300" t="s">
        <v>3466</v>
      </c>
      <c r="G1821" s="264" t="s">
        <v>26</v>
      </c>
      <c r="H1821" s="368">
        <v>328383.40000000002</v>
      </c>
      <c r="I1821" s="368">
        <v>0</v>
      </c>
      <c r="J1821" s="264" t="s">
        <v>1126</v>
      </c>
      <c r="K1821" s="264" t="s">
        <v>2025</v>
      </c>
      <c r="L1821" s="1" t="str">
        <f>VLOOKUP(Advices[[#This Row],[LC Number]],'Combine_List'!A:D,2,0)</f>
        <v>JAD AL RIYADH Trading Co. Ltd</v>
      </c>
      <c r="M1821" s="447" t="str">
        <f>VLOOKUP(Advices[[#This Row],[LC Number]],'Combine_List'!A:D,3,0)</f>
        <v>FIRST FIX</v>
      </c>
      <c r="N1821" s="447" t="str">
        <f>VLOOKUP(Advices[[#This Row],[LC Number]],'Combine_List'!A:D,4,0)</f>
        <v>CEER</v>
      </c>
      <c r="O1821" s="1"/>
      <c r="P1821" s="1">
        <f>MONTH(Advices[[#This Row],[Transaction Date]])</f>
        <v>2</v>
      </c>
      <c r="Q1821" s="1">
        <f>YEAR(Advices[[#This Row],[Transaction Date]])</f>
        <v>2026</v>
      </c>
      <c r="R1821" s="1"/>
    </row>
    <row r="1822" spans="1:18" hidden="1" x14ac:dyDescent="0.25">
      <c r="A1822" s="264" t="s">
        <v>366</v>
      </c>
      <c r="B1822" s="265">
        <v>46076</v>
      </c>
      <c r="C1822" s="264" t="s">
        <v>2060</v>
      </c>
      <c r="D1822" s="300" t="s">
        <v>4152</v>
      </c>
      <c r="E1822" s="300" t="s">
        <v>2903</v>
      </c>
      <c r="F1822" s="300" t="s">
        <v>4153</v>
      </c>
      <c r="G1822" s="264" t="s">
        <v>26</v>
      </c>
      <c r="H1822" s="368">
        <v>1099.2</v>
      </c>
      <c r="I1822" s="368">
        <v>0</v>
      </c>
      <c r="J1822" s="264" t="s">
        <v>1125</v>
      </c>
      <c r="K1822" s="264" t="s">
        <v>2025</v>
      </c>
      <c r="L1822" s="1" t="str">
        <f>VLOOKUP(Advices[[#This Row],[LC Number]],'Combine_List'!A:D,2,0)</f>
        <v>Ajzal United for Safety CO.LTD.</v>
      </c>
      <c r="M1822" s="447" t="str">
        <f>VLOOKUP(Advices[[#This Row],[LC Number]],'Combine_List'!A:D,3,0)</f>
        <v>FIRST FIX</v>
      </c>
      <c r="N1822" s="447" t="str">
        <f>VLOOKUP(Advices[[#This Row],[LC Number]],'Combine_List'!A:D,4,0)</f>
        <v>MP1</v>
      </c>
      <c r="O1822" s="1"/>
      <c r="P1822" s="1">
        <f>MONTH(Advices[[#This Row],[Transaction Date]])</f>
        <v>2</v>
      </c>
      <c r="Q1822" s="1">
        <f>YEAR(Advices[[#This Row],[Transaction Date]])</f>
        <v>2026</v>
      </c>
      <c r="R1822" s="1"/>
    </row>
    <row r="1823" spans="1:18" hidden="1" x14ac:dyDescent="0.25">
      <c r="A1823" s="264" t="s">
        <v>366</v>
      </c>
      <c r="B1823" s="265">
        <v>46077</v>
      </c>
      <c r="C1823" s="264" t="s">
        <v>2057</v>
      </c>
      <c r="D1823" s="300" t="s">
        <v>4154</v>
      </c>
      <c r="E1823" s="300" t="s">
        <v>1872</v>
      </c>
      <c r="F1823" s="300" t="s">
        <v>3476</v>
      </c>
      <c r="G1823" s="264" t="s">
        <v>26</v>
      </c>
      <c r="H1823" s="368">
        <v>130.5</v>
      </c>
      <c r="I1823" s="368">
        <v>0</v>
      </c>
      <c r="J1823" s="264" t="s">
        <v>1126</v>
      </c>
      <c r="K1823" s="264" t="s">
        <v>2025</v>
      </c>
      <c r="L1823" s="1" t="str">
        <f>VLOOKUP(Advices[[#This Row],[LC Number]],'Combine_List'!A:D,2,0)</f>
        <v>Mimar For Construction Tools &amp; Trading Ltd.</v>
      </c>
      <c r="M1823" s="447" t="str">
        <f>VLOOKUP(Advices[[#This Row],[LC Number]],'Combine_List'!A:D,3,0)</f>
        <v>FIRST FIX</v>
      </c>
      <c r="N1823" s="447" t="str">
        <f>VLOOKUP(Advices[[#This Row],[LC Number]],'Combine_List'!A:D,4,0)</f>
        <v>MP1</v>
      </c>
      <c r="O1823" s="1"/>
      <c r="P1823" s="1">
        <f>MONTH(Advices[[#This Row],[Transaction Date]])</f>
        <v>2</v>
      </c>
      <c r="Q1823" s="1">
        <f>YEAR(Advices[[#This Row],[Transaction Date]])</f>
        <v>2026</v>
      </c>
      <c r="R1823" s="1"/>
    </row>
    <row r="1824" spans="1:18" hidden="1" x14ac:dyDescent="0.25">
      <c r="A1824" s="264" t="s">
        <v>366</v>
      </c>
      <c r="B1824" s="265">
        <v>46077</v>
      </c>
      <c r="C1824" s="264" t="s">
        <v>2060</v>
      </c>
      <c r="D1824" s="300" t="s">
        <v>4155</v>
      </c>
      <c r="E1824" s="300" t="s">
        <v>3894</v>
      </c>
      <c r="F1824" s="300" t="s">
        <v>4156</v>
      </c>
      <c r="G1824" s="264" t="s">
        <v>26</v>
      </c>
      <c r="H1824" s="368">
        <v>1735.79</v>
      </c>
      <c r="I1824" s="368">
        <v>0</v>
      </c>
      <c r="J1824" s="264" t="s">
        <v>1125</v>
      </c>
      <c r="K1824" s="264" t="s">
        <v>2025</v>
      </c>
      <c r="L1824" s="1" t="str">
        <f>VLOOKUP(Advices[[#This Row],[LC Number]],'Combine_List'!A:D,2,0)</f>
        <v>Al Maymanah for Contracting Co. Ltd.</v>
      </c>
      <c r="M1824" s="447" t="str">
        <f>VLOOKUP(Advices[[#This Row],[LC Number]],'Combine_List'!A:D,3,0)</f>
        <v>FIRST FIX</v>
      </c>
      <c r="N1824" s="447" t="str">
        <f>VLOOKUP(Advices[[#This Row],[LC Number]],'Combine_List'!A:D,4,0)</f>
        <v>MP1</v>
      </c>
      <c r="O1824" s="1"/>
      <c r="P1824" s="1">
        <f>MONTH(Advices[[#This Row],[Transaction Date]])</f>
        <v>2</v>
      </c>
      <c r="Q1824" s="1">
        <f>YEAR(Advices[[#This Row],[Transaction Date]])</f>
        <v>2026</v>
      </c>
      <c r="R1824" s="1"/>
    </row>
    <row r="1825" spans="1:18" hidden="1" x14ac:dyDescent="0.25">
      <c r="A1825" s="264" t="s">
        <v>366</v>
      </c>
      <c r="B1825" s="265">
        <v>46077</v>
      </c>
      <c r="C1825" s="264" t="s">
        <v>2057</v>
      </c>
      <c r="D1825" s="300" t="s">
        <v>4154</v>
      </c>
      <c r="E1825" s="300" t="s">
        <v>1872</v>
      </c>
      <c r="F1825" s="300" t="s">
        <v>3476</v>
      </c>
      <c r="G1825" s="264" t="s">
        <v>26</v>
      </c>
      <c r="H1825" s="368">
        <v>293625.94</v>
      </c>
      <c r="I1825" s="368">
        <v>0</v>
      </c>
      <c r="J1825" s="264" t="s">
        <v>1126</v>
      </c>
      <c r="K1825" s="264" t="s">
        <v>2025</v>
      </c>
      <c r="L1825" s="1" t="str">
        <f>VLOOKUP(Advices[[#This Row],[LC Number]],'Combine_List'!A:D,2,0)</f>
        <v>Mimar For Construction Tools &amp; Trading Ltd.</v>
      </c>
      <c r="M1825" s="447" t="str">
        <f>VLOOKUP(Advices[[#This Row],[LC Number]],'Combine_List'!A:D,3,0)</f>
        <v>FIRST FIX</v>
      </c>
      <c r="N1825" s="447" t="str">
        <f>VLOOKUP(Advices[[#This Row],[LC Number]],'Combine_List'!A:D,4,0)</f>
        <v>MP1</v>
      </c>
      <c r="O1825" s="1"/>
      <c r="P1825" s="1">
        <f>MONTH(Advices[[#This Row],[Transaction Date]])</f>
        <v>2</v>
      </c>
      <c r="Q1825" s="1">
        <f>YEAR(Advices[[#This Row],[Transaction Date]])</f>
        <v>2026</v>
      </c>
      <c r="R1825" s="1"/>
    </row>
    <row r="1826" spans="1:18" hidden="1" x14ac:dyDescent="0.25">
      <c r="A1826" s="264" t="s">
        <v>366</v>
      </c>
      <c r="B1826" s="265">
        <v>46077</v>
      </c>
      <c r="C1826" s="264" t="s">
        <v>2060</v>
      </c>
      <c r="D1826" s="300" t="s">
        <v>4157</v>
      </c>
      <c r="E1826" s="300" t="s">
        <v>3894</v>
      </c>
      <c r="F1826" s="300" t="s">
        <v>4158</v>
      </c>
      <c r="G1826" s="264" t="s">
        <v>26</v>
      </c>
      <c r="H1826" s="368">
        <v>6889.22</v>
      </c>
      <c r="I1826" s="368">
        <v>0</v>
      </c>
      <c r="J1826" s="264" t="s">
        <v>1125</v>
      </c>
      <c r="K1826" s="264" t="s">
        <v>2025</v>
      </c>
      <c r="L1826" s="1" t="str">
        <f>VLOOKUP(Advices[[#This Row],[LC Number]],'Combine_List'!A:D,2,0)</f>
        <v>Al Maymanah for Contracting Co. Ltd.</v>
      </c>
      <c r="M1826" s="447" t="str">
        <f>VLOOKUP(Advices[[#This Row],[LC Number]],'Combine_List'!A:D,3,0)</f>
        <v>FIRST FIX</v>
      </c>
      <c r="N1826" s="447" t="str">
        <f>VLOOKUP(Advices[[#This Row],[LC Number]],'Combine_List'!A:D,4,0)</f>
        <v>MP1</v>
      </c>
      <c r="O1826" s="264"/>
      <c r="P1826" s="264">
        <f>MONTH(Advices[[#This Row],[Transaction Date]])</f>
        <v>2</v>
      </c>
      <c r="Q1826" s="264">
        <f>YEAR(Advices[[#This Row],[Transaction Date]])</f>
        <v>2026</v>
      </c>
      <c r="R1826" s="1"/>
    </row>
    <row r="1827" spans="1:18" hidden="1" x14ac:dyDescent="0.25">
      <c r="A1827" s="264" t="s">
        <v>1073</v>
      </c>
      <c r="B1827" s="265">
        <v>46055</v>
      </c>
      <c r="C1827" s="264" t="s">
        <v>3164</v>
      </c>
      <c r="D1827" s="300" t="s">
        <v>3168</v>
      </c>
      <c r="E1827" s="300" t="s">
        <v>3921</v>
      </c>
      <c r="F1827" s="300" t="s">
        <v>3921</v>
      </c>
      <c r="G1827" s="264" t="s">
        <v>26</v>
      </c>
      <c r="H1827" s="368">
        <v>11566.51</v>
      </c>
      <c r="I1827" s="368">
        <v>0</v>
      </c>
      <c r="J1827" s="264" t="s">
        <v>2041</v>
      </c>
      <c r="K1827" s="264" t="s">
        <v>2025</v>
      </c>
      <c r="L1827" s="1" t="str">
        <f>VLOOKUP(Advices[[#This Row],[LC Number]],'Combine_List'!A:D,2,0)</f>
        <v>Performance - Ministry of Culture</v>
      </c>
      <c r="M1827" s="447" t="str">
        <f>VLOOKUP(Advices[[#This Row],[LC Number]],'Combine_List'!A:D,3,0)</f>
        <v>MBL</v>
      </c>
      <c r="N1827" s="447" t="str">
        <f>VLOOKUP(Advices[[#This Row],[LC Number]],'Combine_List'!A:D,4,0)</f>
        <v>MBL &amp; Rowad Modern Engineering Pioneers Company (JV – 50%)</v>
      </c>
      <c r="O1827" s="1"/>
      <c r="P1827" s="1">
        <f>MONTH(Advices[[#This Row],[Transaction Date]])</f>
        <v>2</v>
      </c>
      <c r="Q1827" s="1">
        <f>YEAR(Advices[[#This Row],[Transaction Date]])</f>
        <v>2026</v>
      </c>
      <c r="R1827" s="1"/>
    </row>
    <row r="1828" spans="1:18" hidden="1" x14ac:dyDescent="0.25">
      <c r="A1828" s="264" t="s">
        <v>1073</v>
      </c>
      <c r="B1828" s="265">
        <v>46055</v>
      </c>
      <c r="C1828" s="264" t="s">
        <v>3164</v>
      </c>
      <c r="D1828" s="300" t="s">
        <v>4159</v>
      </c>
      <c r="E1828" s="300" t="s">
        <v>3921</v>
      </c>
      <c r="F1828" s="300" t="s">
        <v>3921</v>
      </c>
      <c r="G1828" s="264" t="s">
        <v>26</v>
      </c>
      <c r="H1828" s="368">
        <v>77110.100000000006</v>
      </c>
      <c r="I1828" s="368">
        <v>0</v>
      </c>
      <c r="J1828" s="264" t="s">
        <v>2041</v>
      </c>
      <c r="K1828" s="264" t="s">
        <v>2025</v>
      </c>
      <c r="L1828" s="1" t="str">
        <f>VLOOKUP(Advices[[#This Row],[LC Number]],'Combine_List'!A:D,2,0)</f>
        <v>Performance - Ministry of Culture</v>
      </c>
      <c r="M1828" s="447" t="str">
        <f>VLOOKUP(Advices[[#This Row],[LC Number]],'Combine_List'!A:D,3,0)</f>
        <v>MBL</v>
      </c>
      <c r="N1828" s="447" t="str">
        <f>VLOOKUP(Advices[[#This Row],[LC Number]],'Combine_List'!A:D,4,0)</f>
        <v>MBL &amp; Rowad Modern Engineering Pioneers Company (JV – 50%)</v>
      </c>
      <c r="O1828" s="264"/>
      <c r="P1828" s="264">
        <f>MONTH(Advices[[#This Row],[Transaction Date]])</f>
        <v>2</v>
      </c>
      <c r="Q1828" s="264">
        <f>YEAR(Advices[[#This Row],[Transaction Date]])</f>
        <v>2026</v>
      </c>
      <c r="R1828" s="1"/>
    </row>
    <row r="1829" spans="1:18" hidden="1" x14ac:dyDescent="0.25">
      <c r="A1829" s="264" t="s">
        <v>612</v>
      </c>
      <c r="B1829" s="265">
        <v>46072</v>
      </c>
      <c r="C1829" s="264" t="s">
        <v>2101</v>
      </c>
      <c r="D1829" s="300" t="s">
        <v>4160</v>
      </c>
      <c r="E1829" s="300" t="s">
        <v>3567</v>
      </c>
      <c r="F1829" s="300" t="s">
        <v>2041</v>
      </c>
      <c r="G1829" s="264" t="s">
        <v>26</v>
      </c>
      <c r="H1829" s="368">
        <v>100</v>
      </c>
      <c r="I1829" s="368">
        <v>0</v>
      </c>
      <c r="J1829" s="264" t="s">
        <v>1125</v>
      </c>
      <c r="K1829" s="264" t="s">
        <v>2025</v>
      </c>
      <c r="L1829" s="1" t="str">
        <f>VLOOKUP(Advices[[#This Row],[LC Number]],'Combine_List'!A:D,2,0)</f>
        <v>Mohammed Masoud Al Khaldi Est</v>
      </c>
      <c r="M1829" s="447" t="str">
        <f>VLOOKUP(Advices[[#This Row],[LC Number]],'Combine_List'!A:D,3,0)</f>
        <v>FIRST FIX</v>
      </c>
      <c r="N1829" s="447" t="str">
        <f>VLOOKUP(Advices[[#This Row],[LC Number]],'Combine_List'!A:D,4,0)</f>
        <v>RCRC</v>
      </c>
      <c r="O1829" s="1"/>
      <c r="P1829" s="1">
        <f>MONTH(Advices[[#This Row],[Transaction Date]])</f>
        <v>2</v>
      </c>
      <c r="Q1829" s="1">
        <f>YEAR(Advices[[#This Row],[Transaction Date]])</f>
        <v>2026</v>
      </c>
      <c r="R1829" s="1"/>
    </row>
    <row r="1830" spans="1:18" hidden="1" x14ac:dyDescent="0.25">
      <c r="A1830" s="264" t="s">
        <v>612</v>
      </c>
      <c r="B1830" s="265">
        <v>46072</v>
      </c>
      <c r="C1830" s="264" t="s">
        <v>2101</v>
      </c>
      <c r="D1830" s="300" t="s">
        <v>4161</v>
      </c>
      <c r="E1830" s="300" t="s">
        <v>3567</v>
      </c>
      <c r="F1830" s="300" t="s">
        <v>2041</v>
      </c>
      <c r="G1830" s="264" t="s">
        <v>26</v>
      </c>
      <c r="H1830" s="368">
        <v>15</v>
      </c>
      <c r="I1830" s="368">
        <v>0</v>
      </c>
      <c r="J1830" s="264" t="s">
        <v>1174</v>
      </c>
      <c r="K1830" s="264" t="s">
        <v>2025</v>
      </c>
      <c r="L1830" s="1" t="str">
        <f>VLOOKUP(Advices[[#This Row],[LC Number]],'Combine_List'!A:D,2,0)</f>
        <v>Mohammed Masoud Al Khaldi Est</v>
      </c>
      <c r="M1830" s="447" t="str">
        <f>VLOOKUP(Advices[[#This Row],[LC Number]],'Combine_List'!A:D,3,0)</f>
        <v>FIRST FIX</v>
      </c>
      <c r="N1830" s="447" t="str">
        <f>VLOOKUP(Advices[[#This Row],[LC Number]],'Combine_List'!A:D,4,0)</f>
        <v>RCRC</v>
      </c>
      <c r="O1830" s="1"/>
      <c r="P1830" s="1">
        <f>MONTH(Advices[[#This Row],[Transaction Date]])</f>
        <v>2</v>
      </c>
      <c r="Q1830" s="1">
        <f>YEAR(Advices[[#This Row],[Transaction Date]])</f>
        <v>2026</v>
      </c>
      <c r="R1830" s="1"/>
    </row>
    <row r="1831" spans="1:18" hidden="1" x14ac:dyDescent="0.25">
      <c r="A1831" s="264" t="s">
        <v>612</v>
      </c>
      <c r="B1831" s="265">
        <v>46072</v>
      </c>
      <c r="C1831" s="264" t="s">
        <v>2101</v>
      </c>
      <c r="D1831" s="300" t="s">
        <v>4162</v>
      </c>
      <c r="E1831" s="300" t="s">
        <v>3567</v>
      </c>
      <c r="F1831" s="300" t="s">
        <v>2041</v>
      </c>
      <c r="G1831" s="264" t="s">
        <v>26</v>
      </c>
      <c r="H1831" s="368">
        <v>265</v>
      </c>
      <c r="I1831" s="368">
        <v>0</v>
      </c>
      <c r="J1831" s="264" t="s">
        <v>1125</v>
      </c>
      <c r="K1831" s="264" t="s">
        <v>2025</v>
      </c>
      <c r="L1831" s="1" t="str">
        <f>VLOOKUP(Advices[[#This Row],[LC Number]],'Combine_List'!A:D,2,0)</f>
        <v>Mohammed Masoud Al Khaldi Est</v>
      </c>
      <c r="M1831" s="447" t="str">
        <f>VLOOKUP(Advices[[#This Row],[LC Number]],'Combine_List'!A:D,3,0)</f>
        <v>FIRST FIX</v>
      </c>
      <c r="N1831" s="447" t="str">
        <f>VLOOKUP(Advices[[#This Row],[LC Number]],'Combine_List'!A:D,4,0)</f>
        <v>RCRC</v>
      </c>
      <c r="O1831" s="1"/>
      <c r="P1831" s="1">
        <f>MONTH(Advices[[#This Row],[Transaction Date]])</f>
        <v>2</v>
      </c>
      <c r="Q1831" s="1">
        <f>YEAR(Advices[[#This Row],[Transaction Date]])</f>
        <v>2026</v>
      </c>
      <c r="R1831" s="1"/>
    </row>
    <row r="1832" spans="1:18" hidden="1" x14ac:dyDescent="0.25">
      <c r="A1832" s="264" t="s">
        <v>612</v>
      </c>
      <c r="B1832" s="265">
        <v>46072</v>
      </c>
      <c r="C1832" s="264" t="s">
        <v>2101</v>
      </c>
      <c r="D1832" s="300" t="s">
        <v>4163</v>
      </c>
      <c r="E1832" s="300" t="s">
        <v>3567</v>
      </c>
      <c r="F1832" s="300" t="s">
        <v>2041</v>
      </c>
      <c r="G1832" s="264" t="s">
        <v>26</v>
      </c>
      <c r="H1832" s="368">
        <v>39.75</v>
      </c>
      <c r="I1832" s="368">
        <v>0</v>
      </c>
      <c r="J1832" s="264" t="s">
        <v>1174</v>
      </c>
      <c r="K1832" s="264" t="s">
        <v>2025</v>
      </c>
      <c r="L1832" s="1" t="str">
        <f>VLOOKUP(Advices[[#This Row],[LC Number]],'Combine_List'!A:D,2,0)</f>
        <v>Mohammed Masoud Al Khaldi Est</v>
      </c>
      <c r="M1832" s="447" t="str">
        <f>VLOOKUP(Advices[[#This Row],[LC Number]],'Combine_List'!A:D,3,0)</f>
        <v>FIRST FIX</v>
      </c>
      <c r="N1832" s="447" t="str">
        <f>VLOOKUP(Advices[[#This Row],[LC Number]],'Combine_List'!A:D,4,0)</f>
        <v>RCRC</v>
      </c>
      <c r="O1832" s="1"/>
      <c r="P1832" s="1">
        <f>MONTH(Advices[[#This Row],[Transaction Date]])</f>
        <v>2</v>
      </c>
      <c r="Q1832" s="1">
        <f>YEAR(Advices[[#This Row],[Transaction Date]])</f>
        <v>2026</v>
      </c>
      <c r="R1832" s="1"/>
    </row>
    <row r="1833" spans="1:18" hidden="1" x14ac:dyDescent="0.25">
      <c r="A1833" s="264" t="s">
        <v>612</v>
      </c>
      <c r="B1833" s="265">
        <v>46072</v>
      </c>
      <c r="C1833" s="264" t="s">
        <v>2101</v>
      </c>
      <c r="D1833" s="300" t="s">
        <v>4164</v>
      </c>
      <c r="E1833" s="300" t="s">
        <v>3567</v>
      </c>
      <c r="F1833" s="300" t="s">
        <v>2041</v>
      </c>
      <c r="G1833" s="264" t="s">
        <v>26</v>
      </c>
      <c r="H1833" s="368">
        <v>200</v>
      </c>
      <c r="I1833" s="368">
        <v>0</v>
      </c>
      <c r="J1833" s="264" t="s">
        <v>1125</v>
      </c>
      <c r="K1833" s="264" t="s">
        <v>2025</v>
      </c>
      <c r="L1833" s="1" t="str">
        <f>VLOOKUP(Advices[[#This Row],[LC Number]],'Combine_List'!A:D,2,0)</f>
        <v>Mohammed Masoud Al Khaldi Est</v>
      </c>
      <c r="M1833" s="447" t="str">
        <f>VLOOKUP(Advices[[#This Row],[LC Number]],'Combine_List'!A:D,3,0)</f>
        <v>FIRST FIX</v>
      </c>
      <c r="N1833" s="447" t="str">
        <f>VLOOKUP(Advices[[#This Row],[LC Number]],'Combine_List'!A:D,4,0)</f>
        <v>RCRC</v>
      </c>
      <c r="O1833" s="1"/>
      <c r="P1833" s="1">
        <f>MONTH(Advices[[#This Row],[Transaction Date]])</f>
        <v>2</v>
      </c>
      <c r="Q1833" s="1">
        <f>YEAR(Advices[[#This Row],[Transaction Date]])</f>
        <v>2026</v>
      </c>
      <c r="R1833" s="1"/>
    </row>
    <row r="1834" spans="1:18" hidden="1" x14ac:dyDescent="0.25">
      <c r="A1834" s="264" t="s">
        <v>612</v>
      </c>
      <c r="B1834" s="265">
        <v>46072</v>
      </c>
      <c r="C1834" s="264" t="s">
        <v>2101</v>
      </c>
      <c r="D1834" s="300" t="s">
        <v>4165</v>
      </c>
      <c r="E1834" s="300" t="s">
        <v>3567</v>
      </c>
      <c r="F1834" s="300" t="s">
        <v>2041</v>
      </c>
      <c r="G1834" s="264" t="s">
        <v>26</v>
      </c>
      <c r="H1834" s="368">
        <v>30</v>
      </c>
      <c r="I1834" s="368">
        <v>0</v>
      </c>
      <c r="J1834" s="264" t="s">
        <v>1174</v>
      </c>
      <c r="K1834" s="264" t="s">
        <v>2025</v>
      </c>
      <c r="L1834" s="1" t="str">
        <f>VLOOKUP(Advices[[#This Row],[LC Number]],'Combine_List'!A:D,2,0)</f>
        <v>Mohammed Masoud Al Khaldi Est</v>
      </c>
      <c r="M1834" s="447" t="str">
        <f>VLOOKUP(Advices[[#This Row],[LC Number]],'Combine_List'!A:D,3,0)</f>
        <v>FIRST FIX</v>
      </c>
      <c r="N1834" s="447" t="str">
        <f>VLOOKUP(Advices[[#This Row],[LC Number]],'Combine_List'!A:D,4,0)</f>
        <v>RCRC</v>
      </c>
      <c r="O1834" s="1"/>
      <c r="P1834" s="1">
        <f>MONTH(Advices[[#This Row],[Transaction Date]])</f>
        <v>2</v>
      </c>
      <c r="Q1834" s="1">
        <f>YEAR(Advices[[#This Row],[Transaction Date]])</f>
        <v>2026</v>
      </c>
      <c r="R1834" s="1"/>
    </row>
    <row r="1835" spans="1:18" hidden="1" x14ac:dyDescent="0.25">
      <c r="A1835" s="264" t="s">
        <v>612</v>
      </c>
      <c r="B1835" s="265">
        <v>46076</v>
      </c>
      <c r="C1835" s="264" t="s">
        <v>2101</v>
      </c>
      <c r="D1835" s="300" t="s">
        <v>4166</v>
      </c>
      <c r="E1835" s="300" t="s">
        <v>1810</v>
      </c>
      <c r="F1835" s="1" t="s">
        <v>1810</v>
      </c>
      <c r="G1835" s="264" t="s">
        <v>26</v>
      </c>
      <c r="H1835" s="368">
        <v>519801.15</v>
      </c>
      <c r="I1835" s="368">
        <v>0</v>
      </c>
      <c r="J1835" s="264" t="s">
        <v>1126</v>
      </c>
      <c r="K1835" s="264" t="s">
        <v>2025</v>
      </c>
      <c r="L1835" s="1" t="str">
        <f>VLOOKUP(Advices[[#This Row],[LC Number]],'Combine_List'!A:D,2,0)</f>
        <v>AL FALWA CO. LTD. FOR READYMIX CONCRETE</v>
      </c>
      <c r="M1835" s="447" t="str">
        <f>VLOOKUP(Advices[[#This Row],[LC Number]],'Combine_List'!A:D,3,0)</f>
        <v>MBL</v>
      </c>
      <c r="N1835" s="447" t="str">
        <f>VLOOKUP(Advices[[#This Row],[LC Number]],'Combine_List'!A:D,4,0)</f>
        <v>RCRC</v>
      </c>
      <c r="O1835" s="1"/>
      <c r="P1835" s="1">
        <f>MONTH(Advices[[#This Row],[Transaction Date]])</f>
        <v>2</v>
      </c>
      <c r="Q1835" s="1">
        <f>YEAR(Advices[[#This Row],[Transaction Date]])</f>
        <v>2026</v>
      </c>
      <c r="R1835" s="1"/>
    </row>
    <row r="1836" spans="1:18" hidden="1" x14ac:dyDescent="0.25">
      <c r="A1836" s="264" t="s">
        <v>612</v>
      </c>
      <c r="B1836" s="265">
        <v>46077</v>
      </c>
      <c r="C1836" s="264" t="s">
        <v>2101</v>
      </c>
      <c r="D1836" s="300" t="s">
        <v>4167</v>
      </c>
      <c r="E1836" s="300" t="s">
        <v>1565</v>
      </c>
      <c r="F1836" s="300" t="s">
        <v>2041</v>
      </c>
      <c r="G1836" s="264" t="s">
        <v>26</v>
      </c>
      <c r="H1836" s="368">
        <v>100</v>
      </c>
      <c r="I1836" s="368">
        <v>0</v>
      </c>
      <c r="J1836" s="264" t="s">
        <v>1125</v>
      </c>
      <c r="K1836" s="264" t="s">
        <v>2025</v>
      </c>
      <c r="L1836" s="1" t="str">
        <f>VLOOKUP(Advices[[#This Row],[LC Number]],'Combine_List'!A:D,2,0)</f>
        <v>Mohammed Ramadan Shat</v>
      </c>
      <c r="M1836" s="447" t="str">
        <f>VLOOKUP(Advices[[#This Row],[LC Number]],'Combine_List'!A:D,3,0)</f>
        <v>FIRST FIX</v>
      </c>
      <c r="N1836" s="447" t="str">
        <f>VLOOKUP(Advices[[#This Row],[LC Number]],'Combine_List'!A:D,4,0)</f>
        <v>RCRC</v>
      </c>
      <c r="O1836" s="1"/>
      <c r="P1836" s="1">
        <f>MONTH(Advices[[#This Row],[Transaction Date]])</f>
        <v>2</v>
      </c>
      <c r="Q1836" s="1">
        <f>YEAR(Advices[[#This Row],[Transaction Date]])</f>
        <v>2026</v>
      </c>
      <c r="R1836" s="1"/>
    </row>
    <row r="1837" spans="1:18" hidden="1" x14ac:dyDescent="0.25">
      <c r="A1837" s="264" t="s">
        <v>612</v>
      </c>
      <c r="B1837" s="265">
        <v>46077</v>
      </c>
      <c r="C1837" s="264" t="s">
        <v>2101</v>
      </c>
      <c r="D1837" s="300" t="s">
        <v>4168</v>
      </c>
      <c r="E1837" s="300" t="s">
        <v>1565</v>
      </c>
      <c r="F1837" s="300" t="s">
        <v>2041</v>
      </c>
      <c r="G1837" s="264" t="s">
        <v>26</v>
      </c>
      <c r="H1837" s="368">
        <v>15</v>
      </c>
      <c r="I1837" s="368">
        <v>0</v>
      </c>
      <c r="J1837" s="264" t="s">
        <v>1174</v>
      </c>
      <c r="K1837" s="264" t="s">
        <v>2025</v>
      </c>
      <c r="L1837" s="1" t="str">
        <f>VLOOKUP(Advices[[#This Row],[LC Number]],'Combine_List'!A:D,2,0)</f>
        <v>Mohammed Ramadan Shat</v>
      </c>
      <c r="M1837" s="447" t="str">
        <f>VLOOKUP(Advices[[#This Row],[LC Number]],'Combine_List'!A:D,3,0)</f>
        <v>FIRST FIX</v>
      </c>
      <c r="N1837" s="447" t="str">
        <f>VLOOKUP(Advices[[#This Row],[LC Number]],'Combine_List'!A:D,4,0)</f>
        <v>RCRC</v>
      </c>
      <c r="O1837" s="1"/>
      <c r="P1837" s="1">
        <f>MONTH(Advices[[#This Row],[Transaction Date]])</f>
        <v>2</v>
      </c>
      <c r="Q1837" s="1">
        <f>YEAR(Advices[[#This Row],[Transaction Date]])</f>
        <v>2026</v>
      </c>
      <c r="R1837" s="1"/>
    </row>
    <row r="1838" spans="1:18" hidden="1" x14ac:dyDescent="0.25">
      <c r="A1838" s="264" t="s">
        <v>612</v>
      </c>
      <c r="B1838" s="265">
        <v>46077</v>
      </c>
      <c r="C1838" s="264" t="s">
        <v>2101</v>
      </c>
      <c r="D1838" s="300" t="s">
        <v>4169</v>
      </c>
      <c r="E1838" s="300" t="s">
        <v>1565</v>
      </c>
      <c r="F1838" s="300" t="s">
        <v>2041</v>
      </c>
      <c r="G1838" s="264" t="s">
        <v>26</v>
      </c>
      <c r="H1838" s="368">
        <v>250</v>
      </c>
      <c r="I1838" s="368">
        <v>0</v>
      </c>
      <c r="J1838" s="264" t="s">
        <v>1125</v>
      </c>
      <c r="K1838" s="264" t="s">
        <v>2025</v>
      </c>
      <c r="L1838" s="1" t="str">
        <f>VLOOKUP(Advices[[#This Row],[LC Number]],'Combine_List'!A:D,2,0)</f>
        <v>Mohammed Ramadan Shat</v>
      </c>
      <c r="M1838" s="447" t="str">
        <f>VLOOKUP(Advices[[#This Row],[LC Number]],'Combine_List'!A:D,3,0)</f>
        <v>FIRST FIX</v>
      </c>
      <c r="N1838" s="447" t="str">
        <f>VLOOKUP(Advices[[#This Row],[LC Number]],'Combine_List'!A:D,4,0)</f>
        <v>RCRC</v>
      </c>
      <c r="O1838" s="1"/>
      <c r="P1838" s="1">
        <f>MONTH(Advices[[#This Row],[Transaction Date]])</f>
        <v>2</v>
      </c>
      <c r="Q1838" s="1">
        <f>YEAR(Advices[[#This Row],[Transaction Date]])</f>
        <v>2026</v>
      </c>
      <c r="R1838" s="1"/>
    </row>
    <row r="1839" spans="1:18" hidden="1" x14ac:dyDescent="0.25">
      <c r="A1839" s="264" t="s">
        <v>612</v>
      </c>
      <c r="B1839" s="265">
        <v>46077</v>
      </c>
      <c r="C1839" s="264" t="s">
        <v>2101</v>
      </c>
      <c r="D1839" s="300" t="s">
        <v>4170</v>
      </c>
      <c r="E1839" s="300" t="s">
        <v>1565</v>
      </c>
      <c r="F1839" s="300" t="s">
        <v>2041</v>
      </c>
      <c r="G1839" s="264" t="s">
        <v>26</v>
      </c>
      <c r="H1839" s="368">
        <v>37.5</v>
      </c>
      <c r="I1839" s="368">
        <v>0</v>
      </c>
      <c r="J1839" s="264" t="s">
        <v>1174</v>
      </c>
      <c r="K1839" s="264" t="s">
        <v>2025</v>
      </c>
      <c r="L1839" s="1" t="str">
        <f>VLOOKUP(Advices[[#This Row],[LC Number]],'Combine_List'!A:D,2,0)</f>
        <v>Mohammed Ramadan Shat</v>
      </c>
      <c r="M1839" s="447" t="str">
        <f>VLOOKUP(Advices[[#This Row],[LC Number]],'Combine_List'!A:D,3,0)</f>
        <v>FIRST FIX</v>
      </c>
      <c r="N1839" s="447" t="str">
        <f>VLOOKUP(Advices[[#This Row],[LC Number]],'Combine_List'!A:D,4,0)</f>
        <v>RCRC</v>
      </c>
      <c r="O1839" s="1"/>
      <c r="P1839" s="1">
        <f>MONTH(Advices[[#This Row],[Transaction Date]])</f>
        <v>2</v>
      </c>
      <c r="Q1839" s="1">
        <f>YEAR(Advices[[#This Row],[Transaction Date]])</f>
        <v>2026</v>
      </c>
      <c r="R1839" s="1"/>
    </row>
    <row r="1840" spans="1:18" hidden="1" x14ac:dyDescent="0.25">
      <c r="A1840" s="264" t="s">
        <v>612</v>
      </c>
      <c r="B1840" s="265">
        <v>46077</v>
      </c>
      <c r="C1840" s="264" t="s">
        <v>2101</v>
      </c>
      <c r="D1840" s="300" t="s">
        <v>4171</v>
      </c>
      <c r="E1840" s="300" t="s">
        <v>1565</v>
      </c>
      <c r="F1840" s="300" t="s">
        <v>2041</v>
      </c>
      <c r="G1840" s="264" t="s">
        <v>26</v>
      </c>
      <c r="H1840" s="368">
        <v>200</v>
      </c>
      <c r="I1840" s="368">
        <v>0</v>
      </c>
      <c r="J1840" s="264" t="s">
        <v>1125</v>
      </c>
      <c r="K1840" s="264" t="s">
        <v>2025</v>
      </c>
      <c r="L1840" s="1" t="str">
        <f>VLOOKUP(Advices[[#This Row],[LC Number]],'Combine_List'!A:D,2,0)</f>
        <v>Mohammed Ramadan Shat</v>
      </c>
      <c r="M1840" s="447" t="str">
        <f>VLOOKUP(Advices[[#This Row],[LC Number]],'Combine_List'!A:D,3,0)</f>
        <v>FIRST FIX</v>
      </c>
      <c r="N1840" s="447" t="str">
        <f>VLOOKUP(Advices[[#This Row],[LC Number]],'Combine_List'!A:D,4,0)</f>
        <v>RCRC</v>
      </c>
      <c r="O1840" s="1"/>
      <c r="P1840" s="1">
        <f>MONTH(Advices[[#This Row],[Transaction Date]])</f>
        <v>2</v>
      </c>
      <c r="Q1840" s="1">
        <f>YEAR(Advices[[#This Row],[Transaction Date]])</f>
        <v>2026</v>
      </c>
      <c r="R1840" s="1"/>
    </row>
    <row r="1841" spans="1:18" hidden="1" x14ac:dyDescent="0.25">
      <c r="A1841" s="264" t="s">
        <v>612</v>
      </c>
      <c r="B1841" s="265">
        <v>46077</v>
      </c>
      <c r="C1841" s="264" t="s">
        <v>2101</v>
      </c>
      <c r="D1841" s="300" t="s">
        <v>4172</v>
      </c>
      <c r="E1841" s="300" t="s">
        <v>1565</v>
      </c>
      <c r="F1841" s="300" t="s">
        <v>2041</v>
      </c>
      <c r="G1841" s="264" t="s">
        <v>26</v>
      </c>
      <c r="H1841" s="368">
        <v>30</v>
      </c>
      <c r="I1841" s="368">
        <v>0</v>
      </c>
      <c r="J1841" s="264" t="s">
        <v>1174</v>
      </c>
      <c r="K1841" s="264" t="s">
        <v>2025</v>
      </c>
      <c r="L1841" s="1" t="str">
        <f>VLOOKUP(Advices[[#This Row],[LC Number]],'Combine_List'!A:D,2,0)</f>
        <v>Mohammed Ramadan Shat</v>
      </c>
      <c r="M1841" s="447" t="str">
        <f>VLOOKUP(Advices[[#This Row],[LC Number]],'Combine_List'!A:D,3,0)</f>
        <v>FIRST FIX</v>
      </c>
      <c r="N1841" s="447" t="str">
        <f>VLOOKUP(Advices[[#This Row],[LC Number]],'Combine_List'!A:D,4,0)</f>
        <v>RCRC</v>
      </c>
      <c r="O1841" s="1"/>
      <c r="P1841" s="1">
        <f>MONTH(Advices[[#This Row],[Transaction Date]])</f>
        <v>2</v>
      </c>
      <c r="Q1841" s="1">
        <f>YEAR(Advices[[#This Row],[Transaction Date]])</f>
        <v>2026</v>
      </c>
      <c r="R1841" s="1"/>
    </row>
    <row r="1842" spans="1:18" hidden="1" x14ac:dyDescent="0.25">
      <c r="A1842" s="264" t="s">
        <v>612</v>
      </c>
      <c r="B1842" s="265">
        <v>46077</v>
      </c>
      <c r="C1842" s="264" t="s">
        <v>2101</v>
      </c>
      <c r="D1842" s="300" t="s">
        <v>4173</v>
      </c>
      <c r="E1842" s="300" t="s">
        <v>1821</v>
      </c>
      <c r="F1842" s="300" t="s">
        <v>2041</v>
      </c>
      <c r="G1842" s="264" t="s">
        <v>26</v>
      </c>
      <c r="H1842" s="368">
        <v>100</v>
      </c>
      <c r="I1842" s="368">
        <v>0</v>
      </c>
      <c r="J1842" s="264" t="s">
        <v>1125</v>
      </c>
      <c r="K1842" s="264" t="s">
        <v>2025</v>
      </c>
      <c r="L1842" s="1" t="str">
        <f>VLOOKUP(Advices[[#This Row],[LC Number]],'Combine_List'!A:D,2,0)</f>
        <v>Mohammed Ramadan Shat Factory</v>
      </c>
      <c r="M1842" s="447" t="str">
        <f>VLOOKUP(Advices[[#This Row],[LC Number]],'Combine_List'!A:D,3,0)</f>
        <v>FIRST FIX</v>
      </c>
      <c r="N1842" s="447" t="str">
        <f>VLOOKUP(Advices[[#This Row],[LC Number]],'Combine_List'!A:D,4,0)</f>
        <v>RCRC</v>
      </c>
      <c r="O1842" s="1"/>
      <c r="P1842" s="1">
        <f>MONTH(Advices[[#This Row],[Transaction Date]])</f>
        <v>2</v>
      </c>
      <c r="Q1842" s="1">
        <f>YEAR(Advices[[#This Row],[Transaction Date]])</f>
        <v>2026</v>
      </c>
      <c r="R1842" s="1"/>
    </row>
    <row r="1843" spans="1:18" hidden="1" x14ac:dyDescent="0.25">
      <c r="A1843" s="264" t="s">
        <v>612</v>
      </c>
      <c r="B1843" s="265">
        <v>46077</v>
      </c>
      <c r="C1843" s="264" t="s">
        <v>2101</v>
      </c>
      <c r="D1843" s="300" t="s">
        <v>4174</v>
      </c>
      <c r="E1843" s="300" t="s">
        <v>1821</v>
      </c>
      <c r="F1843" s="300" t="s">
        <v>2041</v>
      </c>
      <c r="G1843" s="264" t="s">
        <v>26</v>
      </c>
      <c r="H1843" s="368">
        <v>15</v>
      </c>
      <c r="I1843" s="368">
        <v>0</v>
      </c>
      <c r="J1843" s="264" t="s">
        <v>1174</v>
      </c>
      <c r="K1843" s="264" t="s">
        <v>2025</v>
      </c>
      <c r="L1843" s="1" t="str">
        <f>VLOOKUP(Advices[[#This Row],[LC Number]],'Combine_List'!A:D,2,0)</f>
        <v>Mohammed Ramadan Shat Factory</v>
      </c>
      <c r="M1843" s="447" t="str">
        <f>VLOOKUP(Advices[[#This Row],[LC Number]],'Combine_List'!A:D,3,0)</f>
        <v>FIRST FIX</v>
      </c>
      <c r="N1843" s="447" t="str">
        <f>VLOOKUP(Advices[[#This Row],[LC Number]],'Combine_List'!A:D,4,0)</f>
        <v>RCRC</v>
      </c>
      <c r="O1843" s="1"/>
      <c r="P1843" s="1">
        <f>MONTH(Advices[[#This Row],[Transaction Date]])</f>
        <v>2</v>
      </c>
      <c r="Q1843" s="1">
        <f>YEAR(Advices[[#This Row],[Transaction Date]])</f>
        <v>2026</v>
      </c>
      <c r="R1843" s="1"/>
    </row>
    <row r="1844" spans="1:18" hidden="1" x14ac:dyDescent="0.25">
      <c r="A1844" s="264" t="s">
        <v>612</v>
      </c>
      <c r="B1844" s="265">
        <v>46077</v>
      </c>
      <c r="C1844" s="264" t="s">
        <v>2101</v>
      </c>
      <c r="D1844" s="300" t="s">
        <v>4175</v>
      </c>
      <c r="E1844" s="300" t="s">
        <v>1821</v>
      </c>
      <c r="F1844" s="300" t="s">
        <v>2041</v>
      </c>
      <c r="G1844" s="264" t="s">
        <v>26</v>
      </c>
      <c r="H1844" s="368">
        <v>250</v>
      </c>
      <c r="I1844" s="368">
        <v>0</v>
      </c>
      <c r="J1844" s="264" t="s">
        <v>1125</v>
      </c>
      <c r="K1844" s="264" t="s">
        <v>2025</v>
      </c>
      <c r="L1844" s="1" t="str">
        <f>VLOOKUP(Advices[[#This Row],[LC Number]],'Combine_List'!A:D,2,0)</f>
        <v>Mohammed Ramadan Shat Factory</v>
      </c>
      <c r="M1844" s="447" t="str">
        <f>VLOOKUP(Advices[[#This Row],[LC Number]],'Combine_List'!A:D,3,0)</f>
        <v>FIRST FIX</v>
      </c>
      <c r="N1844" s="447" t="str">
        <f>VLOOKUP(Advices[[#This Row],[LC Number]],'Combine_List'!A:D,4,0)</f>
        <v>RCRC</v>
      </c>
      <c r="O1844" s="1"/>
      <c r="P1844" s="1">
        <f>MONTH(Advices[[#This Row],[Transaction Date]])</f>
        <v>2</v>
      </c>
      <c r="Q1844" s="1">
        <f>YEAR(Advices[[#This Row],[Transaction Date]])</f>
        <v>2026</v>
      </c>
      <c r="R1844" s="1"/>
    </row>
    <row r="1845" spans="1:18" hidden="1" x14ac:dyDescent="0.25">
      <c r="A1845" s="264" t="s">
        <v>612</v>
      </c>
      <c r="B1845" s="265">
        <v>46077</v>
      </c>
      <c r="C1845" s="264" t="s">
        <v>2101</v>
      </c>
      <c r="D1845" s="300" t="s">
        <v>4176</v>
      </c>
      <c r="E1845" s="300" t="s">
        <v>1821</v>
      </c>
      <c r="F1845" s="300" t="s">
        <v>2041</v>
      </c>
      <c r="G1845" s="264" t="s">
        <v>26</v>
      </c>
      <c r="H1845" s="368">
        <v>37.5</v>
      </c>
      <c r="I1845" s="368">
        <v>0</v>
      </c>
      <c r="J1845" s="264" t="s">
        <v>1174</v>
      </c>
      <c r="K1845" s="264" t="s">
        <v>2025</v>
      </c>
      <c r="L1845" s="1" t="str">
        <f>VLOOKUP(Advices[[#This Row],[LC Number]],'Combine_List'!A:D,2,0)</f>
        <v>Mohammed Ramadan Shat Factory</v>
      </c>
      <c r="M1845" s="447" t="str">
        <f>VLOOKUP(Advices[[#This Row],[LC Number]],'Combine_List'!A:D,3,0)</f>
        <v>FIRST FIX</v>
      </c>
      <c r="N1845" s="447" t="str">
        <f>VLOOKUP(Advices[[#This Row],[LC Number]],'Combine_List'!A:D,4,0)</f>
        <v>RCRC</v>
      </c>
      <c r="O1845" s="1"/>
      <c r="P1845" s="1">
        <f>MONTH(Advices[[#This Row],[Transaction Date]])</f>
        <v>2</v>
      </c>
      <c r="Q1845" s="1">
        <f>YEAR(Advices[[#This Row],[Transaction Date]])</f>
        <v>2026</v>
      </c>
      <c r="R1845" s="1"/>
    </row>
    <row r="1846" spans="1:18" hidden="1" x14ac:dyDescent="0.25">
      <c r="A1846" s="264" t="s">
        <v>612</v>
      </c>
      <c r="B1846" s="265">
        <v>46077</v>
      </c>
      <c r="C1846" s="264" t="s">
        <v>2101</v>
      </c>
      <c r="D1846" s="300" t="s">
        <v>4177</v>
      </c>
      <c r="E1846" s="300" t="s">
        <v>1821</v>
      </c>
      <c r="F1846" s="300" t="s">
        <v>2041</v>
      </c>
      <c r="G1846" s="264" t="s">
        <v>26</v>
      </c>
      <c r="H1846" s="368">
        <v>200</v>
      </c>
      <c r="I1846" s="368">
        <v>0</v>
      </c>
      <c r="J1846" s="264" t="s">
        <v>1125</v>
      </c>
      <c r="K1846" s="264" t="s">
        <v>2025</v>
      </c>
      <c r="L1846" s="1" t="str">
        <f>VLOOKUP(Advices[[#This Row],[LC Number]],'Combine_List'!A:D,2,0)</f>
        <v>Mohammed Ramadan Shat Factory</v>
      </c>
      <c r="M1846" s="447" t="str">
        <f>VLOOKUP(Advices[[#This Row],[LC Number]],'Combine_List'!A:D,3,0)</f>
        <v>FIRST FIX</v>
      </c>
      <c r="N1846" s="447" t="str">
        <f>VLOOKUP(Advices[[#This Row],[LC Number]],'Combine_List'!A:D,4,0)</f>
        <v>RCRC</v>
      </c>
      <c r="O1846" s="1"/>
      <c r="P1846" s="1">
        <f>MONTH(Advices[[#This Row],[Transaction Date]])</f>
        <v>2</v>
      </c>
      <c r="Q1846" s="1">
        <f>YEAR(Advices[[#This Row],[Transaction Date]])</f>
        <v>2026</v>
      </c>
      <c r="R1846" s="1"/>
    </row>
    <row r="1847" spans="1:18" hidden="1" x14ac:dyDescent="0.25">
      <c r="A1847" s="264" t="s">
        <v>612</v>
      </c>
      <c r="B1847" s="265">
        <v>46077</v>
      </c>
      <c r="C1847" s="264" t="s">
        <v>2101</v>
      </c>
      <c r="D1847" s="300" t="s">
        <v>4178</v>
      </c>
      <c r="E1847" s="300" t="s">
        <v>1821</v>
      </c>
      <c r="F1847" s="300" t="s">
        <v>2041</v>
      </c>
      <c r="G1847" s="264" t="s">
        <v>26</v>
      </c>
      <c r="H1847" s="368">
        <v>30</v>
      </c>
      <c r="I1847" s="368">
        <v>0</v>
      </c>
      <c r="J1847" s="264" t="s">
        <v>1174</v>
      </c>
      <c r="K1847" s="264" t="s">
        <v>2025</v>
      </c>
      <c r="L1847" s="1" t="str">
        <f>VLOOKUP(Advices[[#This Row],[LC Number]],'Combine_List'!A:D,2,0)</f>
        <v>Mohammed Ramadan Shat Factory</v>
      </c>
      <c r="M1847" s="447" t="str">
        <f>VLOOKUP(Advices[[#This Row],[LC Number]],'Combine_List'!A:D,3,0)</f>
        <v>FIRST FIX</v>
      </c>
      <c r="N1847" s="447" t="str">
        <f>VLOOKUP(Advices[[#This Row],[LC Number]],'Combine_List'!A:D,4,0)</f>
        <v>RCRC</v>
      </c>
      <c r="O1847" s="1"/>
      <c r="P1847" s="1">
        <f>MONTH(Advices[[#This Row],[Transaction Date]])</f>
        <v>2</v>
      </c>
      <c r="Q1847" s="1">
        <f>YEAR(Advices[[#This Row],[Transaction Date]])</f>
        <v>2026</v>
      </c>
      <c r="R1847" s="1"/>
    </row>
    <row r="1848" spans="1:18" hidden="1" x14ac:dyDescent="0.25">
      <c r="A1848" s="264" t="s">
        <v>612</v>
      </c>
      <c r="B1848" s="265">
        <v>46077</v>
      </c>
      <c r="C1848" s="264" t="s">
        <v>2101</v>
      </c>
      <c r="D1848" s="300" t="s">
        <v>4179</v>
      </c>
      <c r="E1848" s="300" t="s">
        <v>3571</v>
      </c>
      <c r="F1848" s="300" t="s">
        <v>2041</v>
      </c>
      <c r="G1848" s="264" t="s">
        <v>26</v>
      </c>
      <c r="H1848" s="368">
        <v>100</v>
      </c>
      <c r="I1848" s="368">
        <v>0</v>
      </c>
      <c r="J1848" s="264" t="s">
        <v>1125</v>
      </c>
      <c r="K1848" s="264" t="s">
        <v>2025</v>
      </c>
      <c r="L1848" s="1" t="str">
        <f>VLOOKUP(Advices[[#This Row],[LC Number]],'Combine_List'!A:D,2,0)</f>
        <v>Alfanar Electrical Systems</v>
      </c>
      <c r="M1848" s="447" t="str">
        <f>VLOOKUP(Advices[[#This Row],[LC Number]],'Combine_List'!A:D,3,0)</f>
        <v>FIRST FIX</v>
      </c>
      <c r="N1848" s="447" t="str">
        <f>VLOOKUP(Advices[[#This Row],[LC Number]],'Combine_List'!A:D,4,0)</f>
        <v>RCRC</v>
      </c>
      <c r="O1848" s="1"/>
      <c r="P1848" s="1">
        <f>MONTH(Advices[[#This Row],[Transaction Date]])</f>
        <v>2</v>
      </c>
      <c r="Q1848" s="1">
        <f>YEAR(Advices[[#This Row],[Transaction Date]])</f>
        <v>2026</v>
      </c>
      <c r="R1848" s="1"/>
    </row>
    <row r="1849" spans="1:18" hidden="1" x14ac:dyDescent="0.25">
      <c r="A1849" s="264" t="s">
        <v>612</v>
      </c>
      <c r="B1849" s="265">
        <v>46077</v>
      </c>
      <c r="C1849" s="264" t="s">
        <v>2101</v>
      </c>
      <c r="D1849" s="300" t="s">
        <v>4180</v>
      </c>
      <c r="E1849" s="300" t="s">
        <v>3571</v>
      </c>
      <c r="F1849" s="300" t="s">
        <v>2041</v>
      </c>
      <c r="G1849" s="264" t="s">
        <v>26</v>
      </c>
      <c r="H1849" s="368">
        <v>15</v>
      </c>
      <c r="I1849" s="368">
        <v>0</v>
      </c>
      <c r="J1849" s="264" t="s">
        <v>1174</v>
      </c>
      <c r="K1849" s="264" t="s">
        <v>2025</v>
      </c>
      <c r="L1849" s="1" t="str">
        <f>VLOOKUP(Advices[[#This Row],[LC Number]],'Combine_List'!A:D,2,0)</f>
        <v>Alfanar Electrical Systems</v>
      </c>
      <c r="M1849" s="447" t="str">
        <f>VLOOKUP(Advices[[#This Row],[LC Number]],'Combine_List'!A:D,3,0)</f>
        <v>FIRST FIX</v>
      </c>
      <c r="N1849" s="447" t="str">
        <f>VLOOKUP(Advices[[#This Row],[LC Number]],'Combine_List'!A:D,4,0)</f>
        <v>RCRC</v>
      </c>
      <c r="O1849" s="1"/>
      <c r="P1849" s="1">
        <f>MONTH(Advices[[#This Row],[Transaction Date]])</f>
        <v>2</v>
      </c>
      <c r="Q1849" s="1">
        <f>YEAR(Advices[[#This Row],[Transaction Date]])</f>
        <v>2026</v>
      </c>
      <c r="R1849" s="1"/>
    </row>
    <row r="1850" spans="1:18" hidden="1" x14ac:dyDescent="0.25">
      <c r="A1850" s="264" t="s">
        <v>612</v>
      </c>
      <c r="B1850" s="265">
        <v>46077</v>
      </c>
      <c r="C1850" s="264" t="s">
        <v>2101</v>
      </c>
      <c r="D1850" s="300" t="s">
        <v>4181</v>
      </c>
      <c r="E1850" s="300" t="s">
        <v>3571</v>
      </c>
      <c r="F1850" s="300" t="s">
        <v>2041</v>
      </c>
      <c r="G1850" s="264" t="s">
        <v>26</v>
      </c>
      <c r="H1850" s="368">
        <v>1848</v>
      </c>
      <c r="I1850" s="368">
        <v>0</v>
      </c>
      <c r="J1850" s="264" t="s">
        <v>1125</v>
      </c>
      <c r="K1850" s="264" t="s">
        <v>2025</v>
      </c>
      <c r="L1850" s="1" t="str">
        <f>VLOOKUP(Advices[[#This Row],[LC Number]],'Combine_List'!A:D,2,0)</f>
        <v>Alfanar Electrical Systems</v>
      </c>
      <c r="M1850" s="447" t="str">
        <f>VLOOKUP(Advices[[#This Row],[LC Number]],'Combine_List'!A:D,3,0)</f>
        <v>FIRST FIX</v>
      </c>
      <c r="N1850" s="447" t="str">
        <f>VLOOKUP(Advices[[#This Row],[LC Number]],'Combine_List'!A:D,4,0)</f>
        <v>RCRC</v>
      </c>
      <c r="O1850" s="1"/>
      <c r="P1850" s="1">
        <f>MONTH(Advices[[#This Row],[Transaction Date]])</f>
        <v>2</v>
      </c>
      <c r="Q1850" s="1">
        <f>YEAR(Advices[[#This Row],[Transaction Date]])</f>
        <v>2026</v>
      </c>
      <c r="R1850" s="1"/>
    </row>
    <row r="1851" spans="1:18" hidden="1" x14ac:dyDescent="0.25">
      <c r="A1851" s="264" t="s">
        <v>612</v>
      </c>
      <c r="B1851" s="265">
        <v>46077</v>
      </c>
      <c r="C1851" s="264" t="s">
        <v>2101</v>
      </c>
      <c r="D1851" s="300" t="s">
        <v>4182</v>
      </c>
      <c r="E1851" s="300" t="s">
        <v>3571</v>
      </c>
      <c r="F1851" s="300" t="s">
        <v>2041</v>
      </c>
      <c r="G1851" s="264" t="s">
        <v>26</v>
      </c>
      <c r="H1851" s="368">
        <v>277.2</v>
      </c>
      <c r="I1851" s="368">
        <v>0</v>
      </c>
      <c r="J1851" s="264" t="s">
        <v>1174</v>
      </c>
      <c r="K1851" s="264" t="s">
        <v>2025</v>
      </c>
      <c r="L1851" s="1" t="str">
        <f>VLOOKUP(Advices[[#This Row],[LC Number]],'Combine_List'!A:D,2,0)</f>
        <v>Alfanar Electrical Systems</v>
      </c>
      <c r="M1851" s="447" t="str">
        <f>VLOOKUP(Advices[[#This Row],[LC Number]],'Combine_List'!A:D,3,0)</f>
        <v>FIRST FIX</v>
      </c>
      <c r="N1851" s="447" t="str">
        <f>VLOOKUP(Advices[[#This Row],[LC Number]],'Combine_List'!A:D,4,0)</f>
        <v>RCRC</v>
      </c>
      <c r="O1851" s="1"/>
      <c r="P1851" s="1">
        <f>MONTH(Advices[[#This Row],[Transaction Date]])</f>
        <v>2</v>
      </c>
      <c r="Q1851" s="1">
        <f>YEAR(Advices[[#This Row],[Transaction Date]])</f>
        <v>2026</v>
      </c>
      <c r="R1851" s="1"/>
    </row>
    <row r="1852" spans="1:18" hidden="1" x14ac:dyDescent="0.25">
      <c r="A1852" s="264" t="s">
        <v>612</v>
      </c>
      <c r="B1852" s="265">
        <v>46077</v>
      </c>
      <c r="C1852" s="264" t="s">
        <v>2101</v>
      </c>
      <c r="D1852" s="300" t="s">
        <v>4183</v>
      </c>
      <c r="E1852" s="300" t="s">
        <v>3571</v>
      </c>
      <c r="F1852" s="300" t="s">
        <v>2041</v>
      </c>
      <c r="G1852" s="264" t="s">
        <v>26</v>
      </c>
      <c r="H1852" s="368">
        <v>200</v>
      </c>
      <c r="I1852" s="368">
        <v>0</v>
      </c>
      <c r="J1852" s="264" t="s">
        <v>1125</v>
      </c>
      <c r="K1852" s="264" t="s">
        <v>2025</v>
      </c>
      <c r="L1852" s="1" t="str">
        <f>VLOOKUP(Advices[[#This Row],[LC Number]],'Combine_List'!A:D,2,0)</f>
        <v>Alfanar Electrical Systems</v>
      </c>
      <c r="M1852" s="447" t="str">
        <f>VLOOKUP(Advices[[#This Row],[LC Number]],'Combine_List'!A:D,3,0)</f>
        <v>FIRST FIX</v>
      </c>
      <c r="N1852" s="447" t="str">
        <f>VLOOKUP(Advices[[#This Row],[LC Number]],'Combine_List'!A:D,4,0)</f>
        <v>RCRC</v>
      </c>
      <c r="O1852" s="1"/>
      <c r="P1852" s="1">
        <f>MONTH(Advices[[#This Row],[Transaction Date]])</f>
        <v>2</v>
      </c>
      <c r="Q1852" s="1">
        <f>YEAR(Advices[[#This Row],[Transaction Date]])</f>
        <v>2026</v>
      </c>
      <c r="R1852" s="1"/>
    </row>
    <row r="1853" spans="1:18" hidden="1" x14ac:dyDescent="0.25">
      <c r="A1853" s="264" t="s">
        <v>612</v>
      </c>
      <c r="B1853" s="265">
        <v>46077</v>
      </c>
      <c r="C1853" s="264" t="s">
        <v>2101</v>
      </c>
      <c r="D1853" s="300" t="s">
        <v>4184</v>
      </c>
      <c r="E1853" s="300" t="s">
        <v>3571</v>
      </c>
      <c r="F1853" s="300" t="s">
        <v>2041</v>
      </c>
      <c r="G1853" s="264" t="s">
        <v>26</v>
      </c>
      <c r="H1853" s="368">
        <v>30</v>
      </c>
      <c r="I1853" s="368">
        <v>0</v>
      </c>
      <c r="J1853" s="264" t="s">
        <v>1174</v>
      </c>
      <c r="K1853" s="264" t="s">
        <v>2025</v>
      </c>
      <c r="L1853" s="1" t="str">
        <f>VLOOKUP(Advices[[#This Row],[LC Number]],'Combine_List'!A:D,2,0)</f>
        <v>Alfanar Electrical Systems</v>
      </c>
      <c r="M1853" s="447" t="str">
        <f>VLOOKUP(Advices[[#This Row],[LC Number]],'Combine_List'!A:D,3,0)</f>
        <v>FIRST FIX</v>
      </c>
      <c r="N1853" s="447" t="str">
        <f>VLOOKUP(Advices[[#This Row],[LC Number]],'Combine_List'!A:D,4,0)</f>
        <v>RCRC</v>
      </c>
      <c r="O1853" s="264"/>
      <c r="P1853" s="264">
        <f>MONTH(Advices[[#This Row],[Transaction Date]])</f>
        <v>2</v>
      </c>
      <c r="Q1853" s="264">
        <f>YEAR(Advices[[#This Row],[Transaction Date]])</f>
        <v>2026</v>
      </c>
      <c r="R1853" s="1"/>
    </row>
    <row r="1854" spans="1:18" x14ac:dyDescent="0.25">
      <c r="A1854" s="264" t="s">
        <v>21</v>
      </c>
      <c r="B1854" s="265">
        <v>46078</v>
      </c>
      <c r="C1854" s="264" t="s">
        <v>1951</v>
      </c>
      <c r="D1854" s="300" t="s">
        <v>4188</v>
      </c>
      <c r="E1854" s="300" t="s">
        <v>4137</v>
      </c>
      <c r="F1854" s="300" t="s">
        <v>4137</v>
      </c>
      <c r="G1854" s="264" t="s">
        <v>26</v>
      </c>
      <c r="H1854" s="368">
        <v>105</v>
      </c>
      <c r="I1854" s="368">
        <v>0</v>
      </c>
      <c r="J1854" s="264" t="s">
        <v>1174</v>
      </c>
      <c r="K1854" s="264" t="s">
        <v>2025</v>
      </c>
      <c r="L1854" s="1" t="str">
        <f>VLOOKUP(Advices[[#This Row],[LC Number]],'Combine_List'!A:D,2,0)</f>
        <v>LSI PROJECTS LIMITED</v>
      </c>
      <c r="M1854" s="447" t="str">
        <f>VLOOKUP(Advices[[#This Row],[LC Number]],'Combine_List'!A:D,3,0)</f>
        <v>ICAD</v>
      </c>
      <c r="N1854" s="447" t="str">
        <f>VLOOKUP(Advices[[#This Row],[LC Number]],'Combine_List'!A:D,4,0)</f>
        <v>KSP</v>
      </c>
      <c r="O1854" s="1"/>
      <c r="P1854" s="1">
        <f>MONTH(Advices[[#This Row],[Transaction Date]])</f>
        <v>2</v>
      </c>
      <c r="Q1854" s="1">
        <f>YEAR(Advices[[#This Row],[Transaction Date]])</f>
        <v>2026</v>
      </c>
      <c r="R1854" s="1"/>
    </row>
    <row r="1855" spans="1:18" x14ac:dyDescent="0.25">
      <c r="A1855" s="264" t="s">
        <v>21</v>
      </c>
      <c r="B1855" s="265">
        <v>46078</v>
      </c>
      <c r="C1855" s="264" t="s">
        <v>1951</v>
      </c>
      <c r="D1855" s="300" t="s">
        <v>4189</v>
      </c>
      <c r="E1855" s="300" t="s">
        <v>4137</v>
      </c>
      <c r="F1855" s="300" t="s">
        <v>4137</v>
      </c>
      <c r="G1855" s="264" t="s">
        <v>26</v>
      </c>
      <c r="H1855" s="368">
        <v>700</v>
      </c>
      <c r="I1855" s="368">
        <v>0</v>
      </c>
      <c r="J1855" s="264" t="s">
        <v>1963</v>
      </c>
      <c r="K1855" s="264" t="s">
        <v>2025</v>
      </c>
      <c r="L1855" s="1" t="str">
        <f>VLOOKUP(Advices[[#This Row],[LC Number]],'Combine_List'!A:D,2,0)</f>
        <v>LSI PROJECTS LIMITED</v>
      </c>
      <c r="M1855" s="447" t="str">
        <f>VLOOKUP(Advices[[#This Row],[LC Number]],'Combine_List'!A:D,3,0)</f>
        <v>ICAD</v>
      </c>
      <c r="N1855" s="447" t="str">
        <f>VLOOKUP(Advices[[#This Row],[LC Number]],'Combine_List'!A:D,4,0)</f>
        <v>KSP</v>
      </c>
      <c r="O1855" s="1"/>
      <c r="P1855" s="1">
        <f>MONTH(Advices[[#This Row],[Transaction Date]])</f>
        <v>2</v>
      </c>
      <c r="Q1855" s="1">
        <f>YEAR(Advices[[#This Row],[Transaction Date]])</f>
        <v>2026</v>
      </c>
      <c r="R1855" s="1"/>
    </row>
    <row r="1856" spans="1:18" x14ac:dyDescent="0.25">
      <c r="A1856" s="264" t="s">
        <v>21</v>
      </c>
      <c r="B1856" s="265">
        <v>46078</v>
      </c>
      <c r="C1856" s="264" t="s">
        <v>1951</v>
      </c>
      <c r="D1856" s="300" t="s">
        <v>4188</v>
      </c>
      <c r="E1856" s="300" t="s">
        <v>4137</v>
      </c>
      <c r="F1856" s="300" t="s">
        <v>4137</v>
      </c>
      <c r="G1856" s="264" t="s">
        <v>26</v>
      </c>
      <c r="H1856" s="368">
        <v>1214.54</v>
      </c>
      <c r="I1856" s="368">
        <v>0</v>
      </c>
      <c r="J1856" s="264" t="s">
        <v>1174</v>
      </c>
      <c r="K1856" s="264" t="s">
        <v>2025</v>
      </c>
      <c r="L1856" s="1" t="str">
        <f>VLOOKUP(Advices[[#This Row],[LC Number]],'Combine_List'!A:D,2,0)</f>
        <v>LSI PROJECTS LIMITED</v>
      </c>
      <c r="M1856" s="447" t="str">
        <f>VLOOKUP(Advices[[#This Row],[LC Number]],'Combine_List'!A:D,3,0)</f>
        <v>ICAD</v>
      </c>
      <c r="N1856" s="447" t="str">
        <f>VLOOKUP(Advices[[#This Row],[LC Number]],'Combine_List'!A:D,4,0)</f>
        <v>KSP</v>
      </c>
      <c r="O1856" s="1"/>
      <c r="P1856" s="1">
        <f>MONTH(Advices[[#This Row],[Transaction Date]])</f>
        <v>2</v>
      </c>
      <c r="Q1856" s="1">
        <f>YEAR(Advices[[#This Row],[Transaction Date]])</f>
        <v>2026</v>
      </c>
      <c r="R1856" s="1"/>
    </row>
    <row r="1857" spans="1:18" x14ac:dyDescent="0.25">
      <c r="A1857" s="264" t="s">
        <v>21</v>
      </c>
      <c r="B1857" s="265">
        <v>46078</v>
      </c>
      <c r="C1857" s="264" t="s">
        <v>1951</v>
      </c>
      <c r="D1857" s="300" t="s">
        <v>4190</v>
      </c>
      <c r="E1857" s="300" t="s">
        <v>4137</v>
      </c>
      <c r="F1857" s="300" t="s">
        <v>4137</v>
      </c>
      <c r="G1857" s="264" t="s">
        <v>26</v>
      </c>
      <c r="H1857" s="368">
        <v>8096.96</v>
      </c>
      <c r="I1857" s="368">
        <v>0</v>
      </c>
      <c r="J1857" s="264" t="s">
        <v>2616</v>
      </c>
      <c r="K1857" s="264" t="s">
        <v>2025</v>
      </c>
      <c r="L1857" s="1" t="str">
        <f>VLOOKUP(Advices[[#This Row],[LC Number]],'Combine_List'!A:D,2,0)</f>
        <v>LSI PROJECTS LIMITED</v>
      </c>
      <c r="M1857" s="447" t="str">
        <f>VLOOKUP(Advices[[#This Row],[LC Number]],'Combine_List'!A:D,3,0)</f>
        <v>ICAD</v>
      </c>
      <c r="N1857" s="447" t="str">
        <f>VLOOKUP(Advices[[#This Row],[LC Number]],'Combine_List'!A:D,4,0)</f>
        <v>KSP</v>
      </c>
      <c r="O1857" s="264"/>
      <c r="P1857" s="264">
        <f>MONTH(Advices[[#This Row],[Transaction Date]])</f>
        <v>2</v>
      </c>
      <c r="Q1857" s="264">
        <f>YEAR(Advices[[#This Row],[Transaction Date]])</f>
        <v>2026</v>
      </c>
      <c r="R1857" s="1"/>
    </row>
    <row r="1858" spans="1:18" hidden="1" x14ac:dyDescent="0.25">
      <c r="A1858" s="264" t="s">
        <v>62</v>
      </c>
      <c r="B1858" s="265">
        <v>46078</v>
      </c>
      <c r="C1858" s="264" t="s">
        <v>2039</v>
      </c>
      <c r="D1858" s="300" t="s">
        <v>4191</v>
      </c>
      <c r="E1858" s="300" t="s">
        <v>1584</v>
      </c>
      <c r="F1858" s="300" t="s">
        <v>2041</v>
      </c>
      <c r="G1858" s="264" t="s">
        <v>26</v>
      </c>
      <c r="H1858" s="368">
        <v>57.5</v>
      </c>
      <c r="I1858" s="368">
        <v>0</v>
      </c>
      <c r="J1858" s="264" t="s">
        <v>2830</v>
      </c>
      <c r="K1858" s="264" t="s">
        <v>2025</v>
      </c>
      <c r="L1858" s="1" t="str">
        <f>VLOOKUP(Advices[[#This Row],[LC Number]],'Combine_List'!A:D,2,0)</f>
        <v>Advance - JEDDAH CENTRAL DEVELOPMENT COMPANY</v>
      </c>
      <c r="M1858" s="447">
        <f>VLOOKUP(Advices[[#This Row],[LC Number]],'Combine_List'!A:D,3,0)</f>
        <v>0</v>
      </c>
      <c r="N1858" s="447" t="str">
        <f>VLOOKUP(Advices[[#This Row],[LC Number]],'Combine_List'!A:D,4,0)</f>
        <v>Oceanarium</v>
      </c>
      <c r="O1858" s="264"/>
      <c r="P1858" s="264">
        <f>MONTH(Advices[[#This Row],[Transaction Date]])</f>
        <v>2</v>
      </c>
      <c r="Q1858" s="264">
        <f>YEAR(Advices[[#This Row],[Transaction Date]])</f>
        <v>2026</v>
      </c>
      <c r="R1858" s="1"/>
    </row>
    <row r="1859" spans="1:18" hidden="1" x14ac:dyDescent="0.25">
      <c r="A1859" s="264" t="s">
        <v>612</v>
      </c>
      <c r="B1859" s="265">
        <v>46078</v>
      </c>
      <c r="C1859" s="264" t="s">
        <v>2101</v>
      </c>
      <c r="D1859" s="300" t="s">
        <v>4192</v>
      </c>
      <c r="E1859" s="300" t="s">
        <v>2395</v>
      </c>
      <c r="F1859" s="300" t="s">
        <v>2041</v>
      </c>
      <c r="G1859" s="264" t="s">
        <v>26</v>
      </c>
      <c r="H1859" s="368">
        <v>282279.51</v>
      </c>
      <c r="I1859" s="368">
        <v>0</v>
      </c>
      <c r="J1859" s="264" t="s">
        <v>1126</v>
      </c>
      <c r="K1859" s="264" t="s">
        <v>2025</v>
      </c>
      <c r="L1859" s="1" t="str">
        <f>VLOOKUP(Advices[[#This Row],[LC Number]],'Combine_List'!A:D,2,0)</f>
        <v>Rawabi Al Mahfar Trading Co.</v>
      </c>
      <c r="M1859" s="447" t="str">
        <f>VLOOKUP(Advices[[#This Row],[LC Number]],'Combine_List'!A:D,3,0)</f>
        <v>FIRST FIX</v>
      </c>
      <c r="N1859" s="447" t="str">
        <f>VLOOKUP(Advices[[#This Row],[LC Number]],'Combine_List'!A:D,4,0)</f>
        <v>RCRC</v>
      </c>
      <c r="O1859" s="264"/>
      <c r="P1859" s="264">
        <f>MONTH(Advices[[#This Row],[Transaction Date]])</f>
        <v>2</v>
      </c>
      <c r="Q1859" s="264">
        <f>YEAR(Advices[[#This Row],[Transaction Date]])</f>
        <v>2026</v>
      </c>
      <c r="R1859" s="1"/>
    </row>
    <row r="1860" spans="1:18" x14ac:dyDescent="0.25">
      <c r="A1860" s="264" t="s">
        <v>21</v>
      </c>
      <c r="B1860" s="265">
        <v>46079</v>
      </c>
      <c r="C1860" s="264" t="s">
        <v>1951</v>
      </c>
      <c r="D1860" s="300" t="s">
        <v>2334</v>
      </c>
      <c r="E1860" s="300" t="s">
        <v>3169</v>
      </c>
      <c r="F1860" s="300" t="s">
        <v>4198</v>
      </c>
      <c r="G1860" s="264" t="s">
        <v>26</v>
      </c>
      <c r="H1860" s="368">
        <v>22.5</v>
      </c>
      <c r="I1860" s="368">
        <v>0</v>
      </c>
      <c r="J1860" s="264" t="s">
        <v>1174</v>
      </c>
      <c r="K1860" s="264" t="s">
        <v>2025</v>
      </c>
      <c r="L1860" s="1" t="str">
        <f>VLOOKUP(Advices[[#This Row],[LC Number]],'Combine_List'!A:D,2,0)</f>
        <v>Osalas GMBH</v>
      </c>
      <c r="M1860" s="447" t="str">
        <f>VLOOKUP(Advices[[#This Row],[LC Number]],'Combine_List'!A:D,3,0)</f>
        <v>MBL</v>
      </c>
      <c r="N1860" s="447" t="str">
        <f>VLOOKUP(Advices[[#This Row],[LC Number]],'Combine_List'!A:D,4,0)</f>
        <v>ADF</v>
      </c>
      <c r="O1860" s="1"/>
      <c r="P1860" s="1">
        <f>MONTH(Advices[[#This Row],[Transaction Date]])</f>
        <v>2</v>
      </c>
      <c r="Q1860" s="1">
        <f>YEAR(Advices[[#This Row],[Transaction Date]])</f>
        <v>2026</v>
      </c>
      <c r="R1860" s="1"/>
    </row>
    <row r="1861" spans="1:18" x14ac:dyDescent="0.25">
      <c r="A1861" s="264" t="s">
        <v>21</v>
      </c>
      <c r="B1861" s="265">
        <v>46079</v>
      </c>
      <c r="C1861" s="264" t="s">
        <v>1951</v>
      </c>
      <c r="D1861" s="300" t="s">
        <v>4199</v>
      </c>
      <c r="E1861" s="300" t="s">
        <v>3169</v>
      </c>
      <c r="F1861" s="300" t="s">
        <v>4198</v>
      </c>
      <c r="G1861" s="264" t="s">
        <v>26</v>
      </c>
      <c r="H1861" s="368">
        <v>150</v>
      </c>
      <c r="I1861" s="368">
        <v>0</v>
      </c>
      <c r="J1861" s="264" t="s">
        <v>1963</v>
      </c>
      <c r="K1861" s="264" t="s">
        <v>2025</v>
      </c>
      <c r="L1861" s="1" t="str">
        <f>VLOOKUP(Advices[[#This Row],[LC Number]],'Combine_List'!A:D,2,0)</f>
        <v>Osalas GMBH</v>
      </c>
      <c r="M1861" s="447" t="str">
        <f>VLOOKUP(Advices[[#This Row],[LC Number]],'Combine_List'!A:D,3,0)</f>
        <v>MBL</v>
      </c>
      <c r="N1861" s="447" t="str">
        <f>VLOOKUP(Advices[[#This Row],[LC Number]],'Combine_List'!A:D,4,0)</f>
        <v>ADF</v>
      </c>
      <c r="O1861" s="1"/>
      <c r="P1861" s="1">
        <f>MONTH(Advices[[#This Row],[Transaction Date]])</f>
        <v>2</v>
      </c>
      <c r="Q1861" s="1">
        <f>YEAR(Advices[[#This Row],[Transaction Date]])</f>
        <v>2026</v>
      </c>
      <c r="R1861" s="1"/>
    </row>
    <row r="1862" spans="1:18" x14ac:dyDescent="0.25">
      <c r="A1862" s="264" t="s">
        <v>21</v>
      </c>
      <c r="B1862" s="265">
        <v>46079</v>
      </c>
      <c r="C1862" s="264" t="s">
        <v>1951</v>
      </c>
      <c r="D1862" s="300" t="s">
        <v>4200</v>
      </c>
      <c r="E1862" s="300" t="s">
        <v>3169</v>
      </c>
      <c r="F1862" s="300" t="s">
        <v>4198</v>
      </c>
      <c r="G1862" s="264" t="s">
        <v>26</v>
      </c>
      <c r="H1862" s="368">
        <v>4348012.5</v>
      </c>
      <c r="I1862" s="368">
        <v>0</v>
      </c>
      <c r="J1862" s="264" t="s">
        <v>1126</v>
      </c>
      <c r="K1862" s="264" t="s">
        <v>2025</v>
      </c>
      <c r="L1862" s="1" t="str">
        <f>VLOOKUP(Advices[[#This Row],[LC Number]],'Combine_List'!A:D,2,0)</f>
        <v>Osalas GMBH</v>
      </c>
      <c r="M1862" s="447" t="str">
        <f>VLOOKUP(Advices[[#This Row],[LC Number]],'Combine_List'!A:D,3,0)</f>
        <v>MBL</v>
      </c>
      <c r="N1862" s="447" t="str">
        <f>VLOOKUP(Advices[[#This Row],[LC Number]],'Combine_List'!A:D,4,0)</f>
        <v>ADF</v>
      </c>
      <c r="O1862" s="264"/>
      <c r="P1862" s="264">
        <f>MONTH(Advices[[#This Row],[Transaction Date]])</f>
        <v>2</v>
      </c>
      <c r="Q1862" s="264">
        <f>YEAR(Advices[[#This Row],[Transaction Date]])</f>
        <v>2026</v>
      </c>
      <c r="R1862" s="1"/>
    </row>
    <row r="1863" spans="1:18" hidden="1" x14ac:dyDescent="0.25">
      <c r="A1863" s="264" t="s">
        <v>62</v>
      </c>
      <c r="B1863" s="265">
        <v>46079</v>
      </c>
      <c r="C1863" s="264" t="s">
        <v>2716</v>
      </c>
      <c r="D1863" s="300" t="s">
        <v>4201</v>
      </c>
      <c r="E1863" s="300" t="s">
        <v>1828</v>
      </c>
      <c r="F1863" s="300" t="s">
        <v>2041</v>
      </c>
      <c r="G1863" s="264" t="s">
        <v>26</v>
      </c>
      <c r="H1863" s="368">
        <v>1134227.75</v>
      </c>
      <c r="I1863" s="368">
        <v>0</v>
      </c>
      <c r="J1863" s="264" t="s">
        <v>2830</v>
      </c>
      <c r="K1863" s="264" t="s">
        <v>2025</v>
      </c>
      <c r="L1863" s="1" t="str">
        <f>VLOOKUP(Advices[[#This Row],[LC Number]],'Combine_List'!A:D,2,0)</f>
        <v>Advance - SAUDI ENTERTAINMENT VENTURES COMPANY (SEVEN)</v>
      </c>
      <c r="M1863" s="447">
        <f>VLOOKUP(Advices[[#This Row],[LC Number]],'Combine_List'!A:D,3,0)</f>
        <v>0</v>
      </c>
      <c r="N1863" s="447" t="str">
        <f>VLOOKUP(Advices[[#This Row],[LC Number]],'Combine_List'!A:D,4,0)</f>
        <v>ABHA</v>
      </c>
      <c r="O1863" s="264"/>
      <c r="P1863" s="264">
        <f>MONTH(Advices[[#This Row],[Transaction Date]])</f>
        <v>2</v>
      </c>
      <c r="Q1863" s="264">
        <f>YEAR(Advices[[#This Row],[Transaction Date]])</f>
        <v>2026</v>
      </c>
      <c r="R1863" s="1"/>
    </row>
    <row r="1864" spans="1:18" hidden="1" x14ac:dyDescent="0.25">
      <c r="A1864" s="264" t="s">
        <v>95</v>
      </c>
      <c r="B1864" s="265">
        <v>46079</v>
      </c>
      <c r="C1864" s="264" t="s">
        <v>2026</v>
      </c>
      <c r="D1864" s="300" t="s">
        <v>4202</v>
      </c>
      <c r="E1864" s="300" t="s">
        <v>4193</v>
      </c>
      <c r="F1864" s="300" t="s">
        <v>4203</v>
      </c>
      <c r="G1864" s="264" t="s">
        <v>26</v>
      </c>
      <c r="H1864" s="368">
        <v>1035</v>
      </c>
      <c r="I1864" s="368">
        <v>0</v>
      </c>
      <c r="J1864" s="264" t="s">
        <v>2616</v>
      </c>
      <c r="K1864" s="264" t="s">
        <v>2025</v>
      </c>
      <c r="L1864" s="1" t="str">
        <f>VLOOKUP(Advices[[#This Row],[LC Number]],'Combine_List'!A:D,2,0)</f>
        <v>Building System Intelligent Contractor BSICO</v>
      </c>
      <c r="M1864" s="447" t="str">
        <f>VLOOKUP(Advices[[#This Row],[LC Number]],'Combine_List'!A:D,3,0)</f>
        <v>MBL/ICAD</v>
      </c>
      <c r="N1864" s="447" t="str">
        <f>VLOOKUP(Advices[[#This Row],[LC Number]],'Combine_List'!A:D,4,0)</f>
        <v>OPERA House</v>
      </c>
      <c r="O1864" s="264"/>
      <c r="P1864" s="264">
        <f>MONTH(Advices[[#This Row],[Transaction Date]])</f>
        <v>2</v>
      </c>
      <c r="Q1864" s="264">
        <f>YEAR(Advices[[#This Row],[Transaction Date]])</f>
        <v>2026</v>
      </c>
      <c r="R1864" s="1"/>
    </row>
    <row r="1865" spans="1:18" hidden="1" x14ac:dyDescent="0.25">
      <c r="A1865" s="264" t="s">
        <v>612</v>
      </c>
      <c r="B1865" s="265">
        <v>46079</v>
      </c>
      <c r="C1865" s="264" t="s">
        <v>2101</v>
      </c>
      <c r="D1865" s="300" t="s">
        <v>4204</v>
      </c>
      <c r="E1865" s="300" t="s">
        <v>2394</v>
      </c>
      <c r="F1865" s="300" t="s">
        <v>2041</v>
      </c>
      <c r="G1865" s="264" t="s">
        <v>26</v>
      </c>
      <c r="H1865" s="368">
        <v>2000000.93</v>
      </c>
      <c r="I1865" s="368">
        <v>0</v>
      </c>
      <c r="J1865" s="264" t="s">
        <v>1126</v>
      </c>
      <c r="K1865" s="264" t="s">
        <v>2025</v>
      </c>
      <c r="L1865" s="1" t="str">
        <f>VLOOKUP(Advices[[#This Row],[LC Number]],'Combine_List'!A:D,2,0)</f>
        <v>ALFANAR ELECTRICAL SYSTEMS</v>
      </c>
      <c r="M1865" s="447" t="str">
        <f>VLOOKUP(Advices[[#This Row],[LC Number]],'Combine_List'!A:D,3,0)</f>
        <v>FIRST FIX</v>
      </c>
      <c r="N1865" s="447" t="str">
        <f>VLOOKUP(Advices[[#This Row],[LC Number]],'Combine_List'!A:D,4,0)</f>
        <v>RCRC</v>
      </c>
      <c r="O1865" s="264"/>
      <c r="P1865" s="264">
        <f>MONTH(Advices[[#This Row],[Transaction Date]])</f>
        <v>2</v>
      </c>
      <c r="Q1865" s="264">
        <f>YEAR(Advices[[#This Row],[Transaction Date]])</f>
        <v>2026</v>
      </c>
      <c r="R1865" s="1"/>
    </row>
    <row r="1866" spans="1:18" x14ac:dyDescent="0.25">
      <c r="A1866" s="264" t="s">
        <v>21</v>
      </c>
      <c r="B1866" s="265">
        <v>46082</v>
      </c>
      <c r="C1866" s="264" t="s">
        <v>1951</v>
      </c>
      <c r="D1866" s="300" t="s">
        <v>2646</v>
      </c>
      <c r="E1866" s="300" t="s">
        <v>4209</v>
      </c>
      <c r="F1866" s="300" t="s">
        <v>4210</v>
      </c>
      <c r="G1866" s="264" t="s">
        <v>26</v>
      </c>
      <c r="H1866" s="368">
        <v>15</v>
      </c>
      <c r="I1866" s="368">
        <v>0</v>
      </c>
      <c r="J1866" s="264" t="s">
        <v>1174</v>
      </c>
      <c r="K1866" s="264" t="s">
        <v>2025</v>
      </c>
      <c r="L1866" s="1" t="e">
        <f>VLOOKUP(Advices[[#This Row],[LC Number]],'Combine_List'!A:D,2,0)</f>
        <v>#N/A</v>
      </c>
      <c r="M1866" s="447" t="e">
        <f>VLOOKUP(Advices[[#This Row],[LC Number]],'Combine_List'!A:D,3,0)</f>
        <v>#N/A</v>
      </c>
      <c r="N1866" s="447" t="e">
        <f>VLOOKUP(Advices[[#This Row],[LC Number]],'Combine_List'!A:D,4,0)</f>
        <v>#N/A</v>
      </c>
      <c r="O1866" s="1"/>
      <c r="P1866" s="1">
        <f>MONTH(Advices[[#This Row],[Transaction Date]])</f>
        <v>3</v>
      </c>
      <c r="Q1866" s="1">
        <f>YEAR(Advices[[#This Row],[Transaction Date]])</f>
        <v>2026</v>
      </c>
      <c r="R1866" s="1"/>
    </row>
    <row r="1867" spans="1:18" x14ac:dyDescent="0.25">
      <c r="A1867" s="264" t="s">
        <v>21</v>
      </c>
      <c r="B1867" s="265">
        <v>46082</v>
      </c>
      <c r="C1867" s="264" t="s">
        <v>1951</v>
      </c>
      <c r="D1867" s="300" t="s">
        <v>4211</v>
      </c>
      <c r="E1867" s="300" t="s">
        <v>4209</v>
      </c>
      <c r="F1867" s="300" t="s">
        <v>4210</v>
      </c>
      <c r="G1867" s="264" t="s">
        <v>26</v>
      </c>
      <c r="H1867" s="368">
        <v>100</v>
      </c>
      <c r="I1867" s="368">
        <v>0</v>
      </c>
      <c r="J1867" s="264" t="s">
        <v>1963</v>
      </c>
      <c r="K1867" s="264" t="s">
        <v>2025</v>
      </c>
      <c r="L1867" s="1" t="e">
        <f>VLOOKUP(Advices[[#This Row],[LC Number]],'Combine_List'!A:D,2,0)</f>
        <v>#N/A</v>
      </c>
      <c r="M1867" s="447" t="e">
        <f>VLOOKUP(Advices[[#This Row],[LC Number]],'Combine_List'!A:D,3,0)</f>
        <v>#N/A</v>
      </c>
      <c r="N1867" s="447" t="e">
        <f>VLOOKUP(Advices[[#This Row],[LC Number]],'Combine_List'!A:D,4,0)</f>
        <v>#N/A</v>
      </c>
      <c r="O1867" s="1"/>
      <c r="P1867" s="1">
        <f>MONTH(Advices[[#This Row],[Transaction Date]])</f>
        <v>3</v>
      </c>
      <c r="Q1867" s="1">
        <f>YEAR(Advices[[#This Row],[Transaction Date]])</f>
        <v>2026</v>
      </c>
      <c r="R1867" s="1"/>
    </row>
    <row r="1868" spans="1:18" x14ac:dyDescent="0.25">
      <c r="A1868" s="264" t="s">
        <v>21</v>
      </c>
      <c r="B1868" s="265">
        <v>46082</v>
      </c>
      <c r="C1868" s="264" t="s">
        <v>1951</v>
      </c>
      <c r="D1868" s="300" t="s">
        <v>2650</v>
      </c>
      <c r="E1868" s="300" t="s">
        <v>4209</v>
      </c>
      <c r="F1868" s="300" t="s">
        <v>4210</v>
      </c>
      <c r="G1868" s="264" t="s">
        <v>26</v>
      </c>
      <c r="H1868" s="368">
        <v>112.5</v>
      </c>
      <c r="I1868" s="368">
        <v>0</v>
      </c>
      <c r="J1868" s="264" t="s">
        <v>1174</v>
      </c>
      <c r="K1868" s="264" t="s">
        <v>2025</v>
      </c>
      <c r="L1868" s="1" t="e">
        <f>VLOOKUP(Advices[[#This Row],[LC Number]],'Combine_List'!A:D,2,0)</f>
        <v>#N/A</v>
      </c>
      <c r="M1868" s="447" t="e">
        <f>VLOOKUP(Advices[[#This Row],[LC Number]],'Combine_List'!A:D,3,0)</f>
        <v>#N/A</v>
      </c>
      <c r="N1868" s="447" t="e">
        <f>VLOOKUP(Advices[[#This Row],[LC Number]],'Combine_List'!A:D,4,0)</f>
        <v>#N/A</v>
      </c>
      <c r="O1868" s="1"/>
      <c r="P1868" s="1">
        <f>MONTH(Advices[[#This Row],[Transaction Date]])</f>
        <v>3</v>
      </c>
      <c r="Q1868" s="1">
        <f>YEAR(Advices[[#This Row],[Transaction Date]])</f>
        <v>2026</v>
      </c>
      <c r="R1868" s="1"/>
    </row>
    <row r="1869" spans="1:18" x14ac:dyDescent="0.25">
      <c r="A1869" s="264" t="s">
        <v>21</v>
      </c>
      <c r="B1869" s="265">
        <v>46082</v>
      </c>
      <c r="C1869" s="264" t="s">
        <v>1951</v>
      </c>
      <c r="D1869" s="300" t="s">
        <v>4212</v>
      </c>
      <c r="E1869" s="300" t="s">
        <v>4209</v>
      </c>
      <c r="F1869" s="300" t="s">
        <v>4210</v>
      </c>
      <c r="G1869" s="264" t="s">
        <v>26</v>
      </c>
      <c r="H1869" s="368">
        <v>750</v>
      </c>
      <c r="I1869" s="368">
        <v>0</v>
      </c>
      <c r="J1869" s="264"/>
      <c r="K1869" s="264" t="s">
        <v>2025</v>
      </c>
      <c r="L1869" s="1" t="e">
        <f>VLOOKUP(Advices[[#This Row],[LC Number]],'Combine_List'!A:D,2,0)</f>
        <v>#N/A</v>
      </c>
      <c r="M1869" s="447" t="e">
        <f>VLOOKUP(Advices[[#This Row],[LC Number]],'Combine_List'!A:D,3,0)</f>
        <v>#N/A</v>
      </c>
      <c r="N1869" s="447" t="e">
        <f>VLOOKUP(Advices[[#This Row],[LC Number]],'Combine_List'!A:D,4,0)</f>
        <v>#N/A</v>
      </c>
      <c r="O1869" s="1"/>
      <c r="P1869" s="1">
        <f>MONTH(Advices[[#This Row],[Transaction Date]])</f>
        <v>3</v>
      </c>
      <c r="Q1869" s="1">
        <f>YEAR(Advices[[#This Row],[Transaction Date]])</f>
        <v>2026</v>
      </c>
      <c r="R1869" s="1"/>
    </row>
    <row r="1870" spans="1:18" x14ac:dyDescent="0.25">
      <c r="A1870" s="264" t="s">
        <v>21</v>
      </c>
      <c r="B1870" s="265">
        <v>46082</v>
      </c>
      <c r="C1870" s="264" t="s">
        <v>1951</v>
      </c>
      <c r="D1870" s="300" t="s">
        <v>4213</v>
      </c>
      <c r="E1870" s="300" t="s">
        <v>4209</v>
      </c>
      <c r="F1870" s="300" t="s">
        <v>4210</v>
      </c>
      <c r="G1870" s="264" t="s">
        <v>26</v>
      </c>
      <c r="H1870" s="368">
        <v>204357</v>
      </c>
      <c r="I1870" s="368">
        <v>0</v>
      </c>
      <c r="J1870" s="264" t="s">
        <v>1126</v>
      </c>
      <c r="K1870" s="264" t="s">
        <v>2025</v>
      </c>
      <c r="L1870" s="1" t="e">
        <f>VLOOKUP(Advices[[#This Row],[LC Number]],'Combine_List'!A:D,2,0)</f>
        <v>#N/A</v>
      </c>
      <c r="M1870" s="447" t="e">
        <f>VLOOKUP(Advices[[#This Row],[LC Number]],'Combine_List'!A:D,3,0)</f>
        <v>#N/A</v>
      </c>
      <c r="N1870" s="447" t="e">
        <f>VLOOKUP(Advices[[#This Row],[LC Number]],'Combine_List'!A:D,4,0)</f>
        <v>#N/A</v>
      </c>
      <c r="O1870" s="1"/>
      <c r="P1870" s="1">
        <f>MONTH(Advices[[#This Row],[Transaction Date]])</f>
        <v>3</v>
      </c>
      <c r="Q1870" s="1">
        <f>YEAR(Advices[[#This Row],[Transaction Date]])</f>
        <v>2026</v>
      </c>
      <c r="R1870" s="1"/>
    </row>
    <row r="1871" spans="1:18" x14ac:dyDescent="0.25">
      <c r="A1871" s="264" t="s">
        <v>21</v>
      </c>
      <c r="B1871" s="265">
        <v>46083</v>
      </c>
      <c r="C1871" s="264" t="s">
        <v>1951</v>
      </c>
      <c r="D1871" s="300" t="s">
        <v>4214</v>
      </c>
      <c r="E1871" s="300" t="s">
        <v>1887</v>
      </c>
      <c r="F1871" s="300" t="s">
        <v>1887</v>
      </c>
      <c r="G1871" s="264" t="s">
        <v>26</v>
      </c>
      <c r="H1871" s="368">
        <v>37.5</v>
      </c>
      <c r="I1871" s="368">
        <v>0</v>
      </c>
      <c r="J1871" s="264" t="s">
        <v>1174</v>
      </c>
      <c r="K1871" s="264" t="s">
        <v>2025</v>
      </c>
      <c r="L1871" s="1" t="str">
        <f>VLOOKUP(Advices[[#This Row],[LC Number]],'Combine_List'!A:D,2,0)</f>
        <v>Future Pipe Industries LLC</v>
      </c>
      <c r="M1871" s="447" t="str">
        <f>VLOOKUP(Advices[[#This Row],[LC Number]],'Combine_List'!A:D,3,0)</f>
        <v>MBL</v>
      </c>
      <c r="N1871" s="447" t="str">
        <f>VLOOKUP(Advices[[#This Row],[LC Number]],'Combine_List'!A:D,4,0)</f>
        <v>Rabigh Power Plant</v>
      </c>
      <c r="O1871" s="1"/>
      <c r="P1871" s="1">
        <f>MONTH(Advices[[#This Row],[Transaction Date]])</f>
        <v>3</v>
      </c>
      <c r="Q1871" s="1">
        <f>YEAR(Advices[[#This Row],[Transaction Date]])</f>
        <v>2026</v>
      </c>
      <c r="R1871" s="1"/>
    </row>
    <row r="1872" spans="1:18" x14ac:dyDescent="0.25">
      <c r="A1872" s="264" t="s">
        <v>21</v>
      </c>
      <c r="B1872" s="265">
        <v>46083</v>
      </c>
      <c r="C1872" s="264" t="s">
        <v>1951</v>
      </c>
      <c r="D1872" s="300" t="s">
        <v>4215</v>
      </c>
      <c r="E1872" s="300" t="s">
        <v>1887</v>
      </c>
      <c r="F1872" s="300" t="s">
        <v>1887</v>
      </c>
      <c r="G1872" s="264" t="s">
        <v>26</v>
      </c>
      <c r="H1872" s="368">
        <v>250</v>
      </c>
      <c r="I1872" s="368">
        <v>0</v>
      </c>
      <c r="J1872" s="264" t="s">
        <v>1963</v>
      </c>
      <c r="K1872" s="264" t="s">
        <v>2025</v>
      </c>
      <c r="L1872" s="1" t="str">
        <f>VLOOKUP(Advices[[#This Row],[LC Number]],'Combine_List'!A:D,2,0)</f>
        <v>Future Pipe Industries LLC</v>
      </c>
      <c r="M1872" s="447" t="str">
        <f>VLOOKUP(Advices[[#This Row],[LC Number]],'Combine_List'!A:D,3,0)</f>
        <v>MBL</v>
      </c>
      <c r="N1872" s="447" t="str">
        <f>VLOOKUP(Advices[[#This Row],[LC Number]],'Combine_List'!A:D,4,0)</f>
        <v>Rabigh Power Plant</v>
      </c>
      <c r="O1872" s="1"/>
      <c r="P1872" s="1">
        <f>MONTH(Advices[[#This Row],[Transaction Date]])</f>
        <v>3</v>
      </c>
      <c r="Q1872" s="1">
        <f>YEAR(Advices[[#This Row],[Transaction Date]])</f>
        <v>2026</v>
      </c>
      <c r="R1872" s="1"/>
    </row>
    <row r="1873" spans="1:18" x14ac:dyDescent="0.25">
      <c r="A1873" s="264" t="s">
        <v>21</v>
      </c>
      <c r="B1873" s="265">
        <v>46083</v>
      </c>
      <c r="C1873" s="264" t="s">
        <v>1951</v>
      </c>
      <c r="D1873" s="300" t="s">
        <v>4214</v>
      </c>
      <c r="E1873" s="300" t="s">
        <v>1887</v>
      </c>
      <c r="F1873" s="300" t="s">
        <v>1887</v>
      </c>
      <c r="G1873" s="264" t="s">
        <v>26</v>
      </c>
      <c r="H1873" s="368">
        <v>667.18</v>
      </c>
      <c r="I1873" s="368">
        <v>0</v>
      </c>
      <c r="J1873" s="264" t="s">
        <v>1174</v>
      </c>
      <c r="K1873" s="264" t="s">
        <v>2025</v>
      </c>
      <c r="L1873" s="1" t="str">
        <f>VLOOKUP(Advices[[#This Row],[LC Number]],'Combine_List'!A:D,2,0)</f>
        <v>Future Pipe Industries LLC</v>
      </c>
      <c r="M1873" s="447" t="str">
        <f>VLOOKUP(Advices[[#This Row],[LC Number]],'Combine_List'!A:D,3,0)</f>
        <v>MBL</v>
      </c>
      <c r="N1873" s="447" t="str">
        <f>VLOOKUP(Advices[[#This Row],[LC Number]],'Combine_List'!A:D,4,0)</f>
        <v>Rabigh Power Plant</v>
      </c>
      <c r="O1873" s="1"/>
      <c r="P1873" s="1">
        <f>MONTH(Advices[[#This Row],[Transaction Date]])</f>
        <v>3</v>
      </c>
      <c r="Q1873" s="1">
        <f>YEAR(Advices[[#This Row],[Transaction Date]])</f>
        <v>2026</v>
      </c>
      <c r="R1873" s="1"/>
    </row>
    <row r="1874" spans="1:18" x14ac:dyDescent="0.25">
      <c r="A1874" s="264" t="s">
        <v>21</v>
      </c>
      <c r="B1874" s="265">
        <v>46083</v>
      </c>
      <c r="C1874" s="264" t="s">
        <v>1951</v>
      </c>
      <c r="D1874" s="300" t="s">
        <v>4216</v>
      </c>
      <c r="E1874" s="300" t="s">
        <v>1887</v>
      </c>
      <c r="F1874" s="300" t="s">
        <v>1887</v>
      </c>
      <c r="G1874" s="264" t="s">
        <v>26</v>
      </c>
      <c r="H1874" s="368">
        <v>4447.84</v>
      </c>
      <c r="I1874" s="368">
        <v>0</v>
      </c>
      <c r="J1874" s="264" t="s">
        <v>1124</v>
      </c>
      <c r="K1874" s="264" t="s">
        <v>2025</v>
      </c>
      <c r="L1874" s="1" t="str">
        <f>VLOOKUP(Advices[[#This Row],[LC Number]],'Combine_List'!A:D,2,0)</f>
        <v>Future Pipe Industries LLC</v>
      </c>
      <c r="M1874" s="447" t="str">
        <f>VLOOKUP(Advices[[#This Row],[LC Number]],'Combine_List'!A:D,3,0)</f>
        <v>MBL</v>
      </c>
      <c r="N1874" s="447" t="str">
        <f>VLOOKUP(Advices[[#This Row],[LC Number]],'Combine_List'!A:D,4,0)</f>
        <v>Rabigh Power Plant</v>
      </c>
      <c r="O1874" s="1"/>
      <c r="P1874" s="1">
        <f>MONTH(Advices[[#This Row],[Transaction Date]])</f>
        <v>3</v>
      </c>
      <c r="Q1874" s="1">
        <f>YEAR(Advices[[#This Row],[Transaction Date]])</f>
        <v>2026</v>
      </c>
      <c r="R1874" s="1"/>
    </row>
    <row r="1875" spans="1:18" x14ac:dyDescent="0.25">
      <c r="A1875" s="264" t="s">
        <v>21</v>
      </c>
      <c r="B1875" s="265">
        <v>46083</v>
      </c>
      <c r="C1875" s="264" t="s">
        <v>1951</v>
      </c>
      <c r="D1875" s="300" t="s">
        <v>4217</v>
      </c>
      <c r="E1875" s="300" t="s">
        <v>1895</v>
      </c>
      <c r="F1875" s="300" t="s">
        <v>1895</v>
      </c>
      <c r="G1875" s="264" t="s">
        <v>26</v>
      </c>
      <c r="H1875" s="368">
        <v>37.5</v>
      </c>
      <c r="I1875" s="368">
        <v>0</v>
      </c>
      <c r="J1875" s="264" t="s">
        <v>1174</v>
      </c>
      <c r="K1875" s="264" t="s">
        <v>2025</v>
      </c>
      <c r="L1875" s="1" t="str">
        <f>VLOOKUP(Advices[[#This Row],[LC Number]],'Combine_List'!A:D,2,0)</f>
        <v>BRC Industrial (Saudia) Company</v>
      </c>
      <c r="M1875" s="447" t="str">
        <f>VLOOKUP(Advices[[#This Row],[LC Number]],'Combine_List'!A:D,3,0)</f>
        <v>MBL</v>
      </c>
      <c r="N1875" s="447" t="str">
        <f>VLOOKUP(Advices[[#This Row],[LC Number]],'Combine_List'!A:D,4,0)</f>
        <v>Rabigh Power Plant</v>
      </c>
      <c r="O1875" s="1"/>
      <c r="P1875" s="1">
        <f>MONTH(Advices[[#This Row],[Transaction Date]])</f>
        <v>3</v>
      </c>
      <c r="Q1875" s="1">
        <f>YEAR(Advices[[#This Row],[Transaction Date]])</f>
        <v>2026</v>
      </c>
      <c r="R1875" s="1"/>
    </row>
    <row r="1876" spans="1:18" x14ac:dyDescent="0.25">
      <c r="A1876" s="264" t="s">
        <v>21</v>
      </c>
      <c r="B1876" s="265">
        <v>46083</v>
      </c>
      <c r="C1876" s="264" t="s">
        <v>1951</v>
      </c>
      <c r="D1876" s="300" t="s">
        <v>2196</v>
      </c>
      <c r="E1876" s="300" t="s">
        <v>1895</v>
      </c>
      <c r="F1876" s="300" t="s">
        <v>1895</v>
      </c>
      <c r="G1876" s="264" t="s">
        <v>26</v>
      </c>
      <c r="H1876" s="368">
        <v>250</v>
      </c>
      <c r="I1876" s="368">
        <v>0</v>
      </c>
      <c r="J1876" s="264" t="s">
        <v>1963</v>
      </c>
      <c r="K1876" s="264" t="s">
        <v>2025</v>
      </c>
      <c r="L1876" s="1" t="str">
        <f>VLOOKUP(Advices[[#This Row],[LC Number]],'Combine_List'!A:D,2,0)</f>
        <v>BRC Industrial (Saudia) Company</v>
      </c>
      <c r="M1876" s="447" t="str">
        <f>VLOOKUP(Advices[[#This Row],[LC Number]],'Combine_List'!A:D,3,0)</f>
        <v>MBL</v>
      </c>
      <c r="N1876" s="447" t="str">
        <f>VLOOKUP(Advices[[#This Row],[LC Number]],'Combine_List'!A:D,4,0)</f>
        <v>Rabigh Power Plant</v>
      </c>
      <c r="O1876" s="1"/>
      <c r="P1876" s="1">
        <f>MONTH(Advices[[#This Row],[Transaction Date]])</f>
        <v>3</v>
      </c>
      <c r="Q1876" s="1">
        <f>YEAR(Advices[[#This Row],[Transaction Date]])</f>
        <v>2026</v>
      </c>
      <c r="R1876" s="1"/>
    </row>
    <row r="1877" spans="1:18" x14ac:dyDescent="0.25">
      <c r="A1877" s="264" t="s">
        <v>21</v>
      </c>
      <c r="B1877" s="265">
        <v>46083</v>
      </c>
      <c r="C1877" s="264" t="s">
        <v>1951</v>
      </c>
      <c r="D1877" s="300" t="s">
        <v>4217</v>
      </c>
      <c r="E1877" s="300" t="s">
        <v>1895</v>
      </c>
      <c r="F1877" s="300" t="s">
        <v>1895</v>
      </c>
      <c r="G1877" s="264" t="s">
        <v>26</v>
      </c>
      <c r="H1877" s="368">
        <v>777.87</v>
      </c>
      <c r="I1877" s="368">
        <v>0</v>
      </c>
      <c r="J1877" s="264" t="s">
        <v>1174</v>
      </c>
      <c r="K1877" s="264" t="s">
        <v>2025</v>
      </c>
      <c r="L1877" s="1" t="str">
        <f>VLOOKUP(Advices[[#This Row],[LC Number]],'Combine_List'!A:D,2,0)</f>
        <v>BRC Industrial (Saudia) Company</v>
      </c>
      <c r="M1877" s="447" t="str">
        <f>VLOOKUP(Advices[[#This Row],[LC Number]],'Combine_List'!A:D,3,0)</f>
        <v>MBL</v>
      </c>
      <c r="N1877" s="447" t="str">
        <f>VLOOKUP(Advices[[#This Row],[LC Number]],'Combine_List'!A:D,4,0)</f>
        <v>Rabigh Power Plant</v>
      </c>
      <c r="O1877" s="1"/>
      <c r="P1877" s="1">
        <f>MONTH(Advices[[#This Row],[Transaction Date]])</f>
        <v>3</v>
      </c>
      <c r="Q1877" s="1">
        <f>YEAR(Advices[[#This Row],[Transaction Date]])</f>
        <v>2026</v>
      </c>
      <c r="R1877" s="1"/>
    </row>
    <row r="1878" spans="1:18" x14ac:dyDescent="0.25">
      <c r="A1878" s="264" t="s">
        <v>21</v>
      </c>
      <c r="B1878" s="265">
        <v>46083</v>
      </c>
      <c r="C1878" s="264" t="s">
        <v>1951</v>
      </c>
      <c r="D1878" s="300" t="s">
        <v>2197</v>
      </c>
      <c r="E1878" s="300" t="s">
        <v>1895</v>
      </c>
      <c r="F1878" s="300" t="s">
        <v>1895</v>
      </c>
      <c r="G1878" s="264" t="s">
        <v>26</v>
      </c>
      <c r="H1878" s="368">
        <v>5185.78</v>
      </c>
      <c r="I1878" s="368">
        <v>0</v>
      </c>
      <c r="J1878" s="264" t="s">
        <v>1124</v>
      </c>
      <c r="K1878" s="264" t="s">
        <v>2025</v>
      </c>
      <c r="L1878" s="1" t="str">
        <f>VLOOKUP(Advices[[#This Row],[LC Number]],'Combine_List'!A:D,2,0)</f>
        <v>BRC Industrial (Saudia) Company</v>
      </c>
      <c r="M1878" s="447" t="str">
        <f>VLOOKUP(Advices[[#This Row],[LC Number]],'Combine_List'!A:D,3,0)</f>
        <v>MBL</v>
      </c>
      <c r="N1878" s="447" t="str">
        <f>VLOOKUP(Advices[[#This Row],[LC Number]],'Combine_List'!A:D,4,0)</f>
        <v>Rabigh Power Plant</v>
      </c>
      <c r="O1878" s="1"/>
      <c r="P1878" s="1">
        <f>MONTH(Advices[[#This Row],[Transaction Date]])</f>
        <v>3</v>
      </c>
      <c r="Q1878" s="1">
        <f>YEAR(Advices[[#This Row],[Transaction Date]])</f>
        <v>2026</v>
      </c>
      <c r="R1878" s="1"/>
    </row>
    <row r="1879" spans="1:18" x14ac:dyDescent="0.25">
      <c r="A1879" s="264" t="s">
        <v>21</v>
      </c>
      <c r="B1879" s="265">
        <v>46083</v>
      </c>
      <c r="C1879" s="264" t="s">
        <v>1951</v>
      </c>
      <c r="D1879" s="300" t="s">
        <v>2334</v>
      </c>
      <c r="E1879" s="300" t="s">
        <v>3169</v>
      </c>
      <c r="F1879" s="300" t="s">
        <v>4218</v>
      </c>
      <c r="G1879" s="264" t="s">
        <v>26</v>
      </c>
      <c r="H1879" s="368">
        <v>22.5</v>
      </c>
      <c r="I1879" s="368">
        <v>0</v>
      </c>
      <c r="J1879" s="264" t="s">
        <v>1174</v>
      </c>
      <c r="K1879" s="264" t="s">
        <v>2025</v>
      </c>
      <c r="L1879" s="1" t="str">
        <f>VLOOKUP(Advices[[#This Row],[LC Number]],'Combine_List'!A:D,2,0)</f>
        <v>Osalas GMBH</v>
      </c>
      <c r="M1879" s="447" t="str">
        <f>VLOOKUP(Advices[[#This Row],[LC Number]],'Combine_List'!A:D,3,0)</f>
        <v>MBL</v>
      </c>
      <c r="N1879" s="447" t="str">
        <f>VLOOKUP(Advices[[#This Row],[LC Number]],'Combine_List'!A:D,4,0)</f>
        <v>ADF</v>
      </c>
      <c r="O1879" s="1"/>
      <c r="P1879" s="1">
        <f>MONTH(Advices[[#This Row],[Transaction Date]])</f>
        <v>3</v>
      </c>
      <c r="Q1879" s="1">
        <f>YEAR(Advices[[#This Row],[Transaction Date]])</f>
        <v>2026</v>
      </c>
      <c r="R1879" s="1"/>
    </row>
    <row r="1880" spans="1:18" x14ac:dyDescent="0.25">
      <c r="A1880" s="264" t="s">
        <v>21</v>
      </c>
      <c r="B1880" s="265">
        <v>46083</v>
      </c>
      <c r="C1880" s="264" t="s">
        <v>1951</v>
      </c>
      <c r="D1880" s="300" t="s">
        <v>4219</v>
      </c>
      <c r="E1880" s="300" t="s">
        <v>3169</v>
      </c>
      <c r="F1880" s="300" t="s">
        <v>4218</v>
      </c>
      <c r="G1880" s="264" t="s">
        <v>26</v>
      </c>
      <c r="H1880" s="368">
        <v>150</v>
      </c>
      <c r="I1880" s="368">
        <v>0</v>
      </c>
      <c r="J1880" s="264" t="s">
        <v>1963</v>
      </c>
      <c r="K1880" s="264" t="s">
        <v>2025</v>
      </c>
      <c r="L1880" s="1" t="str">
        <f>VLOOKUP(Advices[[#This Row],[LC Number]],'Combine_List'!A:D,2,0)</f>
        <v>Osalas GMBH</v>
      </c>
      <c r="M1880" s="447" t="str">
        <f>VLOOKUP(Advices[[#This Row],[LC Number]],'Combine_List'!A:D,3,0)</f>
        <v>MBL</v>
      </c>
      <c r="N1880" s="447" t="str">
        <f>VLOOKUP(Advices[[#This Row],[LC Number]],'Combine_List'!A:D,4,0)</f>
        <v>ADF</v>
      </c>
      <c r="O1880" s="1"/>
      <c r="P1880" s="1">
        <f>MONTH(Advices[[#This Row],[Transaction Date]])</f>
        <v>3</v>
      </c>
      <c r="Q1880" s="1">
        <f>YEAR(Advices[[#This Row],[Transaction Date]])</f>
        <v>2026</v>
      </c>
      <c r="R1880" s="1"/>
    </row>
    <row r="1881" spans="1:18" x14ac:dyDescent="0.25">
      <c r="A1881" s="264" t="s">
        <v>21</v>
      </c>
      <c r="B1881" s="265">
        <v>46083</v>
      </c>
      <c r="C1881" s="264" t="s">
        <v>1951</v>
      </c>
      <c r="D1881" s="300" t="s">
        <v>4220</v>
      </c>
      <c r="E1881" s="300" t="s">
        <v>3169</v>
      </c>
      <c r="F1881" s="300" t="s">
        <v>4218</v>
      </c>
      <c r="G1881" s="264" t="s">
        <v>26</v>
      </c>
      <c r="H1881" s="368">
        <v>3778014.5</v>
      </c>
      <c r="I1881" s="368">
        <v>0</v>
      </c>
      <c r="J1881" s="264" t="s">
        <v>1126</v>
      </c>
      <c r="K1881" s="264" t="s">
        <v>2025</v>
      </c>
      <c r="L1881" s="1" t="str">
        <f>VLOOKUP(Advices[[#This Row],[LC Number]],'Combine_List'!A:D,2,0)</f>
        <v>Osalas GMBH</v>
      </c>
      <c r="M1881" s="447" t="str">
        <f>VLOOKUP(Advices[[#This Row],[LC Number]],'Combine_List'!A:D,3,0)</f>
        <v>MBL</v>
      </c>
      <c r="N1881" s="447" t="str">
        <f>VLOOKUP(Advices[[#This Row],[LC Number]],'Combine_List'!A:D,4,0)</f>
        <v>ADF</v>
      </c>
      <c r="O1881" s="264"/>
      <c r="P1881" s="264">
        <f>MONTH(Advices[[#This Row],[Transaction Date]])</f>
        <v>3</v>
      </c>
      <c r="Q1881" s="264">
        <f>YEAR(Advices[[#This Row],[Transaction Date]])</f>
        <v>2026</v>
      </c>
      <c r="R1881" s="1"/>
    </row>
    <row r="1882" spans="1:18" hidden="1" x14ac:dyDescent="0.25">
      <c r="A1882" s="264" t="s">
        <v>62</v>
      </c>
      <c r="B1882" s="265">
        <v>46082</v>
      </c>
      <c r="C1882" s="264" t="s">
        <v>2039</v>
      </c>
      <c r="D1882" s="300" t="s">
        <v>4221</v>
      </c>
      <c r="E1882" s="300" t="s">
        <v>1147</v>
      </c>
      <c r="F1882" s="300" t="s">
        <v>2041</v>
      </c>
      <c r="G1882" s="264" t="s">
        <v>26</v>
      </c>
      <c r="H1882" s="368">
        <v>690</v>
      </c>
      <c r="I1882" s="368">
        <v>0</v>
      </c>
      <c r="J1882" s="264" t="s">
        <v>2830</v>
      </c>
      <c r="K1882" s="264" t="s">
        <v>2025</v>
      </c>
      <c r="L1882" s="1" t="str">
        <f>VLOOKUP(Advices[[#This Row],[LC Number]],'Combine_List'!A:D,2,0)</f>
        <v>Financial - CATRION CATERING HOLDING COMPANY</v>
      </c>
      <c r="M1882" s="447">
        <f>VLOOKUP(Advices[[#This Row],[LC Number]],'Combine_List'!A:D,3,0)</f>
        <v>0</v>
      </c>
      <c r="N1882" s="447" t="str">
        <f>VLOOKUP(Advices[[#This Row],[LC Number]],'Combine_List'!A:D,4,0)</f>
        <v>Red C</v>
      </c>
      <c r="O1882" s="264"/>
      <c r="P1882" s="264">
        <f>MONTH(Advices[[#This Row],[Transaction Date]])</f>
        <v>3</v>
      </c>
      <c r="Q1882" s="264">
        <f>YEAR(Advices[[#This Row],[Transaction Date]])</f>
        <v>2026</v>
      </c>
      <c r="R1882" s="1"/>
    </row>
    <row r="1883" spans="1:18" hidden="1" x14ac:dyDescent="0.25">
      <c r="A1883" s="264" t="s">
        <v>95</v>
      </c>
      <c r="B1883" s="265">
        <v>46082</v>
      </c>
      <c r="C1883" s="264" t="s">
        <v>2026</v>
      </c>
      <c r="D1883" s="300" t="s">
        <v>4222</v>
      </c>
      <c r="E1883" s="300" t="s">
        <v>4205</v>
      </c>
      <c r="F1883" s="300" t="s">
        <v>4223</v>
      </c>
      <c r="G1883" s="264" t="s">
        <v>26</v>
      </c>
      <c r="H1883" s="368">
        <v>6612.86</v>
      </c>
      <c r="I1883" s="368">
        <v>0</v>
      </c>
      <c r="J1883" s="264" t="s">
        <v>2616</v>
      </c>
      <c r="K1883" s="264" t="s">
        <v>2025</v>
      </c>
      <c r="L1883" s="1" t="str">
        <f>VLOOKUP(Advices[[#This Row],[LC Number]],'Combine_List'!A:D,2,0)</f>
        <v>High Al Shuhra Contracting Company</v>
      </c>
      <c r="M1883" s="447" t="str">
        <f>VLOOKUP(Advices[[#This Row],[LC Number]],'Combine_List'!A:D,3,0)</f>
        <v>MBL</v>
      </c>
      <c r="N1883" s="447" t="str">
        <f>VLOOKUP(Advices[[#This Row],[LC Number]],'Combine_List'!A:D,4,0)</f>
        <v>Rabigh Power Plant</v>
      </c>
      <c r="O1883" s="1"/>
      <c r="P1883" s="1">
        <f>MONTH(Advices[[#This Row],[Transaction Date]])</f>
        <v>3</v>
      </c>
      <c r="Q1883" s="1">
        <f>YEAR(Advices[[#This Row],[Transaction Date]])</f>
        <v>2026</v>
      </c>
      <c r="R1883" s="1"/>
    </row>
    <row r="1884" spans="1:18" hidden="1" x14ac:dyDescent="0.25">
      <c r="A1884" s="264" t="s">
        <v>95</v>
      </c>
      <c r="B1884" s="265">
        <v>46082</v>
      </c>
      <c r="C1884" s="264" t="s">
        <v>2026</v>
      </c>
      <c r="D1884" s="300" t="s">
        <v>4224</v>
      </c>
      <c r="E1884" s="300" t="s">
        <v>4197</v>
      </c>
      <c r="F1884" s="300" t="s">
        <v>4225</v>
      </c>
      <c r="G1884" s="264" t="s">
        <v>26</v>
      </c>
      <c r="H1884" s="368">
        <v>1418.33</v>
      </c>
      <c r="I1884" s="368">
        <v>0</v>
      </c>
      <c r="J1884" s="264" t="s">
        <v>2616</v>
      </c>
      <c r="K1884" s="264" t="s">
        <v>2025</v>
      </c>
      <c r="L1884" s="1" t="str">
        <f>VLOOKUP(Advices[[#This Row],[LC Number]],'Combine_List'!A:D,2,0)</f>
        <v>Koon Trading Company</v>
      </c>
      <c r="M1884" s="447" t="str">
        <f>VLOOKUP(Advices[[#This Row],[LC Number]],'Combine_List'!A:D,3,0)</f>
        <v>MBL/ICAD</v>
      </c>
      <c r="N1884" s="447" t="str">
        <f>VLOOKUP(Advices[[#This Row],[LC Number]],'Combine_List'!A:D,4,0)</f>
        <v>OPERA House</v>
      </c>
      <c r="O1884" s="264"/>
      <c r="P1884" s="264">
        <f>MONTH(Advices[[#This Row],[Transaction Date]])</f>
        <v>3</v>
      </c>
      <c r="Q1884" s="264">
        <f>YEAR(Advices[[#This Row],[Transaction Date]])</f>
        <v>2026</v>
      </c>
      <c r="R1884" s="1"/>
    </row>
    <row r="1885" spans="1:18" hidden="1" x14ac:dyDescent="0.25">
      <c r="A1885" s="264" t="s">
        <v>366</v>
      </c>
      <c r="B1885" s="265">
        <v>46082</v>
      </c>
      <c r="C1885" s="264" t="s">
        <v>2060</v>
      </c>
      <c r="D1885" s="300" t="s">
        <v>4226</v>
      </c>
      <c r="E1885" s="300" t="s">
        <v>2237</v>
      </c>
      <c r="F1885" s="300" t="s">
        <v>3471</v>
      </c>
      <c r="G1885" s="264" t="s">
        <v>26</v>
      </c>
      <c r="H1885" s="368">
        <v>336122.53</v>
      </c>
      <c r="I1885" s="368">
        <v>0</v>
      </c>
      <c r="J1885" s="264" t="s">
        <v>1126</v>
      </c>
      <c r="K1885" s="264" t="s">
        <v>2025</v>
      </c>
      <c r="L1885" s="1" t="str">
        <f>VLOOKUP(Advices[[#This Row],[LC Number]],'Combine_List'!A:D,2,0)</f>
        <v>TAWREED INTEGRATED INDUSTRIES</v>
      </c>
      <c r="M1885" s="447" t="str">
        <f>VLOOKUP(Advices[[#This Row],[LC Number]],'Combine_List'!A:D,3,0)</f>
        <v>FIRST FIX</v>
      </c>
      <c r="N1885" s="447" t="str">
        <f>VLOOKUP(Advices[[#This Row],[LC Number]],'Combine_List'!A:D,4,0)</f>
        <v>MP1</v>
      </c>
      <c r="O1885" s="1"/>
      <c r="P1885" s="1">
        <f>MONTH(Advices[[#This Row],[Transaction Date]])</f>
        <v>3</v>
      </c>
      <c r="Q1885" s="1">
        <f>YEAR(Advices[[#This Row],[Transaction Date]])</f>
        <v>2026</v>
      </c>
      <c r="R1885" s="1"/>
    </row>
    <row r="1886" spans="1:18" hidden="1" x14ac:dyDescent="0.25">
      <c r="A1886" s="264" t="s">
        <v>366</v>
      </c>
      <c r="B1886" s="265">
        <v>46083</v>
      </c>
      <c r="C1886" s="264" t="s">
        <v>2057</v>
      </c>
      <c r="D1886" s="300" t="s">
        <v>4227</v>
      </c>
      <c r="E1886" s="300" t="s">
        <v>1672</v>
      </c>
      <c r="F1886" s="300" t="s">
        <v>4228</v>
      </c>
      <c r="G1886" s="264" t="s">
        <v>26</v>
      </c>
      <c r="H1886" s="368">
        <v>575</v>
      </c>
      <c r="I1886" s="368">
        <v>0</v>
      </c>
      <c r="J1886" s="264" t="s">
        <v>1125</v>
      </c>
      <c r="K1886" s="264" t="s">
        <v>2025</v>
      </c>
      <c r="L1886" s="1" t="str">
        <f>VLOOKUP(Advices[[#This Row],[LC Number]],'Combine_List'!A:D,2,0)</f>
        <v>Systemair for Electrical Equipment Co.</v>
      </c>
      <c r="M1886" s="447" t="str">
        <f>VLOOKUP(Advices[[#This Row],[LC Number]],'Combine_List'!A:D,3,0)</f>
        <v>FIRST FIX</v>
      </c>
      <c r="N1886" s="447" t="str">
        <f>VLOOKUP(Advices[[#This Row],[LC Number]],'Combine_List'!A:D,4,0)</f>
        <v>CEER</v>
      </c>
      <c r="O1886" s="264"/>
      <c r="P1886" s="264">
        <f>MONTH(Advices[[#This Row],[Transaction Date]])</f>
        <v>3</v>
      </c>
      <c r="Q1886" s="264">
        <f>YEAR(Advices[[#This Row],[Transaction Date]])</f>
        <v>2026</v>
      </c>
      <c r="R1886" s="1"/>
    </row>
    <row r="1887" spans="1:18" hidden="1" x14ac:dyDescent="0.25">
      <c r="A1887" s="264" t="s">
        <v>62</v>
      </c>
      <c r="B1887" s="265">
        <v>46084</v>
      </c>
      <c r="C1887" s="264" t="s">
        <v>2039</v>
      </c>
      <c r="D1887" s="300" t="s">
        <v>4232</v>
      </c>
      <c r="E1887" s="300" t="s">
        <v>3617</v>
      </c>
      <c r="F1887" s="300" t="s">
        <v>2041</v>
      </c>
      <c r="G1887" s="264" t="s">
        <v>26</v>
      </c>
      <c r="H1887" s="368">
        <v>4312.5</v>
      </c>
      <c r="I1887" s="368">
        <v>0</v>
      </c>
      <c r="J1887" s="264" t="s">
        <v>2830</v>
      </c>
      <c r="K1887" s="264" t="s">
        <v>2025</v>
      </c>
      <c r="L1887" s="1" t="str">
        <f>VLOOKUP(Advices[[#This Row],[LC Number]],'Combine_List'!A:D,2,0)</f>
        <v>Performance - CROWN PRINCE PRIVATE AFFAIRS (CPPA)</v>
      </c>
      <c r="M1887" s="447" t="str">
        <f>VLOOKUP(Advices[[#This Row],[LC Number]],'Combine_List'!A:D,3,0)</f>
        <v>IFAS</v>
      </c>
      <c r="N1887" s="447" t="str">
        <f>VLOOKUP(Advices[[#This Row],[LC Number]],'Combine_List'!A:D,4,0)</f>
        <v>L01</v>
      </c>
      <c r="O1887" s="1"/>
      <c r="P1887" s="1">
        <f>MONTH(Advices[[#This Row],[Transaction Date]])</f>
        <v>3</v>
      </c>
      <c r="Q1887" s="1">
        <f>YEAR(Advices[[#This Row],[Transaction Date]])</f>
        <v>2026</v>
      </c>
      <c r="R1887" s="1"/>
    </row>
    <row r="1888" spans="1:18" hidden="1" x14ac:dyDescent="0.25">
      <c r="A1888" s="264" t="s">
        <v>62</v>
      </c>
      <c r="B1888" s="265">
        <v>46084</v>
      </c>
      <c r="C1888" s="264" t="s">
        <v>2039</v>
      </c>
      <c r="D1888" s="300" t="s">
        <v>4233</v>
      </c>
      <c r="E1888" s="300" t="s">
        <v>4229</v>
      </c>
      <c r="F1888" s="300" t="s">
        <v>2041</v>
      </c>
      <c r="G1888" s="264" t="s">
        <v>26</v>
      </c>
      <c r="H1888" s="368">
        <v>322391</v>
      </c>
      <c r="I1888" s="368">
        <v>0</v>
      </c>
      <c r="J1888" s="264" t="s">
        <v>2830</v>
      </c>
      <c r="K1888" s="264" t="s">
        <v>2025</v>
      </c>
      <c r="L1888" s="1" t="str">
        <f>VLOOKUP(Advices[[#This Row],[LC Number]],'Combine_List'!A:D,2,0)</f>
        <v>Advance - THE JOINT VENTURE OF THE BRANCH OF EL SEWEDY ELECTRIC FOR POWER SYSTEMS (PSP) AND THE BRANCH OF SINOHYDRO CORPORATION LIMITED (SHC)</v>
      </c>
      <c r="M1888" s="447" t="str">
        <f>VLOOKUP(Advices[[#This Row],[LC Number]],'Combine_List'!A:D,3,0)</f>
        <v>MBL</v>
      </c>
      <c r="N1888" s="447" t="str">
        <f>VLOOKUP(Advices[[#This Row],[LC Number]],'Combine_List'!A:D,4,0)</f>
        <v>RRPP-2</v>
      </c>
      <c r="O1888" s="1"/>
      <c r="P1888" s="1">
        <f>MONTH(Advices[[#This Row],[Transaction Date]])</f>
        <v>3</v>
      </c>
      <c r="Q1888" s="1">
        <f>YEAR(Advices[[#This Row],[Transaction Date]])</f>
        <v>2026</v>
      </c>
      <c r="R1888" s="1"/>
    </row>
    <row r="1889" spans="1:18" hidden="1" x14ac:dyDescent="0.25">
      <c r="A1889" s="264" t="s">
        <v>62</v>
      </c>
      <c r="B1889" s="265">
        <v>46084</v>
      </c>
      <c r="C1889" s="264" t="s">
        <v>2716</v>
      </c>
      <c r="D1889" s="300" t="s">
        <v>4234</v>
      </c>
      <c r="E1889" s="300" t="s">
        <v>1828</v>
      </c>
      <c r="F1889" s="300" t="s">
        <v>2041</v>
      </c>
      <c r="G1889" s="264" t="s">
        <v>26</v>
      </c>
      <c r="H1889" s="368">
        <v>756151.45</v>
      </c>
      <c r="I1889" s="368">
        <v>0</v>
      </c>
      <c r="J1889" s="264" t="s">
        <v>2830</v>
      </c>
      <c r="K1889" s="264" t="s">
        <v>2025</v>
      </c>
      <c r="L1889" s="1" t="str">
        <f>VLOOKUP(Advices[[#This Row],[LC Number]],'Combine_List'!A:D,2,0)</f>
        <v>Advance - SAUDI ENTERTAINMENT VENTURES COMPANY (SEVEN)</v>
      </c>
      <c r="M1889" s="447">
        <f>VLOOKUP(Advices[[#This Row],[LC Number]],'Combine_List'!A:D,3,0)</f>
        <v>0</v>
      </c>
      <c r="N1889" s="447" t="str">
        <f>VLOOKUP(Advices[[#This Row],[LC Number]],'Combine_List'!A:D,4,0)</f>
        <v>ABHA</v>
      </c>
      <c r="O1889" s="264"/>
      <c r="P1889" s="264">
        <f>MONTH(Advices[[#This Row],[Transaction Date]])</f>
        <v>3</v>
      </c>
      <c r="Q1889" s="264">
        <f>YEAR(Advices[[#This Row],[Transaction Date]])</f>
        <v>2026</v>
      </c>
      <c r="R1889" s="1"/>
    </row>
    <row r="1890" spans="1:18" hidden="1" x14ac:dyDescent="0.25">
      <c r="A1890" s="264" t="s">
        <v>366</v>
      </c>
      <c r="B1890" s="265">
        <v>46084</v>
      </c>
      <c r="C1890" s="264" t="s">
        <v>2060</v>
      </c>
      <c r="D1890" s="300" t="s">
        <v>4235</v>
      </c>
      <c r="E1890" s="300" t="s">
        <v>1431</v>
      </c>
      <c r="F1890" s="300" t="s">
        <v>1431</v>
      </c>
      <c r="G1890" s="264" t="s">
        <v>26</v>
      </c>
      <c r="H1890" s="368">
        <v>1265</v>
      </c>
      <c r="I1890" s="368">
        <v>0</v>
      </c>
      <c r="J1890" s="264" t="s">
        <v>1125</v>
      </c>
      <c r="K1890" s="264" t="s">
        <v>2025</v>
      </c>
      <c r="L1890" s="1" t="str">
        <f>VLOOKUP(Advices[[#This Row],[LC Number]],'Combine_List'!A:D,2,0)</f>
        <v>Mimar for Construction Tools &amp; Tradina Ltd.</v>
      </c>
      <c r="M1890" s="447" t="str">
        <f>VLOOKUP(Advices[[#This Row],[LC Number]],'Combine_List'!A:D,3,0)</f>
        <v>FIRST FIX</v>
      </c>
      <c r="N1890" s="447" t="str">
        <f>VLOOKUP(Advices[[#This Row],[LC Number]],'Combine_List'!A:D,4,0)</f>
        <v>MP1</v>
      </c>
      <c r="O1890" s="1"/>
      <c r="P1890" s="1">
        <f>MONTH(Advices[[#This Row],[Transaction Date]])</f>
        <v>3</v>
      </c>
      <c r="Q1890" s="1">
        <f>YEAR(Advices[[#This Row],[Transaction Date]])</f>
        <v>2026</v>
      </c>
      <c r="R1890" s="1"/>
    </row>
    <row r="1891" spans="1:18" hidden="1" x14ac:dyDescent="0.25">
      <c r="A1891" s="264" t="s">
        <v>366</v>
      </c>
      <c r="B1891" s="265">
        <v>46084</v>
      </c>
      <c r="C1891" s="264" t="s">
        <v>2060</v>
      </c>
      <c r="D1891" s="300" t="s">
        <v>4236</v>
      </c>
      <c r="E1891" s="300" t="s">
        <v>1912</v>
      </c>
      <c r="F1891" s="300" t="s">
        <v>3453</v>
      </c>
      <c r="G1891" s="264" t="s">
        <v>26</v>
      </c>
      <c r="H1891" s="368">
        <v>600000</v>
      </c>
      <c r="I1891" s="368">
        <v>0</v>
      </c>
      <c r="J1891" s="264" t="s">
        <v>1126</v>
      </c>
      <c r="K1891" s="264" t="s">
        <v>2025</v>
      </c>
      <c r="L1891" s="1" t="str">
        <f>VLOOKUP(Advices[[#This Row],[LC Number]],'Combine_List'!A:D,2,0)</f>
        <v>Electric House Trading Company L.L.C.</v>
      </c>
      <c r="M1891" s="447" t="str">
        <f>VLOOKUP(Advices[[#This Row],[LC Number]],'Combine_List'!A:D,3,0)</f>
        <v>FIRST FIX</v>
      </c>
      <c r="N1891" s="447" t="str">
        <f>VLOOKUP(Advices[[#This Row],[LC Number]],'Combine_List'!A:D,4,0)</f>
        <v>MP1</v>
      </c>
      <c r="O1891" s="1"/>
      <c r="P1891" s="1">
        <f>MONTH(Advices[[#This Row],[Transaction Date]])</f>
        <v>3</v>
      </c>
      <c r="Q1891" s="1">
        <f>YEAR(Advices[[#This Row],[Transaction Date]])</f>
        <v>2026</v>
      </c>
      <c r="R1891" s="1"/>
    </row>
    <row r="1892" spans="1:18" hidden="1" x14ac:dyDescent="0.25">
      <c r="A1892" s="264" t="s">
        <v>366</v>
      </c>
      <c r="B1892" s="265">
        <v>46084</v>
      </c>
      <c r="C1892" s="264" t="s">
        <v>2060</v>
      </c>
      <c r="D1892" s="300" t="s">
        <v>4237</v>
      </c>
      <c r="E1892" s="300" t="s">
        <v>4115</v>
      </c>
      <c r="F1892" s="300" t="s">
        <v>4115</v>
      </c>
      <c r="G1892" s="264" t="s">
        <v>26</v>
      </c>
      <c r="H1892" s="368">
        <v>9630.4699999999993</v>
      </c>
      <c r="I1892" s="368">
        <v>0</v>
      </c>
      <c r="J1892" s="264" t="s">
        <v>1125</v>
      </c>
      <c r="K1892" s="264" t="s">
        <v>2025</v>
      </c>
      <c r="L1892" s="1" t="str">
        <f>VLOOKUP(Advices[[#This Row],[LC Number]],'Combine_List'!A:D,2,0)</f>
        <v>Performance - NEOM COMPANY</v>
      </c>
      <c r="M1892" s="447" t="str">
        <f>VLOOKUP(Advices[[#This Row],[LC Number]],'Combine_List'!A:D,3,0)</f>
        <v>MBL/ICAD</v>
      </c>
      <c r="N1892" s="447">
        <f>VLOOKUP(Advices[[#This Row],[LC Number]],'Combine_List'!A:D,4,0)</f>
        <v>0</v>
      </c>
      <c r="O1892" s="264"/>
      <c r="P1892" s="264">
        <f>MONTH(Advices[[#This Row],[Transaction Date]])</f>
        <v>3</v>
      </c>
      <c r="Q1892" s="264">
        <f>YEAR(Advices[[#This Row],[Transaction Date]])</f>
        <v>2026</v>
      </c>
      <c r="R1892" s="1"/>
    </row>
    <row r="1893" spans="1:18" x14ac:dyDescent="0.25">
      <c r="A1893" s="264" t="s">
        <v>21</v>
      </c>
      <c r="B1893" s="265">
        <v>46085</v>
      </c>
      <c r="C1893" s="264" t="s">
        <v>1951</v>
      </c>
      <c r="D1893" s="300" t="s">
        <v>1960</v>
      </c>
      <c r="E1893" s="300" t="s">
        <v>2917</v>
      </c>
      <c r="F1893" s="300" t="s">
        <v>3306</v>
      </c>
      <c r="G1893" s="264" t="s">
        <v>26</v>
      </c>
      <c r="H1893" s="368">
        <v>11.25</v>
      </c>
      <c r="I1893" s="368">
        <v>0</v>
      </c>
      <c r="J1893" s="264" t="s">
        <v>1174</v>
      </c>
      <c r="K1893" s="264" t="s">
        <v>2025</v>
      </c>
      <c r="L1893" s="1" t="str">
        <f>VLOOKUP(Advices[[#This Row],[LC Number]],'Combine_List'!A:D,2,0)</f>
        <v>Depth Modern Technologies Co.</v>
      </c>
      <c r="M1893" s="447" t="str">
        <f>VLOOKUP(Advices[[#This Row],[LC Number]],'Combine_List'!A:D,3,0)</f>
        <v>FIRST FIX</v>
      </c>
      <c r="N1893" s="447" t="str">
        <f>VLOOKUP(Advices[[#This Row],[LC Number]],'Combine_List'!A:D,4,0)</f>
        <v>KSP</v>
      </c>
      <c r="O1893" s="1"/>
      <c r="P1893" s="1">
        <f>MONTH(Advices[[#This Row],[Transaction Date]])</f>
        <v>3</v>
      </c>
      <c r="Q1893" s="1">
        <f>YEAR(Advices[[#This Row],[Transaction Date]])</f>
        <v>2026</v>
      </c>
      <c r="R1893" s="1"/>
    </row>
    <row r="1894" spans="1:18" x14ac:dyDescent="0.25">
      <c r="A1894" s="264" t="s">
        <v>21</v>
      </c>
      <c r="B1894" s="265">
        <v>46085</v>
      </c>
      <c r="C1894" s="264" t="s">
        <v>1951</v>
      </c>
      <c r="D1894" s="300" t="s">
        <v>4240</v>
      </c>
      <c r="E1894" s="300" t="s">
        <v>2917</v>
      </c>
      <c r="F1894" s="300" t="s">
        <v>3306</v>
      </c>
      <c r="G1894" s="264" t="s">
        <v>26</v>
      </c>
      <c r="H1894" s="368">
        <v>75</v>
      </c>
      <c r="I1894" s="368">
        <v>0</v>
      </c>
      <c r="J1894" s="264" t="s">
        <v>1963</v>
      </c>
      <c r="K1894" s="264" t="s">
        <v>2025</v>
      </c>
      <c r="L1894" s="1" t="str">
        <f>VLOOKUP(Advices[[#This Row],[LC Number]],'Combine_List'!A:D,2,0)</f>
        <v>Depth Modern Technologies Co.</v>
      </c>
      <c r="M1894" s="447" t="str">
        <f>VLOOKUP(Advices[[#This Row],[LC Number]],'Combine_List'!A:D,3,0)</f>
        <v>FIRST FIX</v>
      </c>
      <c r="N1894" s="447" t="str">
        <f>VLOOKUP(Advices[[#This Row],[LC Number]],'Combine_List'!A:D,4,0)</f>
        <v>KSP</v>
      </c>
      <c r="O1894" s="1"/>
      <c r="P1894" s="1">
        <f>MONTH(Advices[[#This Row],[Transaction Date]])</f>
        <v>3</v>
      </c>
      <c r="Q1894" s="1">
        <f>YEAR(Advices[[#This Row],[Transaction Date]])</f>
        <v>2026</v>
      </c>
      <c r="R1894" s="1"/>
    </row>
    <row r="1895" spans="1:18" x14ac:dyDescent="0.25">
      <c r="A1895" s="264" t="s">
        <v>21</v>
      </c>
      <c r="B1895" s="265">
        <v>46085</v>
      </c>
      <c r="C1895" s="264" t="s">
        <v>1951</v>
      </c>
      <c r="D1895" s="300" t="s">
        <v>4241</v>
      </c>
      <c r="E1895" s="300" t="s">
        <v>2917</v>
      </c>
      <c r="F1895" s="300" t="s">
        <v>3306</v>
      </c>
      <c r="G1895" s="264" t="s">
        <v>26</v>
      </c>
      <c r="H1895" s="368">
        <v>4000000</v>
      </c>
      <c r="I1895" s="368">
        <v>0</v>
      </c>
      <c r="J1895" s="264" t="s">
        <v>1126</v>
      </c>
      <c r="K1895" s="264" t="s">
        <v>2025</v>
      </c>
      <c r="L1895" s="1" t="str">
        <f>VLOOKUP(Advices[[#This Row],[LC Number]],'Combine_List'!A:D,2,0)</f>
        <v>Depth Modern Technologies Co.</v>
      </c>
      <c r="M1895" s="447" t="str">
        <f>VLOOKUP(Advices[[#This Row],[LC Number]],'Combine_List'!A:D,3,0)</f>
        <v>FIRST FIX</v>
      </c>
      <c r="N1895" s="447" t="str">
        <f>VLOOKUP(Advices[[#This Row],[LC Number]],'Combine_List'!A:D,4,0)</f>
        <v>KSP</v>
      </c>
      <c r="O1895" s="1"/>
      <c r="P1895" s="1">
        <f>MONTH(Advices[[#This Row],[Transaction Date]])</f>
        <v>3</v>
      </c>
      <c r="Q1895" s="1">
        <f>YEAR(Advices[[#This Row],[Transaction Date]])</f>
        <v>2026</v>
      </c>
      <c r="R1895" s="1"/>
    </row>
    <row r="1896" spans="1:18" x14ac:dyDescent="0.25">
      <c r="A1896" s="264" t="s">
        <v>21</v>
      </c>
      <c r="B1896" s="265">
        <v>46085</v>
      </c>
      <c r="C1896" s="264" t="s">
        <v>1951</v>
      </c>
      <c r="D1896" s="300" t="s">
        <v>4242</v>
      </c>
      <c r="E1896" s="300" t="s">
        <v>4239</v>
      </c>
      <c r="F1896" s="300" t="s">
        <v>4239</v>
      </c>
      <c r="G1896" s="264" t="s">
        <v>26</v>
      </c>
      <c r="H1896" s="368">
        <v>105</v>
      </c>
      <c r="I1896" s="368">
        <v>0</v>
      </c>
      <c r="J1896" s="264" t="s">
        <v>1174</v>
      </c>
      <c r="K1896" s="264" t="s">
        <v>2025</v>
      </c>
      <c r="L1896" s="1" t="str">
        <f>VLOOKUP(Advices[[#This Row],[LC Number]],'Combine_List'!A:D,2,0)</f>
        <v>Awtad Jeddah for General Contracting Company</v>
      </c>
      <c r="M1896" s="447" t="str">
        <f>VLOOKUP(Advices[[#This Row],[LC Number]],'Combine_List'!A:D,3,0)</f>
        <v>MBL</v>
      </c>
      <c r="N1896" s="447" t="str">
        <f>VLOOKUP(Advices[[#This Row],[LC Number]],'Combine_List'!A:D,4,0)</f>
        <v>Rabigh Power Plant</v>
      </c>
      <c r="O1896" s="1"/>
      <c r="P1896" s="1">
        <f>MONTH(Advices[[#This Row],[Transaction Date]])</f>
        <v>3</v>
      </c>
      <c r="Q1896" s="1">
        <f>YEAR(Advices[[#This Row],[Transaction Date]])</f>
        <v>2026</v>
      </c>
      <c r="R1896" s="1"/>
    </row>
    <row r="1897" spans="1:18" x14ac:dyDescent="0.25">
      <c r="A1897" s="264" t="s">
        <v>21</v>
      </c>
      <c r="B1897" s="265">
        <v>46085</v>
      </c>
      <c r="C1897" s="264" t="s">
        <v>1951</v>
      </c>
      <c r="D1897" s="300" t="s">
        <v>4242</v>
      </c>
      <c r="E1897" s="300" t="s">
        <v>4239</v>
      </c>
      <c r="F1897" s="300" t="s">
        <v>4239</v>
      </c>
      <c r="G1897" s="264" t="s">
        <v>26</v>
      </c>
      <c r="H1897" s="368">
        <v>543</v>
      </c>
      <c r="I1897" s="368">
        <v>0</v>
      </c>
      <c r="J1897" s="264" t="s">
        <v>1174</v>
      </c>
      <c r="K1897" s="264" t="s">
        <v>2025</v>
      </c>
      <c r="L1897" s="1" t="str">
        <f>VLOOKUP(Advices[[#This Row],[LC Number]],'Combine_List'!A:D,2,0)</f>
        <v>Awtad Jeddah for General Contracting Company</v>
      </c>
      <c r="M1897" s="447" t="str">
        <f>VLOOKUP(Advices[[#This Row],[LC Number]],'Combine_List'!A:D,3,0)</f>
        <v>MBL</v>
      </c>
      <c r="N1897" s="447" t="str">
        <f>VLOOKUP(Advices[[#This Row],[LC Number]],'Combine_List'!A:D,4,0)</f>
        <v>Rabigh Power Plant</v>
      </c>
      <c r="O1897" s="1"/>
      <c r="P1897" s="1">
        <f>MONTH(Advices[[#This Row],[Transaction Date]])</f>
        <v>3</v>
      </c>
      <c r="Q1897" s="1">
        <f>YEAR(Advices[[#This Row],[Transaction Date]])</f>
        <v>2026</v>
      </c>
      <c r="R1897" s="1"/>
    </row>
    <row r="1898" spans="1:18" x14ac:dyDescent="0.25">
      <c r="A1898" s="264" t="s">
        <v>21</v>
      </c>
      <c r="B1898" s="265">
        <v>46085</v>
      </c>
      <c r="C1898" s="264" t="s">
        <v>1951</v>
      </c>
      <c r="D1898" s="300" t="s">
        <v>4243</v>
      </c>
      <c r="E1898" s="300" t="s">
        <v>4239</v>
      </c>
      <c r="F1898" s="300" t="s">
        <v>4239</v>
      </c>
      <c r="G1898" s="264" t="s">
        <v>26</v>
      </c>
      <c r="H1898" s="368">
        <v>700</v>
      </c>
      <c r="I1898" s="368">
        <v>0</v>
      </c>
      <c r="J1898" s="264" t="s">
        <v>1963</v>
      </c>
      <c r="K1898" s="264" t="s">
        <v>2025</v>
      </c>
      <c r="L1898" s="1" t="str">
        <f>VLOOKUP(Advices[[#This Row],[LC Number]],'Combine_List'!A:D,2,0)</f>
        <v>Awtad Jeddah for General Contracting Company</v>
      </c>
      <c r="M1898" s="447" t="str">
        <f>VLOOKUP(Advices[[#This Row],[LC Number]],'Combine_List'!A:D,3,0)</f>
        <v>MBL</v>
      </c>
      <c r="N1898" s="447" t="str">
        <f>VLOOKUP(Advices[[#This Row],[LC Number]],'Combine_List'!A:D,4,0)</f>
        <v>Rabigh Power Plant</v>
      </c>
      <c r="O1898" s="1"/>
      <c r="P1898" s="1">
        <f>MONTH(Advices[[#This Row],[Transaction Date]])</f>
        <v>3</v>
      </c>
      <c r="Q1898" s="1">
        <f>YEAR(Advices[[#This Row],[Transaction Date]])</f>
        <v>2026</v>
      </c>
      <c r="R1898" s="1"/>
    </row>
    <row r="1899" spans="1:18" x14ac:dyDescent="0.25">
      <c r="A1899" s="264" t="s">
        <v>21</v>
      </c>
      <c r="B1899" s="265">
        <v>46085</v>
      </c>
      <c r="C1899" s="264" t="s">
        <v>1951</v>
      </c>
      <c r="D1899" s="300" t="s">
        <v>4244</v>
      </c>
      <c r="E1899" s="300" t="s">
        <v>4239</v>
      </c>
      <c r="F1899" s="300" t="s">
        <v>4239</v>
      </c>
      <c r="G1899" s="264" t="s">
        <v>26</v>
      </c>
      <c r="H1899" s="368">
        <v>3619.97</v>
      </c>
      <c r="I1899" s="368">
        <v>0</v>
      </c>
      <c r="J1899" s="264" t="s">
        <v>2616</v>
      </c>
      <c r="K1899" s="264" t="s">
        <v>2025</v>
      </c>
      <c r="L1899" s="1" t="str">
        <f>VLOOKUP(Advices[[#This Row],[LC Number]],'Combine_List'!A:D,2,0)</f>
        <v>Awtad Jeddah for General Contracting Company</v>
      </c>
      <c r="M1899" s="447" t="str">
        <f>VLOOKUP(Advices[[#This Row],[LC Number]],'Combine_List'!A:D,3,0)</f>
        <v>MBL</v>
      </c>
      <c r="N1899" s="447" t="str">
        <f>VLOOKUP(Advices[[#This Row],[LC Number]],'Combine_List'!A:D,4,0)</f>
        <v>Rabigh Power Plant</v>
      </c>
      <c r="O1899" s="264"/>
      <c r="P1899" s="264">
        <f>MONTH(Advices[[#This Row],[Transaction Date]])</f>
        <v>3</v>
      </c>
      <c r="Q1899" s="264">
        <f>YEAR(Advices[[#This Row],[Transaction Date]])</f>
        <v>2026</v>
      </c>
      <c r="R1899" s="1"/>
    </row>
    <row r="1900" spans="1:18" hidden="1" x14ac:dyDescent="0.25">
      <c r="A1900" s="264" t="s">
        <v>62</v>
      </c>
      <c r="B1900" s="265">
        <v>46085</v>
      </c>
      <c r="C1900" s="264" t="s">
        <v>2039</v>
      </c>
      <c r="D1900" s="300" t="s">
        <v>4245</v>
      </c>
      <c r="E1900" s="300" t="s">
        <v>4014</v>
      </c>
      <c r="F1900" s="300" t="s">
        <v>2041</v>
      </c>
      <c r="G1900" s="264" t="s">
        <v>26</v>
      </c>
      <c r="H1900" s="368">
        <v>288937.5</v>
      </c>
      <c r="I1900" s="368">
        <v>0</v>
      </c>
      <c r="J1900" s="264" t="s">
        <v>2830</v>
      </c>
      <c r="K1900" s="264" t="s">
        <v>2025</v>
      </c>
      <c r="L1900" s="1" t="str">
        <f>VLOOKUP(Advices[[#This Row],[LC Number]],'Combine_List'!A:D,2,0)</f>
        <v>Bid - KING SALMAN INTERNATIONAL AIRPORT (Frst Fix)</v>
      </c>
      <c r="M1900" s="447" t="str">
        <f>VLOOKUP(Advices[[#This Row],[LC Number]],'Combine_List'!A:D,3,0)</f>
        <v>First Fix/MBL</v>
      </c>
      <c r="N1900" s="447">
        <f>VLOOKUP(Advices[[#This Row],[LC Number]],'Combine_List'!A:D,4,0)</f>
        <v>0</v>
      </c>
      <c r="O1900" s="264"/>
      <c r="P1900" s="264">
        <f>MONTH(Advices[[#This Row],[Transaction Date]])</f>
        <v>3</v>
      </c>
      <c r="Q1900" s="264">
        <f>YEAR(Advices[[#This Row],[Transaction Date]])</f>
        <v>2026</v>
      </c>
      <c r="R1900" s="1"/>
    </row>
    <row r="1901" spans="1:18" hidden="1" x14ac:dyDescent="0.25">
      <c r="A1901" s="264" t="s">
        <v>366</v>
      </c>
      <c r="B1901" s="265">
        <v>46085</v>
      </c>
      <c r="C1901" s="264" t="s">
        <v>2060</v>
      </c>
      <c r="D1901" s="300" t="s">
        <v>4246</v>
      </c>
      <c r="E1901" s="300" t="s">
        <v>3896</v>
      </c>
      <c r="F1901" s="300" t="s">
        <v>4247</v>
      </c>
      <c r="G1901" s="264" t="s">
        <v>26</v>
      </c>
      <c r="H1901" s="368">
        <v>4312.5</v>
      </c>
      <c r="I1901" s="368">
        <v>0</v>
      </c>
      <c r="J1901" s="264" t="s">
        <v>1125</v>
      </c>
      <c r="K1901" s="264" t="s">
        <v>2025</v>
      </c>
      <c r="L1901" s="1" t="str">
        <f>VLOOKUP(Advices[[#This Row],[LC Number]],'Combine_List'!A:D,2,0)</f>
        <v>SAUDI ELECTRIC SUPPLY COMPANY</v>
      </c>
      <c r="M1901" s="447" t="str">
        <f>VLOOKUP(Advices[[#This Row],[LC Number]],'Combine_List'!A:D,3,0)</f>
        <v>FIRST FIX</v>
      </c>
      <c r="N1901" s="447" t="str">
        <f>VLOOKUP(Advices[[#This Row],[LC Number]],'Combine_List'!A:D,4,0)</f>
        <v>MP1</v>
      </c>
      <c r="O1901" s="1"/>
      <c r="P1901" s="1">
        <f>MONTH(Advices[[#This Row],[Transaction Date]])</f>
        <v>3</v>
      </c>
      <c r="Q1901" s="1">
        <f>YEAR(Advices[[#This Row],[Transaction Date]])</f>
        <v>2026</v>
      </c>
      <c r="R1901" s="1"/>
    </row>
    <row r="1902" spans="1:18" hidden="1" x14ac:dyDescent="0.25">
      <c r="A1902" s="264" t="s">
        <v>366</v>
      </c>
      <c r="B1902" s="265">
        <v>46085</v>
      </c>
      <c r="C1902" s="264" t="s">
        <v>2060</v>
      </c>
      <c r="D1902" s="300" t="s">
        <v>4248</v>
      </c>
      <c r="E1902" s="300" t="s">
        <v>1048</v>
      </c>
      <c r="F1902" s="300" t="s">
        <v>4249</v>
      </c>
      <c r="G1902" s="264" t="s">
        <v>26</v>
      </c>
      <c r="H1902" s="368">
        <v>15378.86</v>
      </c>
      <c r="I1902" s="368">
        <v>0</v>
      </c>
      <c r="J1902" s="264" t="s">
        <v>1125</v>
      </c>
      <c r="K1902" s="264" t="s">
        <v>2025</v>
      </c>
      <c r="L1902" s="1" t="str">
        <f>VLOOKUP(Advices[[#This Row],[LC Number]],'Combine_List'!A:D,2,0)</f>
        <v>Performance - RIYADH AIRPORTS COMPANY (RAC) ICAD</v>
      </c>
      <c r="M1902" s="447" t="str">
        <f>VLOOKUP(Advices[[#This Row],[LC Number]],'Combine_List'!A:D,3,0)</f>
        <v>MBL/ICAD</v>
      </c>
      <c r="N1902" s="447" t="str">
        <f>VLOOKUP(Advices[[#This Row],[LC Number]],'Combine_List'!A:D,4,0)</f>
        <v>RAC</v>
      </c>
      <c r="O1902" s="264"/>
      <c r="P1902" s="264">
        <f>MONTH(Advices[[#This Row],[Transaction Date]])</f>
        <v>3</v>
      </c>
      <c r="Q1902" s="264">
        <f>YEAR(Advices[[#This Row],[Transaction Date]])</f>
        <v>2026</v>
      </c>
      <c r="R1902" s="1"/>
    </row>
    <row r="1903" spans="1:18" hidden="1" x14ac:dyDescent="0.25">
      <c r="A1903" s="264" t="s">
        <v>1073</v>
      </c>
      <c r="B1903" s="265">
        <v>46051</v>
      </c>
      <c r="C1903" s="264" t="s">
        <v>3164</v>
      </c>
      <c r="D1903" s="300" t="s">
        <v>3168</v>
      </c>
      <c r="E1903" s="300" t="s">
        <v>3921</v>
      </c>
      <c r="F1903" s="300" t="s">
        <v>3921</v>
      </c>
      <c r="G1903" s="264" t="s">
        <v>26</v>
      </c>
      <c r="H1903" s="368">
        <v>23133.15</v>
      </c>
      <c r="I1903" s="368">
        <v>0</v>
      </c>
      <c r="J1903" s="264" t="s">
        <v>2041</v>
      </c>
      <c r="K1903" s="264" t="s">
        <v>2025</v>
      </c>
      <c r="L1903" s="1" t="str">
        <f>VLOOKUP(Advices[[#This Row],[LC Number]],'Combine_List'!A:D,2,0)</f>
        <v>Performance - Ministry of Culture</v>
      </c>
      <c r="M1903" s="447" t="str">
        <f>VLOOKUP(Advices[[#This Row],[LC Number]],'Combine_List'!A:D,3,0)</f>
        <v>MBL</v>
      </c>
      <c r="N1903" s="447" t="str">
        <f>VLOOKUP(Advices[[#This Row],[LC Number]],'Combine_List'!A:D,4,0)</f>
        <v>MBL &amp; Rowad Modern Engineering Pioneers Company (JV – 50%)</v>
      </c>
      <c r="O1903" s="1"/>
      <c r="P1903" s="1">
        <f>MONTH(Advices[[#This Row],[Transaction Date]])</f>
        <v>1</v>
      </c>
      <c r="Q1903" s="1">
        <f>YEAR(Advices[[#This Row],[Transaction Date]])</f>
        <v>2026</v>
      </c>
      <c r="R1903" s="1"/>
    </row>
    <row r="1904" spans="1:18" hidden="1" x14ac:dyDescent="0.25">
      <c r="A1904" s="264" t="s">
        <v>1073</v>
      </c>
      <c r="B1904" s="265">
        <v>46051</v>
      </c>
      <c r="C1904" s="264" t="s">
        <v>3164</v>
      </c>
      <c r="D1904" s="300" t="s">
        <v>4159</v>
      </c>
      <c r="E1904" s="300" t="s">
        <v>3921</v>
      </c>
      <c r="F1904" s="300" t="s">
        <v>3921</v>
      </c>
      <c r="G1904" s="264" t="s">
        <v>26</v>
      </c>
      <c r="H1904" s="368">
        <v>154221</v>
      </c>
      <c r="I1904" s="368">
        <v>0</v>
      </c>
      <c r="J1904" s="264" t="s">
        <v>2041</v>
      </c>
      <c r="K1904" s="264" t="s">
        <v>2025</v>
      </c>
      <c r="L1904" s="1" t="str">
        <f>VLOOKUP(Advices[[#This Row],[LC Number]],'Combine_List'!A:D,2,0)</f>
        <v>Performance - Ministry of Culture</v>
      </c>
      <c r="M1904" s="447" t="str">
        <f>VLOOKUP(Advices[[#This Row],[LC Number]],'Combine_List'!A:D,3,0)</f>
        <v>MBL</v>
      </c>
      <c r="N1904" s="447" t="str">
        <f>VLOOKUP(Advices[[#This Row],[LC Number]],'Combine_List'!A:D,4,0)</f>
        <v>MBL &amp; Rowad Modern Engineering Pioneers Company (JV – 50%)</v>
      </c>
      <c r="O1904" s="264"/>
      <c r="P1904" s="264">
        <f>MONTH(Advices[[#This Row],[Transaction Date]])</f>
        <v>1</v>
      </c>
      <c r="Q1904" s="264">
        <f>YEAR(Advices[[#This Row],[Transaction Date]])</f>
        <v>2026</v>
      </c>
      <c r="R1904" s="1"/>
    </row>
    <row r="1905" spans="1:18" x14ac:dyDescent="0.25">
      <c r="A1905" s="264" t="s">
        <v>21</v>
      </c>
      <c r="B1905" s="265">
        <v>46086</v>
      </c>
      <c r="C1905" s="264" t="s">
        <v>1951</v>
      </c>
      <c r="D1905" s="300" t="s">
        <v>1960</v>
      </c>
      <c r="E1905" s="300" t="s">
        <v>1410</v>
      </c>
      <c r="F1905" s="300" t="s">
        <v>2944</v>
      </c>
      <c r="G1905" s="264" t="s">
        <v>26</v>
      </c>
      <c r="H1905" s="368">
        <v>11.25</v>
      </c>
      <c r="I1905" s="368">
        <v>0</v>
      </c>
      <c r="J1905" s="264" t="s">
        <v>1174</v>
      </c>
      <c r="K1905" s="264" t="s">
        <v>2025</v>
      </c>
      <c r="L1905" s="1" t="str">
        <f>VLOOKUP(Advices[[#This Row],[LC Number]],'Combine_List'!A:D,2,0)</f>
        <v>MAWARID AISHAMELA TRADING CO.</v>
      </c>
      <c r="M1905" s="447" t="str">
        <f>VLOOKUP(Advices[[#This Row],[LC Number]],'Combine_List'!A:D,3,0)</f>
        <v>FIRST FIX</v>
      </c>
      <c r="N1905" s="447" t="str">
        <f>VLOOKUP(Advices[[#This Row],[LC Number]],'Combine_List'!A:D,4,0)</f>
        <v>KSP</v>
      </c>
      <c r="O1905" s="1"/>
      <c r="P1905" s="1">
        <f>MONTH(Advices[[#This Row],[Transaction Date]])</f>
        <v>3</v>
      </c>
      <c r="Q1905" s="1">
        <f>YEAR(Advices[[#This Row],[Transaction Date]])</f>
        <v>2026</v>
      </c>
      <c r="R1905" s="1"/>
    </row>
    <row r="1906" spans="1:18" x14ac:dyDescent="0.25">
      <c r="A1906" s="264" t="s">
        <v>21</v>
      </c>
      <c r="B1906" s="265">
        <v>46086</v>
      </c>
      <c r="C1906" s="264" t="s">
        <v>1951</v>
      </c>
      <c r="D1906" s="300" t="s">
        <v>4261</v>
      </c>
      <c r="E1906" s="300" t="s">
        <v>1410</v>
      </c>
      <c r="F1906" s="300" t="s">
        <v>2944</v>
      </c>
      <c r="G1906" s="264" t="s">
        <v>26</v>
      </c>
      <c r="H1906" s="368">
        <v>75</v>
      </c>
      <c r="I1906" s="368">
        <v>0</v>
      </c>
      <c r="J1906" s="264" t="s">
        <v>1963</v>
      </c>
      <c r="K1906" s="264" t="s">
        <v>2025</v>
      </c>
      <c r="L1906" s="1" t="str">
        <f>VLOOKUP(Advices[[#This Row],[LC Number]],'Combine_List'!A:D,2,0)</f>
        <v>MAWARID AISHAMELA TRADING CO.</v>
      </c>
      <c r="M1906" s="447" t="str">
        <f>VLOOKUP(Advices[[#This Row],[LC Number]],'Combine_List'!A:D,3,0)</f>
        <v>FIRST FIX</v>
      </c>
      <c r="N1906" s="447" t="str">
        <f>VLOOKUP(Advices[[#This Row],[LC Number]],'Combine_List'!A:D,4,0)</f>
        <v>KSP</v>
      </c>
      <c r="O1906" s="1"/>
      <c r="P1906" s="1">
        <f>MONTH(Advices[[#This Row],[Transaction Date]])</f>
        <v>3</v>
      </c>
      <c r="Q1906" s="1">
        <f>YEAR(Advices[[#This Row],[Transaction Date]])</f>
        <v>2026</v>
      </c>
      <c r="R1906" s="1"/>
    </row>
    <row r="1907" spans="1:18" x14ac:dyDescent="0.25">
      <c r="A1907" s="264" t="s">
        <v>21</v>
      </c>
      <c r="B1907" s="265">
        <v>46086</v>
      </c>
      <c r="C1907" s="264" t="s">
        <v>1951</v>
      </c>
      <c r="D1907" s="300" t="s">
        <v>4262</v>
      </c>
      <c r="E1907" s="300" t="s">
        <v>1410</v>
      </c>
      <c r="F1907" s="300" t="s">
        <v>2944</v>
      </c>
      <c r="G1907" s="264" t="s">
        <v>26</v>
      </c>
      <c r="H1907" s="368">
        <v>73962.710000000006</v>
      </c>
      <c r="I1907" s="368">
        <v>0</v>
      </c>
      <c r="J1907" s="264" t="s">
        <v>1126</v>
      </c>
      <c r="K1907" s="264" t="s">
        <v>2025</v>
      </c>
      <c r="L1907" s="1" t="str">
        <f>VLOOKUP(Advices[[#This Row],[LC Number]],'Combine_List'!A:D,2,0)</f>
        <v>MAWARID AISHAMELA TRADING CO.</v>
      </c>
      <c r="M1907" s="447" t="str">
        <f>VLOOKUP(Advices[[#This Row],[LC Number]],'Combine_List'!A:D,3,0)</f>
        <v>FIRST FIX</v>
      </c>
      <c r="N1907" s="447" t="str">
        <f>VLOOKUP(Advices[[#This Row],[LC Number]],'Combine_List'!A:D,4,0)</f>
        <v>KSP</v>
      </c>
      <c r="O1907" s="1"/>
      <c r="P1907" s="1">
        <f>MONTH(Advices[[#This Row],[Transaction Date]])</f>
        <v>3</v>
      </c>
      <c r="Q1907" s="1">
        <f>YEAR(Advices[[#This Row],[Transaction Date]])</f>
        <v>2026</v>
      </c>
      <c r="R1907" s="1"/>
    </row>
    <row r="1908" spans="1:18" x14ac:dyDescent="0.25">
      <c r="A1908" s="264" t="s">
        <v>21</v>
      </c>
      <c r="B1908" s="265">
        <v>46086</v>
      </c>
      <c r="C1908" s="264" t="s">
        <v>1951</v>
      </c>
      <c r="D1908" s="300" t="s">
        <v>1960</v>
      </c>
      <c r="E1908" s="300" t="s">
        <v>1503</v>
      </c>
      <c r="F1908" s="300" t="s">
        <v>2822</v>
      </c>
      <c r="G1908" s="264" t="s">
        <v>26</v>
      </c>
      <c r="H1908" s="368">
        <v>11.25</v>
      </c>
      <c r="I1908" s="368">
        <v>0</v>
      </c>
      <c r="J1908" s="264" t="s">
        <v>1174</v>
      </c>
      <c r="K1908" s="264" t="s">
        <v>2025</v>
      </c>
      <c r="L1908" s="1" t="str">
        <f>VLOOKUP(Advices[[#This Row],[LC Number]],'Combine_List'!A:D,2,0)</f>
        <v>SKM AIR CONDITIONING CO</v>
      </c>
      <c r="M1908" s="447" t="str">
        <f>VLOOKUP(Advices[[#This Row],[LC Number]],'Combine_List'!A:D,3,0)</f>
        <v>FIRST FIX</v>
      </c>
      <c r="N1908" s="447" t="str">
        <f>VLOOKUP(Advices[[#This Row],[LC Number]],'Combine_List'!A:D,4,0)</f>
        <v>JCD SPMI</v>
      </c>
      <c r="O1908" s="1"/>
      <c r="P1908" s="1">
        <f>MONTH(Advices[[#This Row],[Transaction Date]])</f>
        <v>3</v>
      </c>
      <c r="Q1908" s="1">
        <f>YEAR(Advices[[#This Row],[Transaction Date]])</f>
        <v>2026</v>
      </c>
      <c r="R1908" s="1"/>
    </row>
    <row r="1909" spans="1:18" x14ac:dyDescent="0.25">
      <c r="A1909" s="264" t="s">
        <v>21</v>
      </c>
      <c r="B1909" s="265">
        <v>46086</v>
      </c>
      <c r="C1909" s="264" t="s">
        <v>1951</v>
      </c>
      <c r="D1909" s="300" t="s">
        <v>4263</v>
      </c>
      <c r="E1909" s="300" t="s">
        <v>1503</v>
      </c>
      <c r="F1909" s="300" t="s">
        <v>2822</v>
      </c>
      <c r="G1909" s="264" t="s">
        <v>26</v>
      </c>
      <c r="H1909" s="368">
        <v>75</v>
      </c>
      <c r="I1909" s="368">
        <v>0</v>
      </c>
      <c r="J1909" s="264" t="s">
        <v>1963</v>
      </c>
      <c r="K1909" s="264" t="s">
        <v>2025</v>
      </c>
      <c r="L1909" s="1" t="str">
        <f>VLOOKUP(Advices[[#This Row],[LC Number]],'Combine_List'!A:D,2,0)</f>
        <v>SKM AIR CONDITIONING CO</v>
      </c>
      <c r="M1909" s="447" t="str">
        <f>VLOOKUP(Advices[[#This Row],[LC Number]],'Combine_List'!A:D,3,0)</f>
        <v>FIRST FIX</v>
      </c>
      <c r="N1909" s="447" t="str">
        <f>VLOOKUP(Advices[[#This Row],[LC Number]],'Combine_List'!A:D,4,0)</f>
        <v>JCD SPMI</v>
      </c>
      <c r="O1909" s="1"/>
      <c r="P1909" s="1">
        <f>MONTH(Advices[[#This Row],[Transaction Date]])</f>
        <v>3</v>
      </c>
      <c r="Q1909" s="1">
        <f>YEAR(Advices[[#This Row],[Transaction Date]])</f>
        <v>2026</v>
      </c>
      <c r="R1909" s="1"/>
    </row>
    <row r="1910" spans="1:18" x14ac:dyDescent="0.25">
      <c r="A1910" s="264" t="s">
        <v>21</v>
      </c>
      <c r="B1910" s="265">
        <v>46086</v>
      </c>
      <c r="C1910" s="264" t="s">
        <v>1951</v>
      </c>
      <c r="D1910" s="300" t="s">
        <v>4264</v>
      </c>
      <c r="E1910" s="300" t="s">
        <v>1503</v>
      </c>
      <c r="F1910" s="300" t="s">
        <v>2822</v>
      </c>
      <c r="G1910" s="264" t="s">
        <v>26</v>
      </c>
      <c r="H1910" s="368">
        <v>207691.38</v>
      </c>
      <c r="I1910" s="368">
        <v>0</v>
      </c>
      <c r="J1910" s="264" t="s">
        <v>1126</v>
      </c>
      <c r="K1910" s="264" t="s">
        <v>2025</v>
      </c>
      <c r="L1910" s="1" t="str">
        <f>VLOOKUP(Advices[[#This Row],[LC Number]],'Combine_List'!A:D,2,0)</f>
        <v>SKM AIR CONDITIONING CO</v>
      </c>
      <c r="M1910" s="447" t="str">
        <f>VLOOKUP(Advices[[#This Row],[LC Number]],'Combine_List'!A:D,3,0)</f>
        <v>FIRST FIX</v>
      </c>
      <c r="N1910" s="447" t="str">
        <f>VLOOKUP(Advices[[#This Row],[LC Number]],'Combine_List'!A:D,4,0)</f>
        <v>JCD SPMI</v>
      </c>
      <c r="O1910" s="1"/>
      <c r="P1910" s="1">
        <f>MONTH(Advices[[#This Row],[Transaction Date]])</f>
        <v>3</v>
      </c>
      <c r="Q1910" s="1">
        <f>YEAR(Advices[[#This Row],[Transaction Date]])</f>
        <v>2026</v>
      </c>
      <c r="R1910" s="1"/>
    </row>
    <row r="1911" spans="1:18" x14ac:dyDescent="0.25">
      <c r="A1911" s="264" t="s">
        <v>21</v>
      </c>
      <c r="B1911" s="265">
        <v>46086</v>
      </c>
      <c r="C1911" s="264" t="s">
        <v>1951</v>
      </c>
      <c r="D1911" s="300" t="s">
        <v>4265</v>
      </c>
      <c r="E1911" s="300" t="s">
        <v>3228</v>
      </c>
      <c r="F1911" s="300" t="s">
        <v>3228</v>
      </c>
      <c r="G1911" s="264" t="s">
        <v>26</v>
      </c>
      <c r="H1911" s="368">
        <v>45</v>
      </c>
      <c r="I1911" s="368">
        <v>0</v>
      </c>
      <c r="J1911" s="264" t="s">
        <v>1174</v>
      </c>
      <c r="K1911" s="264" t="s">
        <v>2025</v>
      </c>
      <c r="L1911" s="1" t="str">
        <f>VLOOKUP(Advices[[#This Row],[LC Number]],'Combine_List'!A:D,2,0)</f>
        <v>LSI PROJECTS LIMITED</v>
      </c>
      <c r="M1911" s="447" t="str">
        <f>VLOOKUP(Advices[[#This Row],[LC Number]],'Combine_List'!A:D,3,0)</f>
        <v>ICAD</v>
      </c>
      <c r="N1911" s="447" t="str">
        <f>VLOOKUP(Advices[[#This Row],[LC Number]],'Combine_List'!A:D,4,0)</f>
        <v>KSP</v>
      </c>
      <c r="O1911" s="1"/>
      <c r="P1911" s="1">
        <f>MONTH(Advices[[#This Row],[Transaction Date]])</f>
        <v>3</v>
      </c>
      <c r="Q1911" s="1">
        <f>YEAR(Advices[[#This Row],[Transaction Date]])</f>
        <v>2026</v>
      </c>
      <c r="R1911" s="1"/>
    </row>
    <row r="1912" spans="1:18" x14ac:dyDescent="0.25">
      <c r="A1912" s="264" t="s">
        <v>21</v>
      </c>
      <c r="B1912" s="265">
        <v>46086</v>
      </c>
      <c r="C1912" s="264" t="s">
        <v>1951</v>
      </c>
      <c r="D1912" s="300" t="s">
        <v>3248</v>
      </c>
      <c r="E1912" s="300" t="s">
        <v>3228</v>
      </c>
      <c r="F1912" s="300" t="s">
        <v>3228</v>
      </c>
      <c r="G1912" s="264" t="s">
        <v>26</v>
      </c>
      <c r="H1912" s="368">
        <v>300</v>
      </c>
      <c r="I1912" s="368">
        <v>0</v>
      </c>
      <c r="J1912" s="264" t="s">
        <v>1176</v>
      </c>
      <c r="K1912" s="264" t="s">
        <v>2025</v>
      </c>
      <c r="L1912" s="1" t="str">
        <f>VLOOKUP(Advices[[#This Row],[LC Number]],'Combine_List'!A:D,2,0)</f>
        <v>LSI PROJECTS LIMITED</v>
      </c>
      <c r="M1912" s="447" t="str">
        <f>VLOOKUP(Advices[[#This Row],[LC Number]],'Combine_List'!A:D,3,0)</f>
        <v>ICAD</v>
      </c>
      <c r="N1912" s="447" t="str">
        <f>VLOOKUP(Advices[[#This Row],[LC Number]],'Combine_List'!A:D,4,0)</f>
        <v>KSP</v>
      </c>
      <c r="O1912" s="1"/>
      <c r="P1912" s="1">
        <f>MONTH(Advices[[#This Row],[Transaction Date]])</f>
        <v>3</v>
      </c>
      <c r="Q1912" s="1">
        <f>YEAR(Advices[[#This Row],[Transaction Date]])</f>
        <v>2026</v>
      </c>
      <c r="R1912" s="1"/>
    </row>
    <row r="1913" spans="1:18" x14ac:dyDescent="0.25">
      <c r="A1913" s="264" t="s">
        <v>21</v>
      </c>
      <c r="B1913" s="265">
        <v>46086</v>
      </c>
      <c r="C1913" s="264" t="s">
        <v>1951</v>
      </c>
      <c r="D1913" s="300" t="s">
        <v>4266</v>
      </c>
      <c r="E1913" s="300" t="s">
        <v>4239</v>
      </c>
      <c r="F1913" s="300" t="s">
        <v>4239</v>
      </c>
      <c r="G1913" s="264" t="s">
        <v>26</v>
      </c>
      <c r="H1913" s="368">
        <v>468</v>
      </c>
      <c r="I1913" s="368">
        <v>0</v>
      </c>
      <c r="J1913" s="264" t="s">
        <v>1174</v>
      </c>
      <c r="K1913" s="264" t="s">
        <v>2025</v>
      </c>
      <c r="L1913" s="1" t="str">
        <f>VLOOKUP(Advices[[#This Row],[LC Number]],'Combine_List'!A:D,2,0)</f>
        <v>Awtad Jeddah for General Contracting Company</v>
      </c>
      <c r="M1913" s="447" t="str">
        <f>VLOOKUP(Advices[[#This Row],[LC Number]],'Combine_List'!A:D,3,0)</f>
        <v>MBL</v>
      </c>
      <c r="N1913" s="447" t="str">
        <f>VLOOKUP(Advices[[#This Row],[LC Number]],'Combine_List'!A:D,4,0)</f>
        <v>Rabigh Power Plant</v>
      </c>
      <c r="O1913" s="1"/>
      <c r="P1913" s="1">
        <f>MONTH(Advices[[#This Row],[Transaction Date]])</f>
        <v>3</v>
      </c>
      <c r="Q1913" s="1">
        <f>YEAR(Advices[[#This Row],[Transaction Date]])</f>
        <v>2026</v>
      </c>
      <c r="R1913" s="1"/>
    </row>
    <row r="1914" spans="1:18" x14ac:dyDescent="0.25">
      <c r="A1914" s="264" t="s">
        <v>21</v>
      </c>
      <c r="B1914" s="265">
        <v>46086</v>
      </c>
      <c r="C1914" s="264" t="s">
        <v>1951</v>
      </c>
      <c r="D1914" s="300" t="s">
        <v>4244</v>
      </c>
      <c r="E1914" s="300" t="s">
        <v>4239</v>
      </c>
      <c r="F1914" s="300" t="s">
        <v>4239</v>
      </c>
      <c r="G1914" s="264" t="s">
        <v>26</v>
      </c>
      <c r="H1914" s="368">
        <v>3119.97</v>
      </c>
      <c r="I1914" s="368">
        <v>0</v>
      </c>
      <c r="J1914" s="264" t="s">
        <v>2616</v>
      </c>
      <c r="K1914" s="264" t="s">
        <v>2025</v>
      </c>
      <c r="L1914" s="1" t="str">
        <f>VLOOKUP(Advices[[#This Row],[LC Number]],'Combine_List'!A:D,2,0)</f>
        <v>Awtad Jeddah for General Contracting Company</v>
      </c>
      <c r="M1914" s="447" t="str">
        <f>VLOOKUP(Advices[[#This Row],[LC Number]],'Combine_List'!A:D,3,0)</f>
        <v>MBL</v>
      </c>
      <c r="N1914" s="447" t="str">
        <f>VLOOKUP(Advices[[#This Row],[LC Number]],'Combine_List'!A:D,4,0)</f>
        <v>Rabigh Power Plant</v>
      </c>
      <c r="O1914" s="264"/>
      <c r="P1914" s="264">
        <f>MONTH(Advices[[#This Row],[Transaction Date]])</f>
        <v>3</v>
      </c>
      <c r="Q1914" s="264">
        <f>YEAR(Advices[[#This Row],[Transaction Date]])</f>
        <v>2026</v>
      </c>
      <c r="R1914" s="1"/>
    </row>
    <row r="1915" spans="1:18" hidden="1" x14ac:dyDescent="0.25">
      <c r="A1915" s="264" t="s">
        <v>612</v>
      </c>
      <c r="B1915" s="265">
        <v>46086</v>
      </c>
      <c r="C1915" s="264" t="s">
        <v>2101</v>
      </c>
      <c r="D1915" s="300" t="s">
        <v>4267</v>
      </c>
      <c r="E1915" s="300" t="s">
        <v>1823</v>
      </c>
      <c r="F1915" s="300" t="s">
        <v>2041</v>
      </c>
      <c r="G1915" s="264" t="s">
        <v>26</v>
      </c>
      <c r="H1915" s="368">
        <v>737540</v>
      </c>
      <c r="I1915" s="368">
        <v>0</v>
      </c>
      <c r="J1915" s="264" t="s">
        <v>1126</v>
      </c>
      <c r="K1915" s="264" t="s">
        <v>2025</v>
      </c>
      <c r="L1915" s="1" t="str">
        <f>VLOOKUP(Advices[[#This Row],[LC Number]],'Combine_List'!A:D,2,0)</f>
        <v>SAUDI HEPCO CO LTD</v>
      </c>
      <c r="M1915" s="447" t="str">
        <f>VLOOKUP(Advices[[#This Row],[LC Number]],'Combine_List'!A:D,3,0)</f>
        <v>FIRST FIX</v>
      </c>
      <c r="N1915" s="447" t="str">
        <f>VLOOKUP(Advices[[#This Row],[LC Number]],'Combine_List'!A:D,4,0)</f>
        <v>RCRC</v>
      </c>
      <c r="O1915" s="264"/>
      <c r="P1915" s="264">
        <f>MONTH(Advices[[#This Row],[Transaction Date]])</f>
        <v>3</v>
      </c>
      <c r="Q1915" s="264">
        <f>YEAR(Advices[[#This Row],[Transaction Date]])</f>
        <v>2026</v>
      </c>
      <c r="R1915" s="1"/>
    </row>
    <row r="1916" spans="1:18" hidden="1" x14ac:dyDescent="0.25">
      <c r="A1916" s="264" t="s">
        <v>366</v>
      </c>
      <c r="B1916" s="265">
        <v>46086</v>
      </c>
      <c r="C1916" s="264" t="s">
        <v>2060</v>
      </c>
      <c r="D1916" s="300" t="s">
        <v>4268</v>
      </c>
      <c r="E1916" s="300" t="s">
        <v>3899</v>
      </c>
      <c r="F1916" s="300" t="s">
        <v>4269</v>
      </c>
      <c r="G1916" s="264" t="s">
        <v>26</v>
      </c>
      <c r="H1916" s="368">
        <v>2156.25</v>
      </c>
      <c r="I1916" s="368">
        <v>0</v>
      </c>
      <c r="J1916" s="264" t="s">
        <v>1125</v>
      </c>
      <c r="K1916" s="264" t="s">
        <v>2025</v>
      </c>
      <c r="L1916" s="1" t="str">
        <f>VLOOKUP(Advices[[#This Row],[LC Number]],'Combine_List'!A:D,2,0)</f>
        <v>IDEAL CALIBER COMPANY</v>
      </c>
      <c r="M1916" s="447" t="str">
        <f>VLOOKUP(Advices[[#This Row],[LC Number]],'Combine_List'!A:D,3,0)</f>
        <v>FIRST FIX</v>
      </c>
      <c r="N1916" s="447" t="str">
        <f>VLOOKUP(Advices[[#This Row],[LC Number]],'Combine_List'!A:D,4,0)</f>
        <v>MP1</v>
      </c>
      <c r="O1916" s="1"/>
      <c r="P1916" s="1">
        <f>MONTH(Advices[[#This Row],[Transaction Date]])</f>
        <v>3</v>
      </c>
      <c r="Q1916" s="1">
        <f>YEAR(Advices[[#This Row],[Transaction Date]])</f>
        <v>2026</v>
      </c>
      <c r="R1916" s="1"/>
    </row>
    <row r="1917" spans="1:18" hidden="1" x14ac:dyDescent="0.25">
      <c r="A1917" s="264" t="s">
        <v>366</v>
      </c>
      <c r="B1917" s="265">
        <v>46086</v>
      </c>
      <c r="C1917" s="264" t="s">
        <v>2060</v>
      </c>
      <c r="D1917" s="300" t="s">
        <v>4270</v>
      </c>
      <c r="E1917" s="300" t="s">
        <v>3730</v>
      </c>
      <c r="F1917" s="300" t="s">
        <v>3730</v>
      </c>
      <c r="G1917" s="264" t="s">
        <v>26</v>
      </c>
      <c r="H1917" s="368">
        <v>345</v>
      </c>
      <c r="I1917" s="368">
        <v>0</v>
      </c>
      <c r="J1917" s="264" t="s">
        <v>1125</v>
      </c>
      <c r="K1917" s="264" t="s">
        <v>2025</v>
      </c>
      <c r="L1917" s="1" t="str">
        <f>VLOOKUP(Advices[[#This Row],[LC Number]],'Combine_List'!A:D,2,0)</f>
        <v>Off Premises Solutions</v>
      </c>
      <c r="M1917" s="447" t="str">
        <f>VLOOKUP(Advices[[#This Row],[LC Number]],'Combine_List'!A:D,3,0)</f>
        <v>MBL / Green Roots</v>
      </c>
      <c r="N1917" s="447" t="str">
        <f>VLOOKUP(Advices[[#This Row],[LC Number]],'Combine_List'!A:D,4,0)</f>
        <v>CEER</v>
      </c>
      <c r="O1917" s="1"/>
      <c r="P1917" s="1">
        <f>MONTH(Advices[[#This Row],[Transaction Date]])</f>
        <v>3</v>
      </c>
      <c r="Q1917" s="1">
        <f>YEAR(Advices[[#This Row],[Transaction Date]])</f>
        <v>2026</v>
      </c>
      <c r="R1917" s="1"/>
    </row>
    <row r="1918" spans="1:18" hidden="1" x14ac:dyDescent="0.25">
      <c r="A1918" s="264" t="s">
        <v>366</v>
      </c>
      <c r="B1918" s="265">
        <v>46086</v>
      </c>
      <c r="C1918" s="264" t="s">
        <v>2060</v>
      </c>
      <c r="D1918" s="300" t="s">
        <v>4271</v>
      </c>
      <c r="E1918" s="300" t="s">
        <v>4252</v>
      </c>
      <c r="F1918" s="300" t="s">
        <v>4252</v>
      </c>
      <c r="G1918" s="264" t="s">
        <v>26</v>
      </c>
      <c r="H1918" s="368">
        <v>2522.25</v>
      </c>
      <c r="I1918" s="368">
        <v>0</v>
      </c>
      <c r="J1918" s="264" t="s">
        <v>1125</v>
      </c>
      <c r="K1918" s="264" t="s">
        <v>2025</v>
      </c>
      <c r="L1918" s="1" t="str">
        <f>VLOOKUP(Advices[[#This Row],[LC Number]],'Combine_List'!A:D,2,0)</f>
        <v>Mimar For Construction Tools and Trading Ltd.</v>
      </c>
      <c r="M1918" s="447" t="str">
        <f>VLOOKUP(Advices[[#This Row],[LC Number]],'Combine_List'!A:D,3,0)</f>
        <v>FIRST FIX</v>
      </c>
      <c r="N1918" s="447" t="str">
        <f>VLOOKUP(Advices[[#This Row],[LC Number]],'Combine_List'!A:D,4,0)</f>
        <v>MP1</v>
      </c>
      <c r="O1918" s="1"/>
      <c r="P1918" s="1">
        <f>MONTH(Advices[[#This Row],[Transaction Date]])</f>
        <v>3</v>
      </c>
      <c r="Q1918" s="1">
        <f>YEAR(Advices[[#This Row],[Transaction Date]])</f>
        <v>2026</v>
      </c>
      <c r="R1918" s="1"/>
    </row>
    <row r="1919" spans="1:18" hidden="1" x14ac:dyDescent="0.25">
      <c r="A1919" s="264" t="s">
        <v>366</v>
      </c>
      <c r="B1919" s="265">
        <v>46086</v>
      </c>
      <c r="C1919" s="264" t="s">
        <v>2060</v>
      </c>
      <c r="D1919" s="300" t="s">
        <v>4272</v>
      </c>
      <c r="E1919" s="300" t="s">
        <v>4250</v>
      </c>
      <c r="F1919" s="300" t="s">
        <v>4250</v>
      </c>
      <c r="G1919" s="264" t="s">
        <v>26</v>
      </c>
      <c r="H1919" s="368">
        <v>3680</v>
      </c>
      <c r="I1919" s="368">
        <v>0</v>
      </c>
      <c r="J1919" s="264" t="s">
        <v>1125</v>
      </c>
      <c r="K1919" s="264" t="s">
        <v>2025</v>
      </c>
      <c r="L1919" s="1" t="str">
        <f>VLOOKUP(Advices[[#This Row],[LC Number]],'Combine_List'!A:D,2,0)</f>
        <v>Ajzal United for Safety CO.LTD.</v>
      </c>
      <c r="M1919" s="447" t="str">
        <f>VLOOKUP(Advices[[#This Row],[LC Number]],'Combine_List'!A:D,3,0)</f>
        <v>FIRST FIX</v>
      </c>
      <c r="N1919" s="447" t="str">
        <f>VLOOKUP(Advices[[#This Row],[LC Number]],'Combine_List'!A:D,4,0)</f>
        <v>MP1</v>
      </c>
      <c r="O1919" s="1"/>
      <c r="P1919" s="1">
        <f>MONTH(Advices[[#This Row],[Transaction Date]])</f>
        <v>3</v>
      </c>
      <c r="Q1919" s="1">
        <f>YEAR(Advices[[#This Row],[Transaction Date]])</f>
        <v>2026</v>
      </c>
      <c r="R1919" s="1"/>
    </row>
    <row r="1920" spans="1:18" hidden="1" x14ac:dyDescent="0.25">
      <c r="A1920" s="264" t="s">
        <v>366</v>
      </c>
      <c r="B1920" s="265">
        <v>46086</v>
      </c>
      <c r="C1920" s="264" t="s">
        <v>2060</v>
      </c>
      <c r="D1920" s="300" t="s">
        <v>4273</v>
      </c>
      <c r="E1920" s="300" t="s">
        <v>4251</v>
      </c>
      <c r="F1920" s="300" t="s">
        <v>4251</v>
      </c>
      <c r="G1920" s="264" t="s">
        <v>26</v>
      </c>
      <c r="H1920" s="368">
        <v>10984.69</v>
      </c>
      <c r="I1920" s="368">
        <v>0</v>
      </c>
      <c r="J1920" s="264" t="s">
        <v>1125</v>
      </c>
      <c r="K1920" s="264" t="s">
        <v>2025</v>
      </c>
      <c r="L1920" s="1" t="str">
        <f>VLOOKUP(Advices[[#This Row],[LC Number]],'Combine_List'!A:D,2,0)</f>
        <v>Al NAKHEEL FOR TRADING COMPANY</v>
      </c>
      <c r="M1920" s="447" t="str">
        <f>VLOOKUP(Advices[[#This Row],[LC Number]],'Combine_List'!A:D,3,0)</f>
        <v>FIRST FIX</v>
      </c>
      <c r="N1920" s="447" t="str">
        <f>VLOOKUP(Advices[[#This Row],[LC Number]],'Combine_List'!A:D,4,0)</f>
        <v>MP1</v>
      </c>
      <c r="O1920" s="264"/>
      <c r="P1920" s="264">
        <f>MONTH(Advices[[#This Row],[Transaction Date]])</f>
        <v>3</v>
      </c>
      <c r="Q1920" s="264">
        <f>YEAR(Advices[[#This Row],[Transaction Date]])</f>
        <v>2026</v>
      </c>
      <c r="R1920" s="1"/>
    </row>
    <row r="1921" spans="1:18" hidden="1" x14ac:dyDescent="0.25">
      <c r="A1921" s="264" t="s">
        <v>62</v>
      </c>
      <c r="B1921" s="265">
        <v>46086</v>
      </c>
      <c r="C1921" s="264" t="s">
        <v>2039</v>
      </c>
      <c r="D1921" s="300" t="s">
        <v>4278</v>
      </c>
      <c r="E1921" s="300" t="s">
        <v>3326</v>
      </c>
      <c r="F1921" s="300" t="s">
        <v>2041</v>
      </c>
      <c r="G1921" s="264" t="s">
        <v>26</v>
      </c>
      <c r="H1921" s="368">
        <v>230</v>
      </c>
      <c r="I1921" s="368">
        <v>0</v>
      </c>
      <c r="J1921" s="264" t="s">
        <v>1125</v>
      </c>
      <c r="K1921" s="264" t="s">
        <v>2025</v>
      </c>
      <c r="L1921" s="1" t="str">
        <f>VLOOKUP(Advices[[#This Row],[LC Number]],'Combine_List'!A:D,2,0)</f>
        <v>AFKAR ALTATHBET TRADING COMPANY</v>
      </c>
      <c r="M1921" s="447" t="str">
        <f>VLOOKUP(Advices[[#This Row],[LC Number]],'Combine_List'!A:D,3,0)</f>
        <v>FIRST FIX</v>
      </c>
      <c r="N1921" s="447" t="str">
        <f>VLOOKUP(Advices[[#This Row],[LC Number]],'Combine_List'!A:D,4,0)</f>
        <v>Oceanarium</v>
      </c>
      <c r="O1921" s="264"/>
      <c r="P1921" s="264">
        <f>MONTH(Advices[[#This Row],[Transaction Date]])</f>
        <v>3</v>
      </c>
      <c r="Q1921" s="264">
        <f>YEAR(Advices[[#This Row],[Transaction Date]])</f>
        <v>2026</v>
      </c>
      <c r="R1921" s="1"/>
    </row>
    <row r="1922" spans="1:18" hidden="1" x14ac:dyDescent="0.25">
      <c r="A1922" s="264" t="s">
        <v>95</v>
      </c>
      <c r="B1922" s="265">
        <v>46089</v>
      </c>
      <c r="C1922" s="264" t="s">
        <v>2026</v>
      </c>
      <c r="D1922" s="300" t="s">
        <v>4279</v>
      </c>
      <c r="E1922" s="300" t="s">
        <v>4276</v>
      </c>
      <c r="F1922" s="300" t="s">
        <v>4280</v>
      </c>
      <c r="G1922" s="264" t="s">
        <v>26</v>
      </c>
      <c r="H1922" s="368">
        <v>1418.33</v>
      </c>
      <c r="I1922" s="368">
        <v>0</v>
      </c>
      <c r="J1922" s="264" t="s">
        <v>2616</v>
      </c>
      <c r="K1922" s="264" t="s">
        <v>2025</v>
      </c>
      <c r="L1922" s="1" t="str">
        <f>VLOOKUP(Advices[[#This Row],[LC Number]],'Combine_List'!A:D,2,0)</f>
        <v>Safid Co Ltd</v>
      </c>
      <c r="M1922" s="447" t="str">
        <f>VLOOKUP(Advices[[#This Row],[LC Number]],'Combine_List'!A:D,3,0)</f>
        <v>MBL/ICAD</v>
      </c>
      <c r="N1922" s="447" t="str">
        <f>VLOOKUP(Advices[[#This Row],[LC Number]],'Combine_List'!A:D,4,0)</f>
        <v>OPERA House</v>
      </c>
      <c r="O1922" s="1"/>
      <c r="P1922" s="1">
        <f>MONTH(Advices[[#This Row],[Transaction Date]])</f>
        <v>3</v>
      </c>
      <c r="Q1922" s="1">
        <f>YEAR(Advices[[#This Row],[Transaction Date]])</f>
        <v>2026</v>
      </c>
      <c r="R1922" s="1"/>
    </row>
    <row r="1923" spans="1:18" hidden="1" x14ac:dyDescent="0.25">
      <c r="A1923" s="264" t="s">
        <v>95</v>
      </c>
      <c r="B1923" s="265">
        <v>46089</v>
      </c>
      <c r="C1923" s="264" t="s">
        <v>2026</v>
      </c>
      <c r="D1923" s="300" t="s">
        <v>4281</v>
      </c>
      <c r="E1923" s="300" t="s">
        <v>4274</v>
      </c>
      <c r="F1923" s="300" t="s">
        <v>4282</v>
      </c>
      <c r="G1923" s="264" t="s">
        <v>26</v>
      </c>
      <c r="H1923" s="368">
        <v>1035</v>
      </c>
      <c r="I1923" s="368">
        <v>0</v>
      </c>
      <c r="J1923" s="264" t="s">
        <v>2616</v>
      </c>
      <c r="K1923" s="264" t="s">
        <v>2025</v>
      </c>
      <c r="L1923" s="1" t="str">
        <f>VLOOKUP(Advices[[#This Row],[LC Number]],'Combine_List'!A:D,2,0)</f>
        <v>Al-Assas Specialized Co</v>
      </c>
      <c r="M1923" s="447" t="str">
        <f>VLOOKUP(Advices[[#This Row],[LC Number]],'Combine_List'!A:D,3,0)</f>
        <v>MBL/ICAD</v>
      </c>
      <c r="N1923" s="447" t="str">
        <f>VLOOKUP(Advices[[#This Row],[LC Number]],'Combine_List'!A:D,4,0)</f>
        <v>OPERA House</v>
      </c>
      <c r="O1923" s="264"/>
      <c r="P1923" s="264">
        <f>MONTH(Advices[[#This Row],[Transaction Date]])</f>
        <v>3</v>
      </c>
      <c r="Q1923" s="264">
        <f>YEAR(Advices[[#This Row],[Transaction Date]])</f>
        <v>2026</v>
      </c>
      <c r="R1923" s="1"/>
    </row>
    <row r="1924" spans="1:18" hidden="1" x14ac:dyDescent="0.25">
      <c r="A1924" s="264" t="s">
        <v>366</v>
      </c>
      <c r="B1924" s="265">
        <v>46089</v>
      </c>
      <c r="C1924" s="264" t="s">
        <v>2060</v>
      </c>
      <c r="D1924" s="300" t="s">
        <v>4283</v>
      </c>
      <c r="E1924" s="300" t="s">
        <v>3901</v>
      </c>
      <c r="F1924" s="300" t="s">
        <v>4284</v>
      </c>
      <c r="G1924" s="264" t="s">
        <v>26</v>
      </c>
      <c r="H1924" s="368">
        <v>2156.25</v>
      </c>
      <c r="I1924" s="368">
        <v>0</v>
      </c>
      <c r="J1924" s="264" t="s">
        <v>1125</v>
      </c>
      <c r="K1924" s="264" t="s">
        <v>2025</v>
      </c>
      <c r="L1924" s="1" t="str">
        <f>VLOOKUP(Advices[[#This Row],[LC Number]],'Combine_List'!A:D,2,0)</f>
        <v>Afaq Al Malaz Trading Co. LTD.</v>
      </c>
      <c r="M1924" s="447" t="str">
        <f>VLOOKUP(Advices[[#This Row],[LC Number]],'Combine_List'!A:D,3,0)</f>
        <v>FIRST FIX</v>
      </c>
      <c r="N1924" s="447" t="str">
        <f>VLOOKUP(Advices[[#This Row],[LC Number]],'Combine_List'!A:D,4,0)</f>
        <v>MP1</v>
      </c>
      <c r="O1924" s="1"/>
      <c r="P1924" s="1">
        <f>MONTH(Advices[[#This Row],[Transaction Date]])</f>
        <v>3</v>
      </c>
      <c r="Q1924" s="1">
        <f>YEAR(Advices[[#This Row],[Transaction Date]])</f>
        <v>2026</v>
      </c>
      <c r="R1924" s="1"/>
    </row>
    <row r="1925" spans="1:18" hidden="1" x14ac:dyDescent="0.25">
      <c r="A1925" s="264" t="s">
        <v>366</v>
      </c>
      <c r="B1925" s="265">
        <v>46089</v>
      </c>
      <c r="C1925" s="264" t="s">
        <v>2057</v>
      </c>
      <c r="D1925" s="300" t="s">
        <v>4285</v>
      </c>
      <c r="E1925" s="300" t="s">
        <v>1652</v>
      </c>
      <c r="F1925" s="300" t="s">
        <v>4286</v>
      </c>
      <c r="G1925" s="264" t="s">
        <v>26</v>
      </c>
      <c r="H1925" s="368">
        <v>287.5</v>
      </c>
      <c r="I1925" s="368">
        <v>0</v>
      </c>
      <c r="J1925" s="264" t="s">
        <v>1125</v>
      </c>
      <c r="K1925" s="264" t="s">
        <v>2025</v>
      </c>
      <c r="L1925" s="1" t="str">
        <f>VLOOKUP(Advices[[#This Row],[LC Number]],'Combine_List'!A:D,2,0)</f>
        <v>Riyadh Unity for Trading</v>
      </c>
      <c r="M1925" s="447" t="str">
        <f>VLOOKUP(Advices[[#This Row],[LC Number]],'Combine_List'!A:D,3,0)</f>
        <v>FIRST FIX</v>
      </c>
      <c r="N1925" s="447" t="str">
        <f>VLOOKUP(Advices[[#This Row],[LC Number]],'Combine_List'!A:D,4,0)</f>
        <v>CEER</v>
      </c>
      <c r="O1925" s="264"/>
      <c r="P1925" s="264">
        <f>MONTH(Advices[[#This Row],[Transaction Date]])</f>
        <v>3</v>
      </c>
      <c r="Q1925" s="264">
        <f>YEAR(Advices[[#This Row],[Transaction Date]])</f>
        <v>2026</v>
      </c>
      <c r="R1925" s="1"/>
    </row>
    <row r="1926" spans="1:18" hidden="1" x14ac:dyDescent="0.25">
      <c r="A1926" s="264" t="s">
        <v>612</v>
      </c>
      <c r="B1926" s="265">
        <v>46089</v>
      </c>
      <c r="C1926" s="264" t="s">
        <v>2101</v>
      </c>
      <c r="D1926" s="300" t="s">
        <v>4287</v>
      </c>
      <c r="E1926" s="300" t="s">
        <v>1396</v>
      </c>
      <c r="F1926" s="300" t="s">
        <v>2041</v>
      </c>
      <c r="G1926" s="264" t="s">
        <v>26</v>
      </c>
      <c r="H1926" s="368">
        <v>137644.65</v>
      </c>
      <c r="I1926" s="368">
        <v>0</v>
      </c>
      <c r="J1926" s="264" t="s">
        <v>1126</v>
      </c>
      <c r="K1926" s="264" t="s">
        <v>2025</v>
      </c>
      <c r="L1926" s="1" t="str">
        <f>VLOOKUP(Advices[[#This Row],[LC Number]],'Combine_List'!A:D,2,0)</f>
        <v>Baamer Group for Trading Company</v>
      </c>
      <c r="M1926" s="447" t="str">
        <f>VLOOKUP(Advices[[#This Row],[LC Number]],'Combine_List'!A:D,3,0)</f>
        <v>FIRST FIX</v>
      </c>
      <c r="N1926" s="447" t="str">
        <f>VLOOKUP(Advices[[#This Row],[LC Number]],'Combine_List'!A:D,4,0)</f>
        <v>RCRC</v>
      </c>
      <c r="O1926" s="1"/>
      <c r="P1926" s="1">
        <f>MONTH(Advices[[#This Row],[Transaction Date]])</f>
        <v>3</v>
      </c>
      <c r="Q1926" s="1">
        <f>YEAR(Advices[[#This Row],[Transaction Date]])</f>
        <v>2026</v>
      </c>
      <c r="R1926" s="1"/>
    </row>
    <row r="1927" spans="1:18" hidden="1" x14ac:dyDescent="0.25">
      <c r="A1927" s="264" t="s">
        <v>612</v>
      </c>
      <c r="B1927" s="265">
        <v>46089</v>
      </c>
      <c r="C1927" s="264" t="s">
        <v>2101</v>
      </c>
      <c r="D1927" s="395" t="s">
        <v>4288</v>
      </c>
      <c r="E1927" s="300" t="s">
        <v>4275</v>
      </c>
      <c r="F1927" s="300" t="s">
        <v>2041</v>
      </c>
      <c r="G1927" s="264" t="s">
        <v>26</v>
      </c>
      <c r="H1927" s="368">
        <v>14322.91</v>
      </c>
      <c r="I1927" s="368">
        <v>0</v>
      </c>
      <c r="J1927" s="264" t="s">
        <v>2793</v>
      </c>
      <c r="K1927" s="264" t="s">
        <v>2025</v>
      </c>
      <c r="L1927" s="1" t="str">
        <f>VLOOKUP(Advices[[#This Row],[LC Number]],'Combine_List'!A:D,2,0)</f>
        <v>Bid - ROYAL COMMISSION FOR RIYADH CITY (RCRC)</v>
      </c>
      <c r="M1927" s="447">
        <f>VLOOKUP(Advices[[#This Row],[LC Number]],'Combine_List'!A:D,3,0)</f>
        <v>0</v>
      </c>
      <c r="N1927" s="447">
        <f>VLOOKUP(Advices[[#This Row],[LC Number]],'Combine_List'!A:D,4,0)</f>
        <v>0</v>
      </c>
      <c r="O1927" s="1"/>
      <c r="P1927" s="1">
        <f>MONTH(Advices[[#This Row],[Transaction Date]])</f>
        <v>3</v>
      </c>
      <c r="Q1927" s="1">
        <f>YEAR(Advices[[#This Row],[Transaction Date]])</f>
        <v>2026</v>
      </c>
      <c r="R1927" s="1"/>
    </row>
    <row r="1928" spans="1:18" hidden="1" x14ac:dyDescent="0.25">
      <c r="A1928" s="264" t="s">
        <v>612</v>
      </c>
      <c r="B1928" s="265">
        <v>46089</v>
      </c>
      <c r="C1928" s="264" t="s">
        <v>2101</v>
      </c>
      <c r="D1928" s="300" t="s">
        <v>4289</v>
      </c>
      <c r="E1928" s="300" t="s">
        <v>4275</v>
      </c>
      <c r="F1928" s="300" t="s">
        <v>2041</v>
      </c>
      <c r="G1928" s="264" t="s">
        <v>26</v>
      </c>
      <c r="H1928" s="368">
        <v>2148.44</v>
      </c>
      <c r="I1928" s="368">
        <v>0</v>
      </c>
      <c r="J1928" s="264" t="s">
        <v>1174</v>
      </c>
      <c r="K1928" s="264" t="s">
        <v>2025</v>
      </c>
      <c r="L1928" s="1" t="str">
        <f>VLOOKUP(Advices[[#This Row],[LC Number]],'Combine_List'!A:D,2,0)</f>
        <v>Bid - ROYAL COMMISSION FOR RIYADH CITY (RCRC)</v>
      </c>
      <c r="M1928" s="447">
        <f>VLOOKUP(Advices[[#This Row],[LC Number]],'Combine_List'!A:D,3,0)</f>
        <v>0</v>
      </c>
      <c r="N1928" s="447">
        <f>VLOOKUP(Advices[[#This Row],[LC Number]],'Combine_List'!A:D,4,0)</f>
        <v>0</v>
      </c>
      <c r="O1928" s="1"/>
      <c r="P1928" s="1">
        <f>MONTH(Advices[[#This Row],[Transaction Date]])</f>
        <v>3</v>
      </c>
      <c r="Q1928" s="1">
        <f>YEAR(Advices[[#This Row],[Transaction Date]])</f>
        <v>2026</v>
      </c>
      <c r="R1928" s="1"/>
    </row>
    <row r="1929" spans="1:18" hidden="1" x14ac:dyDescent="0.25">
      <c r="A1929" s="264" t="s">
        <v>612</v>
      </c>
      <c r="B1929" s="265">
        <v>46089</v>
      </c>
      <c r="C1929" s="264" t="s">
        <v>2101</v>
      </c>
      <c r="D1929" s="300" t="s">
        <v>4290</v>
      </c>
      <c r="E1929" s="300" t="s">
        <v>4275</v>
      </c>
      <c r="F1929" s="300" t="s">
        <v>2041</v>
      </c>
      <c r="G1929" s="264" t="s">
        <v>26</v>
      </c>
      <c r="H1929" s="368">
        <v>34760.269999999997</v>
      </c>
      <c r="I1929" s="368">
        <v>0</v>
      </c>
      <c r="J1929" s="264" t="s">
        <v>2793</v>
      </c>
      <c r="K1929" s="264" t="s">
        <v>2025</v>
      </c>
      <c r="L1929" s="1" t="str">
        <f>VLOOKUP(Advices[[#This Row],[LC Number]],'Combine_List'!A:D,2,0)</f>
        <v>Bid - ROYAL COMMISSION FOR RIYADH CITY (RCRC)</v>
      </c>
      <c r="M1929" s="447">
        <f>VLOOKUP(Advices[[#This Row],[LC Number]],'Combine_List'!A:D,3,0)</f>
        <v>0</v>
      </c>
      <c r="N1929" s="447">
        <f>VLOOKUP(Advices[[#This Row],[LC Number]],'Combine_List'!A:D,4,0)</f>
        <v>0</v>
      </c>
      <c r="O1929" s="1"/>
      <c r="P1929" s="1">
        <f>MONTH(Advices[[#This Row],[Transaction Date]])</f>
        <v>3</v>
      </c>
      <c r="Q1929" s="1">
        <f>YEAR(Advices[[#This Row],[Transaction Date]])</f>
        <v>2026</v>
      </c>
      <c r="R1929" s="1"/>
    </row>
    <row r="1930" spans="1:18" hidden="1" x14ac:dyDescent="0.25">
      <c r="A1930" s="264" t="s">
        <v>612</v>
      </c>
      <c r="B1930" s="265">
        <v>46089</v>
      </c>
      <c r="C1930" s="264" t="s">
        <v>2101</v>
      </c>
      <c r="D1930" s="300" t="s">
        <v>4291</v>
      </c>
      <c r="E1930" s="300" t="s">
        <v>4275</v>
      </c>
      <c r="F1930" s="300" t="s">
        <v>2041</v>
      </c>
      <c r="G1930" s="264" t="s">
        <v>26</v>
      </c>
      <c r="H1930" s="368">
        <v>5214.04</v>
      </c>
      <c r="I1930" s="368">
        <v>0</v>
      </c>
      <c r="J1930" s="264" t="s">
        <v>1174</v>
      </c>
      <c r="K1930" s="264" t="s">
        <v>2025</v>
      </c>
      <c r="L1930" s="1" t="str">
        <f>VLOOKUP(Advices[[#This Row],[LC Number]],'Combine_List'!A:D,2,0)</f>
        <v>Bid - ROYAL COMMISSION FOR RIYADH CITY (RCRC)</v>
      </c>
      <c r="M1930" s="447">
        <f>VLOOKUP(Advices[[#This Row],[LC Number]],'Combine_List'!A:D,3,0)</f>
        <v>0</v>
      </c>
      <c r="N1930" s="447">
        <f>VLOOKUP(Advices[[#This Row],[LC Number]],'Combine_List'!A:D,4,0)</f>
        <v>0</v>
      </c>
      <c r="O1930" s="264"/>
      <c r="P1930" s="264">
        <f>MONTH(Advices[[#This Row],[Transaction Date]])</f>
        <v>3</v>
      </c>
      <c r="Q1930" s="264">
        <f>YEAR(Advices[[#This Row],[Transaction Date]])</f>
        <v>2026</v>
      </c>
      <c r="R1930" s="1"/>
    </row>
    <row r="1931" spans="1:18" x14ac:dyDescent="0.25">
      <c r="A1931" s="264" t="s">
        <v>21</v>
      </c>
      <c r="B1931" s="265">
        <v>46090</v>
      </c>
      <c r="C1931" s="264" t="s">
        <v>1951</v>
      </c>
      <c r="D1931" s="300" t="s">
        <v>2574</v>
      </c>
      <c r="E1931" s="300" t="s">
        <v>815</v>
      </c>
      <c r="F1931" s="300" t="s">
        <v>815</v>
      </c>
      <c r="G1931" s="264" t="s">
        <v>26</v>
      </c>
      <c r="H1931" s="368">
        <v>37.5</v>
      </c>
      <c r="I1931" s="368">
        <v>0</v>
      </c>
      <c r="J1931" s="264" t="s">
        <v>1174</v>
      </c>
      <c r="K1931" s="264" t="s">
        <v>2025</v>
      </c>
      <c r="L1931" s="1" t="str">
        <f>VLOOKUP(Advices[[#This Row],[LC Number]],'Combine_List'!A:D,2,0)</f>
        <v>Afaq Al Malaz Trading Co Ltd</v>
      </c>
      <c r="M1931" s="447" t="str">
        <f>VLOOKUP(Advices[[#This Row],[LC Number]],'Combine_List'!A:D,3,0)</f>
        <v>FIRST FIX</v>
      </c>
      <c r="N1931" s="447" t="str">
        <f>VLOOKUP(Advices[[#This Row],[LC Number]],'Combine_List'!A:D,4,0)</f>
        <v>KSP</v>
      </c>
      <c r="O1931" s="1"/>
      <c r="P1931" s="1">
        <f>MONTH(Advices[[#This Row],[Transaction Date]])</f>
        <v>3</v>
      </c>
      <c r="Q1931" s="1">
        <f>YEAR(Advices[[#This Row],[Transaction Date]])</f>
        <v>2026</v>
      </c>
      <c r="R1931" s="1"/>
    </row>
    <row r="1932" spans="1:18" x14ac:dyDescent="0.25">
      <c r="A1932" s="264" t="s">
        <v>21</v>
      </c>
      <c r="B1932" s="265">
        <v>46090</v>
      </c>
      <c r="C1932" s="264" t="s">
        <v>1951</v>
      </c>
      <c r="D1932" s="300" t="s">
        <v>2574</v>
      </c>
      <c r="E1932" s="300" t="s">
        <v>815</v>
      </c>
      <c r="F1932" s="300" t="s">
        <v>815</v>
      </c>
      <c r="G1932" s="264" t="s">
        <v>26</v>
      </c>
      <c r="H1932" s="368">
        <v>75</v>
      </c>
      <c r="I1932" s="368">
        <v>0</v>
      </c>
      <c r="J1932" s="264" t="s">
        <v>1174</v>
      </c>
      <c r="K1932" s="264" t="s">
        <v>2025</v>
      </c>
      <c r="L1932" s="1" t="str">
        <f>VLOOKUP(Advices[[#This Row],[LC Number]],'Combine_List'!A:D,2,0)</f>
        <v>Afaq Al Malaz Trading Co Ltd</v>
      </c>
      <c r="M1932" s="447" t="str">
        <f>VLOOKUP(Advices[[#This Row],[LC Number]],'Combine_List'!A:D,3,0)</f>
        <v>FIRST FIX</v>
      </c>
      <c r="N1932" s="447" t="str">
        <f>VLOOKUP(Advices[[#This Row],[LC Number]],'Combine_List'!A:D,4,0)</f>
        <v>KSP</v>
      </c>
      <c r="O1932" s="1"/>
      <c r="P1932" s="1">
        <f>MONTH(Advices[[#This Row],[Transaction Date]])</f>
        <v>3</v>
      </c>
      <c r="Q1932" s="1">
        <f>YEAR(Advices[[#This Row],[Transaction Date]])</f>
        <v>2026</v>
      </c>
      <c r="R1932" s="1"/>
    </row>
    <row r="1933" spans="1:18" x14ac:dyDescent="0.25">
      <c r="A1933" s="264" t="s">
        <v>21</v>
      </c>
      <c r="B1933" s="265">
        <v>46090</v>
      </c>
      <c r="C1933" s="264" t="s">
        <v>1951</v>
      </c>
      <c r="D1933" s="300" t="s">
        <v>2632</v>
      </c>
      <c r="E1933" s="300" t="s">
        <v>815</v>
      </c>
      <c r="F1933" s="300" t="s">
        <v>815</v>
      </c>
      <c r="G1933" s="264" t="s">
        <v>26</v>
      </c>
      <c r="H1933" s="368">
        <v>250</v>
      </c>
      <c r="I1933" s="368">
        <v>0</v>
      </c>
      <c r="J1933" s="264" t="s">
        <v>1963</v>
      </c>
      <c r="K1933" s="264" t="s">
        <v>2025</v>
      </c>
      <c r="L1933" s="1" t="str">
        <f>VLOOKUP(Advices[[#This Row],[LC Number]],'Combine_List'!A:D,2,0)</f>
        <v>Afaq Al Malaz Trading Co Ltd</v>
      </c>
      <c r="M1933" s="447" t="str">
        <f>VLOOKUP(Advices[[#This Row],[LC Number]],'Combine_List'!A:D,3,0)</f>
        <v>FIRST FIX</v>
      </c>
      <c r="N1933" s="447" t="str">
        <f>VLOOKUP(Advices[[#This Row],[LC Number]],'Combine_List'!A:D,4,0)</f>
        <v>KSP</v>
      </c>
      <c r="O1933" s="1"/>
      <c r="P1933" s="1">
        <f>MONTH(Advices[[#This Row],[Transaction Date]])</f>
        <v>3</v>
      </c>
      <c r="Q1933" s="1">
        <f>YEAR(Advices[[#This Row],[Transaction Date]])</f>
        <v>2026</v>
      </c>
      <c r="R1933" s="1"/>
    </row>
    <row r="1934" spans="1:18" x14ac:dyDescent="0.25">
      <c r="A1934" s="264" t="s">
        <v>21</v>
      </c>
      <c r="B1934" s="265">
        <v>46090</v>
      </c>
      <c r="C1934" s="264" t="s">
        <v>1951</v>
      </c>
      <c r="D1934" s="300" t="s">
        <v>2633</v>
      </c>
      <c r="E1934" s="300" t="s">
        <v>815</v>
      </c>
      <c r="F1934" s="300" t="s">
        <v>815</v>
      </c>
      <c r="G1934" s="264" t="s">
        <v>26</v>
      </c>
      <c r="H1934" s="368">
        <v>500</v>
      </c>
      <c r="I1934" s="368">
        <v>0</v>
      </c>
      <c r="J1934" s="264" t="s">
        <v>1124</v>
      </c>
      <c r="K1934" s="264" t="s">
        <v>2025</v>
      </c>
      <c r="L1934" s="1" t="str">
        <f>VLOOKUP(Advices[[#This Row],[LC Number]],'Combine_List'!A:D,2,0)</f>
        <v>Afaq Al Malaz Trading Co Ltd</v>
      </c>
      <c r="M1934" s="447" t="str">
        <f>VLOOKUP(Advices[[#This Row],[LC Number]],'Combine_List'!A:D,3,0)</f>
        <v>FIRST FIX</v>
      </c>
      <c r="N1934" s="447" t="str">
        <f>VLOOKUP(Advices[[#This Row],[LC Number]],'Combine_List'!A:D,4,0)</f>
        <v>KSP</v>
      </c>
      <c r="O1934" s="1"/>
      <c r="P1934" s="1">
        <f>MONTH(Advices[[#This Row],[Transaction Date]])</f>
        <v>3</v>
      </c>
      <c r="Q1934" s="1">
        <f>YEAR(Advices[[#This Row],[Transaction Date]])</f>
        <v>2026</v>
      </c>
      <c r="R1934" s="1"/>
    </row>
    <row r="1935" spans="1:18" x14ac:dyDescent="0.25">
      <c r="A1935" s="264" t="s">
        <v>21</v>
      </c>
      <c r="B1935" s="265">
        <v>46090</v>
      </c>
      <c r="C1935" s="264" t="s">
        <v>1951</v>
      </c>
      <c r="D1935" s="300" t="s">
        <v>2574</v>
      </c>
      <c r="E1935" s="300" t="s">
        <v>1195</v>
      </c>
      <c r="F1935" s="300" t="s">
        <v>1195</v>
      </c>
      <c r="G1935" s="264" t="s">
        <v>26</v>
      </c>
      <c r="H1935" s="368">
        <v>37.5</v>
      </c>
      <c r="I1935" s="368">
        <v>0</v>
      </c>
      <c r="J1935" s="264" t="s">
        <v>1174</v>
      </c>
      <c r="K1935" s="264" t="s">
        <v>2025</v>
      </c>
      <c r="L1935" s="1" t="str">
        <f>VLOOKUP(Advices[[#This Row],[LC Number]],'Combine_List'!A:D,2,0)</f>
        <v>SKM AIR CONDITIONING CO</v>
      </c>
      <c r="M1935" s="447" t="str">
        <f>VLOOKUP(Advices[[#This Row],[LC Number]],'Combine_List'!A:D,3,0)</f>
        <v>FIRST FIX</v>
      </c>
      <c r="N1935" s="447" t="str">
        <f>VLOOKUP(Advices[[#This Row],[LC Number]],'Combine_List'!A:D,4,0)</f>
        <v>JCD SPMI</v>
      </c>
      <c r="O1935" s="1"/>
      <c r="P1935" s="1">
        <f>MONTH(Advices[[#This Row],[Transaction Date]])</f>
        <v>3</v>
      </c>
      <c r="Q1935" s="1">
        <f>YEAR(Advices[[#This Row],[Transaction Date]])</f>
        <v>2026</v>
      </c>
      <c r="R1935" s="1"/>
    </row>
    <row r="1936" spans="1:18" x14ac:dyDescent="0.25">
      <c r="A1936" s="264" t="s">
        <v>21</v>
      </c>
      <c r="B1936" s="265">
        <v>46090</v>
      </c>
      <c r="C1936" s="264" t="s">
        <v>1951</v>
      </c>
      <c r="D1936" s="300" t="s">
        <v>2574</v>
      </c>
      <c r="E1936" s="300" t="s">
        <v>1195</v>
      </c>
      <c r="F1936" s="300" t="s">
        <v>1195</v>
      </c>
      <c r="G1936" s="264" t="s">
        <v>26</v>
      </c>
      <c r="H1936" s="368">
        <v>75</v>
      </c>
      <c r="I1936" s="368">
        <v>0</v>
      </c>
      <c r="J1936" s="264" t="s">
        <v>1174</v>
      </c>
      <c r="K1936" s="264" t="s">
        <v>2025</v>
      </c>
      <c r="L1936" s="1" t="str">
        <f>VLOOKUP(Advices[[#This Row],[LC Number]],'Combine_List'!A:D,2,0)</f>
        <v>SKM AIR CONDITIONING CO</v>
      </c>
      <c r="M1936" s="447" t="str">
        <f>VLOOKUP(Advices[[#This Row],[LC Number]],'Combine_List'!A:D,3,0)</f>
        <v>FIRST FIX</v>
      </c>
      <c r="N1936" s="447" t="str">
        <f>VLOOKUP(Advices[[#This Row],[LC Number]],'Combine_List'!A:D,4,0)</f>
        <v>JCD SPMI</v>
      </c>
      <c r="O1936" s="1"/>
      <c r="P1936" s="1">
        <f>MONTH(Advices[[#This Row],[Transaction Date]])</f>
        <v>3</v>
      </c>
      <c r="Q1936" s="1">
        <f>YEAR(Advices[[#This Row],[Transaction Date]])</f>
        <v>2026</v>
      </c>
      <c r="R1936" s="1"/>
    </row>
    <row r="1937" spans="1:18" x14ac:dyDescent="0.25">
      <c r="A1937" s="264" t="s">
        <v>21</v>
      </c>
      <c r="B1937" s="265">
        <v>46090</v>
      </c>
      <c r="C1937" s="264" t="s">
        <v>1951</v>
      </c>
      <c r="D1937" s="300" t="s">
        <v>2634</v>
      </c>
      <c r="E1937" s="300" t="s">
        <v>1195</v>
      </c>
      <c r="F1937" s="300" t="s">
        <v>1195</v>
      </c>
      <c r="G1937" s="264" t="s">
        <v>26</v>
      </c>
      <c r="H1937" s="368">
        <v>250</v>
      </c>
      <c r="I1937" s="368">
        <v>0</v>
      </c>
      <c r="J1937" s="264" t="s">
        <v>1963</v>
      </c>
      <c r="K1937" s="264" t="s">
        <v>2025</v>
      </c>
      <c r="L1937" s="1" t="str">
        <f>VLOOKUP(Advices[[#This Row],[LC Number]],'Combine_List'!A:D,2,0)</f>
        <v>SKM AIR CONDITIONING CO</v>
      </c>
      <c r="M1937" s="447" t="str">
        <f>VLOOKUP(Advices[[#This Row],[LC Number]],'Combine_List'!A:D,3,0)</f>
        <v>FIRST FIX</v>
      </c>
      <c r="N1937" s="447" t="str">
        <f>VLOOKUP(Advices[[#This Row],[LC Number]],'Combine_List'!A:D,4,0)</f>
        <v>JCD SPMI</v>
      </c>
      <c r="O1937" s="1"/>
      <c r="P1937" s="1">
        <f>MONTH(Advices[[#This Row],[Transaction Date]])</f>
        <v>3</v>
      </c>
      <c r="Q1937" s="1">
        <f>YEAR(Advices[[#This Row],[Transaction Date]])</f>
        <v>2026</v>
      </c>
      <c r="R1937" s="1"/>
    </row>
    <row r="1938" spans="1:18" x14ac:dyDescent="0.25">
      <c r="A1938" s="264" t="s">
        <v>21</v>
      </c>
      <c r="B1938" s="265">
        <v>46090</v>
      </c>
      <c r="C1938" s="264" t="s">
        <v>1951</v>
      </c>
      <c r="D1938" s="300" t="s">
        <v>2635</v>
      </c>
      <c r="E1938" s="300" t="s">
        <v>1195</v>
      </c>
      <c r="F1938" s="300" t="s">
        <v>1195</v>
      </c>
      <c r="G1938" s="264" t="s">
        <v>26</v>
      </c>
      <c r="H1938" s="368">
        <v>500</v>
      </c>
      <c r="I1938" s="368">
        <v>0</v>
      </c>
      <c r="J1938" s="264" t="s">
        <v>1124</v>
      </c>
      <c r="K1938" s="264" t="s">
        <v>2025</v>
      </c>
      <c r="L1938" s="1" t="str">
        <f>VLOOKUP(Advices[[#This Row],[LC Number]],'Combine_List'!A:D,2,0)</f>
        <v>SKM AIR CONDITIONING CO</v>
      </c>
      <c r="M1938" s="447" t="str">
        <f>VLOOKUP(Advices[[#This Row],[LC Number]],'Combine_List'!A:D,3,0)</f>
        <v>FIRST FIX</v>
      </c>
      <c r="N1938" s="447" t="str">
        <f>VLOOKUP(Advices[[#This Row],[LC Number]],'Combine_List'!A:D,4,0)</f>
        <v>JCD SPMI</v>
      </c>
      <c r="O1938" s="1"/>
      <c r="P1938" s="1">
        <f>MONTH(Advices[[#This Row],[Transaction Date]])</f>
        <v>3</v>
      </c>
      <c r="Q1938" s="1">
        <f>YEAR(Advices[[#This Row],[Transaction Date]])</f>
        <v>2026</v>
      </c>
      <c r="R1938" s="1"/>
    </row>
    <row r="1939" spans="1:18" x14ac:dyDescent="0.25">
      <c r="A1939" s="264" t="s">
        <v>21</v>
      </c>
      <c r="B1939" s="265">
        <v>46090</v>
      </c>
      <c r="C1939" s="264" t="s">
        <v>1951</v>
      </c>
      <c r="D1939" s="300" t="s">
        <v>2574</v>
      </c>
      <c r="E1939" s="300" t="s">
        <v>1343</v>
      </c>
      <c r="F1939" s="300" t="s">
        <v>1343</v>
      </c>
      <c r="G1939" s="264" t="s">
        <v>26</v>
      </c>
      <c r="H1939" s="368">
        <v>37.5</v>
      </c>
      <c r="I1939" s="368">
        <v>0</v>
      </c>
      <c r="J1939" s="264" t="s">
        <v>1174</v>
      </c>
      <c r="K1939" s="264" t="s">
        <v>2025</v>
      </c>
      <c r="L1939" s="1" t="str">
        <f>VLOOKUP(Advices[[#This Row],[LC Number]],'Combine_List'!A:D,2,0)</f>
        <v>MASDAR TECHNICAL Supplies CO.</v>
      </c>
      <c r="M1939" s="447" t="str">
        <f>VLOOKUP(Advices[[#This Row],[LC Number]],'Combine_List'!A:D,3,0)</f>
        <v>FIRST FIX</v>
      </c>
      <c r="N1939" s="447" t="str">
        <f>VLOOKUP(Advices[[#This Row],[LC Number]],'Combine_List'!A:D,4,0)</f>
        <v>KSP</v>
      </c>
      <c r="O1939" s="1"/>
      <c r="P1939" s="1">
        <f>MONTH(Advices[[#This Row],[Transaction Date]])</f>
        <v>3</v>
      </c>
      <c r="Q1939" s="1">
        <f>YEAR(Advices[[#This Row],[Transaction Date]])</f>
        <v>2026</v>
      </c>
      <c r="R1939" s="1"/>
    </row>
    <row r="1940" spans="1:18" x14ac:dyDescent="0.25">
      <c r="A1940" s="264" t="s">
        <v>21</v>
      </c>
      <c r="B1940" s="265">
        <v>46090</v>
      </c>
      <c r="C1940" s="264" t="s">
        <v>1951</v>
      </c>
      <c r="D1940" s="300" t="s">
        <v>2574</v>
      </c>
      <c r="E1940" s="300" t="s">
        <v>1343</v>
      </c>
      <c r="F1940" s="300" t="s">
        <v>1343</v>
      </c>
      <c r="G1940" s="264" t="s">
        <v>26</v>
      </c>
      <c r="H1940" s="368">
        <v>75</v>
      </c>
      <c r="I1940" s="368">
        <v>0</v>
      </c>
      <c r="J1940" s="264" t="s">
        <v>1174</v>
      </c>
      <c r="K1940" s="264" t="s">
        <v>2025</v>
      </c>
      <c r="L1940" s="1" t="str">
        <f>VLOOKUP(Advices[[#This Row],[LC Number]],'Combine_List'!A:D,2,0)</f>
        <v>MASDAR TECHNICAL Supplies CO.</v>
      </c>
      <c r="M1940" s="447" t="str">
        <f>VLOOKUP(Advices[[#This Row],[LC Number]],'Combine_List'!A:D,3,0)</f>
        <v>FIRST FIX</v>
      </c>
      <c r="N1940" s="447" t="str">
        <f>VLOOKUP(Advices[[#This Row],[LC Number]],'Combine_List'!A:D,4,0)</f>
        <v>KSP</v>
      </c>
      <c r="O1940" s="1"/>
      <c r="P1940" s="1">
        <f>MONTH(Advices[[#This Row],[Transaction Date]])</f>
        <v>3</v>
      </c>
      <c r="Q1940" s="1">
        <f>YEAR(Advices[[#This Row],[Transaction Date]])</f>
        <v>2026</v>
      </c>
      <c r="R1940" s="1"/>
    </row>
    <row r="1941" spans="1:18" x14ac:dyDescent="0.25">
      <c r="A1941" s="264" t="s">
        <v>21</v>
      </c>
      <c r="B1941" s="265">
        <v>46090</v>
      </c>
      <c r="C1941" s="264" t="s">
        <v>1951</v>
      </c>
      <c r="D1941" s="300" t="s">
        <v>2638</v>
      </c>
      <c r="E1941" s="300" t="s">
        <v>1343</v>
      </c>
      <c r="F1941" s="300" t="s">
        <v>1343</v>
      </c>
      <c r="G1941" s="264" t="s">
        <v>26</v>
      </c>
      <c r="H1941" s="368">
        <v>250</v>
      </c>
      <c r="I1941" s="368">
        <v>0</v>
      </c>
      <c r="J1941" s="264" t="s">
        <v>1963</v>
      </c>
      <c r="K1941" s="264" t="s">
        <v>2025</v>
      </c>
      <c r="L1941" s="1" t="str">
        <f>VLOOKUP(Advices[[#This Row],[LC Number]],'Combine_List'!A:D,2,0)</f>
        <v>MASDAR TECHNICAL Supplies CO.</v>
      </c>
      <c r="M1941" s="447" t="str">
        <f>VLOOKUP(Advices[[#This Row],[LC Number]],'Combine_List'!A:D,3,0)</f>
        <v>FIRST FIX</v>
      </c>
      <c r="N1941" s="447" t="str">
        <f>VLOOKUP(Advices[[#This Row],[LC Number]],'Combine_List'!A:D,4,0)</f>
        <v>KSP</v>
      </c>
      <c r="O1941" s="1"/>
      <c r="P1941" s="1">
        <f>MONTH(Advices[[#This Row],[Transaction Date]])</f>
        <v>3</v>
      </c>
      <c r="Q1941" s="1">
        <f>YEAR(Advices[[#This Row],[Transaction Date]])</f>
        <v>2026</v>
      </c>
      <c r="R1941" s="1"/>
    </row>
    <row r="1942" spans="1:18" x14ac:dyDescent="0.25">
      <c r="A1942" s="264" t="s">
        <v>21</v>
      </c>
      <c r="B1942" s="265">
        <v>46090</v>
      </c>
      <c r="C1942" s="264" t="s">
        <v>1951</v>
      </c>
      <c r="D1942" s="300" t="s">
        <v>2639</v>
      </c>
      <c r="E1942" s="300" t="s">
        <v>1343</v>
      </c>
      <c r="F1942" s="300" t="s">
        <v>1343</v>
      </c>
      <c r="G1942" s="264" t="s">
        <v>26</v>
      </c>
      <c r="H1942" s="368">
        <v>500</v>
      </c>
      <c r="I1942" s="368">
        <v>0</v>
      </c>
      <c r="J1942" s="264" t="s">
        <v>1124</v>
      </c>
      <c r="K1942" s="264" t="s">
        <v>2025</v>
      </c>
      <c r="L1942" s="1" t="str">
        <f>VLOOKUP(Advices[[#This Row],[LC Number]],'Combine_List'!A:D,2,0)</f>
        <v>MASDAR TECHNICAL Supplies CO.</v>
      </c>
      <c r="M1942" s="447" t="str">
        <f>VLOOKUP(Advices[[#This Row],[LC Number]],'Combine_List'!A:D,3,0)</f>
        <v>FIRST FIX</v>
      </c>
      <c r="N1942" s="447" t="str">
        <f>VLOOKUP(Advices[[#This Row],[LC Number]],'Combine_List'!A:D,4,0)</f>
        <v>KSP</v>
      </c>
      <c r="O1942" s="1"/>
      <c r="P1942" s="1">
        <f>MONTH(Advices[[#This Row],[Transaction Date]])</f>
        <v>3</v>
      </c>
      <c r="Q1942" s="1">
        <f>YEAR(Advices[[#This Row],[Transaction Date]])</f>
        <v>2026</v>
      </c>
      <c r="R1942" s="1"/>
    </row>
    <row r="1943" spans="1:18" x14ac:dyDescent="0.25">
      <c r="A1943" s="264" t="s">
        <v>21</v>
      </c>
      <c r="B1943" s="265">
        <v>46090</v>
      </c>
      <c r="C1943" s="264" t="s">
        <v>1951</v>
      </c>
      <c r="D1943" s="300" t="s">
        <v>2574</v>
      </c>
      <c r="E1943" s="300" t="s">
        <v>1399</v>
      </c>
      <c r="F1943" s="300" t="s">
        <v>1399</v>
      </c>
      <c r="G1943" s="264" t="s">
        <v>26</v>
      </c>
      <c r="H1943" s="368">
        <v>37.5</v>
      </c>
      <c r="I1943" s="368">
        <v>0</v>
      </c>
      <c r="J1943" s="264" t="s">
        <v>1174</v>
      </c>
      <c r="K1943" s="264" t="s">
        <v>2025</v>
      </c>
      <c r="L1943" s="1" t="str">
        <f>VLOOKUP(Advices[[#This Row],[LC Number]],'Combine_List'!A:D,2,0)</f>
        <v>GAS SOLUTIONS</v>
      </c>
      <c r="M1943" s="447" t="str">
        <f>VLOOKUP(Advices[[#This Row],[LC Number]],'Combine_List'!A:D,3,0)</f>
        <v>FIRST FIX</v>
      </c>
      <c r="N1943" s="447" t="str">
        <f>VLOOKUP(Advices[[#This Row],[LC Number]],'Combine_List'!A:D,4,0)</f>
        <v>KSP</v>
      </c>
      <c r="O1943" s="1"/>
      <c r="P1943" s="1">
        <f>MONTH(Advices[[#This Row],[Transaction Date]])</f>
        <v>3</v>
      </c>
      <c r="Q1943" s="1">
        <f>YEAR(Advices[[#This Row],[Transaction Date]])</f>
        <v>2026</v>
      </c>
      <c r="R1943" s="1"/>
    </row>
    <row r="1944" spans="1:18" x14ac:dyDescent="0.25">
      <c r="A1944" s="264" t="s">
        <v>21</v>
      </c>
      <c r="B1944" s="265">
        <v>46090</v>
      </c>
      <c r="C1944" s="264" t="s">
        <v>1951</v>
      </c>
      <c r="D1944" s="300" t="s">
        <v>2574</v>
      </c>
      <c r="E1944" s="300" t="s">
        <v>1399</v>
      </c>
      <c r="F1944" s="300" t="s">
        <v>1399</v>
      </c>
      <c r="G1944" s="264" t="s">
        <v>26</v>
      </c>
      <c r="H1944" s="368">
        <v>75</v>
      </c>
      <c r="I1944" s="368">
        <v>0</v>
      </c>
      <c r="J1944" s="264" t="s">
        <v>1174</v>
      </c>
      <c r="K1944" s="264" t="s">
        <v>2025</v>
      </c>
      <c r="L1944" s="1" t="str">
        <f>VLOOKUP(Advices[[#This Row],[LC Number]],'Combine_List'!A:D,2,0)</f>
        <v>GAS SOLUTIONS</v>
      </c>
      <c r="M1944" s="447" t="str">
        <f>VLOOKUP(Advices[[#This Row],[LC Number]],'Combine_List'!A:D,3,0)</f>
        <v>FIRST FIX</v>
      </c>
      <c r="N1944" s="447" t="str">
        <f>VLOOKUP(Advices[[#This Row],[LC Number]],'Combine_List'!A:D,4,0)</f>
        <v>KSP</v>
      </c>
      <c r="O1944" s="1"/>
      <c r="P1944" s="1">
        <f>MONTH(Advices[[#This Row],[Transaction Date]])</f>
        <v>3</v>
      </c>
      <c r="Q1944" s="1">
        <f>YEAR(Advices[[#This Row],[Transaction Date]])</f>
        <v>2026</v>
      </c>
      <c r="R1944" s="1"/>
    </row>
    <row r="1945" spans="1:18" x14ac:dyDescent="0.25">
      <c r="A1945" s="264" t="s">
        <v>21</v>
      </c>
      <c r="B1945" s="265">
        <v>46090</v>
      </c>
      <c r="C1945" s="264" t="s">
        <v>1951</v>
      </c>
      <c r="D1945" s="300" t="s">
        <v>2575</v>
      </c>
      <c r="E1945" s="300" t="s">
        <v>1399</v>
      </c>
      <c r="F1945" s="300" t="s">
        <v>1399</v>
      </c>
      <c r="G1945" s="264" t="s">
        <v>26</v>
      </c>
      <c r="H1945" s="368">
        <v>250</v>
      </c>
      <c r="I1945" s="368">
        <v>0</v>
      </c>
      <c r="J1945" s="264" t="s">
        <v>1963</v>
      </c>
      <c r="K1945" s="264" t="s">
        <v>2025</v>
      </c>
      <c r="L1945" s="1" t="str">
        <f>VLOOKUP(Advices[[#This Row],[LC Number]],'Combine_List'!A:D,2,0)</f>
        <v>GAS SOLUTIONS</v>
      </c>
      <c r="M1945" s="447" t="str">
        <f>VLOOKUP(Advices[[#This Row],[LC Number]],'Combine_List'!A:D,3,0)</f>
        <v>FIRST FIX</v>
      </c>
      <c r="N1945" s="447" t="str">
        <f>VLOOKUP(Advices[[#This Row],[LC Number]],'Combine_List'!A:D,4,0)</f>
        <v>KSP</v>
      </c>
      <c r="O1945" s="1"/>
      <c r="P1945" s="1">
        <f>MONTH(Advices[[#This Row],[Transaction Date]])</f>
        <v>3</v>
      </c>
      <c r="Q1945" s="1">
        <f>YEAR(Advices[[#This Row],[Transaction Date]])</f>
        <v>2026</v>
      </c>
      <c r="R1945" s="1"/>
    </row>
    <row r="1946" spans="1:18" x14ac:dyDescent="0.25">
      <c r="A1946" s="264" t="s">
        <v>21</v>
      </c>
      <c r="B1946" s="265">
        <v>46090</v>
      </c>
      <c r="C1946" s="264" t="s">
        <v>1951</v>
      </c>
      <c r="D1946" s="300" t="s">
        <v>2576</v>
      </c>
      <c r="E1946" s="300" t="s">
        <v>1399</v>
      </c>
      <c r="F1946" s="300" t="s">
        <v>1399</v>
      </c>
      <c r="G1946" s="264" t="s">
        <v>26</v>
      </c>
      <c r="H1946" s="368">
        <v>500</v>
      </c>
      <c r="I1946" s="368">
        <v>0</v>
      </c>
      <c r="J1946" s="264" t="s">
        <v>1124</v>
      </c>
      <c r="K1946" s="264" t="s">
        <v>2025</v>
      </c>
      <c r="L1946" s="1" t="str">
        <f>VLOOKUP(Advices[[#This Row],[LC Number]],'Combine_List'!A:D,2,0)</f>
        <v>GAS SOLUTIONS</v>
      </c>
      <c r="M1946" s="447" t="str">
        <f>VLOOKUP(Advices[[#This Row],[LC Number]],'Combine_List'!A:D,3,0)</f>
        <v>FIRST FIX</v>
      </c>
      <c r="N1946" s="447" t="str">
        <f>VLOOKUP(Advices[[#This Row],[LC Number]],'Combine_List'!A:D,4,0)</f>
        <v>KSP</v>
      </c>
      <c r="O1946" s="1"/>
      <c r="P1946" s="1">
        <f>MONTH(Advices[[#This Row],[Transaction Date]])</f>
        <v>3</v>
      </c>
      <c r="Q1946" s="1">
        <f>YEAR(Advices[[#This Row],[Transaction Date]])</f>
        <v>2026</v>
      </c>
      <c r="R1946" s="1"/>
    </row>
    <row r="1947" spans="1:18" x14ac:dyDescent="0.25">
      <c r="A1947" s="264" t="s">
        <v>21</v>
      </c>
      <c r="B1947" s="265">
        <v>46090</v>
      </c>
      <c r="C1947" s="264" t="s">
        <v>1951</v>
      </c>
      <c r="D1947" s="300" t="s">
        <v>2574</v>
      </c>
      <c r="E1947" s="300" t="s">
        <v>1495</v>
      </c>
      <c r="F1947" s="300" t="s">
        <v>1495</v>
      </c>
      <c r="G1947" s="264" t="s">
        <v>26</v>
      </c>
      <c r="H1947" s="368">
        <v>37.5</v>
      </c>
      <c r="I1947" s="368">
        <v>0</v>
      </c>
      <c r="J1947" s="264" t="s">
        <v>1174</v>
      </c>
      <c r="K1947" s="264" t="s">
        <v>2025</v>
      </c>
      <c r="L1947" s="1" t="str">
        <f>VLOOKUP(Advices[[#This Row],[LC Number]],'Combine_List'!A:D,2,0)</f>
        <v>Almansha Almubasher Trading Company</v>
      </c>
      <c r="M1947" s="447" t="str">
        <f>VLOOKUP(Advices[[#This Row],[LC Number]],'Combine_List'!A:D,3,0)</f>
        <v>FIRST FIX</v>
      </c>
      <c r="N1947" s="447" t="str">
        <f>VLOOKUP(Advices[[#This Row],[LC Number]],'Combine_List'!A:D,4,0)</f>
        <v>JCD SPMI</v>
      </c>
      <c r="O1947" s="1"/>
      <c r="P1947" s="1">
        <f>MONTH(Advices[[#This Row],[Transaction Date]])</f>
        <v>3</v>
      </c>
      <c r="Q1947" s="1">
        <f>YEAR(Advices[[#This Row],[Transaction Date]])</f>
        <v>2026</v>
      </c>
      <c r="R1947" s="1"/>
    </row>
    <row r="1948" spans="1:18" x14ac:dyDescent="0.25">
      <c r="A1948" s="264" t="s">
        <v>21</v>
      </c>
      <c r="B1948" s="265">
        <v>46090</v>
      </c>
      <c r="C1948" s="264" t="s">
        <v>1951</v>
      </c>
      <c r="D1948" s="300" t="s">
        <v>2574</v>
      </c>
      <c r="E1948" s="300" t="s">
        <v>1495</v>
      </c>
      <c r="F1948" s="300" t="s">
        <v>1495</v>
      </c>
      <c r="G1948" s="264" t="s">
        <v>26</v>
      </c>
      <c r="H1948" s="368">
        <v>75</v>
      </c>
      <c r="I1948" s="368">
        <v>0</v>
      </c>
      <c r="J1948" s="264" t="s">
        <v>1174</v>
      </c>
      <c r="K1948" s="264" t="s">
        <v>2025</v>
      </c>
      <c r="L1948" s="1" t="str">
        <f>VLOOKUP(Advices[[#This Row],[LC Number]],'Combine_List'!A:D,2,0)</f>
        <v>Almansha Almubasher Trading Company</v>
      </c>
      <c r="M1948" s="447" t="str">
        <f>VLOOKUP(Advices[[#This Row],[LC Number]],'Combine_List'!A:D,3,0)</f>
        <v>FIRST FIX</v>
      </c>
      <c r="N1948" s="447" t="str">
        <f>VLOOKUP(Advices[[#This Row],[LC Number]],'Combine_List'!A:D,4,0)</f>
        <v>JCD SPMI</v>
      </c>
      <c r="O1948" s="1"/>
      <c r="P1948" s="1">
        <f>MONTH(Advices[[#This Row],[Transaction Date]])</f>
        <v>3</v>
      </c>
      <c r="Q1948" s="1">
        <f>YEAR(Advices[[#This Row],[Transaction Date]])</f>
        <v>2026</v>
      </c>
      <c r="R1948" s="1"/>
    </row>
    <row r="1949" spans="1:18" x14ac:dyDescent="0.25">
      <c r="A1949" s="264" t="s">
        <v>21</v>
      </c>
      <c r="B1949" s="265">
        <v>46090</v>
      </c>
      <c r="C1949" s="264" t="s">
        <v>1951</v>
      </c>
      <c r="D1949" s="300" t="s">
        <v>2583</v>
      </c>
      <c r="E1949" s="300" t="s">
        <v>1495</v>
      </c>
      <c r="F1949" s="300" t="s">
        <v>1495</v>
      </c>
      <c r="G1949" s="264" t="s">
        <v>26</v>
      </c>
      <c r="H1949" s="368">
        <v>250</v>
      </c>
      <c r="I1949" s="368">
        <v>0</v>
      </c>
      <c r="J1949" s="264" t="s">
        <v>1963</v>
      </c>
      <c r="K1949" s="264" t="s">
        <v>2025</v>
      </c>
      <c r="L1949" s="1" t="str">
        <f>VLOOKUP(Advices[[#This Row],[LC Number]],'Combine_List'!A:D,2,0)</f>
        <v>Almansha Almubasher Trading Company</v>
      </c>
      <c r="M1949" s="447" t="str">
        <f>VLOOKUP(Advices[[#This Row],[LC Number]],'Combine_List'!A:D,3,0)</f>
        <v>FIRST FIX</v>
      </c>
      <c r="N1949" s="447" t="str">
        <f>VLOOKUP(Advices[[#This Row],[LC Number]],'Combine_List'!A:D,4,0)</f>
        <v>JCD SPMI</v>
      </c>
      <c r="O1949" s="1"/>
      <c r="P1949" s="1">
        <f>MONTH(Advices[[#This Row],[Transaction Date]])</f>
        <v>3</v>
      </c>
      <c r="Q1949" s="1">
        <f>YEAR(Advices[[#This Row],[Transaction Date]])</f>
        <v>2026</v>
      </c>
      <c r="R1949" s="1"/>
    </row>
    <row r="1950" spans="1:18" x14ac:dyDescent="0.25">
      <c r="A1950" s="264" t="s">
        <v>21</v>
      </c>
      <c r="B1950" s="265">
        <v>46090</v>
      </c>
      <c r="C1950" s="264" t="s">
        <v>1951</v>
      </c>
      <c r="D1950" s="300" t="s">
        <v>2584</v>
      </c>
      <c r="E1950" s="300" t="s">
        <v>1495</v>
      </c>
      <c r="F1950" s="300" t="s">
        <v>1495</v>
      </c>
      <c r="G1950" s="264" t="s">
        <v>26</v>
      </c>
      <c r="H1950" s="368">
        <v>500</v>
      </c>
      <c r="I1950" s="368">
        <v>0</v>
      </c>
      <c r="J1950" s="264" t="s">
        <v>1124</v>
      </c>
      <c r="K1950" s="264" t="s">
        <v>2025</v>
      </c>
      <c r="L1950" s="1" t="str">
        <f>VLOOKUP(Advices[[#This Row],[LC Number]],'Combine_List'!A:D,2,0)</f>
        <v>Almansha Almubasher Trading Company</v>
      </c>
      <c r="M1950" s="447" t="str">
        <f>VLOOKUP(Advices[[#This Row],[LC Number]],'Combine_List'!A:D,3,0)</f>
        <v>FIRST FIX</v>
      </c>
      <c r="N1950" s="447" t="str">
        <f>VLOOKUP(Advices[[#This Row],[LC Number]],'Combine_List'!A:D,4,0)</f>
        <v>JCD SPMI</v>
      </c>
      <c r="O1950" s="1"/>
      <c r="P1950" s="1">
        <f>MONTH(Advices[[#This Row],[Transaction Date]])</f>
        <v>3</v>
      </c>
      <c r="Q1950" s="1">
        <f>YEAR(Advices[[#This Row],[Transaction Date]])</f>
        <v>2026</v>
      </c>
      <c r="R1950" s="1"/>
    </row>
    <row r="1951" spans="1:18" x14ac:dyDescent="0.25">
      <c r="A1951" s="264" t="s">
        <v>21</v>
      </c>
      <c r="B1951" s="265">
        <v>46090</v>
      </c>
      <c r="C1951" s="264" t="s">
        <v>1951</v>
      </c>
      <c r="D1951" s="300" t="s">
        <v>3302</v>
      </c>
      <c r="E1951" s="300" t="s">
        <v>1503</v>
      </c>
      <c r="F1951" s="300" t="s">
        <v>1503</v>
      </c>
      <c r="G1951" s="264" t="s">
        <v>26</v>
      </c>
      <c r="H1951" s="368">
        <v>37.5</v>
      </c>
      <c r="I1951" s="368">
        <v>0</v>
      </c>
      <c r="J1951" s="264" t="s">
        <v>1174</v>
      </c>
      <c r="K1951" s="264" t="s">
        <v>2025</v>
      </c>
      <c r="L1951" s="1" t="str">
        <f>VLOOKUP(Advices[[#This Row],[LC Number]],'Combine_List'!A:D,2,0)</f>
        <v>SKM AIR CONDITIONING CO</v>
      </c>
      <c r="M1951" s="447" t="str">
        <f>VLOOKUP(Advices[[#This Row],[LC Number]],'Combine_List'!A:D,3,0)</f>
        <v>FIRST FIX</v>
      </c>
      <c r="N1951" s="447" t="str">
        <f>VLOOKUP(Advices[[#This Row],[LC Number]],'Combine_List'!A:D,4,0)</f>
        <v>JCD SPMI</v>
      </c>
      <c r="O1951" s="1"/>
      <c r="P1951" s="1">
        <f>MONTH(Advices[[#This Row],[Transaction Date]])</f>
        <v>3</v>
      </c>
      <c r="Q1951" s="1">
        <f>YEAR(Advices[[#This Row],[Transaction Date]])</f>
        <v>2026</v>
      </c>
      <c r="R1951" s="1"/>
    </row>
    <row r="1952" spans="1:18" x14ac:dyDescent="0.25">
      <c r="A1952" s="264" t="s">
        <v>21</v>
      </c>
      <c r="B1952" s="265">
        <v>46090</v>
      </c>
      <c r="C1952" s="264" t="s">
        <v>1951</v>
      </c>
      <c r="D1952" s="300" t="s">
        <v>3302</v>
      </c>
      <c r="E1952" s="300" t="s">
        <v>1503</v>
      </c>
      <c r="F1952" s="300" t="s">
        <v>1503</v>
      </c>
      <c r="G1952" s="264" t="s">
        <v>26</v>
      </c>
      <c r="H1952" s="368">
        <v>133.94999999999999</v>
      </c>
      <c r="I1952" s="368">
        <v>0</v>
      </c>
      <c r="J1952" s="264" t="s">
        <v>1174</v>
      </c>
      <c r="K1952" s="264" t="s">
        <v>2025</v>
      </c>
      <c r="L1952" s="1" t="str">
        <f>VLOOKUP(Advices[[#This Row],[LC Number]],'Combine_List'!A:D,2,0)</f>
        <v>SKM AIR CONDITIONING CO</v>
      </c>
      <c r="M1952" s="447" t="str">
        <f>VLOOKUP(Advices[[#This Row],[LC Number]],'Combine_List'!A:D,3,0)</f>
        <v>FIRST FIX</v>
      </c>
      <c r="N1952" s="447" t="str">
        <f>VLOOKUP(Advices[[#This Row],[LC Number]],'Combine_List'!A:D,4,0)</f>
        <v>JCD SPMI</v>
      </c>
      <c r="O1952" s="1"/>
      <c r="P1952" s="1">
        <f>MONTH(Advices[[#This Row],[Transaction Date]])</f>
        <v>3</v>
      </c>
      <c r="Q1952" s="1">
        <f>YEAR(Advices[[#This Row],[Transaction Date]])</f>
        <v>2026</v>
      </c>
      <c r="R1952" s="1"/>
    </row>
    <row r="1953" spans="1:18" x14ac:dyDescent="0.25">
      <c r="A1953" s="264" t="s">
        <v>21</v>
      </c>
      <c r="B1953" s="265">
        <v>46090</v>
      </c>
      <c r="C1953" s="264" t="s">
        <v>1951</v>
      </c>
      <c r="D1953" s="300" t="s">
        <v>2586</v>
      </c>
      <c r="E1953" s="300" t="s">
        <v>1503</v>
      </c>
      <c r="F1953" s="300" t="s">
        <v>1503</v>
      </c>
      <c r="G1953" s="264" t="s">
        <v>26</v>
      </c>
      <c r="H1953" s="368">
        <v>250</v>
      </c>
      <c r="I1953" s="368">
        <v>0</v>
      </c>
      <c r="J1953" s="264" t="s">
        <v>1963</v>
      </c>
      <c r="K1953" s="264" t="s">
        <v>2025</v>
      </c>
      <c r="L1953" s="1" t="str">
        <f>VLOOKUP(Advices[[#This Row],[LC Number]],'Combine_List'!A:D,2,0)</f>
        <v>SKM AIR CONDITIONING CO</v>
      </c>
      <c r="M1953" s="447" t="str">
        <f>VLOOKUP(Advices[[#This Row],[LC Number]],'Combine_List'!A:D,3,0)</f>
        <v>FIRST FIX</v>
      </c>
      <c r="N1953" s="447" t="str">
        <f>VLOOKUP(Advices[[#This Row],[LC Number]],'Combine_List'!A:D,4,0)</f>
        <v>JCD SPMI</v>
      </c>
      <c r="O1953" s="1"/>
      <c r="P1953" s="1">
        <f>MONTH(Advices[[#This Row],[Transaction Date]])</f>
        <v>3</v>
      </c>
      <c r="Q1953" s="1">
        <f>YEAR(Advices[[#This Row],[Transaction Date]])</f>
        <v>2026</v>
      </c>
      <c r="R1953" s="1"/>
    </row>
    <row r="1954" spans="1:18" x14ac:dyDescent="0.25">
      <c r="A1954" s="264" t="s">
        <v>21</v>
      </c>
      <c r="B1954" s="265">
        <v>46090</v>
      </c>
      <c r="C1954" s="264" t="s">
        <v>1951</v>
      </c>
      <c r="D1954" s="300" t="s">
        <v>2587</v>
      </c>
      <c r="E1954" s="300" t="s">
        <v>1503</v>
      </c>
      <c r="F1954" s="300" t="s">
        <v>1503</v>
      </c>
      <c r="G1954" s="264" t="s">
        <v>26</v>
      </c>
      <c r="H1954" s="368">
        <v>893.02</v>
      </c>
      <c r="I1954" s="368">
        <v>0</v>
      </c>
      <c r="J1954" s="264" t="s">
        <v>1124</v>
      </c>
      <c r="K1954" s="264" t="s">
        <v>2025</v>
      </c>
      <c r="L1954" s="1" t="str">
        <f>VLOOKUP(Advices[[#This Row],[LC Number]],'Combine_List'!A:D,2,0)</f>
        <v>SKM AIR CONDITIONING CO</v>
      </c>
      <c r="M1954" s="447" t="str">
        <f>VLOOKUP(Advices[[#This Row],[LC Number]],'Combine_List'!A:D,3,0)</f>
        <v>FIRST FIX</v>
      </c>
      <c r="N1954" s="447" t="str">
        <f>VLOOKUP(Advices[[#This Row],[LC Number]],'Combine_List'!A:D,4,0)</f>
        <v>JCD SPMI</v>
      </c>
      <c r="O1954" s="1"/>
      <c r="P1954" s="1">
        <f>MONTH(Advices[[#This Row],[Transaction Date]])</f>
        <v>3</v>
      </c>
      <c r="Q1954" s="1">
        <f>YEAR(Advices[[#This Row],[Transaction Date]])</f>
        <v>2026</v>
      </c>
      <c r="R1954" s="1"/>
    </row>
    <row r="1955" spans="1:18" x14ac:dyDescent="0.25">
      <c r="A1955" s="264" t="s">
        <v>21</v>
      </c>
      <c r="B1955" s="265">
        <v>46090</v>
      </c>
      <c r="C1955" s="264" t="s">
        <v>1951</v>
      </c>
      <c r="D1955" s="300" t="s">
        <v>2574</v>
      </c>
      <c r="E1955" s="300" t="s">
        <v>1525</v>
      </c>
      <c r="F1955" s="300" t="s">
        <v>1525</v>
      </c>
      <c r="G1955" s="264" t="s">
        <v>26</v>
      </c>
      <c r="H1955" s="368">
        <v>37.5</v>
      </c>
      <c r="I1955" s="368">
        <v>0</v>
      </c>
      <c r="J1955" s="264" t="s">
        <v>1174</v>
      </c>
      <c r="K1955" s="264" t="s">
        <v>2025</v>
      </c>
      <c r="L1955" s="1" t="str">
        <f>VLOOKUP(Advices[[#This Row],[LC Number]],'Combine_List'!A:D,2,0)</f>
        <v>STAR SQUARES CO LTD</v>
      </c>
      <c r="M1955" s="447" t="str">
        <f>VLOOKUP(Advices[[#This Row],[LC Number]],'Combine_List'!A:D,3,0)</f>
        <v>FIRST FIX</v>
      </c>
      <c r="N1955" s="447" t="str">
        <f>VLOOKUP(Advices[[#This Row],[LC Number]],'Combine_List'!A:D,4,0)</f>
        <v>JCD SPMI</v>
      </c>
      <c r="O1955" s="1"/>
      <c r="P1955" s="1">
        <f>MONTH(Advices[[#This Row],[Transaction Date]])</f>
        <v>3</v>
      </c>
      <c r="Q1955" s="1">
        <f>YEAR(Advices[[#This Row],[Transaction Date]])</f>
        <v>2026</v>
      </c>
      <c r="R1955" s="1"/>
    </row>
    <row r="1956" spans="1:18" x14ac:dyDescent="0.25">
      <c r="A1956" s="264" t="s">
        <v>21</v>
      </c>
      <c r="B1956" s="265">
        <v>46090</v>
      </c>
      <c r="C1956" s="264" t="s">
        <v>1951</v>
      </c>
      <c r="D1956" s="300" t="s">
        <v>2574</v>
      </c>
      <c r="E1956" s="300" t="s">
        <v>1525</v>
      </c>
      <c r="F1956" s="300" t="s">
        <v>1525</v>
      </c>
      <c r="G1956" s="264" t="s">
        <v>26</v>
      </c>
      <c r="H1956" s="368">
        <v>75</v>
      </c>
      <c r="I1956" s="368">
        <v>0</v>
      </c>
      <c r="J1956" s="264" t="s">
        <v>1174</v>
      </c>
      <c r="K1956" s="264" t="s">
        <v>2025</v>
      </c>
      <c r="L1956" s="1" t="str">
        <f>VLOOKUP(Advices[[#This Row],[LC Number]],'Combine_List'!A:D,2,0)</f>
        <v>STAR SQUARES CO LTD</v>
      </c>
      <c r="M1956" s="447" t="str">
        <f>VLOOKUP(Advices[[#This Row],[LC Number]],'Combine_List'!A:D,3,0)</f>
        <v>FIRST FIX</v>
      </c>
      <c r="N1956" s="447" t="str">
        <f>VLOOKUP(Advices[[#This Row],[LC Number]],'Combine_List'!A:D,4,0)</f>
        <v>JCD SPMI</v>
      </c>
      <c r="O1956" s="1"/>
      <c r="P1956" s="1">
        <f>MONTH(Advices[[#This Row],[Transaction Date]])</f>
        <v>3</v>
      </c>
      <c r="Q1956" s="1">
        <f>YEAR(Advices[[#This Row],[Transaction Date]])</f>
        <v>2026</v>
      </c>
      <c r="R1956" s="1"/>
    </row>
    <row r="1957" spans="1:18" x14ac:dyDescent="0.25">
      <c r="A1957" s="264" t="s">
        <v>21</v>
      </c>
      <c r="B1957" s="265">
        <v>46090</v>
      </c>
      <c r="C1957" s="264" t="s">
        <v>1951</v>
      </c>
      <c r="D1957" s="300" t="s">
        <v>2590</v>
      </c>
      <c r="E1957" s="300" t="s">
        <v>1525</v>
      </c>
      <c r="F1957" s="300" t="s">
        <v>1525</v>
      </c>
      <c r="G1957" s="264" t="s">
        <v>26</v>
      </c>
      <c r="H1957" s="368">
        <v>250</v>
      </c>
      <c r="I1957" s="368">
        <v>0</v>
      </c>
      <c r="J1957" s="264" t="s">
        <v>1963</v>
      </c>
      <c r="K1957" s="264" t="s">
        <v>2025</v>
      </c>
      <c r="L1957" s="1" t="str">
        <f>VLOOKUP(Advices[[#This Row],[LC Number]],'Combine_List'!A:D,2,0)</f>
        <v>STAR SQUARES CO LTD</v>
      </c>
      <c r="M1957" s="447" t="str">
        <f>VLOOKUP(Advices[[#This Row],[LC Number]],'Combine_List'!A:D,3,0)</f>
        <v>FIRST FIX</v>
      </c>
      <c r="N1957" s="447" t="str">
        <f>VLOOKUP(Advices[[#This Row],[LC Number]],'Combine_List'!A:D,4,0)</f>
        <v>JCD SPMI</v>
      </c>
      <c r="O1957" s="1"/>
      <c r="P1957" s="1">
        <f>MONTH(Advices[[#This Row],[Transaction Date]])</f>
        <v>3</v>
      </c>
      <c r="Q1957" s="1">
        <f>YEAR(Advices[[#This Row],[Transaction Date]])</f>
        <v>2026</v>
      </c>
      <c r="R1957" s="1"/>
    </row>
    <row r="1958" spans="1:18" x14ac:dyDescent="0.25">
      <c r="A1958" s="264" t="s">
        <v>21</v>
      </c>
      <c r="B1958" s="265">
        <v>46090</v>
      </c>
      <c r="C1958" s="264" t="s">
        <v>1951</v>
      </c>
      <c r="D1958" s="300" t="s">
        <v>2591</v>
      </c>
      <c r="E1958" s="300" t="s">
        <v>1525</v>
      </c>
      <c r="F1958" s="300" t="s">
        <v>1525</v>
      </c>
      <c r="G1958" s="264" t="s">
        <v>26</v>
      </c>
      <c r="H1958" s="368">
        <v>500</v>
      </c>
      <c r="I1958" s="368">
        <v>0</v>
      </c>
      <c r="J1958" s="264" t="s">
        <v>1124</v>
      </c>
      <c r="K1958" s="264" t="s">
        <v>2025</v>
      </c>
      <c r="L1958" s="1" t="str">
        <f>VLOOKUP(Advices[[#This Row],[LC Number]],'Combine_List'!A:D,2,0)</f>
        <v>STAR SQUARES CO LTD</v>
      </c>
      <c r="M1958" s="447" t="str">
        <f>VLOOKUP(Advices[[#This Row],[LC Number]],'Combine_List'!A:D,3,0)</f>
        <v>FIRST FIX</v>
      </c>
      <c r="N1958" s="447" t="str">
        <f>VLOOKUP(Advices[[#This Row],[LC Number]],'Combine_List'!A:D,4,0)</f>
        <v>JCD SPMI</v>
      </c>
      <c r="O1958" s="1"/>
      <c r="P1958" s="1">
        <f>MONTH(Advices[[#This Row],[Transaction Date]])</f>
        <v>3</v>
      </c>
      <c r="Q1958" s="1">
        <f>YEAR(Advices[[#This Row],[Transaction Date]])</f>
        <v>2026</v>
      </c>
      <c r="R1958" s="1"/>
    </row>
    <row r="1959" spans="1:18" x14ac:dyDescent="0.25">
      <c r="A1959" s="264" t="s">
        <v>21</v>
      </c>
      <c r="B1959" s="265">
        <v>46090</v>
      </c>
      <c r="C1959" s="264" t="s">
        <v>1951</v>
      </c>
      <c r="D1959" s="300" t="s">
        <v>2574</v>
      </c>
      <c r="E1959" s="300" t="s">
        <v>2620</v>
      </c>
      <c r="F1959" s="300" t="s">
        <v>2620</v>
      </c>
      <c r="G1959" s="264" t="s">
        <v>26</v>
      </c>
      <c r="H1959" s="368">
        <v>37.5</v>
      </c>
      <c r="I1959" s="368">
        <v>0</v>
      </c>
      <c r="J1959" s="264" t="s">
        <v>1174</v>
      </c>
      <c r="K1959" s="264" t="s">
        <v>2025</v>
      </c>
      <c r="L1959" s="1" t="str">
        <f>VLOOKUP(Advices[[#This Row],[LC Number]],'Combine_List'!A:D,2,0)</f>
        <v>Mohammad Saleh Bahareth co.</v>
      </c>
      <c r="M1959" s="447" t="str">
        <f>VLOOKUP(Advices[[#This Row],[LC Number]],'Combine_List'!A:D,3,0)</f>
        <v>FIRST FIX</v>
      </c>
      <c r="N1959" s="447" t="str">
        <f>VLOOKUP(Advices[[#This Row],[LC Number]],'Combine_List'!A:D,4,0)</f>
        <v>KSP</v>
      </c>
      <c r="O1959" s="1"/>
      <c r="P1959" s="1">
        <f>MONTH(Advices[[#This Row],[Transaction Date]])</f>
        <v>3</v>
      </c>
      <c r="Q1959" s="1">
        <f>YEAR(Advices[[#This Row],[Transaction Date]])</f>
        <v>2026</v>
      </c>
      <c r="R1959" s="1"/>
    </row>
    <row r="1960" spans="1:18" x14ac:dyDescent="0.25">
      <c r="A1960" s="264" t="s">
        <v>21</v>
      </c>
      <c r="B1960" s="265">
        <v>46090</v>
      </c>
      <c r="C1960" s="264" t="s">
        <v>1951</v>
      </c>
      <c r="D1960" s="300" t="s">
        <v>2574</v>
      </c>
      <c r="E1960" s="300" t="s">
        <v>2620</v>
      </c>
      <c r="F1960" s="300" t="s">
        <v>2620</v>
      </c>
      <c r="G1960" s="264" t="s">
        <v>26</v>
      </c>
      <c r="H1960" s="368">
        <v>75</v>
      </c>
      <c r="I1960" s="368">
        <v>0</v>
      </c>
      <c r="J1960" s="264" t="s">
        <v>1174</v>
      </c>
      <c r="K1960" s="264" t="s">
        <v>2025</v>
      </c>
      <c r="L1960" s="1" t="str">
        <f>VLOOKUP(Advices[[#This Row],[LC Number]],'Combine_List'!A:D,2,0)</f>
        <v>Mohammad Saleh Bahareth co.</v>
      </c>
      <c r="M1960" s="447" t="str">
        <f>VLOOKUP(Advices[[#This Row],[LC Number]],'Combine_List'!A:D,3,0)</f>
        <v>FIRST FIX</v>
      </c>
      <c r="N1960" s="447" t="str">
        <f>VLOOKUP(Advices[[#This Row],[LC Number]],'Combine_List'!A:D,4,0)</f>
        <v>KSP</v>
      </c>
      <c r="O1960" s="1"/>
      <c r="P1960" s="1">
        <f>MONTH(Advices[[#This Row],[Transaction Date]])</f>
        <v>3</v>
      </c>
      <c r="Q1960" s="1">
        <f>YEAR(Advices[[#This Row],[Transaction Date]])</f>
        <v>2026</v>
      </c>
      <c r="R1960" s="1"/>
    </row>
    <row r="1961" spans="1:18" x14ac:dyDescent="0.25">
      <c r="A1961" s="264" t="s">
        <v>21</v>
      </c>
      <c r="B1961" s="265">
        <v>46090</v>
      </c>
      <c r="C1961" s="264" t="s">
        <v>1951</v>
      </c>
      <c r="D1961" s="300" t="s">
        <v>2663</v>
      </c>
      <c r="E1961" s="300" t="s">
        <v>2620</v>
      </c>
      <c r="F1961" s="300" t="s">
        <v>2620</v>
      </c>
      <c r="G1961" s="264" t="s">
        <v>26</v>
      </c>
      <c r="H1961" s="368">
        <v>250</v>
      </c>
      <c r="I1961" s="368">
        <v>0</v>
      </c>
      <c r="J1961" s="264" t="s">
        <v>1963</v>
      </c>
      <c r="K1961" s="264" t="s">
        <v>2025</v>
      </c>
      <c r="L1961" s="1" t="str">
        <f>VLOOKUP(Advices[[#This Row],[LC Number]],'Combine_List'!A:D,2,0)</f>
        <v>Mohammad Saleh Bahareth co.</v>
      </c>
      <c r="M1961" s="447" t="str">
        <f>VLOOKUP(Advices[[#This Row],[LC Number]],'Combine_List'!A:D,3,0)</f>
        <v>FIRST FIX</v>
      </c>
      <c r="N1961" s="447" t="str">
        <f>VLOOKUP(Advices[[#This Row],[LC Number]],'Combine_List'!A:D,4,0)</f>
        <v>KSP</v>
      </c>
      <c r="O1961" s="1"/>
      <c r="P1961" s="1">
        <f>MONTH(Advices[[#This Row],[Transaction Date]])</f>
        <v>3</v>
      </c>
      <c r="Q1961" s="1">
        <f>YEAR(Advices[[#This Row],[Transaction Date]])</f>
        <v>2026</v>
      </c>
      <c r="R1961" s="1"/>
    </row>
    <row r="1962" spans="1:18" x14ac:dyDescent="0.25">
      <c r="A1962" s="264" t="s">
        <v>21</v>
      </c>
      <c r="B1962" s="265">
        <v>46090</v>
      </c>
      <c r="C1962" s="264" t="s">
        <v>1951</v>
      </c>
      <c r="D1962" s="300" t="s">
        <v>4296</v>
      </c>
      <c r="E1962" s="300" t="s">
        <v>2620</v>
      </c>
      <c r="F1962" s="300" t="s">
        <v>2620</v>
      </c>
      <c r="G1962" s="264" t="s">
        <v>26</v>
      </c>
      <c r="H1962" s="368">
        <v>500</v>
      </c>
      <c r="I1962" s="368">
        <v>0</v>
      </c>
      <c r="J1962" s="264" t="s">
        <v>1124</v>
      </c>
      <c r="K1962" s="264" t="s">
        <v>2025</v>
      </c>
      <c r="L1962" s="1" t="str">
        <f>VLOOKUP(Advices[[#This Row],[LC Number]],'Combine_List'!A:D,2,0)</f>
        <v>Mohammad Saleh Bahareth co.</v>
      </c>
      <c r="M1962" s="447" t="str">
        <f>VLOOKUP(Advices[[#This Row],[LC Number]],'Combine_List'!A:D,3,0)</f>
        <v>FIRST FIX</v>
      </c>
      <c r="N1962" s="447" t="str">
        <f>VLOOKUP(Advices[[#This Row],[LC Number]],'Combine_List'!A:D,4,0)</f>
        <v>KSP</v>
      </c>
      <c r="O1962" s="1"/>
      <c r="P1962" s="1">
        <f>MONTH(Advices[[#This Row],[Transaction Date]])</f>
        <v>3</v>
      </c>
      <c r="Q1962" s="1">
        <f>YEAR(Advices[[#This Row],[Transaction Date]])</f>
        <v>2026</v>
      </c>
      <c r="R1962" s="1"/>
    </row>
    <row r="1963" spans="1:18" x14ac:dyDescent="0.25">
      <c r="A1963" s="264" t="s">
        <v>21</v>
      </c>
      <c r="B1963" s="265">
        <v>46090</v>
      </c>
      <c r="C1963" s="264" t="s">
        <v>1951</v>
      </c>
      <c r="D1963" s="300" t="s">
        <v>4297</v>
      </c>
      <c r="E1963" s="300" t="s">
        <v>2618</v>
      </c>
      <c r="F1963" s="300" t="s">
        <v>2618</v>
      </c>
      <c r="G1963" s="264" t="s">
        <v>26</v>
      </c>
      <c r="H1963" s="368">
        <v>37.5</v>
      </c>
      <c r="I1963" s="368">
        <v>0</v>
      </c>
      <c r="J1963" s="264" t="s">
        <v>1174</v>
      </c>
      <c r="K1963" s="264" t="s">
        <v>2025</v>
      </c>
      <c r="L1963" s="1" t="str">
        <f>VLOOKUP(Advices[[#This Row],[LC Number]],'Combine_List'!A:D,2,0)</f>
        <v>AI-Hadbania Trading Co.</v>
      </c>
      <c r="M1963" s="447" t="str">
        <f>VLOOKUP(Advices[[#This Row],[LC Number]],'Combine_List'!A:D,3,0)</f>
        <v>FIRST FIX</v>
      </c>
      <c r="N1963" s="447" t="str">
        <f>VLOOKUP(Advices[[#This Row],[LC Number]],'Combine_List'!A:D,4,0)</f>
        <v>KSP</v>
      </c>
      <c r="O1963" s="1"/>
      <c r="P1963" s="1">
        <f>MONTH(Advices[[#This Row],[Transaction Date]])</f>
        <v>3</v>
      </c>
      <c r="Q1963" s="1">
        <f>YEAR(Advices[[#This Row],[Transaction Date]])</f>
        <v>2026</v>
      </c>
      <c r="R1963" s="1"/>
    </row>
    <row r="1964" spans="1:18" x14ac:dyDescent="0.25">
      <c r="A1964" s="264" t="s">
        <v>21</v>
      </c>
      <c r="B1964" s="265">
        <v>46090</v>
      </c>
      <c r="C1964" s="264" t="s">
        <v>1951</v>
      </c>
      <c r="D1964" s="300" t="s">
        <v>2666</v>
      </c>
      <c r="E1964" s="300" t="s">
        <v>2618</v>
      </c>
      <c r="F1964" s="300" t="s">
        <v>2618</v>
      </c>
      <c r="G1964" s="264" t="s">
        <v>26</v>
      </c>
      <c r="H1964" s="368">
        <v>250</v>
      </c>
      <c r="I1964" s="368">
        <v>0</v>
      </c>
      <c r="J1964" s="264" t="s">
        <v>1963</v>
      </c>
      <c r="K1964" s="264" t="s">
        <v>2025</v>
      </c>
      <c r="L1964" s="1" t="str">
        <f>VLOOKUP(Advices[[#This Row],[LC Number]],'Combine_List'!A:D,2,0)</f>
        <v>AI-Hadbania Trading Co.</v>
      </c>
      <c r="M1964" s="447" t="str">
        <f>VLOOKUP(Advices[[#This Row],[LC Number]],'Combine_List'!A:D,3,0)</f>
        <v>FIRST FIX</v>
      </c>
      <c r="N1964" s="447" t="str">
        <f>VLOOKUP(Advices[[#This Row],[LC Number]],'Combine_List'!A:D,4,0)</f>
        <v>KSP</v>
      </c>
      <c r="O1964" s="1"/>
      <c r="P1964" s="1">
        <f>MONTH(Advices[[#This Row],[Transaction Date]])</f>
        <v>3</v>
      </c>
      <c r="Q1964" s="1">
        <f>YEAR(Advices[[#This Row],[Transaction Date]])</f>
        <v>2026</v>
      </c>
      <c r="R1964" s="1"/>
    </row>
    <row r="1965" spans="1:18" x14ac:dyDescent="0.25">
      <c r="A1965" s="264" t="s">
        <v>21</v>
      </c>
      <c r="B1965" s="265">
        <v>46090</v>
      </c>
      <c r="C1965" s="264" t="s">
        <v>1951</v>
      </c>
      <c r="D1965" s="300" t="s">
        <v>4297</v>
      </c>
      <c r="E1965" s="300" t="s">
        <v>2618</v>
      </c>
      <c r="F1965" s="300" t="s">
        <v>2618</v>
      </c>
      <c r="G1965" s="264" t="s">
        <v>26</v>
      </c>
      <c r="H1965" s="368">
        <v>280.72000000000003</v>
      </c>
      <c r="I1965" s="368">
        <v>0</v>
      </c>
      <c r="J1965" s="264" t="s">
        <v>1174</v>
      </c>
      <c r="K1965" s="264" t="s">
        <v>2025</v>
      </c>
      <c r="L1965" s="1" t="str">
        <f>VLOOKUP(Advices[[#This Row],[LC Number]],'Combine_List'!A:D,2,0)</f>
        <v>AI-Hadbania Trading Co.</v>
      </c>
      <c r="M1965" s="447" t="str">
        <f>VLOOKUP(Advices[[#This Row],[LC Number]],'Combine_List'!A:D,3,0)</f>
        <v>FIRST FIX</v>
      </c>
      <c r="N1965" s="447" t="str">
        <f>VLOOKUP(Advices[[#This Row],[LC Number]],'Combine_List'!A:D,4,0)</f>
        <v>KSP</v>
      </c>
      <c r="O1965" s="1"/>
      <c r="P1965" s="1">
        <f>MONTH(Advices[[#This Row],[Transaction Date]])</f>
        <v>3</v>
      </c>
      <c r="Q1965" s="1">
        <f>YEAR(Advices[[#This Row],[Transaction Date]])</f>
        <v>2026</v>
      </c>
      <c r="R1965" s="1"/>
    </row>
    <row r="1966" spans="1:18" x14ac:dyDescent="0.25">
      <c r="A1966" s="264" t="s">
        <v>21</v>
      </c>
      <c r="B1966" s="265">
        <v>46090</v>
      </c>
      <c r="C1966" s="264" t="s">
        <v>1951</v>
      </c>
      <c r="D1966" s="300" t="s">
        <v>4298</v>
      </c>
      <c r="E1966" s="300" t="s">
        <v>2618</v>
      </c>
      <c r="F1966" s="300" t="s">
        <v>2618</v>
      </c>
      <c r="G1966" s="264" t="s">
        <v>26</v>
      </c>
      <c r="H1966" s="368">
        <v>1871.46</v>
      </c>
      <c r="I1966" s="368">
        <v>0</v>
      </c>
      <c r="J1966" s="264" t="s">
        <v>1124</v>
      </c>
      <c r="K1966" s="264" t="s">
        <v>2025</v>
      </c>
      <c r="L1966" s="1" t="str">
        <f>VLOOKUP(Advices[[#This Row],[LC Number]],'Combine_List'!A:D,2,0)</f>
        <v>AI-Hadbania Trading Co.</v>
      </c>
      <c r="M1966" s="447" t="str">
        <f>VLOOKUP(Advices[[#This Row],[LC Number]],'Combine_List'!A:D,3,0)</f>
        <v>FIRST FIX</v>
      </c>
      <c r="N1966" s="447" t="str">
        <f>VLOOKUP(Advices[[#This Row],[LC Number]],'Combine_List'!A:D,4,0)</f>
        <v>KSP</v>
      </c>
      <c r="O1966" s="1"/>
      <c r="P1966" s="1">
        <f>MONTH(Advices[[#This Row],[Transaction Date]])</f>
        <v>3</v>
      </c>
      <c r="Q1966" s="1">
        <f>YEAR(Advices[[#This Row],[Transaction Date]])</f>
        <v>2026</v>
      </c>
      <c r="R1966" s="1"/>
    </row>
    <row r="1967" spans="1:18" x14ac:dyDescent="0.25">
      <c r="A1967" s="264" t="s">
        <v>21</v>
      </c>
      <c r="B1967" s="265">
        <v>46090</v>
      </c>
      <c r="C1967" s="264" t="s">
        <v>1951</v>
      </c>
      <c r="D1967" s="300" t="s">
        <v>4299</v>
      </c>
      <c r="E1967" s="300" t="s">
        <v>4295</v>
      </c>
      <c r="F1967" s="300" t="s">
        <v>4059</v>
      </c>
      <c r="G1967" s="264" t="s">
        <v>26</v>
      </c>
      <c r="H1967" s="368">
        <v>37.5</v>
      </c>
      <c r="I1967" s="368">
        <v>0</v>
      </c>
      <c r="J1967" s="264" t="s">
        <v>1174</v>
      </c>
      <c r="K1967" s="264" t="s">
        <v>2025</v>
      </c>
      <c r="L1967" s="1" t="str">
        <f>VLOOKUP(Advices[[#This Row],[LC Number]],'Combine_List'!A:D,2,0)</f>
        <v>The Fundamental Installation For Electric Work Co</v>
      </c>
      <c r="M1967" s="447" t="str">
        <f>VLOOKUP(Advices[[#This Row],[LC Number]],'Combine_List'!A:D,3,0)</f>
        <v>FIRST FIX</v>
      </c>
      <c r="N1967" s="447" t="str">
        <f>VLOOKUP(Advices[[#This Row],[LC Number]],'Combine_List'!A:D,4,0)</f>
        <v>CEER</v>
      </c>
      <c r="O1967" s="1"/>
      <c r="P1967" s="1">
        <f>MONTH(Advices[[#This Row],[Transaction Date]])</f>
        <v>3</v>
      </c>
      <c r="Q1967" s="1">
        <f>YEAR(Advices[[#This Row],[Transaction Date]])</f>
        <v>2026</v>
      </c>
      <c r="R1967" s="1"/>
    </row>
    <row r="1968" spans="1:18" x14ac:dyDescent="0.25">
      <c r="A1968" s="264" t="s">
        <v>21</v>
      </c>
      <c r="B1968" s="265">
        <v>46090</v>
      </c>
      <c r="C1968" s="264" t="s">
        <v>1951</v>
      </c>
      <c r="D1968" s="300" t="s">
        <v>4061</v>
      </c>
      <c r="E1968" s="300" t="s">
        <v>4295</v>
      </c>
      <c r="F1968" s="300" t="s">
        <v>4059</v>
      </c>
      <c r="G1968" s="264" t="s">
        <v>26</v>
      </c>
      <c r="H1968" s="368">
        <v>250</v>
      </c>
      <c r="I1968" s="368">
        <v>0</v>
      </c>
      <c r="J1968" s="264" t="s">
        <v>1963</v>
      </c>
      <c r="K1968" s="264" t="s">
        <v>2025</v>
      </c>
      <c r="L1968" s="1" t="str">
        <f>VLOOKUP(Advices[[#This Row],[LC Number]],'Combine_List'!A:D,2,0)</f>
        <v>The Fundamental Installation For Electric Work Co</v>
      </c>
      <c r="M1968" s="447" t="str">
        <f>VLOOKUP(Advices[[#This Row],[LC Number]],'Combine_List'!A:D,3,0)</f>
        <v>FIRST FIX</v>
      </c>
      <c r="N1968" s="447" t="str">
        <f>VLOOKUP(Advices[[#This Row],[LC Number]],'Combine_List'!A:D,4,0)</f>
        <v>CEER</v>
      </c>
      <c r="O1968" s="1"/>
      <c r="P1968" s="1">
        <f>MONTH(Advices[[#This Row],[Transaction Date]])</f>
        <v>3</v>
      </c>
      <c r="Q1968" s="1">
        <f>YEAR(Advices[[#This Row],[Transaction Date]])</f>
        <v>2026</v>
      </c>
      <c r="R1968" s="1"/>
    </row>
    <row r="1969" spans="1:18" x14ac:dyDescent="0.25">
      <c r="A1969" s="264" t="s">
        <v>21</v>
      </c>
      <c r="B1969" s="265">
        <v>46090</v>
      </c>
      <c r="C1969" s="264" t="s">
        <v>1951</v>
      </c>
      <c r="D1969" s="300" t="s">
        <v>4299</v>
      </c>
      <c r="E1969" s="300" t="s">
        <v>4295</v>
      </c>
      <c r="F1969" s="300" t="s">
        <v>4059</v>
      </c>
      <c r="G1969" s="264" t="s">
        <v>26</v>
      </c>
      <c r="H1969" s="368">
        <v>9450</v>
      </c>
      <c r="I1969" s="368">
        <v>0</v>
      </c>
      <c r="J1969" s="264" t="s">
        <v>1174</v>
      </c>
      <c r="K1969" s="264" t="s">
        <v>2025</v>
      </c>
      <c r="L1969" s="1" t="str">
        <f>VLOOKUP(Advices[[#This Row],[LC Number]],'Combine_List'!A:D,2,0)</f>
        <v>The Fundamental Installation For Electric Work Co</v>
      </c>
      <c r="M1969" s="447" t="str">
        <f>VLOOKUP(Advices[[#This Row],[LC Number]],'Combine_List'!A:D,3,0)</f>
        <v>FIRST FIX</v>
      </c>
      <c r="N1969" s="447" t="str">
        <f>VLOOKUP(Advices[[#This Row],[LC Number]],'Combine_List'!A:D,4,0)</f>
        <v>CEER</v>
      </c>
      <c r="O1969" s="1"/>
      <c r="P1969" s="1">
        <f>MONTH(Advices[[#This Row],[Transaction Date]])</f>
        <v>3</v>
      </c>
      <c r="Q1969" s="1">
        <f>YEAR(Advices[[#This Row],[Transaction Date]])</f>
        <v>2026</v>
      </c>
      <c r="R1969" s="1"/>
    </row>
    <row r="1970" spans="1:18" x14ac:dyDescent="0.25">
      <c r="A1970" s="264" t="s">
        <v>21</v>
      </c>
      <c r="B1970" s="265">
        <v>46090</v>
      </c>
      <c r="C1970" s="264" t="s">
        <v>1951</v>
      </c>
      <c r="D1970" s="300" t="s">
        <v>4089</v>
      </c>
      <c r="E1970" s="300" t="s">
        <v>4295</v>
      </c>
      <c r="F1970" s="300" t="s">
        <v>4059</v>
      </c>
      <c r="G1970" s="264" t="s">
        <v>26</v>
      </c>
      <c r="H1970" s="368">
        <v>63000</v>
      </c>
      <c r="I1970" s="368">
        <v>0</v>
      </c>
      <c r="J1970" s="264" t="s">
        <v>1124</v>
      </c>
      <c r="K1970" s="264" t="s">
        <v>2025</v>
      </c>
      <c r="L1970" s="1" t="str">
        <f>VLOOKUP(Advices[[#This Row],[LC Number]],'Combine_List'!A:D,2,0)</f>
        <v>The Fundamental Installation For Electric Work Co</v>
      </c>
      <c r="M1970" s="447" t="str">
        <f>VLOOKUP(Advices[[#This Row],[LC Number]],'Combine_List'!A:D,3,0)</f>
        <v>FIRST FIX</v>
      </c>
      <c r="N1970" s="447" t="str">
        <f>VLOOKUP(Advices[[#This Row],[LC Number]],'Combine_List'!A:D,4,0)</f>
        <v>CEER</v>
      </c>
      <c r="O1970" s="264"/>
      <c r="P1970" s="264">
        <f>MONTH(Advices[[#This Row],[Transaction Date]])</f>
        <v>3</v>
      </c>
      <c r="Q1970" s="264">
        <f>YEAR(Advices[[#This Row],[Transaction Date]])</f>
        <v>2026</v>
      </c>
      <c r="R1970" s="1"/>
    </row>
    <row r="1971" spans="1:18" hidden="1" x14ac:dyDescent="0.25">
      <c r="A1971" s="264" t="s">
        <v>62</v>
      </c>
      <c r="B1971" s="265">
        <v>46090</v>
      </c>
      <c r="C1971" s="264" t="s">
        <v>2039</v>
      </c>
      <c r="D1971" s="300" t="s">
        <v>4300</v>
      </c>
      <c r="E1971" s="300" t="s">
        <v>1858</v>
      </c>
      <c r="F1971" s="300" t="s">
        <v>2041</v>
      </c>
      <c r="G1971" s="264" t="s">
        <v>26</v>
      </c>
      <c r="H1971" s="368">
        <v>2000000</v>
      </c>
      <c r="I1971" s="368">
        <v>0</v>
      </c>
      <c r="J1971" s="264" t="s">
        <v>1126</v>
      </c>
      <c r="K1971" s="264" t="s">
        <v>2025</v>
      </c>
      <c r="L1971" s="1" t="str">
        <f>VLOOKUP(Advices[[#This Row],[LC Number]],'Combine_List'!A:D,2,0)</f>
        <v>Johnson Controls Arabia</v>
      </c>
      <c r="M1971" s="447" t="str">
        <f>VLOOKUP(Advices[[#This Row],[LC Number]],'Combine_List'!A:D,3,0)</f>
        <v>FIRST FIX</v>
      </c>
      <c r="N1971" s="447" t="str">
        <f>VLOOKUP(Advices[[#This Row],[LC Number]],'Combine_List'!A:D,4,0)</f>
        <v>Oceanarium</v>
      </c>
      <c r="O1971" s="264"/>
      <c r="P1971" s="264">
        <f>MONTH(Advices[[#This Row],[Transaction Date]])</f>
        <v>3</v>
      </c>
      <c r="Q1971" s="264">
        <f>YEAR(Advices[[#This Row],[Transaction Date]])</f>
        <v>2026</v>
      </c>
      <c r="R1971" s="1"/>
    </row>
    <row r="1972" spans="1:18" hidden="1" x14ac:dyDescent="0.25">
      <c r="A1972" s="264" t="s">
        <v>1073</v>
      </c>
      <c r="B1972" s="265">
        <v>46090</v>
      </c>
      <c r="C1972" s="264" t="s">
        <v>3164</v>
      </c>
      <c r="D1972" s="300" t="s">
        <v>4301</v>
      </c>
      <c r="E1972" s="300" t="s">
        <v>4545</v>
      </c>
      <c r="F1972" s="300" t="s">
        <v>2041</v>
      </c>
      <c r="G1972" s="264" t="s">
        <v>26</v>
      </c>
      <c r="H1972" s="368">
        <v>1164996</v>
      </c>
      <c r="I1972" s="368">
        <v>0</v>
      </c>
      <c r="J1972" s="264" t="s">
        <v>1126</v>
      </c>
      <c r="K1972" s="264" t="s">
        <v>2025</v>
      </c>
      <c r="L1972" s="1" t="str">
        <f>VLOOKUP(Advices[[#This Row],[LC Number]],'Combine_List'!A:D,2,0)</f>
        <v>Al Arabia for Construction &amp; Building Co.</v>
      </c>
      <c r="M1972" s="447" t="str">
        <f>VLOOKUP(Advices[[#This Row],[LC Number]],'Combine_List'!A:D,3,0)</f>
        <v>MBL</v>
      </c>
      <c r="N1972" s="447" t="str">
        <f>VLOOKUP(Advices[[#This Row],[LC Number]],'Combine_List'!A:D,4,0)</f>
        <v>Lagoon</v>
      </c>
      <c r="O1972" s="1"/>
      <c r="P1972" s="1">
        <f>MONTH(Advices[[#This Row],[Transaction Date]])</f>
        <v>3</v>
      </c>
      <c r="Q1972" s="1">
        <f>YEAR(Advices[[#This Row],[Transaction Date]])</f>
        <v>2026</v>
      </c>
      <c r="R1972" s="1"/>
    </row>
    <row r="1973" spans="1:18" hidden="1" x14ac:dyDescent="0.25">
      <c r="A1973" s="264" t="s">
        <v>1073</v>
      </c>
      <c r="B1973" s="265">
        <v>46090</v>
      </c>
      <c r="C1973" s="264" t="s">
        <v>3164</v>
      </c>
      <c r="D1973" s="300" t="s">
        <v>3165</v>
      </c>
      <c r="E1973" s="300" t="s">
        <v>4545</v>
      </c>
      <c r="F1973" s="300" t="s">
        <v>2041</v>
      </c>
      <c r="G1973" s="264" t="s">
        <v>26</v>
      </c>
      <c r="H1973" s="368">
        <v>2912.49</v>
      </c>
      <c r="I1973" s="368">
        <v>0</v>
      </c>
      <c r="J1973" s="264" t="s">
        <v>1125</v>
      </c>
      <c r="K1973" s="264" t="s">
        <v>2025</v>
      </c>
      <c r="L1973" s="1" t="str">
        <f>VLOOKUP(Advices[[#This Row],[LC Number]],'Combine_List'!A:D,2,0)</f>
        <v>Al Arabia for Construction &amp; Building Co.</v>
      </c>
      <c r="M1973" s="447" t="str">
        <f>VLOOKUP(Advices[[#This Row],[LC Number]],'Combine_List'!A:D,3,0)</f>
        <v>MBL</v>
      </c>
      <c r="N1973" s="447" t="str">
        <f>VLOOKUP(Advices[[#This Row],[LC Number]],'Combine_List'!A:D,4,0)</f>
        <v>Lagoon</v>
      </c>
      <c r="O1973" s="1"/>
      <c r="P1973" s="1">
        <f>MONTH(Advices[[#This Row],[Transaction Date]])</f>
        <v>3</v>
      </c>
      <c r="Q1973" s="1">
        <f>YEAR(Advices[[#This Row],[Transaction Date]])</f>
        <v>2026</v>
      </c>
      <c r="R1973" s="1"/>
    </row>
    <row r="1974" spans="1:18" hidden="1" x14ac:dyDescent="0.25">
      <c r="A1974" s="264" t="s">
        <v>1073</v>
      </c>
      <c r="B1974" s="265">
        <v>46090</v>
      </c>
      <c r="C1974" s="264" t="s">
        <v>3164</v>
      </c>
      <c r="D1974" s="300" t="s">
        <v>3166</v>
      </c>
      <c r="E1974" s="300" t="s">
        <v>4545</v>
      </c>
      <c r="F1974" s="300" t="s">
        <v>2041</v>
      </c>
      <c r="G1974" s="264" t="s">
        <v>26</v>
      </c>
      <c r="H1974" s="368">
        <v>250</v>
      </c>
      <c r="I1974" s="368">
        <v>0</v>
      </c>
      <c r="J1974" s="264" t="s">
        <v>1963</v>
      </c>
      <c r="K1974" s="264" t="s">
        <v>2025</v>
      </c>
      <c r="L1974" s="1" t="str">
        <f>VLOOKUP(Advices[[#This Row],[LC Number]],'Combine_List'!A:D,2,0)</f>
        <v>Al Arabia for Construction &amp; Building Co.</v>
      </c>
      <c r="M1974" s="447" t="str">
        <f>VLOOKUP(Advices[[#This Row],[LC Number]],'Combine_List'!A:D,3,0)</f>
        <v>MBL</v>
      </c>
      <c r="N1974" s="447" t="str">
        <f>VLOOKUP(Advices[[#This Row],[LC Number]],'Combine_List'!A:D,4,0)</f>
        <v>Lagoon</v>
      </c>
      <c r="O1974" s="1"/>
      <c r="P1974" s="1">
        <f>MONTH(Advices[[#This Row],[Transaction Date]])</f>
        <v>3</v>
      </c>
      <c r="Q1974" s="1">
        <f>YEAR(Advices[[#This Row],[Transaction Date]])</f>
        <v>2026</v>
      </c>
      <c r="R1974" s="1"/>
    </row>
    <row r="1975" spans="1:18" hidden="1" x14ac:dyDescent="0.25">
      <c r="A1975" s="264" t="s">
        <v>1073</v>
      </c>
      <c r="B1975" s="265">
        <v>46090</v>
      </c>
      <c r="C1975" s="264" t="s">
        <v>3164</v>
      </c>
      <c r="D1975" s="300" t="s">
        <v>3168</v>
      </c>
      <c r="E1975" s="300" t="s">
        <v>4545</v>
      </c>
      <c r="F1975" s="300" t="s">
        <v>2041</v>
      </c>
      <c r="G1975" s="264" t="s">
        <v>26</v>
      </c>
      <c r="H1975" s="368">
        <v>436.87</v>
      </c>
      <c r="I1975" s="368">
        <v>0</v>
      </c>
      <c r="J1975" s="264" t="s">
        <v>1174</v>
      </c>
      <c r="K1975" s="264" t="s">
        <v>2025</v>
      </c>
      <c r="L1975" s="1" t="str">
        <f>VLOOKUP(Advices[[#This Row],[LC Number]],'Combine_List'!A:D,2,0)</f>
        <v>Al Arabia for Construction &amp; Building Co.</v>
      </c>
      <c r="M1975" s="447" t="str">
        <f>VLOOKUP(Advices[[#This Row],[LC Number]],'Combine_List'!A:D,3,0)</f>
        <v>MBL</v>
      </c>
      <c r="N1975" s="447" t="str">
        <f>VLOOKUP(Advices[[#This Row],[LC Number]],'Combine_List'!A:D,4,0)</f>
        <v>Lagoon</v>
      </c>
      <c r="O1975" s="1"/>
      <c r="P1975" s="1">
        <f>MONTH(Advices[[#This Row],[Transaction Date]])</f>
        <v>3</v>
      </c>
      <c r="Q1975" s="1">
        <f>YEAR(Advices[[#This Row],[Transaction Date]])</f>
        <v>2026</v>
      </c>
      <c r="R1975" s="1"/>
    </row>
    <row r="1976" spans="1:18" hidden="1" x14ac:dyDescent="0.25">
      <c r="A1976" s="264" t="s">
        <v>1073</v>
      </c>
      <c r="B1976" s="265">
        <v>46090</v>
      </c>
      <c r="C1976" s="264" t="s">
        <v>3164</v>
      </c>
      <c r="D1976" s="300" t="s">
        <v>3168</v>
      </c>
      <c r="E1976" s="300" t="s">
        <v>4545</v>
      </c>
      <c r="F1976" s="300" t="s">
        <v>2041</v>
      </c>
      <c r="G1976" s="264" t="s">
        <v>26</v>
      </c>
      <c r="H1976" s="368">
        <v>37.5</v>
      </c>
      <c r="I1976" s="368">
        <v>0</v>
      </c>
      <c r="J1976" s="264" t="s">
        <v>1174</v>
      </c>
      <c r="K1976" s="264" t="s">
        <v>2025</v>
      </c>
      <c r="L1976" s="1" t="str">
        <f>VLOOKUP(Advices[[#This Row],[LC Number]],'Combine_List'!A:D,2,0)</f>
        <v>Al Arabia for Construction &amp; Building Co.</v>
      </c>
      <c r="M1976" s="447" t="str">
        <f>VLOOKUP(Advices[[#This Row],[LC Number]],'Combine_List'!A:D,3,0)</f>
        <v>MBL</v>
      </c>
      <c r="N1976" s="447" t="str">
        <f>VLOOKUP(Advices[[#This Row],[LC Number]],'Combine_List'!A:D,4,0)</f>
        <v>Lagoon</v>
      </c>
      <c r="O1976" s="264"/>
      <c r="P1976" s="264">
        <f>MONTH(Advices[[#This Row],[Transaction Date]])</f>
        <v>3</v>
      </c>
      <c r="Q1976" s="264">
        <f>YEAR(Advices[[#This Row],[Transaction Date]])</f>
        <v>2026</v>
      </c>
      <c r="R1976" s="1"/>
    </row>
    <row r="1977" spans="1:18" x14ac:dyDescent="0.25">
      <c r="A1977" s="264" t="s">
        <v>21</v>
      </c>
      <c r="B1977" s="265">
        <v>46091</v>
      </c>
      <c r="C1977" s="264" t="s">
        <v>1951</v>
      </c>
      <c r="D1977" s="300" t="s">
        <v>2334</v>
      </c>
      <c r="E1977" s="300" t="s">
        <v>3227</v>
      </c>
      <c r="F1977" s="300" t="s">
        <v>4085</v>
      </c>
      <c r="G1977" s="264" t="s">
        <v>26</v>
      </c>
      <c r="H1977" s="368">
        <v>22.5</v>
      </c>
      <c r="I1977" s="368">
        <v>0</v>
      </c>
      <c r="J1977" s="264" t="s">
        <v>1174</v>
      </c>
      <c r="K1977" s="264" t="s">
        <v>2025</v>
      </c>
      <c r="L1977" s="1" t="str">
        <f>VLOOKUP(Advices[[#This Row],[LC Number]],'Combine_List'!A:D,2,0)</f>
        <v>BBH-CHEMTROL INTERNATIONAL ORGANIZATION S.L</v>
      </c>
      <c r="M1977" s="447" t="str">
        <f>VLOOKUP(Advices[[#This Row],[LC Number]],'Combine_List'!A:D,3,0)</f>
        <v>ICAD</v>
      </c>
      <c r="N1977" s="447" t="str">
        <f>VLOOKUP(Advices[[#This Row],[LC Number]],'Combine_List'!A:D,4,0)</f>
        <v>KSP</v>
      </c>
      <c r="O1977" s="1"/>
      <c r="P1977" s="1">
        <f>MONTH(Advices[[#This Row],[Transaction Date]])</f>
        <v>3</v>
      </c>
      <c r="Q1977" s="1">
        <f>YEAR(Advices[[#This Row],[Transaction Date]])</f>
        <v>2026</v>
      </c>
      <c r="R1977" s="1"/>
    </row>
    <row r="1978" spans="1:18" x14ac:dyDescent="0.25">
      <c r="A1978" s="264" t="s">
        <v>21</v>
      </c>
      <c r="B1978" s="265">
        <v>46091</v>
      </c>
      <c r="C1978" s="264" t="s">
        <v>1951</v>
      </c>
      <c r="D1978" s="300" t="s">
        <v>4306</v>
      </c>
      <c r="E1978" s="300" t="s">
        <v>3227</v>
      </c>
      <c r="F1978" s="300" t="s">
        <v>4085</v>
      </c>
      <c r="G1978" s="264" t="s">
        <v>26</v>
      </c>
      <c r="H1978" s="368">
        <v>150</v>
      </c>
      <c r="I1978" s="368">
        <v>0</v>
      </c>
      <c r="J1978" s="264" t="s">
        <v>1963</v>
      </c>
      <c r="K1978" s="264" t="s">
        <v>2025</v>
      </c>
      <c r="L1978" s="1" t="str">
        <f>VLOOKUP(Advices[[#This Row],[LC Number]],'Combine_List'!A:D,2,0)</f>
        <v>BBH-CHEMTROL INTERNATIONAL ORGANIZATION S.L</v>
      </c>
      <c r="M1978" s="447" t="str">
        <f>VLOOKUP(Advices[[#This Row],[LC Number]],'Combine_List'!A:D,3,0)</f>
        <v>ICAD</v>
      </c>
      <c r="N1978" s="447" t="str">
        <f>VLOOKUP(Advices[[#This Row],[LC Number]],'Combine_List'!A:D,4,0)</f>
        <v>KSP</v>
      </c>
      <c r="O1978" s="1"/>
      <c r="P1978" s="1">
        <f>MONTH(Advices[[#This Row],[Transaction Date]])</f>
        <v>3</v>
      </c>
      <c r="Q1978" s="1">
        <f>YEAR(Advices[[#This Row],[Transaction Date]])</f>
        <v>2026</v>
      </c>
      <c r="R1978" s="1"/>
    </row>
    <row r="1979" spans="1:18" x14ac:dyDescent="0.25">
      <c r="A1979" s="264" t="s">
        <v>21</v>
      </c>
      <c r="B1979" s="265">
        <v>46091</v>
      </c>
      <c r="C1979" s="264" t="s">
        <v>1951</v>
      </c>
      <c r="D1979" s="300" t="s">
        <v>4307</v>
      </c>
      <c r="E1979" s="300" t="s">
        <v>3227</v>
      </c>
      <c r="F1979" s="300" t="s">
        <v>4085</v>
      </c>
      <c r="G1979" s="264" t="s">
        <v>26</v>
      </c>
      <c r="H1979" s="368">
        <v>353382.82</v>
      </c>
      <c r="I1979" s="368">
        <v>0</v>
      </c>
      <c r="J1979" s="264" t="s">
        <v>1126</v>
      </c>
      <c r="K1979" s="264" t="s">
        <v>2025</v>
      </c>
      <c r="L1979" s="1" t="str">
        <f>VLOOKUP(Advices[[#This Row],[LC Number]],'Combine_List'!A:D,2,0)</f>
        <v>BBH-CHEMTROL INTERNATIONAL ORGANIZATION S.L</v>
      </c>
      <c r="M1979" s="447" t="str">
        <f>VLOOKUP(Advices[[#This Row],[LC Number]],'Combine_List'!A:D,3,0)</f>
        <v>ICAD</v>
      </c>
      <c r="N1979" s="447" t="str">
        <f>VLOOKUP(Advices[[#This Row],[LC Number]],'Combine_List'!A:D,4,0)</f>
        <v>KSP</v>
      </c>
      <c r="O1979" s="264"/>
      <c r="P1979" s="264">
        <f>MONTH(Advices[[#This Row],[Transaction Date]])</f>
        <v>3</v>
      </c>
      <c r="Q1979" s="264">
        <f>YEAR(Advices[[#This Row],[Transaction Date]])</f>
        <v>2026</v>
      </c>
      <c r="R1979" s="1"/>
    </row>
    <row r="1980" spans="1:18" hidden="1" x14ac:dyDescent="0.25">
      <c r="A1980" s="264" t="s">
        <v>366</v>
      </c>
      <c r="B1980" s="265">
        <v>46091</v>
      </c>
      <c r="C1980" s="264" t="s">
        <v>2057</v>
      </c>
      <c r="D1980" s="300" t="s">
        <v>4308</v>
      </c>
      <c r="E1980" s="300" t="s">
        <v>2929</v>
      </c>
      <c r="F1980" s="300" t="s">
        <v>2929</v>
      </c>
      <c r="G1980" s="264" t="s">
        <v>26</v>
      </c>
      <c r="H1980" s="368">
        <v>537485.88</v>
      </c>
      <c r="I1980" s="368">
        <v>0</v>
      </c>
      <c r="J1980" s="264" t="s">
        <v>1125</v>
      </c>
      <c r="K1980" s="264" t="s">
        <v>2025</v>
      </c>
      <c r="L1980" s="1" t="str">
        <f>VLOOKUP(Advices[[#This Row],[LC Number]],'Combine_List'!A:D,2,0)</f>
        <v>Performance - CEER NATIONAL AUTOMOTIVE COMPANY</v>
      </c>
      <c r="M1980" s="447">
        <f>VLOOKUP(Advices[[#This Row],[LC Number]],'Combine_List'!A:D,3,0)</f>
        <v>0</v>
      </c>
      <c r="N1980" s="447">
        <f>VLOOKUP(Advices[[#This Row],[LC Number]],'Combine_List'!A:D,4,0)</f>
        <v>0</v>
      </c>
      <c r="O1980" s="1"/>
      <c r="P1980" s="1">
        <f>MONTH(Advices[[#This Row],[Transaction Date]])</f>
        <v>3</v>
      </c>
      <c r="Q1980" s="1">
        <f>YEAR(Advices[[#This Row],[Transaction Date]])</f>
        <v>2026</v>
      </c>
      <c r="R1980" s="1"/>
    </row>
    <row r="1981" spans="1:18" hidden="1" x14ac:dyDescent="0.25">
      <c r="A1981" s="264" t="s">
        <v>366</v>
      </c>
      <c r="B1981" s="265">
        <v>46091</v>
      </c>
      <c r="C1981" s="264" t="s">
        <v>2057</v>
      </c>
      <c r="D1981" s="300" t="s">
        <v>3044</v>
      </c>
      <c r="E1981" s="300" t="s">
        <v>2929</v>
      </c>
      <c r="F1981" s="300" t="s">
        <v>2929</v>
      </c>
      <c r="G1981" s="264" t="s">
        <v>26</v>
      </c>
      <c r="H1981" s="368">
        <v>537485.88</v>
      </c>
      <c r="I1981" s="368">
        <v>0</v>
      </c>
      <c r="J1981" s="264" t="s">
        <v>1125</v>
      </c>
      <c r="K1981" s="264" t="s">
        <v>2025</v>
      </c>
      <c r="L1981" s="1" t="str">
        <f>VLOOKUP(Advices[[#This Row],[LC Number]],'Combine_List'!A:D,2,0)</f>
        <v>Performance - CEER NATIONAL AUTOMOTIVE COMPANY</v>
      </c>
      <c r="M1981" s="447">
        <f>VLOOKUP(Advices[[#This Row],[LC Number]],'Combine_List'!A:D,3,0)</f>
        <v>0</v>
      </c>
      <c r="N1981" s="447">
        <f>VLOOKUP(Advices[[#This Row],[LC Number]],'Combine_List'!A:D,4,0)</f>
        <v>0</v>
      </c>
      <c r="O1981" s="264"/>
      <c r="P1981" s="264">
        <f>MONTH(Advices[[#This Row],[Transaction Date]])</f>
        <v>3</v>
      </c>
      <c r="Q1981" s="264">
        <f>YEAR(Advices[[#This Row],[Transaction Date]])</f>
        <v>2026</v>
      </c>
      <c r="R1981" s="1"/>
    </row>
    <row r="1982" spans="1:18" hidden="1" x14ac:dyDescent="0.25">
      <c r="A1982" s="264" t="s">
        <v>612</v>
      </c>
      <c r="B1982" s="265">
        <v>46091</v>
      </c>
      <c r="C1982" s="264" t="s">
        <v>2101</v>
      </c>
      <c r="D1982" s="300" t="s">
        <v>4309</v>
      </c>
      <c r="E1982" s="300" t="s">
        <v>4304</v>
      </c>
      <c r="F1982" s="300" t="s">
        <v>2041</v>
      </c>
      <c r="G1982" s="264" t="s">
        <v>26</v>
      </c>
      <c r="H1982" s="368">
        <v>31750</v>
      </c>
      <c r="I1982" s="368">
        <v>0</v>
      </c>
      <c r="J1982" s="264" t="s">
        <v>2793</v>
      </c>
      <c r="K1982" s="264" t="s">
        <v>2025</v>
      </c>
      <c r="L1982" s="1" t="str">
        <f>VLOOKUP(Advices[[#This Row],[LC Number]],'Combine_List'!A:D,2,0)</f>
        <v>The Fundamental Installation For Electric Work Co</v>
      </c>
      <c r="M1982" s="447" t="str">
        <f>VLOOKUP(Advices[[#This Row],[LC Number]],'Combine_List'!A:D,3,0)</f>
        <v>FIRST FIX</v>
      </c>
      <c r="N1982" s="447" t="str">
        <f>VLOOKUP(Advices[[#This Row],[LC Number]],'Combine_List'!A:D,4,0)</f>
        <v>CEER</v>
      </c>
      <c r="O1982" s="1"/>
      <c r="P1982" s="1">
        <f>MONTH(Advices[[#This Row],[Transaction Date]])</f>
        <v>3</v>
      </c>
      <c r="Q1982" s="1">
        <f>YEAR(Advices[[#This Row],[Transaction Date]])</f>
        <v>2026</v>
      </c>
      <c r="R1982" s="1"/>
    </row>
    <row r="1983" spans="1:18" hidden="1" x14ac:dyDescent="0.25">
      <c r="A1983" s="264" t="s">
        <v>612</v>
      </c>
      <c r="B1983" s="265">
        <v>46091</v>
      </c>
      <c r="C1983" s="264" t="s">
        <v>2101</v>
      </c>
      <c r="D1983" s="300" t="s">
        <v>4310</v>
      </c>
      <c r="E1983" s="300" t="s">
        <v>4304</v>
      </c>
      <c r="F1983" s="300" t="s">
        <v>2041</v>
      </c>
      <c r="G1983" s="264" t="s">
        <v>26</v>
      </c>
      <c r="H1983" s="368">
        <v>4762.5</v>
      </c>
      <c r="I1983" s="368">
        <v>0</v>
      </c>
      <c r="J1983" s="264" t="s">
        <v>1174</v>
      </c>
      <c r="K1983" s="264" t="s">
        <v>2025</v>
      </c>
      <c r="L1983" s="1" t="str">
        <f>VLOOKUP(Advices[[#This Row],[LC Number]],'Combine_List'!A:D,2,0)</f>
        <v>The Fundamental Installation For Electric Work Co</v>
      </c>
      <c r="M1983" s="447" t="str">
        <f>VLOOKUP(Advices[[#This Row],[LC Number]],'Combine_List'!A:D,3,0)</f>
        <v>FIRST FIX</v>
      </c>
      <c r="N1983" s="447" t="str">
        <f>VLOOKUP(Advices[[#This Row],[LC Number]],'Combine_List'!A:D,4,0)</f>
        <v>CEER</v>
      </c>
      <c r="O1983" s="1"/>
      <c r="P1983" s="1">
        <f>MONTH(Advices[[#This Row],[Transaction Date]])</f>
        <v>3</v>
      </c>
      <c r="Q1983" s="1">
        <f>YEAR(Advices[[#This Row],[Transaction Date]])</f>
        <v>2026</v>
      </c>
      <c r="R1983" s="1"/>
    </row>
    <row r="1984" spans="1:18" hidden="1" x14ac:dyDescent="0.25">
      <c r="A1984" s="264" t="s">
        <v>612</v>
      </c>
      <c r="B1984" s="265">
        <v>46091</v>
      </c>
      <c r="C1984" s="264" t="s">
        <v>2101</v>
      </c>
      <c r="D1984" s="300" t="s">
        <v>4311</v>
      </c>
      <c r="E1984" s="300" t="s">
        <v>4304</v>
      </c>
      <c r="F1984" s="300" t="s">
        <v>2041</v>
      </c>
      <c r="G1984" s="264" t="s">
        <v>26</v>
      </c>
      <c r="H1984" s="368">
        <v>15625</v>
      </c>
      <c r="I1984" s="368">
        <v>0</v>
      </c>
      <c r="J1984" s="264" t="s">
        <v>2616</v>
      </c>
      <c r="K1984" s="264" t="s">
        <v>2025</v>
      </c>
      <c r="L1984" s="1" t="str">
        <f>VLOOKUP(Advices[[#This Row],[LC Number]],'Combine_List'!A:D,2,0)</f>
        <v>The Fundamental Installation For Electric Work Co</v>
      </c>
      <c r="M1984" s="447" t="str">
        <f>VLOOKUP(Advices[[#This Row],[LC Number]],'Combine_List'!A:D,3,0)</f>
        <v>FIRST FIX</v>
      </c>
      <c r="N1984" s="447" t="str">
        <f>VLOOKUP(Advices[[#This Row],[LC Number]],'Combine_List'!A:D,4,0)</f>
        <v>CEER</v>
      </c>
      <c r="O1984" s="1"/>
      <c r="P1984" s="1">
        <f>MONTH(Advices[[#This Row],[Transaction Date]])</f>
        <v>3</v>
      </c>
      <c r="Q1984" s="1">
        <f>YEAR(Advices[[#This Row],[Transaction Date]])</f>
        <v>2026</v>
      </c>
      <c r="R1984" s="1"/>
    </row>
    <row r="1985" spans="1:18" hidden="1" x14ac:dyDescent="0.25">
      <c r="A1985" s="264" t="s">
        <v>612</v>
      </c>
      <c r="B1985" s="265">
        <v>46091</v>
      </c>
      <c r="C1985" s="264" t="s">
        <v>2101</v>
      </c>
      <c r="D1985" s="300" t="s">
        <v>4312</v>
      </c>
      <c r="E1985" s="300" t="s">
        <v>4304</v>
      </c>
      <c r="F1985" s="300" t="s">
        <v>2041</v>
      </c>
      <c r="G1985" s="264" t="s">
        <v>26</v>
      </c>
      <c r="H1985" s="368">
        <v>2343.75</v>
      </c>
      <c r="I1985" s="368">
        <v>0</v>
      </c>
      <c r="J1985" s="264" t="s">
        <v>1174</v>
      </c>
      <c r="K1985" s="264" t="s">
        <v>2025</v>
      </c>
      <c r="L1985" s="1" t="str">
        <f>VLOOKUP(Advices[[#This Row],[LC Number]],'Combine_List'!A:D,2,0)</f>
        <v>The Fundamental Installation For Electric Work Co</v>
      </c>
      <c r="M1985" s="447" t="str">
        <f>VLOOKUP(Advices[[#This Row],[LC Number]],'Combine_List'!A:D,3,0)</f>
        <v>FIRST FIX</v>
      </c>
      <c r="N1985" s="447" t="str">
        <f>VLOOKUP(Advices[[#This Row],[LC Number]],'Combine_List'!A:D,4,0)</f>
        <v>CEER</v>
      </c>
      <c r="O1985" s="1"/>
      <c r="P1985" s="1">
        <f>MONTH(Advices[[#This Row],[Transaction Date]])</f>
        <v>3</v>
      </c>
      <c r="Q1985" s="1">
        <f>YEAR(Advices[[#This Row],[Transaction Date]])</f>
        <v>2026</v>
      </c>
      <c r="R1985" s="1"/>
    </row>
    <row r="1986" spans="1:18" hidden="1" x14ac:dyDescent="0.25">
      <c r="A1986" s="264" t="s">
        <v>612</v>
      </c>
      <c r="B1986" s="265">
        <v>46091</v>
      </c>
      <c r="C1986" s="264" t="s">
        <v>2101</v>
      </c>
      <c r="D1986" s="300" t="s">
        <v>4313</v>
      </c>
      <c r="E1986" s="300" t="s">
        <v>4304</v>
      </c>
      <c r="F1986" s="300" t="s">
        <v>2041</v>
      </c>
      <c r="G1986" s="264" t="s">
        <v>26</v>
      </c>
      <c r="H1986" s="368">
        <v>750</v>
      </c>
      <c r="I1986" s="368">
        <v>0</v>
      </c>
      <c r="J1986" s="264" t="s">
        <v>2616</v>
      </c>
      <c r="K1986" s="264" t="s">
        <v>2025</v>
      </c>
      <c r="L1986" s="1" t="str">
        <f>VLOOKUP(Advices[[#This Row],[LC Number]],'Combine_List'!A:D,2,0)</f>
        <v>The Fundamental Installation For Electric Work Co</v>
      </c>
      <c r="M1986" s="447" t="str">
        <f>VLOOKUP(Advices[[#This Row],[LC Number]],'Combine_List'!A:D,3,0)</f>
        <v>FIRST FIX</v>
      </c>
      <c r="N1986" s="447" t="str">
        <f>VLOOKUP(Advices[[#This Row],[LC Number]],'Combine_List'!A:D,4,0)</f>
        <v>CEER</v>
      </c>
      <c r="O1986" s="1"/>
      <c r="P1986" s="1">
        <f>MONTH(Advices[[#This Row],[Transaction Date]])</f>
        <v>3</v>
      </c>
      <c r="Q1986" s="1">
        <f>YEAR(Advices[[#This Row],[Transaction Date]])</f>
        <v>2026</v>
      </c>
      <c r="R1986" s="1"/>
    </row>
    <row r="1987" spans="1:18" hidden="1" x14ac:dyDescent="0.25">
      <c r="A1987" s="264" t="s">
        <v>612</v>
      </c>
      <c r="B1987" s="265">
        <v>46091</v>
      </c>
      <c r="C1987" s="264" t="s">
        <v>2101</v>
      </c>
      <c r="D1987" s="300" t="s">
        <v>4314</v>
      </c>
      <c r="E1987" s="300" t="s">
        <v>4304</v>
      </c>
      <c r="F1987" s="300" t="s">
        <v>2041</v>
      </c>
      <c r="G1987" s="264" t="s">
        <v>26</v>
      </c>
      <c r="H1987" s="368">
        <v>112.5</v>
      </c>
      <c r="I1987" s="368">
        <v>0</v>
      </c>
      <c r="J1987" s="264" t="s">
        <v>1174</v>
      </c>
      <c r="K1987" s="264" t="s">
        <v>2025</v>
      </c>
      <c r="L1987" s="1" t="str">
        <f>VLOOKUP(Advices[[#This Row],[LC Number]],'Combine_List'!A:D,2,0)</f>
        <v>The Fundamental Installation For Electric Work Co</v>
      </c>
      <c r="M1987" s="447" t="str">
        <f>VLOOKUP(Advices[[#This Row],[LC Number]],'Combine_List'!A:D,3,0)</f>
        <v>FIRST FIX</v>
      </c>
      <c r="N1987" s="447" t="str">
        <f>VLOOKUP(Advices[[#This Row],[LC Number]],'Combine_List'!A:D,4,0)</f>
        <v>CEER</v>
      </c>
      <c r="O1987" s="1"/>
      <c r="P1987" s="1">
        <f>MONTH(Advices[[#This Row],[Transaction Date]])</f>
        <v>3</v>
      </c>
      <c r="Q1987" s="1">
        <f>YEAR(Advices[[#This Row],[Transaction Date]])</f>
        <v>2026</v>
      </c>
      <c r="R1987" s="1"/>
    </row>
    <row r="1988" spans="1:18" hidden="1" x14ac:dyDescent="0.25">
      <c r="A1988" s="264" t="s">
        <v>612</v>
      </c>
      <c r="B1988" s="265">
        <v>46091</v>
      </c>
      <c r="C1988" s="264" t="s">
        <v>2101</v>
      </c>
      <c r="D1988" s="300" t="s">
        <v>4315</v>
      </c>
      <c r="E1988" s="300" t="s">
        <v>4304</v>
      </c>
      <c r="F1988" s="300" t="s">
        <v>2041</v>
      </c>
      <c r="G1988" s="264" t="s">
        <v>26</v>
      </c>
      <c r="H1988" s="368">
        <v>38888.89</v>
      </c>
      <c r="I1988" s="368">
        <v>0</v>
      </c>
      <c r="J1988" s="264" t="s">
        <v>2616</v>
      </c>
      <c r="K1988" s="264" t="s">
        <v>2025</v>
      </c>
      <c r="L1988" s="1" t="str">
        <f>VLOOKUP(Advices[[#This Row],[LC Number]],'Combine_List'!A:D,2,0)</f>
        <v>The Fundamental Installation For Electric Work Co</v>
      </c>
      <c r="M1988" s="447" t="str">
        <f>VLOOKUP(Advices[[#This Row],[LC Number]],'Combine_List'!A:D,3,0)</f>
        <v>FIRST FIX</v>
      </c>
      <c r="N1988" s="447" t="str">
        <f>VLOOKUP(Advices[[#This Row],[LC Number]],'Combine_List'!A:D,4,0)</f>
        <v>CEER</v>
      </c>
      <c r="O1988" s="1"/>
      <c r="P1988" s="1">
        <f>MONTH(Advices[[#This Row],[Transaction Date]])</f>
        <v>3</v>
      </c>
      <c r="Q1988" s="1">
        <f>YEAR(Advices[[#This Row],[Transaction Date]])</f>
        <v>2026</v>
      </c>
      <c r="R1988" s="1"/>
    </row>
    <row r="1989" spans="1:18" hidden="1" x14ac:dyDescent="0.25">
      <c r="A1989" s="264" t="s">
        <v>612</v>
      </c>
      <c r="B1989" s="265">
        <v>46091</v>
      </c>
      <c r="C1989" s="264" t="s">
        <v>2101</v>
      </c>
      <c r="D1989" s="300" t="s">
        <v>4316</v>
      </c>
      <c r="E1989" s="300" t="s">
        <v>4304</v>
      </c>
      <c r="F1989" s="300" t="s">
        <v>2041</v>
      </c>
      <c r="G1989" s="264" t="s">
        <v>26</v>
      </c>
      <c r="H1989" s="368">
        <v>5833.33</v>
      </c>
      <c r="I1989" s="368">
        <v>0</v>
      </c>
      <c r="J1989" s="264" t="s">
        <v>1174</v>
      </c>
      <c r="K1989" s="264" t="s">
        <v>2025</v>
      </c>
      <c r="L1989" s="1" t="str">
        <f>VLOOKUP(Advices[[#This Row],[LC Number]],'Combine_List'!A:D,2,0)</f>
        <v>The Fundamental Installation For Electric Work Co</v>
      </c>
      <c r="M1989" s="447" t="str">
        <f>VLOOKUP(Advices[[#This Row],[LC Number]],'Combine_List'!A:D,3,0)</f>
        <v>FIRST FIX</v>
      </c>
      <c r="N1989" s="447" t="str">
        <f>VLOOKUP(Advices[[#This Row],[LC Number]],'Combine_List'!A:D,4,0)</f>
        <v>CEER</v>
      </c>
      <c r="O1989" s="1"/>
      <c r="P1989" s="1">
        <f>MONTH(Advices[[#This Row],[Transaction Date]])</f>
        <v>3</v>
      </c>
      <c r="Q1989" s="1">
        <f>YEAR(Advices[[#This Row],[Transaction Date]])</f>
        <v>2026</v>
      </c>
      <c r="R1989" s="1"/>
    </row>
    <row r="1990" spans="1:18" hidden="1" x14ac:dyDescent="0.25">
      <c r="A1990" s="264" t="s">
        <v>612</v>
      </c>
      <c r="B1990" s="265">
        <v>46091</v>
      </c>
      <c r="C1990" s="264" t="s">
        <v>2101</v>
      </c>
      <c r="D1990" s="300" t="s">
        <v>4317</v>
      </c>
      <c r="E1990" s="300" t="s">
        <v>4304</v>
      </c>
      <c r="F1990" s="300" t="s">
        <v>2041</v>
      </c>
      <c r="G1990" s="264" t="s">
        <v>26</v>
      </c>
      <c r="H1990" s="368">
        <v>200</v>
      </c>
      <c r="I1990" s="368">
        <v>0</v>
      </c>
      <c r="J1990" s="264" t="s">
        <v>2616</v>
      </c>
      <c r="K1990" s="264" t="s">
        <v>2025</v>
      </c>
      <c r="L1990" s="1" t="str">
        <f>VLOOKUP(Advices[[#This Row],[LC Number]],'Combine_List'!A:D,2,0)</f>
        <v>The Fundamental Installation For Electric Work Co</v>
      </c>
      <c r="M1990" s="447" t="str">
        <f>VLOOKUP(Advices[[#This Row],[LC Number]],'Combine_List'!A:D,3,0)</f>
        <v>FIRST FIX</v>
      </c>
      <c r="N1990" s="447" t="str">
        <f>VLOOKUP(Advices[[#This Row],[LC Number]],'Combine_List'!A:D,4,0)</f>
        <v>CEER</v>
      </c>
      <c r="O1990" s="1"/>
      <c r="P1990" s="1">
        <f>MONTH(Advices[[#This Row],[Transaction Date]])</f>
        <v>3</v>
      </c>
      <c r="Q1990" s="1">
        <f>YEAR(Advices[[#This Row],[Transaction Date]])</f>
        <v>2026</v>
      </c>
      <c r="R1990" s="1"/>
    </row>
    <row r="1991" spans="1:18" hidden="1" x14ac:dyDescent="0.25">
      <c r="A1991" s="264" t="s">
        <v>612</v>
      </c>
      <c r="B1991" s="265">
        <v>46091</v>
      </c>
      <c r="C1991" s="264" t="s">
        <v>2101</v>
      </c>
      <c r="D1991" s="300" t="s">
        <v>4318</v>
      </c>
      <c r="E1991" s="300" t="s">
        <v>4304</v>
      </c>
      <c r="F1991" s="300" t="s">
        <v>2041</v>
      </c>
      <c r="G1991" s="264" t="s">
        <v>26</v>
      </c>
      <c r="H1991" s="368">
        <v>30</v>
      </c>
      <c r="I1991" s="368">
        <v>0</v>
      </c>
      <c r="J1991" s="264" t="s">
        <v>1174</v>
      </c>
      <c r="K1991" s="264" t="s">
        <v>2025</v>
      </c>
      <c r="L1991" s="1" t="str">
        <f>VLOOKUP(Advices[[#This Row],[LC Number]],'Combine_List'!A:D,2,0)</f>
        <v>The Fundamental Installation For Electric Work Co</v>
      </c>
      <c r="M1991" s="447" t="str">
        <f>VLOOKUP(Advices[[#This Row],[LC Number]],'Combine_List'!A:D,3,0)</f>
        <v>FIRST FIX</v>
      </c>
      <c r="N1991" s="447" t="str">
        <f>VLOOKUP(Advices[[#This Row],[LC Number]],'Combine_List'!A:D,4,0)</f>
        <v>CEER</v>
      </c>
      <c r="O1991" s="264"/>
      <c r="P1991" s="264">
        <f>MONTH(Advices[[#This Row],[Transaction Date]])</f>
        <v>3</v>
      </c>
      <c r="Q1991" s="264">
        <f>YEAR(Advices[[#This Row],[Transaction Date]])</f>
        <v>2026</v>
      </c>
      <c r="R1991" s="1"/>
    </row>
    <row r="1992" spans="1:18" hidden="1" x14ac:dyDescent="0.25">
      <c r="A1992" s="264" t="s">
        <v>62</v>
      </c>
      <c r="B1992" s="265">
        <v>46092</v>
      </c>
      <c r="C1992" s="264" t="s">
        <v>2039</v>
      </c>
      <c r="D1992" s="300" t="s">
        <v>4320</v>
      </c>
      <c r="E1992" s="300" t="s">
        <v>1063</v>
      </c>
      <c r="F1992" s="300" t="s">
        <v>2041</v>
      </c>
      <c r="G1992" s="264" t="s">
        <v>26</v>
      </c>
      <c r="H1992" s="368">
        <v>345000</v>
      </c>
      <c r="I1992" s="368">
        <v>0</v>
      </c>
      <c r="J1992" s="264" t="s">
        <v>4351</v>
      </c>
      <c r="K1992" s="264" t="s">
        <v>2025</v>
      </c>
      <c r="L1992" s="1" t="str">
        <f>VLOOKUP(Advices[[#This Row],[LC Number]],'Combine_List'!A:D,2,0)</f>
        <v>Material - JEDDAH CENTRAL DEVELOPMENT COMPANY</v>
      </c>
      <c r="M1992" s="447">
        <f>VLOOKUP(Advices[[#This Row],[LC Number]],'Combine_List'!A:D,3,0)</f>
        <v>0</v>
      </c>
      <c r="N1992" s="447" t="str">
        <f>VLOOKUP(Advices[[#This Row],[LC Number]],'Combine_List'!A:D,4,0)</f>
        <v>JCD</v>
      </c>
      <c r="O1992" s="1"/>
      <c r="P1992" s="1">
        <f>MONTH(Advices[[#This Row],[Transaction Date]])</f>
        <v>3</v>
      </c>
      <c r="Q1992" s="1">
        <f>YEAR(Advices[[#This Row],[Transaction Date]])</f>
        <v>2026</v>
      </c>
      <c r="R1992" s="1"/>
    </row>
    <row r="1993" spans="1:18" hidden="1" x14ac:dyDescent="0.25">
      <c r="A1993" s="264" t="s">
        <v>62</v>
      </c>
      <c r="B1993" s="265">
        <v>46092</v>
      </c>
      <c r="C1993" s="264" t="s">
        <v>2039</v>
      </c>
      <c r="D1993" s="300" t="s">
        <v>4321</v>
      </c>
      <c r="E1993" s="300" t="s">
        <v>3953</v>
      </c>
      <c r="F1993" s="300" t="s">
        <v>2041</v>
      </c>
      <c r="G1993" s="264" t="s">
        <v>26</v>
      </c>
      <c r="H1993" s="368">
        <v>2156.25</v>
      </c>
      <c r="I1993" s="368">
        <v>0</v>
      </c>
      <c r="J1993" s="264" t="s">
        <v>1125</v>
      </c>
      <c r="K1993" s="264" t="s">
        <v>2025</v>
      </c>
      <c r="L1993" s="1" t="str">
        <f>VLOOKUP(Advices[[#This Row],[LC Number]],'Combine_List'!A:D,2,0)</f>
        <v>Electro Mechanical Supplies</v>
      </c>
      <c r="M1993" s="447" t="str">
        <f>VLOOKUP(Advices[[#This Row],[LC Number]],'Combine_List'!A:D,3,0)</f>
        <v>FIRST FIX</v>
      </c>
      <c r="N1993" s="447" t="str">
        <f>VLOOKUP(Advices[[#This Row],[LC Number]],'Combine_List'!A:D,4,0)</f>
        <v>Oceanarium</v>
      </c>
      <c r="O1993" s="1"/>
      <c r="P1993" s="1">
        <f>MONTH(Advices[[#This Row],[Transaction Date]])</f>
        <v>3</v>
      </c>
      <c r="Q1993" s="1">
        <f>YEAR(Advices[[#This Row],[Transaction Date]])</f>
        <v>2026</v>
      </c>
      <c r="R1993" s="1"/>
    </row>
    <row r="1994" spans="1:18" hidden="1" x14ac:dyDescent="0.25">
      <c r="A1994" s="264" t="s">
        <v>62</v>
      </c>
      <c r="B1994" s="265">
        <v>46092</v>
      </c>
      <c r="C1994" s="264" t="s">
        <v>2039</v>
      </c>
      <c r="D1994" s="300" t="s">
        <v>4322</v>
      </c>
      <c r="E1994" s="300" t="s">
        <v>3954</v>
      </c>
      <c r="F1994" s="300" t="s">
        <v>2041</v>
      </c>
      <c r="G1994" s="264" t="s">
        <v>26</v>
      </c>
      <c r="H1994" s="368">
        <v>2156.25</v>
      </c>
      <c r="I1994" s="368">
        <v>0</v>
      </c>
      <c r="J1994" s="264" t="s">
        <v>1125</v>
      </c>
      <c r="K1994" s="264" t="s">
        <v>2025</v>
      </c>
      <c r="L1994" s="1" t="str">
        <f>VLOOKUP(Advices[[#This Row],[LC Number]],'Combine_List'!A:D,2,0)</f>
        <v>Mahmoud Altaheni And His Partners Trading Company</v>
      </c>
      <c r="M1994" s="447" t="str">
        <f>VLOOKUP(Advices[[#This Row],[LC Number]],'Combine_List'!A:D,3,0)</f>
        <v>FIRST FIX</v>
      </c>
      <c r="N1994" s="447" t="str">
        <f>VLOOKUP(Advices[[#This Row],[LC Number]],'Combine_List'!A:D,4,0)</f>
        <v>Oceanarium</v>
      </c>
      <c r="O1994" s="264"/>
      <c r="P1994" s="264">
        <f>MONTH(Advices[[#This Row],[Transaction Date]])</f>
        <v>3</v>
      </c>
      <c r="Q1994" s="264">
        <f>YEAR(Advices[[#This Row],[Transaction Date]])</f>
        <v>2026</v>
      </c>
      <c r="R1994" s="1"/>
    </row>
    <row r="1995" spans="1:18" hidden="1" x14ac:dyDescent="0.25">
      <c r="A1995" s="264" t="s">
        <v>366</v>
      </c>
      <c r="B1995" s="265">
        <v>46092</v>
      </c>
      <c r="C1995" s="264" t="s">
        <v>2060</v>
      </c>
      <c r="D1995" s="300" t="s">
        <v>4323</v>
      </c>
      <c r="E1995" s="300" t="s">
        <v>4073</v>
      </c>
      <c r="F1995" s="300" t="s">
        <v>4324</v>
      </c>
      <c r="G1995" s="264" t="s">
        <v>26</v>
      </c>
      <c r="H1995" s="368">
        <v>2876.93</v>
      </c>
      <c r="I1995" s="368">
        <v>0</v>
      </c>
      <c r="J1995" s="264" t="s">
        <v>1125</v>
      </c>
      <c r="K1995" s="264" t="s">
        <v>2025</v>
      </c>
      <c r="L1995" s="1" t="str">
        <f>VLOOKUP(Advices[[#This Row],[LC Number]],'Combine_List'!A:D,2,0)</f>
        <v>SERGAS SAUDI CONTRACTING CO. L.L.C</v>
      </c>
      <c r="M1995" s="447" t="str">
        <f>VLOOKUP(Advices[[#This Row],[LC Number]],'Combine_List'!A:D,3,0)</f>
        <v>MBL/ICAD</v>
      </c>
      <c r="N1995" s="447" t="str">
        <f>VLOOKUP(Advices[[#This Row],[LC Number]],'Combine_List'!A:D,4,0)</f>
        <v>ABHA</v>
      </c>
      <c r="O1995" s="264"/>
      <c r="P1995" s="264">
        <f>MONTH(Advices[[#This Row],[Transaction Date]])</f>
        <v>3</v>
      </c>
      <c r="Q1995" s="264">
        <f>YEAR(Advices[[#This Row],[Transaction Date]])</f>
        <v>2026</v>
      </c>
      <c r="R1995" s="1"/>
    </row>
    <row r="1996" spans="1:18" hidden="1" x14ac:dyDescent="0.25">
      <c r="A1996" s="264" t="s">
        <v>1073</v>
      </c>
      <c r="B1996" s="265">
        <v>46092</v>
      </c>
      <c r="C1996" s="264" t="s">
        <v>3164</v>
      </c>
      <c r="D1996" s="300" t="s">
        <v>3165</v>
      </c>
      <c r="E1996" s="300" t="s">
        <v>4546</v>
      </c>
      <c r="F1996" s="300" t="s">
        <v>2041</v>
      </c>
      <c r="G1996" s="264" t="s">
        <v>26</v>
      </c>
      <c r="H1996" s="368">
        <v>9875</v>
      </c>
      <c r="I1996" s="368">
        <v>0</v>
      </c>
      <c r="J1996" s="264" t="s">
        <v>2616</v>
      </c>
      <c r="K1996" s="264" t="s">
        <v>2025</v>
      </c>
      <c r="L1996" s="1" t="str">
        <f>VLOOKUP(Advices[[#This Row],[LC Number]],'Combine_List'!A:D,2,0)</f>
        <v>Ready Mix Company Limited.</v>
      </c>
      <c r="M1996" s="447" t="str">
        <f>VLOOKUP(Advices[[#This Row],[LC Number]],'Combine_List'!A:D,3,0)</f>
        <v>MBL</v>
      </c>
      <c r="N1996" s="447" t="str">
        <f>VLOOKUP(Advices[[#This Row],[LC Number]],'Combine_List'!A:D,4,0)</f>
        <v>Lagoon</v>
      </c>
      <c r="O1996" s="1"/>
      <c r="P1996" s="1">
        <f>MONTH(Advices[[#This Row],[Transaction Date]])</f>
        <v>3</v>
      </c>
      <c r="Q1996" s="1">
        <f>YEAR(Advices[[#This Row],[Transaction Date]])</f>
        <v>2026</v>
      </c>
      <c r="R1996" s="1"/>
    </row>
    <row r="1997" spans="1:18" hidden="1" x14ac:dyDescent="0.25">
      <c r="A1997" s="264" t="s">
        <v>1073</v>
      </c>
      <c r="B1997" s="265">
        <v>46092</v>
      </c>
      <c r="C1997" s="264" t="s">
        <v>3164</v>
      </c>
      <c r="D1997" s="300" t="s">
        <v>3166</v>
      </c>
      <c r="E1997" s="300" t="s">
        <v>4546</v>
      </c>
      <c r="F1997" s="300" t="s">
        <v>2041</v>
      </c>
      <c r="G1997" s="264" t="s">
        <v>26</v>
      </c>
      <c r="H1997" s="368">
        <v>1000</v>
      </c>
      <c r="I1997" s="368">
        <v>0</v>
      </c>
      <c r="J1997" s="264" t="s">
        <v>2616</v>
      </c>
      <c r="K1997" s="264" t="s">
        <v>2025</v>
      </c>
      <c r="L1997" s="1" t="str">
        <f>VLOOKUP(Advices[[#This Row],[LC Number]],'Combine_List'!A:D,2,0)</f>
        <v>Ready Mix Company Limited.</v>
      </c>
      <c r="M1997" s="447" t="str">
        <f>VLOOKUP(Advices[[#This Row],[LC Number]],'Combine_List'!A:D,3,0)</f>
        <v>MBL</v>
      </c>
      <c r="N1997" s="447" t="str">
        <f>VLOOKUP(Advices[[#This Row],[LC Number]],'Combine_List'!A:D,4,0)</f>
        <v>Lagoon</v>
      </c>
      <c r="O1997" s="1"/>
      <c r="P1997" s="1">
        <f>MONTH(Advices[[#This Row],[Transaction Date]])</f>
        <v>3</v>
      </c>
      <c r="Q1997" s="1">
        <f>YEAR(Advices[[#This Row],[Transaction Date]])</f>
        <v>2026</v>
      </c>
      <c r="R1997" s="1"/>
    </row>
    <row r="1998" spans="1:18" hidden="1" x14ac:dyDescent="0.25">
      <c r="A1998" s="264" t="s">
        <v>1073</v>
      </c>
      <c r="B1998" s="265">
        <v>46092</v>
      </c>
      <c r="C1998" s="264" t="s">
        <v>3164</v>
      </c>
      <c r="D1998" s="300" t="s">
        <v>3167</v>
      </c>
      <c r="E1998" s="300" t="s">
        <v>4546</v>
      </c>
      <c r="F1998" s="300" t="s">
        <v>2041</v>
      </c>
      <c r="G1998" s="264" t="s">
        <v>26</v>
      </c>
      <c r="H1998" s="368">
        <v>250</v>
      </c>
      <c r="I1998" s="368">
        <v>0</v>
      </c>
      <c r="J1998" s="264" t="s">
        <v>2616</v>
      </c>
      <c r="K1998" s="264" t="s">
        <v>2025</v>
      </c>
      <c r="L1998" s="1" t="str">
        <f>VLOOKUP(Advices[[#This Row],[LC Number]],'Combine_List'!A:D,2,0)</f>
        <v>Ready Mix Company Limited.</v>
      </c>
      <c r="M1998" s="447" t="str">
        <f>VLOOKUP(Advices[[#This Row],[LC Number]],'Combine_List'!A:D,3,0)</f>
        <v>MBL</v>
      </c>
      <c r="N1998" s="447" t="str">
        <f>VLOOKUP(Advices[[#This Row],[LC Number]],'Combine_List'!A:D,4,0)</f>
        <v>Lagoon</v>
      </c>
      <c r="O1998" s="1"/>
      <c r="P1998" s="1">
        <f>MONTH(Advices[[#This Row],[Transaction Date]])</f>
        <v>3</v>
      </c>
      <c r="Q1998" s="1">
        <f>YEAR(Advices[[#This Row],[Transaction Date]])</f>
        <v>2026</v>
      </c>
      <c r="R1998" s="1"/>
    </row>
    <row r="1999" spans="1:18" hidden="1" x14ac:dyDescent="0.25">
      <c r="A1999" s="264" t="s">
        <v>1073</v>
      </c>
      <c r="B1999" s="265">
        <v>46092</v>
      </c>
      <c r="C1999" s="264" t="s">
        <v>3164</v>
      </c>
      <c r="D1999" s="300" t="s">
        <v>3168</v>
      </c>
      <c r="E1999" s="300" t="s">
        <v>4546</v>
      </c>
      <c r="F1999" s="300" t="s">
        <v>2041</v>
      </c>
      <c r="G1999" s="264" t="s">
        <v>26</v>
      </c>
      <c r="H1999" s="368">
        <v>1481.25</v>
      </c>
      <c r="I1999" s="368">
        <v>0</v>
      </c>
      <c r="J1999" s="264" t="s">
        <v>2616</v>
      </c>
      <c r="K1999" s="264" t="s">
        <v>2025</v>
      </c>
      <c r="L1999" s="1" t="str">
        <f>VLOOKUP(Advices[[#This Row],[LC Number]],'Combine_List'!A:D,2,0)</f>
        <v>Ready Mix Company Limited.</v>
      </c>
      <c r="M1999" s="447" t="str">
        <f>VLOOKUP(Advices[[#This Row],[LC Number]],'Combine_List'!A:D,3,0)</f>
        <v>MBL</v>
      </c>
      <c r="N1999" s="447" t="str">
        <f>VLOOKUP(Advices[[#This Row],[LC Number]],'Combine_List'!A:D,4,0)</f>
        <v>Lagoon</v>
      </c>
      <c r="O1999" s="1"/>
      <c r="P1999" s="1">
        <f>MONTH(Advices[[#This Row],[Transaction Date]])</f>
        <v>3</v>
      </c>
      <c r="Q1999" s="1">
        <f>YEAR(Advices[[#This Row],[Transaction Date]])</f>
        <v>2026</v>
      </c>
      <c r="R1999" s="1"/>
    </row>
    <row r="2000" spans="1:18" hidden="1" x14ac:dyDescent="0.25">
      <c r="A2000" s="264" t="s">
        <v>1073</v>
      </c>
      <c r="B2000" s="265">
        <v>46092</v>
      </c>
      <c r="C2000" s="264" t="s">
        <v>3164</v>
      </c>
      <c r="D2000" s="300" t="s">
        <v>3168</v>
      </c>
      <c r="E2000" s="300" t="s">
        <v>4546</v>
      </c>
      <c r="F2000" s="300" t="s">
        <v>2041</v>
      </c>
      <c r="G2000" s="264" t="s">
        <v>26</v>
      </c>
      <c r="H2000" s="368">
        <v>150</v>
      </c>
      <c r="I2000" s="368">
        <v>0</v>
      </c>
      <c r="J2000" s="264" t="s">
        <v>2616</v>
      </c>
      <c r="K2000" s="264" t="s">
        <v>2025</v>
      </c>
      <c r="L2000" s="1" t="str">
        <f>VLOOKUP(Advices[[#This Row],[LC Number]],'Combine_List'!A:D,2,0)</f>
        <v>Ready Mix Company Limited.</v>
      </c>
      <c r="M2000" s="447" t="str">
        <f>VLOOKUP(Advices[[#This Row],[LC Number]],'Combine_List'!A:D,3,0)</f>
        <v>MBL</v>
      </c>
      <c r="N2000" s="447" t="str">
        <f>VLOOKUP(Advices[[#This Row],[LC Number]],'Combine_List'!A:D,4,0)</f>
        <v>Lagoon</v>
      </c>
      <c r="O2000" s="1"/>
      <c r="P2000" s="1">
        <f>MONTH(Advices[[#This Row],[Transaction Date]])</f>
        <v>3</v>
      </c>
      <c r="Q2000" s="1">
        <f>YEAR(Advices[[#This Row],[Transaction Date]])</f>
        <v>2026</v>
      </c>
      <c r="R2000" s="1"/>
    </row>
    <row r="2001" spans="1:18" hidden="1" x14ac:dyDescent="0.25">
      <c r="A2001" s="264" t="s">
        <v>1073</v>
      </c>
      <c r="B2001" s="265">
        <v>46092</v>
      </c>
      <c r="C2001" s="264" t="s">
        <v>3164</v>
      </c>
      <c r="D2001" s="300" t="s">
        <v>3168</v>
      </c>
      <c r="E2001" s="300" t="s">
        <v>4546</v>
      </c>
      <c r="F2001" s="300" t="s">
        <v>2041</v>
      </c>
      <c r="G2001" s="264" t="s">
        <v>26</v>
      </c>
      <c r="H2001" s="368">
        <v>37.5</v>
      </c>
      <c r="I2001" s="368">
        <v>0</v>
      </c>
      <c r="J2001" s="264" t="s">
        <v>2616</v>
      </c>
      <c r="K2001" s="264" t="s">
        <v>2025</v>
      </c>
      <c r="L2001" s="1" t="str">
        <f>VLOOKUP(Advices[[#This Row],[LC Number]],'Combine_List'!A:D,2,0)</f>
        <v>Ready Mix Company Limited.</v>
      </c>
      <c r="M2001" s="447" t="str">
        <f>VLOOKUP(Advices[[#This Row],[LC Number]],'Combine_List'!A:D,3,0)</f>
        <v>MBL</v>
      </c>
      <c r="N2001" s="447" t="str">
        <f>VLOOKUP(Advices[[#This Row],[LC Number]],'Combine_List'!A:D,4,0)</f>
        <v>Lagoon</v>
      </c>
      <c r="O2001" s="264"/>
      <c r="P2001" s="264">
        <f>MONTH(Advices[[#This Row],[Transaction Date]])</f>
        <v>3</v>
      </c>
      <c r="Q2001" s="264">
        <f>YEAR(Advices[[#This Row],[Transaction Date]])</f>
        <v>2026</v>
      </c>
      <c r="R2001" s="1"/>
    </row>
    <row r="2002" spans="1:18" hidden="1" x14ac:dyDescent="0.25">
      <c r="A2002" s="264" t="s">
        <v>612</v>
      </c>
      <c r="B2002" s="265">
        <v>46092</v>
      </c>
      <c r="C2002" s="264" t="s">
        <v>2101</v>
      </c>
      <c r="D2002" s="395" t="s">
        <v>4325</v>
      </c>
      <c r="E2002" s="300" t="s">
        <v>3733</v>
      </c>
      <c r="F2002" s="300" t="s">
        <v>2041</v>
      </c>
      <c r="G2002" s="264" t="s">
        <v>26</v>
      </c>
      <c r="H2002" s="368">
        <v>6249.98</v>
      </c>
      <c r="I2002" s="368">
        <v>0</v>
      </c>
      <c r="J2002" s="264" t="s">
        <v>2793</v>
      </c>
      <c r="K2002" s="264" t="s">
        <v>2025</v>
      </c>
      <c r="L2002" s="1" t="str">
        <f>VLOOKUP(Advices[[#This Row],[LC Number]],'Combine_List'!A:D,2,0)</f>
        <v>Bid - DIRIYAH COMPANY</v>
      </c>
      <c r="M2002" s="447" t="str">
        <f>VLOOKUP(Advices[[#This Row],[LC Number]],'Combine_List'!A:D,3,0)</f>
        <v>MBL</v>
      </c>
      <c r="N2002" s="447">
        <f>VLOOKUP(Advices[[#This Row],[LC Number]],'Combine_List'!A:D,4,0)</f>
        <v>0</v>
      </c>
      <c r="O2002" s="1"/>
      <c r="P2002" s="1">
        <f>MONTH(Advices[[#This Row],[Transaction Date]])</f>
        <v>3</v>
      </c>
      <c r="Q2002" s="1">
        <f>YEAR(Advices[[#This Row],[Transaction Date]])</f>
        <v>2026</v>
      </c>
      <c r="R2002" s="1"/>
    </row>
    <row r="2003" spans="1:18" hidden="1" x14ac:dyDescent="0.25">
      <c r="A2003" s="264" t="s">
        <v>612</v>
      </c>
      <c r="B2003" s="265">
        <v>46092</v>
      </c>
      <c r="C2003" s="264" t="s">
        <v>2101</v>
      </c>
      <c r="D2003" s="300" t="s">
        <v>4326</v>
      </c>
      <c r="E2003" s="300" t="s">
        <v>3733</v>
      </c>
      <c r="F2003" s="300" t="s">
        <v>2041</v>
      </c>
      <c r="G2003" s="264" t="s">
        <v>26</v>
      </c>
      <c r="H2003" s="368">
        <v>937.5</v>
      </c>
      <c r="I2003" s="368">
        <v>0</v>
      </c>
      <c r="J2003" s="264" t="s">
        <v>1174</v>
      </c>
      <c r="K2003" s="264" t="s">
        <v>2025</v>
      </c>
      <c r="L2003" s="1" t="str">
        <f>VLOOKUP(Advices[[#This Row],[LC Number]],'Combine_List'!A:D,2,0)</f>
        <v>Bid - DIRIYAH COMPANY</v>
      </c>
      <c r="M2003" s="447" t="str">
        <f>VLOOKUP(Advices[[#This Row],[LC Number]],'Combine_List'!A:D,3,0)</f>
        <v>MBL</v>
      </c>
      <c r="N2003" s="447">
        <f>VLOOKUP(Advices[[#This Row],[LC Number]],'Combine_List'!A:D,4,0)</f>
        <v>0</v>
      </c>
      <c r="O2003" s="1"/>
      <c r="P2003" s="1">
        <f>MONTH(Advices[[#This Row],[Transaction Date]])</f>
        <v>3</v>
      </c>
      <c r="Q2003" s="1">
        <f>YEAR(Advices[[#This Row],[Transaction Date]])</f>
        <v>2026</v>
      </c>
      <c r="R2003" s="1"/>
    </row>
    <row r="2004" spans="1:18" hidden="1" x14ac:dyDescent="0.25">
      <c r="A2004" s="264" t="s">
        <v>612</v>
      </c>
      <c r="B2004" s="265">
        <v>46092</v>
      </c>
      <c r="C2004" s="264" t="s">
        <v>2101</v>
      </c>
      <c r="D2004" s="300" t="s">
        <v>4327</v>
      </c>
      <c r="E2004" s="300" t="s">
        <v>3733</v>
      </c>
      <c r="F2004" s="300" t="s">
        <v>2041</v>
      </c>
      <c r="G2004" s="264" t="s">
        <v>26</v>
      </c>
      <c r="H2004" s="368">
        <v>10410.959999999999</v>
      </c>
      <c r="I2004" s="368">
        <v>0</v>
      </c>
      <c r="J2004" s="264" t="s">
        <v>2793</v>
      </c>
      <c r="K2004" s="264" t="s">
        <v>2025</v>
      </c>
      <c r="L2004" s="1" t="str">
        <f>VLOOKUP(Advices[[#This Row],[LC Number]],'Combine_List'!A:D,2,0)</f>
        <v>Bid - DIRIYAH COMPANY</v>
      </c>
      <c r="M2004" s="447" t="str">
        <f>VLOOKUP(Advices[[#This Row],[LC Number]],'Combine_List'!A:D,3,0)</f>
        <v>MBL</v>
      </c>
      <c r="N2004" s="447">
        <f>VLOOKUP(Advices[[#This Row],[LC Number]],'Combine_List'!A:D,4,0)</f>
        <v>0</v>
      </c>
      <c r="O2004" s="1"/>
      <c r="P2004" s="1">
        <f>MONTH(Advices[[#This Row],[Transaction Date]])</f>
        <v>3</v>
      </c>
      <c r="Q2004" s="1">
        <f>YEAR(Advices[[#This Row],[Transaction Date]])</f>
        <v>2026</v>
      </c>
      <c r="R2004" s="1"/>
    </row>
    <row r="2005" spans="1:18" hidden="1" x14ac:dyDescent="0.25">
      <c r="A2005" s="264" t="s">
        <v>612</v>
      </c>
      <c r="B2005" s="265">
        <v>46092</v>
      </c>
      <c r="C2005" s="264" t="s">
        <v>2101</v>
      </c>
      <c r="D2005" s="300" t="s">
        <v>4328</v>
      </c>
      <c r="E2005" s="300" t="s">
        <v>3733</v>
      </c>
      <c r="F2005" s="300" t="s">
        <v>2041</v>
      </c>
      <c r="G2005" s="264" t="s">
        <v>26</v>
      </c>
      <c r="H2005" s="368">
        <v>1561.64</v>
      </c>
      <c r="I2005" s="368">
        <v>0</v>
      </c>
      <c r="J2005" s="264" t="s">
        <v>1174</v>
      </c>
      <c r="K2005" s="264" t="s">
        <v>2025</v>
      </c>
      <c r="L2005" s="1" t="str">
        <f>VLOOKUP(Advices[[#This Row],[LC Number]],'Combine_List'!A:D,2,0)</f>
        <v>Bid - DIRIYAH COMPANY</v>
      </c>
      <c r="M2005" s="447" t="str">
        <f>VLOOKUP(Advices[[#This Row],[LC Number]],'Combine_List'!A:D,3,0)</f>
        <v>MBL</v>
      </c>
      <c r="N2005" s="447">
        <f>VLOOKUP(Advices[[#This Row],[LC Number]],'Combine_List'!A:D,4,0)</f>
        <v>0</v>
      </c>
      <c r="O2005" s="1"/>
      <c r="P2005" s="1">
        <f>MONTH(Advices[[#This Row],[Transaction Date]])</f>
        <v>3</v>
      </c>
      <c r="Q2005" s="1">
        <f>YEAR(Advices[[#This Row],[Transaction Date]])</f>
        <v>2026</v>
      </c>
      <c r="R2005" s="1"/>
    </row>
    <row r="2006" spans="1:18" hidden="1" x14ac:dyDescent="0.25">
      <c r="A2006" s="264" t="s">
        <v>612</v>
      </c>
      <c r="B2006" s="265">
        <v>46092</v>
      </c>
      <c r="C2006" s="264" t="s">
        <v>2101</v>
      </c>
      <c r="D2006" s="300" t="s">
        <v>4329</v>
      </c>
      <c r="E2006" s="300" t="s">
        <v>1565</v>
      </c>
      <c r="F2006" s="300" t="s">
        <v>2041</v>
      </c>
      <c r="G2006" s="264" t="s">
        <v>26</v>
      </c>
      <c r="H2006" s="368">
        <v>500</v>
      </c>
      <c r="I2006" s="368">
        <v>0</v>
      </c>
      <c r="J2006" s="264" t="s">
        <v>1124</v>
      </c>
      <c r="K2006" s="264" t="s">
        <v>2025</v>
      </c>
      <c r="L2006" s="1" t="str">
        <f>VLOOKUP(Advices[[#This Row],[LC Number]],'Combine_List'!A:D,2,0)</f>
        <v>Mohammed Ramadan Shat</v>
      </c>
      <c r="M2006" s="447" t="str">
        <f>VLOOKUP(Advices[[#This Row],[LC Number]],'Combine_List'!A:D,3,0)</f>
        <v>FIRST FIX</v>
      </c>
      <c r="N2006" s="447" t="str">
        <f>VLOOKUP(Advices[[#This Row],[LC Number]],'Combine_List'!A:D,4,0)</f>
        <v>RCRC</v>
      </c>
      <c r="O2006" s="1"/>
      <c r="P2006" s="1">
        <f>MONTH(Advices[[#This Row],[Transaction Date]])</f>
        <v>3</v>
      </c>
      <c r="Q2006" s="1">
        <f>YEAR(Advices[[#This Row],[Transaction Date]])</f>
        <v>2026</v>
      </c>
      <c r="R2006" s="1"/>
    </row>
    <row r="2007" spans="1:18" hidden="1" x14ac:dyDescent="0.25">
      <c r="A2007" s="264" t="s">
        <v>612</v>
      </c>
      <c r="B2007" s="265">
        <v>46092</v>
      </c>
      <c r="C2007" s="264" t="s">
        <v>2101</v>
      </c>
      <c r="D2007" s="300" t="s">
        <v>4330</v>
      </c>
      <c r="E2007" s="300" t="s">
        <v>1565</v>
      </c>
      <c r="F2007" s="300" t="s">
        <v>2041</v>
      </c>
      <c r="G2007" s="264" t="s">
        <v>26</v>
      </c>
      <c r="H2007" s="368">
        <v>75</v>
      </c>
      <c r="I2007" s="368">
        <v>0</v>
      </c>
      <c r="J2007" s="264" t="s">
        <v>1174</v>
      </c>
      <c r="K2007" s="264" t="s">
        <v>2025</v>
      </c>
      <c r="L2007" s="1" t="str">
        <f>VLOOKUP(Advices[[#This Row],[LC Number]],'Combine_List'!A:D,2,0)</f>
        <v>Mohammed Ramadan Shat</v>
      </c>
      <c r="M2007" s="447" t="str">
        <f>VLOOKUP(Advices[[#This Row],[LC Number]],'Combine_List'!A:D,3,0)</f>
        <v>FIRST FIX</v>
      </c>
      <c r="N2007" s="447" t="str">
        <f>VLOOKUP(Advices[[#This Row],[LC Number]],'Combine_List'!A:D,4,0)</f>
        <v>RCRC</v>
      </c>
      <c r="O2007" s="1"/>
      <c r="P2007" s="1">
        <f>MONTH(Advices[[#This Row],[Transaction Date]])</f>
        <v>3</v>
      </c>
      <c r="Q2007" s="1">
        <f>YEAR(Advices[[#This Row],[Transaction Date]])</f>
        <v>2026</v>
      </c>
      <c r="R2007" s="1"/>
    </row>
    <row r="2008" spans="1:18" hidden="1" x14ac:dyDescent="0.25">
      <c r="A2008" s="264" t="s">
        <v>612</v>
      </c>
      <c r="B2008" s="265">
        <v>46092</v>
      </c>
      <c r="C2008" s="264" t="s">
        <v>2101</v>
      </c>
      <c r="D2008" s="300" t="s">
        <v>4331</v>
      </c>
      <c r="E2008" s="300" t="s">
        <v>1565</v>
      </c>
      <c r="F2008" s="300" t="s">
        <v>2041</v>
      </c>
      <c r="G2008" s="264" t="s">
        <v>26</v>
      </c>
      <c r="H2008" s="368">
        <v>200</v>
      </c>
      <c r="I2008" s="368">
        <v>0</v>
      </c>
      <c r="J2008" s="264" t="s">
        <v>1124</v>
      </c>
      <c r="K2008" s="264" t="s">
        <v>2025</v>
      </c>
      <c r="L2008" s="1" t="str">
        <f>VLOOKUP(Advices[[#This Row],[LC Number]],'Combine_List'!A:D,2,0)</f>
        <v>Mohammed Ramadan Shat</v>
      </c>
      <c r="M2008" s="447" t="str">
        <f>VLOOKUP(Advices[[#This Row],[LC Number]],'Combine_List'!A:D,3,0)</f>
        <v>FIRST FIX</v>
      </c>
      <c r="N2008" s="447" t="str">
        <f>VLOOKUP(Advices[[#This Row],[LC Number]],'Combine_List'!A:D,4,0)</f>
        <v>RCRC</v>
      </c>
      <c r="O2008" s="1"/>
      <c r="P2008" s="1">
        <f>MONTH(Advices[[#This Row],[Transaction Date]])</f>
        <v>3</v>
      </c>
      <c r="Q2008" s="1">
        <f>YEAR(Advices[[#This Row],[Transaction Date]])</f>
        <v>2026</v>
      </c>
      <c r="R2008" s="1"/>
    </row>
    <row r="2009" spans="1:18" hidden="1" x14ac:dyDescent="0.25">
      <c r="A2009" s="264" t="s">
        <v>612</v>
      </c>
      <c r="B2009" s="265">
        <v>46092</v>
      </c>
      <c r="C2009" s="264" t="s">
        <v>2101</v>
      </c>
      <c r="D2009" s="300" t="s">
        <v>4332</v>
      </c>
      <c r="E2009" s="300" t="s">
        <v>1565</v>
      </c>
      <c r="F2009" s="300" t="s">
        <v>2041</v>
      </c>
      <c r="G2009" s="264" t="s">
        <v>26</v>
      </c>
      <c r="H2009" s="368">
        <v>30</v>
      </c>
      <c r="I2009" s="368">
        <v>0</v>
      </c>
      <c r="J2009" s="264" t="s">
        <v>1174</v>
      </c>
      <c r="K2009" s="264" t="s">
        <v>2025</v>
      </c>
      <c r="L2009" s="1" t="str">
        <f>VLOOKUP(Advices[[#This Row],[LC Number]],'Combine_List'!A:D,2,0)</f>
        <v>Mohammed Ramadan Shat</v>
      </c>
      <c r="M2009" s="447" t="str">
        <f>VLOOKUP(Advices[[#This Row],[LC Number]],'Combine_List'!A:D,3,0)</f>
        <v>FIRST FIX</v>
      </c>
      <c r="N2009" s="447" t="str">
        <f>VLOOKUP(Advices[[#This Row],[LC Number]],'Combine_List'!A:D,4,0)</f>
        <v>RCRC</v>
      </c>
      <c r="O2009" s="1"/>
      <c r="P2009" s="1">
        <f>MONTH(Advices[[#This Row],[Transaction Date]])</f>
        <v>3</v>
      </c>
      <c r="Q2009" s="1">
        <f>YEAR(Advices[[#This Row],[Transaction Date]])</f>
        <v>2026</v>
      </c>
      <c r="R2009" s="1"/>
    </row>
    <row r="2010" spans="1:18" hidden="1" x14ac:dyDescent="0.25">
      <c r="A2010" s="264" t="s">
        <v>612</v>
      </c>
      <c r="B2010" s="265">
        <v>46092</v>
      </c>
      <c r="C2010" s="264" t="s">
        <v>2101</v>
      </c>
      <c r="D2010" s="300" t="s">
        <v>4333</v>
      </c>
      <c r="E2010" s="300" t="s">
        <v>1396</v>
      </c>
      <c r="F2010" s="300" t="s">
        <v>2041</v>
      </c>
      <c r="G2010" s="264" t="s">
        <v>26</v>
      </c>
      <c r="H2010" s="368">
        <v>500</v>
      </c>
      <c r="I2010" s="368">
        <v>0</v>
      </c>
      <c r="J2010" s="264" t="s">
        <v>1124</v>
      </c>
      <c r="K2010" s="264" t="s">
        <v>2025</v>
      </c>
      <c r="L2010" s="1" t="str">
        <f>VLOOKUP(Advices[[#This Row],[LC Number]],'Combine_List'!A:D,2,0)</f>
        <v>Baamer Group for Trading Company</v>
      </c>
      <c r="M2010" s="447" t="str">
        <f>VLOOKUP(Advices[[#This Row],[LC Number]],'Combine_List'!A:D,3,0)</f>
        <v>FIRST FIX</v>
      </c>
      <c r="N2010" s="447" t="str">
        <f>VLOOKUP(Advices[[#This Row],[LC Number]],'Combine_List'!A:D,4,0)</f>
        <v>RCRC</v>
      </c>
      <c r="O2010" s="1"/>
      <c r="P2010" s="1">
        <f>MONTH(Advices[[#This Row],[Transaction Date]])</f>
        <v>3</v>
      </c>
      <c r="Q2010" s="1">
        <f>YEAR(Advices[[#This Row],[Transaction Date]])</f>
        <v>2026</v>
      </c>
      <c r="R2010" s="1"/>
    </row>
    <row r="2011" spans="1:18" hidden="1" x14ac:dyDescent="0.25">
      <c r="A2011" s="264" t="s">
        <v>612</v>
      </c>
      <c r="B2011" s="265">
        <v>46092</v>
      </c>
      <c r="C2011" s="264" t="s">
        <v>2101</v>
      </c>
      <c r="D2011" s="300" t="s">
        <v>4334</v>
      </c>
      <c r="E2011" s="300" t="s">
        <v>1396</v>
      </c>
      <c r="F2011" s="300" t="s">
        <v>2041</v>
      </c>
      <c r="G2011" s="264" t="s">
        <v>26</v>
      </c>
      <c r="H2011" s="368">
        <v>75</v>
      </c>
      <c r="I2011" s="368">
        <v>0</v>
      </c>
      <c r="J2011" s="264" t="s">
        <v>1174</v>
      </c>
      <c r="K2011" s="264" t="s">
        <v>2025</v>
      </c>
      <c r="L2011" s="1" t="str">
        <f>VLOOKUP(Advices[[#This Row],[LC Number]],'Combine_List'!A:D,2,0)</f>
        <v>Baamer Group for Trading Company</v>
      </c>
      <c r="M2011" s="447" t="str">
        <f>VLOOKUP(Advices[[#This Row],[LC Number]],'Combine_List'!A:D,3,0)</f>
        <v>FIRST FIX</v>
      </c>
      <c r="N2011" s="447" t="str">
        <f>VLOOKUP(Advices[[#This Row],[LC Number]],'Combine_List'!A:D,4,0)</f>
        <v>RCRC</v>
      </c>
      <c r="O2011" s="1"/>
      <c r="P2011" s="1">
        <f>MONTH(Advices[[#This Row],[Transaction Date]])</f>
        <v>3</v>
      </c>
      <c r="Q2011" s="1">
        <f>YEAR(Advices[[#This Row],[Transaction Date]])</f>
        <v>2026</v>
      </c>
      <c r="R2011" s="1"/>
    </row>
    <row r="2012" spans="1:18" hidden="1" x14ac:dyDescent="0.25">
      <c r="A2012" s="264" t="s">
        <v>612</v>
      </c>
      <c r="B2012" s="265">
        <v>46092</v>
      </c>
      <c r="C2012" s="264" t="s">
        <v>2101</v>
      </c>
      <c r="D2012" s="300" t="s">
        <v>4335</v>
      </c>
      <c r="E2012" s="300" t="s">
        <v>1396</v>
      </c>
      <c r="F2012" s="300" t="s">
        <v>2041</v>
      </c>
      <c r="G2012" s="264" t="s">
        <v>26</v>
      </c>
      <c r="H2012" s="368">
        <v>200</v>
      </c>
      <c r="I2012" s="368">
        <v>0</v>
      </c>
      <c r="J2012" s="264" t="s">
        <v>1124</v>
      </c>
      <c r="K2012" s="264" t="s">
        <v>2025</v>
      </c>
      <c r="L2012" s="1" t="str">
        <f>VLOOKUP(Advices[[#This Row],[LC Number]],'Combine_List'!A:D,2,0)</f>
        <v>Baamer Group for Trading Company</v>
      </c>
      <c r="M2012" s="447" t="str">
        <f>VLOOKUP(Advices[[#This Row],[LC Number]],'Combine_List'!A:D,3,0)</f>
        <v>FIRST FIX</v>
      </c>
      <c r="N2012" s="447" t="str">
        <f>VLOOKUP(Advices[[#This Row],[LC Number]],'Combine_List'!A:D,4,0)</f>
        <v>RCRC</v>
      </c>
      <c r="O2012" s="1"/>
      <c r="P2012" s="1">
        <f>MONTH(Advices[[#This Row],[Transaction Date]])</f>
        <v>3</v>
      </c>
      <c r="Q2012" s="1">
        <f>YEAR(Advices[[#This Row],[Transaction Date]])</f>
        <v>2026</v>
      </c>
      <c r="R2012" s="1"/>
    </row>
    <row r="2013" spans="1:18" hidden="1" x14ac:dyDescent="0.25">
      <c r="A2013" s="264" t="s">
        <v>612</v>
      </c>
      <c r="B2013" s="265">
        <v>46092</v>
      </c>
      <c r="C2013" s="264" t="s">
        <v>2101</v>
      </c>
      <c r="D2013" s="300" t="s">
        <v>4336</v>
      </c>
      <c r="E2013" s="300" t="s">
        <v>1396</v>
      </c>
      <c r="F2013" s="300" t="s">
        <v>2041</v>
      </c>
      <c r="G2013" s="264" t="s">
        <v>26</v>
      </c>
      <c r="H2013" s="368">
        <v>30</v>
      </c>
      <c r="I2013" s="368">
        <v>0</v>
      </c>
      <c r="J2013" s="264" t="s">
        <v>1174</v>
      </c>
      <c r="K2013" s="264" t="s">
        <v>2025</v>
      </c>
      <c r="L2013" s="1" t="str">
        <f>VLOOKUP(Advices[[#This Row],[LC Number]],'Combine_List'!A:D,2,0)</f>
        <v>Baamer Group for Trading Company</v>
      </c>
      <c r="M2013" s="447" t="str">
        <f>VLOOKUP(Advices[[#This Row],[LC Number]],'Combine_List'!A:D,3,0)</f>
        <v>FIRST FIX</v>
      </c>
      <c r="N2013" s="447" t="str">
        <f>VLOOKUP(Advices[[#This Row],[LC Number]],'Combine_List'!A:D,4,0)</f>
        <v>RCRC</v>
      </c>
      <c r="O2013" s="1"/>
      <c r="P2013" s="1">
        <f>MONTH(Advices[[#This Row],[Transaction Date]])</f>
        <v>3</v>
      </c>
      <c r="Q2013" s="1">
        <f>YEAR(Advices[[#This Row],[Transaction Date]])</f>
        <v>2026</v>
      </c>
      <c r="R2013" s="1"/>
    </row>
    <row r="2014" spans="1:18" hidden="1" x14ac:dyDescent="0.25">
      <c r="A2014" s="264" t="s">
        <v>612</v>
      </c>
      <c r="B2014" s="265">
        <v>46092</v>
      </c>
      <c r="C2014" s="264" t="s">
        <v>2101</v>
      </c>
      <c r="D2014" s="300" t="s">
        <v>4337</v>
      </c>
      <c r="E2014" s="300" t="s">
        <v>722</v>
      </c>
      <c r="F2014" s="300" t="s">
        <v>2041</v>
      </c>
      <c r="G2014" s="264" t="s">
        <v>26</v>
      </c>
      <c r="H2014" s="368">
        <v>1079.6199999999999</v>
      </c>
      <c r="I2014" s="368">
        <v>0</v>
      </c>
      <c r="J2014" s="264" t="s">
        <v>1124</v>
      </c>
      <c r="K2014" s="264" t="s">
        <v>2025</v>
      </c>
      <c r="L2014" s="1" t="str">
        <f>VLOOKUP(Advices[[#This Row],[LC Number]],'Combine_List'!A:D,2,0)</f>
        <v>Saudi Hepco Co. Ltd</v>
      </c>
      <c r="M2014" s="447" t="str">
        <f>VLOOKUP(Advices[[#This Row],[LC Number]],'Combine_List'!A:D,3,0)</f>
        <v>FIRST FIX</v>
      </c>
      <c r="N2014" s="447" t="str">
        <f>VLOOKUP(Advices[[#This Row],[LC Number]],'Combine_List'!A:D,4,0)</f>
        <v>RCRC</v>
      </c>
      <c r="O2014" s="1"/>
      <c r="P2014" s="1">
        <f>MONTH(Advices[[#This Row],[Transaction Date]])</f>
        <v>3</v>
      </c>
      <c r="Q2014" s="1">
        <f>YEAR(Advices[[#This Row],[Transaction Date]])</f>
        <v>2026</v>
      </c>
      <c r="R2014" s="1"/>
    </row>
    <row r="2015" spans="1:18" hidden="1" x14ac:dyDescent="0.25">
      <c r="A2015" s="264" t="s">
        <v>612</v>
      </c>
      <c r="B2015" s="265">
        <v>46092</v>
      </c>
      <c r="C2015" s="264" t="s">
        <v>2101</v>
      </c>
      <c r="D2015" s="300" t="s">
        <v>4338</v>
      </c>
      <c r="E2015" s="300" t="s">
        <v>722</v>
      </c>
      <c r="F2015" s="300" t="s">
        <v>2041</v>
      </c>
      <c r="G2015" s="264" t="s">
        <v>26</v>
      </c>
      <c r="H2015" s="368">
        <v>161.94</v>
      </c>
      <c r="I2015" s="368">
        <v>0</v>
      </c>
      <c r="J2015" s="264" t="s">
        <v>1174</v>
      </c>
      <c r="K2015" s="264" t="s">
        <v>2025</v>
      </c>
      <c r="L2015" s="1" t="str">
        <f>VLOOKUP(Advices[[#This Row],[LC Number]],'Combine_List'!A:D,2,0)</f>
        <v>Saudi Hepco Co. Ltd</v>
      </c>
      <c r="M2015" s="447" t="str">
        <f>VLOOKUP(Advices[[#This Row],[LC Number]],'Combine_List'!A:D,3,0)</f>
        <v>FIRST FIX</v>
      </c>
      <c r="N2015" s="447" t="str">
        <f>VLOOKUP(Advices[[#This Row],[LC Number]],'Combine_List'!A:D,4,0)</f>
        <v>RCRC</v>
      </c>
      <c r="O2015" s="1"/>
      <c r="P2015" s="1">
        <f>MONTH(Advices[[#This Row],[Transaction Date]])</f>
        <v>3</v>
      </c>
      <c r="Q2015" s="1">
        <f>YEAR(Advices[[#This Row],[Transaction Date]])</f>
        <v>2026</v>
      </c>
      <c r="R2015" s="1"/>
    </row>
    <row r="2016" spans="1:18" hidden="1" x14ac:dyDescent="0.25">
      <c r="A2016" s="264" t="s">
        <v>612</v>
      </c>
      <c r="B2016" s="265">
        <v>46092</v>
      </c>
      <c r="C2016" s="264" t="s">
        <v>2101</v>
      </c>
      <c r="D2016" s="300" t="s">
        <v>4339</v>
      </c>
      <c r="E2016" s="300" t="s">
        <v>722</v>
      </c>
      <c r="F2016" s="300" t="s">
        <v>2041</v>
      </c>
      <c r="G2016" s="264" t="s">
        <v>26</v>
      </c>
      <c r="H2016" s="368">
        <v>200</v>
      </c>
      <c r="I2016" s="368">
        <v>0</v>
      </c>
      <c r="J2016" s="264" t="s">
        <v>1124</v>
      </c>
      <c r="K2016" s="264" t="s">
        <v>2025</v>
      </c>
      <c r="L2016" s="1" t="str">
        <f>VLOOKUP(Advices[[#This Row],[LC Number]],'Combine_List'!A:D,2,0)</f>
        <v>Saudi Hepco Co. Ltd</v>
      </c>
      <c r="M2016" s="447" t="str">
        <f>VLOOKUP(Advices[[#This Row],[LC Number]],'Combine_List'!A:D,3,0)</f>
        <v>FIRST FIX</v>
      </c>
      <c r="N2016" s="447" t="str">
        <f>VLOOKUP(Advices[[#This Row],[LC Number]],'Combine_List'!A:D,4,0)</f>
        <v>RCRC</v>
      </c>
      <c r="O2016" s="1"/>
      <c r="P2016" s="1">
        <f>MONTH(Advices[[#This Row],[Transaction Date]])</f>
        <v>3</v>
      </c>
      <c r="Q2016" s="1">
        <f>YEAR(Advices[[#This Row],[Transaction Date]])</f>
        <v>2026</v>
      </c>
      <c r="R2016" s="1"/>
    </row>
    <row r="2017" spans="1:18" hidden="1" x14ac:dyDescent="0.25">
      <c r="A2017" s="264" t="s">
        <v>612</v>
      </c>
      <c r="B2017" s="265">
        <v>46092</v>
      </c>
      <c r="C2017" s="264" t="s">
        <v>2101</v>
      </c>
      <c r="D2017" s="300" t="s">
        <v>4340</v>
      </c>
      <c r="E2017" s="300" t="s">
        <v>722</v>
      </c>
      <c r="F2017" s="300" t="s">
        <v>2041</v>
      </c>
      <c r="G2017" s="264" t="s">
        <v>26</v>
      </c>
      <c r="H2017" s="368">
        <v>30</v>
      </c>
      <c r="I2017" s="368">
        <v>0</v>
      </c>
      <c r="J2017" s="264" t="s">
        <v>1174</v>
      </c>
      <c r="K2017" s="264" t="s">
        <v>2025</v>
      </c>
      <c r="L2017" s="1" t="str">
        <f>VLOOKUP(Advices[[#This Row],[LC Number]],'Combine_List'!A:D,2,0)</f>
        <v>Saudi Hepco Co. Ltd</v>
      </c>
      <c r="M2017" s="447" t="str">
        <f>VLOOKUP(Advices[[#This Row],[LC Number]],'Combine_List'!A:D,3,0)</f>
        <v>FIRST FIX</v>
      </c>
      <c r="N2017" s="447" t="str">
        <f>VLOOKUP(Advices[[#This Row],[LC Number]],'Combine_List'!A:D,4,0)</f>
        <v>RCRC</v>
      </c>
      <c r="O2017" s="1"/>
      <c r="P2017" s="1">
        <f>MONTH(Advices[[#This Row],[Transaction Date]])</f>
        <v>3</v>
      </c>
      <c r="Q2017" s="1">
        <f>YEAR(Advices[[#This Row],[Transaction Date]])</f>
        <v>2026</v>
      </c>
      <c r="R2017" s="1"/>
    </row>
    <row r="2018" spans="1:18" hidden="1" x14ac:dyDescent="0.25">
      <c r="A2018" s="264" t="s">
        <v>612</v>
      </c>
      <c r="B2018" s="265">
        <v>46092</v>
      </c>
      <c r="C2018" s="264" t="s">
        <v>2101</v>
      </c>
      <c r="D2018" s="300" t="s">
        <v>4341</v>
      </c>
      <c r="E2018" s="300" t="s">
        <v>1560</v>
      </c>
      <c r="F2018" s="300" t="s">
        <v>2041</v>
      </c>
      <c r="G2018" s="264" t="s">
        <v>26</v>
      </c>
      <c r="H2018" s="368">
        <v>500</v>
      </c>
      <c r="I2018" s="368">
        <v>0</v>
      </c>
      <c r="J2018" s="264" t="s">
        <v>1124</v>
      </c>
      <c r="K2018" s="264" t="s">
        <v>2025</v>
      </c>
      <c r="L2018" s="1" t="str">
        <f>VLOOKUP(Advices[[#This Row],[LC Number]],'Combine_List'!A:D,2,0)</f>
        <v>Ealla For General Contracting</v>
      </c>
      <c r="M2018" s="447" t="str">
        <f>VLOOKUP(Advices[[#This Row],[LC Number]],'Combine_List'!A:D,3,0)</f>
        <v>FIRST FIX</v>
      </c>
      <c r="N2018" s="447" t="str">
        <f>VLOOKUP(Advices[[#This Row],[LC Number]],'Combine_List'!A:D,4,0)</f>
        <v>RCRC</v>
      </c>
      <c r="O2018" s="1"/>
      <c r="P2018" s="1">
        <f>MONTH(Advices[[#This Row],[Transaction Date]])</f>
        <v>3</v>
      </c>
      <c r="Q2018" s="1">
        <f>YEAR(Advices[[#This Row],[Transaction Date]])</f>
        <v>2026</v>
      </c>
      <c r="R2018" s="1"/>
    </row>
    <row r="2019" spans="1:18" hidden="1" x14ac:dyDescent="0.25">
      <c r="A2019" s="264" t="s">
        <v>612</v>
      </c>
      <c r="B2019" s="265">
        <v>46092</v>
      </c>
      <c r="C2019" s="264" t="s">
        <v>2101</v>
      </c>
      <c r="D2019" s="300" t="s">
        <v>4342</v>
      </c>
      <c r="E2019" s="300" t="s">
        <v>1560</v>
      </c>
      <c r="F2019" s="300" t="s">
        <v>2041</v>
      </c>
      <c r="G2019" s="264" t="s">
        <v>26</v>
      </c>
      <c r="H2019" s="368">
        <v>75</v>
      </c>
      <c r="I2019" s="368">
        <v>0</v>
      </c>
      <c r="J2019" s="264" t="s">
        <v>1174</v>
      </c>
      <c r="K2019" s="264" t="s">
        <v>2025</v>
      </c>
      <c r="L2019" s="1" t="str">
        <f>VLOOKUP(Advices[[#This Row],[LC Number]],'Combine_List'!A:D,2,0)</f>
        <v>Ealla For General Contracting</v>
      </c>
      <c r="M2019" s="447" t="str">
        <f>VLOOKUP(Advices[[#This Row],[LC Number]],'Combine_List'!A:D,3,0)</f>
        <v>FIRST FIX</v>
      </c>
      <c r="N2019" s="447" t="str">
        <f>VLOOKUP(Advices[[#This Row],[LC Number]],'Combine_List'!A:D,4,0)</f>
        <v>RCRC</v>
      </c>
      <c r="O2019" s="1"/>
      <c r="P2019" s="1">
        <f>MONTH(Advices[[#This Row],[Transaction Date]])</f>
        <v>3</v>
      </c>
      <c r="Q2019" s="1">
        <f>YEAR(Advices[[#This Row],[Transaction Date]])</f>
        <v>2026</v>
      </c>
      <c r="R2019" s="1"/>
    </row>
    <row r="2020" spans="1:18" hidden="1" x14ac:dyDescent="0.25">
      <c r="A2020" s="264" t="s">
        <v>612</v>
      </c>
      <c r="B2020" s="265">
        <v>46092</v>
      </c>
      <c r="C2020" s="264" t="s">
        <v>2101</v>
      </c>
      <c r="D2020" s="300" t="s">
        <v>4343</v>
      </c>
      <c r="E2020" s="300" t="s">
        <v>1151</v>
      </c>
      <c r="F2020" s="300" t="s">
        <v>2041</v>
      </c>
      <c r="G2020" s="264" t="s">
        <v>26</v>
      </c>
      <c r="H2020" s="368">
        <v>802.84</v>
      </c>
      <c r="I2020" s="368">
        <v>0</v>
      </c>
      <c r="J2020" s="264" t="s">
        <v>1124</v>
      </c>
      <c r="K2020" s="264" t="s">
        <v>2025</v>
      </c>
      <c r="L2020" s="1" t="str">
        <f>VLOOKUP(Advices[[#This Row],[LC Number]],'Combine_List'!A:D,2,0)</f>
        <v>SAUDI VITRIFIED CLAY PIPE CO</v>
      </c>
      <c r="M2020" s="447" t="str">
        <f>VLOOKUP(Advices[[#This Row],[LC Number]],'Combine_List'!A:D,3,0)</f>
        <v>FIRST FIX</v>
      </c>
      <c r="N2020" s="447" t="str">
        <f>VLOOKUP(Advices[[#This Row],[LC Number]],'Combine_List'!A:D,4,0)</f>
        <v>RCRC</v>
      </c>
      <c r="O2020" s="1"/>
      <c r="P2020" s="1">
        <f>MONTH(Advices[[#This Row],[Transaction Date]])</f>
        <v>3</v>
      </c>
      <c r="Q2020" s="1">
        <f>YEAR(Advices[[#This Row],[Transaction Date]])</f>
        <v>2026</v>
      </c>
      <c r="R2020" s="1"/>
    </row>
    <row r="2021" spans="1:18" hidden="1" x14ac:dyDescent="0.25">
      <c r="A2021" s="264" t="s">
        <v>612</v>
      </c>
      <c r="B2021" s="265">
        <v>46092</v>
      </c>
      <c r="C2021" s="264" t="s">
        <v>2101</v>
      </c>
      <c r="D2021" s="300" t="s">
        <v>4344</v>
      </c>
      <c r="E2021" s="300" t="s">
        <v>1151</v>
      </c>
      <c r="F2021" s="300" t="s">
        <v>2041</v>
      </c>
      <c r="G2021" s="264" t="s">
        <v>26</v>
      </c>
      <c r="H2021" s="368">
        <v>120.43</v>
      </c>
      <c r="I2021" s="368">
        <v>0</v>
      </c>
      <c r="J2021" s="264" t="s">
        <v>1174</v>
      </c>
      <c r="K2021" s="264" t="s">
        <v>2025</v>
      </c>
      <c r="L2021" s="1" t="str">
        <f>VLOOKUP(Advices[[#This Row],[LC Number]],'Combine_List'!A:D,2,0)</f>
        <v>SAUDI VITRIFIED CLAY PIPE CO</v>
      </c>
      <c r="M2021" s="447" t="str">
        <f>VLOOKUP(Advices[[#This Row],[LC Number]],'Combine_List'!A:D,3,0)</f>
        <v>FIRST FIX</v>
      </c>
      <c r="N2021" s="447" t="str">
        <f>VLOOKUP(Advices[[#This Row],[LC Number]],'Combine_List'!A:D,4,0)</f>
        <v>RCRC</v>
      </c>
      <c r="O2021" s="1"/>
      <c r="P2021" s="1">
        <f>MONTH(Advices[[#This Row],[Transaction Date]])</f>
        <v>3</v>
      </c>
      <c r="Q2021" s="1">
        <f>YEAR(Advices[[#This Row],[Transaction Date]])</f>
        <v>2026</v>
      </c>
      <c r="R2021" s="1"/>
    </row>
    <row r="2022" spans="1:18" hidden="1" x14ac:dyDescent="0.25">
      <c r="A2022" s="264" t="s">
        <v>612</v>
      </c>
      <c r="B2022" s="265">
        <v>46092</v>
      </c>
      <c r="C2022" s="264" t="s">
        <v>2101</v>
      </c>
      <c r="D2022" s="300" t="s">
        <v>4345</v>
      </c>
      <c r="E2022" s="300" t="s">
        <v>1151</v>
      </c>
      <c r="F2022" s="300" t="s">
        <v>2041</v>
      </c>
      <c r="G2022" s="264" t="s">
        <v>26</v>
      </c>
      <c r="H2022" s="368">
        <v>200</v>
      </c>
      <c r="I2022" s="368">
        <v>0</v>
      </c>
      <c r="J2022" s="264" t="s">
        <v>1124</v>
      </c>
      <c r="K2022" s="264" t="s">
        <v>2025</v>
      </c>
      <c r="L2022" s="1" t="str">
        <f>VLOOKUP(Advices[[#This Row],[LC Number]],'Combine_List'!A:D,2,0)</f>
        <v>SAUDI VITRIFIED CLAY PIPE CO</v>
      </c>
      <c r="M2022" s="447" t="str">
        <f>VLOOKUP(Advices[[#This Row],[LC Number]],'Combine_List'!A:D,3,0)</f>
        <v>FIRST FIX</v>
      </c>
      <c r="N2022" s="447" t="str">
        <f>VLOOKUP(Advices[[#This Row],[LC Number]],'Combine_List'!A:D,4,0)</f>
        <v>RCRC</v>
      </c>
      <c r="O2022" s="1"/>
      <c r="P2022" s="1">
        <f>MONTH(Advices[[#This Row],[Transaction Date]])</f>
        <v>3</v>
      </c>
      <c r="Q2022" s="1">
        <f>YEAR(Advices[[#This Row],[Transaction Date]])</f>
        <v>2026</v>
      </c>
      <c r="R2022" s="1"/>
    </row>
    <row r="2023" spans="1:18" hidden="1" x14ac:dyDescent="0.25">
      <c r="A2023" s="264" t="s">
        <v>612</v>
      </c>
      <c r="B2023" s="265">
        <v>46092</v>
      </c>
      <c r="C2023" s="264" t="s">
        <v>2101</v>
      </c>
      <c r="D2023" s="300" t="s">
        <v>4346</v>
      </c>
      <c r="E2023" s="300" t="s">
        <v>1151</v>
      </c>
      <c r="F2023" s="300" t="s">
        <v>2041</v>
      </c>
      <c r="G2023" s="264" t="s">
        <v>26</v>
      </c>
      <c r="H2023" s="368">
        <v>30</v>
      </c>
      <c r="I2023" s="368">
        <v>0</v>
      </c>
      <c r="J2023" s="264" t="s">
        <v>1174</v>
      </c>
      <c r="K2023" s="264" t="s">
        <v>2025</v>
      </c>
      <c r="L2023" s="1" t="str">
        <f>VLOOKUP(Advices[[#This Row],[LC Number]],'Combine_List'!A:D,2,0)</f>
        <v>SAUDI VITRIFIED CLAY PIPE CO</v>
      </c>
      <c r="M2023" s="447" t="str">
        <f>VLOOKUP(Advices[[#This Row],[LC Number]],'Combine_List'!A:D,3,0)</f>
        <v>FIRST FIX</v>
      </c>
      <c r="N2023" s="447" t="str">
        <f>VLOOKUP(Advices[[#This Row],[LC Number]],'Combine_List'!A:D,4,0)</f>
        <v>RCRC</v>
      </c>
      <c r="O2023" s="1"/>
      <c r="P2023" s="1">
        <f>MONTH(Advices[[#This Row],[Transaction Date]])</f>
        <v>3</v>
      </c>
      <c r="Q2023" s="1">
        <f>YEAR(Advices[[#This Row],[Transaction Date]])</f>
        <v>2026</v>
      </c>
      <c r="R2023" s="1"/>
    </row>
    <row r="2024" spans="1:18" hidden="1" x14ac:dyDescent="0.25">
      <c r="A2024" s="264" t="s">
        <v>612</v>
      </c>
      <c r="B2024" s="265">
        <v>46092</v>
      </c>
      <c r="C2024" s="264" t="s">
        <v>2101</v>
      </c>
      <c r="D2024" s="300" t="s">
        <v>4347</v>
      </c>
      <c r="E2024" s="300" t="s">
        <v>1610</v>
      </c>
      <c r="F2024" s="300" t="s">
        <v>2041</v>
      </c>
      <c r="G2024" s="264" t="s">
        <v>26</v>
      </c>
      <c r="H2024" s="368">
        <v>30365.84</v>
      </c>
      <c r="I2024" s="368">
        <v>0</v>
      </c>
      <c r="J2024" s="264" t="s">
        <v>1124</v>
      </c>
      <c r="K2024" s="264" t="s">
        <v>2025</v>
      </c>
      <c r="L2024" s="1" t="str">
        <f>VLOOKUP(Advices[[#This Row],[LC Number]],'Combine_List'!A:D,2,0)</f>
        <v>Metten Al-Arabia Ltd Co (METARA)</v>
      </c>
      <c r="M2024" s="447" t="str">
        <f>VLOOKUP(Advices[[#This Row],[LC Number]],'Combine_List'!A:D,3,0)</f>
        <v>MBL</v>
      </c>
      <c r="N2024" s="447" t="str">
        <f>VLOOKUP(Advices[[#This Row],[LC Number]],'Combine_List'!A:D,4,0)</f>
        <v>RCRC</v>
      </c>
      <c r="O2024" s="1"/>
      <c r="P2024" s="1">
        <f>MONTH(Advices[[#This Row],[Transaction Date]])</f>
        <v>3</v>
      </c>
      <c r="Q2024" s="1">
        <f>YEAR(Advices[[#This Row],[Transaction Date]])</f>
        <v>2026</v>
      </c>
      <c r="R2024" s="1"/>
    </row>
    <row r="2025" spans="1:18" hidden="1" x14ac:dyDescent="0.25">
      <c r="A2025" s="264" t="s">
        <v>612</v>
      </c>
      <c r="B2025" s="265">
        <v>46092</v>
      </c>
      <c r="C2025" s="264" t="s">
        <v>2101</v>
      </c>
      <c r="D2025" s="300" t="s">
        <v>4348</v>
      </c>
      <c r="E2025" s="300" t="s">
        <v>1610</v>
      </c>
      <c r="F2025" s="300" t="s">
        <v>2041</v>
      </c>
      <c r="G2025" s="264" t="s">
        <v>26</v>
      </c>
      <c r="H2025" s="368">
        <v>4554.88</v>
      </c>
      <c r="I2025" s="368">
        <v>0</v>
      </c>
      <c r="J2025" s="264" t="s">
        <v>1174</v>
      </c>
      <c r="K2025" s="264" t="s">
        <v>2025</v>
      </c>
      <c r="L2025" s="1" t="str">
        <f>VLOOKUP(Advices[[#This Row],[LC Number]],'Combine_List'!A:D,2,0)</f>
        <v>Metten Al-Arabia Ltd Co (METARA)</v>
      </c>
      <c r="M2025" s="447" t="str">
        <f>VLOOKUP(Advices[[#This Row],[LC Number]],'Combine_List'!A:D,3,0)</f>
        <v>MBL</v>
      </c>
      <c r="N2025" s="447" t="str">
        <f>VLOOKUP(Advices[[#This Row],[LC Number]],'Combine_List'!A:D,4,0)</f>
        <v>RCRC</v>
      </c>
      <c r="O2025" s="1"/>
      <c r="P2025" s="1">
        <f>MONTH(Advices[[#This Row],[Transaction Date]])</f>
        <v>3</v>
      </c>
      <c r="Q2025" s="1">
        <f>YEAR(Advices[[#This Row],[Transaction Date]])</f>
        <v>2026</v>
      </c>
      <c r="R2025" s="1"/>
    </row>
    <row r="2026" spans="1:18" hidden="1" x14ac:dyDescent="0.25">
      <c r="A2026" s="264" t="s">
        <v>612</v>
      </c>
      <c r="B2026" s="265">
        <v>46092</v>
      </c>
      <c r="C2026" s="264" t="s">
        <v>2101</v>
      </c>
      <c r="D2026" s="300" t="s">
        <v>4349</v>
      </c>
      <c r="E2026" s="300" t="s">
        <v>1610</v>
      </c>
      <c r="F2026" s="300" t="s">
        <v>2041</v>
      </c>
      <c r="G2026" s="264" t="s">
        <v>26</v>
      </c>
      <c r="H2026" s="368">
        <v>200</v>
      </c>
      <c r="I2026" s="368">
        <v>0</v>
      </c>
      <c r="J2026" s="264" t="s">
        <v>1124</v>
      </c>
      <c r="K2026" s="264" t="s">
        <v>2025</v>
      </c>
      <c r="L2026" s="1" t="str">
        <f>VLOOKUP(Advices[[#This Row],[LC Number]],'Combine_List'!A:D,2,0)</f>
        <v>Metten Al-Arabia Ltd Co (METARA)</v>
      </c>
      <c r="M2026" s="447" t="str">
        <f>VLOOKUP(Advices[[#This Row],[LC Number]],'Combine_List'!A:D,3,0)</f>
        <v>MBL</v>
      </c>
      <c r="N2026" s="447" t="str">
        <f>VLOOKUP(Advices[[#This Row],[LC Number]],'Combine_List'!A:D,4,0)</f>
        <v>RCRC</v>
      </c>
      <c r="O2026" s="1"/>
      <c r="P2026" s="1">
        <f>MONTH(Advices[[#This Row],[Transaction Date]])</f>
        <v>3</v>
      </c>
      <c r="Q2026" s="1">
        <f>YEAR(Advices[[#This Row],[Transaction Date]])</f>
        <v>2026</v>
      </c>
      <c r="R2026" s="1"/>
    </row>
    <row r="2027" spans="1:18" hidden="1" x14ac:dyDescent="0.25">
      <c r="A2027" s="264" t="s">
        <v>612</v>
      </c>
      <c r="B2027" s="265">
        <v>46092</v>
      </c>
      <c r="C2027" s="264" t="s">
        <v>2101</v>
      </c>
      <c r="D2027" s="300" t="s">
        <v>4350</v>
      </c>
      <c r="E2027" s="300" t="s">
        <v>1610</v>
      </c>
      <c r="F2027" s="300" t="s">
        <v>2041</v>
      </c>
      <c r="G2027" s="264" t="s">
        <v>26</v>
      </c>
      <c r="H2027" s="368">
        <v>30</v>
      </c>
      <c r="I2027" s="368">
        <v>0</v>
      </c>
      <c r="J2027" s="264" t="s">
        <v>1174</v>
      </c>
      <c r="K2027" s="264" t="s">
        <v>2025</v>
      </c>
      <c r="L2027" s="1" t="str">
        <f>VLOOKUP(Advices[[#This Row],[LC Number]],'Combine_List'!A:D,2,0)</f>
        <v>Metten Al-Arabia Ltd Co (METARA)</v>
      </c>
      <c r="M2027" s="447" t="str">
        <f>VLOOKUP(Advices[[#This Row],[LC Number]],'Combine_List'!A:D,3,0)</f>
        <v>MBL</v>
      </c>
      <c r="N2027" s="447" t="str">
        <f>VLOOKUP(Advices[[#This Row],[LC Number]],'Combine_List'!A:D,4,0)</f>
        <v>RCRC</v>
      </c>
      <c r="O2027" s="264"/>
      <c r="P2027" s="264">
        <f>MONTH(Advices[[#This Row],[Transaction Date]])</f>
        <v>3</v>
      </c>
      <c r="Q2027" s="264">
        <f>YEAR(Advices[[#This Row],[Transaction Date]])</f>
        <v>2026</v>
      </c>
      <c r="R2027" s="1"/>
    </row>
    <row r="2028" spans="1:18" x14ac:dyDescent="0.25">
      <c r="A2028" s="264" t="s">
        <v>21</v>
      </c>
      <c r="B2028" s="265">
        <v>46093</v>
      </c>
      <c r="C2028" s="264" t="s">
        <v>1951</v>
      </c>
      <c r="D2028" s="300" t="s">
        <v>4359</v>
      </c>
      <c r="E2028" s="300" t="s">
        <v>1895</v>
      </c>
      <c r="F2028" s="300" t="s">
        <v>4360</v>
      </c>
      <c r="G2028" s="264" t="s">
        <v>26</v>
      </c>
      <c r="H2028" s="368">
        <v>341.33</v>
      </c>
      <c r="I2028" s="368">
        <v>0</v>
      </c>
      <c r="J2028" s="264" t="s">
        <v>1174</v>
      </c>
      <c r="K2028" s="264" t="s">
        <v>2025</v>
      </c>
      <c r="L2028" s="1" t="str">
        <f>VLOOKUP(Advices[[#This Row],[LC Number]],'Combine_List'!A:D,2,0)</f>
        <v>BRC Industrial (Saudia) Company</v>
      </c>
      <c r="M2028" s="447" t="str">
        <f>VLOOKUP(Advices[[#This Row],[LC Number]],'Combine_List'!A:D,3,0)</f>
        <v>MBL</v>
      </c>
      <c r="N2028" s="447" t="str">
        <f>VLOOKUP(Advices[[#This Row],[LC Number]],'Combine_List'!A:D,4,0)</f>
        <v>Rabigh Power Plant</v>
      </c>
      <c r="O2028" s="1"/>
      <c r="P2028" s="1">
        <f>MONTH(Advices[[#This Row],[Transaction Date]])</f>
        <v>3</v>
      </c>
      <c r="Q2028" s="1">
        <f>YEAR(Advices[[#This Row],[Transaction Date]])</f>
        <v>2026</v>
      </c>
      <c r="R2028" s="1"/>
    </row>
    <row r="2029" spans="1:18" x14ac:dyDescent="0.25">
      <c r="A2029" s="264" t="s">
        <v>21</v>
      </c>
      <c r="B2029" s="265">
        <v>46093</v>
      </c>
      <c r="C2029" s="264" t="s">
        <v>1951</v>
      </c>
      <c r="D2029" s="300" t="s">
        <v>4361</v>
      </c>
      <c r="E2029" s="300" t="s">
        <v>1895</v>
      </c>
      <c r="F2029" s="300" t="s">
        <v>4360</v>
      </c>
      <c r="G2029" s="264" t="s">
        <v>26</v>
      </c>
      <c r="H2029" s="368">
        <v>2275.5300000000002</v>
      </c>
      <c r="I2029" s="368">
        <v>0</v>
      </c>
      <c r="J2029" s="264" t="s">
        <v>1125</v>
      </c>
      <c r="K2029" s="264" t="s">
        <v>2025</v>
      </c>
      <c r="L2029" s="1" t="str">
        <f>VLOOKUP(Advices[[#This Row],[LC Number]],'Combine_List'!A:D,2,0)</f>
        <v>BRC Industrial (Saudia) Company</v>
      </c>
      <c r="M2029" s="447" t="str">
        <f>VLOOKUP(Advices[[#This Row],[LC Number]],'Combine_List'!A:D,3,0)</f>
        <v>MBL</v>
      </c>
      <c r="N2029" s="447" t="str">
        <f>VLOOKUP(Advices[[#This Row],[LC Number]],'Combine_List'!A:D,4,0)</f>
        <v>Rabigh Power Plant</v>
      </c>
      <c r="O2029" s="1"/>
      <c r="P2029" s="1">
        <f>MONTH(Advices[[#This Row],[Transaction Date]])</f>
        <v>3</v>
      </c>
      <c r="Q2029" s="1">
        <f>YEAR(Advices[[#This Row],[Transaction Date]])</f>
        <v>2026</v>
      </c>
      <c r="R2029" s="1"/>
    </row>
    <row r="2030" spans="1:18" x14ac:dyDescent="0.25">
      <c r="A2030" s="264" t="s">
        <v>21</v>
      </c>
      <c r="B2030" s="265">
        <v>46093</v>
      </c>
      <c r="C2030" s="264" t="s">
        <v>1951</v>
      </c>
      <c r="D2030" s="300" t="s">
        <v>1960</v>
      </c>
      <c r="E2030" s="300" t="s">
        <v>2569</v>
      </c>
      <c r="F2030" s="300" t="s">
        <v>2707</v>
      </c>
      <c r="G2030" s="264" t="s">
        <v>26</v>
      </c>
      <c r="H2030" s="368">
        <v>11.25</v>
      </c>
      <c r="I2030" s="368">
        <v>0</v>
      </c>
      <c r="J2030" s="264" t="s">
        <v>1174</v>
      </c>
      <c r="K2030" s="264" t="s">
        <v>2025</v>
      </c>
      <c r="L2030" s="1" t="str">
        <f>VLOOKUP(Advices[[#This Row],[LC Number]],'Combine_List'!A:D,2,0)</f>
        <v>Hamada Decoration Company</v>
      </c>
      <c r="M2030" s="447" t="str">
        <f>VLOOKUP(Advices[[#This Row],[LC Number]],'Combine_List'!A:D,3,0)</f>
        <v>MBL</v>
      </c>
      <c r="N2030" s="447" t="str">
        <f>VLOOKUP(Advices[[#This Row],[LC Number]],'Combine_List'!A:D,4,0)</f>
        <v>ADF</v>
      </c>
      <c r="O2030" s="1"/>
      <c r="P2030" s="1">
        <f>MONTH(Advices[[#This Row],[Transaction Date]])</f>
        <v>3</v>
      </c>
      <c r="Q2030" s="1">
        <f>YEAR(Advices[[#This Row],[Transaction Date]])</f>
        <v>2026</v>
      </c>
      <c r="R2030" s="1"/>
    </row>
    <row r="2031" spans="1:18" x14ac:dyDescent="0.25">
      <c r="A2031" s="264" t="s">
        <v>21</v>
      </c>
      <c r="B2031" s="265">
        <v>46093</v>
      </c>
      <c r="C2031" s="264" t="s">
        <v>1951</v>
      </c>
      <c r="D2031" s="300" t="s">
        <v>4362</v>
      </c>
      <c r="E2031" s="300" t="s">
        <v>2569</v>
      </c>
      <c r="F2031" s="300" t="s">
        <v>2707</v>
      </c>
      <c r="G2031" s="264" t="s">
        <v>26</v>
      </c>
      <c r="H2031" s="368">
        <v>75</v>
      </c>
      <c r="I2031" s="368">
        <v>0</v>
      </c>
      <c r="J2031" s="264" t="s">
        <v>1963</v>
      </c>
      <c r="K2031" s="264" t="s">
        <v>2025</v>
      </c>
      <c r="L2031" s="1" t="str">
        <f>VLOOKUP(Advices[[#This Row],[LC Number]],'Combine_List'!A:D,2,0)</f>
        <v>Hamada Decoration Company</v>
      </c>
      <c r="M2031" s="447" t="str">
        <f>VLOOKUP(Advices[[#This Row],[LC Number]],'Combine_List'!A:D,3,0)</f>
        <v>MBL</v>
      </c>
      <c r="N2031" s="447" t="str">
        <f>VLOOKUP(Advices[[#This Row],[LC Number]],'Combine_List'!A:D,4,0)</f>
        <v>ADF</v>
      </c>
      <c r="O2031" s="1"/>
      <c r="P2031" s="1">
        <f>MONTH(Advices[[#This Row],[Transaction Date]])</f>
        <v>3</v>
      </c>
      <c r="Q2031" s="1">
        <f>YEAR(Advices[[#This Row],[Transaction Date]])</f>
        <v>2026</v>
      </c>
      <c r="R2031" s="1"/>
    </row>
    <row r="2032" spans="1:18" x14ac:dyDescent="0.25">
      <c r="A2032" s="264" t="s">
        <v>21</v>
      </c>
      <c r="B2032" s="265">
        <v>46093</v>
      </c>
      <c r="C2032" s="264" t="s">
        <v>1951</v>
      </c>
      <c r="D2032" s="300" t="s">
        <v>4363</v>
      </c>
      <c r="E2032" s="300" t="s">
        <v>2569</v>
      </c>
      <c r="F2032" s="300" t="s">
        <v>2707</v>
      </c>
      <c r="G2032" s="264" t="s">
        <v>26</v>
      </c>
      <c r="H2032" s="368">
        <v>34000000</v>
      </c>
      <c r="I2032" s="368">
        <v>0</v>
      </c>
      <c r="J2032" s="264" t="s">
        <v>1126</v>
      </c>
      <c r="K2032" s="264" t="s">
        <v>2025</v>
      </c>
      <c r="L2032" s="1" t="str">
        <f>VLOOKUP(Advices[[#This Row],[LC Number]],'Combine_List'!A:D,2,0)</f>
        <v>Hamada Decoration Company</v>
      </c>
      <c r="M2032" s="447" t="str">
        <f>VLOOKUP(Advices[[#This Row],[LC Number]],'Combine_List'!A:D,3,0)</f>
        <v>MBL</v>
      </c>
      <c r="N2032" s="447" t="str">
        <f>VLOOKUP(Advices[[#This Row],[LC Number]],'Combine_List'!A:D,4,0)</f>
        <v>ADF</v>
      </c>
      <c r="O2032" s="264"/>
      <c r="P2032" s="264">
        <f>MONTH(Advices[[#This Row],[Transaction Date]])</f>
        <v>3</v>
      </c>
      <c r="Q2032" s="264">
        <f>YEAR(Advices[[#This Row],[Transaction Date]])</f>
        <v>2026</v>
      </c>
      <c r="R2032" s="1"/>
    </row>
    <row r="2033" spans="1:18" hidden="1" x14ac:dyDescent="0.25">
      <c r="A2033" s="264" t="s">
        <v>62</v>
      </c>
      <c r="B2033" s="265">
        <v>46093</v>
      </c>
      <c r="C2033" s="264" t="s">
        <v>2039</v>
      </c>
      <c r="D2033" s="300" t="s">
        <v>4364</v>
      </c>
      <c r="E2033" s="300" t="s">
        <v>3320</v>
      </c>
      <c r="F2033" s="300" t="s">
        <v>2041</v>
      </c>
      <c r="G2033" s="264" t="s">
        <v>26</v>
      </c>
      <c r="H2033" s="368">
        <v>1408.93</v>
      </c>
      <c r="I2033" s="368">
        <v>0</v>
      </c>
      <c r="J2033" s="264" t="s">
        <v>1125</v>
      </c>
      <c r="K2033" s="264" t="s">
        <v>2025</v>
      </c>
      <c r="L2033" s="1" t="str">
        <f>VLOOKUP(Advices[[#This Row],[LC Number]],'Combine_List'!A:D,2,0)</f>
        <v>Riyadh Unity for Trading</v>
      </c>
      <c r="M2033" s="447" t="str">
        <f>VLOOKUP(Advices[[#This Row],[LC Number]],'Combine_List'!A:D,3,0)</f>
        <v>FIRST FIX</v>
      </c>
      <c r="N2033" s="447" t="str">
        <f>VLOOKUP(Advices[[#This Row],[LC Number]],'Combine_List'!A:D,4,0)</f>
        <v>Oceanarium</v>
      </c>
      <c r="O2033" s="264"/>
      <c r="P2033" s="264">
        <f>MONTH(Advices[[#This Row],[Transaction Date]])</f>
        <v>3</v>
      </c>
      <c r="Q2033" s="264">
        <f>YEAR(Advices[[#This Row],[Transaction Date]])</f>
        <v>2026</v>
      </c>
      <c r="R2033" s="1"/>
    </row>
    <row r="2034" spans="1:18" hidden="1" x14ac:dyDescent="0.25">
      <c r="A2034" s="264" t="s">
        <v>95</v>
      </c>
      <c r="B2034" s="265">
        <v>46093</v>
      </c>
      <c r="C2034" s="264" t="s">
        <v>2026</v>
      </c>
      <c r="D2034" s="300" t="s">
        <v>4365</v>
      </c>
      <c r="E2034" s="300" t="s">
        <v>3721</v>
      </c>
      <c r="F2034" s="300" t="s">
        <v>4366</v>
      </c>
      <c r="G2034" s="264" t="s">
        <v>26</v>
      </c>
      <c r="H2034" s="368">
        <v>1477.75</v>
      </c>
      <c r="I2034" s="368">
        <v>0</v>
      </c>
      <c r="J2034" s="264" t="s">
        <v>1125</v>
      </c>
      <c r="K2034" s="264" t="s">
        <v>2025</v>
      </c>
      <c r="L2034" s="1" t="str">
        <f>VLOOKUP(Advices[[#This Row],[LC Number]],'Combine_List'!A:D,2,0)</f>
        <v>Electro Mechanical Supplies Company</v>
      </c>
      <c r="M2034" s="447" t="str">
        <f>VLOOKUP(Advices[[#This Row],[LC Number]],'Combine_List'!A:D,3,0)</f>
        <v>MBL/ICAD</v>
      </c>
      <c r="N2034" s="447" t="str">
        <f>VLOOKUP(Advices[[#This Row],[LC Number]],'Combine_List'!A:D,4,0)</f>
        <v>OPERA House</v>
      </c>
      <c r="O2034" s="1"/>
      <c r="P2034" s="1">
        <f>MONTH(Advices[[#This Row],[Transaction Date]])</f>
        <v>3</v>
      </c>
      <c r="Q2034" s="1">
        <f>YEAR(Advices[[#This Row],[Transaction Date]])</f>
        <v>2026</v>
      </c>
      <c r="R2034" s="1"/>
    </row>
    <row r="2035" spans="1:18" hidden="1" x14ac:dyDescent="0.25">
      <c r="A2035" s="264" t="s">
        <v>95</v>
      </c>
      <c r="B2035" s="265">
        <v>46093</v>
      </c>
      <c r="C2035" s="264" t="s">
        <v>2307</v>
      </c>
      <c r="D2035" s="300" t="s">
        <v>4367</v>
      </c>
      <c r="E2035" s="300" t="s">
        <v>1095</v>
      </c>
      <c r="F2035" s="300" t="s">
        <v>4373</v>
      </c>
      <c r="G2035" s="264" t="s">
        <v>26</v>
      </c>
      <c r="H2035" s="368">
        <v>534877.78</v>
      </c>
      <c r="I2035" s="368">
        <v>0</v>
      </c>
      <c r="J2035" s="264" t="s">
        <v>4374</v>
      </c>
      <c r="K2035" s="264" t="s">
        <v>2025</v>
      </c>
      <c r="L2035" s="1" t="str">
        <f>VLOOKUP(Advices[[#This Row],[LC Number]],'Combine_List'!A:D,2,0)</f>
        <v>Material - JEDDAH CENTRAL DEVELOPMENT COMPANY (JCD)</v>
      </c>
      <c r="M2035" s="447">
        <f>VLOOKUP(Advices[[#This Row],[LC Number]],'Combine_List'!A:D,3,0)</f>
        <v>0</v>
      </c>
      <c r="N2035" s="447" t="str">
        <f>VLOOKUP(Advices[[#This Row],[LC Number]],'Combine_List'!A:D,4,0)</f>
        <v>Opera House</v>
      </c>
      <c r="O2035" s="264"/>
      <c r="P2035" s="264">
        <f>MONTH(Advices[[#This Row],[Transaction Date]])</f>
        <v>3</v>
      </c>
      <c r="Q2035" s="264">
        <f>YEAR(Advices[[#This Row],[Transaction Date]])</f>
        <v>2026</v>
      </c>
      <c r="R2035" s="1"/>
    </row>
    <row r="2036" spans="1:18" hidden="1" x14ac:dyDescent="0.25">
      <c r="A2036" s="264" t="s">
        <v>366</v>
      </c>
      <c r="B2036" s="265">
        <v>46093</v>
      </c>
      <c r="C2036" s="264" t="s">
        <v>2057</v>
      </c>
      <c r="D2036" s="300" t="s">
        <v>4368</v>
      </c>
      <c r="E2036" s="300" t="s">
        <v>1689</v>
      </c>
      <c r="F2036" s="300" t="s">
        <v>3946</v>
      </c>
      <c r="G2036" s="264" t="s">
        <v>26</v>
      </c>
      <c r="H2036" s="368">
        <v>15003.16</v>
      </c>
      <c r="I2036" s="368">
        <v>0</v>
      </c>
      <c r="J2036" s="264" t="s">
        <v>1126</v>
      </c>
      <c r="K2036" s="264" t="s">
        <v>2025</v>
      </c>
      <c r="L2036" s="1" t="str">
        <f>VLOOKUP(Advices[[#This Row],[LC Number]],'Combine_List'!A:D,2,0)</f>
        <v>EVOLVING CONSTELLATION CO. FOR ENERGY</v>
      </c>
      <c r="M2036" s="447" t="str">
        <f>VLOOKUP(Advices[[#This Row],[LC Number]],'Combine_List'!A:D,3,0)</f>
        <v>FIRST FIX</v>
      </c>
      <c r="N2036" s="447" t="str">
        <f>VLOOKUP(Advices[[#This Row],[LC Number]],'Combine_List'!A:D,4,0)</f>
        <v>CEER</v>
      </c>
      <c r="O2036" s="264"/>
      <c r="P2036" s="264">
        <f>MONTH(Advices[[#This Row],[Transaction Date]])</f>
        <v>3</v>
      </c>
      <c r="Q2036" s="264">
        <f>YEAR(Advices[[#This Row],[Transaction Date]])</f>
        <v>2026</v>
      </c>
      <c r="R2036" s="1"/>
    </row>
    <row r="2037" spans="1:18" hidden="1" x14ac:dyDescent="0.25">
      <c r="A2037" s="264" t="s">
        <v>612</v>
      </c>
      <c r="B2037" s="265">
        <v>46093</v>
      </c>
      <c r="C2037" s="264" t="s">
        <v>2101</v>
      </c>
      <c r="D2037" s="300" t="s">
        <v>4369</v>
      </c>
      <c r="E2037" s="300" t="s">
        <v>734</v>
      </c>
      <c r="F2037" s="300" t="s">
        <v>2041</v>
      </c>
      <c r="G2037" s="264" t="s">
        <v>26</v>
      </c>
      <c r="H2037" s="368">
        <v>500</v>
      </c>
      <c r="I2037" s="368">
        <v>0</v>
      </c>
      <c r="J2037" s="264" t="s">
        <v>1124</v>
      </c>
      <c r="K2037" s="264" t="s">
        <v>2025</v>
      </c>
      <c r="L2037" s="1" t="str">
        <f>VLOOKUP(Advices[[#This Row],[LC Number]],'Combine_List'!A:D,2,0)</f>
        <v>SITE TECHNOLOGY SAUDI ARABIA LTD</v>
      </c>
      <c r="M2037" s="447" t="str">
        <f>VLOOKUP(Advices[[#This Row],[LC Number]],'Combine_List'!A:D,3,0)</f>
        <v>FIRST FIX</v>
      </c>
      <c r="N2037" s="447" t="str">
        <f>VLOOKUP(Advices[[#This Row],[LC Number]],'Combine_List'!A:D,4,0)</f>
        <v>RCRC</v>
      </c>
      <c r="O2037" s="1"/>
      <c r="P2037" s="1">
        <f>MONTH(Advices[[#This Row],[Transaction Date]])</f>
        <v>3</v>
      </c>
      <c r="Q2037" s="1">
        <f>YEAR(Advices[[#This Row],[Transaction Date]])</f>
        <v>2026</v>
      </c>
      <c r="R2037" s="1"/>
    </row>
    <row r="2038" spans="1:18" hidden="1" x14ac:dyDescent="0.25">
      <c r="A2038" s="264" t="s">
        <v>612</v>
      </c>
      <c r="B2038" s="265">
        <v>46093</v>
      </c>
      <c r="C2038" s="264" t="s">
        <v>2101</v>
      </c>
      <c r="D2038" s="300" t="s">
        <v>4370</v>
      </c>
      <c r="E2038" s="300" t="s">
        <v>734</v>
      </c>
      <c r="F2038" s="300" t="s">
        <v>2041</v>
      </c>
      <c r="G2038" s="264" t="s">
        <v>26</v>
      </c>
      <c r="H2038" s="368">
        <v>75</v>
      </c>
      <c r="I2038" s="368">
        <v>0</v>
      </c>
      <c r="J2038" s="264" t="s">
        <v>1174</v>
      </c>
      <c r="K2038" s="264" t="s">
        <v>2025</v>
      </c>
      <c r="L2038" s="1" t="str">
        <f>VLOOKUP(Advices[[#This Row],[LC Number]],'Combine_List'!A:D,2,0)</f>
        <v>SITE TECHNOLOGY SAUDI ARABIA LTD</v>
      </c>
      <c r="M2038" s="447" t="str">
        <f>VLOOKUP(Advices[[#This Row],[LC Number]],'Combine_List'!A:D,3,0)</f>
        <v>FIRST FIX</v>
      </c>
      <c r="N2038" s="447" t="str">
        <f>VLOOKUP(Advices[[#This Row],[LC Number]],'Combine_List'!A:D,4,0)</f>
        <v>RCRC</v>
      </c>
      <c r="O2038" s="1"/>
      <c r="P2038" s="1">
        <f>MONTH(Advices[[#This Row],[Transaction Date]])</f>
        <v>3</v>
      </c>
      <c r="Q2038" s="1">
        <f>YEAR(Advices[[#This Row],[Transaction Date]])</f>
        <v>2026</v>
      </c>
      <c r="R2038" s="1"/>
    </row>
    <row r="2039" spans="1:18" hidden="1" x14ac:dyDescent="0.25">
      <c r="A2039" s="264" t="s">
        <v>612</v>
      </c>
      <c r="B2039" s="265">
        <v>46093</v>
      </c>
      <c r="C2039" s="264" t="s">
        <v>2101</v>
      </c>
      <c r="D2039" s="300" t="s">
        <v>4371</v>
      </c>
      <c r="E2039" s="300" t="s">
        <v>734</v>
      </c>
      <c r="F2039" s="300" t="s">
        <v>2041</v>
      </c>
      <c r="G2039" s="264" t="s">
        <v>26</v>
      </c>
      <c r="H2039" s="368">
        <v>200</v>
      </c>
      <c r="I2039" s="368">
        <v>0</v>
      </c>
      <c r="J2039" s="264" t="s">
        <v>1124</v>
      </c>
      <c r="K2039" s="264" t="s">
        <v>2025</v>
      </c>
      <c r="L2039" s="1" t="str">
        <f>VLOOKUP(Advices[[#This Row],[LC Number]],'Combine_List'!A:D,2,0)</f>
        <v>SITE TECHNOLOGY SAUDI ARABIA LTD</v>
      </c>
      <c r="M2039" s="447" t="str">
        <f>VLOOKUP(Advices[[#This Row],[LC Number]],'Combine_List'!A:D,3,0)</f>
        <v>FIRST FIX</v>
      </c>
      <c r="N2039" s="447" t="str">
        <f>VLOOKUP(Advices[[#This Row],[LC Number]],'Combine_List'!A:D,4,0)</f>
        <v>RCRC</v>
      </c>
      <c r="O2039" s="1"/>
      <c r="P2039" s="1">
        <f>MONTH(Advices[[#This Row],[Transaction Date]])</f>
        <v>3</v>
      </c>
      <c r="Q2039" s="1">
        <f>YEAR(Advices[[#This Row],[Transaction Date]])</f>
        <v>2026</v>
      </c>
      <c r="R2039" s="1"/>
    </row>
    <row r="2040" spans="1:18" hidden="1" x14ac:dyDescent="0.25">
      <c r="A2040" s="264" t="s">
        <v>612</v>
      </c>
      <c r="B2040" s="265">
        <v>46093</v>
      </c>
      <c r="C2040" s="264" t="s">
        <v>2101</v>
      </c>
      <c r="D2040" s="300" t="s">
        <v>4372</v>
      </c>
      <c r="E2040" s="300" t="s">
        <v>734</v>
      </c>
      <c r="F2040" s="300" t="s">
        <v>2041</v>
      </c>
      <c r="G2040" s="264" t="s">
        <v>26</v>
      </c>
      <c r="H2040" s="368">
        <v>30</v>
      </c>
      <c r="I2040" s="368">
        <v>0</v>
      </c>
      <c r="J2040" s="264" t="s">
        <v>1174</v>
      </c>
      <c r="K2040" s="264" t="s">
        <v>2025</v>
      </c>
      <c r="L2040" s="1" t="str">
        <f>VLOOKUP(Advices[[#This Row],[LC Number]],'Combine_List'!A:D,2,0)</f>
        <v>SITE TECHNOLOGY SAUDI ARABIA LTD</v>
      </c>
      <c r="M2040" s="447" t="str">
        <f>VLOOKUP(Advices[[#This Row],[LC Number]],'Combine_List'!A:D,3,0)</f>
        <v>FIRST FIX</v>
      </c>
      <c r="N2040" s="447" t="str">
        <f>VLOOKUP(Advices[[#This Row],[LC Number]],'Combine_List'!A:D,4,0)</f>
        <v>RCRC</v>
      </c>
      <c r="O2040" s="264"/>
      <c r="P2040" s="264">
        <f>MONTH(Advices[[#This Row],[Transaction Date]])</f>
        <v>3</v>
      </c>
      <c r="Q2040" s="264">
        <f>YEAR(Advices[[#This Row],[Transaction Date]])</f>
        <v>2026</v>
      </c>
      <c r="R2040" s="1"/>
    </row>
    <row r="2041" spans="1:18" x14ac:dyDescent="0.25">
      <c r="A2041" s="264" t="s">
        <v>21</v>
      </c>
      <c r="B2041" s="265">
        <v>46096</v>
      </c>
      <c r="C2041" s="264" t="s">
        <v>1951</v>
      </c>
      <c r="D2041" s="300" t="s">
        <v>1960</v>
      </c>
      <c r="E2041" s="300" t="s">
        <v>2569</v>
      </c>
      <c r="F2041" s="300" t="s">
        <v>2992</v>
      </c>
      <c r="G2041" s="264" t="s">
        <v>26</v>
      </c>
      <c r="H2041" s="368">
        <v>11.25</v>
      </c>
      <c r="I2041" s="368">
        <v>0</v>
      </c>
      <c r="J2041" s="264" t="s">
        <v>1174</v>
      </c>
      <c r="K2041" s="264" t="s">
        <v>2025</v>
      </c>
      <c r="L2041" s="1" t="str">
        <f>VLOOKUP(Advices[[#This Row],[LC Number]],'Combine_List'!A:D,2,0)</f>
        <v>Hamada Decoration Company</v>
      </c>
      <c r="M2041" s="447" t="str">
        <f>VLOOKUP(Advices[[#This Row],[LC Number]],'Combine_List'!A:D,3,0)</f>
        <v>MBL</v>
      </c>
      <c r="N2041" s="447" t="str">
        <f>VLOOKUP(Advices[[#This Row],[LC Number]],'Combine_List'!A:D,4,0)</f>
        <v>ADF</v>
      </c>
      <c r="O2041" s="1"/>
      <c r="P2041" s="1">
        <f>MONTH(Advices[[#This Row],[Transaction Date]])</f>
        <v>3</v>
      </c>
      <c r="Q2041" s="1">
        <f>YEAR(Advices[[#This Row],[Transaction Date]])</f>
        <v>2026</v>
      </c>
      <c r="R2041" s="1"/>
    </row>
    <row r="2042" spans="1:18" x14ac:dyDescent="0.25">
      <c r="A2042" s="264" t="s">
        <v>21</v>
      </c>
      <c r="B2042" s="265">
        <v>46096</v>
      </c>
      <c r="C2042" s="264" t="s">
        <v>1951</v>
      </c>
      <c r="D2042" s="300" t="s">
        <v>4379</v>
      </c>
      <c r="E2042" s="300" t="s">
        <v>2569</v>
      </c>
      <c r="F2042" s="300" t="s">
        <v>2992</v>
      </c>
      <c r="G2042" s="264" t="s">
        <v>26</v>
      </c>
      <c r="H2042" s="368">
        <v>75</v>
      </c>
      <c r="I2042" s="368">
        <v>0</v>
      </c>
      <c r="J2042" s="264" t="s">
        <v>1963</v>
      </c>
      <c r="K2042" s="264" t="s">
        <v>2025</v>
      </c>
      <c r="L2042" s="1" t="str">
        <f>VLOOKUP(Advices[[#This Row],[LC Number]],'Combine_List'!A:D,2,0)</f>
        <v>Hamada Decoration Company</v>
      </c>
      <c r="M2042" s="447" t="str">
        <f>VLOOKUP(Advices[[#This Row],[LC Number]],'Combine_List'!A:D,3,0)</f>
        <v>MBL</v>
      </c>
      <c r="N2042" s="447" t="str">
        <f>VLOOKUP(Advices[[#This Row],[LC Number]],'Combine_List'!A:D,4,0)</f>
        <v>ADF</v>
      </c>
      <c r="O2042" s="1"/>
      <c r="P2042" s="1">
        <f>MONTH(Advices[[#This Row],[Transaction Date]])</f>
        <v>3</v>
      </c>
      <c r="Q2042" s="1">
        <f>YEAR(Advices[[#This Row],[Transaction Date]])</f>
        <v>2026</v>
      </c>
      <c r="R2042" s="1"/>
    </row>
    <row r="2043" spans="1:18" x14ac:dyDescent="0.25">
      <c r="A2043" s="264" t="s">
        <v>21</v>
      </c>
      <c r="B2043" s="265">
        <v>46096</v>
      </c>
      <c r="C2043" s="264" t="s">
        <v>1951</v>
      </c>
      <c r="D2043" s="300" t="s">
        <v>4380</v>
      </c>
      <c r="E2043" s="300" t="s">
        <v>2569</v>
      </c>
      <c r="F2043" s="300" t="s">
        <v>2992</v>
      </c>
      <c r="G2043" s="264" t="s">
        <v>26</v>
      </c>
      <c r="H2043" s="368">
        <v>32000000</v>
      </c>
      <c r="I2043" s="368">
        <v>0</v>
      </c>
      <c r="J2043" s="264" t="s">
        <v>1126</v>
      </c>
      <c r="K2043" s="264" t="s">
        <v>2025</v>
      </c>
      <c r="L2043" s="1" t="str">
        <f>VLOOKUP(Advices[[#This Row],[LC Number]],'Combine_List'!A:D,2,0)</f>
        <v>Hamada Decoration Company</v>
      </c>
      <c r="M2043" s="447" t="str">
        <f>VLOOKUP(Advices[[#This Row],[LC Number]],'Combine_List'!A:D,3,0)</f>
        <v>MBL</v>
      </c>
      <c r="N2043" s="447" t="str">
        <f>VLOOKUP(Advices[[#This Row],[LC Number]],'Combine_List'!A:D,4,0)</f>
        <v>ADF</v>
      </c>
      <c r="O2043" s="1"/>
      <c r="P2043" s="1">
        <f>MONTH(Advices[[#This Row],[Transaction Date]])</f>
        <v>3</v>
      </c>
      <c r="Q2043" s="1">
        <f>YEAR(Advices[[#This Row],[Transaction Date]])</f>
        <v>2026</v>
      </c>
      <c r="R2043" s="1"/>
    </row>
    <row r="2044" spans="1:18" x14ac:dyDescent="0.25">
      <c r="A2044" s="264" t="s">
        <v>21</v>
      </c>
      <c r="B2044" s="265">
        <v>46096</v>
      </c>
      <c r="C2044" s="264" t="s">
        <v>1951</v>
      </c>
      <c r="D2044" s="300" t="s">
        <v>4265</v>
      </c>
      <c r="E2044" s="300" t="s">
        <v>4137</v>
      </c>
      <c r="F2044" s="300" t="s">
        <v>4137</v>
      </c>
      <c r="G2044" s="264" t="s">
        <v>26</v>
      </c>
      <c r="H2044" s="368">
        <v>45</v>
      </c>
      <c r="I2044" s="368">
        <v>0</v>
      </c>
      <c r="J2044" s="264" t="s">
        <v>1174</v>
      </c>
      <c r="K2044" s="264" t="s">
        <v>2025</v>
      </c>
      <c r="L2044" s="1" t="str">
        <f>VLOOKUP(Advices[[#This Row],[LC Number]],'Combine_List'!A:D,2,0)</f>
        <v>LSI PROJECTS LIMITED</v>
      </c>
      <c r="M2044" s="447" t="str">
        <f>VLOOKUP(Advices[[#This Row],[LC Number]],'Combine_List'!A:D,3,0)</f>
        <v>ICAD</v>
      </c>
      <c r="N2044" s="447" t="str">
        <f>VLOOKUP(Advices[[#This Row],[LC Number]],'Combine_List'!A:D,4,0)</f>
        <v>KSP</v>
      </c>
      <c r="O2044" s="1"/>
      <c r="P2044" s="1">
        <f>MONTH(Advices[[#This Row],[Transaction Date]])</f>
        <v>3</v>
      </c>
      <c r="Q2044" s="1">
        <f>YEAR(Advices[[#This Row],[Transaction Date]])</f>
        <v>2026</v>
      </c>
      <c r="R2044" s="1"/>
    </row>
    <row r="2045" spans="1:18" x14ac:dyDescent="0.25">
      <c r="A2045" s="264" t="s">
        <v>21</v>
      </c>
      <c r="B2045" s="265">
        <v>46096</v>
      </c>
      <c r="C2045" s="264" t="s">
        <v>1951</v>
      </c>
      <c r="D2045" s="300" t="s">
        <v>4381</v>
      </c>
      <c r="E2045" s="300" t="s">
        <v>4137</v>
      </c>
      <c r="F2045" s="300" t="s">
        <v>4137</v>
      </c>
      <c r="G2045" s="264" t="s">
        <v>26</v>
      </c>
      <c r="H2045" s="368">
        <v>300</v>
      </c>
      <c r="I2045" s="368">
        <v>0</v>
      </c>
      <c r="J2045" s="264" t="s">
        <v>1176</v>
      </c>
      <c r="K2045" s="264" t="s">
        <v>2025</v>
      </c>
      <c r="L2045" s="1" t="str">
        <f>VLOOKUP(Advices[[#This Row],[LC Number]],'Combine_List'!A:D,2,0)</f>
        <v>LSI PROJECTS LIMITED</v>
      </c>
      <c r="M2045" s="447" t="str">
        <f>VLOOKUP(Advices[[#This Row],[LC Number]],'Combine_List'!A:D,3,0)</f>
        <v>ICAD</v>
      </c>
      <c r="N2045" s="447" t="str">
        <f>VLOOKUP(Advices[[#This Row],[LC Number]],'Combine_List'!A:D,4,0)</f>
        <v>KSP</v>
      </c>
      <c r="O2045" s="264"/>
      <c r="P2045" s="264">
        <f>MONTH(Advices[[#This Row],[Transaction Date]])</f>
        <v>3</v>
      </c>
      <c r="Q2045" s="264">
        <f>YEAR(Advices[[#This Row],[Transaction Date]])</f>
        <v>2026</v>
      </c>
      <c r="R2045" s="1"/>
    </row>
    <row r="2046" spans="1:18" hidden="1" x14ac:dyDescent="0.25">
      <c r="A2046" s="264" t="s">
        <v>62</v>
      </c>
      <c r="B2046" s="265">
        <v>46096</v>
      </c>
      <c r="C2046" s="264" t="s">
        <v>2039</v>
      </c>
      <c r="D2046" s="300" t="s">
        <v>4382</v>
      </c>
      <c r="E2046" s="300" t="s">
        <v>3955</v>
      </c>
      <c r="F2046" s="300" t="s">
        <v>2041</v>
      </c>
      <c r="G2046" s="264" t="s">
        <v>26</v>
      </c>
      <c r="H2046" s="368">
        <v>2156.25</v>
      </c>
      <c r="I2046" s="368">
        <v>0</v>
      </c>
      <c r="J2046" s="264" t="s">
        <v>1125</v>
      </c>
      <c r="K2046" s="264" t="s">
        <v>2025</v>
      </c>
      <c r="L2046" s="1" t="str">
        <f>VLOOKUP(Advices[[#This Row],[LC Number]],'Combine_List'!A:D,2,0)</f>
        <v>Riyadh Unity for Trading</v>
      </c>
      <c r="M2046" s="447" t="str">
        <f>VLOOKUP(Advices[[#This Row],[LC Number]],'Combine_List'!A:D,3,0)</f>
        <v>FIRST FIX</v>
      </c>
      <c r="N2046" s="447" t="str">
        <f>VLOOKUP(Advices[[#This Row],[LC Number]],'Combine_List'!A:D,4,0)</f>
        <v>Oceanarium</v>
      </c>
      <c r="O2046" s="1"/>
      <c r="P2046" s="1">
        <f>MONTH(Advices[[#This Row],[Transaction Date]])</f>
        <v>3</v>
      </c>
      <c r="Q2046" s="1">
        <f>YEAR(Advices[[#This Row],[Transaction Date]])</f>
        <v>2026</v>
      </c>
      <c r="R2046" s="1"/>
    </row>
    <row r="2047" spans="1:18" hidden="1" x14ac:dyDescent="0.25">
      <c r="A2047" s="264" t="s">
        <v>62</v>
      </c>
      <c r="B2047" s="265">
        <v>46096</v>
      </c>
      <c r="C2047" s="264" t="s">
        <v>2039</v>
      </c>
      <c r="D2047" s="300" t="s">
        <v>4383</v>
      </c>
      <c r="E2047" s="300" t="s">
        <v>4014</v>
      </c>
      <c r="F2047" s="300" t="s">
        <v>2041</v>
      </c>
      <c r="G2047" s="264" t="s">
        <v>26</v>
      </c>
      <c r="H2047" s="368">
        <v>0</v>
      </c>
      <c r="I2047" s="368">
        <v>284625</v>
      </c>
      <c r="J2047" s="264" t="s">
        <v>4081</v>
      </c>
      <c r="K2047" s="264" t="s">
        <v>2025</v>
      </c>
      <c r="L2047" s="1" t="str">
        <f>VLOOKUP(Advices[[#This Row],[LC Number]],'Combine_List'!A:D,2,0)</f>
        <v>Bid - KING SALMAN INTERNATIONAL AIRPORT (Frst Fix)</v>
      </c>
      <c r="M2047" s="447" t="str">
        <f>VLOOKUP(Advices[[#This Row],[LC Number]],'Combine_List'!A:D,3,0)</f>
        <v>First Fix/MBL</v>
      </c>
      <c r="N2047" s="447">
        <f>VLOOKUP(Advices[[#This Row],[LC Number]],'Combine_List'!A:D,4,0)</f>
        <v>0</v>
      </c>
      <c r="O2047" s="264"/>
      <c r="P2047" s="264">
        <f>MONTH(Advices[[#This Row],[Transaction Date]])</f>
        <v>3</v>
      </c>
      <c r="Q2047" s="264">
        <f>YEAR(Advices[[#This Row],[Transaction Date]])</f>
        <v>2026</v>
      </c>
      <c r="R2047" s="1"/>
    </row>
    <row r="2048" spans="1:18" hidden="1" x14ac:dyDescent="0.25">
      <c r="A2048" s="264" t="s">
        <v>95</v>
      </c>
      <c r="B2048" s="265">
        <v>46096</v>
      </c>
      <c r="C2048" s="264" t="s">
        <v>2026</v>
      </c>
      <c r="D2048" s="300" t="s">
        <v>4384</v>
      </c>
      <c r="E2048" s="300" t="s">
        <v>3723</v>
      </c>
      <c r="F2048" s="300" t="s">
        <v>4385</v>
      </c>
      <c r="G2048" s="264" t="s">
        <v>26</v>
      </c>
      <c r="H2048" s="368">
        <v>3394.42</v>
      </c>
      <c r="I2048" s="368">
        <v>0</v>
      </c>
      <c r="J2048" s="264" t="s">
        <v>1125</v>
      </c>
      <c r="K2048" s="264" t="s">
        <v>2025</v>
      </c>
      <c r="L2048" s="1" t="str">
        <f>VLOOKUP(Advices[[#This Row],[LC Number]],'Combine_List'!A:D,2,0)</f>
        <v>Brooq Al Amaan Trading</v>
      </c>
      <c r="M2048" s="447" t="str">
        <f>VLOOKUP(Advices[[#This Row],[LC Number]],'Combine_List'!A:D,3,0)</f>
        <v>MBL/ICAD</v>
      </c>
      <c r="N2048" s="447" t="str">
        <f>VLOOKUP(Advices[[#This Row],[LC Number]],'Combine_List'!A:D,4,0)</f>
        <v>OPERA House</v>
      </c>
      <c r="O2048" s="1"/>
      <c r="P2048" s="1">
        <f>MONTH(Advices[[#This Row],[Transaction Date]])</f>
        <v>3</v>
      </c>
      <c r="Q2048" s="1">
        <f>YEAR(Advices[[#This Row],[Transaction Date]])</f>
        <v>2026</v>
      </c>
      <c r="R2048" s="1"/>
    </row>
    <row r="2049" spans="1:18" hidden="1" x14ac:dyDescent="0.25">
      <c r="A2049" s="264" t="s">
        <v>95</v>
      </c>
      <c r="B2049" s="265">
        <v>46096</v>
      </c>
      <c r="C2049" s="264" t="s">
        <v>2026</v>
      </c>
      <c r="D2049" s="300" t="s">
        <v>4386</v>
      </c>
      <c r="E2049" s="300" t="s">
        <v>4205</v>
      </c>
      <c r="F2049" s="300" t="s">
        <v>4387</v>
      </c>
      <c r="G2049" s="264" t="s">
        <v>26</v>
      </c>
      <c r="H2049" s="368">
        <v>4104.53</v>
      </c>
      <c r="I2049" s="368">
        <v>0</v>
      </c>
      <c r="J2049" s="264" t="s">
        <v>1125</v>
      </c>
      <c r="K2049" s="264" t="s">
        <v>2025</v>
      </c>
      <c r="L2049" s="1" t="str">
        <f>VLOOKUP(Advices[[#This Row],[LC Number]],'Combine_List'!A:D,2,0)</f>
        <v>High Al Shuhra Contracting Company</v>
      </c>
      <c r="M2049" s="447" t="str">
        <f>VLOOKUP(Advices[[#This Row],[LC Number]],'Combine_List'!A:D,3,0)</f>
        <v>MBL</v>
      </c>
      <c r="N2049" s="447" t="str">
        <f>VLOOKUP(Advices[[#This Row],[LC Number]],'Combine_List'!A:D,4,0)</f>
        <v>Rabigh Power Plant</v>
      </c>
      <c r="O2049" s="264"/>
      <c r="P2049" s="264">
        <f>MONTH(Advices[[#This Row],[Transaction Date]])</f>
        <v>3</v>
      </c>
      <c r="Q2049" s="264">
        <f>YEAR(Advices[[#This Row],[Transaction Date]])</f>
        <v>2026</v>
      </c>
      <c r="R2049" s="1"/>
    </row>
    <row r="2050" spans="1:18" x14ac:dyDescent="0.25">
      <c r="A2050" s="264" t="s">
        <v>21</v>
      </c>
      <c r="B2050" s="265">
        <v>46097</v>
      </c>
      <c r="C2050" s="264" t="s">
        <v>1951</v>
      </c>
      <c r="D2050" s="300" t="s">
        <v>1960</v>
      </c>
      <c r="E2050" s="300" t="s">
        <v>3144</v>
      </c>
      <c r="F2050" s="300" t="s">
        <v>3803</v>
      </c>
      <c r="G2050" s="264" t="s">
        <v>26</v>
      </c>
      <c r="H2050" s="368">
        <v>11.25</v>
      </c>
      <c r="I2050" s="368">
        <v>0</v>
      </c>
      <c r="J2050" s="264" t="s">
        <v>1174</v>
      </c>
      <c r="K2050" s="264" t="s">
        <v>2025</v>
      </c>
      <c r="L2050" s="1" t="str">
        <f>VLOOKUP(Advices[[#This Row],[LC Number]],'Combine_List'!A:D,2,0)</f>
        <v>Depa Saudi Arabia for Contracting and Interior Decorating Co. Ltd.</v>
      </c>
      <c r="M2050" s="447" t="str">
        <f>VLOOKUP(Advices[[#This Row],[LC Number]],'Combine_List'!A:D,3,0)</f>
        <v>MBL</v>
      </c>
      <c r="N2050" s="447" t="str">
        <f>VLOOKUP(Advices[[#This Row],[LC Number]],'Combine_List'!A:D,4,0)</f>
        <v>KSP</v>
      </c>
      <c r="O2050" s="1"/>
      <c r="P2050" s="1">
        <f>MONTH(Advices[[#This Row],[Transaction Date]])</f>
        <v>3</v>
      </c>
      <c r="Q2050" s="1">
        <f>YEAR(Advices[[#This Row],[Transaction Date]])</f>
        <v>2026</v>
      </c>
      <c r="R2050" s="1"/>
    </row>
    <row r="2051" spans="1:18" x14ac:dyDescent="0.25">
      <c r="A2051" s="264" t="s">
        <v>21</v>
      </c>
      <c r="B2051" s="265">
        <v>46097</v>
      </c>
      <c r="C2051" s="264" t="s">
        <v>1951</v>
      </c>
      <c r="D2051" s="300" t="s">
        <v>4399</v>
      </c>
      <c r="E2051" s="300" t="s">
        <v>3144</v>
      </c>
      <c r="F2051" s="300" t="s">
        <v>3803</v>
      </c>
      <c r="G2051" s="264" t="s">
        <v>26</v>
      </c>
      <c r="H2051" s="368">
        <v>75</v>
      </c>
      <c r="I2051" s="368">
        <v>0</v>
      </c>
      <c r="J2051" s="264" t="s">
        <v>1963</v>
      </c>
      <c r="K2051" s="264" t="s">
        <v>2025</v>
      </c>
      <c r="L2051" s="1" t="str">
        <f>VLOOKUP(Advices[[#This Row],[LC Number]],'Combine_List'!A:D,2,0)</f>
        <v>Depa Saudi Arabia for Contracting and Interior Decorating Co. Ltd.</v>
      </c>
      <c r="M2051" s="447" t="str">
        <f>VLOOKUP(Advices[[#This Row],[LC Number]],'Combine_List'!A:D,3,0)</f>
        <v>MBL</v>
      </c>
      <c r="N2051" s="447" t="str">
        <f>VLOOKUP(Advices[[#This Row],[LC Number]],'Combine_List'!A:D,4,0)</f>
        <v>KSP</v>
      </c>
      <c r="O2051" s="1"/>
      <c r="P2051" s="1">
        <f>MONTH(Advices[[#This Row],[Transaction Date]])</f>
        <v>3</v>
      </c>
      <c r="Q2051" s="1">
        <f>YEAR(Advices[[#This Row],[Transaction Date]])</f>
        <v>2026</v>
      </c>
      <c r="R2051" s="1"/>
    </row>
    <row r="2052" spans="1:18" x14ac:dyDescent="0.25">
      <c r="A2052" s="264" t="s">
        <v>21</v>
      </c>
      <c r="B2052" s="265">
        <v>46097</v>
      </c>
      <c r="C2052" s="264" t="s">
        <v>1951</v>
      </c>
      <c r="D2052" s="300" t="s">
        <v>4400</v>
      </c>
      <c r="E2052" s="300" t="s">
        <v>3144</v>
      </c>
      <c r="F2052" s="300" t="s">
        <v>3803</v>
      </c>
      <c r="G2052" s="264" t="s">
        <v>26</v>
      </c>
      <c r="H2052" s="368">
        <v>11768747.039999999</v>
      </c>
      <c r="I2052" s="368">
        <v>0</v>
      </c>
      <c r="J2052" s="264" t="s">
        <v>1126</v>
      </c>
      <c r="K2052" s="264" t="s">
        <v>2025</v>
      </c>
      <c r="L2052" s="1" t="str">
        <f>VLOOKUP(Advices[[#This Row],[LC Number]],'Combine_List'!A:D,2,0)</f>
        <v>Depa Saudi Arabia for Contracting and Interior Decorating Co. Ltd.</v>
      </c>
      <c r="M2052" s="447" t="str">
        <f>VLOOKUP(Advices[[#This Row],[LC Number]],'Combine_List'!A:D,3,0)</f>
        <v>MBL</v>
      </c>
      <c r="N2052" s="447" t="str">
        <f>VLOOKUP(Advices[[#This Row],[LC Number]],'Combine_List'!A:D,4,0)</f>
        <v>KSP</v>
      </c>
      <c r="O2052" s="1"/>
      <c r="P2052" s="1">
        <f>MONTH(Advices[[#This Row],[Transaction Date]])</f>
        <v>3</v>
      </c>
      <c r="Q2052" s="1">
        <f>YEAR(Advices[[#This Row],[Transaction Date]])</f>
        <v>2026</v>
      </c>
      <c r="R2052" s="1"/>
    </row>
    <row r="2053" spans="1:18" x14ac:dyDescent="0.25">
      <c r="A2053" s="264" t="s">
        <v>21</v>
      </c>
      <c r="B2053" s="265">
        <v>46105</v>
      </c>
      <c r="C2053" s="264" t="s">
        <v>1951</v>
      </c>
      <c r="D2053" s="300" t="s">
        <v>1952</v>
      </c>
      <c r="E2053" s="300" t="s">
        <v>1896</v>
      </c>
      <c r="F2053" s="300" t="s">
        <v>4401</v>
      </c>
      <c r="G2053" s="264" t="s">
        <v>26</v>
      </c>
      <c r="H2053" s="368">
        <v>187.5</v>
      </c>
      <c r="I2053" s="368">
        <v>0</v>
      </c>
      <c r="J2053" s="264" t="s">
        <v>1174</v>
      </c>
      <c r="K2053" s="264" t="s">
        <v>2025</v>
      </c>
      <c r="L2053" s="1" t="str">
        <f>VLOOKUP(Advices[[#This Row],[LC Number]],'Combine_List'!A:D,2,0)</f>
        <v>Saudi Perfect Pumps Trading &amp; Manufacturing Company</v>
      </c>
      <c r="M2053" s="447" t="str">
        <f>VLOOKUP(Advices[[#This Row],[LC Number]],'Combine_List'!A:D,3,0)</f>
        <v>MBL</v>
      </c>
      <c r="N2053" s="447" t="str">
        <f>VLOOKUP(Advices[[#This Row],[LC Number]],'Combine_List'!A:D,4,0)</f>
        <v>Rabigh Power Plant</v>
      </c>
      <c r="O2053" s="1"/>
      <c r="P2053" s="1">
        <f>MONTH(Advices[[#This Row],[Transaction Date]])</f>
        <v>3</v>
      </c>
      <c r="Q2053" s="1">
        <f>YEAR(Advices[[#This Row],[Transaction Date]])</f>
        <v>2026</v>
      </c>
      <c r="R2053" s="1"/>
    </row>
    <row r="2054" spans="1:18" x14ac:dyDescent="0.25">
      <c r="A2054" s="264" t="s">
        <v>21</v>
      </c>
      <c r="B2054" s="265">
        <v>46105</v>
      </c>
      <c r="C2054" s="264" t="s">
        <v>1951</v>
      </c>
      <c r="D2054" s="300" t="s">
        <v>4402</v>
      </c>
      <c r="E2054" s="300" t="s">
        <v>1896</v>
      </c>
      <c r="F2054" s="300" t="s">
        <v>4401</v>
      </c>
      <c r="G2054" s="264" t="s">
        <v>26</v>
      </c>
      <c r="H2054" s="368">
        <v>1250</v>
      </c>
      <c r="I2054" s="368">
        <v>0</v>
      </c>
      <c r="J2054" s="264" t="s">
        <v>1125</v>
      </c>
      <c r="K2054" s="264" t="s">
        <v>2025</v>
      </c>
      <c r="L2054" s="1" t="str">
        <f>VLOOKUP(Advices[[#This Row],[LC Number]],'Combine_List'!A:D,2,0)</f>
        <v>Saudi Perfect Pumps Trading &amp; Manufacturing Company</v>
      </c>
      <c r="M2054" s="447" t="str">
        <f>VLOOKUP(Advices[[#This Row],[LC Number]],'Combine_List'!A:D,3,0)</f>
        <v>MBL</v>
      </c>
      <c r="N2054" s="447" t="str">
        <f>VLOOKUP(Advices[[#This Row],[LC Number]],'Combine_List'!A:D,4,0)</f>
        <v>Rabigh Power Plant</v>
      </c>
      <c r="O2054" s="1"/>
      <c r="P2054" s="1">
        <f>MONTH(Advices[[#This Row],[Transaction Date]])</f>
        <v>3</v>
      </c>
      <c r="Q2054" s="1">
        <f>YEAR(Advices[[#This Row],[Transaction Date]])</f>
        <v>2026</v>
      </c>
      <c r="R2054" s="1"/>
    </row>
    <row r="2055" spans="1:18" x14ac:dyDescent="0.25">
      <c r="A2055" s="264" t="s">
        <v>21</v>
      </c>
      <c r="B2055" s="265">
        <v>46105</v>
      </c>
      <c r="C2055" s="264" t="s">
        <v>1951</v>
      </c>
      <c r="D2055" s="300" t="s">
        <v>1960</v>
      </c>
      <c r="E2055" s="300" t="s">
        <v>2618</v>
      </c>
      <c r="F2055" s="300" t="s">
        <v>3881</v>
      </c>
      <c r="G2055" s="264" t="s">
        <v>26</v>
      </c>
      <c r="H2055" s="368">
        <v>11.25</v>
      </c>
      <c r="I2055" s="368">
        <v>0</v>
      </c>
      <c r="J2055" s="264" t="s">
        <v>1174</v>
      </c>
      <c r="K2055" s="264" t="s">
        <v>2025</v>
      </c>
      <c r="L2055" s="1" t="str">
        <f>VLOOKUP(Advices[[#This Row],[LC Number]],'Combine_List'!A:D,2,0)</f>
        <v>AI-Hadbania Trading Co.</v>
      </c>
      <c r="M2055" s="447" t="str">
        <f>VLOOKUP(Advices[[#This Row],[LC Number]],'Combine_List'!A:D,3,0)</f>
        <v>FIRST FIX</v>
      </c>
      <c r="N2055" s="447" t="str">
        <f>VLOOKUP(Advices[[#This Row],[LC Number]],'Combine_List'!A:D,4,0)</f>
        <v>KSP</v>
      </c>
      <c r="O2055" s="1"/>
      <c r="P2055" s="1">
        <f>MONTH(Advices[[#This Row],[Transaction Date]])</f>
        <v>3</v>
      </c>
      <c r="Q2055" s="1">
        <f>YEAR(Advices[[#This Row],[Transaction Date]])</f>
        <v>2026</v>
      </c>
      <c r="R2055" s="1"/>
    </row>
    <row r="2056" spans="1:18" x14ac:dyDescent="0.25">
      <c r="A2056" s="264" t="s">
        <v>21</v>
      </c>
      <c r="B2056" s="265">
        <v>46105</v>
      </c>
      <c r="C2056" s="264" t="s">
        <v>1951</v>
      </c>
      <c r="D2056" s="300" t="s">
        <v>4403</v>
      </c>
      <c r="E2056" s="300" t="s">
        <v>2618</v>
      </c>
      <c r="F2056" s="300" t="s">
        <v>3881</v>
      </c>
      <c r="G2056" s="264" t="s">
        <v>26</v>
      </c>
      <c r="H2056" s="368">
        <v>75</v>
      </c>
      <c r="I2056" s="368">
        <v>0</v>
      </c>
      <c r="J2056" s="264" t="s">
        <v>1963</v>
      </c>
      <c r="K2056" s="264" t="s">
        <v>2025</v>
      </c>
      <c r="L2056" s="1" t="str">
        <f>VLOOKUP(Advices[[#This Row],[LC Number]],'Combine_List'!A:D,2,0)</f>
        <v>AI-Hadbania Trading Co.</v>
      </c>
      <c r="M2056" s="447" t="str">
        <f>VLOOKUP(Advices[[#This Row],[LC Number]],'Combine_List'!A:D,3,0)</f>
        <v>FIRST FIX</v>
      </c>
      <c r="N2056" s="447" t="str">
        <f>VLOOKUP(Advices[[#This Row],[LC Number]],'Combine_List'!A:D,4,0)</f>
        <v>KSP</v>
      </c>
      <c r="O2056" s="1"/>
      <c r="P2056" s="1">
        <f>MONTH(Advices[[#This Row],[Transaction Date]])</f>
        <v>3</v>
      </c>
      <c r="Q2056" s="1">
        <f>YEAR(Advices[[#This Row],[Transaction Date]])</f>
        <v>2026</v>
      </c>
      <c r="R2056" s="1"/>
    </row>
    <row r="2057" spans="1:18" x14ac:dyDescent="0.25">
      <c r="A2057" s="264" t="s">
        <v>21</v>
      </c>
      <c r="B2057" s="265">
        <v>46105</v>
      </c>
      <c r="C2057" s="264" t="s">
        <v>1951</v>
      </c>
      <c r="D2057" s="300" t="s">
        <v>4404</v>
      </c>
      <c r="E2057" s="300" t="s">
        <v>2618</v>
      </c>
      <c r="F2057" s="300" t="s">
        <v>3881</v>
      </c>
      <c r="G2057" s="264" t="s">
        <v>26</v>
      </c>
      <c r="H2057" s="368">
        <v>1989866.83</v>
      </c>
      <c r="I2057" s="368">
        <v>0</v>
      </c>
      <c r="J2057" s="264" t="s">
        <v>1126</v>
      </c>
      <c r="K2057" s="264" t="s">
        <v>2025</v>
      </c>
      <c r="L2057" s="1" t="str">
        <f>VLOOKUP(Advices[[#This Row],[LC Number]],'Combine_List'!A:D,2,0)</f>
        <v>AI-Hadbania Trading Co.</v>
      </c>
      <c r="M2057" s="447" t="str">
        <f>VLOOKUP(Advices[[#This Row],[LC Number]],'Combine_List'!A:D,3,0)</f>
        <v>FIRST FIX</v>
      </c>
      <c r="N2057" s="447" t="str">
        <f>VLOOKUP(Advices[[#This Row],[LC Number]],'Combine_List'!A:D,4,0)</f>
        <v>KSP</v>
      </c>
      <c r="O2057" s="1"/>
      <c r="P2057" s="1">
        <f>MONTH(Advices[[#This Row],[Transaction Date]])</f>
        <v>3</v>
      </c>
      <c r="Q2057" s="1">
        <f>YEAR(Advices[[#This Row],[Transaction Date]])</f>
        <v>2026</v>
      </c>
      <c r="R2057" s="1"/>
    </row>
    <row r="2058" spans="1:18" x14ac:dyDescent="0.25">
      <c r="A2058" s="264" t="s">
        <v>21</v>
      </c>
      <c r="B2058" s="265">
        <v>46105</v>
      </c>
      <c r="C2058" s="264" t="s">
        <v>1951</v>
      </c>
      <c r="D2058" s="300" t="s">
        <v>1960</v>
      </c>
      <c r="E2058" s="300" t="s">
        <v>3146</v>
      </c>
      <c r="F2058" s="300" t="s">
        <v>4143</v>
      </c>
      <c r="G2058" s="264" t="s">
        <v>26</v>
      </c>
      <c r="H2058" s="368">
        <v>11.25</v>
      </c>
      <c r="I2058" s="368">
        <v>0</v>
      </c>
      <c r="J2058" s="264" t="s">
        <v>1174</v>
      </c>
      <c r="K2058" s="264" t="s">
        <v>2025</v>
      </c>
      <c r="L2058" s="1" t="str">
        <f>VLOOKUP(Advices[[#This Row],[LC Number]],'Combine_List'!A:D,2,0)</f>
        <v>SIEMENS Limited Company</v>
      </c>
      <c r="M2058" s="447" t="str">
        <f>VLOOKUP(Advices[[#This Row],[LC Number]],'Combine_List'!A:D,3,0)</f>
        <v>Signal Control</v>
      </c>
      <c r="N2058" s="447" t="str">
        <f>VLOOKUP(Advices[[#This Row],[LC Number]],'Combine_List'!A:D,4,0)</f>
        <v>KSP</v>
      </c>
      <c r="O2058" s="1"/>
      <c r="P2058" s="1">
        <f>MONTH(Advices[[#This Row],[Transaction Date]])</f>
        <v>3</v>
      </c>
      <c r="Q2058" s="1">
        <f>YEAR(Advices[[#This Row],[Transaction Date]])</f>
        <v>2026</v>
      </c>
      <c r="R2058" s="1"/>
    </row>
    <row r="2059" spans="1:18" x14ac:dyDescent="0.25">
      <c r="A2059" s="264" t="s">
        <v>21</v>
      </c>
      <c r="B2059" s="265">
        <v>46105</v>
      </c>
      <c r="C2059" s="264" t="s">
        <v>1951</v>
      </c>
      <c r="D2059" s="300" t="s">
        <v>4405</v>
      </c>
      <c r="E2059" s="300" t="s">
        <v>3146</v>
      </c>
      <c r="F2059" s="300" t="s">
        <v>4143</v>
      </c>
      <c r="G2059" s="264" t="s">
        <v>26</v>
      </c>
      <c r="H2059" s="368">
        <v>75</v>
      </c>
      <c r="I2059" s="368">
        <v>0</v>
      </c>
      <c r="J2059" s="264" t="s">
        <v>1963</v>
      </c>
      <c r="K2059" s="264" t="s">
        <v>2025</v>
      </c>
      <c r="L2059" s="1" t="str">
        <f>VLOOKUP(Advices[[#This Row],[LC Number]],'Combine_List'!A:D,2,0)</f>
        <v>SIEMENS Limited Company</v>
      </c>
      <c r="M2059" s="447" t="str">
        <f>VLOOKUP(Advices[[#This Row],[LC Number]],'Combine_List'!A:D,3,0)</f>
        <v>Signal Control</v>
      </c>
      <c r="N2059" s="447" t="str">
        <f>VLOOKUP(Advices[[#This Row],[LC Number]],'Combine_List'!A:D,4,0)</f>
        <v>KSP</v>
      </c>
      <c r="O2059" s="1"/>
      <c r="P2059" s="1">
        <f>MONTH(Advices[[#This Row],[Transaction Date]])</f>
        <v>3</v>
      </c>
      <c r="Q2059" s="1">
        <f>YEAR(Advices[[#This Row],[Transaction Date]])</f>
        <v>2026</v>
      </c>
      <c r="R2059" s="1"/>
    </row>
    <row r="2060" spans="1:18" x14ac:dyDescent="0.25">
      <c r="A2060" s="264" t="s">
        <v>21</v>
      </c>
      <c r="B2060" s="265">
        <v>46105</v>
      </c>
      <c r="C2060" s="264" t="s">
        <v>1951</v>
      </c>
      <c r="D2060" s="300" t="s">
        <v>4406</v>
      </c>
      <c r="E2060" s="300" t="s">
        <v>3146</v>
      </c>
      <c r="F2060" s="300" t="s">
        <v>4143</v>
      </c>
      <c r="G2060" s="264" t="s">
        <v>26</v>
      </c>
      <c r="H2060" s="368">
        <v>251618.06</v>
      </c>
      <c r="I2060" s="368">
        <v>0</v>
      </c>
      <c r="J2060" s="264" t="s">
        <v>1126</v>
      </c>
      <c r="K2060" s="264" t="s">
        <v>2025</v>
      </c>
      <c r="L2060" s="1" t="str">
        <f>VLOOKUP(Advices[[#This Row],[LC Number]],'Combine_List'!A:D,2,0)</f>
        <v>SIEMENS Limited Company</v>
      </c>
      <c r="M2060" s="447" t="str">
        <f>VLOOKUP(Advices[[#This Row],[LC Number]],'Combine_List'!A:D,3,0)</f>
        <v>Signal Control</v>
      </c>
      <c r="N2060" s="447" t="str">
        <f>VLOOKUP(Advices[[#This Row],[LC Number]],'Combine_List'!A:D,4,0)</f>
        <v>KSP</v>
      </c>
      <c r="O2060" s="1"/>
      <c r="P2060" s="1">
        <f>MONTH(Advices[[#This Row],[Transaction Date]])</f>
        <v>3</v>
      </c>
      <c r="Q2060" s="1">
        <f>YEAR(Advices[[#This Row],[Transaction Date]])</f>
        <v>2026</v>
      </c>
      <c r="R2060" s="1"/>
    </row>
    <row r="2061" spans="1:18" x14ac:dyDescent="0.25">
      <c r="A2061" s="264" t="s">
        <v>21</v>
      </c>
      <c r="B2061" s="265">
        <v>46105</v>
      </c>
      <c r="C2061" s="264" t="s">
        <v>1951</v>
      </c>
      <c r="D2061" s="300" t="s">
        <v>1960</v>
      </c>
      <c r="E2061" s="300" t="s">
        <v>3146</v>
      </c>
      <c r="F2061" s="300" t="s">
        <v>4145</v>
      </c>
      <c r="G2061" s="264" t="s">
        <v>26</v>
      </c>
      <c r="H2061" s="368">
        <v>11.25</v>
      </c>
      <c r="I2061" s="368">
        <v>0</v>
      </c>
      <c r="J2061" s="264" t="s">
        <v>1174</v>
      </c>
      <c r="K2061" s="264" t="s">
        <v>2025</v>
      </c>
      <c r="L2061" s="1" t="str">
        <f>VLOOKUP(Advices[[#This Row],[LC Number]],'Combine_List'!A:D,2,0)</f>
        <v>SIEMENS Limited Company</v>
      </c>
      <c r="M2061" s="447" t="str">
        <f>VLOOKUP(Advices[[#This Row],[LC Number]],'Combine_List'!A:D,3,0)</f>
        <v>Signal Control</v>
      </c>
      <c r="N2061" s="447" t="str">
        <f>VLOOKUP(Advices[[#This Row],[LC Number]],'Combine_List'!A:D,4,0)</f>
        <v>KSP</v>
      </c>
      <c r="O2061" s="1"/>
      <c r="P2061" s="1">
        <f>MONTH(Advices[[#This Row],[Transaction Date]])</f>
        <v>3</v>
      </c>
      <c r="Q2061" s="1">
        <f>YEAR(Advices[[#This Row],[Transaction Date]])</f>
        <v>2026</v>
      </c>
      <c r="R2061" s="1"/>
    </row>
    <row r="2062" spans="1:18" x14ac:dyDescent="0.25">
      <c r="A2062" s="264" t="s">
        <v>21</v>
      </c>
      <c r="B2062" s="265">
        <v>46105</v>
      </c>
      <c r="C2062" s="264" t="s">
        <v>1951</v>
      </c>
      <c r="D2062" s="300" t="s">
        <v>4407</v>
      </c>
      <c r="E2062" s="300" t="s">
        <v>3146</v>
      </c>
      <c r="F2062" s="300" t="s">
        <v>4145</v>
      </c>
      <c r="G2062" s="264" t="s">
        <v>26</v>
      </c>
      <c r="H2062" s="368">
        <v>75</v>
      </c>
      <c r="I2062" s="368">
        <v>0</v>
      </c>
      <c r="J2062" s="264" t="s">
        <v>1963</v>
      </c>
      <c r="K2062" s="264" t="s">
        <v>2025</v>
      </c>
      <c r="L2062" s="1" t="str">
        <f>VLOOKUP(Advices[[#This Row],[LC Number]],'Combine_List'!A:D,2,0)</f>
        <v>SIEMENS Limited Company</v>
      </c>
      <c r="M2062" s="447" t="str">
        <f>VLOOKUP(Advices[[#This Row],[LC Number]],'Combine_List'!A:D,3,0)</f>
        <v>Signal Control</v>
      </c>
      <c r="N2062" s="447" t="str">
        <f>VLOOKUP(Advices[[#This Row],[LC Number]],'Combine_List'!A:D,4,0)</f>
        <v>KSP</v>
      </c>
      <c r="O2062" s="1"/>
      <c r="P2062" s="1">
        <f>MONTH(Advices[[#This Row],[Transaction Date]])</f>
        <v>3</v>
      </c>
      <c r="Q2062" s="1">
        <f>YEAR(Advices[[#This Row],[Transaction Date]])</f>
        <v>2026</v>
      </c>
      <c r="R2062" s="1"/>
    </row>
    <row r="2063" spans="1:18" x14ac:dyDescent="0.25">
      <c r="A2063" s="264" t="s">
        <v>21</v>
      </c>
      <c r="B2063" s="265">
        <v>46105</v>
      </c>
      <c r="C2063" s="264" t="s">
        <v>1951</v>
      </c>
      <c r="D2063" s="300" t="s">
        <v>4408</v>
      </c>
      <c r="E2063" s="300" t="s">
        <v>3146</v>
      </c>
      <c r="F2063" s="300" t="s">
        <v>4145</v>
      </c>
      <c r="G2063" s="264" t="s">
        <v>26</v>
      </c>
      <c r="H2063" s="368">
        <v>485451.98</v>
      </c>
      <c r="I2063" s="368">
        <v>0</v>
      </c>
      <c r="J2063" s="264" t="s">
        <v>1126</v>
      </c>
      <c r="K2063" s="264" t="s">
        <v>2025</v>
      </c>
      <c r="L2063" s="1" t="str">
        <f>VLOOKUP(Advices[[#This Row],[LC Number]],'Combine_List'!A:D,2,0)</f>
        <v>SIEMENS Limited Company</v>
      </c>
      <c r="M2063" s="447" t="str">
        <f>VLOOKUP(Advices[[#This Row],[LC Number]],'Combine_List'!A:D,3,0)</f>
        <v>Signal Control</v>
      </c>
      <c r="N2063" s="447" t="str">
        <f>VLOOKUP(Advices[[#This Row],[LC Number]],'Combine_List'!A:D,4,0)</f>
        <v>KSP</v>
      </c>
      <c r="O2063" s="1"/>
      <c r="P2063" s="1">
        <f>MONTH(Advices[[#This Row],[Transaction Date]])</f>
        <v>3</v>
      </c>
      <c r="Q2063" s="1">
        <f>YEAR(Advices[[#This Row],[Transaction Date]])</f>
        <v>2026</v>
      </c>
      <c r="R2063" s="1"/>
    </row>
    <row r="2064" spans="1:18" x14ac:dyDescent="0.25">
      <c r="A2064" s="264" t="s">
        <v>21</v>
      </c>
      <c r="B2064" s="265">
        <v>46105</v>
      </c>
      <c r="C2064" s="264" t="s">
        <v>1951</v>
      </c>
      <c r="D2064" s="300" t="s">
        <v>4409</v>
      </c>
      <c r="E2064" s="300" t="s">
        <v>3146</v>
      </c>
      <c r="F2064" s="300" t="s">
        <v>4410</v>
      </c>
      <c r="G2064" s="264" t="s">
        <v>26</v>
      </c>
      <c r="H2064" s="368">
        <v>255.8</v>
      </c>
      <c r="I2064" s="368">
        <v>0</v>
      </c>
      <c r="J2064" s="264" t="s">
        <v>1174</v>
      </c>
      <c r="K2064" s="264" t="s">
        <v>2025</v>
      </c>
      <c r="L2064" s="1" t="str">
        <f>VLOOKUP(Advices[[#This Row],[LC Number]],'Combine_List'!A:D,2,0)</f>
        <v>SIEMENS Limited Company</v>
      </c>
      <c r="M2064" s="447" t="str">
        <f>VLOOKUP(Advices[[#This Row],[LC Number]],'Combine_List'!A:D,3,0)</f>
        <v>Signal Control</v>
      </c>
      <c r="N2064" s="447" t="str">
        <f>VLOOKUP(Advices[[#This Row],[LC Number]],'Combine_List'!A:D,4,0)</f>
        <v>KSP</v>
      </c>
      <c r="O2064" s="1"/>
      <c r="P2064" s="1">
        <f>MONTH(Advices[[#This Row],[Transaction Date]])</f>
        <v>3</v>
      </c>
      <c r="Q2064" s="1">
        <f>YEAR(Advices[[#This Row],[Transaction Date]])</f>
        <v>2026</v>
      </c>
      <c r="R2064" s="1"/>
    </row>
    <row r="2065" spans="1:18" x14ac:dyDescent="0.25">
      <c r="A2065" s="264" t="s">
        <v>21</v>
      </c>
      <c r="B2065" s="265">
        <v>46105</v>
      </c>
      <c r="C2065" s="264" t="s">
        <v>1951</v>
      </c>
      <c r="D2065" s="300" t="s">
        <v>4411</v>
      </c>
      <c r="E2065" s="300" t="s">
        <v>3146</v>
      </c>
      <c r="F2065" s="300" t="s">
        <v>4410</v>
      </c>
      <c r="G2065" s="264" t="s">
        <v>26</v>
      </c>
      <c r="H2065" s="368">
        <v>1705.32</v>
      </c>
      <c r="I2065" s="368">
        <v>0</v>
      </c>
      <c r="J2065" s="264" t="s">
        <v>1125</v>
      </c>
      <c r="K2065" s="264" t="s">
        <v>2025</v>
      </c>
      <c r="L2065" s="1" t="str">
        <f>VLOOKUP(Advices[[#This Row],[LC Number]],'Combine_List'!A:D,2,0)</f>
        <v>SIEMENS Limited Company</v>
      </c>
      <c r="M2065" s="447" t="str">
        <f>VLOOKUP(Advices[[#This Row],[LC Number]],'Combine_List'!A:D,3,0)</f>
        <v>Signal Control</v>
      </c>
      <c r="N2065" s="447" t="str">
        <f>VLOOKUP(Advices[[#This Row],[LC Number]],'Combine_List'!A:D,4,0)</f>
        <v>KSP</v>
      </c>
      <c r="O2065" s="1"/>
      <c r="P2065" s="1">
        <f>MONTH(Advices[[#This Row],[Transaction Date]])</f>
        <v>3</v>
      </c>
      <c r="Q2065" s="1">
        <f>YEAR(Advices[[#This Row],[Transaction Date]])</f>
        <v>2026</v>
      </c>
      <c r="R2065" s="1"/>
    </row>
    <row r="2066" spans="1:18" x14ac:dyDescent="0.25">
      <c r="A2066" s="264" t="s">
        <v>21</v>
      </c>
      <c r="B2066" s="265">
        <v>46105</v>
      </c>
      <c r="C2066" s="264" t="s">
        <v>1951</v>
      </c>
      <c r="D2066" s="300" t="s">
        <v>1952</v>
      </c>
      <c r="E2066" s="300" t="s">
        <v>3146</v>
      </c>
      <c r="F2066" s="300" t="s">
        <v>4412</v>
      </c>
      <c r="G2066" s="264" t="s">
        <v>26</v>
      </c>
      <c r="H2066" s="368">
        <v>187.5</v>
      </c>
      <c r="I2066" s="368">
        <v>0</v>
      </c>
      <c r="J2066" s="264" t="s">
        <v>1174</v>
      </c>
      <c r="K2066" s="264" t="s">
        <v>2025</v>
      </c>
      <c r="L2066" s="1" t="str">
        <f>VLOOKUP(Advices[[#This Row],[LC Number]],'Combine_List'!A:D,2,0)</f>
        <v>SIEMENS Limited Company</v>
      </c>
      <c r="M2066" s="447" t="str">
        <f>VLOOKUP(Advices[[#This Row],[LC Number]],'Combine_List'!A:D,3,0)</f>
        <v>Signal Control</v>
      </c>
      <c r="N2066" s="447" t="str">
        <f>VLOOKUP(Advices[[#This Row],[LC Number]],'Combine_List'!A:D,4,0)</f>
        <v>KSP</v>
      </c>
      <c r="O2066" s="1"/>
      <c r="P2066" s="1">
        <f>MONTH(Advices[[#This Row],[Transaction Date]])</f>
        <v>3</v>
      </c>
      <c r="Q2066" s="1">
        <f>YEAR(Advices[[#This Row],[Transaction Date]])</f>
        <v>2026</v>
      </c>
      <c r="R2066" s="1"/>
    </row>
    <row r="2067" spans="1:18" x14ac:dyDescent="0.25">
      <c r="A2067" s="264" t="s">
        <v>21</v>
      </c>
      <c r="B2067" s="265">
        <v>46105</v>
      </c>
      <c r="C2067" s="264" t="s">
        <v>1951</v>
      </c>
      <c r="D2067" s="300" t="s">
        <v>4413</v>
      </c>
      <c r="E2067" s="300" t="s">
        <v>3146</v>
      </c>
      <c r="F2067" s="300" t="s">
        <v>4412</v>
      </c>
      <c r="G2067" s="264" t="s">
        <v>26</v>
      </c>
      <c r="H2067" s="368">
        <v>1250</v>
      </c>
      <c r="I2067" s="368">
        <v>0</v>
      </c>
      <c r="J2067" s="264" t="s">
        <v>1125</v>
      </c>
      <c r="K2067" s="264" t="s">
        <v>2025</v>
      </c>
      <c r="L2067" s="1" t="str">
        <f>VLOOKUP(Advices[[#This Row],[LC Number]],'Combine_List'!A:D,2,0)</f>
        <v>SIEMENS Limited Company</v>
      </c>
      <c r="M2067" s="447" t="str">
        <f>VLOOKUP(Advices[[#This Row],[LC Number]],'Combine_List'!A:D,3,0)</f>
        <v>Signal Control</v>
      </c>
      <c r="N2067" s="447" t="str">
        <f>VLOOKUP(Advices[[#This Row],[LC Number]],'Combine_List'!A:D,4,0)</f>
        <v>KSP</v>
      </c>
      <c r="O2067" s="1"/>
      <c r="P2067" s="1">
        <f>MONTH(Advices[[#This Row],[Transaction Date]])</f>
        <v>3</v>
      </c>
      <c r="Q2067" s="1">
        <f>YEAR(Advices[[#This Row],[Transaction Date]])</f>
        <v>2026</v>
      </c>
      <c r="R2067" s="1"/>
    </row>
    <row r="2068" spans="1:18" x14ac:dyDescent="0.25">
      <c r="A2068" s="264" t="s">
        <v>21</v>
      </c>
      <c r="B2068" s="265">
        <v>46105</v>
      </c>
      <c r="C2068" s="264" t="s">
        <v>1951</v>
      </c>
      <c r="D2068" s="300" t="s">
        <v>1952</v>
      </c>
      <c r="E2068" s="300" t="s">
        <v>3146</v>
      </c>
      <c r="F2068" s="300" t="s">
        <v>4414</v>
      </c>
      <c r="G2068" s="264" t="s">
        <v>26</v>
      </c>
      <c r="H2068" s="368">
        <v>187.5</v>
      </c>
      <c r="I2068" s="368">
        <v>0</v>
      </c>
      <c r="J2068" s="264" t="s">
        <v>1174</v>
      </c>
      <c r="K2068" s="264" t="s">
        <v>2025</v>
      </c>
      <c r="L2068" s="1" t="str">
        <f>VLOOKUP(Advices[[#This Row],[LC Number]],'Combine_List'!A:D,2,0)</f>
        <v>SIEMENS Limited Company</v>
      </c>
      <c r="M2068" s="447" t="str">
        <f>VLOOKUP(Advices[[#This Row],[LC Number]],'Combine_List'!A:D,3,0)</f>
        <v>Signal Control</v>
      </c>
      <c r="N2068" s="447" t="str">
        <f>VLOOKUP(Advices[[#This Row],[LC Number]],'Combine_List'!A:D,4,0)</f>
        <v>KSP</v>
      </c>
      <c r="O2068" s="1"/>
      <c r="P2068" s="1">
        <f>MONTH(Advices[[#This Row],[Transaction Date]])</f>
        <v>3</v>
      </c>
      <c r="Q2068" s="1">
        <f>YEAR(Advices[[#This Row],[Transaction Date]])</f>
        <v>2026</v>
      </c>
      <c r="R2068" s="1"/>
    </row>
    <row r="2069" spans="1:18" x14ac:dyDescent="0.25">
      <c r="A2069" s="264" t="s">
        <v>21</v>
      </c>
      <c r="B2069" s="265">
        <v>46105</v>
      </c>
      <c r="C2069" s="264" t="s">
        <v>1951</v>
      </c>
      <c r="D2069" s="300" t="s">
        <v>4415</v>
      </c>
      <c r="E2069" s="300" t="s">
        <v>3146</v>
      </c>
      <c r="F2069" s="300" t="s">
        <v>4414</v>
      </c>
      <c r="G2069" s="264" t="s">
        <v>26</v>
      </c>
      <c r="H2069" s="368">
        <v>1250</v>
      </c>
      <c r="I2069" s="368">
        <v>0</v>
      </c>
      <c r="J2069" s="264" t="s">
        <v>1125</v>
      </c>
      <c r="K2069" s="264" t="s">
        <v>2025</v>
      </c>
      <c r="L2069" s="1" t="str">
        <f>VLOOKUP(Advices[[#This Row],[LC Number]],'Combine_List'!A:D,2,0)</f>
        <v>SIEMENS Limited Company</v>
      </c>
      <c r="M2069" s="447" t="str">
        <f>VLOOKUP(Advices[[#This Row],[LC Number]],'Combine_List'!A:D,3,0)</f>
        <v>Signal Control</v>
      </c>
      <c r="N2069" s="447" t="str">
        <f>VLOOKUP(Advices[[#This Row],[LC Number]],'Combine_List'!A:D,4,0)</f>
        <v>KSP</v>
      </c>
      <c r="O2069" s="1"/>
      <c r="P2069" s="1">
        <f>MONTH(Advices[[#This Row],[Transaction Date]])</f>
        <v>3</v>
      </c>
      <c r="Q2069" s="1">
        <f>YEAR(Advices[[#This Row],[Transaction Date]])</f>
        <v>2026</v>
      </c>
      <c r="R2069" s="1"/>
    </row>
    <row r="2070" spans="1:18" x14ac:dyDescent="0.25">
      <c r="A2070" s="264" t="s">
        <v>21</v>
      </c>
      <c r="B2070" s="265">
        <v>46105</v>
      </c>
      <c r="C2070" s="264" t="s">
        <v>1951</v>
      </c>
      <c r="D2070" s="300" t="s">
        <v>1952</v>
      </c>
      <c r="E2070" s="300" t="s">
        <v>3146</v>
      </c>
      <c r="F2070" s="300" t="s">
        <v>4416</v>
      </c>
      <c r="G2070" s="264" t="s">
        <v>26</v>
      </c>
      <c r="H2070" s="368">
        <v>187.5</v>
      </c>
      <c r="I2070" s="368">
        <v>0</v>
      </c>
      <c r="J2070" s="264" t="s">
        <v>1174</v>
      </c>
      <c r="K2070" s="264" t="s">
        <v>2025</v>
      </c>
      <c r="L2070" s="1" t="str">
        <f>VLOOKUP(Advices[[#This Row],[LC Number]],'Combine_List'!A:D,2,0)</f>
        <v>SIEMENS Limited Company</v>
      </c>
      <c r="M2070" s="447" t="str">
        <f>VLOOKUP(Advices[[#This Row],[LC Number]],'Combine_List'!A:D,3,0)</f>
        <v>Signal Control</v>
      </c>
      <c r="N2070" s="447" t="str">
        <f>VLOOKUP(Advices[[#This Row],[LC Number]],'Combine_List'!A:D,4,0)</f>
        <v>KSP</v>
      </c>
      <c r="O2070" s="1"/>
      <c r="P2070" s="1">
        <f>MONTH(Advices[[#This Row],[Transaction Date]])</f>
        <v>3</v>
      </c>
      <c r="Q2070" s="1">
        <f>YEAR(Advices[[#This Row],[Transaction Date]])</f>
        <v>2026</v>
      </c>
      <c r="R2070" s="1"/>
    </row>
    <row r="2071" spans="1:18" x14ac:dyDescent="0.25">
      <c r="A2071" s="264" t="s">
        <v>21</v>
      </c>
      <c r="B2071" s="265">
        <v>46105</v>
      </c>
      <c r="C2071" s="264" t="s">
        <v>1951</v>
      </c>
      <c r="D2071" s="300" t="s">
        <v>4417</v>
      </c>
      <c r="E2071" s="300" t="s">
        <v>3146</v>
      </c>
      <c r="F2071" s="300" t="s">
        <v>4416</v>
      </c>
      <c r="G2071" s="264" t="s">
        <v>26</v>
      </c>
      <c r="H2071" s="368">
        <v>1250</v>
      </c>
      <c r="I2071" s="368">
        <v>0</v>
      </c>
      <c r="J2071" s="264" t="s">
        <v>1125</v>
      </c>
      <c r="K2071" s="264" t="s">
        <v>2025</v>
      </c>
      <c r="L2071" s="1" t="str">
        <f>VLOOKUP(Advices[[#This Row],[LC Number]],'Combine_List'!A:D,2,0)</f>
        <v>SIEMENS Limited Company</v>
      </c>
      <c r="M2071" s="447" t="str">
        <f>VLOOKUP(Advices[[#This Row],[LC Number]],'Combine_List'!A:D,3,0)</f>
        <v>Signal Control</v>
      </c>
      <c r="N2071" s="447" t="str">
        <f>VLOOKUP(Advices[[#This Row],[LC Number]],'Combine_List'!A:D,4,0)</f>
        <v>KSP</v>
      </c>
      <c r="O2071" s="1"/>
      <c r="P2071" s="1">
        <f>MONTH(Advices[[#This Row],[Transaction Date]])</f>
        <v>3</v>
      </c>
      <c r="Q2071" s="1">
        <f>YEAR(Advices[[#This Row],[Transaction Date]])</f>
        <v>2026</v>
      </c>
      <c r="R2071" s="1"/>
    </row>
    <row r="2072" spans="1:18" x14ac:dyDescent="0.25">
      <c r="A2072" s="264" t="s">
        <v>21</v>
      </c>
      <c r="B2072" s="265">
        <v>46105</v>
      </c>
      <c r="C2072" s="264" t="s">
        <v>1951</v>
      </c>
      <c r="D2072" s="300" t="s">
        <v>4418</v>
      </c>
      <c r="E2072" s="300" t="s">
        <v>3146</v>
      </c>
      <c r="F2072" s="300" t="s">
        <v>4419</v>
      </c>
      <c r="G2072" s="264" t="s">
        <v>26</v>
      </c>
      <c r="H2072" s="368">
        <v>319.27999999999997</v>
      </c>
      <c r="I2072" s="368">
        <v>0</v>
      </c>
      <c r="J2072" s="264" t="s">
        <v>1174</v>
      </c>
      <c r="K2072" s="264" t="s">
        <v>2025</v>
      </c>
      <c r="L2072" s="1" t="str">
        <f>VLOOKUP(Advices[[#This Row],[LC Number]],'Combine_List'!A:D,2,0)</f>
        <v>SIEMENS Limited Company</v>
      </c>
      <c r="M2072" s="447" t="str">
        <f>VLOOKUP(Advices[[#This Row],[LC Number]],'Combine_List'!A:D,3,0)</f>
        <v>Signal Control</v>
      </c>
      <c r="N2072" s="447" t="str">
        <f>VLOOKUP(Advices[[#This Row],[LC Number]],'Combine_List'!A:D,4,0)</f>
        <v>KSP</v>
      </c>
      <c r="O2072" s="1"/>
      <c r="P2072" s="1">
        <f>MONTH(Advices[[#This Row],[Transaction Date]])</f>
        <v>3</v>
      </c>
      <c r="Q2072" s="1">
        <f>YEAR(Advices[[#This Row],[Transaction Date]])</f>
        <v>2026</v>
      </c>
      <c r="R2072" s="1"/>
    </row>
    <row r="2073" spans="1:18" x14ac:dyDescent="0.25">
      <c r="A2073" s="264" t="s">
        <v>21</v>
      </c>
      <c r="B2073" s="265">
        <v>46105</v>
      </c>
      <c r="C2073" s="264" t="s">
        <v>1951</v>
      </c>
      <c r="D2073" s="300" t="s">
        <v>4420</v>
      </c>
      <c r="E2073" s="300" t="s">
        <v>3146</v>
      </c>
      <c r="F2073" s="300" t="s">
        <v>4419</v>
      </c>
      <c r="G2073" s="264" t="s">
        <v>26</v>
      </c>
      <c r="H2073" s="368">
        <v>2128.5100000000002</v>
      </c>
      <c r="I2073" s="368">
        <v>0</v>
      </c>
      <c r="J2073" s="264" t="s">
        <v>1125</v>
      </c>
      <c r="K2073" s="264" t="s">
        <v>2025</v>
      </c>
      <c r="L2073" s="1" t="str">
        <f>VLOOKUP(Advices[[#This Row],[LC Number]],'Combine_List'!A:D,2,0)</f>
        <v>SIEMENS Limited Company</v>
      </c>
      <c r="M2073" s="447" t="str">
        <f>VLOOKUP(Advices[[#This Row],[LC Number]],'Combine_List'!A:D,3,0)</f>
        <v>Signal Control</v>
      </c>
      <c r="N2073" s="447" t="str">
        <f>VLOOKUP(Advices[[#This Row],[LC Number]],'Combine_List'!A:D,4,0)</f>
        <v>KSP</v>
      </c>
      <c r="O2073" s="1"/>
      <c r="P2073" s="1">
        <f>MONTH(Advices[[#This Row],[Transaction Date]])</f>
        <v>3</v>
      </c>
      <c r="Q2073" s="1">
        <f>YEAR(Advices[[#This Row],[Transaction Date]])</f>
        <v>2026</v>
      </c>
      <c r="R2073" s="1"/>
    </row>
    <row r="2074" spans="1:18" x14ac:dyDescent="0.25">
      <c r="A2074" s="264" t="s">
        <v>21</v>
      </c>
      <c r="B2074" s="265">
        <v>46105</v>
      </c>
      <c r="C2074" s="264" t="s">
        <v>1951</v>
      </c>
      <c r="D2074" s="300" t="s">
        <v>2334</v>
      </c>
      <c r="E2074" s="300" t="s">
        <v>3227</v>
      </c>
      <c r="F2074" s="300" t="s">
        <v>4087</v>
      </c>
      <c r="G2074" s="264" t="s">
        <v>26</v>
      </c>
      <c r="H2074" s="368">
        <v>22.5</v>
      </c>
      <c r="I2074" s="368">
        <v>0</v>
      </c>
      <c r="J2074" s="264" t="s">
        <v>1174</v>
      </c>
      <c r="K2074" s="264" t="s">
        <v>2025</v>
      </c>
      <c r="L2074" s="1" t="str">
        <f>VLOOKUP(Advices[[#This Row],[LC Number]],'Combine_List'!A:D,2,0)</f>
        <v>BBH-CHEMTROL INTERNATIONAL ORGANIZATION S.L</v>
      </c>
      <c r="M2074" s="447" t="str">
        <f>VLOOKUP(Advices[[#This Row],[LC Number]],'Combine_List'!A:D,3,0)</f>
        <v>ICAD</v>
      </c>
      <c r="N2074" s="447" t="str">
        <f>VLOOKUP(Advices[[#This Row],[LC Number]],'Combine_List'!A:D,4,0)</f>
        <v>KSP</v>
      </c>
      <c r="O2074" s="1"/>
      <c r="P2074" s="1">
        <f>MONTH(Advices[[#This Row],[Transaction Date]])</f>
        <v>3</v>
      </c>
      <c r="Q2074" s="1">
        <f>YEAR(Advices[[#This Row],[Transaction Date]])</f>
        <v>2026</v>
      </c>
      <c r="R2074" s="1"/>
    </row>
    <row r="2075" spans="1:18" x14ac:dyDescent="0.25">
      <c r="A2075" s="264" t="s">
        <v>21</v>
      </c>
      <c r="B2075" s="265">
        <v>46105</v>
      </c>
      <c r="C2075" s="264" t="s">
        <v>1951</v>
      </c>
      <c r="D2075" s="300" t="s">
        <v>4421</v>
      </c>
      <c r="E2075" s="300" t="s">
        <v>3227</v>
      </c>
      <c r="F2075" s="300" t="s">
        <v>4087</v>
      </c>
      <c r="G2075" s="264" t="s">
        <v>26</v>
      </c>
      <c r="H2075" s="368">
        <v>150</v>
      </c>
      <c r="I2075" s="368">
        <v>0</v>
      </c>
      <c r="J2075" s="264" t="s">
        <v>1963</v>
      </c>
      <c r="K2075" s="264" t="s">
        <v>2025</v>
      </c>
      <c r="L2075" s="1" t="str">
        <f>VLOOKUP(Advices[[#This Row],[LC Number]],'Combine_List'!A:D,2,0)</f>
        <v>BBH-CHEMTROL INTERNATIONAL ORGANIZATION S.L</v>
      </c>
      <c r="M2075" s="447" t="str">
        <f>VLOOKUP(Advices[[#This Row],[LC Number]],'Combine_List'!A:D,3,0)</f>
        <v>ICAD</v>
      </c>
      <c r="N2075" s="447" t="str">
        <f>VLOOKUP(Advices[[#This Row],[LC Number]],'Combine_List'!A:D,4,0)</f>
        <v>KSP</v>
      </c>
      <c r="O2075" s="1"/>
      <c r="P2075" s="1">
        <f>MONTH(Advices[[#This Row],[Transaction Date]])</f>
        <v>3</v>
      </c>
      <c r="Q2075" s="1">
        <f>YEAR(Advices[[#This Row],[Transaction Date]])</f>
        <v>2026</v>
      </c>
      <c r="R2075" s="1"/>
    </row>
    <row r="2076" spans="1:18" x14ac:dyDescent="0.25">
      <c r="A2076" s="264" t="s">
        <v>21</v>
      </c>
      <c r="B2076" s="265">
        <v>46105</v>
      </c>
      <c r="C2076" s="264" t="s">
        <v>1951</v>
      </c>
      <c r="D2076" s="300" t="s">
        <v>4422</v>
      </c>
      <c r="E2076" s="300" t="s">
        <v>3227</v>
      </c>
      <c r="F2076" s="300" t="s">
        <v>4087</v>
      </c>
      <c r="G2076" s="264" t="s">
        <v>26</v>
      </c>
      <c r="H2076" s="368">
        <v>175031.58</v>
      </c>
      <c r="I2076" s="368">
        <v>0</v>
      </c>
      <c r="J2076" s="264" t="s">
        <v>1126</v>
      </c>
      <c r="K2076" s="264" t="s">
        <v>2025</v>
      </c>
      <c r="L2076" s="1" t="str">
        <f>VLOOKUP(Advices[[#This Row],[LC Number]],'Combine_List'!A:D,2,0)</f>
        <v>BBH-CHEMTROL INTERNATIONAL ORGANIZATION S.L</v>
      </c>
      <c r="M2076" s="447" t="str">
        <f>VLOOKUP(Advices[[#This Row],[LC Number]],'Combine_List'!A:D,3,0)</f>
        <v>ICAD</v>
      </c>
      <c r="N2076" s="447" t="str">
        <f>VLOOKUP(Advices[[#This Row],[LC Number]],'Combine_List'!A:D,4,0)</f>
        <v>KSP</v>
      </c>
      <c r="O2076" s="1"/>
      <c r="P2076" s="1">
        <f>MONTH(Advices[[#This Row],[Transaction Date]])</f>
        <v>3</v>
      </c>
      <c r="Q2076" s="1">
        <f>YEAR(Advices[[#This Row],[Transaction Date]])</f>
        <v>2026</v>
      </c>
      <c r="R2076" s="1"/>
    </row>
    <row r="2077" spans="1:18" x14ac:dyDescent="0.25">
      <c r="A2077" s="264" t="s">
        <v>21</v>
      </c>
      <c r="B2077" s="265">
        <v>46105</v>
      </c>
      <c r="C2077" s="264" t="s">
        <v>1951</v>
      </c>
      <c r="D2077" s="300" t="s">
        <v>4084</v>
      </c>
      <c r="E2077" s="300" t="s">
        <v>3227</v>
      </c>
      <c r="F2077" s="300" t="s">
        <v>4423</v>
      </c>
      <c r="G2077" s="264" t="s">
        <v>26</v>
      </c>
      <c r="H2077" s="368">
        <v>187.5</v>
      </c>
      <c r="I2077" s="368">
        <v>0</v>
      </c>
      <c r="J2077" s="264" t="s">
        <v>1174</v>
      </c>
      <c r="K2077" s="264" t="s">
        <v>2025</v>
      </c>
      <c r="L2077" s="1" t="str">
        <f>VLOOKUP(Advices[[#This Row],[LC Number]],'Combine_List'!A:D,2,0)</f>
        <v>BBH-CHEMTROL INTERNATIONAL ORGANIZATION S.L</v>
      </c>
      <c r="M2077" s="447" t="str">
        <f>VLOOKUP(Advices[[#This Row],[LC Number]],'Combine_List'!A:D,3,0)</f>
        <v>ICAD</v>
      </c>
      <c r="N2077" s="447" t="str">
        <f>VLOOKUP(Advices[[#This Row],[LC Number]],'Combine_List'!A:D,4,0)</f>
        <v>KSP</v>
      </c>
      <c r="O2077" s="1"/>
      <c r="P2077" s="1">
        <f>MONTH(Advices[[#This Row],[Transaction Date]])</f>
        <v>3</v>
      </c>
      <c r="Q2077" s="1">
        <f>YEAR(Advices[[#This Row],[Transaction Date]])</f>
        <v>2026</v>
      </c>
      <c r="R2077" s="1"/>
    </row>
    <row r="2078" spans="1:18" x14ac:dyDescent="0.25">
      <c r="A2078" s="264" t="s">
        <v>21</v>
      </c>
      <c r="B2078" s="265">
        <v>46105</v>
      </c>
      <c r="C2078" s="264" t="s">
        <v>1951</v>
      </c>
      <c r="D2078" s="300" t="s">
        <v>4424</v>
      </c>
      <c r="E2078" s="300" t="s">
        <v>3227</v>
      </c>
      <c r="F2078" s="300" t="s">
        <v>4423</v>
      </c>
      <c r="G2078" s="264" t="s">
        <v>26</v>
      </c>
      <c r="H2078" s="368">
        <v>1250</v>
      </c>
      <c r="I2078" s="368">
        <v>0</v>
      </c>
      <c r="J2078" s="264" t="s">
        <v>1125</v>
      </c>
      <c r="K2078" s="264" t="s">
        <v>2025</v>
      </c>
      <c r="L2078" s="1" t="str">
        <f>VLOOKUP(Advices[[#This Row],[LC Number]],'Combine_List'!A:D,2,0)</f>
        <v>BBH-CHEMTROL INTERNATIONAL ORGANIZATION S.L</v>
      </c>
      <c r="M2078" s="447" t="str">
        <f>VLOOKUP(Advices[[#This Row],[LC Number]],'Combine_List'!A:D,3,0)</f>
        <v>ICAD</v>
      </c>
      <c r="N2078" s="447" t="str">
        <f>VLOOKUP(Advices[[#This Row],[LC Number]],'Combine_List'!A:D,4,0)</f>
        <v>KSP</v>
      </c>
      <c r="O2078" s="1"/>
      <c r="P2078" s="1">
        <f>MONTH(Advices[[#This Row],[Transaction Date]])</f>
        <v>3</v>
      </c>
      <c r="Q2078" s="1">
        <f>YEAR(Advices[[#This Row],[Transaction Date]])</f>
        <v>2026</v>
      </c>
      <c r="R2078" s="1"/>
    </row>
    <row r="2079" spans="1:18" x14ac:dyDescent="0.25">
      <c r="A2079" s="264" t="s">
        <v>21</v>
      </c>
      <c r="B2079" s="265">
        <v>46105</v>
      </c>
      <c r="C2079" s="264" t="s">
        <v>1951</v>
      </c>
      <c r="D2079" s="300" t="s">
        <v>4084</v>
      </c>
      <c r="E2079" s="300" t="s">
        <v>3227</v>
      </c>
      <c r="F2079" s="300" t="s">
        <v>4425</v>
      </c>
      <c r="G2079" s="264" t="s">
        <v>26</v>
      </c>
      <c r="H2079" s="368">
        <v>187.5</v>
      </c>
      <c r="I2079" s="368">
        <v>0</v>
      </c>
      <c r="J2079" s="264" t="s">
        <v>1174</v>
      </c>
      <c r="K2079" s="264" t="s">
        <v>2025</v>
      </c>
      <c r="L2079" s="1" t="str">
        <f>VLOOKUP(Advices[[#This Row],[LC Number]],'Combine_List'!A:D,2,0)</f>
        <v>BBH-CHEMTROL INTERNATIONAL ORGANIZATION S.L</v>
      </c>
      <c r="M2079" s="447" t="str">
        <f>VLOOKUP(Advices[[#This Row],[LC Number]],'Combine_List'!A:D,3,0)</f>
        <v>ICAD</v>
      </c>
      <c r="N2079" s="447" t="str">
        <f>VLOOKUP(Advices[[#This Row],[LC Number]],'Combine_List'!A:D,4,0)</f>
        <v>KSP</v>
      </c>
      <c r="O2079" s="1"/>
      <c r="P2079" s="1">
        <f>MONTH(Advices[[#This Row],[Transaction Date]])</f>
        <v>3</v>
      </c>
      <c r="Q2079" s="1">
        <f>YEAR(Advices[[#This Row],[Transaction Date]])</f>
        <v>2026</v>
      </c>
      <c r="R2079" s="1"/>
    </row>
    <row r="2080" spans="1:18" x14ac:dyDescent="0.25">
      <c r="A2080" s="264" t="s">
        <v>21</v>
      </c>
      <c r="B2080" s="265">
        <v>46105</v>
      </c>
      <c r="C2080" s="264" t="s">
        <v>1951</v>
      </c>
      <c r="D2080" s="300" t="s">
        <v>4426</v>
      </c>
      <c r="E2080" s="300" t="s">
        <v>3227</v>
      </c>
      <c r="F2080" s="300" t="s">
        <v>4425</v>
      </c>
      <c r="G2080" s="264" t="s">
        <v>26</v>
      </c>
      <c r="H2080" s="368">
        <v>1250</v>
      </c>
      <c r="I2080" s="368">
        <v>0</v>
      </c>
      <c r="J2080" s="264" t="s">
        <v>1125</v>
      </c>
      <c r="K2080" s="264" t="s">
        <v>2025</v>
      </c>
      <c r="L2080" s="1" t="str">
        <f>VLOOKUP(Advices[[#This Row],[LC Number]],'Combine_List'!A:D,2,0)</f>
        <v>BBH-CHEMTROL INTERNATIONAL ORGANIZATION S.L</v>
      </c>
      <c r="M2080" s="447" t="str">
        <f>VLOOKUP(Advices[[#This Row],[LC Number]],'Combine_List'!A:D,3,0)</f>
        <v>ICAD</v>
      </c>
      <c r="N2080" s="447" t="str">
        <f>VLOOKUP(Advices[[#This Row],[LC Number]],'Combine_List'!A:D,4,0)</f>
        <v>KSP</v>
      </c>
      <c r="O2080" s="264"/>
      <c r="P2080" s="264">
        <f>MONTH(Advices[[#This Row],[Transaction Date]])</f>
        <v>3</v>
      </c>
      <c r="Q2080" s="264">
        <f>YEAR(Advices[[#This Row],[Transaction Date]])</f>
        <v>2026</v>
      </c>
      <c r="R2080" s="1"/>
    </row>
    <row r="2081" spans="1:18" hidden="1" x14ac:dyDescent="0.25">
      <c r="A2081" s="264" t="s">
        <v>62</v>
      </c>
      <c r="B2081" s="265">
        <v>46097</v>
      </c>
      <c r="C2081" s="264" t="s">
        <v>2039</v>
      </c>
      <c r="D2081" s="300" t="s">
        <v>4427</v>
      </c>
      <c r="E2081" s="300" t="s">
        <v>3948</v>
      </c>
      <c r="F2081" s="300" t="s">
        <v>2041</v>
      </c>
      <c r="G2081" s="264" t="s">
        <v>26</v>
      </c>
      <c r="H2081" s="368">
        <v>2156.25</v>
      </c>
      <c r="I2081" s="368">
        <v>0</v>
      </c>
      <c r="J2081" s="264" t="s">
        <v>1125</v>
      </c>
      <c r="K2081" s="264" t="s">
        <v>2025</v>
      </c>
      <c r="L2081" s="1" t="str">
        <f>VLOOKUP(Advices[[#This Row],[LC Number]],'Combine_List'!A:D,2,0)</f>
        <v>Electric House Trading Company L.L.C.</v>
      </c>
      <c r="M2081" s="447" t="str">
        <f>VLOOKUP(Advices[[#This Row],[LC Number]],'Combine_List'!A:D,3,0)</f>
        <v>FIRST FIX</v>
      </c>
      <c r="N2081" s="447" t="str">
        <f>VLOOKUP(Advices[[#This Row],[LC Number]],'Combine_List'!A:D,4,0)</f>
        <v>Oceanarium</v>
      </c>
      <c r="O2081" s="1"/>
      <c r="P2081" s="1">
        <f>MONTH(Advices[[#This Row],[Transaction Date]])</f>
        <v>3</v>
      </c>
      <c r="Q2081" s="1">
        <f>YEAR(Advices[[#This Row],[Transaction Date]])</f>
        <v>2026</v>
      </c>
      <c r="R2081" s="1"/>
    </row>
    <row r="2082" spans="1:18" hidden="1" x14ac:dyDescent="0.25">
      <c r="A2082" s="264" t="s">
        <v>62</v>
      </c>
      <c r="B2082" s="265">
        <v>46105</v>
      </c>
      <c r="C2082" s="264" t="s">
        <v>2042</v>
      </c>
      <c r="D2082" s="300" t="s">
        <v>4428</v>
      </c>
      <c r="E2082" s="300" t="s">
        <v>4396</v>
      </c>
      <c r="F2082" s="300" t="s">
        <v>2041</v>
      </c>
      <c r="G2082" s="264" t="s">
        <v>26</v>
      </c>
      <c r="H2082" s="368">
        <v>19577.599999999999</v>
      </c>
      <c r="I2082" s="368">
        <v>0</v>
      </c>
      <c r="J2082" s="264" t="s">
        <v>2830</v>
      </c>
      <c r="K2082" s="264" t="s">
        <v>2025</v>
      </c>
      <c r="L2082" s="1" t="str">
        <f>VLOOKUP(Advices[[#This Row],[LC Number]],'Combine_List'!A:D,2,0)</f>
        <v>Advance - PRIVATE AFFAIRS OF THE CUSTODIAN OF THE TWO HOLY MOSQUES</v>
      </c>
      <c r="M2082" s="447">
        <f>VLOOKUP(Advices[[#This Row],[LC Number]],'Combine_List'!A:D,3,0)</f>
        <v>0</v>
      </c>
      <c r="N2082" s="447">
        <f>VLOOKUP(Advices[[#This Row],[LC Number]],'Combine_List'!A:D,4,0)</f>
        <v>0</v>
      </c>
      <c r="O2082" s="1"/>
      <c r="P2082" s="1">
        <f>MONTH(Advices[[#This Row],[Transaction Date]])</f>
        <v>3</v>
      </c>
      <c r="Q2082" s="1">
        <f>YEAR(Advices[[#This Row],[Transaction Date]])</f>
        <v>2026</v>
      </c>
      <c r="R2082" s="1"/>
    </row>
    <row r="2083" spans="1:18" hidden="1" x14ac:dyDescent="0.25">
      <c r="A2083" s="264" t="s">
        <v>62</v>
      </c>
      <c r="B2083" s="265">
        <v>46105</v>
      </c>
      <c r="C2083" s="264" t="s">
        <v>2039</v>
      </c>
      <c r="D2083" s="300" t="s">
        <v>4429</v>
      </c>
      <c r="E2083" s="300" t="s">
        <v>3952</v>
      </c>
      <c r="F2083" s="300" t="s">
        <v>2041</v>
      </c>
      <c r="G2083" s="264" t="s">
        <v>26</v>
      </c>
      <c r="H2083" s="368">
        <v>2156.25</v>
      </c>
      <c r="I2083" s="368">
        <v>0</v>
      </c>
      <c r="J2083" s="264" t="s">
        <v>1125</v>
      </c>
      <c r="K2083" s="264" t="s">
        <v>2025</v>
      </c>
      <c r="L2083" s="1" t="str">
        <f>VLOOKUP(Advices[[#This Row],[LC Number]],'Combine_List'!A:D,2,0)</f>
        <v>Ideal Caliber Company</v>
      </c>
      <c r="M2083" s="447" t="str">
        <f>VLOOKUP(Advices[[#This Row],[LC Number]],'Combine_List'!A:D,3,0)</f>
        <v>FIRST FIX</v>
      </c>
      <c r="N2083" s="447" t="str">
        <f>VLOOKUP(Advices[[#This Row],[LC Number]],'Combine_List'!A:D,4,0)</f>
        <v>Oceanarium</v>
      </c>
      <c r="O2083" s="1"/>
      <c r="P2083" s="1">
        <f>MONTH(Advices[[#This Row],[Transaction Date]])</f>
        <v>3</v>
      </c>
      <c r="Q2083" s="1">
        <f>YEAR(Advices[[#This Row],[Transaction Date]])</f>
        <v>2026</v>
      </c>
      <c r="R2083" s="1"/>
    </row>
    <row r="2084" spans="1:18" hidden="1" x14ac:dyDescent="0.25">
      <c r="A2084" s="264" t="s">
        <v>62</v>
      </c>
      <c r="B2084" s="265">
        <v>46105</v>
      </c>
      <c r="C2084" s="264" t="s">
        <v>2039</v>
      </c>
      <c r="D2084" s="300" t="s">
        <v>4430</v>
      </c>
      <c r="E2084" s="300" t="s">
        <v>4394</v>
      </c>
      <c r="F2084" s="300" t="s">
        <v>2041</v>
      </c>
      <c r="G2084" s="264" t="s">
        <v>26</v>
      </c>
      <c r="H2084" s="368">
        <v>156804.48000000001</v>
      </c>
      <c r="I2084" s="368">
        <v>0</v>
      </c>
      <c r="J2084" s="264" t="s">
        <v>1111</v>
      </c>
      <c r="K2084" s="264" t="s">
        <v>2025</v>
      </c>
      <c r="L2084" s="1" t="str">
        <f>VLOOKUP(Advices[[#This Row],[LC Number]],'Combine_List'!A:D,2,0)</f>
        <v>Mat Filtrasyon Teknolojeleri A.S</v>
      </c>
      <c r="M2084" s="447" t="str">
        <f>VLOOKUP(Advices[[#This Row],[LC Number]],'Combine_List'!A:D,3,0)</f>
        <v>MBL</v>
      </c>
      <c r="N2084" s="447" t="str">
        <f>VLOOKUP(Advices[[#This Row],[LC Number]],'Combine_List'!A:D,4,0)</f>
        <v>Oceanarium</v>
      </c>
      <c r="O2084" s="1"/>
      <c r="P2084" s="1">
        <f>MONTH(Advices[[#This Row],[Transaction Date]])</f>
        <v>3</v>
      </c>
      <c r="Q2084" s="1">
        <f>YEAR(Advices[[#This Row],[Transaction Date]])</f>
        <v>2026</v>
      </c>
      <c r="R2084" s="1"/>
    </row>
    <row r="2085" spans="1:18" hidden="1" x14ac:dyDescent="0.25">
      <c r="A2085" s="264" t="s">
        <v>62</v>
      </c>
      <c r="B2085" s="265">
        <v>46105</v>
      </c>
      <c r="C2085" s="264" t="s">
        <v>2039</v>
      </c>
      <c r="D2085" s="300" t="s">
        <v>4431</v>
      </c>
      <c r="E2085" s="1" t="s">
        <v>1934</v>
      </c>
      <c r="F2085" s="300" t="s">
        <v>2041</v>
      </c>
      <c r="G2085" s="264" t="s">
        <v>26</v>
      </c>
      <c r="H2085" s="368">
        <v>3467133.56</v>
      </c>
      <c r="I2085" s="368">
        <v>0</v>
      </c>
      <c r="J2085" s="264" t="s">
        <v>1126</v>
      </c>
      <c r="K2085" s="264" t="s">
        <v>2025</v>
      </c>
      <c r="L2085" s="1" t="str">
        <f>VLOOKUP(Advices[[#This Row],[LC Number]],'Combine_List'!A:D,2,0)</f>
        <v>Mat Filtrasyon Teknolojeleri A.S</v>
      </c>
      <c r="M2085" s="447" t="str">
        <f>VLOOKUP(Advices[[#This Row],[LC Number]],'Combine_List'!A:D,3,0)</f>
        <v>MBL</v>
      </c>
      <c r="N2085" s="447" t="str">
        <f>VLOOKUP(Advices[[#This Row],[LC Number]],'Combine_List'!A:D,4,0)</f>
        <v>Oceanarium</v>
      </c>
      <c r="O2085" s="447">
        <f>VLOOKUP(Advices[[#This Row],[LC Number]],'Combine_List'!A:E,5,0)</f>
        <v>1020096</v>
      </c>
      <c r="P2085" s="447">
        <f>MONTH(Advices[[#This Row],[Transaction Date]])</f>
        <v>3</v>
      </c>
      <c r="Q2085" s="447">
        <f>YEAR(Advices[[#This Row],[Transaction Date]])</f>
        <v>2026</v>
      </c>
      <c r="R2085" s="1"/>
    </row>
    <row r="2086" spans="1:18" hidden="1" x14ac:dyDescent="0.25">
      <c r="A2086" s="264" t="s">
        <v>62</v>
      </c>
      <c r="B2086" s="265">
        <v>46106</v>
      </c>
      <c r="C2086" s="264" t="s">
        <v>2039</v>
      </c>
      <c r="D2086" s="300" t="s">
        <v>4432</v>
      </c>
      <c r="E2086" s="300" t="s">
        <v>4395</v>
      </c>
      <c r="F2086" s="300" t="s">
        <v>2041</v>
      </c>
      <c r="G2086" s="264" t="s">
        <v>26</v>
      </c>
      <c r="H2086" s="368">
        <v>2260740.5699999998</v>
      </c>
      <c r="I2086" s="368">
        <v>0</v>
      </c>
      <c r="J2086" s="264" t="s">
        <v>4474</v>
      </c>
      <c r="K2086" s="264" t="s">
        <v>2025</v>
      </c>
      <c r="L2086" s="1" t="str">
        <f>VLOOKUP(Advices[[#This Row],[LC Number]],'Combine_List'!A:D,2,0)</f>
        <v>Performance - NEOM COMPANY</v>
      </c>
      <c r="M2086" s="447" t="str">
        <f>VLOOKUP(Advices[[#This Row],[LC Number]],'Combine_List'!A:D,3,0)</f>
        <v>MBL</v>
      </c>
      <c r="N2086" s="447" t="str">
        <f>VLOOKUP(Advices[[#This Row],[LC Number]],'Combine_List'!A:D,4,0)</f>
        <v>Oxagon</v>
      </c>
      <c r="O2086" s="1"/>
      <c r="P2086" s="1">
        <f>MONTH(Advices[[#This Row],[Transaction Date]])</f>
        <v>3</v>
      </c>
      <c r="Q2086" s="1">
        <f>YEAR(Advices[[#This Row],[Transaction Date]])</f>
        <v>2026</v>
      </c>
      <c r="R2086" s="1"/>
    </row>
    <row r="2087" spans="1:18" hidden="1" x14ac:dyDescent="0.25">
      <c r="A2087" s="264" t="s">
        <v>62</v>
      </c>
      <c r="B2087" s="265">
        <v>46107</v>
      </c>
      <c r="C2087" s="264" t="s">
        <v>2042</v>
      </c>
      <c r="D2087" s="300" t="s">
        <v>4433</v>
      </c>
      <c r="E2087" s="300" t="s">
        <v>306</v>
      </c>
      <c r="F2087" s="300" t="s">
        <v>2041</v>
      </c>
      <c r="G2087" s="264" t="s">
        <v>26</v>
      </c>
      <c r="H2087" s="368">
        <v>0</v>
      </c>
      <c r="I2087" s="368">
        <v>1550418.94</v>
      </c>
      <c r="J2087" s="264"/>
      <c r="K2087" s="264" t="s">
        <v>2025</v>
      </c>
      <c r="L2087" s="1" t="str">
        <f>VLOOKUP(Advices[[#This Row],[LC Number]],'Combine_List'!A:D,2,0)</f>
        <v>ATELIER HOSPITALITY SRL</v>
      </c>
      <c r="M2087" s="447" t="str">
        <f>VLOOKUP(Advices[[#This Row],[LC Number]],'Combine_List'!A:D,3,0)</f>
        <v>MBL</v>
      </c>
      <c r="N2087" s="447" t="str">
        <f>VLOOKUP(Advices[[#This Row],[LC Number]],'Combine_List'!A:D,4,0)</f>
        <v>L01-YAMMAMA</v>
      </c>
      <c r="O2087" s="1"/>
      <c r="P2087" s="1">
        <f>MONTH(Advices[[#This Row],[Transaction Date]])</f>
        <v>3</v>
      </c>
      <c r="Q2087" s="1">
        <f>YEAR(Advices[[#This Row],[Transaction Date]])</f>
        <v>2026</v>
      </c>
      <c r="R2087" s="1"/>
    </row>
    <row r="2088" spans="1:18" hidden="1" x14ac:dyDescent="0.25">
      <c r="A2088" s="264" t="s">
        <v>62</v>
      </c>
      <c r="B2088" s="265">
        <v>46107</v>
      </c>
      <c r="C2088" s="264" t="s">
        <v>2712</v>
      </c>
      <c r="D2088" s="300" t="s">
        <v>4434</v>
      </c>
      <c r="E2088" s="300" t="s">
        <v>306</v>
      </c>
      <c r="F2088" s="300" t="s">
        <v>2041</v>
      </c>
      <c r="G2088" s="264" t="s">
        <v>67</v>
      </c>
      <c r="H2088" s="368">
        <v>339704.68</v>
      </c>
      <c r="I2088" s="368">
        <v>0</v>
      </c>
      <c r="J2088" s="264"/>
      <c r="K2088" s="264" t="s">
        <v>2025</v>
      </c>
      <c r="L2088" s="1" t="str">
        <f>VLOOKUP(Advices[[#This Row],[LC Number]],'Combine_List'!A:D,2,0)</f>
        <v>ATELIER HOSPITALITY SRL</v>
      </c>
      <c r="M2088" s="447" t="str">
        <f>VLOOKUP(Advices[[#This Row],[LC Number]],'Combine_List'!A:D,3,0)</f>
        <v>MBL</v>
      </c>
      <c r="N2088" s="447" t="str">
        <f>VLOOKUP(Advices[[#This Row],[LC Number]],'Combine_List'!A:D,4,0)</f>
        <v>L01-YAMMAMA</v>
      </c>
      <c r="O2088" s="264"/>
      <c r="P2088" s="264">
        <f>MONTH(Advices[[#This Row],[Transaction Date]])</f>
        <v>3</v>
      </c>
      <c r="Q2088" s="264">
        <f>YEAR(Advices[[#This Row],[Transaction Date]])</f>
        <v>2026</v>
      </c>
      <c r="R2088" s="1"/>
    </row>
    <row r="2089" spans="1:18" hidden="1" x14ac:dyDescent="0.25">
      <c r="A2089" s="264" t="s">
        <v>95</v>
      </c>
      <c r="B2089" s="265">
        <v>46097</v>
      </c>
      <c r="C2089" s="264" t="s">
        <v>2026</v>
      </c>
      <c r="D2089" s="300" t="s">
        <v>3738</v>
      </c>
      <c r="E2089" s="300" t="s">
        <v>2921</v>
      </c>
      <c r="F2089" s="300" t="s">
        <v>3739</v>
      </c>
      <c r="G2089" s="264" t="s">
        <v>26</v>
      </c>
      <c r="H2089" s="368">
        <v>1200600</v>
      </c>
      <c r="I2089" s="368">
        <v>0</v>
      </c>
      <c r="J2089" s="264" t="s">
        <v>1126</v>
      </c>
      <c r="K2089" s="264" t="s">
        <v>2025</v>
      </c>
      <c r="L2089" s="1" t="str">
        <f>VLOOKUP(Advices[[#This Row],[LC Number]],'Combine_List'!A:D,2,0)</f>
        <v>Saudi Benaa Company For Building Materials</v>
      </c>
      <c r="M2089" s="447" t="str">
        <f>VLOOKUP(Advices[[#This Row],[LC Number]],'Combine_List'!A:D,3,0)</f>
        <v>MBL</v>
      </c>
      <c r="N2089" s="447" t="str">
        <f>VLOOKUP(Advices[[#This Row],[LC Number]],'Combine_List'!A:D,4,0)</f>
        <v>OPERA House</v>
      </c>
      <c r="O2089" s="1"/>
      <c r="P2089" s="1">
        <f>MONTH(Advices[[#This Row],[Transaction Date]])</f>
        <v>3</v>
      </c>
      <c r="Q2089" s="1">
        <f>YEAR(Advices[[#This Row],[Transaction Date]])</f>
        <v>2026</v>
      </c>
      <c r="R2089" s="1"/>
    </row>
    <row r="2090" spans="1:18" hidden="1" x14ac:dyDescent="0.25">
      <c r="A2090" s="264" t="s">
        <v>95</v>
      </c>
      <c r="B2090" s="265">
        <v>46105</v>
      </c>
      <c r="C2090" s="264" t="s">
        <v>2026</v>
      </c>
      <c r="D2090" s="300" t="s">
        <v>3889</v>
      </c>
      <c r="E2090" s="300" t="s">
        <v>2562</v>
      </c>
      <c r="F2090" s="300" t="s">
        <v>3890</v>
      </c>
      <c r="G2090" s="264" t="s">
        <v>26</v>
      </c>
      <c r="H2090" s="368">
        <v>949026</v>
      </c>
      <c r="I2090" s="368">
        <v>0</v>
      </c>
      <c r="J2090" s="264" t="s">
        <v>1126</v>
      </c>
      <c r="K2090" s="264" t="s">
        <v>2025</v>
      </c>
      <c r="L2090" s="1" t="str">
        <f>VLOOKUP(Advices[[#This Row],[LC Number]],'Combine_List'!A:D,2,0)</f>
        <v>ALNAFIE METAL INDUSTRIES CO LTD</v>
      </c>
      <c r="M2090" s="447" t="str">
        <f>VLOOKUP(Advices[[#This Row],[LC Number]],'Combine_List'!A:D,3,0)</f>
        <v>MBL/AICS</v>
      </c>
      <c r="N2090" s="447" t="str">
        <f>VLOOKUP(Advices[[#This Row],[LC Number]],'Combine_List'!A:D,4,0)</f>
        <v>OPERA House</v>
      </c>
      <c r="O2090" s="1"/>
      <c r="P2090" s="1">
        <f>MONTH(Advices[[#This Row],[Transaction Date]])</f>
        <v>3</v>
      </c>
      <c r="Q2090" s="1">
        <f>YEAR(Advices[[#This Row],[Transaction Date]])</f>
        <v>2026</v>
      </c>
      <c r="R2090" s="1"/>
    </row>
    <row r="2091" spans="1:18" hidden="1" x14ac:dyDescent="0.25">
      <c r="A2091" s="264" t="s">
        <v>95</v>
      </c>
      <c r="B2091" s="265">
        <v>46105</v>
      </c>
      <c r="C2091" s="264" t="s">
        <v>2026</v>
      </c>
      <c r="D2091" s="300" t="s">
        <v>3790</v>
      </c>
      <c r="E2091" s="300" t="s">
        <v>2562</v>
      </c>
      <c r="F2091" s="300" t="s">
        <v>2723</v>
      </c>
      <c r="G2091" s="264" t="s">
        <v>26</v>
      </c>
      <c r="H2091" s="368">
        <v>794349.56</v>
      </c>
      <c r="I2091" s="368">
        <v>0</v>
      </c>
      <c r="J2091" s="264" t="s">
        <v>1126</v>
      </c>
      <c r="K2091" s="264" t="s">
        <v>2025</v>
      </c>
      <c r="L2091" s="1" t="str">
        <f>VLOOKUP(Advices[[#This Row],[LC Number]],'Combine_List'!A:D,2,0)</f>
        <v>ALNAFIE METAL INDUSTRIES CO LTD</v>
      </c>
      <c r="M2091" s="447" t="str">
        <f>VLOOKUP(Advices[[#This Row],[LC Number]],'Combine_List'!A:D,3,0)</f>
        <v>MBL/AICS</v>
      </c>
      <c r="N2091" s="447" t="str">
        <f>VLOOKUP(Advices[[#This Row],[LC Number]],'Combine_List'!A:D,4,0)</f>
        <v>OPERA House</v>
      </c>
      <c r="O2091" s="1"/>
      <c r="P2091" s="1">
        <f>MONTH(Advices[[#This Row],[Transaction Date]])</f>
        <v>3</v>
      </c>
      <c r="Q2091" s="1">
        <f>YEAR(Advices[[#This Row],[Transaction Date]])</f>
        <v>2026</v>
      </c>
      <c r="R2091" s="1"/>
    </row>
    <row r="2092" spans="1:18" hidden="1" x14ac:dyDescent="0.25">
      <c r="A2092" s="264" t="s">
        <v>95</v>
      </c>
      <c r="B2092" s="265">
        <v>46105</v>
      </c>
      <c r="C2092" s="264" t="s">
        <v>2026</v>
      </c>
      <c r="D2092" s="300" t="s">
        <v>4435</v>
      </c>
      <c r="E2092" s="300" t="s">
        <v>3719</v>
      </c>
      <c r="F2092" s="300" t="s">
        <v>4436</v>
      </c>
      <c r="G2092" s="264" t="s">
        <v>26</v>
      </c>
      <c r="H2092" s="368">
        <v>800040.25</v>
      </c>
      <c r="I2092" s="368">
        <v>0</v>
      </c>
      <c r="J2092" s="264" t="s">
        <v>1126</v>
      </c>
      <c r="K2092" s="264" t="s">
        <v>2025</v>
      </c>
      <c r="L2092" s="1" t="str">
        <f>VLOOKUP(Advices[[#This Row],[LC Number]],'Combine_List'!A:D,2,0)</f>
        <v>Johnson Controls Arabia Limited</v>
      </c>
      <c r="M2092" s="447" t="str">
        <f>VLOOKUP(Advices[[#This Row],[LC Number]],'Combine_List'!A:D,3,0)</f>
        <v>MBL/ICAD</v>
      </c>
      <c r="N2092" s="447" t="str">
        <f>VLOOKUP(Advices[[#This Row],[LC Number]],'Combine_List'!A:D,4,0)</f>
        <v>OPERA House</v>
      </c>
      <c r="O2092" s="1"/>
      <c r="P2092" s="1">
        <f>MONTH(Advices[[#This Row],[Transaction Date]])</f>
        <v>3</v>
      </c>
      <c r="Q2092" s="1">
        <f>YEAR(Advices[[#This Row],[Transaction Date]])</f>
        <v>2026</v>
      </c>
      <c r="R2092" s="1"/>
    </row>
    <row r="2093" spans="1:18" hidden="1" x14ac:dyDescent="0.25">
      <c r="A2093" s="264" t="s">
        <v>95</v>
      </c>
      <c r="B2093" s="265">
        <v>46105</v>
      </c>
      <c r="C2093" s="264" t="s">
        <v>2026</v>
      </c>
      <c r="D2093" s="300" t="s">
        <v>4437</v>
      </c>
      <c r="E2093" s="300" t="s">
        <v>3142</v>
      </c>
      <c r="F2093" s="300" t="s">
        <v>4438</v>
      </c>
      <c r="G2093" s="264" t="s">
        <v>26</v>
      </c>
      <c r="H2093" s="368">
        <v>615.25</v>
      </c>
      <c r="I2093" s="368">
        <v>0</v>
      </c>
      <c r="J2093" s="264" t="s">
        <v>1125</v>
      </c>
      <c r="K2093" s="264" t="s">
        <v>2025</v>
      </c>
      <c r="L2093" s="1" t="str">
        <f>VLOOKUP(Advices[[#This Row],[LC Number]],'Combine_List'!A:D,2,0)</f>
        <v>APS ARABIAN CONTRACTING COMPANY</v>
      </c>
      <c r="M2093" s="447" t="str">
        <f>VLOOKUP(Advices[[#This Row],[LC Number]],'Combine_List'!A:D,3,0)</f>
        <v>MBL/AICS</v>
      </c>
      <c r="N2093" s="447" t="str">
        <f>VLOOKUP(Advices[[#This Row],[LC Number]],'Combine_List'!A:D,4,0)</f>
        <v>OPERA House</v>
      </c>
      <c r="O2093" s="1"/>
      <c r="P2093" s="1">
        <f>MONTH(Advices[[#This Row],[Transaction Date]])</f>
        <v>3</v>
      </c>
      <c r="Q2093" s="1">
        <f>YEAR(Advices[[#This Row],[Transaction Date]])</f>
        <v>2026</v>
      </c>
      <c r="R2093" s="1"/>
    </row>
    <row r="2094" spans="1:18" hidden="1" x14ac:dyDescent="0.25">
      <c r="A2094" s="264" t="s">
        <v>95</v>
      </c>
      <c r="B2094" s="265">
        <v>46106</v>
      </c>
      <c r="C2094" s="264" t="s">
        <v>2026</v>
      </c>
      <c r="D2094" s="300" t="s">
        <v>4439</v>
      </c>
      <c r="E2094" s="300" t="s">
        <v>2562</v>
      </c>
      <c r="F2094" s="300" t="s">
        <v>4440</v>
      </c>
      <c r="G2094" s="264" t="s">
        <v>26</v>
      </c>
      <c r="H2094" s="368">
        <v>5779.61</v>
      </c>
      <c r="I2094" s="368">
        <v>0</v>
      </c>
      <c r="J2094" s="264" t="s">
        <v>1125</v>
      </c>
      <c r="K2094" s="264" t="s">
        <v>2025</v>
      </c>
      <c r="L2094" s="1" t="str">
        <f>VLOOKUP(Advices[[#This Row],[LC Number]],'Combine_List'!A:D,2,0)</f>
        <v>ALNAFIE METAL INDUSTRIES CO LTD</v>
      </c>
      <c r="M2094" s="447" t="str">
        <f>VLOOKUP(Advices[[#This Row],[LC Number]],'Combine_List'!A:D,3,0)</f>
        <v>MBL/AICS</v>
      </c>
      <c r="N2094" s="447" t="str">
        <f>VLOOKUP(Advices[[#This Row],[LC Number]],'Combine_List'!A:D,4,0)</f>
        <v>OPERA House</v>
      </c>
      <c r="O2094" s="1"/>
      <c r="P2094" s="1">
        <f>MONTH(Advices[[#This Row],[Transaction Date]])</f>
        <v>3</v>
      </c>
      <c r="Q2094" s="1">
        <f>YEAR(Advices[[#This Row],[Transaction Date]])</f>
        <v>2026</v>
      </c>
      <c r="R2094" s="1"/>
    </row>
    <row r="2095" spans="1:18" hidden="1" x14ac:dyDescent="0.25">
      <c r="A2095" s="264" t="s">
        <v>95</v>
      </c>
      <c r="B2095" s="265">
        <v>46106</v>
      </c>
      <c r="C2095" s="264" t="s">
        <v>2026</v>
      </c>
      <c r="D2095" s="300" t="s">
        <v>4441</v>
      </c>
      <c r="E2095" s="300" t="s">
        <v>3718</v>
      </c>
      <c r="F2095" s="300" t="s">
        <v>4442</v>
      </c>
      <c r="G2095" s="264" t="s">
        <v>26</v>
      </c>
      <c r="H2095" s="368">
        <v>938.69</v>
      </c>
      <c r="I2095" s="368">
        <v>0</v>
      </c>
      <c r="J2095" s="264" t="s">
        <v>1125</v>
      </c>
      <c r="K2095" s="264" t="s">
        <v>2025</v>
      </c>
      <c r="L2095" s="1" t="str">
        <f>VLOOKUP(Advices[[#This Row],[LC Number]],'Combine_List'!A:D,2,0)</f>
        <v>Electric House Trading Company L.L.C.</v>
      </c>
      <c r="M2095" s="447" t="str">
        <f>VLOOKUP(Advices[[#This Row],[LC Number]],'Combine_List'!A:D,3,0)</f>
        <v>MBL/ICAD</v>
      </c>
      <c r="N2095" s="447" t="str">
        <f>VLOOKUP(Advices[[#This Row],[LC Number]],'Combine_List'!A:D,4,0)</f>
        <v>OPERA House</v>
      </c>
      <c r="O2095" s="1"/>
      <c r="P2095" s="1">
        <f>MONTH(Advices[[#This Row],[Transaction Date]])</f>
        <v>3</v>
      </c>
      <c r="Q2095" s="1">
        <f>YEAR(Advices[[#This Row],[Transaction Date]])</f>
        <v>2026</v>
      </c>
      <c r="R2095" s="1"/>
    </row>
    <row r="2096" spans="1:18" hidden="1" x14ac:dyDescent="0.25">
      <c r="A2096" s="264" t="s">
        <v>95</v>
      </c>
      <c r="B2096" s="265">
        <v>46106</v>
      </c>
      <c r="C2096" s="264" t="s">
        <v>2026</v>
      </c>
      <c r="D2096" s="300" t="s">
        <v>4443</v>
      </c>
      <c r="E2096" s="300" t="s">
        <v>1420</v>
      </c>
      <c r="F2096" s="300" t="s">
        <v>3123</v>
      </c>
      <c r="G2096" s="264" t="s">
        <v>26</v>
      </c>
      <c r="H2096" s="368">
        <v>51429.25</v>
      </c>
      <c r="I2096" s="368">
        <v>0</v>
      </c>
      <c r="J2096" s="264" t="s">
        <v>1125</v>
      </c>
      <c r="K2096" s="264" t="s">
        <v>2025</v>
      </c>
      <c r="L2096" s="1" t="str">
        <f>VLOOKUP(Advices[[#This Row],[LC Number]],'Combine_List'!A:D,2,0)</f>
        <v>ALFANAR ELECTRICAL SYSTEMS</v>
      </c>
      <c r="M2096" s="447" t="str">
        <f>VLOOKUP(Advices[[#This Row],[LC Number]],'Combine_List'!A:D,3,0)</f>
        <v>FIRST FIX</v>
      </c>
      <c r="N2096" s="447" t="str">
        <f>VLOOKUP(Advices[[#This Row],[LC Number]],'Combine_List'!A:D,4,0)</f>
        <v>KSP</v>
      </c>
      <c r="O2096" s="264"/>
      <c r="P2096" s="264">
        <f>MONTH(Advices[[#This Row],[Transaction Date]])</f>
        <v>3</v>
      </c>
      <c r="Q2096" s="264">
        <f>YEAR(Advices[[#This Row],[Transaction Date]])</f>
        <v>2026</v>
      </c>
      <c r="R2096" s="1"/>
    </row>
    <row r="2097" spans="1:18" hidden="1" x14ac:dyDescent="0.25">
      <c r="A2097" s="264" t="s">
        <v>366</v>
      </c>
      <c r="B2097" s="265">
        <v>46097</v>
      </c>
      <c r="C2097" s="264" t="s">
        <v>3755</v>
      </c>
      <c r="D2097" s="300" t="s">
        <v>4444</v>
      </c>
      <c r="E2097" s="300" t="s">
        <v>4392</v>
      </c>
      <c r="F2097" s="300" t="s">
        <v>4392</v>
      </c>
      <c r="G2097" s="264" t="s">
        <v>26</v>
      </c>
      <c r="H2097" s="368">
        <v>57730</v>
      </c>
      <c r="I2097" s="368">
        <v>0</v>
      </c>
      <c r="J2097" s="264" t="s">
        <v>2616</v>
      </c>
      <c r="K2097" s="264" t="s">
        <v>2025</v>
      </c>
      <c r="L2097" s="1" t="str">
        <f>VLOOKUP(Advices[[#This Row],[LC Number]],'Combine_List'!A:D,2,0)</f>
        <v>Innovative Contractors for Advanced Dimension (ICAD)</v>
      </c>
      <c r="M2097" s="447" t="str">
        <f>VLOOKUP(Advices[[#This Row],[LC Number]],'Combine_List'!A:D,3,0)</f>
        <v>MBL</v>
      </c>
      <c r="N2097" s="447" t="str">
        <f>VLOOKUP(Advices[[#This Row],[LC Number]],'Combine_List'!A:D,4,0)</f>
        <v>CEER</v>
      </c>
      <c r="O2097" s="1"/>
      <c r="P2097" s="1">
        <f>MONTH(Advices[[#This Row],[Transaction Date]])</f>
        <v>3</v>
      </c>
      <c r="Q2097" s="1">
        <f>YEAR(Advices[[#This Row],[Transaction Date]])</f>
        <v>2026</v>
      </c>
      <c r="R2097" s="1"/>
    </row>
    <row r="2098" spans="1:18" hidden="1" x14ac:dyDescent="0.25">
      <c r="A2098" s="264" t="s">
        <v>366</v>
      </c>
      <c r="B2098" s="265">
        <v>46097</v>
      </c>
      <c r="C2098" s="264" t="s">
        <v>2060</v>
      </c>
      <c r="D2098" s="300" t="s">
        <v>4445</v>
      </c>
      <c r="E2098" s="300" t="s">
        <v>4393</v>
      </c>
      <c r="F2098" s="300" t="s">
        <v>4393</v>
      </c>
      <c r="G2098" s="264" t="s">
        <v>26</v>
      </c>
      <c r="H2098" s="368">
        <v>28836.25</v>
      </c>
      <c r="I2098" s="368">
        <v>0</v>
      </c>
      <c r="J2098" s="264" t="s">
        <v>2616</v>
      </c>
      <c r="K2098" s="264" t="s">
        <v>2025</v>
      </c>
      <c r="L2098" s="1" t="str">
        <f>VLOOKUP(Advices[[#This Row],[LC Number]],'Combine_List'!A:D,2,0)</f>
        <v>The Fundamental Installation For Electric Work Co</v>
      </c>
      <c r="M2098" s="447" t="str">
        <f>VLOOKUP(Advices[[#This Row],[LC Number]],'Combine_List'!A:D,3,0)</f>
        <v>FIRST FIX</v>
      </c>
      <c r="N2098" s="447" t="str">
        <f>VLOOKUP(Advices[[#This Row],[LC Number]],'Combine_List'!A:D,4,0)</f>
        <v>MP1</v>
      </c>
      <c r="O2098" s="1"/>
      <c r="P2098" s="1">
        <f>MONTH(Advices[[#This Row],[Transaction Date]])</f>
        <v>3</v>
      </c>
      <c r="Q2098" s="1">
        <f>YEAR(Advices[[#This Row],[Transaction Date]])</f>
        <v>2026</v>
      </c>
      <c r="R2098" s="1"/>
    </row>
    <row r="2099" spans="1:18" hidden="1" x14ac:dyDescent="0.25">
      <c r="A2099" s="264" t="s">
        <v>366</v>
      </c>
      <c r="B2099" s="265">
        <v>46105</v>
      </c>
      <c r="C2099" s="264" t="s">
        <v>2060</v>
      </c>
      <c r="D2099" s="300" t="s">
        <v>4446</v>
      </c>
      <c r="E2099" s="300" t="s">
        <v>1869</v>
      </c>
      <c r="F2099" s="300" t="s">
        <v>3472</v>
      </c>
      <c r="G2099" s="264" t="s">
        <v>26</v>
      </c>
      <c r="H2099" s="368">
        <v>1960451.21</v>
      </c>
      <c r="I2099" s="368">
        <v>0</v>
      </c>
      <c r="J2099" s="264" t="s">
        <v>1126</v>
      </c>
      <c r="K2099" s="264" t="s">
        <v>2025</v>
      </c>
      <c r="L2099" s="1" t="str">
        <f>VLOOKUP(Advices[[#This Row],[LC Number]],'Combine_List'!A:D,2,0)</f>
        <v xml:space="preserve">DAIKIN AIR CONDITIONING SAUDI ARABIA LLC </v>
      </c>
      <c r="M2099" s="447" t="str">
        <f>VLOOKUP(Advices[[#This Row],[LC Number]],'Combine_List'!A:D,3,0)</f>
        <v>FIRST FIX</v>
      </c>
      <c r="N2099" s="447" t="str">
        <f>VLOOKUP(Advices[[#This Row],[LC Number]],'Combine_List'!A:D,4,0)</f>
        <v>MP1</v>
      </c>
      <c r="O2099" s="1"/>
      <c r="P2099" s="1">
        <f>MONTH(Advices[[#This Row],[Transaction Date]])</f>
        <v>3</v>
      </c>
      <c r="Q2099" s="1">
        <f>YEAR(Advices[[#This Row],[Transaction Date]])</f>
        <v>2026</v>
      </c>
      <c r="R2099" s="1"/>
    </row>
    <row r="2100" spans="1:18" hidden="1" x14ac:dyDescent="0.25">
      <c r="A2100" s="264" t="s">
        <v>366</v>
      </c>
      <c r="B2100" s="265">
        <v>46105</v>
      </c>
      <c r="C2100" s="264" t="s">
        <v>2060</v>
      </c>
      <c r="D2100" s="300" t="s">
        <v>4447</v>
      </c>
      <c r="E2100" s="300" t="s">
        <v>1673</v>
      </c>
      <c r="F2100" s="300" t="s">
        <v>3465</v>
      </c>
      <c r="G2100" s="264" t="s">
        <v>26</v>
      </c>
      <c r="H2100" s="368">
        <v>610345.93000000005</v>
      </c>
      <c r="I2100" s="368">
        <v>0</v>
      </c>
      <c r="J2100" s="264" t="s">
        <v>1126</v>
      </c>
      <c r="K2100" s="264" t="s">
        <v>2025</v>
      </c>
      <c r="L2100" s="1" t="str">
        <f>VLOOKUP(Advices[[#This Row],[LC Number]],'Combine_List'!A:D,2,0)</f>
        <v>Mab United For Trading &amp; Contracting Co</v>
      </c>
      <c r="M2100" s="447" t="str">
        <f>VLOOKUP(Advices[[#This Row],[LC Number]],'Combine_List'!A:D,3,0)</f>
        <v>FIRST FIX</v>
      </c>
      <c r="N2100" s="447" t="str">
        <f>VLOOKUP(Advices[[#This Row],[LC Number]],'Combine_List'!A:D,4,0)</f>
        <v>CEER</v>
      </c>
      <c r="O2100" s="1"/>
      <c r="P2100" s="1">
        <f>MONTH(Advices[[#This Row],[Transaction Date]])</f>
        <v>3</v>
      </c>
      <c r="Q2100" s="1">
        <f>YEAR(Advices[[#This Row],[Transaction Date]])</f>
        <v>2026</v>
      </c>
      <c r="R2100" s="1"/>
    </row>
    <row r="2101" spans="1:18" hidden="1" x14ac:dyDescent="0.25">
      <c r="A2101" s="264" t="s">
        <v>366</v>
      </c>
      <c r="B2101" s="265">
        <v>46106</v>
      </c>
      <c r="C2101" s="264" t="s">
        <v>2060</v>
      </c>
      <c r="D2101" s="395" t="s">
        <v>4448</v>
      </c>
      <c r="E2101" s="300" t="s">
        <v>1891</v>
      </c>
      <c r="F2101" s="300" t="s">
        <v>1891</v>
      </c>
      <c r="G2101" s="264" t="s">
        <v>26</v>
      </c>
      <c r="H2101" s="368">
        <v>202002.69</v>
      </c>
      <c r="I2101" s="368">
        <v>0</v>
      </c>
      <c r="J2101" s="264"/>
      <c r="K2101" s="264" t="s">
        <v>2025</v>
      </c>
      <c r="L2101" s="1" t="str">
        <f>VLOOKUP(Advices[[#This Row],[LC Number]],'Combine_List'!A:D,2,0)</f>
        <v>Performance - SIXTY INVESTMENT CO</v>
      </c>
      <c r="M2101" s="447">
        <f>VLOOKUP(Advices[[#This Row],[LC Number]],'Combine_List'!A:D,3,0)</f>
        <v>0</v>
      </c>
      <c r="N2101" s="447">
        <f>VLOOKUP(Advices[[#This Row],[LC Number]],'Combine_List'!A:D,4,0)</f>
        <v>0</v>
      </c>
      <c r="O2101" s="1"/>
      <c r="P2101" s="1">
        <f>MONTH(Advices[[#This Row],[Transaction Date]])</f>
        <v>3</v>
      </c>
      <c r="Q2101" s="1">
        <f>YEAR(Advices[[#This Row],[Transaction Date]])</f>
        <v>2026</v>
      </c>
      <c r="R2101" s="1"/>
    </row>
    <row r="2102" spans="1:18" hidden="1" x14ac:dyDescent="0.25">
      <c r="A2102" s="264" t="s">
        <v>366</v>
      </c>
      <c r="B2102" s="265">
        <v>46106</v>
      </c>
      <c r="C2102" s="264" t="s">
        <v>2057</v>
      </c>
      <c r="D2102" s="300" t="s">
        <v>3044</v>
      </c>
      <c r="E2102" s="300" t="s">
        <v>2929</v>
      </c>
      <c r="F2102" s="300" t="s">
        <v>2929</v>
      </c>
      <c r="G2102" s="264" t="s">
        <v>26</v>
      </c>
      <c r="H2102" s="368">
        <v>209144.45</v>
      </c>
      <c r="I2102" s="368">
        <v>0</v>
      </c>
      <c r="J2102" s="264"/>
      <c r="K2102" s="264" t="s">
        <v>2025</v>
      </c>
      <c r="L2102" s="1" t="str">
        <f>VLOOKUP(Advices[[#This Row],[LC Number]],'Combine_List'!A:D,2,0)</f>
        <v>Performance - CEER NATIONAL AUTOMOTIVE COMPANY</v>
      </c>
      <c r="M2102" s="447">
        <f>VLOOKUP(Advices[[#This Row],[LC Number]],'Combine_List'!A:D,3,0)</f>
        <v>0</v>
      </c>
      <c r="N2102" s="447">
        <f>VLOOKUP(Advices[[#This Row],[LC Number]],'Combine_List'!A:D,4,0)</f>
        <v>0</v>
      </c>
      <c r="O2102" s="1"/>
      <c r="P2102" s="1">
        <f>MONTH(Advices[[#This Row],[Transaction Date]])</f>
        <v>3</v>
      </c>
      <c r="Q2102" s="1">
        <f>YEAR(Advices[[#This Row],[Transaction Date]])</f>
        <v>2026</v>
      </c>
      <c r="R2102" s="1"/>
    </row>
    <row r="2103" spans="1:18" hidden="1" x14ac:dyDescent="0.25">
      <c r="A2103" s="264" t="s">
        <v>366</v>
      </c>
      <c r="B2103" s="265">
        <v>46107</v>
      </c>
      <c r="C2103" s="264" t="s">
        <v>2060</v>
      </c>
      <c r="D2103" s="300" t="s">
        <v>4449</v>
      </c>
      <c r="E2103" s="300" t="s">
        <v>1891</v>
      </c>
      <c r="F2103" s="300" t="s">
        <v>1891</v>
      </c>
      <c r="G2103" s="264" t="s">
        <v>26</v>
      </c>
      <c r="H2103" s="368">
        <v>30300.400000000001</v>
      </c>
      <c r="I2103" s="368">
        <v>0</v>
      </c>
      <c r="J2103" s="264"/>
      <c r="K2103" s="264" t="s">
        <v>2025</v>
      </c>
      <c r="L2103" s="1" t="str">
        <f>VLOOKUP(Advices[[#This Row],[LC Number]],'Combine_List'!A:D,2,0)</f>
        <v>Performance - SIXTY INVESTMENT CO</v>
      </c>
      <c r="M2103" s="447">
        <f>VLOOKUP(Advices[[#This Row],[LC Number]],'Combine_List'!A:D,3,0)</f>
        <v>0</v>
      </c>
      <c r="N2103" s="447">
        <f>VLOOKUP(Advices[[#This Row],[LC Number]],'Combine_List'!A:D,4,0)</f>
        <v>0</v>
      </c>
      <c r="O2103" s="264"/>
      <c r="P2103" s="264">
        <f>MONTH(Advices[[#This Row],[Transaction Date]])</f>
        <v>3</v>
      </c>
      <c r="Q2103" s="264">
        <f>YEAR(Advices[[#This Row],[Transaction Date]])</f>
        <v>2026</v>
      </c>
      <c r="R2103" s="1"/>
    </row>
    <row r="2104" spans="1:18" hidden="1" x14ac:dyDescent="0.25">
      <c r="A2104" s="264" t="s">
        <v>612</v>
      </c>
      <c r="B2104" s="265">
        <v>46097</v>
      </c>
      <c r="C2104" s="264" t="s">
        <v>2101</v>
      </c>
      <c r="D2104" s="300" t="s">
        <v>4450</v>
      </c>
      <c r="E2104" s="300" t="s">
        <v>3319</v>
      </c>
      <c r="F2104" s="300" t="s">
        <v>2041</v>
      </c>
      <c r="G2104" s="264" t="s">
        <v>26</v>
      </c>
      <c r="H2104" s="368">
        <v>100</v>
      </c>
      <c r="I2104" s="368">
        <v>0</v>
      </c>
      <c r="J2104" s="264" t="s">
        <v>1125</v>
      </c>
      <c r="K2104" s="264" t="s">
        <v>2025</v>
      </c>
      <c r="L2104" s="1" t="str">
        <f>VLOOKUP(Advices[[#This Row],[LC Number]],'Combine_List'!A:D,2,0)</f>
        <v>Green Concrete CJSC</v>
      </c>
      <c r="M2104" s="447" t="str">
        <f>VLOOKUP(Advices[[#This Row],[LC Number]],'Combine_List'!A:D,3,0)</f>
        <v>MBL</v>
      </c>
      <c r="N2104" s="447" t="str">
        <f>VLOOKUP(Advices[[#This Row],[LC Number]],'Combine_List'!A:D,4,0)</f>
        <v>RCRC</v>
      </c>
      <c r="O2104" s="1"/>
      <c r="P2104" s="1">
        <f>MONTH(Advices[[#This Row],[Transaction Date]])</f>
        <v>3</v>
      </c>
      <c r="Q2104" s="1">
        <f>YEAR(Advices[[#This Row],[Transaction Date]])</f>
        <v>2026</v>
      </c>
      <c r="R2104" s="1"/>
    </row>
    <row r="2105" spans="1:18" hidden="1" x14ac:dyDescent="0.25">
      <c r="A2105" s="264" t="s">
        <v>612</v>
      </c>
      <c r="B2105" s="265">
        <v>46097</v>
      </c>
      <c r="C2105" s="264" t="s">
        <v>2101</v>
      </c>
      <c r="D2105" s="300" t="s">
        <v>4451</v>
      </c>
      <c r="E2105" s="300" t="s">
        <v>3319</v>
      </c>
      <c r="F2105" s="300" t="s">
        <v>2041</v>
      </c>
      <c r="G2105" s="264" t="s">
        <v>26</v>
      </c>
      <c r="H2105" s="368">
        <v>15</v>
      </c>
      <c r="I2105" s="368">
        <v>0</v>
      </c>
      <c r="J2105" s="264" t="s">
        <v>1174</v>
      </c>
      <c r="K2105" s="264" t="s">
        <v>2025</v>
      </c>
      <c r="L2105" s="1" t="str">
        <f>VLOOKUP(Advices[[#This Row],[LC Number]],'Combine_List'!A:D,2,0)</f>
        <v>Green Concrete CJSC</v>
      </c>
      <c r="M2105" s="447" t="str">
        <f>VLOOKUP(Advices[[#This Row],[LC Number]],'Combine_List'!A:D,3,0)</f>
        <v>MBL</v>
      </c>
      <c r="N2105" s="447" t="str">
        <f>VLOOKUP(Advices[[#This Row],[LC Number]],'Combine_List'!A:D,4,0)</f>
        <v>RCRC</v>
      </c>
      <c r="O2105" s="1"/>
      <c r="P2105" s="1">
        <f>MONTH(Advices[[#This Row],[Transaction Date]])</f>
        <v>3</v>
      </c>
      <c r="Q2105" s="1">
        <f>YEAR(Advices[[#This Row],[Transaction Date]])</f>
        <v>2026</v>
      </c>
      <c r="R2105" s="1"/>
    </row>
    <row r="2106" spans="1:18" hidden="1" x14ac:dyDescent="0.25">
      <c r="A2106" s="264" t="s">
        <v>612</v>
      </c>
      <c r="B2106" s="265">
        <v>46097</v>
      </c>
      <c r="C2106" s="264" t="s">
        <v>2101</v>
      </c>
      <c r="D2106" s="300" t="s">
        <v>4452</v>
      </c>
      <c r="E2106" s="300" t="s">
        <v>3319</v>
      </c>
      <c r="F2106" s="300" t="s">
        <v>2041</v>
      </c>
      <c r="G2106" s="264" t="s">
        <v>26</v>
      </c>
      <c r="H2106" s="368">
        <v>250</v>
      </c>
      <c r="I2106" s="368">
        <v>0</v>
      </c>
      <c r="J2106" s="264" t="s">
        <v>1125</v>
      </c>
      <c r="K2106" s="264" t="s">
        <v>2025</v>
      </c>
      <c r="L2106" s="1" t="str">
        <f>VLOOKUP(Advices[[#This Row],[LC Number]],'Combine_List'!A:D,2,0)</f>
        <v>Green Concrete CJSC</v>
      </c>
      <c r="M2106" s="447" t="str">
        <f>VLOOKUP(Advices[[#This Row],[LC Number]],'Combine_List'!A:D,3,0)</f>
        <v>MBL</v>
      </c>
      <c r="N2106" s="447" t="str">
        <f>VLOOKUP(Advices[[#This Row],[LC Number]],'Combine_List'!A:D,4,0)</f>
        <v>RCRC</v>
      </c>
      <c r="O2106" s="1"/>
      <c r="P2106" s="1">
        <f>MONTH(Advices[[#This Row],[Transaction Date]])</f>
        <v>3</v>
      </c>
      <c r="Q2106" s="1">
        <f>YEAR(Advices[[#This Row],[Transaction Date]])</f>
        <v>2026</v>
      </c>
      <c r="R2106" s="1"/>
    </row>
    <row r="2107" spans="1:18" hidden="1" x14ac:dyDescent="0.25">
      <c r="A2107" s="264" t="s">
        <v>612</v>
      </c>
      <c r="B2107" s="265">
        <v>46097</v>
      </c>
      <c r="C2107" s="264" t="s">
        <v>2101</v>
      </c>
      <c r="D2107" s="300" t="s">
        <v>4453</v>
      </c>
      <c r="E2107" s="300" t="s">
        <v>3319</v>
      </c>
      <c r="F2107" s="300" t="s">
        <v>2041</v>
      </c>
      <c r="G2107" s="264" t="s">
        <v>26</v>
      </c>
      <c r="H2107" s="368">
        <v>37.5</v>
      </c>
      <c r="I2107" s="368">
        <v>0</v>
      </c>
      <c r="J2107" s="264" t="s">
        <v>1174</v>
      </c>
      <c r="K2107" s="264" t="s">
        <v>2025</v>
      </c>
      <c r="L2107" s="1" t="str">
        <f>VLOOKUP(Advices[[#This Row],[LC Number]],'Combine_List'!A:D,2,0)</f>
        <v>Green Concrete CJSC</v>
      </c>
      <c r="M2107" s="447" t="str">
        <f>VLOOKUP(Advices[[#This Row],[LC Number]],'Combine_List'!A:D,3,0)</f>
        <v>MBL</v>
      </c>
      <c r="N2107" s="447" t="str">
        <f>VLOOKUP(Advices[[#This Row],[LC Number]],'Combine_List'!A:D,4,0)</f>
        <v>RCRC</v>
      </c>
      <c r="O2107" s="1"/>
      <c r="P2107" s="1">
        <f>MONTH(Advices[[#This Row],[Transaction Date]])</f>
        <v>3</v>
      </c>
      <c r="Q2107" s="1">
        <f>YEAR(Advices[[#This Row],[Transaction Date]])</f>
        <v>2026</v>
      </c>
      <c r="R2107" s="1"/>
    </row>
    <row r="2108" spans="1:18" hidden="1" x14ac:dyDescent="0.25">
      <c r="A2108" s="264" t="s">
        <v>612</v>
      </c>
      <c r="B2108" s="265">
        <v>46097</v>
      </c>
      <c r="C2108" s="264" t="s">
        <v>2101</v>
      </c>
      <c r="D2108" s="300" t="s">
        <v>4454</v>
      </c>
      <c r="E2108" s="300" t="s">
        <v>3319</v>
      </c>
      <c r="F2108" s="300" t="s">
        <v>2041</v>
      </c>
      <c r="G2108" s="264" t="s">
        <v>26</v>
      </c>
      <c r="H2108" s="368">
        <v>200</v>
      </c>
      <c r="I2108" s="368">
        <v>0</v>
      </c>
      <c r="J2108" s="264" t="s">
        <v>1125</v>
      </c>
      <c r="K2108" s="264" t="s">
        <v>2025</v>
      </c>
      <c r="L2108" s="1" t="str">
        <f>VLOOKUP(Advices[[#This Row],[LC Number]],'Combine_List'!A:D,2,0)</f>
        <v>Green Concrete CJSC</v>
      </c>
      <c r="M2108" s="447" t="str">
        <f>VLOOKUP(Advices[[#This Row],[LC Number]],'Combine_List'!A:D,3,0)</f>
        <v>MBL</v>
      </c>
      <c r="N2108" s="447" t="str">
        <f>VLOOKUP(Advices[[#This Row],[LC Number]],'Combine_List'!A:D,4,0)</f>
        <v>RCRC</v>
      </c>
      <c r="O2108" s="1"/>
      <c r="P2108" s="1">
        <f>MONTH(Advices[[#This Row],[Transaction Date]])</f>
        <v>3</v>
      </c>
      <c r="Q2108" s="1">
        <f>YEAR(Advices[[#This Row],[Transaction Date]])</f>
        <v>2026</v>
      </c>
      <c r="R2108" s="1"/>
    </row>
    <row r="2109" spans="1:18" hidden="1" x14ac:dyDescent="0.25">
      <c r="A2109" s="264" t="s">
        <v>612</v>
      </c>
      <c r="B2109" s="265">
        <v>46097</v>
      </c>
      <c r="C2109" s="264" t="s">
        <v>2101</v>
      </c>
      <c r="D2109" s="300" t="s">
        <v>4455</v>
      </c>
      <c r="E2109" s="300" t="s">
        <v>3319</v>
      </c>
      <c r="F2109" s="300" t="s">
        <v>2041</v>
      </c>
      <c r="G2109" s="264" t="s">
        <v>26</v>
      </c>
      <c r="H2109" s="368">
        <v>30</v>
      </c>
      <c r="I2109" s="368">
        <v>0</v>
      </c>
      <c r="J2109" s="264" t="s">
        <v>1174</v>
      </c>
      <c r="K2109" s="264" t="s">
        <v>2025</v>
      </c>
      <c r="L2109" s="1" t="str">
        <f>VLOOKUP(Advices[[#This Row],[LC Number]],'Combine_List'!A:D,2,0)</f>
        <v>Green Concrete CJSC</v>
      </c>
      <c r="M2109" s="447" t="str">
        <f>VLOOKUP(Advices[[#This Row],[LC Number]],'Combine_List'!A:D,3,0)</f>
        <v>MBL</v>
      </c>
      <c r="N2109" s="447" t="str">
        <f>VLOOKUP(Advices[[#This Row],[LC Number]],'Combine_List'!A:D,4,0)</f>
        <v>RCRC</v>
      </c>
      <c r="O2109" s="1"/>
      <c r="P2109" s="1">
        <f>MONTH(Advices[[#This Row],[Transaction Date]])</f>
        <v>3</v>
      </c>
      <c r="Q2109" s="1">
        <f>YEAR(Advices[[#This Row],[Transaction Date]])</f>
        <v>2026</v>
      </c>
      <c r="R2109" s="1"/>
    </row>
    <row r="2110" spans="1:18" hidden="1" x14ac:dyDescent="0.25">
      <c r="A2110" s="264" t="s">
        <v>612</v>
      </c>
      <c r="B2110" s="265">
        <v>46097</v>
      </c>
      <c r="C2110" s="264" t="s">
        <v>2101</v>
      </c>
      <c r="D2110" s="300" t="s">
        <v>4456</v>
      </c>
      <c r="E2110" s="300" t="s">
        <v>2287</v>
      </c>
      <c r="F2110" s="300" t="s">
        <v>2041</v>
      </c>
      <c r="G2110" s="264" t="s">
        <v>26</v>
      </c>
      <c r="H2110" s="368">
        <v>100</v>
      </c>
      <c r="I2110" s="368">
        <v>0</v>
      </c>
      <c r="J2110" s="264" t="s">
        <v>1125</v>
      </c>
      <c r="K2110" s="264" t="s">
        <v>2025</v>
      </c>
      <c r="L2110" s="1" t="str">
        <f>VLOOKUP(Advices[[#This Row],[LC Number]],'Combine_List'!A:D,2,0)</f>
        <v>Alrashid Trading and Contracting Company</v>
      </c>
      <c r="M2110" s="447" t="str">
        <f>VLOOKUP(Advices[[#This Row],[LC Number]],'Combine_List'!A:D,3,0)</f>
        <v>MBL</v>
      </c>
      <c r="N2110" s="447" t="str">
        <f>VLOOKUP(Advices[[#This Row],[LC Number]],'Combine_List'!A:D,4,0)</f>
        <v>RCRC</v>
      </c>
      <c r="O2110" s="1"/>
      <c r="P2110" s="1">
        <f>MONTH(Advices[[#This Row],[Transaction Date]])</f>
        <v>3</v>
      </c>
      <c r="Q2110" s="1">
        <f>YEAR(Advices[[#This Row],[Transaction Date]])</f>
        <v>2026</v>
      </c>
      <c r="R2110" s="1"/>
    </row>
    <row r="2111" spans="1:18" hidden="1" x14ac:dyDescent="0.25">
      <c r="A2111" s="264" t="s">
        <v>612</v>
      </c>
      <c r="B2111" s="265">
        <v>46097</v>
      </c>
      <c r="C2111" s="264" t="s">
        <v>2101</v>
      </c>
      <c r="D2111" s="300" t="s">
        <v>4457</v>
      </c>
      <c r="E2111" s="300" t="s">
        <v>2287</v>
      </c>
      <c r="F2111" s="300" t="s">
        <v>2041</v>
      </c>
      <c r="G2111" s="264" t="s">
        <v>26</v>
      </c>
      <c r="H2111" s="368">
        <v>15</v>
      </c>
      <c r="I2111" s="368">
        <v>0</v>
      </c>
      <c r="J2111" s="264" t="s">
        <v>1174</v>
      </c>
      <c r="K2111" s="264" t="s">
        <v>2025</v>
      </c>
      <c r="L2111" s="1" t="str">
        <f>VLOOKUP(Advices[[#This Row],[LC Number]],'Combine_List'!A:D,2,0)</f>
        <v>Alrashid Trading and Contracting Company</v>
      </c>
      <c r="M2111" s="447" t="str">
        <f>VLOOKUP(Advices[[#This Row],[LC Number]],'Combine_List'!A:D,3,0)</f>
        <v>MBL</v>
      </c>
      <c r="N2111" s="447" t="str">
        <f>VLOOKUP(Advices[[#This Row],[LC Number]],'Combine_List'!A:D,4,0)</f>
        <v>RCRC</v>
      </c>
      <c r="O2111" s="1"/>
      <c r="P2111" s="1">
        <f>MONTH(Advices[[#This Row],[Transaction Date]])</f>
        <v>3</v>
      </c>
      <c r="Q2111" s="1">
        <f>YEAR(Advices[[#This Row],[Transaction Date]])</f>
        <v>2026</v>
      </c>
      <c r="R2111" s="1"/>
    </row>
    <row r="2112" spans="1:18" hidden="1" x14ac:dyDescent="0.25">
      <c r="A2112" s="264" t="s">
        <v>612</v>
      </c>
      <c r="B2112" s="265">
        <v>46097</v>
      </c>
      <c r="C2112" s="264" t="s">
        <v>2101</v>
      </c>
      <c r="D2112" s="300" t="s">
        <v>4458</v>
      </c>
      <c r="E2112" s="300" t="s">
        <v>2287</v>
      </c>
      <c r="F2112" s="300" t="s">
        <v>2041</v>
      </c>
      <c r="G2112" s="264" t="s">
        <v>26</v>
      </c>
      <c r="H2112" s="368">
        <v>765</v>
      </c>
      <c r="I2112" s="368">
        <v>0</v>
      </c>
      <c r="J2112" s="264" t="s">
        <v>1125</v>
      </c>
      <c r="K2112" s="264" t="s">
        <v>2025</v>
      </c>
      <c r="L2112" s="1" t="str">
        <f>VLOOKUP(Advices[[#This Row],[LC Number]],'Combine_List'!A:D,2,0)</f>
        <v>Alrashid Trading and Contracting Company</v>
      </c>
      <c r="M2112" s="447" t="str">
        <f>VLOOKUP(Advices[[#This Row],[LC Number]],'Combine_List'!A:D,3,0)</f>
        <v>MBL</v>
      </c>
      <c r="N2112" s="447" t="str">
        <f>VLOOKUP(Advices[[#This Row],[LC Number]],'Combine_List'!A:D,4,0)</f>
        <v>RCRC</v>
      </c>
      <c r="O2112" s="1"/>
      <c r="P2112" s="1">
        <f>MONTH(Advices[[#This Row],[Transaction Date]])</f>
        <v>3</v>
      </c>
      <c r="Q2112" s="1">
        <f>YEAR(Advices[[#This Row],[Transaction Date]])</f>
        <v>2026</v>
      </c>
      <c r="R2112" s="1"/>
    </row>
    <row r="2113" spans="1:18" hidden="1" x14ac:dyDescent="0.25">
      <c r="A2113" s="264" t="s">
        <v>612</v>
      </c>
      <c r="B2113" s="265">
        <v>46097</v>
      </c>
      <c r="C2113" s="264" t="s">
        <v>2101</v>
      </c>
      <c r="D2113" s="300" t="s">
        <v>4459</v>
      </c>
      <c r="E2113" s="300" t="s">
        <v>2287</v>
      </c>
      <c r="F2113" s="300" t="s">
        <v>2041</v>
      </c>
      <c r="G2113" s="264" t="s">
        <v>26</v>
      </c>
      <c r="H2113" s="368">
        <v>114.75</v>
      </c>
      <c r="I2113" s="368">
        <v>0</v>
      </c>
      <c r="J2113" s="264" t="s">
        <v>1174</v>
      </c>
      <c r="K2113" s="264" t="s">
        <v>2025</v>
      </c>
      <c r="L2113" s="1" t="str">
        <f>VLOOKUP(Advices[[#This Row],[LC Number]],'Combine_List'!A:D,2,0)</f>
        <v>Alrashid Trading and Contracting Company</v>
      </c>
      <c r="M2113" s="447" t="str">
        <f>VLOOKUP(Advices[[#This Row],[LC Number]],'Combine_List'!A:D,3,0)</f>
        <v>MBL</v>
      </c>
      <c r="N2113" s="447" t="str">
        <f>VLOOKUP(Advices[[#This Row],[LC Number]],'Combine_List'!A:D,4,0)</f>
        <v>RCRC</v>
      </c>
      <c r="O2113" s="1"/>
      <c r="P2113" s="1">
        <f>MONTH(Advices[[#This Row],[Transaction Date]])</f>
        <v>3</v>
      </c>
      <c r="Q2113" s="1">
        <f>YEAR(Advices[[#This Row],[Transaction Date]])</f>
        <v>2026</v>
      </c>
      <c r="R2113" s="1"/>
    </row>
    <row r="2114" spans="1:18" hidden="1" x14ac:dyDescent="0.25">
      <c r="A2114" s="264" t="s">
        <v>612</v>
      </c>
      <c r="B2114" s="265">
        <v>46097</v>
      </c>
      <c r="C2114" s="264" t="s">
        <v>2101</v>
      </c>
      <c r="D2114" s="300" t="s">
        <v>4460</v>
      </c>
      <c r="E2114" s="300" t="s">
        <v>2287</v>
      </c>
      <c r="F2114" s="300" t="s">
        <v>2041</v>
      </c>
      <c r="G2114" s="264" t="s">
        <v>26</v>
      </c>
      <c r="H2114" s="368">
        <v>200</v>
      </c>
      <c r="I2114" s="368">
        <v>0</v>
      </c>
      <c r="J2114" s="264" t="s">
        <v>1125</v>
      </c>
      <c r="K2114" s="264" t="s">
        <v>2025</v>
      </c>
      <c r="L2114" s="1" t="str">
        <f>VLOOKUP(Advices[[#This Row],[LC Number]],'Combine_List'!A:D,2,0)</f>
        <v>Alrashid Trading and Contracting Company</v>
      </c>
      <c r="M2114" s="447" t="str">
        <f>VLOOKUP(Advices[[#This Row],[LC Number]],'Combine_List'!A:D,3,0)</f>
        <v>MBL</v>
      </c>
      <c r="N2114" s="447" t="str">
        <f>VLOOKUP(Advices[[#This Row],[LC Number]],'Combine_List'!A:D,4,0)</f>
        <v>RCRC</v>
      </c>
      <c r="O2114" s="1"/>
      <c r="P2114" s="1">
        <f>MONTH(Advices[[#This Row],[Transaction Date]])</f>
        <v>3</v>
      </c>
      <c r="Q2114" s="1">
        <f>YEAR(Advices[[#This Row],[Transaction Date]])</f>
        <v>2026</v>
      </c>
      <c r="R2114" s="1"/>
    </row>
    <row r="2115" spans="1:18" hidden="1" x14ac:dyDescent="0.25">
      <c r="A2115" s="264" t="s">
        <v>612</v>
      </c>
      <c r="B2115" s="265">
        <v>46097</v>
      </c>
      <c r="C2115" s="264" t="s">
        <v>2101</v>
      </c>
      <c r="D2115" s="300" t="s">
        <v>4461</v>
      </c>
      <c r="E2115" s="300" t="s">
        <v>2287</v>
      </c>
      <c r="F2115" s="300" t="s">
        <v>2041</v>
      </c>
      <c r="G2115" s="264" t="s">
        <v>26</v>
      </c>
      <c r="H2115" s="368">
        <v>30</v>
      </c>
      <c r="I2115" s="368">
        <v>0</v>
      </c>
      <c r="J2115" s="264" t="s">
        <v>1174</v>
      </c>
      <c r="K2115" s="264" t="s">
        <v>2025</v>
      </c>
      <c r="L2115" s="1" t="str">
        <f>VLOOKUP(Advices[[#This Row],[LC Number]],'Combine_List'!A:D,2,0)</f>
        <v>Alrashid Trading and Contracting Company</v>
      </c>
      <c r="M2115" s="447" t="str">
        <f>VLOOKUP(Advices[[#This Row],[LC Number]],'Combine_List'!A:D,3,0)</f>
        <v>MBL</v>
      </c>
      <c r="N2115" s="447" t="str">
        <f>VLOOKUP(Advices[[#This Row],[LC Number]],'Combine_List'!A:D,4,0)</f>
        <v>RCRC</v>
      </c>
      <c r="O2115" s="1"/>
      <c r="P2115" s="1">
        <f>MONTH(Advices[[#This Row],[Transaction Date]])</f>
        <v>3</v>
      </c>
      <c r="Q2115" s="1">
        <f>YEAR(Advices[[#This Row],[Transaction Date]])</f>
        <v>2026</v>
      </c>
      <c r="R2115" s="1"/>
    </row>
    <row r="2116" spans="1:18" hidden="1" x14ac:dyDescent="0.25">
      <c r="A2116" s="264" t="s">
        <v>612</v>
      </c>
      <c r="B2116" s="265">
        <v>46097</v>
      </c>
      <c r="C2116" s="264" t="s">
        <v>2101</v>
      </c>
      <c r="D2116" s="300" t="s">
        <v>4462</v>
      </c>
      <c r="E2116" s="300" t="s">
        <v>1610</v>
      </c>
      <c r="F2116" s="300" t="s">
        <v>2041</v>
      </c>
      <c r="G2116" s="264" t="s">
        <v>26</v>
      </c>
      <c r="H2116" s="368">
        <v>100</v>
      </c>
      <c r="I2116" s="368">
        <v>0</v>
      </c>
      <c r="J2116" s="264" t="s">
        <v>1125</v>
      </c>
      <c r="K2116" s="264" t="s">
        <v>2025</v>
      </c>
      <c r="L2116" s="1" t="str">
        <f>VLOOKUP(Advices[[#This Row],[LC Number]],'Combine_List'!A:D,2,0)</f>
        <v>Metten Al-Arabia Ltd Co (METARA)</v>
      </c>
      <c r="M2116" s="447" t="str">
        <f>VLOOKUP(Advices[[#This Row],[LC Number]],'Combine_List'!A:D,3,0)</f>
        <v>MBL</v>
      </c>
      <c r="N2116" s="447" t="str">
        <f>VLOOKUP(Advices[[#This Row],[LC Number]],'Combine_List'!A:D,4,0)</f>
        <v>RCRC</v>
      </c>
      <c r="O2116" s="1"/>
      <c r="P2116" s="1">
        <f>MONTH(Advices[[#This Row],[Transaction Date]])</f>
        <v>3</v>
      </c>
      <c r="Q2116" s="1">
        <f>YEAR(Advices[[#This Row],[Transaction Date]])</f>
        <v>2026</v>
      </c>
      <c r="R2116" s="1"/>
    </row>
    <row r="2117" spans="1:18" hidden="1" x14ac:dyDescent="0.25">
      <c r="A2117" s="264" t="s">
        <v>612</v>
      </c>
      <c r="B2117" s="265">
        <v>46097</v>
      </c>
      <c r="C2117" s="264" t="s">
        <v>2101</v>
      </c>
      <c r="D2117" s="300" t="s">
        <v>4463</v>
      </c>
      <c r="E2117" s="300" t="s">
        <v>1610</v>
      </c>
      <c r="F2117" s="300" t="s">
        <v>2041</v>
      </c>
      <c r="G2117" s="264" t="s">
        <v>26</v>
      </c>
      <c r="H2117" s="368">
        <v>15</v>
      </c>
      <c r="I2117" s="368">
        <v>0</v>
      </c>
      <c r="J2117" s="264" t="s">
        <v>1174</v>
      </c>
      <c r="K2117" s="264" t="s">
        <v>2025</v>
      </c>
      <c r="L2117" s="1" t="str">
        <f>VLOOKUP(Advices[[#This Row],[LC Number]],'Combine_List'!A:D,2,0)</f>
        <v>Metten Al-Arabia Ltd Co (METARA)</v>
      </c>
      <c r="M2117" s="447" t="str">
        <f>VLOOKUP(Advices[[#This Row],[LC Number]],'Combine_List'!A:D,3,0)</f>
        <v>MBL</v>
      </c>
      <c r="N2117" s="447" t="str">
        <f>VLOOKUP(Advices[[#This Row],[LC Number]],'Combine_List'!A:D,4,0)</f>
        <v>RCRC</v>
      </c>
      <c r="O2117" s="1"/>
      <c r="P2117" s="1">
        <f>MONTH(Advices[[#This Row],[Transaction Date]])</f>
        <v>3</v>
      </c>
      <c r="Q2117" s="1">
        <f>YEAR(Advices[[#This Row],[Transaction Date]])</f>
        <v>2026</v>
      </c>
      <c r="R2117" s="1"/>
    </row>
    <row r="2118" spans="1:18" hidden="1" x14ac:dyDescent="0.25">
      <c r="A2118" s="264" t="s">
        <v>612</v>
      </c>
      <c r="B2118" s="265">
        <v>46097</v>
      </c>
      <c r="C2118" s="264" t="s">
        <v>2101</v>
      </c>
      <c r="D2118" s="300" t="s">
        <v>4464</v>
      </c>
      <c r="E2118" s="300" t="s">
        <v>1610</v>
      </c>
      <c r="F2118" s="300" t="s">
        <v>2041</v>
      </c>
      <c r="G2118" s="264" t="s">
        <v>26</v>
      </c>
      <c r="H2118" s="368">
        <v>250</v>
      </c>
      <c r="I2118" s="368">
        <v>0</v>
      </c>
      <c r="J2118" s="264" t="s">
        <v>1125</v>
      </c>
      <c r="K2118" s="264" t="s">
        <v>2025</v>
      </c>
      <c r="L2118" s="1" t="str">
        <f>VLOOKUP(Advices[[#This Row],[LC Number]],'Combine_List'!A:D,2,0)</f>
        <v>Metten Al-Arabia Ltd Co (METARA)</v>
      </c>
      <c r="M2118" s="447" t="str">
        <f>VLOOKUP(Advices[[#This Row],[LC Number]],'Combine_List'!A:D,3,0)</f>
        <v>MBL</v>
      </c>
      <c r="N2118" s="447" t="str">
        <f>VLOOKUP(Advices[[#This Row],[LC Number]],'Combine_List'!A:D,4,0)</f>
        <v>RCRC</v>
      </c>
      <c r="O2118" s="1"/>
      <c r="P2118" s="1">
        <f>MONTH(Advices[[#This Row],[Transaction Date]])</f>
        <v>3</v>
      </c>
      <c r="Q2118" s="1">
        <f>YEAR(Advices[[#This Row],[Transaction Date]])</f>
        <v>2026</v>
      </c>
      <c r="R2118" s="1"/>
    </row>
    <row r="2119" spans="1:18" hidden="1" x14ac:dyDescent="0.25">
      <c r="A2119" s="264" t="s">
        <v>612</v>
      </c>
      <c r="B2119" s="265">
        <v>46097</v>
      </c>
      <c r="C2119" s="264" t="s">
        <v>2101</v>
      </c>
      <c r="D2119" s="300" t="s">
        <v>4465</v>
      </c>
      <c r="E2119" s="300" t="s">
        <v>1610</v>
      </c>
      <c r="F2119" s="300" t="s">
        <v>2041</v>
      </c>
      <c r="G2119" s="264" t="s">
        <v>26</v>
      </c>
      <c r="H2119" s="368">
        <v>37.5</v>
      </c>
      <c r="I2119" s="368">
        <v>0</v>
      </c>
      <c r="J2119" s="264" t="s">
        <v>1174</v>
      </c>
      <c r="K2119" s="264" t="s">
        <v>2025</v>
      </c>
      <c r="L2119" s="1" t="str">
        <f>VLOOKUP(Advices[[#This Row],[LC Number]],'Combine_List'!A:D,2,0)</f>
        <v>Metten Al-Arabia Ltd Co (METARA)</v>
      </c>
      <c r="M2119" s="447" t="str">
        <f>VLOOKUP(Advices[[#This Row],[LC Number]],'Combine_List'!A:D,3,0)</f>
        <v>MBL</v>
      </c>
      <c r="N2119" s="447" t="str">
        <f>VLOOKUP(Advices[[#This Row],[LC Number]],'Combine_List'!A:D,4,0)</f>
        <v>RCRC</v>
      </c>
      <c r="O2119" s="1"/>
      <c r="P2119" s="1">
        <f>MONTH(Advices[[#This Row],[Transaction Date]])</f>
        <v>3</v>
      </c>
      <c r="Q2119" s="1">
        <f>YEAR(Advices[[#This Row],[Transaction Date]])</f>
        <v>2026</v>
      </c>
      <c r="R2119" s="1"/>
    </row>
    <row r="2120" spans="1:18" hidden="1" x14ac:dyDescent="0.25">
      <c r="A2120" s="264" t="s">
        <v>612</v>
      </c>
      <c r="B2120" s="265">
        <v>46097</v>
      </c>
      <c r="C2120" s="264" t="s">
        <v>2101</v>
      </c>
      <c r="D2120" s="300" t="s">
        <v>4466</v>
      </c>
      <c r="E2120" s="300" t="s">
        <v>1610</v>
      </c>
      <c r="F2120" s="300" t="s">
        <v>2041</v>
      </c>
      <c r="G2120" s="264" t="s">
        <v>26</v>
      </c>
      <c r="H2120" s="368">
        <v>200</v>
      </c>
      <c r="I2120" s="368">
        <v>0</v>
      </c>
      <c r="J2120" s="264" t="s">
        <v>1125</v>
      </c>
      <c r="K2120" s="264" t="s">
        <v>2025</v>
      </c>
      <c r="L2120" s="1" t="str">
        <f>VLOOKUP(Advices[[#This Row],[LC Number]],'Combine_List'!A:D,2,0)</f>
        <v>Metten Al-Arabia Ltd Co (METARA)</v>
      </c>
      <c r="M2120" s="447" t="str">
        <f>VLOOKUP(Advices[[#This Row],[LC Number]],'Combine_List'!A:D,3,0)</f>
        <v>MBL</v>
      </c>
      <c r="N2120" s="447" t="str">
        <f>VLOOKUP(Advices[[#This Row],[LC Number]],'Combine_List'!A:D,4,0)</f>
        <v>RCRC</v>
      </c>
      <c r="O2120" s="1"/>
      <c r="P2120" s="1">
        <f>MONTH(Advices[[#This Row],[Transaction Date]])</f>
        <v>3</v>
      </c>
      <c r="Q2120" s="1">
        <f>YEAR(Advices[[#This Row],[Transaction Date]])</f>
        <v>2026</v>
      </c>
      <c r="R2120" s="1"/>
    </row>
    <row r="2121" spans="1:18" hidden="1" x14ac:dyDescent="0.25">
      <c r="A2121" s="264" t="s">
        <v>612</v>
      </c>
      <c r="B2121" s="265">
        <v>46097</v>
      </c>
      <c r="C2121" s="264" t="s">
        <v>2101</v>
      </c>
      <c r="D2121" s="300" t="s">
        <v>4467</v>
      </c>
      <c r="E2121" s="300" t="s">
        <v>1610</v>
      </c>
      <c r="F2121" s="300" t="s">
        <v>2041</v>
      </c>
      <c r="G2121" s="264" t="s">
        <v>26</v>
      </c>
      <c r="H2121" s="368">
        <v>30</v>
      </c>
      <c r="I2121" s="368">
        <v>0</v>
      </c>
      <c r="J2121" s="264" t="s">
        <v>1174</v>
      </c>
      <c r="K2121" s="264" t="s">
        <v>2025</v>
      </c>
      <c r="L2121" s="1" t="str">
        <f>VLOOKUP(Advices[[#This Row],[LC Number]],'Combine_List'!A:D,2,0)</f>
        <v>Metten Al-Arabia Ltd Co (METARA)</v>
      </c>
      <c r="M2121" s="447" t="str">
        <f>VLOOKUP(Advices[[#This Row],[LC Number]],'Combine_List'!A:D,3,0)</f>
        <v>MBL</v>
      </c>
      <c r="N2121" s="447" t="str">
        <f>VLOOKUP(Advices[[#This Row],[LC Number]],'Combine_List'!A:D,4,0)</f>
        <v>RCRC</v>
      </c>
      <c r="O2121" s="1"/>
      <c r="P2121" s="1">
        <f>MONTH(Advices[[#This Row],[Transaction Date]])</f>
        <v>3</v>
      </c>
      <c r="Q2121" s="1">
        <f>YEAR(Advices[[#This Row],[Transaction Date]])</f>
        <v>2026</v>
      </c>
      <c r="R2121" s="1"/>
    </row>
    <row r="2122" spans="1:18" hidden="1" x14ac:dyDescent="0.25">
      <c r="A2122" s="264" t="s">
        <v>612</v>
      </c>
      <c r="B2122" s="265">
        <v>46097</v>
      </c>
      <c r="C2122" s="264" t="s">
        <v>2101</v>
      </c>
      <c r="D2122" s="300" t="s">
        <v>4468</v>
      </c>
      <c r="E2122" s="300" t="s">
        <v>1610</v>
      </c>
      <c r="F2122" s="300" t="s">
        <v>2041</v>
      </c>
      <c r="G2122" s="264" t="s">
        <v>26</v>
      </c>
      <c r="H2122" s="368">
        <v>54799.8</v>
      </c>
      <c r="I2122" s="368">
        <v>0</v>
      </c>
      <c r="J2122" s="264" t="s">
        <v>1126</v>
      </c>
      <c r="K2122" s="264" t="s">
        <v>2025</v>
      </c>
      <c r="L2122" s="1" t="str">
        <f>VLOOKUP(Advices[[#This Row],[LC Number]],'Combine_List'!A:D,2,0)</f>
        <v>Metten Al-Arabia Ltd Co (METARA)</v>
      </c>
      <c r="M2122" s="447" t="str">
        <f>VLOOKUP(Advices[[#This Row],[LC Number]],'Combine_List'!A:D,3,0)</f>
        <v>MBL</v>
      </c>
      <c r="N2122" s="447" t="str">
        <f>VLOOKUP(Advices[[#This Row],[LC Number]],'Combine_List'!A:D,4,0)</f>
        <v>RCRC</v>
      </c>
      <c r="O2122" s="1"/>
      <c r="P2122" s="1">
        <f>MONTH(Advices[[#This Row],[Transaction Date]])</f>
        <v>3</v>
      </c>
      <c r="Q2122" s="1">
        <f>YEAR(Advices[[#This Row],[Transaction Date]])</f>
        <v>2026</v>
      </c>
      <c r="R2122" s="1"/>
    </row>
    <row r="2123" spans="1:18" hidden="1" x14ac:dyDescent="0.25">
      <c r="A2123" s="264" t="s">
        <v>612</v>
      </c>
      <c r="B2123" s="265">
        <v>46097</v>
      </c>
      <c r="C2123" s="264" t="s">
        <v>2101</v>
      </c>
      <c r="D2123" s="300" t="s">
        <v>4469</v>
      </c>
      <c r="E2123" s="300" t="s">
        <v>2287</v>
      </c>
      <c r="F2123" s="300" t="s">
        <v>2041</v>
      </c>
      <c r="G2123" s="264" t="s">
        <v>26</v>
      </c>
      <c r="H2123" s="368">
        <v>1835164.63</v>
      </c>
      <c r="I2123" s="368">
        <v>0</v>
      </c>
      <c r="J2123" s="264" t="s">
        <v>1126</v>
      </c>
      <c r="K2123" s="264" t="s">
        <v>2025</v>
      </c>
      <c r="L2123" s="1" t="str">
        <f>VLOOKUP(Advices[[#This Row],[LC Number]],'Combine_List'!A:D,2,0)</f>
        <v>Alrashid Trading and Contracting Company</v>
      </c>
      <c r="M2123" s="447" t="str">
        <f>VLOOKUP(Advices[[#This Row],[LC Number]],'Combine_List'!A:D,3,0)</f>
        <v>MBL</v>
      </c>
      <c r="N2123" s="447" t="str">
        <f>VLOOKUP(Advices[[#This Row],[LC Number]],'Combine_List'!A:D,4,0)</f>
        <v>RCRC</v>
      </c>
      <c r="O2123" s="1"/>
      <c r="P2123" s="1">
        <f>MONTH(Advices[[#This Row],[Transaction Date]])</f>
        <v>3</v>
      </c>
      <c r="Q2123" s="1">
        <f>YEAR(Advices[[#This Row],[Transaction Date]])</f>
        <v>2026</v>
      </c>
      <c r="R2123" s="1"/>
    </row>
    <row r="2124" spans="1:18" hidden="1" x14ac:dyDescent="0.25">
      <c r="A2124" s="264" t="s">
        <v>612</v>
      </c>
      <c r="B2124" s="265">
        <v>46097</v>
      </c>
      <c r="C2124" s="264" t="s">
        <v>2101</v>
      </c>
      <c r="D2124" s="395" t="s">
        <v>4470</v>
      </c>
      <c r="E2124" s="300" t="s">
        <v>4388</v>
      </c>
      <c r="F2124" s="300" t="s">
        <v>4388</v>
      </c>
      <c r="G2124" s="264" t="s">
        <v>26</v>
      </c>
      <c r="H2124" s="368">
        <v>5000</v>
      </c>
      <c r="I2124" s="368">
        <v>0</v>
      </c>
      <c r="J2124" s="264" t="s">
        <v>2793</v>
      </c>
      <c r="K2124" s="264" t="s">
        <v>2025</v>
      </c>
      <c r="L2124" s="1" t="str">
        <f>VLOOKUP(Advices[[#This Row],[LC Number]],'Combine_List'!A:D,2,0)</f>
        <v>Bid - CLUSTER 2 AIRPORT COMPANY</v>
      </c>
      <c r="M2124" s="447" t="str">
        <f>VLOOKUP(Advices[[#This Row],[LC Number]],'Combine_List'!A:D,3,0)</f>
        <v>MBL</v>
      </c>
      <c r="N2124" s="447">
        <f>VLOOKUP(Advices[[#This Row],[LC Number]],'Combine_List'!A:D,4,0)</f>
        <v>0</v>
      </c>
      <c r="O2124" s="1"/>
      <c r="P2124" s="1">
        <f>MONTH(Advices[[#This Row],[Transaction Date]])</f>
        <v>3</v>
      </c>
      <c r="Q2124" s="1">
        <f>YEAR(Advices[[#This Row],[Transaction Date]])</f>
        <v>2026</v>
      </c>
      <c r="R2124" s="1"/>
    </row>
    <row r="2125" spans="1:18" hidden="1" x14ac:dyDescent="0.25">
      <c r="A2125" s="264" t="s">
        <v>612</v>
      </c>
      <c r="B2125" s="265">
        <v>46097</v>
      </c>
      <c r="C2125" s="264" t="s">
        <v>2101</v>
      </c>
      <c r="D2125" s="300" t="s">
        <v>4471</v>
      </c>
      <c r="E2125" s="300" t="s">
        <v>4388</v>
      </c>
      <c r="F2125" s="300" t="s">
        <v>4388</v>
      </c>
      <c r="G2125" s="264" t="s">
        <v>26</v>
      </c>
      <c r="H2125" s="368">
        <v>750</v>
      </c>
      <c r="I2125" s="368">
        <v>0</v>
      </c>
      <c r="J2125" s="264" t="s">
        <v>1174</v>
      </c>
      <c r="K2125" s="264" t="s">
        <v>2025</v>
      </c>
      <c r="L2125" s="1" t="str">
        <f>VLOOKUP(Advices[[#This Row],[LC Number]],'Combine_List'!A:D,2,0)</f>
        <v>Bid - CLUSTER 2 AIRPORT COMPANY</v>
      </c>
      <c r="M2125" s="447" t="str">
        <f>VLOOKUP(Advices[[#This Row],[LC Number]],'Combine_List'!A:D,3,0)</f>
        <v>MBL</v>
      </c>
      <c r="N2125" s="447">
        <f>VLOOKUP(Advices[[#This Row],[LC Number]],'Combine_List'!A:D,4,0)</f>
        <v>0</v>
      </c>
      <c r="O2125" s="1"/>
      <c r="P2125" s="1">
        <f>MONTH(Advices[[#This Row],[Transaction Date]])</f>
        <v>3</v>
      </c>
      <c r="Q2125" s="1">
        <f>YEAR(Advices[[#This Row],[Transaction Date]])</f>
        <v>2026</v>
      </c>
      <c r="R2125" s="1"/>
    </row>
    <row r="2126" spans="1:18" hidden="1" x14ac:dyDescent="0.25">
      <c r="A2126" s="264" t="s">
        <v>612</v>
      </c>
      <c r="B2126" s="265">
        <v>46097</v>
      </c>
      <c r="C2126" s="264" t="s">
        <v>2101</v>
      </c>
      <c r="D2126" s="300" t="s">
        <v>4472</v>
      </c>
      <c r="E2126" s="300" t="s">
        <v>4388</v>
      </c>
      <c r="F2126" s="300" t="s">
        <v>4388</v>
      </c>
      <c r="G2126" s="264" t="s">
        <v>26</v>
      </c>
      <c r="H2126" s="368">
        <v>17424.66</v>
      </c>
      <c r="I2126" s="368">
        <v>0</v>
      </c>
      <c r="J2126" s="264" t="s">
        <v>2793</v>
      </c>
      <c r="K2126" s="264" t="s">
        <v>2025</v>
      </c>
      <c r="L2126" s="1" t="str">
        <f>VLOOKUP(Advices[[#This Row],[LC Number]],'Combine_List'!A:D,2,0)</f>
        <v>Bid - CLUSTER 2 AIRPORT COMPANY</v>
      </c>
      <c r="M2126" s="447" t="str">
        <f>VLOOKUP(Advices[[#This Row],[LC Number]],'Combine_List'!A:D,3,0)</f>
        <v>MBL</v>
      </c>
      <c r="N2126" s="447">
        <f>VLOOKUP(Advices[[#This Row],[LC Number]],'Combine_List'!A:D,4,0)</f>
        <v>0</v>
      </c>
      <c r="O2126" s="1"/>
      <c r="P2126" s="1">
        <f>MONTH(Advices[[#This Row],[Transaction Date]])</f>
        <v>3</v>
      </c>
      <c r="Q2126" s="1">
        <f>YEAR(Advices[[#This Row],[Transaction Date]])</f>
        <v>2026</v>
      </c>
      <c r="R2126" s="1"/>
    </row>
    <row r="2127" spans="1:18" hidden="1" x14ac:dyDescent="0.25">
      <c r="A2127" s="264" t="s">
        <v>612</v>
      </c>
      <c r="B2127" s="265">
        <v>46097</v>
      </c>
      <c r="C2127" s="264" t="s">
        <v>2101</v>
      </c>
      <c r="D2127" s="300" t="s">
        <v>4473</v>
      </c>
      <c r="E2127" s="300" t="s">
        <v>4388</v>
      </c>
      <c r="F2127" s="300" t="s">
        <v>4388</v>
      </c>
      <c r="G2127" s="264" t="s">
        <v>26</v>
      </c>
      <c r="H2127" s="368">
        <v>2613.6999999999998</v>
      </c>
      <c r="I2127" s="368">
        <v>0</v>
      </c>
      <c r="J2127" s="264" t="s">
        <v>1174</v>
      </c>
      <c r="K2127" s="264" t="s">
        <v>2025</v>
      </c>
      <c r="L2127" s="1" t="str">
        <f>VLOOKUP(Advices[[#This Row],[LC Number]],'Combine_List'!A:D,2,0)</f>
        <v>Bid - CLUSTER 2 AIRPORT COMPANY</v>
      </c>
      <c r="M2127" s="447" t="str">
        <f>VLOOKUP(Advices[[#This Row],[LC Number]],'Combine_List'!A:D,3,0)</f>
        <v>MBL</v>
      </c>
      <c r="N2127" s="447">
        <f>VLOOKUP(Advices[[#This Row],[LC Number]],'Combine_List'!A:D,4,0)</f>
        <v>0</v>
      </c>
      <c r="O2127" s="264"/>
      <c r="P2127" s="264">
        <f>MONTH(Advices[[#This Row],[Transaction Date]])</f>
        <v>3</v>
      </c>
      <c r="Q2127" s="264">
        <f>YEAR(Advices[[#This Row],[Transaction Date]])</f>
        <v>2026</v>
      </c>
      <c r="R2127" s="1"/>
    </row>
    <row r="2128" spans="1:18" hidden="1" x14ac:dyDescent="0.25">
      <c r="A2128" s="264" t="s">
        <v>612</v>
      </c>
      <c r="B2128" s="265">
        <v>46110</v>
      </c>
      <c r="C2128" s="264" t="s">
        <v>2101</v>
      </c>
      <c r="D2128" s="300" t="s">
        <v>4475</v>
      </c>
      <c r="E2128" s="300" t="s">
        <v>4304</v>
      </c>
      <c r="F2128" s="300" t="s">
        <v>2041</v>
      </c>
      <c r="G2128" s="264" t="s">
        <v>26</v>
      </c>
      <c r="H2128" s="368">
        <v>100</v>
      </c>
      <c r="I2128" s="368">
        <v>0</v>
      </c>
      <c r="J2128" s="264" t="s">
        <v>1125</v>
      </c>
      <c r="K2128" s="264" t="s">
        <v>2025</v>
      </c>
      <c r="L2128" s="1" t="str">
        <f>VLOOKUP(Advices[[#This Row],[LC Number]],'Combine_List'!A:D,2,0)</f>
        <v>The Fundamental Installation For Electric Work Co</v>
      </c>
      <c r="M2128" s="447" t="str">
        <f>VLOOKUP(Advices[[#This Row],[LC Number]],'Combine_List'!A:D,3,0)</f>
        <v>FIRST FIX</v>
      </c>
      <c r="N2128" s="447" t="str">
        <f>VLOOKUP(Advices[[#This Row],[LC Number]],'Combine_List'!A:D,4,0)</f>
        <v>CEER</v>
      </c>
      <c r="O2128" s="1"/>
      <c r="P2128" s="1">
        <f>MONTH(Advices[[#This Row],[Transaction Date]])</f>
        <v>3</v>
      </c>
      <c r="Q2128" s="1">
        <f>YEAR(Advices[[#This Row],[Transaction Date]])</f>
        <v>2026</v>
      </c>
      <c r="R2128" s="1"/>
    </row>
    <row r="2129" spans="1:18" hidden="1" x14ac:dyDescent="0.25">
      <c r="A2129" s="264" t="s">
        <v>612</v>
      </c>
      <c r="B2129" s="265">
        <v>46110</v>
      </c>
      <c r="C2129" s="264" t="s">
        <v>2101</v>
      </c>
      <c r="D2129" s="300" t="s">
        <v>4476</v>
      </c>
      <c r="E2129" s="300" t="s">
        <v>4304</v>
      </c>
      <c r="F2129" s="300" t="s">
        <v>2041</v>
      </c>
      <c r="G2129" s="264" t="s">
        <v>26</v>
      </c>
      <c r="H2129" s="368">
        <v>15</v>
      </c>
      <c r="I2129" s="368">
        <v>0</v>
      </c>
      <c r="J2129" s="264" t="s">
        <v>1174</v>
      </c>
      <c r="K2129" s="264" t="s">
        <v>2025</v>
      </c>
      <c r="L2129" s="1" t="str">
        <f>VLOOKUP(Advices[[#This Row],[LC Number]],'Combine_List'!A:D,2,0)</f>
        <v>The Fundamental Installation For Electric Work Co</v>
      </c>
      <c r="M2129" s="447" t="str">
        <f>VLOOKUP(Advices[[#This Row],[LC Number]],'Combine_List'!A:D,3,0)</f>
        <v>FIRST FIX</v>
      </c>
      <c r="N2129" s="447" t="str">
        <f>VLOOKUP(Advices[[#This Row],[LC Number]],'Combine_List'!A:D,4,0)</f>
        <v>CEER</v>
      </c>
      <c r="O2129" s="1"/>
      <c r="P2129" s="1">
        <f>MONTH(Advices[[#This Row],[Transaction Date]])</f>
        <v>3</v>
      </c>
      <c r="Q2129" s="1">
        <f>YEAR(Advices[[#This Row],[Transaction Date]])</f>
        <v>2026</v>
      </c>
      <c r="R2129" s="1"/>
    </row>
    <row r="2130" spans="1:18" hidden="1" x14ac:dyDescent="0.25">
      <c r="A2130" s="264" t="s">
        <v>612</v>
      </c>
      <c r="B2130" s="265">
        <v>46110</v>
      </c>
      <c r="C2130" s="264" t="s">
        <v>2101</v>
      </c>
      <c r="D2130" s="300" t="s">
        <v>4477</v>
      </c>
      <c r="E2130" s="300" t="s">
        <v>4304</v>
      </c>
      <c r="F2130" s="300" t="s">
        <v>2041</v>
      </c>
      <c r="G2130" s="264" t="s">
        <v>26</v>
      </c>
      <c r="H2130" s="368">
        <v>31250</v>
      </c>
      <c r="I2130" s="368">
        <v>0</v>
      </c>
      <c r="J2130" s="264" t="s">
        <v>1125</v>
      </c>
      <c r="K2130" s="264" t="s">
        <v>2025</v>
      </c>
      <c r="L2130" s="1" t="str">
        <f>VLOOKUP(Advices[[#This Row],[LC Number]],'Combine_List'!A:D,2,0)</f>
        <v>The Fundamental Installation For Electric Work Co</v>
      </c>
      <c r="M2130" s="447" t="str">
        <f>VLOOKUP(Advices[[#This Row],[LC Number]],'Combine_List'!A:D,3,0)</f>
        <v>FIRST FIX</v>
      </c>
      <c r="N2130" s="447" t="str">
        <f>VLOOKUP(Advices[[#This Row],[LC Number]],'Combine_List'!A:D,4,0)</f>
        <v>CEER</v>
      </c>
      <c r="O2130" s="1"/>
      <c r="P2130" s="1">
        <f>MONTH(Advices[[#This Row],[Transaction Date]])</f>
        <v>3</v>
      </c>
      <c r="Q2130" s="1">
        <f>YEAR(Advices[[#This Row],[Transaction Date]])</f>
        <v>2026</v>
      </c>
      <c r="R2130" s="1"/>
    </row>
    <row r="2131" spans="1:18" hidden="1" x14ac:dyDescent="0.25">
      <c r="A2131" s="264" t="s">
        <v>612</v>
      </c>
      <c r="B2131" s="265">
        <v>46110</v>
      </c>
      <c r="C2131" s="264" t="s">
        <v>2101</v>
      </c>
      <c r="D2131" s="300" t="s">
        <v>4478</v>
      </c>
      <c r="E2131" s="300" t="s">
        <v>4304</v>
      </c>
      <c r="F2131" s="300" t="s">
        <v>2041</v>
      </c>
      <c r="G2131" s="264" t="s">
        <v>26</v>
      </c>
      <c r="H2131" s="368">
        <v>4687.5</v>
      </c>
      <c r="I2131" s="368">
        <v>0</v>
      </c>
      <c r="J2131" s="264" t="s">
        <v>1174</v>
      </c>
      <c r="K2131" s="264" t="s">
        <v>2025</v>
      </c>
      <c r="L2131" s="1" t="str">
        <f>VLOOKUP(Advices[[#This Row],[LC Number]],'Combine_List'!A:D,2,0)</f>
        <v>The Fundamental Installation For Electric Work Co</v>
      </c>
      <c r="M2131" s="447" t="str">
        <f>VLOOKUP(Advices[[#This Row],[LC Number]],'Combine_List'!A:D,3,0)</f>
        <v>FIRST FIX</v>
      </c>
      <c r="N2131" s="447" t="str">
        <f>VLOOKUP(Advices[[#This Row],[LC Number]],'Combine_List'!A:D,4,0)</f>
        <v>CEER</v>
      </c>
      <c r="O2131" s="1"/>
      <c r="P2131" s="1">
        <f>MONTH(Advices[[#This Row],[Transaction Date]])</f>
        <v>3</v>
      </c>
      <c r="Q2131" s="1">
        <f>YEAR(Advices[[#This Row],[Transaction Date]])</f>
        <v>2026</v>
      </c>
      <c r="R2131" s="1"/>
    </row>
    <row r="2132" spans="1:18" hidden="1" x14ac:dyDescent="0.25">
      <c r="A2132" s="264" t="s">
        <v>612</v>
      </c>
      <c r="B2132" s="265">
        <v>46110</v>
      </c>
      <c r="C2132" s="264" t="s">
        <v>2101</v>
      </c>
      <c r="D2132" s="300" t="s">
        <v>4479</v>
      </c>
      <c r="E2132" s="300" t="s">
        <v>4304</v>
      </c>
      <c r="F2132" s="300" t="s">
        <v>2041</v>
      </c>
      <c r="G2132" s="264" t="s">
        <v>26</v>
      </c>
      <c r="H2132" s="368">
        <v>200</v>
      </c>
      <c r="I2132" s="368">
        <v>0</v>
      </c>
      <c r="J2132" s="264" t="s">
        <v>1125</v>
      </c>
      <c r="K2132" s="264" t="s">
        <v>2025</v>
      </c>
      <c r="L2132" s="1" t="str">
        <f>VLOOKUP(Advices[[#This Row],[LC Number]],'Combine_List'!A:D,2,0)</f>
        <v>The Fundamental Installation For Electric Work Co</v>
      </c>
      <c r="M2132" s="447" t="str">
        <f>VLOOKUP(Advices[[#This Row],[LC Number]],'Combine_List'!A:D,3,0)</f>
        <v>FIRST FIX</v>
      </c>
      <c r="N2132" s="447" t="str">
        <f>VLOOKUP(Advices[[#This Row],[LC Number]],'Combine_List'!A:D,4,0)</f>
        <v>CEER</v>
      </c>
      <c r="O2132" s="1"/>
      <c r="P2132" s="1">
        <f>MONTH(Advices[[#This Row],[Transaction Date]])</f>
        <v>3</v>
      </c>
      <c r="Q2132" s="1">
        <f>YEAR(Advices[[#This Row],[Transaction Date]])</f>
        <v>2026</v>
      </c>
      <c r="R2132" s="1"/>
    </row>
    <row r="2133" spans="1:18" hidden="1" x14ac:dyDescent="0.25">
      <c r="A2133" s="264" t="s">
        <v>612</v>
      </c>
      <c r="B2133" s="265">
        <v>46110</v>
      </c>
      <c r="C2133" s="264" t="s">
        <v>2101</v>
      </c>
      <c r="D2133" s="300" t="s">
        <v>4480</v>
      </c>
      <c r="E2133" s="300" t="s">
        <v>4304</v>
      </c>
      <c r="F2133" s="300" t="s">
        <v>2041</v>
      </c>
      <c r="G2133" s="264" t="s">
        <v>26</v>
      </c>
      <c r="H2133" s="368">
        <v>30</v>
      </c>
      <c r="I2133" s="368">
        <v>0</v>
      </c>
      <c r="J2133" s="264" t="s">
        <v>1174</v>
      </c>
      <c r="K2133" s="264" t="s">
        <v>2025</v>
      </c>
      <c r="L2133" s="1" t="str">
        <f>VLOOKUP(Advices[[#This Row],[LC Number]],'Combine_List'!A:D,2,0)</f>
        <v>The Fundamental Installation For Electric Work Co</v>
      </c>
      <c r="M2133" s="447" t="str">
        <f>VLOOKUP(Advices[[#This Row],[LC Number]],'Combine_List'!A:D,3,0)</f>
        <v>FIRST FIX</v>
      </c>
      <c r="N2133" s="447" t="str">
        <f>VLOOKUP(Advices[[#This Row],[LC Number]],'Combine_List'!A:D,4,0)</f>
        <v>CEER</v>
      </c>
      <c r="O2133" s="264"/>
      <c r="P2133" s="264">
        <f>MONTH(Advices[[#This Row],[Transaction Date]])</f>
        <v>3</v>
      </c>
      <c r="Q2133" s="264">
        <f>YEAR(Advices[[#This Row],[Transaction Date]])</f>
        <v>2026</v>
      </c>
      <c r="R2133" s="1"/>
    </row>
    <row r="2134" spans="1:18" hidden="1" x14ac:dyDescent="0.25">
      <c r="A2134" s="264" t="s">
        <v>366</v>
      </c>
      <c r="B2134" s="265">
        <v>46110</v>
      </c>
      <c r="C2134" s="264" t="s">
        <v>2060</v>
      </c>
      <c r="D2134" s="300" t="s">
        <v>4481</v>
      </c>
      <c r="E2134" s="300" t="s">
        <v>1875</v>
      </c>
      <c r="F2134" s="300" t="s">
        <v>3467</v>
      </c>
      <c r="G2134" s="264" t="s">
        <v>26</v>
      </c>
      <c r="H2134" s="368">
        <v>2000000</v>
      </c>
      <c r="I2134" s="368">
        <v>0</v>
      </c>
      <c r="J2134" s="264" t="s">
        <v>1126</v>
      </c>
      <c r="K2134" s="264" t="s">
        <v>2025</v>
      </c>
      <c r="L2134" s="1" t="str">
        <f>VLOOKUP(Advices[[#This Row],[LC Number]],'Combine_List'!A:D,2,0)</f>
        <v>Power Center Company for Industries LLC</v>
      </c>
      <c r="M2134" s="447" t="str">
        <f>VLOOKUP(Advices[[#This Row],[LC Number]],'Combine_List'!A:D,3,0)</f>
        <v>FIRST FIX</v>
      </c>
      <c r="N2134" s="447" t="str">
        <f>VLOOKUP(Advices[[#This Row],[LC Number]],'Combine_List'!A:D,4,0)</f>
        <v>MP1</v>
      </c>
      <c r="O2134" s="264"/>
      <c r="P2134" s="264">
        <f>MONTH(Advices[[#This Row],[Transaction Date]])</f>
        <v>3</v>
      </c>
      <c r="Q2134" s="264">
        <f>YEAR(Advices[[#This Row],[Transaction Date]])</f>
        <v>2026</v>
      </c>
      <c r="R2134" s="1"/>
    </row>
    <row r="2135" spans="1:18" hidden="1" x14ac:dyDescent="0.25">
      <c r="A2135" s="264" t="s">
        <v>95</v>
      </c>
      <c r="B2135" s="265">
        <v>46110</v>
      </c>
      <c r="C2135" s="264" t="s">
        <v>2307</v>
      </c>
      <c r="D2135" s="300" t="s">
        <v>3654</v>
      </c>
      <c r="E2135" s="300" t="s">
        <v>707</v>
      </c>
      <c r="F2135" s="300" t="s">
        <v>2379</v>
      </c>
      <c r="G2135" s="264"/>
      <c r="H2135" s="368">
        <v>257208.69</v>
      </c>
      <c r="I2135" s="368">
        <v>0</v>
      </c>
      <c r="J2135" s="264" t="s">
        <v>3702</v>
      </c>
      <c r="K2135" s="264" t="s">
        <v>2025</v>
      </c>
      <c r="L2135" s="1" t="str">
        <f>VLOOKUP(Advices[[#This Row],[LC Number]],'Combine_List'!A:D,2,0)</f>
        <v>BBH-CHEMTROL INTERNATIONAL ORGANIZATION S.L</v>
      </c>
      <c r="M2135" s="447" t="str">
        <f>VLOOKUP(Advices[[#This Row],[LC Number]],'Combine_List'!A:D,3,0)</f>
        <v>MBL/ICAD</v>
      </c>
      <c r="N2135" s="447" t="str">
        <f>VLOOKUP(Advices[[#This Row],[LC Number]],'Combine_List'!A:D,4,0)</f>
        <v>OPERA House</v>
      </c>
      <c r="O2135" s="264"/>
      <c r="P2135" s="264">
        <f>MONTH(Advices[[#This Row],[Transaction Date]])</f>
        <v>3</v>
      </c>
      <c r="Q2135" s="264">
        <f>YEAR(Advices[[#This Row],[Transaction Date]])</f>
        <v>2026</v>
      </c>
      <c r="R2135" s="1"/>
    </row>
    <row r="2136" spans="1:18" hidden="1" x14ac:dyDescent="0.25">
      <c r="A2136" s="264" t="s">
        <v>62</v>
      </c>
      <c r="B2136" s="265">
        <v>46110</v>
      </c>
      <c r="C2136" s="264" t="s">
        <v>2039</v>
      </c>
      <c r="D2136" s="300" t="s">
        <v>4482</v>
      </c>
      <c r="E2136" s="300" t="s">
        <v>4394</v>
      </c>
      <c r="F2136" s="300" t="s">
        <v>2041</v>
      </c>
      <c r="G2136" s="264" t="s">
        <v>26</v>
      </c>
      <c r="H2136" s="368">
        <v>241.5</v>
      </c>
      <c r="I2136" s="368">
        <v>0</v>
      </c>
      <c r="J2136" s="264" t="s">
        <v>1125</v>
      </c>
      <c r="K2136" s="264" t="s">
        <v>2025</v>
      </c>
      <c r="L2136" s="1" t="str">
        <f>VLOOKUP(Advices[[#This Row],[LC Number]],'Combine_List'!A:D,2,0)</f>
        <v>Mat Filtrasyon Teknolojeleri A.S</v>
      </c>
      <c r="M2136" s="447" t="str">
        <f>VLOOKUP(Advices[[#This Row],[LC Number]],'Combine_List'!A:D,3,0)</f>
        <v>MBL</v>
      </c>
      <c r="N2136" s="447" t="str">
        <f>VLOOKUP(Advices[[#This Row],[LC Number]],'Combine_List'!A:D,4,0)</f>
        <v>Oceanarium</v>
      </c>
      <c r="O2136" s="1"/>
      <c r="P2136" s="1">
        <f>MONTH(Advices[[#This Row],[Transaction Date]])</f>
        <v>3</v>
      </c>
      <c r="Q2136" s="1">
        <f>YEAR(Advices[[#This Row],[Transaction Date]])</f>
        <v>2026</v>
      </c>
      <c r="R2136" s="1"/>
    </row>
    <row r="2137" spans="1:18" hidden="1" x14ac:dyDescent="0.25">
      <c r="A2137" s="264" t="s">
        <v>62</v>
      </c>
      <c r="B2137" s="265">
        <v>46110</v>
      </c>
      <c r="C2137" s="264" t="s">
        <v>2039</v>
      </c>
      <c r="D2137" s="300" t="s">
        <v>4483</v>
      </c>
      <c r="E2137" s="300" t="s">
        <v>1934</v>
      </c>
      <c r="F2137" s="300" t="s">
        <v>2041</v>
      </c>
      <c r="G2137" s="264" t="s">
        <v>26</v>
      </c>
      <c r="H2137" s="368">
        <v>4436.99</v>
      </c>
      <c r="I2137" s="368">
        <v>0</v>
      </c>
      <c r="J2137" s="264" t="s">
        <v>1125</v>
      </c>
      <c r="K2137" s="264" t="s">
        <v>2025</v>
      </c>
      <c r="L2137" s="1" t="str">
        <f>VLOOKUP(Advices[[#This Row],[LC Number]],'Combine_List'!A:D,2,0)</f>
        <v>Mat Filtrasyon Teknolojeleri A.S</v>
      </c>
      <c r="M2137" s="447" t="str">
        <f>VLOOKUP(Advices[[#This Row],[LC Number]],'Combine_List'!A:D,3,0)</f>
        <v>MBL</v>
      </c>
      <c r="N2137" s="447" t="str">
        <f>VLOOKUP(Advices[[#This Row],[LC Number]],'Combine_List'!A:D,4,0)</f>
        <v>Oceanarium</v>
      </c>
      <c r="O2137" s="447">
        <f>VLOOKUP(Advices[[#This Row],[LC Number]],'Combine_List'!A:E,5,0)</f>
        <v>1020096</v>
      </c>
      <c r="P2137" s="447">
        <f>MONTH(Advices[[#This Row],[Transaction Date]])</f>
        <v>3</v>
      </c>
      <c r="Q2137" s="447">
        <f>YEAR(Advices[[#This Row],[Transaction Date]])</f>
        <v>2026</v>
      </c>
      <c r="R2137" s="1"/>
    </row>
    <row r="2138" spans="1:18" x14ac:dyDescent="0.25">
      <c r="A2138" s="264" t="s">
        <v>21</v>
      </c>
      <c r="B2138" s="265">
        <v>46110</v>
      </c>
      <c r="C2138" s="264" t="s">
        <v>1951</v>
      </c>
      <c r="D2138" s="300" t="s">
        <v>1952</v>
      </c>
      <c r="E2138" s="300" t="s">
        <v>1896</v>
      </c>
      <c r="F2138" s="300" t="s">
        <v>4484</v>
      </c>
      <c r="G2138" s="264" t="s">
        <v>26</v>
      </c>
      <c r="H2138" s="368">
        <v>187.5</v>
      </c>
      <c r="I2138" s="368">
        <v>0</v>
      </c>
      <c r="J2138" s="264" t="s">
        <v>1174</v>
      </c>
      <c r="K2138" s="264" t="s">
        <v>2025</v>
      </c>
      <c r="L2138" s="1" t="str">
        <f>VLOOKUP(Advices[[#This Row],[LC Number]],'Combine_List'!A:D,2,0)</f>
        <v>Saudi Perfect Pumps Trading &amp; Manufacturing Company</v>
      </c>
      <c r="M2138" s="447" t="str">
        <f>VLOOKUP(Advices[[#This Row],[LC Number]],'Combine_List'!A:D,3,0)</f>
        <v>MBL</v>
      </c>
      <c r="N2138" s="447" t="str">
        <f>VLOOKUP(Advices[[#This Row],[LC Number]],'Combine_List'!A:D,4,0)</f>
        <v>Rabigh Power Plant</v>
      </c>
      <c r="O2138" s="1"/>
      <c r="P2138" s="1">
        <f>MONTH(Advices[[#This Row],[Transaction Date]])</f>
        <v>3</v>
      </c>
      <c r="Q2138" s="1">
        <f>YEAR(Advices[[#This Row],[Transaction Date]])</f>
        <v>2026</v>
      </c>
      <c r="R2138" s="1"/>
    </row>
    <row r="2139" spans="1:18" x14ac:dyDescent="0.25">
      <c r="A2139" s="264" t="s">
        <v>21</v>
      </c>
      <c r="B2139" s="265">
        <v>46110</v>
      </c>
      <c r="C2139" s="264" t="s">
        <v>1951</v>
      </c>
      <c r="D2139" s="300" t="s">
        <v>4485</v>
      </c>
      <c r="E2139" s="300" t="s">
        <v>1896</v>
      </c>
      <c r="F2139" s="300" t="s">
        <v>4484</v>
      </c>
      <c r="G2139" s="264" t="s">
        <v>26</v>
      </c>
      <c r="H2139" s="368">
        <v>1250</v>
      </c>
      <c r="I2139" s="368">
        <v>0</v>
      </c>
      <c r="J2139" s="264" t="s">
        <v>1125</v>
      </c>
      <c r="K2139" s="264" t="s">
        <v>2025</v>
      </c>
      <c r="L2139" s="1" t="str">
        <f>VLOOKUP(Advices[[#This Row],[LC Number]],'Combine_List'!A:D,2,0)</f>
        <v>Saudi Perfect Pumps Trading &amp; Manufacturing Company</v>
      </c>
      <c r="M2139" s="447" t="str">
        <f>VLOOKUP(Advices[[#This Row],[LC Number]],'Combine_List'!A:D,3,0)</f>
        <v>MBL</v>
      </c>
      <c r="N2139" s="447" t="str">
        <f>VLOOKUP(Advices[[#This Row],[LC Number]],'Combine_List'!A:D,4,0)</f>
        <v>Rabigh Power Plant</v>
      </c>
      <c r="O2139" s="1"/>
      <c r="P2139" s="1">
        <f>MONTH(Advices[[#This Row],[Transaction Date]])</f>
        <v>3</v>
      </c>
      <c r="Q2139" s="1">
        <f>YEAR(Advices[[#This Row],[Transaction Date]])</f>
        <v>2026</v>
      </c>
      <c r="R2139" s="1"/>
    </row>
    <row r="2140" spans="1:18" x14ac:dyDescent="0.25">
      <c r="A2140" s="264" t="s">
        <v>21</v>
      </c>
      <c r="B2140" s="265">
        <v>46110</v>
      </c>
      <c r="C2140" s="264" t="s">
        <v>1951</v>
      </c>
      <c r="D2140" s="300" t="s">
        <v>1952</v>
      </c>
      <c r="E2140" s="300" t="s">
        <v>1896</v>
      </c>
      <c r="F2140" s="300" t="s">
        <v>4486</v>
      </c>
      <c r="G2140" s="264" t="s">
        <v>26</v>
      </c>
      <c r="H2140" s="368">
        <v>187.5</v>
      </c>
      <c r="I2140" s="368">
        <v>0</v>
      </c>
      <c r="J2140" s="264" t="s">
        <v>1174</v>
      </c>
      <c r="K2140" s="264" t="s">
        <v>2025</v>
      </c>
      <c r="L2140" s="1" t="str">
        <f>VLOOKUP(Advices[[#This Row],[LC Number]],'Combine_List'!A:D,2,0)</f>
        <v>Saudi Perfect Pumps Trading &amp; Manufacturing Company</v>
      </c>
      <c r="M2140" s="447" t="str">
        <f>VLOOKUP(Advices[[#This Row],[LC Number]],'Combine_List'!A:D,3,0)</f>
        <v>MBL</v>
      </c>
      <c r="N2140" s="447" t="str">
        <f>VLOOKUP(Advices[[#This Row],[LC Number]],'Combine_List'!A:D,4,0)</f>
        <v>Rabigh Power Plant</v>
      </c>
      <c r="O2140" s="1"/>
      <c r="P2140" s="1">
        <f>MONTH(Advices[[#This Row],[Transaction Date]])</f>
        <v>3</v>
      </c>
      <c r="Q2140" s="1">
        <f>YEAR(Advices[[#This Row],[Transaction Date]])</f>
        <v>2026</v>
      </c>
      <c r="R2140" s="1"/>
    </row>
    <row r="2141" spans="1:18" x14ac:dyDescent="0.25">
      <c r="A2141" s="264" t="s">
        <v>21</v>
      </c>
      <c r="B2141" s="265">
        <v>46110</v>
      </c>
      <c r="C2141" s="264" t="s">
        <v>1951</v>
      </c>
      <c r="D2141" s="300" t="s">
        <v>4487</v>
      </c>
      <c r="E2141" s="300" t="s">
        <v>1896</v>
      </c>
      <c r="F2141" s="300" t="s">
        <v>4486</v>
      </c>
      <c r="G2141" s="264" t="s">
        <v>26</v>
      </c>
      <c r="H2141" s="368">
        <v>1250</v>
      </c>
      <c r="I2141" s="368">
        <v>0</v>
      </c>
      <c r="J2141" s="264" t="s">
        <v>1125</v>
      </c>
      <c r="K2141" s="264" t="s">
        <v>2025</v>
      </c>
      <c r="L2141" s="1" t="str">
        <f>VLOOKUP(Advices[[#This Row],[LC Number]],'Combine_List'!A:D,2,0)</f>
        <v>Saudi Perfect Pumps Trading &amp; Manufacturing Company</v>
      </c>
      <c r="M2141" s="447" t="str">
        <f>VLOOKUP(Advices[[#This Row],[LC Number]],'Combine_List'!A:D,3,0)</f>
        <v>MBL</v>
      </c>
      <c r="N2141" s="447" t="str">
        <f>VLOOKUP(Advices[[#This Row],[LC Number]],'Combine_List'!A:D,4,0)</f>
        <v>Rabigh Power Plant</v>
      </c>
      <c r="O2141" s="1"/>
      <c r="P2141" s="1">
        <f>MONTH(Advices[[#This Row],[Transaction Date]])</f>
        <v>3</v>
      </c>
      <c r="Q2141" s="1">
        <f>YEAR(Advices[[#This Row],[Transaction Date]])</f>
        <v>2026</v>
      </c>
      <c r="R2141" s="1"/>
    </row>
    <row r="2142" spans="1:18" x14ac:dyDescent="0.25">
      <c r="A2142" s="264" t="s">
        <v>21</v>
      </c>
      <c r="B2142" s="265">
        <v>46110</v>
      </c>
      <c r="C2142" s="264" t="s">
        <v>1951</v>
      </c>
      <c r="D2142" s="300" t="s">
        <v>1952</v>
      </c>
      <c r="E2142" s="300" t="s">
        <v>1896</v>
      </c>
      <c r="F2142" s="300" t="s">
        <v>4488</v>
      </c>
      <c r="G2142" s="264" t="s">
        <v>26</v>
      </c>
      <c r="H2142" s="368">
        <v>187.5</v>
      </c>
      <c r="I2142" s="368">
        <v>0</v>
      </c>
      <c r="J2142" s="264" t="s">
        <v>1174</v>
      </c>
      <c r="K2142" s="264" t="s">
        <v>2025</v>
      </c>
      <c r="L2142" s="1" t="str">
        <f>VLOOKUP(Advices[[#This Row],[LC Number]],'Combine_List'!A:D,2,0)</f>
        <v>Saudi Perfect Pumps Trading &amp; Manufacturing Company</v>
      </c>
      <c r="M2142" s="447" t="str">
        <f>VLOOKUP(Advices[[#This Row],[LC Number]],'Combine_List'!A:D,3,0)</f>
        <v>MBL</v>
      </c>
      <c r="N2142" s="447" t="str">
        <f>VLOOKUP(Advices[[#This Row],[LC Number]],'Combine_List'!A:D,4,0)</f>
        <v>Rabigh Power Plant</v>
      </c>
      <c r="O2142" s="1"/>
      <c r="P2142" s="1">
        <f>MONTH(Advices[[#This Row],[Transaction Date]])</f>
        <v>3</v>
      </c>
      <c r="Q2142" s="1">
        <f>YEAR(Advices[[#This Row],[Transaction Date]])</f>
        <v>2026</v>
      </c>
      <c r="R2142" s="1"/>
    </row>
    <row r="2143" spans="1:18" x14ac:dyDescent="0.25">
      <c r="A2143" s="264" t="s">
        <v>21</v>
      </c>
      <c r="B2143" s="265">
        <v>46110</v>
      </c>
      <c r="C2143" s="264" t="s">
        <v>1951</v>
      </c>
      <c r="D2143" s="300" t="s">
        <v>4489</v>
      </c>
      <c r="E2143" s="300" t="s">
        <v>1896</v>
      </c>
      <c r="F2143" s="300" t="s">
        <v>4488</v>
      </c>
      <c r="G2143" s="264" t="s">
        <v>26</v>
      </c>
      <c r="H2143" s="368">
        <v>1250</v>
      </c>
      <c r="I2143" s="368">
        <v>0</v>
      </c>
      <c r="J2143" s="264" t="s">
        <v>1125</v>
      </c>
      <c r="K2143" s="264" t="s">
        <v>2025</v>
      </c>
      <c r="L2143" s="1" t="str">
        <f>VLOOKUP(Advices[[#This Row],[LC Number]],'Combine_List'!A:D,2,0)</f>
        <v>Saudi Perfect Pumps Trading &amp; Manufacturing Company</v>
      </c>
      <c r="M2143" s="447" t="str">
        <f>VLOOKUP(Advices[[#This Row],[LC Number]],'Combine_List'!A:D,3,0)</f>
        <v>MBL</v>
      </c>
      <c r="N2143" s="447" t="str">
        <f>VLOOKUP(Advices[[#This Row],[LC Number]],'Combine_List'!A:D,4,0)</f>
        <v>Rabigh Power Plant</v>
      </c>
      <c r="O2143" s="264"/>
      <c r="P2143" s="264">
        <f>MONTH(Advices[[#This Row],[Transaction Date]])</f>
        <v>3</v>
      </c>
      <c r="Q2143" s="264">
        <f>YEAR(Advices[[#This Row],[Transaction Date]])</f>
        <v>2026</v>
      </c>
      <c r="R2143" s="1"/>
    </row>
    <row r="2144" spans="1:18" x14ac:dyDescent="0.25">
      <c r="A2144" s="264" t="s">
        <v>21</v>
      </c>
      <c r="B2144" s="265">
        <v>46112</v>
      </c>
      <c r="C2144" s="264" t="s">
        <v>1951</v>
      </c>
      <c r="D2144" s="300" t="s">
        <v>1960</v>
      </c>
      <c r="E2144" s="300" t="s">
        <v>2918</v>
      </c>
      <c r="F2144" s="300" t="s">
        <v>3861</v>
      </c>
      <c r="G2144" s="264" t="s">
        <v>26</v>
      </c>
      <c r="H2144" s="368">
        <v>11.25</v>
      </c>
      <c r="I2144" s="368">
        <v>0</v>
      </c>
      <c r="J2144" s="264" t="s">
        <v>1174</v>
      </c>
      <c r="K2144" s="264" t="s">
        <v>2025</v>
      </c>
      <c r="L2144" s="1" t="str">
        <f>VLOOKUP(Advices[[#This Row],[LC Number]],'Combine_List'!A:D,2,0)</f>
        <v>Gulf Grilles Company</v>
      </c>
      <c r="M2144" s="447" t="str">
        <f>VLOOKUP(Advices[[#This Row],[LC Number]],'Combine_List'!A:D,3,0)</f>
        <v>FIRST FIX</v>
      </c>
      <c r="N2144" s="447" t="str">
        <f>VLOOKUP(Advices[[#This Row],[LC Number]],'Combine_List'!A:D,4,0)</f>
        <v>KSP</v>
      </c>
      <c r="O2144" s="1"/>
      <c r="P2144" s="1">
        <f>MONTH(Advices[[#This Row],[Transaction Date]])</f>
        <v>3</v>
      </c>
      <c r="Q2144" s="1">
        <f>YEAR(Advices[[#This Row],[Transaction Date]])</f>
        <v>2026</v>
      </c>
      <c r="R2144" s="1"/>
    </row>
    <row r="2145" spans="1:18" x14ac:dyDescent="0.25">
      <c r="A2145" s="264" t="s">
        <v>21</v>
      </c>
      <c r="B2145" s="265">
        <v>46112</v>
      </c>
      <c r="C2145" s="264" t="s">
        <v>1951</v>
      </c>
      <c r="D2145" s="300" t="s">
        <v>4505</v>
      </c>
      <c r="E2145" s="300" t="s">
        <v>2918</v>
      </c>
      <c r="F2145" s="300" t="s">
        <v>3861</v>
      </c>
      <c r="G2145" s="264" t="s">
        <v>26</v>
      </c>
      <c r="H2145" s="368">
        <v>75</v>
      </c>
      <c r="I2145" s="368">
        <v>0</v>
      </c>
      <c r="J2145" s="264" t="s">
        <v>1963</v>
      </c>
      <c r="K2145" s="264" t="s">
        <v>2025</v>
      </c>
      <c r="L2145" s="1" t="str">
        <f>VLOOKUP(Advices[[#This Row],[LC Number]],'Combine_List'!A:D,2,0)</f>
        <v>Gulf Grilles Company</v>
      </c>
      <c r="M2145" s="447" t="str">
        <f>VLOOKUP(Advices[[#This Row],[LC Number]],'Combine_List'!A:D,3,0)</f>
        <v>FIRST FIX</v>
      </c>
      <c r="N2145" s="447" t="str">
        <f>VLOOKUP(Advices[[#This Row],[LC Number]],'Combine_List'!A:D,4,0)</f>
        <v>KSP</v>
      </c>
      <c r="O2145" s="1"/>
      <c r="P2145" s="1">
        <f>MONTH(Advices[[#This Row],[Transaction Date]])</f>
        <v>3</v>
      </c>
      <c r="Q2145" s="1">
        <f>YEAR(Advices[[#This Row],[Transaction Date]])</f>
        <v>2026</v>
      </c>
      <c r="R2145" s="1"/>
    </row>
    <row r="2146" spans="1:18" x14ac:dyDescent="0.25">
      <c r="A2146" s="264" t="s">
        <v>21</v>
      </c>
      <c r="B2146" s="265">
        <v>46112</v>
      </c>
      <c r="C2146" s="264" t="s">
        <v>1951</v>
      </c>
      <c r="D2146" s="300" t="s">
        <v>4506</v>
      </c>
      <c r="E2146" s="300" t="s">
        <v>2918</v>
      </c>
      <c r="F2146" s="300" t="s">
        <v>3861</v>
      </c>
      <c r="G2146" s="264" t="s">
        <v>26</v>
      </c>
      <c r="H2146" s="368">
        <v>2044458.32</v>
      </c>
      <c r="I2146" s="368">
        <v>0</v>
      </c>
      <c r="J2146" s="264" t="s">
        <v>1126</v>
      </c>
      <c r="K2146" s="264" t="s">
        <v>2025</v>
      </c>
      <c r="L2146" s="1" t="str">
        <f>VLOOKUP(Advices[[#This Row],[LC Number]],'Combine_List'!A:D,2,0)</f>
        <v>Gulf Grilles Company</v>
      </c>
      <c r="M2146" s="447" t="str">
        <f>VLOOKUP(Advices[[#This Row],[LC Number]],'Combine_List'!A:D,3,0)</f>
        <v>FIRST FIX</v>
      </c>
      <c r="N2146" s="447" t="str">
        <f>VLOOKUP(Advices[[#This Row],[LC Number]],'Combine_List'!A:D,4,0)</f>
        <v>KSP</v>
      </c>
      <c r="O2146" s="1"/>
      <c r="P2146" s="1">
        <f>MONTH(Advices[[#This Row],[Transaction Date]])</f>
        <v>3</v>
      </c>
      <c r="Q2146" s="1">
        <f>YEAR(Advices[[#This Row],[Transaction Date]])</f>
        <v>2026</v>
      </c>
      <c r="R2146" s="1"/>
    </row>
    <row r="2147" spans="1:18" x14ac:dyDescent="0.25">
      <c r="A2147" s="264" t="s">
        <v>21</v>
      </c>
      <c r="B2147" s="265">
        <v>46112</v>
      </c>
      <c r="C2147" s="264" t="s">
        <v>1951</v>
      </c>
      <c r="D2147" s="300" t="s">
        <v>4507</v>
      </c>
      <c r="E2147" s="300" t="s">
        <v>4055</v>
      </c>
      <c r="F2147" s="300" t="s">
        <v>4059</v>
      </c>
      <c r="G2147" s="264" t="s">
        <v>26</v>
      </c>
      <c r="H2147" s="368">
        <v>37.5</v>
      </c>
      <c r="I2147" s="368">
        <v>0</v>
      </c>
      <c r="J2147" s="264" t="s">
        <v>1174</v>
      </c>
      <c r="K2147" s="264" t="s">
        <v>2025</v>
      </c>
      <c r="L2147" s="1" t="str">
        <f>VLOOKUP(Advices[[#This Row],[LC Number]],'Combine_List'!A:D,2,0)</f>
        <v>The Fundamental Installation For Electric Work Co</v>
      </c>
      <c r="M2147" s="447" t="str">
        <f>VLOOKUP(Advices[[#This Row],[LC Number]],'Combine_List'!A:D,3,0)</f>
        <v>FIRST FIX</v>
      </c>
      <c r="N2147" s="447" t="str">
        <f>VLOOKUP(Advices[[#This Row],[LC Number]],'Combine_List'!A:D,4,0)</f>
        <v>ADF</v>
      </c>
      <c r="O2147" s="1"/>
      <c r="P2147" s="1">
        <f>MONTH(Advices[[#This Row],[Transaction Date]])</f>
        <v>3</v>
      </c>
      <c r="Q2147" s="1">
        <f>YEAR(Advices[[#This Row],[Transaction Date]])</f>
        <v>2026</v>
      </c>
      <c r="R2147" s="1"/>
    </row>
    <row r="2148" spans="1:18" x14ac:dyDescent="0.25">
      <c r="A2148" s="264" t="s">
        <v>21</v>
      </c>
      <c r="B2148" s="265">
        <v>46112</v>
      </c>
      <c r="C2148" s="264" t="s">
        <v>1951</v>
      </c>
      <c r="D2148" s="300" t="s">
        <v>4061</v>
      </c>
      <c r="E2148" s="300" t="s">
        <v>4055</v>
      </c>
      <c r="F2148" s="300" t="s">
        <v>4059</v>
      </c>
      <c r="G2148" s="264" t="s">
        <v>26</v>
      </c>
      <c r="H2148" s="368">
        <v>250</v>
      </c>
      <c r="I2148" s="368">
        <v>0</v>
      </c>
      <c r="J2148" s="264" t="s">
        <v>1963</v>
      </c>
      <c r="K2148" s="264" t="s">
        <v>2025</v>
      </c>
      <c r="L2148" s="1" t="str">
        <f>VLOOKUP(Advices[[#This Row],[LC Number]],'Combine_List'!A:D,2,0)</f>
        <v>The Fundamental Installation For Electric Work Co</v>
      </c>
      <c r="M2148" s="447" t="str">
        <f>VLOOKUP(Advices[[#This Row],[LC Number]],'Combine_List'!A:D,3,0)</f>
        <v>FIRST FIX</v>
      </c>
      <c r="N2148" s="447" t="str">
        <f>VLOOKUP(Advices[[#This Row],[LC Number]],'Combine_List'!A:D,4,0)</f>
        <v>ADF</v>
      </c>
      <c r="O2148" s="1"/>
      <c r="P2148" s="1">
        <f>MONTH(Advices[[#This Row],[Transaction Date]])</f>
        <v>3</v>
      </c>
      <c r="Q2148" s="1">
        <f>YEAR(Advices[[#This Row],[Transaction Date]])</f>
        <v>2026</v>
      </c>
      <c r="R2148" s="1"/>
    </row>
    <row r="2149" spans="1:18" x14ac:dyDescent="0.25">
      <c r="A2149" s="264" t="s">
        <v>21</v>
      </c>
      <c r="B2149" s="265">
        <v>46112</v>
      </c>
      <c r="C2149" s="264" t="s">
        <v>1951</v>
      </c>
      <c r="D2149" s="300" t="s">
        <v>4507</v>
      </c>
      <c r="E2149" s="300" t="s">
        <v>4055</v>
      </c>
      <c r="F2149" s="300" t="s">
        <v>4059</v>
      </c>
      <c r="G2149" s="264" t="s">
        <v>26</v>
      </c>
      <c r="H2149" s="368">
        <v>1200</v>
      </c>
      <c r="I2149" s="368">
        <v>0</v>
      </c>
      <c r="J2149" s="264" t="s">
        <v>1174</v>
      </c>
      <c r="K2149" s="264" t="s">
        <v>2025</v>
      </c>
      <c r="L2149" s="1" t="str">
        <f>VLOOKUP(Advices[[#This Row],[LC Number]],'Combine_List'!A:D,2,0)</f>
        <v>The Fundamental Installation For Electric Work Co</v>
      </c>
      <c r="M2149" s="447" t="str">
        <f>VLOOKUP(Advices[[#This Row],[LC Number]],'Combine_List'!A:D,3,0)</f>
        <v>FIRST FIX</v>
      </c>
      <c r="N2149" s="447" t="str">
        <f>VLOOKUP(Advices[[#This Row],[LC Number]],'Combine_List'!A:D,4,0)</f>
        <v>ADF</v>
      </c>
      <c r="O2149" s="1"/>
      <c r="P2149" s="1">
        <f>MONTH(Advices[[#This Row],[Transaction Date]])</f>
        <v>3</v>
      </c>
      <c r="Q2149" s="1">
        <f>YEAR(Advices[[#This Row],[Transaction Date]])</f>
        <v>2026</v>
      </c>
      <c r="R2149" s="1"/>
    </row>
    <row r="2150" spans="1:18" x14ac:dyDescent="0.25">
      <c r="A2150" s="264" t="s">
        <v>21</v>
      </c>
      <c r="B2150" s="265">
        <v>46112</v>
      </c>
      <c r="C2150" s="264" t="s">
        <v>1951</v>
      </c>
      <c r="D2150" s="300" t="s">
        <v>4089</v>
      </c>
      <c r="E2150" s="300" t="s">
        <v>4055</v>
      </c>
      <c r="F2150" s="300" t="s">
        <v>4059</v>
      </c>
      <c r="G2150" s="264" t="s">
        <v>26</v>
      </c>
      <c r="H2150" s="368">
        <v>8000</v>
      </c>
      <c r="I2150" s="368">
        <v>0</v>
      </c>
      <c r="J2150" s="264" t="s">
        <v>1124</v>
      </c>
      <c r="K2150" s="264" t="s">
        <v>2025</v>
      </c>
      <c r="L2150" s="1" t="str">
        <f>VLOOKUP(Advices[[#This Row],[LC Number]],'Combine_List'!A:D,2,0)</f>
        <v>The Fundamental Installation For Electric Work Co</v>
      </c>
      <c r="M2150" s="447" t="str">
        <f>VLOOKUP(Advices[[#This Row],[LC Number]],'Combine_List'!A:D,3,0)</f>
        <v>FIRST FIX</v>
      </c>
      <c r="N2150" s="447" t="str">
        <f>VLOOKUP(Advices[[#This Row],[LC Number]],'Combine_List'!A:D,4,0)</f>
        <v>ADF</v>
      </c>
      <c r="O2150" s="264"/>
      <c r="P2150" s="264">
        <f>MONTH(Advices[[#This Row],[Transaction Date]])</f>
        <v>3</v>
      </c>
      <c r="Q2150" s="264">
        <f>YEAR(Advices[[#This Row],[Transaction Date]])</f>
        <v>2026</v>
      </c>
      <c r="R2150" s="1"/>
    </row>
    <row r="2151" spans="1:18" hidden="1" x14ac:dyDescent="0.25">
      <c r="A2151" s="264" t="s">
        <v>62</v>
      </c>
      <c r="B2151" s="265">
        <v>46111</v>
      </c>
      <c r="C2151" s="264" t="s">
        <v>2039</v>
      </c>
      <c r="D2151" s="300" t="s">
        <v>4508</v>
      </c>
      <c r="E2151" s="300" t="s">
        <v>1859</v>
      </c>
      <c r="F2151" s="300"/>
      <c r="G2151" s="264" t="s">
        <v>26</v>
      </c>
      <c r="H2151" s="368">
        <v>1000000</v>
      </c>
      <c r="I2151" s="368">
        <v>0</v>
      </c>
      <c r="J2151" s="264" t="s">
        <v>1126</v>
      </c>
      <c r="K2151" s="264" t="s">
        <v>2025</v>
      </c>
      <c r="L2151" s="1" t="str">
        <f>VLOOKUP(Advices[[#This Row],[LC Number]],'Combine_List'!A:D,2,0)</f>
        <v>Safid Co. Ltd.</v>
      </c>
      <c r="M2151" s="447" t="str">
        <f>VLOOKUP(Advices[[#This Row],[LC Number]],'Combine_List'!A:D,3,0)</f>
        <v>FIRST FIX</v>
      </c>
      <c r="N2151" s="447" t="str">
        <f>VLOOKUP(Advices[[#This Row],[LC Number]],'Combine_List'!A:D,4,0)</f>
        <v>Oceanarium</v>
      </c>
      <c r="O2151" s="1"/>
      <c r="P2151" s="1">
        <f>MONTH(Advices[[#This Row],[Transaction Date]])</f>
        <v>3</v>
      </c>
      <c r="Q2151" s="1">
        <f>YEAR(Advices[[#This Row],[Transaction Date]])</f>
        <v>2026</v>
      </c>
      <c r="R2151" s="1"/>
    </row>
    <row r="2152" spans="1:18" hidden="1" x14ac:dyDescent="0.25">
      <c r="A2152" s="264" t="s">
        <v>62</v>
      </c>
      <c r="B2152" s="265">
        <v>46112</v>
      </c>
      <c r="C2152" s="264" t="s">
        <v>2042</v>
      </c>
      <c r="D2152" s="300" t="s">
        <v>4509</v>
      </c>
      <c r="E2152" s="300" t="s">
        <v>2920</v>
      </c>
      <c r="F2152" s="300" t="s">
        <v>2041</v>
      </c>
      <c r="G2152" s="264" t="s">
        <v>26</v>
      </c>
      <c r="H2152" s="368">
        <v>57.5</v>
      </c>
      <c r="I2152" s="368">
        <v>0</v>
      </c>
      <c r="J2152" s="264" t="s">
        <v>4540</v>
      </c>
      <c r="K2152" s="264" t="s">
        <v>2025</v>
      </c>
      <c r="L2152" s="1" t="str">
        <f>VLOOKUP(Advices[[#This Row],[LC Number]],'Combine_List'!A:D,2,0)</f>
        <v>Advance - BRANCH OF ELSEWEDY ELECTRIC FOR POWER SYSTEMS PROJECTS</v>
      </c>
      <c r="M2152" s="447">
        <f>VLOOKUP(Advices[[#This Row],[LC Number]],'Combine_List'!A:D,3,0)</f>
        <v>0</v>
      </c>
      <c r="N2152" s="447">
        <f>VLOOKUP(Advices[[#This Row],[LC Number]],'Combine_List'!A:D,4,0)</f>
        <v>0</v>
      </c>
      <c r="O2152" s="264"/>
      <c r="P2152" s="264">
        <f>MONTH(Advices[[#This Row],[Transaction Date]])</f>
        <v>3</v>
      </c>
      <c r="Q2152" s="264">
        <f>YEAR(Advices[[#This Row],[Transaction Date]])</f>
        <v>2026</v>
      </c>
      <c r="R2152" s="1"/>
    </row>
    <row r="2153" spans="1:18" hidden="1" x14ac:dyDescent="0.25">
      <c r="A2153" s="264" t="s">
        <v>95</v>
      </c>
      <c r="B2153" s="265">
        <v>46111</v>
      </c>
      <c r="C2153" s="264" t="s">
        <v>2026</v>
      </c>
      <c r="D2153" s="300" t="s">
        <v>4510</v>
      </c>
      <c r="E2153" s="300" t="s">
        <v>3783</v>
      </c>
      <c r="F2153" s="300" t="s">
        <v>4511</v>
      </c>
      <c r="G2153" s="264" t="s">
        <v>26</v>
      </c>
      <c r="H2153" s="368">
        <v>2940.14</v>
      </c>
      <c r="I2153" s="368">
        <v>0</v>
      </c>
      <c r="J2153" s="264" t="s">
        <v>1125</v>
      </c>
      <c r="K2153" s="264" t="s">
        <v>2025</v>
      </c>
      <c r="L2153" s="1" t="str">
        <f>VLOOKUP(Advices[[#This Row],[LC Number]],'Combine_List'!A:D,2,0)</f>
        <v>Electric House Trading Company L.L.C.</v>
      </c>
      <c r="M2153" s="447" t="str">
        <f>VLOOKUP(Advices[[#This Row],[LC Number]],'Combine_List'!A:D,3,0)</f>
        <v>MBL/ICAD</v>
      </c>
      <c r="N2153" s="447" t="str">
        <f>VLOOKUP(Advices[[#This Row],[LC Number]],'Combine_List'!A:D,4,0)</f>
        <v>OPERA House</v>
      </c>
      <c r="O2153" s="1"/>
      <c r="P2153" s="1">
        <f>MONTH(Advices[[#This Row],[Transaction Date]])</f>
        <v>3</v>
      </c>
      <c r="Q2153" s="1">
        <f>YEAR(Advices[[#This Row],[Transaction Date]])</f>
        <v>2026</v>
      </c>
      <c r="R2153" s="1"/>
    </row>
    <row r="2154" spans="1:18" hidden="1" x14ac:dyDescent="0.25">
      <c r="A2154" s="264" t="s">
        <v>95</v>
      </c>
      <c r="B2154" s="265">
        <v>46111</v>
      </c>
      <c r="C2154" s="264" t="s">
        <v>2026</v>
      </c>
      <c r="D2154" s="300" t="s">
        <v>4512</v>
      </c>
      <c r="E2154" s="300" t="s">
        <v>707</v>
      </c>
      <c r="F2154" s="300" t="s">
        <v>4513</v>
      </c>
      <c r="G2154" s="264" t="s">
        <v>26</v>
      </c>
      <c r="H2154" s="368">
        <v>1270.5</v>
      </c>
      <c r="I2154" s="368">
        <v>0</v>
      </c>
      <c r="J2154" s="264" t="s">
        <v>1125</v>
      </c>
      <c r="K2154" s="264" t="s">
        <v>2025</v>
      </c>
      <c r="L2154" s="1" t="str">
        <f>VLOOKUP(Advices[[#This Row],[LC Number]],'Combine_List'!A:D,2,0)</f>
        <v>BBH-CHEMTROL INTERNATIONAL ORGANIZATION S.L</v>
      </c>
      <c r="M2154" s="447" t="str">
        <f>VLOOKUP(Advices[[#This Row],[LC Number]],'Combine_List'!A:D,3,0)</f>
        <v>MBL/ICAD</v>
      </c>
      <c r="N2154" s="447" t="str">
        <f>VLOOKUP(Advices[[#This Row],[LC Number]],'Combine_List'!A:D,4,0)</f>
        <v>OPERA House</v>
      </c>
      <c r="O2154" s="264"/>
      <c r="P2154" s="264">
        <f>MONTH(Advices[[#This Row],[Transaction Date]])</f>
        <v>3</v>
      </c>
      <c r="Q2154" s="264">
        <f>YEAR(Advices[[#This Row],[Transaction Date]])</f>
        <v>2026</v>
      </c>
      <c r="R2154" s="1"/>
    </row>
    <row r="2155" spans="1:18" hidden="1" x14ac:dyDescent="0.25">
      <c r="A2155" s="264" t="s">
        <v>366</v>
      </c>
      <c r="B2155" s="265">
        <v>46112</v>
      </c>
      <c r="C2155" s="264" t="s">
        <v>2060</v>
      </c>
      <c r="D2155" s="300" t="s">
        <v>4514</v>
      </c>
      <c r="E2155" s="300" t="s">
        <v>4491</v>
      </c>
      <c r="F2155" s="300" t="s">
        <v>4491</v>
      </c>
      <c r="G2155" s="264" t="s">
        <v>26</v>
      </c>
      <c r="H2155" s="368">
        <v>65763.929999999993</v>
      </c>
      <c r="I2155" s="368">
        <v>0</v>
      </c>
      <c r="J2155" s="264" t="s">
        <v>4541</v>
      </c>
      <c r="K2155" s="264" t="s">
        <v>2025</v>
      </c>
      <c r="L2155" s="1" t="str">
        <f>VLOOKUP(Advices[[#This Row],[LC Number]],'Combine_List'!A:D,2,0)</f>
        <v>Performance - FIFTY INVESTMENT COMPANY</v>
      </c>
      <c r="M2155" s="447" t="str">
        <f>VLOOKUP(Advices[[#This Row],[LC Number]],'Combine_List'!A:D,3,0)</f>
        <v>MBL</v>
      </c>
      <c r="N2155" s="447">
        <f>VLOOKUP(Advices[[#This Row],[LC Number]],'Combine_List'!A:D,4,0)</f>
        <v>0</v>
      </c>
      <c r="O2155" s="264"/>
      <c r="P2155" s="264">
        <f>MONTH(Advices[[#This Row],[Transaction Date]])</f>
        <v>3</v>
      </c>
      <c r="Q2155" s="264">
        <f>YEAR(Advices[[#This Row],[Transaction Date]])</f>
        <v>2026</v>
      </c>
      <c r="R2155" s="1"/>
    </row>
    <row r="2156" spans="1:18" hidden="1" x14ac:dyDescent="0.25">
      <c r="A2156" s="264" t="s">
        <v>612</v>
      </c>
      <c r="B2156" s="265">
        <v>46112</v>
      </c>
      <c r="C2156" s="264" t="s">
        <v>2101</v>
      </c>
      <c r="D2156" s="300" t="s">
        <v>4515</v>
      </c>
      <c r="E2156" s="300" t="s">
        <v>4304</v>
      </c>
      <c r="F2156" s="300" t="s">
        <v>2041</v>
      </c>
      <c r="G2156" s="264" t="s">
        <v>26</v>
      </c>
      <c r="H2156" s="368">
        <v>53000</v>
      </c>
      <c r="I2156" s="368">
        <v>0</v>
      </c>
      <c r="J2156" s="264" t="s">
        <v>1124</v>
      </c>
      <c r="K2156" s="264" t="s">
        <v>2025</v>
      </c>
      <c r="L2156" s="1" t="str">
        <f>VLOOKUP(Advices[[#This Row],[LC Number]],'Combine_List'!A:D,2,0)</f>
        <v>The Fundamental Installation For Electric Work Co</v>
      </c>
      <c r="M2156" s="447" t="str">
        <f>VLOOKUP(Advices[[#This Row],[LC Number]],'Combine_List'!A:D,3,0)</f>
        <v>FIRST FIX</v>
      </c>
      <c r="N2156" s="447" t="str">
        <f>VLOOKUP(Advices[[#This Row],[LC Number]],'Combine_List'!A:D,4,0)</f>
        <v>CEER</v>
      </c>
      <c r="O2156" s="1"/>
      <c r="P2156" s="1">
        <f>MONTH(Advices[[#This Row],[Transaction Date]])</f>
        <v>3</v>
      </c>
      <c r="Q2156" s="1">
        <f>YEAR(Advices[[#This Row],[Transaction Date]])</f>
        <v>2026</v>
      </c>
      <c r="R2156" s="1"/>
    </row>
    <row r="2157" spans="1:18" hidden="1" x14ac:dyDescent="0.25">
      <c r="A2157" s="264" t="s">
        <v>612</v>
      </c>
      <c r="B2157" s="265">
        <v>46112</v>
      </c>
      <c r="C2157" s="264" t="s">
        <v>2101</v>
      </c>
      <c r="D2157" s="300" t="s">
        <v>4516</v>
      </c>
      <c r="E2157" s="300" t="s">
        <v>4304</v>
      </c>
      <c r="F2157" s="300" t="s">
        <v>2041</v>
      </c>
      <c r="G2157" s="264" t="s">
        <v>26</v>
      </c>
      <c r="H2157" s="368">
        <v>7950</v>
      </c>
      <c r="I2157" s="368">
        <v>0</v>
      </c>
      <c r="J2157" s="264" t="s">
        <v>1174</v>
      </c>
      <c r="K2157" s="264" t="s">
        <v>2025</v>
      </c>
      <c r="L2157" s="1" t="str">
        <f>VLOOKUP(Advices[[#This Row],[LC Number]],'Combine_List'!A:D,2,0)</f>
        <v>The Fundamental Installation For Electric Work Co</v>
      </c>
      <c r="M2157" s="447" t="str">
        <f>VLOOKUP(Advices[[#This Row],[LC Number]],'Combine_List'!A:D,3,0)</f>
        <v>FIRST FIX</v>
      </c>
      <c r="N2157" s="447" t="str">
        <f>VLOOKUP(Advices[[#This Row],[LC Number]],'Combine_List'!A:D,4,0)</f>
        <v>CEER</v>
      </c>
      <c r="O2157" s="1"/>
      <c r="P2157" s="1">
        <f>MONTH(Advices[[#This Row],[Transaction Date]])</f>
        <v>3</v>
      </c>
      <c r="Q2157" s="1">
        <f>YEAR(Advices[[#This Row],[Transaction Date]])</f>
        <v>2026</v>
      </c>
      <c r="R2157" s="1"/>
    </row>
    <row r="2158" spans="1:18" hidden="1" x14ac:dyDescent="0.25">
      <c r="A2158" s="264" t="s">
        <v>612</v>
      </c>
      <c r="B2158" s="265">
        <v>46112</v>
      </c>
      <c r="C2158" s="264" t="s">
        <v>2101</v>
      </c>
      <c r="D2158" s="300" t="s">
        <v>4517</v>
      </c>
      <c r="E2158" s="300" t="s">
        <v>4304</v>
      </c>
      <c r="F2158" s="300" t="s">
        <v>2041</v>
      </c>
      <c r="G2158" s="264" t="s">
        <v>26</v>
      </c>
      <c r="H2158" s="368">
        <v>200</v>
      </c>
      <c r="I2158" s="368">
        <v>0</v>
      </c>
      <c r="J2158" s="264" t="s">
        <v>1124</v>
      </c>
      <c r="K2158" s="264" t="s">
        <v>2025</v>
      </c>
      <c r="L2158" s="1" t="str">
        <f>VLOOKUP(Advices[[#This Row],[LC Number]],'Combine_List'!A:D,2,0)</f>
        <v>The Fundamental Installation For Electric Work Co</v>
      </c>
      <c r="M2158" s="447" t="str">
        <f>VLOOKUP(Advices[[#This Row],[LC Number]],'Combine_List'!A:D,3,0)</f>
        <v>FIRST FIX</v>
      </c>
      <c r="N2158" s="447" t="str">
        <f>VLOOKUP(Advices[[#This Row],[LC Number]],'Combine_List'!A:D,4,0)</f>
        <v>CEER</v>
      </c>
      <c r="O2158" s="1"/>
      <c r="P2158" s="1">
        <f>MONTH(Advices[[#This Row],[Transaction Date]])</f>
        <v>3</v>
      </c>
      <c r="Q2158" s="1">
        <f>YEAR(Advices[[#This Row],[Transaction Date]])</f>
        <v>2026</v>
      </c>
      <c r="R2158" s="1"/>
    </row>
    <row r="2159" spans="1:18" hidden="1" x14ac:dyDescent="0.25">
      <c r="A2159" s="264" t="s">
        <v>612</v>
      </c>
      <c r="B2159" s="265">
        <v>46112</v>
      </c>
      <c r="C2159" s="264" t="s">
        <v>2101</v>
      </c>
      <c r="D2159" s="300" t="s">
        <v>4518</v>
      </c>
      <c r="E2159" s="300" t="s">
        <v>4304</v>
      </c>
      <c r="F2159" s="300" t="s">
        <v>2041</v>
      </c>
      <c r="G2159" s="264" t="s">
        <v>26</v>
      </c>
      <c r="H2159" s="368">
        <v>30</v>
      </c>
      <c r="I2159" s="368">
        <v>0</v>
      </c>
      <c r="J2159" s="264" t="s">
        <v>1174</v>
      </c>
      <c r="K2159" s="264" t="s">
        <v>2025</v>
      </c>
      <c r="L2159" s="1" t="str">
        <f>VLOOKUP(Advices[[#This Row],[LC Number]],'Combine_List'!A:D,2,0)</f>
        <v>The Fundamental Installation For Electric Work Co</v>
      </c>
      <c r="M2159" s="447" t="str">
        <f>VLOOKUP(Advices[[#This Row],[LC Number]],'Combine_List'!A:D,3,0)</f>
        <v>FIRST FIX</v>
      </c>
      <c r="N2159" s="447" t="str">
        <f>VLOOKUP(Advices[[#This Row],[LC Number]],'Combine_List'!A:D,4,0)</f>
        <v>CEER</v>
      </c>
      <c r="O2159" s="1"/>
      <c r="P2159" s="1">
        <f>MONTH(Advices[[#This Row],[Transaction Date]])</f>
        <v>3</v>
      </c>
      <c r="Q2159" s="1">
        <f>YEAR(Advices[[#This Row],[Transaction Date]])</f>
        <v>2026</v>
      </c>
      <c r="R2159" s="1"/>
    </row>
    <row r="2160" spans="1:18" hidden="1" x14ac:dyDescent="0.25">
      <c r="A2160" s="264" t="s">
        <v>612</v>
      </c>
      <c r="B2160" s="265">
        <v>46112</v>
      </c>
      <c r="C2160" s="264" t="s">
        <v>2101</v>
      </c>
      <c r="D2160" s="395" t="s">
        <v>4519</v>
      </c>
      <c r="E2160" s="300" t="s">
        <v>4388</v>
      </c>
      <c r="F2160" s="300" t="s">
        <v>4388</v>
      </c>
      <c r="G2160" s="264" t="s">
        <v>26</v>
      </c>
      <c r="H2160" s="368">
        <v>0</v>
      </c>
      <c r="I2160" s="368">
        <v>17424.66</v>
      </c>
      <c r="J2160" s="264" t="s">
        <v>2793</v>
      </c>
      <c r="K2160" s="264" t="s">
        <v>2025</v>
      </c>
      <c r="L2160" s="1" t="str">
        <f>VLOOKUP(Advices[[#This Row],[LC Number]],'Combine_List'!A:D,2,0)</f>
        <v>Bid - CLUSTER 2 AIRPORT COMPANY</v>
      </c>
      <c r="M2160" s="447" t="str">
        <f>VLOOKUP(Advices[[#This Row],[LC Number]],'Combine_List'!A:D,3,0)</f>
        <v>MBL</v>
      </c>
      <c r="N2160" s="447">
        <f>VLOOKUP(Advices[[#This Row],[LC Number]],'Combine_List'!A:D,4,0)</f>
        <v>0</v>
      </c>
      <c r="O2160" s="1"/>
      <c r="P2160" s="1">
        <f>MONTH(Advices[[#This Row],[Transaction Date]])</f>
        <v>3</v>
      </c>
      <c r="Q2160" s="1">
        <f>YEAR(Advices[[#This Row],[Transaction Date]])</f>
        <v>2026</v>
      </c>
      <c r="R2160" s="1"/>
    </row>
    <row r="2161" spans="1:18" hidden="1" x14ac:dyDescent="0.25">
      <c r="A2161" s="264" t="s">
        <v>612</v>
      </c>
      <c r="B2161" s="265">
        <v>46112</v>
      </c>
      <c r="C2161" s="264" t="s">
        <v>2101</v>
      </c>
      <c r="D2161" s="300" t="s">
        <v>4520</v>
      </c>
      <c r="E2161" s="300" t="s">
        <v>4388</v>
      </c>
      <c r="F2161" s="300" t="s">
        <v>4388</v>
      </c>
      <c r="G2161" s="264" t="s">
        <v>26</v>
      </c>
      <c r="H2161" s="368">
        <v>0</v>
      </c>
      <c r="I2161" s="368">
        <v>2613.6999999999998</v>
      </c>
      <c r="J2161" s="264" t="s">
        <v>2793</v>
      </c>
      <c r="K2161" s="264" t="s">
        <v>2025</v>
      </c>
      <c r="L2161" s="1" t="str">
        <f>VLOOKUP(Advices[[#This Row],[LC Number]],'Combine_List'!A:D,2,0)</f>
        <v>Bid - CLUSTER 2 AIRPORT COMPANY</v>
      </c>
      <c r="M2161" s="447" t="str">
        <f>VLOOKUP(Advices[[#This Row],[LC Number]],'Combine_List'!A:D,3,0)</f>
        <v>MBL</v>
      </c>
      <c r="N2161" s="447">
        <f>VLOOKUP(Advices[[#This Row],[LC Number]],'Combine_List'!A:D,4,0)</f>
        <v>0</v>
      </c>
      <c r="O2161" s="1"/>
      <c r="P2161" s="1">
        <f>MONTH(Advices[[#This Row],[Transaction Date]])</f>
        <v>3</v>
      </c>
      <c r="Q2161" s="1">
        <f>YEAR(Advices[[#This Row],[Transaction Date]])</f>
        <v>2026</v>
      </c>
      <c r="R2161" s="1"/>
    </row>
    <row r="2162" spans="1:18" hidden="1" x14ac:dyDescent="0.25">
      <c r="A2162" s="264" t="s">
        <v>612</v>
      </c>
      <c r="B2162" s="265">
        <v>46112</v>
      </c>
      <c r="C2162" s="264" t="s">
        <v>2101</v>
      </c>
      <c r="D2162" s="300" t="s">
        <v>4521</v>
      </c>
      <c r="E2162" s="300" t="s">
        <v>4388</v>
      </c>
      <c r="F2162" s="300" t="s">
        <v>4388</v>
      </c>
      <c r="G2162" s="264" t="s">
        <v>26</v>
      </c>
      <c r="H2162" s="368">
        <v>0</v>
      </c>
      <c r="I2162" s="368">
        <v>5000</v>
      </c>
      <c r="J2162" s="264" t="s">
        <v>2793</v>
      </c>
      <c r="K2162" s="264" t="s">
        <v>2025</v>
      </c>
      <c r="L2162" s="1" t="str">
        <f>VLOOKUP(Advices[[#This Row],[LC Number]],'Combine_List'!A:D,2,0)</f>
        <v>Bid - CLUSTER 2 AIRPORT COMPANY</v>
      </c>
      <c r="M2162" s="447" t="str">
        <f>VLOOKUP(Advices[[#This Row],[LC Number]],'Combine_List'!A:D,3,0)</f>
        <v>MBL</v>
      </c>
      <c r="N2162" s="447">
        <f>VLOOKUP(Advices[[#This Row],[LC Number]],'Combine_List'!A:D,4,0)</f>
        <v>0</v>
      </c>
      <c r="O2162" s="1"/>
      <c r="P2162" s="1">
        <f>MONTH(Advices[[#This Row],[Transaction Date]])</f>
        <v>3</v>
      </c>
      <c r="Q2162" s="1">
        <f>YEAR(Advices[[#This Row],[Transaction Date]])</f>
        <v>2026</v>
      </c>
      <c r="R2162" s="1"/>
    </row>
    <row r="2163" spans="1:18" hidden="1" x14ac:dyDescent="0.25">
      <c r="A2163" s="264" t="s">
        <v>612</v>
      </c>
      <c r="B2163" s="265">
        <v>46112</v>
      </c>
      <c r="C2163" s="264" t="s">
        <v>2101</v>
      </c>
      <c r="D2163" s="300" t="s">
        <v>4522</v>
      </c>
      <c r="E2163" s="300" t="s">
        <v>4388</v>
      </c>
      <c r="F2163" s="300" t="s">
        <v>4388</v>
      </c>
      <c r="G2163" s="264" t="s">
        <v>26</v>
      </c>
      <c r="H2163" s="368">
        <v>0</v>
      </c>
      <c r="I2163" s="368">
        <v>750</v>
      </c>
      <c r="J2163" s="264" t="s">
        <v>2793</v>
      </c>
      <c r="K2163" s="264" t="s">
        <v>2025</v>
      </c>
      <c r="L2163" s="1" t="str">
        <f>VLOOKUP(Advices[[#This Row],[LC Number]],'Combine_List'!A:D,2,0)</f>
        <v>Bid - CLUSTER 2 AIRPORT COMPANY</v>
      </c>
      <c r="M2163" s="447" t="str">
        <f>VLOOKUP(Advices[[#This Row],[LC Number]],'Combine_List'!A:D,3,0)</f>
        <v>MBL</v>
      </c>
      <c r="N2163" s="447">
        <f>VLOOKUP(Advices[[#This Row],[LC Number]],'Combine_List'!A:D,4,0)</f>
        <v>0</v>
      </c>
      <c r="O2163" s="1"/>
      <c r="P2163" s="1">
        <f>MONTH(Advices[[#This Row],[Transaction Date]])</f>
        <v>3</v>
      </c>
      <c r="Q2163" s="1">
        <f>YEAR(Advices[[#This Row],[Transaction Date]])</f>
        <v>2026</v>
      </c>
      <c r="R2163" s="1"/>
    </row>
    <row r="2164" spans="1:18" hidden="1" x14ac:dyDescent="0.25">
      <c r="A2164" s="264" t="s">
        <v>612</v>
      </c>
      <c r="B2164" s="265">
        <v>46112</v>
      </c>
      <c r="C2164" s="264" t="s">
        <v>2101</v>
      </c>
      <c r="D2164" s="300" t="s">
        <v>4523</v>
      </c>
      <c r="E2164" s="300" t="s">
        <v>4388</v>
      </c>
      <c r="F2164" s="300" t="s">
        <v>4388</v>
      </c>
      <c r="G2164" s="264" t="s">
        <v>26</v>
      </c>
      <c r="H2164" s="368">
        <v>5000</v>
      </c>
      <c r="I2164" s="368">
        <v>0</v>
      </c>
      <c r="J2164" s="264" t="s">
        <v>2793</v>
      </c>
      <c r="K2164" s="264" t="s">
        <v>2025</v>
      </c>
      <c r="L2164" s="1" t="str">
        <f>VLOOKUP(Advices[[#This Row],[LC Number]],'Combine_List'!A:D,2,0)</f>
        <v>Bid - CLUSTER 2 AIRPORT COMPANY</v>
      </c>
      <c r="M2164" s="447" t="str">
        <f>VLOOKUP(Advices[[#This Row],[LC Number]],'Combine_List'!A:D,3,0)</f>
        <v>MBL</v>
      </c>
      <c r="N2164" s="447">
        <f>VLOOKUP(Advices[[#This Row],[LC Number]],'Combine_List'!A:D,4,0)</f>
        <v>0</v>
      </c>
      <c r="O2164" s="1"/>
      <c r="P2164" s="1">
        <f>MONTH(Advices[[#This Row],[Transaction Date]])</f>
        <v>3</v>
      </c>
      <c r="Q2164" s="1">
        <f>YEAR(Advices[[#This Row],[Transaction Date]])</f>
        <v>2026</v>
      </c>
      <c r="R2164" s="1"/>
    </row>
    <row r="2165" spans="1:18" hidden="1" x14ac:dyDescent="0.25">
      <c r="A2165" s="264" t="s">
        <v>612</v>
      </c>
      <c r="B2165" s="265">
        <v>46112</v>
      </c>
      <c r="C2165" s="264" t="s">
        <v>2101</v>
      </c>
      <c r="D2165" s="300" t="s">
        <v>4524</v>
      </c>
      <c r="E2165" s="300" t="s">
        <v>4388</v>
      </c>
      <c r="F2165" s="300" t="s">
        <v>4388</v>
      </c>
      <c r="G2165" s="264" t="s">
        <v>26</v>
      </c>
      <c r="H2165" s="368">
        <v>750</v>
      </c>
      <c r="I2165" s="368">
        <v>0</v>
      </c>
      <c r="J2165" s="264" t="s">
        <v>1174</v>
      </c>
      <c r="K2165" s="264" t="s">
        <v>2025</v>
      </c>
      <c r="L2165" s="1" t="str">
        <f>VLOOKUP(Advices[[#This Row],[LC Number]],'Combine_List'!A:D,2,0)</f>
        <v>Bid - CLUSTER 2 AIRPORT COMPANY</v>
      </c>
      <c r="M2165" s="447" t="str">
        <f>VLOOKUP(Advices[[#This Row],[LC Number]],'Combine_List'!A:D,3,0)</f>
        <v>MBL</v>
      </c>
      <c r="N2165" s="447">
        <f>VLOOKUP(Advices[[#This Row],[LC Number]],'Combine_List'!A:D,4,0)</f>
        <v>0</v>
      </c>
      <c r="O2165" s="1"/>
      <c r="P2165" s="1">
        <f>MONTH(Advices[[#This Row],[Transaction Date]])</f>
        <v>3</v>
      </c>
      <c r="Q2165" s="1">
        <f>YEAR(Advices[[#This Row],[Transaction Date]])</f>
        <v>2026</v>
      </c>
      <c r="R2165" s="1"/>
    </row>
    <row r="2166" spans="1:18" hidden="1" x14ac:dyDescent="0.25">
      <c r="A2166" s="264" t="s">
        <v>612</v>
      </c>
      <c r="B2166" s="265">
        <v>46112</v>
      </c>
      <c r="C2166" s="264" t="s">
        <v>2101</v>
      </c>
      <c r="D2166" s="300" t="s">
        <v>4525</v>
      </c>
      <c r="E2166" s="300" t="s">
        <v>4388</v>
      </c>
      <c r="F2166" s="300" t="s">
        <v>4388</v>
      </c>
      <c r="G2166" s="264" t="s">
        <v>26</v>
      </c>
      <c r="H2166" s="368">
        <v>10000</v>
      </c>
      <c r="I2166" s="368">
        <v>0</v>
      </c>
      <c r="J2166" s="264" t="s">
        <v>2793</v>
      </c>
      <c r="K2166" s="264" t="s">
        <v>2025</v>
      </c>
      <c r="L2166" s="1" t="str">
        <f>VLOOKUP(Advices[[#This Row],[LC Number]],'Combine_List'!A:D,2,0)</f>
        <v>Bid - CLUSTER 2 AIRPORT COMPANY</v>
      </c>
      <c r="M2166" s="447" t="str">
        <f>VLOOKUP(Advices[[#This Row],[LC Number]],'Combine_List'!A:D,3,0)</f>
        <v>MBL</v>
      </c>
      <c r="N2166" s="447">
        <f>VLOOKUP(Advices[[#This Row],[LC Number]],'Combine_List'!A:D,4,0)</f>
        <v>0</v>
      </c>
      <c r="O2166" s="1"/>
      <c r="P2166" s="1">
        <f>MONTH(Advices[[#This Row],[Transaction Date]])</f>
        <v>3</v>
      </c>
      <c r="Q2166" s="1">
        <f>YEAR(Advices[[#This Row],[Transaction Date]])</f>
        <v>2026</v>
      </c>
      <c r="R2166" s="1"/>
    </row>
    <row r="2167" spans="1:18" hidden="1" x14ac:dyDescent="0.25">
      <c r="A2167" s="264" t="s">
        <v>612</v>
      </c>
      <c r="B2167" s="265">
        <v>46112</v>
      </c>
      <c r="C2167" s="264" t="s">
        <v>2101</v>
      </c>
      <c r="D2167" s="300" t="s">
        <v>4526</v>
      </c>
      <c r="E2167" s="300" t="s">
        <v>4388</v>
      </c>
      <c r="F2167" s="300" t="s">
        <v>4388</v>
      </c>
      <c r="G2167" s="264" t="s">
        <v>26</v>
      </c>
      <c r="H2167" s="368">
        <v>1500</v>
      </c>
      <c r="I2167" s="368">
        <v>0</v>
      </c>
      <c r="J2167" s="264" t="s">
        <v>1174</v>
      </c>
      <c r="K2167" s="264" t="s">
        <v>2025</v>
      </c>
      <c r="L2167" s="1" t="str">
        <f>VLOOKUP(Advices[[#This Row],[LC Number]],'Combine_List'!A:D,2,0)</f>
        <v>Bid - CLUSTER 2 AIRPORT COMPANY</v>
      </c>
      <c r="M2167" s="447" t="str">
        <f>VLOOKUP(Advices[[#This Row],[LC Number]],'Combine_List'!A:D,3,0)</f>
        <v>MBL</v>
      </c>
      <c r="N2167" s="447">
        <f>VLOOKUP(Advices[[#This Row],[LC Number]],'Combine_List'!A:D,4,0)</f>
        <v>0</v>
      </c>
      <c r="O2167" s="264"/>
      <c r="P2167" s="264">
        <f>MONTH(Advices[[#This Row],[Transaction Date]])</f>
        <v>3</v>
      </c>
      <c r="Q2167" s="264">
        <f>YEAR(Advices[[#This Row],[Transaction Date]])</f>
        <v>2026</v>
      </c>
      <c r="R2167" s="1"/>
    </row>
    <row r="2168" spans="1:18" hidden="1" x14ac:dyDescent="0.25">
      <c r="A2168" s="264" t="s">
        <v>3764</v>
      </c>
      <c r="B2168" s="265">
        <v>46071</v>
      </c>
      <c r="C2168" s="264" t="s">
        <v>4531</v>
      </c>
      <c r="D2168" s="300" t="s">
        <v>4532</v>
      </c>
      <c r="E2168" s="300" t="s">
        <v>4112</v>
      </c>
      <c r="F2168" s="300" t="s">
        <v>4533</v>
      </c>
      <c r="G2168" s="264" t="s">
        <v>26</v>
      </c>
      <c r="H2168" s="368">
        <v>673180</v>
      </c>
      <c r="I2168" s="368">
        <v>0</v>
      </c>
      <c r="J2168" s="264" t="s">
        <v>4038</v>
      </c>
      <c r="K2168" s="264" t="s">
        <v>2025</v>
      </c>
      <c r="L2168" s="1" t="str">
        <f>VLOOKUP(Advices[[#This Row],[LC Number]],'Combine_List'!A:D,2,0)</f>
        <v>Performance - AUTOMOTIVE SECTOR DEVELOPMENT INVESTMENT COMPANY (CEER 2)</v>
      </c>
      <c r="M2168" s="447" t="str">
        <f>VLOOKUP(Advices[[#This Row],[LC Number]],'Combine_List'!A:D,3,0)</f>
        <v>MBL</v>
      </c>
      <c r="N2168" s="447" t="str">
        <f>VLOOKUP(Advices[[#This Row],[LC Number]],'Combine_List'!A:D,4,0)</f>
        <v>CEER-2</v>
      </c>
      <c r="O2168" s="1"/>
      <c r="P2168" s="1">
        <f>MONTH(Advices[[#This Row],[Transaction Date]])</f>
        <v>2</v>
      </c>
      <c r="Q2168" s="1">
        <f>YEAR(Advices[[#This Row],[Transaction Date]])</f>
        <v>2026</v>
      </c>
      <c r="R2168" s="1"/>
    </row>
    <row r="2169" spans="1:18" hidden="1" x14ac:dyDescent="0.25">
      <c r="A2169" s="264" t="s">
        <v>3764</v>
      </c>
      <c r="B2169" s="265">
        <v>46072</v>
      </c>
      <c r="C2169" s="264" t="s">
        <v>4531</v>
      </c>
      <c r="D2169" s="300" t="s">
        <v>4534</v>
      </c>
      <c r="E2169" s="300" t="s">
        <v>4112</v>
      </c>
      <c r="F2169" s="300" t="s">
        <v>4535</v>
      </c>
      <c r="G2169" s="264" t="s">
        <v>26</v>
      </c>
      <c r="H2169" s="368">
        <v>575</v>
      </c>
      <c r="I2169" s="368">
        <v>0</v>
      </c>
      <c r="J2169" s="264" t="s">
        <v>4038</v>
      </c>
      <c r="K2169" s="264" t="s">
        <v>2025</v>
      </c>
      <c r="L2169" s="1" t="str">
        <f>VLOOKUP(Advices[[#This Row],[LC Number]],'Combine_List'!A:D,2,0)</f>
        <v>Performance - AUTOMOTIVE SECTOR DEVELOPMENT INVESTMENT COMPANY (CEER 2)</v>
      </c>
      <c r="M2169" s="447" t="str">
        <f>VLOOKUP(Advices[[#This Row],[LC Number]],'Combine_List'!A:D,3,0)</f>
        <v>MBL</v>
      </c>
      <c r="N2169" s="447" t="str">
        <f>VLOOKUP(Advices[[#This Row],[LC Number]],'Combine_List'!A:D,4,0)</f>
        <v>CEER-2</v>
      </c>
      <c r="O2169" s="264"/>
      <c r="P2169" s="264">
        <f>MONTH(Advices[[#This Row],[Transaction Date]])</f>
        <v>2</v>
      </c>
      <c r="Q2169" s="264">
        <f>YEAR(Advices[[#This Row],[Transaction Date]])</f>
        <v>2026</v>
      </c>
      <c r="R2169" s="1"/>
    </row>
    <row r="2170" spans="1:18" hidden="1" x14ac:dyDescent="0.25">
      <c r="A2170" s="264" t="s">
        <v>3764</v>
      </c>
      <c r="B2170" s="265">
        <v>46086</v>
      </c>
      <c r="C2170" s="13" t="s">
        <v>4531</v>
      </c>
      <c r="D2170" s="1" t="s">
        <v>4536</v>
      </c>
      <c r="E2170" s="1" t="s">
        <v>4256</v>
      </c>
      <c r="F2170" s="1" t="s">
        <v>4537</v>
      </c>
      <c r="G2170" s="13" t="s">
        <v>26</v>
      </c>
      <c r="H2170" s="13">
        <v>695619</v>
      </c>
      <c r="I2170" s="13">
        <v>0</v>
      </c>
      <c r="J2170" s="264" t="s">
        <v>4039</v>
      </c>
      <c r="K2170" s="1" t="s">
        <v>2025</v>
      </c>
      <c r="L2170" s="1" t="str">
        <f>VLOOKUP(Advices[[#This Row],[LC Number]],'Combine_List'!A:D,2,0)</f>
        <v>Advance - AUTOMOTIVE SECTOR DEVELOPMENT INVESTMENT COMPANY (CEER 2)</v>
      </c>
      <c r="M2170" s="447" t="str">
        <f>VLOOKUP(Advices[[#This Row],[LC Number]],'Combine_List'!A:D,3,0)</f>
        <v>MBL</v>
      </c>
      <c r="N2170" s="447" t="str">
        <f>VLOOKUP(Advices[[#This Row],[LC Number]],'Combine_List'!A:D,4,0)</f>
        <v>CEER-2</v>
      </c>
      <c r="O2170" s="1"/>
      <c r="P2170" s="1">
        <f>MONTH(Advices[[#This Row],[Transaction Date]])</f>
        <v>3</v>
      </c>
      <c r="Q2170" s="1">
        <f>YEAR(Advices[[#This Row],[Transaction Date]])</f>
        <v>2026</v>
      </c>
      <c r="R2170" s="1"/>
    </row>
    <row r="2171" spans="1:18" hidden="1" x14ac:dyDescent="0.25">
      <c r="A2171" s="264" t="s">
        <v>3764</v>
      </c>
      <c r="B2171" s="265">
        <v>46086</v>
      </c>
      <c r="C2171" s="266" t="s">
        <v>4531</v>
      </c>
      <c r="D2171" s="264" t="s">
        <v>4538</v>
      </c>
      <c r="E2171" s="264" t="s">
        <v>4257</v>
      </c>
      <c r="F2171" s="264" t="s">
        <v>4539</v>
      </c>
      <c r="G2171" s="266" t="s">
        <v>26</v>
      </c>
      <c r="H2171" s="266">
        <v>695619</v>
      </c>
      <c r="I2171" s="266">
        <v>0</v>
      </c>
      <c r="J2171" s="264" t="s">
        <v>4037</v>
      </c>
      <c r="K2171" s="264" t="s">
        <v>2025</v>
      </c>
      <c r="L2171" s="1" t="str">
        <f>VLOOKUP(Advices[[#This Row],[LC Number]],'Combine_List'!A:D,2,0)</f>
        <v>Retention - AUTOMOTIVE SECTOR DEVELOPMENT INVESTMENT COMPANY (CEER 2)</v>
      </c>
      <c r="M2171" s="447" t="str">
        <f>VLOOKUP(Advices[[#This Row],[LC Number]],'Combine_List'!A:D,3,0)</f>
        <v>MBL</v>
      </c>
      <c r="N2171" s="447" t="str">
        <f>VLOOKUP(Advices[[#This Row],[LC Number]],'Combine_List'!A:D,4,0)</f>
        <v>CEER-2</v>
      </c>
      <c r="O2171" s="264"/>
      <c r="P2171" s="264">
        <f>MONTH(Advices[[#This Row],[Transaction Date]])</f>
        <v>3</v>
      </c>
      <c r="Q2171" s="264">
        <f>YEAR(Advices[[#This Row],[Transaction Date]])</f>
        <v>2026</v>
      </c>
      <c r="R2171" s="1"/>
    </row>
    <row r="2172" spans="1:18" x14ac:dyDescent="0.25">
      <c r="A2172" s="264" t="s">
        <v>21</v>
      </c>
      <c r="B2172" s="265">
        <v>46114</v>
      </c>
      <c r="C2172" s="266" t="s">
        <v>1951</v>
      </c>
      <c r="D2172" s="264" t="s">
        <v>1960</v>
      </c>
      <c r="E2172" s="264" t="s">
        <v>1428</v>
      </c>
      <c r="F2172" s="264" t="s">
        <v>3191</v>
      </c>
      <c r="G2172" s="266" t="s">
        <v>26</v>
      </c>
      <c r="H2172" s="266">
        <v>11.25</v>
      </c>
      <c r="I2172" s="266">
        <v>0</v>
      </c>
      <c r="J2172" s="264" t="s">
        <v>1174</v>
      </c>
      <c r="K2172" s="264" t="s">
        <v>2025</v>
      </c>
      <c r="L2172" s="1" t="str">
        <f>VLOOKUP(Advices[[#This Row],[LC Number]],'Combine_List'!A:D,2,0)</f>
        <v>DAR-AL MAWARED TRADING CO.</v>
      </c>
      <c r="M2172" s="447" t="str">
        <f>VLOOKUP(Advices[[#This Row],[LC Number]],'Combine_List'!A:D,3,0)</f>
        <v>FIRST FIX</v>
      </c>
      <c r="N2172" s="447" t="str">
        <f>VLOOKUP(Advices[[#This Row],[LC Number]],'Combine_List'!A:D,4,0)</f>
        <v>KSP</v>
      </c>
      <c r="O2172" s="1"/>
      <c r="P2172" s="1">
        <f>MONTH(Advices[[#This Row],[Transaction Date]])</f>
        <v>4</v>
      </c>
      <c r="Q2172" s="1">
        <f>YEAR(Advices[[#This Row],[Transaction Date]])</f>
        <v>2026</v>
      </c>
      <c r="R2172" s="1"/>
    </row>
    <row r="2173" spans="1:18" x14ac:dyDescent="0.25">
      <c r="A2173" s="264" t="s">
        <v>21</v>
      </c>
      <c r="B2173" s="265">
        <v>46114</v>
      </c>
      <c r="C2173" s="266" t="s">
        <v>1951</v>
      </c>
      <c r="D2173" s="264" t="s">
        <v>4569</v>
      </c>
      <c r="E2173" s="264" t="s">
        <v>1428</v>
      </c>
      <c r="F2173" s="264" t="s">
        <v>3191</v>
      </c>
      <c r="G2173" s="266" t="s">
        <v>26</v>
      </c>
      <c r="H2173" s="266">
        <v>75</v>
      </c>
      <c r="I2173" s="266">
        <v>0</v>
      </c>
      <c r="J2173" s="264" t="s">
        <v>1963</v>
      </c>
      <c r="K2173" s="264" t="s">
        <v>2025</v>
      </c>
      <c r="L2173" s="1" t="str">
        <f>VLOOKUP(Advices[[#This Row],[LC Number]],'Combine_List'!A:D,2,0)</f>
        <v>DAR-AL MAWARED TRADING CO.</v>
      </c>
      <c r="M2173" s="447" t="str">
        <f>VLOOKUP(Advices[[#This Row],[LC Number]],'Combine_List'!A:D,3,0)</f>
        <v>FIRST FIX</v>
      </c>
      <c r="N2173" s="447" t="str">
        <f>VLOOKUP(Advices[[#This Row],[LC Number]],'Combine_List'!A:D,4,0)</f>
        <v>KSP</v>
      </c>
      <c r="O2173" s="1"/>
      <c r="P2173" s="1">
        <f>MONTH(Advices[[#This Row],[Transaction Date]])</f>
        <v>4</v>
      </c>
      <c r="Q2173" s="1">
        <f>YEAR(Advices[[#This Row],[Transaction Date]])</f>
        <v>2026</v>
      </c>
      <c r="R2173" s="1"/>
    </row>
    <row r="2174" spans="1:18" x14ac:dyDescent="0.25">
      <c r="A2174" s="264" t="s">
        <v>21</v>
      </c>
      <c r="B2174" s="265">
        <v>46114</v>
      </c>
      <c r="C2174" s="266" t="s">
        <v>1951</v>
      </c>
      <c r="D2174" s="264" t="s">
        <v>4570</v>
      </c>
      <c r="E2174" s="264" t="s">
        <v>1428</v>
      </c>
      <c r="F2174" s="264" t="s">
        <v>3191</v>
      </c>
      <c r="G2174" s="266" t="s">
        <v>26</v>
      </c>
      <c r="H2174" s="266">
        <v>120438.35</v>
      </c>
      <c r="I2174" s="266">
        <v>0</v>
      </c>
      <c r="J2174" s="264" t="s">
        <v>1126</v>
      </c>
      <c r="K2174" s="264" t="s">
        <v>2025</v>
      </c>
      <c r="L2174" s="1" t="str">
        <f>VLOOKUP(Advices[[#This Row],[LC Number]],'Combine_List'!A:D,2,0)</f>
        <v>DAR-AL MAWARED TRADING CO.</v>
      </c>
      <c r="M2174" s="447" t="str">
        <f>VLOOKUP(Advices[[#This Row],[LC Number]],'Combine_List'!A:D,3,0)</f>
        <v>FIRST FIX</v>
      </c>
      <c r="N2174" s="447" t="str">
        <f>VLOOKUP(Advices[[#This Row],[LC Number]],'Combine_List'!A:D,4,0)</f>
        <v>KSP</v>
      </c>
      <c r="O2174" s="1"/>
      <c r="P2174" s="1">
        <f>MONTH(Advices[[#This Row],[Transaction Date]])</f>
        <v>4</v>
      </c>
      <c r="Q2174" s="1">
        <f>YEAR(Advices[[#This Row],[Transaction Date]])</f>
        <v>2026</v>
      </c>
      <c r="R2174" s="1"/>
    </row>
    <row r="2175" spans="1:18" x14ac:dyDescent="0.25">
      <c r="A2175" s="264" t="s">
        <v>21</v>
      </c>
      <c r="B2175" s="265">
        <v>46114</v>
      </c>
      <c r="C2175" s="266" t="s">
        <v>1951</v>
      </c>
      <c r="D2175" s="264" t="s">
        <v>1952</v>
      </c>
      <c r="E2175" s="264" t="s">
        <v>1767</v>
      </c>
      <c r="F2175" s="264" t="s">
        <v>4571</v>
      </c>
      <c r="G2175" s="266" t="s">
        <v>26</v>
      </c>
      <c r="H2175" s="266">
        <v>187.5</v>
      </c>
      <c r="I2175" s="266">
        <v>0</v>
      </c>
      <c r="J2175" s="264" t="s">
        <v>1174</v>
      </c>
      <c r="K2175" s="264" t="s">
        <v>2025</v>
      </c>
      <c r="L2175" s="1" t="str">
        <f>VLOOKUP(Advices[[#This Row],[LC Number]],'Combine_List'!A:D,2,0)</f>
        <v>Al Arabia Construction &amp; Building Co.</v>
      </c>
      <c r="M2175" s="447" t="str">
        <f>VLOOKUP(Advices[[#This Row],[LC Number]],'Combine_List'!A:D,3,0)</f>
        <v>MBL</v>
      </c>
      <c r="N2175" s="447" t="str">
        <f>VLOOKUP(Advices[[#This Row],[LC Number]],'Combine_List'!A:D,4,0)</f>
        <v>Rabigh Power Plant</v>
      </c>
      <c r="O2175" s="1"/>
      <c r="P2175" s="1">
        <f>MONTH(Advices[[#This Row],[Transaction Date]])</f>
        <v>4</v>
      </c>
      <c r="Q2175" s="1">
        <f>YEAR(Advices[[#This Row],[Transaction Date]])</f>
        <v>2026</v>
      </c>
      <c r="R2175" s="1"/>
    </row>
    <row r="2176" spans="1:18" x14ac:dyDescent="0.25">
      <c r="A2176" s="264" t="s">
        <v>21</v>
      </c>
      <c r="B2176" s="265">
        <v>46114</v>
      </c>
      <c r="C2176" s="266" t="s">
        <v>1951</v>
      </c>
      <c r="D2176" s="264" t="s">
        <v>4572</v>
      </c>
      <c r="E2176" s="264" t="s">
        <v>1767</v>
      </c>
      <c r="F2176" s="264" t="s">
        <v>4571</v>
      </c>
      <c r="G2176" s="266" t="s">
        <v>26</v>
      </c>
      <c r="H2176" s="266">
        <v>1250</v>
      </c>
      <c r="I2176" s="266">
        <v>0</v>
      </c>
      <c r="J2176" s="264" t="s">
        <v>1125</v>
      </c>
      <c r="K2176" s="264" t="s">
        <v>2025</v>
      </c>
      <c r="L2176" s="1" t="str">
        <f>VLOOKUP(Advices[[#This Row],[LC Number]],'Combine_List'!A:D,2,0)</f>
        <v>Al Arabia Construction &amp; Building Co.</v>
      </c>
      <c r="M2176" s="447" t="str">
        <f>VLOOKUP(Advices[[#This Row],[LC Number]],'Combine_List'!A:D,3,0)</f>
        <v>MBL</v>
      </c>
      <c r="N2176" s="447" t="str">
        <f>VLOOKUP(Advices[[#This Row],[LC Number]],'Combine_List'!A:D,4,0)</f>
        <v>Rabigh Power Plant</v>
      </c>
      <c r="O2176" s="1"/>
      <c r="P2176" s="1">
        <f>MONTH(Advices[[#This Row],[Transaction Date]])</f>
        <v>4</v>
      </c>
      <c r="Q2176" s="1">
        <f>YEAR(Advices[[#This Row],[Transaction Date]])</f>
        <v>2026</v>
      </c>
      <c r="R2176" s="1"/>
    </row>
    <row r="2177" spans="1:18" x14ac:dyDescent="0.25">
      <c r="A2177" s="264" t="s">
        <v>21</v>
      </c>
      <c r="B2177" s="265">
        <v>46114</v>
      </c>
      <c r="C2177" s="266" t="s">
        <v>1951</v>
      </c>
      <c r="D2177" s="264" t="s">
        <v>1952</v>
      </c>
      <c r="E2177" s="264" t="s">
        <v>1767</v>
      </c>
      <c r="F2177" s="264" t="s">
        <v>4573</v>
      </c>
      <c r="G2177" s="266" t="s">
        <v>26</v>
      </c>
      <c r="H2177" s="266">
        <v>187.5</v>
      </c>
      <c r="I2177" s="266">
        <v>0</v>
      </c>
      <c r="J2177" s="264" t="s">
        <v>1174</v>
      </c>
      <c r="K2177" s="264" t="s">
        <v>2025</v>
      </c>
      <c r="L2177" s="1" t="str">
        <f>VLOOKUP(Advices[[#This Row],[LC Number]],'Combine_List'!A:D,2,0)</f>
        <v>Al Arabia Construction &amp; Building Co.</v>
      </c>
      <c r="M2177" s="447" t="str">
        <f>VLOOKUP(Advices[[#This Row],[LC Number]],'Combine_List'!A:D,3,0)</f>
        <v>MBL</v>
      </c>
      <c r="N2177" s="447" t="str">
        <f>VLOOKUP(Advices[[#This Row],[LC Number]],'Combine_List'!A:D,4,0)</f>
        <v>Rabigh Power Plant</v>
      </c>
      <c r="O2177" s="1"/>
      <c r="P2177" s="1">
        <f>MONTH(Advices[[#This Row],[Transaction Date]])</f>
        <v>4</v>
      </c>
      <c r="Q2177" s="1">
        <f>YEAR(Advices[[#This Row],[Transaction Date]])</f>
        <v>2026</v>
      </c>
      <c r="R2177" s="1"/>
    </row>
    <row r="2178" spans="1:18" x14ac:dyDescent="0.25">
      <c r="A2178" s="264" t="s">
        <v>21</v>
      </c>
      <c r="B2178" s="265">
        <v>46114</v>
      </c>
      <c r="C2178" s="266" t="s">
        <v>1951</v>
      </c>
      <c r="D2178" s="264" t="s">
        <v>4572</v>
      </c>
      <c r="E2178" s="264" t="s">
        <v>1767</v>
      </c>
      <c r="F2178" s="264" t="s">
        <v>4573</v>
      </c>
      <c r="G2178" s="266" t="s">
        <v>26</v>
      </c>
      <c r="H2178" s="266">
        <v>1250</v>
      </c>
      <c r="I2178" s="266">
        <v>0</v>
      </c>
      <c r="J2178" s="264" t="s">
        <v>1125</v>
      </c>
      <c r="K2178" s="264" t="s">
        <v>2025</v>
      </c>
      <c r="L2178" s="1" t="str">
        <f>VLOOKUP(Advices[[#This Row],[LC Number]],'Combine_List'!A:D,2,0)</f>
        <v>Al Arabia Construction &amp; Building Co.</v>
      </c>
      <c r="M2178" s="447" t="str">
        <f>VLOOKUP(Advices[[#This Row],[LC Number]],'Combine_List'!A:D,3,0)</f>
        <v>MBL</v>
      </c>
      <c r="N2178" s="447" t="str">
        <f>VLOOKUP(Advices[[#This Row],[LC Number]],'Combine_List'!A:D,4,0)</f>
        <v>Rabigh Power Plant</v>
      </c>
      <c r="O2178" s="1"/>
      <c r="P2178" s="1">
        <f>MONTH(Advices[[#This Row],[Transaction Date]])</f>
        <v>4</v>
      </c>
      <c r="Q2178" s="1">
        <f>YEAR(Advices[[#This Row],[Transaction Date]])</f>
        <v>2026</v>
      </c>
      <c r="R2178" s="1"/>
    </row>
    <row r="2179" spans="1:18" x14ac:dyDescent="0.25">
      <c r="A2179" s="264" t="s">
        <v>21</v>
      </c>
      <c r="B2179" s="265">
        <v>46114</v>
      </c>
      <c r="C2179" s="266" t="s">
        <v>1951</v>
      </c>
      <c r="D2179" s="264" t="s">
        <v>4574</v>
      </c>
      <c r="E2179" s="264" t="s">
        <v>1887</v>
      </c>
      <c r="F2179" s="264" t="s">
        <v>4575</v>
      </c>
      <c r="G2179" s="266" t="s">
        <v>26</v>
      </c>
      <c r="H2179" s="266">
        <v>287.98</v>
      </c>
      <c r="I2179" s="266">
        <v>0</v>
      </c>
      <c r="J2179" s="264" t="s">
        <v>1174</v>
      </c>
      <c r="K2179" s="264" t="s">
        <v>2025</v>
      </c>
      <c r="L2179" s="1" t="str">
        <f>VLOOKUP(Advices[[#This Row],[LC Number]],'Combine_List'!A:D,2,0)</f>
        <v>Future Pipe Industries LLC</v>
      </c>
      <c r="M2179" s="447" t="str">
        <f>VLOOKUP(Advices[[#This Row],[LC Number]],'Combine_List'!A:D,3,0)</f>
        <v>MBL</v>
      </c>
      <c r="N2179" s="447" t="str">
        <f>VLOOKUP(Advices[[#This Row],[LC Number]],'Combine_List'!A:D,4,0)</f>
        <v>Rabigh Power Plant</v>
      </c>
      <c r="O2179" s="1"/>
      <c r="P2179" s="1">
        <f>MONTH(Advices[[#This Row],[Transaction Date]])</f>
        <v>4</v>
      </c>
      <c r="Q2179" s="1">
        <f>YEAR(Advices[[#This Row],[Transaction Date]])</f>
        <v>2026</v>
      </c>
      <c r="R2179" s="1"/>
    </row>
    <row r="2180" spans="1:18" x14ac:dyDescent="0.25">
      <c r="A2180" s="264" t="s">
        <v>21</v>
      </c>
      <c r="B2180" s="265">
        <v>46114</v>
      </c>
      <c r="C2180" s="266" t="s">
        <v>1951</v>
      </c>
      <c r="D2180" s="264" t="s">
        <v>4572</v>
      </c>
      <c r="E2180" s="264" t="s">
        <v>1887</v>
      </c>
      <c r="F2180" s="264" t="s">
        <v>4575</v>
      </c>
      <c r="G2180" s="266" t="s">
        <v>26</v>
      </c>
      <c r="H2180" s="266">
        <v>1919.88</v>
      </c>
      <c r="I2180" s="266">
        <v>0</v>
      </c>
      <c r="J2180" s="264"/>
      <c r="K2180" s="264" t="s">
        <v>2025</v>
      </c>
      <c r="L2180" s="1" t="str">
        <f>VLOOKUP(Advices[[#This Row],[LC Number]],'Combine_List'!A:D,2,0)</f>
        <v>Future Pipe Industries LLC</v>
      </c>
      <c r="M2180" s="447" t="str">
        <f>VLOOKUP(Advices[[#This Row],[LC Number]],'Combine_List'!A:D,3,0)</f>
        <v>MBL</v>
      </c>
      <c r="N2180" s="447" t="str">
        <f>VLOOKUP(Advices[[#This Row],[LC Number]],'Combine_List'!A:D,4,0)</f>
        <v>Rabigh Power Plant</v>
      </c>
      <c r="O2180" s="1"/>
      <c r="P2180" s="1">
        <f>MONTH(Advices[[#This Row],[Transaction Date]])</f>
        <v>4</v>
      </c>
      <c r="Q2180" s="1">
        <f>YEAR(Advices[[#This Row],[Transaction Date]])</f>
        <v>2026</v>
      </c>
      <c r="R2180" s="1"/>
    </row>
    <row r="2181" spans="1:18" x14ac:dyDescent="0.25">
      <c r="A2181" s="264" t="s">
        <v>21</v>
      </c>
      <c r="B2181" s="265">
        <v>46114</v>
      </c>
      <c r="C2181" s="266" t="s">
        <v>1951</v>
      </c>
      <c r="D2181" s="264" t="s">
        <v>4576</v>
      </c>
      <c r="E2181" s="264" t="s">
        <v>4295</v>
      </c>
      <c r="F2181" s="264" t="s">
        <v>4577</v>
      </c>
      <c r="G2181" s="266" t="s">
        <v>26</v>
      </c>
      <c r="H2181" s="299">
        <v>9375</v>
      </c>
      <c r="I2181" s="266">
        <v>0</v>
      </c>
      <c r="J2181" s="264" t="s">
        <v>1174</v>
      </c>
      <c r="K2181" s="264" t="s">
        <v>2025</v>
      </c>
      <c r="L2181" s="1" t="str">
        <f>VLOOKUP(Advices[[#This Row],[LC Number]],'Combine_List'!A:D,2,0)</f>
        <v>The Fundamental Installation For Electric Work Co</v>
      </c>
      <c r="M2181" s="447" t="str">
        <f>VLOOKUP(Advices[[#This Row],[LC Number]],'Combine_List'!A:D,3,0)</f>
        <v>FIRST FIX</v>
      </c>
      <c r="N2181" s="447" t="str">
        <f>VLOOKUP(Advices[[#This Row],[LC Number]],'Combine_List'!A:D,4,0)</f>
        <v>CEER</v>
      </c>
      <c r="O2181" s="1"/>
      <c r="P2181" s="1">
        <f>MONTH(Advices[[#This Row],[Transaction Date]])</f>
        <v>4</v>
      </c>
      <c r="Q2181" s="1">
        <f>YEAR(Advices[[#This Row],[Transaction Date]])</f>
        <v>2026</v>
      </c>
      <c r="R2181" s="1"/>
    </row>
    <row r="2182" spans="1:18" x14ac:dyDescent="0.25">
      <c r="A2182" s="264" t="s">
        <v>21</v>
      </c>
      <c r="B2182" s="265">
        <v>46114</v>
      </c>
      <c r="C2182" s="266" t="s">
        <v>1951</v>
      </c>
      <c r="D2182" s="264" t="s">
        <v>4572</v>
      </c>
      <c r="E2182" s="264" t="s">
        <v>4295</v>
      </c>
      <c r="F2182" s="264" t="s">
        <v>4577</v>
      </c>
      <c r="G2182" s="266" t="s">
        <v>26</v>
      </c>
      <c r="H2182" s="299">
        <v>62500</v>
      </c>
      <c r="I2182" s="266">
        <v>0</v>
      </c>
      <c r="J2182" s="264" t="s">
        <v>1125</v>
      </c>
      <c r="K2182" s="264" t="s">
        <v>2025</v>
      </c>
      <c r="L2182" s="1" t="str">
        <f>VLOOKUP(Advices[[#This Row],[LC Number]],'Combine_List'!A:D,2,0)</f>
        <v>The Fundamental Installation For Electric Work Co</v>
      </c>
      <c r="M2182" s="447" t="str">
        <f>VLOOKUP(Advices[[#This Row],[LC Number]],'Combine_List'!A:D,3,0)</f>
        <v>FIRST FIX</v>
      </c>
      <c r="N2182" s="447" t="str">
        <f>VLOOKUP(Advices[[#This Row],[LC Number]],'Combine_List'!A:D,4,0)</f>
        <v>CEER</v>
      </c>
      <c r="O2182" s="1"/>
      <c r="P2182" s="1">
        <f>MONTH(Advices[[#This Row],[Transaction Date]])</f>
        <v>4</v>
      </c>
      <c r="Q2182" s="1">
        <f>YEAR(Advices[[#This Row],[Transaction Date]])</f>
        <v>2026</v>
      </c>
      <c r="R2182" s="1"/>
    </row>
    <row r="2183" spans="1:18" x14ac:dyDescent="0.25">
      <c r="A2183" s="264" t="s">
        <v>21</v>
      </c>
      <c r="B2183" s="265">
        <v>46117</v>
      </c>
      <c r="C2183" s="266" t="s">
        <v>1951</v>
      </c>
      <c r="D2183" s="264" t="s">
        <v>1960</v>
      </c>
      <c r="E2183" s="264" t="s">
        <v>1489</v>
      </c>
      <c r="F2183" s="264" t="s">
        <v>3830</v>
      </c>
      <c r="G2183" s="266" t="s">
        <v>26</v>
      </c>
      <c r="H2183" s="266">
        <v>11.25</v>
      </c>
      <c r="I2183" s="266">
        <v>0</v>
      </c>
      <c r="J2183" s="264" t="s">
        <v>1174</v>
      </c>
      <c r="K2183" s="264" t="s">
        <v>2025</v>
      </c>
      <c r="L2183" s="1" t="str">
        <f>VLOOKUP(Advices[[#This Row],[LC Number]],'Combine_List'!A:D,2,0)</f>
        <v>AFAQ AL MALAZ TRADING CO. LTD</v>
      </c>
      <c r="M2183" s="447" t="str">
        <f>VLOOKUP(Advices[[#This Row],[LC Number]],'Combine_List'!A:D,3,0)</f>
        <v>FIRST FIX</v>
      </c>
      <c r="N2183" s="447" t="str">
        <f>VLOOKUP(Advices[[#This Row],[LC Number]],'Combine_List'!A:D,4,0)</f>
        <v>JCD SPMI</v>
      </c>
      <c r="O2183" s="1"/>
      <c r="P2183" s="1">
        <f>MONTH(Advices[[#This Row],[Transaction Date]])</f>
        <v>4</v>
      </c>
      <c r="Q2183" s="1">
        <f>YEAR(Advices[[#This Row],[Transaction Date]])</f>
        <v>2026</v>
      </c>
      <c r="R2183" s="1"/>
    </row>
    <row r="2184" spans="1:18" x14ac:dyDescent="0.25">
      <c r="A2184" s="264" t="s">
        <v>21</v>
      </c>
      <c r="B2184" s="265">
        <v>46117</v>
      </c>
      <c r="C2184" s="266" t="s">
        <v>1951</v>
      </c>
      <c r="D2184" s="264" t="s">
        <v>4569</v>
      </c>
      <c r="E2184" s="264" t="s">
        <v>1489</v>
      </c>
      <c r="F2184" s="264" t="s">
        <v>3830</v>
      </c>
      <c r="G2184" s="266" t="s">
        <v>26</v>
      </c>
      <c r="H2184" s="266">
        <v>75</v>
      </c>
      <c r="I2184" s="266">
        <v>0</v>
      </c>
      <c r="J2184" s="264" t="s">
        <v>1125</v>
      </c>
      <c r="K2184" s="264" t="s">
        <v>2025</v>
      </c>
      <c r="L2184" s="1" t="str">
        <f>VLOOKUP(Advices[[#This Row],[LC Number]],'Combine_List'!A:D,2,0)</f>
        <v>AFAQ AL MALAZ TRADING CO. LTD</v>
      </c>
      <c r="M2184" s="447" t="str">
        <f>VLOOKUP(Advices[[#This Row],[LC Number]],'Combine_List'!A:D,3,0)</f>
        <v>FIRST FIX</v>
      </c>
      <c r="N2184" s="447" t="str">
        <f>VLOOKUP(Advices[[#This Row],[LC Number]],'Combine_List'!A:D,4,0)</f>
        <v>JCD SPMI</v>
      </c>
      <c r="O2184" s="1"/>
      <c r="P2184" s="1">
        <f>MONTH(Advices[[#This Row],[Transaction Date]])</f>
        <v>4</v>
      </c>
      <c r="Q2184" s="1">
        <f>YEAR(Advices[[#This Row],[Transaction Date]])</f>
        <v>2026</v>
      </c>
      <c r="R2184" s="1"/>
    </row>
    <row r="2185" spans="1:18" x14ac:dyDescent="0.25">
      <c r="A2185" s="264" t="s">
        <v>21</v>
      </c>
      <c r="B2185" s="265">
        <v>46117</v>
      </c>
      <c r="C2185" s="266" t="s">
        <v>1951</v>
      </c>
      <c r="D2185" s="264" t="s">
        <v>4570</v>
      </c>
      <c r="E2185" s="264" t="s">
        <v>1489</v>
      </c>
      <c r="F2185" s="264" t="s">
        <v>3830</v>
      </c>
      <c r="G2185" s="266" t="s">
        <v>26</v>
      </c>
      <c r="H2185" s="266">
        <v>300000</v>
      </c>
      <c r="I2185" s="266">
        <v>0</v>
      </c>
      <c r="J2185" s="264" t="s">
        <v>1126</v>
      </c>
      <c r="K2185" s="264" t="s">
        <v>2025</v>
      </c>
      <c r="L2185" s="1" t="str">
        <f>VLOOKUP(Advices[[#This Row],[LC Number]],'Combine_List'!A:D,2,0)</f>
        <v>AFAQ AL MALAZ TRADING CO. LTD</v>
      </c>
      <c r="M2185" s="447" t="str">
        <f>VLOOKUP(Advices[[#This Row],[LC Number]],'Combine_List'!A:D,3,0)</f>
        <v>FIRST FIX</v>
      </c>
      <c r="N2185" s="447" t="str">
        <f>VLOOKUP(Advices[[#This Row],[LC Number]],'Combine_List'!A:D,4,0)</f>
        <v>JCD SPMI</v>
      </c>
      <c r="O2185" s="1"/>
      <c r="P2185" s="1">
        <f>MONTH(Advices[[#This Row],[Transaction Date]])</f>
        <v>4</v>
      </c>
      <c r="Q2185" s="1">
        <f>YEAR(Advices[[#This Row],[Transaction Date]])</f>
        <v>2026</v>
      </c>
      <c r="R2185" s="1"/>
    </row>
    <row r="2186" spans="1:18" x14ac:dyDescent="0.25">
      <c r="A2186" s="264" t="s">
        <v>21</v>
      </c>
      <c r="B2186" s="265">
        <v>46117</v>
      </c>
      <c r="C2186" s="266" t="s">
        <v>1951</v>
      </c>
      <c r="D2186" s="264" t="s">
        <v>1960</v>
      </c>
      <c r="E2186" s="264" t="s">
        <v>2619</v>
      </c>
      <c r="F2186" s="264" t="s">
        <v>3817</v>
      </c>
      <c r="G2186" s="266" t="s">
        <v>26</v>
      </c>
      <c r="H2186" s="266">
        <v>11.25</v>
      </c>
      <c r="I2186" s="266">
        <v>0</v>
      </c>
      <c r="J2186" s="264" t="s">
        <v>1174</v>
      </c>
      <c r="K2186" s="264" t="s">
        <v>2025</v>
      </c>
      <c r="L2186" s="1" t="str">
        <f>VLOOKUP(Advices[[#This Row],[LC Number]],'Combine_List'!A:D,2,0)</f>
        <v>AL MOUSA TRADING CO.</v>
      </c>
      <c r="M2186" s="447" t="str">
        <f>VLOOKUP(Advices[[#This Row],[LC Number]],'Combine_List'!A:D,3,0)</f>
        <v>FIRST FIX</v>
      </c>
      <c r="N2186" s="447" t="str">
        <f>VLOOKUP(Advices[[#This Row],[LC Number]],'Combine_List'!A:D,4,0)</f>
        <v>KSP</v>
      </c>
      <c r="O2186" s="1"/>
      <c r="P2186" s="1">
        <f>MONTH(Advices[[#This Row],[Transaction Date]])</f>
        <v>4</v>
      </c>
      <c r="Q2186" s="1">
        <f>YEAR(Advices[[#This Row],[Transaction Date]])</f>
        <v>2026</v>
      </c>
      <c r="R2186" s="1"/>
    </row>
    <row r="2187" spans="1:18" x14ac:dyDescent="0.25">
      <c r="A2187" s="264" t="s">
        <v>21</v>
      </c>
      <c r="B2187" s="265">
        <v>46117</v>
      </c>
      <c r="C2187" s="266" t="s">
        <v>1951</v>
      </c>
      <c r="D2187" s="264" t="s">
        <v>4569</v>
      </c>
      <c r="E2187" s="264" t="s">
        <v>2619</v>
      </c>
      <c r="F2187" s="264" t="s">
        <v>3817</v>
      </c>
      <c r="G2187" s="266" t="s">
        <v>26</v>
      </c>
      <c r="H2187" s="266">
        <v>75</v>
      </c>
      <c r="I2187" s="266">
        <v>0</v>
      </c>
      <c r="J2187" s="264"/>
      <c r="K2187" s="264" t="s">
        <v>2025</v>
      </c>
      <c r="L2187" s="1" t="str">
        <f>VLOOKUP(Advices[[#This Row],[LC Number]],'Combine_List'!A:D,2,0)</f>
        <v>AL MOUSA TRADING CO.</v>
      </c>
      <c r="M2187" s="447" t="str">
        <f>VLOOKUP(Advices[[#This Row],[LC Number]],'Combine_List'!A:D,3,0)</f>
        <v>FIRST FIX</v>
      </c>
      <c r="N2187" s="447" t="str">
        <f>VLOOKUP(Advices[[#This Row],[LC Number]],'Combine_List'!A:D,4,0)</f>
        <v>KSP</v>
      </c>
      <c r="O2187" s="1"/>
      <c r="P2187" s="1">
        <f>MONTH(Advices[[#This Row],[Transaction Date]])</f>
        <v>4</v>
      </c>
      <c r="Q2187" s="1">
        <f>YEAR(Advices[[#This Row],[Transaction Date]])</f>
        <v>2026</v>
      </c>
      <c r="R2187" s="1"/>
    </row>
    <row r="2188" spans="1:18" x14ac:dyDescent="0.25">
      <c r="A2188" s="264" t="s">
        <v>21</v>
      </c>
      <c r="B2188" s="265">
        <v>46117</v>
      </c>
      <c r="C2188" s="266" t="s">
        <v>1951</v>
      </c>
      <c r="D2188" s="264" t="s">
        <v>4570</v>
      </c>
      <c r="E2188" s="264" t="s">
        <v>2619</v>
      </c>
      <c r="F2188" s="264" t="s">
        <v>3817</v>
      </c>
      <c r="G2188" s="266" t="s">
        <v>26</v>
      </c>
      <c r="H2188" s="266">
        <v>1252435.67</v>
      </c>
      <c r="I2188" s="266">
        <v>0</v>
      </c>
      <c r="J2188" s="264"/>
      <c r="K2188" s="264" t="s">
        <v>2025</v>
      </c>
      <c r="L2188" s="1" t="str">
        <f>VLOOKUP(Advices[[#This Row],[LC Number]],'Combine_List'!A:D,2,0)</f>
        <v>AL MOUSA TRADING CO.</v>
      </c>
      <c r="M2188" s="447" t="str">
        <f>VLOOKUP(Advices[[#This Row],[LC Number]],'Combine_List'!A:D,3,0)</f>
        <v>FIRST FIX</v>
      </c>
      <c r="N2188" s="447" t="str">
        <f>VLOOKUP(Advices[[#This Row],[LC Number]],'Combine_List'!A:D,4,0)</f>
        <v>KSP</v>
      </c>
      <c r="O2188" s="264"/>
      <c r="P2188" s="264">
        <f>MONTH(Advices[[#This Row],[Transaction Date]])</f>
        <v>4</v>
      </c>
      <c r="Q2188" s="264">
        <f>YEAR(Advices[[#This Row],[Transaction Date]])</f>
        <v>2026</v>
      </c>
      <c r="R2188" s="1"/>
    </row>
    <row r="2189" spans="1:18" hidden="1" x14ac:dyDescent="0.25">
      <c r="A2189" s="264" t="s">
        <v>62</v>
      </c>
      <c r="B2189" s="265">
        <v>46113</v>
      </c>
      <c r="C2189" s="266" t="s">
        <v>2039</v>
      </c>
      <c r="D2189" s="264" t="s">
        <v>4578</v>
      </c>
      <c r="E2189" s="264" t="s">
        <v>1834</v>
      </c>
      <c r="F2189" s="264" t="s">
        <v>2041</v>
      </c>
      <c r="G2189" s="266" t="s">
        <v>26</v>
      </c>
      <c r="H2189" s="266">
        <v>3412.08</v>
      </c>
      <c r="I2189" s="266">
        <v>0</v>
      </c>
      <c r="J2189" s="264" t="s">
        <v>1125</v>
      </c>
      <c r="K2189" s="264" t="s">
        <v>2025</v>
      </c>
      <c r="L2189" s="1" t="str">
        <f>VLOOKUP(Advices[[#This Row],[LC Number]],'Combine_List'!A:D,2,0)</f>
        <v>Jiangsu Donchamp New Materials Technology Co.Ltd.</v>
      </c>
      <c r="M2189" s="447" t="str">
        <f>VLOOKUP(Advices[[#This Row],[LC Number]],'Combine_List'!A:D,3,0)</f>
        <v>MBL</v>
      </c>
      <c r="N2189" s="447" t="str">
        <f>VLOOKUP(Advices[[#This Row],[LC Number]],'Combine_List'!A:D,4,0)</f>
        <v>Oceanarium</v>
      </c>
      <c r="O2189" s="1"/>
      <c r="P2189" s="1">
        <f>MONTH(Advices[[#This Row],[Transaction Date]])</f>
        <v>4</v>
      </c>
      <c r="Q2189" s="1">
        <f>YEAR(Advices[[#This Row],[Transaction Date]])</f>
        <v>2026</v>
      </c>
      <c r="R2189" s="1"/>
    </row>
    <row r="2190" spans="1:18" hidden="1" x14ac:dyDescent="0.25">
      <c r="A2190" s="264" t="s">
        <v>62</v>
      </c>
      <c r="B2190" s="265">
        <v>46114</v>
      </c>
      <c r="C2190" s="266" t="s">
        <v>2039</v>
      </c>
      <c r="D2190" s="264" t="s">
        <v>4579</v>
      </c>
      <c r="E2190" s="264" t="s">
        <v>321</v>
      </c>
      <c r="F2190" s="264" t="s">
        <v>2041</v>
      </c>
      <c r="G2190" s="266" t="s">
        <v>26</v>
      </c>
      <c r="H2190" s="266">
        <v>2174.36</v>
      </c>
      <c r="I2190" s="266">
        <v>0</v>
      </c>
      <c r="J2190" s="264" t="s">
        <v>1125</v>
      </c>
      <c r="K2190" s="264" t="s">
        <v>2025</v>
      </c>
      <c r="L2190" s="1" t="str">
        <f>VLOOKUP(Advices[[#This Row],[LC Number]],'Combine_List'!A:D,2,0)</f>
        <v>Visio INC</v>
      </c>
      <c r="M2190" s="447" t="str">
        <f>VLOOKUP(Advices[[#This Row],[LC Number]],'Combine_List'!A:D,3,0)</f>
        <v>MBL</v>
      </c>
      <c r="N2190" s="447" t="str">
        <f>VLOOKUP(Advices[[#This Row],[LC Number]],'Combine_List'!A:D,4,0)</f>
        <v>L01-YAMMAMA</v>
      </c>
      <c r="O2190" s="1"/>
      <c r="P2190" s="1">
        <f>MONTH(Advices[[#This Row],[Transaction Date]])</f>
        <v>4</v>
      </c>
      <c r="Q2190" s="1">
        <f>YEAR(Advices[[#This Row],[Transaction Date]])</f>
        <v>2026</v>
      </c>
      <c r="R2190" s="1"/>
    </row>
    <row r="2191" spans="1:18" hidden="1" x14ac:dyDescent="0.25">
      <c r="A2191" s="264" t="s">
        <v>62</v>
      </c>
      <c r="B2191" s="265">
        <v>46114</v>
      </c>
      <c r="C2191" s="266" t="s">
        <v>2042</v>
      </c>
      <c r="D2191" s="264" t="s">
        <v>4580</v>
      </c>
      <c r="E2191" s="264" t="s">
        <v>306</v>
      </c>
      <c r="F2191" s="264" t="s">
        <v>2041</v>
      </c>
      <c r="G2191" s="266" t="s">
        <v>26</v>
      </c>
      <c r="H2191" s="266">
        <v>1657.67</v>
      </c>
      <c r="I2191" s="266">
        <v>0</v>
      </c>
      <c r="J2191" s="264" t="s">
        <v>1125</v>
      </c>
      <c r="K2191" s="264" t="s">
        <v>2025</v>
      </c>
      <c r="L2191" s="1" t="str">
        <f>VLOOKUP(Advices[[#This Row],[LC Number]],'Combine_List'!A:D,2,0)</f>
        <v>ATELIER HOSPITALITY SRL</v>
      </c>
      <c r="M2191" s="447" t="str">
        <f>VLOOKUP(Advices[[#This Row],[LC Number]],'Combine_List'!A:D,3,0)</f>
        <v>MBL</v>
      </c>
      <c r="N2191" s="447" t="str">
        <f>VLOOKUP(Advices[[#This Row],[LC Number]],'Combine_List'!A:D,4,0)</f>
        <v>L01-YAMMAMA</v>
      </c>
      <c r="O2191" s="1"/>
      <c r="P2191" s="1">
        <f>MONTH(Advices[[#This Row],[Transaction Date]])</f>
        <v>4</v>
      </c>
      <c r="Q2191" s="1">
        <f>YEAR(Advices[[#This Row],[Transaction Date]])</f>
        <v>2026</v>
      </c>
      <c r="R2191" s="1"/>
    </row>
    <row r="2192" spans="1:18" hidden="1" x14ac:dyDescent="0.25">
      <c r="A2192" s="264" t="s">
        <v>62</v>
      </c>
      <c r="B2192" s="265">
        <v>46114</v>
      </c>
      <c r="C2192" s="266" t="s">
        <v>2055</v>
      </c>
      <c r="D2192" s="264" t="s">
        <v>4581</v>
      </c>
      <c r="E2192" s="264" t="s">
        <v>1834</v>
      </c>
      <c r="F2192" s="264" t="s">
        <v>2041</v>
      </c>
      <c r="G2192" s="266" t="s">
        <v>78</v>
      </c>
      <c r="H2192" s="266">
        <v>317074.96000000002</v>
      </c>
      <c r="I2192" s="266">
        <v>0</v>
      </c>
      <c r="J2192" s="264" t="s">
        <v>1126</v>
      </c>
      <c r="K2192" s="264" t="s">
        <v>2025</v>
      </c>
      <c r="L2192" s="1" t="str">
        <f>VLOOKUP(Advices[[#This Row],[LC Number]],'Combine_List'!A:D,2,0)</f>
        <v>Jiangsu Donchamp New Materials Technology Co.Ltd.</v>
      </c>
      <c r="M2192" s="447" t="str">
        <f>VLOOKUP(Advices[[#This Row],[LC Number]],'Combine_List'!A:D,3,0)</f>
        <v>MBL</v>
      </c>
      <c r="N2192" s="447" t="str">
        <f>VLOOKUP(Advices[[#This Row],[LC Number]],'Combine_List'!A:D,4,0)</f>
        <v>Oceanarium</v>
      </c>
      <c r="O2192" s="1"/>
      <c r="P2192" s="1">
        <f>MONTH(Advices[[#This Row],[Transaction Date]])</f>
        <v>4</v>
      </c>
      <c r="Q2192" s="1">
        <f>YEAR(Advices[[#This Row],[Transaction Date]])</f>
        <v>2026</v>
      </c>
      <c r="R2192" s="1"/>
    </row>
    <row r="2193" spans="1:18" hidden="1" x14ac:dyDescent="0.25">
      <c r="A2193" s="264" t="s">
        <v>62</v>
      </c>
      <c r="B2193" s="265">
        <v>46117</v>
      </c>
      <c r="C2193" s="266" t="s">
        <v>2039</v>
      </c>
      <c r="D2193" s="264" t="s">
        <v>4582</v>
      </c>
      <c r="E2193" s="264" t="s">
        <v>3925</v>
      </c>
      <c r="F2193" s="264" t="s">
        <v>2041</v>
      </c>
      <c r="G2193" s="266" t="s">
        <v>26</v>
      </c>
      <c r="H2193" s="266">
        <v>0</v>
      </c>
      <c r="I2193" s="266">
        <v>333060.53999999998</v>
      </c>
      <c r="J2193" s="264" t="s">
        <v>1126</v>
      </c>
      <c r="K2193" s="264" t="s">
        <v>2025</v>
      </c>
      <c r="L2193" s="1" t="e">
        <f>VLOOKUP(Advices[[#This Row],[LC Number]],'Combine_List'!A:D,2,0)</f>
        <v>#N/A</v>
      </c>
      <c r="M2193" s="447" t="e">
        <f>VLOOKUP(Advices[[#This Row],[LC Number]],'Combine_List'!A:D,3,0)</f>
        <v>#N/A</v>
      </c>
      <c r="N2193" s="447" t="e">
        <f>VLOOKUP(Advices[[#This Row],[LC Number]],'Combine_List'!A:D,4,0)</f>
        <v>#N/A</v>
      </c>
      <c r="O2193" s="264"/>
      <c r="P2193" s="264">
        <f>MONTH(Advices[[#This Row],[Transaction Date]])</f>
        <v>4</v>
      </c>
      <c r="Q2193" s="264">
        <f>YEAR(Advices[[#This Row],[Transaction Date]])</f>
        <v>2026</v>
      </c>
      <c r="R2193" s="1"/>
    </row>
    <row r="2194" spans="1:18" hidden="1" x14ac:dyDescent="0.25">
      <c r="A2194" s="264" t="s">
        <v>95</v>
      </c>
      <c r="B2194" s="265">
        <v>46113</v>
      </c>
      <c r="C2194" s="266" t="s">
        <v>2026</v>
      </c>
      <c r="D2194" s="264" t="s">
        <v>3936</v>
      </c>
      <c r="E2194" s="264" t="s">
        <v>1425</v>
      </c>
      <c r="F2194" s="264" t="s">
        <v>3937</v>
      </c>
      <c r="G2194" s="266" t="s">
        <v>26</v>
      </c>
      <c r="H2194" s="266">
        <v>398773.34</v>
      </c>
      <c r="I2194" s="266">
        <v>0</v>
      </c>
      <c r="J2194" s="264" t="s">
        <v>1125</v>
      </c>
      <c r="K2194" s="264" t="s">
        <v>2025</v>
      </c>
      <c r="L2194" s="1" t="str">
        <f>VLOOKUP(Advices[[#This Row],[LC Number]],'Combine_List'!A:D,2,0)</f>
        <v>Electric House Trading Company L.L.C.</v>
      </c>
      <c r="M2194" s="447" t="str">
        <f>VLOOKUP(Advices[[#This Row],[LC Number]],'Combine_List'!A:D,3,0)</f>
        <v>FIRST FIX</v>
      </c>
      <c r="N2194" s="447" t="str">
        <f>VLOOKUP(Advices[[#This Row],[LC Number]],'Combine_List'!A:D,4,0)</f>
        <v>KSP</v>
      </c>
      <c r="O2194" s="1"/>
      <c r="P2194" s="1">
        <f>MONTH(Advices[[#This Row],[Transaction Date]])</f>
        <v>4</v>
      </c>
      <c r="Q2194" s="1">
        <f>YEAR(Advices[[#This Row],[Transaction Date]])</f>
        <v>2026</v>
      </c>
      <c r="R2194" s="1"/>
    </row>
    <row r="2195" spans="1:18" hidden="1" x14ac:dyDescent="0.25">
      <c r="A2195" s="264" t="s">
        <v>95</v>
      </c>
      <c r="B2195" s="265">
        <v>46114</v>
      </c>
      <c r="C2195" s="266" t="s">
        <v>2026</v>
      </c>
      <c r="D2195" s="264" t="s">
        <v>4583</v>
      </c>
      <c r="E2195" s="264" t="s">
        <v>1928</v>
      </c>
      <c r="F2195" s="264" t="s">
        <v>1928</v>
      </c>
      <c r="G2195" s="266" t="s">
        <v>26</v>
      </c>
      <c r="H2195" s="266">
        <v>51118.63</v>
      </c>
      <c r="I2195" s="266">
        <v>0</v>
      </c>
      <c r="J2195" s="264" t="s">
        <v>4039</v>
      </c>
      <c r="K2195" s="264" t="s">
        <v>2025</v>
      </c>
      <c r="L2195" s="1" t="str">
        <f>VLOOKUP(Advices[[#This Row],[LC Number]],'Combine_List'!A:D,2,0)</f>
        <v>Advance - ROYAL PROTOCOL CAMP</v>
      </c>
      <c r="M2195" s="447" t="str">
        <f>VLOOKUP(Advices[[#This Row],[LC Number]],'Combine_List'!A:D,3,0)</f>
        <v>MBL</v>
      </c>
      <c r="N2195" s="447">
        <f>VLOOKUP(Advices[[#This Row],[LC Number]],'Combine_List'!A:D,4,0)</f>
        <v>0</v>
      </c>
      <c r="O2195" s="264"/>
      <c r="P2195" s="264">
        <f>MONTH(Advices[[#This Row],[Transaction Date]])</f>
        <v>4</v>
      </c>
      <c r="Q2195" s="264">
        <f>YEAR(Advices[[#This Row],[Transaction Date]])</f>
        <v>2026</v>
      </c>
      <c r="R2195" s="1"/>
    </row>
    <row r="2196" spans="1:18" hidden="1" x14ac:dyDescent="0.25">
      <c r="A2196" s="264" t="s">
        <v>366</v>
      </c>
      <c r="B2196" s="265">
        <v>46113</v>
      </c>
      <c r="C2196" s="266" t="s">
        <v>2060</v>
      </c>
      <c r="D2196" s="264" t="s">
        <v>4584</v>
      </c>
      <c r="E2196" s="264" t="s">
        <v>1873</v>
      </c>
      <c r="F2196" s="264" t="s">
        <v>4585</v>
      </c>
      <c r="G2196" s="266" t="s">
        <v>26</v>
      </c>
      <c r="H2196" s="266">
        <v>3689.84</v>
      </c>
      <c r="I2196" s="266">
        <v>0</v>
      </c>
      <c r="J2196" s="264" t="s">
        <v>1125</v>
      </c>
      <c r="K2196" s="264" t="s">
        <v>2025</v>
      </c>
      <c r="L2196" s="1" t="str">
        <f>VLOOKUP(Advices[[#This Row],[LC Number]],'Combine_List'!A:D,2,0)</f>
        <v>BAHRA ADVANCED CABLE MANUFACTURE CO. LTD.</v>
      </c>
      <c r="M2196" s="447" t="str">
        <f>VLOOKUP(Advices[[#This Row],[LC Number]],'Combine_List'!A:D,3,0)</f>
        <v>FIRST FIX</v>
      </c>
      <c r="N2196" s="447" t="str">
        <f>VLOOKUP(Advices[[#This Row],[LC Number]],'Combine_List'!A:D,4,0)</f>
        <v>MP1</v>
      </c>
      <c r="O2196" s="1"/>
      <c r="P2196" s="1">
        <f>MONTH(Advices[[#This Row],[Transaction Date]])</f>
        <v>4</v>
      </c>
      <c r="Q2196" s="1">
        <f>YEAR(Advices[[#This Row],[Transaction Date]])</f>
        <v>2026</v>
      </c>
      <c r="R2196" s="1"/>
    </row>
    <row r="2197" spans="1:18" hidden="1" x14ac:dyDescent="0.25">
      <c r="A2197" s="264" t="s">
        <v>366</v>
      </c>
      <c r="B2197" s="265">
        <v>46117</v>
      </c>
      <c r="C2197" s="266" t="s">
        <v>2060</v>
      </c>
      <c r="D2197" s="264" t="s">
        <v>4586</v>
      </c>
      <c r="E2197" s="264" t="s">
        <v>3730</v>
      </c>
      <c r="F2197" s="264" t="s">
        <v>4587</v>
      </c>
      <c r="G2197" s="266" t="s">
        <v>26</v>
      </c>
      <c r="H2197" s="266">
        <v>9800.2199999999993</v>
      </c>
      <c r="I2197" s="266">
        <v>0</v>
      </c>
      <c r="J2197" s="264" t="s">
        <v>2616</v>
      </c>
      <c r="K2197" s="264" t="s">
        <v>2025</v>
      </c>
      <c r="L2197" s="1" t="str">
        <f>VLOOKUP(Advices[[#This Row],[LC Number]],'Combine_List'!A:D,2,0)</f>
        <v>Off Premises Solutions</v>
      </c>
      <c r="M2197" s="447" t="str">
        <f>VLOOKUP(Advices[[#This Row],[LC Number]],'Combine_List'!A:D,3,0)</f>
        <v>MBL / Green Roots</v>
      </c>
      <c r="N2197" s="447" t="str">
        <f>VLOOKUP(Advices[[#This Row],[LC Number]],'Combine_List'!A:D,4,0)</f>
        <v>CEER</v>
      </c>
      <c r="O2197" s="1"/>
      <c r="P2197" s="1">
        <f>MONTH(Advices[[#This Row],[Transaction Date]])</f>
        <v>4</v>
      </c>
      <c r="Q2197" s="1">
        <f>YEAR(Advices[[#This Row],[Transaction Date]])</f>
        <v>2026</v>
      </c>
      <c r="R2197" s="1"/>
    </row>
    <row r="2198" spans="1:18" hidden="1" x14ac:dyDescent="0.25">
      <c r="A2198" s="264" t="s">
        <v>366</v>
      </c>
      <c r="B2198" s="265">
        <v>46117</v>
      </c>
      <c r="C2198" s="266" t="s">
        <v>2060</v>
      </c>
      <c r="D2198" s="264" t="s">
        <v>4588</v>
      </c>
      <c r="E2198" s="264" t="s">
        <v>4393</v>
      </c>
      <c r="F2198" s="264" t="s">
        <v>4589</v>
      </c>
      <c r="G2198" s="266" t="s">
        <v>26</v>
      </c>
      <c r="H2198" s="266">
        <v>21562.5</v>
      </c>
      <c r="I2198" s="266">
        <v>0</v>
      </c>
      <c r="J2198" s="264" t="s">
        <v>2616</v>
      </c>
      <c r="K2198" s="264" t="s">
        <v>2025</v>
      </c>
      <c r="L2198" s="1" t="str">
        <f>VLOOKUP(Advices[[#This Row],[LC Number]],'Combine_List'!A:D,2,0)</f>
        <v>The Fundamental Installation For Electric Work Co</v>
      </c>
      <c r="M2198" s="447" t="str">
        <f>VLOOKUP(Advices[[#This Row],[LC Number]],'Combine_List'!A:D,3,0)</f>
        <v>FIRST FIX</v>
      </c>
      <c r="N2198" s="447" t="str">
        <f>VLOOKUP(Advices[[#This Row],[LC Number]],'Combine_List'!A:D,4,0)</f>
        <v>MP1</v>
      </c>
      <c r="O2198" s="1"/>
      <c r="P2198" s="1">
        <f>MONTH(Advices[[#This Row],[Transaction Date]])</f>
        <v>4</v>
      </c>
      <c r="Q2198" s="1">
        <f>YEAR(Advices[[#This Row],[Transaction Date]])</f>
        <v>2026</v>
      </c>
      <c r="R2198" s="1"/>
    </row>
    <row r="2199" spans="1:18" hidden="1" x14ac:dyDescent="0.25">
      <c r="A2199" s="264" t="s">
        <v>366</v>
      </c>
      <c r="B2199" s="265">
        <v>46118</v>
      </c>
      <c r="C2199" s="266" t="s">
        <v>2060</v>
      </c>
      <c r="D2199" s="264" t="s">
        <v>4590</v>
      </c>
      <c r="E2199" s="264" t="s">
        <v>2903</v>
      </c>
      <c r="F2199" s="264" t="s">
        <v>3475</v>
      </c>
      <c r="G2199" s="266" t="s">
        <v>26</v>
      </c>
      <c r="H2199" s="266">
        <v>453779.49</v>
      </c>
      <c r="I2199" s="266">
        <v>0</v>
      </c>
      <c r="J2199" s="264" t="s">
        <v>1126</v>
      </c>
      <c r="K2199" s="264" t="s">
        <v>2025</v>
      </c>
      <c r="L2199" s="1" t="str">
        <f>VLOOKUP(Advices[[#This Row],[LC Number]],'Combine_List'!A:D,2,0)</f>
        <v>Ajzal United for Safety CO.LTD.</v>
      </c>
      <c r="M2199" s="447" t="str">
        <f>VLOOKUP(Advices[[#This Row],[LC Number]],'Combine_List'!A:D,3,0)</f>
        <v>FIRST FIX</v>
      </c>
      <c r="N2199" s="447" t="str">
        <f>VLOOKUP(Advices[[#This Row],[LC Number]],'Combine_List'!A:D,4,0)</f>
        <v>MP1</v>
      </c>
      <c r="O2199" s="1"/>
      <c r="P2199" s="1">
        <f>MONTH(Advices[[#This Row],[Transaction Date]])</f>
        <v>4</v>
      </c>
      <c r="Q2199" s="1">
        <f>YEAR(Advices[[#This Row],[Transaction Date]])</f>
        <v>2026</v>
      </c>
      <c r="R2199" s="1"/>
    </row>
    <row r="2200" spans="1:18" hidden="1" x14ac:dyDescent="0.25">
      <c r="A2200" s="264" t="s">
        <v>366</v>
      </c>
      <c r="B2200" s="265">
        <v>46118</v>
      </c>
      <c r="C2200" s="266" t="s">
        <v>2060</v>
      </c>
      <c r="D2200" s="264" t="s">
        <v>4591</v>
      </c>
      <c r="E2200" s="264" t="s">
        <v>4567</v>
      </c>
      <c r="F2200" s="264" t="s">
        <v>3656</v>
      </c>
      <c r="G2200" s="266" t="s">
        <v>26</v>
      </c>
      <c r="H2200" s="266">
        <v>5836.25</v>
      </c>
      <c r="I2200" s="266">
        <v>0</v>
      </c>
      <c r="J2200" s="264" t="s">
        <v>2616</v>
      </c>
      <c r="K2200" s="264" t="s">
        <v>2025</v>
      </c>
      <c r="L2200" s="1" t="str">
        <f>VLOOKUP(Advices[[#This Row],[LC Number]],'Combine_List'!A:D,2,0)</f>
        <v>Elsewedy Cables Co. Limited</v>
      </c>
      <c r="M2200" s="447" t="str">
        <f>VLOOKUP(Advices[[#This Row],[LC Number]],'Combine_List'!A:D,3,0)</f>
        <v>FIRST FIX</v>
      </c>
      <c r="N2200" s="447" t="str">
        <f>VLOOKUP(Advices[[#This Row],[LC Number]],'Combine_List'!A:D,4,0)</f>
        <v>MP1</v>
      </c>
      <c r="O2200" s="1"/>
      <c r="P2200" s="1">
        <f>MONTH(Advices[[#This Row],[Transaction Date]])</f>
        <v>4</v>
      </c>
      <c r="Q2200" s="1">
        <f>YEAR(Advices[[#This Row],[Transaction Date]])</f>
        <v>2026</v>
      </c>
      <c r="R2200" s="1"/>
    </row>
    <row r="2201" spans="1:18" hidden="1" x14ac:dyDescent="0.25">
      <c r="A2201" s="264" t="s">
        <v>366</v>
      </c>
      <c r="B2201" s="265">
        <v>46118</v>
      </c>
      <c r="C2201" s="266" t="s">
        <v>2060</v>
      </c>
      <c r="D2201" s="264" t="s">
        <v>4592</v>
      </c>
      <c r="E2201" s="264" t="s">
        <v>4566</v>
      </c>
      <c r="F2201" s="264" t="s">
        <v>3656</v>
      </c>
      <c r="G2201" s="266" t="s">
        <v>26</v>
      </c>
      <c r="H2201" s="266">
        <v>5836.25</v>
      </c>
      <c r="I2201" s="266">
        <v>0</v>
      </c>
      <c r="J2201" s="264" t="s">
        <v>2616</v>
      </c>
      <c r="K2201" s="264" t="s">
        <v>2025</v>
      </c>
      <c r="L2201" s="1" t="str">
        <f>VLOOKUP(Advices[[#This Row],[LC Number]],'Combine_List'!A:D,2,0)</f>
        <v>Johnson Controls Arabia Ltd.</v>
      </c>
      <c r="M2201" s="447" t="str">
        <f>VLOOKUP(Advices[[#This Row],[LC Number]],'Combine_List'!A:D,3,0)</f>
        <v>FIRST FIX</v>
      </c>
      <c r="N2201" s="447" t="str">
        <f>VLOOKUP(Advices[[#This Row],[LC Number]],'Combine_List'!A:D,4,0)</f>
        <v>MP1</v>
      </c>
      <c r="O2201" s="1"/>
      <c r="P2201" s="1">
        <f>MONTH(Advices[[#This Row],[Transaction Date]])</f>
        <v>4</v>
      </c>
      <c r="Q2201" s="1">
        <f>YEAR(Advices[[#This Row],[Transaction Date]])</f>
        <v>2026</v>
      </c>
      <c r="R2201" s="1"/>
    </row>
    <row r="2202" spans="1:18" hidden="1" x14ac:dyDescent="0.25">
      <c r="A2202" s="264" t="s">
        <v>366</v>
      </c>
      <c r="B2202" s="265">
        <v>46118</v>
      </c>
      <c r="C2202" s="266" t="s">
        <v>2060</v>
      </c>
      <c r="D2202" s="264" t="s">
        <v>4593</v>
      </c>
      <c r="E2202" s="264" t="s">
        <v>4564</v>
      </c>
      <c r="F2202" s="264" t="s">
        <v>3656</v>
      </c>
      <c r="G2202" s="266" t="s">
        <v>26</v>
      </c>
      <c r="H2202" s="266">
        <v>5836.25</v>
      </c>
      <c r="I2202" s="266">
        <v>0</v>
      </c>
      <c r="J2202" s="264" t="s">
        <v>2616</v>
      </c>
      <c r="K2202" s="264" t="s">
        <v>2025</v>
      </c>
      <c r="L2202" s="1" t="str">
        <f>VLOOKUP(Advices[[#This Row],[LC Number]],'Combine_List'!A:D,2,0)</f>
        <v>Electric House Trading Company L.L.C.</v>
      </c>
      <c r="M2202" s="447" t="str">
        <f>VLOOKUP(Advices[[#This Row],[LC Number]],'Combine_List'!A:D,3,0)</f>
        <v>FIRST FIX</v>
      </c>
      <c r="N2202" s="447" t="str">
        <f>VLOOKUP(Advices[[#This Row],[LC Number]],'Combine_List'!A:D,4,0)</f>
        <v>MP1</v>
      </c>
      <c r="O2202" s="1"/>
      <c r="P2202" s="1">
        <f>MONTH(Advices[[#This Row],[Transaction Date]])</f>
        <v>4</v>
      </c>
      <c r="Q2202" s="1">
        <f>YEAR(Advices[[#This Row],[Transaction Date]])</f>
        <v>2026</v>
      </c>
      <c r="R2202" s="1"/>
    </row>
    <row r="2203" spans="1:18" hidden="1" x14ac:dyDescent="0.25">
      <c r="A2203" s="264" t="s">
        <v>366</v>
      </c>
      <c r="B2203" s="265">
        <v>46118</v>
      </c>
      <c r="C2203" s="266" t="s">
        <v>2060</v>
      </c>
      <c r="D2203" s="264" t="s">
        <v>4594</v>
      </c>
      <c r="E2203" s="264" t="s">
        <v>4565</v>
      </c>
      <c r="F2203" s="264" t="s">
        <v>3656</v>
      </c>
      <c r="G2203" s="266" t="s">
        <v>26</v>
      </c>
      <c r="H2203" s="266">
        <v>5980</v>
      </c>
      <c r="I2203" s="266">
        <v>0</v>
      </c>
      <c r="J2203" s="264" t="s">
        <v>2616</v>
      </c>
      <c r="K2203" s="264" t="s">
        <v>2025</v>
      </c>
      <c r="L2203" s="1" t="str">
        <f>VLOOKUP(Advices[[#This Row],[LC Number]],'Combine_List'!A:D,2,0)</f>
        <v>Bahra Advanced Cable Manufacture Co.</v>
      </c>
      <c r="M2203" s="447" t="str">
        <f>VLOOKUP(Advices[[#This Row],[LC Number]],'Combine_List'!A:D,3,0)</f>
        <v>FIRST FIX</v>
      </c>
      <c r="N2203" s="447" t="str">
        <f>VLOOKUP(Advices[[#This Row],[LC Number]],'Combine_List'!A:D,4,0)</f>
        <v>MP1</v>
      </c>
      <c r="O2203" s="1"/>
      <c r="P2203" s="1">
        <f>MONTH(Advices[[#This Row],[Transaction Date]])</f>
        <v>4</v>
      </c>
      <c r="Q2203" s="1">
        <f>YEAR(Advices[[#This Row],[Transaction Date]])</f>
        <v>2026</v>
      </c>
      <c r="R2203" s="1"/>
    </row>
    <row r="2204" spans="1:18" hidden="1" x14ac:dyDescent="0.25">
      <c r="A2204" s="264" t="s">
        <v>366</v>
      </c>
      <c r="B2204" s="265">
        <v>46118</v>
      </c>
      <c r="C2204" s="266" t="s">
        <v>2060</v>
      </c>
      <c r="D2204" s="264" t="s">
        <v>4595</v>
      </c>
      <c r="E2204" s="264" t="s">
        <v>4562</v>
      </c>
      <c r="F2204" s="264" t="s">
        <v>3656</v>
      </c>
      <c r="G2204" s="266" t="s">
        <v>26</v>
      </c>
      <c r="H2204" s="266">
        <v>5836.25</v>
      </c>
      <c r="I2204" s="266">
        <v>0</v>
      </c>
      <c r="J2204" s="264" t="s">
        <v>2616</v>
      </c>
      <c r="K2204" s="264" t="s">
        <v>2025</v>
      </c>
      <c r="L2204" s="1" t="str">
        <f>VLOOKUP(Advices[[#This Row],[LC Number]],'Combine_List'!A:D,2,0)</f>
        <v>Saudi Electric Supply Company</v>
      </c>
      <c r="M2204" s="447" t="str">
        <f>VLOOKUP(Advices[[#This Row],[LC Number]],'Combine_List'!A:D,3,0)</f>
        <v>FIRST FIX</v>
      </c>
      <c r="N2204" s="447" t="str">
        <f>VLOOKUP(Advices[[#This Row],[LC Number]],'Combine_List'!A:D,4,0)</f>
        <v>MP1</v>
      </c>
      <c r="O2204" s="1"/>
      <c r="P2204" s="1">
        <f>MONTH(Advices[[#This Row],[Transaction Date]])</f>
        <v>4</v>
      </c>
      <c r="Q2204" s="1">
        <f>YEAR(Advices[[#This Row],[Transaction Date]])</f>
        <v>2026</v>
      </c>
      <c r="R2204" s="1"/>
    </row>
    <row r="2205" spans="1:18" hidden="1" x14ac:dyDescent="0.25">
      <c r="A2205" s="264" t="s">
        <v>366</v>
      </c>
      <c r="B2205" s="265">
        <v>46118</v>
      </c>
      <c r="C2205" s="266" t="s">
        <v>2060</v>
      </c>
      <c r="D2205" s="264" t="s">
        <v>4596</v>
      </c>
      <c r="E2205" s="264" t="s">
        <v>4563</v>
      </c>
      <c r="F2205" s="264" t="s">
        <v>3656</v>
      </c>
      <c r="G2205" s="266" t="s">
        <v>26</v>
      </c>
      <c r="H2205" s="266">
        <v>3105</v>
      </c>
      <c r="I2205" s="266">
        <v>0</v>
      </c>
      <c r="J2205" s="264" t="s">
        <v>2616</v>
      </c>
      <c r="K2205" s="264" t="s">
        <v>2025</v>
      </c>
      <c r="L2205" s="1" t="str">
        <f>VLOOKUP(Advices[[#This Row],[LC Number]],'Combine_List'!A:D,2,0)</f>
        <v>Al Maymanah For Contracting Co. Ltd.</v>
      </c>
      <c r="M2205" s="447" t="str">
        <f>VLOOKUP(Advices[[#This Row],[LC Number]],'Combine_List'!A:D,3,0)</f>
        <v>FIRST FIX</v>
      </c>
      <c r="N2205" s="447" t="str">
        <f>VLOOKUP(Advices[[#This Row],[LC Number]],'Combine_List'!A:D,4,0)</f>
        <v>MP1</v>
      </c>
      <c r="O2205" s="1"/>
      <c r="P2205" s="1">
        <f>MONTH(Advices[[#This Row],[Transaction Date]])</f>
        <v>4</v>
      </c>
      <c r="Q2205" s="1">
        <f>YEAR(Advices[[#This Row],[Transaction Date]])</f>
        <v>2026</v>
      </c>
      <c r="R2205" s="1"/>
    </row>
    <row r="2206" spans="1:18" hidden="1" x14ac:dyDescent="0.25">
      <c r="A2206" s="264" t="s">
        <v>366</v>
      </c>
      <c r="B2206" s="265">
        <v>46118</v>
      </c>
      <c r="C2206" s="266" t="s">
        <v>2060</v>
      </c>
      <c r="D2206" s="264" t="s">
        <v>4597</v>
      </c>
      <c r="E2206" s="264" t="s">
        <v>4560</v>
      </c>
      <c r="F2206" s="264" t="s">
        <v>3656</v>
      </c>
      <c r="G2206" s="266" t="s">
        <v>26</v>
      </c>
      <c r="H2206" s="266">
        <v>3105</v>
      </c>
      <c r="I2206" s="266">
        <v>0</v>
      </c>
      <c r="J2206" s="264" t="s">
        <v>2616</v>
      </c>
      <c r="K2206" s="264" t="s">
        <v>2025</v>
      </c>
      <c r="L2206" s="1" t="str">
        <f>VLOOKUP(Advices[[#This Row],[LC Number]],'Combine_List'!A:D,2,0)</f>
        <v>Gulf Grilles Company</v>
      </c>
      <c r="M2206" s="447" t="str">
        <f>VLOOKUP(Advices[[#This Row],[LC Number]],'Combine_List'!A:D,3,0)</f>
        <v>FIRST FIX</v>
      </c>
      <c r="N2206" s="447" t="str">
        <f>VLOOKUP(Advices[[#This Row],[LC Number]],'Combine_List'!A:D,4,0)</f>
        <v>MP1</v>
      </c>
      <c r="O2206" s="1"/>
      <c r="P2206" s="1">
        <f>MONTH(Advices[[#This Row],[Transaction Date]])</f>
        <v>4</v>
      </c>
      <c r="Q2206" s="1">
        <f>YEAR(Advices[[#This Row],[Transaction Date]])</f>
        <v>2026</v>
      </c>
      <c r="R2206" s="1"/>
    </row>
    <row r="2207" spans="1:18" hidden="1" x14ac:dyDescent="0.25">
      <c r="A2207" s="264" t="s">
        <v>366</v>
      </c>
      <c r="B2207" s="265">
        <v>46118</v>
      </c>
      <c r="C2207" s="266" t="s">
        <v>2060</v>
      </c>
      <c r="D2207" s="264" t="s">
        <v>4598</v>
      </c>
      <c r="E2207" s="264" t="s">
        <v>4561</v>
      </c>
      <c r="F2207" s="264" t="s">
        <v>3656</v>
      </c>
      <c r="G2207" s="266" t="s">
        <v>26</v>
      </c>
      <c r="H2207" s="266">
        <v>948.75</v>
      </c>
      <c r="I2207" s="266">
        <v>0</v>
      </c>
      <c r="J2207" s="264" t="s">
        <v>2616</v>
      </c>
      <c r="K2207" s="264" t="s">
        <v>2025</v>
      </c>
      <c r="L2207" s="1" t="str">
        <f>VLOOKUP(Advices[[#This Row],[LC Number]],'Combine_List'!A:D,2,0)</f>
        <v>Aknan Alkhair Tranding Est</v>
      </c>
      <c r="M2207" s="447" t="str">
        <f>VLOOKUP(Advices[[#This Row],[LC Number]],'Combine_List'!A:D,3,0)</f>
        <v>FIRST FIX</v>
      </c>
      <c r="N2207" s="447" t="str">
        <f>VLOOKUP(Advices[[#This Row],[LC Number]],'Combine_List'!A:D,4,0)</f>
        <v>MP1</v>
      </c>
      <c r="O2207" s="1"/>
      <c r="P2207" s="1">
        <f>MONTH(Advices[[#This Row],[Transaction Date]])</f>
        <v>4</v>
      </c>
      <c r="Q2207" s="1">
        <f>YEAR(Advices[[#This Row],[Transaction Date]])</f>
        <v>2026</v>
      </c>
      <c r="R2207" s="1"/>
    </row>
    <row r="2208" spans="1:18" hidden="1" x14ac:dyDescent="0.25">
      <c r="A2208" s="264" t="s">
        <v>366</v>
      </c>
      <c r="B2208" s="265">
        <v>46118</v>
      </c>
      <c r="C2208" s="266" t="s">
        <v>2060</v>
      </c>
      <c r="D2208" s="264" t="s">
        <v>4599</v>
      </c>
      <c r="E2208" s="264" t="s">
        <v>4559</v>
      </c>
      <c r="F2208" s="264" t="s">
        <v>3656</v>
      </c>
      <c r="G2208" s="266" t="s">
        <v>26</v>
      </c>
      <c r="H2208" s="266">
        <v>5261.25</v>
      </c>
      <c r="I2208" s="266">
        <v>0</v>
      </c>
      <c r="J2208" s="264" t="s">
        <v>2616</v>
      </c>
      <c r="K2208" s="264" t="s">
        <v>2025</v>
      </c>
      <c r="L2208" s="1" t="str">
        <f>VLOOKUP(Advices[[#This Row],[LC Number]],'Combine_List'!A:D,2,0)</f>
        <v>Power Center Company For Industries Llc</v>
      </c>
      <c r="M2208" s="447" t="str">
        <f>VLOOKUP(Advices[[#This Row],[LC Number]],'Combine_List'!A:D,3,0)</f>
        <v>FIRST FIX</v>
      </c>
      <c r="N2208" s="447" t="str">
        <f>VLOOKUP(Advices[[#This Row],[LC Number]],'Combine_List'!A:D,4,0)</f>
        <v>MP1</v>
      </c>
      <c r="O2208" s="1"/>
      <c r="P2208" s="1">
        <f>MONTH(Advices[[#This Row],[Transaction Date]])</f>
        <v>4</v>
      </c>
      <c r="Q2208" s="1">
        <f>YEAR(Advices[[#This Row],[Transaction Date]])</f>
        <v>2026</v>
      </c>
      <c r="R2208" s="1"/>
    </row>
    <row r="2209" spans="1:18" hidden="1" x14ac:dyDescent="0.25">
      <c r="A2209" s="264" t="s">
        <v>366</v>
      </c>
      <c r="B2209" s="265">
        <v>46118</v>
      </c>
      <c r="C2209" s="266" t="s">
        <v>2060</v>
      </c>
      <c r="D2209" s="264" t="s">
        <v>4600</v>
      </c>
      <c r="E2209" s="264" t="s">
        <v>4553</v>
      </c>
      <c r="F2209" s="264" t="s">
        <v>3656</v>
      </c>
      <c r="G2209" s="266" t="s">
        <v>26</v>
      </c>
      <c r="H2209" s="266">
        <v>1092.5</v>
      </c>
      <c r="I2209" s="266">
        <v>0</v>
      </c>
      <c r="J2209" s="264" t="s">
        <v>2616</v>
      </c>
      <c r="K2209" s="264" t="s">
        <v>2025</v>
      </c>
      <c r="L2209" s="1" t="str">
        <f>VLOOKUP(Advices[[#This Row],[LC Number]],'Combine_List'!A:D,2,0)</f>
        <v>Elmady Solution Company</v>
      </c>
      <c r="M2209" s="447" t="str">
        <f>VLOOKUP(Advices[[#This Row],[LC Number]],'Combine_List'!A:D,3,0)</f>
        <v>FIRST FIX</v>
      </c>
      <c r="N2209" s="447" t="str">
        <f>VLOOKUP(Advices[[#This Row],[LC Number]],'Combine_List'!A:D,4,0)</f>
        <v>MP1</v>
      </c>
      <c r="O2209" s="1"/>
      <c r="P2209" s="1">
        <f>MONTH(Advices[[#This Row],[Transaction Date]])</f>
        <v>4</v>
      </c>
      <c r="Q2209" s="1">
        <f>YEAR(Advices[[#This Row],[Transaction Date]])</f>
        <v>2026</v>
      </c>
      <c r="R2209" s="1"/>
    </row>
    <row r="2210" spans="1:18" hidden="1" x14ac:dyDescent="0.25">
      <c r="A2210" s="264" t="s">
        <v>366</v>
      </c>
      <c r="B2210" s="265">
        <v>46118</v>
      </c>
      <c r="C2210" s="266" t="s">
        <v>2060</v>
      </c>
      <c r="D2210" s="264" t="s">
        <v>4601</v>
      </c>
      <c r="E2210" s="264" t="s">
        <v>4554</v>
      </c>
      <c r="F2210" s="264" t="s">
        <v>3656</v>
      </c>
      <c r="G2210" s="266" t="s">
        <v>26</v>
      </c>
      <c r="H2210" s="266">
        <v>2961.25</v>
      </c>
      <c r="I2210" s="266">
        <v>0</v>
      </c>
      <c r="J2210" s="264" t="s">
        <v>2616</v>
      </c>
      <c r="K2210" s="264" t="s">
        <v>2025</v>
      </c>
      <c r="L2210" s="1" t="str">
        <f>VLOOKUP(Advices[[#This Row],[LC Number]],'Combine_List'!A:D,2,0)</f>
        <v>National Fire Fighting Manufacturing Fzco Br.</v>
      </c>
      <c r="M2210" s="447" t="str">
        <f>VLOOKUP(Advices[[#This Row],[LC Number]],'Combine_List'!A:D,3,0)</f>
        <v>FIRST FIX</v>
      </c>
      <c r="N2210" s="447" t="str">
        <f>VLOOKUP(Advices[[#This Row],[LC Number]],'Combine_List'!A:D,4,0)</f>
        <v>MP1</v>
      </c>
      <c r="O2210" s="1"/>
      <c r="P2210" s="1">
        <f>MONTH(Advices[[#This Row],[Transaction Date]])</f>
        <v>4</v>
      </c>
      <c r="Q2210" s="1">
        <f>YEAR(Advices[[#This Row],[Transaction Date]])</f>
        <v>2026</v>
      </c>
      <c r="R2210" s="1"/>
    </row>
    <row r="2211" spans="1:18" hidden="1" x14ac:dyDescent="0.25">
      <c r="A2211" s="264" t="s">
        <v>366</v>
      </c>
      <c r="B2211" s="265">
        <v>46118</v>
      </c>
      <c r="C2211" s="266" t="s">
        <v>2060</v>
      </c>
      <c r="D2211" s="264" t="s">
        <v>4602</v>
      </c>
      <c r="E2211" s="264" t="s">
        <v>4555</v>
      </c>
      <c r="F2211" s="264" t="s">
        <v>3656</v>
      </c>
      <c r="G2211" s="266" t="s">
        <v>26</v>
      </c>
      <c r="H2211" s="266">
        <v>1667.5</v>
      </c>
      <c r="I2211" s="266">
        <v>0</v>
      </c>
      <c r="J2211" s="264" t="s">
        <v>2616</v>
      </c>
      <c r="K2211" s="264" t="s">
        <v>2025</v>
      </c>
      <c r="L2211" s="1" t="str">
        <f>VLOOKUP(Advices[[#This Row],[LC Number]],'Combine_List'!A:D,2,0)</f>
        <v>National Marketing Est. Co. Ltd</v>
      </c>
      <c r="M2211" s="447" t="str">
        <f>VLOOKUP(Advices[[#This Row],[LC Number]],'Combine_List'!A:D,3,0)</f>
        <v>FIRST FIX</v>
      </c>
      <c r="N2211" s="447" t="str">
        <f>VLOOKUP(Advices[[#This Row],[LC Number]],'Combine_List'!A:D,4,0)</f>
        <v>MP1</v>
      </c>
      <c r="O2211" s="1"/>
      <c r="P2211" s="1">
        <f>MONTH(Advices[[#This Row],[Transaction Date]])</f>
        <v>4</v>
      </c>
      <c r="Q2211" s="1">
        <f>YEAR(Advices[[#This Row],[Transaction Date]])</f>
        <v>2026</v>
      </c>
      <c r="R2211" s="1"/>
    </row>
    <row r="2212" spans="1:18" hidden="1" x14ac:dyDescent="0.25">
      <c r="A2212" s="264" t="s">
        <v>366</v>
      </c>
      <c r="B2212" s="265">
        <v>46118</v>
      </c>
      <c r="C2212" s="266" t="s">
        <v>2060</v>
      </c>
      <c r="D2212" s="264" t="s">
        <v>4603</v>
      </c>
      <c r="E2212" s="264" t="s">
        <v>4556</v>
      </c>
      <c r="F2212" s="264" t="s">
        <v>3656</v>
      </c>
      <c r="G2212" s="266" t="s">
        <v>26</v>
      </c>
      <c r="H2212" s="266">
        <v>2817.5</v>
      </c>
      <c r="I2212" s="266">
        <v>0</v>
      </c>
      <c r="J2212" s="264" t="s">
        <v>2616</v>
      </c>
      <c r="K2212" s="264" t="s">
        <v>2025</v>
      </c>
      <c r="L2212" s="1" t="str">
        <f>VLOOKUP(Advices[[#This Row],[LC Number]],'Combine_List'!A:D,2,0)</f>
        <v>Ali Manea Alyami Trading Est.</v>
      </c>
      <c r="M2212" s="447" t="str">
        <f>VLOOKUP(Advices[[#This Row],[LC Number]],'Combine_List'!A:D,3,0)</f>
        <v>FIRST FIX</v>
      </c>
      <c r="N2212" s="447" t="str">
        <f>VLOOKUP(Advices[[#This Row],[LC Number]],'Combine_List'!A:D,4,0)</f>
        <v>MP1</v>
      </c>
      <c r="O2212" s="1"/>
      <c r="P2212" s="1">
        <f>MONTH(Advices[[#This Row],[Transaction Date]])</f>
        <v>4</v>
      </c>
      <c r="Q2212" s="1">
        <f>YEAR(Advices[[#This Row],[Transaction Date]])</f>
        <v>2026</v>
      </c>
      <c r="R2212" s="1"/>
    </row>
    <row r="2213" spans="1:18" hidden="1" x14ac:dyDescent="0.25">
      <c r="A2213" s="264" t="s">
        <v>366</v>
      </c>
      <c r="B2213" s="265">
        <v>46118</v>
      </c>
      <c r="C2213" s="266" t="s">
        <v>2060</v>
      </c>
      <c r="D2213" s="264" t="s">
        <v>4604</v>
      </c>
      <c r="E2213" s="264" t="s">
        <v>4552</v>
      </c>
      <c r="F2213" s="264" t="s">
        <v>3656</v>
      </c>
      <c r="G2213" s="266" t="s">
        <v>26</v>
      </c>
      <c r="H2213" s="266">
        <v>1955</v>
      </c>
      <c r="I2213" s="266">
        <v>0</v>
      </c>
      <c r="J2213" s="264" t="s">
        <v>2616</v>
      </c>
      <c r="K2213" s="264" t="s">
        <v>2025</v>
      </c>
      <c r="L2213" s="1" t="str">
        <f>VLOOKUP(Advices[[#This Row],[LC Number]],'Combine_List'!A:D,2,0)</f>
        <v>Khereiji Showrooms Co.</v>
      </c>
      <c r="M2213" s="447" t="str">
        <f>VLOOKUP(Advices[[#This Row],[LC Number]],'Combine_List'!A:D,3,0)</f>
        <v>FIRST FIX</v>
      </c>
      <c r="N2213" s="447" t="str">
        <f>VLOOKUP(Advices[[#This Row],[LC Number]],'Combine_List'!A:D,4,0)</f>
        <v>MP1</v>
      </c>
      <c r="O2213" s="1"/>
      <c r="P2213" s="1">
        <f>MONTH(Advices[[#This Row],[Transaction Date]])</f>
        <v>4</v>
      </c>
      <c r="Q2213" s="1">
        <f>YEAR(Advices[[#This Row],[Transaction Date]])</f>
        <v>2026</v>
      </c>
      <c r="R2213" s="1"/>
    </row>
    <row r="2214" spans="1:18" hidden="1" x14ac:dyDescent="0.25">
      <c r="A2214" s="264" t="s">
        <v>366</v>
      </c>
      <c r="B2214" s="265">
        <v>46118</v>
      </c>
      <c r="C2214" s="266" t="s">
        <v>2060</v>
      </c>
      <c r="D2214" s="264" t="s">
        <v>4605</v>
      </c>
      <c r="E2214" s="264" t="s">
        <v>4547</v>
      </c>
      <c r="F2214" s="264" t="s">
        <v>3656</v>
      </c>
      <c r="G2214" s="266" t="s">
        <v>26</v>
      </c>
      <c r="H2214" s="266">
        <v>1380</v>
      </c>
      <c r="I2214" s="266">
        <v>0</v>
      </c>
      <c r="J2214" s="264" t="s">
        <v>2616</v>
      </c>
      <c r="K2214" s="264" t="s">
        <v>2025</v>
      </c>
      <c r="L2214" s="1" t="str">
        <f>VLOOKUP(Advices[[#This Row],[LC Number]],'Combine_List'!A:D,2,0)</f>
        <v>Masdar Technical Supplies Co.</v>
      </c>
      <c r="M2214" s="447" t="str">
        <f>VLOOKUP(Advices[[#This Row],[LC Number]],'Combine_List'!A:D,3,0)</f>
        <v>FIRST FIX</v>
      </c>
      <c r="N2214" s="447" t="str">
        <f>VLOOKUP(Advices[[#This Row],[LC Number]],'Combine_List'!A:D,4,0)</f>
        <v>MP1</v>
      </c>
      <c r="O2214" s="1"/>
      <c r="P2214" s="1">
        <f>MONTH(Advices[[#This Row],[Transaction Date]])</f>
        <v>4</v>
      </c>
      <c r="Q2214" s="1">
        <f>YEAR(Advices[[#This Row],[Transaction Date]])</f>
        <v>2026</v>
      </c>
      <c r="R2214" s="1"/>
    </row>
    <row r="2215" spans="1:18" hidden="1" x14ac:dyDescent="0.25">
      <c r="A2215" s="264" t="s">
        <v>366</v>
      </c>
      <c r="B2215" s="265">
        <v>46118</v>
      </c>
      <c r="C2215" s="266" t="s">
        <v>2060</v>
      </c>
      <c r="D2215" s="264" t="s">
        <v>4606</v>
      </c>
      <c r="E2215" s="264" t="s">
        <v>4551</v>
      </c>
      <c r="F2215" s="264" t="s">
        <v>3656</v>
      </c>
      <c r="G2215" s="266" t="s">
        <v>26</v>
      </c>
      <c r="H2215" s="266">
        <v>948.75</v>
      </c>
      <c r="I2215" s="266">
        <v>0</v>
      </c>
      <c r="J2215" s="264" t="s">
        <v>2616</v>
      </c>
      <c r="K2215" s="264" t="s">
        <v>2025</v>
      </c>
      <c r="L2215" s="1" t="str">
        <f>VLOOKUP(Advices[[#This Row],[LC Number]],'Combine_List'!A:D,2,0)</f>
        <v>Atiaf International Trading Company</v>
      </c>
      <c r="M2215" s="447" t="str">
        <f>VLOOKUP(Advices[[#This Row],[LC Number]],'Combine_List'!A:D,3,0)</f>
        <v>FIRST FIX</v>
      </c>
      <c r="N2215" s="447" t="str">
        <f>VLOOKUP(Advices[[#This Row],[LC Number]],'Combine_List'!A:D,4,0)</f>
        <v>MP1</v>
      </c>
      <c r="O2215" s="1"/>
      <c r="P2215" s="1">
        <f>MONTH(Advices[[#This Row],[Transaction Date]])</f>
        <v>4</v>
      </c>
      <c r="Q2215" s="1">
        <f>YEAR(Advices[[#This Row],[Transaction Date]])</f>
        <v>2026</v>
      </c>
      <c r="R2215" s="1"/>
    </row>
    <row r="2216" spans="1:18" hidden="1" x14ac:dyDescent="0.25">
      <c r="A2216" s="264" t="s">
        <v>366</v>
      </c>
      <c r="B2216" s="265">
        <v>46118</v>
      </c>
      <c r="C2216" s="266" t="s">
        <v>2060</v>
      </c>
      <c r="D2216" s="264" t="s">
        <v>4607</v>
      </c>
      <c r="E2216" s="264" t="s">
        <v>4549</v>
      </c>
      <c r="F2216" s="264" t="s">
        <v>3656</v>
      </c>
      <c r="G2216" s="266" t="s">
        <v>26</v>
      </c>
      <c r="H2216" s="266">
        <v>2817.5</v>
      </c>
      <c r="I2216" s="266">
        <v>0</v>
      </c>
      <c r="J2216" s="264" t="s">
        <v>2616</v>
      </c>
      <c r="K2216" s="264" t="s">
        <v>2025</v>
      </c>
      <c r="L2216" s="1" t="str">
        <f>VLOOKUP(Advices[[#This Row],[LC Number]],'Combine_List'!A:D,2,0)</f>
        <v>Mohamad Saeed Afifi Trading Est.</v>
      </c>
      <c r="M2216" s="447" t="str">
        <f>VLOOKUP(Advices[[#This Row],[LC Number]],'Combine_List'!A:D,3,0)</f>
        <v>FIRST FIX</v>
      </c>
      <c r="N2216" s="447" t="str">
        <f>VLOOKUP(Advices[[#This Row],[LC Number]],'Combine_List'!A:D,4,0)</f>
        <v>MP1</v>
      </c>
      <c r="O2216" s="1"/>
      <c r="P2216" s="1">
        <f>MONTH(Advices[[#This Row],[Transaction Date]])</f>
        <v>4</v>
      </c>
      <c r="Q2216" s="1">
        <f>YEAR(Advices[[#This Row],[Transaction Date]])</f>
        <v>2026</v>
      </c>
      <c r="R2216" s="1"/>
    </row>
    <row r="2217" spans="1:18" hidden="1" x14ac:dyDescent="0.25">
      <c r="A2217" s="264" t="s">
        <v>366</v>
      </c>
      <c r="B2217" s="265">
        <v>46118</v>
      </c>
      <c r="C2217" s="266" t="s">
        <v>2060</v>
      </c>
      <c r="D2217" s="264" t="s">
        <v>4608</v>
      </c>
      <c r="E2217" s="264" t="s">
        <v>4558</v>
      </c>
      <c r="F2217" s="264" t="s">
        <v>3656</v>
      </c>
      <c r="G2217" s="266" t="s">
        <v>26</v>
      </c>
      <c r="H2217" s="266">
        <v>1236.25</v>
      </c>
      <c r="I2217" s="266">
        <v>0</v>
      </c>
      <c r="J2217" s="264" t="s">
        <v>2616</v>
      </c>
      <c r="K2217" s="264" t="s">
        <v>2025</v>
      </c>
      <c r="L2217" s="1" t="str">
        <f>VLOOKUP(Advices[[#This Row],[LC Number]],'Combine_List'!A:D,2,0)</f>
        <v>Ajzal United For Safety Co.Ltd.</v>
      </c>
      <c r="M2217" s="447" t="str">
        <f>VLOOKUP(Advices[[#This Row],[LC Number]],'Combine_List'!A:D,3,0)</f>
        <v>FIRST FIX</v>
      </c>
      <c r="N2217" s="447" t="str">
        <f>VLOOKUP(Advices[[#This Row],[LC Number]],'Combine_List'!A:D,4,0)</f>
        <v>MP1</v>
      </c>
      <c r="O2217" s="1"/>
      <c r="P2217" s="1">
        <f>MONTH(Advices[[#This Row],[Transaction Date]])</f>
        <v>4</v>
      </c>
      <c r="Q2217" s="1">
        <f>YEAR(Advices[[#This Row],[Transaction Date]])</f>
        <v>2026</v>
      </c>
      <c r="R2217" s="1"/>
    </row>
    <row r="2218" spans="1:18" hidden="1" x14ac:dyDescent="0.25">
      <c r="A2218" s="264" t="s">
        <v>366</v>
      </c>
      <c r="B2218" s="265">
        <v>46118</v>
      </c>
      <c r="C2218" s="266" t="s">
        <v>2060</v>
      </c>
      <c r="D2218" s="264" t="s">
        <v>4609</v>
      </c>
      <c r="E2218" s="264" t="s">
        <v>4548</v>
      </c>
      <c r="F2218" s="264" t="s">
        <v>3656</v>
      </c>
      <c r="G2218" s="266" t="s">
        <v>26</v>
      </c>
      <c r="H2218" s="266">
        <v>1092.5</v>
      </c>
      <c r="I2218" s="266">
        <v>0</v>
      </c>
      <c r="J2218" s="264" t="s">
        <v>2616</v>
      </c>
      <c r="K2218" s="264" t="s">
        <v>2025</v>
      </c>
      <c r="L2218" s="1" t="str">
        <f>VLOOKUP(Advices[[#This Row],[LC Number]],'Combine_List'!A:D,2,0)</f>
        <v>Ideal Caliber Company</v>
      </c>
      <c r="M2218" s="447" t="str">
        <f>VLOOKUP(Advices[[#This Row],[LC Number]],'Combine_List'!A:D,3,0)</f>
        <v>FIRST FIX</v>
      </c>
      <c r="N2218" s="447" t="str">
        <f>VLOOKUP(Advices[[#This Row],[LC Number]],'Combine_List'!A:D,4,0)</f>
        <v>MP1</v>
      </c>
      <c r="O2218" s="264"/>
      <c r="P2218" s="264">
        <f>MONTH(Advices[[#This Row],[Transaction Date]])</f>
        <v>4</v>
      </c>
      <c r="Q2218" s="264">
        <f>YEAR(Advices[[#This Row],[Transaction Date]])</f>
        <v>2026</v>
      </c>
      <c r="R2218" s="1"/>
    </row>
    <row r="2219" spans="1:18" hidden="1" x14ac:dyDescent="0.25">
      <c r="A2219" s="264" t="s">
        <v>612</v>
      </c>
      <c r="B2219" s="265">
        <v>46113</v>
      </c>
      <c r="C2219" s="266" t="s">
        <v>2101</v>
      </c>
      <c r="D2219" s="264" t="s">
        <v>4610</v>
      </c>
      <c r="E2219" s="264" t="s">
        <v>1447</v>
      </c>
      <c r="F2219" s="264" t="s">
        <v>2041</v>
      </c>
      <c r="G2219" s="266" t="s">
        <v>26</v>
      </c>
      <c r="H2219" s="266">
        <v>521698.4</v>
      </c>
      <c r="I2219" s="266">
        <v>0</v>
      </c>
      <c r="J2219" s="264" t="s">
        <v>1126</v>
      </c>
      <c r="K2219" s="264" t="s">
        <v>2025</v>
      </c>
      <c r="L2219" s="1" t="str">
        <f>VLOOKUP(Advices[[#This Row],[LC Number]],'Combine_List'!A:D,2,0)</f>
        <v>Metal and Glass Trading Co</v>
      </c>
      <c r="M2219" s="447" t="str">
        <f>VLOOKUP(Advices[[#This Row],[LC Number]],'Combine_List'!A:D,3,0)</f>
        <v>FIRST FIX</v>
      </c>
      <c r="N2219" s="447" t="str">
        <f>VLOOKUP(Advices[[#This Row],[LC Number]],'Combine_List'!A:D,4,0)</f>
        <v>RCRC</v>
      </c>
      <c r="O2219" s="1"/>
      <c r="P2219" s="1">
        <f>MONTH(Advices[[#This Row],[Transaction Date]])</f>
        <v>4</v>
      </c>
      <c r="Q2219" s="1">
        <f>YEAR(Advices[[#This Row],[Transaction Date]])</f>
        <v>2026</v>
      </c>
      <c r="R2219" s="1"/>
    </row>
    <row r="2220" spans="1:18" hidden="1" x14ac:dyDescent="0.25">
      <c r="A2220" s="264" t="s">
        <v>612</v>
      </c>
      <c r="B2220" s="265">
        <v>46113</v>
      </c>
      <c r="C2220" s="266" t="s">
        <v>2101</v>
      </c>
      <c r="D2220" s="264" t="s">
        <v>4611</v>
      </c>
      <c r="E2220" s="264" t="s">
        <v>1810</v>
      </c>
      <c r="F2220" s="1" t="s">
        <v>1810</v>
      </c>
      <c r="G2220" s="266" t="s">
        <v>26</v>
      </c>
      <c r="H2220" s="266">
        <v>448</v>
      </c>
      <c r="I2220" s="266">
        <v>0</v>
      </c>
      <c r="J2220" s="264" t="s">
        <v>1125</v>
      </c>
      <c r="K2220" s="264" t="s">
        <v>2025</v>
      </c>
      <c r="L2220" s="1" t="str">
        <f>VLOOKUP(Advices[[#This Row],[LC Number]],'Combine_List'!A:D,2,0)</f>
        <v>AL FALWA CO. LTD. FOR READYMIX CONCRETE</v>
      </c>
      <c r="M2220" s="447" t="str">
        <f>VLOOKUP(Advices[[#This Row],[LC Number]],'Combine_List'!A:D,3,0)</f>
        <v>MBL</v>
      </c>
      <c r="N2220" s="447" t="str">
        <f>VLOOKUP(Advices[[#This Row],[LC Number]],'Combine_List'!A:D,4,0)</f>
        <v>RCRC</v>
      </c>
      <c r="O2220" s="1"/>
      <c r="P2220" s="1">
        <f>MONTH(Advices[[#This Row],[Transaction Date]])</f>
        <v>4</v>
      </c>
      <c r="Q2220" s="1">
        <f>YEAR(Advices[[#This Row],[Transaction Date]])</f>
        <v>2026</v>
      </c>
      <c r="R2220" s="1"/>
    </row>
    <row r="2221" spans="1:18" hidden="1" x14ac:dyDescent="0.25">
      <c r="A2221" s="264" t="s">
        <v>612</v>
      </c>
      <c r="B2221" s="265">
        <v>46113</v>
      </c>
      <c r="C2221" s="266" t="s">
        <v>2101</v>
      </c>
      <c r="D2221" s="264" t="s">
        <v>4612</v>
      </c>
      <c r="E2221" s="264" t="s">
        <v>1810</v>
      </c>
      <c r="F2221" s="1" t="s">
        <v>1810</v>
      </c>
      <c r="G2221" s="266" t="s">
        <v>26</v>
      </c>
      <c r="H2221" s="266">
        <v>67.2</v>
      </c>
      <c r="I2221" s="266">
        <v>0</v>
      </c>
      <c r="J2221" s="264" t="s">
        <v>1174</v>
      </c>
      <c r="K2221" s="264" t="s">
        <v>2025</v>
      </c>
      <c r="L2221" s="1" t="str">
        <f>VLOOKUP(Advices[[#This Row],[LC Number]],'Combine_List'!A:D,2,0)</f>
        <v>AL FALWA CO. LTD. FOR READYMIX CONCRETE</v>
      </c>
      <c r="M2221" s="447" t="str">
        <f>VLOOKUP(Advices[[#This Row],[LC Number]],'Combine_List'!A:D,3,0)</f>
        <v>MBL</v>
      </c>
      <c r="N2221" s="447" t="str">
        <f>VLOOKUP(Advices[[#This Row],[LC Number]],'Combine_List'!A:D,4,0)</f>
        <v>RCRC</v>
      </c>
      <c r="O2221" s="1"/>
      <c r="P2221" s="1">
        <f>MONTH(Advices[[#This Row],[Transaction Date]])</f>
        <v>4</v>
      </c>
      <c r="Q2221" s="1">
        <f>YEAR(Advices[[#This Row],[Transaction Date]])</f>
        <v>2026</v>
      </c>
      <c r="R2221" s="1"/>
    </row>
    <row r="2222" spans="1:18" hidden="1" x14ac:dyDescent="0.25">
      <c r="A2222" s="264" t="s">
        <v>612</v>
      </c>
      <c r="B2222" s="265">
        <v>46113</v>
      </c>
      <c r="C2222" s="266" t="s">
        <v>2101</v>
      </c>
      <c r="D2222" s="264" t="s">
        <v>4613</v>
      </c>
      <c r="E2222" s="264" t="s">
        <v>1810</v>
      </c>
      <c r="F2222" s="1" t="s">
        <v>1810</v>
      </c>
      <c r="G2222" s="266" t="s">
        <v>26</v>
      </c>
      <c r="H2222" s="266">
        <v>200</v>
      </c>
      <c r="I2222" s="266">
        <v>0</v>
      </c>
      <c r="J2222" s="264" t="s">
        <v>1125</v>
      </c>
      <c r="K2222" s="264" t="s">
        <v>2025</v>
      </c>
      <c r="L2222" s="1" t="str">
        <f>VLOOKUP(Advices[[#This Row],[LC Number]],'Combine_List'!A:D,2,0)</f>
        <v>AL FALWA CO. LTD. FOR READYMIX CONCRETE</v>
      </c>
      <c r="M2222" s="447" t="str">
        <f>VLOOKUP(Advices[[#This Row],[LC Number]],'Combine_List'!A:D,3,0)</f>
        <v>MBL</v>
      </c>
      <c r="N2222" s="447" t="str">
        <f>VLOOKUP(Advices[[#This Row],[LC Number]],'Combine_List'!A:D,4,0)</f>
        <v>RCRC</v>
      </c>
      <c r="O2222" s="1"/>
      <c r="P2222" s="1">
        <f>MONTH(Advices[[#This Row],[Transaction Date]])</f>
        <v>4</v>
      </c>
      <c r="Q2222" s="1">
        <f>YEAR(Advices[[#This Row],[Transaction Date]])</f>
        <v>2026</v>
      </c>
      <c r="R2222" s="1"/>
    </row>
    <row r="2223" spans="1:18" hidden="1" x14ac:dyDescent="0.25">
      <c r="A2223" s="264" t="s">
        <v>612</v>
      </c>
      <c r="B2223" s="265">
        <v>46113</v>
      </c>
      <c r="C2223" s="266" t="s">
        <v>2101</v>
      </c>
      <c r="D2223" s="264" t="s">
        <v>4614</v>
      </c>
      <c r="E2223" s="264" t="s">
        <v>1810</v>
      </c>
      <c r="F2223" s="1" t="s">
        <v>1810</v>
      </c>
      <c r="G2223" s="266" t="s">
        <v>26</v>
      </c>
      <c r="H2223" s="266">
        <v>30</v>
      </c>
      <c r="I2223" s="266">
        <v>0</v>
      </c>
      <c r="J2223" s="264" t="s">
        <v>1174</v>
      </c>
      <c r="K2223" s="264" t="s">
        <v>2025</v>
      </c>
      <c r="L2223" s="1" t="str">
        <f>VLOOKUP(Advices[[#This Row],[LC Number]],'Combine_List'!A:D,2,0)</f>
        <v>AL FALWA CO. LTD. FOR READYMIX CONCRETE</v>
      </c>
      <c r="M2223" s="447" t="str">
        <f>VLOOKUP(Advices[[#This Row],[LC Number]],'Combine_List'!A:D,3,0)</f>
        <v>MBL</v>
      </c>
      <c r="N2223" s="447" t="str">
        <f>VLOOKUP(Advices[[#This Row],[LC Number]],'Combine_List'!A:D,4,0)</f>
        <v>RCRC</v>
      </c>
      <c r="O2223" s="1"/>
      <c r="P2223" s="1">
        <f>MONTH(Advices[[#This Row],[Transaction Date]])</f>
        <v>4</v>
      </c>
      <c r="Q2223" s="1">
        <f>YEAR(Advices[[#This Row],[Transaction Date]])</f>
        <v>2026</v>
      </c>
      <c r="R2223" s="1"/>
    </row>
    <row r="2224" spans="1:18" hidden="1" x14ac:dyDescent="0.25">
      <c r="A2224" s="264" t="s">
        <v>612</v>
      </c>
      <c r="B2224" s="265">
        <v>46118</v>
      </c>
      <c r="C2224" s="266" t="s">
        <v>2101</v>
      </c>
      <c r="D2224" s="264" t="s">
        <v>4615</v>
      </c>
      <c r="E2224" s="264" t="s">
        <v>4627</v>
      </c>
      <c r="F2224" s="264" t="s">
        <v>2041</v>
      </c>
      <c r="G2224" s="266" t="s">
        <v>26</v>
      </c>
      <c r="H2224" s="266">
        <v>37397.26</v>
      </c>
      <c r="I2224" s="266">
        <v>0</v>
      </c>
      <c r="J2224" s="264" t="s">
        <v>2793</v>
      </c>
      <c r="K2224" s="264" t="s">
        <v>2025</v>
      </c>
      <c r="L2224" s="1" t="e">
        <f>VLOOKUP(Advices[[#This Row],[LC Number]],'Combine_List'!A:D,2,0)</f>
        <v>#N/A</v>
      </c>
      <c r="M2224" s="447" t="e">
        <f>VLOOKUP(Advices[[#This Row],[LC Number]],'Combine_List'!A:D,3,0)</f>
        <v>#N/A</v>
      </c>
      <c r="N2224" s="447" t="e">
        <f>VLOOKUP(Advices[[#This Row],[LC Number]],'Combine_List'!A:D,4,0)</f>
        <v>#N/A</v>
      </c>
      <c r="O2224" s="1"/>
      <c r="P2224" s="1">
        <f>MONTH(Advices[[#This Row],[Transaction Date]])</f>
        <v>4</v>
      </c>
      <c r="Q2224" s="1">
        <f>YEAR(Advices[[#This Row],[Transaction Date]])</f>
        <v>2026</v>
      </c>
      <c r="R2224" s="1"/>
    </row>
    <row r="2225" spans="1:18" hidden="1" x14ac:dyDescent="0.25">
      <c r="A2225" s="264" t="s">
        <v>612</v>
      </c>
      <c r="B2225" s="265">
        <v>46118</v>
      </c>
      <c r="C2225" s="266" t="s">
        <v>2101</v>
      </c>
      <c r="D2225" s="264" t="s">
        <v>4616</v>
      </c>
      <c r="E2225" s="264" t="s">
        <v>4627</v>
      </c>
      <c r="F2225" s="264" t="s">
        <v>2041</v>
      </c>
      <c r="G2225" s="266" t="s">
        <v>26</v>
      </c>
      <c r="H2225" s="266">
        <v>5609.59</v>
      </c>
      <c r="I2225" s="266">
        <v>0</v>
      </c>
      <c r="J2225" s="264" t="s">
        <v>1174</v>
      </c>
      <c r="K2225" s="264" t="s">
        <v>2025</v>
      </c>
      <c r="L2225" s="1" t="e">
        <f>VLOOKUP(Advices[[#This Row],[LC Number]],'Combine_List'!A:D,2,0)</f>
        <v>#N/A</v>
      </c>
      <c r="M2225" s="447" t="e">
        <f>VLOOKUP(Advices[[#This Row],[LC Number]],'Combine_List'!A:D,3,0)</f>
        <v>#N/A</v>
      </c>
      <c r="N2225" s="447" t="e">
        <f>VLOOKUP(Advices[[#This Row],[LC Number]],'Combine_List'!A:D,4,0)</f>
        <v>#N/A</v>
      </c>
      <c r="O2225" s="1"/>
      <c r="P2225" s="1">
        <f>MONTH(Advices[[#This Row],[Transaction Date]])</f>
        <v>4</v>
      </c>
      <c r="Q2225" s="1">
        <f>YEAR(Advices[[#This Row],[Transaction Date]])</f>
        <v>2026</v>
      </c>
      <c r="R2225" s="1"/>
    </row>
    <row r="2226" spans="1:18" hidden="1" x14ac:dyDescent="0.25">
      <c r="A2226" s="264" t="s">
        <v>612</v>
      </c>
      <c r="B2226" s="265">
        <v>46118</v>
      </c>
      <c r="C2226" s="266" t="s">
        <v>2101</v>
      </c>
      <c r="D2226" s="264" t="s">
        <v>4617</v>
      </c>
      <c r="E2226" s="264" t="s">
        <v>4627</v>
      </c>
      <c r="F2226" s="264" t="s">
        <v>2041</v>
      </c>
      <c r="G2226" s="266" t="s">
        <v>26</v>
      </c>
      <c r="H2226" s="266">
        <v>12500</v>
      </c>
      <c r="I2226" s="266">
        <v>0</v>
      </c>
      <c r="J2226" s="264" t="s">
        <v>2793</v>
      </c>
      <c r="K2226" s="264" t="s">
        <v>2025</v>
      </c>
      <c r="L2226" s="1" t="e">
        <f>VLOOKUP(Advices[[#This Row],[LC Number]],'Combine_List'!A:D,2,0)</f>
        <v>#N/A</v>
      </c>
      <c r="M2226" s="447" t="e">
        <f>VLOOKUP(Advices[[#This Row],[LC Number]],'Combine_List'!A:D,3,0)</f>
        <v>#N/A</v>
      </c>
      <c r="N2226" s="447" t="e">
        <f>VLOOKUP(Advices[[#This Row],[LC Number]],'Combine_List'!A:D,4,0)</f>
        <v>#N/A</v>
      </c>
      <c r="O2226" s="1"/>
      <c r="P2226" s="1">
        <f>MONTH(Advices[[#This Row],[Transaction Date]])</f>
        <v>4</v>
      </c>
      <c r="Q2226" s="1">
        <f>YEAR(Advices[[#This Row],[Transaction Date]])</f>
        <v>2026</v>
      </c>
      <c r="R2226" s="1"/>
    </row>
    <row r="2227" spans="1:18" hidden="1" x14ac:dyDescent="0.25">
      <c r="A2227" s="264" t="s">
        <v>612</v>
      </c>
      <c r="B2227" s="265">
        <v>46118</v>
      </c>
      <c r="C2227" s="266" t="s">
        <v>2101</v>
      </c>
      <c r="D2227" s="264" t="s">
        <v>4618</v>
      </c>
      <c r="E2227" s="264" t="s">
        <v>4627</v>
      </c>
      <c r="F2227" s="264" t="s">
        <v>2041</v>
      </c>
      <c r="G2227" s="266" t="s">
        <v>26</v>
      </c>
      <c r="H2227" s="266">
        <v>1875</v>
      </c>
      <c r="I2227" s="266">
        <v>0</v>
      </c>
      <c r="J2227" s="264" t="s">
        <v>1174</v>
      </c>
      <c r="K2227" s="264" t="s">
        <v>2025</v>
      </c>
      <c r="L2227" s="1" t="e">
        <f>VLOOKUP(Advices[[#This Row],[LC Number]],'Combine_List'!A:D,2,0)</f>
        <v>#N/A</v>
      </c>
      <c r="M2227" s="447" t="e">
        <f>VLOOKUP(Advices[[#This Row],[LC Number]],'Combine_List'!A:D,3,0)</f>
        <v>#N/A</v>
      </c>
      <c r="N2227" s="447" t="e">
        <f>VLOOKUP(Advices[[#This Row],[LC Number]],'Combine_List'!A:D,4,0)</f>
        <v>#N/A</v>
      </c>
      <c r="O2227" s="264"/>
      <c r="P2227" s="264">
        <f>MONTH(Advices[[#This Row],[Transaction Date]])</f>
        <v>4</v>
      </c>
      <c r="Q2227" s="264">
        <f>YEAR(Advices[[#This Row],[Transaction Date]])</f>
        <v>2026</v>
      </c>
      <c r="R2227" s="1"/>
    </row>
    <row r="2228" spans="1:18" x14ac:dyDescent="0.25">
      <c r="A2228" s="264" t="s">
        <v>21</v>
      </c>
      <c r="B2228" s="265">
        <v>46119</v>
      </c>
      <c r="C2228" s="266" t="s">
        <v>1951</v>
      </c>
      <c r="D2228" s="264" t="s">
        <v>2334</v>
      </c>
      <c r="E2228" s="264" t="s">
        <v>3227</v>
      </c>
      <c r="F2228" s="264" t="s">
        <v>4425</v>
      </c>
      <c r="G2228" s="266" t="s">
        <v>26</v>
      </c>
      <c r="H2228" s="266">
        <v>22.5</v>
      </c>
      <c r="I2228" s="266">
        <v>0</v>
      </c>
      <c r="J2228" s="264" t="s">
        <v>1174</v>
      </c>
      <c r="K2228" s="264" t="s">
        <v>2025</v>
      </c>
      <c r="L2228" s="1" t="str">
        <f>VLOOKUP(Advices[[#This Row],[LC Number]],'Combine_List'!A:D,2,0)</f>
        <v>BBH-CHEMTROL INTERNATIONAL ORGANIZATION S.L</v>
      </c>
      <c r="M2228" s="447" t="str">
        <f>VLOOKUP(Advices[[#This Row],[LC Number]],'Combine_List'!A:D,3,0)</f>
        <v>ICAD</v>
      </c>
      <c r="N2228" s="447" t="str">
        <f>VLOOKUP(Advices[[#This Row],[LC Number]],'Combine_List'!A:D,4,0)</f>
        <v>KSP</v>
      </c>
      <c r="O2228" s="1"/>
      <c r="P2228" s="1">
        <f>MONTH(Advices[[#This Row],[Transaction Date]])</f>
        <v>4</v>
      </c>
      <c r="Q2228" s="1">
        <f>YEAR(Advices[[#This Row],[Transaction Date]])</f>
        <v>2026</v>
      </c>
      <c r="R2228" s="1"/>
    </row>
    <row r="2229" spans="1:18" x14ac:dyDescent="0.25">
      <c r="A2229" s="264" t="s">
        <v>21</v>
      </c>
      <c r="B2229" s="265">
        <v>46119</v>
      </c>
      <c r="C2229" s="266" t="s">
        <v>1951</v>
      </c>
      <c r="D2229" s="264" t="s">
        <v>4569</v>
      </c>
      <c r="E2229" s="264" t="s">
        <v>3227</v>
      </c>
      <c r="F2229" s="264" t="s">
        <v>4425</v>
      </c>
      <c r="G2229" s="266" t="s">
        <v>26</v>
      </c>
      <c r="H2229" s="266">
        <v>150</v>
      </c>
      <c r="I2229" s="266">
        <v>0</v>
      </c>
      <c r="J2229" s="264" t="s">
        <v>1963</v>
      </c>
      <c r="K2229" s="264" t="s">
        <v>2025</v>
      </c>
      <c r="L2229" s="1" t="str">
        <f>VLOOKUP(Advices[[#This Row],[LC Number]],'Combine_List'!A:D,2,0)</f>
        <v>BBH-CHEMTROL INTERNATIONAL ORGANIZATION S.L</v>
      </c>
      <c r="M2229" s="447" t="str">
        <f>VLOOKUP(Advices[[#This Row],[LC Number]],'Combine_List'!A:D,3,0)</f>
        <v>ICAD</v>
      </c>
      <c r="N2229" s="447" t="str">
        <f>VLOOKUP(Advices[[#This Row],[LC Number]],'Combine_List'!A:D,4,0)</f>
        <v>KSP</v>
      </c>
      <c r="O2229" s="1"/>
      <c r="P2229" s="1">
        <f>MONTH(Advices[[#This Row],[Transaction Date]])</f>
        <v>4</v>
      </c>
      <c r="Q2229" s="1">
        <f>YEAR(Advices[[#This Row],[Transaction Date]])</f>
        <v>2026</v>
      </c>
      <c r="R2229" s="1"/>
    </row>
    <row r="2230" spans="1:18" x14ac:dyDescent="0.25">
      <c r="A2230" s="264" t="s">
        <v>21</v>
      </c>
      <c r="B2230" s="265">
        <v>46119</v>
      </c>
      <c r="C2230" s="266" t="s">
        <v>1951</v>
      </c>
      <c r="D2230" s="264" t="s">
        <v>4570</v>
      </c>
      <c r="E2230" s="264" t="s">
        <v>3227</v>
      </c>
      <c r="F2230" s="264" t="s">
        <v>4425</v>
      </c>
      <c r="G2230" s="266" t="s">
        <v>26</v>
      </c>
      <c r="H2230" s="266">
        <v>96604.2</v>
      </c>
      <c r="I2230" s="266">
        <v>0</v>
      </c>
      <c r="J2230" s="264" t="s">
        <v>1126</v>
      </c>
      <c r="K2230" s="264" t="s">
        <v>2025</v>
      </c>
      <c r="L2230" s="1" t="str">
        <f>VLOOKUP(Advices[[#This Row],[LC Number]],'Combine_List'!A:D,2,0)</f>
        <v>BBH-CHEMTROL INTERNATIONAL ORGANIZATION S.L</v>
      </c>
      <c r="M2230" s="447" t="str">
        <f>VLOOKUP(Advices[[#This Row],[LC Number]],'Combine_List'!A:D,3,0)</f>
        <v>ICAD</v>
      </c>
      <c r="N2230" s="447" t="str">
        <f>VLOOKUP(Advices[[#This Row],[LC Number]],'Combine_List'!A:D,4,0)</f>
        <v>KSP</v>
      </c>
      <c r="O2230" s="264"/>
      <c r="P2230" s="264">
        <f>MONTH(Advices[[#This Row],[Transaction Date]])</f>
        <v>4</v>
      </c>
      <c r="Q2230" s="264">
        <f>YEAR(Advices[[#This Row],[Transaction Date]])</f>
        <v>2026</v>
      </c>
      <c r="R2230" s="1"/>
    </row>
    <row r="2231" spans="1:18" hidden="1" x14ac:dyDescent="0.25">
      <c r="A2231" s="264" t="s">
        <v>95</v>
      </c>
      <c r="B2231" s="265">
        <v>46119</v>
      </c>
      <c r="C2231" s="266" t="s">
        <v>2026</v>
      </c>
      <c r="D2231" s="264" t="s">
        <v>4623</v>
      </c>
      <c r="E2231" s="264" t="s">
        <v>3720</v>
      </c>
      <c r="F2231" s="264" t="s">
        <v>4624</v>
      </c>
      <c r="G2231" s="266" t="s">
        <v>26</v>
      </c>
      <c r="H2231" s="266">
        <v>2915.25</v>
      </c>
      <c r="I2231" s="266">
        <v>0</v>
      </c>
      <c r="J2231" s="264" t="s">
        <v>1125</v>
      </c>
      <c r="K2231" s="264" t="s">
        <v>2025</v>
      </c>
      <c r="L2231" s="1" t="str">
        <f>VLOOKUP(Advices[[#This Row],[LC Number]],'Combine_List'!A:D,2,0)</f>
        <v>Alkhorayef Commercial Company</v>
      </c>
      <c r="M2231" s="447" t="str">
        <f>VLOOKUP(Advices[[#This Row],[LC Number]],'Combine_List'!A:D,3,0)</f>
        <v>MBL/ICAD</v>
      </c>
      <c r="N2231" s="447" t="str">
        <f>VLOOKUP(Advices[[#This Row],[LC Number]],'Combine_List'!A:D,4,0)</f>
        <v>OPERA House</v>
      </c>
      <c r="O2231" s="1"/>
      <c r="P2231" s="1">
        <f>MONTH(Advices[[#This Row],[Transaction Date]])</f>
        <v>4</v>
      </c>
      <c r="Q2231" s="1">
        <f>YEAR(Advices[[#This Row],[Transaction Date]])</f>
        <v>2026</v>
      </c>
      <c r="R2231" s="1"/>
    </row>
    <row r="2232" spans="1:18" hidden="1" x14ac:dyDescent="0.25">
      <c r="A2232" s="264" t="s">
        <v>95</v>
      </c>
      <c r="B2232" s="265">
        <v>46119</v>
      </c>
      <c r="C2232" s="266" t="s">
        <v>2026</v>
      </c>
      <c r="D2232" s="264" t="s">
        <v>4625</v>
      </c>
      <c r="E2232" s="264" t="s">
        <v>4568</v>
      </c>
      <c r="F2232" s="264" t="s">
        <v>4626</v>
      </c>
      <c r="G2232" s="266" t="s">
        <v>26</v>
      </c>
      <c r="H2232" s="266">
        <v>1394.38</v>
      </c>
      <c r="I2232" s="266">
        <v>0</v>
      </c>
      <c r="J2232" s="264" t="s">
        <v>2616</v>
      </c>
      <c r="K2232" s="264" t="s">
        <v>2025</v>
      </c>
      <c r="L2232" s="1" t="str">
        <f>VLOOKUP(Advices[[#This Row],[LC Number]],'Combine_List'!A:D,2,0)</f>
        <v>Saudi Electric Supply Company Limited(SESCO)</v>
      </c>
      <c r="M2232" s="447" t="str">
        <f>VLOOKUP(Advices[[#This Row],[LC Number]],'Combine_List'!A:D,3,0)</f>
        <v>MBL/ICAD</v>
      </c>
      <c r="N2232" s="447" t="str">
        <f>VLOOKUP(Advices[[#This Row],[LC Number]],'Combine_List'!A:D,4,0)</f>
        <v>OPERA House</v>
      </c>
      <c r="O2232" s="264"/>
      <c r="P2232" s="264">
        <f>MONTH(Advices[[#This Row],[Transaction Date]])</f>
        <v>4</v>
      </c>
      <c r="Q2232" s="264">
        <f>YEAR(Advices[[#This Row],[Transaction Date]])</f>
        <v>2026</v>
      </c>
      <c r="R2232" s="1"/>
    </row>
    <row r="2233" spans="1:18" x14ac:dyDescent="0.25">
      <c r="A2233" s="264" t="s">
        <v>21</v>
      </c>
      <c r="B2233" s="265">
        <v>46120</v>
      </c>
      <c r="C2233" s="266" t="s">
        <v>1951</v>
      </c>
      <c r="D2233" s="264" t="s">
        <v>4631</v>
      </c>
      <c r="E2233" s="264" t="s">
        <v>4055</v>
      </c>
      <c r="F2233" s="264" t="s">
        <v>4632</v>
      </c>
      <c r="G2233" s="266" t="s">
        <v>26</v>
      </c>
      <c r="H2233" s="299">
        <v>1125</v>
      </c>
      <c r="I2233" s="266">
        <v>0</v>
      </c>
      <c r="J2233" s="264" t="s">
        <v>1174</v>
      </c>
      <c r="K2233" s="264" t="s">
        <v>2025</v>
      </c>
      <c r="L2233" s="1" t="str">
        <f>VLOOKUP(Advices[[#This Row],[LC Number]],'Combine_List'!A:D,2,0)</f>
        <v>The Fundamental Installation For Electric Work Co</v>
      </c>
      <c r="M2233" s="447" t="str">
        <f>VLOOKUP(Advices[[#This Row],[LC Number]],'Combine_List'!A:D,3,0)</f>
        <v>FIRST FIX</v>
      </c>
      <c r="N2233" s="447" t="str">
        <f>VLOOKUP(Advices[[#This Row],[LC Number]],'Combine_List'!A:D,4,0)</f>
        <v>ADF</v>
      </c>
      <c r="O2233" s="1"/>
      <c r="P2233" s="1">
        <f>MONTH(Advices[[#This Row],[Transaction Date]])</f>
        <v>4</v>
      </c>
      <c r="Q2233" s="1">
        <f>YEAR(Advices[[#This Row],[Transaction Date]])</f>
        <v>2026</v>
      </c>
      <c r="R2233" s="1"/>
    </row>
    <row r="2234" spans="1:18" x14ac:dyDescent="0.25">
      <c r="A2234" s="264" t="s">
        <v>21</v>
      </c>
      <c r="B2234" s="265">
        <v>46120</v>
      </c>
      <c r="C2234" s="266" t="s">
        <v>1951</v>
      </c>
      <c r="D2234" s="264" t="s">
        <v>4572</v>
      </c>
      <c r="E2234" s="264" t="s">
        <v>4055</v>
      </c>
      <c r="F2234" s="264" t="s">
        <v>4632</v>
      </c>
      <c r="G2234" s="266" t="s">
        <v>26</v>
      </c>
      <c r="H2234" s="299">
        <v>7500</v>
      </c>
      <c r="I2234" s="266">
        <v>0</v>
      </c>
      <c r="J2234" s="264" t="s">
        <v>1125</v>
      </c>
      <c r="K2234" s="264" t="s">
        <v>2025</v>
      </c>
      <c r="L2234" s="1" t="str">
        <f>VLOOKUP(Advices[[#This Row],[LC Number]],'Combine_List'!A:D,2,0)</f>
        <v>The Fundamental Installation For Electric Work Co</v>
      </c>
      <c r="M2234" s="447" t="str">
        <f>VLOOKUP(Advices[[#This Row],[LC Number]],'Combine_List'!A:D,3,0)</f>
        <v>FIRST FIX</v>
      </c>
      <c r="N2234" s="447" t="str">
        <f>VLOOKUP(Advices[[#This Row],[LC Number]],'Combine_List'!A:D,4,0)</f>
        <v>ADF</v>
      </c>
      <c r="O2234" s="1"/>
      <c r="P2234" s="1">
        <f>MONTH(Advices[[#This Row],[Transaction Date]])</f>
        <v>4</v>
      </c>
      <c r="Q2234" s="1">
        <f>YEAR(Advices[[#This Row],[Transaction Date]])</f>
        <v>2026</v>
      </c>
      <c r="R2234" s="1"/>
    </row>
    <row r="2235" spans="1:18" x14ac:dyDescent="0.25">
      <c r="A2235" s="264" t="s">
        <v>21</v>
      </c>
      <c r="B2235" s="265">
        <v>46120</v>
      </c>
      <c r="C2235" s="266" t="s">
        <v>1951</v>
      </c>
      <c r="D2235" s="264" t="s">
        <v>4633</v>
      </c>
      <c r="E2235" s="264" t="s">
        <v>4628</v>
      </c>
      <c r="F2235" s="264" t="s">
        <v>4628</v>
      </c>
      <c r="G2235" s="266" t="s">
        <v>26</v>
      </c>
      <c r="H2235" s="266">
        <v>105</v>
      </c>
      <c r="I2235" s="266">
        <v>0</v>
      </c>
      <c r="J2235" s="264" t="s">
        <v>1174</v>
      </c>
      <c r="K2235" s="264" t="s">
        <v>2025</v>
      </c>
      <c r="L2235" s="1" t="str">
        <f>VLOOKUP(Advices[[#This Row],[LC Number]],'Combine_List'!A:D,2,0)</f>
        <v>Innovative Contractors for Advanced Dimension (ICAD)</v>
      </c>
      <c r="M2235" s="447" t="str">
        <f>VLOOKUP(Advices[[#This Row],[LC Number]],'Combine_List'!A:D,3,0)</f>
        <v>MBL</v>
      </c>
      <c r="N2235" s="447" t="str">
        <f>VLOOKUP(Advices[[#This Row],[LC Number]],'Combine_List'!A:D,4,0)</f>
        <v>CEER</v>
      </c>
      <c r="O2235" s="1"/>
      <c r="P2235" s="1">
        <f>MONTH(Advices[[#This Row],[Transaction Date]])</f>
        <v>4</v>
      </c>
      <c r="Q2235" s="1">
        <f>YEAR(Advices[[#This Row],[Transaction Date]])</f>
        <v>2026</v>
      </c>
      <c r="R2235" s="1"/>
    </row>
    <row r="2236" spans="1:18" x14ac:dyDescent="0.25">
      <c r="A2236" s="264" t="s">
        <v>21</v>
      </c>
      <c r="B2236" s="265">
        <v>46120</v>
      </c>
      <c r="C2236" s="266" t="s">
        <v>1951</v>
      </c>
      <c r="D2236" s="264" t="s">
        <v>4569</v>
      </c>
      <c r="E2236" s="264" t="s">
        <v>4628</v>
      </c>
      <c r="F2236" s="264" t="s">
        <v>4628</v>
      </c>
      <c r="G2236" s="266" t="s">
        <v>26</v>
      </c>
      <c r="H2236" s="266">
        <v>700</v>
      </c>
      <c r="I2236" s="266">
        <v>0</v>
      </c>
      <c r="J2236" s="264" t="s">
        <v>1963</v>
      </c>
      <c r="K2236" s="264" t="s">
        <v>2025</v>
      </c>
      <c r="L2236" s="1" t="str">
        <f>VLOOKUP(Advices[[#This Row],[LC Number]],'Combine_List'!A:D,2,0)</f>
        <v>Innovative Contractors for Advanced Dimension (ICAD)</v>
      </c>
      <c r="M2236" s="447" t="str">
        <f>VLOOKUP(Advices[[#This Row],[LC Number]],'Combine_List'!A:D,3,0)</f>
        <v>MBL</v>
      </c>
      <c r="N2236" s="447" t="str">
        <f>VLOOKUP(Advices[[#This Row],[LC Number]],'Combine_List'!A:D,4,0)</f>
        <v>CEER</v>
      </c>
      <c r="O2236" s="1"/>
      <c r="P2236" s="1">
        <f>MONTH(Advices[[#This Row],[Transaction Date]])</f>
        <v>4</v>
      </c>
      <c r="Q2236" s="1">
        <f>YEAR(Advices[[#This Row],[Transaction Date]])</f>
        <v>2026</v>
      </c>
      <c r="R2236" s="1"/>
    </row>
    <row r="2237" spans="1:18" x14ac:dyDescent="0.25">
      <c r="A2237" s="264" t="s">
        <v>21</v>
      </c>
      <c r="B2237" s="265">
        <v>46120</v>
      </c>
      <c r="C2237" s="266" t="s">
        <v>1951</v>
      </c>
      <c r="D2237" s="264" t="s">
        <v>4633</v>
      </c>
      <c r="E2237" s="264" t="s">
        <v>4628</v>
      </c>
      <c r="F2237" s="264" t="s">
        <v>4628</v>
      </c>
      <c r="G2237" s="266" t="s">
        <v>26</v>
      </c>
      <c r="H2237" s="266">
        <v>4102.6899999999996</v>
      </c>
      <c r="I2237" s="266">
        <v>0</v>
      </c>
      <c r="J2237" s="264" t="s">
        <v>1174</v>
      </c>
      <c r="K2237" s="264" t="s">
        <v>2025</v>
      </c>
      <c r="L2237" s="1" t="str">
        <f>VLOOKUP(Advices[[#This Row],[LC Number]],'Combine_List'!A:D,2,0)</f>
        <v>Innovative Contractors for Advanced Dimension (ICAD)</v>
      </c>
      <c r="M2237" s="447" t="str">
        <f>VLOOKUP(Advices[[#This Row],[LC Number]],'Combine_List'!A:D,3,0)</f>
        <v>MBL</v>
      </c>
      <c r="N2237" s="447" t="str">
        <f>VLOOKUP(Advices[[#This Row],[LC Number]],'Combine_List'!A:D,4,0)</f>
        <v>CEER</v>
      </c>
      <c r="O2237" s="1"/>
      <c r="P2237" s="1">
        <f>MONTH(Advices[[#This Row],[Transaction Date]])</f>
        <v>4</v>
      </c>
      <c r="Q2237" s="1">
        <f>YEAR(Advices[[#This Row],[Transaction Date]])</f>
        <v>2026</v>
      </c>
      <c r="R2237" s="1"/>
    </row>
    <row r="2238" spans="1:18" x14ac:dyDescent="0.25">
      <c r="A2238" s="264" t="s">
        <v>21</v>
      </c>
      <c r="B2238" s="265">
        <v>46120</v>
      </c>
      <c r="C2238" s="266" t="s">
        <v>1951</v>
      </c>
      <c r="D2238" s="264" t="s">
        <v>4634</v>
      </c>
      <c r="E2238" s="264" t="s">
        <v>4628</v>
      </c>
      <c r="F2238" s="264" t="s">
        <v>4628</v>
      </c>
      <c r="G2238" s="266" t="s">
        <v>26</v>
      </c>
      <c r="H2238" s="266">
        <v>27351.29</v>
      </c>
      <c r="I2238" s="266">
        <v>0</v>
      </c>
      <c r="J2238" s="264" t="s">
        <v>2616</v>
      </c>
      <c r="K2238" s="264" t="s">
        <v>2025</v>
      </c>
      <c r="L2238" s="1" t="str">
        <f>VLOOKUP(Advices[[#This Row],[LC Number]],'Combine_List'!A:D,2,0)</f>
        <v>Innovative Contractors for Advanced Dimension (ICAD)</v>
      </c>
      <c r="M2238" s="447" t="str">
        <f>VLOOKUP(Advices[[#This Row],[LC Number]],'Combine_List'!A:D,3,0)</f>
        <v>MBL</v>
      </c>
      <c r="N2238" s="447" t="str">
        <f>VLOOKUP(Advices[[#This Row],[LC Number]],'Combine_List'!A:D,4,0)</f>
        <v>CEER</v>
      </c>
      <c r="O2238" s="264"/>
      <c r="P2238" s="264">
        <f>MONTH(Advices[[#This Row],[Transaction Date]])</f>
        <v>4</v>
      </c>
      <c r="Q2238" s="264">
        <f>YEAR(Advices[[#This Row],[Transaction Date]])</f>
        <v>2026</v>
      </c>
      <c r="R2238" s="1"/>
    </row>
    <row r="2239" spans="1:18" hidden="1" x14ac:dyDescent="0.25">
      <c r="A2239" s="264" t="s">
        <v>62</v>
      </c>
      <c r="B2239" s="265">
        <v>46120</v>
      </c>
      <c r="C2239" s="266" t="s">
        <v>2039</v>
      </c>
      <c r="D2239" s="264" t="s">
        <v>4635</v>
      </c>
      <c r="E2239" s="264" t="s">
        <v>4621</v>
      </c>
      <c r="F2239" s="264" t="s">
        <v>2041</v>
      </c>
      <c r="G2239" s="266" t="s">
        <v>26</v>
      </c>
      <c r="H2239" s="266">
        <v>1840</v>
      </c>
      <c r="I2239" s="266">
        <v>0</v>
      </c>
      <c r="J2239" s="264" t="s">
        <v>4662</v>
      </c>
      <c r="K2239" s="264" t="s">
        <v>2025</v>
      </c>
      <c r="L2239" s="1" t="str">
        <f>VLOOKUP(Advices[[#This Row],[LC Number]],'Combine_List'!A:D,2,0)</f>
        <v>Bid - JEDDAH MUNICIPALITY – RABIGH GOVERNORATE MUNICIPALITY</v>
      </c>
      <c r="M2239" s="447">
        <f>VLOOKUP(Advices[[#This Row],[LC Number]],'Combine_List'!A:D,3,0)</f>
        <v>0</v>
      </c>
      <c r="N2239" s="447">
        <f>VLOOKUP(Advices[[#This Row],[LC Number]],'Combine_List'!A:D,4,0)</f>
        <v>0</v>
      </c>
      <c r="O2239" s="264"/>
      <c r="P2239" s="264">
        <f>MONTH(Advices[[#This Row],[Transaction Date]])</f>
        <v>4</v>
      </c>
      <c r="Q2239" s="264">
        <f>YEAR(Advices[[#This Row],[Transaction Date]])</f>
        <v>2026</v>
      </c>
      <c r="R2239" s="1"/>
    </row>
    <row r="2240" spans="1:18" hidden="1" x14ac:dyDescent="0.25">
      <c r="A2240" s="264" t="s">
        <v>95</v>
      </c>
      <c r="B2240" s="265">
        <v>46120</v>
      </c>
      <c r="C2240" s="266" t="s">
        <v>2026</v>
      </c>
      <c r="D2240" s="264" t="s">
        <v>4636</v>
      </c>
      <c r="E2240" s="264" t="s">
        <v>1446</v>
      </c>
      <c r="F2240" s="264" t="s">
        <v>2603</v>
      </c>
      <c r="G2240" s="266" t="s">
        <v>26</v>
      </c>
      <c r="H2240" s="266">
        <v>843.42</v>
      </c>
      <c r="I2240" s="266">
        <v>0</v>
      </c>
      <c r="J2240" s="264" t="s">
        <v>1124</v>
      </c>
      <c r="K2240" s="264" t="s">
        <v>2025</v>
      </c>
      <c r="L2240" s="1" t="str">
        <f>VLOOKUP(Advices[[#This Row],[LC Number]],'Combine_List'!A:D,2,0)</f>
        <v>Al Arabia Construction &amp; Building Co.</v>
      </c>
      <c r="M2240" s="447" t="str">
        <f>VLOOKUP(Advices[[#This Row],[LC Number]],'Combine_List'!A:D,3,0)</f>
        <v>MBL</v>
      </c>
      <c r="N2240" s="447" t="str">
        <f>VLOOKUP(Advices[[#This Row],[LC Number]],'Combine_List'!A:D,4,0)</f>
        <v>Rabigh Power Plant</v>
      </c>
      <c r="O2240" s="1"/>
      <c r="P2240" s="1">
        <f>MONTH(Advices[[#This Row],[Transaction Date]])</f>
        <v>4</v>
      </c>
      <c r="Q2240" s="1">
        <f>YEAR(Advices[[#This Row],[Transaction Date]])</f>
        <v>2026</v>
      </c>
      <c r="R2240" s="1"/>
    </row>
    <row r="2241" spans="1:18" hidden="1" x14ac:dyDescent="0.25">
      <c r="A2241" s="264" t="s">
        <v>95</v>
      </c>
      <c r="B2241" s="265">
        <v>46120</v>
      </c>
      <c r="C2241" s="266" t="s">
        <v>3182</v>
      </c>
      <c r="D2241" s="264" t="s">
        <v>4637</v>
      </c>
      <c r="E2241" s="264" t="s">
        <v>707</v>
      </c>
      <c r="F2241" s="264" t="s">
        <v>4513</v>
      </c>
      <c r="G2241" s="266" t="s">
        <v>67</v>
      </c>
      <c r="H2241" s="266">
        <v>256748.12</v>
      </c>
      <c r="I2241" s="266">
        <v>0</v>
      </c>
      <c r="J2241" s="264" t="s">
        <v>1126</v>
      </c>
      <c r="K2241" s="264" t="s">
        <v>2025</v>
      </c>
      <c r="L2241" s="1" t="str">
        <f>VLOOKUP(Advices[[#This Row],[LC Number]],'Combine_List'!A:D,2,0)</f>
        <v>BBH-CHEMTROL INTERNATIONAL ORGANIZATION S.L</v>
      </c>
      <c r="M2241" s="447" t="str">
        <f>VLOOKUP(Advices[[#This Row],[LC Number]],'Combine_List'!A:D,3,0)</f>
        <v>MBL/ICAD</v>
      </c>
      <c r="N2241" s="447" t="str">
        <f>VLOOKUP(Advices[[#This Row],[LC Number]],'Combine_List'!A:D,4,0)</f>
        <v>OPERA House</v>
      </c>
      <c r="O2241" s="264"/>
      <c r="P2241" s="264">
        <f>MONTH(Advices[[#This Row],[Transaction Date]])</f>
        <v>4</v>
      </c>
      <c r="Q2241" s="264">
        <f>YEAR(Advices[[#This Row],[Transaction Date]])</f>
        <v>2026</v>
      </c>
      <c r="R2241" s="1"/>
    </row>
    <row r="2242" spans="1:18" hidden="1" x14ac:dyDescent="0.25">
      <c r="A2242" s="264" t="s">
        <v>612</v>
      </c>
      <c r="B2242" s="265">
        <v>46120</v>
      </c>
      <c r="C2242" s="266" t="s">
        <v>2101</v>
      </c>
      <c r="D2242" s="264" t="s">
        <v>4638</v>
      </c>
      <c r="E2242" s="264" t="s">
        <v>3567</v>
      </c>
      <c r="F2242" s="264" t="s">
        <v>2041</v>
      </c>
      <c r="G2242" s="266" t="s">
        <v>26</v>
      </c>
      <c r="H2242" s="266">
        <v>500</v>
      </c>
      <c r="I2242" s="266">
        <v>0</v>
      </c>
      <c r="J2242" s="264" t="s">
        <v>1124</v>
      </c>
      <c r="K2242" s="264" t="s">
        <v>2025</v>
      </c>
      <c r="L2242" s="1" t="str">
        <f>VLOOKUP(Advices[[#This Row],[LC Number]],'Combine_List'!A:D,2,0)</f>
        <v>Mohammed Masoud Al Khaldi Est</v>
      </c>
      <c r="M2242" s="447" t="str">
        <f>VLOOKUP(Advices[[#This Row],[LC Number]],'Combine_List'!A:D,3,0)</f>
        <v>FIRST FIX</v>
      </c>
      <c r="N2242" s="447" t="str">
        <f>VLOOKUP(Advices[[#This Row],[LC Number]],'Combine_List'!A:D,4,0)</f>
        <v>RCRC</v>
      </c>
      <c r="O2242" s="1"/>
      <c r="P2242" s="1">
        <f>MONTH(Advices[[#This Row],[Transaction Date]])</f>
        <v>4</v>
      </c>
      <c r="Q2242" s="1">
        <f>YEAR(Advices[[#This Row],[Transaction Date]])</f>
        <v>2026</v>
      </c>
      <c r="R2242" s="1"/>
    </row>
    <row r="2243" spans="1:18" hidden="1" x14ac:dyDescent="0.25">
      <c r="A2243" s="264" t="s">
        <v>612</v>
      </c>
      <c r="B2243" s="265">
        <v>46120</v>
      </c>
      <c r="C2243" s="266" t="s">
        <v>2101</v>
      </c>
      <c r="D2243" s="264" t="s">
        <v>4639</v>
      </c>
      <c r="E2243" s="264" t="s">
        <v>3567</v>
      </c>
      <c r="F2243" s="264" t="s">
        <v>2041</v>
      </c>
      <c r="G2243" s="266" t="s">
        <v>26</v>
      </c>
      <c r="H2243" s="266">
        <v>75</v>
      </c>
      <c r="I2243" s="266">
        <v>0</v>
      </c>
      <c r="J2243" s="264" t="s">
        <v>1174</v>
      </c>
      <c r="K2243" s="264" t="s">
        <v>2025</v>
      </c>
      <c r="L2243" s="1" t="str">
        <f>VLOOKUP(Advices[[#This Row],[LC Number]],'Combine_List'!A:D,2,0)</f>
        <v>Mohammed Masoud Al Khaldi Est</v>
      </c>
      <c r="M2243" s="447" t="str">
        <f>VLOOKUP(Advices[[#This Row],[LC Number]],'Combine_List'!A:D,3,0)</f>
        <v>FIRST FIX</v>
      </c>
      <c r="N2243" s="447" t="str">
        <f>VLOOKUP(Advices[[#This Row],[LC Number]],'Combine_List'!A:D,4,0)</f>
        <v>RCRC</v>
      </c>
      <c r="O2243" s="1"/>
      <c r="P2243" s="1">
        <f>MONTH(Advices[[#This Row],[Transaction Date]])</f>
        <v>4</v>
      </c>
      <c r="Q2243" s="1">
        <f>YEAR(Advices[[#This Row],[Transaction Date]])</f>
        <v>2026</v>
      </c>
      <c r="R2243" s="1"/>
    </row>
    <row r="2244" spans="1:18" hidden="1" x14ac:dyDescent="0.25">
      <c r="A2244" s="264" t="s">
        <v>612</v>
      </c>
      <c r="B2244" s="265">
        <v>46120</v>
      </c>
      <c r="C2244" s="266" t="s">
        <v>2101</v>
      </c>
      <c r="D2244" s="264" t="s">
        <v>4640</v>
      </c>
      <c r="E2244" s="264" t="s">
        <v>3567</v>
      </c>
      <c r="F2244" s="264" t="s">
        <v>2041</v>
      </c>
      <c r="G2244" s="266" t="s">
        <v>26</v>
      </c>
      <c r="H2244" s="266">
        <v>200</v>
      </c>
      <c r="I2244" s="266">
        <v>0</v>
      </c>
      <c r="J2244" s="264" t="s">
        <v>1124</v>
      </c>
      <c r="K2244" s="264" t="s">
        <v>2025</v>
      </c>
      <c r="L2244" s="1" t="str">
        <f>VLOOKUP(Advices[[#This Row],[LC Number]],'Combine_List'!A:D,2,0)</f>
        <v>Mohammed Masoud Al Khaldi Est</v>
      </c>
      <c r="M2244" s="447" t="str">
        <f>VLOOKUP(Advices[[#This Row],[LC Number]],'Combine_List'!A:D,3,0)</f>
        <v>FIRST FIX</v>
      </c>
      <c r="N2244" s="447" t="str">
        <f>VLOOKUP(Advices[[#This Row],[LC Number]],'Combine_List'!A:D,4,0)</f>
        <v>RCRC</v>
      </c>
      <c r="O2244" s="1"/>
      <c r="P2244" s="1">
        <f>MONTH(Advices[[#This Row],[Transaction Date]])</f>
        <v>4</v>
      </c>
      <c r="Q2244" s="1">
        <f>YEAR(Advices[[#This Row],[Transaction Date]])</f>
        <v>2026</v>
      </c>
      <c r="R2244" s="1"/>
    </row>
    <row r="2245" spans="1:18" hidden="1" x14ac:dyDescent="0.25">
      <c r="A2245" s="264" t="s">
        <v>612</v>
      </c>
      <c r="B2245" s="265">
        <v>46120</v>
      </c>
      <c r="C2245" s="266" t="s">
        <v>2101</v>
      </c>
      <c r="D2245" s="264" t="s">
        <v>4641</v>
      </c>
      <c r="E2245" s="264" t="s">
        <v>3567</v>
      </c>
      <c r="F2245" s="264" t="s">
        <v>2041</v>
      </c>
      <c r="G2245" s="266" t="s">
        <v>26</v>
      </c>
      <c r="H2245" s="266">
        <v>30</v>
      </c>
      <c r="I2245" s="266">
        <v>0</v>
      </c>
      <c r="J2245" s="264" t="s">
        <v>1174</v>
      </c>
      <c r="K2245" s="264" t="s">
        <v>2025</v>
      </c>
      <c r="L2245" s="1" t="str">
        <f>VLOOKUP(Advices[[#This Row],[LC Number]],'Combine_List'!A:D,2,0)</f>
        <v>Mohammed Masoud Al Khaldi Est</v>
      </c>
      <c r="M2245" s="447" t="str">
        <f>VLOOKUP(Advices[[#This Row],[LC Number]],'Combine_List'!A:D,3,0)</f>
        <v>FIRST FIX</v>
      </c>
      <c r="N2245" s="447" t="str">
        <f>VLOOKUP(Advices[[#This Row],[LC Number]],'Combine_List'!A:D,4,0)</f>
        <v>RCRC</v>
      </c>
      <c r="O2245" s="1"/>
      <c r="P2245" s="1">
        <f>MONTH(Advices[[#This Row],[Transaction Date]])</f>
        <v>4</v>
      </c>
      <c r="Q2245" s="1">
        <f>YEAR(Advices[[#This Row],[Transaction Date]])</f>
        <v>2026</v>
      </c>
      <c r="R2245" s="1"/>
    </row>
    <row r="2246" spans="1:18" hidden="1" x14ac:dyDescent="0.25">
      <c r="A2246" s="264" t="s">
        <v>612</v>
      </c>
      <c r="B2246" s="265">
        <v>46120</v>
      </c>
      <c r="C2246" s="266" t="s">
        <v>2101</v>
      </c>
      <c r="D2246" s="264" t="s">
        <v>4642</v>
      </c>
      <c r="E2246" s="264" t="s">
        <v>3571</v>
      </c>
      <c r="F2246" s="264" t="s">
        <v>2041</v>
      </c>
      <c r="G2246" s="266" t="s">
        <v>26</v>
      </c>
      <c r="H2246" s="266">
        <v>500</v>
      </c>
      <c r="I2246" s="266">
        <v>0</v>
      </c>
      <c r="J2246" s="264" t="s">
        <v>1124</v>
      </c>
      <c r="K2246" s="264" t="s">
        <v>2025</v>
      </c>
      <c r="L2246" s="1" t="str">
        <f>VLOOKUP(Advices[[#This Row],[LC Number]],'Combine_List'!A:D,2,0)</f>
        <v>Alfanar Electrical Systems</v>
      </c>
      <c r="M2246" s="447" t="str">
        <f>VLOOKUP(Advices[[#This Row],[LC Number]],'Combine_List'!A:D,3,0)</f>
        <v>FIRST FIX</v>
      </c>
      <c r="N2246" s="447" t="str">
        <f>VLOOKUP(Advices[[#This Row],[LC Number]],'Combine_List'!A:D,4,0)</f>
        <v>RCRC</v>
      </c>
      <c r="O2246" s="1"/>
      <c r="P2246" s="1">
        <f>MONTH(Advices[[#This Row],[Transaction Date]])</f>
        <v>4</v>
      </c>
      <c r="Q2246" s="1">
        <f>YEAR(Advices[[#This Row],[Transaction Date]])</f>
        <v>2026</v>
      </c>
      <c r="R2246" s="1"/>
    </row>
    <row r="2247" spans="1:18" hidden="1" x14ac:dyDescent="0.25">
      <c r="A2247" s="264" t="s">
        <v>612</v>
      </c>
      <c r="B2247" s="265">
        <v>46120</v>
      </c>
      <c r="C2247" s="266" t="s">
        <v>2101</v>
      </c>
      <c r="D2247" s="264" t="s">
        <v>4643</v>
      </c>
      <c r="E2247" s="264" t="s">
        <v>3571</v>
      </c>
      <c r="F2247" s="264" t="s">
        <v>2041</v>
      </c>
      <c r="G2247" s="266" t="s">
        <v>26</v>
      </c>
      <c r="H2247" s="266">
        <v>75</v>
      </c>
      <c r="I2247" s="266">
        <v>0</v>
      </c>
      <c r="J2247" s="264" t="s">
        <v>1174</v>
      </c>
      <c r="K2247" s="264" t="s">
        <v>2025</v>
      </c>
      <c r="L2247" s="1" t="str">
        <f>VLOOKUP(Advices[[#This Row],[LC Number]],'Combine_List'!A:D,2,0)</f>
        <v>Alfanar Electrical Systems</v>
      </c>
      <c r="M2247" s="447" t="str">
        <f>VLOOKUP(Advices[[#This Row],[LC Number]],'Combine_List'!A:D,3,0)</f>
        <v>FIRST FIX</v>
      </c>
      <c r="N2247" s="447" t="str">
        <f>VLOOKUP(Advices[[#This Row],[LC Number]],'Combine_List'!A:D,4,0)</f>
        <v>RCRC</v>
      </c>
      <c r="O2247" s="1"/>
      <c r="P2247" s="1">
        <f>MONTH(Advices[[#This Row],[Transaction Date]])</f>
        <v>4</v>
      </c>
      <c r="Q2247" s="1">
        <f>YEAR(Advices[[#This Row],[Transaction Date]])</f>
        <v>2026</v>
      </c>
      <c r="R2247" s="1"/>
    </row>
    <row r="2248" spans="1:18" hidden="1" x14ac:dyDescent="0.25">
      <c r="A2248" s="264" t="s">
        <v>612</v>
      </c>
      <c r="B2248" s="265">
        <v>46120</v>
      </c>
      <c r="C2248" s="266" t="s">
        <v>2101</v>
      </c>
      <c r="D2248" s="264" t="s">
        <v>4644</v>
      </c>
      <c r="E2248" s="264" t="s">
        <v>3571</v>
      </c>
      <c r="F2248" s="264" t="s">
        <v>2041</v>
      </c>
      <c r="G2248" s="266" t="s">
        <v>26</v>
      </c>
      <c r="H2248" s="266">
        <v>200</v>
      </c>
      <c r="I2248" s="266">
        <v>0</v>
      </c>
      <c r="J2248" s="264" t="s">
        <v>1124</v>
      </c>
      <c r="K2248" s="264" t="s">
        <v>2025</v>
      </c>
      <c r="L2248" s="1" t="str">
        <f>VLOOKUP(Advices[[#This Row],[LC Number]],'Combine_List'!A:D,2,0)</f>
        <v>Alfanar Electrical Systems</v>
      </c>
      <c r="M2248" s="447" t="str">
        <f>VLOOKUP(Advices[[#This Row],[LC Number]],'Combine_List'!A:D,3,0)</f>
        <v>FIRST FIX</v>
      </c>
      <c r="N2248" s="447" t="str">
        <f>VLOOKUP(Advices[[#This Row],[LC Number]],'Combine_List'!A:D,4,0)</f>
        <v>RCRC</v>
      </c>
      <c r="O2248" s="1"/>
      <c r="P2248" s="1">
        <f>MONTH(Advices[[#This Row],[Transaction Date]])</f>
        <v>4</v>
      </c>
      <c r="Q2248" s="1">
        <f>YEAR(Advices[[#This Row],[Transaction Date]])</f>
        <v>2026</v>
      </c>
      <c r="R2248" s="1"/>
    </row>
    <row r="2249" spans="1:18" hidden="1" x14ac:dyDescent="0.25">
      <c r="A2249" s="264" t="s">
        <v>612</v>
      </c>
      <c r="B2249" s="265">
        <v>46120</v>
      </c>
      <c r="C2249" s="266" t="s">
        <v>2101</v>
      </c>
      <c r="D2249" s="264" t="s">
        <v>4645</v>
      </c>
      <c r="E2249" s="264" t="s">
        <v>3571</v>
      </c>
      <c r="F2249" s="264" t="s">
        <v>2041</v>
      </c>
      <c r="G2249" s="266" t="s">
        <v>26</v>
      </c>
      <c r="H2249" s="266">
        <v>30</v>
      </c>
      <c r="I2249" s="266">
        <v>0</v>
      </c>
      <c r="J2249" s="264" t="s">
        <v>1174</v>
      </c>
      <c r="K2249" s="264" t="s">
        <v>2025</v>
      </c>
      <c r="L2249" s="1" t="str">
        <f>VLOOKUP(Advices[[#This Row],[LC Number]],'Combine_List'!A:D,2,0)</f>
        <v>Alfanar Electrical Systems</v>
      </c>
      <c r="M2249" s="447" t="str">
        <f>VLOOKUP(Advices[[#This Row],[LC Number]],'Combine_List'!A:D,3,0)</f>
        <v>FIRST FIX</v>
      </c>
      <c r="N2249" s="447" t="str">
        <f>VLOOKUP(Advices[[#This Row],[LC Number]],'Combine_List'!A:D,4,0)</f>
        <v>RCRC</v>
      </c>
      <c r="O2249" s="1"/>
      <c r="P2249" s="1">
        <f>MONTH(Advices[[#This Row],[Transaction Date]])</f>
        <v>4</v>
      </c>
      <c r="Q2249" s="1">
        <f>YEAR(Advices[[#This Row],[Transaction Date]])</f>
        <v>2026</v>
      </c>
      <c r="R2249" s="1"/>
    </row>
    <row r="2250" spans="1:18" hidden="1" x14ac:dyDescent="0.25">
      <c r="A2250" s="264" t="s">
        <v>612</v>
      </c>
      <c r="B2250" s="265">
        <v>46120</v>
      </c>
      <c r="C2250" s="266" t="s">
        <v>2101</v>
      </c>
      <c r="D2250" s="264" t="s">
        <v>4646</v>
      </c>
      <c r="E2250" s="264" t="s">
        <v>3570</v>
      </c>
      <c r="F2250" s="264" t="s">
        <v>2041</v>
      </c>
      <c r="G2250" s="266" t="s">
        <v>26</v>
      </c>
      <c r="H2250" s="266">
        <v>924.32</v>
      </c>
      <c r="I2250" s="266">
        <v>0</v>
      </c>
      <c r="J2250" s="264" t="s">
        <v>1124</v>
      </c>
      <c r="K2250" s="264" t="s">
        <v>2025</v>
      </c>
      <c r="L2250" s="1" t="str">
        <f>VLOOKUP(Advices[[#This Row],[LC Number]],'Combine_List'!A:D,2,0)</f>
        <v>Isam Kabanni And Partners For Construction And Maintenance Co Ltd</v>
      </c>
      <c r="M2250" s="447" t="str">
        <f>VLOOKUP(Advices[[#This Row],[LC Number]],'Combine_List'!A:D,3,0)</f>
        <v>FIRST FIX</v>
      </c>
      <c r="N2250" s="447" t="str">
        <f>VLOOKUP(Advices[[#This Row],[LC Number]],'Combine_List'!A:D,4,0)</f>
        <v>RCRC</v>
      </c>
      <c r="O2250" s="1"/>
      <c r="P2250" s="1">
        <f>MONTH(Advices[[#This Row],[Transaction Date]])</f>
        <v>4</v>
      </c>
      <c r="Q2250" s="1">
        <f>YEAR(Advices[[#This Row],[Transaction Date]])</f>
        <v>2026</v>
      </c>
      <c r="R2250" s="1"/>
    </row>
    <row r="2251" spans="1:18" hidden="1" x14ac:dyDescent="0.25">
      <c r="A2251" s="264" t="s">
        <v>612</v>
      </c>
      <c r="B2251" s="265">
        <v>46120</v>
      </c>
      <c r="C2251" s="266" t="s">
        <v>2101</v>
      </c>
      <c r="D2251" s="264" t="s">
        <v>4647</v>
      </c>
      <c r="E2251" s="264" t="s">
        <v>3570</v>
      </c>
      <c r="F2251" s="264" t="s">
        <v>2041</v>
      </c>
      <c r="G2251" s="266" t="s">
        <v>26</v>
      </c>
      <c r="H2251" s="266">
        <v>138.65</v>
      </c>
      <c r="I2251" s="266">
        <v>0</v>
      </c>
      <c r="J2251" s="264" t="s">
        <v>1174</v>
      </c>
      <c r="K2251" s="264" t="s">
        <v>2025</v>
      </c>
      <c r="L2251" s="1" t="str">
        <f>VLOOKUP(Advices[[#This Row],[LC Number]],'Combine_List'!A:D,2,0)</f>
        <v>Isam Kabanni And Partners For Construction And Maintenance Co Ltd</v>
      </c>
      <c r="M2251" s="447" t="str">
        <f>VLOOKUP(Advices[[#This Row],[LC Number]],'Combine_List'!A:D,3,0)</f>
        <v>FIRST FIX</v>
      </c>
      <c r="N2251" s="447" t="str">
        <f>VLOOKUP(Advices[[#This Row],[LC Number]],'Combine_List'!A:D,4,0)</f>
        <v>RCRC</v>
      </c>
      <c r="O2251" s="1"/>
      <c r="P2251" s="1">
        <f>MONTH(Advices[[#This Row],[Transaction Date]])</f>
        <v>4</v>
      </c>
      <c r="Q2251" s="1">
        <f>YEAR(Advices[[#This Row],[Transaction Date]])</f>
        <v>2026</v>
      </c>
      <c r="R2251" s="1"/>
    </row>
    <row r="2252" spans="1:18" hidden="1" x14ac:dyDescent="0.25">
      <c r="A2252" s="264" t="s">
        <v>612</v>
      </c>
      <c r="B2252" s="265">
        <v>46120</v>
      </c>
      <c r="C2252" s="266" t="s">
        <v>2101</v>
      </c>
      <c r="D2252" s="264" t="s">
        <v>4648</v>
      </c>
      <c r="E2252" s="264" t="s">
        <v>3570</v>
      </c>
      <c r="F2252" s="264" t="s">
        <v>2041</v>
      </c>
      <c r="G2252" s="266" t="s">
        <v>26</v>
      </c>
      <c r="H2252" s="266">
        <v>200</v>
      </c>
      <c r="I2252" s="266">
        <v>0</v>
      </c>
      <c r="J2252" s="264" t="s">
        <v>1124</v>
      </c>
      <c r="K2252" s="264" t="s">
        <v>2025</v>
      </c>
      <c r="L2252" s="1" t="str">
        <f>VLOOKUP(Advices[[#This Row],[LC Number]],'Combine_List'!A:D,2,0)</f>
        <v>Isam Kabanni And Partners For Construction And Maintenance Co Ltd</v>
      </c>
      <c r="M2252" s="447" t="str">
        <f>VLOOKUP(Advices[[#This Row],[LC Number]],'Combine_List'!A:D,3,0)</f>
        <v>FIRST FIX</v>
      </c>
      <c r="N2252" s="447" t="str">
        <f>VLOOKUP(Advices[[#This Row],[LC Number]],'Combine_List'!A:D,4,0)</f>
        <v>RCRC</v>
      </c>
      <c r="O2252" s="1"/>
      <c r="P2252" s="1">
        <f>MONTH(Advices[[#This Row],[Transaction Date]])</f>
        <v>4</v>
      </c>
      <c r="Q2252" s="1">
        <f>YEAR(Advices[[#This Row],[Transaction Date]])</f>
        <v>2026</v>
      </c>
      <c r="R2252" s="1"/>
    </row>
    <row r="2253" spans="1:18" hidden="1" x14ac:dyDescent="0.25">
      <c r="A2253" s="264" t="s">
        <v>612</v>
      </c>
      <c r="B2253" s="265">
        <v>46120</v>
      </c>
      <c r="C2253" s="266" t="s">
        <v>2101</v>
      </c>
      <c r="D2253" s="264" t="s">
        <v>4649</v>
      </c>
      <c r="E2253" s="264" t="s">
        <v>3570</v>
      </c>
      <c r="F2253" s="264" t="s">
        <v>2041</v>
      </c>
      <c r="G2253" s="266" t="s">
        <v>26</v>
      </c>
      <c r="H2253" s="266">
        <v>30</v>
      </c>
      <c r="I2253" s="266">
        <v>0</v>
      </c>
      <c r="J2253" s="264" t="s">
        <v>1174</v>
      </c>
      <c r="K2253" s="264" t="s">
        <v>2025</v>
      </c>
      <c r="L2253" s="1" t="str">
        <f>VLOOKUP(Advices[[#This Row],[LC Number]],'Combine_List'!A:D,2,0)</f>
        <v>Isam Kabanni And Partners For Construction And Maintenance Co Ltd</v>
      </c>
      <c r="M2253" s="447" t="str">
        <f>VLOOKUP(Advices[[#This Row],[LC Number]],'Combine_List'!A:D,3,0)</f>
        <v>FIRST FIX</v>
      </c>
      <c r="N2253" s="447" t="str">
        <f>VLOOKUP(Advices[[#This Row],[LC Number]],'Combine_List'!A:D,4,0)</f>
        <v>RCRC</v>
      </c>
      <c r="O2253" s="1"/>
      <c r="P2253" s="1">
        <f>MONTH(Advices[[#This Row],[Transaction Date]])</f>
        <v>4</v>
      </c>
      <c r="Q2253" s="1">
        <f>YEAR(Advices[[#This Row],[Transaction Date]])</f>
        <v>2026</v>
      </c>
      <c r="R2253" s="1"/>
    </row>
    <row r="2254" spans="1:18" hidden="1" x14ac:dyDescent="0.25">
      <c r="A2254" s="264" t="s">
        <v>612</v>
      </c>
      <c r="B2254" s="265">
        <v>46120</v>
      </c>
      <c r="C2254" s="266" t="s">
        <v>2101</v>
      </c>
      <c r="D2254" s="264" t="s">
        <v>4650</v>
      </c>
      <c r="E2254" s="264" t="s">
        <v>4651</v>
      </c>
      <c r="F2254" s="264" t="s">
        <v>2041</v>
      </c>
      <c r="G2254" s="266" t="s">
        <v>26</v>
      </c>
      <c r="H2254" s="266">
        <v>0</v>
      </c>
      <c r="I2254" s="266">
        <v>197758.47</v>
      </c>
      <c r="J2254" s="264"/>
      <c r="K2254" s="264" t="s">
        <v>3083</v>
      </c>
      <c r="L2254" s="1" t="e">
        <f>VLOOKUP(Advices[[#This Row],[LC Number]],'Combine_List'!A:D,2,0)</f>
        <v>#N/A</v>
      </c>
      <c r="M2254" s="447" t="e">
        <f>VLOOKUP(Advices[[#This Row],[LC Number]],'Combine_List'!A:D,3,0)</f>
        <v>#N/A</v>
      </c>
      <c r="N2254" s="447" t="e">
        <f>VLOOKUP(Advices[[#This Row],[LC Number]],'Combine_List'!A:D,4,0)</f>
        <v>#N/A</v>
      </c>
      <c r="O2254" s="1" t="s">
        <v>4661</v>
      </c>
      <c r="P2254" s="1">
        <f>MONTH(Advices[[#This Row],[Transaction Date]])</f>
        <v>4</v>
      </c>
      <c r="Q2254" s="1">
        <f>YEAR(Advices[[#This Row],[Transaction Date]])</f>
        <v>2026</v>
      </c>
      <c r="R2254" s="1" t="s">
        <v>4661</v>
      </c>
    </row>
    <row r="2255" spans="1:18" hidden="1" x14ac:dyDescent="0.25">
      <c r="A2255" s="264" t="s">
        <v>612</v>
      </c>
      <c r="B2255" s="265">
        <v>46120</v>
      </c>
      <c r="C2255" s="266" t="s">
        <v>2101</v>
      </c>
      <c r="D2255" s="264" t="s">
        <v>4652</v>
      </c>
      <c r="E2255" s="264" t="s">
        <v>4629</v>
      </c>
      <c r="F2255" s="264" t="s">
        <v>2041</v>
      </c>
      <c r="G2255" s="266" t="s">
        <v>26</v>
      </c>
      <c r="H2255" s="266">
        <v>20164.38</v>
      </c>
      <c r="I2255" s="266">
        <v>0</v>
      </c>
      <c r="J2255" s="264" t="s">
        <v>2793</v>
      </c>
      <c r="K2255" s="264" t="s">
        <v>2025</v>
      </c>
      <c r="L2255" s="1" t="str">
        <f>VLOOKUP(Advices[[#This Row],[LC Number]],'Combine_List'!A:D,2,0)</f>
        <v>Bid - SAUDI ARABIA LOGISTIC COMPANY - SAL</v>
      </c>
      <c r="M2255" s="447" t="str">
        <f>VLOOKUP(Advices[[#This Row],[LC Number]],'Combine_List'!A:D,3,0)</f>
        <v>MIDU</v>
      </c>
      <c r="N2255" s="447">
        <f>VLOOKUP(Advices[[#This Row],[LC Number]],'Combine_List'!A:D,4,0)</f>
        <v>0</v>
      </c>
      <c r="O2255" s="1"/>
      <c r="P2255" s="1">
        <f>MONTH(Advices[[#This Row],[Transaction Date]])</f>
        <v>4</v>
      </c>
      <c r="Q2255" s="1">
        <f>YEAR(Advices[[#This Row],[Transaction Date]])</f>
        <v>2026</v>
      </c>
      <c r="R2255" s="1"/>
    </row>
    <row r="2256" spans="1:18" hidden="1" x14ac:dyDescent="0.25">
      <c r="A2256" s="264" t="s">
        <v>612</v>
      </c>
      <c r="B2256" s="265">
        <v>46120</v>
      </c>
      <c r="C2256" s="266" t="s">
        <v>2101</v>
      </c>
      <c r="D2256" s="264" t="s">
        <v>4653</v>
      </c>
      <c r="E2256" s="264" t="s">
        <v>4629</v>
      </c>
      <c r="F2256" s="264" t="s">
        <v>2041</v>
      </c>
      <c r="G2256" s="266" t="s">
        <v>26</v>
      </c>
      <c r="H2256" s="266">
        <v>3024.66</v>
      </c>
      <c r="I2256" s="266">
        <v>0</v>
      </c>
      <c r="J2256" s="264" t="s">
        <v>1174</v>
      </c>
      <c r="K2256" s="264" t="s">
        <v>2025</v>
      </c>
      <c r="L2256" s="1" t="str">
        <f>VLOOKUP(Advices[[#This Row],[LC Number]],'Combine_List'!A:D,2,0)</f>
        <v>Bid - SAUDI ARABIA LOGISTIC COMPANY - SAL</v>
      </c>
      <c r="M2256" s="447" t="str">
        <f>VLOOKUP(Advices[[#This Row],[LC Number]],'Combine_List'!A:D,3,0)</f>
        <v>MIDU</v>
      </c>
      <c r="N2256" s="447">
        <f>VLOOKUP(Advices[[#This Row],[LC Number]],'Combine_List'!A:D,4,0)</f>
        <v>0</v>
      </c>
      <c r="O2256" s="1"/>
      <c r="P2256" s="1">
        <f>MONTH(Advices[[#This Row],[Transaction Date]])</f>
        <v>4</v>
      </c>
      <c r="Q2256" s="1">
        <f>YEAR(Advices[[#This Row],[Transaction Date]])</f>
        <v>2026</v>
      </c>
      <c r="R2256" s="1"/>
    </row>
    <row r="2257" spans="1:18" hidden="1" x14ac:dyDescent="0.25">
      <c r="A2257" s="264" t="s">
        <v>612</v>
      </c>
      <c r="B2257" s="265">
        <v>46120</v>
      </c>
      <c r="C2257" s="266" t="s">
        <v>2101</v>
      </c>
      <c r="D2257" s="264" t="s">
        <v>4654</v>
      </c>
      <c r="E2257" s="264" t="s">
        <v>4629</v>
      </c>
      <c r="F2257" s="264" t="s">
        <v>2041</v>
      </c>
      <c r="G2257" s="266" t="s">
        <v>26</v>
      </c>
      <c r="H2257" s="266">
        <v>9999.99</v>
      </c>
      <c r="I2257" s="266">
        <v>0</v>
      </c>
      <c r="J2257" s="264" t="s">
        <v>2793</v>
      </c>
      <c r="K2257" s="264" t="s">
        <v>2025</v>
      </c>
      <c r="L2257" s="1" t="str">
        <f>VLOOKUP(Advices[[#This Row],[LC Number]],'Combine_List'!A:D,2,0)</f>
        <v>Bid - SAUDI ARABIA LOGISTIC COMPANY - SAL</v>
      </c>
      <c r="M2257" s="447" t="str">
        <f>VLOOKUP(Advices[[#This Row],[LC Number]],'Combine_List'!A:D,3,0)</f>
        <v>MIDU</v>
      </c>
      <c r="N2257" s="447">
        <f>VLOOKUP(Advices[[#This Row],[LC Number]],'Combine_List'!A:D,4,0)</f>
        <v>0</v>
      </c>
      <c r="O2257" s="1"/>
      <c r="P2257" s="1">
        <f>MONTH(Advices[[#This Row],[Transaction Date]])</f>
        <v>4</v>
      </c>
      <c r="Q2257" s="1">
        <f>YEAR(Advices[[#This Row],[Transaction Date]])</f>
        <v>2026</v>
      </c>
      <c r="R2257" s="1"/>
    </row>
    <row r="2258" spans="1:18" hidden="1" x14ac:dyDescent="0.25">
      <c r="A2258" s="264" t="s">
        <v>612</v>
      </c>
      <c r="B2258" s="265">
        <v>46120</v>
      </c>
      <c r="C2258" s="266" t="s">
        <v>2101</v>
      </c>
      <c r="D2258" s="264" t="s">
        <v>4655</v>
      </c>
      <c r="E2258" s="264" t="s">
        <v>4629</v>
      </c>
      <c r="F2258" s="264" t="s">
        <v>2041</v>
      </c>
      <c r="G2258" s="266" t="s">
        <v>26</v>
      </c>
      <c r="H2258" s="266">
        <v>1500</v>
      </c>
      <c r="I2258" s="266">
        <v>0</v>
      </c>
      <c r="J2258" s="264" t="s">
        <v>1174</v>
      </c>
      <c r="K2258" s="264" t="s">
        <v>2025</v>
      </c>
      <c r="L2258" s="1" t="str">
        <f>VLOOKUP(Advices[[#This Row],[LC Number]],'Combine_List'!A:D,2,0)</f>
        <v>Bid - SAUDI ARABIA LOGISTIC COMPANY - SAL</v>
      </c>
      <c r="M2258" s="447" t="str">
        <f>VLOOKUP(Advices[[#This Row],[LC Number]],'Combine_List'!A:D,3,0)</f>
        <v>MIDU</v>
      </c>
      <c r="N2258" s="447">
        <f>VLOOKUP(Advices[[#This Row],[LC Number]],'Combine_List'!A:D,4,0)</f>
        <v>0</v>
      </c>
      <c r="O2258" s="1"/>
      <c r="P2258" s="1">
        <f>MONTH(Advices[[#This Row],[Transaction Date]])</f>
        <v>4</v>
      </c>
      <c r="Q2258" s="1">
        <f>YEAR(Advices[[#This Row],[Transaction Date]])</f>
        <v>2026</v>
      </c>
      <c r="R2258" s="1"/>
    </row>
    <row r="2259" spans="1:18" hidden="1" x14ac:dyDescent="0.25">
      <c r="A2259" s="264" t="s">
        <v>612</v>
      </c>
      <c r="B2259" s="265">
        <v>46120</v>
      </c>
      <c r="C2259" s="266" t="s">
        <v>2101</v>
      </c>
      <c r="D2259" s="264" t="s">
        <v>4656</v>
      </c>
      <c r="E2259" s="264" t="s">
        <v>4660</v>
      </c>
      <c r="F2259" s="264" t="s">
        <v>2041</v>
      </c>
      <c r="G2259" s="266" t="s">
        <v>26</v>
      </c>
      <c r="H2259" s="266">
        <v>28986.3</v>
      </c>
      <c r="I2259" s="266">
        <v>0</v>
      </c>
      <c r="J2259" s="264" t="s">
        <v>2793</v>
      </c>
      <c r="K2259" s="264" t="s">
        <v>2025</v>
      </c>
      <c r="L2259" s="1" t="e">
        <f>VLOOKUP(Advices[[#This Row],[LC Number]],'Combine_List'!A:D,2,0)</f>
        <v>#N/A</v>
      </c>
      <c r="M2259" s="447" t="e">
        <f>VLOOKUP(Advices[[#This Row],[LC Number]],'Combine_List'!A:D,3,0)</f>
        <v>#N/A</v>
      </c>
      <c r="N2259" s="447" t="e">
        <f>VLOOKUP(Advices[[#This Row],[LC Number]],'Combine_List'!A:D,4,0)</f>
        <v>#N/A</v>
      </c>
      <c r="O2259" s="1"/>
      <c r="P2259" s="1">
        <f>MONTH(Advices[[#This Row],[Transaction Date]])</f>
        <v>4</v>
      </c>
      <c r="Q2259" s="1">
        <f>YEAR(Advices[[#This Row],[Transaction Date]])</f>
        <v>2026</v>
      </c>
      <c r="R2259" s="1"/>
    </row>
    <row r="2260" spans="1:18" hidden="1" x14ac:dyDescent="0.25">
      <c r="A2260" s="264" t="s">
        <v>612</v>
      </c>
      <c r="B2260" s="265">
        <v>46120</v>
      </c>
      <c r="C2260" s="266" t="s">
        <v>2101</v>
      </c>
      <c r="D2260" s="264" t="s">
        <v>4657</v>
      </c>
      <c r="E2260" s="264" t="s">
        <v>4660</v>
      </c>
      <c r="F2260" s="264" t="s">
        <v>2041</v>
      </c>
      <c r="G2260" s="266" t="s">
        <v>26</v>
      </c>
      <c r="H2260" s="266">
        <v>4347.95</v>
      </c>
      <c r="I2260" s="266">
        <v>0</v>
      </c>
      <c r="J2260" s="264" t="s">
        <v>1174</v>
      </c>
      <c r="K2260" s="264" t="s">
        <v>2025</v>
      </c>
      <c r="L2260" s="1" t="e">
        <f>VLOOKUP(Advices[[#This Row],[LC Number]],'Combine_List'!A:D,2,0)</f>
        <v>#N/A</v>
      </c>
      <c r="M2260" s="447" t="e">
        <f>VLOOKUP(Advices[[#This Row],[LC Number]],'Combine_List'!A:D,3,0)</f>
        <v>#N/A</v>
      </c>
      <c r="N2260" s="447" t="e">
        <f>VLOOKUP(Advices[[#This Row],[LC Number]],'Combine_List'!A:D,4,0)</f>
        <v>#N/A</v>
      </c>
      <c r="O2260" s="1"/>
      <c r="P2260" s="1">
        <f>MONTH(Advices[[#This Row],[Transaction Date]])</f>
        <v>4</v>
      </c>
      <c r="Q2260" s="1">
        <f>YEAR(Advices[[#This Row],[Transaction Date]])</f>
        <v>2026</v>
      </c>
      <c r="R2260" s="1"/>
    </row>
    <row r="2261" spans="1:18" hidden="1" x14ac:dyDescent="0.25">
      <c r="A2261" s="264" t="s">
        <v>612</v>
      </c>
      <c r="B2261" s="265">
        <v>46120</v>
      </c>
      <c r="C2261" s="266" t="s">
        <v>2101</v>
      </c>
      <c r="D2261" s="264" t="s">
        <v>4658</v>
      </c>
      <c r="E2261" s="264" t="s">
        <v>4660</v>
      </c>
      <c r="F2261" s="264" t="s">
        <v>2041</v>
      </c>
      <c r="G2261" s="266" t="s">
        <v>26</v>
      </c>
      <c r="H2261" s="266">
        <v>13437.5</v>
      </c>
      <c r="I2261" s="266">
        <v>0</v>
      </c>
      <c r="J2261" s="264" t="s">
        <v>2793</v>
      </c>
      <c r="K2261" s="264" t="s">
        <v>2025</v>
      </c>
      <c r="L2261" s="1" t="e">
        <f>VLOOKUP(Advices[[#This Row],[LC Number]],'Combine_List'!A:D,2,0)</f>
        <v>#N/A</v>
      </c>
      <c r="M2261" s="447" t="e">
        <f>VLOOKUP(Advices[[#This Row],[LC Number]],'Combine_List'!A:D,3,0)</f>
        <v>#N/A</v>
      </c>
      <c r="N2261" s="447" t="e">
        <f>VLOOKUP(Advices[[#This Row],[LC Number]],'Combine_List'!A:D,4,0)</f>
        <v>#N/A</v>
      </c>
      <c r="O2261" s="1"/>
      <c r="P2261" s="1">
        <f>MONTH(Advices[[#This Row],[Transaction Date]])</f>
        <v>4</v>
      </c>
      <c r="Q2261" s="1">
        <f>YEAR(Advices[[#This Row],[Transaction Date]])</f>
        <v>2026</v>
      </c>
      <c r="R2261" s="1"/>
    </row>
    <row r="2262" spans="1:18" hidden="1" x14ac:dyDescent="0.25">
      <c r="A2262" s="264" t="s">
        <v>612</v>
      </c>
      <c r="B2262" s="265">
        <v>46120</v>
      </c>
      <c r="C2262" s="266" t="s">
        <v>2101</v>
      </c>
      <c r="D2262" s="264" t="s">
        <v>4659</v>
      </c>
      <c r="E2262" s="264" t="s">
        <v>4660</v>
      </c>
      <c r="F2262" s="264" t="s">
        <v>2041</v>
      </c>
      <c r="G2262" s="266" t="s">
        <v>26</v>
      </c>
      <c r="H2262" s="266">
        <v>2015.63</v>
      </c>
      <c r="I2262" s="266">
        <v>0</v>
      </c>
      <c r="J2262" s="264" t="s">
        <v>1174</v>
      </c>
      <c r="K2262" s="264" t="s">
        <v>2025</v>
      </c>
      <c r="L2262" s="1" t="e">
        <f>VLOOKUP(Advices[[#This Row],[LC Number]],'Combine_List'!A:D,2,0)</f>
        <v>#N/A</v>
      </c>
      <c r="M2262" s="447" t="e">
        <f>VLOOKUP(Advices[[#This Row],[LC Number]],'Combine_List'!A:D,3,0)</f>
        <v>#N/A</v>
      </c>
      <c r="N2262" s="447" t="e">
        <f>VLOOKUP(Advices[[#This Row],[LC Number]],'Combine_List'!A:D,4,0)</f>
        <v>#N/A</v>
      </c>
      <c r="O2262" s="264"/>
      <c r="P2262" s="264">
        <f>MONTH(Advices[[#This Row],[Transaction Date]])</f>
        <v>4</v>
      </c>
      <c r="Q2262" s="264">
        <f>YEAR(Advices[[#This Row],[Transaction Date]])</f>
        <v>2026</v>
      </c>
      <c r="R2262" s="1"/>
    </row>
    <row r="2263" spans="1:18" x14ac:dyDescent="0.25">
      <c r="A2263" s="264" t="s">
        <v>21</v>
      </c>
      <c r="B2263" s="265">
        <v>46121</v>
      </c>
      <c r="C2263" s="266" t="s">
        <v>1951</v>
      </c>
      <c r="D2263" s="264" t="s">
        <v>1952</v>
      </c>
      <c r="E2263" s="264" t="s">
        <v>4239</v>
      </c>
      <c r="F2263" s="264" t="s">
        <v>4664</v>
      </c>
      <c r="G2263" s="266" t="s">
        <v>26</v>
      </c>
      <c r="H2263" s="266">
        <v>187.5</v>
      </c>
      <c r="I2263" s="266">
        <v>0</v>
      </c>
      <c r="J2263" s="264" t="s">
        <v>1174</v>
      </c>
      <c r="K2263" s="264" t="s">
        <v>2025</v>
      </c>
      <c r="L2263" s="1" t="str">
        <f>VLOOKUP(Advices[[#This Row],[LC Number]],'Combine_List'!A:D,2,0)</f>
        <v>Awtad Jeddah for General Contracting Company</v>
      </c>
      <c r="M2263" s="447" t="str">
        <f>VLOOKUP(Advices[[#This Row],[LC Number]],'Combine_List'!A:D,3,0)</f>
        <v>MBL</v>
      </c>
      <c r="N2263" s="447" t="str">
        <f>VLOOKUP(Advices[[#This Row],[LC Number]],'Combine_List'!A:D,4,0)</f>
        <v>Rabigh Power Plant</v>
      </c>
      <c r="O2263" s="1"/>
      <c r="P2263" s="1">
        <f>MONTH(Advices[[#This Row],[Transaction Date]])</f>
        <v>4</v>
      </c>
      <c r="Q2263" s="1">
        <f>YEAR(Advices[[#This Row],[Transaction Date]])</f>
        <v>2026</v>
      </c>
      <c r="R2263" s="1"/>
    </row>
    <row r="2264" spans="1:18" x14ac:dyDescent="0.25">
      <c r="A2264" s="264" t="s">
        <v>21</v>
      </c>
      <c r="B2264" s="265">
        <v>46121</v>
      </c>
      <c r="C2264" s="266" t="s">
        <v>1951</v>
      </c>
      <c r="D2264" s="264" t="s">
        <v>4572</v>
      </c>
      <c r="E2264" s="264" t="s">
        <v>4239</v>
      </c>
      <c r="F2264" s="264" t="s">
        <v>4664</v>
      </c>
      <c r="G2264" s="266" t="s">
        <v>26</v>
      </c>
      <c r="H2264" s="266">
        <v>1250</v>
      </c>
      <c r="I2264" s="266">
        <v>0</v>
      </c>
      <c r="J2264" s="264"/>
      <c r="K2264" s="264" t="s">
        <v>2025</v>
      </c>
      <c r="L2264" s="1" t="str">
        <f>VLOOKUP(Advices[[#This Row],[LC Number]],'Combine_List'!A:D,2,0)</f>
        <v>Awtad Jeddah for General Contracting Company</v>
      </c>
      <c r="M2264" s="447" t="str">
        <f>VLOOKUP(Advices[[#This Row],[LC Number]],'Combine_List'!A:D,3,0)</f>
        <v>MBL</v>
      </c>
      <c r="N2264" s="447" t="str">
        <f>VLOOKUP(Advices[[#This Row],[LC Number]],'Combine_List'!A:D,4,0)</f>
        <v>Rabigh Power Plant</v>
      </c>
      <c r="O2264" s="1"/>
      <c r="P2264" s="1">
        <f>MONTH(Advices[[#This Row],[Transaction Date]])</f>
        <v>4</v>
      </c>
      <c r="Q2264" s="1">
        <f>YEAR(Advices[[#This Row],[Transaction Date]])</f>
        <v>2026</v>
      </c>
      <c r="R2264" s="1"/>
    </row>
    <row r="2265" spans="1:18" x14ac:dyDescent="0.25">
      <c r="A2265" s="264" t="s">
        <v>21</v>
      </c>
      <c r="B2265" s="265">
        <v>46121</v>
      </c>
      <c r="C2265" s="266" t="s">
        <v>1951</v>
      </c>
      <c r="D2265" s="264" t="s">
        <v>4665</v>
      </c>
      <c r="E2265" s="264" t="s">
        <v>4630</v>
      </c>
      <c r="F2265" s="264" t="s">
        <v>4630</v>
      </c>
      <c r="G2265" s="266" t="s">
        <v>26</v>
      </c>
      <c r="H2265" s="266">
        <v>105</v>
      </c>
      <c r="I2265" s="266">
        <v>0</v>
      </c>
      <c r="J2265" s="264" t="s">
        <v>1174</v>
      </c>
      <c r="K2265" s="264" t="s">
        <v>2025</v>
      </c>
      <c r="L2265" s="1" t="str">
        <f>VLOOKUP(Advices[[#This Row],[LC Number]],'Combine_List'!A:D,2,0)</f>
        <v>Depa Saudi Arabia for Contracting and Interior Decorating Co. Ltd.</v>
      </c>
      <c r="M2265" s="447" t="str">
        <f>VLOOKUP(Advices[[#This Row],[LC Number]],'Combine_List'!A:D,3,0)</f>
        <v>MBL</v>
      </c>
      <c r="N2265" s="447" t="str">
        <f>VLOOKUP(Advices[[#This Row],[LC Number]],'Combine_List'!A:D,4,0)</f>
        <v>KSP</v>
      </c>
      <c r="O2265" s="1"/>
      <c r="P2265" s="1">
        <f>MONTH(Advices[[#This Row],[Transaction Date]])</f>
        <v>4</v>
      </c>
      <c r="Q2265" s="1">
        <f>YEAR(Advices[[#This Row],[Transaction Date]])</f>
        <v>2026</v>
      </c>
      <c r="R2265" s="1"/>
    </row>
    <row r="2266" spans="1:18" x14ac:dyDescent="0.25">
      <c r="A2266" s="264" t="s">
        <v>21</v>
      </c>
      <c r="B2266" s="265">
        <v>46121</v>
      </c>
      <c r="C2266" s="266" t="s">
        <v>1951</v>
      </c>
      <c r="D2266" s="264" t="s">
        <v>4569</v>
      </c>
      <c r="E2266" s="264" t="s">
        <v>4630</v>
      </c>
      <c r="F2266" s="264" t="s">
        <v>4630</v>
      </c>
      <c r="G2266" s="266" t="s">
        <v>26</v>
      </c>
      <c r="H2266" s="266">
        <v>700</v>
      </c>
      <c r="I2266" s="266">
        <v>0</v>
      </c>
      <c r="J2266" s="264"/>
      <c r="K2266" s="264" t="s">
        <v>2025</v>
      </c>
      <c r="L2266" s="1" t="str">
        <f>VLOOKUP(Advices[[#This Row],[LC Number]],'Combine_List'!A:D,2,0)</f>
        <v>Depa Saudi Arabia for Contracting and Interior Decorating Co. Ltd.</v>
      </c>
      <c r="M2266" s="447" t="str">
        <f>VLOOKUP(Advices[[#This Row],[LC Number]],'Combine_List'!A:D,3,0)</f>
        <v>MBL</v>
      </c>
      <c r="N2266" s="447" t="str">
        <f>VLOOKUP(Advices[[#This Row],[LC Number]],'Combine_List'!A:D,4,0)</f>
        <v>KSP</v>
      </c>
      <c r="O2266" s="1"/>
      <c r="P2266" s="1">
        <f>MONTH(Advices[[#This Row],[Transaction Date]])</f>
        <v>4</v>
      </c>
      <c r="Q2266" s="1">
        <f>YEAR(Advices[[#This Row],[Transaction Date]])</f>
        <v>2026</v>
      </c>
      <c r="R2266" s="1"/>
    </row>
    <row r="2267" spans="1:18" x14ac:dyDescent="0.25">
      <c r="A2267" s="264" t="s">
        <v>21</v>
      </c>
      <c r="B2267" s="265">
        <v>46121</v>
      </c>
      <c r="C2267" s="266" t="s">
        <v>1951</v>
      </c>
      <c r="D2267" s="264" t="s">
        <v>4665</v>
      </c>
      <c r="E2267" s="264" t="s">
        <v>4630</v>
      </c>
      <c r="F2267" s="264" t="s">
        <v>4630</v>
      </c>
      <c r="G2267" s="266" t="s">
        <v>26</v>
      </c>
      <c r="H2267" s="266">
        <v>11325</v>
      </c>
      <c r="I2267" s="266">
        <v>0</v>
      </c>
      <c r="J2267" s="264" t="s">
        <v>1174</v>
      </c>
      <c r="K2267" s="264" t="s">
        <v>2025</v>
      </c>
      <c r="L2267" s="1" t="str">
        <f>VLOOKUP(Advices[[#This Row],[LC Number]],'Combine_List'!A:D,2,0)</f>
        <v>Depa Saudi Arabia for Contracting and Interior Decorating Co. Ltd.</v>
      </c>
      <c r="M2267" s="447" t="str">
        <f>VLOOKUP(Advices[[#This Row],[LC Number]],'Combine_List'!A:D,3,0)</f>
        <v>MBL</v>
      </c>
      <c r="N2267" s="447" t="str">
        <f>VLOOKUP(Advices[[#This Row],[LC Number]],'Combine_List'!A:D,4,0)</f>
        <v>KSP</v>
      </c>
      <c r="O2267" s="1"/>
      <c r="P2267" s="1">
        <f>MONTH(Advices[[#This Row],[Transaction Date]])</f>
        <v>4</v>
      </c>
      <c r="Q2267" s="1">
        <f>YEAR(Advices[[#This Row],[Transaction Date]])</f>
        <v>2026</v>
      </c>
      <c r="R2267" s="1"/>
    </row>
    <row r="2268" spans="1:18" x14ac:dyDescent="0.25">
      <c r="A2268" s="264" t="s">
        <v>21</v>
      </c>
      <c r="B2268" s="265">
        <v>46121</v>
      </c>
      <c r="C2268" s="266" t="s">
        <v>1951</v>
      </c>
      <c r="D2268" s="264" t="s">
        <v>4634</v>
      </c>
      <c r="E2268" s="264" t="s">
        <v>4630</v>
      </c>
      <c r="F2268" s="264" t="s">
        <v>4630</v>
      </c>
      <c r="G2268" s="266" t="s">
        <v>26</v>
      </c>
      <c r="H2268" s="266">
        <v>75500</v>
      </c>
      <c r="I2268" s="266">
        <v>0</v>
      </c>
      <c r="J2268" s="264"/>
      <c r="K2268" s="264" t="s">
        <v>2025</v>
      </c>
      <c r="L2268" s="1" t="str">
        <f>VLOOKUP(Advices[[#This Row],[LC Number]],'Combine_List'!A:D,2,0)</f>
        <v>Depa Saudi Arabia for Contracting and Interior Decorating Co. Ltd.</v>
      </c>
      <c r="M2268" s="447" t="str">
        <f>VLOOKUP(Advices[[#This Row],[LC Number]],'Combine_List'!A:D,3,0)</f>
        <v>MBL</v>
      </c>
      <c r="N2268" s="447" t="str">
        <f>VLOOKUP(Advices[[#This Row],[LC Number]],'Combine_List'!A:D,4,0)</f>
        <v>KSP</v>
      </c>
      <c r="O2268" s="264"/>
      <c r="P2268" s="264">
        <f>MONTH(Advices[[#This Row],[Transaction Date]])</f>
        <v>4</v>
      </c>
      <c r="Q2268" s="264">
        <f>YEAR(Advices[[#This Row],[Transaction Date]])</f>
        <v>2026</v>
      </c>
      <c r="R2268" s="1"/>
    </row>
    <row r="2269" spans="1:18" hidden="1" x14ac:dyDescent="0.25">
      <c r="A2269" s="264" t="s">
        <v>62</v>
      </c>
      <c r="B2269" s="265">
        <v>46121</v>
      </c>
      <c r="C2269" s="266" t="s">
        <v>2039</v>
      </c>
      <c r="D2269" s="264" t="s">
        <v>4666</v>
      </c>
      <c r="E2269" s="264" t="s">
        <v>4148</v>
      </c>
      <c r="F2269" s="264" t="s">
        <v>2041</v>
      </c>
      <c r="G2269" s="266" t="s">
        <v>26</v>
      </c>
      <c r="H2269" s="266">
        <v>182854.83</v>
      </c>
      <c r="I2269" s="266">
        <v>0</v>
      </c>
      <c r="J2269" s="264" t="s">
        <v>4677</v>
      </c>
      <c r="K2269" s="264" t="s">
        <v>2025</v>
      </c>
      <c r="L2269" s="1" t="str">
        <f>VLOOKUP(Advices[[#This Row],[LC Number]],'Combine_List'!A:D,2,0)</f>
        <v>Performance - THE JOINT VENTURE OF THE BRANCH OF EL SEWEDY ELECTRIC FOR POWER SYSTEMS (PSP) AND THE BRANCH OF SINOHYDRO CORPORATION LIMITED (SHC)</v>
      </c>
      <c r="M2269" s="447" t="str">
        <f>VLOOKUP(Advices[[#This Row],[LC Number]],'Combine_List'!A:D,3,0)</f>
        <v>MBL</v>
      </c>
      <c r="N2269" s="447" t="str">
        <f>VLOOKUP(Advices[[#This Row],[LC Number]],'Combine_List'!A:D,4,0)</f>
        <v>RRPP-2</v>
      </c>
      <c r="O2269" s="1"/>
      <c r="P2269" s="1">
        <f>MONTH(Advices[[#This Row],[Transaction Date]])</f>
        <v>4</v>
      </c>
      <c r="Q2269" s="1">
        <f>YEAR(Advices[[#This Row],[Transaction Date]])</f>
        <v>2026</v>
      </c>
      <c r="R2269" s="1"/>
    </row>
    <row r="2270" spans="1:18" hidden="1" x14ac:dyDescent="0.25">
      <c r="A2270" s="264" t="s">
        <v>62</v>
      </c>
      <c r="B2270" s="265">
        <v>46121</v>
      </c>
      <c r="C2270" s="266" t="s">
        <v>2039</v>
      </c>
      <c r="D2270" s="264" t="s">
        <v>4667</v>
      </c>
      <c r="E2270" s="264" t="s">
        <v>4229</v>
      </c>
      <c r="F2270" s="264" t="s">
        <v>2041</v>
      </c>
      <c r="G2270" s="266" t="s">
        <v>26</v>
      </c>
      <c r="H2270" s="266">
        <v>59508.79</v>
      </c>
      <c r="I2270" s="266">
        <v>0</v>
      </c>
      <c r="J2270" s="264" t="s">
        <v>4677</v>
      </c>
      <c r="K2270" s="264" t="s">
        <v>2025</v>
      </c>
      <c r="L2270" s="1" t="str">
        <f>VLOOKUP(Advices[[#This Row],[LC Number]],'Combine_List'!A:D,2,0)</f>
        <v>Advance - THE JOINT VENTURE OF THE BRANCH OF EL SEWEDY ELECTRIC FOR POWER SYSTEMS (PSP) AND THE BRANCH OF SINOHYDRO CORPORATION LIMITED (SHC)</v>
      </c>
      <c r="M2270" s="447" t="str">
        <f>VLOOKUP(Advices[[#This Row],[LC Number]],'Combine_List'!A:D,3,0)</f>
        <v>MBL</v>
      </c>
      <c r="N2270" s="447" t="str">
        <f>VLOOKUP(Advices[[#This Row],[LC Number]],'Combine_List'!A:D,4,0)</f>
        <v>RRPP-2</v>
      </c>
      <c r="O2270" s="264"/>
      <c r="P2270" s="264">
        <f>MONTH(Advices[[#This Row],[Transaction Date]])</f>
        <v>4</v>
      </c>
      <c r="Q2270" s="264">
        <f>YEAR(Advices[[#This Row],[Transaction Date]])</f>
        <v>2026</v>
      </c>
      <c r="R2270" s="1"/>
    </row>
    <row r="2271" spans="1:18" hidden="1" x14ac:dyDescent="0.25">
      <c r="A2271" s="264" t="s">
        <v>366</v>
      </c>
      <c r="B2271" s="265">
        <v>46121</v>
      </c>
      <c r="C2271" s="266" t="s">
        <v>2060</v>
      </c>
      <c r="D2271" s="264" t="s">
        <v>4668</v>
      </c>
      <c r="E2271" s="264" t="s">
        <v>2916</v>
      </c>
      <c r="F2271" s="264" t="s">
        <v>3809</v>
      </c>
      <c r="G2271" s="266" t="s">
        <v>26</v>
      </c>
      <c r="H2271" s="266">
        <v>664214</v>
      </c>
      <c r="I2271" s="266">
        <v>0</v>
      </c>
      <c r="J2271" s="264" t="s">
        <v>1126</v>
      </c>
      <c r="K2271" s="264" t="s">
        <v>2025</v>
      </c>
      <c r="L2271" s="1" t="str">
        <f>VLOOKUP(Advices[[#This Row],[LC Number]],'Combine_List'!A:D,2,0)</f>
        <v>Mohamad Saeed Afifi Trading Est.</v>
      </c>
      <c r="M2271" s="447" t="str">
        <f>VLOOKUP(Advices[[#This Row],[LC Number]],'Combine_List'!A:D,3,0)</f>
        <v>FIRST FIX</v>
      </c>
      <c r="N2271" s="447" t="str">
        <f>VLOOKUP(Advices[[#This Row],[LC Number]],'Combine_List'!A:D,4,0)</f>
        <v>MP1</v>
      </c>
      <c r="O2271" s="1"/>
      <c r="P2271" s="1">
        <f>MONTH(Advices[[#This Row],[Transaction Date]])</f>
        <v>4</v>
      </c>
      <c r="Q2271" s="1">
        <f>YEAR(Advices[[#This Row],[Transaction Date]])</f>
        <v>2026</v>
      </c>
      <c r="R2271" s="1"/>
    </row>
    <row r="2272" spans="1:18" hidden="1" x14ac:dyDescent="0.25">
      <c r="A2272" s="264" t="s">
        <v>366</v>
      </c>
      <c r="B2272" s="265">
        <v>46121</v>
      </c>
      <c r="C2272" s="266" t="s">
        <v>2060</v>
      </c>
      <c r="D2272" s="264" t="s">
        <v>4669</v>
      </c>
      <c r="E2272" s="264" t="s">
        <v>3900</v>
      </c>
      <c r="F2272" s="264" t="s">
        <v>4670</v>
      </c>
      <c r="G2272" s="266" t="s">
        <v>26</v>
      </c>
      <c r="H2272" s="266">
        <v>2156.25</v>
      </c>
      <c r="I2272" s="266">
        <v>0</v>
      </c>
      <c r="J2272" s="264" t="s">
        <v>1125</v>
      </c>
      <c r="K2272" s="264" t="s">
        <v>2025</v>
      </c>
      <c r="L2272" s="1" t="str">
        <f>VLOOKUP(Advices[[#This Row],[LC Number]],'Combine_List'!A:D,2,0)</f>
        <v>Mariam Trading CO. &amp; Partner</v>
      </c>
      <c r="M2272" s="447" t="str">
        <f>VLOOKUP(Advices[[#This Row],[LC Number]],'Combine_List'!A:D,3,0)</f>
        <v>FIRST FIX</v>
      </c>
      <c r="N2272" s="447" t="str">
        <f>VLOOKUP(Advices[[#This Row],[LC Number]],'Combine_List'!A:D,4,0)</f>
        <v>MP1</v>
      </c>
      <c r="O2272" s="264"/>
      <c r="P2272" s="264">
        <f>MONTH(Advices[[#This Row],[Transaction Date]])</f>
        <v>4</v>
      </c>
      <c r="Q2272" s="264">
        <f>YEAR(Advices[[#This Row],[Transaction Date]])</f>
        <v>2026</v>
      </c>
      <c r="R2272" s="1"/>
    </row>
    <row r="2273" spans="1:18" hidden="1" x14ac:dyDescent="0.25">
      <c r="A2273" s="264" t="s">
        <v>612</v>
      </c>
      <c r="B2273" s="265">
        <v>46121</v>
      </c>
      <c r="C2273" s="266" t="s">
        <v>2101</v>
      </c>
      <c r="D2273" s="264" t="s">
        <v>4671</v>
      </c>
      <c r="E2273" s="264" t="s">
        <v>4304</v>
      </c>
      <c r="F2273" s="264" t="s">
        <v>2041</v>
      </c>
      <c r="G2273" s="266" t="s">
        <v>26</v>
      </c>
      <c r="H2273" s="266">
        <v>100</v>
      </c>
      <c r="I2273" s="266">
        <v>0</v>
      </c>
      <c r="J2273" s="264" t="s">
        <v>1125</v>
      </c>
      <c r="K2273" s="264" t="s">
        <v>2025</v>
      </c>
      <c r="L2273" s="1" t="str">
        <f>VLOOKUP(Advices[[#This Row],[LC Number]],'Combine_List'!A:D,2,0)</f>
        <v>The Fundamental Installation For Electric Work Co</v>
      </c>
      <c r="M2273" s="447" t="str">
        <f>VLOOKUP(Advices[[#This Row],[LC Number]],'Combine_List'!A:D,3,0)</f>
        <v>FIRST FIX</v>
      </c>
      <c r="N2273" s="447" t="str">
        <f>VLOOKUP(Advices[[#This Row],[LC Number]],'Combine_List'!A:D,4,0)</f>
        <v>CEER</v>
      </c>
      <c r="O2273" s="1"/>
      <c r="P2273" s="1">
        <f>MONTH(Advices[[#This Row],[Transaction Date]])</f>
        <v>4</v>
      </c>
      <c r="Q2273" s="1">
        <f>YEAR(Advices[[#This Row],[Transaction Date]])</f>
        <v>2026</v>
      </c>
      <c r="R2273" s="1"/>
    </row>
    <row r="2274" spans="1:18" hidden="1" x14ac:dyDescent="0.25">
      <c r="A2274" s="264" t="s">
        <v>612</v>
      </c>
      <c r="B2274" s="265">
        <v>46121</v>
      </c>
      <c r="C2274" s="266" t="s">
        <v>2101</v>
      </c>
      <c r="D2274" s="264" t="s">
        <v>4672</v>
      </c>
      <c r="E2274" s="264" t="s">
        <v>4304</v>
      </c>
      <c r="F2274" s="264" t="s">
        <v>2041</v>
      </c>
      <c r="G2274" s="266" t="s">
        <v>26</v>
      </c>
      <c r="H2274" s="266">
        <v>15</v>
      </c>
      <c r="I2274" s="266">
        <v>0</v>
      </c>
      <c r="J2274" s="264" t="s">
        <v>1174</v>
      </c>
      <c r="K2274" s="264" t="s">
        <v>2025</v>
      </c>
      <c r="L2274" s="1" t="str">
        <f>VLOOKUP(Advices[[#This Row],[LC Number]],'Combine_List'!A:D,2,0)</f>
        <v>The Fundamental Installation For Electric Work Co</v>
      </c>
      <c r="M2274" s="447" t="str">
        <f>VLOOKUP(Advices[[#This Row],[LC Number]],'Combine_List'!A:D,3,0)</f>
        <v>FIRST FIX</v>
      </c>
      <c r="N2274" s="447" t="str">
        <f>VLOOKUP(Advices[[#This Row],[LC Number]],'Combine_List'!A:D,4,0)</f>
        <v>CEER</v>
      </c>
      <c r="O2274" s="1"/>
      <c r="P2274" s="1">
        <f>MONTH(Advices[[#This Row],[Transaction Date]])</f>
        <v>4</v>
      </c>
      <c r="Q2274" s="1">
        <f>YEAR(Advices[[#This Row],[Transaction Date]])</f>
        <v>2026</v>
      </c>
      <c r="R2274" s="1"/>
    </row>
    <row r="2275" spans="1:18" hidden="1" x14ac:dyDescent="0.25">
      <c r="A2275" s="264" t="s">
        <v>612</v>
      </c>
      <c r="B2275" s="265">
        <v>46121</v>
      </c>
      <c r="C2275" s="266" t="s">
        <v>2101</v>
      </c>
      <c r="D2275" s="264" t="s">
        <v>4673</v>
      </c>
      <c r="E2275" s="264" t="s">
        <v>4304</v>
      </c>
      <c r="F2275" s="264" t="s">
        <v>2041</v>
      </c>
      <c r="G2275" s="266" t="s">
        <v>26</v>
      </c>
      <c r="H2275" s="266">
        <v>52500</v>
      </c>
      <c r="I2275" s="266">
        <v>0</v>
      </c>
      <c r="J2275" s="264" t="s">
        <v>1125</v>
      </c>
      <c r="K2275" s="264" t="s">
        <v>2025</v>
      </c>
      <c r="L2275" s="1" t="str">
        <f>VLOOKUP(Advices[[#This Row],[LC Number]],'Combine_List'!A:D,2,0)</f>
        <v>The Fundamental Installation For Electric Work Co</v>
      </c>
      <c r="M2275" s="447" t="str">
        <f>VLOOKUP(Advices[[#This Row],[LC Number]],'Combine_List'!A:D,3,0)</f>
        <v>FIRST FIX</v>
      </c>
      <c r="N2275" s="447" t="str">
        <f>VLOOKUP(Advices[[#This Row],[LC Number]],'Combine_List'!A:D,4,0)</f>
        <v>CEER</v>
      </c>
      <c r="O2275" s="1"/>
      <c r="P2275" s="1">
        <f>MONTH(Advices[[#This Row],[Transaction Date]])</f>
        <v>4</v>
      </c>
      <c r="Q2275" s="1">
        <f>YEAR(Advices[[#This Row],[Transaction Date]])</f>
        <v>2026</v>
      </c>
      <c r="R2275" s="1"/>
    </row>
    <row r="2276" spans="1:18" hidden="1" x14ac:dyDescent="0.25">
      <c r="A2276" s="264" t="s">
        <v>612</v>
      </c>
      <c r="B2276" s="265">
        <v>46121</v>
      </c>
      <c r="C2276" s="266" t="s">
        <v>2101</v>
      </c>
      <c r="D2276" s="264" t="s">
        <v>4674</v>
      </c>
      <c r="E2276" s="264" t="s">
        <v>4304</v>
      </c>
      <c r="F2276" s="264" t="s">
        <v>2041</v>
      </c>
      <c r="G2276" s="266" t="s">
        <v>26</v>
      </c>
      <c r="H2276" s="266">
        <v>7875</v>
      </c>
      <c r="I2276" s="266">
        <v>0</v>
      </c>
      <c r="J2276" s="264" t="s">
        <v>1174</v>
      </c>
      <c r="K2276" s="264" t="s">
        <v>2025</v>
      </c>
      <c r="L2276" s="1" t="str">
        <f>VLOOKUP(Advices[[#This Row],[LC Number]],'Combine_List'!A:D,2,0)</f>
        <v>The Fundamental Installation For Electric Work Co</v>
      </c>
      <c r="M2276" s="447" t="str">
        <f>VLOOKUP(Advices[[#This Row],[LC Number]],'Combine_List'!A:D,3,0)</f>
        <v>FIRST FIX</v>
      </c>
      <c r="N2276" s="447" t="str">
        <f>VLOOKUP(Advices[[#This Row],[LC Number]],'Combine_List'!A:D,4,0)</f>
        <v>CEER</v>
      </c>
      <c r="O2276" s="1"/>
      <c r="P2276" s="1">
        <f>MONTH(Advices[[#This Row],[Transaction Date]])</f>
        <v>4</v>
      </c>
      <c r="Q2276" s="1">
        <f>YEAR(Advices[[#This Row],[Transaction Date]])</f>
        <v>2026</v>
      </c>
      <c r="R2276" s="1"/>
    </row>
    <row r="2277" spans="1:18" hidden="1" x14ac:dyDescent="0.25">
      <c r="A2277" s="264" t="s">
        <v>612</v>
      </c>
      <c r="B2277" s="265">
        <v>46121</v>
      </c>
      <c r="C2277" s="266" t="s">
        <v>2101</v>
      </c>
      <c r="D2277" s="264" t="s">
        <v>4675</v>
      </c>
      <c r="E2277" s="264" t="s">
        <v>4304</v>
      </c>
      <c r="F2277" s="264" t="s">
        <v>2041</v>
      </c>
      <c r="G2277" s="266" t="s">
        <v>26</v>
      </c>
      <c r="H2277" s="266">
        <v>200</v>
      </c>
      <c r="I2277" s="266">
        <v>0</v>
      </c>
      <c r="J2277" s="264" t="s">
        <v>1125</v>
      </c>
      <c r="K2277" s="264" t="s">
        <v>2025</v>
      </c>
      <c r="L2277" s="1" t="str">
        <f>VLOOKUP(Advices[[#This Row],[LC Number]],'Combine_List'!A:D,2,0)</f>
        <v>The Fundamental Installation For Electric Work Co</v>
      </c>
      <c r="M2277" s="447" t="str">
        <f>VLOOKUP(Advices[[#This Row],[LC Number]],'Combine_List'!A:D,3,0)</f>
        <v>FIRST FIX</v>
      </c>
      <c r="N2277" s="447" t="str">
        <f>VLOOKUP(Advices[[#This Row],[LC Number]],'Combine_List'!A:D,4,0)</f>
        <v>CEER</v>
      </c>
      <c r="O2277" s="1"/>
      <c r="P2277" s="1">
        <f>MONTH(Advices[[#This Row],[Transaction Date]])</f>
        <v>4</v>
      </c>
      <c r="Q2277" s="1">
        <f>YEAR(Advices[[#This Row],[Transaction Date]])</f>
        <v>2026</v>
      </c>
      <c r="R2277" s="1"/>
    </row>
    <row r="2278" spans="1:18" hidden="1" x14ac:dyDescent="0.25">
      <c r="A2278" s="264" t="s">
        <v>612</v>
      </c>
      <c r="B2278" s="265">
        <v>46121</v>
      </c>
      <c r="C2278" s="266" t="s">
        <v>2101</v>
      </c>
      <c r="D2278" s="264" t="s">
        <v>4676</v>
      </c>
      <c r="E2278" s="264" t="s">
        <v>4304</v>
      </c>
      <c r="F2278" s="264" t="s">
        <v>2041</v>
      </c>
      <c r="G2278" s="266" t="s">
        <v>26</v>
      </c>
      <c r="H2278" s="266">
        <v>30</v>
      </c>
      <c r="I2278" s="266">
        <v>0</v>
      </c>
      <c r="J2278" s="264" t="s">
        <v>1174</v>
      </c>
      <c r="K2278" s="264" t="s">
        <v>2025</v>
      </c>
      <c r="L2278" s="1" t="str">
        <f>VLOOKUP(Advices[[#This Row],[LC Number]],'Combine_List'!A:D,2,0)</f>
        <v>The Fundamental Installation For Electric Work Co</v>
      </c>
      <c r="M2278" s="447" t="str">
        <f>VLOOKUP(Advices[[#This Row],[LC Number]],'Combine_List'!A:D,3,0)</f>
        <v>FIRST FIX</v>
      </c>
      <c r="N2278" s="447" t="str">
        <f>VLOOKUP(Advices[[#This Row],[LC Number]],'Combine_List'!A:D,4,0)</f>
        <v>CEER</v>
      </c>
      <c r="O2278" s="264"/>
      <c r="P2278" s="264">
        <f>MONTH(Advices[[#This Row],[Transaction Date]])</f>
        <v>4</v>
      </c>
      <c r="Q2278" s="264">
        <f>YEAR(Advices[[#This Row],[Transaction Date]])</f>
        <v>2026</v>
      </c>
      <c r="R2278" s="1"/>
    </row>
    <row r="2279" spans="1:18" x14ac:dyDescent="0.25">
      <c r="A2279" s="264" t="s">
        <v>21</v>
      </c>
      <c r="B2279" s="265">
        <v>46125</v>
      </c>
      <c r="C2279" s="266" t="s">
        <v>4687</v>
      </c>
      <c r="D2279" s="264" t="s">
        <v>4569</v>
      </c>
      <c r="E2279" s="264" t="s">
        <v>3146</v>
      </c>
      <c r="F2279" s="264" t="s">
        <v>4419</v>
      </c>
      <c r="G2279" s="266" t="s">
        <v>26</v>
      </c>
      <c r="H2279" s="266">
        <v>75</v>
      </c>
      <c r="I2279" s="266">
        <v>0</v>
      </c>
      <c r="J2279" s="264" t="s">
        <v>1963</v>
      </c>
      <c r="K2279" s="264" t="s">
        <v>2025</v>
      </c>
      <c r="L2279" s="1" t="str">
        <f>VLOOKUP(Advices[[#This Row],[LC Number]],'Combine_List'!A:D,2,0)</f>
        <v>SIEMENS Limited Company</v>
      </c>
      <c r="M2279" s="447" t="str">
        <f>VLOOKUP(Advices[[#This Row],[LC Number]],'Combine_List'!A:D,3,0)</f>
        <v>Signal Control</v>
      </c>
      <c r="N2279" s="447" t="str">
        <f>VLOOKUP(Advices[[#This Row],[LC Number]],'Combine_List'!A:D,4,0)</f>
        <v>KSP</v>
      </c>
      <c r="O2279" s="1"/>
      <c r="P2279" s="1">
        <f>MONTH(Advices[[#This Row],[Transaction Date]])</f>
        <v>4</v>
      </c>
      <c r="Q2279" s="1">
        <f>YEAR(Advices[[#This Row],[Transaction Date]])</f>
        <v>2026</v>
      </c>
      <c r="R2279" s="1"/>
    </row>
    <row r="2280" spans="1:18" x14ac:dyDescent="0.25">
      <c r="A2280" s="264" t="s">
        <v>21</v>
      </c>
      <c r="B2280" s="265">
        <v>46125</v>
      </c>
      <c r="C2280" s="266" t="s">
        <v>4687</v>
      </c>
      <c r="D2280" s="264" t="s">
        <v>1960</v>
      </c>
      <c r="E2280" s="264" t="s">
        <v>3146</v>
      </c>
      <c r="F2280" s="264" t="s">
        <v>4419</v>
      </c>
      <c r="G2280" s="266" t="s">
        <v>26</v>
      </c>
      <c r="H2280" s="266">
        <v>11.25</v>
      </c>
      <c r="I2280" s="266">
        <v>0</v>
      </c>
      <c r="J2280" s="264" t="s">
        <v>1174</v>
      </c>
      <c r="K2280" s="264" t="s">
        <v>2025</v>
      </c>
      <c r="L2280" s="1" t="str">
        <f>VLOOKUP(Advices[[#This Row],[LC Number]],'Combine_List'!A:D,2,0)</f>
        <v>SIEMENS Limited Company</v>
      </c>
      <c r="M2280" s="447" t="str">
        <f>VLOOKUP(Advices[[#This Row],[LC Number]],'Combine_List'!A:D,3,0)</f>
        <v>Signal Control</v>
      </c>
      <c r="N2280" s="447" t="str">
        <f>VLOOKUP(Advices[[#This Row],[LC Number]],'Combine_List'!A:D,4,0)</f>
        <v>KSP</v>
      </c>
      <c r="O2280" s="1"/>
      <c r="P2280" s="1">
        <f>MONTH(Advices[[#This Row],[Transaction Date]])</f>
        <v>4</v>
      </c>
      <c r="Q2280" s="1">
        <f>YEAR(Advices[[#This Row],[Transaction Date]])</f>
        <v>2026</v>
      </c>
      <c r="R2280" s="1"/>
    </row>
    <row r="2281" spans="1:18" x14ac:dyDescent="0.25">
      <c r="A2281" s="264" t="s">
        <v>21</v>
      </c>
      <c r="B2281" s="265">
        <v>46125</v>
      </c>
      <c r="C2281" s="266" t="s">
        <v>4687</v>
      </c>
      <c r="D2281" s="264" t="s">
        <v>4570</v>
      </c>
      <c r="E2281" s="264" t="s">
        <v>3146</v>
      </c>
      <c r="F2281" s="264" t="s">
        <v>4414</v>
      </c>
      <c r="G2281" s="266" t="s">
        <v>26</v>
      </c>
      <c r="H2281" s="266">
        <v>295503.43</v>
      </c>
      <c r="I2281" s="266">
        <v>0</v>
      </c>
      <c r="J2281" s="264" t="s">
        <v>1126</v>
      </c>
      <c r="K2281" s="264" t="s">
        <v>2025</v>
      </c>
      <c r="L2281" s="1" t="str">
        <f>VLOOKUP(Advices[[#This Row],[LC Number]],'Combine_List'!A:D,2,0)</f>
        <v>SIEMENS Limited Company</v>
      </c>
      <c r="M2281" s="447" t="str">
        <f>VLOOKUP(Advices[[#This Row],[LC Number]],'Combine_List'!A:D,3,0)</f>
        <v>Signal Control</v>
      </c>
      <c r="N2281" s="447" t="str">
        <f>VLOOKUP(Advices[[#This Row],[LC Number]],'Combine_List'!A:D,4,0)</f>
        <v>KSP</v>
      </c>
      <c r="O2281" s="1"/>
      <c r="P2281" s="1">
        <f>MONTH(Advices[[#This Row],[Transaction Date]])</f>
        <v>4</v>
      </c>
      <c r="Q2281" s="1">
        <f>YEAR(Advices[[#This Row],[Transaction Date]])</f>
        <v>2026</v>
      </c>
      <c r="R2281" s="1"/>
    </row>
    <row r="2282" spans="1:18" x14ac:dyDescent="0.25">
      <c r="A2282" s="264" t="s">
        <v>21</v>
      </c>
      <c r="B2282" s="265">
        <v>46125</v>
      </c>
      <c r="C2282" s="266" t="s">
        <v>4687</v>
      </c>
      <c r="D2282" s="264" t="s">
        <v>4569</v>
      </c>
      <c r="E2282" s="264" t="s">
        <v>3146</v>
      </c>
      <c r="F2282" s="264" t="s">
        <v>4414</v>
      </c>
      <c r="G2282" s="266" t="s">
        <v>26</v>
      </c>
      <c r="H2282" s="266">
        <v>75</v>
      </c>
      <c r="I2282" s="266">
        <v>0</v>
      </c>
      <c r="J2282" s="264" t="s">
        <v>1963</v>
      </c>
      <c r="K2282" s="264" t="s">
        <v>2025</v>
      </c>
      <c r="L2282" s="1" t="str">
        <f>VLOOKUP(Advices[[#This Row],[LC Number]],'Combine_List'!A:D,2,0)</f>
        <v>SIEMENS Limited Company</v>
      </c>
      <c r="M2282" s="447" t="str">
        <f>VLOOKUP(Advices[[#This Row],[LC Number]],'Combine_List'!A:D,3,0)</f>
        <v>Signal Control</v>
      </c>
      <c r="N2282" s="447" t="str">
        <f>VLOOKUP(Advices[[#This Row],[LC Number]],'Combine_List'!A:D,4,0)</f>
        <v>KSP</v>
      </c>
      <c r="O2282" s="1"/>
      <c r="P2282" s="1">
        <f>MONTH(Advices[[#This Row],[Transaction Date]])</f>
        <v>4</v>
      </c>
      <c r="Q2282" s="1">
        <f>YEAR(Advices[[#This Row],[Transaction Date]])</f>
        <v>2026</v>
      </c>
      <c r="R2282" s="1"/>
    </row>
    <row r="2283" spans="1:18" x14ac:dyDescent="0.25">
      <c r="A2283" s="264" t="s">
        <v>21</v>
      </c>
      <c r="B2283" s="265">
        <v>46125</v>
      </c>
      <c r="C2283" s="266" t="s">
        <v>4687</v>
      </c>
      <c r="D2283" s="264" t="s">
        <v>1960</v>
      </c>
      <c r="E2283" s="264" t="s">
        <v>3146</v>
      </c>
      <c r="F2283" s="264" t="s">
        <v>4414</v>
      </c>
      <c r="G2283" s="266" t="s">
        <v>26</v>
      </c>
      <c r="H2283" s="266">
        <v>11.25</v>
      </c>
      <c r="I2283" s="266">
        <v>0</v>
      </c>
      <c r="J2283" s="264" t="s">
        <v>1174</v>
      </c>
      <c r="K2283" s="264" t="s">
        <v>2025</v>
      </c>
      <c r="L2283" s="1" t="str">
        <f>VLOOKUP(Advices[[#This Row],[LC Number]],'Combine_List'!A:D,2,0)</f>
        <v>SIEMENS Limited Company</v>
      </c>
      <c r="M2283" s="447" t="str">
        <f>VLOOKUP(Advices[[#This Row],[LC Number]],'Combine_List'!A:D,3,0)</f>
        <v>Signal Control</v>
      </c>
      <c r="N2283" s="447" t="str">
        <f>VLOOKUP(Advices[[#This Row],[LC Number]],'Combine_List'!A:D,4,0)</f>
        <v>KSP</v>
      </c>
      <c r="O2283" s="1"/>
      <c r="P2283" s="1">
        <f>MONTH(Advices[[#This Row],[Transaction Date]])</f>
        <v>4</v>
      </c>
      <c r="Q2283" s="1">
        <f>YEAR(Advices[[#This Row],[Transaction Date]])</f>
        <v>2026</v>
      </c>
      <c r="R2283" s="1"/>
    </row>
    <row r="2284" spans="1:18" x14ac:dyDescent="0.25">
      <c r="A2284" s="264" t="s">
        <v>21</v>
      </c>
      <c r="B2284" s="265">
        <v>46125</v>
      </c>
      <c r="C2284" s="266" t="s">
        <v>4687</v>
      </c>
      <c r="D2284" s="264" t="s">
        <v>4570</v>
      </c>
      <c r="E2284" s="264" t="s">
        <v>3146</v>
      </c>
      <c r="F2284" s="264" t="s">
        <v>4410</v>
      </c>
      <c r="G2284" s="266" t="s">
        <v>26</v>
      </c>
      <c r="H2284" s="266">
        <v>1364256.27</v>
      </c>
      <c r="I2284" s="266">
        <v>0</v>
      </c>
      <c r="J2284" s="264" t="s">
        <v>1126</v>
      </c>
      <c r="K2284" s="264" t="s">
        <v>2025</v>
      </c>
      <c r="L2284" s="1" t="str">
        <f>VLOOKUP(Advices[[#This Row],[LC Number]],'Combine_List'!A:D,2,0)</f>
        <v>SIEMENS Limited Company</v>
      </c>
      <c r="M2284" s="447" t="str">
        <f>VLOOKUP(Advices[[#This Row],[LC Number]],'Combine_List'!A:D,3,0)</f>
        <v>Signal Control</v>
      </c>
      <c r="N2284" s="447" t="str">
        <f>VLOOKUP(Advices[[#This Row],[LC Number]],'Combine_List'!A:D,4,0)</f>
        <v>KSP</v>
      </c>
      <c r="O2284" s="1"/>
      <c r="P2284" s="1">
        <f>MONTH(Advices[[#This Row],[Transaction Date]])</f>
        <v>4</v>
      </c>
      <c r="Q2284" s="1">
        <f>YEAR(Advices[[#This Row],[Transaction Date]])</f>
        <v>2026</v>
      </c>
      <c r="R2284" s="1"/>
    </row>
    <row r="2285" spans="1:18" x14ac:dyDescent="0.25">
      <c r="A2285" s="264" t="s">
        <v>21</v>
      </c>
      <c r="B2285" s="265">
        <v>46125</v>
      </c>
      <c r="C2285" s="266" t="s">
        <v>4687</v>
      </c>
      <c r="D2285" s="264" t="s">
        <v>4569</v>
      </c>
      <c r="E2285" s="264" t="s">
        <v>3146</v>
      </c>
      <c r="F2285" s="264" t="s">
        <v>4410</v>
      </c>
      <c r="G2285" s="266" t="s">
        <v>26</v>
      </c>
      <c r="H2285" s="266">
        <v>75</v>
      </c>
      <c r="I2285" s="266">
        <v>0</v>
      </c>
      <c r="J2285" s="264" t="s">
        <v>1963</v>
      </c>
      <c r="K2285" s="264" t="s">
        <v>2025</v>
      </c>
      <c r="L2285" s="1" t="str">
        <f>VLOOKUP(Advices[[#This Row],[LC Number]],'Combine_List'!A:D,2,0)</f>
        <v>SIEMENS Limited Company</v>
      </c>
      <c r="M2285" s="447" t="str">
        <f>VLOOKUP(Advices[[#This Row],[LC Number]],'Combine_List'!A:D,3,0)</f>
        <v>Signal Control</v>
      </c>
      <c r="N2285" s="447" t="str">
        <f>VLOOKUP(Advices[[#This Row],[LC Number]],'Combine_List'!A:D,4,0)</f>
        <v>KSP</v>
      </c>
      <c r="O2285" s="1"/>
      <c r="P2285" s="1">
        <f>MONTH(Advices[[#This Row],[Transaction Date]])</f>
        <v>4</v>
      </c>
      <c r="Q2285" s="1">
        <f>YEAR(Advices[[#This Row],[Transaction Date]])</f>
        <v>2026</v>
      </c>
      <c r="R2285" s="1"/>
    </row>
    <row r="2286" spans="1:18" x14ac:dyDescent="0.25">
      <c r="A2286" s="264" t="s">
        <v>21</v>
      </c>
      <c r="B2286" s="265">
        <v>46125</v>
      </c>
      <c r="C2286" s="266" t="s">
        <v>4687</v>
      </c>
      <c r="D2286" s="264" t="s">
        <v>1960</v>
      </c>
      <c r="E2286" s="264" t="s">
        <v>3146</v>
      </c>
      <c r="F2286" s="264" t="s">
        <v>4410</v>
      </c>
      <c r="G2286" s="266" t="s">
        <v>26</v>
      </c>
      <c r="H2286" s="266">
        <v>11.25</v>
      </c>
      <c r="I2286" s="266">
        <v>0</v>
      </c>
      <c r="J2286" s="264" t="s">
        <v>1174</v>
      </c>
      <c r="K2286" s="264" t="s">
        <v>2025</v>
      </c>
      <c r="L2286" s="1" t="str">
        <f>VLOOKUP(Advices[[#This Row],[LC Number]],'Combine_List'!A:D,2,0)</f>
        <v>SIEMENS Limited Company</v>
      </c>
      <c r="M2286" s="447" t="str">
        <f>VLOOKUP(Advices[[#This Row],[LC Number]],'Combine_List'!A:D,3,0)</f>
        <v>Signal Control</v>
      </c>
      <c r="N2286" s="447" t="str">
        <f>VLOOKUP(Advices[[#This Row],[LC Number]],'Combine_List'!A:D,4,0)</f>
        <v>KSP</v>
      </c>
      <c r="O2286" s="1"/>
      <c r="P2286" s="1">
        <f>MONTH(Advices[[#This Row],[Transaction Date]])</f>
        <v>4</v>
      </c>
      <c r="Q2286" s="1">
        <f>YEAR(Advices[[#This Row],[Transaction Date]])</f>
        <v>2026</v>
      </c>
      <c r="R2286" s="1"/>
    </row>
    <row r="2287" spans="1:18" x14ac:dyDescent="0.25">
      <c r="A2287" s="264" t="s">
        <v>21</v>
      </c>
      <c r="B2287" s="265">
        <v>46125</v>
      </c>
      <c r="C2287" s="266" t="s">
        <v>4687</v>
      </c>
      <c r="D2287" s="264" t="s">
        <v>4570</v>
      </c>
      <c r="E2287" s="264" t="s">
        <v>3146</v>
      </c>
      <c r="F2287" s="264" t="s">
        <v>3962</v>
      </c>
      <c r="G2287" s="266" t="s">
        <v>26</v>
      </c>
      <c r="H2287" s="266">
        <v>738299.32</v>
      </c>
      <c r="I2287" s="266">
        <v>0</v>
      </c>
      <c r="J2287" s="264" t="s">
        <v>1126</v>
      </c>
      <c r="K2287" s="264" t="s">
        <v>2025</v>
      </c>
      <c r="L2287" s="1" t="str">
        <f>VLOOKUP(Advices[[#This Row],[LC Number]],'Combine_List'!A:D,2,0)</f>
        <v>SIEMENS Limited Company</v>
      </c>
      <c r="M2287" s="447" t="str">
        <f>VLOOKUP(Advices[[#This Row],[LC Number]],'Combine_List'!A:D,3,0)</f>
        <v>Signal Control</v>
      </c>
      <c r="N2287" s="447" t="str">
        <f>VLOOKUP(Advices[[#This Row],[LC Number]],'Combine_List'!A:D,4,0)</f>
        <v>KSP</v>
      </c>
      <c r="O2287" s="1"/>
      <c r="P2287" s="1">
        <f>MONTH(Advices[[#This Row],[Transaction Date]])</f>
        <v>4</v>
      </c>
      <c r="Q2287" s="1">
        <f>YEAR(Advices[[#This Row],[Transaction Date]])</f>
        <v>2026</v>
      </c>
      <c r="R2287" s="1"/>
    </row>
    <row r="2288" spans="1:18" x14ac:dyDescent="0.25">
      <c r="A2288" s="264" t="s">
        <v>21</v>
      </c>
      <c r="B2288" s="265">
        <v>46125</v>
      </c>
      <c r="C2288" s="266" t="s">
        <v>4687</v>
      </c>
      <c r="D2288" s="264" t="s">
        <v>4569</v>
      </c>
      <c r="E2288" s="264" t="s">
        <v>3146</v>
      </c>
      <c r="F2288" s="264" t="s">
        <v>3962</v>
      </c>
      <c r="G2288" s="266" t="s">
        <v>26</v>
      </c>
      <c r="H2288" s="266">
        <v>75</v>
      </c>
      <c r="I2288" s="266">
        <v>0</v>
      </c>
      <c r="J2288" s="264" t="s">
        <v>1963</v>
      </c>
      <c r="K2288" s="264" t="s">
        <v>2025</v>
      </c>
      <c r="L2288" s="1" t="str">
        <f>VLOOKUP(Advices[[#This Row],[LC Number]],'Combine_List'!A:D,2,0)</f>
        <v>SIEMENS Limited Company</v>
      </c>
      <c r="M2288" s="447" t="str">
        <f>VLOOKUP(Advices[[#This Row],[LC Number]],'Combine_List'!A:D,3,0)</f>
        <v>Signal Control</v>
      </c>
      <c r="N2288" s="447" t="str">
        <f>VLOOKUP(Advices[[#This Row],[LC Number]],'Combine_List'!A:D,4,0)</f>
        <v>KSP</v>
      </c>
      <c r="O2288" s="1"/>
      <c r="P2288" s="1">
        <f>MONTH(Advices[[#This Row],[Transaction Date]])</f>
        <v>4</v>
      </c>
      <c r="Q2288" s="1">
        <f>YEAR(Advices[[#This Row],[Transaction Date]])</f>
        <v>2026</v>
      </c>
      <c r="R2288" s="1"/>
    </row>
    <row r="2289" spans="1:18" x14ac:dyDescent="0.25">
      <c r="A2289" s="264" t="s">
        <v>21</v>
      </c>
      <c r="B2289" s="265">
        <v>46125</v>
      </c>
      <c r="C2289" s="266" t="s">
        <v>4687</v>
      </c>
      <c r="D2289" s="264" t="s">
        <v>1960</v>
      </c>
      <c r="E2289" s="264" t="s">
        <v>3146</v>
      </c>
      <c r="F2289" s="264" t="s">
        <v>3962</v>
      </c>
      <c r="G2289" s="266" t="s">
        <v>26</v>
      </c>
      <c r="H2289" s="266">
        <v>11.25</v>
      </c>
      <c r="I2289" s="266">
        <v>0</v>
      </c>
      <c r="J2289" s="264" t="s">
        <v>1174</v>
      </c>
      <c r="K2289" s="264" t="s">
        <v>2025</v>
      </c>
      <c r="L2289" s="1" t="str">
        <f>VLOOKUP(Advices[[#This Row],[LC Number]],'Combine_List'!A:D,2,0)</f>
        <v>SIEMENS Limited Company</v>
      </c>
      <c r="M2289" s="447" t="str">
        <f>VLOOKUP(Advices[[#This Row],[LC Number]],'Combine_List'!A:D,3,0)</f>
        <v>Signal Control</v>
      </c>
      <c r="N2289" s="447" t="str">
        <f>VLOOKUP(Advices[[#This Row],[LC Number]],'Combine_List'!A:D,4,0)</f>
        <v>KSP</v>
      </c>
      <c r="O2289" s="1"/>
      <c r="P2289" s="1">
        <f>MONTH(Advices[[#This Row],[Transaction Date]])</f>
        <v>4</v>
      </c>
      <c r="Q2289" s="1">
        <f>YEAR(Advices[[#This Row],[Transaction Date]])</f>
        <v>2026</v>
      </c>
      <c r="R2289" s="1"/>
    </row>
    <row r="2290" spans="1:18" x14ac:dyDescent="0.25">
      <c r="A2290" s="264" t="s">
        <v>21</v>
      </c>
      <c r="B2290" s="265">
        <v>46125</v>
      </c>
      <c r="C2290" s="266" t="s">
        <v>4687</v>
      </c>
      <c r="D2290" s="264" t="s">
        <v>1960</v>
      </c>
      <c r="E2290" s="264" t="s">
        <v>3146</v>
      </c>
      <c r="F2290" s="264" t="s">
        <v>3960</v>
      </c>
      <c r="G2290" s="266" t="s">
        <v>26</v>
      </c>
      <c r="H2290" s="266">
        <v>11.25</v>
      </c>
      <c r="I2290" s="266">
        <v>0</v>
      </c>
      <c r="J2290" s="264" t="s">
        <v>1174</v>
      </c>
      <c r="K2290" s="264" t="s">
        <v>2025</v>
      </c>
      <c r="L2290" s="1" t="str">
        <f>VLOOKUP(Advices[[#This Row],[LC Number]],'Combine_List'!A:D,2,0)</f>
        <v>SIEMENS Limited Company</v>
      </c>
      <c r="M2290" s="447" t="str">
        <f>VLOOKUP(Advices[[#This Row],[LC Number]],'Combine_List'!A:D,3,0)</f>
        <v>Signal Control</v>
      </c>
      <c r="N2290" s="447" t="str">
        <f>VLOOKUP(Advices[[#This Row],[LC Number]],'Combine_List'!A:D,4,0)</f>
        <v>KSP</v>
      </c>
      <c r="O2290" s="1"/>
      <c r="P2290" s="1">
        <f>MONTH(Advices[[#This Row],[Transaction Date]])</f>
        <v>4</v>
      </c>
      <c r="Q2290" s="1">
        <f>YEAR(Advices[[#This Row],[Transaction Date]])</f>
        <v>2026</v>
      </c>
      <c r="R2290" s="1"/>
    </row>
    <row r="2291" spans="1:18" x14ac:dyDescent="0.25">
      <c r="A2291" s="264" t="s">
        <v>21</v>
      </c>
      <c r="B2291" s="265">
        <v>46125</v>
      </c>
      <c r="C2291" s="266" t="s">
        <v>4687</v>
      </c>
      <c r="D2291" s="264" t="s">
        <v>4569</v>
      </c>
      <c r="E2291" s="264" t="s">
        <v>3146</v>
      </c>
      <c r="F2291" s="264" t="s">
        <v>3960</v>
      </c>
      <c r="G2291" s="266" t="s">
        <v>26</v>
      </c>
      <c r="H2291" s="266">
        <v>75</v>
      </c>
      <c r="I2291" s="266">
        <v>0</v>
      </c>
      <c r="J2291" s="264" t="s">
        <v>1963</v>
      </c>
      <c r="K2291" s="264" t="s">
        <v>2025</v>
      </c>
      <c r="L2291" s="1" t="str">
        <f>VLOOKUP(Advices[[#This Row],[LC Number]],'Combine_List'!A:D,2,0)</f>
        <v>SIEMENS Limited Company</v>
      </c>
      <c r="M2291" s="447" t="str">
        <f>VLOOKUP(Advices[[#This Row],[LC Number]],'Combine_List'!A:D,3,0)</f>
        <v>Signal Control</v>
      </c>
      <c r="N2291" s="447" t="str">
        <f>VLOOKUP(Advices[[#This Row],[LC Number]],'Combine_List'!A:D,4,0)</f>
        <v>KSP</v>
      </c>
      <c r="O2291" s="1"/>
      <c r="P2291" s="1">
        <f>MONTH(Advices[[#This Row],[Transaction Date]])</f>
        <v>4</v>
      </c>
      <c r="Q2291" s="1">
        <f>YEAR(Advices[[#This Row],[Transaction Date]])</f>
        <v>2026</v>
      </c>
      <c r="R2291" s="1"/>
    </row>
    <row r="2292" spans="1:18" x14ac:dyDescent="0.25">
      <c r="A2292" s="264" t="s">
        <v>21</v>
      </c>
      <c r="B2292" s="265">
        <v>46125</v>
      </c>
      <c r="C2292" s="266" t="s">
        <v>4687</v>
      </c>
      <c r="D2292" s="264" t="s">
        <v>4570</v>
      </c>
      <c r="E2292" s="264" t="s">
        <v>1896</v>
      </c>
      <c r="F2292" s="264" t="s">
        <v>4401</v>
      </c>
      <c r="G2292" s="266" t="s">
        <v>26</v>
      </c>
      <c r="H2292" s="266">
        <v>277163.32</v>
      </c>
      <c r="I2292" s="266">
        <v>0</v>
      </c>
      <c r="J2292" s="264" t="s">
        <v>1126</v>
      </c>
      <c r="K2292" s="264" t="s">
        <v>2025</v>
      </c>
      <c r="L2292" s="1" t="str">
        <f>VLOOKUP(Advices[[#This Row],[LC Number]],'Combine_List'!A:D,2,0)</f>
        <v>Saudi Perfect Pumps Trading &amp; Manufacturing Company</v>
      </c>
      <c r="M2292" s="447" t="str">
        <f>VLOOKUP(Advices[[#This Row],[LC Number]],'Combine_List'!A:D,3,0)</f>
        <v>MBL</v>
      </c>
      <c r="N2292" s="447" t="str">
        <f>VLOOKUP(Advices[[#This Row],[LC Number]],'Combine_List'!A:D,4,0)</f>
        <v>Rabigh Power Plant</v>
      </c>
      <c r="O2292" s="1"/>
      <c r="P2292" s="1">
        <f>MONTH(Advices[[#This Row],[Transaction Date]])</f>
        <v>4</v>
      </c>
      <c r="Q2292" s="1">
        <f>YEAR(Advices[[#This Row],[Transaction Date]])</f>
        <v>2026</v>
      </c>
      <c r="R2292" s="1"/>
    </row>
    <row r="2293" spans="1:18" x14ac:dyDescent="0.25">
      <c r="A2293" s="264" t="s">
        <v>21</v>
      </c>
      <c r="B2293" s="265">
        <v>46125</v>
      </c>
      <c r="C2293" s="266" t="s">
        <v>4687</v>
      </c>
      <c r="D2293" s="264" t="s">
        <v>4569</v>
      </c>
      <c r="E2293" s="264" t="s">
        <v>1896</v>
      </c>
      <c r="F2293" s="264" t="s">
        <v>4401</v>
      </c>
      <c r="G2293" s="266" t="s">
        <v>26</v>
      </c>
      <c r="H2293" s="266">
        <v>75</v>
      </c>
      <c r="I2293" s="266">
        <v>0</v>
      </c>
      <c r="J2293" s="264" t="s">
        <v>1963</v>
      </c>
      <c r="K2293" s="264" t="s">
        <v>2025</v>
      </c>
      <c r="L2293" s="1" t="str">
        <f>VLOOKUP(Advices[[#This Row],[LC Number]],'Combine_List'!A:D,2,0)</f>
        <v>Saudi Perfect Pumps Trading &amp; Manufacturing Company</v>
      </c>
      <c r="M2293" s="447" t="str">
        <f>VLOOKUP(Advices[[#This Row],[LC Number]],'Combine_List'!A:D,3,0)</f>
        <v>MBL</v>
      </c>
      <c r="N2293" s="447" t="str">
        <f>VLOOKUP(Advices[[#This Row],[LC Number]],'Combine_List'!A:D,4,0)</f>
        <v>Rabigh Power Plant</v>
      </c>
      <c r="O2293" s="1"/>
      <c r="P2293" s="1">
        <f>MONTH(Advices[[#This Row],[Transaction Date]])</f>
        <v>4</v>
      </c>
      <c r="Q2293" s="1">
        <f>YEAR(Advices[[#This Row],[Transaction Date]])</f>
        <v>2026</v>
      </c>
      <c r="R2293" s="1"/>
    </row>
    <row r="2294" spans="1:18" x14ac:dyDescent="0.25">
      <c r="A2294" s="264" t="s">
        <v>21</v>
      </c>
      <c r="B2294" s="265">
        <v>46125</v>
      </c>
      <c r="C2294" s="266" t="s">
        <v>4687</v>
      </c>
      <c r="D2294" s="264" t="s">
        <v>1960</v>
      </c>
      <c r="E2294" s="264" t="s">
        <v>1896</v>
      </c>
      <c r="F2294" s="264" t="s">
        <v>4401</v>
      </c>
      <c r="G2294" s="266" t="s">
        <v>26</v>
      </c>
      <c r="H2294" s="266">
        <v>11.25</v>
      </c>
      <c r="I2294" s="266">
        <v>0</v>
      </c>
      <c r="J2294" s="264" t="s">
        <v>1174</v>
      </c>
      <c r="K2294" s="264" t="s">
        <v>2025</v>
      </c>
      <c r="L2294" s="1" t="str">
        <f>VLOOKUP(Advices[[#This Row],[LC Number]],'Combine_List'!A:D,2,0)</f>
        <v>Saudi Perfect Pumps Trading &amp; Manufacturing Company</v>
      </c>
      <c r="M2294" s="447" t="str">
        <f>VLOOKUP(Advices[[#This Row],[LC Number]],'Combine_List'!A:D,3,0)</f>
        <v>MBL</v>
      </c>
      <c r="N2294" s="447" t="str">
        <f>VLOOKUP(Advices[[#This Row],[LC Number]],'Combine_List'!A:D,4,0)</f>
        <v>Rabigh Power Plant</v>
      </c>
      <c r="O2294" s="1"/>
      <c r="P2294" s="1">
        <f>MONTH(Advices[[#This Row],[Transaction Date]])</f>
        <v>4</v>
      </c>
      <c r="Q2294" s="1">
        <f>YEAR(Advices[[#This Row],[Transaction Date]])</f>
        <v>2026</v>
      </c>
      <c r="R2294" s="1"/>
    </row>
    <row r="2295" spans="1:18" x14ac:dyDescent="0.25">
      <c r="A2295" s="264" t="s">
        <v>21</v>
      </c>
      <c r="B2295" s="265">
        <v>46125</v>
      </c>
      <c r="C2295" s="266" t="s">
        <v>1951</v>
      </c>
      <c r="D2295" s="264" t="s">
        <v>4570</v>
      </c>
      <c r="E2295" s="264" t="s">
        <v>3227</v>
      </c>
      <c r="F2295" s="264" t="s">
        <v>4423</v>
      </c>
      <c r="G2295" s="266" t="s">
        <v>26</v>
      </c>
      <c r="H2295" s="266">
        <v>76172.509999999995</v>
      </c>
      <c r="I2295" s="266">
        <v>0</v>
      </c>
      <c r="J2295" s="264" t="s">
        <v>1126</v>
      </c>
      <c r="K2295" s="264" t="s">
        <v>2025</v>
      </c>
      <c r="L2295" s="1" t="str">
        <f>VLOOKUP(Advices[[#This Row],[LC Number]],'Combine_List'!A:D,2,0)</f>
        <v>BBH-CHEMTROL INTERNATIONAL ORGANIZATION S.L</v>
      </c>
      <c r="M2295" s="447" t="str">
        <f>VLOOKUP(Advices[[#This Row],[LC Number]],'Combine_List'!A:D,3,0)</f>
        <v>ICAD</v>
      </c>
      <c r="N2295" s="447" t="str">
        <f>VLOOKUP(Advices[[#This Row],[LC Number]],'Combine_List'!A:D,4,0)</f>
        <v>KSP</v>
      </c>
      <c r="O2295" s="1"/>
      <c r="P2295" s="1">
        <f>MONTH(Advices[[#This Row],[Transaction Date]])</f>
        <v>4</v>
      </c>
      <c r="Q2295" s="1">
        <f>YEAR(Advices[[#This Row],[Transaction Date]])</f>
        <v>2026</v>
      </c>
      <c r="R2295" s="1"/>
    </row>
    <row r="2296" spans="1:18" x14ac:dyDescent="0.25">
      <c r="A2296" s="264" t="s">
        <v>21</v>
      </c>
      <c r="B2296" s="265">
        <v>46125</v>
      </c>
      <c r="C2296" s="266" t="s">
        <v>1951</v>
      </c>
      <c r="D2296" s="264" t="s">
        <v>4569</v>
      </c>
      <c r="E2296" s="264" t="s">
        <v>3227</v>
      </c>
      <c r="F2296" s="264" t="s">
        <v>4423</v>
      </c>
      <c r="G2296" s="266" t="s">
        <v>26</v>
      </c>
      <c r="H2296" s="266">
        <v>150</v>
      </c>
      <c r="I2296" s="266">
        <v>0</v>
      </c>
      <c r="J2296" s="264" t="s">
        <v>1963</v>
      </c>
      <c r="K2296" s="264" t="s">
        <v>2025</v>
      </c>
      <c r="L2296" s="1" t="str">
        <f>VLOOKUP(Advices[[#This Row],[LC Number]],'Combine_List'!A:D,2,0)</f>
        <v>BBH-CHEMTROL INTERNATIONAL ORGANIZATION S.L</v>
      </c>
      <c r="M2296" s="447" t="str">
        <f>VLOOKUP(Advices[[#This Row],[LC Number]],'Combine_List'!A:D,3,0)</f>
        <v>ICAD</v>
      </c>
      <c r="N2296" s="447" t="str">
        <f>VLOOKUP(Advices[[#This Row],[LC Number]],'Combine_List'!A:D,4,0)</f>
        <v>KSP</v>
      </c>
      <c r="O2296" s="1"/>
      <c r="P2296" s="1">
        <f>MONTH(Advices[[#This Row],[Transaction Date]])</f>
        <v>4</v>
      </c>
      <c r="Q2296" s="1">
        <f>YEAR(Advices[[#This Row],[Transaction Date]])</f>
        <v>2026</v>
      </c>
      <c r="R2296" s="1"/>
    </row>
    <row r="2297" spans="1:18" x14ac:dyDescent="0.25">
      <c r="A2297" s="264" t="s">
        <v>21</v>
      </c>
      <c r="B2297" s="265">
        <v>46125</v>
      </c>
      <c r="C2297" s="266" t="s">
        <v>1951</v>
      </c>
      <c r="D2297" s="264" t="s">
        <v>2334</v>
      </c>
      <c r="E2297" s="264" t="s">
        <v>3227</v>
      </c>
      <c r="F2297" s="264" t="s">
        <v>4423</v>
      </c>
      <c r="G2297" s="266" t="s">
        <v>26</v>
      </c>
      <c r="H2297" s="266">
        <v>22.5</v>
      </c>
      <c r="I2297" s="266">
        <v>0</v>
      </c>
      <c r="J2297" s="264" t="s">
        <v>1174</v>
      </c>
      <c r="K2297" s="264" t="s">
        <v>2025</v>
      </c>
      <c r="L2297" s="1" t="str">
        <f>VLOOKUP(Advices[[#This Row],[LC Number]],'Combine_List'!A:D,2,0)</f>
        <v>BBH-CHEMTROL INTERNATIONAL ORGANIZATION S.L</v>
      </c>
      <c r="M2297" s="447" t="str">
        <f>VLOOKUP(Advices[[#This Row],[LC Number]],'Combine_List'!A:D,3,0)</f>
        <v>ICAD</v>
      </c>
      <c r="N2297" s="447" t="str">
        <f>VLOOKUP(Advices[[#This Row],[LC Number]],'Combine_List'!A:D,4,0)</f>
        <v>KSP</v>
      </c>
      <c r="O2297" s="1"/>
      <c r="P2297" s="1">
        <f>MONTH(Advices[[#This Row],[Transaction Date]])</f>
        <v>4</v>
      </c>
      <c r="Q2297" s="1">
        <f>YEAR(Advices[[#This Row],[Transaction Date]])</f>
        <v>2026</v>
      </c>
      <c r="R2297" s="1"/>
    </row>
    <row r="2298" spans="1:18" x14ac:dyDescent="0.25">
      <c r="A2298" s="264" t="s">
        <v>21</v>
      </c>
      <c r="B2298" s="265">
        <v>46125</v>
      </c>
      <c r="C2298" s="266" t="s">
        <v>1951</v>
      </c>
      <c r="D2298" s="264" t="s">
        <v>4570</v>
      </c>
      <c r="E2298" s="264" t="s">
        <v>3146</v>
      </c>
      <c r="F2298" s="264" t="s">
        <v>4412</v>
      </c>
      <c r="G2298" s="266" t="s">
        <v>26</v>
      </c>
      <c r="H2298" s="266">
        <v>529272.69999999995</v>
      </c>
      <c r="I2298" s="266">
        <v>0</v>
      </c>
      <c r="J2298" s="264" t="s">
        <v>1126</v>
      </c>
      <c r="K2298" s="264" t="s">
        <v>2025</v>
      </c>
      <c r="L2298" s="1" t="str">
        <f>VLOOKUP(Advices[[#This Row],[LC Number]],'Combine_List'!A:D,2,0)</f>
        <v>SIEMENS Limited Company</v>
      </c>
      <c r="M2298" s="447" t="str">
        <f>VLOOKUP(Advices[[#This Row],[LC Number]],'Combine_List'!A:D,3,0)</f>
        <v>Signal Control</v>
      </c>
      <c r="N2298" s="447" t="str">
        <f>VLOOKUP(Advices[[#This Row],[LC Number]],'Combine_List'!A:D,4,0)</f>
        <v>KSP</v>
      </c>
      <c r="O2298" s="1"/>
      <c r="P2298" s="1">
        <f>MONTH(Advices[[#This Row],[Transaction Date]])</f>
        <v>4</v>
      </c>
      <c r="Q2298" s="1">
        <f>YEAR(Advices[[#This Row],[Transaction Date]])</f>
        <v>2026</v>
      </c>
      <c r="R2298" s="1"/>
    </row>
    <row r="2299" spans="1:18" x14ac:dyDescent="0.25">
      <c r="A2299" s="264" t="s">
        <v>21</v>
      </c>
      <c r="B2299" s="265">
        <v>46125</v>
      </c>
      <c r="C2299" s="266" t="s">
        <v>1951</v>
      </c>
      <c r="D2299" s="264" t="s">
        <v>4569</v>
      </c>
      <c r="E2299" s="264" t="s">
        <v>3146</v>
      </c>
      <c r="F2299" s="264" t="s">
        <v>4412</v>
      </c>
      <c r="G2299" s="266" t="s">
        <v>26</v>
      </c>
      <c r="H2299" s="266">
        <v>75</v>
      </c>
      <c r="I2299" s="266">
        <v>0</v>
      </c>
      <c r="J2299" s="264" t="s">
        <v>1125</v>
      </c>
      <c r="K2299" s="264" t="s">
        <v>2025</v>
      </c>
      <c r="L2299" s="1" t="str">
        <f>VLOOKUP(Advices[[#This Row],[LC Number]],'Combine_List'!A:D,2,0)</f>
        <v>SIEMENS Limited Company</v>
      </c>
      <c r="M2299" s="447" t="str">
        <f>VLOOKUP(Advices[[#This Row],[LC Number]],'Combine_List'!A:D,3,0)</f>
        <v>Signal Control</v>
      </c>
      <c r="N2299" s="447" t="str">
        <f>VLOOKUP(Advices[[#This Row],[LC Number]],'Combine_List'!A:D,4,0)</f>
        <v>KSP</v>
      </c>
      <c r="O2299" s="1"/>
      <c r="P2299" s="1">
        <f>MONTH(Advices[[#This Row],[Transaction Date]])</f>
        <v>4</v>
      </c>
      <c r="Q2299" s="1">
        <f>YEAR(Advices[[#This Row],[Transaction Date]])</f>
        <v>2026</v>
      </c>
      <c r="R2299" s="1"/>
    </row>
    <row r="2300" spans="1:18" x14ac:dyDescent="0.25">
      <c r="A2300" s="264" t="s">
        <v>21</v>
      </c>
      <c r="B2300" s="265">
        <v>46125</v>
      </c>
      <c r="C2300" s="266" t="s">
        <v>1951</v>
      </c>
      <c r="D2300" s="264" t="s">
        <v>1960</v>
      </c>
      <c r="E2300" s="264" t="s">
        <v>3146</v>
      </c>
      <c r="F2300" s="264" t="s">
        <v>4412</v>
      </c>
      <c r="G2300" s="266" t="s">
        <v>26</v>
      </c>
      <c r="H2300" s="266">
        <v>11.25</v>
      </c>
      <c r="I2300" s="266">
        <v>0</v>
      </c>
      <c r="J2300" s="264" t="s">
        <v>1174</v>
      </c>
      <c r="K2300" s="264" t="s">
        <v>2025</v>
      </c>
      <c r="L2300" s="1" t="str">
        <f>VLOOKUP(Advices[[#This Row],[LC Number]],'Combine_List'!A:D,2,0)</f>
        <v>SIEMENS Limited Company</v>
      </c>
      <c r="M2300" s="447" t="str">
        <f>VLOOKUP(Advices[[#This Row],[LC Number]],'Combine_List'!A:D,3,0)</f>
        <v>Signal Control</v>
      </c>
      <c r="N2300" s="447" t="str">
        <f>VLOOKUP(Advices[[#This Row],[LC Number]],'Combine_List'!A:D,4,0)</f>
        <v>KSP</v>
      </c>
      <c r="O2300" s="1"/>
      <c r="P2300" s="1">
        <f>MONTH(Advices[[#This Row],[Transaction Date]])</f>
        <v>4</v>
      </c>
      <c r="Q2300" s="1">
        <f>YEAR(Advices[[#This Row],[Transaction Date]])</f>
        <v>2026</v>
      </c>
      <c r="R2300" s="1"/>
    </row>
    <row r="2301" spans="1:18" x14ac:dyDescent="0.25">
      <c r="A2301" s="264" t="s">
        <v>21</v>
      </c>
      <c r="B2301" s="265">
        <v>46125</v>
      </c>
      <c r="C2301" s="266" t="s">
        <v>4687</v>
      </c>
      <c r="D2301" s="264" t="s">
        <v>4570</v>
      </c>
      <c r="E2301" s="264" t="s">
        <v>3146</v>
      </c>
      <c r="F2301" s="264" t="s">
        <v>3960</v>
      </c>
      <c r="G2301" s="266" t="s">
        <v>26</v>
      </c>
      <c r="H2301" s="266">
        <v>1825754.98</v>
      </c>
      <c r="I2301" s="266">
        <v>0</v>
      </c>
      <c r="J2301" s="264" t="s">
        <v>1126</v>
      </c>
      <c r="K2301" s="264" t="s">
        <v>2025</v>
      </c>
      <c r="L2301" s="1" t="str">
        <f>VLOOKUP(Advices[[#This Row],[LC Number]],'Combine_List'!A:D,2,0)</f>
        <v>SIEMENS Limited Company</v>
      </c>
      <c r="M2301" s="447" t="str">
        <f>VLOOKUP(Advices[[#This Row],[LC Number]],'Combine_List'!A:D,3,0)</f>
        <v>Signal Control</v>
      </c>
      <c r="N2301" s="447" t="str">
        <f>VLOOKUP(Advices[[#This Row],[LC Number]],'Combine_List'!A:D,4,0)</f>
        <v>KSP</v>
      </c>
      <c r="O2301" s="1"/>
      <c r="P2301" s="1">
        <f>MONTH(Advices[[#This Row],[Transaction Date]])</f>
        <v>4</v>
      </c>
      <c r="Q2301" s="1">
        <f>YEAR(Advices[[#This Row],[Transaction Date]])</f>
        <v>2026</v>
      </c>
      <c r="R2301" s="1"/>
    </row>
    <row r="2302" spans="1:18" x14ac:dyDescent="0.25">
      <c r="A2302" s="264" t="s">
        <v>21</v>
      </c>
      <c r="B2302" s="265">
        <v>46125</v>
      </c>
      <c r="C2302" s="266" t="s">
        <v>4687</v>
      </c>
      <c r="D2302" s="264" t="s">
        <v>4570</v>
      </c>
      <c r="E2302" s="264" t="s">
        <v>3146</v>
      </c>
      <c r="F2302" s="264" t="s">
        <v>4419</v>
      </c>
      <c r="G2302" s="266" t="s">
        <v>26</v>
      </c>
      <c r="H2302" s="266">
        <v>1702804.09</v>
      </c>
      <c r="I2302" s="266">
        <v>0</v>
      </c>
      <c r="J2302" s="264" t="s">
        <v>1126</v>
      </c>
      <c r="K2302" s="264" t="s">
        <v>2025</v>
      </c>
      <c r="L2302" s="1" t="str">
        <f>VLOOKUP(Advices[[#This Row],[LC Number]],'Combine_List'!A:D,2,0)</f>
        <v>SIEMENS Limited Company</v>
      </c>
      <c r="M2302" s="447" t="str">
        <f>VLOOKUP(Advices[[#This Row],[LC Number]],'Combine_List'!A:D,3,0)</f>
        <v>Signal Control</v>
      </c>
      <c r="N2302" s="447" t="str">
        <f>VLOOKUP(Advices[[#This Row],[LC Number]],'Combine_List'!A:D,4,0)</f>
        <v>KSP</v>
      </c>
      <c r="O2302" s="264"/>
      <c r="P2302" s="264">
        <f>MONTH(Advices[[#This Row],[Transaction Date]])</f>
        <v>4</v>
      </c>
      <c r="Q2302" s="264">
        <f>YEAR(Advices[[#This Row],[Transaction Date]])</f>
        <v>2026</v>
      </c>
      <c r="R2302" s="1"/>
    </row>
    <row r="2303" spans="1:18" hidden="1" x14ac:dyDescent="0.25">
      <c r="A2303" s="264" t="s">
        <v>62</v>
      </c>
      <c r="B2303" s="265">
        <v>46124</v>
      </c>
      <c r="C2303" s="266" t="s">
        <v>2039</v>
      </c>
      <c r="D2303" s="264" t="s">
        <v>4688</v>
      </c>
      <c r="E2303" s="264" t="s">
        <v>2915</v>
      </c>
      <c r="F2303" s="264" t="s">
        <v>2041</v>
      </c>
      <c r="G2303" s="266" t="s">
        <v>26</v>
      </c>
      <c r="H2303" s="266">
        <v>1195.07</v>
      </c>
      <c r="I2303" s="266">
        <v>0</v>
      </c>
      <c r="J2303" s="264" t="s">
        <v>1125</v>
      </c>
      <c r="K2303" s="264" t="s">
        <v>2025</v>
      </c>
      <c r="L2303" s="1" t="str">
        <f>VLOOKUP(Advices[[#This Row],[LC Number]],'Combine_List'!A:D,2,0)</f>
        <v>IBA MIDDLE EAST FZE</v>
      </c>
      <c r="M2303" s="447" t="str">
        <f>VLOOKUP(Advices[[#This Row],[LC Number]],'Combine_List'!A:D,3,0)</f>
        <v>MBL/United Arab Aluminum Co</v>
      </c>
      <c r="N2303" s="447" t="str">
        <f>VLOOKUP(Advices[[#This Row],[LC Number]],'Combine_List'!A:D,4,0)</f>
        <v>Oceanarium</v>
      </c>
      <c r="O2303" s="1"/>
      <c r="P2303" s="1">
        <f>MONTH(Advices[[#This Row],[Transaction Date]])</f>
        <v>4</v>
      </c>
      <c r="Q2303" s="1">
        <f>YEAR(Advices[[#This Row],[Transaction Date]])</f>
        <v>2026</v>
      </c>
      <c r="R2303" s="1"/>
    </row>
    <row r="2304" spans="1:18" hidden="1" x14ac:dyDescent="0.25">
      <c r="A2304" s="264" t="s">
        <v>62</v>
      </c>
      <c r="B2304" s="265">
        <v>46124</v>
      </c>
      <c r="C2304" s="266" t="s">
        <v>2039</v>
      </c>
      <c r="D2304" s="264" t="s">
        <v>4689</v>
      </c>
      <c r="E2304" s="264" t="s">
        <v>4685</v>
      </c>
      <c r="F2304" s="264" t="s">
        <v>2041</v>
      </c>
      <c r="G2304" s="266" t="s">
        <v>26</v>
      </c>
      <c r="H2304" s="266">
        <v>892.4</v>
      </c>
      <c r="I2304" s="266">
        <v>0</v>
      </c>
      <c r="J2304" s="264" t="s">
        <v>3947</v>
      </c>
      <c r="K2304" s="264" t="s">
        <v>2025</v>
      </c>
      <c r="L2304" s="1" t="str">
        <f>VLOOKUP(Advices[[#This Row],[LC Number]],'Combine_List'!A:D,2,0)</f>
        <v>Bid - KING SALMAN INTERNATIONAL AIRPORT DEVELOPMENT COMPANY</v>
      </c>
      <c r="M2304" s="447">
        <f>VLOOKUP(Advices[[#This Row],[LC Number]],'Combine_List'!A:D,3,0)</f>
        <v>0</v>
      </c>
      <c r="N2304" s="447">
        <f>VLOOKUP(Advices[[#This Row],[LC Number]],'Combine_List'!A:D,4,0)</f>
        <v>0</v>
      </c>
      <c r="O2304" s="1"/>
      <c r="P2304" s="1">
        <f>MONTH(Advices[[#This Row],[Transaction Date]])</f>
        <v>4</v>
      </c>
      <c r="Q2304" s="1">
        <f>YEAR(Advices[[#This Row],[Transaction Date]])</f>
        <v>2026</v>
      </c>
      <c r="R2304" s="1"/>
    </row>
    <row r="2305" spans="1:18" hidden="1" x14ac:dyDescent="0.25">
      <c r="A2305" s="264" t="s">
        <v>62</v>
      </c>
      <c r="B2305" s="265">
        <v>46125</v>
      </c>
      <c r="C2305" s="266" t="s">
        <v>2039</v>
      </c>
      <c r="D2305" s="264" t="s">
        <v>4690</v>
      </c>
      <c r="E2305" s="264" t="s">
        <v>2915</v>
      </c>
      <c r="F2305" s="264" t="s">
        <v>2041</v>
      </c>
      <c r="G2305" s="266" t="s">
        <v>26</v>
      </c>
      <c r="H2305" s="266">
        <v>3325.95</v>
      </c>
      <c r="I2305" s="266">
        <v>0</v>
      </c>
      <c r="J2305" s="264" t="s">
        <v>1125</v>
      </c>
      <c r="K2305" s="264" t="s">
        <v>2025</v>
      </c>
      <c r="L2305" s="1" t="str">
        <f>VLOOKUP(Advices[[#This Row],[LC Number]],'Combine_List'!A:D,2,0)</f>
        <v>IBA MIDDLE EAST FZE</v>
      </c>
      <c r="M2305" s="447" t="str">
        <f>VLOOKUP(Advices[[#This Row],[LC Number]],'Combine_List'!A:D,3,0)</f>
        <v>MBL/United Arab Aluminum Co</v>
      </c>
      <c r="N2305" s="447" t="str">
        <f>VLOOKUP(Advices[[#This Row],[LC Number]],'Combine_List'!A:D,4,0)</f>
        <v>Oceanarium</v>
      </c>
      <c r="O2305" s="264"/>
      <c r="P2305" s="264">
        <f>MONTH(Advices[[#This Row],[Transaction Date]])</f>
        <v>4</v>
      </c>
      <c r="Q2305" s="264">
        <f>YEAR(Advices[[#This Row],[Transaction Date]])</f>
        <v>2026</v>
      </c>
      <c r="R2305" s="1"/>
    </row>
    <row r="2306" spans="1:18" hidden="1" x14ac:dyDescent="0.25">
      <c r="A2306" s="264" t="s">
        <v>95</v>
      </c>
      <c r="B2306" s="265">
        <v>46113</v>
      </c>
      <c r="C2306" s="266" t="s">
        <v>2026</v>
      </c>
      <c r="D2306" s="264" t="s">
        <v>3936</v>
      </c>
      <c r="E2306" s="264" t="s">
        <v>1425</v>
      </c>
      <c r="F2306" s="264" t="s">
        <v>3937</v>
      </c>
      <c r="G2306" s="266" t="s">
        <v>26</v>
      </c>
      <c r="H2306" s="266">
        <v>398773.34</v>
      </c>
      <c r="I2306" s="266">
        <v>0</v>
      </c>
      <c r="J2306" s="264" t="s">
        <v>1126</v>
      </c>
      <c r="K2306" s="264" t="s">
        <v>2025</v>
      </c>
      <c r="L2306" s="1" t="str">
        <f>VLOOKUP(Advices[[#This Row],[LC Number]],'Combine_List'!A:D,2,0)</f>
        <v>Electric House Trading Company L.L.C.</v>
      </c>
      <c r="M2306" s="447" t="str">
        <f>VLOOKUP(Advices[[#This Row],[LC Number]],'Combine_List'!A:D,3,0)</f>
        <v>FIRST FIX</v>
      </c>
      <c r="N2306" s="447" t="str">
        <f>VLOOKUP(Advices[[#This Row],[LC Number]],'Combine_List'!A:D,4,0)</f>
        <v>KSP</v>
      </c>
      <c r="O2306" s="1"/>
      <c r="P2306" s="1">
        <f>MONTH(Advices[[#This Row],[Transaction Date]])</f>
        <v>4</v>
      </c>
      <c r="Q2306" s="1">
        <f>YEAR(Advices[[#This Row],[Transaction Date]])</f>
        <v>2026</v>
      </c>
      <c r="R2306" s="1"/>
    </row>
    <row r="2307" spans="1:18" hidden="1" x14ac:dyDescent="0.25">
      <c r="A2307" s="264" t="s">
        <v>95</v>
      </c>
      <c r="B2307" s="265">
        <v>46114</v>
      </c>
      <c r="C2307" s="266" t="s">
        <v>2026</v>
      </c>
      <c r="D2307" s="264" t="s">
        <v>4583</v>
      </c>
      <c r="E2307" s="264" t="s">
        <v>1928</v>
      </c>
      <c r="F2307" s="264" t="s">
        <v>1928</v>
      </c>
      <c r="G2307" s="266" t="s">
        <v>26</v>
      </c>
      <c r="H2307" s="266">
        <v>51118.63</v>
      </c>
      <c r="I2307" s="266">
        <v>0</v>
      </c>
      <c r="J2307" s="264" t="s">
        <v>2900</v>
      </c>
      <c r="K2307" s="264" t="s">
        <v>2025</v>
      </c>
      <c r="L2307" s="1" t="str">
        <f>VLOOKUP(Advices[[#This Row],[LC Number]],'Combine_List'!A:D,2,0)</f>
        <v>Advance - ROYAL PROTOCOL CAMP</v>
      </c>
      <c r="M2307" s="447" t="str">
        <f>VLOOKUP(Advices[[#This Row],[LC Number]],'Combine_List'!A:D,3,0)</f>
        <v>MBL</v>
      </c>
      <c r="N2307" s="447">
        <f>VLOOKUP(Advices[[#This Row],[LC Number]],'Combine_List'!A:D,4,0)</f>
        <v>0</v>
      </c>
      <c r="O2307" s="1"/>
      <c r="P2307" s="1">
        <f>MONTH(Advices[[#This Row],[Transaction Date]])</f>
        <v>4</v>
      </c>
      <c r="Q2307" s="1">
        <f>YEAR(Advices[[#This Row],[Transaction Date]])</f>
        <v>2026</v>
      </c>
      <c r="R2307" s="1"/>
    </row>
    <row r="2308" spans="1:18" hidden="1" x14ac:dyDescent="0.25">
      <c r="A2308" s="264" t="s">
        <v>95</v>
      </c>
      <c r="B2308" s="265">
        <v>46119</v>
      </c>
      <c r="C2308" s="266" t="s">
        <v>2026</v>
      </c>
      <c r="D2308" s="264" t="s">
        <v>4623</v>
      </c>
      <c r="E2308" s="264" t="s">
        <v>3720</v>
      </c>
      <c r="F2308" s="264" t="s">
        <v>4624</v>
      </c>
      <c r="G2308" s="266" t="s">
        <v>26</v>
      </c>
      <c r="H2308" s="266">
        <v>2915.25</v>
      </c>
      <c r="I2308" s="266">
        <v>0</v>
      </c>
      <c r="J2308" s="264" t="s">
        <v>1125</v>
      </c>
      <c r="K2308" s="264" t="s">
        <v>2025</v>
      </c>
      <c r="L2308" s="1" t="str">
        <f>VLOOKUP(Advices[[#This Row],[LC Number]],'Combine_List'!A:D,2,0)</f>
        <v>Alkhorayef Commercial Company</v>
      </c>
      <c r="M2308" s="447" t="str">
        <f>VLOOKUP(Advices[[#This Row],[LC Number]],'Combine_List'!A:D,3,0)</f>
        <v>MBL/ICAD</v>
      </c>
      <c r="N2308" s="447" t="str">
        <f>VLOOKUP(Advices[[#This Row],[LC Number]],'Combine_List'!A:D,4,0)</f>
        <v>OPERA House</v>
      </c>
      <c r="O2308" s="1"/>
      <c r="P2308" s="1">
        <f>MONTH(Advices[[#This Row],[Transaction Date]])</f>
        <v>4</v>
      </c>
      <c r="Q2308" s="1">
        <f>YEAR(Advices[[#This Row],[Transaction Date]])</f>
        <v>2026</v>
      </c>
      <c r="R2308" s="1"/>
    </row>
    <row r="2309" spans="1:18" hidden="1" x14ac:dyDescent="0.25">
      <c r="A2309" s="264" t="s">
        <v>95</v>
      </c>
      <c r="B2309" s="265">
        <v>46119</v>
      </c>
      <c r="C2309" s="266" t="s">
        <v>2026</v>
      </c>
      <c r="D2309" s="264" t="s">
        <v>4625</v>
      </c>
      <c r="E2309" s="264" t="s">
        <v>4568</v>
      </c>
      <c r="F2309" s="264" t="s">
        <v>4626</v>
      </c>
      <c r="G2309" s="266" t="s">
        <v>26</v>
      </c>
      <c r="H2309" s="266">
        <v>1394.38</v>
      </c>
      <c r="I2309" s="266">
        <v>0</v>
      </c>
      <c r="J2309" s="264" t="s">
        <v>2616</v>
      </c>
      <c r="K2309" s="264" t="s">
        <v>2025</v>
      </c>
      <c r="L2309" s="1" t="str">
        <f>VLOOKUP(Advices[[#This Row],[LC Number]],'Combine_List'!A:D,2,0)</f>
        <v>Saudi Electric Supply Company Limited(SESCO)</v>
      </c>
      <c r="M2309" s="447" t="str">
        <f>VLOOKUP(Advices[[#This Row],[LC Number]],'Combine_List'!A:D,3,0)</f>
        <v>MBL/ICAD</v>
      </c>
      <c r="N2309" s="447" t="str">
        <f>VLOOKUP(Advices[[#This Row],[LC Number]],'Combine_List'!A:D,4,0)</f>
        <v>OPERA House</v>
      </c>
      <c r="O2309" s="1"/>
      <c r="P2309" s="1">
        <f>MONTH(Advices[[#This Row],[Transaction Date]])</f>
        <v>4</v>
      </c>
      <c r="Q2309" s="1">
        <f>YEAR(Advices[[#This Row],[Transaction Date]])</f>
        <v>2026</v>
      </c>
      <c r="R2309" s="1"/>
    </row>
    <row r="2310" spans="1:18" hidden="1" x14ac:dyDescent="0.25">
      <c r="A2310" s="264" t="s">
        <v>95</v>
      </c>
      <c r="B2310" s="265">
        <v>46120</v>
      </c>
      <c r="C2310" s="266" t="s">
        <v>2026</v>
      </c>
      <c r="D2310" s="264" t="s">
        <v>4636</v>
      </c>
      <c r="E2310" s="264" t="s">
        <v>1446</v>
      </c>
      <c r="F2310" s="264" t="s">
        <v>2603</v>
      </c>
      <c r="G2310" s="266" t="s">
        <v>26</v>
      </c>
      <c r="H2310" s="266">
        <v>843.42</v>
      </c>
      <c r="I2310" s="266">
        <v>0</v>
      </c>
      <c r="J2310" s="264" t="s">
        <v>1124</v>
      </c>
      <c r="K2310" s="264" t="s">
        <v>2025</v>
      </c>
      <c r="L2310" s="1" t="str">
        <f>VLOOKUP(Advices[[#This Row],[LC Number]],'Combine_List'!A:D,2,0)</f>
        <v>Al Arabia Construction &amp; Building Co.</v>
      </c>
      <c r="M2310" s="447" t="str">
        <f>VLOOKUP(Advices[[#This Row],[LC Number]],'Combine_List'!A:D,3,0)</f>
        <v>MBL</v>
      </c>
      <c r="N2310" s="447" t="str">
        <f>VLOOKUP(Advices[[#This Row],[LC Number]],'Combine_List'!A:D,4,0)</f>
        <v>Rabigh Power Plant</v>
      </c>
      <c r="O2310" s="1"/>
      <c r="P2310" s="1">
        <f>MONTH(Advices[[#This Row],[Transaction Date]])</f>
        <v>4</v>
      </c>
      <c r="Q2310" s="1">
        <f>YEAR(Advices[[#This Row],[Transaction Date]])</f>
        <v>2026</v>
      </c>
      <c r="R2310" s="1"/>
    </row>
    <row r="2311" spans="1:18" hidden="1" x14ac:dyDescent="0.25">
      <c r="A2311" s="264" t="s">
        <v>95</v>
      </c>
      <c r="B2311" s="265">
        <v>46120</v>
      </c>
      <c r="C2311" s="266" t="s">
        <v>3182</v>
      </c>
      <c r="D2311" s="264" t="s">
        <v>4637</v>
      </c>
      <c r="E2311" s="264" t="s">
        <v>707</v>
      </c>
      <c r="F2311" s="264" t="s">
        <v>4513</v>
      </c>
      <c r="G2311" s="266" t="s">
        <v>67</v>
      </c>
      <c r="H2311" s="266">
        <v>256748.12</v>
      </c>
      <c r="I2311" s="266">
        <v>0</v>
      </c>
      <c r="J2311" s="264" t="s">
        <v>1126</v>
      </c>
      <c r="K2311" s="264" t="s">
        <v>2025</v>
      </c>
      <c r="L2311" s="1" t="str">
        <f>VLOOKUP(Advices[[#This Row],[LC Number]],'Combine_List'!A:D,2,0)</f>
        <v>BBH-CHEMTROL INTERNATIONAL ORGANIZATION S.L</v>
      </c>
      <c r="M2311" s="447" t="str">
        <f>VLOOKUP(Advices[[#This Row],[LC Number]],'Combine_List'!A:D,3,0)</f>
        <v>MBL/ICAD</v>
      </c>
      <c r="N2311" s="447" t="str">
        <f>VLOOKUP(Advices[[#This Row],[LC Number]],'Combine_List'!A:D,4,0)</f>
        <v>OPERA House</v>
      </c>
      <c r="O2311" s="1"/>
      <c r="P2311" s="1">
        <f>MONTH(Advices[[#This Row],[Transaction Date]])</f>
        <v>4</v>
      </c>
      <c r="Q2311" s="1">
        <f>YEAR(Advices[[#This Row],[Transaction Date]])</f>
        <v>2026</v>
      </c>
      <c r="R2311" s="1"/>
    </row>
    <row r="2312" spans="1:18" hidden="1" x14ac:dyDescent="0.25">
      <c r="A2312" s="264" t="s">
        <v>95</v>
      </c>
      <c r="B2312" s="265">
        <v>46124</v>
      </c>
      <c r="C2312" s="266" t="s">
        <v>2026</v>
      </c>
      <c r="D2312" s="264" t="s">
        <v>4437</v>
      </c>
      <c r="E2312" s="264" t="s">
        <v>3142</v>
      </c>
      <c r="F2312" s="264" t="s">
        <v>4438</v>
      </c>
      <c r="G2312" s="266" t="s">
        <v>26</v>
      </c>
      <c r="H2312" s="266">
        <v>5544.81</v>
      </c>
      <c r="I2312" s="266">
        <v>0</v>
      </c>
      <c r="J2312" s="264" t="s">
        <v>1124</v>
      </c>
      <c r="K2312" s="264" t="s">
        <v>2025</v>
      </c>
      <c r="L2312" s="1" t="str">
        <f>VLOOKUP(Advices[[#This Row],[LC Number]],'Combine_List'!A:D,2,0)</f>
        <v>APS ARABIAN CONTRACTING COMPANY</v>
      </c>
      <c r="M2312" s="447" t="str">
        <f>VLOOKUP(Advices[[#This Row],[LC Number]],'Combine_List'!A:D,3,0)</f>
        <v>MBL/AICS</v>
      </c>
      <c r="N2312" s="447" t="str">
        <f>VLOOKUP(Advices[[#This Row],[LC Number]],'Combine_List'!A:D,4,0)</f>
        <v>OPERA House</v>
      </c>
      <c r="O2312" s="1"/>
      <c r="P2312" s="1">
        <f>MONTH(Advices[[#This Row],[Transaction Date]])</f>
        <v>4</v>
      </c>
      <c r="Q2312" s="1">
        <f>YEAR(Advices[[#This Row],[Transaction Date]])</f>
        <v>2026</v>
      </c>
      <c r="R2312" s="1"/>
    </row>
    <row r="2313" spans="1:18" hidden="1" x14ac:dyDescent="0.25">
      <c r="A2313" s="264" t="s">
        <v>95</v>
      </c>
      <c r="B2313" s="265">
        <v>46124</v>
      </c>
      <c r="C2313" s="266" t="s">
        <v>2026</v>
      </c>
      <c r="D2313" s="264" t="s">
        <v>4691</v>
      </c>
      <c r="E2313" s="264" t="s">
        <v>4679</v>
      </c>
      <c r="F2313" s="264" t="s">
        <v>4692</v>
      </c>
      <c r="G2313" s="266" t="s">
        <v>26</v>
      </c>
      <c r="H2313" s="266">
        <v>6449.58</v>
      </c>
      <c r="I2313" s="266">
        <v>0</v>
      </c>
      <c r="J2313" s="264" t="s">
        <v>2616</v>
      </c>
      <c r="K2313" s="264" t="s">
        <v>2025</v>
      </c>
      <c r="L2313" s="1" t="str">
        <f>VLOOKUP(Advices[[#This Row],[LC Number]],'Combine_List'!A:D,2,0)</f>
        <v>ALNAFIE METAL INDUSTRIES CO LTD</v>
      </c>
      <c r="M2313" s="447" t="str">
        <f>VLOOKUP(Advices[[#This Row],[LC Number]],'Combine_List'!A:D,3,0)</f>
        <v>MBL/AICS (L01)</v>
      </c>
      <c r="N2313" s="447" t="str">
        <f>VLOOKUP(Advices[[#This Row],[LC Number]],'Combine_List'!A:D,4,0)</f>
        <v>OPERA House</v>
      </c>
      <c r="O2313" s="1"/>
      <c r="P2313" s="1">
        <f>MONTH(Advices[[#This Row],[Transaction Date]])</f>
        <v>4</v>
      </c>
      <c r="Q2313" s="1">
        <f>YEAR(Advices[[#This Row],[Transaction Date]])</f>
        <v>2026</v>
      </c>
      <c r="R2313" s="1"/>
    </row>
    <row r="2314" spans="1:18" hidden="1" x14ac:dyDescent="0.25">
      <c r="A2314" s="264" t="s">
        <v>95</v>
      </c>
      <c r="B2314" s="265">
        <v>46124</v>
      </c>
      <c r="C2314" s="266" t="s">
        <v>2026</v>
      </c>
      <c r="D2314" s="264" t="s">
        <v>4693</v>
      </c>
      <c r="E2314" s="264" t="s">
        <v>4680</v>
      </c>
      <c r="F2314" s="264" t="s">
        <v>4694</v>
      </c>
      <c r="G2314" s="266" t="s">
        <v>26</v>
      </c>
      <c r="H2314" s="266">
        <v>2561.69</v>
      </c>
      <c r="I2314" s="266">
        <v>0</v>
      </c>
      <c r="J2314" s="264" t="s">
        <v>2616</v>
      </c>
      <c r="K2314" s="264" t="s">
        <v>2025</v>
      </c>
      <c r="L2314" s="1" t="str">
        <f>VLOOKUP(Advices[[#This Row],[LC Number]],'Combine_List'!A:D,2,0)</f>
        <v>Electric House Trading Company L.L.C.</v>
      </c>
      <c r="M2314" s="447" t="str">
        <f>VLOOKUP(Advices[[#This Row],[LC Number]],'Combine_List'!A:D,3,0)</f>
        <v>MBL/ICAD</v>
      </c>
      <c r="N2314" s="447" t="str">
        <f>VLOOKUP(Advices[[#This Row],[LC Number]],'Combine_List'!A:D,4,0)</f>
        <v>OPERA House</v>
      </c>
      <c r="O2314" s="1"/>
      <c r="P2314" s="1">
        <f>MONTH(Advices[[#This Row],[Transaction Date]])</f>
        <v>4</v>
      </c>
      <c r="Q2314" s="1">
        <f>YEAR(Advices[[#This Row],[Transaction Date]])</f>
        <v>2026</v>
      </c>
      <c r="R2314" s="1"/>
    </row>
    <row r="2315" spans="1:18" hidden="1" x14ac:dyDescent="0.25">
      <c r="A2315" s="264" t="s">
        <v>95</v>
      </c>
      <c r="B2315" s="265">
        <v>46125</v>
      </c>
      <c r="C2315" s="266" t="s">
        <v>2026</v>
      </c>
      <c r="D2315" s="264" t="s">
        <v>4695</v>
      </c>
      <c r="E2315" s="264" t="s">
        <v>2562</v>
      </c>
      <c r="F2315" s="264" t="s">
        <v>4696</v>
      </c>
      <c r="G2315" s="266" t="s">
        <v>26</v>
      </c>
      <c r="H2315" s="266">
        <v>5022.96</v>
      </c>
      <c r="I2315" s="266">
        <v>0</v>
      </c>
      <c r="J2315" s="264" t="s">
        <v>1125</v>
      </c>
      <c r="K2315" s="264" t="s">
        <v>2025</v>
      </c>
      <c r="L2315" s="1" t="str">
        <f>VLOOKUP(Advices[[#This Row],[LC Number]],'Combine_List'!A:D,2,0)</f>
        <v>ALNAFIE METAL INDUSTRIES CO LTD</v>
      </c>
      <c r="M2315" s="447" t="str">
        <f>VLOOKUP(Advices[[#This Row],[LC Number]],'Combine_List'!A:D,3,0)</f>
        <v>MBL/AICS</v>
      </c>
      <c r="N2315" s="447" t="str">
        <f>VLOOKUP(Advices[[#This Row],[LC Number]],'Combine_List'!A:D,4,0)</f>
        <v>OPERA House</v>
      </c>
      <c r="O2315" s="264"/>
      <c r="P2315" s="264">
        <f>MONTH(Advices[[#This Row],[Transaction Date]])</f>
        <v>4</v>
      </c>
      <c r="Q2315" s="264">
        <f>YEAR(Advices[[#This Row],[Transaction Date]])</f>
        <v>2026</v>
      </c>
      <c r="R2315" s="1"/>
    </row>
    <row r="2316" spans="1:18" hidden="1" x14ac:dyDescent="0.25">
      <c r="A2316" s="264" t="s">
        <v>366</v>
      </c>
      <c r="B2316" s="265">
        <v>46124</v>
      </c>
      <c r="C2316" s="266" t="s">
        <v>3755</v>
      </c>
      <c r="D2316" s="264" t="s">
        <v>4697</v>
      </c>
      <c r="E2316" s="264" t="s">
        <v>4392</v>
      </c>
      <c r="F2316" s="264" t="s">
        <v>4698</v>
      </c>
      <c r="G2316" s="266" t="s">
        <v>26</v>
      </c>
      <c r="H2316" s="266">
        <v>86250</v>
      </c>
      <c r="I2316" s="266">
        <v>0</v>
      </c>
      <c r="J2316" s="264" t="s">
        <v>1125</v>
      </c>
      <c r="K2316" s="264" t="s">
        <v>2025</v>
      </c>
      <c r="L2316" s="1" t="str">
        <f>VLOOKUP(Advices[[#This Row],[LC Number]],'Combine_List'!A:D,2,0)</f>
        <v>Innovative Contractors for Advanced Dimension (ICAD)</v>
      </c>
      <c r="M2316" s="447" t="str">
        <f>VLOOKUP(Advices[[#This Row],[LC Number]],'Combine_List'!A:D,3,0)</f>
        <v>MBL</v>
      </c>
      <c r="N2316" s="447" t="str">
        <f>VLOOKUP(Advices[[#This Row],[LC Number]],'Combine_List'!A:D,4,0)</f>
        <v>CEER</v>
      </c>
      <c r="O2316" s="1"/>
      <c r="P2316" s="1">
        <f>MONTH(Advices[[#This Row],[Transaction Date]])</f>
        <v>4</v>
      </c>
      <c r="Q2316" s="1">
        <f>YEAR(Advices[[#This Row],[Transaction Date]])</f>
        <v>2026</v>
      </c>
      <c r="R2316" s="1"/>
    </row>
    <row r="2317" spans="1:18" hidden="1" x14ac:dyDescent="0.25">
      <c r="A2317" s="264" t="s">
        <v>366</v>
      </c>
      <c r="B2317" s="265">
        <v>46124</v>
      </c>
      <c r="C2317" s="266" t="s">
        <v>2060</v>
      </c>
      <c r="D2317" s="264" t="s">
        <v>4699</v>
      </c>
      <c r="E2317" s="264" t="s">
        <v>713</v>
      </c>
      <c r="F2317" s="264" t="s">
        <v>3974</v>
      </c>
      <c r="G2317" s="266" t="s">
        <v>26</v>
      </c>
      <c r="H2317" s="266">
        <v>126323.81</v>
      </c>
      <c r="I2317" s="266">
        <v>0</v>
      </c>
      <c r="J2317" s="264" t="s">
        <v>1126</v>
      </c>
      <c r="K2317" s="264" t="s">
        <v>2025</v>
      </c>
      <c r="L2317" s="1" t="str">
        <f>VLOOKUP(Advices[[#This Row],[LC Number]],'Combine_List'!A:D,2,0)</f>
        <v>Interplast Co Ltd</v>
      </c>
      <c r="M2317" s="447" t="str">
        <f>VLOOKUP(Advices[[#This Row],[LC Number]],'Combine_List'!A:D,3,0)</f>
        <v>FIRST FIX</v>
      </c>
      <c r="N2317" s="447" t="str">
        <f>VLOOKUP(Advices[[#This Row],[LC Number]],'Combine_List'!A:D,4,0)</f>
        <v>MP1</v>
      </c>
      <c r="O2317" s="1"/>
      <c r="P2317" s="1">
        <f>MONTH(Advices[[#This Row],[Transaction Date]])</f>
        <v>4</v>
      </c>
      <c r="Q2317" s="1">
        <f>YEAR(Advices[[#This Row],[Transaction Date]])</f>
        <v>2026</v>
      </c>
      <c r="R2317" s="1"/>
    </row>
    <row r="2318" spans="1:18" hidden="1" x14ac:dyDescent="0.25">
      <c r="A2318" s="264" t="s">
        <v>366</v>
      </c>
      <c r="B2318" s="265">
        <v>46124</v>
      </c>
      <c r="C2318" s="266" t="s">
        <v>2060</v>
      </c>
      <c r="D2318" s="264" t="s">
        <v>4700</v>
      </c>
      <c r="E2318" s="264" t="s">
        <v>4681</v>
      </c>
      <c r="F2318" s="264" t="s">
        <v>3656</v>
      </c>
      <c r="G2318" s="266" t="s">
        <v>26</v>
      </c>
      <c r="H2318" s="266">
        <v>805</v>
      </c>
      <c r="I2318" s="266">
        <v>0</v>
      </c>
      <c r="J2318" s="264" t="s">
        <v>2616</v>
      </c>
      <c r="K2318" s="264" t="s">
        <v>2025</v>
      </c>
      <c r="L2318" s="1" t="str">
        <f>VLOOKUP(Advices[[#This Row],[LC Number]],'Combine_List'!A:D,2,0)</f>
        <v>Mushal Khalf Hijri For Contracting</v>
      </c>
      <c r="M2318" s="447" t="str">
        <f>VLOOKUP(Advices[[#This Row],[LC Number]],'Combine_List'!A:D,3,0)</f>
        <v>FIRST FIX</v>
      </c>
      <c r="N2318" s="447" t="str">
        <f>VLOOKUP(Advices[[#This Row],[LC Number]],'Combine_List'!A:D,4,0)</f>
        <v>MP1</v>
      </c>
      <c r="O2318" s="1"/>
      <c r="P2318" s="1">
        <f>MONTH(Advices[[#This Row],[Transaction Date]])</f>
        <v>4</v>
      </c>
      <c r="Q2318" s="1">
        <f>YEAR(Advices[[#This Row],[Transaction Date]])</f>
        <v>2026</v>
      </c>
      <c r="R2318" s="1"/>
    </row>
    <row r="2319" spans="1:18" hidden="1" x14ac:dyDescent="0.25">
      <c r="A2319" s="264" t="s">
        <v>366</v>
      </c>
      <c r="B2319" s="265">
        <v>46124</v>
      </c>
      <c r="C2319" s="266" t="s">
        <v>2057</v>
      </c>
      <c r="D2319" s="264" t="s">
        <v>4701</v>
      </c>
      <c r="E2319" s="264" t="s">
        <v>1662</v>
      </c>
      <c r="F2319" s="264" t="s">
        <v>3822</v>
      </c>
      <c r="G2319" s="266" t="s">
        <v>26</v>
      </c>
      <c r="H2319" s="266">
        <v>148828.26</v>
      </c>
      <c r="I2319" s="266">
        <v>0</v>
      </c>
      <c r="J2319" s="264" t="s">
        <v>1126</v>
      </c>
      <c r="K2319" s="264" t="s">
        <v>2025</v>
      </c>
      <c r="L2319" s="1" t="str">
        <f>VLOOKUP(Advices[[#This Row],[LC Number]],'Combine_List'!A:D,2,0)</f>
        <v>JAD AL RIYADH Trading Co. Ltd</v>
      </c>
      <c r="M2319" s="447" t="str">
        <f>VLOOKUP(Advices[[#This Row],[LC Number]],'Combine_List'!A:D,3,0)</f>
        <v>FIRST FIX</v>
      </c>
      <c r="N2319" s="447" t="str">
        <f>VLOOKUP(Advices[[#This Row],[LC Number]],'Combine_List'!A:D,4,0)</f>
        <v>CEER</v>
      </c>
      <c r="O2319" s="1"/>
      <c r="P2319" s="1">
        <f>MONTH(Advices[[#This Row],[Transaction Date]])</f>
        <v>4</v>
      </c>
      <c r="Q2319" s="1">
        <f>YEAR(Advices[[#This Row],[Transaction Date]])</f>
        <v>2026</v>
      </c>
      <c r="R2319" s="1"/>
    </row>
    <row r="2320" spans="1:18" hidden="1" x14ac:dyDescent="0.25">
      <c r="A2320" s="264" t="s">
        <v>366</v>
      </c>
      <c r="B2320" s="265">
        <v>46125</v>
      </c>
      <c r="C2320" s="266" t="s">
        <v>2060</v>
      </c>
      <c r="D2320" s="264" t="s">
        <v>4702</v>
      </c>
      <c r="E2320" s="264" t="s">
        <v>2904</v>
      </c>
      <c r="F2320" s="264" t="s">
        <v>4703</v>
      </c>
      <c r="G2320" s="266" t="s">
        <v>26</v>
      </c>
      <c r="H2320" s="266">
        <v>8742.86</v>
      </c>
      <c r="I2320" s="266">
        <v>0</v>
      </c>
      <c r="J2320" s="264" t="s">
        <v>1125</v>
      </c>
      <c r="K2320" s="264" t="s">
        <v>2025</v>
      </c>
      <c r="L2320" s="1" t="str">
        <f>VLOOKUP(Advices[[#This Row],[LC Number]],'Combine_List'!A:D,2,0)</f>
        <v>ELSEWEDY CABLES CO. LIMITED</v>
      </c>
      <c r="M2320" s="447" t="str">
        <f>VLOOKUP(Advices[[#This Row],[LC Number]],'Combine_List'!A:D,3,0)</f>
        <v>FIRST FIX</v>
      </c>
      <c r="N2320" s="447" t="str">
        <f>VLOOKUP(Advices[[#This Row],[LC Number]],'Combine_List'!A:D,4,0)</f>
        <v>MP1</v>
      </c>
      <c r="O2320" s="264"/>
      <c r="P2320" s="264">
        <f>MONTH(Advices[[#This Row],[Transaction Date]])</f>
        <v>4</v>
      </c>
      <c r="Q2320" s="264">
        <f>YEAR(Advices[[#This Row],[Transaction Date]])</f>
        <v>2026</v>
      </c>
      <c r="R2320" s="1"/>
    </row>
    <row r="2321" spans="1:18" hidden="1" x14ac:dyDescent="0.25">
      <c r="A2321" s="264" t="s">
        <v>612</v>
      </c>
      <c r="B2321" s="265">
        <v>46124</v>
      </c>
      <c r="C2321" s="266" t="s">
        <v>2101</v>
      </c>
      <c r="D2321" s="264" t="s">
        <v>4704</v>
      </c>
      <c r="E2321" s="264" t="s">
        <v>3319</v>
      </c>
      <c r="F2321" s="264" t="s">
        <v>2041</v>
      </c>
      <c r="G2321" s="266" t="s">
        <v>26</v>
      </c>
      <c r="H2321" s="266">
        <v>109064.85</v>
      </c>
      <c r="I2321" s="266">
        <v>0</v>
      </c>
      <c r="J2321" s="264" t="s">
        <v>1126</v>
      </c>
      <c r="K2321" s="264" t="s">
        <v>2025</v>
      </c>
      <c r="L2321" s="1" t="str">
        <f>VLOOKUP(Advices[[#This Row],[LC Number]],'Combine_List'!A:D,2,0)</f>
        <v>Green Concrete CJSC</v>
      </c>
      <c r="M2321" s="447" t="str">
        <f>VLOOKUP(Advices[[#This Row],[LC Number]],'Combine_List'!A:D,3,0)</f>
        <v>MBL</v>
      </c>
      <c r="N2321" s="447" t="str">
        <f>VLOOKUP(Advices[[#This Row],[LC Number]],'Combine_List'!A:D,4,0)</f>
        <v>RCRC</v>
      </c>
      <c r="O2321" s="1"/>
      <c r="P2321" s="1">
        <f>MONTH(Advices[[#This Row],[Transaction Date]])</f>
        <v>4</v>
      </c>
      <c r="Q2321" s="1">
        <f>YEAR(Advices[[#This Row],[Transaction Date]])</f>
        <v>2026</v>
      </c>
      <c r="R2321" s="1"/>
    </row>
    <row r="2322" spans="1:18" hidden="1" x14ac:dyDescent="0.25">
      <c r="A2322" s="264" t="s">
        <v>612</v>
      </c>
      <c r="B2322" s="265">
        <v>46125</v>
      </c>
      <c r="C2322" s="266" t="s">
        <v>2101</v>
      </c>
      <c r="D2322" s="264" t="s">
        <v>4705</v>
      </c>
      <c r="E2322" s="264" t="s">
        <v>4557</v>
      </c>
      <c r="F2322" s="264" t="s">
        <v>2041</v>
      </c>
      <c r="G2322" s="266" t="s">
        <v>26</v>
      </c>
      <c r="H2322" s="266">
        <v>8333.2999999999993</v>
      </c>
      <c r="I2322" s="266">
        <v>0</v>
      </c>
      <c r="J2322" s="264" t="s">
        <v>2793</v>
      </c>
      <c r="K2322" s="264" t="s">
        <v>2025</v>
      </c>
      <c r="L2322" s="1" t="str">
        <f>VLOOKUP(Advices[[#This Row],[LC Number]],'Combine_List'!A:D,2,0)</f>
        <v>Bid - DIRIYAH COMPANY</v>
      </c>
      <c r="M2322" s="447" t="str">
        <f>VLOOKUP(Advices[[#This Row],[LC Number]],'Combine_List'!A:D,3,0)</f>
        <v>MBL</v>
      </c>
      <c r="N2322" s="447">
        <f>VLOOKUP(Advices[[#This Row],[LC Number]],'Combine_List'!A:D,4,0)</f>
        <v>0</v>
      </c>
      <c r="O2322" s="1"/>
      <c r="P2322" s="1">
        <f>MONTH(Advices[[#This Row],[Transaction Date]])</f>
        <v>4</v>
      </c>
      <c r="Q2322" s="1">
        <f>YEAR(Advices[[#This Row],[Transaction Date]])</f>
        <v>2026</v>
      </c>
      <c r="R2322" s="1"/>
    </row>
    <row r="2323" spans="1:18" hidden="1" x14ac:dyDescent="0.25">
      <c r="A2323" s="264" t="s">
        <v>612</v>
      </c>
      <c r="B2323" s="265">
        <v>46125</v>
      </c>
      <c r="C2323" s="266" t="s">
        <v>2101</v>
      </c>
      <c r="D2323" s="264" t="s">
        <v>4706</v>
      </c>
      <c r="E2323" s="264" t="s">
        <v>4557</v>
      </c>
      <c r="F2323" s="264" t="s">
        <v>2041</v>
      </c>
      <c r="G2323" s="266" t="s">
        <v>26</v>
      </c>
      <c r="H2323" s="266">
        <v>1250</v>
      </c>
      <c r="I2323" s="266">
        <v>0</v>
      </c>
      <c r="J2323" s="264" t="s">
        <v>1174</v>
      </c>
      <c r="K2323" s="264" t="s">
        <v>2025</v>
      </c>
      <c r="L2323" s="1" t="str">
        <f>VLOOKUP(Advices[[#This Row],[LC Number]],'Combine_List'!A:D,2,0)</f>
        <v>Bid - DIRIYAH COMPANY</v>
      </c>
      <c r="M2323" s="447" t="str">
        <f>VLOOKUP(Advices[[#This Row],[LC Number]],'Combine_List'!A:D,3,0)</f>
        <v>MBL</v>
      </c>
      <c r="N2323" s="447">
        <f>VLOOKUP(Advices[[#This Row],[LC Number]],'Combine_List'!A:D,4,0)</f>
        <v>0</v>
      </c>
      <c r="O2323" s="1"/>
      <c r="P2323" s="1">
        <f>MONTH(Advices[[#This Row],[Transaction Date]])</f>
        <v>4</v>
      </c>
      <c r="Q2323" s="1">
        <f>YEAR(Advices[[#This Row],[Transaction Date]])</f>
        <v>2026</v>
      </c>
      <c r="R2323" s="1"/>
    </row>
    <row r="2324" spans="1:18" hidden="1" x14ac:dyDescent="0.25">
      <c r="A2324" s="264" t="s">
        <v>612</v>
      </c>
      <c r="B2324" s="265">
        <v>46125</v>
      </c>
      <c r="C2324" s="266" t="s">
        <v>2101</v>
      </c>
      <c r="D2324" s="264" t="s">
        <v>4707</v>
      </c>
      <c r="E2324" s="264" t="s">
        <v>1822</v>
      </c>
      <c r="F2324" s="264" t="s">
        <v>2041</v>
      </c>
      <c r="G2324" s="266" t="s">
        <v>26</v>
      </c>
      <c r="H2324" s="266">
        <v>30</v>
      </c>
      <c r="I2324" s="266">
        <v>0</v>
      </c>
      <c r="J2324" s="264" t="s">
        <v>1174</v>
      </c>
      <c r="K2324" s="264" t="s">
        <v>2025</v>
      </c>
      <c r="L2324" s="1" t="str">
        <f>VLOOKUP(Advices[[#This Row],[LC Number]],'Combine_List'!A:D,2,0)</f>
        <v>SAUDI HEPCO CO LTD</v>
      </c>
      <c r="M2324" s="447" t="str">
        <f>VLOOKUP(Advices[[#This Row],[LC Number]],'Combine_List'!A:D,3,0)</f>
        <v>FIRST FIX</v>
      </c>
      <c r="N2324" s="447" t="str">
        <f>VLOOKUP(Advices[[#This Row],[LC Number]],'Combine_List'!A:D,4,0)</f>
        <v>RCRC</v>
      </c>
      <c r="O2324" s="1"/>
      <c r="P2324" s="1">
        <f>MONTH(Advices[[#This Row],[Transaction Date]])</f>
        <v>4</v>
      </c>
      <c r="Q2324" s="1">
        <f>YEAR(Advices[[#This Row],[Transaction Date]])</f>
        <v>2026</v>
      </c>
      <c r="R2324" s="1"/>
    </row>
    <row r="2325" spans="1:18" hidden="1" x14ac:dyDescent="0.25">
      <c r="A2325" s="264" t="s">
        <v>612</v>
      </c>
      <c r="B2325" s="265">
        <v>46125</v>
      </c>
      <c r="C2325" s="266" t="s">
        <v>2101</v>
      </c>
      <c r="D2325" s="264" t="s">
        <v>4708</v>
      </c>
      <c r="E2325" s="264" t="s">
        <v>1822</v>
      </c>
      <c r="F2325" s="264" t="s">
        <v>2041</v>
      </c>
      <c r="G2325" s="266" t="s">
        <v>26</v>
      </c>
      <c r="H2325" s="266">
        <v>200</v>
      </c>
      <c r="I2325" s="266">
        <v>0</v>
      </c>
      <c r="J2325" s="264" t="s">
        <v>1124</v>
      </c>
      <c r="K2325" s="264" t="s">
        <v>2025</v>
      </c>
      <c r="L2325" s="1" t="str">
        <f>VLOOKUP(Advices[[#This Row],[LC Number]],'Combine_List'!A:D,2,0)</f>
        <v>SAUDI HEPCO CO LTD</v>
      </c>
      <c r="M2325" s="447" t="str">
        <f>VLOOKUP(Advices[[#This Row],[LC Number]],'Combine_List'!A:D,3,0)</f>
        <v>FIRST FIX</v>
      </c>
      <c r="N2325" s="447" t="str">
        <f>VLOOKUP(Advices[[#This Row],[LC Number]],'Combine_List'!A:D,4,0)</f>
        <v>RCRC</v>
      </c>
      <c r="O2325" s="1"/>
      <c r="P2325" s="1">
        <f>MONTH(Advices[[#This Row],[Transaction Date]])</f>
        <v>4</v>
      </c>
      <c r="Q2325" s="1">
        <f>YEAR(Advices[[#This Row],[Transaction Date]])</f>
        <v>2026</v>
      </c>
      <c r="R2325" s="1"/>
    </row>
    <row r="2326" spans="1:18" hidden="1" x14ac:dyDescent="0.25">
      <c r="A2326" s="264" t="s">
        <v>612</v>
      </c>
      <c r="B2326" s="265">
        <v>46125</v>
      </c>
      <c r="C2326" s="266" t="s">
        <v>2101</v>
      </c>
      <c r="D2326" s="264" t="s">
        <v>4709</v>
      </c>
      <c r="E2326" s="264" t="s">
        <v>1822</v>
      </c>
      <c r="F2326" s="264" t="s">
        <v>2041</v>
      </c>
      <c r="G2326" s="266" t="s">
        <v>26</v>
      </c>
      <c r="H2326" s="266">
        <v>75</v>
      </c>
      <c r="I2326" s="266">
        <v>0</v>
      </c>
      <c r="J2326" s="264" t="s">
        <v>1174</v>
      </c>
      <c r="K2326" s="264" t="s">
        <v>2025</v>
      </c>
      <c r="L2326" s="1" t="str">
        <f>VLOOKUP(Advices[[#This Row],[LC Number]],'Combine_List'!A:D,2,0)</f>
        <v>SAUDI HEPCO CO LTD</v>
      </c>
      <c r="M2326" s="447" t="str">
        <f>VLOOKUP(Advices[[#This Row],[LC Number]],'Combine_List'!A:D,3,0)</f>
        <v>FIRST FIX</v>
      </c>
      <c r="N2326" s="447" t="str">
        <f>VLOOKUP(Advices[[#This Row],[LC Number]],'Combine_List'!A:D,4,0)</f>
        <v>RCRC</v>
      </c>
      <c r="O2326" s="1"/>
      <c r="P2326" s="1">
        <f>MONTH(Advices[[#This Row],[Transaction Date]])</f>
        <v>4</v>
      </c>
      <c r="Q2326" s="1">
        <f>YEAR(Advices[[#This Row],[Transaction Date]])</f>
        <v>2026</v>
      </c>
      <c r="R2326" s="1"/>
    </row>
    <row r="2327" spans="1:18" hidden="1" x14ac:dyDescent="0.25">
      <c r="A2327" s="264" t="s">
        <v>612</v>
      </c>
      <c r="B2327" s="265">
        <v>46125</v>
      </c>
      <c r="C2327" s="266" t="s">
        <v>2101</v>
      </c>
      <c r="D2327" s="264" t="s">
        <v>4710</v>
      </c>
      <c r="E2327" s="264" t="s">
        <v>1822</v>
      </c>
      <c r="F2327" s="264" t="s">
        <v>2041</v>
      </c>
      <c r="G2327" s="266" t="s">
        <v>26</v>
      </c>
      <c r="H2327" s="266">
        <v>500</v>
      </c>
      <c r="I2327" s="266">
        <v>0</v>
      </c>
      <c r="J2327" s="264" t="s">
        <v>1124</v>
      </c>
      <c r="K2327" s="264" t="s">
        <v>2025</v>
      </c>
      <c r="L2327" s="1" t="str">
        <f>VLOOKUP(Advices[[#This Row],[LC Number]],'Combine_List'!A:D,2,0)</f>
        <v>SAUDI HEPCO CO LTD</v>
      </c>
      <c r="M2327" s="447" t="str">
        <f>VLOOKUP(Advices[[#This Row],[LC Number]],'Combine_List'!A:D,3,0)</f>
        <v>FIRST FIX</v>
      </c>
      <c r="N2327" s="447" t="str">
        <f>VLOOKUP(Advices[[#This Row],[LC Number]],'Combine_List'!A:D,4,0)</f>
        <v>RCRC</v>
      </c>
      <c r="O2327" s="1"/>
      <c r="P2327" s="1">
        <f>MONTH(Advices[[#This Row],[Transaction Date]])</f>
        <v>4</v>
      </c>
      <c r="Q2327" s="1">
        <f>YEAR(Advices[[#This Row],[Transaction Date]])</f>
        <v>2026</v>
      </c>
      <c r="R2327" s="1"/>
    </row>
    <row r="2328" spans="1:18" hidden="1" x14ac:dyDescent="0.25">
      <c r="A2328" s="264" t="s">
        <v>612</v>
      </c>
      <c r="B2328" s="265">
        <v>46125</v>
      </c>
      <c r="C2328" s="266" t="s">
        <v>2101</v>
      </c>
      <c r="D2328" s="264" t="s">
        <v>4711</v>
      </c>
      <c r="E2328" s="264" t="s">
        <v>1821</v>
      </c>
      <c r="F2328" s="264" t="s">
        <v>2041</v>
      </c>
      <c r="G2328" s="266" t="s">
        <v>26</v>
      </c>
      <c r="H2328" s="266">
        <v>30</v>
      </c>
      <c r="I2328" s="266">
        <v>0</v>
      </c>
      <c r="J2328" s="264" t="s">
        <v>1174</v>
      </c>
      <c r="K2328" s="264" t="s">
        <v>2025</v>
      </c>
      <c r="L2328" s="1" t="str">
        <f>VLOOKUP(Advices[[#This Row],[LC Number]],'Combine_List'!A:D,2,0)</f>
        <v>Mohammed Ramadan Shat Factory</v>
      </c>
      <c r="M2328" s="447" t="str">
        <f>VLOOKUP(Advices[[#This Row],[LC Number]],'Combine_List'!A:D,3,0)</f>
        <v>FIRST FIX</v>
      </c>
      <c r="N2328" s="447" t="str">
        <f>VLOOKUP(Advices[[#This Row],[LC Number]],'Combine_List'!A:D,4,0)</f>
        <v>RCRC</v>
      </c>
      <c r="O2328" s="1"/>
      <c r="P2328" s="1">
        <f>MONTH(Advices[[#This Row],[Transaction Date]])</f>
        <v>4</v>
      </c>
      <c r="Q2328" s="1">
        <f>YEAR(Advices[[#This Row],[Transaction Date]])</f>
        <v>2026</v>
      </c>
      <c r="R2328" s="1"/>
    </row>
    <row r="2329" spans="1:18" hidden="1" x14ac:dyDescent="0.25">
      <c r="A2329" s="264" t="s">
        <v>612</v>
      </c>
      <c r="B2329" s="265">
        <v>46125</v>
      </c>
      <c r="C2329" s="266" t="s">
        <v>2101</v>
      </c>
      <c r="D2329" s="264" t="s">
        <v>4712</v>
      </c>
      <c r="E2329" s="264" t="s">
        <v>1821</v>
      </c>
      <c r="F2329" s="264" t="s">
        <v>2041</v>
      </c>
      <c r="G2329" s="266" t="s">
        <v>26</v>
      </c>
      <c r="H2329" s="266">
        <v>200</v>
      </c>
      <c r="I2329" s="266">
        <v>0</v>
      </c>
      <c r="J2329" s="264" t="s">
        <v>1124</v>
      </c>
      <c r="K2329" s="264" t="s">
        <v>2025</v>
      </c>
      <c r="L2329" s="1" t="str">
        <f>VLOOKUP(Advices[[#This Row],[LC Number]],'Combine_List'!A:D,2,0)</f>
        <v>Mohammed Ramadan Shat Factory</v>
      </c>
      <c r="M2329" s="447" t="str">
        <f>VLOOKUP(Advices[[#This Row],[LC Number]],'Combine_List'!A:D,3,0)</f>
        <v>FIRST FIX</v>
      </c>
      <c r="N2329" s="447" t="str">
        <f>VLOOKUP(Advices[[#This Row],[LC Number]],'Combine_List'!A:D,4,0)</f>
        <v>RCRC</v>
      </c>
      <c r="O2329" s="1"/>
      <c r="P2329" s="1">
        <f>MONTH(Advices[[#This Row],[Transaction Date]])</f>
        <v>4</v>
      </c>
      <c r="Q2329" s="1">
        <f>YEAR(Advices[[#This Row],[Transaction Date]])</f>
        <v>2026</v>
      </c>
      <c r="R2329" s="1"/>
    </row>
    <row r="2330" spans="1:18" hidden="1" x14ac:dyDescent="0.25">
      <c r="A2330" s="264" t="s">
        <v>612</v>
      </c>
      <c r="B2330" s="265">
        <v>46125</v>
      </c>
      <c r="C2330" s="266" t="s">
        <v>2101</v>
      </c>
      <c r="D2330" s="264" t="s">
        <v>4713</v>
      </c>
      <c r="E2330" s="264" t="s">
        <v>1821</v>
      </c>
      <c r="F2330" s="264" t="s">
        <v>2041</v>
      </c>
      <c r="G2330" s="266" t="s">
        <v>26</v>
      </c>
      <c r="H2330" s="266">
        <v>85.98</v>
      </c>
      <c r="I2330" s="266">
        <v>0</v>
      </c>
      <c r="J2330" s="264" t="s">
        <v>1174</v>
      </c>
      <c r="K2330" s="264" t="s">
        <v>2025</v>
      </c>
      <c r="L2330" s="1" t="str">
        <f>VLOOKUP(Advices[[#This Row],[LC Number]],'Combine_List'!A:D,2,0)</f>
        <v>Mohammed Ramadan Shat Factory</v>
      </c>
      <c r="M2330" s="447" t="str">
        <f>VLOOKUP(Advices[[#This Row],[LC Number]],'Combine_List'!A:D,3,0)</f>
        <v>FIRST FIX</v>
      </c>
      <c r="N2330" s="447" t="str">
        <f>VLOOKUP(Advices[[#This Row],[LC Number]],'Combine_List'!A:D,4,0)</f>
        <v>RCRC</v>
      </c>
      <c r="O2330" s="1"/>
      <c r="P2330" s="1">
        <f>MONTH(Advices[[#This Row],[Transaction Date]])</f>
        <v>4</v>
      </c>
      <c r="Q2330" s="1">
        <f>YEAR(Advices[[#This Row],[Transaction Date]])</f>
        <v>2026</v>
      </c>
      <c r="R2330" s="1"/>
    </row>
    <row r="2331" spans="1:18" hidden="1" x14ac:dyDescent="0.25">
      <c r="A2331" s="264" t="s">
        <v>612</v>
      </c>
      <c r="B2331" s="265">
        <v>46125</v>
      </c>
      <c r="C2331" s="266" t="s">
        <v>2101</v>
      </c>
      <c r="D2331" s="264" t="s">
        <v>4714</v>
      </c>
      <c r="E2331" s="264" t="s">
        <v>4725</v>
      </c>
      <c r="F2331" s="264" t="s">
        <v>2041</v>
      </c>
      <c r="G2331" s="266" t="s">
        <v>26</v>
      </c>
      <c r="H2331" s="266">
        <v>1078.1199999999999</v>
      </c>
      <c r="I2331" s="266">
        <v>0</v>
      </c>
      <c r="J2331" s="264" t="s">
        <v>1174</v>
      </c>
      <c r="K2331" s="264" t="s">
        <v>2025</v>
      </c>
      <c r="L2331" s="1" t="e">
        <f>VLOOKUP(Advices[[#This Row],[LC Number]],'Combine_List'!A:D,2,0)</f>
        <v>#N/A</v>
      </c>
      <c r="M2331" s="447" t="e">
        <f>VLOOKUP(Advices[[#This Row],[LC Number]],'Combine_List'!A:D,3,0)</f>
        <v>#N/A</v>
      </c>
      <c r="N2331" s="447" t="e">
        <f>VLOOKUP(Advices[[#This Row],[LC Number]],'Combine_List'!A:D,4,0)</f>
        <v>#N/A</v>
      </c>
      <c r="O2331" s="1"/>
      <c r="P2331" s="1">
        <f>MONTH(Advices[[#This Row],[Transaction Date]])</f>
        <v>4</v>
      </c>
      <c r="Q2331" s="1">
        <f>YEAR(Advices[[#This Row],[Transaction Date]])</f>
        <v>2026</v>
      </c>
      <c r="R2331" s="1"/>
    </row>
    <row r="2332" spans="1:18" hidden="1" x14ac:dyDescent="0.25">
      <c r="A2332" s="264" t="s">
        <v>612</v>
      </c>
      <c r="B2332" s="265">
        <v>46125</v>
      </c>
      <c r="C2332" s="266" t="s">
        <v>2101</v>
      </c>
      <c r="D2332" s="264" t="s">
        <v>4715</v>
      </c>
      <c r="E2332" s="264" t="s">
        <v>3319</v>
      </c>
      <c r="F2332" s="264" t="s">
        <v>2041</v>
      </c>
      <c r="G2332" s="266" t="s">
        <v>26</v>
      </c>
      <c r="H2332" s="266">
        <v>30</v>
      </c>
      <c r="I2332" s="266">
        <v>0</v>
      </c>
      <c r="J2332" s="264" t="s">
        <v>1174</v>
      </c>
      <c r="K2332" s="264" t="s">
        <v>2025</v>
      </c>
      <c r="L2332" s="1" t="str">
        <f>VLOOKUP(Advices[[#This Row],[LC Number]],'Combine_List'!A:D,2,0)</f>
        <v>Green Concrete CJSC</v>
      </c>
      <c r="M2332" s="447" t="str">
        <f>VLOOKUP(Advices[[#This Row],[LC Number]],'Combine_List'!A:D,3,0)</f>
        <v>MBL</v>
      </c>
      <c r="N2332" s="447" t="str">
        <f>VLOOKUP(Advices[[#This Row],[LC Number]],'Combine_List'!A:D,4,0)</f>
        <v>RCRC</v>
      </c>
      <c r="O2332" s="1"/>
      <c r="P2332" s="1">
        <f>MONTH(Advices[[#This Row],[Transaction Date]])</f>
        <v>4</v>
      </c>
      <c r="Q2332" s="1">
        <f>YEAR(Advices[[#This Row],[Transaction Date]])</f>
        <v>2026</v>
      </c>
      <c r="R2332" s="1"/>
    </row>
    <row r="2333" spans="1:18" hidden="1" x14ac:dyDescent="0.25">
      <c r="A2333" s="264" t="s">
        <v>612</v>
      </c>
      <c r="B2333" s="265">
        <v>46125</v>
      </c>
      <c r="C2333" s="266" t="s">
        <v>2101</v>
      </c>
      <c r="D2333" s="264" t="s">
        <v>4716</v>
      </c>
      <c r="E2333" s="264" t="s">
        <v>3319</v>
      </c>
      <c r="F2333" s="264" t="s">
        <v>2041</v>
      </c>
      <c r="G2333" s="266" t="s">
        <v>26</v>
      </c>
      <c r="H2333" s="266">
        <v>200</v>
      </c>
      <c r="I2333" s="266">
        <v>0</v>
      </c>
      <c r="J2333" s="264" t="s">
        <v>1124</v>
      </c>
      <c r="K2333" s="264" t="s">
        <v>2025</v>
      </c>
      <c r="L2333" s="1" t="str">
        <f>VLOOKUP(Advices[[#This Row],[LC Number]],'Combine_List'!A:D,2,0)</f>
        <v>Green Concrete CJSC</v>
      </c>
      <c r="M2333" s="447" t="str">
        <f>VLOOKUP(Advices[[#This Row],[LC Number]],'Combine_List'!A:D,3,0)</f>
        <v>MBL</v>
      </c>
      <c r="N2333" s="447" t="str">
        <f>VLOOKUP(Advices[[#This Row],[LC Number]],'Combine_List'!A:D,4,0)</f>
        <v>RCRC</v>
      </c>
      <c r="O2333" s="1"/>
      <c r="P2333" s="1">
        <f>MONTH(Advices[[#This Row],[Transaction Date]])</f>
        <v>4</v>
      </c>
      <c r="Q2333" s="1">
        <f>YEAR(Advices[[#This Row],[Transaction Date]])</f>
        <v>2026</v>
      </c>
      <c r="R2333" s="1"/>
    </row>
    <row r="2334" spans="1:18" hidden="1" x14ac:dyDescent="0.25">
      <c r="A2334" s="264" t="s">
        <v>612</v>
      </c>
      <c r="B2334" s="265">
        <v>46125</v>
      </c>
      <c r="C2334" s="266" t="s">
        <v>2101</v>
      </c>
      <c r="D2334" s="264" t="s">
        <v>4717</v>
      </c>
      <c r="E2334" s="264" t="s">
        <v>3319</v>
      </c>
      <c r="F2334" s="264" t="s">
        <v>2041</v>
      </c>
      <c r="G2334" s="266" t="s">
        <v>26</v>
      </c>
      <c r="H2334" s="266">
        <v>75</v>
      </c>
      <c r="I2334" s="266">
        <v>0</v>
      </c>
      <c r="J2334" s="264" t="s">
        <v>1174</v>
      </c>
      <c r="K2334" s="264" t="s">
        <v>2025</v>
      </c>
      <c r="L2334" s="1" t="str">
        <f>VLOOKUP(Advices[[#This Row],[LC Number]],'Combine_List'!A:D,2,0)</f>
        <v>Green Concrete CJSC</v>
      </c>
      <c r="M2334" s="447" t="str">
        <f>VLOOKUP(Advices[[#This Row],[LC Number]],'Combine_List'!A:D,3,0)</f>
        <v>MBL</v>
      </c>
      <c r="N2334" s="447" t="str">
        <f>VLOOKUP(Advices[[#This Row],[LC Number]],'Combine_List'!A:D,4,0)</f>
        <v>RCRC</v>
      </c>
      <c r="O2334" s="1"/>
      <c r="P2334" s="1">
        <f>MONTH(Advices[[#This Row],[Transaction Date]])</f>
        <v>4</v>
      </c>
      <c r="Q2334" s="1">
        <f>YEAR(Advices[[#This Row],[Transaction Date]])</f>
        <v>2026</v>
      </c>
      <c r="R2334" s="1"/>
    </row>
    <row r="2335" spans="1:18" hidden="1" x14ac:dyDescent="0.25">
      <c r="A2335" s="264" t="s">
        <v>612</v>
      </c>
      <c r="B2335" s="265">
        <v>46125</v>
      </c>
      <c r="C2335" s="266" t="s">
        <v>2101</v>
      </c>
      <c r="D2335" s="264" t="s">
        <v>4718</v>
      </c>
      <c r="E2335" s="264" t="s">
        <v>3319</v>
      </c>
      <c r="F2335" s="264" t="s">
        <v>2041</v>
      </c>
      <c r="G2335" s="266" t="s">
        <v>26</v>
      </c>
      <c r="H2335" s="266">
        <v>500</v>
      </c>
      <c r="I2335" s="266">
        <v>0</v>
      </c>
      <c r="J2335" s="264" t="s">
        <v>1124</v>
      </c>
      <c r="K2335" s="264" t="s">
        <v>2025</v>
      </c>
      <c r="L2335" s="1" t="str">
        <f>VLOOKUP(Advices[[#This Row],[LC Number]],'Combine_List'!A:D,2,0)</f>
        <v>Green Concrete CJSC</v>
      </c>
      <c r="M2335" s="447" t="str">
        <f>VLOOKUP(Advices[[#This Row],[LC Number]],'Combine_List'!A:D,3,0)</f>
        <v>MBL</v>
      </c>
      <c r="N2335" s="447" t="str">
        <f>VLOOKUP(Advices[[#This Row],[LC Number]],'Combine_List'!A:D,4,0)</f>
        <v>RCRC</v>
      </c>
      <c r="O2335" s="1"/>
      <c r="P2335" s="1">
        <f>MONTH(Advices[[#This Row],[Transaction Date]])</f>
        <v>4</v>
      </c>
      <c r="Q2335" s="1">
        <f>YEAR(Advices[[#This Row],[Transaction Date]])</f>
        <v>2026</v>
      </c>
      <c r="R2335" s="1"/>
    </row>
    <row r="2336" spans="1:18" hidden="1" x14ac:dyDescent="0.25">
      <c r="A2336" s="264" t="s">
        <v>612</v>
      </c>
      <c r="B2336" s="265">
        <v>46125</v>
      </c>
      <c r="C2336" s="266" t="s">
        <v>2101</v>
      </c>
      <c r="D2336" s="264" t="s">
        <v>4719</v>
      </c>
      <c r="E2336" s="264" t="s">
        <v>4725</v>
      </c>
      <c r="F2336" s="264" t="s">
        <v>2041</v>
      </c>
      <c r="G2336" s="266" t="s">
        <v>26</v>
      </c>
      <c r="H2336" s="266">
        <v>2510.96</v>
      </c>
      <c r="I2336" s="266">
        <v>0</v>
      </c>
      <c r="J2336" s="264" t="s">
        <v>1174</v>
      </c>
      <c r="K2336" s="264" t="s">
        <v>2025</v>
      </c>
      <c r="L2336" s="1" t="e">
        <f>VLOOKUP(Advices[[#This Row],[LC Number]],'Combine_List'!A:D,2,0)</f>
        <v>#N/A</v>
      </c>
      <c r="M2336" s="447" t="e">
        <f>VLOOKUP(Advices[[#This Row],[LC Number]],'Combine_List'!A:D,3,0)</f>
        <v>#N/A</v>
      </c>
      <c r="N2336" s="447" t="e">
        <f>VLOOKUP(Advices[[#This Row],[LC Number]],'Combine_List'!A:D,4,0)</f>
        <v>#N/A</v>
      </c>
      <c r="O2336" s="1"/>
      <c r="P2336" s="1">
        <f>MONTH(Advices[[#This Row],[Transaction Date]])</f>
        <v>4</v>
      </c>
      <c r="Q2336" s="1">
        <f>YEAR(Advices[[#This Row],[Transaction Date]])</f>
        <v>2026</v>
      </c>
      <c r="R2336" s="1"/>
    </row>
    <row r="2337" spans="1:18" hidden="1" x14ac:dyDescent="0.25">
      <c r="A2337" s="264" t="s">
        <v>612</v>
      </c>
      <c r="B2337" s="265">
        <v>46125</v>
      </c>
      <c r="C2337" s="266" t="s">
        <v>2101</v>
      </c>
      <c r="D2337" s="264" t="s">
        <v>4720</v>
      </c>
      <c r="E2337" s="264" t="s">
        <v>4725</v>
      </c>
      <c r="F2337" s="264" t="s">
        <v>2041</v>
      </c>
      <c r="G2337" s="266" t="s">
        <v>26</v>
      </c>
      <c r="H2337" s="266">
        <v>16739.73</v>
      </c>
      <c r="I2337" s="266">
        <v>0</v>
      </c>
      <c r="J2337" s="264" t="s">
        <v>2793</v>
      </c>
      <c r="K2337" s="264" t="s">
        <v>2025</v>
      </c>
      <c r="L2337" s="1" t="e">
        <f>VLOOKUP(Advices[[#This Row],[LC Number]],'Combine_List'!A:D,2,0)</f>
        <v>#N/A</v>
      </c>
      <c r="M2337" s="447" t="e">
        <f>VLOOKUP(Advices[[#This Row],[LC Number]],'Combine_List'!A:D,3,0)</f>
        <v>#N/A</v>
      </c>
      <c r="N2337" s="447" t="e">
        <f>VLOOKUP(Advices[[#This Row],[LC Number]],'Combine_List'!A:D,4,0)</f>
        <v>#N/A</v>
      </c>
      <c r="O2337" s="1"/>
      <c r="P2337" s="1">
        <f>MONTH(Advices[[#This Row],[Transaction Date]])</f>
        <v>4</v>
      </c>
      <c r="Q2337" s="1">
        <f>YEAR(Advices[[#This Row],[Transaction Date]])</f>
        <v>2026</v>
      </c>
      <c r="R2337" s="1"/>
    </row>
    <row r="2338" spans="1:18" hidden="1" x14ac:dyDescent="0.25">
      <c r="A2338" s="264" t="s">
        <v>612</v>
      </c>
      <c r="B2338" s="265">
        <v>46125</v>
      </c>
      <c r="C2338" s="266" t="s">
        <v>2101</v>
      </c>
      <c r="D2338" s="264" t="s">
        <v>4721</v>
      </c>
      <c r="E2338" s="264" t="s">
        <v>4725</v>
      </c>
      <c r="F2338" s="264" t="s">
        <v>2041</v>
      </c>
      <c r="G2338" s="266" t="s">
        <v>26</v>
      </c>
      <c r="H2338" s="266">
        <v>7187.49</v>
      </c>
      <c r="I2338" s="266">
        <v>0</v>
      </c>
      <c r="J2338" s="264" t="s">
        <v>2793</v>
      </c>
      <c r="K2338" s="264" t="s">
        <v>2025</v>
      </c>
      <c r="L2338" s="1" t="e">
        <f>VLOOKUP(Advices[[#This Row],[LC Number]],'Combine_List'!A:D,2,0)</f>
        <v>#N/A</v>
      </c>
      <c r="M2338" s="447" t="e">
        <f>VLOOKUP(Advices[[#This Row],[LC Number]],'Combine_List'!A:D,3,0)</f>
        <v>#N/A</v>
      </c>
      <c r="N2338" s="447" t="e">
        <f>VLOOKUP(Advices[[#This Row],[LC Number]],'Combine_List'!A:D,4,0)</f>
        <v>#N/A</v>
      </c>
      <c r="O2338" s="1"/>
      <c r="P2338" s="1">
        <f>MONTH(Advices[[#This Row],[Transaction Date]])</f>
        <v>4</v>
      </c>
      <c r="Q2338" s="1">
        <f>YEAR(Advices[[#This Row],[Transaction Date]])</f>
        <v>2026</v>
      </c>
      <c r="R2338" s="1"/>
    </row>
    <row r="2339" spans="1:18" hidden="1" x14ac:dyDescent="0.25">
      <c r="A2339" s="264" t="s">
        <v>612</v>
      </c>
      <c r="B2339" s="265">
        <v>46125</v>
      </c>
      <c r="C2339" s="266" t="s">
        <v>2101</v>
      </c>
      <c r="D2339" s="264" t="s">
        <v>4722</v>
      </c>
      <c r="E2339" s="264" t="s">
        <v>4557</v>
      </c>
      <c r="F2339" s="264" t="s">
        <v>2041</v>
      </c>
      <c r="G2339" s="266" t="s">
        <v>26</v>
      </c>
      <c r="H2339" s="266">
        <v>16849.32</v>
      </c>
      <c r="I2339" s="266">
        <v>0</v>
      </c>
      <c r="J2339" s="264" t="s">
        <v>2793</v>
      </c>
      <c r="K2339" s="264" t="s">
        <v>2025</v>
      </c>
      <c r="L2339" s="1" t="str">
        <f>VLOOKUP(Advices[[#This Row],[LC Number]],'Combine_List'!A:D,2,0)</f>
        <v>Bid - DIRIYAH COMPANY</v>
      </c>
      <c r="M2339" s="447" t="str">
        <f>VLOOKUP(Advices[[#This Row],[LC Number]],'Combine_List'!A:D,3,0)</f>
        <v>MBL</v>
      </c>
      <c r="N2339" s="447">
        <f>VLOOKUP(Advices[[#This Row],[LC Number]],'Combine_List'!A:D,4,0)</f>
        <v>0</v>
      </c>
      <c r="O2339" s="1"/>
      <c r="P2339" s="1">
        <f>MONTH(Advices[[#This Row],[Transaction Date]])</f>
        <v>4</v>
      </c>
      <c r="Q2339" s="1">
        <f>YEAR(Advices[[#This Row],[Transaction Date]])</f>
        <v>2026</v>
      </c>
      <c r="R2339" s="1"/>
    </row>
    <row r="2340" spans="1:18" hidden="1" x14ac:dyDescent="0.25">
      <c r="A2340" s="264" t="s">
        <v>612</v>
      </c>
      <c r="B2340" s="265">
        <v>46125</v>
      </c>
      <c r="C2340" s="266" t="s">
        <v>2101</v>
      </c>
      <c r="D2340" s="264" t="s">
        <v>4723</v>
      </c>
      <c r="E2340" s="264" t="s">
        <v>1821</v>
      </c>
      <c r="F2340" s="264" t="s">
        <v>2041</v>
      </c>
      <c r="G2340" s="266" t="s">
        <v>26</v>
      </c>
      <c r="H2340" s="266">
        <v>573.20000000000005</v>
      </c>
      <c r="I2340" s="266">
        <v>0</v>
      </c>
      <c r="J2340" s="264" t="s">
        <v>1124</v>
      </c>
      <c r="K2340" s="264" t="s">
        <v>2025</v>
      </c>
      <c r="L2340" s="1" t="str">
        <f>VLOOKUP(Advices[[#This Row],[LC Number]],'Combine_List'!A:D,2,0)</f>
        <v>Mohammed Ramadan Shat Factory</v>
      </c>
      <c r="M2340" s="447" t="str">
        <f>VLOOKUP(Advices[[#This Row],[LC Number]],'Combine_List'!A:D,3,0)</f>
        <v>FIRST FIX</v>
      </c>
      <c r="N2340" s="447" t="str">
        <f>VLOOKUP(Advices[[#This Row],[LC Number]],'Combine_List'!A:D,4,0)</f>
        <v>RCRC</v>
      </c>
      <c r="O2340" s="1"/>
      <c r="P2340" s="1">
        <f>MONTH(Advices[[#This Row],[Transaction Date]])</f>
        <v>4</v>
      </c>
      <c r="Q2340" s="1">
        <f>YEAR(Advices[[#This Row],[Transaction Date]])</f>
        <v>2026</v>
      </c>
      <c r="R2340" s="1"/>
    </row>
    <row r="2341" spans="1:18" hidden="1" x14ac:dyDescent="0.25">
      <c r="A2341" s="264" t="s">
        <v>612</v>
      </c>
      <c r="B2341" s="265">
        <v>46125</v>
      </c>
      <c r="C2341" s="266" t="s">
        <v>2101</v>
      </c>
      <c r="D2341" s="264" t="s">
        <v>4724</v>
      </c>
      <c r="E2341" s="264" t="s">
        <v>4557</v>
      </c>
      <c r="F2341" s="264" t="s">
        <v>2041</v>
      </c>
      <c r="G2341" s="266" t="s">
        <v>26</v>
      </c>
      <c r="H2341" s="266">
        <v>2527.4</v>
      </c>
      <c r="I2341" s="266">
        <v>0</v>
      </c>
      <c r="J2341" s="264" t="s">
        <v>1174</v>
      </c>
      <c r="K2341" s="264" t="s">
        <v>2025</v>
      </c>
      <c r="L2341" s="1" t="str">
        <f>VLOOKUP(Advices[[#This Row],[LC Number]],'Combine_List'!A:D,2,0)</f>
        <v>Bid - DIRIYAH COMPANY</v>
      </c>
      <c r="M2341" s="447" t="str">
        <f>VLOOKUP(Advices[[#This Row],[LC Number]],'Combine_List'!A:D,3,0)</f>
        <v>MBL</v>
      </c>
      <c r="N2341" s="447">
        <f>VLOOKUP(Advices[[#This Row],[LC Number]],'Combine_List'!A:D,4,0)</f>
        <v>0</v>
      </c>
      <c r="O2341" s="264"/>
      <c r="P2341" s="264">
        <f>MONTH(Advices[[#This Row],[Transaction Date]])</f>
        <v>4</v>
      </c>
      <c r="Q2341" s="264">
        <f>YEAR(Advices[[#This Row],[Transaction Date]])</f>
        <v>2026</v>
      </c>
      <c r="R2341" s="1"/>
    </row>
    <row r="2342" spans="1:18" hidden="1" x14ac:dyDescent="0.25">
      <c r="A2342" s="264" t="s">
        <v>62</v>
      </c>
      <c r="B2342" s="265">
        <v>46126</v>
      </c>
      <c r="C2342" s="266" t="s">
        <v>2039</v>
      </c>
      <c r="D2342" s="264" t="s">
        <v>4727</v>
      </c>
      <c r="E2342" s="264" t="s">
        <v>3329</v>
      </c>
      <c r="F2342" s="264" t="s">
        <v>2041</v>
      </c>
      <c r="G2342" s="266" t="s">
        <v>26</v>
      </c>
      <c r="H2342" s="299">
        <v>1000000</v>
      </c>
      <c r="I2342" s="266">
        <v>0</v>
      </c>
      <c r="J2342" s="264" t="s">
        <v>1126</v>
      </c>
      <c r="K2342" s="264" t="s">
        <v>2025</v>
      </c>
      <c r="L2342" s="1" t="str">
        <f>VLOOKUP(Advices[[#This Row],[LC Number]],'Combine_List'!A:D,2,0)</f>
        <v>Electric House Trading Company L.L.C.</v>
      </c>
      <c r="M2342" s="447" t="str">
        <f>VLOOKUP(Advices[[#This Row],[LC Number]],'Combine_List'!A:D,3,0)</f>
        <v>FIRST FIX</v>
      </c>
      <c r="N2342" s="447" t="str">
        <f>VLOOKUP(Advices[[#This Row],[LC Number]],'Combine_List'!A:D,4,0)</f>
        <v>Oceanarium</v>
      </c>
      <c r="O2342" s="1"/>
      <c r="P2342" s="1">
        <f>MONTH(Advices[[#This Row],[Transaction Date]])</f>
        <v>4</v>
      </c>
      <c r="Q2342" s="1">
        <f>YEAR(Advices[[#This Row],[Transaction Date]])</f>
        <v>2026</v>
      </c>
      <c r="R2342" s="1"/>
    </row>
    <row r="2343" spans="1:18" hidden="1" x14ac:dyDescent="0.25">
      <c r="A2343" s="264" t="s">
        <v>62</v>
      </c>
      <c r="B2343" s="265">
        <v>46126</v>
      </c>
      <c r="C2343" s="266" t="s">
        <v>2039</v>
      </c>
      <c r="D2343" s="264" t="s">
        <v>4728</v>
      </c>
      <c r="E2343" s="264" t="s">
        <v>3322</v>
      </c>
      <c r="F2343" s="264" t="s">
        <v>2041</v>
      </c>
      <c r="G2343" s="266" t="s">
        <v>26</v>
      </c>
      <c r="H2343" s="299">
        <v>550000</v>
      </c>
      <c r="I2343" s="266">
        <v>0</v>
      </c>
      <c r="J2343" s="264" t="s">
        <v>1126</v>
      </c>
      <c r="K2343" s="264" t="s">
        <v>2025</v>
      </c>
      <c r="L2343" s="1" t="str">
        <f>VLOOKUP(Advices[[#This Row],[LC Number]],'Combine_List'!A:D,2,0)</f>
        <v>Mahmoud Altaheni &amp; Partners Trading Co.</v>
      </c>
      <c r="M2343" s="447" t="str">
        <f>VLOOKUP(Advices[[#This Row],[LC Number]],'Combine_List'!A:D,3,0)</f>
        <v>FIRST FIX</v>
      </c>
      <c r="N2343" s="447" t="str">
        <f>VLOOKUP(Advices[[#This Row],[LC Number]],'Combine_List'!A:D,4,0)</f>
        <v>Oceanarium</v>
      </c>
      <c r="O2343" s="1"/>
      <c r="P2343" s="1">
        <f>MONTH(Advices[[#This Row],[Transaction Date]])</f>
        <v>4</v>
      </c>
      <c r="Q2343" s="1">
        <f>YEAR(Advices[[#This Row],[Transaction Date]])</f>
        <v>2026</v>
      </c>
      <c r="R2343" s="1"/>
    </row>
    <row r="2344" spans="1:18" hidden="1" x14ac:dyDescent="0.25">
      <c r="A2344" s="264" t="s">
        <v>62</v>
      </c>
      <c r="B2344" s="265">
        <v>46126</v>
      </c>
      <c r="C2344" s="266" t="s">
        <v>2039</v>
      </c>
      <c r="D2344" s="264" t="s">
        <v>4729</v>
      </c>
      <c r="E2344" s="264" t="s">
        <v>4726</v>
      </c>
      <c r="F2344" s="264" t="s">
        <v>2041</v>
      </c>
      <c r="G2344" s="266" t="s">
        <v>26</v>
      </c>
      <c r="H2344" s="299">
        <v>5175</v>
      </c>
      <c r="I2344" s="266">
        <v>0</v>
      </c>
      <c r="J2344" s="264" t="s">
        <v>3947</v>
      </c>
      <c r="K2344" s="264" t="s">
        <v>2025</v>
      </c>
      <c r="L2344" s="1" t="str">
        <f>VLOOKUP(Advices[[#This Row],[LC Number]],'Combine_List'!A:D,2,0)</f>
        <v>Bid - SAL ZONES COMPANY</v>
      </c>
      <c r="M2344" s="447">
        <f>VLOOKUP(Advices[[#This Row],[LC Number]],'Combine_List'!A:D,3,0)</f>
        <v>0</v>
      </c>
      <c r="N2344" s="447">
        <f>VLOOKUP(Advices[[#This Row],[LC Number]],'Combine_List'!A:D,4,0)</f>
        <v>0</v>
      </c>
      <c r="O2344" s="264"/>
      <c r="P2344" s="264">
        <f>MONTH(Advices[[#This Row],[Transaction Date]])</f>
        <v>4</v>
      </c>
      <c r="Q2344" s="264">
        <f>YEAR(Advices[[#This Row],[Transaction Date]])</f>
        <v>2026</v>
      </c>
      <c r="R2344" s="1"/>
    </row>
    <row r="2345" spans="1:18" hidden="1" x14ac:dyDescent="0.25">
      <c r="A2345" s="264" t="s">
        <v>95</v>
      </c>
      <c r="B2345" s="265">
        <v>46126</v>
      </c>
      <c r="C2345" s="266" t="s">
        <v>2026</v>
      </c>
      <c r="D2345" s="264" t="s">
        <v>4730</v>
      </c>
      <c r="E2345" s="264" t="s">
        <v>1639</v>
      </c>
      <c r="F2345" s="264" t="s">
        <v>3179</v>
      </c>
      <c r="G2345" s="266" t="s">
        <v>26</v>
      </c>
      <c r="H2345" s="299">
        <v>3658.27</v>
      </c>
      <c r="I2345" s="266">
        <v>0</v>
      </c>
      <c r="J2345" s="264" t="s">
        <v>1124</v>
      </c>
      <c r="K2345" s="264" t="s">
        <v>2025</v>
      </c>
      <c r="L2345" s="1" t="str">
        <f>VLOOKUP(Advices[[#This Row],[LC Number]],'Combine_List'!A:D,2,0)</f>
        <v>Mohammed A. Al-Awani Trading</v>
      </c>
      <c r="M2345" s="447" t="str">
        <f>VLOOKUP(Advices[[#This Row],[LC Number]],'Combine_List'!A:D,3,0)</f>
        <v>MBL</v>
      </c>
      <c r="N2345" s="447" t="str">
        <f>VLOOKUP(Advices[[#This Row],[LC Number]],'Combine_List'!A:D,4,0)</f>
        <v>Rabigh Power Plant</v>
      </c>
      <c r="O2345" s="1"/>
      <c r="P2345" s="1">
        <f>MONTH(Advices[[#This Row],[Transaction Date]])</f>
        <v>4</v>
      </c>
      <c r="Q2345" s="1">
        <f>YEAR(Advices[[#This Row],[Transaction Date]])</f>
        <v>2026</v>
      </c>
      <c r="R2345" s="1"/>
    </row>
    <row r="2346" spans="1:18" hidden="1" x14ac:dyDescent="0.25">
      <c r="A2346" s="264" t="s">
        <v>95</v>
      </c>
      <c r="B2346" s="265">
        <v>46126</v>
      </c>
      <c r="C2346" s="266" t="s">
        <v>2026</v>
      </c>
      <c r="D2346" s="264" t="s">
        <v>4731</v>
      </c>
      <c r="E2346" s="264" t="s">
        <v>4679</v>
      </c>
      <c r="F2346" s="264" t="s">
        <v>4732</v>
      </c>
      <c r="G2346" s="266" t="s">
        <v>26</v>
      </c>
      <c r="H2346" s="299">
        <v>460</v>
      </c>
      <c r="I2346" s="266">
        <v>0</v>
      </c>
      <c r="J2346" s="264" t="s">
        <v>1124</v>
      </c>
      <c r="K2346" s="264" t="s">
        <v>2025</v>
      </c>
      <c r="L2346" s="1" t="str">
        <f>VLOOKUP(Advices[[#This Row],[LC Number]],'Combine_List'!A:D,2,0)</f>
        <v>ALNAFIE METAL INDUSTRIES CO LTD</v>
      </c>
      <c r="M2346" s="447" t="str">
        <f>VLOOKUP(Advices[[#This Row],[LC Number]],'Combine_List'!A:D,3,0)</f>
        <v>MBL/AICS (L01)</v>
      </c>
      <c r="N2346" s="447" t="str">
        <f>VLOOKUP(Advices[[#This Row],[LC Number]],'Combine_List'!A:D,4,0)</f>
        <v>OPERA House</v>
      </c>
      <c r="O2346" s="264"/>
      <c r="P2346" s="264">
        <f>MONTH(Advices[[#This Row],[Transaction Date]])</f>
        <v>4</v>
      </c>
      <c r="Q2346" s="264">
        <f>YEAR(Advices[[#This Row],[Transaction Date]])</f>
        <v>2026</v>
      </c>
      <c r="R2346" s="1"/>
    </row>
    <row r="2347" spans="1:18" hidden="1" x14ac:dyDescent="0.25">
      <c r="A2347" s="264" t="s">
        <v>366</v>
      </c>
      <c r="B2347" s="265">
        <v>46126</v>
      </c>
      <c r="C2347" s="266" t="s">
        <v>2060</v>
      </c>
      <c r="D2347" s="264" t="s">
        <v>4733</v>
      </c>
      <c r="E2347" s="264" t="s">
        <v>2904</v>
      </c>
      <c r="F2347" s="264" t="s">
        <v>3942</v>
      </c>
      <c r="G2347" s="266" t="s">
        <v>26</v>
      </c>
      <c r="H2347" s="299">
        <v>5903039.0800000001</v>
      </c>
      <c r="I2347" s="266">
        <v>0</v>
      </c>
      <c r="J2347" s="264" t="s">
        <v>1126</v>
      </c>
      <c r="K2347" s="264" t="s">
        <v>2025</v>
      </c>
      <c r="L2347" s="1" t="str">
        <f>VLOOKUP(Advices[[#This Row],[LC Number]],'Combine_List'!A:D,2,0)</f>
        <v>ELSEWEDY CABLES CO. LIMITED</v>
      </c>
      <c r="M2347" s="447" t="str">
        <f>VLOOKUP(Advices[[#This Row],[LC Number]],'Combine_List'!A:D,3,0)</f>
        <v>FIRST FIX</v>
      </c>
      <c r="N2347" s="447" t="str">
        <f>VLOOKUP(Advices[[#This Row],[LC Number]],'Combine_List'!A:D,4,0)</f>
        <v>MP1</v>
      </c>
      <c r="O2347" s="264"/>
      <c r="P2347" s="264">
        <f>MONTH(Advices[[#This Row],[Transaction Date]])</f>
        <v>4</v>
      </c>
      <c r="Q2347" s="264">
        <f>YEAR(Advices[[#This Row],[Transaction Date]])</f>
        <v>2026</v>
      </c>
      <c r="R2347" s="1"/>
    </row>
    <row r="2348" spans="1:18" hidden="1" x14ac:dyDescent="0.25">
      <c r="A2348" s="264" t="s">
        <v>612</v>
      </c>
      <c r="B2348" s="265">
        <v>46126</v>
      </c>
      <c r="C2348" s="266" t="s">
        <v>2101</v>
      </c>
      <c r="D2348" s="264" t="s">
        <v>4734</v>
      </c>
      <c r="E2348" s="264" t="s">
        <v>4651</v>
      </c>
      <c r="F2348" s="264" t="s">
        <v>2041</v>
      </c>
      <c r="G2348" s="266" t="s">
        <v>26</v>
      </c>
      <c r="H2348" s="299">
        <v>0</v>
      </c>
      <c r="I2348" s="266">
        <v>60720</v>
      </c>
      <c r="J2348" s="264"/>
      <c r="K2348" s="264" t="s">
        <v>3083</v>
      </c>
      <c r="L2348" s="1" t="e">
        <f>VLOOKUP(Advices[[#This Row],[LC Number]],'Combine_List'!A:D,2,0)</f>
        <v>#N/A</v>
      </c>
      <c r="M2348" s="447" t="e">
        <f>VLOOKUP(Advices[[#This Row],[LC Number]],'Combine_List'!A:D,3,0)</f>
        <v>#N/A</v>
      </c>
      <c r="N2348" s="447" t="e">
        <f>VLOOKUP(Advices[[#This Row],[LC Number]],'Combine_List'!A:D,4,0)</f>
        <v>#N/A</v>
      </c>
      <c r="O2348" s="264"/>
      <c r="P2348" s="264">
        <f>MONTH(Advices[[#This Row],[Transaction Date]])</f>
        <v>4</v>
      </c>
      <c r="Q2348" s="264">
        <f>YEAR(Advices[[#This Row],[Transaction Date]])</f>
        <v>2026</v>
      </c>
      <c r="R2348" s="1"/>
    </row>
    <row r="2349" spans="1:18" x14ac:dyDescent="0.25">
      <c r="A2349" s="264" t="s">
        <v>21</v>
      </c>
      <c r="B2349" s="265">
        <v>46127</v>
      </c>
      <c r="C2349" s="266" t="s">
        <v>1951</v>
      </c>
      <c r="D2349" s="264" t="s">
        <v>4569</v>
      </c>
      <c r="E2349" s="264" t="s">
        <v>4737</v>
      </c>
      <c r="F2349" s="264" t="s">
        <v>4737</v>
      </c>
      <c r="G2349" s="266" t="s">
        <v>26</v>
      </c>
      <c r="H2349" s="299">
        <v>700</v>
      </c>
      <c r="I2349" s="266">
        <v>0</v>
      </c>
      <c r="J2349" s="264" t="s">
        <v>1963</v>
      </c>
      <c r="K2349" s="264" t="s">
        <v>2025</v>
      </c>
      <c r="L2349" s="1" t="str">
        <f>VLOOKUP(Advices[[#This Row],[LC Number]],'Combine_List'!A:D,2,0)</f>
        <v>Innovative Specialized Security Solution</v>
      </c>
      <c r="M2349" s="447" t="str">
        <f>VLOOKUP(Advices[[#This Row],[LC Number]],'Combine_List'!A:D,3,0)</f>
        <v>ICAD</v>
      </c>
      <c r="N2349" s="447" t="str">
        <f>VLOOKUP(Advices[[#This Row],[LC Number]],'Combine_List'!A:D,4,0)</f>
        <v>ADF</v>
      </c>
      <c r="O2349" s="1"/>
      <c r="P2349" s="1">
        <f>MONTH(Advices[[#This Row],[Transaction Date]])</f>
        <v>4</v>
      </c>
      <c r="Q2349" s="1">
        <f>YEAR(Advices[[#This Row],[Transaction Date]])</f>
        <v>2026</v>
      </c>
      <c r="R2349" s="1"/>
    </row>
    <row r="2350" spans="1:18" x14ac:dyDescent="0.25">
      <c r="A2350" s="264" t="s">
        <v>21</v>
      </c>
      <c r="B2350" s="265">
        <v>46127</v>
      </c>
      <c r="C2350" s="266" t="s">
        <v>1951</v>
      </c>
      <c r="D2350" s="264" t="s">
        <v>4746</v>
      </c>
      <c r="E2350" s="264" t="s">
        <v>4735</v>
      </c>
      <c r="F2350" s="264" t="s">
        <v>4735</v>
      </c>
      <c r="G2350" s="266" t="s">
        <v>26</v>
      </c>
      <c r="H2350" s="299">
        <v>105</v>
      </c>
      <c r="I2350" s="266">
        <v>0</v>
      </c>
      <c r="J2350" s="264" t="s">
        <v>1174</v>
      </c>
      <c r="K2350" s="264" t="s">
        <v>2025</v>
      </c>
      <c r="L2350" s="1" t="str">
        <f>VLOOKUP(Advices[[#This Row],[LC Number]],'Combine_List'!A:D,2,0)</f>
        <v>APTEC SAUDI ARABIA</v>
      </c>
      <c r="M2350" s="447" t="str">
        <f>VLOOKUP(Advices[[#This Row],[LC Number]],'Combine_List'!A:D,3,0)</f>
        <v>ICAD</v>
      </c>
      <c r="N2350" s="447" t="str">
        <f>VLOOKUP(Advices[[#This Row],[LC Number]],'Combine_List'!A:D,4,0)</f>
        <v>ADF</v>
      </c>
      <c r="O2350" s="1"/>
      <c r="P2350" s="1">
        <f>MONTH(Advices[[#This Row],[Transaction Date]])</f>
        <v>4</v>
      </c>
      <c r="Q2350" s="1">
        <f>YEAR(Advices[[#This Row],[Transaction Date]])</f>
        <v>2026</v>
      </c>
      <c r="R2350" s="1"/>
    </row>
    <row r="2351" spans="1:18" x14ac:dyDescent="0.25">
      <c r="A2351" s="264" t="s">
        <v>21</v>
      </c>
      <c r="B2351" s="265">
        <v>46127</v>
      </c>
      <c r="C2351" s="266" t="s">
        <v>1951</v>
      </c>
      <c r="D2351" s="264" t="s">
        <v>4569</v>
      </c>
      <c r="E2351" s="264" t="s">
        <v>4735</v>
      </c>
      <c r="F2351" s="264" t="s">
        <v>4735</v>
      </c>
      <c r="G2351" s="266" t="s">
        <v>26</v>
      </c>
      <c r="H2351" s="299">
        <v>700</v>
      </c>
      <c r="I2351" s="266">
        <v>0</v>
      </c>
      <c r="J2351" s="264"/>
      <c r="K2351" s="264" t="s">
        <v>2025</v>
      </c>
      <c r="L2351" s="1" t="str">
        <f>VLOOKUP(Advices[[#This Row],[LC Number]],'Combine_List'!A:D,2,0)</f>
        <v>APTEC SAUDI ARABIA</v>
      </c>
      <c r="M2351" s="447" t="str">
        <f>VLOOKUP(Advices[[#This Row],[LC Number]],'Combine_List'!A:D,3,0)</f>
        <v>ICAD</v>
      </c>
      <c r="N2351" s="447" t="str">
        <f>VLOOKUP(Advices[[#This Row],[LC Number]],'Combine_List'!A:D,4,0)</f>
        <v>ADF</v>
      </c>
      <c r="O2351" s="1"/>
      <c r="P2351" s="1">
        <f>MONTH(Advices[[#This Row],[Transaction Date]])</f>
        <v>4</v>
      </c>
      <c r="Q2351" s="1">
        <f>YEAR(Advices[[#This Row],[Transaction Date]])</f>
        <v>2026</v>
      </c>
      <c r="R2351" s="1"/>
    </row>
    <row r="2352" spans="1:18" x14ac:dyDescent="0.25">
      <c r="A2352" s="264" t="s">
        <v>21</v>
      </c>
      <c r="B2352" s="265">
        <v>46127</v>
      </c>
      <c r="C2352" s="266" t="s">
        <v>1951</v>
      </c>
      <c r="D2352" s="264" t="s">
        <v>4746</v>
      </c>
      <c r="E2352" s="264" t="s">
        <v>4735</v>
      </c>
      <c r="F2352" s="264" t="s">
        <v>4735</v>
      </c>
      <c r="G2352" s="266" t="s">
        <v>26</v>
      </c>
      <c r="H2352" s="299">
        <v>1995.05</v>
      </c>
      <c r="I2352" s="266">
        <v>0</v>
      </c>
      <c r="J2352" s="264" t="s">
        <v>1174</v>
      </c>
      <c r="K2352" s="264" t="s">
        <v>2025</v>
      </c>
      <c r="L2352" s="1" t="str">
        <f>VLOOKUP(Advices[[#This Row],[LC Number]],'Combine_List'!A:D,2,0)</f>
        <v>APTEC SAUDI ARABIA</v>
      </c>
      <c r="M2352" s="447" t="str">
        <f>VLOOKUP(Advices[[#This Row],[LC Number]],'Combine_List'!A:D,3,0)</f>
        <v>ICAD</v>
      </c>
      <c r="N2352" s="447" t="str">
        <f>VLOOKUP(Advices[[#This Row],[LC Number]],'Combine_List'!A:D,4,0)</f>
        <v>ADF</v>
      </c>
      <c r="O2352" s="1"/>
      <c r="P2352" s="1">
        <f>MONTH(Advices[[#This Row],[Transaction Date]])</f>
        <v>4</v>
      </c>
      <c r="Q2352" s="1">
        <f>YEAR(Advices[[#This Row],[Transaction Date]])</f>
        <v>2026</v>
      </c>
      <c r="R2352" s="1"/>
    </row>
    <row r="2353" spans="1:18" x14ac:dyDescent="0.25">
      <c r="A2353" s="264" t="s">
        <v>21</v>
      </c>
      <c r="B2353" s="265">
        <v>46127</v>
      </c>
      <c r="C2353" s="266" t="s">
        <v>1951</v>
      </c>
      <c r="D2353" s="264" t="s">
        <v>4634</v>
      </c>
      <c r="E2353" s="264" t="s">
        <v>4735</v>
      </c>
      <c r="F2353" s="264" t="s">
        <v>4735</v>
      </c>
      <c r="G2353" s="266" t="s">
        <v>26</v>
      </c>
      <c r="H2353" s="299">
        <v>13300.33</v>
      </c>
      <c r="I2353" s="266">
        <v>0</v>
      </c>
      <c r="J2353" s="264"/>
      <c r="K2353" s="264" t="s">
        <v>2025</v>
      </c>
      <c r="L2353" s="1" t="str">
        <f>VLOOKUP(Advices[[#This Row],[LC Number]],'Combine_List'!A:D,2,0)</f>
        <v>APTEC SAUDI ARABIA</v>
      </c>
      <c r="M2353" s="447" t="str">
        <f>VLOOKUP(Advices[[#This Row],[LC Number]],'Combine_List'!A:D,3,0)</f>
        <v>ICAD</v>
      </c>
      <c r="N2353" s="447" t="str">
        <f>VLOOKUP(Advices[[#This Row],[LC Number]],'Combine_List'!A:D,4,0)</f>
        <v>ADF</v>
      </c>
      <c r="O2353" s="1"/>
      <c r="P2353" s="1">
        <f>MONTH(Advices[[#This Row],[Transaction Date]])</f>
        <v>4</v>
      </c>
      <c r="Q2353" s="1">
        <f>YEAR(Advices[[#This Row],[Transaction Date]])</f>
        <v>2026</v>
      </c>
      <c r="R2353" s="1"/>
    </row>
    <row r="2354" spans="1:18" x14ac:dyDescent="0.25">
      <c r="A2354" s="264" t="s">
        <v>21</v>
      </c>
      <c r="B2354" s="265">
        <v>46127</v>
      </c>
      <c r="C2354" s="266" t="s">
        <v>1951</v>
      </c>
      <c r="D2354" s="264" t="s">
        <v>4747</v>
      </c>
      <c r="E2354" s="264" t="s">
        <v>4736</v>
      </c>
      <c r="F2354" s="264" t="s">
        <v>4736</v>
      </c>
      <c r="G2354" s="266" t="s">
        <v>26</v>
      </c>
      <c r="H2354" s="299">
        <v>105</v>
      </c>
      <c r="I2354" s="266">
        <v>0</v>
      </c>
      <c r="J2354" s="264" t="s">
        <v>1174</v>
      </c>
      <c r="K2354" s="264" t="s">
        <v>2025</v>
      </c>
      <c r="L2354" s="1" t="str">
        <f>VLOOKUP(Advices[[#This Row],[LC Number]],'Combine_List'!A:D,2,0)</f>
        <v>Anixter Saudi Arabia Ltd</v>
      </c>
      <c r="M2354" s="447" t="str">
        <f>VLOOKUP(Advices[[#This Row],[LC Number]],'Combine_List'!A:D,3,0)</f>
        <v>ICAD</v>
      </c>
      <c r="N2354" s="447" t="str">
        <f>VLOOKUP(Advices[[#This Row],[LC Number]],'Combine_List'!A:D,4,0)</f>
        <v>ADF</v>
      </c>
      <c r="O2354" s="1"/>
      <c r="P2354" s="1">
        <f>MONTH(Advices[[#This Row],[Transaction Date]])</f>
        <v>4</v>
      </c>
      <c r="Q2354" s="1">
        <f>YEAR(Advices[[#This Row],[Transaction Date]])</f>
        <v>2026</v>
      </c>
      <c r="R2354" s="1"/>
    </row>
    <row r="2355" spans="1:18" x14ac:dyDescent="0.25">
      <c r="A2355" s="264" t="s">
        <v>21</v>
      </c>
      <c r="B2355" s="265">
        <v>46127</v>
      </c>
      <c r="C2355" s="266" t="s">
        <v>1951</v>
      </c>
      <c r="D2355" s="264" t="s">
        <v>4747</v>
      </c>
      <c r="E2355" s="264" t="s">
        <v>4736</v>
      </c>
      <c r="F2355" s="264" t="s">
        <v>4736</v>
      </c>
      <c r="G2355" s="266" t="s">
        <v>26</v>
      </c>
      <c r="H2355" s="299">
        <v>1142.56</v>
      </c>
      <c r="I2355" s="266">
        <v>0</v>
      </c>
      <c r="J2355" s="264" t="s">
        <v>1174</v>
      </c>
      <c r="K2355" s="264" t="s">
        <v>2025</v>
      </c>
      <c r="L2355" s="1" t="str">
        <f>VLOOKUP(Advices[[#This Row],[LC Number]],'Combine_List'!A:D,2,0)</f>
        <v>Anixter Saudi Arabia Ltd</v>
      </c>
      <c r="M2355" s="447" t="str">
        <f>VLOOKUP(Advices[[#This Row],[LC Number]],'Combine_List'!A:D,3,0)</f>
        <v>ICAD</v>
      </c>
      <c r="N2355" s="447" t="str">
        <f>VLOOKUP(Advices[[#This Row],[LC Number]],'Combine_List'!A:D,4,0)</f>
        <v>ADF</v>
      </c>
      <c r="O2355" s="1"/>
      <c r="P2355" s="1">
        <f>MONTH(Advices[[#This Row],[Transaction Date]])</f>
        <v>4</v>
      </c>
      <c r="Q2355" s="1">
        <f>YEAR(Advices[[#This Row],[Transaction Date]])</f>
        <v>2026</v>
      </c>
      <c r="R2355" s="1"/>
    </row>
    <row r="2356" spans="1:18" x14ac:dyDescent="0.25">
      <c r="A2356" s="264" t="s">
        <v>21</v>
      </c>
      <c r="B2356" s="265">
        <v>46127</v>
      </c>
      <c r="C2356" s="266" t="s">
        <v>1951</v>
      </c>
      <c r="D2356" s="264" t="s">
        <v>4634</v>
      </c>
      <c r="E2356" s="264" t="s">
        <v>4736</v>
      </c>
      <c r="F2356" s="264" t="s">
        <v>4736</v>
      </c>
      <c r="G2356" s="266" t="s">
        <v>26</v>
      </c>
      <c r="H2356" s="299">
        <v>7617.06</v>
      </c>
      <c r="I2356" s="266">
        <v>0</v>
      </c>
      <c r="J2356" s="264" t="s">
        <v>2616</v>
      </c>
      <c r="K2356" s="264" t="s">
        <v>2025</v>
      </c>
      <c r="L2356" s="1" t="str">
        <f>VLOOKUP(Advices[[#This Row],[LC Number]],'Combine_List'!A:D,2,0)</f>
        <v>Anixter Saudi Arabia Ltd</v>
      </c>
      <c r="M2356" s="447" t="str">
        <f>VLOOKUP(Advices[[#This Row],[LC Number]],'Combine_List'!A:D,3,0)</f>
        <v>ICAD</v>
      </c>
      <c r="N2356" s="447" t="str">
        <f>VLOOKUP(Advices[[#This Row],[LC Number]],'Combine_List'!A:D,4,0)</f>
        <v>ADF</v>
      </c>
      <c r="O2356" s="1"/>
      <c r="P2356" s="1">
        <f>MONTH(Advices[[#This Row],[Transaction Date]])</f>
        <v>4</v>
      </c>
      <c r="Q2356" s="1">
        <f>YEAR(Advices[[#This Row],[Transaction Date]])</f>
        <v>2026</v>
      </c>
      <c r="R2356" s="1"/>
    </row>
    <row r="2357" spans="1:18" x14ac:dyDescent="0.25">
      <c r="A2357" s="264" t="s">
        <v>21</v>
      </c>
      <c r="B2357" s="265">
        <v>46127</v>
      </c>
      <c r="C2357" s="266" t="s">
        <v>1951</v>
      </c>
      <c r="D2357" s="264" t="s">
        <v>4748</v>
      </c>
      <c r="E2357" s="264" t="s">
        <v>4737</v>
      </c>
      <c r="F2357" s="264" t="s">
        <v>4737</v>
      </c>
      <c r="G2357" s="266" t="s">
        <v>26</v>
      </c>
      <c r="H2357" s="299">
        <v>105</v>
      </c>
      <c r="I2357" s="266">
        <v>0</v>
      </c>
      <c r="J2357" s="264" t="s">
        <v>1174</v>
      </c>
      <c r="K2357" s="264" t="s">
        <v>2025</v>
      </c>
      <c r="L2357" s="1" t="str">
        <f>VLOOKUP(Advices[[#This Row],[LC Number]],'Combine_List'!A:D,2,0)</f>
        <v>Innovative Specialized Security Solution</v>
      </c>
      <c r="M2357" s="447" t="str">
        <f>VLOOKUP(Advices[[#This Row],[LC Number]],'Combine_List'!A:D,3,0)</f>
        <v>ICAD</v>
      </c>
      <c r="N2357" s="447" t="str">
        <f>VLOOKUP(Advices[[#This Row],[LC Number]],'Combine_List'!A:D,4,0)</f>
        <v>ADF</v>
      </c>
      <c r="O2357" s="1"/>
      <c r="P2357" s="1">
        <f>MONTH(Advices[[#This Row],[Transaction Date]])</f>
        <v>4</v>
      </c>
      <c r="Q2357" s="1">
        <f>YEAR(Advices[[#This Row],[Transaction Date]])</f>
        <v>2026</v>
      </c>
      <c r="R2357" s="1"/>
    </row>
    <row r="2358" spans="1:18" x14ac:dyDescent="0.25">
      <c r="A2358" s="264" t="s">
        <v>21</v>
      </c>
      <c r="B2358" s="265">
        <v>46127</v>
      </c>
      <c r="C2358" s="266" t="s">
        <v>1951</v>
      </c>
      <c r="D2358" s="264" t="s">
        <v>4569</v>
      </c>
      <c r="E2358" s="264" t="s">
        <v>4736</v>
      </c>
      <c r="F2358" s="264" t="s">
        <v>4736</v>
      </c>
      <c r="G2358" s="266" t="s">
        <v>26</v>
      </c>
      <c r="H2358" s="299">
        <v>700</v>
      </c>
      <c r="I2358" s="266">
        <v>0</v>
      </c>
      <c r="J2358" s="264" t="s">
        <v>1963</v>
      </c>
      <c r="K2358" s="264" t="s">
        <v>2025</v>
      </c>
      <c r="L2358" s="1" t="str">
        <f>VLOOKUP(Advices[[#This Row],[LC Number]],'Combine_List'!A:D,2,0)</f>
        <v>Anixter Saudi Arabia Ltd</v>
      </c>
      <c r="M2358" s="447" t="str">
        <f>VLOOKUP(Advices[[#This Row],[LC Number]],'Combine_List'!A:D,3,0)</f>
        <v>ICAD</v>
      </c>
      <c r="N2358" s="447" t="str">
        <f>VLOOKUP(Advices[[#This Row],[LC Number]],'Combine_List'!A:D,4,0)</f>
        <v>ADF</v>
      </c>
      <c r="O2358" s="1"/>
      <c r="P2358" s="1">
        <f>MONTH(Advices[[#This Row],[Transaction Date]])</f>
        <v>4</v>
      </c>
      <c r="Q2358" s="1">
        <f>YEAR(Advices[[#This Row],[Transaction Date]])</f>
        <v>2026</v>
      </c>
      <c r="R2358" s="1"/>
    </row>
    <row r="2359" spans="1:18" x14ac:dyDescent="0.25">
      <c r="A2359" s="264" t="s">
        <v>21</v>
      </c>
      <c r="B2359" s="265">
        <v>46127</v>
      </c>
      <c r="C2359" s="266" t="s">
        <v>1951</v>
      </c>
      <c r="D2359" s="264" t="s">
        <v>4634</v>
      </c>
      <c r="E2359" s="264" t="s">
        <v>4737</v>
      </c>
      <c r="F2359" s="264" t="s">
        <v>4737</v>
      </c>
      <c r="G2359" s="266" t="s">
        <v>26</v>
      </c>
      <c r="H2359" s="299">
        <v>20155.419999999998</v>
      </c>
      <c r="I2359" s="266">
        <v>0</v>
      </c>
      <c r="J2359" s="264" t="s">
        <v>2616</v>
      </c>
      <c r="K2359" s="264" t="s">
        <v>2025</v>
      </c>
      <c r="L2359" s="1" t="str">
        <f>VLOOKUP(Advices[[#This Row],[LC Number]],'Combine_List'!A:D,2,0)</f>
        <v>Innovative Specialized Security Solution</v>
      </c>
      <c r="M2359" s="447" t="str">
        <f>VLOOKUP(Advices[[#This Row],[LC Number]],'Combine_List'!A:D,3,0)</f>
        <v>ICAD</v>
      </c>
      <c r="N2359" s="447" t="str">
        <f>VLOOKUP(Advices[[#This Row],[LC Number]],'Combine_List'!A:D,4,0)</f>
        <v>ADF</v>
      </c>
      <c r="O2359" s="1"/>
      <c r="P2359" s="1">
        <f>MONTH(Advices[[#This Row],[Transaction Date]])</f>
        <v>4</v>
      </c>
      <c r="Q2359" s="1">
        <f>YEAR(Advices[[#This Row],[Transaction Date]])</f>
        <v>2026</v>
      </c>
      <c r="R2359" s="1"/>
    </row>
    <row r="2360" spans="1:18" x14ac:dyDescent="0.25">
      <c r="A2360" s="264" t="s">
        <v>21</v>
      </c>
      <c r="B2360" s="265">
        <v>46127</v>
      </c>
      <c r="C2360" s="266" t="s">
        <v>1951</v>
      </c>
      <c r="D2360" s="264" t="s">
        <v>4748</v>
      </c>
      <c r="E2360" s="264" t="s">
        <v>4737</v>
      </c>
      <c r="F2360" s="264" t="s">
        <v>4737</v>
      </c>
      <c r="G2360" s="266" t="s">
        <v>26</v>
      </c>
      <c r="H2360" s="299">
        <v>3023.31</v>
      </c>
      <c r="I2360" s="266">
        <v>0</v>
      </c>
      <c r="J2360" s="264" t="s">
        <v>1174</v>
      </c>
      <c r="K2360" s="264" t="s">
        <v>2025</v>
      </c>
      <c r="L2360" s="1" t="str">
        <f>VLOOKUP(Advices[[#This Row],[LC Number]],'Combine_List'!A:D,2,0)</f>
        <v>Innovative Specialized Security Solution</v>
      </c>
      <c r="M2360" s="447" t="str">
        <f>VLOOKUP(Advices[[#This Row],[LC Number]],'Combine_List'!A:D,3,0)</f>
        <v>ICAD</v>
      </c>
      <c r="N2360" s="447" t="str">
        <f>VLOOKUP(Advices[[#This Row],[LC Number]],'Combine_List'!A:D,4,0)</f>
        <v>ADF</v>
      </c>
      <c r="O2360" s="1"/>
      <c r="P2360" s="1">
        <f>MONTH(Advices[[#This Row],[Transaction Date]])</f>
        <v>4</v>
      </c>
      <c r="Q2360" s="1">
        <f>YEAR(Advices[[#This Row],[Transaction Date]])</f>
        <v>2026</v>
      </c>
      <c r="R2360" s="1"/>
    </row>
    <row r="2361" spans="1:18" x14ac:dyDescent="0.25">
      <c r="A2361" s="264" t="s">
        <v>21</v>
      </c>
      <c r="B2361" s="265">
        <v>46128</v>
      </c>
      <c r="C2361" s="266" t="s">
        <v>1951</v>
      </c>
      <c r="D2361" s="264" t="s">
        <v>4569</v>
      </c>
      <c r="E2361" s="264" t="s">
        <v>1312</v>
      </c>
      <c r="F2361" s="264" t="s">
        <v>3628</v>
      </c>
      <c r="G2361" s="266" t="s">
        <v>26</v>
      </c>
      <c r="H2361" s="299">
        <v>75</v>
      </c>
      <c r="I2361" s="266">
        <v>0</v>
      </c>
      <c r="J2361" s="264" t="s">
        <v>1963</v>
      </c>
      <c r="K2361" s="264" t="s">
        <v>2025</v>
      </c>
      <c r="L2361" s="1" t="str">
        <f>VLOOKUP(Advices[[#This Row],[LC Number]],'Combine_List'!A:D,2,0)</f>
        <v>ALBYT ALTHAKI TRADING CO</v>
      </c>
      <c r="M2361" s="447" t="str">
        <f>VLOOKUP(Advices[[#This Row],[LC Number]],'Combine_List'!A:D,3,0)</f>
        <v>FIRST FIX</v>
      </c>
      <c r="N2361" s="447" t="str">
        <f>VLOOKUP(Advices[[#This Row],[LC Number]],'Combine_List'!A:D,4,0)</f>
        <v>KSP</v>
      </c>
      <c r="O2361" s="1"/>
      <c r="P2361" s="1">
        <f>MONTH(Advices[[#This Row],[Transaction Date]])</f>
        <v>4</v>
      </c>
      <c r="Q2361" s="1">
        <f>YEAR(Advices[[#This Row],[Transaction Date]])</f>
        <v>2026</v>
      </c>
      <c r="R2361" s="1"/>
    </row>
    <row r="2362" spans="1:18" x14ac:dyDescent="0.25">
      <c r="A2362" s="264" t="s">
        <v>21</v>
      </c>
      <c r="B2362" s="265">
        <v>46128</v>
      </c>
      <c r="C2362" s="266" t="s">
        <v>1951</v>
      </c>
      <c r="D2362" s="264" t="s">
        <v>1960</v>
      </c>
      <c r="E2362" s="264" t="s">
        <v>1400</v>
      </c>
      <c r="F2362" s="264" t="s">
        <v>3630</v>
      </c>
      <c r="G2362" s="266" t="s">
        <v>26</v>
      </c>
      <c r="H2362" s="299">
        <v>11.25</v>
      </c>
      <c r="I2362" s="266">
        <v>0</v>
      </c>
      <c r="J2362" s="264" t="s">
        <v>1174</v>
      </c>
      <c r="K2362" s="264" t="s">
        <v>2025</v>
      </c>
      <c r="L2362" s="1" t="str">
        <f>VLOOKUP(Advices[[#This Row],[LC Number]],'Combine_List'!A:D,2,0)</f>
        <v>ALBYT ALTHAKI TRADING CO</v>
      </c>
      <c r="M2362" s="447" t="str">
        <f>VLOOKUP(Advices[[#This Row],[LC Number]],'Combine_List'!A:D,3,0)</f>
        <v>FIRST FIX</v>
      </c>
      <c r="N2362" s="447" t="str">
        <f>VLOOKUP(Advices[[#This Row],[LC Number]],'Combine_List'!A:D,4,0)</f>
        <v>KSP</v>
      </c>
      <c r="O2362" s="1"/>
      <c r="P2362" s="1">
        <f>MONTH(Advices[[#This Row],[Transaction Date]])</f>
        <v>4</v>
      </c>
      <c r="Q2362" s="1">
        <f>YEAR(Advices[[#This Row],[Transaction Date]])</f>
        <v>2026</v>
      </c>
      <c r="R2362" s="1"/>
    </row>
    <row r="2363" spans="1:18" x14ac:dyDescent="0.25">
      <c r="A2363" s="264" t="s">
        <v>21</v>
      </c>
      <c r="B2363" s="265">
        <v>46128</v>
      </c>
      <c r="C2363" s="266" t="s">
        <v>1951</v>
      </c>
      <c r="D2363" s="264" t="s">
        <v>4569</v>
      </c>
      <c r="E2363" s="264" t="s">
        <v>1400</v>
      </c>
      <c r="F2363" s="264" t="s">
        <v>3630</v>
      </c>
      <c r="G2363" s="266" t="s">
        <v>26</v>
      </c>
      <c r="H2363" s="299">
        <v>75</v>
      </c>
      <c r="I2363" s="266">
        <v>0</v>
      </c>
      <c r="J2363" s="264" t="s">
        <v>1963</v>
      </c>
      <c r="K2363" s="264" t="s">
        <v>2025</v>
      </c>
      <c r="L2363" s="1" t="str">
        <f>VLOOKUP(Advices[[#This Row],[LC Number]],'Combine_List'!A:D,2,0)</f>
        <v>ALBYT ALTHAKI TRADING CO</v>
      </c>
      <c r="M2363" s="447" t="str">
        <f>VLOOKUP(Advices[[#This Row],[LC Number]],'Combine_List'!A:D,3,0)</f>
        <v>FIRST FIX</v>
      </c>
      <c r="N2363" s="447" t="str">
        <f>VLOOKUP(Advices[[#This Row],[LC Number]],'Combine_List'!A:D,4,0)</f>
        <v>KSP</v>
      </c>
      <c r="O2363" s="1"/>
      <c r="P2363" s="1">
        <f>MONTH(Advices[[#This Row],[Transaction Date]])</f>
        <v>4</v>
      </c>
      <c r="Q2363" s="1">
        <f>YEAR(Advices[[#This Row],[Transaction Date]])</f>
        <v>2026</v>
      </c>
      <c r="R2363" s="1"/>
    </row>
    <row r="2364" spans="1:18" x14ac:dyDescent="0.25">
      <c r="A2364" s="264" t="s">
        <v>21</v>
      </c>
      <c r="B2364" s="265">
        <v>46128</v>
      </c>
      <c r="C2364" s="266" t="s">
        <v>1951</v>
      </c>
      <c r="D2364" s="264" t="s">
        <v>4570</v>
      </c>
      <c r="E2364" s="264" t="s">
        <v>1400</v>
      </c>
      <c r="F2364" s="264" t="s">
        <v>3630</v>
      </c>
      <c r="G2364" s="266" t="s">
        <v>26</v>
      </c>
      <c r="H2364" s="299">
        <v>350000</v>
      </c>
      <c r="I2364" s="266">
        <v>0</v>
      </c>
      <c r="J2364" s="264" t="s">
        <v>1125</v>
      </c>
      <c r="K2364" s="264" t="s">
        <v>2025</v>
      </c>
      <c r="L2364" s="1" t="str">
        <f>VLOOKUP(Advices[[#This Row],[LC Number]],'Combine_List'!A:D,2,0)</f>
        <v>ALBYT ALTHAKI TRADING CO</v>
      </c>
      <c r="M2364" s="447" t="str">
        <f>VLOOKUP(Advices[[#This Row],[LC Number]],'Combine_List'!A:D,3,0)</f>
        <v>FIRST FIX</v>
      </c>
      <c r="N2364" s="447" t="str">
        <f>VLOOKUP(Advices[[#This Row],[LC Number]],'Combine_List'!A:D,4,0)</f>
        <v>KSP</v>
      </c>
      <c r="O2364" s="1"/>
      <c r="P2364" s="1">
        <f>MONTH(Advices[[#This Row],[Transaction Date]])</f>
        <v>4</v>
      </c>
      <c r="Q2364" s="1">
        <f>YEAR(Advices[[#This Row],[Transaction Date]])</f>
        <v>2026</v>
      </c>
      <c r="R2364" s="1"/>
    </row>
    <row r="2365" spans="1:18" x14ac:dyDescent="0.25">
      <c r="A2365" s="264" t="s">
        <v>21</v>
      </c>
      <c r="B2365" s="265">
        <v>46128</v>
      </c>
      <c r="C2365" s="266" t="s">
        <v>1951</v>
      </c>
      <c r="D2365" s="264" t="s">
        <v>1960</v>
      </c>
      <c r="E2365" s="264" t="s">
        <v>1767</v>
      </c>
      <c r="F2365" s="264" t="s">
        <v>4571</v>
      </c>
      <c r="G2365" s="266" t="s">
        <v>26</v>
      </c>
      <c r="H2365" s="299">
        <v>11.25</v>
      </c>
      <c r="I2365" s="266">
        <v>0</v>
      </c>
      <c r="J2365" s="264" t="s">
        <v>1174</v>
      </c>
      <c r="K2365" s="264" t="s">
        <v>2025</v>
      </c>
      <c r="L2365" s="1" t="str">
        <f>VLOOKUP(Advices[[#This Row],[LC Number]],'Combine_List'!A:D,2,0)</f>
        <v>Al Arabia Construction &amp; Building Co.</v>
      </c>
      <c r="M2365" s="447" t="str">
        <f>VLOOKUP(Advices[[#This Row],[LC Number]],'Combine_List'!A:D,3,0)</f>
        <v>MBL</v>
      </c>
      <c r="N2365" s="447" t="str">
        <f>VLOOKUP(Advices[[#This Row],[LC Number]],'Combine_List'!A:D,4,0)</f>
        <v>Rabigh Power Plant</v>
      </c>
      <c r="O2365" s="1"/>
      <c r="P2365" s="1">
        <f>MONTH(Advices[[#This Row],[Transaction Date]])</f>
        <v>4</v>
      </c>
      <c r="Q2365" s="1">
        <f>YEAR(Advices[[#This Row],[Transaction Date]])</f>
        <v>2026</v>
      </c>
      <c r="R2365" s="1"/>
    </row>
    <row r="2366" spans="1:18" x14ac:dyDescent="0.25">
      <c r="A2366" s="264" t="s">
        <v>21</v>
      </c>
      <c r="B2366" s="265">
        <v>46128</v>
      </c>
      <c r="C2366" s="266" t="s">
        <v>1951</v>
      </c>
      <c r="D2366" s="264" t="s">
        <v>4569</v>
      </c>
      <c r="E2366" s="264" t="s">
        <v>1767</v>
      </c>
      <c r="F2366" s="264" t="s">
        <v>4571</v>
      </c>
      <c r="G2366" s="266" t="s">
        <v>26</v>
      </c>
      <c r="H2366" s="299">
        <v>75</v>
      </c>
      <c r="I2366" s="266">
        <v>0</v>
      </c>
      <c r="J2366" s="264" t="s">
        <v>1963</v>
      </c>
      <c r="K2366" s="264" t="s">
        <v>2025</v>
      </c>
      <c r="L2366" s="1" t="str">
        <f>VLOOKUP(Advices[[#This Row],[LC Number]],'Combine_List'!A:D,2,0)</f>
        <v>Al Arabia Construction &amp; Building Co.</v>
      </c>
      <c r="M2366" s="447" t="str">
        <f>VLOOKUP(Advices[[#This Row],[LC Number]],'Combine_List'!A:D,3,0)</f>
        <v>MBL</v>
      </c>
      <c r="N2366" s="447" t="str">
        <f>VLOOKUP(Advices[[#This Row],[LC Number]],'Combine_List'!A:D,4,0)</f>
        <v>Rabigh Power Plant</v>
      </c>
      <c r="O2366" s="1"/>
      <c r="P2366" s="1">
        <f>MONTH(Advices[[#This Row],[Transaction Date]])</f>
        <v>4</v>
      </c>
      <c r="Q2366" s="1">
        <f>YEAR(Advices[[#This Row],[Transaction Date]])</f>
        <v>2026</v>
      </c>
      <c r="R2366" s="1"/>
    </row>
    <row r="2367" spans="1:18" x14ac:dyDescent="0.25">
      <c r="A2367" s="264" t="s">
        <v>21</v>
      </c>
      <c r="B2367" s="265">
        <v>46128</v>
      </c>
      <c r="C2367" s="266" t="s">
        <v>1951</v>
      </c>
      <c r="D2367" s="264" t="s">
        <v>4570</v>
      </c>
      <c r="E2367" s="264" t="s">
        <v>1767</v>
      </c>
      <c r="F2367" s="264" t="s">
        <v>4571</v>
      </c>
      <c r="G2367" s="266" t="s">
        <v>26</v>
      </c>
      <c r="H2367" s="299">
        <v>291391.23</v>
      </c>
      <c r="I2367" s="266">
        <v>0</v>
      </c>
      <c r="J2367" s="264" t="s">
        <v>1126</v>
      </c>
      <c r="K2367" s="264" t="s">
        <v>2025</v>
      </c>
      <c r="L2367" s="1" t="str">
        <f>VLOOKUP(Advices[[#This Row],[LC Number]],'Combine_List'!A:D,2,0)</f>
        <v>Al Arabia Construction &amp; Building Co.</v>
      </c>
      <c r="M2367" s="447" t="str">
        <f>VLOOKUP(Advices[[#This Row],[LC Number]],'Combine_List'!A:D,3,0)</f>
        <v>MBL</v>
      </c>
      <c r="N2367" s="447" t="str">
        <f>VLOOKUP(Advices[[#This Row],[LC Number]],'Combine_List'!A:D,4,0)</f>
        <v>Rabigh Power Plant</v>
      </c>
      <c r="O2367" s="1"/>
      <c r="P2367" s="1">
        <f>MONTH(Advices[[#This Row],[Transaction Date]])</f>
        <v>4</v>
      </c>
      <c r="Q2367" s="1">
        <f>YEAR(Advices[[#This Row],[Transaction Date]])</f>
        <v>2026</v>
      </c>
      <c r="R2367" s="1"/>
    </row>
    <row r="2368" spans="1:18" x14ac:dyDescent="0.25">
      <c r="A2368" s="264" t="s">
        <v>21</v>
      </c>
      <c r="B2368" s="265">
        <v>46128</v>
      </c>
      <c r="C2368" s="266" t="s">
        <v>1951</v>
      </c>
      <c r="D2368" s="264" t="s">
        <v>4569</v>
      </c>
      <c r="E2368" s="264" t="s">
        <v>1767</v>
      </c>
      <c r="F2368" s="264" t="s">
        <v>4573</v>
      </c>
      <c r="G2368" s="266" t="s">
        <v>26</v>
      </c>
      <c r="H2368" s="299">
        <v>75</v>
      </c>
      <c r="I2368" s="266">
        <v>0</v>
      </c>
      <c r="J2368" s="264" t="s">
        <v>1963</v>
      </c>
      <c r="K2368" s="264" t="s">
        <v>2025</v>
      </c>
      <c r="L2368" s="1" t="str">
        <f>VLOOKUP(Advices[[#This Row],[LC Number]],'Combine_List'!A:D,2,0)</f>
        <v>Al Arabia Construction &amp; Building Co.</v>
      </c>
      <c r="M2368" s="447" t="str">
        <f>VLOOKUP(Advices[[#This Row],[LC Number]],'Combine_List'!A:D,3,0)</f>
        <v>MBL</v>
      </c>
      <c r="N2368" s="447" t="str">
        <f>VLOOKUP(Advices[[#This Row],[LC Number]],'Combine_List'!A:D,4,0)</f>
        <v>Rabigh Power Plant</v>
      </c>
      <c r="O2368" s="1"/>
      <c r="P2368" s="1">
        <f>MONTH(Advices[[#This Row],[Transaction Date]])</f>
        <v>4</v>
      </c>
      <c r="Q2368" s="1">
        <f>YEAR(Advices[[#This Row],[Transaction Date]])</f>
        <v>2026</v>
      </c>
      <c r="R2368" s="1"/>
    </row>
    <row r="2369" spans="1:18" x14ac:dyDescent="0.25">
      <c r="A2369" s="264" t="s">
        <v>21</v>
      </c>
      <c r="B2369" s="265">
        <v>46128</v>
      </c>
      <c r="C2369" s="266" t="s">
        <v>1951</v>
      </c>
      <c r="D2369" s="264" t="s">
        <v>4570</v>
      </c>
      <c r="E2369" s="264" t="s">
        <v>1767</v>
      </c>
      <c r="F2369" s="264" t="s">
        <v>4573</v>
      </c>
      <c r="G2369" s="266" t="s">
        <v>26</v>
      </c>
      <c r="H2369" s="299">
        <v>53670.59</v>
      </c>
      <c r="I2369" s="266">
        <v>0</v>
      </c>
      <c r="J2369" s="264" t="s">
        <v>1126</v>
      </c>
      <c r="K2369" s="264" t="s">
        <v>2025</v>
      </c>
      <c r="L2369" s="1" t="str">
        <f>VLOOKUP(Advices[[#This Row],[LC Number]],'Combine_List'!A:D,2,0)</f>
        <v>Al Arabia Construction &amp; Building Co.</v>
      </c>
      <c r="M2369" s="447" t="str">
        <f>VLOOKUP(Advices[[#This Row],[LC Number]],'Combine_List'!A:D,3,0)</f>
        <v>MBL</v>
      </c>
      <c r="N2369" s="447" t="str">
        <f>VLOOKUP(Advices[[#This Row],[LC Number]],'Combine_List'!A:D,4,0)</f>
        <v>Rabigh Power Plant</v>
      </c>
      <c r="O2369" s="1"/>
      <c r="P2369" s="1">
        <f>MONTH(Advices[[#This Row],[Transaction Date]])</f>
        <v>4</v>
      </c>
      <c r="Q2369" s="1">
        <f>YEAR(Advices[[#This Row],[Transaction Date]])</f>
        <v>2026</v>
      </c>
      <c r="R2369" s="1"/>
    </row>
    <row r="2370" spans="1:18" x14ac:dyDescent="0.25">
      <c r="A2370" s="264" t="s">
        <v>21</v>
      </c>
      <c r="B2370" s="265">
        <v>46128</v>
      </c>
      <c r="C2370" s="266" t="s">
        <v>1951</v>
      </c>
      <c r="D2370" s="264" t="s">
        <v>1952</v>
      </c>
      <c r="E2370" s="264" t="s">
        <v>1896</v>
      </c>
      <c r="F2370" s="264" t="s">
        <v>4749</v>
      </c>
      <c r="G2370" s="266" t="s">
        <v>26</v>
      </c>
      <c r="H2370" s="299">
        <v>187.5</v>
      </c>
      <c r="I2370" s="266">
        <v>0</v>
      </c>
      <c r="J2370" s="264" t="s">
        <v>1174</v>
      </c>
      <c r="K2370" s="264" t="s">
        <v>2025</v>
      </c>
      <c r="L2370" s="1" t="str">
        <f>VLOOKUP(Advices[[#This Row],[LC Number]],'Combine_List'!A:D,2,0)</f>
        <v>Saudi Perfect Pumps Trading &amp; Manufacturing Company</v>
      </c>
      <c r="M2370" s="447" t="str">
        <f>VLOOKUP(Advices[[#This Row],[LC Number]],'Combine_List'!A:D,3,0)</f>
        <v>MBL</v>
      </c>
      <c r="N2370" s="447" t="str">
        <f>VLOOKUP(Advices[[#This Row],[LC Number]],'Combine_List'!A:D,4,0)</f>
        <v>Rabigh Power Plant</v>
      </c>
      <c r="O2370" s="1"/>
      <c r="P2370" s="1">
        <f>MONTH(Advices[[#This Row],[Transaction Date]])</f>
        <v>4</v>
      </c>
      <c r="Q2370" s="1">
        <f>YEAR(Advices[[#This Row],[Transaction Date]])</f>
        <v>2026</v>
      </c>
      <c r="R2370" s="1"/>
    </row>
    <row r="2371" spans="1:18" x14ac:dyDescent="0.25">
      <c r="A2371" s="264" t="s">
        <v>21</v>
      </c>
      <c r="B2371" s="265">
        <v>46128</v>
      </c>
      <c r="C2371" s="266" t="s">
        <v>1951</v>
      </c>
      <c r="D2371" s="264" t="s">
        <v>4572</v>
      </c>
      <c r="E2371" s="264" t="s">
        <v>1896</v>
      </c>
      <c r="F2371" s="264" t="s">
        <v>4749</v>
      </c>
      <c r="G2371" s="266" t="s">
        <v>26</v>
      </c>
      <c r="H2371" s="299">
        <v>1250</v>
      </c>
      <c r="I2371" s="266">
        <v>0</v>
      </c>
      <c r="J2371" s="264" t="s">
        <v>1125</v>
      </c>
      <c r="K2371" s="264" t="s">
        <v>2025</v>
      </c>
      <c r="L2371" s="1" t="str">
        <f>VLOOKUP(Advices[[#This Row],[LC Number]],'Combine_List'!A:D,2,0)</f>
        <v>Saudi Perfect Pumps Trading &amp; Manufacturing Company</v>
      </c>
      <c r="M2371" s="447" t="str">
        <f>VLOOKUP(Advices[[#This Row],[LC Number]],'Combine_List'!A:D,3,0)</f>
        <v>MBL</v>
      </c>
      <c r="N2371" s="447" t="str">
        <f>VLOOKUP(Advices[[#This Row],[LC Number]],'Combine_List'!A:D,4,0)</f>
        <v>Rabigh Power Plant</v>
      </c>
      <c r="O2371" s="1"/>
      <c r="P2371" s="1">
        <f>MONTH(Advices[[#This Row],[Transaction Date]])</f>
        <v>4</v>
      </c>
      <c r="Q2371" s="1">
        <f>YEAR(Advices[[#This Row],[Transaction Date]])</f>
        <v>2026</v>
      </c>
      <c r="R2371" s="1"/>
    </row>
    <row r="2372" spans="1:18" x14ac:dyDescent="0.25">
      <c r="A2372" s="264" t="s">
        <v>21</v>
      </c>
      <c r="B2372" s="265">
        <v>46128</v>
      </c>
      <c r="C2372" s="266" t="s">
        <v>1951</v>
      </c>
      <c r="D2372" s="264" t="s">
        <v>1952</v>
      </c>
      <c r="E2372" s="264" t="s">
        <v>1896</v>
      </c>
      <c r="F2372" s="264" t="s">
        <v>4750</v>
      </c>
      <c r="G2372" s="266" t="s">
        <v>26</v>
      </c>
      <c r="H2372" s="299">
        <v>187.5</v>
      </c>
      <c r="I2372" s="266">
        <v>0</v>
      </c>
      <c r="J2372" s="264" t="s">
        <v>1174</v>
      </c>
      <c r="K2372" s="264" t="s">
        <v>2025</v>
      </c>
      <c r="L2372" s="1" t="str">
        <f>VLOOKUP(Advices[[#This Row],[LC Number]],'Combine_List'!A:D,2,0)</f>
        <v>Saudi Perfect Pumps Trading &amp; Manufacturing Company</v>
      </c>
      <c r="M2372" s="447" t="str">
        <f>VLOOKUP(Advices[[#This Row],[LC Number]],'Combine_List'!A:D,3,0)</f>
        <v>MBL</v>
      </c>
      <c r="N2372" s="447" t="str">
        <f>VLOOKUP(Advices[[#This Row],[LC Number]],'Combine_List'!A:D,4,0)</f>
        <v>Rabigh Power Plant</v>
      </c>
      <c r="O2372" s="1"/>
      <c r="P2372" s="1">
        <f>MONTH(Advices[[#This Row],[Transaction Date]])</f>
        <v>4</v>
      </c>
      <c r="Q2372" s="1">
        <f>YEAR(Advices[[#This Row],[Transaction Date]])</f>
        <v>2026</v>
      </c>
      <c r="R2372" s="1"/>
    </row>
    <row r="2373" spans="1:18" x14ac:dyDescent="0.25">
      <c r="A2373" s="264" t="s">
        <v>21</v>
      </c>
      <c r="B2373" s="265">
        <v>46128</v>
      </c>
      <c r="C2373" s="266" t="s">
        <v>1951</v>
      </c>
      <c r="D2373" s="264" t="s">
        <v>4572</v>
      </c>
      <c r="E2373" s="264" t="s">
        <v>1896</v>
      </c>
      <c r="F2373" s="264" t="s">
        <v>4750</v>
      </c>
      <c r="G2373" s="266" t="s">
        <v>26</v>
      </c>
      <c r="H2373" s="299">
        <v>1250</v>
      </c>
      <c r="I2373" s="266">
        <v>0</v>
      </c>
      <c r="J2373" s="264" t="s">
        <v>1125</v>
      </c>
      <c r="K2373" s="264" t="s">
        <v>2025</v>
      </c>
      <c r="L2373" s="1" t="str">
        <f>VLOOKUP(Advices[[#This Row],[LC Number]],'Combine_List'!A:D,2,0)</f>
        <v>Saudi Perfect Pumps Trading &amp; Manufacturing Company</v>
      </c>
      <c r="M2373" s="447" t="str">
        <f>VLOOKUP(Advices[[#This Row],[LC Number]],'Combine_List'!A:D,3,0)</f>
        <v>MBL</v>
      </c>
      <c r="N2373" s="447" t="str">
        <f>VLOOKUP(Advices[[#This Row],[LC Number]],'Combine_List'!A:D,4,0)</f>
        <v>Rabigh Power Plant</v>
      </c>
      <c r="O2373" s="1"/>
      <c r="P2373" s="1">
        <f>MONTH(Advices[[#This Row],[Transaction Date]])</f>
        <v>4</v>
      </c>
      <c r="Q2373" s="1">
        <f>YEAR(Advices[[#This Row],[Transaction Date]])</f>
        <v>2026</v>
      </c>
      <c r="R2373" s="1"/>
    </row>
    <row r="2374" spans="1:18" x14ac:dyDescent="0.25">
      <c r="A2374" s="264" t="s">
        <v>21</v>
      </c>
      <c r="B2374" s="265">
        <v>46128</v>
      </c>
      <c r="C2374" s="266" t="s">
        <v>1951</v>
      </c>
      <c r="D2374" s="264" t="s">
        <v>1960</v>
      </c>
      <c r="E2374" s="264" t="s">
        <v>1312</v>
      </c>
      <c r="F2374" s="264" t="s">
        <v>3628</v>
      </c>
      <c r="G2374" s="266" t="s">
        <v>26</v>
      </c>
      <c r="H2374" s="299">
        <v>11.25</v>
      </c>
      <c r="I2374" s="266">
        <v>0</v>
      </c>
      <c r="J2374" s="264" t="s">
        <v>1174</v>
      </c>
      <c r="K2374" s="264" t="s">
        <v>2025</v>
      </c>
      <c r="L2374" s="1" t="str">
        <f>VLOOKUP(Advices[[#This Row],[LC Number]],'Combine_List'!A:D,2,0)</f>
        <v>ALBYT ALTHAKI TRADING CO</v>
      </c>
      <c r="M2374" s="447" t="str">
        <f>VLOOKUP(Advices[[#This Row],[LC Number]],'Combine_List'!A:D,3,0)</f>
        <v>FIRST FIX</v>
      </c>
      <c r="N2374" s="447" t="str">
        <f>VLOOKUP(Advices[[#This Row],[LC Number]],'Combine_List'!A:D,4,0)</f>
        <v>KSP</v>
      </c>
      <c r="O2374" s="1"/>
      <c r="P2374" s="1">
        <f>MONTH(Advices[[#This Row],[Transaction Date]])</f>
        <v>4</v>
      </c>
      <c r="Q2374" s="1">
        <f>YEAR(Advices[[#This Row],[Transaction Date]])</f>
        <v>2026</v>
      </c>
      <c r="R2374" s="1"/>
    </row>
    <row r="2375" spans="1:18" x14ac:dyDescent="0.25">
      <c r="A2375" s="264" t="s">
        <v>21</v>
      </c>
      <c r="B2375" s="265">
        <v>46128</v>
      </c>
      <c r="C2375" s="266" t="s">
        <v>1951</v>
      </c>
      <c r="D2375" s="264" t="s">
        <v>1960</v>
      </c>
      <c r="E2375" s="264" t="s">
        <v>1767</v>
      </c>
      <c r="F2375" s="264" t="s">
        <v>4573</v>
      </c>
      <c r="G2375" s="266" t="s">
        <v>26</v>
      </c>
      <c r="H2375" s="299">
        <v>11.25</v>
      </c>
      <c r="I2375" s="266">
        <v>0</v>
      </c>
      <c r="J2375" s="264" t="s">
        <v>1174</v>
      </c>
      <c r="K2375" s="264" t="s">
        <v>2025</v>
      </c>
      <c r="L2375" s="1" t="str">
        <f>VLOOKUP(Advices[[#This Row],[LC Number]],'Combine_List'!A:D,2,0)</f>
        <v>Al Arabia Construction &amp; Building Co.</v>
      </c>
      <c r="M2375" s="447" t="str">
        <f>VLOOKUP(Advices[[#This Row],[LC Number]],'Combine_List'!A:D,3,0)</f>
        <v>MBL</v>
      </c>
      <c r="N2375" s="447" t="str">
        <f>VLOOKUP(Advices[[#This Row],[LC Number]],'Combine_List'!A:D,4,0)</f>
        <v>Rabigh Power Plant</v>
      </c>
      <c r="O2375" s="1"/>
      <c r="P2375" s="1">
        <f>MONTH(Advices[[#This Row],[Transaction Date]])</f>
        <v>4</v>
      </c>
      <c r="Q2375" s="1">
        <f>YEAR(Advices[[#This Row],[Transaction Date]])</f>
        <v>2026</v>
      </c>
      <c r="R2375" s="1"/>
    </row>
    <row r="2376" spans="1:18" x14ac:dyDescent="0.25">
      <c r="A2376" s="264" t="s">
        <v>21</v>
      </c>
      <c r="B2376" s="265">
        <v>46128</v>
      </c>
      <c r="C2376" s="266" t="s">
        <v>1951</v>
      </c>
      <c r="D2376" s="264" t="s">
        <v>4570</v>
      </c>
      <c r="E2376" s="264" t="s">
        <v>1312</v>
      </c>
      <c r="F2376" s="264" t="s">
        <v>3628</v>
      </c>
      <c r="G2376" s="266" t="s">
        <v>26</v>
      </c>
      <c r="H2376" s="299">
        <v>312132.31</v>
      </c>
      <c r="I2376" s="266">
        <v>0</v>
      </c>
      <c r="J2376" s="264" t="s">
        <v>1126</v>
      </c>
      <c r="K2376" s="264" t="s">
        <v>2025</v>
      </c>
      <c r="L2376" s="1" t="str">
        <f>VLOOKUP(Advices[[#This Row],[LC Number]],'Combine_List'!A:D,2,0)</f>
        <v>ALBYT ALTHAKI TRADING CO</v>
      </c>
      <c r="M2376" s="447" t="str">
        <f>VLOOKUP(Advices[[#This Row],[LC Number]],'Combine_List'!A:D,3,0)</f>
        <v>FIRST FIX</v>
      </c>
      <c r="N2376" s="447" t="str">
        <f>VLOOKUP(Advices[[#This Row],[LC Number]],'Combine_List'!A:D,4,0)</f>
        <v>KSP</v>
      </c>
      <c r="O2376" s="264"/>
      <c r="P2376" s="264">
        <f>MONTH(Advices[[#This Row],[Transaction Date]])</f>
        <v>4</v>
      </c>
      <c r="Q2376" s="264">
        <f>YEAR(Advices[[#This Row],[Transaction Date]])</f>
        <v>2026</v>
      </c>
      <c r="R2376" s="1"/>
    </row>
    <row r="2377" spans="1:18" hidden="1" x14ac:dyDescent="0.25">
      <c r="A2377" s="264" t="s">
        <v>62</v>
      </c>
      <c r="B2377" s="265">
        <v>46127</v>
      </c>
      <c r="C2377" s="266" t="s">
        <v>2042</v>
      </c>
      <c r="D2377" s="264" t="s">
        <v>4751</v>
      </c>
      <c r="E2377" s="264" t="s">
        <v>1045</v>
      </c>
      <c r="F2377" s="264" t="s">
        <v>2041</v>
      </c>
      <c r="G2377" s="266" t="s">
        <v>26</v>
      </c>
      <c r="H2377" s="299">
        <v>4897.8500000000004</v>
      </c>
      <c r="I2377" s="266">
        <v>0</v>
      </c>
      <c r="J2377" s="264" t="s">
        <v>2830</v>
      </c>
      <c r="K2377" s="264" t="s">
        <v>2025</v>
      </c>
      <c r="L2377" s="1" t="str">
        <f>VLOOKUP(Advices[[#This Row],[LC Number]],'Combine_List'!A:D,2,0)</f>
        <v>Performance - Neom Company</v>
      </c>
      <c r="M2377" s="447">
        <f>VLOOKUP(Advices[[#This Row],[LC Number]],'Combine_List'!A:D,3,0)</f>
        <v>0</v>
      </c>
      <c r="N2377" s="447" t="str">
        <f>VLOOKUP(Advices[[#This Row],[LC Number]],'Combine_List'!A:D,4,0)</f>
        <v>Neom - Bay Jetty</v>
      </c>
      <c r="O2377" s="1"/>
      <c r="P2377" s="1">
        <f>MONTH(Advices[[#This Row],[Transaction Date]])</f>
        <v>4</v>
      </c>
      <c r="Q2377" s="1">
        <f>YEAR(Advices[[#This Row],[Transaction Date]])</f>
        <v>2026</v>
      </c>
      <c r="R2377" s="1"/>
    </row>
    <row r="2378" spans="1:18" hidden="1" x14ac:dyDescent="0.25">
      <c r="A2378" s="264" t="s">
        <v>62</v>
      </c>
      <c r="B2378" s="265">
        <v>46128</v>
      </c>
      <c r="C2378" s="266" t="s">
        <v>2039</v>
      </c>
      <c r="D2378" s="264" t="s">
        <v>4752</v>
      </c>
      <c r="E2378" s="264" t="s">
        <v>4740</v>
      </c>
      <c r="F2378" s="264" t="s">
        <v>2041</v>
      </c>
      <c r="G2378" s="266" t="s">
        <v>26</v>
      </c>
      <c r="H2378" s="299">
        <v>955.65</v>
      </c>
      <c r="I2378" s="266">
        <v>0</v>
      </c>
      <c r="J2378" s="264" t="s">
        <v>3947</v>
      </c>
      <c r="K2378" s="264" t="s">
        <v>2025</v>
      </c>
      <c r="L2378" s="1" t="str">
        <f>VLOOKUP(Advices[[#This Row],[LC Number]],'Combine_List'!A:D,2,0)</f>
        <v>Bid - PRIVATE AFFAIRS OF THE CUSTODIAN OF THE TWO HOLY MOSQUES</v>
      </c>
      <c r="M2378" s="447">
        <f>VLOOKUP(Advices[[#This Row],[LC Number]],'Combine_List'!A:D,3,0)</f>
        <v>0</v>
      </c>
      <c r="N2378" s="447">
        <f>VLOOKUP(Advices[[#This Row],[LC Number]],'Combine_List'!A:D,4,0)</f>
        <v>0</v>
      </c>
      <c r="O2378" s="1"/>
      <c r="P2378" s="1">
        <f>MONTH(Advices[[#This Row],[Transaction Date]])</f>
        <v>4</v>
      </c>
      <c r="Q2378" s="1">
        <f>YEAR(Advices[[#This Row],[Transaction Date]])</f>
        <v>2026</v>
      </c>
      <c r="R2378" s="1"/>
    </row>
    <row r="2379" spans="1:18" hidden="1" x14ac:dyDescent="0.25">
      <c r="A2379" s="264" t="s">
        <v>62</v>
      </c>
      <c r="B2379" s="265">
        <v>46128</v>
      </c>
      <c r="C2379" s="266" t="s">
        <v>2039</v>
      </c>
      <c r="D2379" s="264" t="s">
        <v>4753</v>
      </c>
      <c r="E2379" s="264" t="s">
        <v>4743</v>
      </c>
      <c r="F2379" s="264" t="s">
        <v>2041</v>
      </c>
      <c r="G2379" s="266" t="s">
        <v>26</v>
      </c>
      <c r="H2379" s="299">
        <v>26867.45</v>
      </c>
      <c r="I2379" s="266">
        <v>0</v>
      </c>
      <c r="J2379" s="264" t="s">
        <v>3947</v>
      </c>
      <c r="K2379" s="264" t="s">
        <v>2025</v>
      </c>
      <c r="L2379" s="1" t="str">
        <f>VLOOKUP(Advices[[#This Row],[LC Number]],'Combine_List'!A:D,2,0)</f>
        <v>Bid - SHARJAH INTERNATIONAL AIRPORT AUTHORITY (SIAA)</v>
      </c>
      <c r="M2379" s="447">
        <f>VLOOKUP(Advices[[#This Row],[LC Number]],'Combine_List'!A:D,3,0)</f>
        <v>0</v>
      </c>
      <c r="N2379" s="447">
        <f>VLOOKUP(Advices[[#This Row],[LC Number]],'Combine_List'!A:D,4,0)</f>
        <v>0</v>
      </c>
      <c r="O2379" s="1"/>
      <c r="P2379" s="1">
        <f>MONTH(Advices[[#This Row],[Transaction Date]])</f>
        <v>4</v>
      </c>
      <c r="Q2379" s="1">
        <f>YEAR(Advices[[#This Row],[Transaction Date]])</f>
        <v>2026</v>
      </c>
      <c r="R2379" s="1"/>
    </row>
    <row r="2380" spans="1:18" hidden="1" x14ac:dyDescent="0.25">
      <c r="A2380" s="264" t="s">
        <v>62</v>
      </c>
      <c r="B2380" s="265">
        <v>46128</v>
      </c>
      <c r="C2380" s="266" t="s">
        <v>2042</v>
      </c>
      <c r="D2380" s="264" t="s">
        <v>4754</v>
      </c>
      <c r="E2380" s="264" t="s">
        <v>2920</v>
      </c>
      <c r="F2380" s="264" t="s">
        <v>2041</v>
      </c>
      <c r="G2380" s="266" t="s">
        <v>26</v>
      </c>
      <c r="H2380" s="299">
        <v>213314.65</v>
      </c>
      <c r="I2380" s="266">
        <v>0</v>
      </c>
      <c r="J2380" s="264" t="s">
        <v>4039</v>
      </c>
      <c r="K2380" s="264" t="s">
        <v>2025</v>
      </c>
      <c r="L2380" s="1" t="str">
        <f>VLOOKUP(Advices[[#This Row],[LC Number]],'Combine_List'!A:D,2,0)</f>
        <v>Advance - BRANCH OF ELSEWEDY ELECTRIC FOR POWER SYSTEMS PROJECTS</v>
      </c>
      <c r="M2380" s="447">
        <f>VLOOKUP(Advices[[#This Row],[LC Number]],'Combine_List'!A:D,3,0)</f>
        <v>0</v>
      </c>
      <c r="N2380" s="447">
        <f>VLOOKUP(Advices[[#This Row],[LC Number]],'Combine_List'!A:D,4,0)</f>
        <v>0</v>
      </c>
      <c r="O2380" s="1"/>
      <c r="P2380" s="1">
        <f>MONTH(Advices[[#This Row],[Transaction Date]])</f>
        <v>4</v>
      </c>
      <c r="Q2380" s="1">
        <f>YEAR(Advices[[#This Row],[Transaction Date]])</f>
        <v>2026</v>
      </c>
      <c r="R2380" s="1"/>
    </row>
    <row r="2381" spans="1:18" hidden="1" x14ac:dyDescent="0.25">
      <c r="A2381" s="264" t="s">
        <v>62</v>
      </c>
      <c r="B2381" s="265">
        <v>46128</v>
      </c>
      <c r="C2381" s="266" t="s">
        <v>2039</v>
      </c>
      <c r="D2381" s="264" t="s">
        <v>4755</v>
      </c>
      <c r="E2381" s="264" t="s">
        <v>4741</v>
      </c>
      <c r="F2381" s="264" t="s">
        <v>2041</v>
      </c>
      <c r="G2381" s="266" t="s">
        <v>26</v>
      </c>
      <c r="H2381" s="299">
        <v>93459.35</v>
      </c>
      <c r="I2381" s="266">
        <v>0</v>
      </c>
      <c r="J2381" s="264" t="s">
        <v>4039</v>
      </c>
      <c r="K2381" s="264" t="s">
        <v>2025</v>
      </c>
      <c r="L2381" s="1" t="str">
        <f>VLOOKUP(Advices[[#This Row],[LC Number]],'Combine_List'!A:D,2,0)</f>
        <v>Advance - PRIVATE AFFAIRS OF THE CUSTODIAN OF THE TWO HOLY MOSQUES</v>
      </c>
      <c r="M2381" s="447">
        <f>VLOOKUP(Advices[[#This Row],[LC Number]],'Combine_List'!A:D,3,0)</f>
        <v>0</v>
      </c>
      <c r="N2381" s="447">
        <f>VLOOKUP(Advices[[#This Row],[LC Number]],'Combine_List'!A:D,4,0)</f>
        <v>0</v>
      </c>
      <c r="O2381" s="264"/>
      <c r="P2381" s="264">
        <f>MONTH(Advices[[#This Row],[Transaction Date]])</f>
        <v>4</v>
      </c>
      <c r="Q2381" s="264">
        <f>YEAR(Advices[[#This Row],[Transaction Date]])</f>
        <v>2026</v>
      </c>
      <c r="R2381" s="1"/>
    </row>
    <row r="2382" spans="1:18" hidden="1" x14ac:dyDescent="0.25">
      <c r="A2382" s="264" t="s">
        <v>95</v>
      </c>
      <c r="B2382" s="265">
        <v>46128</v>
      </c>
      <c r="C2382" s="266" t="s">
        <v>2026</v>
      </c>
      <c r="D2382" s="264" t="s">
        <v>4386</v>
      </c>
      <c r="E2382" s="264" t="s">
        <v>4205</v>
      </c>
      <c r="F2382" s="264" t="s">
        <v>4387</v>
      </c>
      <c r="G2382" s="266" t="s">
        <v>26</v>
      </c>
      <c r="H2382" s="299">
        <v>1696396.06</v>
      </c>
      <c r="I2382" s="266">
        <v>0</v>
      </c>
      <c r="J2382" s="264" t="s">
        <v>1126</v>
      </c>
      <c r="K2382" s="264" t="s">
        <v>2025</v>
      </c>
      <c r="L2382" s="1" t="str">
        <f>VLOOKUP(Advices[[#This Row],[LC Number]],'Combine_List'!A:D,2,0)</f>
        <v>High Al Shuhra Contracting Company</v>
      </c>
      <c r="M2382" s="447" t="str">
        <f>VLOOKUP(Advices[[#This Row],[LC Number]],'Combine_List'!A:D,3,0)</f>
        <v>MBL</v>
      </c>
      <c r="N2382" s="447" t="str">
        <f>VLOOKUP(Advices[[#This Row],[LC Number]],'Combine_List'!A:D,4,0)</f>
        <v>Rabigh Power Plant</v>
      </c>
      <c r="O2382" s="1"/>
      <c r="P2382" s="1">
        <f>MONTH(Advices[[#This Row],[Transaction Date]])</f>
        <v>4</v>
      </c>
      <c r="Q2382" s="1">
        <f>YEAR(Advices[[#This Row],[Transaction Date]])</f>
        <v>2026</v>
      </c>
      <c r="R2382" s="1"/>
    </row>
    <row r="2383" spans="1:18" hidden="1" x14ac:dyDescent="0.25">
      <c r="A2383" s="264" t="s">
        <v>95</v>
      </c>
      <c r="B2383" s="265">
        <v>46128</v>
      </c>
      <c r="C2383" s="266" t="s">
        <v>4756</v>
      </c>
      <c r="D2383" s="264" t="s">
        <v>4757</v>
      </c>
      <c r="E2383" s="264" t="s">
        <v>4758</v>
      </c>
      <c r="F2383" s="264" t="s">
        <v>4758</v>
      </c>
      <c r="G2383" s="266"/>
      <c r="H2383" s="299">
        <v>0</v>
      </c>
      <c r="I2383" s="266">
        <v>1168630.3500000001</v>
      </c>
      <c r="J2383" s="264"/>
      <c r="K2383" s="264" t="s">
        <v>3083</v>
      </c>
      <c r="L2383" s="1" t="e">
        <f>VLOOKUP(Advices[[#This Row],[LC Number]],'Combine_List'!A:D,2,0)</f>
        <v>#N/A</v>
      </c>
      <c r="M2383" s="447" t="e">
        <f>VLOOKUP(Advices[[#This Row],[LC Number]],'Combine_List'!A:D,3,0)</f>
        <v>#N/A</v>
      </c>
      <c r="N2383" s="447" t="e">
        <f>VLOOKUP(Advices[[#This Row],[LC Number]],'Combine_List'!A:D,4,0)</f>
        <v>#N/A</v>
      </c>
      <c r="O2383" s="264"/>
      <c r="P2383" s="264">
        <f>MONTH(Advices[[#This Row],[Transaction Date]])</f>
        <v>4</v>
      </c>
      <c r="Q2383" s="264">
        <f>YEAR(Advices[[#This Row],[Transaction Date]])</f>
        <v>2026</v>
      </c>
      <c r="R2383" s="1"/>
    </row>
    <row r="2384" spans="1:18" hidden="1" x14ac:dyDescent="0.25">
      <c r="A2384" s="264" t="s">
        <v>366</v>
      </c>
      <c r="B2384" s="265">
        <v>46127</v>
      </c>
      <c r="C2384" s="266" t="s">
        <v>2060</v>
      </c>
      <c r="D2384" s="264" t="s">
        <v>4759</v>
      </c>
      <c r="E2384" s="264" t="s">
        <v>4738</v>
      </c>
      <c r="F2384" s="264" t="s">
        <v>4738</v>
      </c>
      <c r="G2384" s="266" t="s">
        <v>26</v>
      </c>
      <c r="H2384" s="299">
        <v>1150</v>
      </c>
      <c r="I2384" s="266">
        <v>0</v>
      </c>
      <c r="J2384" s="264" t="s">
        <v>4771</v>
      </c>
      <c r="K2384" s="264" t="s">
        <v>2025</v>
      </c>
      <c r="L2384" s="1" t="str">
        <f>VLOOKUP(Advices[[#This Row],[LC Number]],'Combine_List'!A:D,2,0)</f>
        <v>Performance - DIRIYAH COMPANY</v>
      </c>
      <c r="M2384" s="447">
        <f>VLOOKUP(Advices[[#This Row],[LC Number]],'Combine_List'!A:D,3,0)</f>
        <v>0</v>
      </c>
      <c r="N2384" s="447">
        <f>VLOOKUP(Advices[[#This Row],[LC Number]],'Combine_List'!A:D,4,0)</f>
        <v>0</v>
      </c>
      <c r="O2384" s="1"/>
      <c r="P2384" s="1">
        <f>MONTH(Advices[[#This Row],[Transaction Date]])</f>
        <v>4</v>
      </c>
      <c r="Q2384" s="1">
        <f>YEAR(Advices[[#This Row],[Transaction Date]])</f>
        <v>2026</v>
      </c>
      <c r="R2384" s="1"/>
    </row>
    <row r="2385" spans="1:18" hidden="1" x14ac:dyDescent="0.25">
      <c r="A2385" s="264" t="s">
        <v>366</v>
      </c>
      <c r="B2385" s="265">
        <v>46127</v>
      </c>
      <c r="C2385" s="266" t="s">
        <v>2060</v>
      </c>
      <c r="D2385" s="264" t="s">
        <v>4760</v>
      </c>
      <c r="E2385" s="264" t="s">
        <v>4738</v>
      </c>
      <c r="F2385" s="264" t="s">
        <v>4738</v>
      </c>
      <c r="G2385" s="266" t="s">
        <v>26</v>
      </c>
      <c r="H2385" s="299">
        <v>350032.18</v>
      </c>
      <c r="I2385" s="266">
        <v>0</v>
      </c>
      <c r="J2385" s="264" t="s">
        <v>4771</v>
      </c>
      <c r="K2385" s="264" t="s">
        <v>2025</v>
      </c>
      <c r="L2385" s="1" t="str">
        <f>VLOOKUP(Advices[[#This Row],[LC Number]],'Combine_List'!A:D,2,0)</f>
        <v>Performance - DIRIYAH COMPANY</v>
      </c>
      <c r="M2385" s="447">
        <f>VLOOKUP(Advices[[#This Row],[LC Number]],'Combine_List'!A:D,3,0)</f>
        <v>0</v>
      </c>
      <c r="N2385" s="447">
        <f>VLOOKUP(Advices[[#This Row],[LC Number]],'Combine_List'!A:D,4,0)</f>
        <v>0</v>
      </c>
      <c r="O2385" s="1"/>
      <c r="P2385" s="1">
        <f>MONTH(Advices[[#This Row],[Transaction Date]])</f>
        <v>4</v>
      </c>
      <c r="Q2385" s="1">
        <f>YEAR(Advices[[#This Row],[Transaction Date]])</f>
        <v>2026</v>
      </c>
      <c r="R2385" s="1"/>
    </row>
    <row r="2386" spans="1:18" hidden="1" x14ac:dyDescent="0.25">
      <c r="A2386" s="264" t="s">
        <v>366</v>
      </c>
      <c r="B2386" s="265">
        <v>46128</v>
      </c>
      <c r="C2386" s="266" t="s">
        <v>2060</v>
      </c>
      <c r="D2386" s="264" t="s">
        <v>4761</v>
      </c>
      <c r="E2386" s="264" t="s">
        <v>4738</v>
      </c>
      <c r="F2386" s="264" t="s">
        <v>4738</v>
      </c>
      <c r="G2386" s="266" t="s">
        <v>26</v>
      </c>
      <c r="H2386" s="299">
        <v>52504.83</v>
      </c>
      <c r="I2386" s="266">
        <v>0</v>
      </c>
      <c r="J2386" s="264" t="s">
        <v>4771</v>
      </c>
      <c r="K2386" s="264" t="s">
        <v>2025</v>
      </c>
      <c r="L2386" s="1" t="str">
        <f>VLOOKUP(Advices[[#This Row],[LC Number]],'Combine_List'!A:D,2,0)</f>
        <v>Performance - DIRIYAH COMPANY</v>
      </c>
      <c r="M2386" s="447">
        <f>VLOOKUP(Advices[[#This Row],[LC Number]],'Combine_List'!A:D,3,0)</f>
        <v>0</v>
      </c>
      <c r="N2386" s="447">
        <f>VLOOKUP(Advices[[#This Row],[LC Number]],'Combine_List'!A:D,4,0)</f>
        <v>0</v>
      </c>
      <c r="O2386" s="1"/>
      <c r="P2386" s="1">
        <f>MONTH(Advices[[#This Row],[Transaction Date]])</f>
        <v>4</v>
      </c>
      <c r="Q2386" s="1">
        <f>YEAR(Advices[[#This Row],[Transaction Date]])</f>
        <v>2026</v>
      </c>
      <c r="R2386" s="1"/>
    </row>
    <row r="2387" spans="1:18" hidden="1" x14ac:dyDescent="0.25">
      <c r="A2387" s="264" t="s">
        <v>366</v>
      </c>
      <c r="B2387" s="265">
        <v>46128</v>
      </c>
      <c r="C2387" s="266" t="s">
        <v>2060</v>
      </c>
      <c r="D2387" s="264" t="s">
        <v>4762</v>
      </c>
      <c r="E2387" s="264" t="s">
        <v>4250</v>
      </c>
      <c r="F2387" s="264" t="s">
        <v>4763</v>
      </c>
      <c r="G2387" s="266" t="s">
        <v>26</v>
      </c>
      <c r="H2387" s="299">
        <v>839.42</v>
      </c>
      <c r="I2387" s="266">
        <v>0</v>
      </c>
      <c r="J2387" s="264" t="s">
        <v>1125</v>
      </c>
      <c r="K2387" s="264" t="s">
        <v>2025</v>
      </c>
      <c r="L2387" s="1" t="str">
        <f>VLOOKUP(Advices[[#This Row],[LC Number]],'Combine_List'!A:D,2,0)</f>
        <v>Ajzal United for Safety CO.LTD.</v>
      </c>
      <c r="M2387" s="447" t="str">
        <f>VLOOKUP(Advices[[#This Row],[LC Number]],'Combine_List'!A:D,3,0)</f>
        <v>FIRST FIX</v>
      </c>
      <c r="N2387" s="447" t="str">
        <f>VLOOKUP(Advices[[#This Row],[LC Number]],'Combine_List'!A:D,4,0)</f>
        <v>MP1</v>
      </c>
      <c r="O2387" s="1"/>
      <c r="P2387" s="1">
        <f>MONTH(Advices[[#This Row],[Transaction Date]])</f>
        <v>4</v>
      </c>
      <c r="Q2387" s="1">
        <f>YEAR(Advices[[#This Row],[Transaction Date]])</f>
        <v>2026</v>
      </c>
      <c r="R2387" s="1"/>
    </row>
    <row r="2388" spans="1:18" hidden="1" x14ac:dyDescent="0.25">
      <c r="A2388" s="264" t="s">
        <v>366</v>
      </c>
      <c r="B2388" s="265">
        <v>46128</v>
      </c>
      <c r="C2388" s="266" t="s">
        <v>2060</v>
      </c>
      <c r="D2388" s="264" t="s">
        <v>4764</v>
      </c>
      <c r="E2388" s="264" t="s">
        <v>2236</v>
      </c>
      <c r="F2388" s="264" t="s">
        <v>4765</v>
      </c>
      <c r="G2388" s="266" t="s">
        <v>26</v>
      </c>
      <c r="H2388" s="299">
        <v>916.02</v>
      </c>
      <c r="I2388" s="266">
        <v>0</v>
      </c>
      <c r="J2388" s="264" t="s">
        <v>1125</v>
      </c>
      <c r="K2388" s="264" t="s">
        <v>2025</v>
      </c>
      <c r="L2388" s="1" t="str">
        <f>VLOOKUP(Advices[[#This Row],[LC Number]],'Combine_List'!A:D,2,0)</f>
        <v>Building System Intelligent Est.</v>
      </c>
      <c r="M2388" s="447" t="str">
        <f>VLOOKUP(Advices[[#This Row],[LC Number]],'Combine_List'!A:D,3,0)</f>
        <v>FIRST FIX</v>
      </c>
      <c r="N2388" s="447" t="str">
        <f>VLOOKUP(Advices[[#This Row],[LC Number]],'Combine_List'!A:D,4,0)</f>
        <v>MP1</v>
      </c>
      <c r="O2388" s="264"/>
      <c r="P2388" s="264">
        <f>MONTH(Advices[[#This Row],[Transaction Date]])</f>
        <v>4</v>
      </c>
      <c r="Q2388" s="264">
        <f>YEAR(Advices[[#This Row],[Transaction Date]])</f>
        <v>2026</v>
      </c>
      <c r="R2388" s="1"/>
    </row>
    <row r="2389" spans="1:18" hidden="1" x14ac:dyDescent="0.25">
      <c r="A2389" s="264" t="s">
        <v>612</v>
      </c>
      <c r="B2389" s="265">
        <v>46128</v>
      </c>
      <c r="C2389" s="266" t="s">
        <v>2101</v>
      </c>
      <c r="D2389" s="264" t="s">
        <v>4766</v>
      </c>
      <c r="E2389" s="264" t="s">
        <v>1810</v>
      </c>
      <c r="F2389" s="1" t="s">
        <v>1810</v>
      </c>
      <c r="G2389" s="266" t="s">
        <v>26</v>
      </c>
      <c r="H2389" s="299">
        <v>200</v>
      </c>
      <c r="I2389" s="266">
        <v>0</v>
      </c>
      <c r="J2389" s="264" t="s">
        <v>1124</v>
      </c>
      <c r="K2389" s="264" t="s">
        <v>2025</v>
      </c>
      <c r="L2389" s="1" t="str">
        <f>VLOOKUP(Advices[[#This Row],[LC Number]],'Combine_List'!A:D,2,0)</f>
        <v>AL FALWA CO. LTD. FOR READYMIX CONCRETE</v>
      </c>
      <c r="M2389" s="447" t="str">
        <f>VLOOKUP(Advices[[#This Row],[LC Number]],'Combine_List'!A:D,3,0)</f>
        <v>MBL</v>
      </c>
      <c r="N2389" s="447" t="str">
        <f>VLOOKUP(Advices[[#This Row],[LC Number]],'Combine_List'!A:D,4,0)</f>
        <v>RCRC</v>
      </c>
      <c r="O2389" s="1"/>
      <c r="P2389" s="1">
        <f>MONTH(Advices[[#This Row],[Transaction Date]])</f>
        <v>4</v>
      </c>
      <c r="Q2389" s="1">
        <f>YEAR(Advices[[#This Row],[Transaction Date]])</f>
        <v>2026</v>
      </c>
      <c r="R2389" s="1"/>
    </row>
    <row r="2390" spans="1:18" hidden="1" x14ac:dyDescent="0.25">
      <c r="A2390" s="264" t="s">
        <v>612</v>
      </c>
      <c r="B2390" s="265">
        <v>46128</v>
      </c>
      <c r="C2390" s="266" t="s">
        <v>2101</v>
      </c>
      <c r="D2390" s="264" t="s">
        <v>4767</v>
      </c>
      <c r="E2390" s="264" t="s">
        <v>1810</v>
      </c>
      <c r="F2390" s="1" t="s">
        <v>1810</v>
      </c>
      <c r="G2390" s="266" t="s">
        <v>26</v>
      </c>
      <c r="H2390" s="299">
        <v>39801.599999999999</v>
      </c>
      <c r="I2390" s="266">
        <v>0</v>
      </c>
      <c r="J2390" s="264" t="s">
        <v>1124</v>
      </c>
      <c r="K2390" s="264" t="s">
        <v>2025</v>
      </c>
      <c r="L2390" s="1" t="str">
        <f>VLOOKUP(Advices[[#This Row],[LC Number]],'Combine_List'!A:D,2,0)</f>
        <v>AL FALWA CO. LTD. FOR READYMIX CONCRETE</v>
      </c>
      <c r="M2390" s="447" t="str">
        <f>VLOOKUP(Advices[[#This Row],[LC Number]],'Combine_List'!A:D,3,0)</f>
        <v>MBL</v>
      </c>
      <c r="N2390" s="447" t="str">
        <f>VLOOKUP(Advices[[#This Row],[LC Number]],'Combine_List'!A:D,4,0)</f>
        <v>RCRC</v>
      </c>
      <c r="O2390" s="1"/>
      <c r="P2390" s="1">
        <f>MONTH(Advices[[#This Row],[Transaction Date]])</f>
        <v>4</v>
      </c>
      <c r="Q2390" s="1">
        <f>YEAR(Advices[[#This Row],[Transaction Date]])</f>
        <v>2026</v>
      </c>
      <c r="R2390" s="1"/>
    </row>
    <row r="2391" spans="1:18" hidden="1" x14ac:dyDescent="0.25">
      <c r="A2391" s="264" t="s">
        <v>612</v>
      </c>
      <c r="B2391" s="265">
        <v>46128</v>
      </c>
      <c r="C2391" s="266" t="s">
        <v>2101</v>
      </c>
      <c r="D2391" s="264" t="s">
        <v>4768</v>
      </c>
      <c r="E2391" s="264" t="s">
        <v>1810</v>
      </c>
      <c r="F2391" s="1" t="s">
        <v>1810</v>
      </c>
      <c r="G2391" s="266" t="s">
        <v>26</v>
      </c>
      <c r="H2391" s="299">
        <v>5970.24</v>
      </c>
      <c r="I2391" s="266">
        <v>0</v>
      </c>
      <c r="J2391" s="264" t="s">
        <v>1174</v>
      </c>
      <c r="K2391" s="264" t="s">
        <v>2025</v>
      </c>
      <c r="L2391" s="1" t="str">
        <f>VLOOKUP(Advices[[#This Row],[LC Number]],'Combine_List'!A:D,2,0)</f>
        <v>AL FALWA CO. LTD. FOR READYMIX CONCRETE</v>
      </c>
      <c r="M2391" s="447" t="str">
        <f>VLOOKUP(Advices[[#This Row],[LC Number]],'Combine_List'!A:D,3,0)</f>
        <v>MBL</v>
      </c>
      <c r="N2391" s="447" t="str">
        <f>VLOOKUP(Advices[[#This Row],[LC Number]],'Combine_List'!A:D,4,0)</f>
        <v>RCRC</v>
      </c>
      <c r="O2391" s="1"/>
      <c r="P2391" s="1">
        <f>MONTH(Advices[[#This Row],[Transaction Date]])</f>
        <v>4</v>
      </c>
      <c r="Q2391" s="1">
        <f>YEAR(Advices[[#This Row],[Transaction Date]])</f>
        <v>2026</v>
      </c>
      <c r="R2391" s="1"/>
    </row>
    <row r="2392" spans="1:18" hidden="1" x14ac:dyDescent="0.25">
      <c r="A2392" s="264" t="s">
        <v>612</v>
      </c>
      <c r="B2392" s="265">
        <v>46128</v>
      </c>
      <c r="C2392" s="266" t="s">
        <v>2101</v>
      </c>
      <c r="D2392" s="264" t="s">
        <v>4769</v>
      </c>
      <c r="E2392" s="264" t="s">
        <v>1810</v>
      </c>
      <c r="F2392" s="1" t="s">
        <v>1810</v>
      </c>
      <c r="G2392" s="266" t="s">
        <v>26</v>
      </c>
      <c r="H2392" s="299">
        <v>30</v>
      </c>
      <c r="I2392" s="266">
        <v>0</v>
      </c>
      <c r="J2392" s="264" t="s">
        <v>1174</v>
      </c>
      <c r="K2392" s="264" t="s">
        <v>2025</v>
      </c>
      <c r="L2392" s="1" t="str">
        <f>VLOOKUP(Advices[[#This Row],[LC Number]],'Combine_List'!A:D,2,0)</f>
        <v>AL FALWA CO. LTD. FOR READYMIX CONCRETE</v>
      </c>
      <c r="M2392" s="447" t="str">
        <f>VLOOKUP(Advices[[#This Row],[LC Number]],'Combine_List'!A:D,3,0)</f>
        <v>MBL</v>
      </c>
      <c r="N2392" s="447" t="str">
        <f>VLOOKUP(Advices[[#This Row],[LC Number]],'Combine_List'!A:D,4,0)</f>
        <v>RCRC</v>
      </c>
      <c r="O2392" s="264"/>
      <c r="P2392" s="264">
        <f>MONTH(Advices[[#This Row],[Transaction Date]])</f>
        <v>4</v>
      </c>
      <c r="Q2392" s="264">
        <f>YEAR(Advices[[#This Row],[Transaction Date]])</f>
        <v>2026</v>
      </c>
      <c r="R2392" s="1"/>
    </row>
    <row r="2393" spans="1:18" hidden="1" x14ac:dyDescent="0.25">
      <c r="A2393" s="264" t="s">
        <v>62</v>
      </c>
      <c r="B2393" s="265">
        <v>46131</v>
      </c>
      <c r="C2393" s="266" t="s">
        <v>2039</v>
      </c>
      <c r="D2393" s="264" t="s">
        <v>4772</v>
      </c>
      <c r="E2393" s="264" t="s">
        <v>3807</v>
      </c>
      <c r="F2393" s="264" t="s">
        <v>2041</v>
      </c>
      <c r="G2393" s="266" t="s">
        <v>26</v>
      </c>
      <c r="H2393" s="299">
        <v>0</v>
      </c>
      <c r="I2393" s="266">
        <v>399001.7</v>
      </c>
      <c r="J2393" s="264" t="s">
        <v>4780</v>
      </c>
      <c r="K2393" s="264" t="s">
        <v>2025</v>
      </c>
      <c r="L2393" s="1" t="str">
        <f>VLOOKUP(Advices[[#This Row],[LC Number]],'Combine_List'!A:D,2,0)</f>
        <v>Performance - ELSEWEDY ELECTRIC FOR POWER SYSTEMS</v>
      </c>
      <c r="M2393" s="447" t="str">
        <f>VLOOKUP(Advices[[#This Row],[LC Number]],'Combine_List'!A:D,3,0)</f>
        <v>MBL</v>
      </c>
      <c r="N2393" s="447" t="str">
        <f>VLOOKUP(Advices[[#This Row],[LC Number]],'Combine_List'!A:D,4,0)</f>
        <v>RRPP-2</v>
      </c>
      <c r="O2393" s="264"/>
      <c r="P2393" s="264">
        <f>MONTH(Advices[[#This Row],[Transaction Date]])</f>
        <v>4</v>
      </c>
      <c r="Q2393" s="264">
        <f>YEAR(Advices[[#This Row],[Transaction Date]])</f>
        <v>2026</v>
      </c>
      <c r="R2393" s="1"/>
    </row>
    <row r="2394" spans="1:18" hidden="1" x14ac:dyDescent="0.25">
      <c r="A2394" s="264" t="s">
        <v>95</v>
      </c>
      <c r="B2394" s="265">
        <v>46131</v>
      </c>
      <c r="C2394" s="266" t="s">
        <v>2026</v>
      </c>
      <c r="D2394" s="264" t="s">
        <v>4773</v>
      </c>
      <c r="E2394" s="264" t="s">
        <v>1446</v>
      </c>
      <c r="F2394" s="264" t="s">
        <v>4774</v>
      </c>
      <c r="G2394" s="266" t="s">
        <v>26</v>
      </c>
      <c r="H2394" s="299">
        <v>809278</v>
      </c>
      <c r="I2394" s="266">
        <v>0</v>
      </c>
      <c r="J2394" s="264" t="s">
        <v>1126</v>
      </c>
      <c r="K2394" s="264" t="s">
        <v>2025</v>
      </c>
      <c r="L2394" s="1" t="str">
        <f>VLOOKUP(Advices[[#This Row],[LC Number]],'Combine_List'!A:D,2,0)</f>
        <v>Al Arabia Construction &amp; Building Co.</v>
      </c>
      <c r="M2394" s="447" t="str">
        <f>VLOOKUP(Advices[[#This Row],[LC Number]],'Combine_List'!A:D,3,0)</f>
        <v>MBL</v>
      </c>
      <c r="N2394" s="447" t="str">
        <f>VLOOKUP(Advices[[#This Row],[LC Number]],'Combine_List'!A:D,4,0)</f>
        <v>Rabigh Power Plant</v>
      </c>
      <c r="O2394" s="264"/>
      <c r="P2394" s="264">
        <f>MONTH(Advices[[#This Row],[Transaction Date]])</f>
        <v>4</v>
      </c>
      <c r="Q2394" s="264">
        <f>YEAR(Advices[[#This Row],[Transaction Date]])</f>
        <v>2026</v>
      </c>
      <c r="R2394" s="1"/>
    </row>
    <row r="2395" spans="1:18" hidden="1" x14ac:dyDescent="0.25">
      <c r="A2395" s="264" t="s">
        <v>366</v>
      </c>
      <c r="B2395" s="265">
        <v>46131</v>
      </c>
      <c r="C2395" s="266" t="s">
        <v>2060</v>
      </c>
      <c r="D2395" s="264" t="s">
        <v>4775</v>
      </c>
      <c r="E2395" s="264" t="s">
        <v>1672</v>
      </c>
      <c r="F2395" s="264" t="s">
        <v>4228</v>
      </c>
      <c r="G2395" s="266" t="s">
        <v>26</v>
      </c>
      <c r="H2395" s="299">
        <v>45901.760000000002</v>
      </c>
      <c r="I2395" s="266">
        <v>0</v>
      </c>
      <c r="J2395" s="264" t="s">
        <v>1126</v>
      </c>
      <c r="K2395" s="264" t="s">
        <v>2025</v>
      </c>
      <c r="L2395" s="1" t="str">
        <f>VLOOKUP(Advices[[#This Row],[LC Number]],'Combine_List'!A:D,2,0)</f>
        <v>Systemair for Electrical Equipment Co.</v>
      </c>
      <c r="M2395" s="447" t="str">
        <f>VLOOKUP(Advices[[#This Row],[LC Number]],'Combine_List'!A:D,3,0)</f>
        <v>FIRST FIX</v>
      </c>
      <c r="N2395" s="447" t="str">
        <f>VLOOKUP(Advices[[#This Row],[LC Number]],'Combine_List'!A:D,4,0)</f>
        <v>CEER</v>
      </c>
      <c r="O2395" s="1"/>
      <c r="P2395" s="1">
        <f>MONTH(Advices[[#This Row],[Transaction Date]])</f>
        <v>4</v>
      </c>
      <c r="Q2395" s="1">
        <f>YEAR(Advices[[#This Row],[Transaction Date]])</f>
        <v>2026</v>
      </c>
      <c r="R2395" s="1"/>
    </row>
    <row r="2396" spans="1:18" hidden="1" x14ac:dyDescent="0.25">
      <c r="A2396" s="264" t="s">
        <v>366</v>
      </c>
      <c r="B2396" s="265">
        <v>46131</v>
      </c>
      <c r="C2396" s="266" t="s">
        <v>2057</v>
      </c>
      <c r="D2396" s="264" t="s">
        <v>4776</v>
      </c>
      <c r="E2396" s="264" t="s">
        <v>1664</v>
      </c>
      <c r="F2396" s="264" t="s">
        <v>4777</v>
      </c>
      <c r="G2396" s="266" t="s">
        <v>26</v>
      </c>
      <c r="H2396" s="299">
        <v>380.66</v>
      </c>
      <c r="I2396" s="266">
        <v>0</v>
      </c>
      <c r="J2396" s="264" t="s">
        <v>1125</v>
      </c>
      <c r="K2396" s="264" t="s">
        <v>2025</v>
      </c>
      <c r="L2396" s="1" t="str">
        <f>VLOOKUP(Advices[[#This Row],[LC Number]],'Combine_List'!A:D,2,0)</f>
        <v>AC SOLUTIONS TRADING CO</v>
      </c>
      <c r="M2396" s="447" t="str">
        <f>VLOOKUP(Advices[[#This Row],[LC Number]],'Combine_List'!A:D,3,0)</f>
        <v>FIRST FIX</v>
      </c>
      <c r="N2396" s="447" t="str">
        <f>VLOOKUP(Advices[[#This Row],[LC Number]],'Combine_List'!A:D,4,0)</f>
        <v>CEER</v>
      </c>
      <c r="O2396" s="1"/>
      <c r="P2396" s="1">
        <f>MONTH(Advices[[#This Row],[Transaction Date]])</f>
        <v>4</v>
      </c>
      <c r="Q2396" s="1">
        <f>YEAR(Advices[[#This Row],[Transaction Date]])</f>
        <v>2026</v>
      </c>
      <c r="R2396" s="1"/>
    </row>
    <row r="2397" spans="1:18" hidden="1" x14ac:dyDescent="0.25">
      <c r="A2397" s="264" t="s">
        <v>366</v>
      </c>
      <c r="B2397" s="265">
        <v>46131</v>
      </c>
      <c r="C2397" s="266" t="s">
        <v>2060</v>
      </c>
      <c r="D2397" s="264" t="s">
        <v>4778</v>
      </c>
      <c r="E2397" s="264" t="s">
        <v>4251</v>
      </c>
      <c r="F2397" s="264" t="s">
        <v>4779</v>
      </c>
      <c r="G2397" s="266" t="s">
        <v>26</v>
      </c>
      <c r="H2397" s="299">
        <v>5646.21</v>
      </c>
      <c r="I2397" s="266">
        <v>0</v>
      </c>
      <c r="J2397" s="264" t="s">
        <v>1125</v>
      </c>
      <c r="K2397" s="264" t="s">
        <v>2025</v>
      </c>
      <c r="L2397" s="1" t="str">
        <f>VLOOKUP(Advices[[#This Row],[LC Number]],'Combine_List'!A:D,2,0)</f>
        <v>Al NAKHEEL FOR TRADING COMPANY</v>
      </c>
      <c r="M2397" s="447" t="str">
        <f>VLOOKUP(Advices[[#This Row],[LC Number]],'Combine_List'!A:D,3,0)</f>
        <v>FIRST FIX</v>
      </c>
      <c r="N2397" s="447" t="str">
        <f>VLOOKUP(Advices[[#This Row],[LC Number]],'Combine_List'!A:D,4,0)</f>
        <v>MP1</v>
      </c>
      <c r="O2397" s="264"/>
      <c r="P2397" s="264">
        <f>MONTH(Advices[[#This Row],[Transaction Date]])</f>
        <v>4</v>
      </c>
      <c r="Q2397" s="264">
        <f>YEAR(Advices[[#This Row],[Transaction Date]])</f>
        <v>2026</v>
      </c>
      <c r="R2397" s="1"/>
    </row>
    <row r="2398" spans="1:18" hidden="1" x14ac:dyDescent="0.25">
      <c r="A2398" s="264" t="s">
        <v>62</v>
      </c>
      <c r="B2398" s="265">
        <v>46132</v>
      </c>
      <c r="C2398" s="266" t="s">
        <v>2039</v>
      </c>
      <c r="D2398" s="264" t="s">
        <v>4783</v>
      </c>
      <c r="E2398" s="264" t="s">
        <v>4394</v>
      </c>
      <c r="F2398" s="264" t="s">
        <v>2041</v>
      </c>
      <c r="G2398" s="266" t="s">
        <v>26</v>
      </c>
      <c r="H2398" s="299">
        <v>6578.72</v>
      </c>
      <c r="I2398" s="266">
        <v>0</v>
      </c>
      <c r="J2398" s="264" t="s">
        <v>1125</v>
      </c>
      <c r="K2398" s="264" t="s">
        <v>2025</v>
      </c>
      <c r="L2398" s="1" t="str">
        <f>VLOOKUP(Advices[[#This Row],[LC Number]],'Combine_List'!A:D,2,0)</f>
        <v>Mat Filtrasyon Teknolojeleri A.S</v>
      </c>
      <c r="M2398" s="447" t="str">
        <f>VLOOKUP(Advices[[#This Row],[LC Number]],'Combine_List'!A:D,3,0)</f>
        <v>MBL</v>
      </c>
      <c r="N2398" s="447" t="str">
        <f>VLOOKUP(Advices[[#This Row],[LC Number]],'Combine_List'!A:D,4,0)</f>
        <v>Oceanarium</v>
      </c>
      <c r="O2398" s="264"/>
      <c r="P2398" s="264">
        <f>MONTH(Advices[[#This Row],[Transaction Date]])</f>
        <v>4</v>
      </c>
      <c r="Q2398" s="264">
        <f>YEAR(Advices[[#This Row],[Transaction Date]])</f>
        <v>2026</v>
      </c>
      <c r="R2398" s="264"/>
    </row>
    <row r="2399" spans="1:18" hidden="1" x14ac:dyDescent="0.25">
      <c r="A2399" s="264" t="s">
        <v>62</v>
      </c>
      <c r="B2399" s="265">
        <v>46133</v>
      </c>
      <c r="C2399" s="266" t="s">
        <v>2039</v>
      </c>
      <c r="D2399" s="264" t="s">
        <v>5023</v>
      </c>
      <c r="E2399" s="264" t="s">
        <v>4394</v>
      </c>
      <c r="F2399" s="264" t="s">
        <v>2041</v>
      </c>
      <c r="G2399" s="266" t="s">
        <v>26</v>
      </c>
      <c r="H2399" s="299">
        <v>4576500</v>
      </c>
      <c r="I2399" s="266">
        <v>0</v>
      </c>
      <c r="J2399" s="264" t="s">
        <v>1126</v>
      </c>
      <c r="K2399" s="264" t="s">
        <v>2025</v>
      </c>
      <c r="L2399" s="264" t="str">
        <f>VLOOKUP(Advices[[#This Row],[LC Number]],'Combine_List'!A:D,2,0)</f>
        <v>Mat Filtrasyon Teknolojeleri A.S</v>
      </c>
      <c r="M2399" s="264" t="str">
        <f>VLOOKUP(Advices[[#This Row],[LC Number]],'Combine_List'!A:D,3,0)</f>
        <v>MBL</v>
      </c>
      <c r="N2399" s="264" t="str">
        <f>VLOOKUP(Advices[[#This Row],[LC Number]],'Combine_List'!A:D,4,0)</f>
        <v>Oceanarium</v>
      </c>
      <c r="O2399" s="264"/>
      <c r="P2399" s="264">
        <f>MONTH(Advices[[#This Row],[Transaction Date]])</f>
        <v>4</v>
      </c>
      <c r="Q2399" s="264">
        <f>YEAR(Advices[[#This Row],[Transaction Date]])</f>
        <v>2026</v>
      </c>
      <c r="R2399" s="264"/>
    </row>
    <row r="2400" spans="1:18" hidden="1" x14ac:dyDescent="0.25">
      <c r="A2400" s="264" t="s">
        <v>366</v>
      </c>
      <c r="B2400" s="265">
        <v>46133</v>
      </c>
      <c r="C2400" s="266" t="s">
        <v>2060</v>
      </c>
      <c r="D2400" s="264" t="s">
        <v>5024</v>
      </c>
      <c r="E2400" s="264" t="s">
        <v>2903</v>
      </c>
      <c r="F2400" s="264" t="s">
        <v>3758</v>
      </c>
      <c r="G2400" s="266" t="s">
        <v>26</v>
      </c>
      <c r="H2400" s="299">
        <v>218125.67</v>
      </c>
      <c r="I2400" s="266">
        <v>0</v>
      </c>
      <c r="J2400" s="264" t="s">
        <v>1126</v>
      </c>
      <c r="K2400" s="264" t="s">
        <v>2025</v>
      </c>
      <c r="L2400" s="1" t="str">
        <f>VLOOKUP(Advices[[#This Row],[LC Number]],'Combine_List'!A:D,2,0)</f>
        <v>Ajzal United for Safety CO.LTD.</v>
      </c>
      <c r="M2400" s="1" t="str">
        <f>VLOOKUP(Advices[[#This Row],[LC Number]],'Combine_List'!A:D,3,0)</f>
        <v>FIRST FIX</v>
      </c>
      <c r="N2400" s="1" t="str">
        <f>VLOOKUP(Advices[[#This Row],[LC Number]],'Combine_List'!A:D,4,0)</f>
        <v>MP1</v>
      </c>
      <c r="O2400" s="1"/>
      <c r="P2400" s="1">
        <f>MONTH(Advices[[#This Row],[Transaction Date]])</f>
        <v>4</v>
      </c>
      <c r="Q2400" s="1">
        <f>YEAR(Advices[[#This Row],[Transaction Date]])</f>
        <v>2026</v>
      </c>
      <c r="R2400" s="1"/>
    </row>
    <row r="2401" spans="1:18" hidden="1" x14ac:dyDescent="0.25">
      <c r="A2401" s="264" t="s">
        <v>366</v>
      </c>
      <c r="B2401" s="265">
        <v>46133</v>
      </c>
      <c r="C2401" s="266" t="s">
        <v>2060</v>
      </c>
      <c r="D2401" s="264" t="s">
        <v>4237</v>
      </c>
      <c r="E2401" s="264" t="s">
        <v>4115</v>
      </c>
      <c r="F2401" s="264" t="s">
        <v>4115</v>
      </c>
      <c r="G2401" s="266" t="s">
        <v>26</v>
      </c>
      <c r="H2401" s="299">
        <v>34483.29</v>
      </c>
      <c r="I2401" s="266">
        <v>0</v>
      </c>
      <c r="J2401" s="264" t="s">
        <v>1124</v>
      </c>
      <c r="K2401" s="264" t="s">
        <v>2025</v>
      </c>
      <c r="L2401" s="264" t="str">
        <f>VLOOKUP(Advices[[#This Row],[LC Number]],'Combine_List'!A:D,2,0)</f>
        <v>Performance - NEOM COMPANY</v>
      </c>
      <c r="M2401" s="264" t="str">
        <f>VLOOKUP(Advices[[#This Row],[LC Number]],'Combine_List'!A:D,3,0)</f>
        <v>MBL/ICAD</v>
      </c>
      <c r="N2401" s="264">
        <f>VLOOKUP(Advices[[#This Row],[LC Number]],'Combine_List'!A:D,4,0)</f>
        <v>0</v>
      </c>
      <c r="O2401" s="264"/>
      <c r="P2401" s="264">
        <f>MONTH(Advices[[#This Row],[Transaction Date]])</f>
        <v>4</v>
      </c>
      <c r="Q2401" s="264">
        <f>YEAR(Advices[[#This Row],[Transaction Date]])</f>
        <v>2026</v>
      </c>
      <c r="R2401" s="264"/>
    </row>
    <row r="2402" spans="1:18" x14ac:dyDescent="0.25">
      <c r="A2402" s="264" t="s">
        <v>21</v>
      </c>
      <c r="B2402" s="265">
        <v>46134</v>
      </c>
      <c r="C2402" s="266" t="s">
        <v>1951</v>
      </c>
      <c r="D2402" s="264" t="s">
        <v>4569</v>
      </c>
      <c r="E2402" s="264" t="s">
        <v>1402</v>
      </c>
      <c r="F2402" s="264" t="s">
        <v>5053</v>
      </c>
      <c r="G2402" s="266" t="s">
        <v>26</v>
      </c>
      <c r="H2402" s="299">
        <v>75</v>
      </c>
      <c r="I2402" s="266">
        <v>0</v>
      </c>
      <c r="J2402" s="264"/>
      <c r="K2402" s="264" t="s">
        <v>2025</v>
      </c>
      <c r="L2402" s="1" t="str">
        <f>VLOOKUP(Advices[[#This Row],[LC Number]],'Combine_List'!A:D,2,0)</f>
        <v>NAJM AL FALAK TRADING CO.</v>
      </c>
      <c r="M2402" s="1" t="str">
        <f>VLOOKUP(Advices[[#This Row],[LC Number]],'Combine_List'!A:D,3,0)</f>
        <v>FIRST FIX</v>
      </c>
      <c r="N2402" s="1" t="str">
        <f>VLOOKUP(Advices[[#This Row],[LC Number]],'Combine_List'!A:D,4,0)</f>
        <v>KSP</v>
      </c>
      <c r="O2402" s="1"/>
      <c r="P2402" s="1">
        <f>MONTH(Advices[[#This Row],[Transaction Date]])</f>
        <v>4</v>
      </c>
      <c r="Q2402" s="1">
        <f>YEAR(Advices[[#This Row],[Transaction Date]])</f>
        <v>2026</v>
      </c>
      <c r="R2402" s="1"/>
    </row>
    <row r="2403" spans="1:18" x14ac:dyDescent="0.25">
      <c r="A2403" s="264" t="s">
        <v>21</v>
      </c>
      <c r="B2403" s="265">
        <v>46134</v>
      </c>
      <c r="C2403" s="266" t="s">
        <v>1951</v>
      </c>
      <c r="D2403" s="264" t="s">
        <v>1960</v>
      </c>
      <c r="E2403" s="264" t="s">
        <v>1402</v>
      </c>
      <c r="F2403" s="264" t="s">
        <v>5053</v>
      </c>
      <c r="G2403" s="266" t="s">
        <v>26</v>
      </c>
      <c r="H2403" s="299">
        <v>11.25</v>
      </c>
      <c r="I2403" s="266">
        <v>0</v>
      </c>
      <c r="J2403" s="264" t="s">
        <v>1174</v>
      </c>
      <c r="K2403" s="264" t="s">
        <v>2025</v>
      </c>
      <c r="L2403" s="1" t="str">
        <f>VLOOKUP(Advices[[#This Row],[LC Number]],'Combine_List'!A:D,2,0)</f>
        <v>NAJM AL FALAK TRADING CO.</v>
      </c>
      <c r="M2403" s="1" t="str">
        <f>VLOOKUP(Advices[[#This Row],[LC Number]],'Combine_List'!A:D,3,0)</f>
        <v>FIRST FIX</v>
      </c>
      <c r="N2403" s="1" t="str">
        <f>VLOOKUP(Advices[[#This Row],[LC Number]],'Combine_List'!A:D,4,0)</f>
        <v>KSP</v>
      </c>
      <c r="O2403" s="1"/>
      <c r="P2403" s="1">
        <f>MONTH(Advices[[#This Row],[Transaction Date]])</f>
        <v>4</v>
      </c>
      <c r="Q2403" s="1">
        <f>YEAR(Advices[[#This Row],[Transaction Date]])</f>
        <v>2026</v>
      </c>
      <c r="R2403" s="1"/>
    </row>
    <row r="2404" spans="1:18" x14ac:dyDescent="0.25">
      <c r="A2404" s="264" t="s">
        <v>21</v>
      </c>
      <c r="B2404" s="265">
        <v>46134</v>
      </c>
      <c r="C2404" s="266" t="s">
        <v>1951</v>
      </c>
      <c r="D2404" s="264" t="s">
        <v>4570</v>
      </c>
      <c r="E2404" s="264" t="s">
        <v>1402</v>
      </c>
      <c r="F2404" s="264" t="s">
        <v>5053</v>
      </c>
      <c r="G2404" s="266" t="s">
        <v>26</v>
      </c>
      <c r="H2404" s="299">
        <v>87392.960000000006</v>
      </c>
      <c r="I2404" s="266">
        <v>0</v>
      </c>
      <c r="J2404" s="264"/>
      <c r="K2404" s="264" t="s">
        <v>2025</v>
      </c>
      <c r="L2404" s="264" t="str">
        <f>VLOOKUP(Advices[[#This Row],[LC Number]],'Combine_List'!A:D,2,0)</f>
        <v>NAJM AL FALAK TRADING CO.</v>
      </c>
      <c r="M2404" s="264" t="str">
        <f>VLOOKUP(Advices[[#This Row],[LC Number]],'Combine_List'!A:D,3,0)</f>
        <v>FIRST FIX</v>
      </c>
      <c r="N2404" s="264" t="str">
        <f>VLOOKUP(Advices[[#This Row],[LC Number]],'Combine_List'!A:D,4,0)</f>
        <v>KSP</v>
      </c>
      <c r="O2404" s="264"/>
      <c r="P2404" s="264">
        <f>MONTH(Advices[[#This Row],[Transaction Date]])</f>
        <v>4</v>
      </c>
      <c r="Q2404" s="264">
        <f>YEAR(Advices[[#This Row],[Transaction Date]])</f>
        <v>2026</v>
      </c>
      <c r="R2404" s="264"/>
    </row>
    <row r="2405" spans="1:18" hidden="1" x14ac:dyDescent="0.25">
      <c r="A2405" s="264" t="s">
        <v>62</v>
      </c>
      <c r="B2405" s="265">
        <v>46134</v>
      </c>
      <c r="C2405" s="266" t="s">
        <v>2039</v>
      </c>
      <c r="D2405" s="264" t="s">
        <v>5054</v>
      </c>
      <c r="E2405" s="264" t="s">
        <v>5025</v>
      </c>
      <c r="F2405" s="264" t="s">
        <v>2041</v>
      </c>
      <c r="G2405" s="266" t="s">
        <v>26</v>
      </c>
      <c r="H2405" s="299">
        <v>500000</v>
      </c>
      <c r="I2405" s="266">
        <v>0</v>
      </c>
      <c r="J2405" s="264" t="s">
        <v>2830</v>
      </c>
      <c r="K2405" s="264" t="s">
        <v>2025</v>
      </c>
      <c r="L2405" s="264" t="str">
        <f>VLOOKUP(Advices[[#This Row],[LC Number]],'Combine_List'!A:D,2,0)</f>
        <v>Performance - King Salman International Airport Development Company (KSIADC)</v>
      </c>
      <c r="M2405" s="264" t="str">
        <f>VLOOKUP(Advices[[#This Row],[LC Number]],'Combine_List'!A:D,3,0)</f>
        <v>MBL</v>
      </c>
      <c r="N2405" s="264">
        <f>VLOOKUP(Advices[[#This Row],[LC Number]],'Combine_List'!A:D,4,0)</f>
        <v>0</v>
      </c>
      <c r="O2405" s="264"/>
      <c r="P2405" s="264">
        <f>MONTH(Advices[[#This Row],[Transaction Date]])</f>
        <v>4</v>
      </c>
      <c r="Q2405" s="264">
        <f>YEAR(Advices[[#This Row],[Transaction Date]])</f>
        <v>2026</v>
      </c>
      <c r="R2405" s="264"/>
    </row>
    <row r="2406" spans="1:18" hidden="1" x14ac:dyDescent="0.25">
      <c r="A2406" s="264" t="s">
        <v>366</v>
      </c>
      <c r="B2406" s="265">
        <v>46134</v>
      </c>
      <c r="C2406" s="266" t="s">
        <v>2060</v>
      </c>
      <c r="D2406" s="264" t="s">
        <v>5055</v>
      </c>
      <c r="E2406" s="264" t="s">
        <v>1899</v>
      </c>
      <c r="F2406" s="264" t="s">
        <v>3871</v>
      </c>
      <c r="G2406" s="266" t="s">
        <v>26</v>
      </c>
      <c r="H2406" s="299">
        <v>347240.48</v>
      </c>
      <c r="I2406" s="266">
        <v>0</v>
      </c>
      <c r="J2406" s="264" t="s">
        <v>1126</v>
      </c>
      <c r="K2406" s="264" t="s">
        <v>2025</v>
      </c>
      <c r="L2406" s="1" t="str">
        <f>VLOOKUP(Advices[[#This Row],[LC Number]],'Combine_List'!A:D,2,0)</f>
        <v>BROOQ ALAMAAN TRAD COMPANY</v>
      </c>
      <c r="M2406" s="1" t="str">
        <f>VLOOKUP(Advices[[#This Row],[LC Number]],'Combine_List'!A:D,3,0)</f>
        <v>FIRST FIX</v>
      </c>
      <c r="N2406" s="1" t="str">
        <f>VLOOKUP(Advices[[#This Row],[LC Number]],'Combine_List'!A:D,4,0)</f>
        <v>MP1</v>
      </c>
      <c r="O2406" s="1"/>
      <c r="P2406" s="1">
        <f>MONTH(Advices[[#This Row],[Transaction Date]])</f>
        <v>4</v>
      </c>
      <c r="Q2406" s="1">
        <f>YEAR(Advices[[#This Row],[Transaction Date]])</f>
        <v>2026</v>
      </c>
      <c r="R2406" s="1"/>
    </row>
    <row r="2407" spans="1:18" hidden="1" x14ac:dyDescent="0.25">
      <c r="A2407" s="264" t="s">
        <v>366</v>
      </c>
      <c r="B2407" s="265">
        <v>46134</v>
      </c>
      <c r="C2407" s="266" t="s">
        <v>2060</v>
      </c>
      <c r="D2407" s="264" t="s">
        <v>5056</v>
      </c>
      <c r="E2407" s="264" t="s">
        <v>3898</v>
      </c>
      <c r="F2407" s="264" t="s">
        <v>5057</v>
      </c>
      <c r="G2407" s="266" t="s">
        <v>26</v>
      </c>
      <c r="H2407" s="299">
        <v>1712.44</v>
      </c>
      <c r="I2407" s="266">
        <v>0</v>
      </c>
      <c r="J2407" s="264" t="s">
        <v>1125</v>
      </c>
      <c r="K2407" s="264" t="s">
        <v>2025</v>
      </c>
      <c r="L2407" s="264" t="str">
        <f>VLOOKUP(Advices[[#This Row],[LC Number]],'Combine_List'!A:D,2,0)</f>
        <v>INTERPLAST CO. LTD</v>
      </c>
      <c r="M2407" s="264" t="str">
        <f>VLOOKUP(Advices[[#This Row],[LC Number]],'Combine_List'!A:D,3,0)</f>
        <v>FIRST FIX</v>
      </c>
      <c r="N2407" s="264" t="str">
        <f>VLOOKUP(Advices[[#This Row],[LC Number]],'Combine_List'!A:D,4,0)</f>
        <v>MP1</v>
      </c>
      <c r="O2407" s="264"/>
      <c r="P2407" s="264">
        <f>MONTH(Advices[[#This Row],[Transaction Date]])</f>
        <v>4</v>
      </c>
      <c r="Q2407" s="264">
        <f>YEAR(Advices[[#This Row],[Transaction Date]])</f>
        <v>2026</v>
      </c>
      <c r="R2407" s="264"/>
    </row>
    <row r="2408" spans="1:18" hidden="1" x14ac:dyDescent="0.25">
      <c r="A2408" s="264" t="s">
        <v>1073</v>
      </c>
      <c r="B2408" s="265">
        <v>46134</v>
      </c>
      <c r="C2408" s="266" t="s">
        <v>3164</v>
      </c>
      <c r="D2408" s="264" t="s">
        <v>3165</v>
      </c>
      <c r="E2408" s="264" t="s">
        <v>4546</v>
      </c>
      <c r="F2408" s="264" t="s">
        <v>2041</v>
      </c>
      <c r="G2408" s="266" t="s">
        <v>26</v>
      </c>
      <c r="H2408" s="299">
        <v>4188.17</v>
      </c>
      <c r="I2408" s="266">
        <v>0</v>
      </c>
      <c r="J2408" s="264" t="s">
        <v>1125</v>
      </c>
      <c r="K2408" s="264" t="s">
        <v>2025</v>
      </c>
      <c r="L2408" s="1" t="str">
        <f>VLOOKUP(Advices[[#This Row],[LC Number]],'Combine_List'!A:D,2,0)</f>
        <v>Ready Mix Company Limited.</v>
      </c>
      <c r="M2408" s="1" t="str">
        <f>VLOOKUP(Advices[[#This Row],[LC Number]],'Combine_List'!A:D,3,0)</f>
        <v>MBL</v>
      </c>
      <c r="N2408" s="1" t="str">
        <f>VLOOKUP(Advices[[#This Row],[LC Number]],'Combine_List'!A:D,4,0)</f>
        <v>Lagoon</v>
      </c>
      <c r="O2408" s="1"/>
      <c r="P2408" s="1">
        <f>MONTH(Advices[[#This Row],[Transaction Date]])</f>
        <v>4</v>
      </c>
      <c r="Q2408" s="1">
        <f>YEAR(Advices[[#This Row],[Transaction Date]])</f>
        <v>2026</v>
      </c>
      <c r="R2408" s="1"/>
    </row>
    <row r="2409" spans="1:18" hidden="1" x14ac:dyDescent="0.25">
      <c r="A2409" s="264" t="s">
        <v>1073</v>
      </c>
      <c r="B2409" s="265">
        <v>46134</v>
      </c>
      <c r="C2409" s="266" t="s">
        <v>3164</v>
      </c>
      <c r="D2409" s="264" t="s">
        <v>3166</v>
      </c>
      <c r="E2409" s="264" t="s">
        <v>4546</v>
      </c>
      <c r="F2409" s="264" t="s">
        <v>2041</v>
      </c>
      <c r="G2409" s="266" t="s">
        <v>26</v>
      </c>
      <c r="H2409" s="299">
        <v>250</v>
      </c>
      <c r="I2409" s="266">
        <v>0</v>
      </c>
      <c r="J2409" s="264" t="s">
        <v>1963</v>
      </c>
      <c r="K2409" s="264" t="s">
        <v>2025</v>
      </c>
      <c r="L2409" s="1" t="str">
        <f>VLOOKUP(Advices[[#This Row],[LC Number]],'Combine_List'!A:D,2,0)</f>
        <v>Ready Mix Company Limited.</v>
      </c>
      <c r="M2409" s="1" t="str">
        <f>VLOOKUP(Advices[[#This Row],[LC Number]],'Combine_List'!A:D,3,0)</f>
        <v>MBL</v>
      </c>
      <c r="N2409" s="1" t="str">
        <f>VLOOKUP(Advices[[#This Row],[LC Number]],'Combine_List'!A:D,4,0)</f>
        <v>Lagoon</v>
      </c>
      <c r="O2409" s="1"/>
      <c r="P2409" s="1">
        <f>MONTH(Advices[[#This Row],[Transaction Date]])</f>
        <v>4</v>
      </c>
      <c r="Q2409" s="1">
        <f>YEAR(Advices[[#This Row],[Transaction Date]])</f>
        <v>2026</v>
      </c>
      <c r="R2409" s="1"/>
    </row>
    <row r="2410" spans="1:18" hidden="1" x14ac:dyDescent="0.25">
      <c r="A2410" s="264" t="s">
        <v>1073</v>
      </c>
      <c r="B2410" s="265">
        <v>46134</v>
      </c>
      <c r="C2410" s="266" t="s">
        <v>3164</v>
      </c>
      <c r="D2410" s="264" t="s">
        <v>3168</v>
      </c>
      <c r="E2410" s="264" t="s">
        <v>4546</v>
      </c>
      <c r="F2410" s="264" t="s">
        <v>2041</v>
      </c>
      <c r="G2410" s="266" t="s">
        <v>26</v>
      </c>
      <c r="H2410" s="299">
        <v>628.22</v>
      </c>
      <c r="I2410" s="266">
        <v>0</v>
      </c>
      <c r="J2410" s="264" t="s">
        <v>1174</v>
      </c>
      <c r="K2410" s="264" t="s">
        <v>2025</v>
      </c>
      <c r="L2410" s="1" t="str">
        <f>VLOOKUP(Advices[[#This Row],[LC Number]],'Combine_List'!A:D,2,0)</f>
        <v>Ready Mix Company Limited.</v>
      </c>
      <c r="M2410" s="1" t="str">
        <f>VLOOKUP(Advices[[#This Row],[LC Number]],'Combine_List'!A:D,3,0)</f>
        <v>MBL</v>
      </c>
      <c r="N2410" s="1" t="str">
        <f>VLOOKUP(Advices[[#This Row],[LC Number]],'Combine_List'!A:D,4,0)</f>
        <v>Lagoon</v>
      </c>
      <c r="O2410" s="1"/>
      <c r="P2410" s="1">
        <f>MONTH(Advices[[#This Row],[Transaction Date]])</f>
        <v>4</v>
      </c>
      <c r="Q2410" s="1">
        <f>YEAR(Advices[[#This Row],[Transaction Date]])</f>
        <v>2026</v>
      </c>
      <c r="R2410" s="1"/>
    </row>
    <row r="2411" spans="1:18" hidden="1" x14ac:dyDescent="0.25">
      <c r="A2411" s="264" t="s">
        <v>1073</v>
      </c>
      <c r="B2411" s="265">
        <v>46134</v>
      </c>
      <c r="C2411" s="266" t="s">
        <v>3164</v>
      </c>
      <c r="D2411" s="264" t="s">
        <v>3168</v>
      </c>
      <c r="E2411" s="264" t="s">
        <v>4546</v>
      </c>
      <c r="F2411" s="264" t="s">
        <v>2041</v>
      </c>
      <c r="G2411" s="266" t="s">
        <v>26</v>
      </c>
      <c r="H2411" s="299">
        <v>37.5</v>
      </c>
      <c r="I2411" s="266">
        <v>0</v>
      </c>
      <c r="J2411" s="264" t="s">
        <v>1174</v>
      </c>
      <c r="K2411" s="264" t="s">
        <v>2025</v>
      </c>
      <c r="L2411" s="264" t="str">
        <f>VLOOKUP(Advices[[#This Row],[LC Number]],'Combine_List'!A:D,2,0)</f>
        <v>Ready Mix Company Limited.</v>
      </c>
      <c r="M2411" s="264" t="str">
        <f>VLOOKUP(Advices[[#This Row],[LC Number]],'Combine_List'!A:D,3,0)</f>
        <v>MBL</v>
      </c>
      <c r="N2411" s="264" t="str">
        <f>VLOOKUP(Advices[[#This Row],[LC Number]],'Combine_List'!A:D,4,0)</f>
        <v>Lagoon</v>
      </c>
      <c r="O2411" s="264"/>
      <c r="P2411" s="264">
        <f>MONTH(Advices[[#This Row],[Transaction Date]])</f>
        <v>4</v>
      </c>
      <c r="Q2411" s="264">
        <f>YEAR(Advices[[#This Row],[Transaction Date]])</f>
        <v>2026</v>
      </c>
      <c r="R2411" s="264"/>
    </row>
    <row r="2412" spans="1:18" x14ac:dyDescent="0.25">
      <c r="A2412" s="264" t="s">
        <v>21</v>
      </c>
      <c r="B2412" s="265">
        <v>46135</v>
      </c>
      <c r="C2412" s="266" t="s">
        <v>1951</v>
      </c>
      <c r="D2412" s="264" t="s">
        <v>4569</v>
      </c>
      <c r="E2412" s="264" t="s">
        <v>1896</v>
      </c>
      <c r="F2412" s="264" t="s">
        <v>4486</v>
      </c>
      <c r="G2412" s="266" t="s">
        <v>26</v>
      </c>
      <c r="H2412" s="299">
        <v>75</v>
      </c>
      <c r="I2412" s="266">
        <v>0</v>
      </c>
      <c r="J2412" s="264"/>
      <c r="K2412" s="264" t="s">
        <v>2025</v>
      </c>
      <c r="L2412" s="1" t="str">
        <f>VLOOKUP(Advices[[#This Row],[LC Number]],'Combine_List'!A:D,2,0)</f>
        <v>Saudi Perfect Pumps Trading &amp; Manufacturing Company</v>
      </c>
      <c r="M2412" s="1" t="str">
        <f>VLOOKUP(Advices[[#This Row],[LC Number]],'Combine_List'!A:D,3,0)</f>
        <v>MBL</v>
      </c>
      <c r="N2412" s="1" t="str">
        <f>VLOOKUP(Advices[[#This Row],[LC Number]],'Combine_List'!A:D,4,0)</f>
        <v>Rabigh Power Plant</v>
      </c>
      <c r="O2412" s="1"/>
      <c r="P2412" s="1">
        <f>MONTH(Advices[[#This Row],[Transaction Date]])</f>
        <v>4</v>
      </c>
      <c r="Q2412" s="1">
        <f>YEAR(Advices[[#This Row],[Transaction Date]])</f>
        <v>2026</v>
      </c>
      <c r="R2412" s="1"/>
    </row>
    <row r="2413" spans="1:18" x14ac:dyDescent="0.25">
      <c r="A2413" s="264" t="s">
        <v>21</v>
      </c>
      <c r="B2413" s="265">
        <v>46135</v>
      </c>
      <c r="C2413" s="266" t="s">
        <v>1951</v>
      </c>
      <c r="D2413" s="264" t="s">
        <v>1960</v>
      </c>
      <c r="E2413" s="264" t="s">
        <v>1896</v>
      </c>
      <c r="F2413" s="264" t="s">
        <v>4484</v>
      </c>
      <c r="G2413" s="266" t="s">
        <v>26</v>
      </c>
      <c r="H2413" s="299">
        <v>11.25</v>
      </c>
      <c r="I2413" s="266">
        <v>0</v>
      </c>
      <c r="J2413" s="264" t="s">
        <v>1174</v>
      </c>
      <c r="K2413" s="264" t="s">
        <v>2025</v>
      </c>
      <c r="L2413" s="1" t="str">
        <f>VLOOKUP(Advices[[#This Row],[LC Number]],'Combine_List'!A:D,2,0)</f>
        <v>Saudi Perfect Pumps Trading &amp; Manufacturing Company</v>
      </c>
      <c r="M2413" s="1" t="str">
        <f>VLOOKUP(Advices[[#This Row],[LC Number]],'Combine_List'!A:D,3,0)</f>
        <v>MBL</v>
      </c>
      <c r="N2413" s="1" t="str">
        <f>VLOOKUP(Advices[[#This Row],[LC Number]],'Combine_List'!A:D,4,0)</f>
        <v>Rabigh Power Plant</v>
      </c>
      <c r="O2413" s="1"/>
      <c r="P2413" s="1">
        <f>MONTH(Advices[[#This Row],[Transaction Date]])</f>
        <v>4</v>
      </c>
      <c r="Q2413" s="1">
        <f>YEAR(Advices[[#This Row],[Transaction Date]])</f>
        <v>2026</v>
      </c>
      <c r="R2413" s="1"/>
    </row>
    <row r="2414" spans="1:18" x14ac:dyDescent="0.25">
      <c r="A2414" s="264" t="s">
        <v>21</v>
      </c>
      <c r="B2414" s="265">
        <v>46135</v>
      </c>
      <c r="C2414" s="266" t="s">
        <v>1951</v>
      </c>
      <c r="D2414" s="264" t="s">
        <v>4569</v>
      </c>
      <c r="E2414" s="264" t="s">
        <v>1896</v>
      </c>
      <c r="F2414" s="264" t="s">
        <v>4484</v>
      </c>
      <c r="G2414" s="266" t="s">
        <v>26</v>
      </c>
      <c r="H2414" s="299">
        <v>75</v>
      </c>
      <c r="I2414" s="266">
        <v>0</v>
      </c>
      <c r="J2414" s="264"/>
      <c r="K2414" s="264" t="s">
        <v>2025</v>
      </c>
      <c r="L2414" s="1" t="str">
        <f>VLOOKUP(Advices[[#This Row],[LC Number]],'Combine_List'!A:D,2,0)</f>
        <v>Saudi Perfect Pumps Trading &amp; Manufacturing Company</v>
      </c>
      <c r="M2414" s="1" t="str">
        <f>VLOOKUP(Advices[[#This Row],[LC Number]],'Combine_List'!A:D,3,0)</f>
        <v>MBL</v>
      </c>
      <c r="N2414" s="1" t="str">
        <f>VLOOKUP(Advices[[#This Row],[LC Number]],'Combine_List'!A:D,4,0)</f>
        <v>Rabigh Power Plant</v>
      </c>
      <c r="O2414" s="1"/>
      <c r="P2414" s="1">
        <f>MONTH(Advices[[#This Row],[Transaction Date]])</f>
        <v>4</v>
      </c>
      <c r="Q2414" s="1">
        <f>YEAR(Advices[[#This Row],[Transaction Date]])</f>
        <v>2026</v>
      </c>
      <c r="R2414" s="1"/>
    </row>
    <row r="2415" spans="1:18" x14ac:dyDescent="0.25">
      <c r="A2415" s="264" t="s">
        <v>21</v>
      </c>
      <c r="B2415" s="265">
        <v>46135</v>
      </c>
      <c r="C2415" s="266" t="s">
        <v>1951</v>
      </c>
      <c r="D2415" s="264" t="s">
        <v>4570</v>
      </c>
      <c r="E2415" s="264" t="s">
        <v>1896</v>
      </c>
      <c r="F2415" s="264" t="s">
        <v>4484</v>
      </c>
      <c r="G2415" s="266" t="s">
        <v>26</v>
      </c>
      <c r="H2415" s="299">
        <v>279950</v>
      </c>
      <c r="I2415" s="266">
        <v>0</v>
      </c>
      <c r="J2415" s="264"/>
      <c r="K2415" s="264" t="s">
        <v>2025</v>
      </c>
      <c r="L2415" s="1" t="str">
        <f>VLOOKUP(Advices[[#This Row],[LC Number]],'Combine_List'!A:D,2,0)</f>
        <v>Saudi Perfect Pumps Trading &amp; Manufacturing Company</v>
      </c>
      <c r="M2415" s="1" t="str">
        <f>VLOOKUP(Advices[[#This Row],[LC Number]],'Combine_List'!A:D,3,0)</f>
        <v>MBL</v>
      </c>
      <c r="N2415" s="1" t="str">
        <f>VLOOKUP(Advices[[#This Row],[LC Number]],'Combine_List'!A:D,4,0)</f>
        <v>Rabigh Power Plant</v>
      </c>
      <c r="O2415" s="1"/>
      <c r="P2415" s="1">
        <f>MONTH(Advices[[#This Row],[Transaction Date]])</f>
        <v>4</v>
      </c>
      <c r="Q2415" s="1">
        <f>YEAR(Advices[[#This Row],[Transaction Date]])</f>
        <v>2026</v>
      </c>
      <c r="R2415" s="1"/>
    </row>
    <row r="2416" spans="1:18" x14ac:dyDescent="0.25">
      <c r="A2416" s="264" t="s">
        <v>21</v>
      </c>
      <c r="B2416" s="265">
        <v>46135</v>
      </c>
      <c r="C2416" s="266" t="s">
        <v>1951</v>
      </c>
      <c r="D2416" s="264" t="s">
        <v>1960</v>
      </c>
      <c r="E2416" s="264" t="s">
        <v>1896</v>
      </c>
      <c r="F2416" s="264" t="s">
        <v>4486</v>
      </c>
      <c r="G2416" s="266" t="s">
        <v>26</v>
      </c>
      <c r="H2416" s="299">
        <v>11.25</v>
      </c>
      <c r="I2416" s="266">
        <v>0</v>
      </c>
      <c r="J2416" s="264" t="s">
        <v>1174</v>
      </c>
      <c r="K2416" s="264" t="s">
        <v>2025</v>
      </c>
      <c r="L2416" s="1" t="str">
        <f>VLOOKUP(Advices[[#This Row],[LC Number]],'Combine_List'!A:D,2,0)</f>
        <v>Saudi Perfect Pumps Trading &amp; Manufacturing Company</v>
      </c>
      <c r="M2416" s="1" t="str">
        <f>VLOOKUP(Advices[[#This Row],[LC Number]],'Combine_List'!A:D,3,0)</f>
        <v>MBL</v>
      </c>
      <c r="N2416" s="1" t="str">
        <f>VLOOKUP(Advices[[#This Row],[LC Number]],'Combine_List'!A:D,4,0)</f>
        <v>Rabigh Power Plant</v>
      </c>
      <c r="O2416" s="1"/>
      <c r="P2416" s="1">
        <f>MONTH(Advices[[#This Row],[Transaction Date]])</f>
        <v>4</v>
      </c>
      <c r="Q2416" s="1">
        <f>YEAR(Advices[[#This Row],[Transaction Date]])</f>
        <v>2026</v>
      </c>
      <c r="R2416" s="1"/>
    </row>
    <row r="2417" spans="1:18" x14ac:dyDescent="0.25">
      <c r="A2417" s="264" t="s">
        <v>21</v>
      </c>
      <c r="B2417" s="265">
        <v>46135</v>
      </c>
      <c r="C2417" s="266" t="s">
        <v>1951</v>
      </c>
      <c r="D2417" s="264" t="s">
        <v>4570</v>
      </c>
      <c r="E2417" s="264" t="s">
        <v>1896</v>
      </c>
      <c r="F2417" s="264" t="s">
        <v>4486</v>
      </c>
      <c r="G2417" s="266" t="s">
        <v>26</v>
      </c>
      <c r="H2417" s="299">
        <v>412500</v>
      </c>
      <c r="I2417" s="266">
        <v>0</v>
      </c>
      <c r="J2417" s="264"/>
      <c r="K2417" s="264" t="s">
        <v>2025</v>
      </c>
      <c r="L2417" s="264" t="str">
        <f>VLOOKUP(Advices[[#This Row],[LC Number]],'Combine_List'!A:D,2,0)</f>
        <v>Saudi Perfect Pumps Trading &amp; Manufacturing Company</v>
      </c>
      <c r="M2417" s="264" t="str">
        <f>VLOOKUP(Advices[[#This Row],[LC Number]],'Combine_List'!A:D,3,0)</f>
        <v>MBL</v>
      </c>
      <c r="N2417" s="264" t="str">
        <f>VLOOKUP(Advices[[#This Row],[LC Number]],'Combine_List'!A:D,4,0)</f>
        <v>Rabigh Power Plant</v>
      </c>
      <c r="O2417" s="264"/>
      <c r="P2417" s="264">
        <f>MONTH(Advices[[#This Row],[Transaction Date]])</f>
        <v>4</v>
      </c>
      <c r="Q2417" s="264">
        <f>YEAR(Advices[[#This Row],[Transaction Date]])</f>
        <v>2026</v>
      </c>
      <c r="R2417" s="264"/>
    </row>
    <row r="2418" spans="1:18" hidden="1" x14ac:dyDescent="0.25">
      <c r="A2418" s="264" t="s">
        <v>62</v>
      </c>
      <c r="B2418" s="265">
        <v>46135</v>
      </c>
      <c r="C2418" s="266" t="s">
        <v>2039</v>
      </c>
      <c r="D2418" s="264" t="s">
        <v>5069</v>
      </c>
      <c r="E2418" s="264" t="s">
        <v>1934</v>
      </c>
      <c r="F2418" s="264" t="s">
        <v>2041</v>
      </c>
      <c r="G2418" s="266" t="s">
        <v>26</v>
      </c>
      <c r="H2418" s="299">
        <v>1541382.96</v>
      </c>
      <c r="I2418" s="266">
        <v>0</v>
      </c>
      <c r="J2418" s="264" t="s">
        <v>1126</v>
      </c>
      <c r="K2418" s="264" t="s">
        <v>2025</v>
      </c>
      <c r="L2418" s="264" t="str">
        <f>VLOOKUP(Advices[[#This Row],[LC Number]],'Combine_List'!A:D,2,0)</f>
        <v>Mat Filtrasyon Teknolojeleri A.S</v>
      </c>
      <c r="M2418" s="264" t="str">
        <f>VLOOKUP(Advices[[#This Row],[LC Number]],'Combine_List'!A:D,3,0)</f>
        <v>MBL</v>
      </c>
      <c r="N2418" s="264" t="str">
        <f>VLOOKUP(Advices[[#This Row],[LC Number]],'Combine_List'!A:D,4,0)</f>
        <v>Oceanarium</v>
      </c>
      <c r="O2418" s="447">
        <f>VLOOKUP(Advices[[#This Row],[LC Number]],'Combine_List'!A:E,5,0)</f>
        <v>1020096</v>
      </c>
      <c r="P2418" s="537">
        <f>MONTH(Advices[[#This Row],[Transaction Date]])</f>
        <v>4</v>
      </c>
      <c r="Q2418" s="537">
        <f>YEAR(Advices[[#This Row],[Transaction Date]])</f>
        <v>2026</v>
      </c>
      <c r="R2418" s="264"/>
    </row>
    <row r="2419" spans="1:18" hidden="1" x14ac:dyDescent="0.25">
      <c r="A2419" s="264" t="s">
        <v>95</v>
      </c>
      <c r="B2419" s="265">
        <v>46135</v>
      </c>
      <c r="C2419" s="266" t="s">
        <v>2026</v>
      </c>
      <c r="D2419" s="264" t="s">
        <v>5070</v>
      </c>
      <c r="E2419" s="264" t="s">
        <v>2562</v>
      </c>
      <c r="F2419" s="264" t="s">
        <v>2562</v>
      </c>
      <c r="G2419" s="266" t="s">
        <v>26</v>
      </c>
      <c r="H2419" s="299">
        <v>0</v>
      </c>
      <c r="I2419" s="266">
        <v>5136.51</v>
      </c>
      <c r="J2419" s="264"/>
      <c r="K2419" s="264" t="s">
        <v>5154</v>
      </c>
      <c r="L2419" s="1" t="str">
        <f>VLOOKUP(Advices[[#This Row],[LC Number]],'Combine_List'!A:D,2,0)</f>
        <v>ALNAFIE METAL INDUSTRIES CO LTD</v>
      </c>
      <c r="M2419" s="1" t="str">
        <f>VLOOKUP(Advices[[#This Row],[LC Number]],'Combine_List'!A:D,3,0)</f>
        <v>MBL/AICS</v>
      </c>
      <c r="N2419" s="1" t="str">
        <f>VLOOKUP(Advices[[#This Row],[LC Number]],'Combine_List'!A:D,4,0)</f>
        <v>OPERA House</v>
      </c>
      <c r="O2419" s="1"/>
      <c r="P2419" s="1">
        <f>MONTH(Advices[[#This Row],[Transaction Date]])</f>
        <v>4</v>
      </c>
      <c r="Q2419" s="1">
        <f>YEAR(Advices[[#This Row],[Transaction Date]])</f>
        <v>2026</v>
      </c>
      <c r="R2419" s="1"/>
    </row>
    <row r="2420" spans="1:18" hidden="1" x14ac:dyDescent="0.25">
      <c r="A2420" s="264" t="s">
        <v>95</v>
      </c>
      <c r="B2420" s="265">
        <v>46135</v>
      </c>
      <c r="C2420" s="266" t="s">
        <v>2026</v>
      </c>
      <c r="D2420" s="264" t="s">
        <v>4623</v>
      </c>
      <c r="E2420" s="264" t="s">
        <v>3720</v>
      </c>
      <c r="F2420" s="264" t="s">
        <v>4624</v>
      </c>
      <c r="G2420" s="266" t="s">
        <v>26</v>
      </c>
      <c r="H2420" s="299">
        <v>800000</v>
      </c>
      <c r="I2420" s="266">
        <v>0</v>
      </c>
      <c r="J2420" s="264" t="s">
        <v>1126</v>
      </c>
      <c r="K2420" s="264" t="s">
        <v>2025</v>
      </c>
      <c r="L2420" s="1" t="str">
        <f>VLOOKUP(Advices[[#This Row],[LC Number]],'Combine_List'!A:D,2,0)</f>
        <v>Alkhorayef Commercial Company</v>
      </c>
      <c r="M2420" s="1" t="str">
        <f>VLOOKUP(Advices[[#This Row],[LC Number]],'Combine_List'!A:D,3,0)</f>
        <v>MBL/ICAD</v>
      </c>
      <c r="N2420" s="1" t="str">
        <f>VLOOKUP(Advices[[#This Row],[LC Number]],'Combine_List'!A:D,4,0)</f>
        <v>OPERA House</v>
      </c>
      <c r="O2420" s="1"/>
      <c r="P2420" s="1">
        <f>MONTH(Advices[[#This Row],[Transaction Date]])</f>
        <v>4</v>
      </c>
      <c r="Q2420" s="1">
        <f>YEAR(Advices[[#This Row],[Transaction Date]])</f>
        <v>2026</v>
      </c>
      <c r="R2420" s="1"/>
    </row>
    <row r="2421" spans="1:18" hidden="1" x14ac:dyDescent="0.25">
      <c r="A2421" s="264" t="s">
        <v>95</v>
      </c>
      <c r="B2421" s="265">
        <v>46135</v>
      </c>
      <c r="C2421" s="266" t="s">
        <v>2026</v>
      </c>
      <c r="D2421" s="264" t="s">
        <v>5071</v>
      </c>
      <c r="E2421" s="264" t="s">
        <v>2562</v>
      </c>
      <c r="F2421" s="264" t="s">
        <v>5072</v>
      </c>
      <c r="G2421" s="266" t="s">
        <v>26</v>
      </c>
      <c r="H2421" s="299">
        <v>5136.51</v>
      </c>
      <c r="I2421" s="266">
        <v>0</v>
      </c>
      <c r="J2421" s="264" t="s">
        <v>1125</v>
      </c>
      <c r="K2421" s="264" t="s">
        <v>2025</v>
      </c>
      <c r="L2421" s="1" t="str">
        <f>VLOOKUP(Advices[[#This Row],[LC Number]],'Combine_List'!A:D,2,0)</f>
        <v>ALNAFIE METAL INDUSTRIES CO LTD</v>
      </c>
      <c r="M2421" s="1" t="str">
        <f>VLOOKUP(Advices[[#This Row],[LC Number]],'Combine_List'!A:D,3,0)</f>
        <v>MBL/AICS</v>
      </c>
      <c r="N2421" s="1" t="str">
        <f>VLOOKUP(Advices[[#This Row],[LC Number]],'Combine_List'!A:D,4,0)</f>
        <v>OPERA House</v>
      </c>
      <c r="O2421" s="1"/>
      <c r="P2421" s="1">
        <f>MONTH(Advices[[#This Row],[Transaction Date]])</f>
        <v>4</v>
      </c>
      <c r="Q2421" s="1">
        <f>YEAR(Advices[[#This Row],[Transaction Date]])</f>
        <v>2026</v>
      </c>
      <c r="R2421" s="1"/>
    </row>
    <row r="2422" spans="1:18" hidden="1" x14ac:dyDescent="0.25">
      <c r="A2422" s="264" t="s">
        <v>95</v>
      </c>
      <c r="B2422" s="265">
        <v>46135</v>
      </c>
      <c r="C2422" s="266" t="s">
        <v>2307</v>
      </c>
      <c r="D2422" s="264" t="s">
        <v>5073</v>
      </c>
      <c r="E2422" s="264" t="s">
        <v>2562</v>
      </c>
      <c r="F2422" s="264" t="s">
        <v>2562</v>
      </c>
      <c r="G2422" s="266" t="s">
        <v>26</v>
      </c>
      <c r="H2422" s="299">
        <v>5136.51</v>
      </c>
      <c r="I2422" s="266">
        <v>0</v>
      </c>
      <c r="J2422" s="264" t="s">
        <v>2041</v>
      </c>
      <c r="K2422" s="264" t="s">
        <v>5154</v>
      </c>
      <c r="L2422" s="264" t="str">
        <f>VLOOKUP(Advices[[#This Row],[LC Number]],'Combine_List'!A:D,2,0)</f>
        <v>ALNAFIE METAL INDUSTRIES CO LTD</v>
      </c>
      <c r="M2422" s="264" t="str">
        <f>VLOOKUP(Advices[[#This Row],[LC Number]],'Combine_List'!A:D,3,0)</f>
        <v>MBL/AICS</v>
      </c>
      <c r="N2422" s="264" t="str">
        <f>VLOOKUP(Advices[[#This Row],[LC Number]],'Combine_List'!A:D,4,0)</f>
        <v>OPERA House</v>
      </c>
      <c r="O2422" s="264"/>
      <c r="P2422" s="264">
        <f>MONTH(Advices[[#This Row],[Transaction Date]])</f>
        <v>4</v>
      </c>
      <c r="Q2422" s="264">
        <f>YEAR(Advices[[#This Row],[Transaction Date]])</f>
        <v>2026</v>
      </c>
      <c r="R2422" s="264"/>
    </row>
    <row r="2423" spans="1:18" hidden="1" x14ac:dyDescent="0.25">
      <c r="A2423" s="264" t="s">
        <v>366</v>
      </c>
      <c r="B2423" s="265">
        <v>46135</v>
      </c>
      <c r="C2423" s="266" t="s">
        <v>2060</v>
      </c>
      <c r="D2423" s="264" t="s">
        <v>5074</v>
      </c>
      <c r="E2423" s="264" t="s">
        <v>1690</v>
      </c>
      <c r="F2423" s="264" t="s">
        <v>3869</v>
      </c>
      <c r="G2423" s="266" t="s">
        <v>26</v>
      </c>
      <c r="H2423" s="299">
        <v>850000</v>
      </c>
      <c r="I2423" s="266">
        <v>0</v>
      </c>
      <c r="J2423" s="264" t="s">
        <v>1125</v>
      </c>
      <c r="K2423" s="264" t="s">
        <v>2025</v>
      </c>
      <c r="L2423" s="1" t="str">
        <f>VLOOKUP(Advices[[#This Row],[LC Number]],'Combine_List'!A:D,2,0)</f>
        <v>Awraq Alqyqb Lltjart Company</v>
      </c>
      <c r="M2423" s="1" t="str">
        <f>VLOOKUP(Advices[[#This Row],[LC Number]],'Combine_List'!A:D,3,0)</f>
        <v>FIRST FIX</v>
      </c>
      <c r="N2423" s="1" t="str">
        <f>VLOOKUP(Advices[[#This Row],[LC Number]],'Combine_List'!A:D,4,0)</f>
        <v>CEER</v>
      </c>
      <c r="O2423" s="1"/>
      <c r="P2423" s="1">
        <f>MONTH(Advices[[#This Row],[Transaction Date]])</f>
        <v>4</v>
      </c>
      <c r="Q2423" s="1">
        <f>YEAR(Advices[[#This Row],[Transaction Date]])</f>
        <v>2026</v>
      </c>
      <c r="R2423" s="1"/>
    </row>
    <row r="2424" spans="1:18" hidden="1" x14ac:dyDescent="0.25">
      <c r="A2424" s="264" t="s">
        <v>366</v>
      </c>
      <c r="B2424" s="265">
        <v>46135</v>
      </c>
      <c r="C2424" s="266" t="s">
        <v>2060</v>
      </c>
      <c r="D2424" s="264" t="s">
        <v>5075</v>
      </c>
      <c r="E2424" s="264" t="s">
        <v>4393</v>
      </c>
      <c r="F2424" s="264" t="s">
        <v>5076</v>
      </c>
      <c r="G2424" s="266" t="s">
        <v>26</v>
      </c>
      <c r="H2424" s="299">
        <v>21562.5</v>
      </c>
      <c r="I2424" s="266">
        <v>0</v>
      </c>
      <c r="J2424" s="264" t="s">
        <v>1125</v>
      </c>
      <c r="K2424" s="264" t="s">
        <v>2025</v>
      </c>
      <c r="L2424" s="264" t="str">
        <f>VLOOKUP(Advices[[#This Row],[LC Number]],'Combine_List'!A:D,2,0)</f>
        <v>The Fundamental Installation For Electric Work Co</v>
      </c>
      <c r="M2424" s="264" t="str">
        <f>VLOOKUP(Advices[[#This Row],[LC Number]],'Combine_List'!A:D,3,0)</f>
        <v>FIRST FIX</v>
      </c>
      <c r="N2424" s="264" t="str">
        <f>VLOOKUP(Advices[[#This Row],[LC Number]],'Combine_List'!A:D,4,0)</f>
        <v>MP1</v>
      </c>
      <c r="O2424" s="264"/>
      <c r="P2424" s="264">
        <f>MONTH(Advices[[#This Row],[Transaction Date]])</f>
        <v>4</v>
      </c>
      <c r="Q2424" s="264">
        <f>YEAR(Advices[[#This Row],[Transaction Date]])</f>
        <v>2026</v>
      </c>
      <c r="R2424" s="264"/>
    </row>
    <row r="2425" spans="1:18" hidden="1" x14ac:dyDescent="0.25">
      <c r="A2425" s="264" t="s">
        <v>1073</v>
      </c>
      <c r="B2425" s="265">
        <v>46135</v>
      </c>
      <c r="C2425" s="266" t="s">
        <v>3164</v>
      </c>
      <c r="D2425" s="264" t="s">
        <v>3165</v>
      </c>
      <c r="E2425" s="264" t="s">
        <v>4546</v>
      </c>
      <c r="F2425" s="264" t="s">
        <v>2041</v>
      </c>
      <c r="G2425" s="266" t="s">
        <v>26</v>
      </c>
      <c r="H2425" s="299">
        <v>2580</v>
      </c>
      <c r="I2425" s="266">
        <v>0</v>
      </c>
      <c r="J2425" s="264" t="s">
        <v>1125</v>
      </c>
      <c r="K2425" s="264" t="s">
        <v>2025</v>
      </c>
      <c r="L2425" s="1" t="str">
        <f>VLOOKUP(Advices[[#This Row],[LC Number]],'Combine_List'!A:D,2,0)</f>
        <v>Ready Mix Company Limited.</v>
      </c>
      <c r="M2425" s="1" t="str">
        <f>VLOOKUP(Advices[[#This Row],[LC Number]],'Combine_List'!A:D,3,0)</f>
        <v>MBL</v>
      </c>
      <c r="N2425" s="1" t="str">
        <f>VLOOKUP(Advices[[#This Row],[LC Number]],'Combine_List'!A:D,4,0)</f>
        <v>Lagoon</v>
      </c>
      <c r="O2425" s="1"/>
      <c r="P2425" s="1">
        <f>MONTH(Advices[[#This Row],[Transaction Date]])</f>
        <v>4</v>
      </c>
      <c r="Q2425" s="1">
        <f>YEAR(Advices[[#This Row],[Transaction Date]])</f>
        <v>2026</v>
      </c>
      <c r="R2425" s="1"/>
    </row>
    <row r="2426" spans="1:18" hidden="1" x14ac:dyDescent="0.25">
      <c r="A2426" s="264" t="s">
        <v>1073</v>
      </c>
      <c r="B2426" s="265">
        <v>46135</v>
      </c>
      <c r="C2426" s="266" t="s">
        <v>3164</v>
      </c>
      <c r="D2426" s="264" t="s">
        <v>3166</v>
      </c>
      <c r="E2426" s="264" t="s">
        <v>4546</v>
      </c>
      <c r="F2426" s="264" t="s">
        <v>2041</v>
      </c>
      <c r="G2426" s="266" t="s">
        <v>26</v>
      </c>
      <c r="H2426" s="299">
        <v>250</v>
      </c>
      <c r="I2426" s="266">
        <v>0</v>
      </c>
      <c r="J2426" s="264" t="s">
        <v>1963</v>
      </c>
      <c r="K2426" s="264" t="s">
        <v>2025</v>
      </c>
      <c r="L2426" s="1" t="str">
        <f>VLOOKUP(Advices[[#This Row],[LC Number]],'Combine_List'!A:D,2,0)</f>
        <v>Ready Mix Company Limited.</v>
      </c>
      <c r="M2426" s="1" t="str">
        <f>VLOOKUP(Advices[[#This Row],[LC Number]],'Combine_List'!A:D,3,0)</f>
        <v>MBL</v>
      </c>
      <c r="N2426" s="1" t="str">
        <f>VLOOKUP(Advices[[#This Row],[LC Number]],'Combine_List'!A:D,4,0)</f>
        <v>Lagoon</v>
      </c>
      <c r="O2426" s="1"/>
      <c r="P2426" s="1">
        <f>MONTH(Advices[[#This Row],[Transaction Date]])</f>
        <v>4</v>
      </c>
      <c r="Q2426" s="1">
        <f>YEAR(Advices[[#This Row],[Transaction Date]])</f>
        <v>2026</v>
      </c>
      <c r="R2426" s="1"/>
    </row>
    <row r="2427" spans="1:18" hidden="1" x14ac:dyDescent="0.25">
      <c r="A2427" s="264" t="s">
        <v>1073</v>
      </c>
      <c r="B2427" s="265">
        <v>46135</v>
      </c>
      <c r="C2427" s="266" t="s">
        <v>3164</v>
      </c>
      <c r="D2427" s="264" t="s">
        <v>3168</v>
      </c>
      <c r="E2427" s="264" t="s">
        <v>4546</v>
      </c>
      <c r="F2427" s="264" t="s">
        <v>2041</v>
      </c>
      <c r="G2427" s="266" t="s">
        <v>26</v>
      </c>
      <c r="H2427" s="299">
        <v>387</v>
      </c>
      <c r="I2427" s="266">
        <v>0</v>
      </c>
      <c r="J2427" s="264" t="s">
        <v>1174</v>
      </c>
      <c r="K2427" s="264" t="s">
        <v>2025</v>
      </c>
      <c r="L2427" s="1" t="str">
        <f>VLOOKUP(Advices[[#This Row],[LC Number]],'Combine_List'!A:D,2,0)</f>
        <v>Ready Mix Company Limited.</v>
      </c>
      <c r="M2427" s="1" t="str">
        <f>VLOOKUP(Advices[[#This Row],[LC Number]],'Combine_List'!A:D,3,0)</f>
        <v>MBL</v>
      </c>
      <c r="N2427" s="1" t="str">
        <f>VLOOKUP(Advices[[#This Row],[LC Number]],'Combine_List'!A:D,4,0)</f>
        <v>Lagoon</v>
      </c>
      <c r="O2427" s="1"/>
      <c r="P2427" s="1">
        <f>MONTH(Advices[[#This Row],[Transaction Date]])</f>
        <v>4</v>
      </c>
      <c r="Q2427" s="1">
        <f>YEAR(Advices[[#This Row],[Transaction Date]])</f>
        <v>2026</v>
      </c>
      <c r="R2427" s="1"/>
    </row>
    <row r="2428" spans="1:18" hidden="1" x14ac:dyDescent="0.25">
      <c r="A2428" s="264" t="s">
        <v>1073</v>
      </c>
      <c r="B2428" s="265">
        <v>46135</v>
      </c>
      <c r="C2428" s="266" t="s">
        <v>3164</v>
      </c>
      <c r="D2428" s="264" t="s">
        <v>3168</v>
      </c>
      <c r="E2428" s="264" t="s">
        <v>4546</v>
      </c>
      <c r="F2428" s="264" t="s">
        <v>2041</v>
      </c>
      <c r="G2428" s="266" t="s">
        <v>26</v>
      </c>
      <c r="H2428" s="299">
        <v>37.5</v>
      </c>
      <c r="I2428" s="266">
        <v>0</v>
      </c>
      <c r="J2428" s="264" t="s">
        <v>1174</v>
      </c>
      <c r="K2428" s="264" t="s">
        <v>2025</v>
      </c>
      <c r="L2428" s="264" t="str">
        <f>VLOOKUP(Advices[[#This Row],[LC Number]],'Combine_List'!A:D,2,0)</f>
        <v>Ready Mix Company Limited.</v>
      </c>
      <c r="M2428" s="264" t="str">
        <f>VLOOKUP(Advices[[#This Row],[LC Number]],'Combine_List'!A:D,3,0)</f>
        <v>MBL</v>
      </c>
      <c r="N2428" s="264" t="str">
        <f>VLOOKUP(Advices[[#This Row],[LC Number]],'Combine_List'!A:D,4,0)</f>
        <v>Lagoon</v>
      </c>
      <c r="O2428" s="264"/>
      <c r="P2428" s="264">
        <f>MONTH(Advices[[#This Row],[Transaction Date]])</f>
        <v>4</v>
      </c>
      <c r="Q2428" s="264">
        <f>YEAR(Advices[[#This Row],[Transaction Date]])</f>
        <v>2026</v>
      </c>
      <c r="R2428" s="264"/>
    </row>
    <row r="2429" spans="1:18" hidden="1" x14ac:dyDescent="0.25">
      <c r="A2429" s="264" t="s">
        <v>612</v>
      </c>
      <c r="B2429" s="265">
        <v>46135</v>
      </c>
      <c r="C2429" s="266" t="s">
        <v>2101</v>
      </c>
      <c r="D2429" s="264" t="s">
        <v>5077</v>
      </c>
      <c r="E2429" s="264" t="s">
        <v>1810</v>
      </c>
      <c r="F2429" s="1" t="s">
        <v>1810</v>
      </c>
      <c r="G2429" s="266" t="s">
        <v>26</v>
      </c>
      <c r="H2429" s="299">
        <v>50</v>
      </c>
      <c r="I2429" s="266">
        <v>0</v>
      </c>
      <c r="J2429" s="264"/>
      <c r="K2429" s="264" t="s">
        <v>5459</v>
      </c>
      <c r="L2429" s="1" t="str">
        <f>VLOOKUP(Advices[[#This Row],[LC Number]],'Combine_List'!A:D,2,0)</f>
        <v>AL FALWA CO. LTD. FOR READYMIX CONCRETE</v>
      </c>
      <c r="M2429" s="1" t="str">
        <f>VLOOKUP(Advices[[#This Row],[LC Number]],'Combine_List'!A:D,3,0)</f>
        <v>MBL</v>
      </c>
      <c r="N2429" s="1" t="str">
        <f>VLOOKUP(Advices[[#This Row],[LC Number]],'Combine_List'!A:D,4,0)</f>
        <v>RCRC</v>
      </c>
      <c r="O2429" s="1"/>
      <c r="P2429" s="1">
        <f>MONTH(Advices[[#This Row],[Transaction Date]])</f>
        <v>4</v>
      </c>
      <c r="Q2429" s="1">
        <f>YEAR(Advices[[#This Row],[Transaction Date]])</f>
        <v>2026</v>
      </c>
      <c r="R2429" s="1" t="s">
        <v>5395</v>
      </c>
    </row>
    <row r="2430" spans="1:18" hidden="1" x14ac:dyDescent="0.25">
      <c r="A2430" s="264" t="s">
        <v>612</v>
      </c>
      <c r="B2430" s="265">
        <v>46135</v>
      </c>
      <c r="C2430" s="266" t="s">
        <v>2101</v>
      </c>
      <c r="D2430" s="264" t="s">
        <v>5078</v>
      </c>
      <c r="E2430" s="264" t="s">
        <v>1810</v>
      </c>
      <c r="F2430" s="1" t="s">
        <v>1810</v>
      </c>
      <c r="G2430" s="266" t="s">
        <v>26</v>
      </c>
      <c r="H2430" s="299">
        <v>7.5</v>
      </c>
      <c r="I2430" s="266">
        <v>0</v>
      </c>
      <c r="J2430" s="264" t="s">
        <v>1174</v>
      </c>
      <c r="K2430" s="264" t="s">
        <v>5459</v>
      </c>
      <c r="L2430" s="264" t="str">
        <f>VLOOKUP(Advices[[#This Row],[LC Number]],'Combine_List'!A:D,2,0)</f>
        <v>AL FALWA CO. LTD. FOR READYMIX CONCRETE</v>
      </c>
      <c r="M2430" s="264" t="str">
        <f>VLOOKUP(Advices[[#This Row],[LC Number]],'Combine_List'!A:D,3,0)</f>
        <v>MBL</v>
      </c>
      <c r="N2430" s="264" t="str">
        <f>VLOOKUP(Advices[[#This Row],[LC Number]],'Combine_List'!A:D,4,0)</f>
        <v>RCRC</v>
      </c>
      <c r="O2430" s="264"/>
      <c r="P2430" s="264">
        <f>MONTH(Advices[[#This Row],[Transaction Date]])</f>
        <v>4</v>
      </c>
      <c r="Q2430" s="264">
        <f>YEAR(Advices[[#This Row],[Transaction Date]])</f>
        <v>2026</v>
      </c>
      <c r="R2430" s="1" t="s">
        <v>5395</v>
      </c>
    </row>
    <row r="2431" spans="1:18" x14ac:dyDescent="0.25">
      <c r="A2431" s="264" t="s">
        <v>21</v>
      </c>
      <c r="B2431" s="265">
        <v>46138</v>
      </c>
      <c r="C2431" s="266" t="s">
        <v>1951</v>
      </c>
      <c r="D2431" s="264" t="s">
        <v>4569</v>
      </c>
      <c r="E2431" s="264" t="s">
        <v>3145</v>
      </c>
      <c r="F2431" s="264" t="s">
        <v>4139</v>
      </c>
      <c r="G2431" s="266" t="s">
        <v>26</v>
      </c>
      <c r="H2431" s="299">
        <v>75</v>
      </c>
      <c r="I2431" s="266">
        <v>0</v>
      </c>
      <c r="J2431" s="264"/>
      <c r="K2431" s="264" t="s">
        <v>2025</v>
      </c>
      <c r="L2431" s="1" t="str">
        <f>VLOOKUP(Advices[[#This Row],[LC Number]],'Combine_List'!A:D,2,0)</f>
        <v>Mahmoud Al Tahini and Partners Company</v>
      </c>
      <c r="M2431" s="1" t="str">
        <f>VLOOKUP(Advices[[#This Row],[LC Number]],'Combine_List'!A:D,3,0)</f>
        <v>Signal Control</v>
      </c>
      <c r="N2431" s="1" t="str">
        <f>VLOOKUP(Advices[[#This Row],[LC Number]],'Combine_List'!A:D,4,0)</f>
        <v>KSP</v>
      </c>
      <c r="O2431" s="1"/>
      <c r="P2431" s="1">
        <f>MONTH(Advices[[#This Row],[Transaction Date]])</f>
        <v>4</v>
      </c>
      <c r="Q2431" s="1">
        <f>YEAR(Advices[[#This Row],[Transaction Date]])</f>
        <v>2026</v>
      </c>
      <c r="R2431" s="1"/>
    </row>
    <row r="2432" spans="1:18" x14ac:dyDescent="0.25">
      <c r="A2432" s="264" t="s">
        <v>21</v>
      </c>
      <c r="B2432" s="265">
        <v>46138</v>
      </c>
      <c r="C2432" s="266" t="s">
        <v>1951</v>
      </c>
      <c r="D2432" s="264" t="s">
        <v>1960</v>
      </c>
      <c r="E2432" s="264" t="s">
        <v>1896</v>
      </c>
      <c r="F2432" s="264" t="s">
        <v>4749</v>
      </c>
      <c r="G2432" s="266" t="s">
        <v>26</v>
      </c>
      <c r="H2432" s="299">
        <v>11.25</v>
      </c>
      <c r="I2432" s="266">
        <v>0</v>
      </c>
      <c r="J2432" s="264" t="s">
        <v>1174</v>
      </c>
      <c r="K2432" s="264" t="s">
        <v>2025</v>
      </c>
      <c r="L2432" s="1" t="str">
        <f>VLOOKUP(Advices[[#This Row],[LC Number]],'Combine_List'!A:D,2,0)</f>
        <v>Saudi Perfect Pumps Trading &amp; Manufacturing Company</v>
      </c>
      <c r="M2432" s="1" t="str">
        <f>VLOOKUP(Advices[[#This Row],[LC Number]],'Combine_List'!A:D,3,0)</f>
        <v>MBL</v>
      </c>
      <c r="N2432" s="1" t="str">
        <f>VLOOKUP(Advices[[#This Row],[LC Number]],'Combine_List'!A:D,4,0)</f>
        <v>Rabigh Power Plant</v>
      </c>
      <c r="O2432" s="1"/>
      <c r="P2432" s="1">
        <f>MONTH(Advices[[#This Row],[Transaction Date]])</f>
        <v>4</v>
      </c>
      <c r="Q2432" s="1">
        <f>YEAR(Advices[[#This Row],[Transaction Date]])</f>
        <v>2026</v>
      </c>
      <c r="R2432" s="1"/>
    </row>
    <row r="2433" spans="1:18" x14ac:dyDescent="0.25">
      <c r="A2433" s="264" t="s">
        <v>21</v>
      </c>
      <c r="B2433" s="265">
        <v>46138</v>
      </c>
      <c r="C2433" s="266" t="s">
        <v>1951</v>
      </c>
      <c r="D2433" s="264" t="s">
        <v>4569</v>
      </c>
      <c r="E2433" s="264" t="s">
        <v>1896</v>
      </c>
      <c r="F2433" s="264" t="s">
        <v>4749</v>
      </c>
      <c r="G2433" s="266" t="s">
        <v>26</v>
      </c>
      <c r="H2433" s="299">
        <v>75</v>
      </c>
      <c r="I2433" s="266">
        <v>0</v>
      </c>
      <c r="J2433" s="264"/>
      <c r="K2433" s="264" t="s">
        <v>2025</v>
      </c>
      <c r="L2433" s="1" t="str">
        <f>VLOOKUP(Advices[[#This Row],[LC Number]],'Combine_List'!A:D,2,0)</f>
        <v>Saudi Perfect Pumps Trading &amp; Manufacturing Company</v>
      </c>
      <c r="M2433" s="1" t="str">
        <f>VLOOKUP(Advices[[#This Row],[LC Number]],'Combine_List'!A:D,3,0)</f>
        <v>MBL</v>
      </c>
      <c r="N2433" s="1" t="str">
        <f>VLOOKUP(Advices[[#This Row],[LC Number]],'Combine_List'!A:D,4,0)</f>
        <v>Rabigh Power Plant</v>
      </c>
      <c r="O2433" s="1"/>
      <c r="P2433" s="1">
        <f>MONTH(Advices[[#This Row],[Transaction Date]])</f>
        <v>4</v>
      </c>
      <c r="Q2433" s="1">
        <f>YEAR(Advices[[#This Row],[Transaction Date]])</f>
        <v>2026</v>
      </c>
      <c r="R2433" s="1"/>
    </row>
    <row r="2434" spans="1:18" x14ac:dyDescent="0.25">
      <c r="A2434" s="264" t="s">
        <v>21</v>
      </c>
      <c r="B2434" s="265">
        <v>46138</v>
      </c>
      <c r="C2434" s="266" t="s">
        <v>1951</v>
      </c>
      <c r="D2434" s="264" t="s">
        <v>4570</v>
      </c>
      <c r="E2434" s="264" t="s">
        <v>1896</v>
      </c>
      <c r="F2434" s="264" t="s">
        <v>4749</v>
      </c>
      <c r="G2434" s="266" t="s">
        <v>26</v>
      </c>
      <c r="H2434" s="299">
        <v>412500</v>
      </c>
      <c r="I2434" s="266">
        <v>0</v>
      </c>
      <c r="J2434" s="264"/>
      <c r="K2434" s="264" t="s">
        <v>2025</v>
      </c>
      <c r="L2434" s="1" t="str">
        <f>VLOOKUP(Advices[[#This Row],[LC Number]],'Combine_List'!A:D,2,0)</f>
        <v>Saudi Perfect Pumps Trading &amp; Manufacturing Company</v>
      </c>
      <c r="M2434" s="1" t="str">
        <f>VLOOKUP(Advices[[#This Row],[LC Number]],'Combine_List'!A:D,3,0)</f>
        <v>MBL</v>
      </c>
      <c r="N2434" s="1" t="str">
        <f>VLOOKUP(Advices[[#This Row],[LC Number]],'Combine_List'!A:D,4,0)</f>
        <v>Rabigh Power Plant</v>
      </c>
      <c r="O2434" s="1"/>
      <c r="P2434" s="1">
        <f>MONTH(Advices[[#This Row],[Transaction Date]])</f>
        <v>4</v>
      </c>
      <c r="Q2434" s="1">
        <f>YEAR(Advices[[#This Row],[Transaction Date]])</f>
        <v>2026</v>
      </c>
      <c r="R2434" s="1"/>
    </row>
    <row r="2435" spans="1:18" x14ac:dyDescent="0.25">
      <c r="A2435" s="264" t="s">
        <v>21</v>
      </c>
      <c r="B2435" s="265">
        <v>46138</v>
      </c>
      <c r="C2435" s="266" t="s">
        <v>1951</v>
      </c>
      <c r="D2435" s="264" t="s">
        <v>1960</v>
      </c>
      <c r="E2435" s="264" t="s">
        <v>1896</v>
      </c>
      <c r="F2435" s="264" t="s">
        <v>4750</v>
      </c>
      <c r="G2435" s="266" t="s">
        <v>26</v>
      </c>
      <c r="H2435" s="299">
        <v>11.25</v>
      </c>
      <c r="I2435" s="266">
        <v>0</v>
      </c>
      <c r="J2435" s="264" t="s">
        <v>1174</v>
      </c>
      <c r="K2435" s="264" t="s">
        <v>2025</v>
      </c>
      <c r="L2435" s="1" t="str">
        <f>VLOOKUP(Advices[[#This Row],[LC Number]],'Combine_List'!A:D,2,0)</f>
        <v>Saudi Perfect Pumps Trading &amp; Manufacturing Company</v>
      </c>
      <c r="M2435" s="1" t="str">
        <f>VLOOKUP(Advices[[#This Row],[LC Number]],'Combine_List'!A:D,3,0)</f>
        <v>MBL</v>
      </c>
      <c r="N2435" s="1" t="str">
        <f>VLOOKUP(Advices[[#This Row],[LC Number]],'Combine_List'!A:D,4,0)</f>
        <v>Rabigh Power Plant</v>
      </c>
      <c r="O2435" s="1"/>
      <c r="P2435" s="1">
        <f>MONTH(Advices[[#This Row],[Transaction Date]])</f>
        <v>4</v>
      </c>
      <c r="Q2435" s="1">
        <f>YEAR(Advices[[#This Row],[Transaction Date]])</f>
        <v>2026</v>
      </c>
      <c r="R2435" s="1"/>
    </row>
    <row r="2436" spans="1:18" x14ac:dyDescent="0.25">
      <c r="A2436" s="264" t="s">
        <v>21</v>
      </c>
      <c r="B2436" s="265">
        <v>46138</v>
      </c>
      <c r="C2436" s="266" t="s">
        <v>1951</v>
      </c>
      <c r="D2436" s="264" t="s">
        <v>4569</v>
      </c>
      <c r="E2436" s="264" t="s">
        <v>1896</v>
      </c>
      <c r="F2436" s="264" t="s">
        <v>4750</v>
      </c>
      <c r="G2436" s="266" t="s">
        <v>26</v>
      </c>
      <c r="H2436" s="299">
        <v>75</v>
      </c>
      <c r="I2436" s="266">
        <v>0</v>
      </c>
      <c r="J2436" s="264"/>
      <c r="K2436" s="264" t="s">
        <v>2025</v>
      </c>
      <c r="L2436" s="1" t="str">
        <f>VLOOKUP(Advices[[#This Row],[LC Number]],'Combine_List'!A:D,2,0)</f>
        <v>Saudi Perfect Pumps Trading &amp; Manufacturing Company</v>
      </c>
      <c r="M2436" s="1" t="str">
        <f>VLOOKUP(Advices[[#This Row],[LC Number]],'Combine_List'!A:D,3,0)</f>
        <v>MBL</v>
      </c>
      <c r="N2436" s="1" t="str">
        <f>VLOOKUP(Advices[[#This Row],[LC Number]],'Combine_List'!A:D,4,0)</f>
        <v>Rabigh Power Plant</v>
      </c>
      <c r="O2436" s="1"/>
      <c r="P2436" s="1">
        <f>MONTH(Advices[[#This Row],[Transaction Date]])</f>
        <v>4</v>
      </c>
      <c r="Q2436" s="1">
        <f>YEAR(Advices[[#This Row],[Transaction Date]])</f>
        <v>2026</v>
      </c>
      <c r="R2436" s="1"/>
    </row>
    <row r="2437" spans="1:18" x14ac:dyDescent="0.25">
      <c r="A2437" s="264" t="s">
        <v>21</v>
      </c>
      <c r="B2437" s="265">
        <v>46138</v>
      </c>
      <c r="C2437" s="266" t="s">
        <v>1951</v>
      </c>
      <c r="D2437" s="264" t="s">
        <v>4570</v>
      </c>
      <c r="E2437" s="264" t="s">
        <v>1896</v>
      </c>
      <c r="F2437" s="264" t="s">
        <v>4750</v>
      </c>
      <c r="G2437" s="266" t="s">
        <v>26</v>
      </c>
      <c r="H2437" s="299">
        <v>279950</v>
      </c>
      <c r="I2437" s="266">
        <v>0</v>
      </c>
      <c r="J2437" s="264"/>
      <c r="K2437" s="264" t="s">
        <v>2025</v>
      </c>
      <c r="L2437" s="1" t="str">
        <f>VLOOKUP(Advices[[#This Row],[LC Number]],'Combine_List'!A:D,2,0)</f>
        <v>Saudi Perfect Pumps Trading &amp; Manufacturing Company</v>
      </c>
      <c r="M2437" s="1" t="str">
        <f>VLOOKUP(Advices[[#This Row],[LC Number]],'Combine_List'!A:D,3,0)</f>
        <v>MBL</v>
      </c>
      <c r="N2437" s="1" t="str">
        <f>VLOOKUP(Advices[[#This Row],[LC Number]],'Combine_List'!A:D,4,0)</f>
        <v>Rabigh Power Plant</v>
      </c>
      <c r="O2437" s="1"/>
      <c r="P2437" s="1">
        <f>MONTH(Advices[[#This Row],[Transaction Date]])</f>
        <v>4</v>
      </c>
      <c r="Q2437" s="1">
        <f>YEAR(Advices[[#This Row],[Transaction Date]])</f>
        <v>2026</v>
      </c>
      <c r="R2437" s="1"/>
    </row>
    <row r="2438" spans="1:18" x14ac:dyDescent="0.25">
      <c r="A2438" s="264" t="s">
        <v>21</v>
      </c>
      <c r="B2438" s="265">
        <v>46138</v>
      </c>
      <c r="C2438" s="266" t="s">
        <v>1951</v>
      </c>
      <c r="D2438" s="264" t="s">
        <v>1960</v>
      </c>
      <c r="E2438" s="264" t="s">
        <v>3145</v>
      </c>
      <c r="F2438" s="264" t="s">
        <v>4139</v>
      </c>
      <c r="G2438" s="266" t="s">
        <v>26</v>
      </c>
      <c r="H2438" s="299">
        <v>11.25</v>
      </c>
      <c r="I2438" s="266">
        <v>0</v>
      </c>
      <c r="J2438" s="264" t="s">
        <v>1174</v>
      </c>
      <c r="K2438" s="264" t="s">
        <v>2025</v>
      </c>
      <c r="L2438" s="1" t="str">
        <f>VLOOKUP(Advices[[#This Row],[LC Number]],'Combine_List'!A:D,2,0)</f>
        <v>Mahmoud Al Tahini and Partners Company</v>
      </c>
      <c r="M2438" s="1" t="str">
        <f>VLOOKUP(Advices[[#This Row],[LC Number]],'Combine_List'!A:D,3,0)</f>
        <v>Signal Control</v>
      </c>
      <c r="N2438" s="1" t="str">
        <f>VLOOKUP(Advices[[#This Row],[LC Number]],'Combine_List'!A:D,4,0)</f>
        <v>KSP</v>
      </c>
      <c r="O2438" s="1"/>
      <c r="P2438" s="1">
        <f>MONTH(Advices[[#This Row],[Transaction Date]])</f>
        <v>4</v>
      </c>
      <c r="Q2438" s="1">
        <f>YEAR(Advices[[#This Row],[Transaction Date]])</f>
        <v>2026</v>
      </c>
      <c r="R2438" s="1"/>
    </row>
    <row r="2439" spans="1:18" x14ac:dyDescent="0.25">
      <c r="A2439" s="264" t="s">
        <v>21</v>
      </c>
      <c r="B2439" s="265">
        <v>46138</v>
      </c>
      <c r="C2439" s="266" t="s">
        <v>1951</v>
      </c>
      <c r="D2439" s="264" t="s">
        <v>4570</v>
      </c>
      <c r="E2439" s="264" t="s">
        <v>3145</v>
      </c>
      <c r="F2439" s="264" t="s">
        <v>4139</v>
      </c>
      <c r="G2439" s="266" t="s">
        <v>26</v>
      </c>
      <c r="H2439" s="299">
        <v>1249991.3500000001</v>
      </c>
      <c r="I2439" s="266">
        <v>0</v>
      </c>
      <c r="J2439" s="264"/>
      <c r="K2439" s="264" t="s">
        <v>2025</v>
      </c>
      <c r="L2439" s="264" t="str">
        <f>VLOOKUP(Advices[[#This Row],[LC Number]],'Combine_List'!A:D,2,0)</f>
        <v>Mahmoud Al Tahini and Partners Company</v>
      </c>
      <c r="M2439" s="264" t="str">
        <f>VLOOKUP(Advices[[#This Row],[LC Number]],'Combine_List'!A:D,3,0)</f>
        <v>Signal Control</v>
      </c>
      <c r="N2439" s="264" t="str">
        <f>VLOOKUP(Advices[[#This Row],[LC Number]],'Combine_List'!A:D,4,0)</f>
        <v>KSP</v>
      </c>
      <c r="O2439" s="264"/>
      <c r="P2439" s="264">
        <f>MONTH(Advices[[#This Row],[Transaction Date]])</f>
        <v>4</v>
      </c>
      <c r="Q2439" s="264">
        <f>YEAR(Advices[[#This Row],[Transaction Date]])</f>
        <v>2026</v>
      </c>
      <c r="R2439" s="264"/>
    </row>
    <row r="2440" spans="1:18" hidden="1" x14ac:dyDescent="0.25">
      <c r="A2440" s="264" t="s">
        <v>62</v>
      </c>
      <c r="B2440" s="265">
        <v>46138</v>
      </c>
      <c r="C2440" s="266" t="s">
        <v>2055</v>
      </c>
      <c r="D2440" s="264" t="s">
        <v>5085</v>
      </c>
      <c r="E2440" s="264" t="s">
        <v>2906</v>
      </c>
      <c r="F2440" s="264" t="s">
        <v>2041</v>
      </c>
      <c r="G2440" s="266" t="s">
        <v>78</v>
      </c>
      <c r="H2440" s="299">
        <v>81510.42</v>
      </c>
      <c r="I2440" s="266">
        <v>0</v>
      </c>
      <c r="J2440" s="264" t="s">
        <v>1126</v>
      </c>
      <c r="K2440" s="264" t="s">
        <v>2025</v>
      </c>
      <c r="L2440" s="1" t="str">
        <f>VLOOKUP(Advices[[#This Row],[LC Number]],'Combine_List'!A:D,2,0)</f>
        <v>IBA MIDDLE EAST FZE</v>
      </c>
      <c r="M2440" s="1" t="str">
        <f>VLOOKUP(Advices[[#This Row],[LC Number]],'Combine_List'!A:D,3,0)</f>
        <v>MBL/United Arab Aluminum Co</v>
      </c>
      <c r="N2440" s="1" t="str">
        <f>VLOOKUP(Advices[[#This Row],[LC Number]],'Combine_List'!A:D,4,0)</f>
        <v>Oceanarium</v>
      </c>
      <c r="O2440" s="1"/>
      <c r="P2440" s="1">
        <f>MONTH(Advices[[#This Row],[Transaction Date]])</f>
        <v>4</v>
      </c>
      <c r="Q2440" s="1">
        <f>YEAR(Advices[[#This Row],[Transaction Date]])</f>
        <v>2026</v>
      </c>
      <c r="R2440" s="1"/>
    </row>
    <row r="2441" spans="1:18" hidden="1" x14ac:dyDescent="0.25">
      <c r="A2441" s="264" t="s">
        <v>62</v>
      </c>
      <c r="B2441" s="265">
        <v>46138</v>
      </c>
      <c r="C2441" s="266" t="s">
        <v>2039</v>
      </c>
      <c r="D2441" s="264" t="s">
        <v>5086</v>
      </c>
      <c r="E2441" s="264" t="s">
        <v>5079</v>
      </c>
      <c r="F2441" s="264" t="s">
        <v>2041</v>
      </c>
      <c r="G2441" s="266" t="s">
        <v>26</v>
      </c>
      <c r="H2441" s="299">
        <v>28751.15</v>
      </c>
      <c r="I2441" s="266">
        <v>0</v>
      </c>
      <c r="J2441" s="264" t="s">
        <v>2830</v>
      </c>
      <c r="K2441" s="264" t="s">
        <v>2025</v>
      </c>
      <c r="L2441" s="1" t="str">
        <f>VLOOKUP(Advices[[#This Row],[LC Number]],'Combine_List'!A:D,2,0)</f>
        <v>Bid - NINETY Real Estate Development Company</v>
      </c>
      <c r="M2441" s="1">
        <f>VLOOKUP(Advices[[#This Row],[LC Number]],'Combine_List'!A:D,3,0)</f>
        <v>0</v>
      </c>
      <c r="N2441" s="1">
        <f>VLOOKUP(Advices[[#This Row],[LC Number]],'Combine_List'!A:D,4,0)</f>
        <v>0</v>
      </c>
      <c r="O2441" s="1"/>
      <c r="P2441" s="1">
        <f>MONTH(Advices[[#This Row],[Transaction Date]])</f>
        <v>4</v>
      </c>
      <c r="Q2441" s="1">
        <f>YEAR(Advices[[#This Row],[Transaction Date]])</f>
        <v>2026</v>
      </c>
      <c r="R2441" s="1"/>
    </row>
    <row r="2442" spans="1:18" hidden="1" x14ac:dyDescent="0.25">
      <c r="A2442" s="264" t="s">
        <v>62</v>
      </c>
      <c r="B2442" s="265">
        <v>46138</v>
      </c>
      <c r="C2442" s="266" t="s">
        <v>2039</v>
      </c>
      <c r="D2442" s="264" t="s">
        <v>5087</v>
      </c>
      <c r="E2442" s="264" t="s">
        <v>321</v>
      </c>
      <c r="F2442" s="264" t="s">
        <v>2041</v>
      </c>
      <c r="G2442" s="266" t="s">
        <v>26</v>
      </c>
      <c r="H2442" s="299">
        <v>230</v>
      </c>
      <c r="I2442" s="266">
        <v>0</v>
      </c>
      <c r="J2442" s="264" t="s">
        <v>1125</v>
      </c>
      <c r="K2442" s="264" t="s">
        <v>2025</v>
      </c>
      <c r="L2442" s="1" t="str">
        <f>VLOOKUP(Advices[[#This Row],[LC Number]],'Combine_List'!A:D,2,0)</f>
        <v>Visio INC</v>
      </c>
      <c r="M2442" s="1" t="str">
        <f>VLOOKUP(Advices[[#This Row],[LC Number]],'Combine_List'!A:D,3,0)</f>
        <v>MBL</v>
      </c>
      <c r="N2442" s="1" t="str">
        <f>VLOOKUP(Advices[[#This Row],[LC Number]],'Combine_List'!A:D,4,0)</f>
        <v>L01-YAMMAMA</v>
      </c>
      <c r="O2442" s="1"/>
      <c r="P2442" s="1">
        <f>MONTH(Advices[[#This Row],[Transaction Date]])</f>
        <v>4</v>
      </c>
      <c r="Q2442" s="1">
        <f>YEAR(Advices[[#This Row],[Transaction Date]])</f>
        <v>2026</v>
      </c>
      <c r="R2442" s="1"/>
    </row>
    <row r="2443" spans="1:18" hidden="1" x14ac:dyDescent="0.25">
      <c r="A2443" s="264" t="s">
        <v>62</v>
      </c>
      <c r="B2443" s="265">
        <v>46139</v>
      </c>
      <c r="C2443" s="266" t="s">
        <v>2039</v>
      </c>
      <c r="D2443" s="264" t="s">
        <v>5088</v>
      </c>
      <c r="E2443" s="264" t="s">
        <v>3949</v>
      </c>
      <c r="F2443" s="264" t="s">
        <v>2041</v>
      </c>
      <c r="G2443" s="266" t="s">
        <v>26</v>
      </c>
      <c r="H2443" s="299">
        <v>845.25</v>
      </c>
      <c r="I2443" s="266">
        <v>0</v>
      </c>
      <c r="J2443" s="264" t="s">
        <v>1124</v>
      </c>
      <c r="K2443" s="264" t="s">
        <v>2025</v>
      </c>
      <c r="L2443" s="1" t="str">
        <f>VLOOKUP(Advices[[#This Row],[LC Number]],'Combine_List'!A:D,2,0)</f>
        <v>Systemair For Electrical Equipment Co.</v>
      </c>
      <c r="M2443" s="1" t="str">
        <f>VLOOKUP(Advices[[#This Row],[LC Number]],'Combine_List'!A:D,3,0)</f>
        <v>FIRST FIX</v>
      </c>
      <c r="N2443" s="1" t="str">
        <f>VLOOKUP(Advices[[#This Row],[LC Number]],'Combine_List'!A:D,4,0)</f>
        <v>Oceanarium</v>
      </c>
      <c r="O2443" s="1"/>
      <c r="P2443" s="1">
        <f>MONTH(Advices[[#This Row],[Transaction Date]])</f>
        <v>4</v>
      </c>
      <c r="Q2443" s="1">
        <f>YEAR(Advices[[#This Row],[Transaction Date]])</f>
        <v>2026</v>
      </c>
      <c r="R2443" s="1"/>
    </row>
    <row r="2444" spans="1:18" hidden="1" x14ac:dyDescent="0.25">
      <c r="A2444" s="264" t="s">
        <v>62</v>
      </c>
      <c r="B2444" s="265">
        <v>46139</v>
      </c>
      <c r="C2444" s="266" t="s">
        <v>2039</v>
      </c>
      <c r="D2444" s="264" t="s">
        <v>5089</v>
      </c>
      <c r="E2444" s="264" t="s">
        <v>3320</v>
      </c>
      <c r="F2444" s="264" t="s">
        <v>2041</v>
      </c>
      <c r="G2444" s="266" t="s">
        <v>26</v>
      </c>
      <c r="H2444" s="299">
        <v>924.17</v>
      </c>
      <c r="I2444" s="266">
        <v>0</v>
      </c>
      <c r="J2444" s="264" t="s">
        <v>1124</v>
      </c>
      <c r="K2444" s="264" t="s">
        <v>2025</v>
      </c>
      <c r="L2444" s="1" t="str">
        <f>VLOOKUP(Advices[[#This Row],[LC Number]],'Combine_List'!A:D,2,0)</f>
        <v>Riyadh Unity for Trading</v>
      </c>
      <c r="M2444" s="1" t="str">
        <f>VLOOKUP(Advices[[#This Row],[LC Number]],'Combine_List'!A:D,3,0)</f>
        <v>FIRST FIX</v>
      </c>
      <c r="N2444" s="1" t="str">
        <f>VLOOKUP(Advices[[#This Row],[LC Number]],'Combine_List'!A:D,4,0)</f>
        <v>Oceanarium</v>
      </c>
      <c r="O2444" s="1"/>
      <c r="P2444" s="1">
        <f>MONTH(Advices[[#This Row],[Transaction Date]])</f>
        <v>4</v>
      </c>
      <c r="Q2444" s="1">
        <f>YEAR(Advices[[#This Row],[Transaction Date]])</f>
        <v>2026</v>
      </c>
      <c r="R2444" s="1"/>
    </row>
    <row r="2445" spans="1:18" hidden="1" x14ac:dyDescent="0.25">
      <c r="A2445" s="264" t="s">
        <v>62</v>
      </c>
      <c r="B2445" s="265">
        <v>46139</v>
      </c>
      <c r="C2445" s="266" t="s">
        <v>2039</v>
      </c>
      <c r="D2445" s="264" t="s">
        <v>5090</v>
      </c>
      <c r="E2445" s="264" t="s">
        <v>3323</v>
      </c>
      <c r="F2445" s="264" t="s">
        <v>2041</v>
      </c>
      <c r="G2445" s="266" t="s">
        <v>26</v>
      </c>
      <c r="H2445" s="299">
        <v>1628.48</v>
      </c>
      <c r="I2445" s="266">
        <v>0</v>
      </c>
      <c r="J2445" s="264" t="s">
        <v>1124</v>
      </c>
      <c r="K2445" s="264" t="s">
        <v>2025</v>
      </c>
      <c r="L2445" s="1" t="str">
        <f>VLOOKUP(Advices[[#This Row],[LC Number]],'Combine_List'!A:D,2,0)</f>
        <v>ALFANAR ELECTRICAL SYSTEMS</v>
      </c>
      <c r="M2445" s="1" t="str">
        <f>VLOOKUP(Advices[[#This Row],[LC Number]],'Combine_List'!A:D,3,0)</f>
        <v>FIRST FIX</v>
      </c>
      <c r="N2445" s="1" t="str">
        <f>VLOOKUP(Advices[[#This Row],[LC Number]],'Combine_List'!A:D,4,0)</f>
        <v>Oceanarium</v>
      </c>
      <c r="O2445" s="1"/>
      <c r="P2445" s="1">
        <f>MONTH(Advices[[#This Row],[Transaction Date]])</f>
        <v>4</v>
      </c>
      <c r="Q2445" s="1">
        <f>YEAR(Advices[[#This Row],[Transaction Date]])</f>
        <v>2026</v>
      </c>
      <c r="R2445" s="1"/>
    </row>
    <row r="2446" spans="1:18" hidden="1" x14ac:dyDescent="0.25">
      <c r="A2446" s="264" t="s">
        <v>62</v>
      </c>
      <c r="B2446" s="265">
        <v>46139</v>
      </c>
      <c r="C2446" s="266" t="s">
        <v>2039</v>
      </c>
      <c r="D2446" s="264" t="s">
        <v>5091</v>
      </c>
      <c r="E2446" s="264" t="s">
        <v>3327</v>
      </c>
      <c r="F2446" s="264" t="s">
        <v>2041</v>
      </c>
      <c r="G2446" s="266" t="s">
        <v>26</v>
      </c>
      <c r="H2446" s="299">
        <v>1819.55</v>
      </c>
      <c r="I2446" s="266">
        <v>0</v>
      </c>
      <c r="J2446" s="264" t="s">
        <v>1124</v>
      </c>
      <c r="K2446" s="264" t="s">
        <v>2025</v>
      </c>
      <c r="L2446" s="1" t="str">
        <f>VLOOKUP(Advices[[#This Row],[LC Number]],'Combine_List'!A:D,2,0)</f>
        <v>Teqniye Al-Majra For Contracting</v>
      </c>
      <c r="M2446" s="1" t="str">
        <f>VLOOKUP(Advices[[#This Row],[LC Number]],'Combine_List'!A:D,3,0)</f>
        <v>FIRST FIX</v>
      </c>
      <c r="N2446" s="1" t="str">
        <f>VLOOKUP(Advices[[#This Row],[LC Number]],'Combine_List'!A:D,4,0)</f>
        <v>Oceanarium</v>
      </c>
      <c r="O2446" s="1"/>
      <c r="P2446" s="1">
        <f>MONTH(Advices[[#This Row],[Transaction Date]])</f>
        <v>4</v>
      </c>
      <c r="Q2446" s="1">
        <f>YEAR(Advices[[#This Row],[Transaction Date]])</f>
        <v>2026</v>
      </c>
      <c r="R2446" s="1"/>
    </row>
    <row r="2447" spans="1:18" hidden="1" x14ac:dyDescent="0.25">
      <c r="A2447" s="264" t="s">
        <v>62</v>
      </c>
      <c r="B2447" s="265">
        <v>46139</v>
      </c>
      <c r="C2447" s="266" t="s">
        <v>2039</v>
      </c>
      <c r="D2447" s="264" t="s">
        <v>5092</v>
      </c>
      <c r="E2447" s="264" t="s">
        <v>3324</v>
      </c>
      <c r="F2447" s="264" t="s">
        <v>2041</v>
      </c>
      <c r="G2447" s="266" t="s">
        <v>26</v>
      </c>
      <c r="H2447" s="299">
        <v>2068.2600000000002</v>
      </c>
      <c r="I2447" s="266">
        <v>0</v>
      </c>
      <c r="J2447" s="264" t="s">
        <v>1124</v>
      </c>
      <c r="K2447" s="264" t="s">
        <v>2025</v>
      </c>
      <c r="L2447" s="1" t="str">
        <f>VLOOKUP(Advices[[#This Row],[LC Number]],'Combine_List'!A:D,2,0)</f>
        <v>SCHNEIDER ELECTRIC SAUDI ARABIA CO</v>
      </c>
      <c r="M2447" s="1" t="str">
        <f>VLOOKUP(Advices[[#This Row],[LC Number]],'Combine_List'!A:D,3,0)</f>
        <v>FIRST FIX</v>
      </c>
      <c r="N2447" s="1" t="str">
        <f>VLOOKUP(Advices[[#This Row],[LC Number]],'Combine_List'!A:D,4,0)</f>
        <v>Oceanarium</v>
      </c>
      <c r="O2447" s="1"/>
      <c r="P2447" s="1">
        <f>MONTH(Advices[[#This Row],[Transaction Date]])</f>
        <v>4</v>
      </c>
      <c r="Q2447" s="1">
        <f>YEAR(Advices[[#This Row],[Transaction Date]])</f>
        <v>2026</v>
      </c>
      <c r="R2447" s="1"/>
    </row>
    <row r="2448" spans="1:18" hidden="1" x14ac:dyDescent="0.25">
      <c r="A2448" s="264" t="s">
        <v>62</v>
      </c>
      <c r="B2448" s="265">
        <v>46139</v>
      </c>
      <c r="C2448" s="266" t="s">
        <v>2039</v>
      </c>
      <c r="D2448" s="264" t="s">
        <v>5093</v>
      </c>
      <c r="E2448" s="264" t="s">
        <v>3328</v>
      </c>
      <c r="F2448" s="264" t="s">
        <v>2041</v>
      </c>
      <c r="G2448" s="266" t="s">
        <v>26</v>
      </c>
      <c r="H2448" s="299">
        <v>2156.25</v>
      </c>
      <c r="I2448" s="266">
        <v>0</v>
      </c>
      <c r="J2448" s="264" t="s">
        <v>1124</v>
      </c>
      <c r="K2448" s="264" t="s">
        <v>2025</v>
      </c>
      <c r="L2448" s="1" t="str">
        <f>VLOOKUP(Advices[[#This Row],[LC Number]],'Combine_List'!A:D,2,0)</f>
        <v>ISAM KABBANI &amp; PARTNERS LTD-UNITECH</v>
      </c>
      <c r="M2448" s="1" t="str">
        <f>VLOOKUP(Advices[[#This Row],[LC Number]],'Combine_List'!A:D,3,0)</f>
        <v>FIRST FIX</v>
      </c>
      <c r="N2448" s="1" t="str">
        <f>VLOOKUP(Advices[[#This Row],[LC Number]],'Combine_List'!A:D,4,0)</f>
        <v>Oceanarium</v>
      </c>
      <c r="O2448" s="1"/>
      <c r="P2448" s="1">
        <f>MONTH(Advices[[#This Row],[Transaction Date]])</f>
        <v>4</v>
      </c>
      <c r="Q2448" s="1">
        <f>YEAR(Advices[[#This Row],[Transaction Date]])</f>
        <v>2026</v>
      </c>
      <c r="R2448" s="1"/>
    </row>
    <row r="2449" spans="1:18" hidden="1" x14ac:dyDescent="0.25">
      <c r="A2449" s="264" t="s">
        <v>62</v>
      </c>
      <c r="B2449" s="265">
        <v>46139</v>
      </c>
      <c r="C2449" s="266" t="s">
        <v>2039</v>
      </c>
      <c r="D2449" s="264" t="s">
        <v>5094</v>
      </c>
      <c r="E2449" s="264" t="s">
        <v>4685</v>
      </c>
      <c r="F2449" s="264" t="s">
        <v>2041</v>
      </c>
      <c r="G2449" s="266" t="s">
        <v>26</v>
      </c>
      <c r="H2449" s="299">
        <v>718.75</v>
      </c>
      <c r="I2449" s="266">
        <v>0</v>
      </c>
      <c r="J2449" s="264" t="s">
        <v>2830</v>
      </c>
      <c r="K2449" s="264" t="s">
        <v>2025</v>
      </c>
      <c r="L2449" s="264" t="str">
        <f>VLOOKUP(Advices[[#This Row],[LC Number]],'Combine_List'!A:D,2,0)</f>
        <v>Bid - KING SALMAN INTERNATIONAL AIRPORT DEVELOPMENT COMPANY</v>
      </c>
      <c r="M2449" s="264">
        <f>VLOOKUP(Advices[[#This Row],[LC Number]],'Combine_List'!A:D,3,0)</f>
        <v>0</v>
      </c>
      <c r="N2449" s="264">
        <f>VLOOKUP(Advices[[#This Row],[LC Number]],'Combine_List'!A:D,4,0)</f>
        <v>0</v>
      </c>
      <c r="O2449" s="264"/>
      <c r="P2449" s="264">
        <f>MONTH(Advices[[#This Row],[Transaction Date]])</f>
        <v>4</v>
      </c>
      <c r="Q2449" s="264">
        <f>YEAR(Advices[[#This Row],[Transaction Date]])</f>
        <v>2026</v>
      </c>
      <c r="R2449" s="264"/>
    </row>
    <row r="2450" spans="1:18" hidden="1" x14ac:dyDescent="0.25">
      <c r="A2450" s="264" t="s">
        <v>95</v>
      </c>
      <c r="B2450" s="265">
        <v>46138</v>
      </c>
      <c r="C2450" s="266" t="s">
        <v>2026</v>
      </c>
      <c r="D2450" s="264" t="s">
        <v>5095</v>
      </c>
      <c r="E2450" s="264" t="s">
        <v>4276</v>
      </c>
      <c r="F2450" s="264" t="s">
        <v>4276</v>
      </c>
      <c r="G2450" s="266" t="s">
        <v>26</v>
      </c>
      <c r="H2450" s="299">
        <v>0</v>
      </c>
      <c r="I2450" s="266">
        <v>1837.13</v>
      </c>
      <c r="J2450" s="264" t="s">
        <v>2041</v>
      </c>
      <c r="K2450" s="264" t="s">
        <v>5154</v>
      </c>
      <c r="L2450" s="1" t="str">
        <f>VLOOKUP(Advices[[#This Row],[LC Number]],'Combine_List'!A:D,2,0)</f>
        <v>Safid Co Ltd</v>
      </c>
      <c r="M2450" s="1" t="str">
        <f>VLOOKUP(Advices[[#This Row],[LC Number]],'Combine_List'!A:D,3,0)</f>
        <v>MBL/ICAD</v>
      </c>
      <c r="N2450" s="1" t="str">
        <f>VLOOKUP(Advices[[#This Row],[LC Number]],'Combine_List'!A:D,4,0)</f>
        <v>OPERA House</v>
      </c>
      <c r="O2450" s="1"/>
      <c r="P2450" s="1">
        <f>MONTH(Advices[[#This Row],[Transaction Date]])</f>
        <v>4</v>
      </c>
      <c r="Q2450" s="1">
        <f>YEAR(Advices[[#This Row],[Transaction Date]])</f>
        <v>2026</v>
      </c>
      <c r="R2450" s="1"/>
    </row>
    <row r="2451" spans="1:18" hidden="1" x14ac:dyDescent="0.25">
      <c r="A2451" s="264" t="s">
        <v>95</v>
      </c>
      <c r="B2451" s="265">
        <v>46138</v>
      </c>
      <c r="C2451" s="266" t="s">
        <v>2026</v>
      </c>
      <c r="D2451" s="264" t="s">
        <v>5096</v>
      </c>
      <c r="E2451" s="264" t="s">
        <v>4276</v>
      </c>
      <c r="F2451" s="264" t="s">
        <v>5097</v>
      </c>
      <c r="G2451" s="266" t="s">
        <v>26</v>
      </c>
      <c r="H2451" s="299">
        <v>1837.13</v>
      </c>
      <c r="I2451" s="266">
        <v>0</v>
      </c>
      <c r="J2451" s="264" t="s">
        <v>1125</v>
      </c>
      <c r="K2451" s="264" t="s">
        <v>2025</v>
      </c>
      <c r="L2451" s="1" t="str">
        <f>VLOOKUP(Advices[[#This Row],[LC Number]],'Combine_List'!A:D,2,0)</f>
        <v>Safid Co Ltd</v>
      </c>
      <c r="M2451" s="1" t="str">
        <f>VLOOKUP(Advices[[#This Row],[LC Number]],'Combine_List'!A:D,3,0)</f>
        <v>MBL/ICAD</v>
      </c>
      <c r="N2451" s="1" t="str">
        <f>VLOOKUP(Advices[[#This Row],[LC Number]],'Combine_List'!A:D,4,0)</f>
        <v>OPERA House</v>
      </c>
      <c r="O2451" s="1"/>
      <c r="P2451" s="1">
        <f>MONTH(Advices[[#This Row],[Transaction Date]])</f>
        <v>4</v>
      </c>
      <c r="Q2451" s="1">
        <f>YEAR(Advices[[#This Row],[Transaction Date]])</f>
        <v>2026</v>
      </c>
      <c r="R2451" s="1"/>
    </row>
    <row r="2452" spans="1:18" hidden="1" x14ac:dyDescent="0.25">
      <c r="A2452" s="264" t="s">
        <v>95</v>
      </c>
      <c r="B2452" s="265">
        <v>46138</v>
      </c>
      <c r="C2452" s="266" t="s">
        <v>2307</v>
      </c>
      <c r="D2452" s="264" t="s">
        <v>5098</v>
      </c>
      <c r="E2452" s="264" t="s">
        <v>4276</v>
      </c>
      <c r="F2452" s="264" t="s">
        <v>4276</v>
      </c>
      <c r="G2452" s="266"/>
      <c r="H2452" s="299">
        <v>1837.13</v>
      </c>
      <c r="I2452" s="266">
        <v>0</v>
      </c>
      <c r="J2452" s="264" t="s">
        <v>2041</v>
      </c>
      <c r="K2452" s="264" t="s">
        <v>5154</v>
      </c>
      <c r="L2452" s="264" t="str">
        <f>VLOOKUP(Advices[[#This Row],[LC Number]],'Combine_List'!A:D,2,0)</f>
        <v>Safid Co Ltd</v>
      </c>
      <c r="M2452" s="264" t="str">
        <f>VLOOKUP(Advices[[#This Row],[LC Number]],'Combine_List'!A:D,3,0)</f>
        <v>MBL/ICAD</v>
      </c>
      <c r="N2452" s="264" t="str">
        <f>VLOOKUP(Advices[[#This Row],[LC Number]],'Combine_List'!A:D,4,0)</f>
        <v>OPERA House</v>
      </c>
      <c r="O2452" s="264"/>
      <c r="P2452" s="264">
        <f>MONTH(Advices[[#This Row],[Transaction Date]])</f>
        <v>4</v>
      </c>
      <c r="Q2452" s="264">
        <f>YEAR(Advices[[#This Row],[Transaction Date]])</f>
        <v>2026</v>
      </c>
      <c r="R2452" s="264"/>
    </row>
    <row r="2453" spans="1:18" hidden="1" x14ac:dyDescent="0.25">
      <c r="A2453" s="264" t="s">
        <v>366</v>
      </c>
      <c r="B2453" s="265">
        <v>46138</v>
      </c>
      <c r="C2453" s="266" t="s">
        <v>2060</v>
      </c>
      <c r="D2453" s="264" t="s">
        <v>5099</v>
      </c>
      <c r="E2453" s="264" t="s">
        <v>4554</v>
      </c>
      <c r="F2453" s="264" t="s">
        <v>5100</v>
      </c>
      <c r="G2453" s="266" t="s">
        <v>26</v>
      </c>
      <c r="H2453" s="299">
        <v>2156.25</v>
      </c>
      <c r="I2453" s="266">
        <v>0</v>
      </c>
      <c r="J2453" s="264" t="s">
        <v>2616</v>
      </c>
      <c r="K2453" s="264" t="s">
        <v>2025</v>
      </c>
      <c r="L2453" s="1" t="str">
        <f>VLOOKUP(Advices[[#This Row],[LC Number]],'Combine_List'!A:D,2,0)</f>
        <v>National Fire Fighting Manufacturing Fzco Br.</v>
      </c>
      <c r="M2453" s="1" t="str">
        <f>VLOOKUP(Advices[[#This Row],[LC Number]],'Combine_List'!A:D,3,0)</f>
        <v>FIRST FIX</v>
      </c>
      <c r="N2453" s="1" t="str">
        <f>VLOOKUP(Advices[[#This Row],[LC Number]],'Combine_List'!A:D,4,0)</f>
        <v>MP1</v>
      </c>
      <c r="O2453" s="1"/>
      <c r="P2453" s="1">
        <f>MONTH(Advices[[#This Row],[Transaction Date]])</f>
        <v>4</v>
      </c>
      <c r="Q2453" s="1">
        <f>YEAR(Advices[[#This Row],[Transaction Date]])</f>
        <v>2026</v>
      </c>
      <c r="R2453" s="1"/>
    </row>
    <row r="2454" spans="1:18" hidden="1" x14ac:dyDescent="0.25">
      <c r="A2454" s="264" t="s">
        <v>366</v>
      </c>
      <c r="B2454" s="265">
        <v>46138</v>
      </c>
      <c r="C2454" s="266" t="s">
        <v>2060</v>
      </c>
      <c r="D2454" s="264" t="s">
        <v>5101</v>
      </c>
      <c r="E2454" s="264" t="s">
        <v>1905</v>
      </c>
      <c r="F2454" s="264" t="s">
        <v>3708</v>
      </c>
      <c r="G2454" s="266" t="s">
        <v>26</v>
      </c>
      <c r="H2454" s="299">
        <v>500000</v>
      </c>
      <c r="I2454" s="266">
        <v>0</v>
      </c>
      <c r="J2454" s="264" t="s">
        <v>1126</v>
      </c>
      <c r="K2454" s="264" t="s">
        <v>2025</v>
      </c>
      <c r="L2454" s="1" t="str">
        <f>VLOOKUP(Advices[[#This Row],[LC Number]],'Combine_List'!A:D,2,0)</f>
        <v>Arabian International Company For Contracting</v>
      </c>
      <c r="M2454" s="1" t="str">
        <f>VLOOKUP(Advices[[#This Row],[LC Number]],'Combine_List'!A:D,3,0)</f>
        <v>FIRST FIX</v>
      </c>
      <c r="N2454" s="1" t="str">
        <f>VLOOKUP(Advices[[#This Row],[LC Number]],'Combine_List'!A:D,4,0)</f>
        <v>MP1</v>
      </c>
      <c r="O2454" s="1"/>
      <c r="P2454" s="1">
        <f>MONTH(Advices[[#This Row],[Transaction Date]])</f>
        <v>4</v>
      </c>
      <c r="Q2454" s="1">
        <f>YEAR(Advices[[#This Row],[Transaction Date]])</f>
        <v>2026</v>
      </c>
      <c r="R2454" s="1"/>
    </row>
    <row r="2455" spans="1:18" hidden="1" x14ac:dyDescent="0.25">
      <c r="A2455" s="264" t="s">
        <v>366</v>
      </c>
      <c r="B2455" s="265">
        <v>46138</v>
      </c>
      <c r="C2455" s="266" t="s">
        <v>2060</v>
      </c>
      <c r="D2455" s="264" t="s">
        <v>5102</v>
      </c>
      <c r="E2455" s="264" t="s">
        <v>3703</v>
      </c>
      <c r="F2455" s="264" t="s">
        <v>5103</v>
      </c>
      <c r="G2455" s="266" t="s">
        <v>26</v>
      </c>
      <c r="H2455" s="299">
        <v>1574.11</v>
      </c>
      <c r="I2455" s="266">
        <v>0</v>
      </c>
      <c r="J2455" s="264" t="s">
        <v>1125</v>
      </c>
      <c r="K2455" s="264" t="s">
        <v>2025</v>
      </c>
      <c r="L2455" s="1" t="str">
        <f>VLOOKUP(Advices[[#This Row],[LC Number]],'Combine_List'!A:D,2,0)</f>
        <v>BROOQ ALAMAAN TRAD COMPANY</v>
      </c>
      <c r="M2455" s="1" t="str">
        <f>VLOOKUP(Advices[[#This Row],[LC Number]],'Combine_List'!A:D,3,0)</f>
        <v>FIRST FIX</v>
      </c>
      <c r="N2455" s="1" t="str">
        <f>VLOOKUP(Advices[[#This Row],[LC Number]],'Combine_List'!A:D,4,0)</f>
        <v>MP1</v>
      </c>
      <c r="O2455" s="1"/>
      <c r="P2455" s="1">
        <f>MONTH(Advices[[#This Row],[Transaction Date]])</f>
        <v>4</v>
      </c>
      <c r="Q2455" s="1">
        <f>YEAR(Advices[[#This Row],[Transaction Date]])</f>
        <v>2026</v>
      </c>
      <c r="R2455" s="1"/>
    </row>
    <row r="2456" spans="1:18" hidden="1" x14ac:dyDescent="0.25">
      <c r="A2456" s="264" t="s">
        <v>366</v>
      </c>
      <c r="B2456" s="265">
        <v>46138</v>
      </c>
      <c r="C2456" s="266" t="s">
        <v>2060</v>
      </c>
      <c r="D2456" s="264" t="s">
        <v>5104</v>
      </c>
      <c r="E2456" s="264" t="s">
        <v>1899</v>
      </c>
      <c r="F2456" s="264" t="s">
        <v>5105</v>
      </c>
      <c r="G2456" s="266" t="s">
        <v>26</v>
      </c>
      <c r="H2456" s="299">
        <v>575</v>
      </c>
      <c r="I2456" s="266">
        <v>0</v>
      </c>
      <c r="J2456" s="264" t="s">
        <v>1125</v>
      </c>
      <c r="K2456" s="264" t="s">
        <v>2025</v>
      </c>
      <c r="L2456" s="1" t="str">
        <f>VLOOKUP(Advices[[#This Row],[LC Number]],'Combine_List'!A:D,2,0)</f>
        <v>BROOQ ALAMAAN TRAD COMPANY</v>
      </c>
      <c r="M2456" s="1" t="str">
        <f>VLOOKUP(Advices[[#This Row],[LC Number]],'Combine_List'!A:D,3,0)</f>
        <v>FIRST FIX</v>
      </c>
      <c r="N2456" s="1" t="str">
        <f>VLOOKUP(Advices[[#This Row],[LC Number]],'Combine_List'!A:D,4,0)</f>
        <v>MP1</v>
      </c>
      <c r="O2456" s="1"/>
      <c r="P2456" s="1">
        <f>MONTH(Advices[[#This Row],[Transaction Date]])</f>
        <v>4</v>
      </c>
      <c r="Q2456" s="1">
        <f>YEAR(Advices[[#This Row],[Transaction Date]])</f>
        <v>2026</v>
      </c>
      <c r="R2456" s="1"/>
    </row>
    <row r="2457" spans="1:18" hidden="1" x14ac:dyDescent="0.25">
      <c r="A2457" s="264" t="s">
        <v>366</v>
      </c>
      <c r="B2457" s="265">
        <v>46139</v>
      </c>
      <c r="C2457" s="266" t="s">
        <v>2060</v>
      </c>
      <c r="D2457" s="264" t="s">
        <v>5106</v>
      </c>
      <c r="E2457" s="264" t="s">
        <v>4549</v>
      </c>
      <c r="F2457" s="264" t="s">
        <v>5107</v>
      </c>
      <c r="G2457" s="266" t="s">
        <v>26</v>
      </c>
      <c r="H2457" s="299">
        <v>1348.81</v>
      </c>
      <c r="I2457" s="266">
        <v>0</v>
      </c>
      <c r="J2457" s="264" t="s">
        <v>2616</v>
      </c>
      <c r="K2457" s="264" t="s">
        <v>2025</v>
      </c>
      <c r="L2457" s="264" t="str">
        <f>VLOOKUP(Advices[[#This Row],[LC Number]],'Combine_List'!A:D,2,0)</f>
        <v>Mohamad Saeed Afifi Trading Est.</v>
      </c>
      <c r="M2457" s="264" t="str">
        <f>VLOOKUP(Advices[[#This Row],[LC Number]],'Combine_List'!A:D,3,0)</f>
        <v>FIRST FIX</v>
      </c>
      <c r="N2457" s="264" t="str">
        <f>VLOOKUP(Advices[[#This Row],[LC Number]],'Combine_List'!A:D,4,0)</f>
        <v>MP1</v>
      </c>
      <c r="O2457" s="264"/>
      <c r="P2457" s="264">
        <f>MONTH(Advices[[#This Row],[Transaction Date]])</f>
        <v>4</v>
      </c>
      <c r="Q2457" s="264">
        <f>YEAR(Advices[[#This Row],[Transaction Date]])</f>
        <v>2026</v>
      </c>
      <c r="R2457" s="264"/>
    </row>
    <row r="2458" spans="1:18" hidden="1" x14ac:dyDescent="0.25">
      <c r="A2458" s="264" t="s">
        <v>612</v>
      </c>
      <c r="B2458" s="265">
        <v>46138</v>
      </c>
      <c r="C2458" s="505" t="s">
        <v>2101</v>
      </c>
      <c r="D2458" s="264" t="s">
        <v>5108</v>
      </c>
      <c r="E2458" s="264" t="s">
        <v>4683</v>
      </c>
      <c r="F2458" s="264" t="s">
        <v>2041</v>
      </c>
      <c r="G2458" s="505" t="s">
        <v>26</v>
      </c>
      <c r="H2458" s="506">
        <v>718.75</v>
      </c>
      <c r="I2458" s="505">
        <v>0</v>
      </c>
      <c r="J2458" s="264" t="s">
        <v>1174</v>
      </c>
      <c r="K2458" s="264" t="s">
        <v>2025</v>
      </c>
      <c r="L2458" s="1" t="str">
        <f>VLOOKUP(Advices[[#This Row],[LC Number]],'Combine_List'!A:D,2,0)</f>
        <v>Bid - SAUDI ARABIA RAILWAY SAR</v>
      </c>
      <c r="M2458" s="1">
        <f>VLOOKUP(Advices[[#This Row],[LC Number]],'Combine_List'!A:D,3,0)</f>
        <v>0</v>
      </c>
      <c r="N2458" s="1">
        <f>VLOOKUP(Advices[[#This Row],[LC Number]],'Combine_List'!A:D,4,0)</f>
        <v>0</v>
      </c>
      <c r="O2458" s="1"/>
      <c r="P2458" s="1">
        <f>MONTH(Advices[[#This Row],[Transaction Date]])</f>
        <v>4</v>
      </c>
      <c r="Q2458" s="1">
        <f>YEAR(Advices[[#This Row],[Transaction Date]])</f>
        <v>2026</v>
      </c>
      <c r="R2458" s="1"/>
    </row>
    <row r="2459" spans="1:18" hidden="1" x14ac:dyDescent="0.25">
      <c r="A2459" s="264" t="s">
        <v>612</v>
      </c>
      <c r="B2459" s="265">
        <v>46138</v>
      </c>
      <c r="C2459" s="266" t="s">
        <v>2101</v>
      </c>
      <c r="D2459" s="264" t="s">
        <v>5109</v>
      </c>
      <c r="E2459" s="264" t="s">
        <v>4683</v>
      </c>
      <c r="F2459" s="264" t="s">
        <v>2041</v>
      </c>
      <c r="G2459" s="266" t="s">
        <v>26</v>
      </c>
      <c r="H2459" s="299">
        <v>4791.66</v>
      </c>
      <c r="I2459" s="266">
        <v>0</v>
      </c>
      <c r="J2459" s="264" t="s">
        <v>2793</v>
      </c>
      <c r="K2459" s="264" t="s">
        <v>2025</v>
      </c>
      <c r="L2459" s="1" t="str">
        <f>VLOOKUP(Advices[[#This Row],[LC Number]],'Combine_List'!A:D,2,0)</f>
        <v>Bid - SAUDI ARABIA RAILWAY SAR</v>
      </c>
      <c r="M2459" s="1">
        <f>VLOOKUP(Advices[[#This Row],[LC Number]],'Combine_List'!A:D,3,0)</f>
        <v>0</v>
      </c>
      <c r="N2459" s="1">
        <f>VLOOKUP(Advices[[#This Row],[LC Number]],'Combine_List'!A:D,4,0)</f>
        <v>0</v>
      </c>
      <c r="O2459" s="1"/>
      <c r="P2459" s="1">
        <f>MONTH(Advices[[#This Row],[Transaction Date]])</f>
        <v>4</v>
      </c>
      <c r="Q2459" s="1">
        <f>YEAR(Advices[[#This Row],[Transaction Date]])</f>
        <v>2026</v>
      </c>
      <c r="R2459" s="1"/>
    </row>
    <row r="2460" spans="1:18" hidden="1" x14ac:dyDescent="0.25">
      <c r="A2460" s="264" t="s">
        <v>612</v>
      </c>
      <c r="B2460" s="265">
        <v>46138</v>
      </c>
      <c r="C2460" s="266" t="s">
        <v>2101</v>
      </c>
      <c r="D2460" s="264" t="s">
        <v>5110</v>
      </c>
      <c r="E2460" s="264" t="s">
        <v>4683</v>
      </c>
      <c r="F2460" s="264" t="s">
        <v>2041</v>
      </c>
      <c r="G2460" s="266" t="s">
        <v>26</v>
      </c>
      <c r="H2460" s="299">
        <v>631.85</v>
      </c>
      <c r="I2460" s="266">
        <v>0</v>
      </c>
      <c r="J2460" s="264" t="s">
        <v>1174</v>
      </c>
      <c r="K2460" s="264" t="s">
        <v>2025</v>
      </c>
      <c r="L2460" s="1" t="str">
        <f>VLOOKUP(Advices[[#This Row],[LC Number]],'Combine_List'!A:D,2,0)</f>
        <v>Bid - SAUDI ARABIA RAILWAY SAR</v>
      </c>
      <c r="M2460" s="1">
        <f>VLOOKUP(Advices[[#This Row],[LC Number]],'Combine_List'!A:D,3,0)</f>
        <v>0</v>
      </c>
      <c r="N2460" s="1">
        <f>VLOOKUP(Advices[[#This Row],[LC Number]],'Combine_List'!A:D,4,0)</f>
        <v>0</v>
      </c>
      <c r="O2460" s="1"/>
      <c r="P2460" s="1">
        <f>MONTH(Advices[[#This Row],[Transaction Date]])</f>
        <v>4</v>
      </c>
      <c r="Q2460" s="1">
        <f>YEAR(Advices[[#This Row],[Transaction Date]])</f>
        <v>2026</v>
      </c>
      <c r="R2460" s="1"/>
    </row>
    <row r="2461" spans="1:18" hidden="1" x14ac:dyDescent="0.25">
      <c r="A2461" s="264" t="s">
        <v>612</v>
      </c>
      <c r="B2461" s="265">
        <v>46138</v>
      </c>
      <c r="C2461" s="266" t="s">
        <v>2101</v>
      </c>
      <c r="D2461" s="264" t="s">
        <v>5111</v>
      </c>
      <c r="E2461" s="264" t="s">
        <v>4683</v>
      </c>
      <c r="F2461" s="264" t="s">
        <v>2041</v>
      </c>
      <c r="G2461" s="266" t="s">
        <v>26</v>
      </c>
      <c r="H2461" s="299">
        <v>4212.33</v>
      </c>
      <c r="I2461" s="266">
        <v>0</v>
      </c>
      <c r="J2461" s="264" t="s">
        <v>2793</v>
      </c>
      <c r="K2461" s="264" t="s">
        <v>2025</v>
      </c>
      <c r="L2461" s="1" t="str">
        <f>VLOOKUP(Advices[[#This Row],[LC Number]],'Combine_List'!A:D,2,0)</f>
        <v>Bid - SAUDI ARABIA RAILWAY SAR</v>
      </c>
      <c r="M2461" s="1">
        <f>VLOOKUP(Advices[[#This Row],[LC Number]],'Combine_List'!A:D,3,0)</f>
        <v>0</v>
      </c>
      <c r="N2461" s="1">
        <f>VLOOKUP(Advices[[#This Row],[LC Number]],'Combine_List'!A:D,4,0)</f>
        <v>0</v>
      </c>
      <c r="O2461" s="1"/>
      <c r="P2461" s="1">
        <f>MONTH(Advices[[#This Row],[Transaction Date]])</f>
        <v>4</v>
      </c>
      <c r="Q2461" s="1">
        <f>YEAR(Advices[[#This Row],[Transaction Date]])</f>
        <v>2026</v>
      </c>
      <c r="R2461" s="1"/>
    </row>
    <row r="2462" spans="1:18" hidden="1" x14ac:dyDescent="0.25">
      <c r="A2462" s="264" t="s">
        <v>612</v>
      </c>
      <c r="B2462" s="265">
        <v>46138</v>
      </c>
      <c r="C2462" s="266" t="s">
        <v>2101</v>
      </c>
      <c r="D2462" s="264" t="s">
        <v>5112</v>
      </c>
      <c r="E2462" s="264" t="s">
        <v>3319</v>
      </c>
      <c r="F2462" s="264" t="s">
        <v>2041</v>
      </c>
      <c r="G2462" s="266" t="s">
        <v>26</v>
      </c>
      <c r="H2462" s="299">
        <v>30</v>
      </c>
      <c r="I2462" s="266">
        <v>0</v>
      </c>
      <c r="J2462" s="264" t="s">
        <v>1174</v>
      </c>
      <c r="K2462" s="264" t="s">
        <v>2025</v>
      </c>
      <c r="L2462" s="1" t="str">
        <f>VLOOKUP(Advices[[#This Row],[LC Number]],'Combine_List'!A:D,2,0)</f>
        <v>Green Concrete CJSC</v>
      </c>
      <c r="M2462" s="1" t="str">
        <f>VLOOKUP(Advices[[#This Row],[LC Number]],'Combine_List'!A:D,3,0)</f>
        <v>MBL</v>
      </c>
      <c r="N2462" s="1" t="str">
        <f>VLOOKUP(Advices[[#This Row],[LC Number]],'Combine_List'!A:D,4,0)</f>
        <v>RCRC</v>
      </c>
      <c r="O2462" s="1"/>
      <c r="P2462" s="1">
        <f>MONTH(Advices[[#This Row],[Transaction Date]])</f>
        <v>4</v>
      </c>
      <c r="Q2462" s="1">
        <f>YEAR(Advices[[#This Row],[Transaction Date]])</f>
        <v>2026</v>
      </c>
      <c r="R2462" s="1"/>
    </row>
    <row r="2463" spans="1:18" hidden="1" x14ac:dyDescent="0.25">
      <c r="A2463" s="264" t="s">
        <v>612</v>
      </c>
      <c r="B2463" s="265">
        <v>46138</v>
      </c>
      <c r="C2463" s="266" t="s">
        <v>2101</v>
      </c>
      <c r="D2463" s="264" t="s">
        <v>5113</v>
      </c>
      <c r="E2463" s="264" t="s">
        <v>3319</v>
      </c>
      <c r="F2463" s="264" t="s">
        <v>2041</v>
      </c>
      <c r="G2463" s="266" t="s">
        <v>26</v>
      </c>
      <c r="H2463" s="299">
        <v>200</v>
      </c>
      <c r="I2463" s="266">
        <v>0</v>
      </c>
      <c r="J2463" s="264" t="s">
        <v>1125</v>
      </c>
      <c r="K2463" s="264" t="s">
        <v>2025</v>
      </c>
      <c r="L2463" s="1" t="str">
        <f>VLOOKUP(Advices[[#This Row],[LC Number]],'Combine_List'!A:D,2,0)</f>
        <v>Green Concrete CJSC</v>
      </c>
      <c r="M2463" s="1" t="str">
        <f>VLOOKUP(Advices[[#This Row],[LC Number]],'Combine_List'!A:D,3,0)</f>
        <v>MBL</v>
      </c>
      <c r="N2463" s="1" t="str">
        <f>VLOOKUP(Advices[[#This Row],[LC Number]],'Combine_List'!A:D,4,0)</f>
        <v>RCRC</v>
      </c>
      <c r="O2463" s="1"/>
      <c r="P2463" s="1">
        <f>MONTH(Advices[[#This Row],[Transaction Date]])</f>
        <v>4</v>
      </c>
      <c r="Q2463" s="1">
        <f>YEAR(Advices[[#This Row],[Transaction Date]])</f>
        <v>2026</v>
      </c>
      <c r="R2463" s="1"/>
    </row>
    <row r="2464" spans="1:18" hidden="1" x14ac:dyDescent="0.25">
      <c r="A2464" s="264" t="s">
        <v>612</v>
      </c>
      <c r="B2464" s="265">
        <v>46138</v>
      </c>
      <c r="C2464" s="266" t="s">
        <v>2101</v>
      </c>
      <c r="D2464" s="264" t="s">
        <v>5114</v>
      </c>
      <c r="E2464" s="264" t="s">
        <v>3319</v>
      </c>
      <c r="F2464" s="264" t="s">
        <v>2041</v>
      </c>
      <c r="G2464" s="266" t="s">
        <v>26</v>
      </c>
      <c r="H2464" s="299">
        <v>15</v>
      </c>
      <c r="I2464" s="266">
        <v>0</v>
      </c>
      <c r="J2464" s="264" t="s">
        <v>1174</v>
      </c>
      <c r="K2464" s="264" t="s">
        <v>2025</v>
      </c>
      <c r="L2464" s="1" t="str">
        <f>VLOOKUP(Advices[[#This Row],[LC Number]],'Combine_List'!A:D,2,0)</f>
        <v>Green Concrete CJSC</v>
      </c>
      <c r="M2464" s="1" t="str">
        <f>VLOOKUP(Advices[[#This Row],[LC Number]],'Combine_List'!A:D,3,0)</f>
        <v>MBL</v>
      </c>
      <c r="N2464" s="1" t="str">
        <f>VLOOKUP(Advices[[#This Row],[LC Number]],'Combine_List'!A:D,4,0)</f>
        <v>RCRC</v>
      </c>
      <c r="O2464" s="1"/>
      <c r="P2464" s="1">
        <f>MONTH(Advices[[#This Row],[Transaction Date]])</f>
        <v>4</v>
      </c>
      <c r="Q2464" s="1">
        <f>YEAR(Advices[[#This Row],[Transaction Date]])</f>
        <v>2026</v>
      </c>
      <c r="R2464" s="1"/>
    </row>
    <row r="2465" spans="1:18" hidden="1" x14ac:dyDescent="0.25">
      <c r="A2465" s="264" t="s">
        <v>612</v>
      </c>
      <c r="B2465" s="265">
        <v>46138</v>
      </c>
      <c r="C2465" s="266" t="s">
        <v>2101</v>
      </c>
      <c r="D2465" s="264" t="s">
        <v>5115</v>
      </c>
      <c r="E2465" s="264" t="s">
        <v>3319</v>
      </c>
      <c r="F2465" s="264" t="s">
        <v>2041</v>
      </c>
      <c r="G2465" s="266" t="s">
        <v>26</v>
      </c>
      <c r="H2465" s="299">
        <v>250</v>
      </c>
      <c r="I2465" s="266">
        <v>0</v>
      </c>
      <c r="J2465" s="264" t="s">
        <v>1125</v>
      </c>
      <c r="K2465" s="264" t="s">
        <v>2025</v>
      </c>
      <c r="L2465" s="1" t="str">
        <f>VLOOKUP(Advices[[#This Row],[LC Number]],'Combine_List'!A:D,2,0)</f>
        <v>Green Concrete CJSC</v>
      </c>
      <c r="M2465" s="1" t="str">
        <f>VLOOKUP(Advices[[#This Row],[LC Number]],'Combine_List'!A:D,3,0)</f>
        <v>MBL</v>
      </c>
      <c r="N2465" s="1" t="str">
        <f>VLOOKUP(Advices[[#This Row],[LC Number]],'Combine_List'!A:D,4,0)</f>
        <v>RCRC</v>
      </c>
      <c r="O2465" s="1"/>
      <c r="P2465" s="1">
        <f>MONTH(Advices[[#This Row],[Transaction Date]])</f>
        <v>4</v>
      </c>
      <c r="Q2465" s="1">
        <f>YEAR(Advices[[#This Row],[Transaction Date]])</f>
        <v>2026</v>
      </c>
      <c r="R2465" s="1"/>
    </row>
    <row r="2466" spans="1:18" hidden="1" x14ac:dyDescent="0.25">
      <c r="A2466" s="264" t="s">
        <v>612</v>
      </c>
      <c r="B2466" s="265">
        <v>46138</v>
      </c>
      <c r="C2466" s="266" t="s">
        <v>2101</v>
      </c>
      <c r="D2466" s="264" t="s">
        <v>5116</v>
      </c>
      <c r="E2466" s="264" t="s">
        <v>3319</v>
      </c>
      <c r="F2466" s="264" t="s">
        <v>2041</v>
      </c>
      <c r="G2466" s="266" t="s">
        <v>26</v>
      </c>
      <c r="H2466" s="299">
        <v>100</v>
      </c>
      <c r="I2466" s="266">
        <v>0</v>
      </c>
      <c r="J2466" s="264" t="s">
        <v>1125</v>
      </c>
      <c r="K2466" s="264" t="s">
        <v>2025</v>
      </c>
      <c r="L2466" s="1" t="str">
        <f>VLOOKUP(Advices[[#This Row],[LC Number]],'Combine_List'!A:D,2,0)</f>
        <v>Green Concrete CJSC</v>
      </c>
      <c r="M2466" s="1" t="str">
        <f>VLOOKUP(Advices[[#This Row],[LC Number]],'Combine_List'!A:D,3,0)</f>
        <v>MBL</v>
      </c>
      <c r="N2466" s="1" t="str">
        <f>VLOOKUP(Advices[[#This Row],[LC Number]],'Combine_List'!A:D,4,0)</f>
        <v>RCRC</v>
      </c>
      <c r="O2466" s="1"/>
      <c r="P2466" s="1">
        <f>MONTH(Advices[[#This Row],[Transaction Date]])</f>
        <v>4</v>
      </c>
      <c r="Q2466" s="1">
        <f>YEAR(Advices[[#This Row],[Transaction Date]])</f>
        <v>2026</v>
      </c>
      <c r="R2466" s="1"/>
    </row>
    <row r="2467" spans="1:18" hidden="1" x14ac:dyDescent="0.25">
      <c r="A2467" s="264" t="s">
        <v>612</v>
      </c>
      <c r="B2467" s="265">
        <v>46138</v>
      </c>
      <c r="C2467" s="266" t="s">
        <v>2101</v>
      </c>
      <c r="D2467" s="264" t="s">
        <v>5117</v>
      </c>
      <c r="E2467" s="264" t="s">
        <v>1821</v>
      </c>
      <c r="F2467" s="264" t="s">
        <v>2041</v>
      </c>
      <c r="G2467" s="266" t="s">
        <v>26</v>
      </c>
      <c r="H2467" s="299">
        <v>42591.07</v>
      </c>
      <c r="I2467" s="266">
        <v>0</v>
      </c>
      <c r="J2467" s="264" t="s">
        <v>1126</v>
      </c>
      <c r="K2467" s="264" t="s">
        <v>2025</v>
      </c>
      <c r="L2467" s="1" t="str">
        <f>VLOOKUP(Advices[[#This Row],[LC Number]],'Combine_List'!A:D,2,0)</f>
        <v>Mohammed Ramadan Shat Factory</v>
      </c>
      <c r="M2467" s="1" t="str">
        <f>VLOOKUP(Advices[[#This Row],[LC Number]],'Combine_List'!A:D,3,0)</f>
        <v>FIRST FIX</v>
      </c>
      <c r="N2467" s="1" t="str">
        <f>VLOOKUP(Advices[[#This Row],[LC Number]],'Combine_List'!A:D,4,0)</f>
        <v>RCRC</v>
      </c>
      <c r="O2467" s="1"/>
      <c r="P2467" s="1">
        <f>MONTH(Advices[[#This Row],[Transaction Date]])</f>
        <v>4</v>
      </c>
      <c r="Q2467" s="1">
        <f>YEAR(Advices[[#This Row],[Transaction Date]])</f>
        <v>2026</v>
      </c>
      <c r="R2467" s="1"/>
    </row>
    <row r="2468" spans="1:18" hidden="1" x14ac:dyDescent="0.25">
      <c r="A2468" s="264" t="s">
        <v>612</v>
      </c>
      <c r="B2468" s="265">
        <v>46138</v>
      </c>
      <c r="C2468" s="266" t="s">
        <v>2101</v>
      </c>
      <c r="D2468" s="264" t="s">
        <v>5118</v>
      </c>
      <c r="E2468" s="264" t="s">
        <v>1810</v>
      </c>
      <c r="F2468" s="1" t="s">
        <v>1810</v>
      </c>
      <c r="G2468" s="266" t="s">
        <v>26</v>
      </c>
      <c r="H2468" s="299">
        <v>537079.9</v>
      </c>
      <c r="I2468" s="266">
        <v>0</v>
      </c>
      <c r="J2468" s="264" t="s">
        <v>1126</v>
      </c>
      <c r="K2468" s="264" t="s">
        <v>2025</v>
      </c>
      <c r="L2468" s="1" t="str">
        <f>VLOOKUP(Advices[[#This Row],[LC Number]],'Combine_List'!A:D,2,0)</f>
        <v>AL FALWA CO. LTD. FOR READYMIX CONCRETE</v>
      </c>
      <c r="M2468" s="1" t="str">
        <f>VLOOKUP(Advices[[#This Row],[LC Number]],'Combine_List'!A:D,3,0)</f>
        <v>MBL</v>
      </c>
      <c r="N2468" s="1" t="str">
        <f>VLOOKUP(Advices[[#This Row],[LC Number]],'Combine_List'!A:D,4,0)</f>
        <v>RCRC</v>
      </c>
      <c r="O2468" s="1"/>
      <c r="P2468" s="1">
        <f>MONTH(Advices[[#This Row],[Transaction Date]])</f>
        <v>4</v>
      </c>
      <c r="Q2468" s="1">
        <f>YEAR(Advices[[#This Row],[Transaction Date]])</f>
        <v>2026</v>
      </c>
      <c r="R2468" s="1"/>
    </row>
    <row r="2469" spans="1:18" hidden="1" x14ac:dyDescent="0.25">
      <c r="A2469" s="264" t="s">
        <v>612</v>
      </c>
      <c r="B2469" s="265">
        <v>46138</v>
      </c>
      <c r="C2469" s="266" t="s">
        <v>2101</v>
      </c>
      <c r="D2469" s="264" t="s">
        <v>5119</v>
      </c>
      <c r="E2469" s="264" t="s">
        <v>1565</v>
      </c>
      <c r="F2469" s="264" t="s">
        <v>2041</v>
      </c>
      <c r="G2469" s="266" t="s">
        <v>26</v>
      </c>
      <c r="H2469" s="299">
        <v>89826.5</v>
      </c>
      <c r="I2469" s="266">
        <v>0</v>
      </c>
      <c r="J2469" s="264" t="s">
        <v>1126</v>
      </c>
      <c r="K2469" s="264" t="s">
        <v>2025</v>
      </c>
      <c r="L2469" s="1" t="str">
        <f>VLOOKUP(Advices[[#This Row],[LC Number]],'Combine_List'!A:D,2,0)</f>
        <v>Mohammed Ramadan Shat</v>
      </c>
      <c r="M2469" s="1" t="str">
        <f>VLOOKUP(Advices[[#This Row],[LC Number]],'Combine_List'!A:D,3,0)</f>
        <v>FIRST FIX</v>
      </c>
      <c r="N2469" s="1" t="str">
        <f>VLOOKUP(Advices[[#This Row],[LC Number]],'Combine_List'!A:D,4,0)</f>
        <v>RCRC</v>
      </c>
      <c r="O2469" s="1"/>
      <c r="P2469" s="1">
        <f>MONTH(Advices[[#This Row],[Transaction Date]])</f>
        <v>4</v>
      </c>
      <c r="Q2469" s="1">
        <f>YEAR(Advices[[#This Row],[Transaction Date]])</f>
        <v>2026</v>
      </c>
      <c r="R2469" s="1"/>
    </row>
    <row r="2470" spans="1:18" hidden="1" x14ac:dyDescent="0.25">
      <c r="A2470" s="264" t="s">
        <v>612</v>
      </c>
      <c r="B2470" s="265">
        <v>46138</v>
      </c>
      <c r="C2470" s="266" t="s">
        <v>2101</v>
      </c>
      <c r="D2470" s="264" t="s">
        <v>5120</v>
      </c>
      <c r="E2470" s="264" t="s">
        <v>3319</v>
      </c>
      <c r="F2470" s="264" t="s">
        <v>2041</v>
      </c>
      <c r="G2470" s="266" t="s">
        <v>26</v>
      </c>
      <c r="H2470" s="299">
        <v>37.5</v>
      </c>
      <c r="I2470" s="266">
        <v>0</v>
      </c>
      <c r="J2470" s="264" t="s">
        <v>1174</v>
      </c>
      <c r="K2470" s="264" t="s">
        <v>2025</v>
      </c>
      <c r="L2470" s="1" t="str">
        <f>VLOOKUP(Advices[[#This Row],[LC Number]],'Combine_List'!A:D,2,0)</f>
        <v>Green Concrete CJSC</v>
      </c>
      <c r="M2470" s="1" t="str">
        <f>VLOOKUP(Advices[[#This Row],[LC Number]],'Combine_List'!A:D,3,0)</f>
        <v>MBL</v>
      </c>
      <c r="N2470" s="1" t="str">
        <f>VLOOKUP(Advices[[#This Row],[LC Number]],'Combine_List'!A:D,4,0)</f>
        <v>RCRC</v>
      </c>
      <c r="O2470" s="1"/>
      <c r="P2470" s="1">
        <f>MONTH(Advices[[#This Row],[Transaction Date]])</f>
        <v>4</v>
      </c>
      <c r="Q2470" s="1">
        <f>YEAR(Advices[[#This Row],[Transaction Date]])</f>
        <v>2026</v>
      </c>
      <c r="R2470" s="1"/>
    </row>
    <row r="2471" spans="1:18" hidden="1" x14ac:dyDescent="0.25">
      <c r="A2471" s="264" t="s">
        <v>612</v>
      </c>
      <c r="B2471" s="265">
        <v>46139</v>
      </c>
      <c r="C2471" s="266" t="s">
        <v>2101</v>
      </c>
      <c r="D2471" s="264" t="s">
        <v>5121</v>
      </c>
      <c r="E2471" s="264" t="s">
        <v>1821</v>
      </c>
      <c r="F2471" s="264" t="s">
        <v>2041</v>
      </c>
      <c r="G2471" s="266" t="s">
        <v>26</v>
      </c>
      <c r="H2471" s="299">
        <v>37.5</v>
      </c>
      <c r="I2471" s="266">
        <v>0</v>
      </c>
      <c r="J2471" s="264" t="s">
        <v>1174</v>
      </c>
      <c r="K2471" s="264" t="s">
        <v>2025</v>
      </c>
      <c r="L2471" s="1" t="str">
        <f>VLOOKUP(Advices[[#This Row],[LC Number]],'Combine_List'!A:D,2,0)</f>
        <v>Mohammed Ramadan Shat Factory</v>
      </c>
      <c r="M2471" s="1" t="str">
        <f>VLOOKUP(Advices[[#This Row],[LC Number]],'Combine_List'!A:D,3,0)</f>
        <v>FIRST FIX</v>
      </c>
      <c r="N2471" s="1" t="str">
        <f>VLOOKUP(Advices[[#This Row],[LC Number]],'Combine_List'!A:D,4,0)</f>
        <v>RCRC</v>
      </c>
      <c r="O2471" s="1"/>
      <c r="P2471" s="1">
        <f>MONTH(Advices[[#This Row],[Transaction Date]])</f>
        <v>4</v>
      </c>
      <c r="Q2471" s="1">
        <f>YEAR(Advices[[#This Row],[Transaction Date]])</f>
        <v>2026</v>
      </c>
      <c r="R2471" s="1"/>
    </row>
    <row r="2472" spans="1:18" hidden="1" x14ac:dyDescent="0.25">
      <c r="A2472" s="264" t="s">
        <v>612</v>
      </c>
      <c r="B2472" s="265">
        <v>46139</v>
      </c>
      <c r="C2472" s="266" t="s">
        <v>2101</v>
      </c>
      <c r="D2472" s="264" t="s">
        <v>5122</v>
      </c>
      <c r="E2472" s="264" t="s">
        <v>1821</v>
      </c>
      <c r="F2472" s="264" t="s">
        <v>2041</v>
      </c>
      <c r="G2472" s="266" t="s">
        <v>26</v>
      </c>
      <c r="H2472" s="299">
        <v>250</v>
      </c>
      <c r="I2472" s="266">
        <v>0</v>
      </c>
      <c r="J2472" s="264" t="s">
        <v>1125</v>
      </c>
      <c r="K2472" s="264" t="s">
        <v>2025</v>
      </c>
      <c r="L2472" s="1" t="str">
        <f>VLOOKUP(Advices[[#This Row],[LC Number]],'Combine_List'!A:D,2,0)</f>
        <v>Mohammed Ramadan Shat Factory</v>
      </c>
      <c r="M2472" s="1" t="str">
        <f>VLOOKUP(Advices[[#This Row],[LC Number]],'Combine_List'!A:D,3,0)</f>
        <v>FIRST FIX</v>
      </c>
      <c r="N2472" s="1" t="str">
        <f>VLOOKUP(Advices[[#This Row],[LC Number]],'Combine_List'!A:D,4,0)</f>
        <v>RCRC</v>
      </c>
      <c r="O2472" s="1"/>
      <c r="P2472" s="1">
        <f>MONTH(Advices[[#This Row],[Transaction Date]])</f>
        <v>4</v>
      </c>
      <c r="Q2472" s="1">
        <f>YEAR(Advices[[#This Row],[Transaction Date]])</f>
        <v>2026</v>
      </c>
      <c r="R2472" s="1"/>
    </row>
    <row r="2473" spans="1:18" hidden="1" x14ac:dyDescent="0.25">
      <c r="A2473" s="264" t="s">
        <v>612</v>
      </c>
      <c r="B2473" s="265">
        <v>46139</v>
      </c>
      <c r="C2473" s="266" t="s">
        <v>2101</v>
      </c>
      <c r="D2473" s="264" t="s">
        <v>5123</v>
      </c>
      <c r="E2473" s="264" t="s">
        <v>1821</v>
      </c>
      <c r="F2473" s="264" t="s">
        <v>2041</v>
      </c>
      <c r="G2473" s="266" t="s">
        <v>26</v>
      </c>
      <c r="H2473" s="299">
        <v>15</v>
      </c>
      <c r="I2473" s="266">
        <v>0</v>
      </c>
      <c r="J2473" s="264" t="s">
        <v>1174</v>
      </c>
      <c r="K2473" s="264" t="s">
        <v>2025</v>
      </c>
      <c r="L2473" s="1" t="str">
        <f>VLOOKUP(Advices[[#This Row],[LC Number]],'Combine_List'!A:D,2,0)</f>
        <v>Mohammed Ramadan Shat Factory</v>
      </c>
      <c r="M2473" s="1" t="str">
        <f>VLOOKUP(Advices[[#This Row],[LC Number]],'Combine_List'!A:D,3,0)</f>
        <v>FIRST FIX</v>
      </c>
      <c r="N2473" s="1" t="str">
        <f>VLOOKUP(Advices[[#This Row],[LC Number]],'Combine_List'!A:D,4,0)</f>
        <v>RCRC</v>
      </c>
      <c r="O2473" s="1"/>
      <c r="P2473" s="1">
        <f>MONTH(Advices[[#This Row],[Transaction Date]])</f>
        <v>4</v>
      </c>
      <c r="Q2473" s="1">
        <f>YEAR(Advices[[#This Row],[Transaction Date]])</f>
        <v>2026</v>
      </c>
      <c r="R2473" s="1"/>
    </row>
    <row r="2474" spans="1:18" hidden="1" x14ac:dyDescent="0.25">
      <c r="A2474" s="264" t="s">
        <v>612</v>
      </c>
      <c r="B2474" s="265">
        <v>46139</v>
      </c>
      <c r="C2474" s="266" t="s">
        <v>2101</v>
      </c>
      <c r="D2474" s="264" t="s">
        <v>5124</v>
      </c>
      <c r="E2474" s="264" t="s">
        <v>1821</v>
      </c>
      <c r="F2474" s="264" t="s">
        <v>2041</v>
      </c>
      <c r="G2474" s="266" t="s">
        <v>26</v>
      </c>
      <c r="H2474" s="299">
        <v>100</v>
      </c>
      <c r="I2474" s="266">
        <v>0</v>
      </c>
      <c r="J2474" s="264" t="s">
        <v>1125</v>
      </c>
      <c r="K2474" s="264" t="s">
        <v>2025</v>
      </c>
      <c r="L2474" s="1" t="str">
        <f>VLOOKUP(Advices[[#This Row],[LC Number]],'Combine_List'!A:D,2,0)</f>
        <v>Mohammed Ramadan Shat Factory</v>
      </c>
      <c r="M2474" s="1" t="str">
        <f>VLOOKUP(Advices[[#This Row],[LC Number]],'Combine_List'!A:D,3,0)</f>
        <v>FIRST FIX</v>
      </c>
      <c r="N2474" s="1" t="str">
        <f>VLOOKUP(Advices[[#This Row],[LC Number]],'Combine_List'!A:D,4,0)</f>
        <v>RCRC</v>
      </c>
      <c r="O2474" s="1"/>
      <c r="P2474" s="1">
        <f>MONTH(Advices[[#This Row],[Transaction Date]])</f>
        <v>4</v>
      </c>
      <c r="Q2474" s="1">
        <f>YEAR(Advices[[#This Row],[Transaction Date]])</f>
        <v>2026</v>
      </c>
      <c r="R2474" s="1"/>
    </row>
    <row r="2475" spans="1:18" hidden="1" x14ac:dyDescent="0.25">
      <c r="A2475" s="264" t="s">
        <v>612</v>
      </c>
      <c r="B2475" s="265">
        <v>46139</v>
      </c>
      <c r="C2475" s="266" t="s">
        <v>2101</v>
      </c>
      <c r="D2475" s="264" t="s">
        <v>5125</v>
      </c>
      <c r="E2475" s="264" t="s">
        <v>1610</v>
      </c>
      <c r="F2475" s="264" t="s">
        <v>2041</v>
      </c>
      <c r="G2475" s="266" t="s">
        <v>26</v>
      </c>
      <c r="H2475" s="299">
        <v>30</v>
      </c>
      <c r="I2475" s="266">
        <v>0</v>
      </c>
      <c r="J2475" s="264" t="s">
        <v>1174</v>
      </c>
      <c r="K2475" s="264" t="s">
        <v>2025</v>
      </c>
      <c r="L2475" s="1" t="str">
        <f>VLOOKUP(Advices[[#This Row],[LC Number]],'Combine_List'!A:D,2,0)</f>
        <v>Metten Al-Arabia Ltd Co (METARA)</v>
      </c>
      <c r="M2475" s="1" t="str">
        <f>VLOOKUP(Advices[[#This Row],[LC Number]],'Combine_List'!A:D,3,0)</f>
        <v>MBL</v>
      </c>
      <c r="N2475" s="1" t="str">
        <f>VLOOKUP(Advices[[#This Row],[LC Number]],'Combine_List'!A:D,4,0)</f>
        <v>RCRC</v>
      </c>
      <c r="O2475" s="1"/>
      <c r="P2475" s="1">
        <f>MONTH(Advices[[#This Row],[Transaction Date]])</f>
        <v>4</v>
      </c>
      <c r="Q2475" s="1">
        <f>YEAR(Advices[[#This Row],[Transaction Date]])</f>
        <v>2026</v>
      </c>
      <c r="R2475" s="1"/>
    </row>
    <row r="2476" spans="1:18" hidden="1" x14ac:dyDescent="0.25">
      <c r="A2476" s="264" t="s">
        <v>612</v>
      </c>
      <c r="B2476" s="265">
        <v>46139</v>
      </c>
      <c r="C2476" s="266" t="s">
        <v>2101</v>
      </c>
      <c r="D2476" s="264" t="s">
        <v>5126</v>
      </c>
      <c r="E2476" s="264" t="s">
        <v>1610</v>
      </c>
      <c r="F2476" s="264" t="s">
        <v>2041</v>
      </c>
      <c r="G2476" s="266" t="s">
        <v>26</v>
      </c>
      <c r="H2476" s="299">
        <v>537</v>
      </c>
      <c r="I2476" s="266">
        <v>0</v>
      </c>
      <c r="J2476" s="264" t="s">
        <v>1125</v>
      </c>
      <c r="K2476" s="264" t="s">
        <v>2025</v>
      </c>
      <c r="L2476" s="1" t="str">
        <f>VLOOKUP(Advices[[#This Row],[LC Number]],'Combine_List'!A:D,2,0)</f>
        <v>Metten Al-Arabia Ltd Co (METARA)</v>
      </c>
      <c r="M2476" s="1" t="str">
        <f>VLOOKUP(Advices[[#This Row],[LC Number]],'Combine_List'!A:D,3,0)</f>
        <v>MBL</v>
      </c>
      <c r="N2476" s="1" t="str">
        <f>VLOOKUP(Advices[[#This Row],[LC Number]],'Combine_List'!A:D,4,0)</f>
        <v>RCRC</v>
      </c>
      <c r="O2476" s="1"/>
      <c r="P2476" s="1">
        <f>MONTH(Advices[[#This Row],[Transaction Date]])</f>
        <v>4</v>
      </c>
      <c r="Q2476" s="1">
        <f>YEAR(Advices[[#This Row],[Transaction Date]])</f>
        <v>2026</v>
      </c>
      <c r="R2476" s="1"/>
    </row>
    <row r="2477" spans="1:18" hidden="1" x14ac:dyDescent="0.25">
      <c r="A2477" s="264" t="s">
        <v>612</v>
      </c>
      <c r="B2477" s="265">
        <v>46139</v>
      </c>
      <c r="C2477" s="266" t="s">
        <v>2101</v>
      </c>
      <c r="D2477" s="264" t="s">
        <v>5127</v>
      </c>
      <c r="E2477" s="264" t="s">
        <v>1610</v>
      </c>
      <c r="F2477" s="264" t="s">
        <v>2041</v>
      </c>
      <c r="G2477" s="266" t="s">
        <v>26</v>
      </c>
      <c r="H2477" s="299">
        <v>80.55</v>
      </c>
      <c r="I2477" s="266">
        <v>0</v>
      </c>
      <c r="J2477" s="264" t="s">
        <v>1174</v>
      </c>
      <c r="K2477" s="264" t="s">
        <v>2025</v>
      </c>
      <c r="L2477" s="1" t="str">
        <f>VLOOKUP(Advices[[#This Row],[LC Number]],'Combine_List'!A:D,2,0)</f>
        <v>Metten Al-Arabia Ltd Co (METARA)</v>
      </c>
      <c r="M2477" s="1" t="str">
        <f>VLOOKUP(Advices[[#This Row],[LC Number]],'Combine_List'!A:D,3,0)</f>
        <v>MBL</v>
      </c>
      <c r="N2477" s="1" t="str">
        <f>VLOOKUP(Advices[[#This Row],[LC Number]],'Combine_List'!A:D,4,0)</f>
        <v>RCRC</v>
      </c>
      <c r="O2477" s="1"/>
      <c r="P2477" s="1">
        <f>MONTH(Advices[[#This Row],[Transaction Date]])</f>
        <v>4</v>
      </c>
      <c r="Q2477" s="1">
        <f>YEAR(Advices[[#This Row],[Transaction Date]])</f>
        <v>2026</v>
      </c>
      <c r="R2477" s="1"/>
    </row>
    <row r="2478" spans="1:18" hidden="1" x14ac:dyDescent="0.25">
      <c r="A2478" s="264" t="s">
        <v>612</v>
      </c>
      <c r="B2478" s="265">
        <v>46139</v>
      </c>
      <c r="C2478" s="266" t="s">
        <v>2101</v>
      </c>
      <c r="D2478" s="264" t="s">
        <v>5128</v>
      </c>
      <c r="E2478" s="264" t="s">
        <v>1610</v>
      </c>
      <c r="F2478" s="264" t="s">
        <v>2041</v>
      </c>
      <c r="G2478" s="266" t="s">
        <v>26</v>
      </c>
      <c r="H2478" s="299">
        <v>15</v>
      </c>
      <c r="I2478" s="266">
        <v>0</v>
      </c>
      <c r="J2478" s="264" t="s">
        <v>1174</v>
      </c>
      <c r="K2478" s="264" t="s">
        <v>2025</v>
      </c>
      <c r="L2478" s="1" t="str">
        <f>VLOOKUP(Advices[[#This Row],[LC Number]],'Combine_List'!A:D,2,0)</f>
        <v>Metten Al-Arabia Ltd Co (METARA)</v>
      </c>
      <c r="M2478" s="1" t="str">
        <f>VLOOKUP(Advices[[#This Row],[LC Number]],'Combine_List'!A:D,3,0)</f>
        <v>MBL</v>
      </c>
      <c r="N2478" s="1" t="str">
        <f>VLOOKUP(Advices[[#This Row],[LC Number]],'Combine_List'!A:D,4,0)</f>
        <v>RCRC</v>
      </c>
      <c r="O2478" s="1"/>
      <c r="P2478" s="1">
        <f>MONTH(Advices[[#This Row],[Transaction Date]])</f>
        <v>4</v>
      </c>
      <c r="Q2478" s="1">
        <f>YEAR(Advices[[#This Row],[Transaction Date]])</f>
        <v>2026</v>
      </c>
      <c r="R2478" s="1"/>
    </row>
    <row r="2479" spans="1:18" hidden="1" x14ac:dyDescent="0.25">
      <c r="A2479" s="264" t="s">
        <v>612</v>
      </c>
      <c r="B2479" s="265">
        <v>46139</v>
      </c>
      <c r="C2479" s="266" t="s">
        <v>2101</v>
      </c>
      <c r="D2479" s="264" t="s">
        <v>5129</v>
      </c>
      <c r="E2479" s="264" t="s">
        <v>1610</v>
      </c>
      <c r="F2479" s="264" t="s">
        <v>2041</v>
      </c>
      <c r="G2479" s="266" t="s">
        <v>26</v>
      </c>
      <c r="H2479" s="299">
        <v>100</v>
      </c>
      <c r="I2479" s="266">
        <v>0</v>
      </c>
      <c r="J2479" s="264" t="s">
        <v>1125</v>
      </c>
      <c r="K2479" s="264" t="s">
        <v>2025</v>
      </c>
      <c r="L2479" s="1" t="str">
        <f>VLOOKUP(Advices[[#This Row],[LC Number]],'Combine_List'!A:D,2,0)</f>
        <v>Metten Al-Arabia Ltd Co (METARA)</v>
      </c>
      <c r="M2479" s="1" t="str">
        <f>VLOOKUP(Advices[[#This Row],[LC Number]],'Combine_List'!A:D,3,0)</f>
        <v>MBL</v>
      </c>
      <c r="N2479" s="1" t="str">
        <f>VLOOKUP(Advices[[#This Row],[LC Number]],'Combine_List'!A:D,4,0)</f>
        <v>RCRC</v>
      </c>
      <c r="O2479" s="1"/>
      <c r="P2479" s="1">
        <f>MONTH(Advices[[#This Row],[Transaction Date]])</f>
        <v>4</v>
      </c>
      <c r="Q2479" s="1">
        <f>YEAR(Advices[[#This Row],[Transaction Date]])</f>
        <v>2026</v>
      </c>
      <c r="R2479" s="1"/>
    </row>
    <row r="2480" spans="1:18" hidden="1" x14ac:dyDescent="0.25">
      <c r="A2480" s="264" t="s">
        <v>612</v>
      </c>
      <c r="B2480" s="265">
        <v>46139</v>
      </c>
      <c r="C2480" s="266" t="s">
        <v>2101</v>
      </c>
      <c r="D2480" s="264" t="s">
        <v>5130</v>
      </c>
      <c r="E2480" s="264" t="s">
        <v>1821</v>
      </c>
      <c r="F2480" s="264" t="s">
        <v>2041</v>
      </c>
      <c r="G2480" s="266" t="s">
        <v>26</v>
      </c>
      <c r="H2480" s="299">
        <v>200</v>
      </c>
      <c r="I2480" s="266">
        <v>0</v>
      </c>
      <c r="J2480" s="264" t="s">
        <v>1125</v>
      </c>
      <c r="K2480" s="264" t="s">
        <v>2025</v>
      </c>
      <c r="L2480" s="1" t="str">
        <f>VLOOKUP(Advices[[#This Row],[LC Number]],'Combine_List'!A:D,2,0)</f>
        <v>Mohammed Ramadan Shat Factory</v>
      </c>
      <c r="M2480" s="1" t="str">
        <f>VLOOKUP(Advices[[#This Row],[LC Number]],'Combine_List'!A:D,3,0)</f>
        <v>FIRST FIX</v>
      </c>
      <c r="N2480" s="1" t="str">
        <f>VLOOKUP(Advices[[#This Row],[LC Number]],'Combine_List'!A:D,4,0)</f>
        <v>RCRC</v>
      </c>
      <c r="O2480" s="1"/>
      <c r="P2480" s="1">
        <f>MONTH(Advices[[#This Row],[Transaction Date]])</f>
        <v>4</v>
      </c>
      <c r="Q2480" s="1">
        <f>YEAR(Advices[[#This Row],[Transaction Date]])</f>
        <v>2026</v>
      </c>
      <c r="R2480" s="1"/>
    </row>
    <row r="2481" spans="1:18" hidden="1" x14ac:dyDescent="0.25">
      <c r="A2481" s="264" t="s">
        <v>612</v>
      </c>
      <c r="B2481" s="265">
        <v>46139</v>
      </c>
      <c r="C2481" s="266" t="s">
        <v>2101</v>
      </c>
      <c r="D2481" s="264" t="s">
        <v>5131</v>
      </c>
      <c r="E2481" s="264" t="s">
        <v>1610</v>
      </c>
      <c r="F2481" s="264" t="s">
        <v>2041</v>
      </c>
      <c r="G2481" s="266" t="s">
        <v>26</v>
      </c>
      <c r="H2481" s="299">
        <v>200</v>
      </c>
      <c r="I2481" s="266">
        <v>0</v>
      </c>
      <c r="J2481" s="264" t="s">
        <v>1125</v>
      </c>
      <c r="K2481" s="264" t="s">
        <v>2025</v>
      </c>
      <c r="L2481" s="1" t="str">
        <f>VLOOKUP(Advices[[#This Row],[LC Number]],'Combine_List'!A:D,2,0)</f>
        <v>Metten Al-Arabia Ltd Co (METARA)</v>
      </c>
      <c r="M2481" s="1" t="str">
        <f>VLOOKUP(Advices[[#This Row],[LC Number]],'Combine_List'!A:D,3,0)</f>
        <v>MBL</v>
      </c>
      <c r="N2481" s="1" t="str">
        <f>VLOOKUP(Advices[[#This Row],[LC Number]],'Combine_List'!A:D,4,0)</f>
        <v>RCRC</v>
      </c>
      <c r="O2481" s="1"/>
      <c r="P2481" s="1">
        <f>MONTH(Advices[[#This Row],[Transaction Date]])</f>
        <v>4</v>
      </c>
      <c r="Q2481" s="1">
        <f>YEAR(Advices[[#This Row],[Transaction Date]])</f>
        <v>2026</v>
      </c>
      <c r="R2481" s="1"/>
    </row>
    <row r="2482" spans="1:18" hidden="1" x14ac:dyDescent="0.25">
      <c r="A2482" s="264" t="s">
        <v>612</v>
      </c>
      <c r="B2482" s="265">
        <v>46139</v>
      </c>
      <c r="C2482" s="266" t="s">
        <v>2101</v>
      </c>
      <c r="D2482" s="264" t="s">
        <v>5132</v>
      </c>
      <c r="E2482" s="264" t="s">
        <v>1821</v>
      </c>
      <c r="F2482" s="264" t="s">
        <v>2041</v>
      </c>
      <c r="G2482" s="266" t="s">
        <v>26</v>
      </c>
      <c r="H2482" s="299">
        <v>30</v>
      </c>
      <c r="I2482" s="266">
        <v>0</v>
      </c>
      <c r="J2482" s="264" t="s">
        <v>1174</v>
      </c>
      <c r="K2482" s="264" t="s">
        <v>2025</v>
      </c>
      <c r="L2482" s="264" t="str">
        <f>VLOOKUP(Advices[[#This Row],[LC Number]],'Combine_List'!A:D,2,0)</f>
        <v>Mohammed Ramadan Shat Factory</v>
      </c>
      <c r="M2482" s="264" t="str">
        <f>VLOOKUP(Advices[[#This Row],[LC Number]],'Combine_List'!A:D,3,0)</f>
        <v>FIRST FIX</v>
      </c>
      <c r="N2482" s="264" t="str">
        <f>VLOOKUP(Advices[[#This Row],[LC Number]],'Combine_List'!A:D,4,0)</f>
        <v>RCRC</v>
      </c>
      <c r="O2482" s="264"/>
      <c r="P2482" s="264">
        <f>MONTH(Advices[[#This Row],[Transaction Date]])</f>
        <v>4</v>
      </c>
      <c r="Q2482" s="264">
        <f>YEAR(Advices[[#This Row],[Transaction Date]])</f>
        <v>2026</v>
      </c>
      <c r="R2482" s="264"/>
    </row>
    <row r="2483" spans="1:18" x14ac:dyDescent="0.25">
      <c r="A2483" s="264" t="s">
        <v>21</v>
      </c>
      <c r="B2483" s="265">
        <v>46139</v>
      </c>
      <c r="C2483" s="266" t="s">
        <v>1951</v>
      </c>
      <c r="D2483" s="264" t="s">
        <v>5138</v>
      </c>
      <c r="E2483" s="264" t="s">
        <v>4137</v>
      </c>
      <c r="F2483" s="264" t="s">
        <v>5139</v>
      </c>
      <c r="G2483" s="266" t="s">
        <v>26</v>
      </c>
      <c r="H2483" s="299">
        <v>1141.01</v>
      </c>
      <c r="I2483" s="266">
        <v>0</v>
      </c>
      <c r="J2483" s="264" t="s">
        <v>1174</v>
      </c>
      <c r="K2483" s="264" t="s">
        <v>2025</v>
      </c>
      <c r="L2483" s="1" t="str">
        <f>VLOOKUP(Advices[[#This Row],[LC Number]],'Combine_List'!A:D,2,0)</f>
        <v>LSI PROJECTS LIMITED</v>
      </c>
      <c r="M2483" s="1" t="str">
        <f>VLOOKUP(Advices[[#This Row],[LC Number]],'Combine_List'!A:D,3,0)</f>
        <v>ICAD</v>
      </c>
      <c r="N2483" s="1" t="str">
        <f>VLOOKUP(Advices[[#This Row],[LC Number]],'Combine_List'!A:D,4,0)</f>
        <v>KSP</v>
      </c>
      <c r="O2483" s="1"/>
      <c r="P2483" s="1">
        <f>MONTH(Advices[[#This Row],[Transaction Date]])</f>
        <v>4</v>
      </c>
      <c r="Q2483" s="1">
        <f>YEAR(Advices[[#This Row],[Transaction Date]])</f>
        <v>2026</v>
      </c>
      <c r="R2483" s="1"/>
    </row>
    <row r="2484" spans="1:18" x14ac:dyDescent="0.25">
      <c r="A2484" s="264" t="s">
        <v>21</v>
      </c>
      <c r="B2484" s="265">
        <v>46139</v>
      </c>
      <c r="C2484" s="266" t="s">
        <v>1951</v>
      </c>
      <c r="D2484" s="264" t="s">
        <v>5140</v>
      </c>
      <c r="E2484" s="264" t="s">
        <v>3228</v>
      </c>
      <c r="F2484" s="264" t="s">
        <v>5141</v>
      </c>
      <c r="G2484" s="266" t="s">
        <v>26</v>
      </c>
      <c r="H2484" s="299">
        <v>187.5</v>
      </c>
      <c r="I2484" s="266">
        <v>0</v>
      </c>
      <c r="J2484" s="264" t="s">
        <v>1174</v>
      </c>
      <c r="K2484" s="264" t="s">
        <v>2025</v>
      </c>
      <c r="L2484" s="1" t="str">
        <f>VLOOKUP(Advices[[#This Row],[LC Number]],'Combine_List'!A:D,2,0)</f>
        <v>LSI PROJECTS LIMITED</v>
      </c>
      <c r="M2484" s="1" t="str">
        <f>VLOOKUP(Advices[[#This Row],[LC Number]],'Combine_List'!A:D,3,0)</f>
        <v>ICAD</v>
      </c>
      <c r="N2484" s="1" t="str">
        <f>VLOOKUP(Advices[[#This Row],[LC Number]],'Combine_List'!A:D,4,0)</f>
        <v>KSP</v>
      </c>
      <c r="O2484" s="1"/>
      <c r="P2484" s="1">
        <f>MONTH(Advices[[#This Row],[Transaction Date]])</f>
        <v>4</v>
      </c>
      <c r="Q2484" s="1">
        <f>YEAR(Advices[[#This Row],[Transaction Date]])</f>
        <v>2026</v>
      </c>
      <c r="R2484" s="1"/>
    </row>
    <row r="2485" spans="1:18" x14ac:dyDescent="0.25">
      <c r="A2485" s="264" t="s">
        <v>21</v>
      </c>
      <c r="B2485" s="265">
        <v>46139</v>
      </c>
      <c r="C2485" s="266" t="s">
        <v>1951</v>
      </c>
      <c r="D2485" s="264" t="s">
        <v>4572</v>
      </c>
      <c r="E2485" s="264" t="s">
        <v>3228</v>
      </c>
      <c r="F2485" s="264" t="s">
        <v>5141</v>
      </c>
      <c r="G2485" s="266" t="s">
        <v>26</v>
      </c>
      <c r="H2485" s="299">
        <v>1250</v>
      </c>
      <c r="I2485" s="266">
        <v>0</v>
      </c>
      <c r="J2485" s="264" t="s">
        <v>1125</v>
      </c>
      <c r="K2485" s="264" t="s">
        <v>2025</v>
      </c>
      <c r="L2485" s="1" t="str">
        <f>VLOOKUP(Advices[[#This Row],[LC Number]],'Combine_List'!A:D,2,0)</f>
        <v>LSI PROJECTS LIMITED</v>
      </c>
      <c r="M2485" s="1" t="str">
        <f>VLOOKUP(Advices[[#This Row],[LC Number]],'Combine_List'!A:D,3,0)</f>
        <v>ICAD</v>
      </c>
      <c r="N2485" s="1" t="str">
        <f>VLOOKUP(Advices[[#This Row],[LC Number]],'Combine_List'!A:D,4,0)</f>
        <v>KSP</v>
      </c>
      <c r="O2485" s="1"/>
      <c r="P2485" s="1">
        <f>MONTH(Advices[[#This Row],[Transaction Date]])</f>
        <v>4</v>
      </c>
      <c r="Q2485" s="1">
        <f>YEAR(Advices[[#This Row],[Transaction Date]])</f>
        <v>2026</v>
      </c>
      <c r="R2485" s="1"/>
    </row>
    <row r="2486" spans="1:18" x14ac:dyDescent="0.25">
      <c r="A2486" s="264" t="s">
        <v>21</v>
      </c>
      <c r="B2486" s="265">
        <v>46139</v>
      </c>
      <c r="C2486" s="266" t="s">
        <v>1951</v>
      </c>
      <c r="D2486" s="264" t="s">
        <v>4572</v>
      </c>
      <c r="E2486" s="264" t="s">
        <v>4137</v>
      </c>
      <c r="F2486" s="264" t="s">
        <v>5139</v>
      </c>
      <c r="G2486" s="266" t="s">
        <v>26</v>
      </c>
      <c r="H2486" s="299">
        <v>7606.74</v>
      </c>
      <c r="I2486" s="266">
        <v>0</v>
      </c>
      <c r="J2486" s="264" t="s">
        <v>1125</v>
      </c>
      <c r="K2486" s="264" t="s">
        <v>2025</v>
      </c>
      <c r="L2486" s="1" t="str">
        <f>VLOOKUP(Advices[[#This Row],[LC Number]],'Combine_List'!A:D,2,0)</f>
        <v>LSI PROJECTS LIMITED</v>
      </c>
      <c r="M2486" s="1" t="str">
        <f>VLOOKUP(Advices[[#This Row],[LC Number]],'Combine_List'!A:D,3,0)</f>
        <v>ICAD</v>
      </c>
      <c r="N2486" s="1" t="str">
        <f>VLOOKUP(Advices[[#This Row],[LC Number]],'Combine_List'!A:D,4,0)</f>
        <v>KSP</v>
      </c>
      <c r="O2486" s="1"/>
      <c r="P2486" s="1">
        <f>MONTH(Advices[[#This Row],[Transaction Date]])</f>
        <v>4</v>
      </c>
      <c r="Q2486" s="1">
        <f>YEAR(Advices[[#This Row],[Transaction Date]])</f>
        <v>2026</v>
      </c>
      <c r="R2486" s="1"/>
    </row>
    <row r="2487" spans="1:18" x14ac:dyDescent="0.25">
      <c r="A2487" s="264" t="s">
        <v>21</v>
      </c>
      <c r="B2487" s="265">
        <v>46140</v>
      </c>
      <c r="C2487" s="266" t="s">
        <v>1951</v>
      </c>
      <c r="D2487" s="264" t="s">
        <v>4569</v>
      </c>
      <c r="E2487" s="264" t="s">
        <v>2620</v>
      </c>
      <c r="F2487" s="264" t="s">
        <v>4041</v>
      </c>
      <c r="G2487" s="266" t="s">
        <v>26</v>
      </c>
      <c r="H2487" s="299">
        <v>75</v>
      </c>
      <c r="I2487" s="266">
        <v>0</v>
      </c>
      <c r="J2487" s="264" t="s">
        <v>1963</v>
      </c>
      <c r="K2487" s="264" t="s">
        <v>2025</v>
      </c>
      <c r="L2487" s="1" t="str">
        <f>VLOOKUP(Advices[[#This Row],[LC Number]],'Combine_List'!A:D,2,0)</f>
        <v>Mohammad Saleh Bahareth co.</v>
      </c>
      <c r="M2487" s="1" t="str">
        <f>VLOOKUP(Advices[[#This Row],[LC Number]],'Combine_List'!A:D,3,0)</f>
        <v>FIRST FIX</v>
      </c>
      <c r="N2487" s="1" t="str">
        <f>VLOOKUP(Advices[[#This Row],[LC Number]],'Combine_List'!A:D,4,0)</f>
        <v>KSP</v>
      </c>
      <c r="O2487" s="1"/>
      <c r="P2487" s="1">
        <f>MONTH(Advices[[#This Row],[Transaction Date]])</f>
        <v>4</v>
      </c>
      <c r="Q2487" s="1">
        <f>YEAR(Advices[[#This Row],[Transaction Date]])</f>
        <v>2026</v>
      </c>
      <c r="R2487" s="1"/>
    </row>
    <row r="2488" spans="1:18" x14ac:dyDescent="0.25">
      <c r="A2488" s="264" t="s">
        <v>21</v>
      </c>
      <c r="B2488" s="265">
        <v>46140</v>
      </c>
      <c r="C2488" s="266" t="s">
        <v>1951</v>
      </c>
      <c r="D2488" s="264" t="s">
        <v>1960</v>
      </c>
      <c r="E2488" s="264" t="s">
        <v>2620</v>
      </c>
      <c r="F2488" s="264" t="s">
        <v>4041</v>
      </c>
      <c r="G2488" s="266" t="s">
        <v>26</v>
      </c>
      <c r="H2488" s="299">
        <v>11.25</v>
      </c>
      <c r="I2488" s="266">
        <v>0</v>
      </c>
      <c r="J2488" s="264" t="s">
        <v>1174</v>
      </c>
      <c r="K2488" s="264" t="s">
        <v>2025</v>
      </c>
      <c r="L2488" s="1" t="str">
        <f>VLOOKUP(Advices[[#This Row],[LC Number]],'Combine_List'!A:D,2,0)</f>
        <v>Mohammad Saleh Bahareth co.</v>
      </c>
      <c r="M2488" s="1" t="str">
        <f>VLOOKUP(Advices[[#This Row],[LC Number]],'Combine_List'!A:D,3,0)</f>
        <v>FIRST FIX</v>
      </c>
      <c r="N2488" s="1" t="str">
        <f>VLOOKUP(Advices[[#This Row],[LC Number]],'Combine_List'!A:D,4,0)</f>
        <v>KSP</v>
      </c>
      <c r="O2488" s="1"/>
      <c r="P2488" s="1">
        <f>MONTH(Advices[[#This Row],[Transaction Date]])</f>
        <v>4</v>
      </c>
      <c r="Q2488" s="1">
        <f>YEAR(Advices[[#This Row],[Transaction Date]])</f>
        <v>2026</v>
      </c>
      <c r="R2488" s="1"/>
    </row>
    <row r="2489" spans="1:18" x14ac:dyDescent="0.25">
      <c r="A2489" s="264" t="s">
        <v>21</v>
      </c>
      <c r="B2489" s="265">
        <v>46140</v>
      </c>
      <c r="C2489" s="266" t="s">
        <v>1951</v>
      </c>
      <c r="D2489" s="264" t="s">
        <v>4570</v>
      </c>
      <c r="E2489" s="264" t="s">
        <v>2620</v>
      </c>
      <c r="F2489" s="264" t="s">
        <v>4041</v>
      </c>
      <c r="G2489" s="266" t="s">
        <v>26</v>
      </c>
      <c r="H2489" s="299">
        <v>332244.19</v>
      </c>
      <c r="I2489" s="266">
        <v>0</v>
      </c>
      <c r="J2489" s="264" t="s">
        <v>1126</v>
      </c>
      <c r="K2489" s="264" t="s">
        <v>2025</v>
      </c>
      <c r="L2489" s="264" t="str">
        <f>VLOOKUP(Advices[[#This Row],[LC Number]],'Combine_List'!A:D,2,0)</f>
        <v>Mohammad Saleh Bahareth co.</v>
      </c>
      <c r="M2489" s="264" t="str">
        <f>VLOOKUP(Advices[[#This Row],[LC Number]],'Combine_List'!A:D,3,0)</f>
        <v>FIRST FIX</v>
      </c>
      <c r="N2489" s="264" t="str">
        <f>VLOOKUP(Advices[[#This Row],[LC Number]],'Combine_List'!A:D,4,0)</f>
        <v>KSP</v>
      </c>
      <c r="O2489" s="264"/>
      <c r="P2489" s="264">
        <f>MONTH(Advices[[#This Row],[Transaction Date]])</f>
        <v>4</v>
      </c>
      <c r="Q2489" s="264">
        <f>YEAR(Advices[[#This Row],[Transaction Date]])</f>
        <v>2026</v>
      </c>
      <c r="R2489" s="264"/>
    </row>
    <row r="2490" spans="1:18" hidden="1" x14ac:dyDescent="0.25">
      <c r="A2490" s="264" t="s">
        <v>62</v>
      </c>
      <c r="B2490" s="265">
        <v>46140</v>
      </c>
      <c r="C2490" s="266" t="s">
        <v>2042</v>
      </c>
      <c r="D2490" s="264" t="s">
        <v>5142</v>
      </c>
      <c r="E2490" s="264" t="s">
        <v>2920</v>
      </c>
      <c r="F2490" s="264" t="s">
        <v>2041</v>
      </c>
      <c r="G2490" s="266" t="s">
        <v>26</v>
      </c>
      <c r="H2490" s="299">
        <v>0</v>
      </c>
      <c r="I2490" s="266">
        <v>63918.15</v>
      </c>
      <c r="J2490" s="264" t="s">
        <v>5155</v>
      </c>
      <c r="K2490" s="264" t="s">
        <v>2025</v>
      </c>
      <c r="L2490" s="1" t="str">
        <f>VLOOKUP(Advices[[#This Row],[LC Number]],'Combine_List'!A:D,2,0)</f>
        <v>Advance - BRANCH OF ELSEWEDY ELECTRIC FOR POWER SYSTEMS PROJECTS</v>
      </c>
      <c r="M2490" s="1">
        <f>VLOOKUP(Advices[[#This Row],[LC Number]],'Combine_List'!A:D,3,0)</f>
        <v>0</v>
      </c>
      <c r="N2490" s="1">
        <f>VLOOKUP(Advices[[#This Row],[LC Number]],'Combine_List'!A:D,4,0)</f>
        <v>0</v>
      </c>
      <c r="O2490" s="1"/>
      <c r="P2490" s="1">
        <f>MONTH(Advices[[#This Row],[Transaction Date]])</f>
        <v>4</v>
      </c>
      <c r="Q2490" s="1">
        <f>YEAR(Advices[[#This Row],[Transaction Date]])</f>
        <v>2026</v>
      </c>
      <c r="R2490" s="1"/>
    </row>
    <row r="2491" spans="1:18" hidden="1" x14ac:dyDescent="0.25">
      <c r="A2491" s="264" t="s">
        <v>62</v>
      </c>
      <c r="B2491" s="265">
        <v>46140</v>
      </c>
      <c r="C2491" s="266" t="s">
        <v>2039</v>
      </c>
      <c r="D2491" s="264" t="s">
        <v>5143</v>
      </c>
      <c r="E2491" s="264" t="s">
        <v>3326</v>
      </c>
      <c r="F2491" s="264" t="s">
        <v>2041</v>
      </c>
      <c r="G2491" s="266" t="s">
        <v>26</v>
      </c>
      <c r="H2491" s="299">
        <v>449036.45</v>
      </c>
      <c r="I2491" s="266">
        <v>0</v>
      </c>
      <c r="J2491" s="264"/>
      <c r="K2491" s="264" t="s">
        <v>2025</v>
      </c>
      <c r="L2491" s="1" t="str">
        <f>VLOOKUP(Advices[[#This Row],[LC Number]],'Combine_List'!A:D,2,0)</f>
        <v>AFKAR ALTATHBET TRADING COMPANY</v>
      </c>
      <c r="M2491" s="1" t="str">
        <f>VLOOKUP(Advices[[#This Row],[LC Number]],'Combine_List'!A:D,3,0)</f>
        <v>FIRST FIX</v>
      </c>
      <c r="N2491" s="1" t="str">
        <f>VLOOKUP(Advices[[#This Row],[LC Number]],'Combine_List'!A:D,4,0)</f>
        <v>Oceanarium</v>
      </c>
      <c r="O2491" s="1"/>
      <c r="P2491" s="1">
        <f>MONTH(Advices[[#This Row],[Transaction Date]])</f>
        <v>4</v>
      </c>
      <c r="Q2491" s="1">
        <f>YEAR(Advices[[#This Row],[Transaction Date]])</f>
        <v>2026</v>
      </c>
      <c r="R2491" s="1"/>
    </row>
    <row r="2492" spans="1:18" hidden="1" x14ac:dyDescent="0.25">
      <c r="A2492" s="264" t="s">
        <v>62</v>
      </c>
      <c r="B2492" s="265">
        <v>46140</v>
      </c>
      <c r="C2492" s="266" t="s">
        <v>2039</v>
      </c>
      <c r="D2492" s="264" t="s">
        <v>5144</v>
      </c>
      <c r="E2492" s="264" t="s">
        <v>3325</v>
      </c>
      <c r="F2492" s="264" t="s">
        <v>2041</v>
      </c>
      <c r="G2492" s="266" t="s">
        <v>26</v>
      </c>
      <c r="H2492" s="299">
        <v>500000</v>
      </c>
      <c r="I2492" s="266">
        <v>0</v>
      </c>
      <c r="J2492" s="264"/>
      <c r="K2492" s="264" t="s">
        <v>2025</v>
      </c>
      <c r="L2492" s="264" t="str">
        <f>VLOOKUP(Advices[[#This Row],[LC Number]],'Combine_List'!A:D,2,0)</f>
        <v>National Marketing Est. Co. Ltd</v>
      </c>
      <c r="M2492" s="264" t="str">
        <f>VLOOKUP(Advices[[#This Row],[LC Number]],'Combine_List'!A:D,3,0)</f>
        <v>FIRST FIX</v>
      </c>
      <c r="N2492" s="264" t="str">
        <f>VLOOKUP(Advices[[#This Row],[LC Number]],'Combine_List'!A:D,4,0)</f>
        <v>Oceanarium</v>
      </c>
      <c r="O2492" s="264"/>
      <c r="P2492" s="264">
        <f>MONTH(Advices[[#This Row],[Transaction Date]])</f>
        <v>4</v>
      </c>
      <c r="Q2492" s="264">
        <f>YEAR(Advices[[#This Row],[Transaction Date]])</f>
        <v>2026</v>
      </c>
      <c r="R2492" s="264"/>
    </row>
    <row r="2493" spans="1:18" hidden="1" x14ac:dyDescent="0.25">
      <c r="A2493" s="264" t="s">
        <v>95</v>
      </c>
      <c r="B2493" s="265">
        <v>46140</v>
      </c>
      <c r="C2493" s="266" t="s">
        <v>2026</v>
      </c>
      <c r="D2493" s="264" t="s">
        <v>5145</v>
      </c>
      <c r="E2493" s="264" t="s">
        <v>674</v>
      </c>
      <c r="F2493" s="264" t="s">
        <v>674</v>
      </c>
      <c r="G2493" s="266" t="s">
        <v>26</v>
      </c>
      <c r="H2493" s="299">
        <v>0</v>
      </c>
      <c r="I2493" s="266">
        <v>460</v>
      </c>
      <c r="J2493" s="264" t="s">
        <v>1124</v>
      </c>
      <c r="K2493" s="264" t="s">
        <v>5154</v>
      </c>
      <c r="L2493" s="1" t="str">
        <f>VLOOKUP(Advices[[#This Row],[LC Number]],'Combine_List'!A:D,2,0)</f>
        <v>Banan Thiba Trading Est (BTT)</v>
      </c>
      <c r="M2493" s="1" t="str">
        <f>VLOOKUP(Advices[[#This Row],[LC Number]],'Combine_List'!A:D,3,0)</f>
        <v>FIRST FIX</v>
      </c>
      <c r="N2493" s="1" t="str">
        <f>VLOOKUP(Advices[[#This Row],[LC Number]],'Combine_List'!A:D,4,0)</f>
        <v>JCD SPMI</v>
      </c>
      <c r="O2493" s="1"/>
      <c r="P2493" s="1">
        <f>MONTH(Advices[[#This Row],[Transaction Date]])</f>
        <v>4</v>
      </c>
      <c r="Q2493" s="1">
        <f>YEAR(Advices[[#This Row],[Transaction Date]])</f>
        <v>2026</v>
      </c>
      <c r="R2493" s="1"/>
    </row>
    <row r="2494" spans="1:18" hidden="1" x14ac:dyDescent="0.25">
      <c r="A2494" s="264" t="s">
        <v>95</v>
      </c>
      <c r="B2494" s="265">
        <v>46140</v>
      </c>
      <c r="C2494" s="266" t="s">
        <v>2026</v>
      </c>
      <c r="D2494" s="264" t="s">
        <v>5146</v>
      </c>
      <c r="E2494" s="264" t="s">
        <v>5084</v>
      </c>
      <c r="F2494" s="264" t="s">
        <v>5147</v>
      </c>
      <c r="G2494" s="266" t="s">
        <v>26</v>
      </c>
      <c r="H2494" s="299">
        <v>3814.17</v>
      </c>
      <c r="I2494" s="266">
        <v>0</v>
      </c>
      <c r="J2494" s="264" t="s">
        <v>2616</v>
      </c>
      <c r="K2494" s="264" t="s">
        <v>2025</v>
      </c>
      <c r="L2494" s="1" t="str">
        <f>VLOOKUP(Advices[[#This Row],[LC Number]],'Combine_List'!A:D,2,0)</f>
        <v>Al Dhow Gulf Company for Trading and Contracting Ltd</v>
      </c>
      <c r="M2494" s="1" t="str">
        <f>VLOOKUP(Advices[[#This Row],[LC Number]],'Combine_List'!A:D,3,0)</f>
        <v>MBL/ICAD</v>
      </c>
      <c r="N2494" s="1" t="str">
        <f>VLOOKUP(Advices[[#This Row],[LC Number]],'Combine_List'!A:D,4,0)</f>
        <v>OPERA House</v>
      </c>
      <c r="O2494" s="1"/>
      <c r="P2494" s="1">
        <f>MONTH(Advices[[#This Row],[Transaction Date]])</f>
        <v>4</v>
      </c>
      <c r="Q2494" s="1">
        <f>YEAR(Advices[[#This Row],[Transaction Date]])</f>
        <v>2026</v>
      </c>
      <c r="R2494" s="1"/>
    </row>
    <row r="2495" spans="1:18" hidden="1" x14ac:dyDescent="0.25">
      <c r="A2495" s="264" t="s">
        <v>95</v>
      </c>
      <c r="B2495" s="265">
        <v>46140</v>
      </c>
      <c r="C2495" s="266" t="s">
        <v>2026</v>
      </c>
      <c r="D2495" s="264" t="s">
        <v>5148</v>
      </c>
      <c r="E2495" s="264" t="s">
        <v>674</v>
      </c>
      <c r="F2495" s="264" t="s">
        <v>5149</v>
      </c>
      <c r="G2495" s="266" t="s">
        <v>26</v>
      </c>
      <c r="H2495" s="299">
        <v>460</v>
      </c>
      <c r="I2495" s="266">
        <v>0</v>
      </c>
      <c r="J2495" s="264" t="s">
        <v>1124</v>
      </c>
      <c r="K2495" s="264" t="s">
        <v>5154</v>
      </c>
      <c r="L2495" s="1" t="str">
        <f>VLOOKUP(Advices[[#This Row],[LC Number]],'Combine_List'!A:D,2,0)</f>
        <v>Banan Thiba Trading Est (BTT)</v>
      </c>
      <c r="M2495" s="1" t="str">
        <f>VLOOKUP(Advices[[#This Row],[LC Number]],'Combine_List'!A:D,3,0)</f>
        <v>FIRST FIX</v>
      </c>
      <c r="N2495" s="1" t="str">
        <f>VLOOKUP(Advices[[#This Row],[LC Number]],'Combine_List'!A:D,4,0)</f>
        <v>JCD SPMI</v>
      </c>
      <c r="O2495" s="1"/>
      <c r="P2495" s="1">
        <f>MONTH(Advices[[#This Row],[Transaction Date]])</f>
        <v>4</v>
      </c>
      <c r="Q2495" s="1">
        <f>YEAR(Advices[[#This Row],[Transaction Date]])</f>
        <v>2026</v>
      </c>
      <c r="R2495" s="1"/>
    </row>
    <row r="2496" spans="1:18" hidden="1" x14ac:dyDescent="0.25">
      <c r="A2496" s="264" t="s">
        <v>95</v>
      </c>
      <c r="B2496" s="265">
        <v>46140</v>
      </c>
      <c r="C2496" s="266" t="s">
        <v>2026</v>
      </c>
      <c r="D2496" s="264" t="s">
        <v>5150</v>
      </c>
      <c r="E2496" s="264" t="s">
        <v>5084</v>
      </c>
      <c r="F2496" s="264" t="s">
        <v>5084</v>
      </c>
      <c r="G2496" s="266" t="s">
        <v>26</v>
      </c>
      <c r="H2496" s="299">
        <v>0</v>
      </c>
      <c r="I2496" s="266">
        <v>3814.17</v>
      </c>
      <c r="J2496" s="264" t="s">
        <v>2616</v>
      </c>
      <c r="K2496" s="264" t="s">
        <v>5154</v>
      </c>
      <c r="L2496" s="1" t="str">
        <f>VLOOKUP(Advices[[#This Row],[LC Number]],'Combine_List'!A:D,2,0)</f>
        <v>Al Dhow Gulf Company for Trading and Contracting Ltd</v>
      </c>
      <c r="M2496" s="1" t="str">
        <f>VLOOKUP(Advices[[#This Row],[LC Number]],'Combine_List'!A:D,3,0)</f>
        <v>MBL/ICAD</v>
      </c>
      <c r="N2496" s="1" t="str">
        <f>VLOOKUP(Advices[[#This Row],[LC Number]],'Combine_List'!A:D,4,0)</f>
        <v>OPERA House</v>
      </c>
      <c r="O2496" s="1"/>
      <c r="P2496" s="1">
        <f>MONTH(Advices[[#This Row],[Transaction Date]])</f>
        <v>4</v>
      </c>
      <c r="Q2496" s="1">
        <f>YEAR(Advices[[#This Row],[Transaction Date]])</f>
        <v>2026</v>
      </c>
      <c r="R2496" s="1"/>
    </row>
    <row r="2497" spans="1:18" hidden="1" x14ac:dyDescent="0.25">
      <c r="A2497" s="264" t="s">
        <v>95</v>
      </c>
      <c r="B2497" s="265">
        <v>46140</v>
      </c>
      <c r="C2497" s="266" t="s">
        <v>2307</v>
      </c>
      <c r="D2497" s="264" t="s">
        <v>5151</v>
      </c>
      <c r="E2497" s="264" t="s">
        <v>5084</v>
      </c>
      <c r="F2497" s="264" t="s">
        <v>5084</v>
      </c>
      <c r="G2497" s="266"/>
      <c r="H2497" s="299">
        <v>3814.17</v>
      </c>
      <c r="I2497" s="266">
        <v>0</v>
      </c>
      <c r="J2497" s="264" t="s">
        <v>2616</v>
      </c>
      <c r="K2497" s="264" t="s">
        <v>5154</v>
      </c>
      <c r="L2497" s="264" t="str">
        <f>VLOOKUP(Advices[[#This Row],[LC Number]],'Combine_List'!A:D,2,0)</f>
        <v>Al Dhow Gulf Company for Trading and Contracting Ltd</v>
      </c>
      <c r="M2497" s="264" t="str">
        <f>VLOOKUP(Advices[[#This Row],[LC Number]],'Combine_List'!A:D,3,0)</f>
        <v>MBL/ICAD</v>
      </c>
      <c r="N2497" s="264" t="str">
        <f>VLOOKUP(Advices[[#This Row],[LC Number]],'Combine_List'!A:D,4,0)</f>
        <v>OPERA House</v>
      </c>
      <c r="O2497" s="264"/>
      <c r="P2497" s="264">
        <f>MONTH(Advices[[#This Row],[Transaction Date]])</f>
        <v>4</v>
      </c>
      <c r="Q2497" s="264">
        <f>YEAR(Advices[[#This Row],[Transaction Date]])</f>
        <v>2026</v>
      </c>
      <c r="R2497" s="264"/>
    </row>
    <row r="2498" spans="1:18" hidden="1" x14ac:dyDescent="0.25">
      <c r="A2498" s="264" t="s">
        <v>612</v>
      </c>
      <c r="B2498" s="265">
        <v>46140</v>
      </c>
      <c r="C2498" s="266" t="s">
        <v>2101</v>
      </c>
      <c r="D2498" s="264" t="s">
        <v>5152</v>
      </c>
      <c r="E2498" s="264" t="s">
        <v>3569</v>
      </c>
      <c r="F2498" s="264" t="s">
        <v>2041</v>
      </c>
      <c r="G2498" s="266" t="s">
        <v>26</v>
      </c>
      <c r="H2498" s="299">
        <v>252107.36</v>
      </c>
      <c r="I2498" s="266">
        <v>0</v>
      </c>
      <c r="J2498" s="264" t="s">
        <v>1126</v>
      </c>
      <c r="K2498" s="264" t="s">
        <v>2025</v>
      </c>
      <c r="L2498" s="1" t="str">
        <f>VLOOKUP(Advices[[#This Row],[LC Number]],'Combine_List'!A:D,2,0)</f>
        <v>United Park Co.</v>
      </c>
      <c r="M2498" s="1" t="str">
        <f>VLOOKUP(Advices[[#This Row],[LC Number]],'Combine_List'!A:D,3,0)</f>
        <v>FIRST FIX</v>
      </c>
      <c r="N2498" s="1" t="str">
        <f>VLOOKUP(Advices[[#This Row],[LC Number]],'Combine_List'!A:D,4,0)</f>
        <v>RCRC</v>
      </c>
      <c r="O2498" s="1"/>
      <c r="P2498" s="1">
        <f>MONTH(Advices[[#This Row],[Transaction Date]])</f>
        <v>4</v>
      </c>
      <c r="Q2498" s="1">
        <f>YEAR(Advices[[#This Row],[Transaction Date]])</f>
        <v>2026</v>
      </c>
      <c r="R2498" s="1"/>
    </row>
    <row r="2499" spans="1:18" hidden="1" x14ac:dyDescent="0.25">
      <c r="A2499" s="264" t="s">
        <v>612</v>
      </c>
      <c r="B2499" s="265">
        <v>46140</v>
      </c>
      <c r="C2499" s="266" t="s">
        <v>2101</v>
      </c>
      <c r="D2499" s="264" t="s">
        <v>5153</v>
      </c>
      <c r="E2499" s="264" t="s">
        <v>1610</v>
      </c>
      <c r="F2499" s="264" t="s">
        <v>2041</v>
      </c>
      <c r="G2499" s="266" t="s">
        <v>26</v>
      </c>
      <c r="H2499" s="299">
        <v>644946.44999999995</v>
      </c>
      <c r="I2499" s="266">
        <v>0</v>
      </c>
      <c r="J2499" s="264" t="s">
        <v>1126</v>
      </c>
      <c r="K2499" s="264" t="s">
        <v>2025</v>
      </c>
      <c r="L2499" s="264" t="str">
        <f>VLOOKUP(Advices[[#This Row],[LC Number]],'Combine_List'!A:D,2,0)</f>
        <v>Metten Al-Arabia Ltd Co (METARA)</v>
      </c>
      <c r="M2499" s="264" t="str">
        <f>VLOOKUP(Advices[[#This Row],[LC Number]],'Combine_List'!A:D,3,0)</f>
        <v>MBL</v>
      </c>
      <c r="N2499" s="264" t="str">
        <f>VLOOKUP(Advices[[#This Row],[LC Number]],'Combine_List'!A:D,4,0)</f>
        <v>RCRC</v>
      </c>
      <c r="O2499" s="264"/>
      <c r="P2499" s="264">
        <f>MONTH(Advices[[#This Row],[Transaction Date]])</f>
        <v>4</v>
      </c>
      <c r="Q2499" s="264">
        <f>YEAR(Advices[[#This Row],[Transaction Date]])</f>
        <v>2026</v>
      </c>
      <c r="R2499" s="264"/>
    </row>
    <row r="2500" spans="1:18" x14ac:dyDescent="0.25">
      <c r="A2500" s="264" t="s">
        <v>21</v>
      </c>
      <c r="B2500" s="265">
        <v>46141</v>
      </c>
      <c r="C2500" s="266" t="s">
        <v>1951</v>
      </c>
      <c r="D2500" s="264" t="s">
        <v>1960</v>
      </c>
      <c r="E2500" s="264" t="s">
        <v>1896</v>
      </c>
      <c r="F2500" s="264" t="s">
        <v>4488</v>
      </c>
      <c r="G2500" s="266" t="s">
        <v>26</v>
      </c>
      <c r="H2500" s="299">
        <v>11.25</v>
      </c>
      <c r="I2500" s="266">
        <v>0</v>
      </c>
      <c r="J2500" s="264" t="s">
        <v>1174</v>
      </c>
      <c r="K2500" s="264" t="s">
        <v>2025</v>
      </c>
      <c r="L2500" s="1" t="str">
        <f>VLOOKUP(Advices[[#This Row],[LC Number]],'Combine_List'!A:D,2,0)</f>
        <v>Saudi Perfect Pumps Trading &amp; Manufacturing Company</v>
      </c>
      <c r="M2500" s="1" t="str">
        <f>VLOOKUP(Advices[[#This Row],[LC Number]],'Combine_List'!A:D,3,0)</f>
        <v>MBL</v>
      </c>
      <c r="N2500" s="1" t="str">
        <f>VLOOKUP(Advices[[#This Row],[LC Number]],'Combine_List'!A:D,4,0)</f>
        <v>Rabigh Power Plant</v>
      </c>
      <c r="O2500" s="1"/>
      <c r="P2500" s="1">
        <f>MONTH(Advices[[#This Row],[Transaction Date]])</f>
        <v>4</v>
      </c>
      <c r="Q2500" s="1">
        <f>YEAR(Advices[[#This Row],[Transaction Date]])</f>
        <v>2026</v>
      </c>
      <c r="R2500" s="1"/>
    </row>
    <row r="2501" spans="1:18" x14ac:dyDescent="0.25">
      <c r="A2501" s="264" t="s">
        <v>21</v>
      </c>
      <c r="B2501" s="265">
        <v>46141</v>
      </c>
      <c r="C2501" s="266" t="s">
        <v>1951</v>
      </c>
      <c r="D2501" s="264" t="s">
        <v>4569</v>
      </c>
      <c r="E2501" s="264" t="s">
        <v>1896</v>
      </c>
      <c r="F2501" s="264" t="s">
        <v>4488</v>
      </c>
      <c r="G2501" s="266" t="s">
        <v>26</v>
      </c>
      <c r="H2501" s="299">
        <v>75</v>
      </c>
      <c r="I2501" s="266">
        <v>0</v>
      </c>
      <c r="J2501" s="264" t="s">
        <v>1963</v>
      </c>
      <c r="K2501" s="264" t="s">
        <v>2025</v>
      </c>
      <c r="L2501" s="1" t="str">
        <f>VLOOKUP(Advices[[#This Row],[LC Number]],'Combine_List'!A:D,2,0)</f>
        <v>Saudi Perfect Pumps Trading &amp; Manufacturing Company</v>
      </c>
      <c r="M2501" s="1" t="str">
        <f>VLOOKUP(Advices[[#This Row],[LC Number]],'Combine_List'!A:D,3,0)</f>
        <v>MBL</v>
      </c>
      <c r="N2501" s="1" t="str">
        <f>VLOOKUP(Advices[[#This Row],[LC Number]],'Combine_List'!A:D,4,0)</f>
        <v>Rabigh Power Plant</v>
      </c>
      <c r="O2501" s="1"/>
      <c r="P2501" s="1">
        <f>MONTH(Advices[[#This Row],[Transaction Date]])</f>
        <v>4</v>
      </c>
      <c r="Q2501" s="1">
        <f>YEAR(Advices[[#This Row],[Transaction Date]])</f>
        <v>2026</v>
      </c>
      <c r="R2501" s="1"/>
    </row>
    <row r="2502" spans="1:18" x14ac:dyDescent="0.25">
      <c r="A2502" s="264" t="s">
        <v>21</v>
      </c>
      <c r="B2502" s="265">
        <v>46141</v>
      </c>
      <c r="C2502" s="266" t="s">
        <v>1951</v>
      </c>
      <c r="D2502" s="264" t="s">
        <v>4570</v>
      </c>
      <c r="E2502" s="264" t="s">
        <v>1896</v>
      </c>
      <c r="F2502" s="264" t="s">
        <v>4488</v>
      </c>
      <c r="G2502" s="266" t="s">
        <v>26</v>
      </c>
      <c r="H2502" s="299">
        <v>412500</v>
      </c>
      <c r="I2502" s="266">
        <v>0</v>
      </c>
      <c r="J2502" s="264" t="s">
        <v>1126</v>
      </c>
      <c r="K2502" s="264" t="s">
        <v>2025</v>
      </c>
      <c r="L2502" s="1" t="str">
        <f>VLOOKUP(Advices[[#This Row],[LC Number]],'Combine_List'!A:D,2,0)</f>
        <v>Saudi Perfect Pumps Trading &amp; Manufacturing Company</v>
      </c>
      <c r="M2502" s="1" t="str">
        <f>VLOOKUP(Advices[[#This Row],[LC Number]],'Combine_List'!A:D,3,0)</f>
        <v>MBL</v>
      </c>
      <c r="N2502" s="1" t="str">
        <f>VLOOKUP(Advices[[#This Row],[LC Number]],'Combine_List'!A:D,4,0)</f>
        <v>Rabigh Power Plant</v>
      </c>
      <c r="O2502" s="1"/>
      <c r="P2502" s="1">
        <f>MONTH(Advices[[#This Row],[Transaction Date]])</f>
        <v>4</v>
      </c>
      <c r="Q2502" s="1">
        <f>YEAR(Advices[[#This Row],[Transaction Date]])</f>
        <v>2026</v>
      </c>
      <c r="R2502" s="1"/>
    </row>
    <row r="2503" spans="1:18" x14ac:dyDescent="0.25">
      <c r="A2503" s="264" t="s">
        <v>21</v>
      </c>
      <c r="B2503" s="265">
        <v>46142</v>
      </c>
      <c r="C2503" s="266" t="s">
        <v>1951</v>
      </c>
      <c r="D2503" s="264" t="s">
        <v>4569</v>
      </c>
      <c r="E2503" s="264" t="s">
        <v>1887</v>
      </c>
      <c r="F2503" s="264" t="s">
        <v>4575</v>
      </c>
      <c r="G2503" s="266" t="s">
        <v>26</v>
      </c>
      <c r="H2503" s="299">
        <v>75</v>
      </c>
      <c r="I2503" s="266">
        <v>0</v>
      </c>
      <c r="J2503" s="264" t="s">
        <v>1963</v>
      </c>
      <c r="K2503" s="264" t="s">
        <v>2025</v>
      </c>
      <c r="L2503" s="1" t="str">
        <f>VLOOKUP(Advices[[#This Row],[LC Number]],'Combine_List'!A:D,2,0)</f>
        <v>Future Pipe Industries LLC</v>
      </c>
      <c r="M2503" s="1" t="str">
        <f>VLOOKUP(Advices[[#This Row],[LC Number]],'Combine_List'!A:D,3,0)</f>
        <v>MBL</v>
      </c>
      <c r="N2503" s="1" t="str">
        <f>VLOOKUP(Advices[[#This Row],[LC Number]],'Combine_List'!A:D,4,0)</f>
        <v>Rabigh Power Plant</v>
      </c>
      <c r="O2503" s="1"/>
      <c r="P2503" s="1">
        <f>MONTH(Advices[[#This Row],[Transaction Date]])</f>
        <v>4</v>
      </c>
      <c r="Q2503" s="1">
        <f>YEAR(Advices[[#This Row],[Transaction Date]])</f>
        <v>2026</v>
      </c>
      <c r="R2503" s="1"/>
    </row>
    <row r="2504" spans="1:18" x14ac:dyDescent="0.25">
      <c r="A2504" s="264" t="s">
        <v>21</v>
      </c>
      <c r="B2504" s="265">
        <v>46142</v>
      </c>
      <c r="C2504" s="266" t="s">
        <v>1951</v>
      </c>
      <c r="D2504" s="264" t="s">
        <v>1960</v>
      </c>
      <c r="E2504" s="264" t="s">
        <v>1887</v>
      </c>
      <c r="F2504" s="264" t="s">
        <v>4575</v>
      </c>
      <c r="G2504" s="266" t="s">
        <v>26</v>
      </c>
      <c r="H2504" s="299">
        <v>11.25</v>
      </c>
      <c r="I2504" s="266">
        <v>0</v>
      </c>
      <c r="J2504" s="264" t="s">
        <v>1174</v>
      </c>
      <c r="K2504" s="264" t="s">
        <v>2025</v>
      </c>
      <c r="L2504" s="1" t="str">
        <f>VLOOKUP(Advices[[#This Row],[LC Number]],'Combine_List'!A:D,2,0)</f>
        <v>Future Pipe Industries LLC</v>
      </c>
      <c r="M2504" s="1" t="str">
        <f>VLOOKUP(Advices[[#This Row],[LC Number]],'Combine_List'!A:D,3,0)</f>
        <v>MBL</v>
      </c>
      <c r="N2504" s="1" t="str">
        <f>VLOOKUP(Advices[[#This Row],[LC Number]],'Combine_List'!A:D,4,0)</f>
        <v>Rabigh Power Plant</v>
      </c>
      <c r="O2504" s="1"/>
      <c r="P2504" s="1">
        <f>MONTH(Advices[[#This Row],[Transaction Date]])</f>
        <v>4</v>
      </c>
      <c r="Q2504" s="1">
        <f>YEAR(Advices[[#This Row],[Transaction Date]])</f>
        <v>2026</v>
      </c>
      <c r="R2504" s="1"/>
    </row>
    <row r="2505" spans="1:18" x14ac:dyDescent="0.25">
      <c r="A2505" s="264" t="s">
        <v>21</v>
      </c>
      <c r="B2505" s="265">
        <v>46142</v>
      </c>
      <c r="C2505" s="266" t="s">
        <v>1951</v>
      </c>
      <c r="D2505" s="264" t="s">
        <v>4570</v>
      </c>
      <c r="E2505" s="264" t="s">
        <v>1887</v>
      </c>
      <c r="F2505" s="264" t="s">
        <v>4575</v>
      </c>
      <c r="G2505" s="266" t="s">
        <v>26</v>
      </c>
      <c r="H2505" s="299">
        <v>2303974.85</v>
      </c>
      <c r="I2505" s="266">
        <v>0</v>
      </c>
      <c r="J2505" s="264" t="s">
        <v>1126</v>
      </c>
      <c r="K2505" s="264" t="s">
        <v>2025</v>
      </c>
      <c r="L2505" s="264" t="str">
        <f>VLOOKUP(Advices[[#This Row],[LC Number]],'Combine_List'!A:D,2,0)</f>
        <v>Future Pipe Industries LLC</v>
      </c>
      <c r="M2505" s="264" t="str">
        <f>VLOOKUP(Advices[[#This Row],[LC Number]],'Combine_List'!A:D,3,0)</f>
        <v>MBL</v>
      </c>
      <c r="N2505" s="264" t="str">
        <f>VLOOKUP(Advices[[#This Row],[LC Number]],'Combine_List'!A:D,4,0)</f>
        <v>Rabigh Power Plant</v>
      </c>
      <c r="O2505" s="264"/>
      <c r="P2505" s="264">
        <f>MONTH(Advices[[#This Row],[Transaction Date]])</f>
        <v>4</v>
      </c>
      <c r="Q2505" s="264">
        <f>YEAR(Advices[[#This Row],[Transaction Date]])</f>
        <v>2026</v>
      </c>
      <c r="R2505" s="264"/>
    </row>
    <row r="2506" spans="1:18" hidden="1" x14ac:dyDescent="0.25">
      <c r="A2506" s="264" t="s">
        <v>62</v>
      </c>
      <c r="B2506" s="265">
        <v>46142</v>
      </c>
      <c r="C2506" s="266" t="s">
        <v>2039</v>
      </c>
      <c r="D2506" s="264" t="s">
        <v>5159</v>
      </c>
      <c r="E2506" s="264" t="s">
        <v>317</v>
      </c>
      <c r="F2506" s="264" t="s">
        <v>2041</v>
      </c>
      <c r="G2506" s="266" t="s">
        <v>26</v>
      </c>
      <c r="H2506" s="299">
        <v>0</v>
      </c>
      <c r="I2506" s="266">
        <v>71595.03</v>
      </c>
      <c r="J2506" s="264" t="s">
        <v>2899</v>
      </c>
      <c r="K2506" s="264" t="s">
        <v>2025</v>
      </c>
      <c r="L2506" s="1" t="str">
        <f>VLOOKUP(Advices[[#This Row],[LC Number]],'Combine_List'!A:D,2,0)</f>
        <v>SAMSARA SRL</v>
      </c>
      <c r="M2506" s="1" t="str">
        <f>VLOOKUP(Advices[[#This Row],[LC Number]],'Combine_List'!A:D,3,0)</f>
        <v>MBL</v>
      </c>
      <c r="N2506" s="1" t="str">
        <f>VLOOKUP(Advices[[#This Row],[LC Number]],'Combine_List'!A:D,4,0)</f>
        <v>L01-YAMMAMA</v>
      </c>
      <c r="O2506" s="1"/>
      <c r="P2506" s="1">
        <f>MONTH(Advices[[#This Row],[Transaction Date]])</f>
        <v>4</v>
      </c>
      <c r="Q2506" s="1">
        <f>YEAR(Advices[[#This Row],[Transaction Date]])</f>
        <v>2026</v>
      </c>
      <c r="R2506" s="1"/>
    </row>
    <row r="2507" spans="1:18" hidden="1" x14ac:dyDescent="0.25">
      <c r="A2507" s="264" t="s">
        <v>62</v>
      </c>
      <c r="B2507" s="265">
        <v>46142</v>
      </c>
      <c r="C2507" s="266" t="s">
        <v>2039</v>
      </c>
      <c r="D2507" s="264" t="s">
        <v>5160</v>
      </c>
      <c r="E2507" s="264" t="s">
        <v>1934</v>
      </c>
      <c r="F2507" s="264" t="s">
        <v>2041</v>
      </c>
      <c r="G2507" s="266" t="s">
        <v>26</v>
      </c>
      <c r="H2507" s="299">
        <v>80323.240000000005</v>
      </c>
      <c r="I2507" s="266">
        <v>0</v>
      </c>
      <c r="J2507" s="264" t="s">
        <v>1124</v>
      </c>
      <c r="K2507" s="264" t="s">
        <v>2025</v>
      </c>
      <c r="L2507" s="264" t="str">
        <f>VLOOKUP(Advices[[#This Row],[LC Number]],'Combine_List'!A:D,2,0)</f>
        <v>Mat Filtrasyon Teknolojeleri A.S</v>
      </c>
      <c r="M2507" s="264" t="str">
        <f>VLOOKUP(Advices[[#This Row],[LC Number]],'Combine_List'!A:D,3,0)</f>
        <v>MBL</v>
      </c>
      <c r="N2507" s="264" t="str">
        <f>VLOOKUP(Advices[[#This Row],[LC Number]],'Combine_List'!A:D,4,0)</f>
        <v>Oceanarium</v>
      </c>
      <c r="O2507" s="447">
        <f>VLOOKUP(Advices[[#This Row],[LC Number]],'Combine_List'!A:E,5,0)</f>
        <v>1020096</v>
      </c>
      <c r="P2507" s="537">
        <f>MONTH(Advices[[#This Row],[Transaction Date]])</f>
        <v>4</v>
      </c>
      <c r="Q2507" s="537">
        <f>YEAR(Advices[[#This Row],[Transaction Date]])</f>
        <v>2026</v>
      </c>
      <c r="R2507" s="264"/>
    </row>
    <row r="2508" spans="1:18" hidden="1" x14ac:dyDescent="0.25">
      <c r="A2508" s="264" t="s">
        <v>95</v>
      </c>
      <c r="B2508" s="265">
        <v>46142</v>
      </c>
      <c r="C2508" s="266" t="s">
        <v>2026</v>
      </c>
      <c r="D2508" s="264" t="s">
        <v>4437</v>
      </c>
      <c r="E2508" s="264" t="s">
        <v>3142</v>
      </c>
      <c r="F2508" s="264" t="s">
        <v>4438</v>
      </c>
      <c r="G2508" s="266" t="s">
        <v>26</v>
      </c>
      <c r="H2508" s="299">
        <v>223403.6</v>
      </c>
      <c r="I2508" s="266">
        <v>0</v>
      </c>
      <c r="J2508" s="264" t="s">
        <v>1126</v>
      </c>
      <c r="K2508" s="264" t="s">
        <v>2025</v>
      </c>
      <c r="L2508" s="1" t="str">
        <f>VLOOKUP(Advices[[#This Row],[LC Number]],'Combine_List'!A:D,2,0)</f>
        <v>APS ARABIAN CONTRACTING COMPANY</v>
      </c>
      <c r="M2508" s="1" t="str">
        <f>VLOOKUP(Advices[[#This Row],[LC Number]],'Combine_List'!A:D,3,0)</f>
        <v>MBL/AICS</v>
      </c>
      <c r="N2508" s="1" t="str">
        <f>VLOOKUP(Advices[[#This Row],[LC Number]],'Combine_List'!A:D,4,0)</f>
        <v>OPERA House</v>
      </c>
      <c r="O2508" s="1"/>
      <c r="P2508" s="1">
        <f>MONTH(Advices[[#This Row],[Transaction Date]])</f>
        <v>4</v>
      </c>
      <c r="Q2508" s="1">
        <f>YEAR(Advices[[#This Row],[Transaction Date]])</f>
        <v>2026</v>
      </c>
      <c r="R2508" s="1"/>
    </row>
    <row r="2509" spans="1:18" hidden="1" x14ac:dyDescent="0.25">
      <c r="A2509" s="264" t="s">
        <v>95</v>
      </c>
      <c r="B2509" s="265">
        <v>46142</v>
      </c>
      <c r="C2509" s="266" t="s">
        <v>2026</v>
      </c>
      <c r="D2509" s="264" t="s">
        <v>4695</v>
      </c>
      <c r="E2509" s="264" t="s">
        <v>2562</v>
      </c>
      <c r="F2509" s="264" t="s">
        <v>4696</v>
      </c>
      <c r="G2509" s="266" t="s">
        <v>26</v>
      </c>
      <c r="H2509" s="299">
        <v>1386492.9</v>
      </c>
      <c r="I2509" s="266">
        <v>0</v>
      </c>
      <c r="J2509" s="264" t="s">
        <v>1126</v>
      </c>
      <c r="K2509" s="264" t="s">
        <v>2025</v>
      </c>
      <c r="L2509" s="1" t="str">
        <f>VLOOKUP(Advices[[#This Row],[LC Number]],'Combine_List'!A:D,2,0)</f>
        <v>ALNAFIE METAL INDUSTRIES CO LTD</v>
      </c>
      <c r="M2509" s="1" t="str">
        <f>VLOOKUP(Advices[[#This Row],[LC Number]],'Combine_List'!A:D,3,0)</f>
        <v>MBL/AICS</v>
      </c>
      <c r="N2509" s="1" t="str">
        <f>VLOOKUP(Advices[[#This Row],[LC Number]],'Combine_List'!A:D,4,0)</f>
        <v>OPERA House</v>
      </c>
      <c r="O2509" s="1"/>
      <c r="P2509" s="1">
        <f>MONTH(Advices[[#This Row],[Transaction Date]])</f>
        <v>4</v>
      </c>
      <c r="Q2509" s="1">
        <f>YEAR(Advices[[#This Row],[Transaction Date]])</f>
        <v>2026</v>
      </c>
      <c r="R2509" s="1"/>
    </row>
    <row r="2510" spans="1:18" hidden="1" x14ac:dyDescent="0.25">
      <c r="A2510" s="264" t="s">
        <v>95</v>
      </c>
      <c r="B2510" s="265">
        <v>46142</v>
      </c>
      <c r="C2510" s="266" t="s">
        <v>2026</v>
      </c>
      <c r="D2510" s="264" t="s">
        <v>4439</v>
      </c>
      <c r="E2510" s="264" t="s">
        <v>2562</v>
      </c>
      <c r="F2510" s="264" t="s">
        <v>4440</v>
      </c>
      <c r="G2510" s="266" t="s">
        <v>26</v>
      </c>
      <c r="H2510" s="299">
        <v>1597041.23</v>
      </c>
      <c r="I2510" s="266">
        <v>0</v>
      </c>
      <c r="J2510" s="264" t="s">
        <v>1126</v>
      </c>
      <c r="K2510" s="264" t="s">
        <v>2025</v>
      </c>
      <c r="L2510" s="264" t="str">
        <f>VLOOKUP(Advices[[#This Row],[LC Number]],'Combine_List'!A:D,2,0)</f>
        <v>ALNAFIE METAL INDUSTRIES CO LTD</v>
      </c>
      <c r="M2510" s="264" t="str">
        <f>VLOOKUP(Advices[[#This Row],[LC Number]],'Combine_List'!A:D,3,0)</f>
        <v>MBL/AICS</v>
      </c>
      <c r="N2510" s="264" t="str">
        <f>VLOOKUP(Advices[[#This Row],[LC Number]],'Combine_List'!A:D,4,0)</f>
        <v>OPERA House</v>
      </c>
      <c r="O2510" s="264"/>
      <c r="P2510" s="264">
        <f>MONTH(Advices[[#This Row],[Transaction Date]])</f>
        <v>4</v>
      </c>
      <c r="Q2510" s="264">
        <f>YEAR(Advices[[#This Row],[Transaction Date]])</f>
        <v>2026</v>
      </c>
      <c r="R2510" s="264"/>
    </row>
    <row r="2511" spans="1:18" hidden="1" x14ac:dyDescent="0.25">
      <c r="A2511" s="264" t="s">
        <v>366</v>
      </c>
      <c r="B2511" s="265">
        <v>46141</v>
      </c>
      <c r="C2511" s="266" t="s">
        <v>2060</v>
      </c>
      <c r="D2511" s="264" t="s">
        <v>5161</v>
      </c>
      <c r="E2511" s="264" t="s">
        <v>4562</v>
      </c>
      <c r="F2511" s="264" t="s">
        <v>5162</v>
      </c>
      <c r="G2511" s="266" t="s">
        <v>26</v>
      </c>
      <c r="H2511" s="299">
        <v>4312.5</v>
      </c>
      <c r="I2511" s="266">
        <v>0</v>
      </c>
      <c r="J2511" s="264" t="s">
        <v>1125</v>
      </c>
      <c r="K2511" s="264" t="s">
        <v>2025</v>
      </c>
      <c r="L2511" s="1" t="str">
        <f>VLOOKUP(Advices[[#This Row],[LC Number]],'Combine_List'!A:D,2,0)</f>
        <v>Saudi Electric Supply Company</v>
      </c>
      <c r="M2511" s="1" t="str">
        <f>VLOOKUP(Advices[[#This Row],[LC Number]],'Combine_List'!A:D,3,0)</f>
        <v>FIRST FIX</v>
      </c>
      <c r="N2511" s="1" t="str">
        <f>VLOOKUP(Advices[[#This Row],[LC Number]],'Combine_List'!A:D,4,0)</f>
        <v>MP1</v>
      </c>
      <c r="O2511" s="1"/>
      <c r="P2511" s="1">
        <f>MONTH(Advices[[#This Row],[Transaction Date]])</f>
        <v>4</v>
      </c>
      <c r="Q2511" s="1">
        <f>YEAR(Advices[[#This Row],[Transaction Date]])</f>
        <v>2026</v>
      </c>
      <c r="R2511" s="1"/>
    </row>
    <row r="2512" spans="1:18" hidden="1" x14ac:dyDescent="0.25">
      <c r="A2512" s="264" t="s">
        <v>366</v>
      </c>
      <c r="B2512" s="265">
        <v>46141</v>
      </c>
      <c r="C2512" s="266" t="s">
        <v>2060</v>
      </c>
      <c r="D2512" s="264" t="s">
        <v>5163</v>
      </c>
      <c r="E2512" s="264" t="s">
        <v>4250</v>
      </c>
      <c r="F2512" s="264" t="s">
        <v>5164</v>
      </c>
      <c r="G2512" s="266" t="s">
        <v>26</v>
      </c>
      <c r="H2512" s="299">
        <v>1367.25</v>
      </c>
      <c r="I2512" s="266">
        <v>0</v>
      </c>
      <c r="J2512" s="264" t="s">
        <v>1125</v>
      </c>
      <c r="K2512" s="264" t="s">
        <v>2025</v>
      </c>
      <c r="L2512" s="1" t="str">
        <f>VLOOKUP(Advices[[#This Row],[LC Number]],'Combine_List'!A:D,2,0)</f>
        <v>Ajzal United for Safety CO.LTD.</v>
      </c>
      <c r="M2512" s="1" t="str">
        <f>VLOOKUP(Advices[[#This Row],[LC Number]],'Combine_List'!A:D,3,0)</f>
        <v>FIRST FIX</v>
      </c>
      <c r="N2512" s="1" t="str">
        <f>VLOOKUP(Advices[[#This Row],[LC Number]],'Combine_List'!A:D,4,0)</f>
        <v>MP1</v>
      </c>
      <c r="O2512" s="1"/>
      <c r="P2512" s="1">
        <f>MONTH(Advices[[#This Row],[Transaction Date]])</f>
        <v>4</v>
      </c>
      <c r="Q2512" s="1">
        <f>YEAR(Advices[[#This Row],[Transaction Date]])</f>
        <v>2026</v>
      </c>
      <c r="R2512" s="1"/>
    </row>
    <row r="2513" spans="1:18" hidden="1" x14ac:dyDescent="0.25">
      <c r="A2513" s="264" t="s">
        <v>366</v>
      </c>
      <c r="B2513" s="265">
        <v>46142</v>
      </c>
      <c r="C2513" s="266" t="s">
        <v>2060</v>
      </c>
      <c r="D2513" s="264" t="s">
        <v>5165</v>
      </c>
      <c r="E2513" s="264" t="s">
        <v>4563</v>
      </c>
      <c r="F2513" s="264" t="s">
        <v>5166</v>
      </c>
      <c r="G2513" s="266" t="s">
        <v>26</v>
      </c>
      <c r="H2513" s="299">
        <v>2156.25</v>
      </c>
      <c r="I2513" s="266">
        <v>0</v>
      </c>
      <c r="J2513" s="264" t="s">
        <v>1125</v>
      </c>
      <c r="K2513" s="264" t="s">
        <v>2025</v>
      </c>
      <c r="L2513" s="1" t="str">
        <f>VLOOKUP(Advices[[#This Row],[LC Number]],'Combine_List'!A:D,2,0)</f>
        <v>Al Maymanah For Contracting Co. Ltd.</v>
      </c>
      <c r="M2513" s="1" t="str">
        <f>VLOOKUP(Advices[[#This Row],[LC Number]],'Combine_List'!A:D,3,0)</f>
        <v>FIRST FIX</v>
      </c>
      <c r="N2513" s="1" t="str">
        <f>VLOOKUP(Advices[[#This Row],[LC Number]],'Combine_List'!A:D,4,0)</f>
        <v>MP1</v>
      </c>
      <c r="O2513" s="1"/>
      <c r="P2513" s="1">
        <f>MONTH(Advices[[#This Row],[Transaction Date]])</f>
        <v>4</v>
      </c>
      <c r="Q2513" s="1">
        <f>YEAR(Advices[[#This Row],[Transaction Date]])</f>
        <v>2026</v>
      </c>
      <c r="R2513" s="1"/>
    </row>
    <row r="2514" spans="1:18" hidden="1" x14ac:dyDescent="0.25">
      <c r="A2514" s="264" t="s">
        <v>366</v>
      </c>
      <c r="B2514" s="265">
        <v>46142</v>
      </c>
      <c r="C2514" s="266" t="s">
        <v>2060</v>
      </c>
      <c r="D2514" s="264" t="s">
        <v>5167</v>
      </c>
      <c r="E2514" s="264" t="s">
        <v>4548</v>
      </c>
      <c r="F2514" s="264" t="s">
        <v>5168</v>
      </c>
      <c r="G2514" s="266" t="s">
        <v>26</v>
      </c>
      <c r="H2514" s="299">
        <v>646.88</v>
      </c>
      <c r="I2514" s="266">
        <v>0</v>
      </c>
      <c r="J2514" s="264" t="s">
        <v>1125</v>
      </c>
      <c r="K2514" s="264" t="s">
        <v>2025</v>
      </c>
      <c r="L2514" s="264" t="str">
        <f>VLOOKUP(Advices[[#This Row],[LC Number]],'Combine_List'!A:D,2,0)</f>
        <v>Ideal Caliber Company</v>
      </c>
      <c r="M2514" s="264" t="str">
        <f>VLOOKUP(Advices[[#This Row],[LC Number]],'Combine_List'!A:D,3,0)</f>
        <v>FIRST FIX</v>
      </c>
      <c r="N2514" s="264" t="str">
        <f>VLOOKUP(Advices[[#This Row],[LC Number]],'Combine_List'!A:D,4,0)</f>
        <v>MP1</v>
      </c>
      <c r="O2514" s="264"/>
      <c r="P2514" s="264">
        <f>MONTH(Advices[[#This Row],[Transaction Date]])</f>
        <v>4</v>
      </c>
      <c r="Q2514" s="264">
        <f>YEAR(Advices[[#This Row],[Transaction Date]])</f>
        <v>2026</v>
      </c>
      <c r="R2514" s="264"/>
    </row>
    <row r="2515" spans="1:18" x14ac:dyDescent="0.25">
      <c r="A2515" s="264" t="s">
        <v>21</v>
      </c>
      <c r="B2515" s="265">
        <v>46146</v>
      </c>
      <c r="C2515" s="266" t="s">
        <v>1951</v>
      </c>
      <c r="D2515" s="264" t="s">
        <v>2574</v>
      </c>
      <c r="E2515" s="264" t="s">
        <v>1343</v>
      </c>
      <c r="F2515" s="264" t="s">
        <v>1343</v>
      </c>
      <c r="G2515" s="266" t="s">
        <v>26</v>
      </c>
      <c r="H2515" s="299">
        <v>37.5</v>
      </c>
      <c r="I2515" s="266">
        <v>0</v>
      </c>
      <c r="J2515" s="264" t="s">
        <v>1174</v>
      </c>
      <c r="K2515" s="264" t="s">
        <v>2025</v>
      </c>
      <c r="L2515" s="1" t="str">
        <f>VLOOKUP(Advices[[#This Row],[LC Number]],'Combine_List'!A:D,2,0)</f>
        <v>MASDAR TECHNICAL Supplies CO.</v>
      </c>
      <c r="M2515" s="1" t="str">
        <f>VLOOKUP(Advices[[#This Row],[LC Number]],'Combine_List'!A:D,3,0)</f>
        <v>FIRST FIX</v>
      </c>
      <c r="N2515" s="1" t="str">
        <f>VLOOKUP(Advices[[#This Row],[LC Number]],'Combine_List'!A:D,4,0)</f>
        <v>KSP</v>
      </c>
      <c r="O2515" s="1"/>
      <c r="P2515" s="1">
        <f>MONTH(Advices[[#This Row],[Transaction Date]])</f>
        <v>5</v>
      </c>
      <c r="Q2515" s="1">
        <f>YEAR(Advices[[#This Row],[Transaction Date]])</f>
        <v>2026</v>
      </c>
      <c r="R2515" s="1"/>
    </row>
    <row r="2516" spans="1:18" x14ac:dyDescent="0.25">
      <c r="A2516" s="264" t="s">
        <v>21</v>
      </c>
      <c r="B2516" s="265">
        <v>46146</v>
      </c>
      <c r="C2516" s="266" t="s">
        <v>1951</v>
      </c>
      <c r="D2516" s="264" t="s">
        <v>4572</v>
      </c>
      <c r="E2516" s="264" t="s">
        <v>4239</v>
      </c>
      <c r="F2516" s="264" t="s">
        <v>5193</v>
      </c>
      <c r="G2516" s="266" t="s">
        <v>26</v>
      </c>
      <c r="H2516" s="299">
        <v>1250</v>
      </c>
      <c r="I2516" s="266">
        <v>0</v>
      </c>
      <c r="J2516" s="264" t="s">
        <v>1125</v>
      </c>
      <c r="K2516" s="264" t="s">
        <v>2025</v>
      </c>
      <c r="L2516" s="1" t="str">
        <f>VLOOKUP(Advices[[#This Row],[LC Number]],'Combine_List'!A:D,2,0)</f>
        <v>Awtad Jeddah for General Contracting Company</v>
      </c>
      <c r="M2516" s="1" t="str">
        <f>VLOOKUP(Advices[[#This Row],[LC Number]],'Combine_List'!A:D,3,0)</f>
        <v>MBL</v>
      </c>
      <c r="N2516" s="1" t="str">
        <f>VLOOKUP(Advices[[#This Row],[LC Number]],'Combine_List'!A:D,4,0)</f>
        <v>Rabigh Power Plant</v>
      </c>
      <c r="O2516" s="1"/>
      <c r="P2516" s="1">
        <f>MONTH(Advices[[#This Row],[Transaction Date]])</f>
        <v>5</v>
      </c>
      <c r="Q2516" s="1">
        <f>YEAR(Advices[[#This Row],[Transaction Date]])</f>
        <v>2026</v>
      </c>
      <c r="R2516" s="1"/>
    </row>
    <row r="2517" spans="1:18" x14ac:dyDescent="0.25">
      <c r="A2517" s="264" t="s">
        <v>21</v>
      </c>
      <c r="B2517" s="265">
        <v>46146</v>
      </c>
      <c r="C2517" s="266" t="s">
        <v>1951</v>
      </c>
      <c r="D2517" s="264" t="s">
        <v>1952</v>
      </c>
      <c r="E2517" s="264" t="s">
        <v>4239</v>
      </c>
      <c r="F2517" s="264" t="s">
        <v>5193</v>
      </c>
      <c r="G2517" s="266" t="s">
        <v>26</v>
      </c>
      <c r="H2517" s="299">
        <v>187.5</v>
      </c>
      <c r="I2517" s="266">
        <v>0</v>
      </c>
      <c r="J2517" s="264" t="s">
        <v>1174</v>
      </c>
      <c r="K2517" s="264" t="s">
        <v>2025</v>
      </c>
      <c r="L2517" s="1" t="str">
        <f>VLOOKUP(Advices[[#This Row],[LC Number]],'Combine_List'!A:D,2,0)</f>
        <v>Awtad Jeddah for General Contracting Company</v>
      </c>
      <c r="M2517" s="1" t="str">
        <f>VLOOKUP(Advices[[#This Row],[LC Number]],'Combine_List'!A:D,3,0)</f>
        <v>MBL</v>
      </c>
      <c r="N2517" s="1" t="str">
        <f>VLOOKUP(Advices[[#This Row],[LC Number]],'Combine_List'!A:D,4,0)</f>
        <v>Rabigh Power Plant</v>
      </c>
      <c r="O2517" s="1"/>
      <c r="P2517" s="1">
        <f>MONTH(Advices[[#This Row],[Transaction Date]])</f>
        <v>5</v>
      </c>
      <c r="Q2517" s="1">
        <f>YEAR(Advices[[#This Row],[Transaction Date]])</f>
        <v>2026</v>
      </c>
      <c r="R2517" s="1"/>
    </row>
    <row r="2518" spans="1:18" x14ac:dyDescent="0.25">
      <c r="A2518" s="264" t="s">
        <v>21</v>
      </c>
      <c r="B2518" s="265">
        <v>46146</v>
      </c>
      <c r="C2518" s="266" t="s">
        <v>1951</v>
      </c>
      <c r="D2518" s="264" t="s">
        <v>4572</v>
      </c>
      <c r="E2518" s="264" t="s">
        <v>4239</v>
      </c>
      <c r="F2518" s="264" t="s">
        <v>5194</v>
      </c>
      <c r="G2518" s="266" t="s">
        <v>26</v>
      </c>
      <c r="H2518" s="299">
        <v>1250</v>
      </c>
      <c r="I2518" s="266">
        <v>0</v>
      </c>
      <c r="J2518" s="264" t="s">
        <v>1125</v>
      </c>
      <c r="K2518" s="264" t="s">
        <v>2025</v>
      </c>
      <c r="L2518" s="1" t="str">
        <f>VLOOKUP(Advices[[#This Row],[LC Number]],'Combine_List'!A:D,2,0)</f>
        <v>Awtad Jeddah for General Contracting Company</v>
      </c>
      <c r="M2518" s="1" t="str">
        <f>VLOOKUP(Advices[[#This Row],[LC Number]],'Combine_List'!A:D,3,0)</f>
        <v>MBL</v>
      </c>
      <c r="N2518" s="1" t="str">
        <f>VLOOKUP(Advices[[#This Row],[LC Number]],'Combine_List'!A:D,4,0)</f>
        <v>Rabigh Power Plant</v>
      </c>
      <c r="O2518" s="1"/>
      <c r="P2518" s="1">
        <f>MONTH(Advices[[#This Row],[Transaction Date]])</f>
        <v>5</v>
      </c>
      <c r="Q2518" s="1">
        <f>YEAR(Advices[[#This Row],[Transaction Date]])</f>
        <v>2026</v>
      </c>
      <c r="R2518" s="1"/>
    </row>
    <row r="2519" spans="1:18" x14ac:dyDescent="0.25">
      <c r="A2519" s="264" t="s">
        <v>21</v>
      </c>
      <c r="B2519" s="265">
        <v>46146</v>
      </c>
      <c r="C2519" s="266" t="s">
        <v>1951</v>
      </c>
      <c r="D2519" s="264" t="s">
        <v>1952</v>
      </c>
      <c r="E2519" s="264" t="s">
        <v>4239</v>
      </c>
      <c r="F2519" s="264" t="s">
        <v>5194</v>
      </c>
      <c r="G2519" s="266" t="s">
        <v>26</v>
      </c>
      <c r="H2519" s="299">
        <v>187.5</v>
      </c>
      <c r="I2519" s="266">
        <v>0</v>
      </c>
      <c r="J2519" s="264" t="s">
        <v>1174</v>
      </c>
      <c r="K2519" s="264" t="s">
        <v>2025</v>
      </c>
      <c r="L2519" s="1" t="str">
        <f>VLOOKUP(Advices[[#This Row],[LC Number]],'Combine_List'!A:D,2,0)</f>
        <v>Awtad Jeddah for General Contracting Company</v>
      </c>
      <c r="M2519" s="1" t="str">
        <f>VLOOKUP(Advices[[#This Row],[LC Number]],'Combine_List'!A:D,3,0)</f>
        <v>MBL</v>
      </c>
      <c r="N2519" s="1" t="str">
        <f>VLOOKUP(Advices[[#This Row],[LC Number]],'Combine_List'!A:D,4,0)</f>
        <v>Rabigh Power Plant</v>
      </c>
      <c r="O2519" s="1"/>
      <c r="P2519" s="1">
        <f>MONTH(Advices[[#This Row],[Transaction Date]])</f>
        <v>5</v>
      </c>
      <c r="Q2519" s="1">
        <f>YEAR(Advices[[#This Row],[Transaction Date]])</f>
        <v>2026</v>
      </c>
      <c r="R2519" s="1"/>
    </row>
    <row r="2520" spans="1:18" x14ac:dyDescent="0.25">
      <c r="A2520" s="264" t="s">
        <v>21</v>
      </c>
      <c r="B2520" s="265">
        <v>46146</v>
      </c>
      <c r="C2520" s="266" t="s">
        <v>1951</v>
      </c>
      <c r="D2520" s="264" t="s">
        <v>4572</v>
      </c>
      <c r="E2520" s="264" t="s">
        <v>4239</v>
      </c>
      <c r="F2520" s="264" t="s">
        <v>5195</v>
      </c>
      <c r="G2520" s="266" t="s">
        <v>26</v>
      </c>
      <c r="H2520" s="299">
        <v>1250</v>
      </c>
      <c r="I2520" s="266">
        <v>0</v>
      </c>
      <c r="J2520" s="264" t="s">
        <v>1125</v>
      </c>
      <c r="K2520" s="264" t="s">
        <v>2025</v>
      </c>
      <c r="L2520" s="1" t="str">
        <f>VLOOKUP(Advices[[#This Row],[LC Number]],'Combine_List'!A:D,2,0)</f>
        <v>Awtad Jeddah for General Contracting Company</v>
      </c>
      <c r="M2520" s="1" t="str">
        <f>VLOOKUP(Advices[[#This Row],[LC Number]],'Combine_List'!A:D,3,0)</f>
        <v>MBL</v>
      </c>
      <c r="N2520" s="1" t="str">
        <f>VLOOKUP(Advices[[#This Row],[LC Number]],'Combine_List'!A:D,4,0)</f>
        <v>Rabigh Power Plant</v>
      </c>
      <c r="O2520" s="1"/>
      <c r="P2520" s="1">
        <f>MONTH(Advices[[#This Row],[Transaction Date]])</f>
        <v>5</v>
      </c>
      <c r="Q2520" s="1">
        <f>YEAR(Advices[[#This Row],[Transaction Date]])</f>
        <v>2026</v>
      </c>
      <c r="R2520" s="1"/>
    </row>
    <row r="2521" spans="1:18" x14ac:dyDescent="0.25">
      <c r="A2521" s="264" t="s">
        <v>21</v>
      </c>
      <c r="B2521" s="265">
        <v>46146</v>
      </c>
      <c r="C2521" s="266" t="s">
        <v>1951</v>
      </c>
      <c r="D2521" s="264" t="s">
        <v>1952</v>
      </c>
      <c r="E2521" s="264" t="s">
        <v>4239</v>
      </c>
      <c r="F2521" s="264" t="s">
        <v>5195</v>
      </c>
      <c r="G2521" s="266" t="s">
        <v>26</v>
      </c>
      <c r="H2521" s="299">
        <v>187.5</v>
      </c>
      <c r="I2521" s="266">
        <v>0</v>
      </c>
      <c r="J2521" s="264" t="s">
        <v>1174</v>
      </c>
      <c r="K2521" s="264" t="s">
        <v>2025</v>
      </c>
      <c r="L2521" s="1" t="str">
        <f>VLOOKUP(Advices[[#This Row],[LC Number]],'Combine_List'!A:D,2,0)</f>
        <v>Awtad Jeddah for General Contracting Company</v>
      </c>
      <c r="M2521" s="1" t="str">
        <f>VLOOKUP(Advices[[#This Row],[LC Number]],'Combine_List'!A:D,3,0)</f>
        <v>MBL</v>
      </c>
      <c r="N2521" s="1" t="str">
        <f>VLOOKUP(Advices[[#This Row],[LC Number]],'Combine_List'!A:D,4,0)</f>
        <v>Rabigh Power Plant</v>
      </c>
      <c r="O2521" s="1"/>
      <c r="P2521" s="1">
        <f>MONTH(Advices[[#This Row],[Transaction Date]])</f>
        <v>5</v>
      </c>
      <c r="Q2521" s="1">
        <f>YEAR(Advices[[#This Row],[Transaction Date]])</f>
        <v>2026</v>
      </c>
      <c r="R2521" s="1"/>
    </row>
    <row r="2522" spans="1:18" x14ac:dyDescent="0.25">
      <c r="A2522" s="264" t="s">
        <v>21</v>
      </c>
      <c r="B2522" s="265">
        <v>46146</v>
      </c>
      <c r="C2522" s="266" t="s">
        <v>1951</v>
      </c>
      <c r="D2522" s="264" t="s">
        <v>5196</v>
      </c>
      <c r="E2522" s="264" t="s">
        <v>2618</v>
      </c>
      <c r="F2522" s="264" t="s">
        <v>2618</v>
      </c>
      <c r="G2522" s="266" t="s">
        <v>26</v>
      </c>
      <c r="H2522" s="299">
        <v>1871.46</v>
      </c>
      <c r="I2522" s="266">
        <v>0</v>
      </c>
      <c r="J2522" s="264" t="s">
        <v>1124</v>
      </c>
      <c r="K2522" s="264" t="s">
        <v>2025</v>
      </c>
      <c r="L2522" s="1" t="str">
        <f>VLOOKUP(Advices[[#This Row],[LC Number]],'Combine_List'!A:D,2,0)</f>
        <v>AI-Hadbania Trading Co.</v>
      </c>
      <c r="M2522" s="1" t="str">
        <f>VLOOKUP(Advices[[#This Row],[LC Number]],'Combine_List'!A:D,3,0)</f>
        <v>FIRST FIX</v>
      </c>
      <c r="N2522" s="1" t="str">
        <f>VLOOKUP(Advices[[#This Row],[LC Number]],'Combine_List'!A:D,4,0)</f>
        <v>KSP</v>
      </c>
      <c r="O2522" s="1"/>
      <c r="P2522" s="1">
        <f>MONTH(Advices[[#This Row],[Transaction Date]])</f>
        <v>5</v>
      </c>
      <c r="Q2522" s="1">
        <f>YEAR(Advices[[#This Row],[Transaction Date]])</f>
        <v>2026</v>
      </c>
      <c r="R2522" s="1"/>
    </row>
    <row r="2523" spans="1:18" x14ac:dyDescent="0.25">
      <c r="A2523" s="264" t="s">
        <v>21</v>
      </c>
      <c r="B2523" s="265">
        <v>46146</v>
      </c>
      <c r="C2523" s="266" t="s">
        <v>1951</v>
      </c>
      <c r="D2523" s="264" t="s">
        <v>4569</v>
      </c>
      <c r="E2523" s="264" t="s">
        <v>2618</v>
      </c>
      <c r="F2523" s="264" t="s">
        <v>2618</v>
      </c>
      <c r="G2523" s="266" t="s">
        <v>26</v>
      </c>
      <c r="H2523" s="299">
        <v>250</v>
      </c>
      <c r="I2523" s="266">
        <v>0</v>
      </c>
      <c r="J2523" s="264" t="s">
        <v>1963</v>
      </c>
      <c r="K2523" s="264" t="s">
        <v>2025</v>
      </c>
      <c r="L2523" s="1" t="str">
        <f>VLOOKUP(Advices[[#This Row],[LC Number]],'Combine_List'!A:D,2,0)</f>
        <v>AI-Hadbania Trading Co.</v>
      </c>
      <c r="M2523" s="1" t="str">
        <f>VLOOKUP(Advices[[#This Row],[LC Number]],'Combine_List'!A:D,3,0)</f>
        <v>FIRST FIX</v>
      </c>
      <c r="N2523" s="1" t="str">
        <f>VLOOKUP(Advices[[#This Row],[LC Number]],'Combine_List'!A:D,4,0)</f>
        <v>KSP</v>
      </c>
      <c r="O2523" s="1"/>
      <c r="P2523" s="1">
        <f>MONTH(Advices[[#This Row],[Transaction Date]])</f>
        <v>5</v>
      </c>
      <c r="Q2523" s="1">
        <f>YEAR(Advices[[#This Row],[Transaction Date]])</f>
        <v>2026</v>
      </c>
      <c r="R2523" s="1"/>
    </row>
    <row r="2524" spans="1:18" x14ac:dyDescent="0.25">
      <c r="A2524" s="264" t="s">
        <v>21</v>
      </c>
      <c r="B2524" s="265">
        <v>46146</v>
      </c>
      <c r="C2524" s="266" t="s">
        <v>1951</v>
      </c>
      <c r="D2524" s="264" t="s">
        <v>4297</v>
      </c>
      <c r="E2524" s="264" t="s">
        <v>2618</v>
      </c>
      <c r="F2524" s="264" t="s">
        <v>2618</v>
      </c>
      <c r="G2524" s="266" t="s">
        <v>26</v>
      </c>
      <c r="H2524" s="299">
        <v>37.5</v>
      </c>
      <c r="I2524" s="266">
        <v>0</v>
      </c>
      <c r="J2524" s="264" t="s">
        <v>1174</v>
      </c>
      <c r="K2524" s="264" t="s">
        <v>2025</v>
      </c>
      <c r="L2524" s="1" t="str">
        <f>VLOOKUP(Advices[[#This Row],[LC Number]],'Combine_List'!A:D,2,0)</f>
        <v>AI-Hadbania Trading Co.</v>
      </c>
      <c r="M2524" s="1" t="str">
        <f>VLOOKUP(Advices[[#This Row],[LC Number]],'Combine_List'!A:D,3,0)</f>
        <v>FIRST FIX</v>
      </c>
      <c r="N2524" s="1" t="str">
        <f>VLOOKUP(Advices[[#This Row],[LC Number]],'Combine_List'!A:D,4,0)</f>
        <v>KSP</v>
      </c>
      <c r="O2524" s="1"/>
      <c r="P2524" s="1">
        <f>MONTH(Advices[[#This Row],[Transaction Date]])</f>
        <v>5</v>
      </c>
      <c r="Q2524" s="1">
        <f>YEAR(Advices[[#This Row],[Transaction Date]])</f>
        <v>2026</v>
      </c>
      <c r="R2524" s="1"/>
    </row>
    <row r="2525" spans="1:18" x14ac:dyDescent="0.25">
      <c r="A2525" s="264" t="s">
        <v>21</v>
      </c>
      <c r="B2525" s="265">
        <v>46146</v>
      </c>
      <c r="C2525" s="266" t="s">
        <v>1951</v>
      </c>
      <c r="D2525" s="264" t="s">
        <v>5196</v>
      </c>
      <c r="E2525" s="264" t="s">
        <v>2620</v>
      </c>
      <c r="F2525" s="264" t="s">
        <v>2620</v>
      </c>
      <c r="G2525" s="266" t="s">
        <v>26</v>
      </c>
      <c r="H2525" s="299">
        <v>500</v>
      </c>
      <c r="I2525" s="266">
        <v>0</v>
      </c>
      <c r="J2525" s="264" t="s">
        <v>1124</v>
      </c>
      <c r="K2525" s="264" t="s">
        <v>2025</v>
      </c>
      <c r="L2525" s="1" t="str">
        <f>VLOOKUP(Advices[[#This Row],[LC Number]],'Combine_List'!A:D,2,0)</f>
        <v>Mohammad Saleh Bahareth co.</v>
      </c>
      <c r="M2525" s="1" t="str">
        <f>VLOOKUP(Advices[[#This Row],[LC Number]],'Combine_List'!A:D,3,0)</f>
        <v>FIRST FIX</v>
      </c>
      <c r="N2525" s="1" t="str">
        <f>VLOOKUP(Advices[[#This Row],[LC Number]],'Combine_List'!A:D,4,0)</f>
        <v>KSP</v>
      </c>
      <c r="O2525" s="1"/>
      <c r="P2525" s="1">
        <f>MONTH(Advices[[#This Row],[Transaction Date]])</f>
        <v>5</v>
      </c>
      <c r="Q2525" s="1">
        <f>YEAR(Advices[[#This Row],[Transaction Date]])</f>
        <v>2026</v>
      </c>
      <c r="R2525" s="1"/>
    </row>
    <row r="2526" spans="1:18" x14ac:dyDescent="0.25">
      <c r="A2526" s="264" t="s">
        <v>21</v>
      </c>
      <c r="B2526" s="265">
        <v>46146</v>
      </c>
      <c r="C2526" s="266" t="s">
        <v>1951</v>
      </c>
      <c r="D2526" s="264" t="s">
        <v>4569</v>
      </c>
      <c r="E2526" s="264" t="s">
        <v>2620</v>
      </c>
      <c r="F2526" s="264" t="s">
        <v>2620</v>
      </c>
      <c r="G2526" s="266" t="s">
        <v>26</v>
      </c>
      <c r="H2526" s="299">
        <v>250</v>
      </c>
      <c r="I2526" s="266">
        <v>0</v>
      </c>
      <c r="J2526" s="264" t="s">
        <v>1963</v>
      </c>
      <c r="K2526" s="264" t="s">
        <v>2025</v>
      </c>
      <c r="L2526" s="1" t="str">
        <f>VLOOKUP(Advices[[#This Row],[LC Number]],'Combine_List'!A:D,2,0)</f>
        <v>Mohammad Saleh Bahareth co.</v>
      </c>
      <c r="M2526" s="1" t="str">
        <f>VLOOKUP(Advices[[#This Row],[LC Number]],'Combine_List'!A:D,3,0)</f>
        <v>FIRST FIX</v>
      </c>
      <c r="N2526" s="1" t="str">
        <f>VLOOKUP(Advices[[#This Row],[LC Number]],'Combine_List'!A:D,4,0)</f>
        <v>KSP</v>
      </c>
      <c r="O2526" s="1"/>
      <c r="P2526" s="1">
        <f>MONTH(Advices[[#This Row],[Transaction Date]])</f>
        <v>5</v>
      </c>
      <c r="Q2526" s="1">
        <f>YEAR(Advices[[#This Row],[Transaction Date]])</f>
        <v>2026</v>
      </c>
      <c r="R2526" s="1"/>
    </row>
    <row r="2527" spans="1:18" x14ac:dyDescent="0.25">
      <c r="A2527" s="264" t="s">
        <v>21</v>
      </c>
      <c r="B2527" s="265">
        <v>46146</v>
      </c>
      <c r="C2527" s="266" t="s">
        <v>1951</v>
      </c>
      <c r="D2527" s="264" t="s">
        <v>2574</v>
      </c>
      <c r="E2527" s="264" t="s">
        <v>2620</v>
      </c>
      <c r="F2527" s="264" t="s">
        <v>2620</v>
      </c>
      <c r="G2527" s="266" t="s">
        <v>26</v>
      </c>
      <c r="H2527" s="299">
        <v>75</v>
      </c>
      <c r="I2527" s="266">
        <v>0</v>
      </c>
      <c r="J2527" s="264" t="s">
        <v>1174</v>
      </c>
      <c r="K2527" s="264" t="s">
        <v>2025</v>
      </c>
      <c r="L2527" s="1" t="str">
        <f>VLOOKUP(Advices[[#This Row],[LC Number]],'Combine_List'!A:D,2,0)</f>
        <v>Mohammad Saleh Bahareth co.</v>
      </c>
      <c r="M2527" s="1" t="str">
        <f>VLOOKUP(Advices[[#This Row],[LC Number]],'Combine_List'!A:D,3,0)</f>
        <v>FIRST FIX</v>
      </c>
      <c r="N2527" s="1" t="str">
        <f>VLOOKUP(Advices[[#This Row],[LC Number]],'Combine_List'!A:D,4,0)</f>
        <v>KSP</v>
      </c>
      <c r="O2527" s="1"/>
      <c r="P2527" s="1">
        <f>MONTH(Advices[[#This Row],[Transaction Date]])</f>
        <v>5</v>
      </c>
      <c r="Q2527" s="1">
        <f>YEAR(Advices[[#This Row],[Transaction Date]])</f>
        <v>2026</v>
      </c>
      <c r="R2527" s="1"/>
    </row>
    <row r="2528" spans="1:18" x14ac:dyDescent="0.25">
      <c r="A2528" s="264" t="s">
        <v>21</v>
      </c>
      <c r="B2528" s="265">
        <v>46146</v>
      </c>
      <c r="C2528" s="266" t="s">
        <v>1951</v>
      </c>
      <c r="D2528" s="264" t="s">
        <v>2574</v>
      </c>
      <c r="E2528" s="264" t="s">
        <v>2620</v>
      </c>
      <c r="F2528" s="264" t="s">
        <v>2620</v>
      </c>
      <c r="G2528" s="266" t="s">
        <v>26</v>
      </c>
      <c r="H2528" s="299">
        <v>37.5</v>
      </c>
      <c r="I2528" s="266">
        <v>0</v>
      </c>
      <c r="J2528" s="264" t="s">
        <v>1174</v>
      </c>
      <c r="K2528" s="264" t="s">
        <v>2025</v>
      </c>
      <c r="L2528" s="1" t="str">
        <f>VLOOKUP(Advices[[#This Row],[LC Number]],'Combine_List'!A:D,2,0)</f>
        <v>Mohammad Saleh Bahareth co.</v>
      </c>
      <c r="M2528" s="1" t="str">
        <f>VLOOKUP(Advices[[#This Row],[LC Number]],'Combine_List'!A:D,3,0)</f>
        <v>FIRST FIX</v>
      </c>
      <c r="N2528" s="1" t="str">
        <f>VLOOKUP(Advices[[#This Row],[LC Number]],'Combine_List'!A:D,4,0)</f>
        <v>KSP</v>
      </c>
      <c r="O2528" s="1"/>
      <c r="P2528" s="1">
        <f>MONTH(Advices[[#This Row],[Transaction Date]])</f>
        <v>5</v>
      </c>
      <c r="Q2528" s="1">
        <f>YEAR(Advices[[#This Row],[Transaction Date]])</f>
        <v>2026</v>
      </c>
      <c r="R2528" s="1"/>
    </row>
    <row r="2529" spans="1:18" x14ac:dyDescent="0.25">
      <c r="A2529" s="264" t="s">
        <v>21</v>
      </c>
      <c r="B2529" s="265">
        <v>46146</v>
      </c>
      <c r="C2529" s="266" t="s">
        <v>1951</v>
      </c>
      <c r="D2529" s="264" t="s">
        <v>5196</v>
      </c>
      <c r="E2529" s="264" t="s">
        <v>1525</v>
      </c>
      <c r="F2529" s="264" t="s">
        <v>1525</v>
      </c>
      <c r="G2529" s="266" t="s">
        <v>26</v>
      </c>
      <c r="H2529" s="299">
        <v>500</v>
      </c>
      <c r="I2529" s="266">
        <v>0</v>
      </c>
      <c r="J2529" s="264" t="s">
        <v>1124</v>
      </c>
      <c r="K2529" s="264" t="s">
        <v>2025</v>
      </c>
      <c r="L2529" s="1" t="str">
        <f>VLOOKUP(Advices[[#This Row],[LC Number]],'Combine_List'!A:D,2,0)</f>
        <v>STAR SQUARES CO LTD</v>
      </c>
      <c r="M2529" s="1" t="str">
        <f>VLOOKUP(Advices[[#This Row],[LC Number]],'Combine_List'!A:D,3,0)</f>
        <v>FIRST FIX</v>
      </c>
      <c r="N2529" s="1" t="str">
        <f>VLOOKUP(Advices[[#This Row],[LC Number]],'Combine_List'!A:D,4,0)</f>
        <v>JCD SPMI</v>
      </c>
      <c r="O2529" s="1"/>
      <c r="P2529" s="1">
        <f>MONTH(Advices[[#This Row],[Transaction Date]])</f>
        <v>5</v>
      </c>
      <c r="Q2529" s="1">
        <f>YEAR(Advices[[#This Row],[Transaction Date]])</f>
        <v>2026</v>
      </c>
      <c r="R2529" s="1"/>
    </row>
    <row r="2530" spans="1:18" x14ac:dyDescent="0.25">
      <c r="A2530" s="264" t="s">
        <v>21</v>
      </c>
      <c r="B2530" s="265">
        <v>46146</v>
      </c>
      <c r="C2530" s="266" t="s">
        <v>1951</v>
      </c>
      <c r="D2530" s="264" t="s">
        <v>4297</v>
      </c>
      <c r="E2530" s="264" t="s">
        <v>2618</v>
      </c>
      <c r="F2530" s="264" t="s">
        <v>2618</v>
      </c>
      <c r="G2530" s="266" t="s">
        <v>26</v>
      </c>
      <c r="H2530" s="299">
        <v>280.72000000000003</v>
      </c>
      <c r="I2530" s="266">
        <v>0</v>
      </c>
      <c r="J2530" s="264" t="s">
        <v>1174</v>
      </c>
      <c r="K2530" s="264" t="s">
        <v>2025</v>
      </c>
      <c r="L2530" s="1" t="str">
        <f>VLOOKUP(Advices[[#This Row],[LC Number]],'Combine_List'!A:D,2,0)</f>
        <v>AI-Hadbania Trading Co.</v>
      </c>
      <c r="M2530" s="1" t="str">
        <f>VLOOKUP(Advices[[#This Row],[LC Number]],'Combine_List'!A:D,3,0)</f>
        <v>FIRST FIX</v>
      </c>
      <c r="N2530" s="1" t="str">
        <f>VLOOKUP(Advices[[#This Row],[LC Number]],'Combine_List'!A:D,4,0)</f>
        <v>KSP</v>
      </c>
      <c r="O2530" s="1"/>
      <c r="P2530" s="1">
        <f>MONTH(Advices[[#This Row],[Transaction Date]])</f>
        <v>5</v>
      </c>
      <c r="Q2530" s="1">
        <f>YEAR(Advices[[#This Row],[Transaction Date]])</f>
        <v>2026</v>
      </c>
      <c r="R2530" s="1"/>
    </row>
    <row r="2531" spans="1:18" x14ac:dyDescent="0.25">
      <c r="A2531" s="264" t="s">
        <v>21</v>
      </c>
      <c r="B2531" s="265">
        <v>46146</v>
      </c>
      <c r="C2531" s="266" t="s">
        <v>1951</v>
      </c>
      <c r="D2531" s="264" t="s">
        <v>2574</v>
      </c>
      <c r="E2531" s="264" t="s">
        <v>1525</v>
      </c>
      <c r="F2531" s="264" t="s">
        <v>1525</v>
      </c>
      <c r="G2531" s="266" t="s">
        <v>26</v>
      </c>
      <c r="H2531" s="299">
        <v>75</v>
      </c>
      <c r="I2531" s="266">
        <v>0</v>
      </c>
      <c r="J2531" s="264" t="s">
        <v>1174</v>
      </c>
      <c r="K2531" s="264" t="s">
        <v>2025</v>
      </c>
      <c r="L2531" s="1" t="str">
        <f>VLOOKUP(Advices[[#This Row],[LC Number]],'Combine_List'!A:D,2,0)</f>
        <v>STAR SQUARES CO LTD</v>
      </c>
      <c r="M2531" s="1" t="str">
        <f>VLOOKUP(Advices[[#This Row],[LC Number]],'Combine_List'!A:D,3,0)</f>
        <v>FIRST FIX</v>
      </c>
      <c r="N2531" s="1" t="str">
        <f>VLOOKUP(Advices[[#This Row],[LC Number]],'Combine_List'!A:D,4,0)</f>
        <v>JCD SPMI</v>
      </c>
      <c r="O2531" s="1"/>
      <c r="P2531" s="1">
        <f>MONTH(Advices[[#This Row],[Transaction Date]])</f>
        <v>5</v>
      </c>
      <c r="Q2531" s="1">
        <f>YEAR(Advices[[#This Row],[Transaction Date]])</f>
        <v>2026</v>
      </c>
      <c r="R2531" s="1"/>
    </row>
    <row r="2532" spans="1:18" x14ac:dyDescent="0.25">
      <c r="A2532" s="264" t="s">
        <v>21</v>
      </c>
      <c r="B2532" s="265">
        <v>46146</v>
      </c>
      <c r="C2532" s="266" t="s">
        <v>1951</v>
      </c>
      <c r="D2532" s="264" t="s">
        <v>4569</v>
      </c>
      <c r="E2532" s="264" t="s">
        <v>1525</v>
      </c>
      <c r="F2532" s="264" t="s">
        <v>1525</v>
      </c>
      <c r="G2532" s="266" t="s">
        <v>26</v>
      </c>
      <c r="H2532" s="299">
        <v>250</v>
      </c>
      <c r="I2532" s="266">
        <v>0</v>
      </c>
      <c r="J2532" s="264" t="s">
        <v>1963</v>
      </c>
      <c r="K2532" s="264" t="s">
        <v>2025</v>
      </c>
      <c r="L2532" s="1" t="str">
        <f>VLOOKUP(Advices[[#This Row],[LC Number]],'Combine_List'!A:D,2,0)</f>
        <v>STAR SQUARES CO LTD</v>
      </c>
      <c r="M2532" s="1" t="str">
        <f>VLOOKUP(Advices[[#This Row],[LC Number]],'Combine_List'!A:D,3,0)</f>
        <v>FIRST FIX</v>
      </c>
      <c r="N2532" s="1" t="str">
        <f>VLOOKUP(Advices[[#This Row],[LC Number]],'Combine_List'!A:D,4,0)</f>
        <v>JCD SPMI</v>
      </c>
      <c r="O2532" s="1"/>
      <c r="P2532" s="1">
        <f>MONTH(Advices[[#This Row],[Transaction Date]])</f>
        <v>5</v>
      </c>
      <c r="Q2532" s="1">
        <f>YEAR(Advices[[#This Row],[Transaction Date]])</f>
        <v>2026</v>
      </c>
      <c r="R2532" s="1"/>
    </row>
    <row r="2533" spans="1:18" x14ac:dyDescent="0.25">
      <c r="A2533" s="264" t="s">
        <v>21</v>
      </c>
      <c r="B2533" s="265">
        <v>46146</v>
      </c>
      <c r="C2533" s="266" t="s">
        <v>1951</v>
      </c>
      <c r="D2533" s="264" t="s">
        <v>2574</v>
      </c>
      <c r="E2533" s="264" t="s">
        <v>1343</v>
      </c>
      <c r="F2533" s="264" t="s">
        <v>1343</v>
      </c>
      <c r="G2533" s="266" t="s">
        <v>26</v>
      </c>
      <c r="H2533" s="299">
        <v>75</v>
      </c>
      <c r="I2533" s="266">
        <v>0</v>
      </c>
      <c r="J2533" s="264" t="s">
        <v>1174</v>
      </c>
      <c r="K2533" s="264" t="s">
        <v>2025</v>
      </c>
      <c r="L2533" s="1" t="str">
        <f>VLOOKUP(Advices[[#This Row],[LC Number]],'Combine_List'!A:D,2,0)</f>
        <v>MASDAR TECHNICAL Supplies CO.</v>
      </c>
      <c r="M2533" s="1" t="str">
        <f>VLOOKUP(Advices[[#This Row],[LC Number]],'Combine_List'!A:D,3,0)</f>
        <v>FIRST FIX</v>
      </c>
      <c r="N2533" s="1" t="str">
        <f>VLOOKUP(Advices[[#This Row],[LC Number]],'Combine_List'!A:D,4,0)</f>
        <v>KSP</v>
      </c>
      <c r="O2533" s="1"/>
      <c r="P2533" s="1">
        <f>MONTH(Advices[[#This Row],[Transaction Date]])</f>
        <v>5</v>
      </c>
      <c r="Q2533" s="1">
        <f>YEAR(Advices[[#This Row],[Transaction Date]])</f>
        <v>2026</v>
      </c>
      <c r="R2533" s="1"/>
    </row>
    <row r="2534" spans="1:18" x14ac:dyDescent="0.25">
      <c r="A2534" s="264" t="s">
        <v>21</v>
      </c>
      <c r="B2534" s="265">
        <v>46146</v>
      </c>
      <c r="C2534" s="266" t="s">
        <v>1951</v>
      </c>
      <c r="D2534" s="264" t="s">
        <v>4569</v>
      </c>
      <c r="E2534" s="264" t="s">
        <v>1343</v>
      </c>
      <c r="F2534" s="264" t="s">
        <v>1343</v>
      </c>
      <c r="G2534" s="266" t="s">
        <v>26</v>
      </c>
      <c r="H2534" s="299">
        <v>250</v>
      </c>
      <c r="I2534" s="266">
        <v>0</v>
      </c>
      <c r="J2534" s="264" t="s">
        <v>1963</v>
      </c>
      <c r="K2534" s="264" t="s">
        <v>2025</v>
      </c>
      <c r="L2534" s="1" t="str">
        <f>VLOOKUP(Advices[[#This Row],[LC Number]],'Combine_List'!A:D,2,0)</f>
        <v>MASDAR TECHNICAL Supplies CO.</v>
      </c>
      <c r="M2534" s="1" t="str">
        <f>VLOOKUP(Advices[[#This Row],[LC Number]],'Combine_List'!A:D,3,0)</f>
        <v>FIRST FIX</v>
      </c>
      <c r="N2534" s="1" t="str">
        <f>VLOOKUP(Advices[[#This Row],[LC Number]],'Combine_List'!A:D,4,0)</f>
        <v>KSP</v>
      </c>
      <c r="O2534" s="1"/>
      <c r="P2534" s="1">
        <f>MONTH(Advices[[#This Row],[Transaction Date]])</f>
        <v>5</v>
      </c>
      <c r="Q2534" s="1">
        <f>YEAR(Advices[[#This Row],[Transaction Date]])</f>
        <v>2026</v>
      </c>
      <c r="R2534" s="1"/>
    </row>
    <row r="2535" spans="1:18" x14ac:dyDescent="0.25">
      <c r="A2535" s="264" t="s">
        <v>21</v>
      </c>
      <c r="B2535" s="265">
        <v>46146</v>
      </c>
      <c r="C2535" s="266" t="s">
        <v>1951</v>
      </c>
      <c r="D2535" s="264" t="s">
        <v>5196</v>
      </c>
      <c r="E2535" s="264" t="s">
        <v>1343</v>
      </c>
      <c r="F2535" s="264" t="s">
        <v>1343</v>
      </c>
      <c r="G2535" s="266" t="s">
        <v>26</v>
      </c>
      <c r="H2535" s="299">
        <v>500</v>
      </c>
      <c r="I2535" s="266">
        <v>0</v>
      </c>
      <c r="J2535" s="264" t="s">
        <v>1124</v>
      </c>
      <c r="K2535" s="264" t="s">
        <v>2025</v>
      </c>
      <c r="L2535" s="1" t="str">
        <f>VLOOKUP(Advices[[#This Row],[LC Number]],'Combine_List'!A:D,2,0)</f>
        <v>MASDAR TECHNICAL Supplies CO.</v>
      </c>
      <c r="M2535" s="1" t="str">
        <f>VLOOKUP(Advices[[#This Row],[LC Number]],'Combine_List'!A:D,3,0)</f>
        <v>FIRST FIX</v>
      </c>
      <c r="N2535" s="1" t="str">
        <f>VLOOKUP(Advices[[#This Row],[LC Number]],'Combine_List'!A:D,4,0)</f>
        <v>KSP</v>
      </c>
      <c r="O2535" s="1"/>
      <c r="P2535" s="1">
        <f>MONTH(Advices[[#This Row],[Transaction Date]])</f>
        <v>5</v>
      </c>
      <c r="Q2535" s="1">
        <f>YEAR(Advices[[#This Row],[Transaction Date]])</f>
        <v>2026</v>
      </c>
      <c r="R2535" s="1"/>
    </row>
    <row r="2536" spans="1:18" x14ac:dyDescent="0.25">
      <c r="A2536" s="264" t="s">
        <v>21</v>
      </c>
      <c r="B2536" s="265">
        <v>46146</v>
      </c>
      <c r="C2536" s="266" t="s">
        <v>1951</v>
      </c>
      <c r="D2536" s="264" t="s">
        <v>2574</v>
      </c>
      <c r="E2536" s="264" t="s">
        <v>1399</v>
      </c>
      <c r="F2536" s="264" t="s">
        <v>1399</v>
      </c>
      <c r="G2536" s="266" t="s">
        <v>26</v>
      </c>
      <c r="H2536" s="299">
        <v>75</v>
      </c>
      <c r="I2536" s="266">
        <v>0</v>
      </c>
      <c r="J2536" s="264" t="s">
        <v>1174</v>
      </c>
      <c r="K2536" s="264" t="s">
        <v>2025</v>
      </c>
      <c r="L2536" s="1" t="str">
        <f>VLOOKUP(Advices[[#This Row],[LC Number]],'Combine_List'!A:D,2,0)</f>
        <v>GAS SOLUTIONS</v>
      </c>
      <c r="M2536" s="1" t="str">
        <f>VLOOKUP(Advices[[#This Row],[LC Number]],'Combine_List'!A:D,3,0)</f>
        <v>FIRST FIX</v>
      </c>
      <c r="N2536" s="1" t="str">
        <f>VLOOKUP(Advices[[#This Row],[LC Number]],'Combine_List'!A:D,4,0)</f>
        <v>KSP</v>
      </c>
      <c r="O2536" s="1"/>
      <c r="P2536" s="1">
        <f>MONTH(Advices[[#This Row],[Transaction Date]])</f>
        <v>5</v>
      </c>
      <c r="Q2536" s="1">
        <f>YEAR(Advices[[#This Row],[Transaction Date]])</f>
        <v>2026</v>
      </c>
      <c r="R2536" s="1"/>
    </row>
    <row r="2537" spans="1:18" x14ac:dyDescent="0.25">
      <c r="A2537" s="264" t="s">
        <v>21</v>
      </c>
      <c r="B2537" s="265">
        <v>46146</v>
      </c>
      <c r="C2537" s="266" t="s">
        <v>1951</v>
      </c>
      <c r="D2537" s="264" t="s">
        <v>4569</v>
      </c>
      <c r="E2537" s="264" t="s">
        <v>1399</v>
      </c>
      <c r="F2537" s="264" t="s">
        <v>1399</v>
      </c>
      <c r="G2537" s="266" t="s">
        <v>26</v>
      </c>
      <c r="H2537" s="299">
        <v>250</v>
      </c>
      <c r="I2537" s="266">
        <v>0</v>
      </c>
      <c r="J2537" s="264" t="s">
        <v>1963</v>
      </c>
      <c r="K2537" s="264" t="s">
        <v>2025</v>
      </c>
      <c r="L2537" s="1" t="str">
        <f>VLOOKUP(Advices[[#This Row],[LC Number]],'Combine_List'!A:D,2,0)</f>
        <v>GAS SOLUTIONS</v>
      </c>
      <c r="M2537" s="1" t="str">
        <f>VLOOKUP(Advices[[#This Row],[LC Number]],'Combine_List'!A:D,3,0)</f>
        <v>FIRST FIX</v>
      </c>
      <c r="N2537" s="1" t="str">
        <f>VLOOKUP(Advices[[#This Row],[LC Number]],'Combine_List'!A:D,4,0)</f>
        <v>KSP</v>
      </c>
      <c r="O2537" s="1"/>
      <c r="P2537" s="1">
        <f>MONTH(Advices[[#This Row],[Transaction Date]])</f>
        <v>5</v>
      </c>
      <c r="Q2537" s="1">
        <f>YEAR(Advices[[#This Row],[Transaction Date]])</f>
        <v>2026</v>
      </c>
      <c r="R2537" s="1"/>
    </row>
    <row r="2538" spans="1:18" x14ac:dyDescent="0.25">
      <c r="A2538" s="264" t="s">
        <v>21</v>
      </c>
      <c r="B2538" s="265">
        <v>46146</v>
      </c>
      <c r="C2538" s="266" t="s">
        <v>1951</v>
      </c>
      <c r="D2538" s="264" t="s">
        <v>2574</v>
      </c>
      <c r="E2538" s="264" t="s">
        <v>1399</v>
      </c>
      <c r="F2538" s="264" t="s">
        <v>1399</v>
      </c>
      <c r="G2538" s="266" t="s">
        <v>26</v>
      </c>
      <c r="H2538" s="299">
        <v>37.5</v>
      </c>
      <c r="I2538" s="266">
        <v>0</v>
      </c>
      <c r="J2538" s="264" t="s">
        <v>1174</v>
      </c>
      <c r="K2538" s="264" t="s">
        <v>2025</v>
      </c>
      <c r="L2538" s="1" t="str">
        <f>VLOOKUP(Advices[[#This Row],[LC Number]],'Combine_List'!A:D,2,0)</f>
        <v>GAS SOLUTIONS</v>
      </c>
      <c r="M2538" s="1" t="str">
        <f>VLOOKUP(Advices[[#This Row],[LC Number]],'Combine_List'!A:D,3,0)</f>
        <v>FIRST FIX</v>
      </c>
      <c r="N2538" s="1" t="str">
        <f>VLOOKUP(Advices[[#This Row],[LC Number]],'Combine_List'!A:D,4,0)</f>
        <v>KSP</v>
      </c>
      <c r="O2538" s="1"/>
      <c r="P2538" s="1">
        <f>MONTH(Advices[[#This Row],[Transaction Date]])</f>
        <v>5</v>
      </c>
      <c r="Q2538" s="1">
        <f>YEAR(Advices[[#This Row],[Transaction Date]])</f>
        <v>2026</v>
      </c>
      <c r="R2538" s="1"/>
    </row>
    <row r="2539" spans="1:18" x14ac:dyDescent="0.25">
      <c r="A2539" s="264" t="s">
        <v>21</v>
      </c>
      <c r="B2539" s="265">
        <v>46146</v>
      </c>
      <c r="C2539" s="266" t="s">
        <v>1951</v>
      </c>
      <c r="D2539" s="264" t="s">
        <v>3302</v>
      </c>
      <c r="E2539" s="264" t="s">
        <v>1503</v>
      </c>
      <c r="F2539" s="264" t="s">
        <v>1503</v>
      </c>
      <c r="G2539" s="266" t="s">
        <v>26</v>
      </c>
      <c r="H2539" s="299">
        <v>37.5</v>
      </c>
      <c r="I2539" s="266">
        <v>0</v>
      </c>
      <c r="J2539" s="264" t="s">
        <v>1174</v>
      </c>
      <c r="K2539" s="264" t="s">
        <v>2025</v>
      </c>
      <c r="L2539" s="1" t="str">
        <f>VLOOKUP(Advices[[#This Row],[LC Number]],'Combine_List'!A:D,2,0)</f>
        <v>SKM AIR CONDITIONING CO</v>
      </c>
      <c r="M2539" s="1" t="str">
        <f>VLOOKUP(Advices[[#This Row],[LC Number]],'Combine_List'!A:D,3,0)</f>
        <v>FIRST FIX</v>
      </c>
      <c r="N2539" s="1" t="str">
        <f>VLOOKUP(Advices[[#This Row],[LC Number]],'Combine_List'!A:D,4,0)</f>
        <v>JCD SPMI</v>
      </c>
      <c r="O2539" s="1"/>
      <c r="P2539" s="1">
        <f>MONTH(Advices[[#This Row],[Transaction Date]])</f>
        <v>5</v>
      </c>
      <c r="Q2539" s="1">
        <f>YEAR(Advices[[#This Row],[Transaction Date]])</f>
        <v>2026</v>
      </c>
      <c r="R2539" s="1"/>
    </row>
    <row r="2540" spans="1:18" x14ac:dyDescent="0.25">
      <c r="A2540" s="264" t="s">
        <v>21</v>
      </c>
      <c r="B2540" s="265">
        <v>46146</v>
      </c>
      <c r="C2540" s="266" t="s">
        <v>1951</v>
      </c>
      <c r="D2540" s="264" t="s">
        <v>3302</v>
      </c>
      <c r="E2540" s="264" t="s">
        <v>1503</v>
      </c>
      <c r="F2540" s="264" t="s">
        <v>1503</v>
      </c>
      <c r="G2540" s="266" t="s">
        <v>26</v>
      </c>
      <c r="H2540" s="299">
        <v>133.94999999999999</v>
      </c>
      <c r="I2540" s="266">
        <v>0</v>
      </c>
      <c r="J2540" s="264" t="s">
        <v>1174</v>
      </c>
      <c r="K2540" s="264" t="s">
        <v>2025</v>
      </c>
      <c r="L2540" s="1" t="str">
        <f>VLOOKUP(Advices[[#This Row],[LC Number]],'Combine_List'!A:D,2,0)</f>
        <v>SKM AIR CONDITIONING CO</v>
      </c>
      <c r="M2540" s="1" t="str">
        <f>VLOOKUP(Advices[[#This Row],[LC Number]],'Combine_List'!A:D,3,0)</f>
        <v>FIRST FIX</v>
      </c>
      <c r="N2540" s="1" t="str">
        <f>VLOOKUP(Advices[[#This Row],[LC Number]],'Combine_List'!A:D,4,0)</f>
        <v>JCD SPMI</v>
      </c>
      <c r="O2540" s="1"/>
      <c r="P2540" s="1">
        <f>MONTH(Advices[[#This Row],[Transaction Date]])</f>
        <v>5</v>
      </c>
      <c r="Q2540" s="1">
        <f>YEAR(Advices[[#This Row],[Transaction Date]])</f>
        <v>2026</v>
      </c>
      <c r="R2540" s="1"/>
    </row>
    <row r="2541" spans="1:18" x14ac:dyDescent="0.25">
      <c r="A2541" s="264" t="s">
        <v>21</v>
      </c>
      <c r="B2541" s="265">
        <v>46146</v>
      </c>
      <c r="C2541" s="266" t="s">
        <v>1951</v>
      </c>
      <c r="D2541" s="264" t="s">
        <v>4569</v>
      </c>
      <c r="E2541" s="264" t="s">
        <v>1503</v>
      </c>
      <c r="F2541" s="264" t="s">
        <v>1503</v>
      </c>
      <c r="G2541" s="266" t="s">
        <v>26</v>
      </c>
      <c r="H2541" s="299">
        <v>250</v>
      </c>
      <c r="I2541" s="266">
        <v>0</v>
      </c>
      <c r="J2541" s="264" t="s">
        <v>1963</v>
      </c>
      <c r="K2541" s="264" t="s">
        <v>2025</v>
      </c>
      <c r="L2541" s="1" t="str">
        <f>VLOOKUP(Advices[[#This Row],[LC Number]],'Combine_List'!A:D,2,0)</f>
        <v>SKM AIR CONDITIONING CO</v>
      </c>
      <c r="M2541" s="1" t="str">
        <f>VLOOKUP(Advices[[#This Row],[LC Number]],'Combine_List'!A:D,3,0)</f>
        <v>FIRST FIX</v>
      </c>
      <c r="N2541" s="1" t="str">
        <f>VLOOKUP(Advices[[#This Row],[LC Number]],'Combine_List'!A:D,4,0)</f>
        <v>JCD SPMI</v>
      </c>
      <c r="O2541" s="1"/>
      <c r="P2541" s="1">
        <f>MONTH(Advices[[#This Row],[Transaction Date]])</f>
        <v>5</v>
      </c>
      <c r="Q2541" s="1">
        <f>YEAR(Advices[[#This Row],[Transaction Date]])</f>
        <v>2026</v>
      </c>
      <c r="R2541" s="1"/>
    </row>
    <row r="2542" spans="1:18" x14ac:dyDescent="0.25">
      <c r="A2542" s="264" t="s">
        <v>21</v>
      </c>
      <c r="B2542" s="265">
        <v>46146</v>
      </c>
      <c r="C2542" s="266" t="s">
        <v>1951</v>
      </c>
      <c r="D2542" s="264" t="s">
        <v>5196</v>
      </c>
      <c r="E2542" s="264" t="s">
        <v>1503</v>
      </c>
      <c r="F2542" s="264" t="s">
        <v>1503</v>
      </c>
      <c r="G2542" s="266" t="s">
        <v>26</v>
      </c>
      <c r="H2542" s="299">
        <v>893.02</v>
      </c>
      <c r="I2542" s="266">
        <v>0</v>
      </c>
      <c r="J2542" s="264" t="s">
        <v>1124</v>
      </c>
      <c r="K2542" s="264" t="s">
        <v>2025</v>
      </c>
      <c r="L2542" s="1" t="str">
        <f>VLOOKUP(Advices[[#This Row],[LC Number]],'Combine_List'!A:D,2,0)</f>
        <v>SKM AIR CONDITIONING CO</v>
      </c>
      <c r="M2542" s="1" t="str">
        <f>VLOOKUP(Advices[[#This Row],[LC Number]],'Combine_List'!A:D,3,0)</f>
        <v>FIRST FIX</v>
      </c>
      <c r="N2542" s="1" t="str">
        <f>VLOOKUP(Advices[[#This Row],[LC Number]],'Combine_List'!A:D,4,0)</f>
        <v>JCD SPMI</v>
      </c>
      <c r="O2542" s="1"/>
      <c r="P2542" s="1">
        <f>MONTH(Advices[[#This Row],[Transaction Date]])</f>
        <v>5</v>
      </c>
      <c r="Q2542" s="1">
        <f>YEAR(Advices[[#This Row],[Transaction Date]])</f>
        <v>2026</v>
      </c>
      <c r="R2542" s="1"/>
    </row>
    <row r="2543" spans="1:18" x14ac:dyDescent="0.25">
      <c r="A2543" s="264" t="s">
        <v>21</v>
      </c>
      <c r="B2543" s="265">
        <v>46146</v>
      </c>
      <c r="C2543" s="266" t="s">
        <v>1951</v>
      </c>
      <c r="D2543" s="264" t="s">
        <v>2574</v>
      </c>
      <c r="E2543" s="264" t="s">
        <v>1525</v>
      </c>
      <c r="F2543" s="264" t="s">
        <v>1525</v>
      </c>
      <c r="G2543" s="266" t="s">
        <v>26</v>
      </c>
      <c r="H2543" s="299">
        <v>37.5</v>
      </c>
      <c r="I2543" s="266">
        <v>0</v>
      </c>
      <c r="J2543" s="264" t="s">
        <v>1174</v>
      </c>
      <c r="K2543" s="264" t="s">
        <v>2025</v>
      </c>
      <c r="L2543" s="1" t="str">
        <f>VLOOKUP(Advices[[#This Row],[LC Number]],'Combine_List'!A:D,2,0)</f>
        <v>STAR SQUARES CO LTD</v>
      </c>
      <c r="M2543" s="1" t="str">
        <f>VLOOKUP(Advices[[#This Row],[LC Number]],'Combine_List'!A:D,3,0)</f>
        <v>FIRST FIX</v>
      </c>
      <c r="N2543" s="1" t="str">
        <f>VLOOKUP(Advices[[#This Row],[LC Number]],'Combine_List'!A:D,4,0)</f>
        <v>JCD SPMI</v>
      </c>
      <c r="O2543" s="1"/>
      <c r="P2543" s="1">
        <f>MONTH(Advices[[#This Row],[Transaction Date]])</f>
        <v>5</v>
      </c>
      <c r="Q2543" s="1">
        <f>YEAR(Advices[[#This Row],[Transaction Date]])</f>
        <v>2026</v>
      </c>
      <c r="R2543" s="1"/>
    </row>
    <row r="2544" spans="1:18" x14ac:dyDescent="0.25">
      <c r="A2544" s="264" t="s">
        <v>21</v>
      </c>
      <c r="B2544" s="265">
        <v>46146</v>
      </c>
      <c r="C2544" s="266" t="s">
        <v>1951</v>
      </c>
      <c r="D2544" s="264" t="s">
        <v>5196</v>
      </c>
      <c r="E2544" s="264" t="s">
        <v>1399</v>
      </c>
      <c r="F2544" s="264" t="s">
        <v>1399</v>
      </c>
      <c r="G2544" s="266" t="s">
        <v>26</v>
      </c>
      <c r="H2544" s="299">
        <v>500</v>
      </c>
      <c r="I2544" s="266">
        <v>0</v>
      </c>
      <c r="J2544" s="264" t="s">
        <v>1124</v>
      </c>
      <c r="K2544" s="264" t="s">
        <v>2025</v>
      </c>
      <c r="L2544" s="1" t="str">
        <f>VLOOKUP(Advices[[#This Row],[LC Number]],'Combine_List'!A:D,2,0)</f>
        <v>GAS SOLUTIONS</v>
      </c>
      <c r="M2544" s="1" t="str">
        <f>VLOOKUP(Advices[[#This Row],[LC Number]],'Combine_List'!A:D,3,0)</f>
        <v>FIRST FIX</v>
      </c>
      <c r="N2544" s="1" t="str">
        <f>VLOOKUP(Advices[[#This Row],[LC Number]],'Combine_List'!A:D,4,0)</f>
        <v>KSP</v>
      </c>
      <c r="O2544" s="1"/>
      <c r="P2544" s="1">
        <f>MONTH(Advices[[#This Row],[Transaction Date]])</f>
        <v>5</v>
      </c>
      <c r="Q2544" s="1">
        <f>YEAR(Advices[[#This Row],[Transaction Date]])</f>
        <v>2026</v>
      </c>
      <c r="R2544" s="1"/>
    </row>
    <row r="2545" spans="1:18" x14ac:dyDescent="0.25">
      <c r="A2545" s="264" t="s">
        <v>21</v>
      </c>
      <c r="B2545" s="265">
        <v>46147</v>
      </c>
      <c r="C2545" s="266" t="s">
        <v>1951</v>
      </c>
      <c r="D2545" s="264" t="s">
        <v>4569</v>
      </c>
      <c r="E2545" s="264" t="s">
        <v>4239</v>
      </c>
      <c r="F2545" s="264" t="s">
        <v>5193</v>
      </c>
      <c r="G2545" s="266" t="s">
        <v>26</v>
      </c>
      <c r="H2545" s="299">
        <v>75</v>
      </c>
      <c r="I2545" s="266">
        <v>0</v>
      </c>
      <c r="J2545" s="264" t="s">
        <v>1963</v>
      </c>
      <c r="K2545" s="264" t="s">
        <v>2025</v>
      </c>
      <c r="L2545" s="1" t="str">
        <f>VLOOKUP(Advices[[#This Row],[LC Number]],'Combine_List'!A:D,2,0)</f>
        <v>Awtad Jeddah for General Contracting Company</v>
      </c>
      <c r="M2545" s="1" t="str">
        <f>VLOOKUP(Advices[[#This Row],[LC Number]],'Combine_List'!A:D,3,0)</f>
        <v>MBL</v>
      </c>
      <c r="N2545" s="1" t="str">
        <f>VLOOKUP(Advices[[#This Row],[LC Number]],'Combine_List'!A:D,4,0)</f>
        <v>Rabigh Power Plant</v>
      </c>
      <c r="O2545" s="1"/>
      <c r="P2545" s="1">
        <f>MONTH(Advices[[#This Row],[Transaction Date]])</f>
        <v>5</v>
      </c>
      <c r="Q2545" s="1">
        <f>YEAR(Advices[[#This Row],[Transaction Date]])</f>
        <v>2026</v>
      </c>
      <c r="R2545" s="1"/>
    </row>
    <row r="2546" spans="1:18" x14ac:dyDescent="0.25">
      <c r="A2546" s="264" t="s">
        <v>21</v>
      </c>
      <c r="B2546" s="265">
        <v>46147</v>
      </c>
      <c r="C2546" s="266" t="s">
        <v>1951</v>
      </c>
      <c r="D2546" s="264" t="s">
        <v>4570</v>
      </c>
      <c r="E2546" s="264" t="s">
        <v>4239</v>
      </c>
      <c r="F2546" s="264" t="s">
        <v>5195</v>
      </c>
      <c r="G2546" s="266" t="s">
        <v>26</v>
      </c>
      <c r="H2546" s="299">
        <v>430163.81</v>
      </c>
      <c r="I2546" s="266">
        <v>0</v>
      </c>
      <c r="J2546" s="264" t="s">
        <v>1126</v>
      </c>
      <c r="K2546" s="264" t="s">
        <v>2025</v>
      </c>
      <c r="L2546" s="1" t="str">
        <f>VLOOKUP(Advices[[#This Row],[LC Number]],'Combine_List'!A:D,2,0)</f>
        <v>Awtad Jeddah for General Contracting Company</v>
      </c>
      <c r="M2546" s="1" t="str">
        <f>VLOOKUP(Advices[[#This Row],[LC Number]],'Combine_List'!A:D,3,0)</f>
        <v>MBL</v>
      </c>
      <c r="N2546" s="1" t="str">
        <f>VLOOKUP(Advices[[#This Row],[LC Number]],'Combine_List'!A:D,4,0)</f>
        <v>Rabigh Power Plant</v>
      </c>
      <c r="O2546" s="1"/>
      <c r="P2546" s="1">
        <f>MONTH(Advices[[#This Row],[Transaction Date]])</f>
        <v>5</v>
      </c>
      <c r="Q2546" s="1">
        <f>YEAR(Advices[[#This Row],[Transaction Date]])</f>
        <v>2026</v>
      </c>
      <c r="R2546" s="1"/>
    </row>
    <row r="2547" spans="1:18" x14ac:dyDescent="0.25">
      <c r="A2547" s="264" t="s">
        <v>21</v>
      </c>
      <c r="B2547" s="265">
        <v>46147</v>
      </c>
      <c r="C2547" s="266" t="s">
        <v>1951</v>
      </c>
      <c r="D2547" s="264" t="s">
        <v>1960</v>
      </c>
      <c r="E2547" s="264" t="s">
        <v>4239</v>
      </c>
      <c r="F2547" s="264" t="s">
        <v>5193</v>
      </c>
      <c r="G2547" s="266" t="s">
        <v>26</v>
      </c>
      <c r="H2547" s="299">
        <v>11.25</v>
      </c>
      <c r="I2547" s="266">
        <v>0</v>
      </c>
      <c r="J2547" s="264" t="s">
        <v>1174</v>
      </c>
      <c r="K2547" s="264" t="s">
        <v>2025</v>
      </c>
      <c r="L2547" s="1" t="str">
        <f>VLOOKUP(Advices[[#This Row],[LC Number]],'Combine_List'!A:D,2,0)</f>
        <v>Awtad Jeddah for General Contracting Company</v>
      </c>
      <c r="M2547" s="1" t="str">
        <f>VLOOKUP(Advices[[#This Row],[LC Number]],'Combine_List'!A:D,3,0)</f>
        <v>MBL</v>
      </c>
      <c r="N2547" s="1" t="str">
        <f>VLOOKUP(Advices[[#This Row],[LC Number]],'Combine_List'!A:D,4,0)</f>
        <v>Rabigh Power Plant</v>
      </c>
      <c r="O2547" s="1"/>
      <c r="P2547" s="1">
        <f>MONTH(Advices[[#This Row],[Transaction Date]])</f>
        <v>5</v>
      </c>
      <c r="Q2547" s="1">
        <f>YEAR(Advices[[#This Row],[Transaction Date]])</f>
        <v>2026</v>
      </c>
      <c r="R2547" s="1"/>
    </row>
    <row r="2548" spans="1:18" x14ac:dyDescent="0.25">
      <c r="A2548" s="264" t="s">
        <v>21</v>
      </c>
      <c r="B2548" s="265">
        <v>46147</v>
      </c>
      <c r="C2548" s="266" t="s">
        <v>1951</v>
      </c>
      <c r="D2548" s="264" t="s">
        <v>4570</v>
      </c>
      <c r="E2548" s="264" t="s">
        <v>4239</v>
      </c>
      <c r="F2548" s="264" t="s">
        <v>5194</v>
      </c>
      <c r="G2548" s="266" t="s">
        <v>26</v>
      </c>
      <c r="H2548" s="299">
        <v>411465.73</v>
      </c>
      <c r="I2548" s="266">
        <v>0</v>
      </c>
      <c r="J2548" s="264" t="s">
        <v>1126</v>
      </c>
      <c r="K2548" s="264" t="s">
        <v>2025</v>
      </c>
      <c r="L2548" s="1" t="str">
        <f>VLOOKUP(Advices[[#This Row],[LC Number]],'Combine_List'!A:D,2,0)</f>
        <v>Awtad Jeddah for General Contracting Company</v>
      </c>
      <c r="M2548" s="1" t="str">
        <f>VLOOKUP(Advices[[#This Row],[LC Number]],'Combine_List'!A:D,3,0)</f>
        <v>MBL</v>
      </c>
      <c r="N2548" s="1" t="str">
        <f>VLOOKUP(Advices[[#This Row],[LC Number]],'Combine_List'!A:D,4,0)</f>
        <v>Rabigh Power Plant</v>
      </c>
      <c r="O2548" s="1"/>
      <c r="P2548" s="1">
        <f>MONTH(Advices[[#This Row],[Transaction Date]])</f>
        <v>5</v>
      </c>
      <c r="Q2548" s="1">
        <f>YEAR(Advices[[#This Row],[Transaction Date]])</f>
        <v>2026</v>
      </c>
      <c r="R2548" s="1"/>
    </row>
    <row r="2549" spans="1:18" x14ac:dyDescent="0.25">
      <c r="A2549" s="264" t="s">
        <v>21</v>
      </c>
      <c r="B2549" s="265">
        <v>46147</v>
      </c>
      <c r="C2549" s="266" t="s">
        <v>1951</v>
      </c>
      <c r="D2549" s="264" t="s">
        <v>4569</v>
      </c>
      <c r="E2549" s="264" t="s">
        <v>4239</v>
      </c>
      <c r="F2549" s="264" t="s">
        <v>5194</v>
      </c>
      <c r="G2549" s="266" t="s">
        <v>26</v>
      </c>
      <c r="H2549" s="299">
        <v>75</v>
      </c>
      <c r="I2549" s="266">
        <v>0</v>
      </c>
      <c r="J2549" s="264" t="s">
        <v>1963</v>
      </c>
      <c r="K2549" s="264" t="s">
        <v>2025</v>
      </c>
      <c r="L2549" s="1" t="str">
        <f>VLOOKUP(Advices[[#This Row],[LC Number]],'Combine_List'!A:D,2,0)</f>
        <v>Awtad Jeddah for General Contracting Company</v>
      </c>
      <c r="M2549" s="1" t="str">
        <f>VLOOKUP(Advices[[#This Row],[LC Number]],'Combine_List'!A:D,3,0)</f>
        <v>MBL</v>
      </c>
      <c r="N2549" s="1" t="str">
        <f>VLOOKUP(Advices[[#This Row],[LC Number]],'Combine_List'!A:D,4,0)</f>
        <v>Rabigh Power Plant</v>
      </c>
      <c r="O2549" s="1"/>
      <c r="P2549" s="1">
        <f>MONTH(Advices[[#This Row],[Transaction Date]])</f>
        <v>5</v>
      </c>
      <c r="Q2549" s="1">
        <f>YEAR(Advices[[#This Row],[Transaction Date]])</f>
        <v>2026</v>
      </c>
      <c r="R2549" s="1"/>
    </row>
    <row r="2550" spans="1:18" x14ac:dyDescent="0.25">
      <c r="A2550" s="264" t="s">
        <v>21</v>
      </c>
      <c r="B2550" s="265">
        <v>46147</v>
      </c>
      <c r="C2550" s="266" t="s">
        <v>1951</v>
      </c>
      <c r="D2550" s="264" t="s">
        <v>1960</v>
      </c>
      <c r="E2550" s="264" t="s">
        <v>4239</v>
      </c>
      <c r="F2550" s="264" t="s">
        <v>5194</v>
      </c>
      <c r="G2550" s="266" t="s">
        <v>26</v>
      </c>
      <c r="H2550" s="299">
        <v>11.25</v>
      </c>
      <c r="I2550" s="266">
        <v>0</v>
      </c>
      <c r="J2550" s="264" t="s">
        <v>1174</v>
      </c>
      <c r="K2550" s="264" t="s">
        <v>2025</v>
      </c>
      <c r="L2550" s="1" t="str">
        <f>VLOOKUP(Advices[[#This Row],[LC Number]],'Combine_List'!A:D,2,0)</f>
        <v>Awtad Jeddah for General Contracting Company</v>
      </c>
      <c r="M2550" s="1" t="str">
        <f>VLOOKUP(Advices[[#This Row],[LC Number]],'Combine_List'!A:D,3,0)</f>
        <v>MBL</v>
      </c>
      <c r="N2550" s="1" t="str">
        <f>VLOOKUP(Advices[[#This Row],[LC Number]],'Combine_List'!A:D,4,0)</f>
        <v>Rabigh Power Plant</v>
      </c>
      <c r="O2550" s="1"/>
      <c r="P2550" s="1">
        <f>MONTH(Advices[[#This Row],[Transaction Date]])</f>
        <v>5</v>
      </c>
      <c r="Q2550" s="1">
        <f>YEAR(Advices[[#This Row],[Transaction Date]])</f>
        <v>2026</v>
      </c>
      <c r="R2550" s="1"/>
    </row>
    <row r="2551" spans="1:18" x14ac:dyDescent="0.25">
      <c r="A2551" s="264" t="s">
        <v>21</v>
      </c>
      <c r="B2551" s="265">
        <v>46147</v>
      </c>
      <c r="C2551" s="266" t="s">
        <v>1951</v>
      </c>
      <c r="D2551" s="264" t="s">
        <v>4569</v>
      </c>
      <c r="E2551" s="264" t="s">
        <v>4239</v>
      </c>
      <c r="F2551" s="264" t="s">
        <v>5195</v>
      </c>
      <c r="G2551" s="266" t="s">
        <v>26</v>
      </c>
      <c r="H2551" s="299">
        <v>75</v>
      </c>
      <c r="I2551" s="266">
        <v>0</v>
      </c>
      <c r="J2551" s="264" t="s">
        <v>1963</v>
      </c>
      <c r="K2551" s="264" t="s">
        <v>2025</v>
      </c>
      <c r="L2551" s="1" t="str">
        <f>VLOOKUP(Advices[[#This Row],[LC Number]],'Combine_List'!A:D,2,0)</f>
        <v>Awtad Jeddah for General Contracting Company</v>
      </c>
      <c r="M2551" s="1" t="str">
        <f>VLOOKUP(Advices[[#This Row],[LC Number]],'Combine_List'!A:D,3,0)</f>
        <v>MBL</v>
      </c>
      <c r="N2551" s="1" t="str">
        <f>VLOOKUP(Advices[[#This Row],[LC Number]],'Combine_List'!A:D,4,0)</f>
        <v>Rabigh Power Plant</v>
      </c>
      <c r="O2551" s="1"/>
      <c r="P2551" s="1">
        <f>MONTH(Advices[[#This Row],[Transaction Date]])</f>
        <v>5</v>
      </c>
      <c r="Q2551" s="1">
        <f>YEAR(Advices[[#This Row],[Transaction Date]])</f>
        <v>2026</v>
      </c>
      <c r="R2551" s="1"/>
    </row>
    <row r="2552" spans="1:18" x14ac:dyDescent="0.25">
      <c r="A2552" s="264" t="s">
        <v>21</v>
      </c>
      <c r="B2552" s="265">
        <v>46147</v>
      </c>
      <c r="C2552" s="266" t="s">
        <v>1951</v>
      </c>
      <c r="D2552" s="264" t="s">
        <v>1960</v>
      </c>
      <c r="E2552" s="264" t="s">
        <v>1343</v>
      </c>
      <c r="F2552" s="264" t="s">
        <v>3957</v>
      </c>
      <c r="G2552" s="266" t="s">
        <v>26</v>
      </c>
      <c r="H2552" s="299">
        <v>11.25</v>
      </c>
      <c r="I2552" s="266">
        <v>0</v>
      </c>
      <c r="J2552" s="264" t="s">
        <v>1174</v>
      </c>
      <c r="K2552" s="264" t="s">
        <v>2025</v>
      </c>
      <c r="L2552" s="1" t="str">
        <f>VLOOKUP(Advices[[#This Row],[LC Number]],'Combine_List'!A:D,2,0)</f>
        <v>MASDAR TECHNICAL Supplies CO.</v>
      </c>
      <c r="M2552" s="1" t="str">
        <f>VLOOKUP(Advices[[#This Row],[LC Number]],'Combine_List'!A:D,3,0)</f>
        <v>FIRST FIX</v>
      </c>
      <c r="N2552" s="1" t="str">
        <f>VLOOKUP(Advices[[#This Row],[LC Number]],'Combine_List'!A:D,4,0)</f>
        <v>KSP</v>
      </c>
      <c r="O2552" s="1"/>
      <c r="P2552" s="1">
        <f>MONTH(Advices[[#This Row],[Transaction Date]])</f>
        <v>5</v>
      </c>
      <c r="Q2552" s="1">
        <f>YEAR(Advices[[#This Row],[Transaction Date]])</f>
        <v>2026</v>
      </c>
      <c r="R2552" s="1"/>
    </row>
    <row r="2553" spans="1:18" x14ac:dyDescent="0.25">
      <c r="A2553" s="264" t="s">
        <v>21</v>
      </c>
      <c r="B2553" s="265">
        <v>46147</v>
      </c>
      <c r="C2553" s="266" t="s">
        <v>1951</v>
      </c>
      <c r="D2553" s="264" t="s">
        <v>5196</v>
      </c>
      <c r="E2553" s="264" t="s">
        <v>1767</v>
      </c>
      <c r="F2553" s="264" t="s">
        <v>1767</v>
      </c>
      <c r="G2553" s="266" t="s">
        <v>26</v>
      </c>
      <c r="H2553" s="299">
        <v>2971.51</v>
      </c>
      <c r="I2553" s="266">
        <v>0</v>
      </c>
      <c r="J2553" s="264" t="s">
        <v>1124</v>
      </c>
      <c r="K2553" s="264" t="s">
        <v>2025</v>
      </c>
      <c r="L2553" s="1" t="str">
        <f>VLOOKUP(Advices[[#This Row],[LC Number]],'Combine_List'!A:D,2,0)</f>
        <v>Al Arabia Construction &amp; Building Co.</v>
      </c>
      <c r="M2553" s="1" t="str">
        <f>VLOOKUP(Advices[[#This Row],[LC Number]],'Combine_List'!A:D,3,0)</f>
        <v>MBL</v>
      </c>
      <c r="N2553" s="1" t="str">
        <f>VLOOKUP(Advices[[#This Row],[LC Number]],'Combine_List'!A:D,4,0)</f>
        <v>Rabigh Power Plant</v>
      </c>
      <c r="O2553" s="1"/>
      <c r="P2553" s="1">
        <f>MONTH(Advices[[#This Row],[Transaction Date]])</f>
        <v>5</v>
      </c>
      <c r="Q2553" s="1">
        <f>YEAR(Advices[[#This Row],[Transaction Date]])</f>
        <v>2026</v>
      </c>
      <c r="R2553" s="1"/>
    </row>
    <row r="2554" spans="1:18" x14ac:dyDescent="0.25">
      <c r="A2554" s="264" t="s">
        <v>21</v>
      </c>
      <c r="B2554" s="265">
        <v>46147</v>
      </c>
      <c r="C2554" s="266" t="s">
        <v>1951</v>
      </c>
      <c r="D2554" s="264" t="s">
        <v>5197</v>
      </c>
      <c r="E2554" s="264" t="s">
        <v>1767</v>
      </c>
      <c r="F2554" s="264" t="s">
        <v>1767</v>
      </c>
      <c r="G2554" s="266" t="s">
        <v>26</v>
      </c>
      <c r="H2554" s="299">
        <v>445.73</v>
      </c>
      <c r="I2554" s="266">
        <v>0</v>
      </c>
      <c r="J2554" s="264" t="s">
        <v>1174</v>
      </c>
      <c r="K2554" s="264" t="s">
        <v>2025</v>
      </c>
      <c r="L2554" s="1" t="str">
        <f>VLOOKUP(Advices[[#This Row],[LC Number]],'Combine_List'!A:D,2,0)</f>
        <v>Al Arabia Construction &amp; Building Co.</v>
      </c>
      <c r="M2554" s="1" t="str">
        <f>VLOOKUP(Advices[[#This Row],[LC Number]],'Combine_List'!A:D,3,0)</f>
        <v>MBL</v>
      </c>
      <c r="N2554" s="1" t="str">
        <f>VLOOKUP(Advices[[#This Row],[LC Number]],'Combine_List'!A:D,4,0)</f>
        <v>Rabigh Power Plant</v>
      </c>
      <c r="O2554" s="1"/>
      <c r="P2554" s="1">
        <f>MONTH(Advices[[#This Row],[Transaction Date]])</f>
        <v>5</v>
      </c>
      <c r="Q2554" s="1">
        <f>YEAR(Advices[[#This Row],[Transaction Date]])</f>
        <v>2026</v>
      </c>
      <c r="R2554" s="1"/>
    </row>
    <row r="2555" spans="1:18" x14ac:dyDescent="0.25">
      <c r="A2555" s="264" t="s">
        <v>21</v>
      </c>
      <c r="B2555" s="265">
        <v>46147</v>
      </c>
      <c r="C2555" s="266" t="s">
        <v>1951</v>
      </c>
      <c r="D2555" s="264" t="s">
        <v>4569</v>
      </c>
      <c r="E2555" s="264" t="s">
        <v>1767</v>
      </c>
      <c r="F2555" s="264" t="s">
        <v>1767</v>
      </c>
      <c r="G2555" s="266" t="s">
        <v>26</v>
      </c>
      <c r="H2555" s="299">
        <v>250</v>
      </c>
      <c r="I2555" s="266">
        <v>0</v>
      </c>
      <c r="J2555" s="264" t="s">
        <v>1963</v>
      </c>
      <c r="K2555" s="264" t="s">
        <v>2025</v>
      </c>
      <c r="L2555" s="1" t="str">
        <f>VLOOKUP(Advices[[#This Row],[LC Number]],'Combine_List'!A:D,2,0)</f>
        <v>Al Arabia Construction &amp; Building Co.</v>
      </c>
      <c r="M2555" s="1" t="str">
        <f>VLOOKUP(Advices[[#This Row],[LC Number]],'Combine_List'!A:D,3,0)</f>
        <v>MBL</v>
      </c>
      <c r="N2555" s="1" t="str">
        <f>VLOOKUP(Advices[[#This Row],[LC Number]],'Combine_List'!A:D,4,0)</f>
        <v>Rabigh Power Plant</v>
      </c>
      <c r="O2555" s="1"/>
      <c r="P2555" s="1">
        <f>MONTH(Advices[[#This Row],[Transaction Date]])</f>
        <v>5</v>
      </c>
      <c r="Q2555" s="1">
        <f>YEAR(Advices[[#This Row],[Transaction Date]])</f>
        <v>2026</v>
      </c>
      <c r="R2555" s="1"/>
    </row>
    <row r="2556" spans="1:18" x14ac:dyDescent="0.25">
      <c r="A2556" s="264" t="s">
        <v>21</v>
      </c>
      <c r="B2556" s="265">
        <v>46147</v>
      </c>
      <c r="C2556" s="266" t="s">
        <v>1951</v>
      </c>
      <c r="D2556" s="264" t="s">
        <v>5197</v>
      </c>
      <c r="E2556" s="264" t="s">
        <v>1767</v>
      </c>
      <c r="F2556" s="264" t="s">
        <v>1767</v>
      </c>
      <c r="G2556" s="266" t="s">
        <v>26</v>
      </c>
      <c r="H2556" s="299">
        <v>37.5</v>
      </c>
      <c r="I2556" s="266">
        <v>0</v>
      </c>
      <c r="J2556" s="264" t="s">
        <v>1174</v>
      </c>
      <c r="K2556" s="264" t="s">
        <v>2025</v>
      </c>
      <c r="L2556" s="1" t="str">
        <f>VLOOKUP(Advices[[#This Row],[LC Number]],'Combine_List'!A:D,2,0)</f>
        <v>Al Arabia Construction &amp; Building Co.</v>
      </c>
      <c r="M2556" s="1" t="str">
        <f>VLOOKUP(Advices[[#This Row],[LC Number]],'Combine_List'!A:D,3,0)</f>
        <v>MBL</v>
      </c>
      <c r="N2556" s="1" t="str">
        <f>VLOOKUP(Advices[[#This Row],[LC Number]],'Combine_List'!A:D,4,0)</f>
        <v>Rabigh Power Plant</v>
      </c>
      <c r="O2556" s="1"/>
      <c r="P2556" s="1">
        <f>MONTH(Advices[[#This Row],[Transaction Date]])</f>
        <v>5</v>
      </c>
      <c r="Q2556" s="1">
        <f>YEAR(Advices[[#This Row],[Transaction Date]])</f>
        <v>2026</v>
      </c>
      <c r="R2556" s="1"/>
    </row>
    <row r="2557" spans="1:18" x14ac:dyDescent="0.25">
      <c r="A2557" s="264" t="s">
        <v>21</v>
      </c>
      <c r="B2557" s="265">
        <v>46147</v>
      </c>
      <c r="C2557" s="266" t="s">
        <v>1951</v>
      </c>
      <c r="D2557" s="264" t="s">
        <v>4569</v>
      </c>
      <c r="E2557" s="264" t="s">
        <v>1343</v>
      </c>
      <c r="F2557" s="264" t="s">
        <v>3957</v>
      </c>
      <c r="G2557" s="266" t="s">
        <v>26</v>
      </c>
      <c r="H2557" s="299">
        <v>75</v>
      </c>
      <c r="I2557" s="266">
        <v>0</v>
      </c>
      <c r="J2557" s="264" t="s">
        <v>1963</v>
      </c>
      <c r="K2557" s="264" t="s">
        <v>2025</v>
      </c>
      <c r="L2557" s="1" t="str">
        <f>VLOOKUP(Advices[[#This Row],[LC Number]],'Combine_List'!A:D,2,0)</f>
        <v>MASDAR TECHNICAL Supplies CO.</v>
      </c>
      <c r="M2557" s="1" t="str">
        <f>VLOOKUP(Advices[[#This Row],[LC Number]],'Combine_List'!A:D,3,0)</f>
        <v>FIRST FIX</v>
      </c>
      <c r="N2557" s="1" t="str">
        <f>VLOOKUP(Advices[[#This Row],[LC Number]],'Combine_List'!A:D,4,0)</f>
        <v>KSP</v>
      </c>
      <c r="O2557" s="1"/>
      <c r="P2557" s="1">
        <f>MONTH(Advices[[#This Row],[Transaction Date]])</f>
        <v>5</v>
      </c>
      <c r="Q2557" s="1">
        <f>YEAR(Advices[[#This Row],[Transaction Date]])</f>
        <v>2026</v>
      </c>
      <c r="R2557" s="1"/>
    </row>
    <row r="2558" spans="1:18" x14ac:dyDescent="0.25">
      <c r="A2558" s="264" t="s">
        <v>21</v>
      </c>
      <c r="B2558" s="265">
        <v>46147</v>
      </c>
      <c r="C2558" s="266" t="s">
        <v>1951</v>
      </c>
      <c r="D2558" s="264" t="s">
        <v>4570</v>
      </c>
      <c r="E2558" s="264" t="s">
        <v>4239</v>
      </c>
      <c r="F2558" s="264" t="s">
        <v>5193</v>
      </c>
      <c r="G2558" s="266" t="s">
        <v>26</v>
      </c>
      <c r="H2558" s="299">
        <v>292116.28000000003</v>
      </c>
      <c r="I2558" s="266">
        <v>0</v>
      </c>
      <c r="J2558" s="264" t="s">
        <v>1126</v>
      </c>
      <c r="K2558" s="264" t="s">
        <v>2025</v>
      </c>
      <c r="L2558" s="1" t="str">
        <f>VLOOKUP(Advices[[#This Row],[LC Number]],'Combine_List'!A:D,2,0)</f>
        <v>Awtad Jeddah for General Contracting Company</v>
      </c>
      <c r="M2558" s="1" t="str">
        <f>VLOOKUP(Advices[[#This Row],[LC Number]],'Combine_List'!A:D,3,0)</f>
        <v>MBL</v>
      </c>
      <c r="N2558" s="1" t="str">
        <f>VLOOKUP(Advices[[#This Row],[LC Number]],'Combine_List'!A:D,4,0)</f>
        <v>Rabigh Power Plant</v>
      </c>
      <c r="O2558" s="1"/>
      <c r="P2558" s="1">
        <f>MONTH(Advices[[#This Row],[Transaction Date]])</f>
        <v>5</v>
      </c>
      <c r="Q2558" s="1">
        <f>YEAR(Advices[[#This Row],[Transaction Date]])</f>
        <v>2026</v>
      </c>
      <c r="R2558" s="1"/>
    </row>
    <row r="2559" spans="1:18" x14ac:dyDescent="0.25">
      <c r="A2559" s="264" t="s">
        <v>21</v>
      </c>
      <c r="B2559" s="265">
        <v>46147</v>
      </c>
      <c r="C2559" s="266" t="s">
        <v>1951</v>
      </c>
      <c r="D2559" s="264" t="s">
        <v>1960</v>
      </c>
      <c r="E2559" s="264" t="s">
        <v>4239</v>
      </c>
      <c r="F2559" s="264" t="s">
        <v>5195</v>
      </c>
      <c r="G2559" s="266" t="s">
        <v>26</v>
      </c>
      <c r="H2559" s="299">
        <v>11.25</v>
      </c>
      <c r="I2559" s="266">
        <v>0</v>
      </c>
      <c r="J2559" s="264" t="s">
        <v>1174</v>
      </c>
      <c r="K2559" s="264" t="s">
        <v>2025</v>
      </c>
      <c r="L2559" s="1" t="str">
        <f>VLOOKUP(Advices[[#This Row],[LC Number]],'Combine_List'!A:D,2,0)</f>
        <v>Awtad Jeddah for General Contracting Company</v>
      </c>
      <c r="M2559" s="1" t="str">
        <f>VLOOKUP(Advices[[#This Row],[LC Number]],'Combine_List'!A:D,3,0)</f>
        <v>MBL</v>
      </c>
      <c r="N2559" s="1" t="str">
        <f>VLOOKUP(Advices[[#This Row],[LC Number]],'Combine_List'!A:D,4,0)</f>
        <v>Rabigh Power Plant</v>
      </c>
      <c r="O2559" s="1"/>
      <c r="P2559" s="1">
        <f>MONTH(Advices[[#This Row],[Transaction Date]])</f>
        <v>5</v>
      </c>
      <c r="Q2559" s="1">
        <f>YEAR(Advices[[#This Row],[Transaction Date]])</f>
        <v>2026</v>
      </c>
      <c r="R2559" s="1"/>
    </row>
    <row r="2560" spans="1:18" x14ac:dyDescent="0.25">
      <c r="A2560" s="264" t="s">
        <v>21</v>
      </c>
      <c r="B2560" s="265">
        <v>46147</v>
      </c>
      <c r="C2560" s="266" t="s">
        <v>4687</v>
      </c>
      <c r="D2560" s="264" t="s">
        <v>4570</v>
      </c>
      <c r="E2560" s="264" t="s">
        <v>1343</v>
      </c>
      <c r="F2560" s="264" t="s">
        <v>3957</v>
      </c>
      <c r="G2560" s="266" t="s">
        <v>26</v>
      </c>
      <c r="H2560" s="299">
        <v>249589.36</v>
      </c>
      <c r="I2560" s="266">
        <v>0</v>
      </c>
      <c r="J2560" s="264" t="s">
        <v>1126</v>
      </c>
      <c r="K2560" s="264" t="s">
        <v>2025</v>
      </c>
      <c r="L2560" s="264" t="str">
        <f>VLOOKUP(Advices[[#This Row],[LC Number]],'Combine_List'!A:D,2,0)</f>
        <v>MASDAR TECHNICAL Supplies CO.</v>
      </c>
      <c r="M2560" s="264" t="str">
        <f>VLOOKUP(Advices[[#This Row],[LC Number]],'Combine_List'!A:D,3,0)</f>
        <v>FIRST FIX</v>
      </c>
      <c r="N2560" s="264" t="str">
        <f>VLOOKUP(Advices[[#This Row],[LC Number]],'Combine_List'!A:D,4,0)</f>
        <v>KSP</v>
      </c>
      <c r="O2560" s="264"/>
      <c r="P2560" s="264">
        <f>MONTH(Advices[[#This Row],[Transaction Date]])</f>
        <v>5</v>
      </c>
      <c r="Q2560" s="264">
        <f>YEAR(Advices[[#This Row],[Transaction Date]])</f>
        <v>2026</v>
      </c>
      <c r="R2560" s="264"/>
    </row>
    <row r="2561" spans="1:18" hidden="1" x14ac:dyDescent="0.25">
      <c r="A2561" s="264" t="s">
        <v>62</v>
      </c>
      <c r="B2561" s="265">
        <v>46145</v>
      </c>
      <c r="C2561" s="266" t="s">
        <v>2055</v>
      </c>
      <c r="D2561" s="264" t="s">
        <v>5198</v>
      </c>
      <c r="E2561" s="264" t="s">
        <v>2906</v>
      </c>
      <c r="F2561" s="264" t="s">
        <v>2041</v>
      </c>
      <c r="G2561" s="266" t="s">
        <v>78</v>
      </c>
      <c r="H2561" s="299">
        <v>21571.200000000001</v>
      </c>
      <c r="I2561" s="266">
        <v>0</v>
      </c>
      <c r="J2561" s="264" t="s">
        <v>1126</v>
      </c>
      <c r="K2561" s="264" t="s">
        <v>2025</v>
      </c>
      <c r="L2561" s="1" t="str">
        <f>VLOOKUP(Advices[[#This Row],[LC Number]],'Combine_List'!A:D,2,0)</f>
        <v>IBA MIDDLE EAST FZE</v>
      </c>
      <c r="M2561" s="1" t="str">
        <f>VLOOKUP(Advices[[#This Row],[LC Number]],'Combine_List'!A:D,3,0)</f>
        <v>MBL/United Arab Aluminum Co</v>
      </c>
      <c r="N2561" s="1" t="str">
        <f>VLOOKUP(Advices[[#This Row],[LC Number]],'Combine_List'!A:D,4,0)</f>
        <v>Oceanarium</v>
      </c>
      <c r="O2561" s="1"/>
      <c r="P2561" s="1">
        <f>MONTH(Advices[[#This Row],[Transaction Date]])</f>
        <v>5</v>
      </c>
      <c r="Q2561" s="1">
        <f>YEAR(Advices[[#This Row],[Transaction Date]])</f>
        <v>2026</v>
      </c>
      <c r="R2561" s="1"/>
    </row>
    <row r="2562" spans="1:18" hidden="1" x14ac:dyDescent="0.25">
      <c r="A2562" s="264" t="s">
        <v>62</v>
      </c>
      <c r="B2562" s="265">
        <v>46146</v>
      </c>
      <c r="C2562" s="266" t="s">
        <v>2039</v>
      </c>
      <c r="D2562" s="264" t="s">
        <v>5199</v>
      </c>
      <c r="E2562" s="264" t="s">
        <v>3326</v>
      </c>
      <c r="F2562" s="264" t="s">
        <v>2041</v>
      </c>
      <c r="G2562" s="266" t="s">
        <v>26</v>
      </c>
      <c r="H2562" s="299">
        <v>50916.25</v>
      </c>
      <c r="I2562" s="266">
        <v>0</v>
      </c>
      <c r="J2562" s="264" t="s">
        <v>1126</v>
      </c>
      <c r="K2562" s="264" t="s">
        <v>2025</v>
      </c>
      <c r="L2562" s="1" t="str">
        <f>VLOOKUP(Advices[[#This Row],[LC Number]],'Combine_List'!A:D,2,0)</f>
        <v>AFKAR ALTATHBET TRADING COMPANY</v>
      </c>
      <c r="M2562" s="1" t="str">
        <f>VLOOKUP(Advices[[#This Row],[LC Number]],'Combine_List'!A:D,3,0)</f>
        <v>FIRST FIX</v>
      </c>
      <c r="N2562" s="1" t="str">
        <f>VLOOKUP(Advices[[#This Row],[LC Number]],'Combine_List'!A:D,4,0)</f>
        <v>Oceanarium</v>
      </c>
      <c r="O2562" s="1"/>
      <c r="P2562" s="1">
        <f>MONTH(Advices[[#This Row],[Transaction Date]])</f>
        <v>5</v>
      </c>
      <c r="Q2562" s="1">
        <f>YEAR(Advices[[#This Row],[Transaction Date]])</f>
        <v>2026</v>
      </c>
      <c r="R2562" s="1"/>
    </row>
    <row r="2563" spans="1:18" hidden="1" x14ac:dyDescent="0.25">
      <c r="A2563" s="264" t="s">
        <v>62</v>
      </c>
      <c r="B2563" s="265">
        <v>46146</v>
      </c>
      <c r="C2563" s="266" t="s">
        <v>2039</v>
      </c>
      <c r="D2563" s="264" t="s">
        <v>5200</v>
      </c>
      <c r="E2563" s="264" t="s">
        <v>3950</v>
      </c>
      <c r="F2563" s="264" t="s">
        <v>2041</v>
      </c>
      <c r="G2563" s="266" t="s">
        <v>26</v>
      </c>
      <c r="H2563" s="299">
        <v>3064.9</v>
      </c>
      <c r="I2563" s="266">
        <v>0</v>
      </c>
      <c r="J2563" s="264" t="s">
        <v>1125</v>
      </c>
      <c r="K2563" s="264" t="s">
        <v>2025</v>
      </c>
      <c r="L2563" s="1" t="str">
        <f>VLOOKUP(Advices[[#This Row],[LC Number]],'Combine_List'!A:D,2,0)</f>
        <v>Schneider Electric Saudi Arabia Co</v>
      </c>
      <c r="M2563" s="1" t="str">
        <f>VLOOKUP(Advices[[#This Row],[LC Number]],'Combine_List'!A:D,3,0)</f>
        <v>FIRST FIX</v>
      </c>
      <c r="N2563" s="1" t="str">
        <f>VLOOKUP(Advices[[#This Row],[LC Number]],'Combine_List'!A:D,4,0)</f>
        <v>Oceanarium</v>
      </c>
      <c r="O2563" s="1"/>
      <c r="P2563" s="1">
        <f>MONTH(Advices[[#This Row],[Transaction Date]])</f>
        <v>5</v>
      </c>
      <c r="Q2563" s="1">
        <f>YEAR(Advices[[#This Row],[Transaction Date]])</f>
        <v>2026</v>
      </c>
      <c r="R2563" s="1"/>
    </row>
    <row r="2564" spans="1:18" hidden="1" x14ac:dyDescent="0.25">
      <c r="A2564" s="264" t="s">
        <v>62</v>
      </c>
      <c r="B2564" s="265">
        <v>46147</v>
      </c>
      <c r="C2564" s="266" t="s">
        <v>2039</v>
      </c>
      <c r="D2564" s="264" t="s">
        <v>5201</v>
      </c>
      <c r="E2564" s="264" t="s">
        <v>3617</v>
      </c>
      <c r="F2564" s="264" t="s">
        <v>2041</v>
      </c>
      <c r="G2564" s="266" t="s">
        <v>26</v>
      </c>
      <c r="H2564" s="299">
        <v>8636.5</v>
      </c>
      <c r="I2564" s="266">
        <v>0</v>
      </c>
      <c r="J2564" s="264" t="s">
        <v>2830</v>
      </c>
      <c r="K2564" s="264" t="s">
        <v>2025</v>
      </c>
      <c r="L2564" s="1" t="str">
        <f>VLOOKUP(Advices[[#This Row],[LC Number]],'Combine_List'!A:D,2,0)</f>
        <v>Performance - CROWN PRINCE PRIVATE AFFAIRS (CPPA)</v>
      </c>
      <c r="M2564" s="1" t="str">
        <f>VLOOKUP(Advices[[#This Row],[LC Number]],'Combine_List'!A:D,3,0)</f>
        <v>IFAS</v>
      </c>
      <c r="N2564" s="1" t="str">
        <f>VLOOKUP(Advices[[#This Row],[LC Number]],'Combine_List'!A:D,4,0)</f>
        <v>L01</v>
      </c>
      <c r="O2564" s="1"/>
      <c r="P2564" s="1">
        <f>MONTH(Advices[[#This Row],[Transaction Date]])</f>
        <v>5</v>
      </c>
      <c r="Q2564" s="1">
        <f>YEAR(Advices[[#This Row],[Transaction Date]])</f>
        <v>2026</v>
      </c>
      <c r="R2564" s="1"/>
    </row>
    <row r="2565" spans="1:18" hidden="1" x14ac:dyDescent="0.25">
      <c r="A2565" s="264" t="s">
        <v>62</v>
      </c>
      <c r="B2565" s="265">
        <v>46148</v>
      </c>
      <c r="C2565" s="266" t="s">
        <v>2039</v>
      </c>
      <c r="D2565" s="264" t="s">
        <v>5202</v>
      </c>
      <c r="E2565" s="264" t="s">
        <v>5187</v>
      </c>
      <c r="F2565" s="264" t="s">
        <v>2041</v>
      </c>
      <c r="G2565" s="266" t="s">
        <v>26</v>
      </c>
      <c r="H2565" s="299">
        <v>6719.45</v>
      </c>
      <c r="I2565" s="266">
        <v>0</v>
      </c>
      <c r="J2565" s="264" t="s">
        <v>2830</v>
      </c>
      <c r="K2565" s="264" t="s">
        <v>2025</v>
      </c>
      <c r="L2565" s="1" t="str">
        <f>VLOOKUP(Advices[[#This Row],[LC Number]],'Combine_List'!A:D,2,0)</f>
        <v>Advance - MAKARAT OFFICE</v>
      </c>
      <c r="M2565" s="1" t="str">
        <f>VLOOKUP(Advices[[#This Row],[LC Number]],'Combine_List'!A:D,3,0)</f>
        <v>MBL</v>
      </c>
      <c r="N2565" s="1">
        <f>VLOOKUP(Advices[[#This Row],[LC Number]],'Combine_List'!A:D,4,0)</f>
        <v>0</v>
      </c>
      <c r="O2565" s="1"/>
      <c r="P2565" s="1">
        <f>MONTH(Advices[[#This Row],[Transaction Date]])</f>
        <v>5</v>
      </c>
      <c r="Q2565" s="1">
        <f>YEAR(Advices[[#This Row],[Transaction Date]])</f>
        <v>2026</v>
      </c>
      <c r="R2565" s="1"/>
    </row>
    <row r="2566" spans="1:18" hidden="1" x14ac:dyDescent="0.25">
      <c r="A2566" s="264" t="s">
        <v>62</v>
      </c>
      <c r="B2566" s="265">
        <v>46148</v>
      </c>
      <c r="C2566" s="266" t="s">
        <v>2716</v>
      </c>
      <c r="D2566" s="264" t="s">
        <v>5203</v>
      </c>
      <c r="E2566" s="264" t="s">
        <v>4843</v>
      </c>
      <c r="F2566" s="264" t="s">
        <v>2041</v>
      </c>
      <c r="G2566" s="266" t="s">
        <v>26</v>
      </c>
      <c r="H2566" s="299">
        <v>4143.45</v>
      </c>
      <c r="I2566" s="266">
        <v>0</v>
      </c>
      <c r="J2566" s="264" t="s">
        <v>2830</v>
      </c>
      <c r="K2566" s="264" t="s">
        <v>2025</v>
      </c>
      <c r="L2566" s="264" t="str">
        <f>VLOOKUP(Advices[[#This Row],[LC Number]],'Combine_List'!A:D,2,0)</f>
        <v>Performance - PRIVATE AFFAIRS OF THE CUSTODIAN OF THE TWO HOLY MOSQUES</v>
      </c>
      <c r="M2566" s="264">
        <f>VLOOKUP(Advices[[#This Row],[LC Number]],'Combine_List'!A:D,3,0)</f>
        <v>0</v>
      </c>
      <c r="N2566" s="264">
        <f>VLOOKUP(Advices[[#This Row],[LC Number]],'Combine_List'!A:D,4,0)</f>
        <v>0</v>
      </c>
      <c r="O2566" s="264"/>
      <c r="P2566" s="264">
        <f>MONTH(Advices[[#This Row],[Transaction Date]])</f>
        <v>5</v>
      </c>
      <c r="Q2566" s="264">
        <f>YEAR(Advices[[#This Row],[Transaction Date]])</f>
        <v>2026</v>
      </c>
      <c r="R2566" s="264"/>
    </row>
    <row r="2567" spans="1:18" hidden="1" x14ac:dyDescent="0.25">
      <c r="A2567" s="264" t="s">
        <v>95</v>
      </c>
      <c r="B2567" s="265">
        <v>46145</v>
      </c>
      <c r="C2567" s="266" t="s">
        <v>2026</v>
      </c>
      <c r="D2567" s="264" t="s">
        <v>5204</v>
      </c>
      <c r="E2567" s="264" t="s">
        <v>3722</v>
      </c>
      <c r="F2567" s="264" t="s">
        <v>5205</v>
      </c>
      <c r="G2567" s="266" t="s">
        <v>26</v>
      </c>
      <c r="H2567" s="299">
        <v>1298.06</v>
      </c>
      <c r="I2567" s="266">
        <v>0</v>
      </c>
      <c r="J2567" s="264" t="s">
        <v>1125</v>
      </c>
      <c r="K2567" s="264" t="s">
        <v>2025</v>
      </c>
      <c r="L2567" s="1" t="str">
        <f>VLOOKUP(Advices[[#This Row],[LC Number]],'Combine_List'!A:D,2,0)</f>
        <v>Electric House Trading Company L.L.C.</v>
      </c>
      <c r="M2567" s="1" t="str">
        <f>VLOOKUP(Advices[[#This Row],[LC Number]],'Combine_List'!A:D,3,0)</f>
        <v>MBL/ICAD</v>
      </c>
      <c r="N2567" s="1" t="str">
        <f>VLOOKUP(Advices[[#This Row],[LC Number]],'Combine_List'!A:D,4,0)</f>
        <v>OPERA House</v>
      </c>
      <c r="O2567" s="1"/>
      <c r="P2567" s="1">
        <f>MONTH(Advices[[#This Row],[Transaction Date]])</f>
        <v>5</v>
      </c>
      <c r="Q2567" s="1">
        <f>YEAR(Advices[[#This Row],[Transaction Date]])</f>
        <v>2026</v>
      </c>
      <c r="R2567" s="1"/>
    </row>
    <row r="2568" spans="1:18" hidden="1" x14ac:dyDescent="0.25">
      <c r="A2568" s="264" t="s">
        <v>95</v>
      </c>
      <c r="B2568" s="265">
        <v>46146</v>
      </c>
      <c r="C2568" s="266" t="s">
        <v>2026</v>
      </c>
      <c r="D2568" s="264" t="s">
        <v>4365</v>
      </c>
      <c r="E2568" s="264" t="s">
        <v>3721</v>
      </c>
      <c r="F2568" s="264" t="s">
        <v>4366</v>
      </c>
      <c r="G2568" s="266" t="s">
        <v>26</v>
      </c>
      <c r="H2568" s="299">
        <v>400000</v>
      </c>
      <c r="I2568" s="266">
        <v>0</v>
      </c>
      <c r="J2568" s="264" t="s">
        <v>1126</v>
      </c>
      <c r="K2568" s="264" t="s">
        <v>2025</v>
      </c>
      <c r="L2568" s="1" t="str">
        <f>VLOOKUP(Advices[[#This Row],[LC Number]],'Combine_List'!A:D,2,0)</f>
        <v>Electro Mechanical Supplies Company</v>
      </c>
      <c r="M2568" s="1" t="str">
        <f>VLOOKUP(Advices[[#This Row],[LC Number]],'Combine_List'!A:D,3,0)</f>
        <v>MBL/ICAD</v>
      </c>
      <c r="N2568" s="1" t="str">
        <f>VLOOKUP(Advices[[#This Row],[LC Number]],'Combine_List'!A:D,4,0)</f>
        <v>OPERA House</v>
      </c>
      <c r="O2568" s="1"/>
      <c r="P2568" s="1">
        <f>MONTH(Advices[[#This Row],[Transaction Date]])</f>
        <v>5</v>
      </c>
      <c r="Q2568" s="1">
        <f>YEAR(Advices[[#This Row],[Transaction Date]])</f>
        <v>2026</v>
      </c>
      <c r="R2568" s="1"/>
    </row>
    <row r="2569" spans="1:18" hidden="1" x14ac:dyDescent="0.25">
      <c r="A2569" s="264" t="s">
        <v>95</v>
      </c>
      <c r="B2569" s="265">
        <v>46147</v>
      </c>
      <c r="C2569" s="266" t="s">
        <v>2026</v>
      </c>
      <c r="D2569" s="264" t="s">
        <v>5206</v>
      </c>
      <c r="E2569" s="264" t="s">
        <v>707</v>
      </c>
      <c r="F2569" s="264" t="s">
        <v>5207</v>
      </c>
      <c r="G2569" s="266" t="s">
        <v>26</v>
      </c>
      <c r="H2569" s="299">
        <v>3759.56</v>
      </c>
      <c r="I2569" s="266">
        <v>0</v>
      </c>
      <c r="J2569" s="264" t="s">
        <v>1125</v>
      </c>
      <c r="K2569" s="264" t="s">
        <v>2025</v>
      </c>
      <c r="L2569" s="1" t="str">
        <f>VLOOKUP(Advices[[#This Row],[LC Number]],'Combine_List'!A:D,2,0)</f>
        <v>BBH-CHEMTROL INTERNATIONAL ORGANIZATION S.L</v>
      </c>
      <c r="M2569" s="1" t="str">
        <f>VLOOKUP(Advices[[#This Row],[LC Number]],'Combine_List'!A:D,3,0)</f>
        <v>MBL/ICAD</v>
      </c>
      <c r="N2569" s="1" t="str">
        <f>VLOOKUP(Advices[[#This Row],[LC Number]],'Combine_List'!A:D,4,0)</f>
        <v>OPERA House</v>
      </c>
      <c r="O2569" s="1"/>
      <c r="P2569" s="1">
        <f>MONTH(Advices[[#This Row],[Transaction Date]])</f>
        <v>5</v>
      </c>
      <c r="Q2569" s="1">
        <f>YEAR(Advices[[#This Row],[Transaction Date]])</f>
        <v>2026</v>
      </c>
      <c r="R2569" s="1"/>
    </row>
    <row r="2570" spans="1:18" hidden="1" x14ac:dyDescent="0.25">
      <c r="A2570" s="264" t="s">
        <v>95</v>
      </c>
      <c r="B2570" s="265">
        <v>46148</v>
      </c>
      <c r="C2570" s="266" t="s">
        <v>2026</v>
      </c>
      <c r="D2570" s="264" t="s">
        <v>5208</v>
      </c>
      <c r="E2570" s="264" t="s">
        <v>2562</v>
      </c>
      <c r="F2570" s="264" t="s">
        <v>2562</v>
      </c>
      <c r="G2570" s="266" t="s">
        <v>26</v>
      </c>
      <c r="H2570" s="299">
        <v>0</v>
      </c>
      <c r="I2570" s="266">
        <v>2701.07</v>
      </c>
      <c r="J2570" s="264" t="s">
        <v>5154</v>
      </c>
      <c r="K2570" s="264" t="s">
        <v>5154</v>
      </c>
      <c r="L2570" s="1" t="str">
        <f>VLOOKUP(Advices[[#This Row],[LC Number]],'Combine_List'!A:D,2,0)</f>
        <v>ALNAFIE METAL INDUSTRIES CO LTD</v>
      </c>
      <c r="M2570" s="1" t="str">
        <f>VLOOKUP(Advices[[#This Row],[LC Number]],'Combine_List'!A:D,3,0)</f>
        <v>MBL/AICS</v>
      </c>
      <c r="N2570" s="1" t="str">
        <f>VLOOKUP(Advices[[#This Row],[LC Number]],'Combine_List'!A:D,4,0)</f>
        <v>OPERA House</v>
      </c>
      <c r="O2570" s="1"/>
      <c r="P2570" s="1">
        <f>MONTH(Advices[[#This Row],[Transaction Date]])</f>
        <v>5</v>
      </c>
      <c r="Q2570" s="1">
        <f>YEAR(Advices[[#This Row],[Transaction Date]])</f>
        <v>2026</v>
      </c>
      <c r="R2570" s="1"/>
    </row>
    <row r="2571" spans="1:18" hidden="1" x14ac:dyDescent="0.25">
      <c r="A2571" s="264" t="s">
        <v>95</v>
      </c>
      <c r="B2571" s="265">
        <v>46148</v>
      </c>
      <c r="C2571" s="266" t="s">
        <v>2026</v>
      </c>
      <c r="D2571" s="264" t="s">
        <v>5209</v>
      </c>
      <c r="E2571" s="264" t="s">
        <v>3142</v>
      </c>
      <c r="F2571" s="264" t="s">
        <v>3142</v>
      </c>
      <c r="G2571" s="266" t="s">
        <v>26</v>
      </c>
      <c r="H2571" s="299">
        <v>0</v>
      </c>
      <c r="I2571" s="266">
        <v>616.03</v>
      </c>
      <c r="J2571" s="264" t="s">
        <v>5154</v>
      </c>
      <c r="K2571" s="264" t="s">
        <v>5154</v>
      </c>
      <c r="L2571" s="1" t="str">
        <f>VLOOKUP(Advices[[#This Row],[LC Number]],'Combine_List'!A:D,2,0)</f>
        <v>APS ARABIAN CONTRACTING COMPANY</v>
      </c>
      <c r="M2571" s="1" t="str">
        <f>VLOOKUP(Advices[[#This Row],[LC Number]],'Combine_List'!A:D,3,0)</f>
        <v>MBL/AICS</v>
      </c>
      <c r="N2571" s="1" t="str">
        <f>VLOOKUP(Advices[[#This Row],[LC Number]],'Combine_List'!A:D,4,0)</f>
        <v>OPERA House</v>
      </c>
      <c r="O2571" s="1"/>
      <c r="P2571" s="1">
        <f>MONTH(Advices[[#This Row],[Transaction Date]])</f>
        <v>5</v>
      </c>
      <c r="Q2571" s="1">
        <f>YEAR(Advices[[#This Row],[Transaction Date]])</f>
        <v>2026</v>
      </c>
      <c r="R2571" s="1"/>
    </row>
    <row r="2572" spans="1:18" hidden="1" x14ac:dyDescent="0.25">
      <c r="A2572" s="264" t="s">
        <v>95</v>
      </c>
      <c r="B2572" s="265">
        <v>46148</v>
      </c>
      <c r="C2572" s="266" t="s">
        <v>2026</v>
      </c>
      <c r="D2572" s="264" t="s">
        <v>4439</v>
      </c>
      <c r="E2572" s="264" t="s">
        <v>2562</v>
      </c>
      <c r="F2572" s="264" t="s">
        <v>4440</v>
      </c>
      <c r="G2572" s="266" t="s">
        <v>26</v>
      </c>
      <c r="H2572" s="299">
        <v>2701.07</v>
      </c>
      <c r="I2572" s="266">
        <v>0</v>
      </c>
      <c r="J2572" s="264" t="s">
        <v>1124</v>
      </c>
      <c r="K2572" s="264" t="s">
        <v>2025</v>
      </c>
      <c r="L2572" s="1" t="str">
        <f>VLOOKUP(Advices[[#This Row],[LC Number]],'Combine_List'!A:D,2,0)</f>
        <v>ALNAFIE METAL INDUSTRIES CO LTD</v>
      </c>
      <c r="M2572" s="1" t="str">
        <f>VLOOKUP(Advices[[#This Row],[LC Number]],'Combine_List'!A:D,3,0)</f>
        <v>MBL/AICS</v>
      </c>
      <c r="N2572" s="1" t="str">
        <f>VLOOKUP(Advices[[#This Row],[LC Number]],'Combine_List'!A:D,4,0)</f>
        <v>OPERA House</v>
      </c>
      <c r="O2572" s="1"/>
      <c r="P2572" s="1">
        <f>MONTH(Advices[[#This Row],[Transaction Date]])</f>
        <v>5</v>
      </c>
      <c r="Q2572" s="1">
        <f>YEAR(Advices[[#This Row],[Transaction Date]])</f>
        <v>2026</v>
      </c>
      <c r="R2572" s="1"/>
    </row>
    <row r="2573" spans="1:18" hidden="1" x14ac:dyDescent="0.25">
      <c r="A2573" s="264" t="s">
        <v>95</v>
      </c>
      <c r="B2573" s="265">
        <v>46148</v>
      </c>
      <c r="C2573" s="266" t="s">
        <v>2026</v>
      </c>
      <c r="D2573" s="264" t="s">
        <v>5210</v>
      </c>
      <c r="E2573" s="264" t="s">
        <v>3142</v>
      </c>
      <c r="F2573" s="264" t="s">
        <v>5211</v>
      </c>
      <c r="G2573" s="266" t="s">
        <v>26</v>
      </c>
      <c r="H2573" s="299">
        <v>616.03</v>
      </c>
      <c r="I2573" s="266">
        <v>0</v>
      </c>
      <c r="J2573" s="264" t="s">
        <v>1125</v>
      </c>
      <c r="K2573" s="264" t="s">
        <v>2025</v>
      </c>
      <c r="L2573" s="1" t="str">
        <f>VLOOKUP(Advices[[#This Row],[LC Number]],'Combine_List'!A:D,2,0)</f>
        <v>APS ARABIAN CONTRACTING COMPANY</v>
      </c>
      <c r="M2573" s="1" t="str">
        <f>VLOOKUP(Advices[[#This Row],[LC Number]],'Combine_List'!A:D,3,0)</f>
        <v>MBL/AICS</v>
      </c>
      <c r="N2573" s="1" t="str">
        <f>VLOOKUP(Advices[[#This Row],[LC Number]],'Combine_List'!A:D,4,0)</f>
        <v>OPERA House</v>
      </c>
      <c r="O2573" s="1"/>
      <c r="P2573" s="1">
        <f>MONTH(Advices[[#This Row],[Transaction Date]])</f>
        <v>5</v>
      </c>
      <c r="Q2573" s="1">
        <f>YEAR(Advices[[#This Row],[Transaction Date]])</f>
        <v>2026</v>
      </c>
      <c r="R2573" s="1"/>
    </row>
    <row r="2574" spans="1:18" hidden="1" x14ac:dyDescent="0.25">
      <c r="A2574" s="264" t="s">
        <v>95</v>
      </c>
      <c r="B2574" s="265">
        <v>46148</v>
      </c>
      <c r="C2574" s="266" t="s">
        <v>2307</v>
      </c>
      <c r="D2574" s="264" t="s">
        <v>5212</v>
      </c>
      <c r="E2574" s="264" t="s">
        <v>2562</v>
      </c>
      <c r="F2574" s="264" t="s">
        <v>2562</v>
      </c>
      <c r="G2574" s="266"/>
      <c r="H2574" s="299">
        <v>2701.07</v>
      </c>
      <c r="I2574" s="266">
        <v>0</v>
      </c>
      <c r="J2574" s="264" t="s">
        <v>5154</v>
      </c>
      <c r="K2574" s="264" t="s">
        <v>5154</v>
      </c>
      <c r="L2574" s="1" t="str">
        <f>VLOOKUP(Advices[[#This Row],[LC Number]],'Combine_List'!A:D,2,0)</f>
        <v>ALNAFIE METAL INDUSTRIES CO LTD</v>
      </c>
      <c r="M2574" s="1" t="str">
        <f>VLOOKUP(Advices[[#This Row],[LC Number]],'Combine_List'!A:D,3,0)</f>
        <v>MBL/AICS</v>
      </c>
      <c r="N2574" s="1" t="str">
        <f>VLOOKUP(Advices[[#This Row],[LC Number]],'Combine_List'!A:D,4,0)</f>
        <v>OPERA House</v>
      </c>
      <c r="O2574" s="1"/>
      <c r="P2574" s="1">
        <f>MONTH(Advices[[#This Row],[Transaction Date]])</f>
        <v>5</v>
      </c>
      <c r="Q2574" s="1">
        <f>YEAR(Advices[[#This Row],[Transaction Date]])</f>
        <v>2026</v>
      </c>
      <c r="R2574" s="1"/>
    </row>
    <row r="2575" spans="1:18" hidden="1" x14ac:dyDescent="0.25">
      <c r="A2575" s="264" t="s">
        <v>95</v>
      </c>
      <c r="B2575" s="265">
        <v>46148</v>
      </c>
      <c r="C2575" s="266" t="s">
        <v>2307</v>
      </c>
      <c r="D2575" s="264" t="s">
        <v>5213</v>
      </c>
      <c r="E2575" s="264" t="s">
        <v>3142</v>
      </c>
      <c r="F2575" s="264" t="s">
        <v>3142</v>
      </c>
      <c r="G2575" s="266"/>
      <c r="H2575" s="299">
        <v>616.03</v>
      </c>
      <c r="I2575" s="266">
        <v>0</v>
      </c>
      <c r="J2575" s="264" t="s">
        <v>5154</v>
      </c>
      <c r="K2575" s="264" t="s">
        <v>5154</v>
      </c>
      <c r="L2575" s="264" t="str">
        <f>VLOOKUP(Advices[[#This Row],[LC Number]],'Combine_List'!A:D,2,0)</f>
        <v>APS ARABIAN CONTRACTING COMPANY</v>
      </c>
      <c r="M2575" s="264" t="str">
        <f>VLOOKUP(Advices[[#This Row],[LC Number]],'Combine_List'!A:D,3,0)</f>
        <v>MBL/AICS</v>
      </c>
      <c r="N2575" s="264" t="str">
        <f>VLOOKUP(Advices[[#This Row],[LC Number]],'Combine_List'!A:D,4,0)</f>
        <v>OPERA House</v>
      </c>
      <c r="O2575" s="264"/>
      <c r="P2575" s="264">
        <f>MONTH(Advices[[#This Row],[Transaction Date]])</f>
        <v>5</v>
      </c>
      <c r="Q2575" s="264">
        <f>YEAR(Advices[[#This Row],[Transaction Date]])</f>
        <v>2026</v>
      </c>
      <c r="R2575" s="264"/>
    </row>
    <row r="2576" spans="1:18" hidden="1" x14ac:dyDescent="0.25">
      <c r="A2576" s="264" t="s">
        <v>366</v>
      </c>
      <c r="B2576" s="265">
        <v>46146</v>
      </c>
      <c r="C2576" s="266" t="s">
        <v>2060</v>
      </c>
      <c r="D2576" s="264" t="s">
        <v>5214</v>
      </c>
      <c r="E2576" s="264" t="s">
        <v>1872</v>
      </c>
      <c r="F2576" s="264" t="s">
        <v>5215</v>
      </c>
      <c r="G2576" s="266" t="s">
        <v>26</v>
      </c>
      <c r="H2576" s="299">
        <v>1265</v>
      </c>
      <c r="I2576" s="266">
        <v>0</v>
      </c>
      <c r="J2576" s="264" t="s">
        <v>1125</v>
      </c>
      <c r="K2576" s="264" t="s">
        <v>2025</v>
      </c>
      <c r="L2576" s="1" t="str">
        <f>VLOOKUP(Advices[[#This Row],[LC Number]],'Combine_List'!A:D,2,0)</f>
        <v>Mimar For Construction Tools &amp; Trading Ltd.</v>
      </c>
      <c r="M2576" s="1" t="str">
        <f>VLOOKUP(Advices[[#This Row],[LC Number]],'Combine_List'!A:D,3,0)</f>
        <v>FIRST FIX</v>
      </c>
      <c r="N2576" s="1" t="str">
        <f>VLOOKUP(Advices[[#This Row],[LC Number]],'Combine_List'!A:D,4,0)</f>
        <v>MP1</v>
      </c>
      <c r="O2576" s="1"/>
      <c r="P2576" s="1">
        <f>MONTH(Advices[[#This Row],[Transaction Date]])</f>
        <v>5</v>
      </c>
      <c r="Q2576" s="1">
        <f>YEAR(Advices[[#This Row],[Transaction Date]])</f>
        <v>2026</v>
      </c>
      <c r="R2576" s="1"/>
    </row>
    <row r="2577" spans="1:18" hidden="1" x14ac:dyDescent="0.25">
      <c r="A2577" s="264" t="s">
        <v>366</v>
      </c>
      <c r="B2577" s="265">
        <v>46146</v>
      </c>
      <c r="C2577" s="266" t="s">
        <v>2057</v>
      </c>
      <c r="D2577" s="264" t="s">
        <v>5216</v>
      </c>
      <c r="E2577" s="264" t="s">
        <v>1652</v>
      </c>
      <c r="F2577" s="264" t="s">
        <v>4286</v>
      </c>
      <c r="G2577" s="266" t="s">
        <v>26</v>
      </c>
      <c r="H2577" s="299">
        <v>100810.74</v>
      </c>
      <c r="I2577" s="266">
        <v>0</v>
      </c>
      <c r="J2577" s="264" t="s">
        <v>1126</v>
      </c>
      <c r="K2577" s="264" t="s">
        <v>2025</v>
      </c>
      <c r="L2577" s="1" t="str">
        <f>VLOOKUP(Advices[[#This Row],[LC Number]],'Combine_List'!A:D,2,0)</f>
        <v>Riyadh Unity for Trading</v>
      </c>
      <c r="M2577" s="1" t="str">
        <f>VLOOKUP(Advices[[#This Row],[LC Number]],'Combine_List'!A:D,3,0)</f>
        <v>FIRST FIX</v>
      </c>
      <c r="N2577" s="1" t="str">
        <f>VLOOKUP(Advices[[#This Row],[LC Number]],'Combine_List'!A:D,4,0)</f>
        <v>CEER</v>
      </c>
      <c r="O2577" s="1"/>
      <c r="P2577" s="1">
        <f>MONTH(Advices[[#This Row],[Transaction Date]])</f>
        <v>5</v>
      </c>
      <c r="Q2577" s="1">
        <f>YEAR(Advices[[#This Row],[Transaction Date]])</f>
        <v>2026</v>
      </c>
      <c r="R2577" s="1"/>
    </row>
    <row r="2578" spans="1:18" hidden="1" x14ac:dyDescent="0.25">
      <c r="A2578" s="264" t="s">
        <v>366</v>
      </c>
      <c r="B2578" s="265">
        <v>46147</v>
      </c>
      <c r="C2578" s="266" t="s">
        <v>2060</v>
      </c>
      <c r="D2578" s="264" t="s">
        <v>5217</v>
      </c>
      <c r="E2578" s="264" t="s">
        <v>1873</v>
      </c>
      <c r="F2578" s="264" t="s">
        <v>3706</v>
      </c>
      <c r="G2578" s="266" t="s">
        <v>26</v>
      </c>
      <c r="H2578" s="299">
        <v>1071489.43</v>
      </c>
      <c r="I2578" s="266">
        <v>0</v>
      </c>
      <c r="J2578" s="264" t="s">
        <v>1126</v>
      </c>
      <c r="K2578" s="264" t="s">
        <v>2025</v>
      </c>
      <c r="L2578" s="1" t="str">
        <f>VLOOKUP(Advices[[#This Row],[LC Number]],'Combine_List'!A:D,2,0)</f>
        <v>BAHRA ADVANCED CABLE MANUFACTURE CO. LTD.</v>
      </c>
      <c r="M2578" s="1" t="str">
        <f>VLOOKUP(Advices[[#This Row],[LC Number]],'Combine_List'!A:D,3,0)</f>
        <v>FIRST FIX</v>
      </c>
      <c r="N2578" s="1" t="str">
        <f>VLOOKUP(Advices[[#This Row],[LC Number]],'Combine_List'!A:D,4,0)</f>
        <v>MP1</v>
      </c>
      <c r="O2578" s="1"/>
      <c r="P2578" s="1">
        <f>MONTH(Advices[[#This Row],[Transaction Date]])</f>
        <v>5</v>
      </c>
      <c r="Q2578" s="1">
        <f>YEAR(Advices[[#This Row],[Transaction Date]])</f>
        <v>2026</v>
      </c>
      <c r="R2578" s="1"/>
    </row>
    <row r="2579" spans="1:18" hidden="1" x14ac:dyDescent="0.25">
      <c r="A2579" s="264" t="s">
        <v>366</v>
      </c>
      <c r="B2579" s="265">
        <v>46147</v>
      </c>
      <c r="C2579" s="266" t="s">
        <v>2060</v>
      </c>
      <c r="D2579" s="264" t="s">
        <v>5218</v>
      </c>
      <c r="E2579" s="264" t="s">
        <v>3900</v>
      </c>
      <c r="F2579" s="264" t="s">
        <v>4670</v>
      </c>
      <c r="G2579" s="266" t="s">
        <v>26</v>
      </c>
      <c r="H2579" s="299">
        <v>500000</v>
      </c>
      <c r="I2579" s="266">
        <v>0</v>
      </c>
      <c r="J2579" s="264" t="s">
        <v>1126</v>
      </c>
      <c r="K2579" s="264" t="s">
        <v>2025</v>
      </c>
      <c r="L2579" s="1" t="str">
        <f>VLOOKUP(Advices[[#This Row],[LC Number]],'Combine_List'!A:D,2,0)</f>
        <v>Mariam Trading CO. &amp; Partner</v>
      </c>
      <c r="M2579" s="1" t="str">
        <f>VLOOKUP(Advices[[#This Row],[LC Number]],'Combine_List'!A:D,3,0)</f>
        <v>FIRST FIX</v>
      </c>
      <c r="N2579" s="1" t="str">
        <f>VLOOKUP(Advices[[#This Row],[LC Number]],'Combine_List'!A:D,4,0)</f>
        <v>MP1</v>
      </c>
      <c r="O2579" s="1"/>
      <c r="P2579" s="1">
        <f>MONTH(Advices[[#This Row],[Transaction Date]])</f>
        <v>5</v>
      </c>
      <c r="Q2579" s="1">
        <f>YEAR(Advices[[#This Row],[Transaction Date]])</f>
        <v>2026</v>
      </c>
      <c r="R2579" s="1"/>
    </row>
    <row r="2580" spans="1:18" hidden="1" x14ac:dyDescent="0.25">
      <c r="A2580" s="264" t="s">
        <v>366</v>
      </c>
      <c r="B2580" s="265">
        <v>46147</v>
      </c>
      <c r="C2580" s="266" t="s">
        <v>2060</v>
      </c>
      <c r="D2580" s="264" t="s">
        <v>5219</v>
      </c>
      <c r="E2580" s="264" t="s">
        <v>3265</v>
      </c>
      <c r="F2580" s="264" t="s">
        <v>4025</v>
      </c>
      <c r="G2580" s="266" t="s">
        <v>26</v>
      </c>
      <c r="H2580" s="299">
        <v>650518.46</v>
      </c>
      <c r="I2580" s="266">
        <v>0</v>
      </c>
      <c r="J2580" s="264" t="s">
        <v>1126</v>
      </c>
      <c r="K2580" s="264" t="s">
        <v>2025</v>
      </c>
      <c r="L2580" s="264" t="str">
        <f>VLOOKUP(Advices[[#This Row],[LC Number]],'Combine_List'!A:D,2,0)</f>
        <v>MASQ FOR ELECTRICAL TOOLS CO</v>
      </c>
      <c r="M2580" s="264" t="str">
        <f>VLOOKUP(Advices[[#This Row],[LC Number]],'Combine_List'!A:D,3,0)</f>
        <v>FIRST FIX</v>
      </c>
      <c r="N2580" s="264" t="str">
        <f>VLOOKUP(Advices[[#This Row],[LC Number]],'Combine_List'!A:D,4,0)</f>
        <v>MP1</v>
      </c>
      <c r="O2580" s="264"/>
      <c r="P2580" s="264">
        <f>MONTH(Advices[[#This Row],[Transaction Date]])</f>
        <v>5</v>
      </c>
      <c r="Q2580" s="264">
        <f>YEAR(Advices[[#This Row],[Transaction Date]])</f>
        <v>2026</v>
      </c>
      <c r="R2580" s="264"/>
    </row>
    <row r="2581" spans="1:18" hidden="1" x14ac:dyDescent="0.25">
      <c r="A2581" s="264" t="s">
        <v>1073</v>
      </c>
      <c r="B2581" s="265">
        <v>46148</v>
      </c>
      <c r="C2581" s="266" t="s">
        <v>3164</v>
      </c>
      <c r="D2581" s="264" t="s">
        <v>4301</v>
      </c>
      <c r="E2581" s="264" t="s">
        <v>5192</v>
      </c>
      <c r="F2581" s="264" t="s">
        <v>2041</v>
      </c>
      <c r="G2581" s="266" t="s">
        <v>26</v>
      </c>
      <c r="H2581" s="299">
        <v>321752.44</v>
      </c>
      <c r="I2581" s="266">
        <v>0</v>
      </c>
      <c r="J2581" s="264" t="s">
        <v>5250</v>
      </c>
      <c r="K2581" s="264" t="s">
        <v>2025</v>
      </c>
      <c r="L2581" s="1" t="str">
        <f>VLOOKUP(Advices[[#This Row],[LC Number]],'Combine_List'!A:D,2,0)</f>
        <v>Henan Chongpeng Machinery Co Ltd</v>
      </c>
      <c r="M2581" s="1" t="str">
        <f>VLOOKUP(Advices[[#This Row],[LC Number]],'Combine_List'!A:D,3,0)</f>
        <v>MBL</v>
      </c>
      <c r="N2581" s="1" t="str">
        <f>VLOOKUP(Advices[[#This Row],[LC Number]],'Combine_List'!A:D,4,0)</f>
        <v>Lagoon</v>
      </c>
      <c r="O2581" s="1"/>
      <c r="P2581" s="1">
        <f>MONTH(Advices[[#This Row],[Transaction Date]])</f>
        <v>5</v>
      </c>
      <c r="Q2581" s="1">
        <f>YEAR(Advices[[#This Row],[Transaction Date]])</f>
        <v>2026</v>
      </c>
      <c r="R2581" s="1"/>
    </row>
    <row r="2582" spans="1:18" hidden="1" x14ac:dyDescent="0.25">
      <c r="A2582" s="264" t="s">
        <v>1073</v>
      </c>
      <c r="B2582" s="265">
        <v>46148</v>
      </c>
      <c r="C2582" s="266" t="s">
        <v>3164</v>
      </c>
      <c r="D2582" s="264" t="s">
        <v>3165</v>
      </c>
      <c r="E2582" s="264" t="s">
        <v>5192</v>
      </c>
      <c r="F2582" s="264" t="s">
        <v>2041</v>
      </c>
      <c r="G2582" s="266" t="s">
        <v>26</v>
      </c>
      <c r="H2582" s="299">
        <v>1005.48</v>
      </c>
      <c r="I2582" s="266">
        <v>0</v>
      </c>
      <c r="J2582" s="264" t="s">
        <v>2616</v>
      </c>
      <c r="K2582" s="264" t="s">
        <v>2025</v>
      </c>
      <c r="L2582" s="1" t="str">
        <f>VLOOKUP(Advices[[#This Row],[LC Number]],'Combine_List'!A:D,2,0)</f>
        <v>Henan Chongpeng Machinery Co Ltd</v>
      </c>
      <c r="M2582" s="1" t="str">
        <f>VLOOKUP(Advices[[#This Row],[LC Number]],'Combine_List'!A:D,3,0)</f>
        <v>MBL</v>
      </c>
      <c r="N2582" s="1" t="str">
        <f>VLOOKUP(Advices[[#This Row],[LC Number]],'Combine_List'!A:D,4,0)</f>
        <v>Lagoon</v>
      </c>
      <c r="O2582" s="1"/>
      <c r="P2582" s="1">
        <f>MONTH(Advices[[#This Row],[Transaction Date]])</f>
        <v>5</v>
      </c>
      <c r="Q2582" s="1">
        <f>YEAR(Advices[[#This Row],[Transaction Date]])</f>
        <v>2026</v>
      </c>
      <c r="R2582" s="1"/>
    </row>
    <row r="2583" spans="1:18" hidden="1" x14ac:dyDescent="0.25">
      <c r="A2583" s="264" t="s">
        <v>1073</v>
      </c>
      <c r="B2583" s="265">
        <v>46148</v>
      </c>
      <c r="C2583" s="266" t="s">
        <v>3164</v>
      </c>
      <c r="D2583" s="264" t="s">
        <v>3166</v>
      </c>
      <c r="E2583" s="264" t="s">
        <v>5192</v>
      </c>
      <c r="F2583" s="264" t="s">
        <v>2041</v>
      </c>
      <c r="G2583" s="266" t="s">
        <v>26</v>
      </c>
      <c r="H2583" s="299">
        <v>1000</v>
      </c>
      <c r="I2583" s="266">
        <v>0</v>
      </c>
      <c r="J2583" s="264" t="s">
        <v>2616</v>
      </c>
      <c r="K2583" s="264" t="s">
        <v>2025</v>
      </c>
      <c r="L2583" s="1" t="str">
        <f>VLOOKUP(Advices[[#This Row],[LC Number]],'Combine_List'!A:D,2,0)</f>
        <v>Henan Chongpeng Machinery Co Ltd</v>
      </c>
      <c r="M2583" s="1" t="str">
        <f>VLOOKUP(Advices[[#This Row],[LC Number]],'Combine_List'!A:D,3,0)</f>
        <v>MBL</v>
      </c>
      <c r="N2583" s="1" t="str">
        <f>VLOOKUP(Advices[[#This Row],[LC Number]],'Combine_List'!A:D,4,0)</f>
        <v>Lagoon</v>
      </c>
      <c r="O2583" s="1"/>
      <c r="P2583" s="1">
        <f>MONTH(Advices[[#This Row],[Transaction Date]])</f>
        <v>5</v>
      </c>
      <c r="Q2583" s="1">
        <f>YEAR(Advices[[#This Row],[Transaction Date]])</f>
        <v>2026</v>
      </c>
      <c r="R2583" s="1"/>
    </row>
    <row r="2584" spans="1:18" hidden="1" x14ac:dyDescent="0.25">
      <c r="A2584" s="264" t="s">
        <v>1073</v>
      </c>
      <c r="B2584" s="265">
        <v>46148</v>
      </c>
      <c r="C2584" s="266" t="s">
        <v>3164</v>
      </c>
      <c r="D2584" s="264" t="s">
        <v>3167</v>
      </c>
      <c r="E2584" s="264" t="s">
        <v>5192</v>
      </c>
      <c r="F2584" s="264" t="s">
        <v>2041</v>
      </c>
      <c r="G2584" s="266" t="s">
        <v>26</v>
      </c>
      <c r="H2584" s="299">
        <v>500</v>
      </c>
      <c r="I2584" s="266">
        <v>0</v>
      </c>
      <c r="J2584" s="264" t="s">
        <v>2616</v>
      </c>
      <c r="K2584" s="264" t="s">
        <v>2025</v>
      </c>
      <c r="L2584" s="1" t="str">
        <f>VLOOKUP(Advices[[#This Row],[LC Number]],'Combine_List'!A:D,2,0)</f>
        <v>Henan Chongpeng Machinery Co Ltd</v>
      </c>
      <c r="M2584" s="1" t="str">
        <f>VLOOKUP(Advices[[#This Row],[LC Number]],'Combine_List'!A:D,3,0)</f>
        <v>MBL</v>
      </c>
      <c r="N2584" s="1" t="str">
        <f>VLOOKUP(Advices[[#This Row],[LC Number]],'Combine_List'!A:D,4,0)</f>
        <v>Lagoon</v>
      </c>
      <c r="O2584" s="1"/>
      <c r="P2584" s="1">
        <f>MONTH(Advices[[#This Row],[Transaction Date]])</f>
        <v>5</v>
      </c>
      <c r="Q2584" s="1">
        <f>YEAR(Advices[[#This Row],[Transaction Date]])</f>
        <v>2026</v>
      </c>
      <c r="R2584" s="1"/>
    </row>
    <row r="2585" spans="1:18" hidden="1" x14ac:dyDescent="0.25">
      <c r="A2585" s="264" t="s">
        <v>1073</v>
      </c>
      <c r="B2585" s="265">
        <v>46148</v>
      </c>
      <c r="C2585" s="266" t="s">
        <v>3164</v>
      </c>
      <c r="D2585" s="264" t="s">
        <v>3168</v>
      </c>
      <c r="E2585" s="264" t="s">
        <v>5192</v>
      </c>
      <c r="F2585" s="264" t="s">
        <v>2041</v>
      </c>
      <c r="G2585" s="266" t="s">
        <v>26</v>
      </c>
      <c r="H2585" s="299">
        <v>150.82</v>
      </c>
      <c r="I2585" s="266">
        <v>0</v>
      </c>
      <c r="J2585" s="264" t="s">
        <v>2616</v>
      </c>
      <c r="K2585" s="264" t="s">
        <v>2025</v>
      </c>
      <c r="L2585" s="1" t="str">
        <f>VLOOKUP(Advices[[#This Row],[LC Number]],'Combine_List'!A:D,2,0)</f>
        <v>Henan Chongpeng Machinery Co Ltd</v>
      </c>
      <c r="M2585" s="1" t="str">
        <f>VLOOKUP(Advices[[#This Row],[LC Number]],'Combine_List'!A:D,3,0)</f>
        <v>MBL</v>
      </c>
      <c r="N2585" s="1" t="str">
        <f>VLOOKUP(Advices[[#This Row],[LC Number]],'Combine_List'!A:D,4,0)</f>
        <v>Lagoon</v>
      </c>
      <c r="O2585" s="1"/>
      <c r="P2585" s="1">
        <f>MONTH(Advices[[#This Row],[Transaction Date]])</f>
        <v>5</v>
      </c>
      <c r="Q2585" s="1">
        <f>YEAR(Advices[[#This Row],[Transaction Date]])</f>
        <v>2026</v>
      </c>
      <c r="R2585" s="1"/>
    </row>
    <row r="2586" spans="1:18" hidden="1" x14ac:dyDescent="0.25">
      <c r="A2586" s="264" t="s">
        <v>1073</v>
      </c>
      <c r="B2586" s="265">
        <v>46148</v>
      </c>
      <c r="C2586" s="266" t="s">
        <v>3164</v>
      </c>
      <c r="D2586" s="264" t="s">
        <v>3168</v>
      </c>
      <c r="E2586" s="264" t="s">
        <v>5192</v>
      </c>
      <c r="F2586" s="264" t="s">
        <v>2041</v>
      </c>
      <c r="G2586" s="266" t="s">
        <v>26</v>
      </c>
      <c r="H2586" s="299">
        <v>150</v>
      </c>
      <c r="I2586" s="266">
        <v>0</v>
      </c>
      <c r="J2586" s="264" t="s">
        <v>2616</v>
      </c>
      <c r="K2586" s="264" t="s">
        <v>2025</v>
      </c>
      <c r="L2586" s="1" t="str">
        <f>VLOOKUP(Advices[[#This Row],[LC Number]],'Combine_List'!A:D,2,0)</f>
        <v>Henan Chongpeng Machinery Co Ltd</v>
      </c>
      <c r="M2586" s="1" t="str">
        <f>VLOOKUP(Advices[[#This Row],[LC Number]],'Combine_List'!A:D,3,0)</f>
        <v>MBL</v>
      </c>
      <c r="N2586" s="1" t="str">
        <f>VLOOKUP(Advices[[#This Row],[LC Number]],'Combine_List'!A:D,4,0)</f>
        <v>Lagoon</v>
      </c>
      <c r="O2586" s="1"/>
      <c r="P2586" s="1">
        <f>MONTH(Advices[[#This Row],[Transaction Date]])</f>
        <v>5</v>
      </c>
      <c r="Q2586" s="1">
        <f>YEAR(Advices[[#This Row],[Transaction Date]])</f>
        <v>2026</v>
      </c>
      <c r="R2586" s="1"/>
    </row>
    <row r="2587" spans="1:18" hidden="1" x14ac:dyDescent="0.25">
      <c r="A2587" s="264" t="s">
        <v>1073</v>
      </c>
      <c r="B2587" s="265">
        <v>46148</v>
      </c>
      <c r="C2587" s="266" t="s">
        <v>3164</v>
      </c>
      <c r="D2587" s="264" t="s">
        <v>3168</v>
      </c>
      <c r="E2587" s="264" t="s">
        <v>5192</v>
      </c>
      <c r="F2587" s="264" t="s">
        <v>2041</v>
      </c>
      <c r="G2587" s="266" t="s">
        <v>26</v>
      </c>
      <c r="H2587" s="299">
        <v>75</v>
      </c>
      <c r="I2587" s="266">
        <v>0</v>
      </c>
      <c r="J2587" s="264" t="s">
        <v>2616</v>
      </c>
      <c r="K2587" s="264" t="s">
        <v>2025</v>
      </c>
      <c r="L2587" s="264" t="str">
        <f>VLOOKUP(Advices[[#This Row],[LC Number]],'Combine_List'!A:D,2,0)</f>
        <v>Henan Chongpeng Machinery Co Ltd</v>
      </c>
      <c r="M2587" s="264" t="str">
        <f>VLOOKUP(Advices[[#This Row],[LC Number]],'Combine_List'!A:D,3,0)</f>
        <v>MBL</v>
      </c>
      <c r="N2587" s="264" t="str">
        <f>VLOOKUP(Advices[[#This Row],[LC Number]],'Combine_List'!A:D,4,0)</f>
        <v>Lagoon</v>
      </c>
      <c r="O2587" s="264"/>
      <c r="P2587" s="264">
        <f>MONTH(Advices[[#This Row],[Transaction Date]])</f>
        <v>5</v>
      </c>
      <c r="Q2587" s="264">
        <f>YEAR(Advices[[#This Row],[Transaction Date]])</f>
        <v>2026</v>
      </c>
      <c r="R2587" s="264"/>
    </row>
    <row r="2588" spans="1:18" hidden="1" x14ac:dyDescent="0.25">
      <c r="A2588" s="264" t="s">
        <v>612</v>
      </c>
      <c r="B2588" s="265">
        <v>46145</v>
      </c>
      <c r="C2588" s="266" t="s">
        <v>2101</v>
      </c>
      <c r="D2588" s="264" t="s">
        <v>5220</v>
      </c>
      <c r="E2588" s="264" t="s">
        <v>3568</v>
      </c>
      <c r="F2588" s="264" t="s">
        <v>2041</v>
      </c>
      <c r="G2588" s="266" t="s">
        <v>26</v>
      </c>
      <c r="H2588" s="299">
        <v>209875</v>
      </c>
      <c r="I2588" s="266">
        <v>0</v>
      </c>
      <c r="J2588" s="264" t="s">
        <v>1126</v>
      </c>
      <c r="K2588" s="264" t="s">
        <v>2025</v>
      </c>
      <c r="L2588" s="1" t="str">
        <f>VLOOKUP(Advices[[#This Row],[LC Number]],'Combine_List'!A:D,2,0)</f>
        <v xml:space="preserve">Al Wasail Industrial Co </v>
      </c>
      <c r="M2588" s="1" t="str">
        <f>VLOOKUP(Advices[[#This Row],[LC Number]],'Combine_List'!A:D,3,0)</f>
        <v>FIRST FIX</v>
      </c>
      <c r="N2588" s="1" t="str">
        <f>VLOOKUP(Advices[[#This Row],[LC Number]],'Combine_List'!A:D,4,0)</f>
        <v>RCRC</v>
      </c>
      <c r="O2588" s="1"/>
      <c r="P2588" s="1">
        <f>MONTH(Advices[[#This Row],[Transaction Date]])</f>
        <v>5</v>
      </c>
      <c r="Q2588" s="1">
        <f>YEAR(Advices[[#This Row],[Transaction Date]])</f>
        <v>2026</v>
      </c>
      <c r="R2588" s="1"/>
    </row>
    <row r="2589" spans="1:18" hidden="1" x14ac:dyDescent="0.25">
      <c r="A2589" s="264" t="s">
        <v>612</v>
      </c>
      <c r="B2589" s="265">
        <v>46145</v>
      </c>
      <c r="C2589" s="266" t="s">
        <v>2101</v>
      </c>
      <c r="D2589" s="264" t="s">
        <v>5221</v>
      </c>
      <c r="E2589" s="264" t="s">
        <v>3567</v>
      </c>
      <c r="F2589" s="264" t="s">
        <v>2041</v>
      </c>
      <c r="G2589" s="266" t="s">
        <v>26</v>
      </c>
      <c r="H2589" s="299">
        <v>212349.8</v>
      </c>
      <c r="I2589" s="266">
        <v>0</v>
      </c>
      <c r="J2589" s="264" t="s">
        <v>1126</v>
      </c>
      <c r="K2589" s="264" t="s">
        <v>2025</v>
      </c>
      <c r="L2589" s="1" t="str">
        <f>VLOOKUP(Advices[[#This Row],[LC Number]],'Combine_List'!A:D,2,0)</f>
        <v>Mohammed Masoud Al Khaldi Est</v>
      </c>
      <c r="M2589" s="1" t="str">
        <f>VLOOKUP(Advices[[#This Row],[LC Number]],'Combine_List'!A:D,3,0)</f>
        <v>FIRST FIX</v>
      </c>
      <c r="N2589" s="1" t="str">
        <f>VLOOKUP(Advices[[#This Row],[LC Number]],'Combine_List'!A:D,4,0)</f>
        <v>RCRC</v>
      </c>
      <c r="O2589" s="1"/>
      <c r="P2589" s="1">
        <f>MONTH(Advices[[#This Row],[Transaction Date]])</f>
        <v>5</v>
      </c>
      <c r="Q2589" s="1">
        <f>YEAR(Advices[[#This Row],[Transaction Date]])</f>
        <v>2026</v>
      </c>
      <c r="R2589" s="1"/>
    </row>
    <row r="2590" spans="1:18" hidden="1" x14ac:dyDescent="0.25">
      <c r="A2590" s="264" t="s">
        <v>612</v>
      </c>
      <c r="B2590" s="265">
        <v>46146</v>
      </c>
      <c r="C2590" s="266" t="s">
        <v>2101</v>
      </c>
      <c r="D2590" s="264" t="s">
        <v>5222</v>
      </c>
      <c r="E2590" s="264" t="s">
        <v>4048</v>
      </c>
      <c r="F2590" s="264" t="s">
        <v>2041</v>
      </c>
      <c r="G2590" s="266" t="s">
        <v>26</v>
      </c>
      <c r="H2590" s="299">
        <v>1406.25</v>
      </c>
      <c r="I2590" s="266">
        <v>0</v>
      </c>
      <c r="J2590" s="264" t="s">
        <v>1174</v>
      </c>
      <c r="K2590" s="264" t="s">
        <v>2025</v>
      </c>
      <c r="L2590" s="1" t="str">
        <f>VLOOKUP(Advices[[#This Row],[LC Number]],'Combine_List'!A:D,2,0)</f>
        <v>Bid - DIRIYAH COMPANY</v>
      </c>
      <c r="M2590" s="1">
        <f>VLOOKUP(Advices[[#This Row],[LC Number]],'Combine_List'!A:D,3,0)</f>
        <v>0</v>
      </c>
      <c r="N2590" s="1">
        <f>VLOOKUP(Advices[[#This Row],[LC Number]],'Combine_List'!A:D,4,0)</f>
        <v>0</v>
      </c>
      <c r="O2590" s="1"/>
      <c r="P2590" s="1">
        <f>MONTH(Advices[[#This Row],[Transaction Date]])</f>
        <v>5</v>
      </c>
      <c r="Q2590" s="1">
        <f>YEAR(Advices[[#This Row],[Transaction Date]])</f>
        <v>2026</v>
      </c>
      <c r="R2590" s="1"/>
    </row>
    <row r="2591" spans="1:18" hidden="1" x14ac:dyDescent="0.25">
      <c r="A2591" s="264" t="s">
        <v>612</v>
      </c>
      <c r="B2591" s="265">
        <v>46146</v>
      </c>
      <c r="C2591" s="266" t="s">
        <v>2101</v>
      </c>
      <c r="D2591" s="264" t="s">
        <v>5223</v>
      </c>
      <c r="E2591" s="264" t="s">
        <v>4048</v>
      </c>
      <c r="F2591" s="264" t="s">
        <v>2041</v>
      </c>
      <c r="G2591" s="266" t="s">
        <v>26</v>
      </c>
      <c r="H2591" s="299">
        <v>9375</v>
      </c>
      <c r="I2591" s="266">
        <v>0</v>
      </c>
      <c r="J2591" s="264" t="s">
        <v>2793</v>
      </c>
      <c r="K2591" s="264" t="s">
        <v>2025</v>
      </c>
      <c r="L2591" s="1" t="str">
        <f>VLOOKUP(Advices[[#This Row],[LC Number]],'Combine_List'!A:D,2,0)</f>
        <v>Bid - DIRIYAH COMPANY</v>
      </c>
      <c r="M2591" s="1">
        <f>VLOOKUP(Advices[[#This Row],[LC Number]],'Combine_List'!A:D,3,0)</f>
        <v>0</v>
      </c>
      <c r="N2591" s="1">
        <f>VLOOKUP(Advices[[#This Row],[LC Number]],'Combine_List'!A:D,4,0)</f>
        <v>0</v>
      </c>
      <c r="O2591" s="1"/>
      <c r="P2591" s="1">
        <f>MONTH(Advices[[#This Row],[Transaction Date]])</f>
        <v>5</v>
      </c>
      <c r="Q2591" s="1">
        <f>YEAR(Advices[[#This Row],[Transaction Date]])</f>
        <v>2026</v>
      </c>
      <c r="R2591" s="1"/>
    </row>
    <row r="2592" spans="1:18" hidden="1" x14ac:dyDescent="0.25">
      <c r="A2592" s="264" t="s">
        <v>612</v>
      </c>
      <c r="B2592" s="265">
        <v>46146</v>
      </c>
      <c r="C2592" s="266" t="s">
        <v>2101</v>
      </c>
      <c r="D2592" s="264" t="s">
        <v>5224</v>
      </c>
      <c r="E2592" s="264" t="s">
        <v>1560</v>
      </c>
      <c r="F2592" s="264" t="s">
        <v>2041</v>
      </c>
      <c r="G2592" s="266" t="s">
        <v>26</v>
      </c>
      <c r="H2592" s="299">
        <v>75</v>
      </c>
      <c r="I2592" s="266">
        <v>0</v>
      </c>
      <c r="J2592" s="264" t="s">
        <v>1174</v>
      </c>
      <c r="K2592" s="264" t="s">
        <v>2025</v>
      </c>
      <c r="L2592" s="1" t="str">
        <f>VLOOKUP(Advices[[#This Row],[LC Number]],'Combine_List'!A:D,2,0)</f>
        <v>Ealla For General Contracting</v>
      </c>
      <c r="M2592" s="1" t="str">
        <f>VLOOKUP(Advices[[#This Row],[LC Number]],'Combine_List'!A:D,3,0)</f>
        <v>FIRST FIX</v>
      </c>
      <c r="N2592" s="1" t="str">
        <f>VLOOKUP(Advices[[#This Row],[LC Number]],'Combine_List'!A:D,4,0)</f>
        <v>RCRC</v>
      </c>
      <c r="O2592" s="1"/>
      <c r="P2592" s="1">
        <f>MONTH(Advices[[#This Row],[Transaction Date]])</f>
        <v>5</v>
      </c>
      <c r="Q2592" s="1">
        <f>YEAR(Advices[[#This Row],[Transaction Date]])</f>
        <v>2026</v>
      </c>
      <c r="R2592" s="1"/>
    </row>
    <row r="2593" spans="1:18" hidden="1" x14ac:dyDescent="0.25">
      <c r="A2593" s="264" t="s">
        <v>612</v>
      </c>
      <c r="B2593" s="265">
        <v>46146</v>
      </c>
      <c r="C2593" s="266" t="s">
        <v>2101</v>
      </c>
      <c r="D2593" s="264" t="s">
        <v>5225</v>
      </c>
      <c r="E2593" s="264" t="s">
        <v>1560</v>
      </c>
      <c r="F2593" s="264" t="s">
        <v>2041</v>
      </c>
      <c r="G2593" s="266" t="s">
        <v>26</v>
      </c>
      <c r="H2593" s="299">
        <v>500</v>
      </c>
      <c r="I2593" s="266">
        <v>0</v>
      </c>
      <c r="J2593" s="264" t="s">
        <v>1124</v>
      </c>
      <c r="K2593" s="264" t="s">
        <v>2025</v>
      </c>
      <c r="L2593" s="1" t="str">
        <f>VLOOKUP(Advices[[#This Row],[LC Number]],'Combine_List'!A:D,2,0)</f>
        <v>Ealla For General Contracting</v>
      </c>
      <c r="M2593" s="1" t="str">
        <f>VLOOKUP(Advices[[#This Row],[LC Number]],'Combine_List'!A:D,3,0)</f>
        <v>FIRST FIX</v>
      </c>
      <c r="N2593" s="1" t="str">
        <f>VLOOKUP(Advices[[#This Row],[LC Number]],'Combine_List'!A:D,4,0)</f>
        <v>RCRC</v>
      </c>
      <c r="O2593" s="1"/>
      <c r="P2593" s="1">
        <f>MONTH(Advices[[#This Row],[Transaction Date]])</f>
        <v>5</v>
      </c>
      <c r="Q2593" s="1">
        <f>YEAR(Advices[[#This Row],[Transaction Date]])</f>
        <v>2026</v>
      </c>
      <c r="R2593" s="1"/>
    </row>
    <row r="2594" spans="1:18" hidden="1" x14ac:dyDescent="0.25">
      <c r="A2594" s="264" t="s">
        <v>612</v>
      </c>
      <c r="B2594" s="265">
        <v>46146</v>
      </c>
      <c r="C2594" s="266" t="s">
        <v>2101</v>
      </c>
      <c r="D2594" s="264" t="s">
        <v>5226</v>
      </c>
      <c r="E2594" s="264" t="s">
        <v>1396</v>
      </c>
      <c r="F2594" s="264" t="s">
        <v>2041</v>
      </c>
      <c r="G2594" s="266" t="s">
        <v>26</v>
      </c>
      <c r="H2594" s="299">
        <v>30</v>
      </c>
      <c r="I2594" s="266">
        <v>0</v>
      </c>
      <c r="J2594" s="264" t="s">
        <v>1174</v>
      </c>
      <c r="K2594" s="264" t="s">
        <v>2025</v>
      </c>
      <c r="L2594" s="1" t="str">
        <f>VLOOKUP(Advices[[#This Row],[LC Number]],'Combine_List'!A:D,2,0)</f>
        <v>Baamer Group for Trading Company</v>
      </c>
      <c r="M2594" s="1" t="str">
        <f>VLOOKUP(Advices[[#This Row],[LC Number]],'Combine_List'!A:D,3,0)</f>
        <v>FIRST FIX</v>
      </c>
      <c r="N2594" s="1" t="str">
        <f>VLOOKUP(Advices[[#This Row],[LC Number]],'Combine_List'!A:D,4,0)</f>
        <v>RCRC</v>
      </c>
      <c r="O2594" s="1"/>
      <c r="P2594" s="1">
        <f>MONTH(Advices[[#This Row],[Transaction Date]])</f>
        <v>5</v>
      </c>
      <c r="Q2594" s="1">
        <f>YEAR(Advices[[#This Row],[Transaction Date]])</f>
        <v>2026</v>
      </c>
      <c r="R2594" s="1"/>
    </row>
    <row r="2595" spans="1:18" hidden="1" x14ac:dyDescent="0.25">
      <c r="A2595" s="264" t="s">
        <v>612</v>
      </c>
      <c r="B2595" s="265">
        <v>46146</v>
      </c>
      <c r="C2595" s="266" t="s">
        <v>2101</v>
      </c>
      <c r="D2595" s="264" t="s">
        <v>5227</v>
      </c>
      <c r="E2595" s="264" t="s">
        <v>1396</v>
      </c>
      <c r="F2595" s="264" t="s">
        <v>2041</v>
      </c>
      <c r="G2595" s="266" t="s">
        <v>26</v>
      </c>
      <c r="H2595" s="299">
        <v>200</v>
      </c>
      <c r="I2595" s="266">
        <v>0</v>
      </c>
      <c r="J2595" s="264" t="s">
        <v>1124</v>
      </c>
      <c r="K2595" s="264" t="s">
        <v>2025</v>
      </c>
      <c r="L2595" s="1" t="str">
        <f>VLOOKUP(Advices[[#This Row],[LC Number]],'Combine_List'!A:D,2,0)</f>
        <v>Baamer Group for Trading Company</v>
      </c>
      <c r="M2595" s="1" t="str">
        <f>VLOOKUP(Advices[[#This Row],[LC Number]],'Combine_List'!A:D,3,0)</f>
        <v>FIRST FIX</v>
      </c>
      <c r="N2595" s="1" t="str">
        <f>VLOOKUP(Advices[[#This Row],[LC Number]],'Combine_List'!A:D,4,0)</f>
        <v>RCRC</v>
      </c>
      <c r="O2595" s="1"/>
      <c r="P2595" s="1">
        <f>MONTH(Advices[[#This Row],[Transaction Date]])</f>
        <v>5</v>
      </c>
      <c r="Q2595" s="1">
        <f>YEAR(Advices[[#This Row],[Transaction Date]])</f>
        <v>2026</v>
      </c>
      <c r="R2595" s="1"/>
    </row>
    <row r="2596" spans="1:18" hidden="1" x14ac:dyDescent="0.25">
      <c r="A2596" s="264" t="s">
        <v>612</v>
      </c>
      <c r="B2596" s="265">
        <v>46146</v>
      </c>
      <c r="C2596" s="266" t="s">
        <v>2101</v>
      </c>
      <c r="D2596" s="264" t="s">
        <v>5228</v>
      </c>
      <c r="E2596" s="264" t="s">
        <v>1396</v>
      </c>
      <c r="F2596" s="264" t="s">
        <v>2041</v>
      </c>
      <c r="G2596" s="266" t="s">
        <v>26</v>
      </c>
      <c r="H2596" s="299">
        <v>75</v>
      </c>
      <c r="I2596" s="266">
        <v>0</v>
      </c>
      <c r="J2596" s="264" t="s">
        <v>1174</v>
      </c>
      <c r="K2596" s="264" t="s">
        <v>2025</v>
      </c>
      <c r="L2596" s="1" t="str">
        <f>VLOOKUP(Advices[[#This Row],[LC Number]],'Combine_List'!A:D,2,0)</f>
        <v>Baamer Group for Trading Company</v>
      </c>
      <c r="M2596" s="1" t="str">
        <f>VLOOKUP(Advices[[#This Row],[LC Number]],'Combine_List'!A:D,3,0)</f>
        <v>FIRST FIX</v>
      </c>
      <c r="N2596" s="1" t="str">
        <f>VLOOKUP(Advices[[#This Row],[LC Number]],'Combine_List'!A:D,4,0)</f>
        <v>RCRC</v>
      </c>
      <c r="O2596" s="1"/>
      <c r="P2596" s="1">
        <f>MONTH(Advices[[#This Row],[Transaction Date]])</f>
        <v>5</v>
      </c>
      <c r="Q2596" s="1">
        <f>YEAR(Advices[[#This Row],[Transaction Date]])</f>
        <v>2026</v>
      </c>
      <c r="R2596" s="1"/>
    </row>
    <row r="2597" spans="1:18" hidden="1" x14ac:dyDescent="0.25">
      <c r="A2597" s="264" t="s">
        <v>612</v>
      </c>
      <c r="B2597" s="265">
        <v>46146</v>
      </c>
      <c r="C2597" s="266" t="s">
        <v>2101</v>
      </c>
      <c r="D2597" s="264" t="s">
        <v>5229</v>
      </c>
      <c r="E2597" s="264" t="s">
        <v>1396</v>
      </c>
      <c r="F2597" s="264" t="s">
        <v>2041</v>
      </c>
      <c r="G2597" s="266" t="s">
        <v>26</v>
      </c>
      <c r="H2597" s="299">
        <v>500</v>
      </c>
      <c r="I2597" s="266">
        <v>0</v>
      </c>
      <c r="J2597" s="264" t="s">
        <v>1124</v>
      </c>
      <c r="K2597" s="264" t="s">
        <v>2025</v>
      </c>
      <c r="L2597" s="1" t="str">
        <f>VLOOKUP(Advices[[#This Row],[LC Number]],'Combine_List'!A:D,2,0)</f>
        <v>Baamer Group for Trading Company</v>
      </c>
      <c r="M2597" s="1" t="str">
        <f>VLOOKUP(Advices[[#This Row],[LC Number]],'Combine_List'!A:D,3,0)</f>
        <v>FIRST FIX</v>
      </c>
      <c r="N2597" s="1" t="str">
        <f>VLOOKUP(Advices[[#This Row],[LC Number]],'Combine_List'!A:D,4,0)</f>
        <v>RCRC</v>
      </c>
      <c r="O2597" s="1"/>
      <c r="P2597" s="1">
        <f>MONTH(Advices[[#This Row],[Transaction Date]])</f>
        <v>5</v>
      </c>
      <c r="Q2597" s="1">
        <f>YEAR(Advices[[#This Row],[Transaction Date]])</f>
        <v>2026</v>
      </c>
      <c r="R2597" s="1"/>
    </row>
    <row r="2598" spans="1:18" hidden="1" x14ac:dyDescent="0.25">
      <c r="A2598" s="264" t="s">
        <v>612</v>
      </c>
      <c r="B2598" s="265">
        <v>46146</v>
      </c>
      <c r="C2598" s="266" t="s">
        <v>2101</v>
      </c>
      <c r="D2598" s="264" t="s">
        <v>5230</v>
      </c>
      <c r="E2598" s="264" t="s">
        <v>1151</v>
      </c>
      <c r="F2598" s="264" t="s">
        <v>2041</v>
      </c>
      <c r="G2598" s="266" t="s">
        <v>26</v>
      </c>
      <c r="H2598" s="299">
        <v>30</v>
      </c>
      <c r="I2598" s="266">
        <v>0</v>
      </c>
      <c r="J2598" s="264" t="s">
        <v>1174</v>
      </c>
      <c r="K2598" s="264" t="s">
        <v>2025</v>
      </c>
      <c r="L2598" s="1" t="str">
        <f>VLOOKUP(Advices[[#This Row],[LC Number]],'Combine_List'!A:D,2,0)</f>
        <v>SAUDI VITRIFIED CLAY PIPE CO</v>
      </c>
      <c r="M2598" s="1" t="str">
        <f>VLOOKUP(Advices[[#This Row],[LC Number]],'Combine_List'!A:D,3,0)</f>
        <v>FIRST FIX</v>
      </c>
      <c r="N2598" s="1" t="str">
        <f>VLOOKUP(Advices[[#This Row],[LC Number]],'Combine_List'!A:D,4,0)</f>
        <v>RCRC</v>
      </c>
      <c r="O2598" s="1"/>
      <c r="P2598" s="1">
        <f>MONTH(Advices[[#This Row],[Transaction Date]])</f>
        <v>5</v>
      </c>
      <c r="Q2598" s="1">
        <f>YEAR(Advices[[#This Row],[Transaction Date]])</f>
        <v>2026</v>
      </c>
      <c r="R2598" s="1"/>
    </row>
    <row r="2599" spans="1:18" hidden="1" x14ac:dyDescent="0.25">
      <c r="A2599" s="264" t="s">
        <v>612</v>
      </c>
      <c r="B2599" s="265">
        <v>46146</v>
      </c>
      <c r="C2599" s="266" t="s">
        <v>2101</v>
      </c>
      <c r="D2599" s="264" t="s">
        <v>5231</v>
      </c>
      <c r="E2599" s="264" t="s">
        <v>1151</v>
      </c>
      <c r="F2599" s="264" t="s">
        <v>2041</v>
      </c>
      <c r="G2599" s="266" t="s">
        <v>26</v>
      </c>
      <c r="H2599" s="299">
        <v>200</v>
      </c>
      <c r="I2599" s="266">
        <v>0</v>
      </c>
      <c r="J2599" s="264" t="s">
        <v>1124</v>
      </c>
      <c r="K2599" s="264" t="s">
        <v>2025</v>
      </c>
      <c r="L2599" s="1" t="str">
        <f>VLOOKUP(Advices[[#This Row],[LC Number]],'Combine_List'!A:D,2,0)</f>
        <v>SAUDI VITRIFIED CLAY PIPE CO</v>
      </c>
      <c r="M2599" s="1" t="str">
        <f>VLOOKUP(Advices[[#This Row],[LC Number]],'Combine_List'!A:D,3,0)</f>
        <v>FIRST FIX</v>
      </c>
      <c r="N2599" s="1" t="str">
        <f>VLOOKUP(Advices[[#This Row],[LC Number]],'Combine_List'!A:D,4,0)</f>
        <v>RCRC</v>
      </c>
      <c r="O2599" s="1"/>
      <c r="P2599" s="1">
        <f>MONTH(Advices[[#This Row],[Transaction Date]])</f>
        <v>5</v>
      </c>
      <c r="Q2599" s="1">
        <f>YEAR(Advices[[#This Row],[Transaction Date]])</f>
        <v>2026</v>
      </c>
      <c r="R2599" s="1"/>
    </row>
    <row r="2600" spans="1:18" hidden="1" x14ac:dyDescent="0.25">
      <c r="A2600" s="264" t="s">
        <v>612</v>
      </c>
      <c r="B2600" s="265">
        <v>46146</v>
      </c>
      <c r="C2600" s="266" t="s">
        <v>2101</v>
      </c>
      <c r="D2600" s="264" t="s">
        <v>5232</v>
      </c>
      <c r="E2600" s="264" t="s">
        <v>1151</v>
      </c>
      <c r="F2600" s="264" t="s">
        <v>2041</v>
      </c>
      <c r="G2600" s="266" t="s">
        <v>26</v>
      </c>
      <c r="H2600" s="299">
        <v>120.43</v>
      </c>
      <c r="I2600" s="266">
        <v>0</v>
      </c>
      <c r="J2600" s="264" t="s">
        <v>1174</v>
      </c>
      <c r="K2600" s="264" t="s">
        <v>2025</v>
      </c>
      <c r="L2600" s="1" t="str">
        <f>VLOOKUP(Advices[[#This Row],[LC Number]],'Combine_List'!A:D,2,0)</f>
        <v>SAUDI VITRIFIED CLAY PIPE CO</v>
      </c>
      <c r="M2600" s="1" t="str">
        <f>VLOOKUP(Advices[[#This Row],[LC Number]],'Combine_List'!A:D,3,0)</f>
        <v>FIRST FIX</v>
      </c>
      <c r="N2600" s="1" t="str">
        <f>VLOOKUP(Advices[[#This Row],[LC Number]],'Combine_List'!A:D,4,0)</f>
        <v>RCRC</v>
      </c>
      <c r="O2600" s="1"/>
      <c r="P2600" s="1">
        <f>MONTH(Advices[[#This Row],[Transaction Date]])</f>
        <v>5</v>
      </c>
      <c r="Q2600" s="1">
        <f>YEAR(Advices[[#This Row],[Transaction Date]])</f>
        <v>2026</v>
      </c>
      <c r="R2600" s="1"/>
    </row>
    <row r="2601" spans="1:18" hidden="1" x14ac:dyDescent="0.25">
      <c r="A2601" s="264" t="s">
        <v>612</v>
      </c>
      <c r="B2601" s="265">
        <v>46146</v>
      </c>
      <c r="C2601" s="266" t="s">
        <v>2101</v>
      </c>
      <c r="D2601" s="264" t="s">
        <v>5233</v>
      </c>
      <c r="E2601" s="264" t="s">
        <v>1151</v>
      </c>
      <c r="F2601" s="264" t="s">
        <v>2041</v>
      </c>
      <c r="G2601" s="266" t="s">
        <v>26</v>
      </c>
      <c r="H2601" s="299">
        <v>802.84</v>
      </c>
      <c r="I2601" s="266">
        <v>0</v>
      </c>
      <c r="J2601" s="264" t="s">
        <v>1124</v>
      </c>
      <c r="K2601" s="264" t="s">
        <v>2025</v>
      </c>
      <c r="L2601" s="1" t="str">
        <f>VLOOKUP(Advices[[#This Row],[LC Number]],'Combine_List'!A:D,2,0)</f>
        <v>SAUDI VITRIFIED CLAY PIPE CO</v>
      </c>
      <c r="M2601" s="1" t="str">
        <f>VLOOKUP(Advices[[#This Row],[LC Number]],'Combine_List'!A:D,3,0)</f>
        <v>FIRST FIX</v>
      </c>
      <c r="N2601" s="1" t="str">
        <f>VLOOKUP(Advices[[#This Row],[LC Number]],'Combine_List'!A:D,4,0)</f>
        <v>RCRC</v>
      </c>
      <c r="O2601" s="1"/>
      <c r="P2601" s="1">
        <f>MONTH(Advices[[#This Row],[Transaction Date]])</f>
        <v>5</v>
      </c>
      <c r="Q2601" s="1">
        <f>YEAR(Advices[[#This Row],[Transaction Date]])</f>
        <v>2026</v>
      </c>
      <c r="R2601" s="1"/>
    </row>
    <row r="2602" spans="1:18" hidden="1" x14ac:dyDescent="0.25">
      <c r="A2602" s="264" t="s">
        <v>612</v>
      </c>
      <c r="B2602" s="265">
        <v>46146</v>
      </c>
      <c r="C2602" s="266" t="s">
        <v>2101</v>
      </c>
      <c r="D2602" s="264" t="s">
        <v>5234</v>
      </c>
      <c r="E2602" s="264" t="s">
        <v>734</v>
      </c>
      <c r="F2602" s="264" t="s">
        <v>2041</v>
      </c>
      <c r="G2602" s="266" t="s">
        <v>26</v>
      </c>
      <c r="H2602" s="299">
        <v>30</v>
      </c>
      <c r="I2602" s="266">
        <v>0</v>
      </c>
      <c r="J2602" s="264" t="s">
        <v>1174</v>
      </c>
      <c r="K2602" s="264" t="s">
        <v>2025</v>
      </c>
      <c r="L2602" s="1" t="str">
        <f>VLOOKUP(Advices[[#This Row],[LC Number]],'Combine_List'!A:D,2,0)</f>
        <v>SITE TECHNOLOGY SAUDI ARABIA LTD</v>
      </c>
      <c r="M2602" s="1" t="str">
        <f>VLOOKUP(Advices[[#This Row],[LC Number]],'Combine_List'!A:D,3,0)</f>
        <v>FIRST FIX</v>
      </c>
      <c r="N2602" s="1" t="str">
        <f>VLOOKUP(Advices[[#This Row],[LC Number]],'Combine_List'!A:D,4,0)</f>
        <v>RCRC</v>
      </c>
      <c r="O2602" s="1"/>
      <c r="P2602" s="1">
        <f>MONTH(Advices[[#This Row],[Transaction Date]])</f>
        <v>5</v>
      </c>
      <c r="Q2602" s="1">
        <f>YEAR(Advices[[#This Row],[Transaction Date]])</f>
        <v>2026</v>
      </c>
      <c r="R2602" s="1"/>
    </row>
    <row r="2603" spans="1:18" hidden="1" x14ac:dyDescent="0.25">
      <c r="A2603" s="264" t="s">
        <v>612</v>
      </c>
      <c r="B2603" s="265">
        <v>46146</v>
      </c>
      <c r="C2603" s="266" t="s">
        <v>2101</v>
      </c>
      <c r="D2603" s="264" t="s">
        <v>5235</v>
      </c>
      <c r="E2603" s="264" t="s">
        <v>734</v>
      </c>
      <c r="F2603" s="264" t="s">
        <v>2041</v>
      </c>
      <c r="G2603" s="266" t="s">
        <v>26</v>
      </c>
      <c r="H2603" s="299">
        <v>200</v>
      </c>
      <c r="I2603" s="266">
        <v>0</v>
      </c>
      <c r="J2603" s="264" t="s">
        <v>1124</v>
      </c>
      <c r="K2603" s="264" t="s">
        <v>2025</v>
      </c>
      <c r="L2603" s="1" t="str">
        <f>VLOOKUP(Advices[[#This Row],[LC Number]],'Combine_List'!A:D,2,0)</f>
        <v>SITE TECHNOLOGY SAUDI ARABIA LTD</v>
      </c>
      <c r="M2603" s="1" t="str">
        <f>VLOOKUP(Advices[[#This Row],[LC Number]],'Combine_List'!A:D,3,0)</f>
        <v>FIRST FIX</v>
      </c>
      <c r="N2603" s="1" t="str">
        <f>VLOOKUP(Advices[[#This Row],[LC Number]],'Combine_List'!A:D,4,0)</f>
        <v>RCRC</v>
      </c>
      <c r="O2603" s="1"/>
      <c r="P2603" s="1">
        <f>MONTH(Advices[[#This Row],[Transaction Date]])</f>
        <v>5</v>
      </c>
      <c r="Q2603" s="1">
        <f>YEAR(Advices[[#This Row],[Transaction Date]])</f>
        <v>2026</v>
      </c>
      <c r="R2603" s="1"/>
    </row>
    <row r="2604" spans="1:18" hidden="1" x14ac:dyDescent="0.25">
      <c r="A2604" s="264" t="s">
        <v>612</v>
      </c>
      <c r="B2604" s="265">
        <v>46146</v>
      </c>
      <c r="C2604" s="266" t="s">
        <v>2101</v>
      </c>
      <c r="D2604" s="264" t="s">
        <v>5236</v>
      </c>
      <c r="E2604" s="264" t="s">
        <v>734</v>
      </c>
      <c r="F2604" s="264" t="s">
        <v>2041</v>
      </c>
      <c r="G2604" s="266" t="s">
        <v>26</v>
      </c>
      <c r="H2604" s="299">
        <v>75</v>
      </c>
      <c r="I2604" s="266">
        <v>0</v>
      </c>
      <c r="J2604" s="264" t="s">
        <v>1174</v>
      </c>
      <c r="K2604" s="264" t="s">
        <v>2025</v>
      </c>
      <c r="L2604" s="1" t="str">
        <f>VLOOKUP(Advices[[#This Row],[LC Number]],'Combine_List'!A:D,2,0)</f>
        <v>SITE TECHNOLOGY SAUDI ARABIA LTD</v>
      </c>
      <c r="M2604" s="1" t="str">
        <f>VLOOKUP(Advices[[#This Row],[LC Number]],'Combine_List'!A:D,3,0)</f>
        <v>FIRST FIX</v>
      </c>
      <c r="N2604" s="1" t="str">
        <f>VLOOKUP(Advices[[#This Row],[LC Number]],'Combine_List'!A:D,4,0)</f>
        <v>RCRC</v>
      </c>
      <c r="O2604" s="1"/>
      <c r="P2604" s="1">
        <f>MONTH(Advices[[#This Row],[Transaction Date]])</f>
        <v>5</v>
      </c>
      <c r="Q2604" s="1">
        <f>YEAR(Advices[[#This Row],[Transaction Date]])</f>
        <v>2026</v>
      </c>
      <c r="R2604" s="1"/>
    </row>
    <row r="2605" spans="1:18" hidden="1" x14ac:dyDescent="0.25">
      <c r="A2605" s="264" t="s">
        <v>612</v>
      </c>
      <c r="B2605" s="265">
        <v>46146</v>
      </c>
      <c r="C2605" s="266" t="s">
        <v>2101</v>
      </c>
      <c r="D2605" s="264" t="s">
        <v>5237</v>
      </c>
      <c r="E2605" s="264" t="s">
        <v>734</v>
      </c>
      <c r="F2605" s="264" t="s">
        <v>2041</v>
      </c>
      <c r="G2605" s="266" t="s">
        <v>26</v>
      </c>
      <c r="H2605" s="299">
        <v>500</v>
      </c>
      <c r="I2605" s="266">
        <v>0</v>
      </c>
      <c r="J2605" s="264" t="s">
        <v>1124</v>
      </c>
      <c r="K2605" s="264" t="s">
        <v>2025</v>
      </c>
      <c r="L2605" s="1" t="str">
        <f>VLOOKUP(Advices[[#This Row],[LC Number]],'Combine_List'!A:D,2,0)</f>
        <v>SITE TECHNOLOGY SAUDI ARABIA LTD</v>
      </c>
      <c r="M2605" s="1" t="str">
        <f>VLOOKUP(Advices[[#This Row],[LC Number]],'Combine_List'!A:D,3,0)</f>
        <v>FIRST FIX</v>
      </c>
      <c r="N2605" s="1" t="str">
        <f>VLOOKUP(Advices[[#This Row],[LC Number]],'Combine_List'!A:D,4,0)</f>
        <v>RCRC</v>
      </c>
      <c r="O2605" s="1"/>
      <c r="P2605" s="1">
        <f>MONTH(Advices[[#This Row],[Transaction Date]])</f>
        <v>5</v>
      </c>
      <c r="Q2605" s="1">
        <f>YEAR(Advices[[#This Row],[Transaction Date]])</f>
        <v>2026</v>
      </c>
      <c r="R2605" s="1"/>
    </row>
    <row r="2606" spans="1:18" hidden="1" x14ac:dyDescent="0.25">
      <c r="A2606" s="264" t="s">
        <v>612</v>
      </c>
      <c r="B2606" s="265">
        <v>46146</v>
      </c>
      <c r="C2606" s="266" t="s">
        <v>2101</v>
      </c>
      <c r="D2606" s="264" t="s">
        <v>5238</v>
      </c>
      <c r="E2606" s="264" t="s">
        <v>722</v>
      </c>
      <c r="F2606" s="264" t="s">
        <v>2041</v>
      </c>
      <c r="G2606" s="266" t="s">
        <v>26</v>
      </c>
      <c r="H2606" s="299">
        <v>30</v>
      </c>
      <c r="I2606" s="266">
        <v>0</v>
      </c>
      <c r="J2606" s="264" t="s">
        <v>1174</v>
      </c>
      <c r="K2606" s="264" t="s">
        <v>2025</v>
      </c>
      <c r="L2606" s="1" t="str">
        <f>VLOOKUP(Advices[[#This Row],[LC Number]],'Combine_List'!A:D,2,0)</f>
        <v>Saudi Hepco Co. Ltd</v>
      </c>
      <c r="M2606" s="1" t="str">
        <f>VLOOKUP(Advices[[#This Row],[LC Number]],'Combine_List'!A:D,3,0)</f>
        <v>FIRST FIX</v>
      </c>
      <c r="N2606" s="1" t="str">
        <f>VLOOKUP(Advices[[#This Row],[LC Number]],'Combine_List'!A:D,4,0)</f>
        <v>RCRC</v>
      </c>
      <c r="O2606" s="1"/>
      <c r="P2606" s="1">
        <f>MONTH(Advices[[#This Row],[Transaction Date]])</f>
        <v>5</v>
      </c>
      <c r="Q2606" s="1">
        <f>YEAR(Advices[[#This Row],[Transaction Date]])</f>
        <v>2026</v>
      </c>
      <c r="R2606" s="1"/>
    </row>
    <row r="2607" spans="1:18" hidden="1" x14ac:dyDescent="0.25">
      <c r="A2607" s="264" t="s">
        <v>612</v>
      </c>
      <c r="B2607" s="265">
        <v>46146</v>
      </c>
      <c r="C2607" s="266" t="s">
        <v>2101</v>
      </c>
      <c r="D2607" s="264" t="s">
        <v>5239</v>
      </c>
      <c r="E2607" s="264" t="s">
        <v>722</v>
      </c>
      <c r="F2607" s="264" t="s">
        <v>2041</v>
      </c>
      <c r="G2607" s="266" t="s">
        <v>26</v>
      </c>
      <c r="H2607" s="299">
        <v>200</v>
      </c>
      <c r="I2607" s="266">
        <v>0</v>
      </c>
      <c r="J2607" s="264" t="s">
        <v>1124</v>
      </c>
      <c r="K2607" s="264" t="s">
        <v>2025</v>
      </c>
      <c r="L2607" s="1" t="str">
        <f>VLOOKUP(Advices[[#This Row],[LC Number]],'Combine_List'!A:D,2,0)</f>
        <v>Saudi Hepco Co. Ltd</v>
      </c>
      <c r="M2607" s="1" t="str">
        <f>VLOOKUP(Advices[[#This Row],[LC Number]],'Combine_List'!A:D,3,0)</f>
        <v>FIRST FIX</v>
      </c>
      <c r="N2607" s="1" t="str">
        <f>VLOOKUP(Advices[[#This Row],[LC Number]],'Combine_List'!A:D,4,0)</f>
        <v>RCRC</v>
      </c>
      <c r="O2607" s="1"/>
      <c r="P2607" s="1">
        <f>MONTH(Advices[[#This Row],[Transaction Date]])</f>
        <v>5</v>
      </c>
      <c r="Q2607" s="1">
        <f>YEAR(Advices[[#This Row],[Transaction Date]])</f>
        <v>2026</v>
      </c>
      <c r="R2607" s="1"/>
    </row>
    <row r="2608" spans="1:18" hidden="1" x14ac:dyDescent="0.25">
      <c r="A2608" s="264" t="s">
        <v>612</v>
      </c>
      <c r="B2608" s="265">
        <v>46146</v>
      </c>
      <c r="C2608" s="266" t="s">
        <v>2101</v>
      </c>
      <c r="D2608" s="264" t="s">
        <v>5240</v>
      </c>
      <c r="E2608" s="264" t="s">
        <v>722</v>
      </c>
      <c r="F2608" s="264" t="s">
        <v>2041</v>
      </c>
      <c r="G2608" s="266" t="s">
        <v>26</v>
      </c>
      <c r="H2608" s="299">
        <v>75</v>
      </c>
      <c r="I2608" s="266">
        <v>0</v>
      </c>
      <c r="J2608" s="264" t="s">
        <v>1174</v>
      </c>
      <c r="K2608" s="264" t="s">
        <v>2025</v>
      </c>
      <c r="L2608" s="1" t="str">
        <f>VLOOKUP(Advices[[#This Row],[LC Number]],'Combine_List'!A:D,2,0)</f>
        <v>Saudi Hepco Co. Ltd</v>
      </c>
      <c r="M2608" s="1" t="str">
        <f>VLOOKUP(Advices[[#This Row],[LC Number]],'Combine_List'!A:D,3,0)</f>
        <v>FIRST FIX</v>
      </c>
      <c r="N2608" s="1" t="str">
        <f>VLOOKUP(Advices[[#This Row],[LC Number]],'Combine_List'!A:D,4,0)</f>
        <v>RCRC</v>
      </c>
      <c r="O2608" s="1"/>
      <c r="P2608" s="1">
        <f>MONTH(Advices[[#This Row],[Transaction Date]])</f>
        <v>5</v>
      </c>
      <c r="Q2608" s="1">
        <f>YEAR(Advices[[#This Row],[Transaction Date]])</f>
        <v>2026</v>
      </c>
      <c r="R2608" s="1"/>
    </row>
    <row r="2609" spans="1:18" hidden="1" x14ac:dyDescent="0.25">
      <c r="A2609" s="264" t="s">
        <v>612</v>
      </c>
      <c r="B2609" s="265">
        <v>46146</v>
      </c>
      <c r="C2609" s="266" t="s">
        <v>2101</v>
      </c>
      <c r="D2609" s="264" t="s">
        <v>5241</v>
      </c>
      <c r="E2609" s="264" t="s">
        <v>722</v>
      </c>
      <c r="F2609" s="264" t="s">
        <v>2041</v>
      </c>
      <c r="G2609" s="266" t="s">
        <v>26</v>
      </c>
      <c r="H2609" s="299">
        <v>500</v>
      </c>
      <c r="I2609" s="266">
        <v>0</v>
      </c>
      <c r="J2609" s="264" t="s">
        <v>1124</v>
      </c>
      <c r="K2609" s="264" t="s">
        <v>2025</v>
      </c>
      <c r="L2609" s="1" t="str">
        <f>VLOOKUP(Advices[[#This Row],[LC Number]],'Combine_List'!A:D,2,0)</f>
        <v>Saudi Hepco Co. Ltd</v>
      </c>
      <c r="M2609" s="1" t="str">
        <f>VLOOKUP(Advices[[#This Row],[LC Number]],'Combine_List'!A:D,3,0)</f>
        <v>FIRST FIX</v>
      </c>
      <c r="N2609" s="1" t="str">
        <f>VLOOKUP(Advices[[#This Row],[LC Number]],'Combine_List'!A:D,4,0)</f>
        <v>RCRC</v>
      </c>
      <c r="O2609" s="1"/>
      <c r="P2609" s="1">
        <f>MONTH(Advices[[#This Row],[Transaction Date]])</f>
        <v>5</v>
      </c>
      <c r="Q2609" s="1">
        <f>YEAR(Advices[[#This Row],[Transaction Date]])</f>
        <v>2026</v>
      </c>
      <c r="R2609" s="1"/>
    </row>
    <row r="2610" spans="1:18" hidden="1" x14ac:dyDescent="0.25">
      <c r="A2610" s="264" t="s">
        <v>612</v>
      </c>
      <c r="B2610" s="265">
        <v>46146</v>
      </c>
      <c r="C2610" s="266" t="s">
        <v>2101</v>
      </c>
      <c r="D2610" s="264" t="s">
        <v>5242</v>
      </c>
      <c r="E2610" s="264" t="s">
        <v>3319</v>
      </c>
      <c r="F2610" s="264" t="s">
        <v>2041</v>
      </c>
      <c r="G2610" s="266" t="s">
        <v>26</v>
      </c>
      <c r="H2610" s="299">
        <v>30</v>
      </c>
      <c r="I2610" s="266">
        <v>0</v>
      </c>
      <c r="J2610" s="264" t="s">
        <v>1174</v>
      </c>
      <c r="K2610" s="264" t="s">
        <v>2025</v>
      </c>
      <c r="L2610" s="1" t="str">
        <f>VLOOKUP(Advices[[#This Row],[LC Number]],'Combine_List'!A:D,2,0)</f>
        <v>Green Concrete CJSC</v>
      </c>
      <c r="M2610" s="1" t="str">
        <f>VLOOKUP(Advices[[#This Row],[LC Number]],'Combine_List'!A:D,3,0)</f>
        <v>MBL</v>
      </c>
      <c r="N2610" s="1" t="str">
        <f>VLOOKUP(Advices[[#This Row],[LC Number]],'Combine_List'!A:D,4,0)</f>
        <v>RCRC</v>
      </c>
      <c r="O2610" s="1"/>
      <c r="P2610" s="1">
        <f>MONTH(Advices[[#This Row],[Transaction Date]])</f>
        <v>5</v>
      </c>
      <c r="Q2610" s="1">
        <f>YEAR(Advices[[#This Row],[Transaction Date]])</f>
        <v>2026</v>
      </c>
      <c r="R2610" s="1"/>
    </row>
    <row r="2611" spans="1:18" hidden="1" x14ac:dyDescent="0.25">
      <c r="A2611" s="264" t="s">
        <v>612</v>
      </c>
      <c r="B2611" s="265">
        <v>46146</v>
      </c>
      <c r="C2611" s="266" t="s">
        <v>2101</v>
      </c>
      <c r="D2611" s="264" t="s">
        <v>5243</v>
      </c>
      <c r="E2611" s="264" t="s">
        <v>3319</v>
      </c>
      <c r="F2611" s="264" t="s">
        <v>2041</v>
      </c>
      <c r="G2611" s="266" t="s">
        <v>26</v>
      </c>
      <c r="H2611" s="299">
        <v>200</v>
      </c>
      <c r="I2611" s="266">
        <v>0</v>
      </c>
      <c r="J2611" s="264" t="s">
        <v>1125</v>
      </c>
      <c r="K2611" s="264" t="s">
        <v>2025</v>
      </c>
      <c r="L2611" s="1" t="str">
        <f>VLOOKUP(Advices[[#This Row],[LC Number]],'Combine_List'!A:D,2,0)</f>
        <v>Green Concrete CJSC</v>
      </c>
      <c r="M2611" s="1" t="str">
        <f>VLOOKUP(Advices[[#This Row],[LC Number]],'Combine_List'!A:D,3,0)</f>
        <v>MBL</v>
      </c>
      <c r="N2611" s="1" t="str">
        <f>VLOOKUP(Advices[[#This Row],[LC Number]],'Combine_List'!A:D,4,0)</f>
        <v>RCRC</v>
      </c>
      <c r="O2611" s="1"/>
      <c r="P2611" s="1">
        <f>MONTH(Advices[[#This Row],[Transaction Date]])</f>
        <v>5</v>
      </c>
      <c r="Q2611" s="1">
        <f>YEAR(Advices[[#This Row],[Transaction Date]])</f>
        <v>2026</v>
      </c>
      <c r="R2611" s="1"/>
    </row>
    <row r="2612" spans="1:18" hidden="1" x14ac:dyDescent="0.25">
      <c r="A2612" s="264" t="s">
        <v>612</v>
      </c>
      <c r="B2612" s="265">
        <v>46146</v>
      </c>
      <c r="C2612" s="266" t="s">
        <v>2101</v>
      </c>
      <c r="D2612" s="264" t="s">
        <v>5244</v>
      </c>
      <c r="E2612" s="264" t="s">
        <v>3319</v>
      </c>
      <c r="F2612" s="264" t="s">
        <v>2041</v>
      </c>
      <c r="G2612" s="266" t="s">
        <v>26</v>
      </c>
      <c r="H2612" s="299">
        <v>37.5</v>
      </c>
      <c r="I2612" s="266">
        <v>0</v>
      </c>
      <c r="J2612" s="264" t="s">
        <v>1174</v>
      </c>
      <c r="K2612" s="264" t="s">
        <v>2025</v>
      </c>
      <c r="L2612" s="1" t="str">
        <f>VLOOKUP(Advices[[#This Row],[LC Number]],'Combine_List'!A:D,2,0)</f>
        <v>Green Concrete CJSC</v>
      </c>
      <c r="M2612" s="1" t="str">
        <f>VLOOKUP(Advices[[#This Row],[LC Number]],'Combine_List'!A:D,3,0)</f>
        <v>MBL</v>
      </c>
      <c r="N2612" s="1" t="str">
        <f>VLOOKUP(Advices[[#This Row],[LC Number]],'Combine_List'!A:D,4,0)</f>
        <v>RCRC</v>
      </c>
      <c r="O2612" s="1"/>
      <c r="P2612" s="1">
        <f>MONTH(Advices[[#This Row],[Transaction Date]])</f>
        <v>5</v>
      </c>
      <c r="Q2612" s="1">
        <f>YEAR(Advices[[#This Row],[Transaction Date]])</f>
        <v>2026</v>
      </c>
      <c r="R2612" s="1"/>
    </row>
    <row r="2613" spans="1:18" hidden="1" x14ac:dyDescent="0.25">
      <c r="A2613" s="264" t="s">
        <v>612</v>
      </c>
      <c r="B2613" s="265">
        <v>46146</v>
      </c>
      <c r="C2613" s="266" t="s">
        <v>2101</v>
      </c>
      <c r="D2613" s="264" t="s">
        <v>5245</v>
      </c>
      <c r="E2613" s="264" t="s">
        <v>3319</v>
      </c>
      <c r="F2613" s="264" t="s">
        <v>2041</v>
      </c>
      <c r="G2613" s="266" t="s">
        <v>26</v>
      </c>
      <c r="H2613" s="299">
        <v>250</v>
      </c>
      <c r="I2613" s="266">
        <v>0</v>
      </c>
      <c r="J2613" s="264" t="s">
        <v>1125</v>
      </c>
      <c r="K2613" s="264" t="s">
        <v>2025</v>
      </c>
      <c r="L2613" s="1" t="str">
        <f>VLOOKUP(Advices[[#This Row],[LC Number]],'Combine_List'!A:D,2,0)</f>
        <v>Green Concrete CJSC</v>
      </c>
      <c r="M2613" s="1" t="str">
        <f>VLOOKUP(Advices[[#This Row],[LC Number]],'Combine_List'!A:D,3,0)</f>
        <v>MBL</v>
      </c>
      <c r="N2613" s="1" t="str">
        <f>VLOOKUP(Advices[[#This Row],[LC Number]],'Combine_List'!A:D,4,0)</f>
        <v>RCRC</v>
      </c>
      <c r="O2613" s="1"/>
      <c r="P2613" s="1">
        <f>MONTH(Advices[[#This Row],[Transaction Date]])</f>
        <v>5</v>
      </c>
      <c r="Q2613" s="1">
        <f>YEAR(Advices[[#This Row],[Transaction Date]])</f>
        <v>2026</v>
      </c>
      <c r="R2613" s="1"/>
    </row>
    <row r="2614" spans="1:18" hidden="1" x14ac:dyDescent="0.25">
      <c r="A2614" s="264" t="s">
        <v>612</v>
      </c>
      <c r="B2614" s="265">
        <v>46146</v>
      </c>
      <c r="C2614" s="266" t="s">
        <v>2101</v>
      </c>
      <c r="D2614" s="264" t="s">
        <v>5246</v>
      </c>
      <c r="E2614" s="264" t="s">
        <v>3319</v>
      </c>
      <c r="F2614" s="264" t="s">
        <v>2041</v>
      </c>
      <c r="G2614" s="266" t="s">
        <v>26</v>
      </c>
      <c r="H2614" s="299">
        <v>15</v>
      </c>
      <c r="I2614" s="266">
        <v>0</v>
      </c>
      <c r="J2614" s="264" t="s">
        <v>1174</v>
      </c>
      <c r="K2614" s="264" t="s">
        <v>2025</v>
      </c>
      <c r="L2614" s="1" t="str">
        <f>VLOOKUP(Advices[[#This Row],[LC Number]],'Combine_List'!A:D,2,0)</f>
        <v>Green Concrete CJSC</v>
      </c>
      <c r="M2614" s="1" t="str">
        <f>VLOOKUP(Advices[[#This Row],[LC Number]],'Combine_List'!A:D,3,0)</f>
        <v>MBL</v>
      </c>
      <c r="N2614" s="1" t="str">
        <f>VLOOKUP(Advices[[#This Row],[LC Number]],'Combine_List'!A:D,4,0)</f>
        <v>RCRC</v>
      </c>
      <c r="O2614" s="1"/>
      <c r="P2614" s="1">
        <f>MONTH(Advices[[#This Row],[Transaction Date]])</f>
        <v>5</v>
      </c>
      <c r="Q2614" s="1">
        <f>YEAR(Advices[[#This Row],[Transaction Date]])</f>
        <v>2026</v>
      </c>
      <c r="R2614" s="1"/>
    </row>
    <row r="2615" spans="1:18" hidden="1" x14ac:dyDescent="0.25">
      <c r="A2615" s="264" t="s">
        <v>612</v>
      </c>
      <c r="B2615" s="265">
        <v>46146</v>
      </c>
      <c r="C2615" s="266" t="s">
        <v>2101</v>
      </c>
      <c r="D2615" s="264" t="s">
        <v>5247</v>
      </c>
      <c r="E2615" s="264" t="s">
        <v>3319</v>
      </c>
      <c r="F2615" s="264" t="s">
        <v>2041</v>
      </c>
      <c r="G2615" s="266" t="s">
        <v>26</v>
      </c>
      <c r="H2615" s="299">
        <v>100</v>
      </c>
      <c r="I2615" s="266">
        <v>0</v>
      </c>
      <c r="J2615" s="264" t="s">
        <v>1125</v>
      </c>
      <c r="K2615" s="264" t="s">
        <v>2025</v>
      </c>
      <c r="L2615" s="1" t="str">
        <f>VLOOKUP(Advices[[#This Row],[LC Number]],'Combine_List'!A:D,2,0)</f>
        <v>Green Concrete CJSC</v>
      </c>
      <c r="M2615" s="1" t="str">
        <f>VLOOKUP(Advices[[#This Row],[LC Number]],'Combine_List'!A:D,3,0)</f>
        <v>MBL</v>
      </c>
      <c r="N2615" s="1" t="str">
        <f>VLOOKUP(Advices[[#This Row],[LC Number]],'Combine_List'!A:D,4,0)</f>
        <v>RCRC</v>
      </c>
      <c r="O2615" s="1"/>
      <c r="P2615" s="1">
        <f>MONTH(Advices[[#This Row],[Transaction Date]])</f>
        <v>5</v>
      </c>
      <c r="Q2615" s="1">
        <f>YEAR(Advices[[#This Row],[Transaction Date]])</f>
        <v>2026</v>
      </c>
      <c r="R2615" s="1"/>
    </row>
    <row r="2616" spans="1:18" hidden="1" x14ac:dyDescent="0.25">
      <c r="A2616" s="264" t="s">
        <v>612</v>
      </c>
      <c r="B2616" s="265">
        <v>46146</v>
      </c>
      <c r="C2616" s="266" t="s">
        <v>2101</v>
      </c>
      <c r="D2616" s="264" t="s">
        <v>5248</v>
      </c>
      <c r="E2616" s="264" t="s">
        <v>4048</v>
      </c>
      <c r="F2616" s="264" t="s">
        <v>2041</v>
      </c>
      <c r="G2616" s="266" t="s">
        <v>26</v>
      </c>
      <c r="H2616" s="299">
        <v>25000</v>
      </c>
      <c r="I2616" s="266">
        <v>0</v>
      </c>
      <c r="J2616" s="264" t="s">
        <v>2793</v>
      </c>
      <c r="K2616" s="264" t="s">
        <v>2025</v>
      </c>
      <c r="L2616" s="1" t="str">
        <f>VLOOKUP(Advices[[#This Row],[LC Number]],'Combine_List'!A:D,2,0)</f>
        <v>Bid - DIRIYAH COMPANY</v>
      </c>
      <c r="M2616" s="1">
        <f>VLOOKUP(Advices[[#This Row],[LC Number]],'Combine_List'!A:D,3,0)</f>
        <v>0</v>
      </c>
      <c r="N2616" s="1">
        <f>VLOOKUP(Advices[[#This Row],[LC Number]],'Combine_List'!A:D,4,0)</f>
        <v>0</v>
      </c>
      <c r="O2616" s="1"/>
      <c r="P2616" s="1">
        <f>MONTH(Advices[[#This Row],[Transaction Date]])</f>
        <v>5</v>
      </c>
      <c r="Q2616" s="1">
        <f>YEAR(Advices[[#This Row],[Transaction Date]])</f>
        <v>2026</v>
      </c>
      <c r="R2616" s="1"/>
    </row>
    <row r="2617" spans="1:18" hidden="1" x14ac:dyDescent="0.25">
      <c r="A2617" s="264" t="s">
        <v>612</v>
      </c>
      <c r="B2617" s="265">
        <v>46146</v>
      </c>
      <c r="C2617" s="266" t="s">
        <v>2101</v>
      </c>
      <c r="D2617" s="264" t="s">
        <v>5249</v>
      </c>
      <c r="E2617" s="264" t="s">
        <v>4048</v>
      </c>
      <c r="F2617" s="264" t="s">
        <v>2041</v>
      </c>
      <c r="G2617" s="266" t="s">
        <v>26</v>
      </c>
      <c r="H2617" s="299">
        <v>3750</v>
      </c>
      <c r="I2617" s="266">
        <v>0</v>
      </c>
      <c r="J2617" s="264" t="s">
        <v>1174</v>
      </c>
      <c r="K2617" s="264" t="s">
        <v>2025</v>
      </c>
      <c r="L2617" s="264" t="str">
        <f>VLOOKUP(Advices[[#This Row],[LC Number]],'Combine_List'!A:D,2,0)</f>
        <v>Bid - DIRIYAH COMPANY</v>
      </c>
      <c r="M2617" s="264">
        <f>VLOOKUP(Advices[[#This Row],[LC Number]],'Combine_List'!A:D,3,0)</f>
        <v>0</v>
      </c>
      <c r="N2617" s="264">
        <f>VLOOKUP(Advices[[#This Row],[LC Number]],'Combine_List'!A:D,4,0)</f>
        <v>0</v>
      </c>
      <c r="O2617" s="264"/>
      <c r="P2617" s="264">
        <f>MONTH(Advices[[#This Row],[Transaction Date]])</f>
        <v>5</v>
      </c>
      <c r="Q2617" s="264">
        <f>YEAR(Advices[[#This Row],[Transaction Date]])</f>
        <v>2026</v>
      </c>
      <c r="R2617" s="264"/>
    </row>
    <row r="2618" spans="1:18" x14ac:dyDescent="0.25">
      <c r="A2618" s="264" t="s">
        <v>21</v>
      </c>
      <c r="B2618" s="265">
        <v>46149</v>
      </c>
      <c r="C2618" s="266" t="s">
        <v>1951</v>
      </c>
      <c r="D2618" s="264" t="s">
        <v>4572</v>
      </c>
      <c r="E2618" s="264" t="s">
        <v>4628</v>
      </c>
      <c r="F2618" s="264" t="s">
        <v>5260</v>
      </c>
      <c r="G2618" s="266" t="s">
        <v>26</v>
      </c>
      <c r="H2618" s="299">
        <v>35801.72</v>
      </c>
      <c r="I2618" s="266">
        <v>0</v>
      </c>
      <c r="J2618" s="264" t="s">
        <v>1125</v>
      </c>
      <c r="K2618" s="264" t="s">
        <v>2025</v>
      </c>
      <c r="L2618" s="1" t="str">
        <f>VLOOKUP(Advices[[#This Row],[LC Number]],'Combine_List'!A:D,2,0)</f>
        <v>Innovative Contractors for Advanced Dimension (ICAD)</v>
      </c>
      <c r="M2618" s="1" t="str">
        <f>VLOOKUP(Advices[[#This Row],[LC Number]],'Combine_List'!A:D,3,0)</f>
        <v>MBL</v>
      </c>
      <c r="N2618" s="1" t="str">
        <f>VLOOKUP(Advices[[#This Row],[LC Number]],'Combine_List'!A:D,4,0)</f>
        <v>CEER</v>
      </c>
      <c r="O2618" s="1"/>
      <c r="P2618" s="1">
        <f>MONTH(Advices[[#This Row],[Transaction Date]])</f>
        <v>5</v>
      </c>
      <c r="Q2618" s="1">
        <f>YEAR(Advices[[#This Row],[Transaction Date]])</f>
        <v>2026</v>
      </c>
      <c r="R2618" s="1"/>
    </row>
    <row r="2619" spans="1:18" x14ac:dyDescent="0.25">
      <c r="A2619" s="264" t="s">
        <v>21</v>
      </c>
      <c r="B2619" s="265">
        <v>46149</v>
      </c>
      <c r="C2619" s="266" t="s">
        <v>1951</v>
      </c>
      <c r="D2619" s="264" t="s">
        <v>5261</v>
      </c>
      <c r="E2619" s="264" t="s">
        <v>4628</v>
      </c>
      <c r="F2619" s="264" t="s">
        <v>5260</v>
      </c>
      <c r="G2619" s="266" t="s">
        <v>26</v>
      </c>
      <c r="H2619" s="299">
        <v>5370.26</v>
      </c>
      <c r="I2619" s="266">
        <v>0</v>
      </c>
      <c r="J2619" s="264" t="s">
        <v>1174</v>
      </c>
      <c r="K2619" s="264" t="s">
        <v>2025</v>
      </c>
      <c r="L2619" s="264" t="str">
        <f>VLOOKUP(Advices[[#This Row],[LC Number]],'Combine_List'!A:D,2,0)</f>
        <v>Innovative Contractors for Advanced Dimension (ICAD)</v>
      </c>
      <c r="M2619" s="264" t="str">
        <f>VLOOKUP(Advices[[#This Row],[LC Number]],'Combine_List'!A:D,3,0)</f>
        <v>MBL</v>
      </c>
      <c r="N2619" s="264" t="str">
        <f>VLOOKUP(Advices[[#This Row],[LC Number]],'Combine_List'!A:D,4,0)</f>
        <v>CEER</v>
      </c>
      <c r="O2619" s="264"/>
      <c r="P2619" s="264">
        <f>MONTH(Advices[[#This Row],[Transaction Date]])</f>
        <v>5</v>
      </c>
      <c r="Q2619" s="264">
        <f>YEAR(Advices[[#This Row],[Transaction Date]])</f>
        <v>2026</v>
      </c>
      <c r="R2619" s="264"/>
    </row>
    <row r="2620" spans="1:18" hidden="1" x14ac:dyDescent="0.25">
      <c r="A2620" s="264" t="s">
        <v>62</v>
      </c>
      <c r="B2620" s="265">
        <v>46152</v>
      </c>
      <c r="C2620" s="266" t="s">
        <v>2039</v>
      </c>
      <c r="D2620" s="264" t="s">
        <v>5263</v>
      </c>
      <c r="E2620" s="264" t="s">
        <v>3951</v>
      </c>
      <c r="F2620" s="264" t="s">
        <v>2041</v>
      </c>
      <c r="G2620" s="266" t="s">
        <v>26</v>
      </c>
      <c r="H2620" s="299">
        <v>4312.5</v>
      </c>
      <c r="I2620" s="266">
        <v>0</v>
      </c>
      <c r="J2620" s="264" t="s">
        <v>1125</v>
      </c>
      <c r="K2620" s="264" t="s">
        <v>2025</v>
      </c>
      <c r="L2620" s="1" t="str">
        <f>VLOOKUP(Advices[[#This Row],[LC Number]],'Combine_List'!A:D,2,0)</f>
        <v>Khorayef Industries</v>
      </c>
      <c r="M2620" s="1" t="str">
        <f>VLOOKUP(Advices[[#This Row],[LC Number]],'Combine_List'!A:D,3,0)</f>
        <v>FIRST FIX</v>
      </c>
      <c r="N2620" s="1" t="str">
        <f>VLOOKUP(Advices[[#This Row],[LC Number]],'Combine_List'!A:D,4,0)</f>
        <v>Oceanarium</v>
      </c>
      <c r="O2620" s="1"/>
      <c r="P2620" s="1">
        <f>MONTH(Advices[[#This Row],[Transaction Date]])</f>
        <v>5</v>
      </c>
      <c r="Q2620" s="1">
        <f>YEAR(Advices[[#This Row],[Transaction Date]])</f>
        <v>2026</v>
      </c>
      <c r="R2620" s="1"/>
    </row>
    <row r="2621" spans="1:18" hidden="1" x14ac:dyDescent="0.25">
      <c r="A2621" s="264" t="s">
        <v>62</v>
      </c>
      <c r="B2621" s="265">
        <v>46152</v>
      </c>
      <c r="C2621" s="266" t="s">
        <v>2039</v>
      </c>
      <c r="D2621" s="264" t="s">
        <v>5264</v>
      </c>
      <c r="E2621" s="264" t="s">
        <v>3321</v>
      </c>
      <c r="F2621" s="264" t="s">
        <v>2041</v>
      </c>
      <c r="G2621" s="266" t="s">
        <v>26</v>
      </c>
      <c r="H2621" s="299">
        <v>2156.25</v>
      </c>
      <c r="I2621" s="266">
        <v>0</v>
      </c>
      <c r="J2621" s="264" t="s">
        <v>1125</v>
      </c>
      <c r="K2621" s="264" t="s">
        <v>2025</v>
      </c>
      <c r="L2621" s="1" t="str">
        <f>VLOOKUP(Advices[[#This Row],[LC Number]],'Combine_List'!A:D,2,0)</f>
        <v>SKM Air Conditioning Company</v>
      </c>
      <c r="M2621" s="1" t="str">
        <f>VLOOKUP(Advices[[#This Row],[LC Number]],'Combine_List'!A:D,3,0)</f>
        <v>FIRST FIX</v>
      </c>
      <c r="N2621" s="1" t="str">
        <f>VLOOKUP(Advices[[#This Row],[LC Number]],'Combine_List'!A:D,4,0)</f>
        <v>Oceanarium</v>
      </c>
      <c r="O2621" s="1"/>
      <c r="P2621" s="1">
        <f>MONTH(Advices[[#This Row],[Transaction Date]])</f>
        <v>5</v>
      </c>
      <c r="Q2621" s="1">
        <f>YEAR(Advices[[#This Row],[Transaction Date]])</f>
        <v>2026</v>
      </c>
      <c r="R2621" s="1"/>
    </row>
    <row r="2622" spans="1:18" hidden="1" x14ac:dyDescent="0.25">
      <c r="A2622" s="264" t="s">
        <v>62</v>
      </c>
      <c r="B2622" s="265">
        <v>46152</v>
      </c>
      <c r="C2622" s="266" t="s">
        <v>2039</v>
      </c>
      <c r="D2622" s="264" t="s">
        <v>5265</v>
      </c>
      <c r="E2622" s="264" t="s">
        <v>3956</v>
      </c>
      <c r="F2622" s="264" t="s">
        <v>2041</v>
      </c>
      <c r="G2622" s="266" t="s">
        <v>26</v>
      </c>
      <c r="H2622" s="299">
        <v>2156.25</v>
      </c>
      <c r="I2622" s="266">
        <v>0</v>
      </c>
      <c r="J2622" s="264" t="s">
        <v>1125</v>
      </c>
      <c r="K2622" s="264" t="s">
        <v>2025</v>
      </c>
      <c r="L2622" s="1" t="str">
        <f>VLOOKUP(Advices[[#This Row],[LC Number]],'Combine_List'!A:D,2,0)</f>
        <v>SKM Air Conditioning Company</v>
      </c>
      <c r="M2622" s="1" t="str">
        <f>VLOOKUP(Advices[[#This Row],[LC Number]],'Combine_List'!A:D,3,0)</f>
        <v>FIRST FIX</v>
      </c>
      <c r="N2622" s="1" t="str">
        <f>VLOOKUP(Advices[[#This Row],[LC Number]],'Combine_List'!A:D,4,0)</f>
        <v>Oceanarium</v>
      </c>
      <c r="O2622" s="1"/>
      <c r="P2622" s="1">
        <f>MONTH(Advices[[#This Row],[Transaction Date]])</f>
        <v>5</v>
      </c>
      <c r="Q2622" s="1">
        <f>YEAR(Advices[[#This Row],[Transaction Date]])</f>
        <v>2026</v>
      </c>
      <c r="R2622" s="1"/>
    </row>
    <row r="2623" spans="1:18" hidden="1" x14ac:dyDescent="0.25">
      <c r="A2623" s="264" t="s">
        <v>62</v>
      </c>
      <c r="B2623" s="265">
        <v>46152</v>
      </c>
      <c r="C2623" s="266" t="s">
        <v>2039</v>
      </c>
      <c r="D2623" s="264" t="s">
        <v>5266</v>
      </c>
      <c r="E2623" s="264" t="s">
        <v>5256</v>
      </c>
      <c r="F2623" s="264" t="s">
        <v>2041</v>
      </c>
      <c r="G2623" s="266" t="s">
        <v>26</v>
      </c>
      <c r="H2623" s="299">
        <v>961.4</v>
      </c>
      <c r="I2623" s="266">
        <v>0</v>
      </c>
      <c r="J2623" s="264" t="s">
        <v>2830</v>
      </c>
      <c r="K2623" s="264" t="s">
        <v>2025</v>
      </c>
      <c r="L2623" s="1" t="str">
        <f>VLOOKUP(Advices[[#This Row],[LC Number]],'Combine_List'!A:D,2,0)</f>
        <v>Bid - Madinah Region Development Authority</v>
      </c>
      <c r="M2623" s="1" t="str">
        <f>VLOOKUP(Advices[[#This Row],[LC Number]],'Combine_List'!A:D,3,0)</f>
        <v>MIDU</v>
      </c>
      <c r="N2623" s="1">
        <f>VLOOKUP(Advices[[#This Row],[LC Number]],'Combine_List'!A:D,4,0)</f>
        <v>0</v>
      </c>
      <c r="O2623" s="1"/>
      <c r="P2623" s="1">
        <f>MONTH(Advices[[#This Row],[Transaction Date]])</f>
        <v>5</v>
      </c>
      <c r="Q2623" s="1">
        <f>YEAR(Advices[[#This Row],[Transaction Date]])</f>
        <v>2026</v>
      </c>
      <c r="R2623" s="1"/>
    </row>
    <row r="2624" spans="1:18" hidden="1" x14ac:dyDescent="0.25">
      <c r="A2624" s="264" t="s">
        <v>62</v>
      </c>
      <c r="B2624" s="265">
        <v>46152</v>
      </c>
      <c r="C2624" s="266" t="s">
        <v>2042</v>
      </c>
      <c r="D2624" s="264" t="s">
        <v>5267</v>
      </c>
      <c r="E2624" s="264" t="s">
        <v>2922</v>
      </c>
      <c r="F2624" s="264" t="s">
        <v>2041</v>
      </c>
      <c r="G2624" s="266" t="s">
        <v>26</v>
      </c>
      <c r="H2624" s="299">
        <v>6050.15</v>
      </c>
      <c r="I2624" s="266">
        <v>0</v>
      </c>
      <c r="J2624" s="264" t="s">
        <v>2830</v>
      </c>
      <c r="K2624" s="264" t="s">
        <v>2025</v>
      </c>
      <c r="L2624" s="264" t="str">
        <f>VLOOKUP(Advices[[#This Row],[LC Number]],'Combine_List'!A:D,2,0)</f>
        <v>Performance - ROYAL PRIVATE AFFAIRS (IFAS)</v>
      </c>
      <c r="M2624" s="264">
        <f>VLOOKUP(Advices[[#This Row],[LC Number]],'Combine_List'!A:D,3,0)</f>
        <v>0</v>
      </c>
      <c r="N2624" s="264">
        <f>VLOOKUP(Advices[[#This Row],[LC Number]],'Combine_List'!A:D,4,0)</f>
        <v>0</v>
      </c>
      <c r="O2624" s="264"/>
      <c r="P2624" s="264">
        <f>MONTH(Advices[[#This Row],[Transaction Date]])</f>
        <v>5</v>
      </c>
      <c r="Q2624" s="264">
        <f>YEAR(Advices[[#This Row],[Transaction Date]])</f>
        <v>2026</v>
      </c>
      <c r="R2624" s="264"/>
    </row>
    <row r="2625" spans="1:18" hidden="1" x14ac:dyDescent="0.25">
      <c r="A2625" s="264" t="s">
        <v>95</v>
      </c>
      <c r="B2625" s="265">
        <v>46149</v>
      </c>
      <c r="C2625" s="266" t="s">
        <v>2026</v>
      </c>
      <c r="D2625" s="264" t="s">
        <v>5268</v>
      </c>
      <c r="E2625" s="264" t="s">
        <v>5251</v>
      </c>
      <c r="F2625" s="264" t="s">
        <v>5251</v>
      </c>
      <c r="G2625" s="266" t="s">
        <v>26</v>
      </c>
      <c r="H2625" s="299">
        <v>0</v>
      </c>
      <c r="I2625" s="266">
        <v>6012.14</v>
      </c>
      <c r="J2625" s="264" t="s">
        <v>2041</v>
      </c>
      <c r="K2625" s="264" t="s">
        <v>5154</v>
      </c>
      <c r="L2625" s="1" t="str">
        <f>VLOOKUP(Advices[[#This Row],[LC Number]],'Combine_List'!A:D,2,0)</f>
        <v>Manar Alomran Company For Trading And Industrial Ltd</v>
      </c>
      <c r="M2625" s="1" t="str">
        <f>VLOOKUP(Advices[[#This Row],[LC Number]],'Combine_List'!A:D,3,0)</f>
        <v>MBL</v>
      </c>
      <c r="N2625" s="1" t="str">
        <f>VLOOKUP(Advices[[#This Row],[LC Number]],'Combine_List'!A:D,4,0)</f>
        <v>OPERA House</v>
      </c>
      <c r="O2625" s="1"/>
      <c r="P2625" s="1">
        <f>MONTH(Advices[[#This Row],[Transaction Date]])</f>
        <v>5</v>
      </c>
      <c r="Q2625" s="1">
        <f>YEAR(Advices[[#This Row],[Transaction Date]])</f>
        <v>2026</v>
      </c>
      <c r="R2625" s="1"/>
    </row>
    <row r="2626" spans="1:18" hidden="1" x14ac:dyDescent="0.25">
      <c r="A2626" s="264" t="s">
        <v>95</v>
      </c>
      <c r="B2626" s="265">
        <v>46149</v>
      </c>
      <c r="C2626" s="266" t="s">
        <v>2026</v>
      </c>
      <c r="D2626" s="264" t="s">
        <v>5269</v>
      </c>
      <c r="E2626" s="264" t="s">
        <v>1446</v>
      </c>
      <c r="F2626" s="264" t="s">
        <v>5270</v>
      </c>
      <c r="G2626" s="266" t="s">
        <v>26</v>
      </c>
      <c r="H2626" s="299">
        <v>270664</v>
      </c>
      <c r="I2626" s="266">
        <v>0</v>
      </c>
      <c r="J2626" s="264" t="s">
        <v>1126</v>
      </c>
      <c r="K2626" s="264" t="s">
        <v>2025</v>
      </c>
      <c r="L2626" s="1" t="str">
        <f>VLOOKUP(Advices[[#This Row],[LC Number]],'Combine_List'!A:D,2,0)</f>
        <v>Al Arabia Construction &amp; Building Co.</v>
      </c>
      <c r="M2626" s="1" t="str">
        <f>VLOOKUP(Advices[[#This Row],[LC Number]],'Combine_List'!A:D,3,0)</f>
        <v>MBL</v>
      </c>
      <c r="N2626" s="1" t="str">
        <f>VLOOKUP(Advices[[#This Row],[LC Number]],'Combine_List'!A:D,4,0)</f>
        <v>Rabigh Power Plant</v>
      </c>
      <c r="O2626" s="1"/>
      <c r="P2626" s="1">
        <f>MONTH(Advices[[#This Row],[Transaction Date]])</f>
        <v>5</v>
      </c>
      <c r="Q2626" s="1">
        <f>YEAR(Advices[[#This Row],[Transaction Date]])</f>
        <v>2026</v>
      </c>
      <c r="R2626" s="1"/>
    </row>
    <row r="2627" spans="1:18" hidden="1" x14ac:dyDescent="0.25">
      <c r="A2627" s="264" t="s">
        <v>95</v>
      </c>
      <c r="B2627" s="265">
        <v>46149</v>
      </c>
      <c r="C2627" s="266" t="s">
        <v>2026</v>
      </c>
      <c r="D2627" s="264" t="s">
        <v>5271</v>
      </c>
      <c r="E2627" s="264" t="s">
        <v>5251</v>
      </c>
      <c r="F2627" s="264" t="s">
        <v>5272</v>
      </c>
      <c r="G2627" s="266" t="s">
        <v>26</v>
      </c>
      <c r="H2627" s="299">
        <v>6012.14</v>
      </c>
      <c r="I2627" s="266">
        <v>0</v>
      </c>
      <c r="J2627" s="264" t="s">
        <v>2041</v>
      </c>
      <c r="K2627" s="264" t="s">
        <v>2025</v>
      </c>
      <c r="L2627" s="1" t="str">
        <f>VLOOKUP(Advices[[#This Row],[LC Number]],'Combine_List'!A:D,2,0)</f>
        <v>Manar Alomran Company For Trading And Industrial Ltd</v>
      </c>
      <c r="M2627" s="1" t="str">
        <f>VLOOKUP(Advices[[#This Row],[LC Number]],'Combine_List'!A:D,3,0)</f>
        <v>MBL</v>
      </c>
      <c r="N2627" s="1" t="str">
        <f>VLOOKUP(Advices[[#This Row],[LC Number]],'Combine_List'!A:D,4,0)</f>
        <v>OPERA House</v>
      </c>
      <c r="O2627" s="1"/>
      <c r="P2627" s="1">
        <f>MONTH(Advices[[#This Row],[Transaction Date]])</f>
        <v>5</v>
      </c>
      <c r="Q2627" s="1">
        <f>YEAR(Advices[[#This Row],[Transaction Date]])</f>
        <v>2026</v>
      </c>
      <c r="R2627" s="1"/>
    </row>
    <row r="2628" spans="1:18" hidden="1" x14ac:dyDescent="0.25">
      <c r="A2628" s="264" t="s">
        <v>95</v>
      </c>
      <c r="B2628" s="265">
        <v>46149</v>
      </c>
      <c r="C2628" s="266" t="s">
        <v>2307</v>
      </c>
      <c r="D2628" s="264" t="s">
        <v>5273</v>
      </c>
      <c r="E2628" s="264" t="s">
        <v>5251</v>
      </c>
      <c r="F2628" s="264" t="s">
        <v>5251</v>
      </c>
      <c r="G2628" s="266"/>
      <c r="H2628" s="299">
        <v>6012.14</v>
      </c>
      <c r="I2628" s="266">
        <v>0</v>
      </c>
      <c r="J2628" s="264" t="s">
        <v>2041</v>
      </c>
      <c r="K2628" s="264" t="s">
        <v>5154</v>
      </c>
      <c r="L2628" s="1" t="str">
        <f>VLOOKUP(Advices[[#This Row],[LC Number]],'Combine_List'!A:D,2,0)</f>
        <v>Manar Alomran Company For Trading And Industrial Ltd</v>
      </c>
      <c r="M2628" s="1" t="str">
        <f>VLOOKUP(Advices[[#This Row],[LC Number]],'Combine_List'!A:D,3,0)</f>
        <v>MBL</v>
      </c>
      <c r="N2628" s="1" t="str">
        <f>VLOOKUP(Advices[[#This Row],[LC Number]],'Combine_List'!A:D,4,0)</f>
        <v>OPERA House</v>
      </c>
      <c r="O2628" s="1"/>
      <c r="P2628" s="1">
        <f>MONTH(Advices[[#This Row],[Transaction Date]])</f>
        <v>5</v>
      </c>
      <c r="Q2628" s="1">
        <f>YEAR(Advices[[#This Row],[Transaction Date]])</f>
        <v>2026</v>
      </c>
      <c r="R2628" s="1"/>
    </row>
    <row r="2629" spans="1:18" hidden="1" x14ac:dyDescent="0.25">
      <c r="A2629" s="264" t="s">
        <v>95</v>
      </c>
      <c r="B2629" s="265">
        <v>46152</v>
      </c>
      <c r="C2629" s="266" t="s">
        <v>2026</v>
      </c>
      <c r="D2629" s="264" t="s">
        <v>5274</v>
      </c>
      <c r="E2629" s="264" t="s">
        <v>4680</v>
      </c>
      <c r="F2629" s="264" t="s">
        <v>4680</v>
      </c>
      <c r="G2629" s="266" t="s">
        <v>26</v>
      </c>
      <c r="H2629" s="299">
        <v>0</v>
      </c>
      <c r="I2629" s="266">
        <v>7921.61</v>
      </c>
      <c r="J2629" s="264" t="s">
        <v>2041</v>
      </c>
      <c r="K2629" s="264" t="s">
        <v>5154</v>
      </c>
      <c r="L2629" s="1" t="str">
        <f>VLOOKUP(Advices[[#This Row],[LC Number]],'Combine_List'!A:D,2,0)</f>
        <v>Electric House Trading Company L.L.C.</v>
      </c>
      <c r="M2629" s="1" t="str">
        <f>VLOOKUP(Advices[[#This Row],[LC Number]],'Combine_List'!A:D,3,0)</f>
        <v>MBL/ICAD</v>
      </c>
      <c r="N2629" s="1" t="str">
        <f>VLOOKUP(Advices[[#This Row],[LC Number]],'Combine_List'!A:D,4,0)</f>
        <v>OPERA House</v>
      </c>
      <c r="O2629" s="1"/>
      <c r="P2629" s="1">
        <f>MONTH(Advices[[#This Row],[Transaction Date]])</f>
        <v>5</v>
      </c>
      <c r="Q2629" s="1">
        <f>YEAR(Advices[[#This Row],[Transaction Date]])</f>
        <v>2026</v>
      </c>
      <c r="R2629" s="1"/>
    </row>
    <row r="2630" spans="1:18" hidden="1" x14ac:dyDescent="0.25">
      <c r="A2630" s="264" t="s">
        <v>95</v>
      </c>
      <c r="B2630" s="265">
        <v>46152</v>
      </c>
      <c r="C2630" s="266" t="s">
        <v>2026</v>
      </c>
      <c r="D2630" s="264" t="s">
        <v>5275</v>
      </c>
      <c r="E2630" s="264" t="s">
        <v>4680</v>
      </c>
      <c r="F2630" s="264" t="s">
        <v>5276</v>
      </c>
      <c r="G2630" s="266" t="s">
        <v>26</v>
      </c>
      <c r="H2630" s="299">
        <v>7921.61</v>
      </c>
      <c r="I2630" s="266">
        <v>0</v>
      </c>
      <c r="J2630" s="264" t="s">
        <v>1125</v>
      </c>
      <c r="K2630" s="264" t="s">
        <v>2025</v>
      </c>
      <c r="L2630" s="1" t="str">
        <f>VLOOKUP(Advices[[#This Row],[LC Number]],'Combine_List'!A:D,2,0)</f>
        <v>Electric House Trading Company L.L.C.</v>
      </c>
      <c r="M2630" s="1" t="str">
        <f>VLOOKUP(Advices[[#This Row],[LC Number]],'Combine_List'!A:D,3,0)</f>
        <v>MBL/ICAD</v>
      </c>
      <c r="N2630" s="1" t="str">
        <f>VLOOKUP(Advices[[#This Row],[LC Number]],'Combine_List'!A:D,4,0)</f>
        <v>OPERA House</v>
      </c>
      <c r="O2630" s="1"/>
      <c r="P2630" s="1">
        <f>MONTH(Advices[[#This Row],[Transaction Date]])</f>
        <v>5</v>
      </c>
      <c r="Q2630" s="1">
        <f>YEAR(Advices[[#This Row],[Transaction Date]])</f>
        <v>2026</v>
      </c>
      <c r="R2630" s="1"/>
    </row>
    <row r="2631" spans="1:18" hidden="1" x14ac:dyDescent="0.25">
      <c r="A2631" s="264" t="s">
        <v>95</v>
      </c>
      <c r="B2631" s="265">
        <v>46152</v>
      </c>
      <c r="C2631" s="266" t="s">
        <v>2307</v>
      </c>
      <c r="D2631" s="264" t="s">
        <v>5277</v>
      </c>
      <c r="E2631" s="264" t="s">
        <v>4680</v>
      </c>
      <c r="F2631" s="264" t="s">
        <v>4680</v>
      </c>
      <c r="G2631" s="266"/>
      <c r="H2631" s="299">
        <v>7921.61</v>
      </c>
      <c r="I2631" s="266">
        <v>0</v>
      </c>
      <c r="J2631" s="264" t="s">
        <v>2041</v>
      </c>
      <c r="K2631" s="264" t="s">
        <v>5154</v>
      </c>
      <c r="L2631" s="264" t="str">
        <f>VLOOKUP(Advices[[#This Row],[LC Number]],'Combine_List'!A:D,2,0)</f>
        <v>Electric House Trading Company L.L.C.</v>
      </c>
      <c r="M2631" s="264" t="str">
        <f>VLOOKUP(Advices[[#This Row],[LC Number]],'Combine_List'!A:D,3,0)</f>
        <v>MBL/ICAD</v>
      </c>
      <c r="N2631" s="264" t="str">
        <f>VLOOKUP(Advices[[#This Row],[LC Number]],'Combine_List'!A:D,4,0)</f>
        <v>OPERA House</v>
      </c>
      <c r="O2631" s="264"/>
      <c r="P2631" s="264">
        <f>MONTH(Advices[[#This Row],[Transaction Date]])</f>
        <v>5</v>
      </c>
      <c r="Q2631" s="264">
        <f>YEAR(Advices[[#This Row],[Transaction Date]])</f>
        <v>2026</v>
      </c>
      <c r="R2631" s="264"/>
    </row>
    <row r="2632" spans="1:18" hidden="1" x14ac:dyDescent="0.25">
      <c r="A2632" s="264" t="s">
        <v>366</v>
      </c>
      <c r="B2632" s="265">
        <v>46149</v>
      </c>
      <c r="C2632" s="266" t="s">
        <v>2060</v>
      </c>
      <c r="D2632" s="264" t="s">
        <v>5278</v>
      </c>
      <c r="E2632" s="264" t="s">
        <v>4561</v>
      </c>
      <c r="F2632" s="264" t="s">
        <v>5279</v>
      </c>
      <c r="G2632" s="266" t="s">
        <v>26</v>
      </c>
      <c r="H2632" s="299">
        <v>575</v>
      </c>
      <c r="I2632" s="266">
        <v>0</v>
      </c>
      <c r="J2632" s="264" t="s">
        <v>1125</v>
      </c>
      <c r="K2632" s="264" t="s">
        <v>2025</v>
      </c>
      <c r="L2632" s="1" t="str">
        <f>VLOOKUP(Advices[[#This Row],[LC Number]],'Combine_List'!A:D,2,0)</f>
        <v>Aknan Alkhair Tranding Est</v>
      </c>
      <c r="M2632" s="1" t="str">
        <f>VLOOKUP(Advices[[#This Row],[LC Number]],'Combine_List'!A:D,3,0)</f>
        <v>FIRST FIX</v>
      </c>
      <c r="N2632" s="1" t="str">
        <f>VLOOKUP(Advices[[#This Row],[LC Number]],'Combine_List'!A:D,4,0)</f>
        <v>MP1</v>
      </c>
      <c r="O2632" s="1"/>
      <c r="P2632" s="1">
        <f>MONTH(Advices[[#This Row],[Transaction Date]])</f>
        <v>5</v>
      </c>
      <c r="Q2632" s="1">
        <f>YEAR(Advices[[#This Row],[Transaction Date]])</f>
        <v>2026</v>
      </c>
      <c r="R2632" s="1"/>
    </row>
    <row r="2633" spans="1:18" hidden="1" x14ac:dyDescent="0.25">
      <c r="A2633" s="264" t="s">
        <v>366</v>
      </c>
      <c r="B2633" s="265">
        <v>46149</v>
      </c>
      <c r="C2633" s="266" t="s">
        <v>2060</v>
      </c>
      <c r="D2633" s="264" t="s">
        <v>5280</v>
      </c>
      <c r="E2633" s="264" t="s">
        <v>2237</v>
      </c>
      <c r="F2633" s="264" t="s">
        <v>5281</v>
      </c>
      <c r="G2633" s="266" t="s">
        <v>26</v>
      </c>
      <c r="H2633" s="299">
        <v>858.16</v>
      </c>
      <c r="I2633" s="266">
        <v>0</v>
      </c>
      <c r="J2633" s="264" t="s">
        <v>1125</v>
      </c>
      <c r="K2633" s="264" t="s">
        <v>2025</v>
      </c>
      <c r="L2633" s="1" t="str">
        <f>VLOOKUP(Advices[[#This Row],[LC Number]],'Combine_List'!A:D,2,0)</f>
        <v>TAWREED INTEGRATED INDUSTRIES</v>
      </c>
      <c r="M2633" s="1" t="str">
        <f>VLOOKUP(Advices[[#This Row],[LC Number]],'Combine_List'!A:D,3,0)</f>
        <v>FIRST FIX</v>
      </c>
      <c r="N2633" s="1" t="str">
        <f>VLOOKUP(Advices[[#This Row],[LC Number]],'Combine_List'!A:D,4,0)</f>
        <v>MP1</v>
      </c>
      <c r="O2633" s="1"/>
      <c r="P2633" s="1">
        <f>MONTH(Advices[[#This Row],[Transaction Date]])</f>
        <v>5</v>
      </c>
      <c r="Q2633" s="1">
        <f>YEAR(Advices[[#This Row],[Transaction Date]])</f>
        <v>2026</v>
      </c>
      <c r="R2633" s="1"/>
    </row>
    <row r="2634" spans="1:18" hidden="1" x14ac:dyDescent="0.25">
      <c r="A2634" s="264" t="s">
        <v>366</v>
      </c>
      <c r="B2634" s="265">
        <v>46152</v>
      </c>
      <c r="C2634" s="266" t="s">
        <v>2060</v>
      </c>
      <c r="D2634" s="264" t="s">
        <v>5282</v>
      </c>
      <c r="E2634" s="264" t="s">
        <v>5255</v>
      </c>
      <c r="F2634" s="264" t="s">
        <v>3656</v>
      </c>
      <c r="G2634" s="266" t="s">
        <v>26</v>
      </c>
      <c r="H2634" s="299">
        <v>4231.16</v>
      </c>
      <c r="I2634" s="266">
        <v>0</v>
      </c>
      <c r="J2634" s="264" t="s">
        <v>1125</v>
      </c>
      <c r="K2634" s="264" t="s">
        <v>2025</v>
      </c>
      <c r="L2634" s="1" t="str">
        <f>VLOOKUP(Advices[[#This Row],[LC Number]],'Combine_List'!A:D,2,0)</f>
        <v>DAIKIN AIR CONDITIONING SAUDI ARABIA LLC</v>
      </c>
      <c r="M2634" s="1" t="str">
        <f>VLOOKUP(Advices[[#This Row],[LC Number]],'Combine_List'!A:D,3,0)</f>
        <v>MBL/ICAD</v>
      </c>
      <c r="N2634" s="1" t="str">
        <f>VLOOKUP(Advices[[#This Row],[LC Number]],'Combine_List'!A:D,4,0)</f>
        <v>ABHA</v>
      </c>
      <c r="O2634" s="1"/>
      <c r="P2634" s="1">
        <f>MONTH(Advices[[#This Row],[Transaction Date]])</f>
        <v>5</v>
      </c>
      <c r="Q2634" s="1">
        <f>YEAR(Advices[[#This Row],[Transaction Date]])</f>
        <v>2026</v>
      </c>
      <c r="R2634" s="1"/>
    </row>
    <row r="2635" spans="1:18" hidden="1" x14ac:dyDescent="0.25">
      <c r="A2635" s="264" t="s">
        <v>366</v>
      </c>
      <c r="B2635" s="265">
        <v>46153</v>
      </c>
      <c r="C2635" s="266" t="s">
        <v>2060</v>
      </c>
      <c r="D2635" s="264" t="s">
        <v>5283</v>
      </c>
      <c r="E2635" s="264" t="s">
        <v>5258</v>
      </c>
      <c r="F2635" s="264" t="s">
        <v>3656</v>
      </c>
      <c r="G2635" s="266" t="s">
        <v>26</v>
      </c>
      <c r="H2635" s="299">
        <v>7706.82</v>
      </c>
      <c r="I2635" s="266">
        <v>0</v>
      </c>
      <c r="J2635" s="264" t="s">
        <v>2616</v>
      </c>
      <c r="K2635" s="264" t="s">
        <v>2025</v>
      </c>
      <c r="L2635" s="1" t="str">
        <f>VLOOKUP(Advices[[#This Row],[LC Number]],'Combine_List'!A:D,2,0)</f>
        <v>Isam Kabbani &amp; Partners for Building and Construction</v>
      </c>
      <c r="M2635" s="1" t="str">
        <f>VLOOKUP(Advices[[#This Row],[LC Number]],'Combine_List'!A:D,3,0)</f>
        <v>MBL</v>
      </c>
      <c r="N2635" s="1" t="str">
        <f>VLOOKUP(Advices[[#This Row],[LC Number]],'Combine_List'!A:D,4,0)</f>
        <v>ABHA</v>
      </c>
      <c r="O2635" s="1"/>
      <c r="P2635" s="1">
        <f>MONTH(Advices[[#This Row],[Transaction Date]])</f>
        <v>5</v>
      </c>
      <c r="Q2635" s="1">
        <f>YEAR(Advices[[#This Row],[Transaction Date]])</f>
        <v>2026</v>
      </c>
      <c r="R2635" s="1"/>
    </row>
    <row r="2636" spans="1:18" hidden="1" x14ac:dyDescent="0.25">
      <c r="A2636" s="264" t="s">
        <v>366</v>
      </c>
      <c r="B2636" s="265">
        <v>46153</v>
      </c>
      <c r="C2636" s="266" t="s">
        <v>2060</v>
      </c>
      <c r="D2636" s="264" t="s">
        <v>5284</v>
      </c>
      <c r="E2636" s="264" t="s">
        <v>3894</v>
      </c>
      <c r="F2636" s="264" t="s">
        <v>4158</v>
      </c>
      <c r="G2636" s="266" t="s">
        <v>26</v>
      </c>
      <c r="H2636" s="299">
        <v>1597500</v>
      </c>
      <c r="I2636" s="266">
        <v>0</v>
      </c>
      <c r="J2636" s="264" t="s">
        <v>1126</v>
      </c>
      <c r="K2636" s="264" t="s">
        <v>2025</v>
      </c>
      <c r="L2636" s="1" t="str">
        <f>VLOOKUP(Advices[[#This Row],[LC Number]],'Combine_List'!A:D,2,0)</f>
        <v>Al Maymanah for Contracting Co. Ltd.</v>
      </c>
      <c r="M2636" s="1" t="str">
        <f>VLOOKUP(Advices[[#This Row],[LC Number]],'Combine_List'!A:D,3,0)</f>
        <v>FIRST FIX</v>
      </c>
      <c r="N2636" s="1" t="str">
        <f>VLOOKUP(Advices[[#This Row],[LC Number]],'Combine_List'!A:D,4,0)</f>
        <v>MP1</v>
      </c>
      <c r="O2636" s="1"/>
      <c r="P2636" s="1">
        <f>MONTH(Advices[[#This Row],[Transaction Date]])</f>
        <v>5</v>
      </c>
      <c r="Q2636" s="1">
        <f>YEAR(Advices[[#This Row],[Transaction Date]])</f>
        <v>2026</v>
      </c>
      <c r="R2636" s="1"/>
    </row>
    <row r="2637" spans="1:18" hidden="1" x14ac:dyDescent="0.25">
      <c r="A2637" s="264" t="s">
        <v>366</v>
      </c>
      <c r="B2637" s="265">
        <v>46153</v>
      </c>
      <c r="C2637" s="266" t="s">
        <v>2060</v>
      </c>
      <c r="D2637" s="264" t="s">
        <v>5285</v>
      </c>
      <c r="E2637" s="264" t="s">
        <v>3897</v>
      </c>
      <c r="F2637" s="264" t="s">
        <v>4123</v>
      </c>
      <c r="G2637" s="266" t="s">
        <v>26</v>
      </c>
      <c r="H2637" s="299">
        <v>1000000</v>
      </c>
      <c r="I2637" s="266">
        <v>0</v>
      </c>
      <c r="J2637" s="264" t="s">
        <v>1126</v>
      </c>
      <c r="K2637" s="264" t="s">
        <v>2025</v>
      </c>
      <c r="L2637" s="1" t="str">
        <f>VLOOKUP(Advices[[#This Row],[LC Number]],'Combine_List'!A:D,2,0)</f>
        <v>Electric House Trading Company L.L.C.</v>
      </c>
      <c r="M2637" s="1" t="str">
        <f>VLOOKUP(Advices[[#This Row],[LC Number]],'Combine_List'!A:D,3,0)</f>
        <v>FIRST FIX</v>
      </c>
      <c r="N2637" s="1" t="str">
        <f>VLOOKUP(Advices[[#This Row],[LC Number]],'Combine_List'!A:D,4,0)</f>
        <v>MP1</v>
      </c>
      <c r="O2637" s="1"/>
      <c r="P2637" s="1">
        <f>MONTH(Advices[[#This Row],[Transaction Date]])</f>
        <v>5</v>
      </c>
      <c r="Q2637" s="1">
        <f>YEAR(Advices[[#This Row],[Transaction Date]])</f>
        <v>2026</v>
      </c>
      <c r="R2637" s="1"/>
    </row>
    <row r="2638" spans="1:18" hidden="1" x14ac:dyDescent="0.25">
      <c r="A2638" s="264" t="s">
        <v>366</v>
      </c>
      <c r="B2638" s="265">
        <v>46153</v>
      </c>
      <c r="C2638" s="266" t="s">
        <v>2060</v>
      </c>
      <c r="D2638" s="264" t="s">
        <v>5286</v>
      </c>
      <c r="E2638" s="264" t="s">
        <v>3901</v>
      </c>
      <c r="F2638" s="264" t="s">
        <v>4284</v>
      </c>
      <c r="G2638" s="266" t="s">
        <v>26</v>
      </c>
      <c r="H2638" s="299">
        <v>500000</v>
      </c>
      <c r="I2638" s="266">
        <v>0</v>
      </c>
      <c r="J2638" s="264" t="s">
        <v>1126</v>
      </c>
      <c r="K2638" s="264" t="s">
        <v>2025</v>
      </c>
      <c r="L2638" s="1" t="str">
        <f>VLOOKUP(Advices[[#This Row],[LC Number]],'Combine_List'!A:D,2,0)</f>
        <v>Afaq Al Malaz Trading Co. LTD.</v>
      </c>
      <c r="M2638" s="1" t="str">
        <f>VLOOKUP(Advices[[#This Row],[LC Number]],'Combine_List'!A:D,3,0)</f>
        <v>FIRST FIX</v>
      </c>
      <c r="N2638" s="1" t="str">
        <f>VLOOKUP(Advices[[#This Row],[LC Number]],'Combine_List'!A:D,4,0)</f>
        <v>MP1</v>
      </c>
      <c r="O2638" s="1"/>
      <c r="P2638" s="1">
        <f>MONTH(Advices[[#This Row],[Transaction Date]])</f>
        <v>5</v>
      </c>
      <c r="Q2638" s="1">
        <f>YEAR(Advices[[#This Row],[Transaction Date]])</f>
        <v>2026</v>
      </c>
      <c r="R2638" s="1"/>
    </row>
    <row r="2639" spans="1:18" hidden="1" x14ac:dyDescent="0.25">
      <c r="A2639" s="264" t="s">
        <v>366</v>
      </c>
      <c r="B2639" s="265">
        <v>46153</v>
      </c>
      <c r="C2639" s="266" t="s">
        <v>2060</v>
      </c>
      <c r="D2639" s="264" t="s">
        <v>5287</v>
      </c>
      <c r="E2639" s="264" t="s">
        <v>3894</v>
      </c>
      <c r="F2639" s="264" t="s">
        <v>4156</v>
      </c>
      <c r="G2639" s="266" t="s">
        <v>26</v>
      </c>
      <c r="H2639" s="299">
        <v>402500</v>
      </c>
      <c r="I2639" s="266">
        <v>0</v>
      </c>
      <c r="J2639" s="264" t="s">
        <v>1126</v>
      </c>
      <c r="K2639" s="264" t="s">
        <v>2025</v>
      </c>
      <c r="L2639" s="1" t="str">
        <f>VLOOKUP(Advices[[#This Row],[LC Number]],'Combine_List'!A:D,2,0)</f>
        <v>Al Maymanah for Contracting Co. Ltd.</v>
      </c>
      <c r="M2639" s="1" t="str">
        <f>VLOOKUP(Advices[[#This Row],[LC Number]],'Combine_List'!A:D,3,0)</f>
        <v>FIRST FIX</v>
      </c>
      <c r="N2639" s="1" t="str">
        <f>VLOOKUP(Advices[[#This Row],[LC Number]],'Combine_List'!A:D,4,0)</f>
        <v>MP1</v>
      </c>
      <c r="O2639" s="1"/>
      <c r="P2639" s="1">
        <f>MONTH(Advices[[#This Row],[Transaction Date]])</f>
        <v>5</v>
      </c>
      <c r="Q2639" s="1">
        <f>YEAR(Advices[[#This Row],[Transaction Date]])</f>
        <v>2026</v>
      </c>
      <c r="R2639" s="1"/>
    </row>
    <row r="2640" spans="1:18" hidden="1" x14ac:dyDescent="0.25">
      <c r="A2640" s="264" t="s">
        <v>366</v>
      </c>
      <c r="B2640" s="265">
        <v>46153</v>
      </c>
      <c r="C2640" s="266" t="s">
        <v>2057</v>
      </c>
      <c r="D2640" s="264" t="s">
        <v>5288</v>
      </c>
      <c r="E2640" s="264" t="s">
        <v>3899</v>
      </c>
      <c r="F2640" s="264" t="s">
        <v>4269</v>
      </c>
      <c r="G2640" s="266" t="s">
        <v>26</v>
      </c>
      <c r="H2640" s="299">
        <v>500000</v>
      </c>
      <c r="I2640" s="266">
        <v>0</v>
      </c>
      <c r="J2640" s="264" t="s">
        <v>1126</v>
      </c>
      <c r="K2640" s="264" t="s">
        <v>2025</v>
      </c>
      <c r="L2640" s="264" t="str">
        <f>VLOOKUP(Advices[[#This Row],[LC Number]],'Combine_List'!A:D,2,0)</f>
        <v>IDEAL CALIBER COMPANY</v>
      </c>
      <c r="M2640" s="264" t="str">
        <f>VLOOKUP(Advices[[#This Row],[LC Number]],'Combine_List'!A:D,3,0)</f>
        <v>FIRST FIX</v>
      </c>
      <c r="N2640" s="264" t="str">
        <f>VLOOKUP(Advices[[#This Row],[LC Number]],'Combine_List'!A:D,4,0)</f>
        <v>MP1</v>
      </c>
      <c r="O2640" s="264"/>
      <c r="P2640" s="264">
        <f>MONTH(Advices[[#This Row],[Transaction Date]])</f>
        <v>5</v>
      </c>
      <c r="Q2640" s="264">
        <f>YEAR(Advices[[#This Row],[Transaction Date]])</f>
        <v>2026</v>
      </c>
      <c r="R2640" s="264"/>
    </row>
    <row r="2641" spans="1:18" hidden="1" x14ac:dyDescent="0.25">
      <c r="A2641" s="264" t="s">
        <v>612</v>
      </c>
      <c r="B2641" s="265">
        <v>46149</v>
      </c>
      <c r="C2641" s="266" t="s">
        <v>2101</v>
      </c>
      <c r="D2641" s="264" t="s">
        <v>5289</v>
      </c>
      <c r="E2641" s="264" t="s">
        <v>5252</v>
      </c>
      <c r="F2641" s="264" t="s">
        <v>2041</v>
      </c>
      <c r="G2641" s="266" t="s">
        <v>26</v>
      </c>
      <c r="H2641" s="540">
        <v>30</v>
      </c>
      <c r="I2641" s="266">
        <v>0</v>
      </c>
      <c r="J2641" s="264" t="s">
        <v>1174</v>
      </c>
      <c r="K2641" s="264" t="s">
        <v>2025</v>
      </c>
      <c r="L2641" s="1" t="str">
        <f>VLOOKUP(Advices[[#This Row],[LC Number]],'Combine_List'!A:D,2,0)</f>
        <v>Al-Tawi READY -MIX FACTORY</v>
      </c>
      <c r="M2641" s="1" t="str">
        <f>VLOOKUP(Advices[[#This Row],[LC Number]],'Combine_List'!A:D,3,0)</f>
        <v>MBL</v>
      </c>
      <c r="N2641" s="1" t="str">
        <f>VLOOKUP(Advices[[#This Row],[LC Number]],'Combine_List'!A:D,4,0)</f>
        <v>RCRC</v>
      </c>
      <c r="O2641" s="1"/>
      <c r="P2641" s="1">
        <f>MONTH(Advices[[#This Row],[Transaction Date]])</f>
        <v>5</v>
      </c>
      <c r="Q2641" s="1">
        <f>YEAR(Advices[[#This Row],[Transaction Date]])</f>
        <v>2026</v>
      </c>
      <c r="R2641" s="1"/>
    </row>
    <row r="2642" spans="1:18" hidden="1" x14ac:dyDescent="0.25">
      <c r="A2642" s="264" t="s">
        <v>612</v>
      </c>
      <c r="B2642" s="265">
        <v>46149</v>
      </c>
      <c r="C2642" s="266" t="s">
        <v>2101</v>
      </c>
      <c r="D2642" s="264" t="s">
        <v>5290</v>
      </c>
      <c r="E2642" s="264" t="s">
        <v>5252</v>
      </c>
      <c r="F2642" s="264" t="s">
        <v>2041</v>
      </c>
      <c r="G2642" s="266" t="s">
        <v>26</v>
      </c>
      <c r="H2642" s="540">
        <v>1250</v>
      </c>
      <c r="I2642" s="266">
        <v>0</v>
      </c>
      <c r="J2642" s="264" t="s">
        <v>1111</v>
      </c>
      <c r="K2642" s="264" t="s">
        <v>2025</v>
      </c>
      <c r="L2642" s="1" t="str">
        <f>VLOOKUP(Advices[[#This Row],[LC Number]],'Combine_List'!A:D,2,0)</f>
        <v>Al-Tawi READY -MIX FACTORY</v>
      </c>
      <c r="M2642" s="1" t="str">
        <f>VLOOKUP(Advices[[#This Row],[LC Number]],'Combine_List'!A:D,3,0)</f>
        <v>MBL</v>
      </c>
      <c r="N2642" s="1" t="str">
        <f>VLOOKUP(Advices[[#This Row],[LC Number]],'Combine_List'!A:D,4,0)</f>
        <v>RCRC</v>
      </c>
      <c r="O2642" s="1"/>
      <c r="P2642" s="1">
        <f>MONTH(Advices[[#This Row],[Transaction Date]])</f>
        <v>5</v>
      </c>
      <c r="Q2642" s="1">
        <f>YEAR(Advices[[#This Row],[Transaction Date]])</f>
        <v>2026</v>
      </c>
      <c r="R2642" s="1"/>
    </row>
    <row r="2643" spans="1:18" hidden="1" x14ac:dyDescent="0.25">
      <c r="A2643" s="264" t="s">
        <v>612</v>
      </c>
      <c r="B2643" s="265">
        <v>46149</v>
      </c>
      <c r="C2643" s="266" t="s">
        <v>2101</v>
      </c>
      <c r="D2643" s="264" t="s">
        <v>5291</v>
      </c>
      <c r="E2643" s="264" t="s">
        <v>5252</v>
      </c>
      <c r="F2643" s="264" t="s">
        <v>2041</v>
      </c>
      <c r="G2643" s="266" t="s">
        <v>26</v>
      </c>
      <c r="H2643" s="540">
        <v>187.5</v>
      </c>
      <c r="I2643" s="266">
        <v>0</v>
      </c>
      <c r="J2643" s="264" t="s">
        <v>1174</v>
      </c>
      <c r="K2643" s="264" t="s">
        <v>2025</v>
      </c>
      <c r="L2643" s="1" t="str">
        <f>VLOOKUP(Advices[[#This Row],[LC Number]],'Combine_List'!A:D,2,0)</f>
        <v>Al-Tawi READY -MIX FACTORY</v>
      </c>
      <c r="M2643" s="1" t="str">
        <f>VLOOKUP(Advices[[#This Row],[LC Number]],'Combine_List'!A:D,3,0)</f>
        <v>MBL</v>
      </c>
      <c r="N2643" s="1" t="str">
        <f>VLOOKUP(Advices[[#This Row],[LC Number]],'Combine_List'!A:D,4,0)</f>
        <v>RCRC</v>
      </c>
      <c r="O2643" s="1"/>
      <c r="P2643" s="1">
        <f>MONTH(Advices[[#This Row],[Transaction Date]])</f>
        <v>5</v>
      </c>
      <c r="Q2643" s="1">
        <f>YEAR(Advices[[#This Row],[Transaction Date]])</f>
        <v>2026</v>
      </c>
      <c r="R2643" s="1"/>
    </row>
    <row r="2644" spans="1:18" hidden="1" x14ac:dyDescent="0.25">
      <c r="A2644" s="264" t="s">
        <v>612</v>
      </c>
      <c r="B2644" s="265">
        <v>46149</v>
      </c>
      <c r="C2644" s="266" t="s">
        <v>2101</v>
      </c>
      <c r="D2644" s="264" t="s">
        <v>5292</v>
      </c>
      <c r="E2644" s="264" t="s">
        <v>5252</v>
      </c>
      <c r="F2644" s="264" t="s">
        <v>2041</v>
      </c>
      <c r="G2644" s="266" t="s">
        <v>26</v>
      </c>
      <c r="H2644" s="299">
        <v>750</v>
      </c>
      <c r="I2644" s="266">
        <v>0</v>
      </c>
      <c r="J2644" s="264" t="s">
        <v>2616</v>
      </c>
      <c r="K2644" s="264" t="s">
        <v>2025</v>
      </c>
      <c r="L2644" s="1" t="str">
        <f>VLOOKUP(Advices[[#This Row],[LC Number]],'Combine_List'!A:D,2,0)</f>
        <v>Al-Tawi READY -MIX FACTORY</v>
      </c>
      <c r="M2644" s="1" t="str">
        <f>VLOOKUP(Advices[[#This Row],[LC Number]],'Combine_List'!A:D,3,0)</f>
        <v>MBL</v>
      </c>
      <c r="N2644" s="1" t="str">
        <f>VLOOKUP(Advices[[#This Row],[LC Number]],'Combine_List'!A:D,4,0)</f>
        <v>RCRC</v>
      </c>
      <c r="O2644" s="1"/>
      <c r="P2644" s="1">
        <f>MONTH(Advices[[#This Row],[Transaction Date]])</f>
        <v>5</v>
      </c>
      <c r="Q2644" s="1">
        <f>YEAR(Advices[[#This Row],[Transaction Date]])</f>
        <v>2026</v>
      </c>
      <c r="R2644" s="1"/>
    </row>
    <row r="2645" spans="1:18" hidden="1" x14ac:dyDescent="0.25">
      <c r="A2645" s="264" t="s">
        <v>612</v>
      </c>
      <c r="B2645" s="265">
        <v>46149</v>
      </c>
      <c r="C2645" s="266" t="s">
        <v>2101</v>
      </c>
      <c r="D2645" s="264" t="s">
        <v>5293</v>
      </c>
      <c r="E2645" s="264" t="s">
        <v>5252</v>
      </c>
      <c r="F2645" s="264" t="s">
        <v>2041</v>
      </c>
      <c r="G2645" s="266" t="s">
        <v>26</v>
      </c>
      <c r="H2645" s="299">
        <v>112.5</v>
      </c>
      <c r="I2645" s="266">
        <v>0</v>
      </c>
      <c r="J2645" s="264" t="s">
        <v>1174</v>
      </c>
      <c r="K2645" s="264" t="s">
        <v>2025</v>
      </c>
      <c r="L2645" s="1" t="str">
        <f>VLOOKUP(Advices[[#This Row],[LC Number]],'Combine_List'!A:D,2,0)</f>
        <v>Al-Tawi READY -MIX FACTORY</v>
      </c>
      <c r="M2645" s="1" t="str">
        <f>VLOOKUP(Advices[[#This Row],[LC Number]],'Combine_List'!A:D,3,0)</f>
        <v>MBL</v>
      </c>
      <c r="N2645" s="1" t="str">
        <f>VLOOKUP(Advices[[#This Row],[LC Number]],'Combine_List'!A:D,4,0)</f>
        <v>RCRC</v>
      </c>
      <c r="O2645" s="1"/>
      <c r="P2645" s="1">
        <f>MONTH(Advices[[#This Row],[Transaction Date]])</f>
        <v>5</v>
      </c>
      <c r="Q2645" s="1">
        <f>YEAR(Advices[[#This Row],[Transaction Date]])</f>
        <v>2026</v>
      </c>
      <c r="R2645" s="1"/>
    </row>
    <row r="2646" spans="1:18" hidden="1" x14ac:dyDescent="0.25">
      <c r="A2646" s="264" t="s">
        <v>612</v>
      </c>
      <c r="B2646" s="265">
        <v>46149</v>
      </c>
      <c r="C2646" s="266" t="s">
        <v>2101</v>
      </c>
      <c r="D2646" s="264" t="s">
        <v>5294</v>
      </c>
      <c r="E2646" s="264" t="s">
        <v>5252</v>
      </c>
      <c r="F2646" s="264" t="s">
        <v>2041</v>
      </c>
      <c r="G2646" s="266" t="s">
        <v>26</v>
      </c>
      <c r="H2646" s="540">
        <v>708.33</v>
      </c>
      <c r="I2646" s="266">
        <v>0</v>
      </c>
      <c r="J2646" s="264" t="s">
        <v>2616</v>
      </c>
      <c r="K2646" s="264" t="s">
        <v>2025</v>
      </c>
      <c r="L2646" s="1" t="str">
        <f>VLOOKUP(Advices[[#This Row],[LC Number]],'Combine_List'!A:D,2,0)</f>
        <v>Al-Tawi READY -MIX FACTORY</v>
      </c>
      <c r="M2646" s="1" t="str">
        <f>VLOOKUP(Advices[[#This Row],[LC Number]],'Combine_List'!A:D,3,0)</f>
        <v>MBL</v>
      </c>
      <c r="N2646" s="1" t="str">
        <f>VLOOKUP(Advices[[#This Row],[LC Number]],'Combine_List'!A:D,4,0)</f>
        <v>RCRC</v>
      </c>
      <c r="O2646" s="1"/>
      <c r="P2646" s="1">
        <f>MONTH(Advices[[#This Row],[Transaction Date]])</f>
        <v>5</v>
      </c>
      <c r="Q2646" s="1">
        <f>YEAR(Advices[[#This Row],[Transaction Date]])</f>
        <v>2026</v>
      </c>
      <c r="R2646" s="1"/>
    </row>
    <row r="2647" spans="1:18" hidden="1" x14ac:dyDescent="0.25">
      <c r="A2647" s="264" t="s">
        <v>612</v>
      </c>
      <c r="B2647" s="265">
        <v>46149</v>
      </c>
      <c r="C2647" s="266" t="s">
        <v>2101</v>
      </c>
      <c r="D2647" s="264" t="s">
        <v>5295</v>
      </c>
      <c r="E2647" s="264" t="s">
        <v>5252</v>
      </c>
      <c r="F2647" s="264" t="s">
        <v>2041</v>
      </c>
      <c r="G2647" s="266" t="s">
        <v>26</v>
      </c>
      <c r="H2647" s="540">
        <v>106.25</v>
      </c>
      <c r="I2647" s="266">
        <v>0</v>
      </c>
      <c r="J2647" s="264" t="s">
        <v>1174</v>
      </c>
      <c r="K2647" s="264" t="s">
        <v>2025</v>
      </c>
      <c r="L2647" s="1" t="str">
        <f>VLOOKUP(Advices[[#This Row],[LC Number]],'Combine_List'!A:D,2,0)</f>
        <v>Al-Tawi READY -MIX FACTORY</v>
      </c>
      <c r="M2647" s="1" t="str">
        <f>VLOOKUP(Advices[[#This Row],[LC Number]],'Combine_List'!A:D,3,0)</f>
        <v>MBL</v>
      </c>
      <c r="N2647" s="1" t="str">
        <f>VLOOKUP(Advices[[#This Row],[LC Number]],'Combine_List'!A:D,4,0)</f>
        <v>RCRC</v>
      </c>
      <c r="O2647" s="1"/>
      <c r="P2647" s="1">
        <f>MONTH(Advices[[#This Row],[Transaction Date]])</f>
        <v>5</v>
      </c>
      <c r="Q2647" s="1">
        <f>YEAR(Advices[[#This Row],[Transaction Date]])</f>
        <v>2026</v>
      </c>
      <c r="R2647" s="1"/>
    </row>
    <row r="2648" spans="1:18" hidden="1" x14ac:dyDescent="0.25">
      <c r="A2648" s="264" t="s">
        <v>612</v>
      </c>
      <c r="B2648" s="265">
        <v>46149</v>
      </c>
      <c r="C2648" s="266" t="s">
        <v>2101</v>
      </c>
      <c r="D2648" s="264" t="s">
        <v>5296</v>
      </c>
      <c r="E2648" s="264" t="s">
        <v>5252</v>
      </c>
      <c r="F2648" s="264" t="s">
        <v>2041</v>
      </c>
      <c r="G2648" s="266" t="s">
        <v>26</v>
      </c>
      <c r="H2648" s="540">
        <v>200</v>
      </c>
      <c r="I2648" s="266">
        <v>0</v>
      </c>
      <c r="J2648" s="264" t="s">
        <v>2616</v>
      </c>
      <c r="K2648" s="264" t="s">
        <v>2025</v>
      </c>
      <c r="L2648" s="1" t="str">
        <f>VLOOKUP(Advices[[#This Row],[LC Number]],'Combine_List'!A:D,2,0)</f>
        <v>Al-Tawi READY -MIX FACTORY</v>
      </c>
      <c r="M2648" s="1" t="str">
        <f>VLOOKUP(Advices[[#This Row],[LC Number]],'Combine_List'!A:D,3,0)</f>
        <v>MBL</v>
      </c>
      <c r="N2648" s="1" t="str">
        <f>VLOOKUP(Advices[[#This Row],[LC Number]],'Combine_List'!A:D,4,0)</f>
        <v>RCRC</v>
      </c>
      <c r="O2648" s="1"/>
      <c r="P2648" s="1">
        <f>MONTH(Advices[[#This Row],[Transaction Date]])</f>
        <v>5</v>
      </c>
      <c r="Q2648" s="1">
        <f>YEAR(Advices[[#This Row],[Transaction Date]])</f>
        <v>2026</v>
      </c>
      <c r="R2648" s="1"/>
    </row>
    <row r="2649" spans="1:18" hidden="1" x14ac:dyDescent="0.25">
      <c r="A2649" s="264" t="s">
        <v>612</v>
      </c>
      <c r="B2649" s="265">
        <v>46152</v>
      </c>
      <c r="C2649" s="266" t="s">
        <v>2101</v>
      </c>
      <c r="D2649" s="264" t="s">
        <v>5297</v>
      </c>
      <c r="E2649" s="264" t="s">
        <v>3571</v>
      </c>
      <c r="F2649" s="264" t="s">
        <v>2041</v>
      </c>
      <c r="G2649" s="266" t="s">
        <v>26</v>
      </c>
      <c r="H2649" s="299">
        <v>1478254.88</v>
      </c>
      <c r="I2649" s="266">
        <v>0</v>
      </c>
      <c r="J2649" s="264" t="s">
        <v>1126</v>
      </c>
      <c r="K2649" s="264" t="s">
        <v>2025</v>
      </c>
      <c r="L2649" s="264" t="str">
        <f>VLOOKUP(Advices[[#This Row],[LC Number]],'Combine_List'!A:D,2,0)</f>
        <v>Alfanar Electrical Systems</v>
      </c>
      <c r="M2649" s="264" t="str">
        <f>VLOOKUP(Advices[[#This Row],[LC Number]],'Combine_List'!A:D,3,0)</f>
        <v>FIRST FIX</v>
      </c>
      <c r="N2649" s="264" t="str">
        <f>VLOOKUP(Advices[[#This Row],[LC Number]],'Combine_List'!A:D,4,0)</f>
        <v>RCRC</v>
      </c>
      <c r="O2649" s="264"/>
      <c r="P2649" s="264">
        <f>MONTH(Advices[[#This Row],[Transaction Date]])</f>
        <v>5</v>
      </c>
      <c r="Q2649" s="264">
        <f>YEAR(Advices[[#This Row],[Transaction Date]])</f>
        <v>2026</v>
      </c>
      <c r="R2649" s="264"/>
    </row>
    <row r="2650" spans="1:18" x14ac:dyDescent="0.25">
      <c r="A2650" s="264" t="s">
        <v>21</v>
      </c>
      <c r="B2650" s="265">
        <v>46154</v>
      </c>
      <c r="C2650" s="266" t="s">
        <v>1951</v>
      </c>
      <c r="D2650" s="264" t="s">
        <v>4572</v>
      </c>
      <c r="E2650" s="264" t="s">
        <v>4737</v>
      </c>
      <c r="F2650" s="264" t="s">
        <v>5340</v>
      </c>
      <c r="G2650" s="266" t="s">
        <v>26</v>
      </c>
      <c r="H2650" s="299">
        <v>8750</v>
      </c>
      <c r="I2650" s="266">
        <v>0</v>
      </c>
      <c r="J2650" s="264" t="s">
        <v>1125</v>
      </c>
      <c r="K2650" s="264" t="s">
        <v>2025</v>
      </c>
      <c r="L2650" s="1" t="str">
        <f>VLOOKUP(Advices[[#This Row],[LC Number]],'Combine_List'!A:D,2,0)</f>
        <v>Innovative Specialized Security Solution</v>
      </c>
      <c r="M2650" s="1" t="str">
        <f>VLOOKUP(Advices[[#This Row],[LC Number]],'Combine_List'!A:D,3,0)</f>
        <v>ICAD</v>
      </c>
      <c r="N2650" s="1" t="str">
        <f>VLOOKUP(Advices[[#This Row],[LC Number]],'Combine_List'!A:D,4,0)</f>
        <v>ADF</v>
      </c>
      <c r="O2650" s="1"/>
      <c r="P2650" s="1">
        <f>MONTH(Advices[[#This Row],[Transaction Date]])</f>
        <v>5</v>
      </c>
      <c r="Q2650" s="1">
        <f>YEAR(Advices[[#This Row],[Transaction Date]])</f>
        <v>2026</v>
      </c>
      <c r="R2650" s="1"/>
    </row>
    <row r="2651" spans="1:18" x14ac:dyDescent="0.25">
      <c r="A2651" s="264" t="s">
        <v>21</v>
      </c>
      <c r="B2651" s="265">
        <v>46154</v>
      </c>
      <c r="C2651" s="266" t="s">
        <v>1951</v>
      </c>
      <c r="D2651" s="264" t="s">
        <v>5196</v>
      </c>
      <c r="E2651" s="264" t="s">
        <v>4737</v>
      </c>
      <c r="F2651" s="264" t="s">
        <v>4737</v>
      </c>
      <c r="G2651" s="266" t="s">
        <v>26</v>
      </c>
      <c r="H2651" s="299">
        <v>500</v>
      </c>
      <c r="I2651" s="266">
        <v>0</v>
      </c>
      <c r="J2651" s="264" t="s">
        <v>1124</v>
      </c>
      <c r="K2651" s="264" t="s">
        <v>2025</v>
      </c>
      <c r="L2651" s="1" t="str">
        <f>VLOOKUP(Advices[[#This Row],[LC Number]],'Combine_List'!A:D,2,0)</f>
        <v>Innovative Specialized Security Solution</v>
      </c>
      <c r="M2651" s="1" t="str">
        <f>VLOOKUP(Advices[[#This Row],[LC Number]],'Combine_List'!A:D,3,0)</f>
        <v>ICAD</v>
      </c>
      <c r="N2651" s="1" t="str">
        <f>VLOOKUP(Advices[[#This Row],[LC Number]],'Combine_List'!A:D,4,0)</f>
        <v>ADF</v>
      </c>
      <c r="O2651" s="1"/>
      <c r="P2651" s="1">
        <f>MONTH(Advices[[#This Row],[Transaction Date]])</f>
        <v>5</v>
      </c>
      <c r="Q2651" s="1">
        <f>YEAR(Advices[[#This Row],[Transaction Date]])</f>
        <v>2026</v>
      </c>
      <c r="R2651" s="1"/>
    </row>
    <row r="2652" spans="1:18" x14ac:dyDescent="0.25">
      <c r="A2652" s="264" t="s">
        <v>21</v>
      </c>
      <c r="B2652" s="265">
        <v>46154</v>
      </c>
      <c r="C2652" s="266" t="s">
        <v>1951</v>
      </c>
      <c r="D2652" s="264" t="s">
        <v>4569</v>
      </c>
      <c r="E2652" s="264" t="s">
        <v>4737</v>
      </c>
      <c r="F2652" s="264" t="s">
        <v>4737</v>
      </c>
      <c r="G2652" s="266" t="s">
        <v>26</v>
      </c>
      <c r="H2652" s="299">
        <v>250</v>
      </c>
      <c r="I2652" s="266">
        <v>0</v>
      </c>
      <c r="J2652" s="264" t="s">
        <v>1963</v>
      </c>
      <c r="K2652" s="264" t="s">
        <v>2025</v>
      </c>
      <c r="L2652" s="1" t="str">
        <f>VLOOKUP(Advices[[#This Row],[LC Number]],'Combine_List'!A:D,2,0)</f>
        <v>Innovative Specialized Security Solution</v>
      </c>
      <c r="M2652" s="1" t="str">
        <f>VLOOKUP(Advices[[#This Row],[LC Number]],'Combine_List'!A:D,3,0)</f>
        <v>ICAD</v>
      </c>
      <c r="N2652" s="1" t="str">
        <f>VLOOKUP(Advices[[#This Row],[LC Number]],'Combine_List'!A:D,4,0)</f>
        <v>ADF</v>
      </c>
      <c r="O2652" s="1"/>
      <c r="P2652" s="1">
        <f>MONTH(Advices[[#This Row],[Transaction Date]])</f>
        <v>5</v>
      </c>
      <c r="Q2652" s="1">
        <f>YEAR(Advices[[#This Row],[Transaction Date]])</f>
        <v>2026</v>
      </c>
      <c r="R2652" s="1"/>
    </row>
    <row r="2653" spans="1:18" x14ac:dyDescent="0.25">
      <c r="A2653" s="264" t="s">
        <v>21</v>
      </c>
      <c r="B2653" s="265">
        <v>46154</v>
      </c>
      <c r="C2653" s="266" t="s">
        <v>1951</v>
      </c>
      <c r="D2653" s="264" t="s">
        <v>2574</v>
      </c>
      <c r="E2653" s="264" t="s">
        <v>4737</v>
      </c>
      <c r="F2653" s="264" t="s">
        <v>4737</v>
      </c>
      <c r="G2653" s="266" t="s">
        <v>26</v>
      </c>
      <c r="H2653" s="299">
        <v>37.5</v>
      </c>
      <c r="I2653" s="266">
        <v>0</v>
      </c>
      <c r="J2653" s="264" t="s">
        <v>1174</v>
      </c>
      <c r="K2653" s="264" t="s">
        <v>2025</v>
      </c>
      <c r="L2653" s="1" t="str">
        <f>VLOOKUP(Advices[[#This Row],[LC Number]],'Combine_List'!A:D,2,0)</f>
        <v>Innovative Specialized Security Solution</v>
      </c>
      <c r="M2653" s="1" t="str">
        <f>VLOOKUP(Advices[[#This Row],[LC Number]],'Combine_List'!A:D,3,0)</f>
        <v>ICAD</v>
      </c>
      <c r="N2653" s="1" t="str">
        <f>VLOOKUP(Advices[[#This Row],[LC Number]],'Combine_List'!A:D,4,0)</f>
        <v>ADF</v>
      </c>
      <c r="O2653" s="1"/>
      <c r="P2653" s="1">
        <f>MONTH(Advices[[#This Row],[Transaction Date]])</f>
        <v>5</v>
      </c>
      <c r="Q2653" s="1">
        <f>YEAR(Advices[[#This Row],[Transaction Date]])</f>
        <v>2026</v>
      </c>
      <c r="R2653" s="1"/>
    </row>
    <row r="2654" spans="1:18" x14ac:dyDescent="0.25">
      <c r="A2654" s="264" t="s">
        <v>21</v>
      </c>
      <c r="B2654" s="265">
        <v>46154</v>
      </c>
      <c r="C2654" s="266" t="s">
        <v>1951</v>
      </c>
      <c r="D2654" s="264" t="s">
        <v>4570</v>
      </c>
      <c r="E2654" s="264" t="s">
        <v>3228</v>
      </c>
      <c r="F2654" s="264" t="s">
        <v>5141</v>
      </c>
      <c r="G2654" s="266" t="s">
        <v>26</v>
      </c>
      <c r="H2654" s="299">
        <v>363328.55</v>
      </c>
      <c r="I2654" s="266">
        <v>0</v>
      </c>
      <c r="J2654" s="264" t="s">
        <v>1126</v>
      </c>
      <c r="K2654" s="264" t="s">
        <v>2025</v>
      </c>
      <c r="L2654" s="1" t="str">
        <f>VLOOKUP(Advices[[#This Row],[LC Number]],'Combine_List'!A:D,2,0)</f>
        <v>LSI PROJECTS LIMITED</v>
      </c>
      <c r="M2654" s="1" t="str">
        <f>VLOOKUP(Advices[[#This Row],[LC Number]],'Combine_List'!A:D,3,0)</f>
        <v>ICAD</v>
      </c>
      <c r="N2654" s="1" t="str">
        <f>VLOOKUP(Advices[[#This Row],[LC Number]],'Combine_List'!A:D,4,0)</f>
        <v>KSP</v>
      </c>
      <c r="O2654" s="1"/>
      <c r="P2654" s="1">
        <f>MONTH(Advices[[#This Row],[Transaction Date]])</f>
        <v>5</v>
      </c>
      <c r="Q2654" s="1">
        <f>YEAR(Advices[[#This Row],[Transaction Date]])</f>
        <v>2026</v>
      </c>
      <c r="R2654" s="1"/>
    </row>
    <row r="2655" spans="1:18" x14ac:dyDescent="0.25">
      <c r="A2655" s="264" t="s">
        <v>21</v>
      </c>
      <c r="B2655" s="265">
        <v>46154</v>
      </c>
      <c r="C2655" s="266" t="s">
        <v>1951</v>
      </c>
      <c r="D2655" s="264" t="s">
        <v>5341</v>
      </c>
      <c r="E2655" s="264" t="s">
        <v>4737</v>
      </c>
      <c r="F2655" s="264" t="s">
        <v>5340</v>
      </c>
      <c r="G2655" s="266" t="s">
        <v>26</v>
      </c>
      <c r="H2655" s="299">
        <v>1312.5</v>
      </c>
      <c r="I2655" s="266">
        <v>0</v>
      </c>
      <c r="J2655" s="264" t="s">
        <v>1174</v>
      </c>
      <c r="K2655" s="264" t="s">
        <v>2025</v>
      </c>
      <c r="L2655" s="1" t="str">
        <f>VLOOKUP(Advices[[#This Row],[LC Number]],'Combine_List'!A:D,2,0)</f>
        <v>Innovative Specialized Security Solution</v>
      </c>
      <c r="M2655" s="1" t="str">
        <f>VLOOKUP(Advices[[#This Row],[LC Number]],'Combine_List'!A:D,3,0)</f>
        <v>ICAD</v>
      </c>
      <c r="N2655" s="1" t="str">
        <f>VLOOKUP(Advices[[#This Row],[LC Number]],'Combine_List'!A:D,4,0)</f>
        <v>ADF</v>
      </c>
      <c r="O2655" s="1"/>
      <c r="P2655" s="1">
        <f>MONTH(Advices[[#This Row],[Transaction Date]])</f>
        <v>5</v>
      </c>
      <c r="Q2655" s="1">
        <f>YEAR(Advices[[#This Row],[Transaction Date]])</f>
        <v>2026</v>
      </c>
      <c r="R2655" s="1"/>
    </row>
    <row r="2656" spans="1:18" x14ac:dyDescent="0.25">
      <c r="A2656" s="264" t="s">
        <v>21</v>
      </c>
      <c r="B2656" s="265">
        <v>46154</v>
      </c>
      <c r="C2656" s="266" t="s">
        <v>1951</v>
      </c>
      <c r="D2656" s="264" t="s">
        <v>5342</v>
      </c>
      <c r="E2656" s="264" t="s">
        <v>3228</v>
      </c>
      <c r="F2656" s="264" t="s">
        <v>5141</v>
      </c>
      <c r="G2656" s="266" t="s">
        <v>26</v>
      </c>
      <c r="H2656" s="299">
        <v>22.5</v>
      </c>
      <c r="I2656" s="266">
        <v>0</v>
      </c>
      <c r="J2656" s="264" t="s">
        <v>1174</v>
      </c>
      <c r="K2656" s="264" t="s">
        <v>2025</v>
      </c>
      <c r="L2656" s="1" t="str">
        <f>VLOOKUP(Advices[[#This Row],[LC Number]],'Combine_List'!A:D,2,0)</f>
        <v>LSI PROJECTS LIMITED</v>
      </c>
      <c r="M2656" s="1" t="str">
        <f>VLOOKUP(Advices[[#This Row],[LC Number]],'Combine_List'!A:D,3,0)</f>
        <v>ICAD</v>
      </c>
      <c r="N2656" s="1" t="str">
        <f>VLOOKUP(Advices[[#This Row],[LC Number]],'Combine_List'!A:D,4,0)</f>
        <v>KSP</v>
      </c>
      <c r="O2656" s="1"/>
      <c r="P2656" s="1">
        <f>MONTH(Advices[[#This Row],[Transaction Date]])</f>
        <v>5</v>
      </c>
      <c r="Q2656" s="1">
        <f>YEAR(Advices[[#This Row],[Transaction Date]])</f>
        <v>2026</v>
      </c>
      <c r="R2656" s="1"/>
    </row>
    <row r="2657" spans="1:18" x14ac:dyDescent="0.25">
      <c r="A2657" s="264" t="s">
        <v>21</v>
      </c>
      <c r="B2657" s="265">
        <v>46154</v>
      </c>
      <c r="C2657" s="266" t="s">
        <v>1951</v>
      </c>
      <c r="D2657" s="264" t="s">
        <v>4569</v>
      </c>
      <c r="E2657" s="264" t="s">
        <v>3228</v>
      </c>
      <c r="F2657" s="264" t="s">
        <v>5141</v>
      </c>
      <c r="G2657" s="266" t="s">
        <v>26</v>
      </c>
      <c r="H2657" s="299">
        <v>150</v>
      </c>
      <c r="I2657" s="266">
        <v>0</v>
      </c>
      <c r="J2657" s="264" t="s">
        <v>1963</v>
      </c>
      <c r="K2657" s="264" t="s">
        <v>2025</v>
      </c>
      <c r="L2657" s="1" t="str">
        <f>VLOOKUP(Advices[[#This Row],[LC Number]],'Combine_List'!A:D,2,0)</f>
        <v>LSI PROJECTS LIMITED</v>
      </c>
      <c r="M2657" s="1" t="str">
        <f>VLOOKUP(Advices[[#This Row],[LC Number]],'Combine_List'!A:D,3,0)</f>
        <v>ICAD</v>
      </c>
      <c r="N2657" s="1" t="str">
        <f>VLOOKUP(Advices[[#This Row],[LC Number]],'Combine_List'!A:D,4,0)</f>
        <v>KSP</v>
      </c>
      <c r="O2657" s="1"/>
      <c r="P2657" s="1">
        <f>MONTH(Advices[[#This Row],[Transaction Date]])</f>
        <v>5</v>
      </c>
      <c r="Q2657" s="1">
        <f>YEAR(Advices[[#This Row],[Transaction Date]])</f>
        <v>2026</v>
      </c>
      <c r="R2657" s="1"/>
    </row>
    <row r="2658" spans="1:18" x14ac:dyDescent="0.25">
      <c r="A2658" s="264" t="s">
        <v>21</v>
      </c>
      <c r="B2658" s="265">
        <v>46154</v>
      </c>
      <c r="C2658" s="266" t="s">
        <v>1951</v>
      </c>
      <c r="D2658" s="264" t="s">
        <v>1952</v>
      </c>
      <c r="E2658" s="264" t="s">
        <v>1503</v>
      </c>
      <c r="F2658" s="264" t="s">
        <v>5343</v>
      </c>
      <c r="G2658" s="266" t="s">
        <v>26</v>
      </c>
      <c r="H2658" s="299">
        <v>187.5</v>
      </c>
      <c r="I2658" s="266">
        <v>0</v>
      </c>
      <c r="J2658" s="264" t="s">
        <v>1174</v>
      </c>
      <c r="K2658" s="264" t="s">
        <v>2025</v>
      </c>
      <c r="L2658" s="1" t="str">
        <f>VLOOKUP(Advices[[#This Row],[LC Number]],'Combine_List'!A:D,2,0)</f>
        <v>SKM AIR CONDITIONING CO</v>
      </c>
      <c r="M2658" s="1" t="str">
        <f>VLOOKUP(Advices[[#This Row],[LC Number]],'Combine_List'!A:D,3,0)</f>
        <v>FIRST FIX</v>
      </c>
      <c r="N2658" s="1" t="str">
        <f>VLOOKUP(Advices[[#This Row],[LC Number]],'Combine_List'!A:D,4,0)</f>
        <v>JCD SPMI</v>
      </c>
      <c r="O2658" s="1"/>
      <c r="P2658" s="1">
        <f>MONTH(Advices[[#This Row],[Transaction Date]])</f>
        <v>5</v>
      </c>
      <c r="Q2658" s="1">
        <f>YEAR(Advices[[#This Row],[Transaction Date]])</f>
        <v>2026</v>
      </c>
      <c r="R2658" s="1"/>
    </row>
    <row r="2659" spans="1:18" x14ac:dyDescent="0.25">
      <c r="A2659" s="264" t="s">
        <v>21</v>
      </c>
      <c r="B2659" s="265">
        <v>46154</v>
      </c>
      <c r="C2659" s="266" t="s">
        <v>1951</v>
      </c>
      <c r="D2659" s="264" t="s">
        <v>4572</v>
      </c>
      <c r="E2659" s="264" t="s">
        <v>1503</v>
      </c>
      <c r="F2659" s="264" t="s">
        <v>5343</v>
      </c>
      <c r="G2659" s="266" t="s">
        <v>26</v>
      </c>
      <c r="H2659" s="299">
        <v>1250</v>
      </c>
      <c r="I2659" s="266">
        <v>0</v>
      </c>
      <c r="J2659" s="264" t="s">
        <v>1125</v>
      </c>
      <c r="K2659" s="264" t="s">
        <v>2025</v>
      </c>
      <c r="L2659" s="1" t="str">
        <f>VLOOKUP(Advices[[#This Row],[LC Number]],'Combine_List'!A:D,2,0)</f>
        <v>SKM AIR CONDITIONING CO</v>
      </c>
      <c r="M2659" s="1" t="str">
        <f>VLOOKUP(Advices[[#This Row],[LC Number]],'Combine_List'!A:D,3,0)</f>
        <v>FIRST FIX</v>
      </c>
      <c r="N2659" s="1" t="str">
        <f>VLOOKUP(Advices[[#This Row],[LC Number]],'Combine_List'!A:D,4,0)</f>
        <v>JCD SPMI</v>
      </c>
      <c r="O2659" s="1"/>
      <c r="P2659" s="1">
        <f>MONTH(Advices[[#This Row],[Transaction Date]])</f>
        <v>5</v>
      </c>
      <c r="Q2659" s="1">
        <f>YEAR(Advices[[#This Row],[Transaction Date]])</f>
        <v>2026</v>
      </c>
      <c r="R2659" s="1"/>
    </row>
    <row r="2660" spans="1:18" x14ac:dyDescent="0.25">
      <c r="A2660" s="264" t="s">
        <v>21</v>
      </c>
      <c r="B2660" s="265">
        <v>46154</v>
      </c>
      <c r="C2660" s="266" t="s">
        <v>1951</v>
      </c>
      <c r="D2660" s="264" t="s">
        <v>2574</v>
      </c>
      <c r="E2660" s="264" t="s">
        <v>4737</v>
      </c>
      <c r="F2660" s="264" t="s">
        <v>4737</v>
      </c>
      <c r="G2660" s="266" t="s">
        <v>26</v>
      </c>
      <c r="H2660" s="299">
        <v>75</v>
      </c>
      <c r="I2660" s="266">
        <v>0</v>
      </c>
      <c r="J2660" s="264" t="s">
        <v>1174</v>
      </c>
      <c r="K2660" s="264" t="s">
        <v>2025</v>
      </c>
      <c r="L2660" s="1" t="str">
        <f>VLOOKUP(Advices[[#This Row],[LC Number]],'Combine_List'!A:D,2,0)</f>
        <v>Innovative Specialized Security Solution</v>
      </c>
      <c r="M2660" s="1" t="str">
        <f>VLOOKUP(Advices[[#This Row],[LC Number]],'Combine_List'!A:D,3,0)</f>
        <v>ICAD</v>
      </c>
      <c r="N2660" s="1" t="str">
        <f>VLOOKUP(Advices[[#This Row],[LC Number]],'Combine_List'!A:D,4,0)</f>
        <v>ADF</v>
      </c>
      <c r="O2660" s="1"/>
      <c r="P2660" s="1">
        <f>MONTH(Advices[[#This Row],[Transaction Date]])</f>
        <v>5</v>
      </c>
      <c r="Q2660" s="1">
        <f>YEAR(Advices[[#This Row],[Transaction Date]])</f>
        <v>2026</v>
      </c>
      <c r="R2660" s="1"/>
    </row>
    <row r="2661" spans="1:18" x14ac:dyDescent="0.25">
      <c r="A2661" s="264" t="s">
        <v>21</v>
      </c>
      <c r="B2661" s="265">
        <v>46154</v>
      </c>
      <c r="C2661" s="266" t="s">
        <v>1951</v>
      </c>
      <c r="D2661" s="264" t="s">
        <v>4569</v>
      </c>
      <c r="E2661" s="264" t="s">
        <v>1895</v>
      </c>
      <c r="F2661" s="264" t="s">
        <v>4360</v>
      </c>
      <c r="G2661" s="266" t="s">
        <v>26</v>
      </c>
      <c r="H2661" s="299">
        <v>75</v>
      </c>
      <c r="I2661" s="266">
        <v>0</v>
      </c>
      <c r="J2661" s="264" t="s">
        <v>1963</v>
      </c>
      <c r="K2661" s="264" t="s">
        <v>2025</v>
      </c>
      <c r="L2661" s="1" t="str">
        <f>VLOOKUP(Advices[[#This Row],[LC Number]],'Combine_List'!A:D,2,0)</f>
        <v>BRC Industrial (Saudia) Company</v>
      </c>
      <c r="M2661" s="1" t="str">
        <f>VLOOKUP(Advices[[#This Row],[LC Number]],'Combine_List'!A:D,3,0)</f>
        <v>MBL</v>
      </c>
      <c r="N2661" s="1" t="str">
        <f>VLOOKUP(Advices[[#This Row],[LC Number]],'Combine_List'!A:D,4,0)</f>
        <v>Rabigh Power Plant</v>
      </c>
      <c r="O2661" s="1"/>
      <c r="P2661" s="1">
        <f>MONTH(Advices[[#This Row],[Transaction Date]])</f>
        <v>5</v>
      </c>
      <c r="Q2661" s="1">
        <f>YEAR(Advices[[#This Row],[Transaction Date]])</f>
        <v>2026</v>
      </c>
      <c r="R2661" s="1"/>
    </row>
    <row r="2662" spans="1:18" x14ac:dyDescent="0.25">
      <c r="A2662" s="264" t="s">
        <v>21</v>
      </c>
      <c r="B2662" s="265">
        <v>46154</v>
      </c>
      <c r="C2662" s="266" t="s">
        <v>1951</v>
      </c>
      <c r="D2662" s="264" t="s">
        <v>1960</v>
      </c>
      <c r="E2662" s="264" t="s">
        <v>1895</v>
      </c>
      <c r="F2662" s="264" t="s">
        <v>4360</v>
      </c>
      <c r="G2662" s="266" t="s">
        <v>26</v>
      </c>
      <c r="H2662" s="299">
        <v>11.25</v>
      </c>
      <c r="I2662" s="266">
        <v>0</v>
      </c>
      <c r="J2662" s="264" t="s">
        <v>1174</v>
      </c>
      <c r="K2662" s="264" t="s">
        <v>2025</v>
      </c>
      <c r="L2662" s="1" t="str">
        <f>VLOOKUP(Advices[[#This Row],[LC Number]],'Combine_List'!A:D,2,0)</f>
        <v>BRC Industrial (Saudia) Company</v>
      </c>
      <c r="M2662" s="1" t="str">
        <f>VLOOKUP(Advices[[#This Row],[LC Number]],'Combine_List'!A:D,3,0)</f>
        <v>MBL</v>
      </c>
      <c r="N2662" s="1" t="str">
        <f>VLOOKUP(Advices[[#This Row],[LC Number]],'Combine_List'!A:D,4,0)</f>
        <v>Rabigh Power Plant</v>
      </c>
      <c r="O2662" s="1"/>
      <c r="P2662" s="1">
        <f>MONTH(Advices[[#This Row],[Transaction Date]])</f>
        <v>5</v>
      </c>
      <c r="Q2662" s="1">
        <f>YEAR(Advices[[#This Row],[Transaction Date]])</f>
        <v>2026</v>
      </c>
      <c r="R2662" s="1"/>
    </row>
    <row r="2663" spans="1:18" x14ac:dyDescent="0.25">
      <c r="A2663" s="264" t="s">
        <v>21</v>
      </c>
      <c r="B2663" s="265">
        <v>46154</v>
      </c>
      <c r="C2663" s="266" t="s">
        <v>1951</v>
      </c>
      <c r="D2663" s="264" t="s">
        <v>4570</v>
      </c>
      <c r="E2663" s="264" t="s">
        <v>1895</v>
      </c>
      <c r="F2663" s="264" t="s">
        <v>4360</v>
      </c>
      <c r="G2663" s="266" t="s">
        <v>26</v>
      </c>
      <c r="H2663" s="299">
        <v>1365320.51</v>
      </c>
      <c r="I2663" s="266">
        <v>0</v>
      </c>
      <c r="J2663" s="264" t="s">
        <v>1126</v>
      </c>
      <c r="K2663" s="264" t="s">
        <v>2025</v>
      </c>
      <c r="L2663" s="1" t="str">
        <f>VLOOKUP(Advices[[#This Row],[LC Number]],'Combine_List'!A:D,2,0)</f>
        <v>BRC Industrial (Saudia) Company</v>
      </c>
      <c r="M2663" s="1" t="str">
        <f>VLOOKUP(Advices[[#This Row],[LC Number]],'Combine_List'!A:D,3,0)</f>
        <v>MBL</v>
      </c>
      <c r="N2663" s="1" t="str">
        <f>VLOOKUP(Advices[[#This Row],[LC Number]],'Combine_List'!A:D,4,0)</f>
        <v>Rabigh Power Plant</v>
      </c>
      <c r="O2663" s="1"/>
      <c r="P2663" s="1">
        <f>MONTH(Advices[[#This Row],[Transaction Date]])</f>
        <v>5</v>
      </c>
      <c r="Q2663" s="1">
        <f>YEAR(Advices[[#This Row],[Transaction Date]])</f>
        <v>2026</v>
      </c>
      <c r="R2663" s="1"/>
    </row>
    <row r="2664" spans="1:18" x14ac:dyDescent="0.25">
      <c r="A2664" s="264" t="s">
        <v>21</v>
      </c>
      <c r="B2664" s="265">
        <v>46155</v>
      </c>
      <c r="C2664" s="266" t="s">
        <v>1951</v>
      </c>
      <c r="D2664" s="264" t="s">
        <v>1960</v>
      </c>
      <c r="E2664" s="264" t="s">
        <v>5393</v>
      </c>
      <c r="F2664" s="264" t="s">
        <v>4141</v>
      </c>
      <c r="G2664" s="266" t="s">
        <v>26</v>
      </c>
      <c r="H2664" s="299">
        <v>11.25</v>
      </c>
      <c r="I2664" s="266">
        <v>0</v>
      </c>
      <c r="J2664" s="264" t="s">
        <v>1174</v>
      </c>
      <c r="K2664" s="264" t="s">
        <v>2025</v>
      </c>
      <c r="L2664" s="1" t="s">
        <v>4277</v>
      </c>
      <c r="M2664" s="1" t="s">
        <v>24</v>
      </c>
      <c r="N2664" s="1" t="s">
        <v>5394</v>
      </c>
      <c r="O2664" s="1"/>
      <c r="P2664" s="1">
        <f>MONTH(Advices[[#This Row],[Transaction Date]])</f>
        <v>5</v>
      </c>
      <c r="Q2664" s="1">
        <f>YEAR(Advices[[#This Row],[Transaction Date]])</f>
        <v>2026</v>
      </c>
      <c r="R2664" s="1"/>
    </row>
    <row r="2665" spans="1:18" x14ac:dyDescent="0.25">
      <c r="A2665" s="264" t="s">
        <v>21</v>
      </c>
      <c r="B2665" s="265">
        <v>46155</v>
      </c>
      <c r="C2665" s="266" t="s">
        <v>1951</v>
      </c>
      <c r="D2665" s="264" t="s">
        <v>4569</v>
      </c>
      <c r="E2665" s="264" t="s">
        <v>5393</v>
      </c>
      <c r="F2665" s="264" t="s">
        <v>4141</v>
      </c>
      <c r="G2665" s="266" t="s">
        <v>26</v>
      </c>
      <c r="H2665" s="299">
        <v>75</v>
      </c>
      <c r="I2665" s="266">
        <v>0</v>
      </c>
      <c r="J2665" s="264" t="s">
        <v>1963</v>
      </c>
      <c r="K2665" s="264" t="s">
        <v>2025</v>
      </c>
      <c r="L2665" s="1" t="s">
        <v>4277</v>
      </c>
      <c r="M2665" s="1" t="s">
        <v>24</v>
      </c>
      <c r="N2665" s="1" t="s">
        <v>5394</v>
      </c>
      <c r="O2665" s="1"/>
      <c r="P2665" s="1">
        <f>MONTH(Advices[[#This Row],[Transaction Date]])</f>
        <v>5</v>
      </c>
      <c r="Q2665" s="1">
        <f>YEAR(Advices[[#This Row],[Transaction Date]])</f>
        <v>2026</v>
      </c>
      <c r="R2665" s="1"/>
    </row>
    <row r="2666" spans="1:18" x14ac:dyDescent="0.25">
      <c r="A2666" s="264" t="s">
        <v>21</v>
      </c>
      <c r="B2666" s="265">
        <v>46155</v>
      </c>
      <c r="C2666" s="266" t="s">
        <v>1951</v>
      </c>
      <c r="D2666" s="264" t="s">
        <v>4570</v>
      </c>
      <c r="E2666" s="264" t="s">
        <v>5393</v>
      </c>
      <c r="F2666" s="264" t="s">
        <v>4141</v>
      </c>
      <c r="G2666" s="266" t="s">
        <v>26</v>
      </c>
      <c r="H2666" s="299">
        <v>25000000</v>
      </c>
      <c r="I2666" s="266">
        <v>0</v>
      </c>
      <c r="J2666" s="264" t="s">
        <v>1126</v>
      </c>
      <c r="K2666" s="264" t="s">
        <v>2025</v>
      </c>
      <c r="L2666" s="1" t="s">
        <v>4277</v>
      </c>
      <c r="M2666" s="1" t="s">
        <v>24</v>
      </c>
      <c r="N2666" s="1" t="s">
        <v>5394</v>
      </c>
      <c r="O2666" s="1"/>
      <c r="P2666" s="1">
        <f>MONTH(Advices[[#This Row],[Transaction Date]])</f>
        <v>5</v>
      </c>
      <c r="Q2666" s="1">
        <f>YEAR(Advices[[#This Row],[Transaction Date]])</f>
        <v>2026</v>
      </c>
      <c r="R2666" s="1"/>
    </row>
    <row r="2667" spans="1:18" x14ac:dyDescent="0.25">
      <c r="A2667" s="264" t="s">
        <v>21</v>
      </c>
      <c r="B2667" s="265">
        <v>46156</v>
      </c>
      <c r="C2667" s="266" t="s">
        <v>1951</v>
      </c>
      <c r="D2667" s="264" t="s">
        <v>1952</v>
      </c>
      <c r="E2667" s="264" t="s">
        <v>1896</v>
      </c>
      <c r="F2667" s="264" t="s">
        <v>5344</v>
      </c>
      <c r="G2667" s="266" t="s">
        <v>26</v>
      </c>
      <c r="H2667" s="299">
        <v>187.5</v>
      </c>
      <c r="I2667" s="266">
        <v>0</v>
      </c>
      <c r="J2667" s="264" t="s">
        <v>1174</v>
      </c>
      <c r="K2667" s="264" t="s">
        <v>2025</v>
      </c>
      <c r="L2667" s="1" t="str">
        <f>VLOOKUP(Advices[[#This Row],[LC Number]],'Combine_List'!A:D,2,0)</f>
        <v>Saudi Perfect Pumps Trading &amp; Manufacturing Company</v>
      </c>
      <c r="M2667" s="1" t="str">
        <f>VLOOKUP(Advices[[#This Row],[LC Number]],'Combine_List'!A:D,3,0)</f>
        <v>MBL</v>
      </c>
      <c r="N2667" s="1" t="str">
        <f>VLOOKUP(Advices[[#This Row],[LC Number]],'Combine_List'!A:D,4,0)</f>
        <v>Rabigh Power Plant</v>
      </c>
      <c r="O2667" s="1"/>
      <c r="P2667" s="1">
        <f>MONTH(Advices[[#This Row],[Transaction Date]])</f>
        <v>5</v>
      </c>
      <c r="Q2667" s="1">
        <f>YEAR(Advices[[#This Row],[Transaction Date]])</f>
        <v>2026</v>
      </c>
      <c r="R2667" s="1"/>
    </row>
    <row r="2668" spans="1:18" x14ac:dyDescent="0.25">
      <c r="A2668" s="264" t="s">
        <v>21</v>
      </c>
      <c r="B2668" s="265">
        <v>46156</v>
      </c>
      <c r="C2668" s="266" t="s">
        <v>1951</v>
      </c>
      <c r="D2668" s="264" t="s">
        <v>4572</v>
      </c>
      <c r="E2668" s="264" t="s">
        <v>1896</v>
      </c>
      <c r="F2668" s="264" t="s">
        <v>5344</v>
      </c>
      <c r="G2668" s="266" t="s">
        <v>26</v>
      </c>
      <c r="H2668" s="299">
        <v>1250</v>
      </c>
      <c r="I2668" s="266">
        <v>0</v>
      </c>
      <c r="J2668" s="264" t="s">
        <v>1125</v>
      </c>
      <c r="K2668" s="264" t="s">
        <v>2025</v>
      </c>
      <c r="L2668" s="1" t="str">
        <f>VLOOKUP(Advices[[#This Row],[LC Number]],'Combine_List'!A:D,2,0)</f>
        <v>Saudi Perfect Pumps Trading &amp; Manufacturing Company</v>
      </c>
      <c r="M2668" s="1" t="str">
        <f>VLOOKUP(Advices[[#This Row],[LC Number]],'Combine_List'!A:D,3,0)</f>
        <v>MBL</v>
      </c>
      <c r="N2668" s="1" t="str">
        <f>VLOOKUP(Advices[[#This Row],[LC Number]],'Combine_List'!A:D,4,0)</f>
        <v>Rabigh Power Plant</v>
      </c>
      <c r="O2668" s="1"/>
      <c r="P2668" s="1">
        <f>MONTH(Advices[[#This Row],[Transaction Date]])</f>
        <v>5</v>
      </c>
      <c r="Q2668" s="1">
        <f>YEAR(Advices[[#This Row],[Transaction Date]])</f>
        <v>2026</v>
      </c>
      <c r="R2668" s="1"/>
    </row>
    <row r="2669" spans="1:18" x14ac:dyDescent="0.25">
      <c r="A2669" s="264" t="s">
        <v>21</v>
      </c>
      <c r="B2669" s="265">
        <v>46160</v>
      </c>
      <c r="C2669" s="266" t="s">
        <v>1951</v>
      </c>
      <c r="D2669" s="264" t="s">
        <v>1952</v>
      </c>
      <c r="E2669" s="264" t="s">
        <v>1887</v>
      </c>
      <c r="F2669" s="264" t="s">
        <v>5345</v>
      </c>
      <c r="G2669" s="266" t="s">
        <v>26</v>
      </c>
      <c r="H2669" s="299">
        <v>187.5</v>
      </c>
      <c r="I2669" s="266">
        <v>0</v>
      </c>
      <c r="J2669" s="264" t="s">
        <v>1174</v>
      </c>
      <c r="K2669" s="264" t="s">
        <v>2025</v>
      </c>
      <c r="L2669" s="1" t="str">
        <f>VLOOKUP(Advices[[#This Row],[LC Number]],'Combine_List'!A:D,2,0)</f>
        <v>Future Pipe Industries LLC</v>
      </c>
      <c r="M2669" s="1" t="str">
        <f>VLOOKUP(Advices[[#This Row],[LC Number]],'Combine_List'!A:D,3,0)</f>
        <v>MBL</v>
      </c>
      <c r="N2669" s="1" t="str">
        <f>VLOOKUP(Advices[[#This Row],[LC Number]],'Combine_List'!A:D,4,0)</f>
        <v>Rabigh Power Plant</v>
      </c>
      <c r="O2669" s="1"/>
      <c r="P2669" s="1">
        <f>MONTH(Advices[[#This Row],[Transaction Date]])</f>
        <v>5</v>
      </c>
      <c r="Q2669" s="1">
        <f>YEAR(Advices[[#This Row],[Transaction Date]])</f>
        <v>2026</v>
      </c>
      <c r="R2669" s="1"/>
    </row>
    <row r="2670" spans="1:18" x14ac:dyDescent="0.25">
      <c r="A2670" s="264" t="s">
        <v>21</v>
      </c>
      <c r="B2670" s="265">
        <v>46160</v>
      </c>
      <c r="C2670" s="266" t="s">
        <v>1951</v>
      </c>
      <c r="D2670" s="264" t="s">
        <v>4634</v>
      </c>
      <c r="E2670" s="264" t="s">
        <v>5312</v>
      </c>
      <c r="F2670" s="264" t="s">
        <v>5312</v>
      </c>
      <c r="G2670" s="266" t="s">
        <v>26</v>
      </c>
      <c r="H2670" s="299">
        <v>3000</v>
      </c>
      <c r="I2670" s="266">
        <v>0</v>
      </c>
      <c r="J2670" s="264"/>
      <c r="K2670" s="264" t="s">
        <v>2025</v>
      </c>
      <c r="L2670" s="1" t="str">
        <f>VLOOKUP(Advices[[#This Row],[LC Number]],'Combine_List'!A:D,2,0)</f>
        <v>Green Concrete CJSC</v>
      </c>
      <c r="M2670" s="1" t="str">
        <f>VLOOKUP(Advices[[#This Row],[LC Number]],'Combine_List'!A:D,3,0)</f>
        <v>MBL</v>
      </c>
      <c r="N2670" s="1" t="str">
        <f>VLOOKUP(Advices[[#This Row],[LC Number]],'Combine_List'!A:D,4,0)</f>
        <v>ADF</v>
      </c>
      <c r="O2670" s="1"/>
      <c r="P2670" s="1">
        <f>MONTH(Advices[[#This Row],[Transaction Date]])</f>
        <v>5</v>
      </c>
      <c r="Q2670" s="1">
        <f>YEAR(Advices[[#This Row],[Transaction Date]])</f>
        <v>2026</v>
      </c>
      <c r="R2670" s="1"/>
    </row>
    <row r="2671" spans="1:18" x14ac:dyDescent="0.25">
      <c r="A2671" s="264" t="s">
        <v>21</v>
      </c>
      <c r="B2671" s="265">
        <v>46160</v>
      </c>
      <c r="C2671" s="266" t="s">
        <v>1951</v>
      </c>
      <c r="D2671" s="264" t="s">
        <v>1960</v>
      </c>
      <c r="E2671" s="264" t="s">
        <v>3146</v>
      </c>
      <c r="F2671" s="264" t="s">
        <v>4416</v>
      </c>
      <c r="G2671" s="266" t="s">
        <v>26</v>
      </c>
      <c r="H2671" s="299">
        <v>11.25</v>
      </c>
      <c r="I2671" s="266">
        <v>0</v>
      </c>
      <c r="J2671" s="264" t="s">
        <v>1174</v>
      </c>
      <c r="K2671" s="264" t="s">
        <v>2025</v>
      </c>
      <c r="L2671" s="1" t="str">
        <f>VLOOKUP(Advices[[#This Row],[LC Number]],'Combine_List'!A:D,2,0)</f>
        <v>SIEMENS Limited Company</v>
      </c>
      <c r="M2671" s="1" t="str">
        <f>VLOOKUP(Advices[[#This Row],[LC Number]],'Combine_List'!A:D,3,0)</f>
        <v>Signal Control</v>
      </c>
      <c r="N2671" s="1" t="str">
        <f>VLOOKUP(Advices[[#This Row],[LC Number]],'Combine_List'!A:D,4,0)</f>
        <v>KSP</v>
      </c>
      <c r="O2671" s="1"/>
      <c r="P2671" s="1">
        <f>MONTH(Advices[[#This Row],[Transaction Date]])</f>
        <v>5</v>
      </c>
      <c r="Q2671" s="1">
        <f>YEAR(Advices[[#This Row],[Transaction Date]])</f>
        <v>2026</v>
      </c>
      <c r="R2671" s="1"/>
    </row>
    <row r="2672" spans="1:18" x14ac:dyDescent="0.25">
      <c r="A2672" s="264" t="s">
        <v>21</v>
      </c>
      <c r="B2672" s="265">
        <v>46160</v>
      </c>
      <c r="C2672" s="266" t="s">
        <v>1951</v>
      </c>
      <c r="D2672" s="264" t="s">
        <v>4569</v>
      </c>
      <c r="E2672" s="264" t="s">
        <v>3146</v>
      </c>
      <c r="F2672" s="264" t="s">
        <v>4416</v>
      </c>
      <c r="G2672" s="266" t="s">
        <v>26</v>
      </c>
      <c r="H2672" s="299">
        <v>75</v>
      </c>
      <c r="I2672" s="266">
        <v>0</v>
      </c>
      <c r="J2672" s="264" t="s">
        <v>1963</v>
      </c>
      <c r="K2672" s="264" t="s">
        <v>2025</v>
      </c>
      <c r="L2672" s="1" t="str">
        <f>VLOOKUP(Advices[[#This Row],[LC Number]],'Combine_List'!A:D,2,0)</f>
        <v>SIEMENS Limited Company</v>
      </c>
      <c r="M2672" s="1" t="str">
        <f>VLOOKUP(Advices[[#This Row],[LC Number]],'Combine_List'!A:D,3,0)</f>
        <v>Signal Control</v>
      </c>
      <c r="N2672" s="1" t="str">
        <f>VLOOKUP(Advices[[#This Row],[LC Number]],'Combine_List'!A:D,4,0)</f>
        <v>KSP</v>
      </c>
      <c r="O2672" s="1"/>
      <c r="P2672" s="1">
        <f>MONTH(Advices[[#This Row],[Transaction Date]])</f>
        <v>5</v>
      </c>
      <c r="Q2672" s="1">
        <f>YEAR(Advices[[#This Row],[Transaction Date]])</f>
        <v>2026</v>
      </c>
      <c r="R2672" s="1"/>
    </row>
    <row r="2673" spans="1:18" x14ac:dyDescent="0.25">
      <c r="A2673" s="264" t="s">
        <v>21</v>
      </c>
      <c r="B2673" s="265">
        <v>46160</v>
      </c>
      <c r="C2673" s="266" t="s">
        <v>1951</v>
      </c>
      <c r="D2673" s="264" t="s">
        <v>4570</v>
      </c>
      <c r="E2673" s="264" t="s">
        <v>3146</v>
      </c>
      <c r="F2673" s="264" t="s">
        <v>4416</v>
      </c>
      <c r="G2673" s="266" t="s">
        <v>26</v>
      </c>
      <c r="H2673" s="299">
        <v>66237.67</v>
      </c>
      <c r="I2673" s="266">
        <v>0</v>
      </c>
      <c r="J2673" s="264" t="s">
        <v>1126</v>
      </c>
      <c r="K2673" s="264" t="s">
        <v>2025</v>
      </c>
      <c r="L2673" s="1" t="str">
        <f>VLOOKUP(Advices[[#This Row],[LC Number]],'Combine_List'!A:D,2,0)</f>
        <v>SIEMENS Limited Company</v>
      </c>
      <c r="M2673" s="1" t="str">
        <f>VLOOKUP(Advices[[#This Row],[LC Number]],'Combine_List'!A:D,3,0)</f>
        <v>Signal Control</v>
      </c>
      <c r="N2673" s="1" t="str">
        <f>VLOOKUP(Advices[[#This Row],[LC Number]],'Combine_List'!A:D,4,0)</f>
        <v>KSP</v>
      </c>
      <c r="O2673" s="1"/>
      <c r="P2673" s="1">
        <f>MONTH(Advices[[#This Row],[Transaction Date]])</f>
        <v>5</v>
      </c>
      <c r="Q2673" s="1">
        <f>YEAR(Advices[[#This Row],[Transaction Date]])</f>
        <v>2026</v>
      </c>
      <c r="R2673" s="1"/>
    </row>
    <row r="2674" spans="1:18" x14ac:dyDescent="0.25">
      <c r="A2674" s="264" t="s">
        <v>21</v>
      </c>
      <c r="B2674" s="265">
        <v>46160</v>
      </c>
      <c r="C2674" s="266" t="s">
        <v>1951</v>
      </c>
      <c r="D2674" s="264" t="s">
        <v>5346</v>
      </c>
      <c r="E2674" s="264" t="s">
        <v>5312</v>
      </c>
      <c r="F2674" s="264" t="s">
        <v>5312</v>
      </c>
      <c r="G2674" s="266" t="s">
        <v>26</v>
      </c>
      <c r="H2674" s="299">
        <v>105</v>
      </c>
      <c r="I2674" s="266">
        <v>0</v>
      </c>
      <c r="J2674" s="264" t="s">
        <v>1174</v>
      </c>
      <c r="K2674" s="264" t="s">
        <v>2025</v>
      </c>
      <c r="L2674" s="1" t="str">
        <f>VLOOKUP(Advices[[#This Row],[LC Number]],'Combine_List'!A:D,2,0)</f>
        <v>Green Concrete CJSC</v>
      </c>
      <c r="M2674" s="1" t="str">
        <f>VLOOKUP(Advices[[#This Row],[LC Number]],'Combine_List'!A:D,3,0)</f>
        <v>MBL</v>
      </c>
      <c r="N2674" s="1" t="str">
        <f>VLOOKUP(Advices[[#This Row],[LC Number]],'Combine_List'!A:D,4,0)</f>
        <v>ADF</v>
      </c>
      <c r="O2674" s="1"/>
      <c r="P2674" s="1">
        <f>MONTH(Advices[[#This Row],[Transaction Date]])</f>
        <v>5</v>
      </c>
      <c r="Q2674" s="1">
        <f>YEAR(Advices[[#This Row],[Transaction Date]])</f>
        <v>2026</v>
      </c>
      <c r="R2674" s="1"/>
    </row>
    <row r="2675" spans="1:18" x14ac:dyDescent="0.25">
      <c r="A2675" s="264" t="s">
        <v>21</v>
      </c>
      <c r="B2675" s="265">
        <v>46160</v>
      </c>
      <c r="C2675" s="266" t="s">
        <v>1951</v>
      </c>
      <c r="D2675" s="264" t="s">
        <v>5346</v>
      </c>
      <c r="E2675" s="264" t="s">
        <v>5312</v>
      </c>
      <c r="F2675" s="264" t="s">
        <v>5312</v>
      </c>
      <c r="G2675" s="266" t="s">
        <v>26</v>
      </c>
      <c r="H2675" s="299">
        <v>450</v>
      </c>
      <c r="I2675" s="266">
        <v>0</v>
      </c>
      <c r="J2675" s="264" t="s">
        <v>1174</v>
      </c>
      <c r="K2675" s="264" t="s">
        <v>2025</v>
      </c>
      <c r="L2675" s="1" t="str">
        <f>VLOOKUP(Advices[[#This Row],[LC Number]],'Combine_List'!A:D,2,0)</f>
        <v>Green Concrete CJSC</v>
      </c>
      <c r="M2675" s="1" t="str">
        <f>VLOOKUP(Advices[[#This Row],[LC Number]],'Combine_List'!A:D,3,0)</f>
        <v>MBL</v>
      </c>
      <c r="N2675" s="1" t="str">
        <f>VLOOKUP(Advices[[#This Row],[LC Number]],'Combine_List'!A:D,4,0)</f>
        <v>ADF</v>
      </c>
      <c r="O2675" s="1"/>
      <c r="P2675" s="1">
        <f>MONTH(Advices[[#This Row],[Transaction Date]])</f>
        <v>5</v>
      </c>
      <c r="Q2675" s="1">
        <f>YEAR(Advices[[#This Row],[Transaction Date]])</f>
        <v>2026</v>
      </c>
      <c r="R2675" s="1"/>
    </row>
    <row r="2676" spans="1:18" x14ac:dyDescent="0.25">
      <c r="A2676" s="264" t="s">
        <v>21</v>
      </c>
      <c r="B2676" s="265">
        <v>46160</v>
      </c>
      <c r="C2676" s="266" t="s">
        <v>1951</v>
      </c>
      <c r="D2676" s="264" t="s">
        <v>4569</v>
      </c>
      <c r="E2676" s="264" t="s">
        <v>5312</v>
      </c>
      <c r="F2676" s="264" t="s">
        <v>5312</v>
      </c>
      <c r="G2676" s="266" t="s">
        <v>26</v>
      </c>
      <c r="H2676" s="299">
        <v>700</v>
      </c>
      <c r="I2676" s="266">
        <v>0</v>
      </c>
      <c r="J2676" s="264"/>
      <c r="K2676" s="264" t="s">
        <v>2025</v>
      </c>
      <c r="L2676" s="1" t="str">
        <f>VLOOKUP(Advices[[#This Row],[LC Number]],'Combine_List'!A:D,2,0)</f>
        <v>Green Concrete CJSC</v>
      </c>
      <c r="M2676" s="1" t="str">
        <f>VLOOKUP(Advices[[#This Row],[LC Number]],'Combine_List'!A:D,3,0)</f>
        <v>MBL</v>
      </c>
      <c r="N2676" s="1" t="str">
        <f>VLOOKUP(Advices[[#This Row],[LC Number]],'Combine_List'!A:D,4,0)</f>
        <v>ADF</v>
      </c>
      <c r="O2676" s="1"/>
      <c r="P2676" s="1">
        <f>MONTH(Advices[[#This Row],[Transaction Date]])</f>
        <v>5</v>
      </c>
      <c r="Q2676" s="1">
        <f>YEAR(Advices[[#This Row],[Transaction Date]])</f>
        <v>2026</v>
      </c>
      <c r="R2676" s="1"/>
    </row>
    <row r="2677" spans="1:18" x14ac:dyDescent="0.25">
      <c r="A2677" s="264" t="s">
        <v>21</v>
      </c>
      <c r="B2677" s="265">
        <v>46160</v>
      </c>
      <c r="C2677" s="266" t="s">
        <v>1951</v>
      </c>
      <c r="D2677" s="264" t="s">
        <v>4572</v>
      </c>
      <c r="E2677" s="264" t="s">
        <v>1887</v>
      </c>
      <c r="F2677" s="264" t="s">
        <v>5345</v>
      </c>
      <c r="G2677" s="266" t="s">
        <v>26</v>
      </c>
      <c r="H2677" s="299">
        <v>1250</v>
      </c>
      <c r="I2677" s="266">
        <v>0</v>
      </c>
      <c r="J2677" s="264" t="s">
        <v>1125</v>
      </c>
      <c r="K2677" s="264" t="s">
        <v>2025</v>
      </c>
      <c r="L2677" s="264" t="str">
        <f>VLOOKUP(Advices[[#This Row],[LC Number]],'Combine_List'!A:D,2,0)</f>
        <v>Future Pipe Industries LLC</v>
      </c>
      <c r="M2677" s="264" t="str">
        <f>VLOOKUP(Advices[[#This Row],[LC Number]],'Combine_List'!A:D,3,0)</f>
        <v>MBL</v>
      </c>
      <c r="N2677" s="264" t="str">
        <f>VLOOKUP(Advices[[#This Row],[LC Number]],'Combine_List'!A:D,4,0)</f>
        <v>Rabigh Power Plant</v>
      </c>
      <c r="O2677" s="264"/>
      <c r="P2677" s="264">
        <f>MONTH(Advices[[#This Row],[Transaction Date]])</f>
        <v>5</v>
      </c>
      <c r="Q2677" s="264">
        <f>YEAR(Advices[[#This Row],[Transaction Date]])</f>
        <v>2026</v>
      </c>
      <c r="R2677" s="264"/>
    </row>
    <row r="2678" spans="1:18" hidden="1" x14ac:dyDescent="0.25">
      <c r="A2678" s="264" t="s">
        <v>62</v>
      </c>
      <c r="B2678" s="265">
        <v>46155</v>
      </c>
      <c r="C2678" s="266" t="s">
        <v>2039</v>
      </c>
      <c r="D2678" s="264" t="s">
        <v>5347</v>
      </c>
      <c r="E2678" s="264" t="s">
        <v>5348</v>
      </c>
      <c r="F2678" s="264" t="s">
        <v>2041</v>
      </c>
      <c r="G2678" s="266" t="s">
        <v>26</v>
      </c>
      <c r="H2678" s="299">
        <v>2109.56</v>
      </c>
      <c r="I2678" s="266">
        <v>0</v>
      </c>
      <c r="J2678" s="264" t="s">
        <v>1125</v>
      </c>
      <c r="K2678" s="264" t="s">
        <v>2025</v>
      </c>
      <c r="L2678" s="1" t="e">
        <f>VLOOKUP(Advices[[#This Row],[LC Number]],'Combine_List'!A:D,2,0)</f>
        <v>#N/A</v>
      </c>
      <c r="M2678" s="1" t="e">
        <f>VLOOKUP(Advices[[#This Row],[LC Number]],'Combine_List'!A:D,3,0)</f>
        <v>#N/A</v>
      </c>
      <c r="N2678" s="1" t="e">
        <f>VLOOKUP(Advices[[#This Row],[LC Number]],'Combine_List'!A:D,4,0)</f>
        <v>#N/A</v>
      </c>
      <c r="O2678" s="1"/>
      <c r="P2678" s="1">
        <f>MONTH(Advices[[#This Row],[Transaction Date]])</f>
        <v>5</v>
      </c>
      <c r="Q2678" s="1">
        <f>YEAR(Advices[[#This Row],[Transaction Date]])</f>
        <v>2026</v>
      </c>
      <c r="R2678" s="1"/>
    </row>
    <row r="2679" spans="1:18" hidden="1" x14ac:dyDescent="0.25">
      <c r="A2679" s="264" t="s">
        <v>62</v>
      </c>
      <c r="B2679" s="265">
        <v>46156</v>
      </c>
      <c r="C2679" s="266" t="s">
        <v>2039</v>
      </c>
      <c r="D2679" s="264" t="s">
        <v>5349</v>
      </c>
      <c r="E2679" s="264" t="s">
        <v>5187</v>
      </c>
      <c r="F2679" s="264" t="s">
        <v>2041</v>
      </c>
      <c r="G2679" s="266" t="s">
        <v>26</v>
      </c>
      <c r="H2679" s="299">
        <v>1431.75</v>
      </c>
      <c r="I2679" s="266">
        <v>0</v>
      </c>
      <c r="J2679" s="264" t="s">
        <v>2830</v>
      </c>
      <c r="K2679" s="264" t="s">
        <v>2025</v>
      </c>
      <c r="L2679" s="1" t="str">
        <f>VLOOKUP(Advices[[#This Row],[LC Number]],'Combine_List'!A:D,2,0)</f>
        <v>Advance - MAKARAT OFFICE</v>
      </c>
      <c r="M2679" s="1" t="str">
        <f>VLOOKUP(Advices[[#This Row],[LC Number]],'Combine_List'!A:D,3,0)</f>
        <v>MBL</v>
      </c>
      <c r="N2679" s="1">
        <f>VLOOKUP(Advices[[#This Row],[LC Number]],'Combine_List'!A:D,4,0)</f>
        <v>0</v>
      </c>
      <c r="O2679" s="1"/>
      <c r="P2679" s="1">
        <f>MONTH(Advices[[#This Row],[Transaction Date]])</f>
        <v>5</v>
      </c>
      <c r="Q2679" s="1">
        <f>YEAR(Advices[[#This Row],[Transaction Date]])</f>
        <v>2026</v>
      </c>
      <c r="R2679" s="1"/>
    </row>
    <row r="2680" spans="1:18" hidden="1" x14ac:dyDescent="0.25">
      <c r="A2680" s="264" t="s">
        <v>62</v>
      </c>
      <c r="B2680" s="265">
        <v>46156</v>
      </c>
      <c r="C2680" s="266" t="s">
        <v>2039</v>
      </c>
      <c r="D2680" s="264" t="s">
        <v>5350</v>
      </c>
      <c r="E2680" s="264" t="s">
        <v>3323</v>
      </c>
      <c r="F2680" s="264" t="s">
        <v>2041</v>
      </c>
      <c r="G2680" s="266" t="s">
        <v>26</v>
      </c>
      <c r="H2680" s="299">
        <v>2448.4</v>
      </c>
      <c r="I2680" s="266">
        <v>0</v>
      </c>
      <c r="J2680" s="264" t="s">
        <v>1125</v>
      </c>
      <c r="K2680" s="264" t="s">
        <v>2025</v>
      </c>
      <c r="L2680" s="1" t="str">
        <f>VLOOKUP(Advices[[#This Row],[LC Number]],'Combine_List'!A:D,2,0)</f>
        <v>ALFANAR ELECTRICAL SYSTEMS</v>
      </c>
      <c r="M2680" s="1" t="str">
        <f>VLOOKUP(Advices[[#This Row],[LC Number]],'Combine_List'!A:D,3,0)</f>
        <v>FIRST FIX</v>
      </c>
      <c r="N2680" s="1" t="str">
        <f>VLOOKUP(Advices[[#This Row],[LC Number]],'Combine_List'!A:D,4,0)</f>
        <v>Oceanarium</v>
      </c>
      <c r="O2680" s="1"/>
      <c r="P2680" s="1">
        <f>MONTH(Advices[[#This Row],[Transaction Date]])</f>
        <v>5</v>
      </c>
      <c r="Q2680" s="1">
        <f>YEAR(Advices[[#This Row],[Transaction Date]])</f>
        <v>2026</v>
      </c>
      <c r="R2680" s="1"/>
    </row>
    <row r="2681" spans="1:18" hidden="1" x14ac:dyDescent="0.25">
      <c r="A2681" s="264" t="s">
        <v>62</v>
      </c>
      <c r="B2681" s="265">
        <v>46156</v>
      </c>
      <c r="C2681" s="266" t="s">
        <v>2039</v>
      </c>
      <c r="D2681" s="264" t="s">
        <v>5351</v>
      </c>
      <c r="E2681" s="264" t="s">
        <v>3327</v>
      </c>
      <c r="F2681" s="264" t="s">
        <v>2041</v>
      </c>
      <c r="G2681" s="266" t="s">
        <v>26</v>
      </c>
      <c r="H2681" s="299">
        <v>2111.6999999999998</v>
      </c>
      <c r="I2681" s="266">
        <v>0</v>
      </c>
      <c r="J2681" s="264" t="s">
        <v>1125</v>
      </c>
      <c r="K2681" s="264" t="s">
        <v>2025</v>
      </c>
      <c r="L2681" s="1" t="str">
        <f>VLOOKUP(Advices[[#This Row],[LC Number]],'Combine_List'!A:D,2,0)</f>
        <v>Teqniye Al-Majra For Contracting</v>
      </c>
      <c r="M2681" s="1" t="str">
        <f>VLOOKUP(Advices[[#This Row],[LC Number]],'Combine_List'!A:D,3,0)</f>
        <v>FIRST FIX</v>
      </c>
      <c r="N2681" s="1" t="str">
        <f>VLOOKUP(Advices[[#This Row],[LC Number]],'Combine_List'!A:D,4,0)</f>
        <v>Oceanarium</v>
      </c>
      <c r="O2681" s="1"/>
      <c r="P2681" s="1">
        <f>MONTH(Advices[[#This Row],[Transaction Date]])</f>
        <v>5</v>
      </c>
      <c r="Q2681" s="1">
        <f>YEAR(Advices[[#This Row],[Transaction Date]])</f>
        <v>2026</v>
      </c>
      <c r="R2681" s="1"/>
    </row>
    <row r="2682" spans="1:18" hidden="1" x14ac:dyDescent="0.25">
      <c r="A2682" s="264" t="s">
        <v>62</v>
      </c>
      <c r="B2682" s="265">
        <v>46160</v>
      </c>
      <c r="C2682" s="266" t="s">
        <v>2712</v>
      </c>
      <c r="D2682" s="264" t="s">
        <v>5352</v>
      </c>
      <c r="E2682" s="264" t="s">
        <v>2915</v>
      </c>
      <c r="F2682" s="264" t="s">
        <v>2041</v>
      </c>
      <c r="G2682" s="266" t="s">
        <v>67</v>
      </c>
      <c r="H2682" s="299">
        <v>169226.99</v>
      </c>
      <c r="I2682" s="266">
        <v>0</v>
      </c>
      <c r="J2682" s="264" t="s">
        <v>1126</v>
      </c>
      <c r="K2682" s="264" t="s">
        <v>2025</v>
      </c>
      <c r="L2682" s="264" t="str">
        <f>VLOOKUP(Advices[[#This Row],[LC Number]],'Combine_List'!A:D,2,0)</f>
        <v>IBA MIDDLE EAST FZE</v>
      </c>
      <c r="M2682" s="264" t="str">
        <f>VLOOKUP(Advices[[#This Row],[LC Number]],'Combine_List'!A:D,3,0)</f>
        <v>MBL/United Arab Aluminum Co</v>
      </c>
      <c r="N2682" s="264" t="str">
        <f>VLOOKUP(Advices[[#This Row],[LC Number]],'Combine_List'!A:D,4,0)</f>
        <v>Oceanarium</v>
      </c>
      <c r="O2682" s="264"/>
      <c r="P2682" s="264">
        <f>MONTH(Advices[[#This Row],[Transaction Date]])</f>
        <v>5</v>
      </c>
      <c r="Q2682" s="264">
        <f>YEAR(Advices[[#This Row],[Transaction Date]])</f>
        <v>2026</v>
      </c>
      <c r="R2682" s="264"/>
    </row>
    <row r="2683" spans="1:18" hidden="1" x14ac:dyDescent="0.25">
      <c r="A2683" s="264" t="s">
        <v>95</v>
      </c>
      <c r="B2683" s="265">
        <v>46155</v>
      </c>
      <c r="C2683" s="266" t="s">
        <v>2026</v>
      </c>
      <c r="D2683" s="264" t="s">
        <v>4510</v>
      </c>
      <c r="E2683" s="264" t="s">
        <v>3783</v>
      </c>
      <c r="F2683" s="264" t="s">
        <v>4511</v>
      </c>
      <c r="G2683" s="266" t="s">
        <v>26</v>
      </c>
      <c r="H2683" s="299">
        <v>806924.71</v>
      </c>
      <c r="I2683" s="266">
        <v>0</v>
      </c>
      <c r="J2683" s="264" t="s">
        <v>1126</v>
      </c>
      <c r="K2683" s="264" t="s">
        <v>2025</v>
      </c>
      <c r="L2683" s="1" t="str">
        <f>VLOOKUP(Advices[[#This Row],[LC Number]],'Combine_List'!A:D,2,0)</f>
        <v>Electric House Trading Company L.L.C.</v>
      </c>
      <c r="M2683" s="1" t="str">
        <f>VLOOKUP(Advices[[#This Row],[LC Number]],'Combine_List'!A:D,3,0)</f>
        <v>MBL/ICAD</v>
      </c>
      <c r="N2683" s="1" t="str">
        <f>VLOOKUP(Advices[[#This Row],[LC Number]],'Combine_List'!A:D,4,0)</f>
        <v>OPERA House</v>
      </c>
      <c r="O2683" s="1"/>
      <c r="P2683" s="1">
        <f>MONTH(Advices[[#This Row],[Transaction Date]])</f>
        <v>5</v>
      </c>
      <c r="Q2683" s="1">
        <f>YEAR(Advices[[#This Row],[Transaction Date]])</f>
        <v>2026</v>
      </c>
      <c r="R2683" s="1"/>
    </row>
    <row r="2684" spans="1:18" hidden="1" x14ac:dyDescent="0.25">
      <c r="A2684" s="264" t="s">
        <v>95</v>
      </c>
      <c r="B2684" s="265">
        <v>46155</v>
      </c>
      <c r="C2684" s="266" t="s">
        <v>2026</v>
      </c>
      <c r="D2684" s="264" t="s">
        <v>4441</v>
      </c>
      <c r="E2684" s="264" t="s">
        <v>3718</v>
      </c>
      <c r="F2684" s="264" t="s">
        <v>4442</v>
      </c>
      <c r="G2684" s="266" t="s">
        <v>26</v>
      </c>
      <c r="H2684" s="299">
        <v>250000</v>
      </c>
      <c r="I2684" s="266">
        <v>0</v>
      </c>
      <c r="J2684" s="264" t="s">
        <v>1126</v>
      </c>
      <c r="K2684" s="264" t="s">
        <v>2025</v>
      </c>
      <c r="L2684" s="1" t="str">
        <f>VLOOKUP(Advices[[#This Row],[LC Number]],'Combine_List'!A:D,2,0)</f>
        <v>Electric House Trading Company L.L.C.</v>
      </c>
      <c r="M2684" s="1" t="str">
        <f>VLOOKUP(Advices[[#This Row],[LC Number]],'Combine_List'!A:D,3,0)</f>
        <v>MBL/ICAD</v>
      </c>
      <c r="N2684" s="1" t="str">
        <f>VLOOKUP(Advices[[#This Row],[LC Number]],'Combine_List'!A:D,4,0)</f>
        <v>OPERA House</v>
      </c>
      <c r="O2684" s="1"/>
      <c r="P2684" s="1">
        <f>MONTH(Advices[[#This Row],[Transaction Date]])</f>
        <v>5</v>
      </c>
      <c r="Q2684" s="1">
        <f>YEAR(Advices[[#This Row],[Transaction Date]])</f>
        <v>2026</v>
      </c>
      <c r="R2684" s="1"/>
    </row>
    <row r="2685" spans="1:18" hidden="1" x14ac:dyDescent="0.25">
      <c r="A2685" s="264" t="s">
        <v>95</v>
      </c>
      <c r="B2685" s="265">
        <v>46155</v>
      </c>
      <c r="C2685" s="266" t="s">
        <v>2026</v>
      </c>
      <c r="D2685" s="264" t="s">
        <v>5353</v>
      </c>
      <c r="E2685" s="264" t="s">
        <v>3783</v>
      </c>
      <c r="F2685" s="264" t="s">
        <v>3783</v>
      </c>
      <c r="G2685" s="266" t="s">
        <v>26</v>
      </c>
      <c r="H2685" s="299">
        <v>0</v>
      </c>
      <c r="I2685" s="266">
        <v>806924.71</v>
      </c>
      <c r="J2685" s="264" t="s">
        <v>2041</v>
      </c>
      <c r="K2685" s="264" t="s">
        <v>5154</v>
      </c>
      <c r="L2685" s="1" t="str">
        <f>VLOOKUP(Advices[[#This Row],[LC Number]],'Combine_List'!A:D,2,0)</f>
        <v>Electric House Trading Company L.L.C.</v>
      </c>
      <c r="M2685" s="1" t="str">
        <f>VLOOKUP(Advices[[#This Row],[LC Number]],'Combine_List'!A:D,3,0)</f>
        <v>MBL/ICAD</v>
      </c>
      <c r="N2685" s="1" t="str">
        <f>VLOOKUP(Advices[[#This Row],[LC Number]],'Combine_List'!A:D,4,0)</f>
        <v>OPERA House</v>
      </c>
      <c r="O2685" s="1"/>
      <c r="P2685" s="1">
        <f>MONTH(Advices[[#This Row],[Transaction Date]])</f>
        <v>5</v>
      </c>
      <c r="Q2685" s="1">
        <f>YEAR(Advices[[#This Row],[Transaction Date]])</f>
        <v>2026</v>
      </c>
      <c r="R2685" s="1"/>
    </row>
    <row r="2686" spans="1:18" hidden="1" x14ac:dyDescent="0.25">
      <c r="A2686" s="264" t="s">
        <v>95</v>
      </c>
      <c r="B2686" s="265">
        <v>46155</v>
      </c>
      <c r="C2686" s="266" t="s">
        <v>2026</v>
      </c>
      <c r="D2686" s="264" t="s">
        <v>5354</v>
      </c>
      <c r="E2686" s="264" t="s">
        <v>3718</v>
      </c>
      <c r="F2686" s="264" t="s">
        <v>3718</v>
      </c>
      <c r="G2686" s="266" t="s">
        <v>26</v>
      </c>
      <c r="H2686" s="299">
        <v>0</v>
      </c>
      <c r="I2686" s="266">
        <v>250000</v>
      </c>
      <c r="J2686" s="264" t="s">
        <v>2041</v>
      </c>
      <c r="K2686" s="264" t="s">
        <v>5154</v>
      </c>
      <c r="L2686" s="1" t="str">
        <f>VLOOKUP(Advices[[#This Row],[LC Number]],'Combine_List'!A:D,2,0)</f>
        <v>Electric House Trading Company L.L.C.</v>
      </c>
      <c r="M2686" s="1" t="str">
        <f>VLOOKUP(Advices[[#This Row],[LC Number]],'Combine_List'!A:D,3,0)</f>
        <v>MBL/ICAD</v>
      </c>
      <c r="N2686" s="1" t="str">
        <f>VLOOKUP(Advices[[#This Row],[LC Number]],'Combine_List'!A:D,4,0)</f>
        <v>OPERA House</v>
      </c>
      <c r="O2686" s="1"/>
      <c r="P2686" s="1">
        <f>MONTH(Advices[[#This Row],[Transaction Date]])</f>
        <v>5</v>
      </c>
      <c r="Q2686" s="1">
        <f>YEAR(Advices[[#This Row],[Transaction Date]])</f>
        <v>2026</v>
      </c>
      <c r="R2686" s="1"/>
    </row>
    <row r="2687" spans="1:18" hidden="1" x14ac:dyDescent="0.25">
      <c r="A2687" s="264" t="s">
        <v>95</v>
      </c>
      <c r="B2687" s="265">
        <v>46155</v>
      </c>
      <c r="C2687" s="266" t="s">
        <v>2307</v>
      </c>
      <c r="D2687" s="264" t="s">
        <v>5355</v>
      </c>
      <c r="E2687" s="264" t="s">
        <v>3718</v>
      </c>
      <c r="F2687" s="264" t="s">
        <v>3718</v>
      </c>
      <c r="G2687" s="266"/>
      <c r="H2687" s="299">
        <v>250000</v>
      </c>
      <c r="I2687" s="266">
        <v>0</v>
      </c>
      <c r="J2687" s="264" t="s">
        <v>2041</v>
      </c>
      <c r="K2687" s="264" t="s">
        <v>5154</v>
      </c>
      <c r="L2687" s="1" t="str">
        <f>VLOOKUP(Advices[[#This Row],[LC Number]],'Combine_List'!A:D,2,0)</f>
        <v>Electric House Trading Company L.L.C.</v>
      </c>
      <c r="M2687" s="1" t="str">
        <f>VLOOKUP(Advices[[#This Row],[LC Number]],'Combine_List'!A:D,3,0)</f>
        <v>MBL/ICAD</v>
      </c>
      <c r="N2687" s="1" t="str">
        <f>VLOOKUP(Advices[[#This Row],[LC Number]],'Combine_List'!A:D,4,0)</f>
        <v>OPERA House</v>
      </c>
      <c r="O2687" s="1"/>
      <c r="P2687" s="1">
        <f>MONTH(Advices[[#This Row],[Transaction Date]])</f>
        <v>5</v>
      </c>
      <c r="Q2687" s="1">
        <f>YEAR(Advices[[#This Row],[Transaction Date]])</f>
        <v>2026</v>
      </c>
      <c r="R2687" s="1"/>
    </row>
    <row r="2688" spans="1:18" hidden="1" x14ac:dyDescent="0.25">
      <c r="A2688" s="264" t="s">
        <v>95</v>
      </c>
      <c r="B2688" s="265">
        <v>46155</v>
      </c>
      <c r="C2688" s="266" t="s">
        <v>2307</v>
      </c>
      <c r="D2688" s="264" t="s">
        <v>5356</v>
      </c>
      <c r="E2688" s="264" t="s">
        <v>3783</v>
      </c>
      <c r="F2688" s="264" t="s">
        <v>3783</v>
      </c>
      <c r="G2688" s="266"/>
      <c r="H2688" s="299">
        <v>806924.71</v>
      </c>
      <c r="I2688" s="266">
        <v>0</v>
      </c>
      <c r="J2688" s="264" t="s">
        <v>2041</v>
      </c>
      <c r="K2688" s="264" t="s">
        <v>5154</v>
      </c>
      <c r="L2688" s="1" t="str">
        <f>VLOOKUP(Advices[[#This Row],[LC Number]],'Combine_List'!A:D,2,0)</f>
        <v>Electric House Trading Company L.L.C.</v>
      </c>
      <c r="M2688" s="1" t="str">
        <f>VLOOKUP(Advices[[#This Row],[LC Number]],'Combine_List'!A:D,3,0)</f>
        <v>MBL/ICAD</v>
      </c>
      <c r="N2688" s="1" t="str">
        <f>VLOOKUP(Advices[[#This Row],[LC Number]],'Combine_List'!A:D,4,0)</f>
        <v>OPERA House</v>
      </c>
      <c r="O2688" s="1"/>
      <c r="P2688" s="1">
        <f>MONTH(Advices[[#This Row],[Transaction Date]])</f>
        <v>5</v>
      </c>
      <c r="Q2688" s="1">
        <f>YEAR(Advices[[#This Row],[Transaction Date]])</f>
        <v>2026</v>
      </c>
      <c r="R2688" s="1"/>
    </row>
    <row r="2689" spans="1:18" hidden="1" x14ac:dyDescent="0.25">
      <c r="A2689" s="264" t="s">
        <v>95</v>
      </c>
      <c r="B2689" s="265">
        <v>46159</v>
      </c>
      <c r="C2689" s="266" t="s">
        <v>2026</v>
      </c>
      <c r="D2689" s="264" t="s">
        <v>5357</v>
      </c>
      <c r="E2689" s="264" t="s">
        <v>707</v>
      </c>
      <c r="F2689" s="264" t="s">
        <v>5358</v>
      </c>
      <c r="G2689" s="266" t="s">
        <v>26</v>
      </c>
      <c r="H2689" s="299">
        <v>5127.8599999999997</v>
      </c>
      <c r="I2689" s="266">
        <v>0</v>
      </c>
      <c r="J2689" s="264" t="s">
        <v>1125</v>
      </c>
      <c r="K2689" s="264" t="s">
        <v>2025</v>
      </c>
      <c r="L2689" s="1" t="str">
        <f>VLOOKUP(Advices[[#This Row],[LC Number]],'Combine_List'!A:D,2,0)</f>
        <v>BBH-CHEMTROL INTERNATIONAL ORGANIZATION S.L</v>
      </c>
      <c r="M2689" s="1" t="str">
        <f>VLOOKUP(Advices[[#This Row],[LC Number]],'Combine_List'!A:D,3,0)</f>
        <v>MBL/ICAD</v>
      </c>
      <c r="N2689" s="1" t="str">
        <f>VLOOKUP(Advices[[#This Row],[LC Number]],'Combine_List'!A:D,4,0)</f>
        <v>OPERA House</v>
      </c>
      <c r="O2689" s="1"/>
      <c r="P2689" s="1">
        <f>MONTH(Advices[[#This Row],[Transaction Date]])</f>
        <v>5</v>
      </c>
      <c r="Q2689" s="1">
        <f>YEAR(Advices[[#This Row],[Transaction Date]])</f>
        <v>2026</v>
      </c>
      <c r="R2689" s="1"/>
    </row>
    <row r="2690" spans="1:18" hidden="1" x14ac:dyDescent="0.25">
      <c r="A2690" s="264" t="s">
        <v>95</v>
      </c>
      <c r="B2690" s="265">
        <v>46159</v>
      </c>
      <c r="C2690" s="266" t="s">
        <v>2026</v>
      </c>
      <c r="D2690" s="264" t="s">
        <v>5359</v>
      </c>
      <c r="E2690" s="264" t="s">
        <v>707</v>
      </c>
      <c r="F2690" s="264" t="s">
        <v>5360</v>
      </c>
      <c r="G2690" s="266" t="s">
        <v>26</v>
      </c>
      <c r="H2690" s="299">
        <v>1301.96</v>
      </c>
      <c r="I2690" s="266">
        <v>0</v>
      </c>
      <c r="J2690" s="264" t="s">
        <v>1125</v>
      </c>
      <c r="K2690" s="264" t="s">
        <v>2025</v>
      </c>
      <c r="L2690" s="1" t="str">
        <f>VLOOKUP(Advices[[#This Row],[LC Number]],'Combine_List'!A:D,2,0)</f>
        <v>BBH-CHEMTROL INTERNATIONAL ORGANIZATION S.L</v>
      </c>
      <c r="M2690" s="1" t="str">
        <f>VLOOKUP(Advices[[#This Row],[LC Number]],'Combine_List'!A:D,3,0)</f>
        <v>MBL/ICAD</v>
      </c>
      <c r="N2690" s="1" t="str">
        <f>VLOOKUP(Advices[[#This Row],[LC Number]],'Combine_List'!A:D,4,0)</f>
        <v>OPERA House</v>
      </c>
      <c r="O2690" s="1"/>
      <c r="P2690" s="1">
        <f>MONTH(Advices[[#This Row],[Transaction Date]])</f>
        <v>5</v>
      </c>
      <c r="Q2690" s="1">
        <f>YEAR(Advices[[#This Row],[Transaction Date]])</f>
        <v>2026</v>
      </c>
      <c r="R2690" s="1"/>
    </row>
    <row r="2691" spans="1:18" hidden="1" x14ac:dyDescent="0.25">
      <c r="A2691" s="264" t="s">
        <v>95</v>
      </c>
      <c r="B2691" s="265">
        <v>46160</v>
      </c>
      <c r="C2691" s="266" t="s">
        <v>2026</v>
      </c>
      <c r="D2691" s="264" t="s">
        <v>5361</v>
      </c>
      <c r="E2691" s="264" t="s">
        <v>2562</v>
      </c>
      <c r="F2691" s="264" t="s">
        <v>5362</v>
      </c>
      <c r="G2691" s="266" t="s">
        <v>26</v>
      </c>
      <c r="H2691" s="299">
        <v>1382.6</v>
      </c>
      <c r="I2691" s="266">
        <v>0</v>
      </c>
      <c r="J2691" s="264" t="s">
        <v>1125</v>
      </c>
      <c r="K2691" s="264" t="s">
        <v>2025</v>
      </c>
      <c r="L2691" s="1" t="str">
        <f>VLOOKUP(Advices[[#This Row],[LC Number]],'Combine_List'!A:D,2,0)</f>
        <v>ALNAFIE METAL INDUSTRIES CO LTD</v>
      </c>
      <c r="M2691" s="1" t="str">
        <f>VLOOKUP(Advices[[#This Row],[LC Number]],'Combine_List'!A:D,3,0)</f>
        <v>MBL/AICS</v>
      </c>
      <c r="N2691" s="1" t="str">
        <f>VLOOKUP(Advices[[#This Row],[LC Number]],'Combine_List'!A:D,4,0)</f>
        <v>OPERA House</v>
      </c>
      <c r="O2691" s="1"/>
      <c r="P2691" s="1">
        <f>MONTH(Advices[[#This Row],[Transaction Date]])</f>
        <v>5</v>
      </c>
      <c r="Q2691" s="1">
        <f>YEAR(Advices[[#This Row],[Transaction Date]])</f>
        <v>2026</v>
      </c>
      <c r="R2691" s="1"/>
    </row>
    <row r="2692" spans="1:18" hidden="1" x14ac:dyDescent="0.25">
      <c r="A2692" s="264" t="s">
        <v>95</v>
      </c>
      <c r="B2692" s="265">
        <v>46160</v>
      </c>
      <c r="C2692" s="266" t="s">
        <v>2026</v>
      </c>
      <c r="D2692" s="264" t="s">
        <v>5363</v>
      </c>
      <c r="E2692" s="264" t="s">
        <v>707</v>
      </c>
      <c r="F2692" s="264" t="s">
        <v>707</v>
      </c>
      <c r="G2692" s="266" t="s">
        <v>26</v>
      </c>
      <c r="H2692" s="299">
        <v>0</v>
      </c>
      <c r="I2692" s="266">
        <v>150000</v>
      </c>
      <c r="J2692" s="264" t="s">
        <v>2041</v>
      </c>
      <c r="K2692" s="264" t="s">
        <v>5154</v>
      </c>
      <c r="L2692" s="1" t="str">
        <f>VLOOKUP(Advices[[#This Row],[LC Number]],'Combine_List'!A:D,2,0)</f>
        <v>BBH-CHEMTROL INTERNATIONAL ORGANIZATION S.L</v>
      </c>
      <c r="M2692" s="1" t="str">
        <f>VLOOKUP(Advices[[#This Row],[LC Number]],'Combine_List'!A:D,3,0)</f>
        <v>MBL/ICAD</v>
      </c>
      <c r="N2692" s="1" t="str">
        <f>VLOOKUP(Advices[[#This Row],[LC Number]],'Combine_List'!A:D,4,0)</f>
        <v>OPERA House</v>
      </c>
      <c r="O2692" s="1"/>
      <c r="P2692" s="1">
        <f>MONTH(Advices[[#This Row],[Transaction Date]])</f>
        <v>5</v>
      </c>
      <c r="Q2692" s="1">
        <f>YEAR(Advices[[#This Row],[Transaction Date]])</f>
        <v>2026</v>
      </c>
      <c r="R2692" s="1"/>
    </row>
    <row r="2693" spans="1:18" hidden="1" x14ac:dyDescent="0.25">
      <c r="A2693" s="264" t="s">
        <v>95</v>
      </c>
      <c r="B2693" s="265">
        <v>46160</v>
      </c>
      <c r="C2693" s="266" t="s">
        <v>2307</v>
      </c>
      <c r="D2693" s="264" t="s">
        <v>5364</v>
      </c>
      <c r="E2693" s="264" t="s">
        <v>707</v>
      </c>
      <c r="F2693" s="264" t="s">
        <v>707</v>
      </c>
      <c r="G2693" s="266"/>
      <c r="H2693" s="299">
        <v>150000</v>
      </c>
      <c r="I2693" s="266">
        <v>0</v>
      </c>
      <c r="J2693" s="264" t="s">
        <v>2041</v>
      </c>
      <c r="K2693" s="264" t="s">
        <v>5154</v>
      </c>
      <c r="L2693" s="1" t="str">
        <f>VLOOKUP(Advices[[#This Row],[LC Number]],'Combine_List'!A:D,2,0)</f>
        <v>BBH-CHEMTROL INTERNATIONAL ORGANIZATION S.L</v>
      </c>
      <c r="M2693" s="1" t="str">
        <f>VLOOKUP(Advices[[#This Row],[LC Number]],'Combine_List'!A:D,3,0)</f>
        <v>MBL/ICAD</v>
      </c>
      <c r="N2693" s="1" t="str">
        <f>VLOOKUP(Advices[[#This Row],[LC Number]],'Combine_List'!A:D,4,0)</f>
        <v>OPERA House</v>
      </c>
      <c r="O2693" s="1"/>
      <c r="P2693" s="1">
        <f>MONTH(Advices[[#This Row],[Transaction Date]])</f>
        <v>5</v>
      </c>
      <c r="Q2693" s="1">
        <f>YEAR(Advices[[#This Row],[Transaction Date]])</f>
        <v>2026</v>
      </c>
      <c r="R2693" s="1"/>
    </row>
    <row r="2694" spans="1:18" hidden="1" x14ac:dyDescent="0.25">
      <c r="A2694" s="264" t="s">
        <v>95</v>
      </c>
      <c r="B2694" s="265">
        <v>46161</v>
      </c>
      <c r="C2694" s="266" t="s">
        <v>2026</v>
      </c>
      <c r="D2694" s="264" t="s">
        <v>4512</v>
      </c>
      <c r="E2694" s="264" t="s">
        <v>707</v>
      </c>
      <c r="F2694" s="264" t="s">
        <v>4513</v>
      </c>
      <c r="G2694" s="266" t="s">
        <v>26</v>
      </c>
      <c r="H2694" s="299">
        <v>119180.65</v>
      </c>
      <c r="I2694" s="266">
        <v>0</v>
      </c>
      <c r="J2694" s="264" t="s">
        <v>1126</v>
      </c>
      <c r="K2694" s="264" t="s">
        <v>2025</v>
      </c>
      <c r="L2694" s="1" t="str">
        <f>VLOOKUP(Advices[[#This Row],[LC Number]],'Combine_List'!A:D,2,0)</f>
        <v>BBH-CHEMTROL INTERNATIONAL ORGANIZATION S.L</v>
      </c>
      <c r="M2694" s="1" t="str">
        <f>VLOOKUP(Advices[[#This Row],[LC Number]],'Combine_List'!A:D,3,0)</f>
        <v>MBL/ICAD</v>
      </c>
      <c r="N2694" s="1" t="str">
        <f>VLOOKUP(Advices[[#This Row],[LC Number]],'Combine_List'!A:D,4,0)</f>
        <v>OPERA House</v>
      </c>
      <c r="O2694" s="1"/>
      <c r="P2694" s="1">
        <f>MONTH(Advices[[#This Row],[Transaction Date]])</f>
        <v>5</v>
      </c>
      <c r="Q2694" s="1">
        <f>YEAR(Advices[[#This Row],[Transaction Date]])</f>
        <v>2026</v>
      </c>
      <c r="R2694" s="1"/>
    </row>
    <row r="2695" spans="1:18" hidden="1" x14ac:dyDescent="0.25">
      <c r="A2695" s="264" t="s">
        <v>95</v>
      </c>
      <c r="B2695" s="265">
        <v>46162</v>
      </c>
      <c r="C2695" s="266" t="s">
        <v>2026</v>
      </c>
      <c r="D2695" s="264" t="s">
        <v>5365</v>
      </c>
      <c r="E2695" s="264" t="s">
        <v>4679</v>
      </c>
      <c r="F2695" s="264" t="s">
        <v>5366</v>
      </c>
      <c r="G2695" s="266" t="s">
        <v>26</v>
      </c>
      <c r="H2695" s="299">
        <v>11732.37</v>
      </c>
      <c r="I2695" s="266">
        <v>0</v>
      </c>
      <c r="J2695" s="264" t="s">
        <v>1125</v>
      </c>
      <c r="K2695" s="264" t="s">
        <v>2025</v>
      </c>
      <c r="L2695" s="1" t="str">
        <f>VLOOKUP(Advices[[#This Row],[LC Number]],'Combine_List'!A:D,2,0)</f>
        <v>ALNAFIE METAL INDUSTRIES CO LTD</v>
      </c>
      <c r="M2695" s="1" t="str">
        <f>VLOOKUP(Advices[[#This Row],[LC Number]],'Combine_List'!A:D,3,0)</f>
        <v>MBL/AICS (L01)</v>
      </c>
      <c r="N2695" s="1" t="str">
        <f>VLOOKUP(Advices[[#This Row],[LC Number]],'Combine_List'!A:D,4,0)</f>
        <v>OPERA House</v>
      </c>
      <c r="O2695" s="1"/>
      <c r="P2695" s="1">
        <f>MONTH(Advices[[#This Row],[Transaction Date]])</f>
        <v>5</v>
      </c>
      <c r="Q2695" s="1">
        <f>YEAR(Advices[[#This Row],[Transaction Date]])</f>
        <v>2026</v>
      </c>
      <c r="R2695" s="1"/>
    </row>
    <row r="2696" spans="1:18" hidden="1" x14ac:dyDescent="0.25">
      <c r="A2696" s="264" t="s">
        <v>95</v>
      </c>
      <c r="B2696" s="265">
        <v>46162</v>
      </c>
      <c r="C2696" s="266" t="s">
        <v>3182</v>
      </c>
      <c r="D2696" s="264" t="s">
        <v>5367</v>
      </c>
      <c r="E2696" s="264" t="s">
        <v>707</v>
      </c>
      <c r="F2696" s="264" t="s">
        <v>5207</v>
      </c>
      <c r="G2696" s="266" t="s">
        <v>67</v>
      </c>
      <c r="H2696" s="299">
        <v>612506.13</v>
      </c>
      <c r="I2696" s="266">
        <v>0</v>
      </c>
      <c r="J2696" s="264" t="s">
        <v>1126</v>
      </c>
      <c r="K2696" s="264" t="s">
        <v>2025</v>
      </c>
      <c r="L2696" s="1" t="str">
        <f>VLOOKUP(Advices[[#This Row],[LC Number]],'Combine_List'!A:D,2,0)</f>
        <v>BBH-CHEMTROL INTERNATIONAL ORGANIZATION S.L</v>
      </c>
      <c r="M2696" s="1" t="str">
        <f>VLOOKUP(Advices[[#This Row],[LC Number]],'Combine_List'!A:D,3,0)</f>
        <v>MBL/ICAD</v>
      </c>
      <c r="N2696" s="1" t="str">
        <f>VLOOKUP(Advices[[#This Row],[LC Number]],'Combine_List'!A:D,4,0)</f>
        <v>OPERA House</v>
      </c>
      <c r="O2696" s="1"/>
      <c r="P2696" s="1">
        <f>MONTH(Advices[[#This Row],[Transaction Date]])</f>
        <v>5</v>
      </c>
      <c r="Q2696" s="1">
        <f>YEAR(Advices[[#This Row],[Transaction Date]])</f>
        <v>2026</v>
      </c>
      <c r="R2696" s="1"/>
    </row>
    <row r="2697" spans="1:18" hidden="1" x14ac:dyDescent="0.25">
      <c r="A2697" s="264" t="s">
        <v>95</v>
      </c>
      <c r="B2697" s="265">
        <v>46163</v>
      </c>
      <c r="C2697" s="266" t="s">
        <v>2026</v>
      </c>
      <c r="D2697" s="264" t="s">
        <v>4384</v>
      </c>
      <c r="E2697" s="264" t="s">
        <v>3723</v>
      </c>
      <c r="F2697" s="264" t="s">
        <v>4385</v>
      </c>
      <c r="G2697" s="266" t="s">
        <v>26</v>
      </c>
      <c r="H2697" s="299">
        <v>700000</v>
      </c>
      <c r="I2697" s="266">
        <v>0</v>
      </c>
      <c r="J2697" s="264" t="s">
        <v>1126</v>
      </c>
      <c r="K2697" s="264" t="s">
        <v>2025</v>
      </c>
      <c r="L2697" s="1" t="str">
        <f>VLOOKUP(Advices[[#This Row],[LC Number]],'Combine_List'!A:D,2,0)</f>
        <v>Brooq Al Amaan Trading</v>
      </c>
      <c r="M2697" s="1" t="str">
        <f>VLOOKUP(Advices[[#This Row],[LC Number]],'Combine_List'!A:D,3,0)</f>
        <v>MBL/ICAD</v>
      </c>
      <c r="N2697" s="1" t="str">
        <f>VLOOKUP(Advices[[#This Row],[LC Number]],'Combine_List'!A:D,4,0)</f>
        <v>OPERA House</v>
      </c>
      <c r="O2697" s="1"/>
      <c r="P2697" s="1">
        <f>MONTH(Advices[[#This Row],[Transaction Date]])</f>
        <v>5</v>
      </c>
      <c r="Q2697" s="1">
        <f>YEAR(Advices[[#This Row],[Transaction Date]])</f>
        <v>2026</v>
      </c>
      <c r="R2697" s="1"/>
    </row>
    <row r="2698" spans="1:18" hidden="1" x14ac:dyDescent="0.25">
      <c r="A2698" s="264" t="s">
        <v>95</v>
      </c>
      <c r="B2698" s="265">
        <v>46163</v>
      </c>
      <c r="C2698" s="266" t="s">
        <v>2026</v>
      </c>
      <c r="D2698" s="264" t="s">
        <v>5368</v>
      </c>
      <c r="E2698" s="264" t="s">
        <v>3723</v>
      </c>
      <c r="F2698" s="264" t="s">
        <v>3723</v>
      </c>
      <c r="G2698" s="266" t="s">
        <v>26</v>
      </c>
      <c r="H2698" s="299">
        <v>0</v>
      </c>
      <c r="I2698" s="266">
        <v>700000</v>
      </c>
      <c r="J2698" s="264" t="s">
        <v>2041</v>
      </c>
      <c r="K2698" s="264" t="s">
        <v>5154</v>
      </c>
      <c r="L2698" s="1" t="str">
        <f>VLOOKUP(Advices[[#This Row],[LC Number]],'Combine_List'!A:D,2,0)</f>
        <v>Brooq Al Amaan Trading</v>
      </c>
      <c r="M2698" s="1" t="str">
        <f>VLOOKUP(Advices[[#This Row],[LC Number]],'Combine_List'!A:D,3,0)</f>
        <v>MBL/ICAD</v>
      </c>
      <c r="N2698" s="1" t="str">
        <f>VLOOKUP(Advices[[#This Row],[LC Number]],'Combine_List'!A:D,4,0)</f>
        <v>OPERA House</v>
      </c>
      <c r="O2698" s="1"/>
      <c r="P2698" s="1">
        <f>MONTH(Advices[[#This Row],[Transaction Date]])</f>
        <v>5</v>
      </c>
      <c r="Q2698" s="1">
        <f>YEAR(Advices[[#This Row],[Transaction Date]])</f>
        <v>2026</v>
      </c>
      <c r="R2698" s="1"/>
    </row>
    <row r="2699" spans="1:18" hidden="1" x14ac:dyDescent="0.25">
      <c r="A2699" s="264" t="s">
        <v>95</v>
      </c>
      <c r="B2699" s="265">
        <v>46163</v>
      </c>
      <c r="C2699" s="266" t="s">
        <v>2307</v>
      </c>
      <c r="D2699" s="264" t="s">
        <v>5369</v>
      </c>
      <c r="E2699" s="264" t="s">
        <v>3723</v>
      </c>
      <c r="F2699" s="264" t="s">
        <v>3723</v>
      </c>
      <c r="G2699" s="266"/>
      <c r="H2699" s="299">
        <v>700000</v>
      </c>
      <c r="I2699" s="266">
        <v>0</v>
      </c>
      <c r="J2699" s="264" t="s">
        <v>2041</v>
      </c>
      <c r="K2699" s="264" t="s">
        <v>5154</v>
      </c>
      <c r="L2699" s="1" t="str">
        <f>VLOOKUP(Advices[[#This Row],[LC Number]],'Combine_List'!A:D,2,0)</f>
        <v>Brooq Al Amaan Trading</v>
      </c>
      <c r="M2699" s="1" t="str">
        <f>VLOOKUP(Advices[[#This Row],[LC Number]],'Combine_List'!A:D,3,0)</f>
        <v>MBL/ICAD</v>
      </c>
      <c r="N2699" s="1" t="str">
        <f>VLOOKUP(Advices[[#This Row],[LC Number]],'Combine_List'!A:D,4,0)</f>
        <v>OPERA House</v>
      </c>
      <c r="O2699" s="1"/>
      <c r="P2699" s="1">
        <f>MONTH(Advices[[#This Row],[Transaction Date]])</f>
        <v>5</v>
      </c>
      <c r="Q2699" s="1">
        <f>YEAR(Advices[[#This Row],[Transaction Date]])</f>
        <v>2026</v>
      </c>
      <c r="R2699" s="1"/>
    </row>
    <row r="2700" spans="1:18" hidden="1" x14ac:dyDescent="0.25">
      <c r="A2700" s="264" t="s">
        <v>95</v>
      </c>
      <c r="B2700" s="265">
        <v>46163</v>
      </c>
      <c r="C2700" s="266" t="s">
        <v>2026</v>
      </c>
      <c r="D2700" s="264" t="s">
        <v>4731</v>
      </c>
      <c r="E2700" s="264" t="s">
        <v>4679</v>
      </c>
      <c r="F2700" s="264" t="s">
        <v>4732</v>
      </c>
      <c r="G2700" s="266" t="s">
        <v>26</v>
      </c>
      <c r="H2700" s="299">
        <v>6029.83</v>
      </c>
      <c r="I2700" s="266">
        <v>0</v>
      </c>
      <c r="J2700" s="264" t="s">
        <v>1124</v>
      </c>
      <c r="K2700" s="264" t="s">
        <v>2025</v>
      </c>
      <c r="L2700" s="1" t="str">
        <f>VLOOKUP(Advices[[#This Row],[LC Number]],'Combine_List'!A:D,2,0)</f>
        <v>ALNAFIE METAL INDUSTRIES CO LTD</v>
      </c>
      <c r="M2700" s="1" t="str">
        <f>VLOOKUP(Advices[[#This Row],[LC Number]],'Combine_List'!A:D,3,0)</f>
        <v>MBL/AICS (L01)</v>
      </c>
      <c r="N2700" s="1" t="str">
        <f>VLOOKUP(Advices[[#This Row],[LC Number]],'Combine_List'!A:D,4,0)</f>
        <v>OPERA House</v>
      </c>
      <c r="O2700" s="1"/>
      <c r="P2700" s="1">
        <f>MONTH(Advices[[#This Row],[Transaction Date]])</f>
        <v>5</v>
      </c>
      <c r="Q2700" s="1">
        <f>YEAR(Advices[[#This Row],[Transaction Date]])</f>
        <v>2026</v>
      </c>
      <c r="R2700" s="1"/>
    </row>
    <row r="2701" spans="1:18" hidden="1" x14ac:dyDescent="0.25">
      <c r="A2701" s="264" t="s">
        <v>95</v>
      </c>
      <c r="B2701" s="265">
        <v>46163</v>
      </c>
      <c r="C2701" s="266" t="s">
        <v>3182</v>
      </c>
      <c r="D2701" s="264" t="s">
        <v>5370</v>
      </c>
      <c r="E2701" s="264" t="s">
        <v>707</v>
      </c>
      <c r="F2701" s="264" t="s">
        <v>5360</v>
      </c>
      <c r="G2701" s="266" t="s">
        <v>67</v>
      </c>
      <c r="H2701" s="299">
        <v>150630.35999999999</v>
      </c>
      <c r="I2701" s="266">
        <v>0</v>
      </c>
      <c r="J2701" s="264" t="s">
        <v>1126</v>
      </c>
      <c r="K2701" s="264" t="s">
        <v>2025</v>
      </c>
      <c r="L2701" s="264" t="str">
        <f>VLOOKUP(Advices[[#This Row],[LC Number]],'Combine_List'!A:D,2,0)</f>
        <v>BBH-CHEMTROL INTERNATIONAL ORGANIZATION S.L</v>
      </c>
      <c r="M2701" s="264" t="str">
        <f>VLOOKUP(Advices[[#This Row],[LC Number]],'Combine_List'!A:D,3,0)</f>
        <v>MBL/ICAD</v>
      </c>
      <c r="N2701" s="264" t="str">
        <f>VLOOKUP(Advices[[#This Row],[LC Number]],'Combine_List'!A:D,4,0)</f>
        <v>OPERA House</v>
      </c>
      <c r="O2701" s="264"/>
      <c r="P2701" s="264">
        <f>MONTH(Advices[[#This Row],[Transaction Date]])</f>
        <v>5</v>
      </c>
      <c r="Q2701" s="264">
        <f>YEAR(Advices[[#This Row],[Transaction Date]])</f>
        <v>2026</v>
      </c>
      <c r="R2701" s="264"/>
    </row>
    <row r="2702" spans="1:18" hidden="1" x14ac:dyDescent="0.25">
      <c r="A2702" s="264" t="s">
        <v>366</v>
      </c>
      <c r="B2702" s="265">
        <v>46155</v>
      </c>
      <c r="C2702" s="266" t="s">
        <v>2060</v>
      </c>
      <c r="D2702" s="264" t="s">
        <v>5371</v>
      </c>
      <c r="E2702" s="264" t="s">
        <v>3715</v>
      </c>
      <c r="F2702" s="264" t="s">
        <v>5372</v>
      </c>
      <c r="G2702" s="266" t="s">
        <v>26</v>
      </c>
      <c r="H2702" s="299">
        <v>3881.25</v>
      </c>
      <c r="I2702" s="266">
        <v>0</v>
      </c>
      <c r="J2702" s="264" t="s">
        <v>1125</v>
      </c>
      <c r="K2702" s="264" t="s">
        <v>2025</v>
      </c>
      <c r="L2702" s="1" t="str">
        <f>VLOOKUP(Advices[[#This Row],[LC Number]],'Combine_List'!A:D,2,0)</f>
        <v>Mimar for Construction Tools &amp; Trading Ltd.</v>
      </c>
      <c r="M2702" s="1" t="str">
        <f>VLOOKUP(Advices[[#This Row],[LC Number]],'Combine_List'!A:D,3,0)</f>
        <v>FIRST FIX</v>
      </c>
      <c r="N2702" s="1" t="str">
        <f>VLOOKUP(Advices[[#This Row],[LC Number]],'Combine_List'!A:D,4,0)</f>
        <v>MP1</v>
      </c>
      <c r="O2702" s="1"/>
      <c r="P2702" s="1">
        <f>MONTH(Advices[[#This Row],[Transaction Date]])</f>
        <v>5</v>
      </c>
      <c r="Q2702" s="1">
        <f>YEAR(Advices[[#This Row],[Transaction Date]])</f>
        <v>2026</v>
      </c>
      <c r="R2702" s="1"/>
    </row>
    <row r="2703" spans="1:18" hidden="1" x14ac:dyDescent="0.25">
      <c r="A2703" s="264" t="s">
        <v>366</v>
      </c>
      <c r="B2703" s="265">
        <v>46155</v>
      </c>
      <c r="C2703" s="266" t="s">
        <v>2060</v>
      </c>
      <c r="D2703" s="264" t="s">
        <v>5373</v>
      </c>
      <c r="E2703" s="264" t="s">
        <v>2902</v>
      </c>
      <c r="F2703" s="264" t="s">
        <v>5374</v>
      </c>
      <c r="G2703" s="266" t="s">
        <v>26</v>
      </c>
      <c r="H2703" s="299">
        <v>1801</v>
      </c>
      <c r="I2703" s="266">
        <v>0</v>
      </c>
      <c r="J2703" s="264" t="s">
        <v>1125</v>
      </c>
      <c r="K2703" s="264" t="s">
        <v>2025</v>
      </c>
      <c r="L2703" s="1" t="str">
        <f>VLOOKUP(Advices[[#This Row],[LC Number]],'Combine_List'!A:D,2,0)</f>
        <v xml:space="preserve">Daikin Air Conditioning Saudi Arabia </v>
      </c>
      <c r="M2703" s="1" t="str">
        <f>VLOOKUP(Advices[[#This Row],[LC Number]],'Combine_List'!A:D,3,0)</f>
        <v>FIRST FIX</v>
      </c>
      <c r="N2703" s="1" t="str">
        <f>VLOOKUP(Advices[[#This Row],[LC Number]],'Combine_List'!A:D,4,0)</f>
        <v>MP1</v>
      </c>
      <c r="O2703" s="1"/>
      <c r="P2703" s="1">
        <f>MONTH(Advices[[#This Row],[Transaction Date]])</f>
        <v>5</v>
      </c>
      <c r="Q2703" s="1">
        <f>YEAR(Advices[[#This Row],[Transaction Date]])</f>
        <v>2026</v>
      </c>
      <c r="R2703" s="1"/>
    </row>
    <row r="2704" spans="1:18" hidden="1" x14ac:dyDescent="0.25">
      <c r="A2704" s="264" t="s">
        <v>366</v>
      </c>
      <c r="B2704" s="265">
        <v>46156</v>
      </c>
      <c r="C2704" s="266" t="s">
        <v>2060</v>
      </c>
      <c r="D2704" s="264" t="s">
        <v>5375</v>
      </c>
      <c r="E2704" s="264" t="s">
        <v>4551</v>
      </c>
      <c r="F2704" s="264" t="s">
        <v>5376</v>
      </c>
      <c r="G2704" s="266" t="s">
        <v>26</v>
      </c>
      <c r="H2704" s="299">
        <v>575</v>
      </c>
      <c r="I2704" s="266">
        <v>0</v>
      </c>
      <c r="J2704" s="264" t="s">
        <v>1125</v>
      </c>
      <c r="K2704" s="264" t="s">
        <v>2025</v>
      </c>
      <c r="L2704" s="1" t="str">
        <f>VLOOKUP(Advices[[#This Row],[LC Number]],'Combine_List'!A:D,2,0)</f>
        <v>Atiaf International Trading Company</v>
      </c>
      <c r="M2704" s="1" t="str">
        <f>VLOOKUP(Advices[[#This Row],[LC Number]],'Combine_List'!A:D,3,0)</f>
        <v>FIRST FIX</v>
      </c>
      <c r="N2704" s="1" t="str">
        <f>VLOOKUP(Advices[[#This Row],[LC Number]],'Combine_List'!A:D,4,0)</f>
        <v>MP1</v>
      </c>
      <c r="O2704" s="1"/>
      <c r="P2704" s="1">
        <f>MONTH(Advices[[#This Row],[Transaction Date]])</f>
        <v>5</v>
      </c>
      <c r="Q2704" s="1">
        <f>YEAR(Advices[[#This Row],[Transaction Date]])</f>
        <v>2026</v>
      </c>
      <c r="R2704" s="1"/>
    </row>
    <row r="2705" spans="1:18" hidden="1" x14ac:dyDescent="0.25">
      <c r="A2705" s="264" t="s">
        <v>366</v>
      </c>
      <c r="B2705" s="265">
        <v>46156</v>
      </c>
      <c r="C2705" s="266" t="s">
        <v>2060</v>
      </c>
      <c r="D2705" s="264" t="s">
        <v>5377</v>
      </c>
      <c r="E2705" s="264" t="s">
        <v>3714</v>
      </c>
      <c r="F2705" s="264" t="s">
        <v>5378</v>
      </c>
      <c r="G2705" s="266" t="s">
        <v>26</v>
      </c>
      <c r="H2705" s="299">
        <v>5941.46</v>
      </c>
      <c r="I2705" s="266">
        <v>0</v>
      </c>
      <c r="J2705" s="264" t="s">
        <v>1125</v>
      </c>
      <c r="K2705" s="264" t="s">
        <v>2025</v>
      </c>
      <c r="L2705" s="1" t="str">
        <f>VLOOKUP(Advices[[#This Row],[LC Number]],'Combine_List'!A:D,2,0)</f>
        <v>BAHRA ADVANCED CABLE MANUFACTURE CO. LTD</v>
      </c>
      <c r="M2705" s="1" t="str">
        <f>VLOOKUP(Advices[[#This Row],[LC Number]],'Combine_List'!A:D,3,0)</f>
        <v>FIRST FIX</v>
      </c>
      <c r="N2705" s="1" t="str">
        <f>VLOOKUP(Advices[[#This Row],[LC Number]],'Combine_List'!A:D,4,0)</f>
        <v>MP1</v>
      </c>
      <c r="O2705" s="1"/>
      <c r="P2705" s="1">
        <f>MONTH(Advices[[#This Row],[Transaction Date]])</f>
        <v>5</v>
      </c>
      <c r="Q2705" s="1">
        <f>YEAR(Advices[[#This Row],[Transaction Date]])</f>
        <v>2026</v>
      </c>
      <c r="R2705" s="1"/>
    </row>
    <row r="2706" spans="1:18" hidden="1" x14ac:dyDescent="0.25">
      <c r="A2706" s="264" t="s">
        <v>366</v>
      </c>
      <c r="B2706" s="265">
        <v>46159</v>
      </c>
      <c r="C2706" s="266" t="s">
        <v>2057</v>
      </c>
      <c r="D2706" s="264" t="s">
        <v>5379</v>
      </c>
      <c r="E2706" s="264" t="s">
        <v>4393</v>
      </c>
      <c r="F2706" s="264" t="s">
        <v>4589</v>
      </c>
      <c r="G2706" s="266" t="s">
        <v>26</v>
      </c>
      <c r="H2706" s="299">
        <v>5000000</v>
      </c>
      <c r="I2706" s="266">
        <v>0</v>
      </c>
      <c r="J2706" s="264" t="s">
        <v>1126</v>
      </c>
      <c r="K2706" s="264" t="s">
        <v>2025</v>
      </c>
      <c r="L2706" s="1" t="str">
        <f>VLOOKUP(Advices[[#This Row],[LC Number]],'Combine_List'!A:D,2,0)</f>
        <v>The Fundamental Installation For Electric Work Co</v>
      </c>
      <c r="M2706" s="1" t="str">
        <f>VLOOKUP(Advices[[#This Row],[LC Number]],'Combine_List'!A:D,3,0)</f>
        <v>FIRST FIX</v>
      </c>
      <c r="N2706" s="1" t="str">
        <f>VLOOKUP(Advices[[#This Row],[LC Number]],'Combine_List'!A:D,4,0)</f>
        <v>MP1</v>
      </c>
      <c r="O2706" s="1"/>
      <c r="P2706" s="1">
        <f>MONTH(Advices[[#This Row],[Transaction Date]])</f>
        <v>5</v>
      </c>
      <c r="Q2706" s="1">
        <f>YEAR(Advices[[#This Row],[Transaction Date]])</f>
        <v>2026</v>
      </c>
      <c r="R2706" s="1"/>
    </row>
    <row r="2707" spans="1:18" hidden="1" x14ac:dyDescent="0.25">
      <c r="A2707" s="264" t="s">
        <v>366</v>
      </c>
      <c r="B2707" s="265">
        <v>46159</v>
      </c>
      <c r="C2707" s="266" t="s">
        <v>2057</v>
      </c>
      <c r="D2707" s="264" t="s">
        <v>5380</v>
      </c>
      <c r="E2707" s="264" t="s">
        <v>3896</v>
      </c>
      <c r="F2707" s="264" t="s">
        <v>4247</v>
      </c>
      <c r="G2707" s="266" t="s">
        <v>26</v>
      </c>
      <c r="H2707" s="299">
        <v>1000000</v>
      </c>
      <c r="I2707" s="266">
        <v>0</v>
      </c>
      <c r="J2707" s="264" t="s">
        <v>1126</v>
      </c>
      <c r="K2707" s="264" t="s">
        <v>2025</v>
      </c>
      <c r="L2707" s="1" t="str">
        <f>VLOOKUP(Advices[[#This Row],[LC Number]],'Combine_List'!A:D,2,0)</f>
        <v>SAUDI ELECTRIC SUPPLY COMPANY</v>
      </c>
      <c r="M2707" s="1" t="str">
        <f>VLOOKUP(Advices[[#This Row],[LC Number]],'Combine_List'!A:D,3,0)</f>
        <v>FIRST FIX</v>
      </c>
      <c r="N2707" s="1" t="str">
        <f>VLOOKUP(Advices[[#This Row],[LC Number]],'Combine_List'!A:D,4,0)</f>
        <v>MP1</v>
      </c>
      <c r="O2707" s="1"/>
      <c r="P2707" s="1">
        <f>MONTH(Advices[[#This Row],[Transaction Date]])</f>
        <v>5</v>
      </c>
      <c r="Q2707" s="1">
        <f>YEAR(Advices[[#This Row],[Transaction Date]])</f>
        <v>2026</v>
      </c>
      <c r="R2707" s="1"/>
    </row>
    <row r="2708" spans="1:18" hidden="1" x14ac:dyDescent="0.25">
      <c r="A2708" s="264" t="s">
        <v>366</v>
      </c>
      <c r="B2708" s="265">
        <v>46159</v>
      </c>
      <c r="C2708" s="266" t="s">
        <v>2057</v>
      </c>
      <c r="D2708" s="264" t="s">
        <v>5381</v>
      </c>
      <c r="E2708" s="264" t="s">
        <v>3730</v>
      </c>
      <c r="F2708" s="264" t="s">
        <v>4587</v>
      </c>
      <c r="G2708" s="266" t="s">
        <v>26</v>
      </c>
      <c r="H2708" s="299">
        <v>2272515</v>
      </c>
      <c r="I2708" s="266">
        <v>0</v>
      </c>
      <c r="J2708" s="264" t="s">
        <v>1126</v>
      </c>
      <c r="K2708" s="264" t="s">
        <v>2025</v>
      </c>
      <c r="L2708" s="1" t="str">
        <f>VLOOKUP(Advices[[#This Row],[LC Number]],'Combine_List'!A:D,2,0)</f>
        <v>Off Premises Solutions</v>
      </c>
      <c r="M2708" s="1" t="str">
        <f>VLOOKUP(Advices[[#This Row],[LC Number]],'Combine_List'!A:D,3,0)</f>
        <v>MBL / Green Roots</v>
      </c>
      <c r="N2708" s="1" t="str">
        <f>VLOOKUP(Advices[[#This Row],[LC Number]],'Combine_List'!A:D,4,0)</f>
        <v>CEER</v>
      </c>
      <c r="O2708" s="1"/>
      <c r="P2708" s="1">
        <f>MONTH(Advices[[#This Row],[Transaction Date]])</f>
        <v>5</v>
      </c>
      <c r="Q2708" s="1">
        <f>YEAR(Advices[[#This Row],[Transaction Date]])</f>
        <v>2026</v>
      </c>
      <c r="R2708" s="1"/>
    </row>
    <row r="2709" spans="1:18" hidden="1" x14ac:dyDescent="0.25">
      <c r="A2709" s="264" t="s">
        <v>366</v>
      </c>
      <c r="B2709" s="265">
        <v>46159</v>
      </c>
      <c r="C2709" s="266" t="s">
        <v>2060</v>
      </c>
      <c r="D2709" s="264" t="s">
        <v>5382</v>
      </c>
      <c r="E2709" s="264" t="s">
        <v>2905</v>
      </c>
      <c r="F2709" s="264" t="s">
        <v>5383</v>
      </c>
      <c r="G2709" s="266" t="s">
        <v>26</v>
      </c>
      <c r="H2709" s="299">
        <v>34500</v>
      </c>
      <c r="I2709" s="266">
        <v>0</v>
      </c>
      <c r="J2709" s="264" t="s">
        <v>1125</v>
      </c>
      <c r="K2709" s="264" t="s">
        <v>2025</v>
      </c>
      <c r="L2709" s="1" t="str">
        <f>VLOOKUP(Advices[[#This Row],[LC Number]],'Combine_List'!A:D,2,0)</f>
        <v>Power Center Company for Industries LLC</v>
      </c>
      <c r="M2709" s="1" t="str">
        <f>VLOOKUP(Advices[[#This Row],[LC Number]],'Combine_List'!A:D,3,0)</f>
        <v>FIRST FIX</v>
      </c>
      <c r="N2709" s="1" t="str">
        <f>VLOOKUP(Advices[[#This Row],[LC Number]],'Combine_List'!A:D,4,0)</f>
        <v>MP1</v>
      </c>
      <c r="O2709" s="1"/>
      <c r="P2709" s="1">
        <f>MONTH(Advices[[#This Row],[Transaction Date]])</f>
        <v>5</v>
      </c>
      <c r="Q2709" s="1">
        <f>YEAR(Advices[[#This Row],[Transaction Date]])</f>
        <v>2026</v>
      </c>
      <c r="R2709" s="1"/>
    </row>
    <row r="2710" spans="1:18" hidden="1" x14ac:dyDescent="0.25">
      <c r="A2710" s="264" t="s">
        <v>366</v>
      </c>
      <c r="B2710" s="265">
        <v>46160</v>
      </c>
      <c r="C2710" s="266" t="s">
        <v>2060</v>
      </c>
      <c r="D2710" s="264" t="s">
        <v>5384</v>
      </c>
      <c r="E2710" s="264" t="s">
        <v>2902</v>
      </c>
      <c r="F2710" s="264" t="s">
        <v>5385</v>
      </c>
      <c r="G2710" s="266" t="s">
        <v>26</v>
      </c>
      <c r="H2710" s="299">
        <v>2405.5700000000002</v>
      </c>
      <c r="I2710" s="266">
        <v>0</v>
      </c>
      <c r="J2710" s="264" t="s">
        <v>1125</v>
      </c>
      <c r="K2710" s="264" t="s">
        <v>2025</v>
      </c>
      <c r="L2710" s="1" t="str">
        <f>VLOOKUP(Advices[[#This Row],[LC Number]],'Combine_List'!A:D,2,0)</f>
        <v xml:space="preserve">Daikin Air Conditioning Saudi Arabia </v>
      </c>
      <c r="M2710" s="1" t="str">
        <f>VLOOKUP(Advices[[#This Row],[LC Number]],'Combine_List'!A:D,3,0)</f>
        <v>FIRST FIX</v>
      </c>
      <c r="N2710" s="1" t="str">
        <f>VLOOKUP(Advices[[#This Row],[LC Number]],'Combine_List'!A:D,4,0)</f>
        <v>MP1</v>
      </c>
      <c r="O2710" s="1"/>
      <c r="P2710" s="1">
        <f>MONTH(Advices[[#This Row],[Transaction Date]])</f>
        <v>5</v>
      </c>
      <c r="Q2710" s="1">
        <f>YEAR(Advices[[#This Row],[Transaction Date]])</f>
        <v>2026</v>
      </c>
      <c r="R2710" s="1"/>
    </row>
    <row r="2711" spans="1:18" hidden="1" x14ac:dyDescent="0.25">
      <c r="A2711" s="264" t="s">
        <v>366</v>
      </c>
      <c r="B2711" s="265">
        <v>46160</v>
      </c>
      <c r="C2711" s="266" t="s">
        <v>2057</v>
      </c>
      <c r="D2711" s="264" t="s">
        <v>5386</v>
      </c>
      <c r="E2711" s="264" t="s">
        <v>4073</v>
      </c>
      <c r="F2711" s="264" t="s">
        <v>4324</v>
      </c>
      <c r="G2711" s="266" t="s">
        <v>26</v>
      </c>
      <c r="H2711" s="299">
        <v>667115</v>
      </c>
      <c r="I2711" s="266">
        <v>0</v>
      </c>
      <c r="J2711" s="264" t="s">
        <v>1126</v>
      </c>
      <c r="K2711" s="264" t="s">
        <v>2025</v>
      </c>
      <c r="L2711" s="1" t="str">
        <f>VLOOKUP(Advices[[#This Row],[LC Number]],'Combine_List'!A:D,2,0)</f>
        <v>SERGAS SAUDI CONTRACTING CO. L.L.C</v>
      </c>
      <c r="M2711" s="1" t="str">
        <f>VLOOKUP(Advices[[#This Row],[LC Number]],'Combine_List'!A:D,3,0)</f>
        <v>MBL/ICAD</v>
      </c>
      <c r="N2711" s="1" t="str">
        <f>VLOOKUP(Advices[[#This Row],[LC Number]],'Combine_List'!A:D,4,0)</f>
        <v>ABHA</v>
      </c>
      <c r="O2711" s="1"/>
      <c r="P2711" s="1">
        <f>MONTH(Advices[[#This Row],[Transaction Date]])</f>
        <v>5</v>
      </c>
      <c r="Q2711" s="1">
        <f>YEAR(Advices[[#This Row],[Transaction Date]])</f>
        <v>2026</v>
      </c>
      <c r="R2711" s="1"/>
    </row>
    <row r="2712" spans="1:18" hidden="1" x14ac:dyDescent="0.25">
      <c r="A2712" s="264" t="s">
        <v>366</v>
      </c>
      <c r="B2712" s="265">
        <v>46161</v>
      </c>
      <c r="C2712" s="266" t="s">
        <v>2060</v>
      </c>
      <c r="D2712" s="264" t="s">
        <v>5387</v>
      </c>
      <c r="E2712" s="264" t="s">
        <v>5311</v>
      </c>
      <c r="F2712" s="264" t="s">
        <v>3656</v>
      </c>
      <c r="G2712" s="266" t="s">
        <v>26</v>
      </c>
      <c r="H2712" s="299">
        <v>5244.26</v>
      </c>
      <c r="I2712" s="266">
        <v>0</v>
      </c>
      <c r="J2712" s="264" t="s">
        <v>2616</v>
      </c>
      <c r="K2712" s="264" t="s">
        <v>2025</v>
      </c>
      <c r="L2712" s="1" t="str">
        <f>VLOOKUP(Advices[[#This Row],[LC Number]],'Combine_List'!A:D,2,0)</f>
        <v>TRINDEL ARABIA LTD. CO</v>
      </c>
      <c r="M2712" s="1" t="str">
        <f>VLOOKUP(Advices[[#This Row],[LC Number]],'Combine_List'!A:D,3,0)</f>
        <v>MBL/ICAD</v>
      </c>
      <c r="N2712" s="1" t="str">
        <f>VLOOKUP(Advices[[#This Row],[LC Number]],'Combine_List'!A:D,4,0)</f>
        <v>ABHA</v>
      </c>
      <c r="O2712" s="1"/>
      <c r="P2712" s="1">
        <f>MONTH(Advices[[#This Row],[Transaction Date]])</f>
        <v>5</v>
      </c>
      <c r="Q2712" s="1">
        <f>YEAR(Advices[[#This Row],[Transaction Date]])</f>
        <v>2026</v>
      </c>
      <c r="R2712" s="1"/>
    </row>
    <row r="2713" spans="1:18" hidden="1" x14ac:dyDescent="0.25">
      <c r="A2713" s="264" t="s">
        <v>366</v>
      </c>
      <c r="B2713" s="265">
        <v>46161</v>
      </c>
      <c r="C2713" s="266" t="s">
        <v>2060</v>
      </c>
      <c r="D2713" s="264" t="s">
        <v>5388</v>
      </c>
      <c r="E2713" s="264" t="s">
        <v>1052</v>
      </c>
      <c r="F2713" s="264" t="s">
        <v>4249</v>
      </c>
      <c r="G2713" s="266" t="s">
        <v>26</v>
      </c>
      <c r="H2713" s="299">
        <v>21650.75</v>
      </c>
      <c r="I2713" s="266">
        <v>0</v>
      </c>
      <c r="J2713" s="264" t="s">
        <v>2830</v>
      </c>
      <c r="K2713" s="264" t="s">
        <v>2025</v>
      </c>
      <c r="L2713" s="1" t="str">
        <f>VLOOKUP(Advices[[#This Row],[LC Number]],'Combine_List'!A:D,2,0)</f>
        <v>Performance - NEOM COMPANY</v>
      </c>
      <c r="M2713" s="1">
        <f>VLOOKUP(Advices[[#This Row],[LC Number]],'Combine_List'!A:D,3,0)</f>
        <v>0</v>
      </c>
      <c r="N2713" s="1" t="str">
        <f>VLOOKUP(Advices[[#This Row],[LC Number]],'Combine_List'!A:D,4,0)</f>
        <v>Neom - Bay Jetty</v>
      </c>
      <c r="O2713" s="1"/>
      <c r="P2713" s="1">
        <f>MONTH(Advices[[#This Row],[Transaction Date]])</f>
        <v>5</v>
      </c>
      <c r="Q2713" s="1">
        <f>YEAR(Advices[[#This Row],[Transaction Date]])</f>
        <v>2026</v>
      </c>
      <c r="R2713" s="1"/>
    </row>
    <row r="2714" spans="1:18" hidden="1" x14ac:dyDescent="0.25">
      <c r="A2714" s="264" t="s">
        <v>366</v>
      </c>
      <c r="B2714" s="265">
        <v>46163</v>
      </c>
      <c r="C2714" s="266" t="s">
        <v>2057</v>
      </c>
      <c r="D2714" s="264" t="s">
        <v>5389</v>
      </c>
      <c r="E2714" s="264" t="s">
        <v>2916</v>
      </c>
      <c r="F2714" s="264" t="s">
        <v>3944</v>
      </c>
      <c r="G2714" s="266" t="s">
        <v>26</v>
      </c>
      <c r="H2714" s="299">
        <v>1235823.67</v>
      </c>
      <c r="I2714" s="266">
        <v>0</v>
      </c>
      <c r="J2714" s="264" t="s">
        <v>1126</v>
      </c>
      <c r="K2714" s="264" t="s">
        <v>2025</v>
      </c>
      <c r="L2714" s="264" t="str">
        <f>VLOOKUP(Advices[[#This Row],[LC Number]],'Combine_List'!A:D,2,0)</f>
        <v>Mohamad Saeed Afifi Trading Est.</v>
      </c>
      <c r="M2714" s="264" t="str">
        <f>VLOOKUP(Advices[[#This Row],[LC Number]],'Combine_List'!A:D,3,0)</f>
        <v>FIRST FIX</v>
      </c>
      <c r="N2714" s="264" t="str">
        <f>VLOOKUP(Advices[[#This Row],[LC Number]],'Combine_List'!A:D,4,0)</f>
        <v>MP1</v>
      </c>
      <c r="O2714" s="264"/>
      <c r="P2714" s="264">
        <f>MONTH(Advices[[#This Row],[Transaction Date]])</f>
        <v>5</v>
      </c>
      <c r="Q2714" s="264">
        <f>YEAR(Advices[[#This Row],[Transaction Date]])</f>
        <v>2026</v>
      </c>
      <c r="R2714" s="264"/>
    </row>
    <row r="2715" spans="1:18" hidden="1" x14ac:dyDescent="0.25">
      <c r="A2715" s="264" t="s">
        <v>1073</v>
      </c>
      <c r="B2715" s="265">
        <v>46159</v>
      </c>
      <c r="C2715" s="266" t="s">
        <v>3164</v>
      </c>
      <c r="D2715" s="264" t="s">
        <v>4301</v>
      </c>
      <c r="E2715" s="264" t="s">
        <v>4546</v>
      </c>
      <c r="F2715" s="264" t="s">
        <v>2041</v>
      </c>
      <c r="G2715" s="266" t="s">
        <v>26</v>
      </c>
      <c r="H2715" s="299">
        <v>1675271</v>
      </c>
      <c r="I2715" s="266">
        <v>0</v>
      </c>
      <c r="J2715" s="264" t="s">
        <v>1126</v>
      </c>
      <c r="K2715" s="264" t="s">
        <v>2025</v>
      </c>
      <c r="L2715" s="1" t="str">
        <f>VLOOKUP(Advices[[#This Row],[LC Number]],'Combine_List'!A:D,2,0)</f>
        <v>Ready Mix Company Limited.</v>
      </c>
      <c r="M2715" s="1" t="str">
        <f>VLOOKUP(Advices[[#This Row],[LC Number]],'Combine_List'!A:D,3,0)</f>
        <v>MBL</v>
      </c>
      <c r="N2715" s="1" t="str">
        <f>VLOOKUP(Advices[[#This Row],[LC Number]],'Combine_List'!A:D,4,0)</f>
        <v>Lagoon</v>
      </c>
      <c r="O2715" s="1"/>
      <c r="P2715" s="1">
        <f>MONTH(Advices[[#This Row],[Transaction Date]])</f>
        <v>5</v>
      </c>
      <c r="Q2715" s="1">
        <f>YEAR(Advices[[#This Row],[Transaction Date]])</f>
        <v>2026</v>
      </c>
      <c r="R2715" s="1"/>
    </row>
    <row r="2716" spans="1:18" hidden="1" x14ac:dyDescent="0.25">
      <c r="A2716" s="264" t="s">
        <v>1073</v>
      </c>
      <c r="B2716" s="265">
        <v>46159</v>
      </c>
      <c r="C2716" s="266" t="s">
        <v>3164</v>
      </c>
      <c r="D2716" s="264" t="s">
        <v>3166</v>
      </c>
      <c r="E2716" s="264" t="s">
        <v>4546</v>
      </c>
      <c r="F2716" s="264" t="s">
        <v>2041</v>
      </c>
      <c r="G2716" s="266" t="s">
        <v>26</v>
      </c>
      <c r="H2716" s="299">
        <v>250</v>
      </c>
      <c r="I2716" s="266">
        <v>0</v>
      </c>
      <c r="J2716" s="264" t="s">
        <v>1125</v>
      </c>
      <c r="K2716" s="264" t="s">
        <v>2025</v>
      </c>
      <c r="L2716" s="1" t="str">
        <f>VLOOKUP(Advices[[#This Row],[LC Number]],'Combine_List'!A:D,2,0)</f>
        <v>Ready Mix Company Limited.</v>
      </c>
      <c r="M2716" s="1" t="str">
        <f>VLOOKUP(Advices[[#This Row],[LC Number]],'Combine_List'!A:D,3,0)</f>
        <v>MBL</v>
      </c>
      <c r="N2716" s="1" t="str">
        <f>VLOOKUP(Advices[[#This Row],[LC Number]],'Combine_List'!A:D,4,0)</f>
        <v>Lagoon</v>
      </c>
      <c r="O2716" s="1"/>
      <c r="P2716" s="1">
        <f>MONTH(Advices[[#This Row],[Transaction Date]])</f>
        <v>5</v>
      </c>
      <c r="Q2716" s="1">
        <f>YEAR(Advices[[#This Row],[Transaction Date]])</f>
        <v>2026</v>
      </c>
      <c r="R2716" s="1"/>
    </row>
    <row r="2717" spans="1:18" hidden="1" x14ac:dyDescent="0.25">
      <c r="A2717" s="264" t="s">
        <v>1073</v>
      </c>
      <c r="B2717" s="265">
        <v>46159</v>
      </c>
      <c r="C2717" s="266" t="s">
        <v>3164</v>
      </c>
      <c r="D2717" s="264" t="s">
        <v>3168</v>
      </c>
      <c r="E2717" s="264" t="s">
        <v>4546</v>
      </c>
      <c r="F2717" s="264" t="s">
        <v>2041</v>
      </c>
      <c r="G2717" s="266" t="s">
        <v>26</v>
      </c>
      <c r="H2717" s="299">
        <v>37.5</v>
      </c>
      <c r="I2717" s="266">
        <v>0</v>
      </c>
      <c r="J2717" s="264" t="s">
        <v>1174</v>
      </c>
      <c r="K2717" s="264" t="s">
        <v>2025</v>
      </c>
      <c r="L2717" s="264" t="str">
        <f>VLOOKUP(Advices[[#This Row],[LC Number]],'Combine_List'!A:D,2,0)</f>
        <v>Ready Mix Company Limited.</v>
      </c>
      <c r="M2717" s="264" t="str">
        <f>VLOOKUP(Advices[[#This Row],[LC Number]],'Combine_List'!A:D,3,0)</f>
        <v>MBL</v>
      </c>
      <c r="N2717" s="264" t="str">
        <f>VLOOKUP(Advices[[#This Row],[LC Number]],'Combine_List'!A:D,4,0)</f>
        <v>Lagoon</v>
      </c>
      <c r="O2717" s="264"/>
      <c r="P2717" s="264">
        <f>MONTH(Advices[[#This Row],[Transaction Date]])</f>
        <v>5</v>
      </c>
      <c r="Q2717" s="264">
        <f>YEAR(Advices[[#This Row],[Transaction Date]])</f>
        <v>2026</v>
      </c>
      <c r="R2717" s="264"/>
    </row>
    <row r="2718" spans="1:18" hidden="1" x14ac:dyDescent="0.25">
      <c r="A2718" s="264" t="s">
        <v>612</v>
      </c>
      <c r="B2718" s="265">
        <v>46154</v>
      </c>
      <c r="C2718" s="266" t="s">
        <v>2101</v>
      </c>
      <c r="D2718" s="264" t="s">
        <v>5390</v>
      </c>
      <c r="E2718" s="264" t="s">
        <v>3319</v>
      </c>
      <c r="F2718" s="264" t="s">
        <v>2041</v>
      </c>
      <c r="G2718" s="266" t="s">
        <v>26</v>
      </c>
      <c r="H2718" s="299">
        <v>182356.65</v>
      </c>
      <c r="I2718" s="266">
        <v>0</v>
      </c>
      <c r="J2718" s="264" t="s">
        <v>1126</v>
      </c>
      <c r="K2718" s="264" t="s">
        <v>2025</v>
      </c>
      <c r="L2718" s="1" t="str">
        <f>VLOOKUP(Advices[[#This Row],[LC Number]],'Combine_List'!A:D,2,0)</f>
        <v>Green Concrete CJSC</v>
      </c>
      <c r="M2718" s="1" t="str">
        <f>VLOOKUP(Advices[[#This Row],[LC Number]],'Combine_List'!A:D,3,0)</f>
        <v>MBL</v>
      </c>
      <c r="N2718" s="1" t="str">
        <f>VLOOKUP(Advices[[#This Row],[LC Number]],'Combine_List'!A:D,4,0)</f>
        <v>RCRC</v>
      </c>
      <c r="O2718" s="1"/>
      <c r="P2718" s="1">
        <f>MONTH(Advices[[#This Row],[Transaction Date]])</f>
        <v>5</v>
      </c>
      <c r="Q2718" s="1">
        <f>YEAR(Advices[[#This Row],[Transaction Date]])</f>
        <v>2026</v>
      </c>
      <c r="R2718" s="1"/>
    </row>
    <row r="2719" spans="1:18" hidden="1" x14ac:dyDescent="0.25">
      <c r="A2719" s="264" t="s">
        <v>612</v>
      </c>
      <c r="B2719" s="265">
        <v>46162</v>
      </c>
      <c r="C2719" s="266" t="s">
        <v>2101</v>
      </c>
      <c r="D2719" s="264" t="s">
        <v>5391</v>
      </c>
      <c r="E2719" s="264" t="s">
        <v>4934</v>
      </c>
      <c r="F2719" s="264" t="s">
        <v>2041</v>
      </c>
      <c r="G2719" s="266" t="s">
        <v>26</v>
      </c>
      <c r="H2719" s="299">
        <v>200</v>
      </c>
      <c r="I2719" s="266">
        <v>0</v>
      </c>
      <c r="J2719" s="264" t="s">
        <v>2793</v>
      </c>
      <c r="K2719" s="264" t="s">
        <v>2025</v>
      </c>
      <c r="L2719" s="1" t="str">
        <f>VLOOKUP(Advices[[#This Row],[LC Number]],'Combine_List'!A:D,2,0)</f>
        <v>Advance - ROYAL COMMISSION FOR RIYADH CITY (RCRC)</v>
      </c>
      <c r="M2719" s="1">
        <f>VLOOKUP(Advices[[#This Row],[LC Number]],'Combine_List'!A:D,3,0)</f>
        <v>0</v>
      </c>
      <c r="N2719" s="1">
        <f>VLOOKUP(Advices[[#This Row],[LC Number]],'Combine_List'!A:D,4,0)</f>
        <v>0</v>
      </c>
      <c r="O2719" s="1"/>
      <c r="P2719" s="1">
        <f>MONTH(Advices[[#This Row],[Transaction Date]])</f>
        <v>5</v>
      </c>
      <c r="Q2719" s="1">
        <f>YEAR(Advices[[#This Row],[Transaction Date]])</f>
        <v>2026</v>
      </c>
      <c r="R2719" s="1"/>
    </row>
    <row r="2720" spans="1:18" hidden="1" x14ac:dyDescent="0.25">
      <c r="A2720" s="264" t="s">
        <v>612</v>
      </c>
      <c r="B2720" s="265">
        <v>46162</v>
      </c>
      <c r="C2720" s="266" t="s">
        <v>2101</v>
      </c>
      <c r="D2720" s="264" t="s">
        <v>5392</v>
      </c>
      <c r="E2720" s="264" t="s">
        <v>4934</v>
      </c>
      <c r="F2720" s="264" t="s">
        <v>2041</v>
      </c>
      <c r="G2720" s="266" t="s">
        <v>26</v>
      </c>
      <c r="H2720" s="299">
        <v>30</v>
      </c>
      <c r="I2720" s="266">
        <v>0</v>
      </c>
      <c r="J2720" s="264" t="s">
        <v>1174</v>
      </c>
      <c r="K2720" s="264" t="s">
        <v>2025</v>
      </c>
      <c r="L2720" s="264" t="str">
        <f>VLOOKUP(Advices[[#This Row],[LC Number]],'Combine_List'!A:D,2,0)</f>
        <v>Advance - ROYAL COMMISSION FOR RIYADH CITY (RCRC)</v>
      </c>
      <c r="M2720" s="264">
        <f>VLOOKUP(Advices[[#This Row],[LC Number]],'Combine_List'!A:D,3,0)</f>
        <v>0</v>
      </c>
      <c r="N2720" s="264">
        <f>VLOOKUP(Advices[[#This Row],[LC Number]],'Combine_List'!A:D,4,0)</f>
        <v>0</v>
      </c>
      <c r="O2720" s="264"/>
      <c r="P2720" s="264">
        <f>MONTH(Advices[[#This Row],[Transaction Date]])</f>
        <v>5</v>
      </c>
      <c r="Q2720" s="264">
        <f>YEAR(Advices[[#This Row],[Transaction Date]])</f>
        <v>2026</v>
      </c>
      <c r="R2720" s="264"/>
    </row>
    <row r="2721" spans="1:18" hidden="1" x14ac:dyDescent="0.25">
      <c r="A2721" s="264" t="s">
        <v>95</v>
      </c>
      <c r="B2721" s="265">
        <v>46167</v>
      </c>
      <c r="C2721" s="266" t="s">
        <v>3182</v>
      </c>
      <c r="D2721" s="264" t="s">
        <v>5402</v>
      </c>
      <c r="E2721" s="264" t="s">
        <v>707</v>
      </c>
      <c r="F2721" s="264" t="s">
        <v>2379</v>
      </c>
      <c r="G2721" s="266" t="s">
        <v>67</v>
      </c>
      <c r="H2721" s="299">
        <v>120</v>
      </c>
      <c r="I2721" s="266">
        <v>0</v>
      </c>
      <c r="J2721" s="264" t="s">
        <v>5407</v>
      </c>
      <c r="K2721" s="264" t="s">
        <v>2025</v>
      </c>
      <c r="L2721" s="1" t="str">
        <f>VLOOKUP(Advices[[#This Row],[LC Number]],'Combine_List'!A:D,2,0)</f>
        <v>BBH-CHEMTROL INTERNATIONAL ORGANIZATION S.L</v>
      </c>
      <c r="M2721" s="1" t="str">
        <f>VLOOKUP(Advices[[#This Row],[LC Number]],'Combine_List'!A:D,3,0)</f>
        <v>MBL/ICAD</v>
      </c>
      <c r="N2721" s="1" t="str">
        <f>VLOOKUP(Advices[[#This Row],[LC Number]],'Combine_List'!A:D,4,0)</f>
        <v>OPERA House</v>
      </c>
      <c r="O2721" s="1"/>
      <c r="P2721" s="1">
        <f>MONTH(Advices[[#This Row],[Transaction Date]])</f>
        <v>5</v>
      </c>
      <c r="Q2721" s="1">
        <f>YEAR(Advices[[#This Row],[Transaction Date]])</f>
        <v>2026</v>
      </c>
      <c r="R2721" s="1"/>
    </row>
    <row r="2722" spans="1:18" hidden="1" x14ac:dyDescent="0.25">
      <c r="A2722" s="264" t="s">
        <v>95</v>
      </c>
      <c r="B2722" s="265">
        <v>46173</v>
      </c>
      <c r="C2722" s="266" t="s">
        <v>2026</v>
      </c>
      <c r="D2722" s="264" t="s">
        <v>5204</v>
      </c>
      <c r="E2722" s="264" t="s">
        <v>3722</v>
      </c>
      <c r="F2722" s="264" t="s">
        <v>5205</v>
      </c>
      <c r="G2722" s="266" t="s">
        <v>26</v>
      </c>
      <c r="H2722" s="299">
        <v>350000</v>
      </c>
      <c r="I2722" s="266">
        <v>0</v>
      </c>
      <c r="J2722" s="264" t="s">
        <v>1126</v>
      </c>
      <c r="K2722" s="264" t="s">
        <v>2025</v>
      </c>
      <c r="L2722" s="1" t="str">
        <f>VLOOKUP(Advices[[#This Row],[LC Number]],'Combine_List'!A:D,2,0)</f>
        <v>Electric House Trading Company L.L.C.</v>
      </c>
      <c r="M2722" s="1" t="str">
        <f>VLOOKUP(Advices[[#This Row],[LC Number]],'Combine_List'!A:D,3,0)</f>
        <v>MBL/ICAD</v>
      </c>
      <c r="N2722" s="1" t="str">
        <f>VLOOKUP(Advices[[#This Row],[LC Number]],'Combine_List'!A:D,4,0)</f>
        <v>OPERA House</v>
      </c>
      <c r="O2722" s="1"/>
      <c r="P2722" s="1">
        <f>MONTH(Advices[[#This Row],[Transaction Date]])</f>
        <v>5</v>
      </c>
      <c r="Q2722" s="1">
        <f>YEAR(Advices[[#This Row],[Transaction Date]])</f>
        <v>2026</v>
      </c>
      <c r="R2722" s="1"/>
    </row>
    <row r="2723" spans="1:18" hidden="1" x14ac:dyDescent="0.25">
      <c r="A2723" s="264" t="s">
        <v>95</v>
      </c>
      <c r="B2723" s="265">
        <v>46173</v>
      </c>
      <c r="C2723" s="266" t="s">
        <v>2307</v>
      </c>
      <c r="D2723" s="264" t="s">
        <v>5403</v>
      </c>
      <c r="E2723" s="264" t="s">
        <v>3722</v>
      </c>
      <c r="F2723" s="264" t="s">
        <v>5404</v>
      </c>
      <c r="G2723" s="266"/>
      <c r="H2723" s="299">
        <v>350000</v>
      </c>
      <c r="I2723" s="266">
        <v>0</v>
      </c>
      <c r="J2723" s="264" t="s">
        <v>2041</v>
      </c>
      <c r="K2723" s="264" t="s">
        <v>5154</v>
      </c>
      <c r="L2723" s="1" t="str">
        <f>VLOOKUP(Advices[[#This Row],[LC Number]],'Combine_List'!A:D,2,0)</f>
        <v>Electric House Trading Company L.L.C.</v>
      </c>
      <c r="M2723" s="1" t="str">
        <f>VLOOKUP(Advices[[#This Row],[LC Number]],'Combine_List'!A:D,3,0)</f>
        <v>MBL/ICAD</v>
      </c>
      <c r="N2723" s="1" t="str">
        <f>VLOOKUP(Advices[[#This Row],[LC Number]],'Combine_List'!A:D,4,0)</f>
        <v>OPERA House</v>
      </c>
      <c r="O2723" s="1"/>
      <c r="P2723" s="1">
        <f>MONTH(Advices[[#This Row],[Transaction Date]])</f>
        <v>5</v>
      </c>
      <c r="Q2723" s="1">
        <f>YEAR(Advices[[#This Row],[Transaction Date]])</f>
        <v>2026</v>
      </c>
      <c r="R2723" s="1"/>
    </row>
    <row r="2724" spans="1:18" hidden="1" x14ac:dyDescent="0.25">
      <c r="A2724" s="264" t="s">
        <v>95</v>
      </c>
      <c r="B2724" s="265">
        <v>46173</v>
      </c>
      <c r="C2724" s="266" t="s">
        <v>2026</v>
      </c>
      <c r="D2724" s="264" t="s">
        <v>5405</v>
      </c>
      <c r="E2724" s="264" t="s">
        <v>3722</v>
      </c>
      <c r="F2724" s="264" t="s">
        <v>5404</v>
      </c>
      <c r="G2724" s="266" t="s">
        <v>26</v>
      </c>
      <c r="H2724" s="299">
        <v>0</v>
      </c>
      <c r="I2724" s="266">
        <v>350000</v>
      </c>
      <c r="J2724" s="264" t="s">
        <v>2041</v>
      </c>
      <c r="K2724" s="264" t="s">
        <v>5154</v>
      </c>
      <c r="L2724" s="264" t="str">
        <f>VLOOKUP(Advices[[#This Row],[LC Number]],'Combine_List'!A:D,2,0)</f>
        <v>Electric House Trading Company L.L.C.</v>
      </c>
      <c r="M2724" s="264" t="str">
        <f>VLOOKUP(Advices[[#This Row],[LC Number]],'Combine_List'!A:D,3,0)</f>
        <v>MBL/ICAD</v>
      </c>
      <c r="N2724" s="264" t="str">
        <f>VLOOKUP(Advices[[#This Row],[LC Number]],'Combine_List'!A:D,4,0)</f>
        <v>OPERA House</v>
      </c>
      <c r="O2724" s="264"/>
      <c r="P2724" s="264">
        <f>MONTH(Advices[[#This Row],[Transaction Date]])</f>
        <v>5</v>
      </c>
      <c r="Q2724" s="264">
        <f>YEAR(Advices[[#This Row],[Transaction Date]])</f>
        <v>2026</v>
      </c>
      <c r="R2724" s="264"/>
    </row>
    <row r="2725" spans="1:18" hidden="1" x14ac:dyDescent="0.25">
      <c r="A2725" s="264" t="s">
        <v>366</v>
      </c>
      <c r="B2725" s="265">
        <v>46173</v>
      </c>
      <c r="C2725" s="266" t="s">
        <v>2060</v>
      </c>
      <c r="D2725" s="264" t="s">
        <v>5406</v>
      </c>
      <c r="E2725" s="264" t="s">
        <v>2903</v>
      </c>
      <c r="F2725" s="264" t="s">
        <v>4153</v>
      </c>
      <c r="G2725" s="266" t="s">
        <v>26</v>
      </c>
      <c r="H2725" s="299">
        <v>127445.13</v>
      </c>
      <c r="I2725" s="266">
        <v>0</v>
      </c>
      <c r="J2725" s="264" t="s">
        <v>1126</v>
      </c>
      <c r="K2725" s="264" t="s">
        <v>2025</v>
      </c>
      <c r="L2725" s="264" t="str">
        <f>VLOOKUP(Advices[[#This Row],[LC Number]],'Combine_List'!A:D,2,0)</f>
        <v>Ajzal United for Safety CO.LTD.</v>
      </c>
      <c r="M2725" s="264" t="str">
        <f>VLOOKUP(Advices[[#This Row],[LC Number]],'Combine_List'!A:D,3,0)</f>
        <v>FIRST FIX</v>
      </c>
      <c r="N2725" s="264" t="str">
        <f>VLOOKUP(Advices[[#This Row],[LC Number]],'Combine_List'!A:D,4,0)</f>
        <v>MP1</v>
      </c>
      <c r="O2725" s="264"/>
      <c r="P2725" s="264">
        <f>MONTH(Advices[[#This Row],[Transaction Date]])</f>
        <v>5</v>
      </c>
      <c r="Q2725" s="264">
        <f>YEAR(Advices[[#This Row],[Transaction Date]])</f>
        <v>2026</v>
      </c>
      <c r="R2725" s="264"/>
    </row>
    <row r="2726" spans="1:18" hidden="1" x14ac:dyDescent="0.25">
      <c r="A2726" s="264" t="s">
        <v>1073</v>
      </c>
      <c r="B2726" s="265">
        <v>46148</v>
      </c>
      <c r="C2726" s="264" t="s">
        <v>3164</v>
      </c>
      <c r="D2726" s="264" t="s">
        <v>1949</v>
      </c>
      <c r="E2726" s="264" t="s">
        <v>5192</v>
      </c>
      <c r="F2726" s="264" t="s">
        <v>2041</v>
      </c>
      <c r="G2726" s="264" t="s">
        <v>26</v>
      </c>
      <c r="H2726" s="368">
        <v>32175.24</v>
      </c>
      <c r="I2726" s="266">
        <v>0</v>
      </c>
      <c r="J2726" s="264" t="s">
        <v>2616</v>
      </c>
      <c r="K2726" s="264" t="s">
        <v>2025</v>
      </c>
      <c r="L2726" s="264" t="str">
        <f>VLOOKUP(Advices[[#This Row],[LC Number]],'Combine_List'!A:D,2,0)</f>
        <v>Henan Chongpeng Machinery Co Ltd</v>
      </c>
      <c r="M2726" s="264" t="str">
        <f>VLOOKUP(Advices[[#This Row],[LC Number]],'Combine_List'!A:D,3,0)</f>
        <v>MBL</v>
      </c>
      <c r="N2726" s="264" t="str">
        <f>VLOOKUP(Advices[[#This Row],[LC Number]],'Combine_List'!A:D,4,0)</f>
        <v>Lagoon</v>
      </c>
      <c r="O2726" s="264"/>
      <c r="P2726" s="264">
        <f>MONTH(Advices[[#This Row],[Transaction Date]])</f>
        <v>5</v>
      </c>
      <c r="Q2726" s="264">
        <f>YEAR(Advices[[#This Row],[Transaction Date]])</f>
        <v>2026</v>
      </c>
      <c r="R2726" s="264"/>
    </row>
    <row r="2727" spans="1:18" x14ac:dyDescent="0.25">
      <c r="A2727" s="264" t="s">
        <v>21</v>
      </c>
      <c r="B2727" s="265">
        <v>46174</v>
      </c>
      <c r="C2727" s="264" t="s">
        <v>1951</v>
      </c>
      <c r="D2727" s="264" t="s">
        <v>5342</v>
      </c>
      <c r="E2727" s="264" t="s">
        <v>4137</v>
      </c>
      <c r="F2727" s="264" t="s">
        <v>5139</v>
      </c>
      <c r="G2727" s="264" t="s">
        <v>26</v>
      </c>
      <c r="H2727" s="368">
        <v>22.5</v>
      </c>
      <c r="I2727" s="266">
        <v>0</v>
      </c>
      <c r="J2727" s="264" t="s">
        <v>1174</v>
      </c>
      <c r="K2727" s="264" t="s">
        <v>2025</v>
      </c>
      <c r="L2727" s="1" t="str">
        <f>VLOOKUP(Advices[[#This Row],[LC Number]],'Combine_List'!A:D,2,0)</f>
        <v>LSI PROJECTS LIMITED</v>
      </c>
      <c r="M2727" s="1" t="str">
        <f>VLOOKUP(Advices[[#This Row],[LC Number]],'Combine_List'!A:D,3,0)</f>
        <v>ICAD</v>
      </c>
      <c r="N2727" s="1" t="str">
        <f>VLOOKUP(Advices[[#This Row],[LC Number]],'Combine_List'!A:D,4,0)</f>
        <v>KSP</v>
      </c>
      <c r="O2727" s="1"/>
      <c r="P2727" s="1">
        <f>MONTH(Advices[[#This Row],[Transaction Date]])</f>
        <v>6</v>
      </c>
      <c r="Q2727" s="1">
        <f>YEAR(Advices[[#This Row],[Transaction Date]])</f>
        <v>2026</v>
      </c>
      <c r="R2727" s="1"/>
    </row>
    <row r="2728" spans="1:18" x14ac:dyDescent="0.25">
      <c r="A2728" s="264" t="s">
        <v>21</v>
      </c>
      <c r="B2728" s="265">
        <v>46174</v>
      </c>
      <c r="C2728" s="264" t="s">
        <v>1951</v>
      </c>
      <c r="D2728" s="264" t="s">
        <v>4569</v>
      </c>
      <c r="E2728" s="264" t="s">
        <v>4137</v>
      </c>
      <c r="F2728" s="264" t="s">
        <v>5139</v>
      </c>
      <c r="G2728" s="264" t="s">
        <v>26</v>
      </c>
      <c r="H2728" s="368">
        <v>150</v>
      </c>
      <c r="I2728" s="266">
        <v>0</v>
      </c>
      <c r="J2728" s="264" t="s">
        <v>1963</v>
      </c>
      <c r="K2728" s="264" t="s">
        <v>2025</v>
      </c>
      <c r="L2728" s="1" t="str">
        <f>VLOOKUP(Advices[[#This Row],[LC Number]],'Combine_List'!A:D,2,0)</f>
        <v>LSI PROJECTS LIMITED</v>
      </c>
      <c r="M2728" s="1" t="str">
        <f>VLOOKUP(Advices[[#This Row],[LC Number]],'Combine_List'!A:D,3,0)</f>
        <v>ICAD</v>
      </c>
      <c r="N2728" s="1" t="str">
        <f>VLOOKUP(Advices[[#This Row],[LC Number]],'Combine_List'!A:D,4,0)</f>
        <v>KSP</v>
      </c>
      <c r="O2728" s="1"/>
      <c r="P2728" s="1">
        <f>MONTH(Advices[[#This Row],[Transaction Date]])</f>
        <v>6</v>
      </c>
      <c r="Q2728" s="1">
        <f>YEAR(Advices[[#This Row],[Transaction Date]])</f>
        <v>2026</v>
      </c>
      <c r="R2728" s="1"/>
    </row>
    <row r="2729" spans="1:18" x14ac:dyDescent="0.25">
      <c r="A2729" s="264" t="s">
        <v>21</v>
      </c>
      <c r="B2729" s="265">
        <v>46174</v>
      </c>
      <c r="C2729" s="264" t="s">
        <v>1951</v>
      </c>
      <c r="D2729" s="264" t="s">
        <v>4570</v>
      </c>
      <c r="E2729" s="264" t="s">
        <v>4137</v>
      </c>
      <c r="F2729" s="264" t="s">
        <v>5139</v>
      </c>
      <c r="G2729" s="264" t="s">
        <v>26</v>
      </c>
      <c r="H2729" s="368">
        <v>6101179.6900000004</v>
      </c>
      <c r="I2729" s="266">
        <v>0</v>
      </c>
      <c r="J2729" s="264" t="s">
        <v>1126</v>
      </c>
      <c r="K2729" s="264" t="s">
        <v>2025</v>
      </c>
      <c r="L2729" s="1" t="str">
        <f>VLOOKUP(Advices[[#This Row],[LC Number]],'Combine_List'!A:D,2,0)</f>
        <v>LSI PROJECTS LIMITED</v>
      </c>
      <c r="M2729" s="1" t="str">
        <f>VLOOKUP(Advices[[#This Row],[LC Number]],'Combine_List'!A:D,3,0)</f>
        <v>ICAD</v>
      </c>
      <c r="N2729" s="1" t="str">
        <f>VLOOKUP(Advices[[#This Row],[LC Number]],'Combine_List'!A:D,4,0)</f>
        <v>KSP</v>
      </c>
      <c r="O2729" s="1"/>
      <c r="P2729" s="1">
        <f>MONTH(Advices[[#This Row],[Transaction Date]])</f>
        <v>6</v>
      </c>
      <c r="Q2729" s="1">
        <f>YEAR(Advices[[#This Row],[Transaction Date]])</f>
        <v>2026</v>
      </c>
      <c r="R2729" s="1"/>
    </row>
    <row r="2730" spans="1:18" x14ac:dyDescent="0.25">
      <c r="A2730" s="264" t="s">
        <v>21</v>
      </c>
      <c r="B2730" s="265">
        <v>46176</v>
      </c>
      <c r="C2730" s="264" t="s">
        <v>1951</v>
      </c>
      <c r="D2730" s="264" t="s">
        <v>1960</v>
      </c>
      <c r="E2730" s="264" t="s">
        <v>4295</v>
      </c>
      <c r="F2730" s="264" t="s">
        <v>4577</v>
      </c>
      <c r="G2730" s="264" t="s">
        <v>26</v>
      </c>
      <c r="H2730" s="368">
        <v>11.25</v>
      </c>
      <c r="I2730" s="266">
        <v>0</v>
      </c>
      <c r="J2730" s="264" t="s">
        <v>1174</v>
      </c>
      <c r="K2730" s="264" t="s">
        <v>2025</v>
      </c>
      <c r="L2730" s="1" t="str">
        <f>VLOOKUP(Advices[[#This Row],[LC Number]],'Combine_List'!A:D,2,0)</f>
        <v>The Fundamental Installation For Electric Work Co</v>
      </c>
      <c r="M2730" s="1" t="str">
        <f>VLOOKUP(Advices[[#This Row],[LC Number]],'Combine_List'!A:D,3,0)</f>
        <v>FIRST FIX</v>
      </c>
      <c r="N2730" s="1" t="str">
        <f>VLOOKUP(Advices[[#This Row],[LC Number]],'Combine_List'!A:D,4,0)</f>
        <v>CEER</v>
      </c>
      <c r="O2730" s="1"/>
      <c r="P2730" s="1">
        <f>MONTH(Advices[[#This Row],[Transaction Date]])</f>
        <v>6</v>
      </c>
      <c r="Q2730" s="1">
        <f>YEAR(Advices[[#This Row],[Transaction Date]])</f>
        <v>2026</v>
      </c>
      <c r="R2730" s="1"/>
    </row>
    <row r="2731" spans="1:18" x14ac:dyDescent="0.25">
      <c r="A2731" s="264" t="s">
        <v>21</v>
      </c>
      <c r="B2731" s="265">
        <v>46176</v>
      </c>
      <c r="C2731" s="264" t="s">
        <v>1951</v>
      </c>
      <c r="D2731" s="264" t="s">
        <v>4569</v>
      </c>
      <c r="E2731" s="264" t="s">
        <v>4295</v>
      </c>
      <c r="F2731" s="264" t="s">
        <v>4577</v>
      </c>
      <c r="G2731" s="264" t="s">
        <v>26</v>
      </c>
      <c r="H2731" s="368">
        <v>75</v>
      </c>
      <c r="I2731" s="266">
        <v>0</v>
      </c>
      <c r="J2731" s="264" t="s">
        <v>1963</v>
      </c>
      <c r="K2731" s="264" t="s">
        <v>2025</v>
      </c>
      <c r="L2731" s="1" t="str">
        <f>VLOOKUP(Advices[[#This Row],[LC Number]],'Combine_List'!A:D,2,0)</f>
        <v>The Fundamental Installation For Electric Work Co</v>
      </c>
      <c r="M2731" s="1" t="str">
        <f>VLOOKUP(Advices[[#This Row],[LC Number]],'Combine_List'!A:D,3,0)</f>
        <v>FIRST FIX</v>
      </c>
      <c r="N2731" s="1" t="str">
        <f>VLOOKUP(Advices[[#This Row],[LC Number]],'Combine_List'!A:D,4,0)</f>
        <v>CEER</v>
      </c>
      <c r="O2731" s="1"/>
      <c r="P2731" s="1">
        <f>MONTH(Advices[[#This Row],[Transaction Date]])</f>
        <v>6</v>
      </c>
      <c r="Q2731" s="1">
        <f>YEAR(Advices[[#This Row],[Transaction Date]])</f>
        <v>2026</v>
      </c>
      <c r="R2731" s="1"/>
    </row>
    <row r="2732" spans="1:18" x14ac:dyDescent="0.25">
      <c r="A2732" s="264" t="s">
        <v>21</v>
      </c>
      <c r="B2732" s="265">
        <v>46176</v>
      </c>
      <c r="C2732" s="264" t="s">
        <v>1951</v>
      </c>
      <c r="D2732" s="264" t="s">
        <v>4570</v>
      </c>
      <c r="E2732" s="264" t="s">
        <v>4295</v>
      </c>
      <c r="F2732" s="264" t="s">
        <v>4577</v>
      </c>
      <c r="G2732" s="264" t="s">
        <v>26</v>
      </c>
      <c r="H2732" s="368">
        <v>50000000</v>
      </c>
      <c r="I2732" s="266">
        <v>0</v>
      </c>
      <c r="J2732" s="264" t="s">
        <v>1126</v>
      </c>
      <c r="K2732" s="264" t="s">
        <v>2025</v>
      </c>
      <c r="L2732" s="1" t="str">
        <f>VLOOKUP(Advices[[#This Row],[LC Number]],'Combine_List'!A:D,2,0)</f>
        <v>The Fundamental Installation For Electric Work Co</v>
      </c>
      <c r="M2732" s="1" t="str">
        <f>VLOOKUP(Advices[[#This Row],[LC Number]],'Combine_List'!A:D,3,0)</f>
        <v>FIRST FIX</v>
      </c>
      <c r="N2732" s="1" t="str">
        <f>VLOOKUP(Advices[[#This Row],[LC Number]],'Combine_List'!A:D,4,0)</f>
        <v>CEER</v>
      </c>
      <c r="O2732" s="1"/>
      <c r="P2732" s="1">
        <f>MONTH(Advices[[#This Row],[Transaction Date]])</f>
        <v>6</v>
      </c>
      <c r="Q2732" s="1">
        <f>YEAR(Advices[[#This Row],[Transaction Date]])</f>
        <v>2026</v>
      </c>
      <c r="R2732" s="1"/>
    </row>
    <row r="2733" spans="1:18" x14ac:dyDescent="0.25">
      <c r="A2733" s="264" t="s">
        <v>21</v>
      </c>
      <c r="B2733" s="265">
        <v>46180</v>
      </c>
      <c r="C2733" s="264" t="s">
        <v>1951</v>
      </c>
      <c r="D2733" s="264" t="s">
        <v>4570</v>
      </c>
      <c r="E2733" s="264" t="s">
        <v>4239</v>
      </c>
      <c r="F2733" s="264" t="s">
        <v>4664</v>
      </c>
      <c r="G2733" s="264" t="s">
        <v>26</v>
      </c>
      <c r="H2733" s="368">
        <v>415046.21</v>
      </c>
      <c r="I2733" s="266">
        <v>0</v>
      </c>
      <c r="J2733" s="264" t="s">
        <v>1126</v>
      </c>
      <c r="K2733" s="264" t="s">
        <v>2025</v>
      </c>
      <c r="L2733" s="1" t="str">
        <f>VLOOKUP(Advices[[#This Row],[LC Number]],'Combine_List'!A:D,2,0)</f>
        <v>Awtad Jeddah for General Contracting Company</v>
      </c>
      <c r="M2733" s="1" t="str">
        <f>VLOOKUP(Advices[[#This Row],[LC Number]],'Combine_List'!A:D,3,0)</f>
        <v>MBL</v>
      </c>
      <c r="N2733" s="1" t="str">
        <f>VLOOKUP(Advices[[#This Row],[LC Number]],'Combine_List'!A:D,4,0)</f>
        <v>Rabigh Power Plant</v>
      </c>
      <c r="O2733" s="1"/>
      <c r="P2733" s="1">
        <f>MONTH(Advices[[#This Row],[Transaction Date]])</f>
        <v>6</v>
      </c>
      <c r="Q2733" s="1">
        <f>YEAR(Advices[[#This Row],[Transaction Date]])</f>
        <v>2026</v>
      </c>
      <c r="R2733" s="1"/>
    </row>
    <row r="2734" spans="1:18" x14ac:dyDescent="0.25">
      <c r="A2734" s="264" t="s">
        <v>21</v>
      </c>
      <c r="B2734" s="265">
        <v>46180</v>
      </c>
      <c r="C2734" s="264" t="s">
        <v>1951</v>
      </c>
      <c r="D2734" s="264" t="s">
        <v>4569</v>
      </c>
      <c r="E2734" s="264" t="s">
        <v>4239</v>
      </c>
      <c r="F2734" s="264" t="s">
        <v>4664</v>
      </c>
      <c r="G2734" s="264" t="s">
        <v>26</v>
      </c>
      <c r="H2734" s="368">
        <v>75</v>
      </c>
      <c r="I2734" s="266">
        <v>0</v>
      </c>
      <c r="J2734" s="264" t="s">
        <v>1963</v>
      </c>
      <c r="K2734" s="264" t="s">
        <v>2025</v>
      </c>
      <c r="L2734" s="1" t="str">
        <f>VLOOKUP(Advices[[#This Row],[LC Number]],'Combine_List'!A:D,2,0)</f>
        <v>Awtad Jeddah for General Contracting Company</v>
      </c>
      <c r="M2734" s="1" t="str">
        <f>VLOOKUP(Advices[[#This Row],[LC Number]],'Combine_List'!A:D,3,0)</f>
        <v>MBL</v>
      </c>
      <c r="N2734" s="1" t="str">
        <f>VLOOKUP(Advices[[#This Row],[LC Number]],'Combine_List'!A:D,4,0)</f>
        <v>Rabigh Power Plant</v>
      </c>
      <c r="O2734" s="1"/>
      <c r="P2734" s="1">
        <f>MONTH(Advices[[#This Row],[Transaction Date]])</f>
        <v>6</v>
      </c>
      <c r="Q2734" s="1">
        <f>YEAR(Advices[[#This Row],[Transaction Date]])</f>
        <v>2026</v>
      </c>
      <c r="R2734" s="1"/>
    </row>
    <row r="2735" spans="1:18" x14ac:dyDescent="0.25">
      <c r="A2735" s="264" t="s">
        <v>21</v>
      </c>
      <c r="B2735" s="265">
        <v>46180</v>
      </c>
      <c r="C2735" s="264" t="s">
        <v>1951</v>
      </c>
      <c r="D2735" s="264" t="s">
        <v>1960</v>
      </c>
      <c r="E2735" s="264" t="s">
        <v>4239</v>
      </c>
      <c r="F2735" s="264" t="s">
        <v>4664</v>
      </c>
      <c r="G2735" s="264" t="s">
        <v>26</v>
      </c>
      <c r="H2735" s="368">
        <v>11.25</v>
      </c>
      <c r="I2735" s="266">
        <v>0</v>
      </c>
      <c r="J2735" s="264" t="s">
        <v>1174</v>
      </c>
      <c r="K2735" s="264" t="s">
        <v>2025</v>
      </c>
      <c r="L2735" s="1" t="str">
        <f>VLOOKUP(Advices[[#This Row],[LC Number]],'Combine_List'!A:D,2,0)</f>
        <v>Awtad Jeddah for General Contracting Company</v>
      </c>
      <c r="M2735" s="1" t="str">
        <f>VLOOKUP(Advices[[#This Row],[LC Number]],'Combine_List'!A:D,3,0)</f>
        <v>MBL</v>
      </c>
      <c r="N2735" s="1" t="str">
        <f>VLOOKUP(Advices[[#This Row],[LC Number]],'Combine_List'!A:D,4,0)</f>
        <v>Rabigh Power Plant</v>
      </c>
      <c r="O2735" s="1"/>
      <c r="P2735" s="1">
        <f>MONTH(Advices[[#This Row],[Transaction Date]])</f>
        <v>6</v>
      </c>
      <c r="Q2735" s="1">
        <f>YEAR(Advices[[#This Row],[Transaction Date]])</f>
        <v>2026</v>
      </c>
      <c r="R2735" s="1"/>
    </row>
    <row r="2736" spans="1:18" x14ac:dyDescent="0.25">
      <c r="A2736" s="264" t="s">
        <v>21</v>
      </c>
      <c r="B2736" s="265">
        <v>46180</v>
      </c>
      <c r="C2736" s="264" t="s">
        <v>1951</v>
      </c>
      <c r="D2736" s="264" t="s">
        <v>4569</v>
      </c>
      <c r="E2736" s="264" t="s">
        <v>1887</v>
      </c>
      <c r="F2736" s="264" t="s">
        <v>5345</v>
      </c>
      <c r="G2736" s="264" t="s">
        <v>26</v>
      </c>
      <c r="H2736" s="368">
        <v>75</v>
      </c>
      <c r="I2736" s="266">
        <v>0</v>
      </c>
      <c r="J2736" s="264" t="s">
        <v>1963</v>
      </c>
      <c r="K2736" s="264" t="s">
        <v>2025</v>
      </c>
      <c r="L2736" s="1" t="str">
        <f>VLOOKUP(Advices[[#This Row],[LC Number]],'Combine_List'!A:D,2,0)</f>
        <v>Future Pipe Industries LLC</v>
      </c>
      <c r="M2736" s="1" t="str">
        <f>VLOOKUP(Advices[[#This Row],[LC Number]],'Combine_List'!A:D,3,0)</f>
        <v>MBL</v>
      </c>
      <c r="N2736" s="1" t="str">
        <f>VLOOKUP(Advices[[#This Row],[LC Number]],'Combine_List'!A:D,4,0)</f>
        <v>Rabigh Power Plant</v>
      </c>
      <c r="O2736" s="1"/>
      <c r="P2736" s="1">
        <f>MONTH(Advices[[#This Row],[Transaction Date]])</f>
        <v>6</v>
      </c>
      <c r="Q2736" s="1">
        <f>YEAR(Advices[[#This Row],[Transaction Date]])</f>
        <v>2026</v>
      </c>
      <c r="R2736" s="1"/>
    </row>
    <row r="2737" spans="1:18" x14ac:dyDescent="0.25">
      <c r="A2737" s="264" t="s">
        <v>21</v>
      </c>
      <c r="B2737" s="265">
        <v>46180</v>
      </c>
      <c r="C2737" s="264" t="s">
        <v>1951</v>
      </c>
      <c r="D2737" s="264" t="s">
        <v>1960</v>
      </c>
      <c r="E2737" s="264" t="s">
        <v>1887</v>
      </c>
      <c r="F2737" s="264" t="s">
        <v>5345</v>
      </c>
      <c r="G2737" s="264" t="s">
        <v>26</v>
      </c>
      <c r="H2737" s="368">
        <v>11.25</v>
      </c>
      <c r="I2737" s="266">
        <v>0</v>
      </c>
      <c r="J2737" s="264" t="s">
        <v>1174</v>
      </c>
      <c r="K2737" s="264" t="s">
        <v>2025</v>
      </c>
      <c r="L2737" s="1" t="str">
        <f>VLOOKUP(Advices[[#This Row],[LC Number]],'Combine_List'!A:D,2,0)</f>
        <v>Future Pipe Industries LLC</v>
      </c>
      <c r="M2737" s="1" t="str">
        <f>VLOOKUP(Advices[[#This Row],[LC Number]],'Combine_List'!A:D,3,0)</f>
        <v>MBL</v>
      </c>
      <c r="N2737" s="1" t="str">
        <f>VLOOKUP(Advices[[#This Row],[LC Number]],'Combine_List'!A:D,4,0)</f>
        <v>Rabigh Power Plant</v>
      </c>
      <c r="O2737" s="1"/>
      <c r="P2737" s="1">
        <f>MONTH(Advices[[#This Row],[Transaction Date]])</f>
        <v>6</v>
      </c>
      <c r="Q2737" s="1">
        <f>YEAR(Advices[[#This Row],[Transaction Date]])</f>
        <v>2026</v>
      </c>
      <c r="R2737" s="1"/>
    </row>
    <row r="2738" spans="1:18" x14ac:dyDescent="0.25">
      <c r="A2738" s="264" t="s">
        <v>21</v>
      </c>
      <c r="B2738" s="265">
        <v>46180</v>
      </c>
      <c r="C2738" s="264" t="s">
        <v>1951</v>
      </c>
      <c r="D2738" s="264" t="s">
        <v>4570</v>
      </c>
      <c r="E2738" s="264" t="s">
        <v>1887</v>
      </c>
      <c r="F2738" s="264" t="s">
        <v>5345</v>
      </c>
      <c r="G2738" s="264" t="s">
        <v>26</v>
      </c>
      <c r="H2738" s="368">
        <v>1018975.83</v>
      </c>
      <c r="I2738" s="266">
        <v>0</v>
      </c>
      <c r="J2738" s="264" t="s">
        <v>1126</v>
      </c>
      <c r="K2738" s="264" t="s">
        <v>2025</v>
      </c>
      <c r="L2738" s="1" t="str">
        <f>VLOOKUP(Advices[[#This Row],[LC Number]],'Combine_List'!A:D,2,0)</f>
        <v>Future Pipe Industries LLC</v>
      </c>
      <c r="M2738" s="1" t="str">
        <f>VLOOKUP(Advices[[#This Row],[LC Number]],'Combine_List'!A:D,3,0)</f>
        <v>MBL</v>
      </c>
      <c r="N2738" s="1" t="str">
        <f>VLOOKUP(Advices[[#This Row],[LC Number]],'Combine_List'!A:D,4,0)</f>
        <v>Rabigh Power Plant</v>
      </c>
      <c r="O2738" s="1"/>
      <c r="P2738" s="1">
        <f>MONTH(Advices[[#This Row],[Transaction Date]])</f>
        <v>6</v>
      </c>
      <c r="Q2738" s="1">
        <f>YEAR(Advices[[#This Row],[Transaction Date]])</f>
        <v>2026</v>
      </c>
      <c r="R2738" s="1"/>
    </row>
    <row r="2739" spans="1:18" x14ac:dyDescent="0.25">
      <c r="A2739" s="264" t="s">
        <v>21</v>
      </c>
      <c r="B2739" s="265">
        <v>46181</v>
      </c>
      <c r="C2739" s="264" t="s">
        <v>1951</v>
      </c>
      <c r="D2739" s="264" t="s">
        <v>4570</v>
      </c>
      <c r="E2739" s="264" t="s">
        <v>1767</v>
      </c>
      <c r="F2739" s="264" t="s">
        <v>5460</v>
      </c>
      <c r="G2739" s="264" t="s">
        <v>26</v>
      </c>
      <c r="H2739" s="368">
        <v>440649.09</v>
      </c>
      <c r="I2739" s="266">
        <v>0</v>
      </c>
      <c r="J2739" s="264" t="s">
        <v>1126</v>
      </c>
      <c r="K2739" s="264" t="s">
        <v>2025</v>
      </c>
      <c r="L2739" s="1" t="str">
        <f>VLOOKUP(Advices[[#This Row],[LC Number]],'Combine_List'!A:D,2,0)</f>
        <v>Al Arabia Construction &amp; Building Co.</v>
      </c>
      <c r="M2739" s="1" t="str">
        <f>VLOOKUP(Advices[[#This Row],[LC Number]],'Combine_List'!A:D,3,0)</f>
        <v>MBL</v>
      </c>
      <c r="N2739" s="1" t="str">
        <f>VLOOKUP(Advices[[#This Row],[LC Number]],'Combine_List'!A:D,4,0)</f>
        <v>Rabigh Power Plant</v>
      </c>
      <c r="O2739" s="1"/>
      <c r="P2739" s="1">
        <f>MONTH(Advices[[#This Row],[Transaction Date]])</f>
        <v>6</v>
      </c>
      <c r="Q2739" s="1">
        <f>YEAR(Advices[[#This Row],[Transaction Date]])</f>
        <v>2026</v>
      </c>
      <c r="R2739" s="1"/>
    </row>
    <row r="2740" spans="1:18" x14ac:dyDescent="0.25">
      <c r="A2740" s="264" t="s">
        <v>21</v>
      </c>
      <c r="B2740" s="265">
        <v>46181</v>
      </c>
      <c r="C2740" s="264" t="s">
        <v>1951</v>
      </c>
      <c r="D2740" s="264" t="s">
        <v>4570</v>
      </c>
      <c r="E2740" s="264" t="s">
        <v>1767</v>
      </c>
      <c r="F2740" s="264" t="s">
        <v>5461</v>
      </c>
      <c r="G2740" s="264" t="s">
        <v>26</v>
      </c>
      <c r="H2740" s="368">
        <v>292378.94</v>
      </c>
      <c r="I2740" s="266">
        <v>0</v>
      </c>
      <c r="J2740" s="264" t="s">
        <v>1126</v>
      </c>
      <c r="K2740" s="264" t="s">
        <v>2025</v>
      </c>
      <c r="L2740" s="1" t="str">
        <f>VLOOKUP(Advices[[#This Row],[LC Number]],'Combine_List'!A:D,2,0)</f>
        <v>Al Arabia Construction &amp; Building Co.</v>
      </c>
      <c r="M2740" s="1" t="str">
        <f>VLOOKUP(Advices[[#This Row],[LC Number]],'Combine_List'!A:D,3,0)</f>
        <v>MBL</v>
      </c>
      <c r="N2740" s="1" t="str">
        <f>VLOOKUP(Advices[[#This Row],[LC Number]],'Combine_List'!A:D,4,0)</f>
        <v>Rabigh Power Plant</v>
      </c>
      <c r="O2740" s="1"/>
      <c r="P2740" s="1">
        <f>MONTH(Advices[[#This Row],[Transaction Date]])</f>
        <v>6</v>
      </c>
      <c r="Q2740" s="1">
        <f>YEAR(Advices[[#This Row],[Transaction Date]])</f>
        <v>2026</v>
      </c>
      <c r="R2740" s="1"/>
    </row>
    <row r="2741" spans="1:18" x14ac:dyDescent="0.25">
      <c r="A2741" s="264" t="s">
        <v>21</v>
      </c>
      <c r="B2741" s="265">
        <v>46181</v>
      </c>
      <c r="C2741" s="264" t="s">
        <v>1951</v>
      </c>
      <c r="D2741" s="264" t="s">
        <v>4572</v>
      </c>
      <c r="E2741" s="264" t="s">
        <v>1767</v>
      </c>
      <c r="F2741" s="264" t="s">
        <v>5461</v>
      </c>
      <c r="G2741" s="264" t="s">
        <v>26</v>
      </c>
      <c r="H2741" s="368">
        <v>1250</v>
      </c>
      <c r="I2741" s="266">
        <v>0</v>
      </c>
      <c r="J2741" s="264" t="s">
        <v>1125</v>
      </c>
      <c r="K2741" s="264" t="s">
        <v>2025</v>
      </c>
      <c r="L2741" s="1" t="str">
        <f>VLOOKUP(Advices[[#This Row],[LC Number]],'Combine_List'!A:D,2,0)</f>
        <v>Al Arabia Construction &amp; Building Co.</v>
      </c>
      <c r="M2741" s="1" t="str">
        <f>VLOOKUP(Advices[[#This Row],[LC Number]],'Combine_List'!A:D,3,0)</f>
        <v>MBL</v>
      </c>
      <c r="N2741" s="1" t="str">
        <f>VLOOKUP(Advices[[#This Row],[LC Number]],'Combine_List'!A:D,4,0)</f>
        <v>Rabigh Power Plant</v>
      </c>
      <c r="O2741" s="1"/>
      <c r="P2741" s="1">
        <f>MONTH(Advices[[#This Row],[Transaction Date]])</f>
        <v>6</v>
      </c>
      <c r="Q2741" s="1">
        <f>YEAR(Advices[[#This Row],[Transaction Date]])</f>
        <v>2026</v>
      </c>
      <c r="R2741" s="1"/>
    </row>
    <row r="2742" spans="1:18" x14ac:dyDescent="0.25">
      <c r="A2742" s="264" t="s">
        <v>21</v>
      </c>
      <c r="B2742" s="265">
        <v>46181</v>
      </c>
      <c r="C2742" s="264" t="s">
        <v>1951</v>
      </c>
      <c r="D2742" s="264" t="s">
        <v>1952</v>
      </c>
      <c r="E2742" s="264" t="s">
        <v>1767</v>
      </c>
      <c r="F2742" s="264" t="s">
        <v>5461</v>
      </c>
      <c r="G2742" s="264" t="s">
        <v>26</v>
      </c>
      <c r="H2742" s="368">
        <v>187.5</v>
      </c>
      <c r="I2742" s="266">
        <v>0</v>
      </c>
      <c r="J2742" s="264" t="s">
        <v>1174</v>
      </c>
      <c r="K2742" s="264" t="s">
        <v>2025</v>
      </c>
      <c r="L2742" s="1" t="str">
        <f>VLOOKUP(Advices[[#This Row],[LC Number]],'Combine_List'!A:D,2,0)</f>
        <v>Al Arabia Construction &amp; Building Co.</v>
      </c>
      <c r="M2742" s="1" t="str">
        <f>VLOOKUP(Advices[[#This Row],[LC Number]],'Combine_List'!A:D,3,0)</f>
        <v>MBL</v>
      </c>
      <c r="N2742" s="1" t="str">
        <f>VLOOKUP(Advices[[#This Row],[LC Number]],'Combine_List'!A:D,4,0)</f>
        <v>Rabigh Power Plant</v>
      </c>
      <c r="O2742" s="1"/>
      <c r="P2742" s="1">
        <f>MONTH(Advices[[#This Row],[Transaction Date]])</f>
        <v>6</v>
      </c>
      <c r="Q2742" s="1">
        <f>YEAR(Advices[[#This Row],[Transaction Date]])</f>
        <v>2026</v>
      </c>
      <c r="R2742" s="1"/>
    </row>
    <row r="2743" spans="1:18" x14ac:dyDescent="0.25">
      <c r="A2743" s="264" t="s">
        <v>21</v>
      </c>
      <c r="B2743" s="265">
        <v>46181</v>
      </c>
      <c r="C2743" s="264" t="s">
        <v>1951</v>
      </c>
      <c r="D2743" s="264" t="s">
        <v>4569</v>
      </c>
      <c r="E2743" s="264" t="s">
        <v>1767</v>
      </c>
      <c r="F2743" s="264" t="s">
        <v>5461</v>
      </c>
      <c r="G2743" s="264" t="s">
        <v>26</v>
      </c>
      <c r="H2743" s="368">
        <v>75</v>
      </c>
      <c r="I2743" s="266">
        <v>0</v>
      </c>
      <c r="J2743" s="264" t="s">
        <v>1963</v>
      </c>
      <c r="K2743" s="264" t="s">
        <v>2025</v>
      </c>
      <c r="L2743" s="1" t="str">
        <f>VLOOKUP(Advices[[#This Row],[LC Number]],'Combine_List'!A:D,2,0)</f>
        <v>Al Arabia Construction &amp; Building Co.</v>
      </c>
      <c r="M2743" s="1" t="str">
        <f>VLOOKUP(Advices[[#This Row],[LC Number]],'Combine_List'!A:D,3,0)</f>
        <v>MBL</v>
      </c>
      <c r="N2743" s="1" t="str">
        <f>VLOOKUP(Advices[[#This Row],[LC Number]],'Combine_List'!A:D,4,0)</f>
        <v>Rabigh Power Plant</v>
      </c>
      <c r="O2743" s="1"/>
      <c r="P2743" s="1">
        <f>MONTH(Advices[[#This Row],[Transaction Date]])</f>
        <v>6</v>
      </c>
      <c r="Q2743" s="1">
        <f>YEAR(Advices[[#This Row],[Transaction Date]])</f>
        <v>2026</v>
      </c>
      <c r="R2743" s="1"/>
    </row>
    <row r="2744" spans="1:18" x14ac:dyDescent="0.25">
      <c r="A2744" s="264" t="s">
        <v>21</v>
      </c>
      <c r="B2744" s="265">
        <v>46181</v>
      </c>
      <c r="C2744" s="264" t="s">
        <v>1951</v>
      </c>
      <c r="D2744" s="264" t="s">
        <v>1960</v>
      </c>
      <c r="E2744" s="264" t="s">
        <v>1767</v>
      </c>
      <c r="F2744" s="264" t="s">
        <v>5461</v>
      </c>
      <c r="G2744" s="264" t="s">
        <v>26</v>
      </c>
      <c r="H2744" s="368">
        <v>11.25</v>
      </c>
      <c r="I2744" s="266">
        <v>0</v>
      </c>
      <c r="J2744" s="264" t="s">
        <v>1174</v>
      </c>
      <c r="K2744" s="264" t="s">
        <v>2025</v>
      </c>
      <c r="L2744" s="1" t="str">
        <f>VLOOKUP(Advices[[#This Row],[LC Number]],'Combine_List'!A:D,2,0)</f>
        <v>Al Arabia Construction &amp; Building Co.</v>
      </c>
      <c r="M2744" s="1" t="str">
        <f>VLOOKUP(Advices[[#This Row],[LC Number]],'Combine_List'!A:D,3,0)</f>
        <v>MBL</v>
      </c>
      <c r="N2744" s="1" t="str">
        <f>VLOOKUP(Advices[[#This Row],[LC Number]],'Combine_List'!A:D,4,0)</f>
        <v>Rabigh Power Plant</v>
      </c>
      <c r="O2744" s="1"/>
      <c r="P2744" s="1">
        <f>MONTH(Advices[[#This Row],[Transaction Date]])</f>
        <v>6</v>
      </c>
      <c r="Q2744" s="1">
        <f>YEAR(Advices[[#This Row],[Transaction Date]])</f>
        <v>2026</v>
      </c>
      <c r="R2744" s="1"/>
    </row>
    <row r="2745" spans="1:18" x14ac:dyDescent="0.25">
      <c r="A2745" s="264" t="s">
        <v>21</v>
      </c>
      <c r="B2745" s="265">
        <v>46181</v>
      </c>
      <c r="C2745" s="264" t="s">
        <v>1951</v>
      </c>
      <c r="D2745" s="264" t="s">
        <v>4572</v>
      </c>
      <c r="E2745" s="264" t="s">
        <v>1767</v>
      </c>
      <c r="F2745" s="264" t="s">
        <v>5460</v>
      </c>
      <c r="G2745" s="264" t="s">
        <v>26</v>
      </c>
      <c r="H2745" s="368">
        <v>1250</v>
      </c>
      <c r="I2745" s="266">
        <v>0</v>
      </c>
      <c r="J2745" s="264" t="s">
        <v>1125</v>
      </c>
      <c r="K2745" s="264" t="s">
        <v>2025</v>
      </c>
      <c r="L2745" s="1" t="str">
        <f>VLOOKUP(Advices[[#This Row],[LC Number]],'Combine_List'!A:D,2,0)</f>
        <v>Al Arabia Construction &amp; Building Co.</v>
      </c>
      <c r="M2745" s="1" t="str">
        <f>VLOOKUP(Advices[[#This Row],[LC Number]],'Combine_List'!A:D,3,0)</f>
        <v>MBL</v>
      </c>
      <c r="N2745" s="1" t="str">
        <f>VLOOKUP(Advices[[#This Row],[LC Number]],'Combine_List'!A:D,4,0)</f>
        <v>Rabigh Power Plant</v>
      </c>
      <c r="O2745" s="1"/>
      <c r="P2745" s="1">
        <f>MONTH(Advices[[#This Row],[Transaction Date]])</f>
        <v>6</v>
      </c>
      <c r="Q2745" s="1">
        <f>YEAR(Advices[[#This Row],[Transaction Date]])</f>
        <v>2026</v>
      </c>
      <c r="R2745" s="1"/>
    </row>
    <row r="2746" spans="1:18" x14ac:dyDescent="0.25">
      <c r="A2746" s="264" t="s">
        <v>21</v>
      </c>
      <c r="B2746" s="265">
        <v>46181</v>
      </c>
      <c r="C2746" s="264" t="s">
        <v>1951</v>
      </c>
      <c r="D2746" s="264" t="s">
        <v>1952</v>
      </c>
      <c r="E2746" s="264" t="s">
        <v>1767</v>
      </c>
      <c r="F2746" s="264" t="s">
        <v>5462</v>
      </c>
      <c r="G2746" s="264" t="s">
        <v>26</v>
      </c>
      <c r="H2746" s="368">
        <v>187.5</v>
      </c>
      <c r="I2746" s="266">
        <v>0</v>
      </c>
      <c r="J2746" s="264" t="s">
        <v>1174</v>
      </c>
      <c r="K2746" s="264" t="s">
        <v>2025</v>
      </c>
      <c r="L2746" s="1" t="str">
        <f>VLOOKUP(Advices[[#This Row],[LC Number]],'Combine_List'!A:D,2,0)</f>
        <v>Al Arabia Construction &amp; Building Co.</v>
      </c>
      <c r="M2746" s="1" t="str">
        <f>VLOOKUP(Advices[[#This Row],[LC Number]],'Combine_List'!A:D,3,0)</f>
        <v>MBL</v>
      </c>
      <c r="N2746" s="1" t="str">
        <f>VLOOKUP(Advices[[#This Row],[LC Number]],'Combine_List'!A:D,4,0)</f>
        <v>Rabigh Power Plant</v>
      </c>
      <c r="O2746" s="1"/>
      <c r="P2746" s="1">
        <f>MONTH(Advices[[#This Row],[Transaction Date]])</f>
        <v>6</v>
      </c>
      <c r="Q2746" s="1">
        <f>YEAR(Advices[[#This Row],[Transaction Date]])</f>
        <v>2026</v>
      </c>
      <c r="R2746" s="1"/>
    </row>
    <row r="2747" spans="1:18" x14ac:dyDescent="0.25">
      <c r="A2747" s="264" t="s">
        <v>21</v>
      </c>
      <c r="B2747" s="265">
        <v>46181</v>
      </c>
      <c r="C2747" s="264" t="s">
        <v>1951</v>
      </c>
      <c r="D2747" s="264" t="s">
        <v>4569</v>
      </c>
      <c r="E2747" s="264" t="s">
        <v>1767</v>
      </c>
      <c r="F2747" s="264" t="s">
        <v>5460</v>
      </c>
      <c r="G2747" s="264" t="s">
        <v>26</v>
      </c>
      <c r="H2747" s="368">
        <v>75</v>
      </c>
      <c r="I2747" s="266">
        <v>0</v>
      </c>
      <c r="J2747" s="264" t="s">
        <v>1963</v>
      </c>
      <c r="K2747" s="264" t="s">
        <v>2025</v>
      </c>
      <c r="L2747" s="1" t="str">
        <f>VLOOKUP(Advices[[#This Row],[LC Number]],'Combine_List'!A:D,2,0)</f>
        <v>Al Arabia Construction &amp; Building Co.</v>
      </c>
      <c r="M2747" s="1" t="str">
        <f>VLOOKUP(Advices[[#This Row],[LC Number]],'Combine_List'!A:D,3,0)</f>
        <v>MBL</v>
      </c>
      <c r="N2747" s="1" t="str">
        <f>VLOOKUP(Advices[[#This Row],[LC Number]],'Combine_List'!A:D,4,0)</f>
        <v>Rabigh Power Plant</v>
      </c>
      <c r="O2747" s="1"/>
      <c r="P2747" s="1">
        <f>MONTH(Advices[[#This Row],[Transaction Date]])</f>
        <v>6</v>
      </c>
      <c r="Q2747" s="1">
        <f>YEAR(Advices[[#This Row],[Transaction Date]])</f>
        <v>2026</v>
      </c>
      <c r="R2747" s="1"/>
    </row>
    <row r="2748" spans="1:18" x14ac:dyDescent="0.25">
      <c r="A2748" s="264" t="s">
        <v>21</v>
      </c>
      <c r="B2748" s="265">
        <v>46181</v>
      </c>
      <c r="C2748" s="264" t="s">
        <v>1951</v>
      </c>
      <c r="D2748" s="264" t="s">
        <v>1960</v>
      </c>
      <c r="E2748" s="264" t="s">
        <v>1767</v>
      </c>
      <c r="F2748" s="264" t="s">
        <v>5460</v>
      </c>
      <c r="G2748" s="264" t="s">
        <v>26</v>
      </c>
      <c r="H2748" s="368">
        <v>11.25</v>
      </c>
      <c r="I2748" s="266">
        <v>0</v>
      </c>
      <c r="J2748" s="264" t="s">
        <v>1174</v>
      </c>
      <c r="K2748" s="264" t="s">
        <v>2025</v>
      </c>
      <c r="L2748" s="1" t="str">
        <f>VLOOKUP(Advices[[#This Row],[LC Number]],'Combine_List'!A:D,2,0)</f>
        <v>Al Arabia Construction &amp; Building Co.</v>
      </c>
      <c r="M2748" s="1" t="str">
        <f>VLOOKUP(Advices[[#This Row],[LC Number]],'Combine_List'!A:D,3,0)</f>
        <v>MBL</v>
      </c>
      <c r="N2748" s="1" t="str">
        <f>VLOOKUP(Advices[[#This Row],[LC Number]],'Combine_List'!A:D,4,0)</f>
        <v>Rabigh Power Plant</v>
      </c>
      <c r="O2748" s="1"/>
      <c r="P2748" s="1">
        <f>MONTH(Advices[[#This Row],[Transaction Date]])</f>
        <v>6</v>
      </c>
      <c r="Q2748" s="1">
        <f>YEAR(Advices[[#This Row],[Transaction Date]])</f>
        <v>2026</v>
      </c>
      <c r="R2748" s="1"/>
    </row>
    <row r="2749" spans="1:18" x14ac:dyDescent="0.25">
      <c r="A2749" s="264" t="s">
        <v>21</v>
      </c>
      <c r="B2749" s="265">
        <v>46181</v>
      </c>
      <c r="C2749" s="264" t="s">
        <v>1951</v>
      </c>
      <c r="D2749" s="264" t="s">
        <v>4570</v>
      </c>
      <c r="E2749" s="264" t="s">
        <v>1767</v>
      </c>
      <c r="F2749" s="264" t="s">
        <v>5462</v>
      </c>
      <c r="G2749" s="264" t="s">
        <v>26</v>
      </c>
      <c r="H2749" s="368">
        <v>85138.27</v>
      </c>
      <c r="I2749" s="266">
        <v>0</v>
      </c>
      <c r="J2749" s="264" t="s">
        <v>1126</v>
      </c>
      <c r="K2749" s="264" t="s">
        <v>2025</v>
      </c>
      <c r="L2749" s="1" t="str">
        <f>VLOOKUP(Advices[[#This Row],[LC Number]],'Combine_List'!A:D,2,0)</f>
        <v>Al Arabia Construction &amp; Building Co.</v>
      </c>
      <c r="M2749" s="1" t="str">
        <f>VLOOKUP(Advices[[#This Row],[LC Number]],'Combine_List'!A:D,3,0)</f>
        <v>MBL</v>
      </c>
      <c r="N2749" s="1" t="str">
        <f>VLOOKUP(Advices[[#This Row],[LC Number]],'Combine_List'!A:D,4,0)</f>
        <v>Rabigh Power Plant</v>
      </c>
      <c r="O2749" s="1"/>
      <c r="P2749" s="1">
        <f>MONTH(Advices[[#This Row],[Transaction Date]])</f>
        <v>6</v>
      </c>
      <c r="Q2749" s="1">
        <f>YEAR(Advices[[#This Row],[Transaction Date]])</f>
        <v>2026</v>
      </c>
      <c r="R2749" s="1"/>
    </row>
    <row r="2750" spans="1:18" x14ac:dyDescent="0.25">
      <c r="A2750" s="264" t="s">
        <v>21</v>
      </c>
      <c r="B2750" s="265">
        <v>46181</v>
      </c>
      <c r="C2750" s="264" t="s">
        <v>1951</v>
      </c>
      <c r="D2750" s="264" t="s">
        <v>4572</v>
      </c>
      <c r="E2750" s="264" t="s">
        <v>1767</v>
      </c>
      <c r="F2750" s="264" t="s">
        <v>5462</v>
      </c>
      <c r="G2750" s="264" t="s">
        <v>26</v>
      </c>
      <c r="H2750" s="368">
        <v>1250</v>
      </c>
      <c r="I2750" s="266">
        <v>0</v>
      </c>
      <c r="J2750" s="264" t="s">
        <v>1125</v>
      </c>
      <c r="K2750" s="264" t="s">
        <v>2025</v>
      </c>
      <c r="L2750" s="1" t="str">
        <f>VLOOKUP(Advices[[#This Row],[LC Number]],'Combine_List'!A:D,2,0)</f>
        <v>Al Arabia Construction &amp; Building Co.</v>
      </c>
      <c r="M2750" s="1" t="str">
        <f>VLOOKUP(Advices[[#This Row],[LC Number]],'Combine_List'!A:D,3,0)</f>
        <v>MBL</v>
      </c>
      <c r="N2750" s="1" t="str">
        <f>VLOOKUP(Advices[[#This Row],[LC Number]],'Combine_List'!A:D,4,0)</f>
        <v>Rabigh Power Plant</v>
      </c>
      <c r="O2750" s="1"/>
      <c r="P2750" s="1">
        <f>MONTH(Advices[[#This Row],[Transaction Date]])</f>
        <v>6</v>
      </c>
      <c r="Q2750" s="1">
        <f>YEAR(Advices[[#This Row],[Transaction Date]])</f>
        <v>2026</v>
      </c>
      <c r="R2750" s="1"/>
    </row>
    <row r="2751" spans="1:18" x14ac:dyDescent="0.25">
      <c r="A2751" s="264" t="s">
        <v>21</v>
      </c>
      <c r="B2751" s="265">
        <v>46181</v>
      </c>
      <c r="C2751" s="264" t="s">
        <v>1951</v>
      </c>
      <c r="D2751" s="264" t="s">
        <v>3305</v>
      </c>
      <c r="E2751" s="264" t="s">
        <v>4737</v>
      </c>
      <c r="F2751" s="264" t="s">
        <v>5463</v>
      </c>
      <c r="G2751" s="264" t="s">
        <v>26</v>
      </c>
      <c r="H2751" s="368">
        <v>750</v>
      </c>
      <c r="I2751" s="266">
        <v>0</v>
      </c>
      <c r="J2751" s="264" t="s">
        <v>1174</v>
      </c>
      <c r="K2751" s="264" t="s">
        <v>2025</v>
      </c>
      <c r="L2751" s="1" t="str">
        <f>VLOOKUP(Advices[[#This Row],[LC Number]],'Combine_List'!A:D,2,0)</f>
        <v>Innovative Specialized Security Solution</v>
      </c>
      <c r="M2751" s="1" t="str">
        <f>VLOOKUP(Advices[[#This Row],[LC Number]],'Combine_List'!A:D,3,0)</f>
        <v>ICAD</v>
      </c>
      <c r="N2751" s="1" t="str">
        <f>VLOOKUP(Advices[[#This Row],[LC Number]],'Combine_List'!A:D,4,0)</f>
        <v>ADF</v>
      </c>
      <c r="O2751" s="1"/>
      <c r="P2751" s="1">
        <f>MONTH(Advices[[#This Row],[Transaction Date]])</f>
        <v>6</v>
      </c>
      <c r="Q2751" s="1">
        <f>YEAR(Advices[[#This Row],[Transaction Date]])</f>
        <v>2026</v>
      </c>
      <c r="R2751" s="1"/>
    </row>
    <row r="2752" spans="1:18" x14ac:dyDescent="0.25">
      <c r="A2752" s="264" t="s">
        <v>21</v>
      </c>
      <c r="B2752" s="265">
        <v>46181</v>
      </c>
      <c r="C2752" s="264" t="s">
        <v>1951</v>
      </c>
      <c r="D2752" s="264" t="s">
        <v>4569</v>
      </c>
      <c r="E2752" s="264" t="s">
        <v>1767</v>
      </c>
      <c r="F2752" s="264" t="s">
        <v>5462</v>
      </c>
      <c r="G2752" s="264" t="s">
        <v>26</v>
      </c>
      <c r="H2752" s="368">
        <v>75</v>
      </c>
      <c r="I2752" s="266">
        <v>0</v>
      </c>
      <c r="J2752" s="264" t="s">
        <v>1963</v>
      </c>
      <c r="K2752" s="264" t="s">
        <v>2025</v>
      </c>
      <c r="L2752" s="1" t="str">
        <f>VLOOKUP(Advices[[#This Row],[LC Number]],'Combine_List'!A:D,2,0)</f>
        <v>Al Arabia Construction &amp; Building Co.</v>
      </c>
      <c r="M2752" s="1" t="str">
        <f>VLOOKUP(Advices[[#This Row],[LC Number]],'Combine_List'!A:D,3,0)</f>
        <v>MBL</v>
      </c>
      <c r="N2752" s="1" t="str">
        <f>VLOOKUP(Advices[[#This Row],[LC Number]],'Combine_List'!A:D,4,0)</f>
        <v>Rabigh Power Plant</v>
      </c>
      <c r="O2752" s="1"/>
      <c r="P2752" s="1">
        <f>MONTH(Advices[[#This Row],[Transaction Date]])</f>
        <v>6</v>
      </c>
      <c r="Q2752" s="1">
        <f>YEAR(Advices[[#This Row],[Transaction Date]])</f>
        <v>2026</v>
      </c>
      <c r="R2752" s="1"/>
    </row>
    <row r="2753" spans="1:18" x14ac:dyDescent="0.25">
      <c r="A2753" s="264" t="s">
        <v>21</v>
      </c>
      <c r="B2753" s="265">
        <v>46181</v>
      </c>
      <c r="C2753" s="264" t="s">
        <v>1951</v>
      </c>
      <c r="D2753" s="264" t="s">
        <v>1960</v>
      </c>
      <c r="E2753" s="264" t="s">
        <v>1767</v>
      </c>
      <c r="F2753" s="264" t="s">
        <v>5462</v>
      </c>
      <c r="G2753" s="264" t="s">
        <v>26</v>
      </c>
      <c r="H2753" s="368">
        <v>11.25</v>
      </c>
      <c r="I2753" s="266">
        <v>0</v>
      </c>
      <c r="J2753" s="264" t="s">
        <v>1174</v>
      </c>
      <c r="K2753" s="264" t="s">
        <v>2025</v>
      </c>
      <c r="L2753" s="1" t="str">
        <f>VLOOKUP(Advices[[#This Row],[LC Number]],'Combine_List'!A:D,2,0)</f>
        <v>Al Arabia Construction &amp; Building Co.</v>
      </c>
      <c r="M2753" s="1" t="str">
        <f>VLOOKUP(Advices[[#This Row],[LC Number]],'Combine_List'!A:D,3,0)</f>
        <v>MBL</v>
      </c>
      <c r="N2753" s="1" t="str">
        <f>VLOOKUP(Advices[[#This Row],[LC Number]],'Combine_List'!A:D,4,0)</f>
        <v>Rabigh Power Plant</v>
      </c>
      <c r="O2753" s="1"/>
      <c r="P2753" s="1">
        <f>MONTH(Advices[[#This Row],[Transaction Date]])</f>
        <v>6</v>
      </c>
      <c r="Q2753" s="1">
        <f>YEAR(Advices[[#This Row],[Transaction Date]])</f>
        <v>2026</v>
      </c>
      <c r="R2753" s="1"/>
    </row>
    <row r="2754" spans="1:18" x14ac:dyDescent="0.25">
      <c r="A2754" s="264" t="s">
        <v>21</v>
      </c>
      <c r="B2754" s="265">
        <v>46181</v>
      </c>
      <c r="C2754" s="264" t="s">
        <v>1951</v>
      </c>
      <c r="D2754" s="264" t="s">
        <v>1952</v>
      </c>
      <c r="E2754" s="264" t="s">
        <v>1767</v>
      </c>
      <c r="F2754" s="264" t="s">
        <v>5460</v>
      </c>
      <c r="G2754" s="264" t="s">
        <v>26</v>
      </c>
      <c r="H2754" s="368">
        <v>187.5</v>
      </c>
      <c r="I2754" s="266">
        <v>0</v>
      </c>
      <c r="J2754" s="264" t="s">
        <v>1174</v>
      </c>
      <c r="K2754" s="264" t="s">
        <v>2025</v>
      </c>
      <c r="L2754" s="1" t="str">
        <f>VLOOKUP(Advices[[#This Row],[LC Number]],'Combine_List'!A:D,2,0)</f>
        <v>Al Arabia Construction &amp; Building Co.</v>
      </c>
      <c r="M2754" s="1" t="str">
        <f>VLOOKUP(Advices[[#This Row],[LC Number]],'Combine_List'!A:D,3,0)</f>
        <v>MBL</v>
      </c>
      <c r="N2754" s="1" t="str">
        <f>VLOOKUP(Advices[[#This Row],[LC Number]],'Combine_List'!A:D,4,0)</f>
        <v>Rabigh Power Plant</v>
      </c>
      <c r="O2754" s="1"/>
      <c r="P2754" s="1">
        <f>MONTH(Advices[[#This Row],[Transaction Date]])</f>
        <v>6</v>
      </c>
      <c r="Q2754" s="1">
        <f>YEAR(Advices[[#This Row],[Transaction Date]])</f>
        <v>2026</v>
      </c>
      <c r="R2754" s="1"/>
    </row>
    <row r="2755" spans="1:18" x14ac:dyDescent="0.25">
      <c r="A2755" s="264" t="s">
        <v>21</v>
      </c>
      <c r="B2755" s="265">
        <v>46181</v>
      </c>
      <c r="C2755" s="264" t="s">
        <v>1951</v>
      </c>
      <c r="D2755" s="264" t="s">
        <v>4572</v>
      </c>
      <c r="E2755" s="264" t="s">
        <v>4737</v>
      </c>
      <c r="F2755" s="264" t="s">
        <v>5463</v>
      </c>
      <c r="G2755" s="264" t="s">
        <v>26</v>
      </c>
      <c r="H2755" s="368">
        <v>5000</v>
      </c>
      <c r="I2755" s="266">
        <v>0</v>
      </c>
      <c r="J2755" s="264" t="s">
        <v>1125</v>
      </c>
      <c r="K2755" s="264" t="s">
        <v>2025</v>
      </c>
      <c r="L2755" s="264" t="str">
        <f>VLOOKUP(Advices[[#This Row],[LC Number]],'Combine_List'!A:D,2,0)</f>
        <v>Innovative Specialized Security Solution</v>
      </c>
      <c r="M2755" s="264" t="str">
        <f>VLOOKUP(Advices[[#This Row],[LC Number]],'Combine_List'!A:D,3,0)</f>
        <v>ICAD</v>
      </c>
      <c r="N2755" s="264" t="str">
        <f>VLOOKUP(Advices[[#This Row],[LC Number]],'Combine_List'!A:D,4,0)</f>
        <v>ADF</v>
      </c>
      <c r="O2755" s="264"/>
      <c r="P2755" s="264">
        <f>MONTH(Advices[[#This Row],[Transaction Date]])</f>
        <v>6</v>
      </c>
      <c r="Q2755" s="264">
        <f>YEAR(Advices[[#This Row],[Transaction Date]])</f>
        <v>2026</v>
      </c>
      <c r="R2755" s="264"/>
    </row>
    <row r="2756" spans="1:18" hidden="1" x14ac:dyDescent="0.25">
      <c r="A2756" s="264" t="s">
        <v>62</v>
      </c>
      <c r="B2756" s="265">
        <v>46176</v>
      </c>
      <c r="C2756" s="264" t="s">
        <v>2039</v>
      </c>
      <c r="D2756" s="264" t="s">
        <v>5464</v>
      </c>
      <c r="E2756" s="264" t="s">
        <v>3952</v>
      </c>
      <c r="F2756" s="264" t="s">
        <v>2041</v>
      </c>
      <c r="G2756" s="264" t="s">
        <v>26</v>
      </c>
      <c r="H2756" s="368">
        <v>500000</v>
      </c>
      <c r="I2756" s="266">
        <v>0</v>
      </c>
      <c r="J2756" s="264" t="s">
        <v>1126</v>
      </c>
      <c r="K2756" s="264" t="s">
        <v>2025</v>
      </c>
      <c r="L2756" s="1" t="str">
        <f>VLOOKUP(Advices[[#This Row],[LC Number]],'Combine_List'!A:D,2,0)</f>
        <v>Ideal Caliber Company</v>
      </c>
      <c r="M2756" s="1" t="str">
        <f>VLOOKUP(Advices[[#This Row],[LC Number]],'Combine_List'!A:D,3,0)</f>
        <v>FIRST FIX</v>
      </c>
      <c r="N2756" s="1" t="str">
        <f>VLOOKUP(Advices[[#This Row],[LC Number]],'Combine_List'!A:D,4,0)</f>
        <v>Oceanarium</v>
      </c>
      <c r="O2756" s="1"/>
      <c r="P2756" s="1">
        <f>MONTH(Advices[[#This Row],[Transaction Date]])</f>
        <v>6</v>
      </c>
      <c r="Q2756" s="1">
        <f>YEAR(Advices[[#This Row],[Transaction Date]])</f>
        <v>2026</v>
      </c>
      <c r="R2756" s="1"/>
    </row>
    <row r="2757" spans="1:18" hidden="1" x14ac:dyDescent="0.25">
      <c r="A2757" s="264" t="s">
        <v>62</v>
      </c>
      <c r="B2757" s="265">
        <v>46176</v>
      </c>
      <c r="C2757" s="264" t="s">
        <v>2039</v>
      </c>
      <c r="D2757" s="264" t="s">
        <v>5465</v>
      </c>
      <c r="E2757" s="264" t="s">
        <v>3955</v>
      </c>
      <c r="F2757" s="264" t="s">
        <v>2041</v>
      </c>
      <c r="G2757" s="264" t="s">
        <v>26</v>
      </c>
      <c r="H2757" s="368">
        <v>500000</v>
      </c>
      <c r="I2757" s="266">
        <v>0</v>
      </c>
      <c r="J2757" s="264" t="s">
        <v>1126</v>
      </c>
      <c r="K2757" s="264" t="s">
        <v>2025</v>
      </c>
      <c r="L2757" s="1" t="str">
        <f>VLOOKUP(Advices[[#This Row],[LC Number]],'Combine_List'!A:D,2,0)</f>
        <v>Riyadh Unity for Trading</v>
      </c>
      <c r="M2757" s="1" t="str">
        <f>VLOOKUP(Advices[[#This Row],[LC Number]],'Combine_List'!A:D,3,0)</f>
        <v>FIRST FIX</v>
      </c>
      <c r="N2757" s="1" t="str">
        <f>VLOOKUP(Advices[[#This Row],[LC Number]],'Combine_List'!A:D,4,0)</f>
        <v>Oceanarium</v>
      </c>
      <c r="O2757" s="1"/>
      <c r="P2757" s="1">
        <f>MONTH(Advices[[#This Row],[Transaction Date]])</f>
        <v>6</v>
      </c>
      <c r="Q2757" s="1">
        <f>YEAR(Advices[[#This Row],[Transaction Date]])</f>
        <v>2026</v>
      </c>
      <c r="R2757" s="1"/>
    </row>
    <row r="2758" spans="1:18" hidden="1" x14ac:dyDescent="0.25">
      <c r="A2758" s="264" t="s">
        <v>62</v>
      </c>
      <c r="B2758" s="265">
        <v>46176</v>
      </c>
      <c r="C2758" s="264" t="s">
        <v>2039</v>
      </c>
      <c r="D2758" s="264" t="s">
        <v>5466</v>
      </c>
      <c r="E2758" s="264" t="s">
        <v>3948</v>
      </c>
      <c r="F2758" s="264" t="s">
        <v>2041</v>
      </c>
      <c r="G2758" s="264" t="s">
        <v>26</v>
      </c>
      <c r="H2758" s="368">
        <v>500000</v>
      </c>
      <c r="I2758" s="266">
        <v>0</v>
      </c>
      <c r="J2758" s="264" t="s">
        <v>1126</v>
      </c>
      <c r="K2758" s="264" t="s">
        <v>2025</v>
      </c>
      <c r="L2758" s="1" t="str">
        <f>VLOOKUP(Advices[[#This Row],[LC Number]],'Combine_List'!A:D,2,0)</f>
        <v>Electric House Trading Company L.L.C.</v>
      </c>
      <c r="M2758" s="1" t="str">
        <f>VLOOKUP(Advices[[#This Row],[LC Number]],'Combine_List'!A:D,3,0)</f>
        <v>FIRST FIX</v>
      </c>
      <c r="N2758" s="1" t="str">
        <f>VLOOKUP(Advices[[#This Row],[LC Number]],'Combine_List'!A:D,4,0)</f>
        <v>Oceanarium</v>
      </c>
      <c r="O2758" s="1"/>
      <c r="P2758" s="1">
        <f>MONTH(Advices[[#This Row],[Transaction Date]])</f>
        <v>6</v>
      </c>
      <c r="Q2758" s="1">
        <f>YEAR(Advices[[#This Row],[Transaction Date]])</f>
        <v>2026</v>
      </c>
      <c r="R2758" s="1"/>
    </row>
    <row r="2759" spans="1:18" hidden="1" x14ac:dyDescent="0.25">
      <c r="A2759" s="264" t="s">
        <v>62</v>
      </c>
      <c r="B2759" s="265">
        <v>46176</v>
      </c>
      <c r="C2759" s="264" t="s">
        <v>2039</v>
      </c>
      <c r="D2759" s="264" t="s">
        <v>5467</v>
      </c>
      <c r="E2759" s="264" t="s">
        <v>3953</v>
      </c>
      <c r="F2759" s="264" t="s">
        <v>2041</v>
      </c>
      <c r="G2759" s="264" t="s">
        <v>26</v>
      </c>
      <c r="H2759" s="368">
        <v>500000</v>
      </c>
      <c r="I2759" s="266">
        <v>0</v>
      </c>
      <c r="J2759" s="264" t="s">
        <v>1126</v>
      </c>
      <c r="K2759" s="264" t="s">
        <v>2025</v>
      </c>
      <c r="L2759" s="1" t="str">
        <f>VLOOKUP(Advices[[#This Row],[LC Number]],'Combine_List'!A:D,2,0)</f>
        <v>Electro Mechanical Supplies</v>
      </c>
      <c r="M2759" s="1" t="str">
        <f>VLOOKUP(Advices[[#This Row],[LC Number]],'Combine_List'!A:D,3,0)</f>
        <v>FIRST FIX</v>
      </c>
      <c r="N2759" s="1" t="str">
        <f>VLOOKUP(Advices[[#This Row],[LC Number]],'Combine_List'!A:D,4,0)</f>
        <v>Oceanarium</v>
      </c>
      <c r="O2759" s="1"/>
      <c r="P2759" s="1">
        <f>MONTH(Advices[[#This Row],[Transaction Date]])</f>
        <v>6</v>
      </c>
      <c r="Q2759" s="1">
        <f>YEAR(Advices[[#This Row],[Transaction Date]])</f>
        <v>2026</v>
      </c>
      <c r="R2759" s="1"/>
    </row>
    <row r="2760" spans="1:18" hidden="1" x14ac:dyDescent="0.25">
      <c r="A2760" s="264" t="s">
        <v>62</v>
      </c>
      <c r="B2760" s="265">
        <v>46176</v>
      </c>
      <c r="C2760" s="264" t="s">
        <v>2039</v>
      </c>
      <c r="D2760" s="264" t="s">
        <v>5468</v>
      </c>
      <c r="E2760" s="264" t="s">
        <v>3954</v>
      </c>
      <c r="F2760" s="264" t="s">
        <v>2041</v>
      </c>
      <c r="G2760" s="264" t="s">
        <v>26</v>
      </c>
      <c r="H2760" s="368">
        <v>500000</v>
      </c>
      <c r="I2760" s="266">
        <v>0</v>
      </c>
      <c r="J2760" s="264" t="s">
        <v>1126</v>
      </c>
      <c r="K2760" s="264" t="s">
        <v>2025</v>
      </c>
      <c r="L2760" s="1" t="str">
        <f>VLOOKUP(Advices[[#This Row],[LC Number]],'Combine_List'!A:D,2,0)</f>
        <v>Mahmoud Altaheni And His Partners Trading Company</v>
      </c>
      <c r="M2760" s="1" t="str">
        <f>VLOOKUP(Advices[[#This Row],[LC Number]],'Combine_List'!A:D,3,0)</f>
        <v>FIRST FIX</v>
      </c>
      <c r="N2760" s="1" t="str">
        <f>VLOOKUP(Advices[[#This Row],[LC Number]],'Combine_List'!A:D,4,0)</f>
        <v>Oceanarium</v>
      </c>
      <c r="O2760" s="1"/>
      <c r="P2760" s="1">
        <f>MONTH(Advices[[#This Row],[Transaction Date]])</f>
        <v>6</v>
      </c>
      <c r="Q2760" s="1">
        <f>YEAR(Advices[[#This Row],[Transaction Date]])</f>
        <v>2026</v>
      </c>
      <c r="R2760" s="1"/>
    </row>
    <row r="2761" spans="1:18" hidden="1" x14ac:dyDescent="0.25">
      <c r="A2761" s="264" t="s">
        <v>62</v>
      </c>
      <c r="B2761" s="265">
        <v>46176</v>
      </c>
      <c r="C2761" s="264" t="s">
        <v>2039</v>
      </c>
      <c r="D2761" s="264" t="s">
        <v>5469</v>
      </c>
      <c r="E2761" s="264" t="s">
        <v>3320</v>
      </c>
      <c r="F2761" s="264" t="s">
        <v>2041</v>
      </c>
      <c r="G2761" s="264" t="s">
        <v>26</v>
      </c>
      <c r="H2761" s="368">
        <v>326709.94</v>
      </c>
      <c r="I2761" s="266">
        <v>0</v>
      </c>
      <c r="J2761" s="264" t="s">
        <v>1126</v>
      </c>
      <c r="K2761" s="264" t="s">
        <v>2025</v>
      </c>
      <c r="L2761" s="1" t="str">
        <f>VLOOKUP(Advices[[#This Row],[LC Number]],'Combine_List'!A:D,2,0)</f>
        <v>Riyadh Unity for Trading</v>
      </c>
      <c r="M2761" s="1" t="str">
        <f>VLOOKUP(Advices[[#This Row],[LC Number]],'Combine_List'!A:D,3,0)</f>
        <v>FIRST FIX</v>
      </c>
      <c r="N2761" s="1" t="str">
        <f>VLOOKUP(Advices[[#This Row],[LC Number]],'Combine_List'!A:D,4,0)</f>
        <v>Oceanarium</v>
      </c>
      <c r="O2761" s="1"/>
      <c r="P2761" s="1">
        <f>MONTH(Advices[[#This Row],[Transaction Date]])</f>
        <v>6</v>
      </c>
      <c r="Q2761" s="1">
        <f>YEAR(Advices[[#This Row],[Transaction Date]])</f>
        <v>2026</v>
      </c>
      <c r="R2761" s="1"/>
    </row>
    <row r="2762" spans="1:18" hidden="1" x14ac:dyDescent="0.25">
      <c r="A2762" s="264" t="s">
        <v>62</v>
      </c>
      <c r="B2762" s="265">
        <v>46176</v>
      </c>
      <c r="C2762" s="264" t="s">
        <v>2055</v>
      </c>
      <c r="D2762" s="264" t="s">
        <v>5470</v>
      </c>
      <c r="E2762" s="264" t="s">
        <v>1834</v>
      </c>
      <c r="F2762" s="264" t="s">
        <v>2041</v>
      </c>
      <c r="G2762" s="264" t="s">
        <v>78</v>
      </c>
      <c r="H2762" s="368">
        <v>227656</v>
      </c>
      <c r="I2762" s="266">
        <v>0</v>
      </c>
      <c r="J2762" s="264" t="s">
        <v>1125</v>
      </c>
      <c r="K2762" s="264" t="s">
        <v>2025</v>
      </c>
      <c r="L2762" s="1" t="str">
        <f>VLOOKUP(Advices[[#This Row],[LC Number]],'Combine_List'!A:D,2,0)</f>
        <v>Jiangsu Donchamp New Materials Technology Co.Ltd.</v>
      </c>
      <c r="M2762" s="1" t="str">
        <f>VLOOKUP(Advices[[#This Row],[LC Number]],'Combine_List'!A:D,3,0)</f>
        <v>MBL</v>
      </c>
      <c r="N2762" s="1" t="str">
        <f>VLOOKUP(Advices[[#This Row],[LC Number]],'Combine_List'!A:D,4,0)</f>
        <v>Oceanarium</v>
      </c>
      <c r="O2762" s="1"/>
      <c r="P2762" s="1">
        <f>MONTH(Advices[[#This Row],[Transaction Date]])</f>
        <v>6</v>
      </c>
      <c r="Q2762" s="1">
        <f>YEAR(Advices[[#This Row],[Transaction Date]])</f>
        <v>2026</v>
      </c>
      <c r="R2762" s="1"/>
    </row>
    <row r="2763" spans="1:18" hidden="1" x14ac:dyDescent="0.25">
      <c r="A2763" s="264" t="s">
        <v>62</v>
      </c>
      <c r="B2763" s="265">
        <v>46180</v>
      </c>
      <c r="C2763" s="264" t="s">
        <v>2039</v>
      </c>
      <c r="D2763" s="264" t="s">
        <v>5471</v>
      </c>
      <c r="E2763" s="264" t="s">
        <v>5451</v>
      </c>
      <c r="F2763" s="264" t="s">
        <v>2041</v>
      </c>
      <c r="G2763" s="264" t="s">
        <v>26</v>
      </c>
      <c r="H2763" s="368">
        <v>40729.550000000003</v>
      </c>
      <c r="I2763" s="266">
        <v>0</v>
      </c>
      <c r="J2763" s="264" t="s">
        <v>2830</v>
      </c>
      <c r="K2763" s="264" t="s">
        <v>2025</v>
      </c>
      <c r="L2763" s="1" t="str">
        <f>VLOOKUP(Advices[[#This Row],[LC Number]],'Combine_List'!A:D,2,0)</f>
        <v>Bid - BOUTIQUE GROUP</v>
      </c>
      <c r="M2763" s="1">
        <f>VLOOKUP(Advices[[#This Row],[LC Number]],'Combine_List'!A:D,3,0)</f>
        <v>0</v>
      </c>
      <c r="N2763" s="1">
        <f>VLOOKUP(Advices[[#This Row],[LC Number]],'Combine_List'!A:D,4,0)</f>
        <v>0</v>
      </c>
      <c r="O2763" s="1"/>
      <c r="P2763" s="1">
        <f>MONTH(Advices[[#This Row],[Transaction Date]])</f>
        <v>6</v>
      </c>
      <c r="Q2763" s="1">
        <f>YEAR(Advices[[#This Row],[Transaction Date]])</f>
        <v>2026</v>
      </c>
      <c r="R2763" s="1"/>
    </row>
    <row r="2764" spans="1:18" hidden="1" x14ac:dyDescent="0.25">
      <c r="A2764" s="264" t="s">
        <v>62</v>
      </c>
      <c r="B2764" s="265">
        <v>46180</v>
      </c>
      <c r="C2764" s="264" t="s">
        <v>2039</v>
      </c>
      <c r="D2764" s="264" t="s">
        <v>5472</v>
      </c>
      <c r="E2764" s="264" t="s">
        <v>5452</v>
      </c>
      <c r="F2764" s="264" t="s">
        <v>2041</v>
      </c>
      <c r="G2764" s="264" t="s">
        <v>26</v>
      </c>
      <c r="H2764" s="368">
        <v>7775.15</v>
      </c>
      <c r="I2764" s="266">
        <v>0</v>
      </c>
      <c r="J2764" s="264" t="s">
        <v>2830</v>
      </c>
      <c r="K2764" s="264" t="s">
        <v>2025</v>
      </c>
      <c r="L2764" s="1" t="str">
        <f>VLOOKUP(Advices[[#This Row],[LC Number]],'Combine_List'!A:D,2,0)</f>
        <v>Bid - SHARJAH INTERNATIONAL AIRPORT AUTHORITY (SIAA)</v>
      </c>
      <c r="M2764" s="1">
        <f>VLOOKUP(Advices[[#This Row],[LC Number]],'Combine_List'!A:D,3,0)</f>
        <v>0</v>
      </c>
      <c r="N2764" s="1">
        <f>VLOOKUP(Advices[[#This Row],[LC Number]],'Combine_List'!A:D,4,0)</f>
        <v>0</v>
      </c>
      <c r="O2764" s="1"/>
      <c r="P2764" s="1">
        <f>MONTH(Advices[[#This Row],[Transaction Date]])</f>
        <v>6</v>
      </c>
      <c r="Q2764" s="1">
        <f>YEAR(Advices[[#This Row],[Transaction Date]])</f>
        <v>2026</v>
      </c>
      <c r="R2764" s="1"/>
    </row>
    <row r="2765" spans="1:18" hidden="1" x14ac:dyDescent="0.25">
      <c r="A2765" s="264" t="s">
        <v>62</v>
      </c>
      <c r="B2765" s="265">
        <v>46181</v>
      </c>
      <c r="C2765" s="264" t="s">
        <v>2039</v>
      </c>
      <c r="D2765" s="264" t="s">
        <v>5473</v>
      </c>
      <c r="E2765" s="264" t="s">
        <v>1934</v>
      </c>
      <c r="F2765" s="264" t="s">
        <v>2041</v>
      </c>
      <c r="G2765" s="264" t="s">
        <v>26</v>
      </c>
      <c r="H2765" s="368">
        <v>732848.2</v>
      </c>
      <c r="I2765" s="266">
        <v>0</v>
      </c>
      <c r="J2765" s="264" t="s">
        <v>1126</v>
      </c>
      <c r="K2765" s="264" t="s">
        <v>2025</v>
      </c>
      <c r="L2765" s="264" t="str">
        <f>VLOOKUP(Advices[[#This Row],[LC Number]],'Combine_List'!A:D,2,0)</f>
        <v>Mat Filtrasyon Teknolojeleri A.S</v>
      </c>
      <c r="M2765" s="264" t="str">
        <f>VLOOKUP(Advices[[#This Row],[LC Number]],'Combine_List'!A:D,3,0)</f>
        <v>MBL</v>
      </c>
      <c r="N2765" s="264" t="str">
        <f>VLOOKUP(Advices[[#This Row],[LC Number]],'Combine_List'!A:D,4,0)</f>
        <v>Oceanarium</v>
      </c>
      <c r="O2765" s="264"/>
      <c r="P2765" s="264">
        <f>MONTH(Advices[[#This Row],[Transaction Date]])</f>
        <v>6</v>
      </c>
      <c r="Q2765" s="264">
        <f>YEAR(Advices[[#This Row],[Transaction Date]])</f>
        <v>2026</v>
      </c>
      <c r="R2765" s="264"/>
    </row>
    <row r="2766" spans="1:18" hidden="1" x14ac:dyDescent="0.25">
      <c r="A2766" s="264" t="s">
        <v>95</v>
      </c>
      <c r="B2766" s="265">
        <v>46174</v>
      </c>
      <c r="C2766" s="264" t="s">
        <v>2026</v>
      </c>
      <c r="D2766" s="264" t="s">
        <v>5206</v>
      </c>
      <c r="E2766" s="264" t="s">
        <v>707</v>
      </c>
      <c r="F2766" s="264" t="s">
        <v>5207</v>
      </c>
      <c r="G2766" s="264" t="s">
        <v>26</v>
      </c>
      <c r="H2766" s="368">
        <v>460</v>
      </c>
      <c r="I2766" s="266">
        <v>0</v>
      </c>
      <c r="J2766" s="264" t="s">
        <v>1125</v>
      </c>
      <c r="K2766" s="264" t="s">
        <v>2025</v>
      </c>
      <c r="L2766" s="1" t="str">
        <f>VLOOKUP(Advices[[#This Row],[LC Number]],'Combine_List'!A:D,2,0)</f>
        <v>BBH-CHEMTROL INTERNATIONAL ORGANIZATION S.L</v>
      </c>
      <c r="M2766" s="1" t="str">
        <f>VLOOKUP(Advices[[#This Row],[LC Number]],'Combine_List'!A:D,3,0)</f>
        <v>MBL/ICAD</v>
      </c>
      <c r="N2766" s="1" t="str">
        <f>VLOOKUP(Advices[[#This Row],[LC Number]],'Combine_List'!A:D,4,0)</f>
        <v>OPERA House</v>
      </c>
      <c r="O2766" s="1"/>
      <c r="P2766" s="1">
        <f>MONTH(Advices[[#This Row],[Transaction Date]])</f>
        <v>6</v>
      </c>
      <c r="Q2766" s="1">
        <f>YEAR(Advices[[#This Row],[Transaction Date]])</f>
        <v>2026</v>
      </c>
      <c r="R2766" s="1"/>
    </row>
    <row r="2767" spans="1:18" hidden="1" x14ac:dyDescent="0.25">
      <c r="A2767" s="264" t="s">
        <v>95</v>
      </c>
      <c r="B2767" s="265">
        <v>46174</v>
      </c>
      <c r="C2767" s="264" t="s">
        <v>3182</v>
      </c>
      <c r="D2767" s="264" t="s">
        <v>5474</v>
      </c>
      <c r="E2767" s="264" t="s">
        <v>707</v>
      </c>
      <c r="F2767" s="264" t="s">
        <v>5358</v>
      </c>
      <c r="G2767" s="264" t="s">
        <v>67</v>
      </c>
      <c r="H2767" s="368">
        <v>869469.45</v>
      </c>
      <c r="I2767" s="266">
        <v>0</v>
      </c>
      <c r="J2767" s="264" t="s">
        <v>1126</v>
      </c>
      <c r="K2767" s="264" t="s">
        <v>2025</v>
      </c>
      <c r="L2767" s="1" t="str">
        <f>VLOOKUP(Advices[[#This Row],[LC Number]],'Combine_List'!A:D,2,0)</f>
        <v>BBH-CHEMTROL INTERNATIONAL ORGANIZATION S.L</v>
      </c>
      <c r="M2767" s="1" t="str">
        <f>VLOOKUP(Advices[[#This Row],[LC Number]],'Combine_List'!A:D,3,0)</f>
        <v>MBL/ICAD</v>
      </c>
      <c r="N2767" s="1" t="str">
        <f>VLOOKUP(Advices[[#This Row],[LC Number]],'Combine_List'!A:D,4,0)</f>
        <v>OPERA House</v>
      </c>
      <c r="O2767" s="1"/>
      <c r="P2767" s="1">
        <f>MONTH(Advices[[#This Row],[Transaction Date]])</f>
        <v>6</v>
      </c>
      <c r="Q2767" s="1">
        <f>YEAR(Advices[[#This Row],[Transaction Date]])</f>
        <v>2026</v>
      </c>
      <c r="R2767" s="1"/>
    </row>
    <row r="2768" spans="1:18" hidden="1" x14ac:dyDescent="0.25">
      <c r="A2768" s="264" t="s">
        <v>95</v>
      </c>
      <c r="B2768" s="265">
        <v>46176</v>
      </c>
      <c r="C2768" s="264" t="s">
        <v>2307</v>
      </c>
      <c r="D2768" s="264" t="s">
        <v>5475</v>
      </c>
      <c r="E2768" s="264" t="s">
        <v>1095</v>
      </c>
      <c r="F2768" s="264" t="s">
        <v>5571</v>
      </c>
      <c r="G2768" s="264"/>
      <c r="H2768" s="368">
        <v>540755.55000000005</v>
      </c>
      <c r="I2768" s="266">
        <v>0</v>
      </c>
      <c r="J2768" s="264" t="s">
        <v>2041</v>
      </c>
      <c r="K2768" s="264" t="s">
        <v>2025</v>
      </c>
      <c r="L2768" s="1" t="str">
        <f>VLOOKUP(Advices[[#This Row],[LC Number]],'Combine_List'!A:D,2,0)</f>
        <v>Material - JEDDAH CENTRAL DEVELOPMENT COMPANY (JCD)</v>
      </c>
      <c r="M2768" s="1">
        <f>VLOOKUP(Advices[[#This Row],[LC Number]],'Combine_List'!A:D,3,0)</f>
        <v>0</v>
      </c>
      <c r="N2768" s="1" t="str">
        <f>VLOOKUP(Advices[[#This Row],[LC Number]],'Combine_List'!A:D,4,0)</f>
        <v>Opera House</v>
      </c>
      <c r="O2768" s="1"/>
      <c r="P2768" s="1">
        <f>MONTH(Advices[[#This Row],[Transaction Date]])</f>
        <v>6</v>
      </c>
      <c r="Q2768" s="1">
        <f>YEAR(Advices[[#This Row],[Transaction Date]])</f>
        <v>2026</v>
      </c>
      <c r="R2768" s="1"/>
    </row>
    <row r="2769" spans="1:18" hidden="1" x14ac:dyDescent="0.25">
      <c r="A2769" s="264" t="s">
        <v>95</v>
      </c>
      <c r="B2769" s="265">
        <v>46177</v>
      </c>
      <c r="C2769" s="264" t="s">
        <v>2026</v>
      </c>
      <c r="D2769" s="264" t="s">
        <v>5476</v>
      </c>
      <c r="E2769" s="264" t="s">
        <v>5441</v>
      </c>
      <c r="F2769" s="264" t="s">
        <v>5477</v>
      </c>
      <c r="G2769" s="264" t="s">
        <v>26</v>
      </c>
      <c r="H2769" s="368">
        <v>1130.83</v>
      </c>
      <c r="I2769" s="266">
        <v>0</v>
      </c>
      <c r="J2769" s="264" t="s">
        <v>2616</v>
      </c>
      <c r="K2769" s="264" t="s">
        <v>2025</v>
      </c>
      <c r="L2769" s="1" t="str">
        <f>VLOOKUP(Advices[[#This Row],[LC Number]],'Combine_List'!A:D,2,0)</f>
        <v>Saudi Pro-Kitchen</v>
      </c>
      <c r="M2769" s="1" t="str">
        <f>VLOOKUP(Advices[[#This Row],[LC Number]],'Combine_List'!A:D,3,0)</f>
        <v>MBL/ICAD</v>
      </c>
      <c r="N2769" s="1" t="str">
        <f>VLOOKUP(Advices[[#This Row],[LC Number]],'Combine_List'!A:D,4,0)</f>
        <v>OPERA House</v>
      </c>
      <c r="O2769" s="1"/>
      <c r="P2769" s="1">
        <f>MONTH(Advices[[#This Row],[Transaction Date]])</f>
        <v>6</v>
      </c>
      <c r="Q2769" s="1">
        <f>YEAR(Advices[[#This Row],[Transaction Date]])</f>
        <v>2026</v>
      </c>
      <c r="R2769" s="1"/>
    </row>
    <row r="2770" spans="1:18" hidden="1" x14ac:dyDescent="0.25">
      <c r="A2770" s="264" t="s">
        <v>95</v>
      </c>
      <c r="B2770" s="265">
        <v>46177</v>
      </c>
      <c r="C2770" s="264" t="s">
        <v>2026</v>
      </c>
      <c r="D2770" s="264" t="s">
        <v>5209</v>
      </c>
      <c r="E2770" s="264" t="s">
        <v>3142</v>
      </c>
      <c r="F2770" s="264" t="s">
        <v>3142</v>
      </c>
      <c r="G2770" s="264" t="s">
        <v>26</v>
      </c>
      <c r="H2770" s="368">
        <v>0</v>
      </c>
      <c r="I2770" s="266">
        <v>240327</v>
      </c>
      <c r="J2770" s="264" t="s">
        <v>2041</v>
      </c>
      <c r="K2770" s="264" t="s">
        <v>5154</v>
      </c>
      <c r="L2770" s="1" t="str">
        <f>VLOOKUP(Advices[[#This Row],[LC Number]],'Combine_List'!A:D,2,0)</f>
        <v>APS ARABIAN CONTRACTING COMPANY</v>
      </c>
      <c r="M2770" s="1" t="str">
        <f>VLOOKUP(Advices[[#This Row],[LC Number]],'Combine_List'!A:D,3,0)</f>
        <v>MBL/AICS</v>
      </c>
      <c r="N2770" s="1" t="str">
        <f>VLOOKUP(Advices[[#This Row],[LC Number]],'Combine_List'!A:D,4,0)</f>
        <v>OPERA House</v>
      </c>
      <c r="O2770" s="1"/>
      <c r="P2770" s="1">
        <f>MONTH(Advices[[#This Row],[Transaction Date]])</f>
        <v>6</v>
      </c>
      <c r="Q2770" s="1">
        <f>YEAR(Advices[[#This Row],[Transaction Date]])</f>
        <v>2026</v>
      </c>
      <c r="R2770" s="1"/>
    </row>
    <row r="2771" spans="1:18" hidden="1" x14ac:dyDescent="0.25">
      <c r="A2771" s="264" t="s">
        <v>95</v>
      </c>
      <c r="B2771" s="265">
        <v>46177</v>
      </c>
      <c r="C2771" s="264" t="s">
        <v>2026</v>
      </c>
      <c r="D2771" s="264" t="s">
        <v>5478</v>
      </c>
      <c r="E2771" s="264" t="s">
        <v>3142</v>
      </c>
      <c r="F2771" s="264" t="s">
        <v>5479</v>
      </c>
      <c r="G2771" s="264" t="s">
        <v>26</v>
      </c>
      <c r="H2771" s="368">
        <v>1603.55</v>
      </c>
      <c r="I2771" s="266">
        <v>0</v>
      </c>
      <c r="J2771" s="264" t="s">
        <v>1125</v>
      </c>
      <c r="K2771" s="264" t="s">
        <v>2025</v>
      </c>
      <c r="L2771" s="1" t="str">
        <f>VLOOKUP(Advices[[#This Row],[LC Number]],'Combine_List'!A:D,2,0)</f>
        <v>APS ARABIAN CONTRACTING COMPANY</v>
      </c>
      <c r="M2771" s="1" t="str">
        <f>VLOOKUP(Advices[[#This Row],[LC Number]],'Combine_List'!A:D,3,0)</f>
        <v>MBL/AICS</v>
      </c>
      <c r="N2771" s="1" t="str">
        <f>VLOOKUP(Advices[[#This Row],[LC Number]],'Combine_List'!A:D,4,0)</f>
        <v>OPERA House</v>
      </c>
      <c r="O2771" s="1"/>
      <c r="P2771" s="1">
        <f>MONTH(Advices[[#This Row],[Transaction Date]])</f>
        <v>6</v>
      </c>
      <c r="Q2771" s="1">
        <f>YEAR(Advices[[#This Row],[Transaction Date]])</f>
        <v>2026</v>
      </c>
      <c r="R2771" s="1"/>
    </row>
    <row r="2772" spans="1:18" hidden="1" x14ac:dyDescent="0.25">
      <c r="A2772" s="264" t="s">
        <v>95</v>
      </c>
      <c r="B2772" s="265">
        <v>46177</v>
      </c>
      <c r="C2772" s="264" t="s">
        <v>2026</v>
      </c>
      <c r="D2772" s="264" t="s">
        <v>5480</v>
      </c>
      <c r="E2772" s="264" t="s">
        <v>4679</v>
      </c>
      <c r="F2772" s="264" t="s">
        <v>5481</v>
      </c>
      <c r="G2772" s="264" t="s">
        <v>26</v>
      </c>
      <c r="H2772" s="368">
        <v>1466.54</v>
      </c>
      <c r="I2772" s="266">
        <v>0</v>
      </c>
      <c r="J2772" s="264" t="s">
        <v>1124</v>
      </c>
      <c r="K2772" s="264" t="s">
        <v>2025</v>
      </c>
      <c r="L2772" s="1" t="str">
        <f>VLOOKUP(Advices[[#This Row],[LC Number]],'Combine_List'!A:D,2,0)</f>
        <v>ALNAFIE METAL INDUSTRIES CO LTD</v>
      </c>
      <c r="M2772" s="1" t="str">
        <f>VLOOKUP(Advices[[#This Row],[LC Number]],'Combine_List'!A:D,3,0)</f>
        <v>MBL/AICS (L01)</v>
      </c>
      <c r="N2772" s="1" t="str">
        <f>VLOOKUP(Advices[[#This Row],[LC Number]],'Combine_List'!A:D,4,0)</f>
        <v>OPERA House</v>
      </c>
      <c r="O2772" s="1"/>
      <c r="P2772" s="1">
        <f>MONTH(Advices[[#This Row],[Transaction Date]])</f>
        <v>6</v>
      </c>
      <c r="Q2772" s="1">
        <f>YEAR(Advices[[#This Row],[Transaction Date]])</f>
        <v>2026</v>
      </c>
      <c r="R2772" s="1"/>
    </row>
    <row r="2773" spans="1:18" hidden="1" x14ac:dyDescent="0.25">
      <c r="A2773" s="264" t="s">
        <v>95</v>
      </c>
      <c r="B2773" s="265">
        <v>46177</v>
      </c>
      <c r="C2773" s="264" t="s">
        <v>2026</v>
      </c>
      <c r="D2773" s="264" t="s">
        <v>5210</v>
      </c>
      <c r="E2773" s="264" t="s">
        <v>3142</v>
      </c>
      <c r="F2773" s="264" t="s">
        <v>5211</v>
      </c>
      <c r="G2773" s="264" t="s">
        <v>26</v>
      </c>
      <c r="H2773" s="368">
        <v>240327</v>
      </c>
      <c r="I2773" s="266">
        <v>0</v>
      </c>
      <c r="J2773" s="264" t="s">
        <v>1126</v>
      </c>
      <c r="K2773" s="264" t="s">
        <v>2025</v>
      </c>
      <c r="L2773" s="1" t="str">
        <f>VLOOKUP(Advices[[#This Row],[LC Number]],'Combine_List'!A:D,2,0)</f>
        <v>APS ARABIAN CONTRACTING COMPANY</v>
      </c>
      <c r="M2773" s="1" t="str">
        <f>VLOOKUP(Advices[[#This Row],[LC Number]],'Combine_List'!A:D,3,0)</f>
        <v>MBL/AICS</v>
      </c>
      <c r="N2773" s="1" t="str">
        <f>VLOOKUP(Advices[[#This Row],[LC Number]],'Combine_List'!A:D,4,0)</f>
        <v>OPERA House</v>
      </c>
      <c r="O2773" s="1"/>
      <c r="P2773" s="1">
        <f>MONTH(Advices[[#This Row],[Transaction Date]])</f>
        <v>6</v>
      </c>
      <c r="Q2773" s="1">
        <f>YEAR(Advices[[#This Row],[Transaction Date]])</f>
        <v>2026</v>
      </c>
      <c r="R2773" s="1"/>
    </row>
    <row r="2774" spans="1:18" hidden="1" x14ac:dyDescent="0.25">
      <c r="A2774" s="264" t="s">
        <v>95</v>
      </c>
      <c r="B2774" s="265">
        <v>46177</v>
      </c>
      <c r="C2774" s="264" t="s">
        <v>2307</v>
      </c>
      <c r="D2774" s="264" t="s">
        <v>5213</v>
      </c>
      <c r="E2774" s="264" t="s">
        <v>3142</v>
      </c>
      <c r="F2774" s="264" t="s">
        <v>3142</v>
      </c>
      <c r="G2774" s="264"/>
      <c r="H2774" s="368">
        <v>240327</v>
      </c>
      <c r="I2774" s="266">
        <v>0</v>
      </c>
      <c r="J2774" s="264" t="s">
        <v>2041</v>
      </c>
      <c r="K2774" s="264" t="s">
        <v>5154</v>
      </c>
      <c r="L2774" s="1" t="str">
        <f>VLOOKUP(Advices[[#This Row],[LC Number]],'Combine_List'!A:D,2,0)</f>
        <v>APS ARABIAN CONTRACTING COMPANY</v>
      </c>
      <c r="M2774" s="1" t="str">
        <f>VLOOKUP(Advices[[#This Row],[LC Number]],'Combine_List'!A:D,3,0)</f>
        <v>MBL/AICS</v>
      </c>
      <c r="N2774" s="1" t="str">
        <f>VLOOKUP(Advices[[#This Row],[LC Number]],'Combine_List'!A:D,4,0)</f>
        <v>OPERA House</v>
      </c>
      <c r="O2774" s="1"/>
      <c r="P2774" s="1">
        <f>MONTH(Advices[[#This Row],[Transaction Date]])</f>
        <v>6</v>
      </c>
      <c r="Q2774" s="1">
        <f>YEAR(Advices[[#This Row],[Transaction Date]])</f>
        <v>2026</v>
      </c>
      <c r="R2774" s="1"/>
    </row>
    <row r="2775" spans="1:18" hidden="1" x14ac:dyDescent="0.25">
      <c r="A2775" s="264" t="s">
        <v>95</v>
      </c>
      <c r="B2775" s="265">
        <v>46180</v>
      </c>
      <c r="C2775" s="264" t="s">
        <v>2026</v>
      </c>
      <c r="D2775" s="264" t="s">
        <v>5482</v>
      </c>
      <c r="E2775" s="264" t="s">
        <v>5453</v>
      </c>
      <c r="F2775" s="264" t="s">
        <v>5483</v>
      </c>
      <c r="G2775" s="264" t="s">
        <v>26</v>
      </c>
      <c r="H2775" s="368">
        <v>12439.17</v>
      </c>
      <c r="I2775" s="266">
        <v>0</v>
      </c>
      <c r="J2775" s="264" t="s">
        <v>2616</v>
      </c>
      <c r="K2775" s="264" t="s">
        <v>2025</v>
      </c>
      <c r="L2775" s="1" t="str">
        <f>VLOOKUP(Advices[[#This Row],[LC Number]],'Combine_List'!A:D,2,0)</f>
        <v>Martin Professional Information Technology Company</v>
      </c>
      <c r="M2775" s="1" t="str">
        <f>VLOOKUP(Advices[[#This Row],[LC Number]],'Combine_List'!A:D,3,0)</f>
        <v>MBL/ICAD</v>
      </c>
      <c r="N2775" s="1" t="str">
        <f>VLOOKUP(Advices[[#This Row],[LC Number]],'Combine_List'!A:D,4,0)</f>
        <v>OPERA House</v>
      </c>
      <c r="O2775" s="1"/>
      <c r="P2775" s="1">
        <f>MONTH(Advices[[#This Row],[Transaction Date]])</f>
        <v>6</v>
      </c>
      <c r="Q2775" s="1">
        <f>YEAR(Advices[[#This Row],[Transaction Date]])</f>
        <v>2026</v>
      </c>
      <c r="R2775" s="1"/>
    </row>
    <row r="2776" spans="1:18" hidden="1" x14ac:dyDescent="0.25">
      <c r="A2776" s="264" t="s">
        <v>95</v>
      </c>
      <c r="B2776" s="265">
        <v>46181</v>
      </c>
      <c r="C2776" s="264" t="s">
        <v>2026</v>
      </c>
      <c r="D2776" s="264" t="s">
        <v>5208</v>
      </c>
      <c r="E2776" s="264" t="s">
        <v>2562</v>
      </c>
      <c r="F2776" s="264" t="s">
        <v>2562</v>
      </c>
      <c r="G2776" s="264" t="s">
        <v>26</v>
      </c>
      <c r="H2776" s="368">
        <v>0</v>
      </c>
      <c r="I2776" s="266">
        <v>1418090.3</v>
      </c>
      <c r="J2776" s="264" t="s">
        <v>2041</v>
      </c>
      <c r="K2776" s="264" t="s">
        <v>5154</v>
      </c>
      <c r="L2776" s="1" t="str">
        <f>VLOOKUP(Advices[[#This Row],[LC Number]],'Combine_List'!A:D,2,0)</f>
        <v>ALNAFIE METAL INDUSTRIES CO LTD</v>
      </c>
      <c r="M2776" s="1" t="str">
        <f>VLOOKUP(Advices[[#This Row],[LC Number]],'Combine_List'!A:D,3,0)</f>
        <v>MBL/AICS</v>
      </c>
      <c r="N2776" s="1" t="str">
        <f>VLOOKUP(Advices[[#This Row],[LC Number]],'Combine_List'!A:D,4,0)</f>
        <v>OPERA House</v>
      </c>
      <c r="O2776" s="1"/>
      <c r="P2776" s="1">
        <f>MONTH(Advices[[#This Row],[Transaction Date]])</f>
        <v>6</v>
      </c>
      <c r="Q2776" s="1">
        <f>YEAR(Advices[[#This Row],[Transaction Date]])</f>
        <v>2026</v>
      </c>
      <c r="R2776" s="1"/>
    </row>
    <row r="2777" spans="1:18" hidden="1" x14ac:dyDescent="0.25">
      <c r="A2777" s="264" t="s">
        <v>95</v>
      </c>
      <c r="B2777" s="265">
        <v>46181</v>
      </c>
      <c r="C2777" s="264" t="s">
        <v>2026</v>
      </c>
      <c r="D2777" s="264" t="s">
        <v>5208</v>
      </c>
      <c r="E2777" s="264" t="s">
        <v>2562</v>
      </c>
      <c r="F2777" s="264" t="s">
        <v>2562</v>
      </c>
      <c r="G2777" s="264" t="s">
        <v>26</v>
      </c>
      <c r="H2777" s="368">
        <v>0</v>
      </c>
      <c r="I2777" s="266">
        <v>373524.25</v>
      </c>
      <c r="J2777" s="264" t="s">
        <v>2041</v>
      </c>
      <c r="K2777" s="264" t="s">
        <v>5154</v>
      </c>
      <c r="L2777" s="1" t="str">
        <f>VLOOKUP(Advices[[#This Row],[LC Number]],'Combine_List'!A:D,2,0)</f>
        <v>ALNAFIE METAL INDUSTRIES CO LTD</v>
      </c>
      <c r="M2777" s="1" t="str">
        <f>VLOOKUP(Advices[[#This Row],[LC Number]],'Combine_List'!A:D,3,0)</f>
        <v>MBL/AICS</v>
      </c>
      <c r="N2777" s="1" t="str">
        <f>VLOOKUP(Advices[[#This Row],[LC Number]],'Combine_List'!A:D,4,0)</f>
        <v>OPERA House</v>
      </c>
      <c r="O2777" s="1"/>
      <c r="P2777" s="1">
        <f>MONTH(Advices[[#This Row],[Transaction Date]])</f>
        <v>6</v>
      </c>
      <c r="Q2777" s="1">
        <f>YEAR(Advices[[#This Row],[Transaction Date]])</f>
        <v>2026</v>
      </c>
      <c r="R2777" s="1"/>
    </row>
    <row r="2778" spans="1:18" hidden="1" x14ac:dyDescent="0.25">
      <c r="A2778" s="264" t="s">
        <v>95</v>
      </c>
      <c r="B2778" s="265">
        <v>46181</v>
      </c>
      <c r="C2778" s="264" t="s">
        <v>2026</v>
      </c>
      <c r="D2778" s="264" t="s">
        <v>5071</v>
      </c>
      <c r="E2778" s="264" t="s">
        <v>2562</v>
      </c>
      <c r="F2778" s="264" t="s">
        <v>5072</v>
      </c>
      <c r="G2778" s="264" t="s">
        <v>26</v>
      </c>
      <c r="H2778" s="368">
        <v>1418090.3</v>
      </c>
      <c r="I2778" s="266">
        <v>0</v>
      </c>
      <c r="J2778" s="264" t="s">
        <v>1126</v>
      </c>
      <c r="K2778" s="264" t="s">
        <v>2025</v>
      </c>
      <c r="L2778" s="1" t="str">
        <f>VLOOKUP(Advices[[#This Row],[LC Number]],'Combine_List'!A:D,2,0)</f>
        <v>ALNAFIE METAL INDUSTRIES CO LTD</v>
      </c>
      <c r="M2778" s="1" t="str">
        <f>VLOOKUP(Advices[[#This Row],[LC Number]],'Combine_List'!A:D,3,0)</f>
        <v>MBL/AICS</v>
      </c>
      <c r="N2778" s="1" t="str">
        <f>VLOOKUP(Advices[[#This Row],[LC Number]],'Combine_List'!A:D,4,0)</f>
        <v>OPERA House</v>
      </c>
      <c r="O2778" s="1"/>
      <c r="P2778" s="1">
        <f>MONTH(Advices[[#This Row],[Transaction Date]])</f>
        <v>6</v>
      </c>
      <c r="Q2778" s="1">
        <f>YEAR(Advices[[#This Row],[Transaction Date]])</f>
        <v>2026</v>
      </c>
      <c r="R2778" s="1"/>
    </row>
    <row r="2779" spans="1:18" hidden="1" x14ac:dyDescent="0.25">
      <c r="A2779" s="264" t="s">
        <v>95</v>
      </c>
      <c r="B2779" s="265">
        <v>46181</v>
      </c>
      <c r="C2779" s="264" t="s">
        <v>2026</v>
      </c>
      <c r="D2779" s="264" t="s">
        <v>5361</v>
      </c>
      <c r="E2779" s="264" t="s">
        <v>2562</v>
      </c>
      <c r="F2779" s="264" t="s">
        <v>5362</v>
      </c>
      <c r="G2779" s="264" t="s">
        <v>26</v>
      </c>
      <c r="H2779" s="368">
        <v>373524.25</v>
      </c>
      <c r="I2779" s="266">
        <v>0</v>
      </c>
      <c r="J2779" s="264" t="s">
        <v>1126</v>
      </c>
      <c r="K2779" s="264" t="s">
        <v>2025</v>
      </c>
      <c r="L2779" s="1" t="str">
        <f>VLOOKUP(Advices[[#This Row],[LC Number]],'Combine_List'!A:D,2,0)</f>
        <v>ALNAFIE METAL INDUSTRIES CO LTD</v>
      </c>
      <c r="M2779" s="1" t="str">
        <f>VLOOKUP(Advices[[#This Row],[LC Number]],'Combine_List'!A:D,3,0)</f>
        <v>MBL/AICS</v>
      </c>
      <c r="N2779" s="1" t="str">
        <f>VLOOKUP(Advices[[#This Row],[LC Number]],'Combine_List'!A:D,4,0)</f>
        <v>OPERA House</v>
      </c>
      <c r="O2779" s="1"/>
      <c r="P2779" s="1">
        <f>MONTH(Advices[[#This Row],[Transaction Date]])</f>
        <v>6</v>
      </c>
      <c r="Q2779" s="1">
        <f>YEAR(Advices[[#This Row],[Transaction Date]])</f>
        <v>2026</v>
      </c>
      <c r="R2779" s="1"/>
    </row>
    <row r="2780" spans="1:18" hidden="1" x14ac:dyDescent="0.25">
      <c r="A2780" s="264" t="s">
        <v>95</v>
      </c>
      <c r="B2780" s="265">
        <v>46181</v>
      </c>
      <c r="C2780" s="264" t="s">
        <v>2307</v>
      </c>
      <c r="D2780" s="264" t="s">
        <v>5212</v>
      </c>
      <c r="E2780" s="264" t="s">
        <v>2562</v>
      </c>
      <c r="F2780" s="264" t="s">
        <v>2562</v>
      </c>
      <c r="G2780" s="264"/>
      <c r="H2780" s="368">
        <v>1418090.3</v>
      </c>
      <c r="I2780" s="266">
        <v>0</v>
      </c>
      <c r="J2780" s="264" t="s">
        <v>2041</v>
      </c>
      <c r="K2780" s="264" t="s">
        <v>5154</v>
      </c>
      <c r="L2780" s="1" t="str">
        <f>VLOOKUP(Advices[[#This Row],[LC Number]],'Combine_List'!A:D,2,0)</f>
        <v>ALNAFIE METAL INDUSTRIES CO LTD</v>
      </c>
      <c r="M2780" s="1" t="str">
        <f>VLOOKUP(Advices[[#This Row],[LC Number]],'Combine_List'!A:D,3,0)</f>
        <v>MBL/AICS</v>
      </c>
      <c r="N2780" s="1" t="str">
        <f>VLOOKUP(Advices[[#This Row],[LC Number]],'Combine_List'!A:D,4,0)</f>
        <v>OPERA House</v>
      </c>
      <c r="O2780" s="1"/>
      <c r="P2780" s="1">
        <f>MONTH(Advices[[#This Row],[Transaction Date]])</f>
        <v>6</v>
      </c>
      <c r="Q2780" s="1">
        <f>YEAR(Advices[[#This Row],[Transaction Date]])</f>
        <v>2026</v>
      </c>
      <c r="R2780" s="1"/>
    </row>
    <row r="2781" spans="1:18" hidden="1" x14ac:dyDescent="0.25">
      <c r="A2781" s="264" t="s">
        <v>95</v>
      </c>
      <c r="B2781" s="265">
        <v>46181</v>
      </c>
      <c r="C2781" s="264" t="s">
        <v>2307</v>
      </c>
      <c r="D2781" s="264" t="s">
        <v>5212</v>
      </c>
      <c r="E2781" s="264" t="s">
        <v>2562</v>
      </c>
      <c r="F2781" s="264" t="s">
        <v>2562</v>
      </c>
      <c r="G2781" s="264"/>
      <c r="H2781" s="368">
        <v>373524.25</v>
      </c>
      <c r="I2781" s="266">
        <v>0</v>
      </c>
      <c r="J2781" s="264" t="s">
        <v>2041</v>
      </c>
      <c r="K2781" s="264" t="s">
        <v>5154</v>
      </c>
      <c r="L2781" s="264" t="str">
        <f>VLOOKUP(Advices[[#This Row],[LC Number]],'Combine_List'!A:D,2,0)</f>
        <v>ALNAFIE METAL INDUSTRIES CO LTD</v>
      </c>
      <c r="M2781" s="264" t="str">
        <f>VLOOKUP(Advices[[#This Row],[LC Number]],'Combine_List'!A:D,3,0)</f>
        <v>MBL/AICS</v>
      </c>
      <c r="N2781" s="264" t="str">
        <f>VLOOKUP(Advices[[#This Row],[LC Number]],'Combine_List'!A:D,4,0)</f>
        <v>OPERA House</v>
      </c>
      <c r="O2781" s="264"/>
      <c r="P2781" s="264">
        <f>MONTH(Advices[[#This Row],[Transaction Date]])</f>
        <v>6</v>
      </c>
      <c r="Q2781" s="264">
        <f>YEAR(Advices[[#This Row],[Transaction Date]])</f>
        <v>2026</v>
      </c>
      <c r="R2781" s="264"/>
    </row>
    <row r="2782" spans="1:18" hidden="1" x14ac:dyDescent="0.25">
      <c r="A2782" s="264" t="s">
        <v>366</v>
      </c>
      <c r="B2782" s="265">
        <v>46174</v>
      </c>
      <c r="C2782" s="264" t="s">
        <v>2060</v>
      </c>
      <c r="D2782" s="264" t="s">
        <v>5484</v>
      </c>
      <c r="E2782" s="264" t="s">
        <v>4393</v>
      </c>
      <c r="F2782" s="264" t="s">
        <v>5485</v>
      </c>
      <c r="G2782" s="264" t="s">
        <v>26</v>
      </c>
      <c r="H2782" s="368">
        <v>17250</v>
      </c>
      <c r="I2782" s="266">
        <v>0</v>
      </c>
      <c r="J2782" s="264" t="s">
        <v>1125</v>
      </c>
      <c r="K2782" s="264" t="s">
        <v>2025</v>
      </c>
      <c r="L2782" s="1" t="str">
        <f>VLOOKUP(Advices[[#This Row],[LC Number]],'Combine_List'!A:D,2,0)</f>
        <v>The Fundamental Installation For Electric Work Co</v>
      </c>
      <c r="M2782" s="1" t="str">
        <f>VLOOKUP(Advices[[#This Row],[LC Number]],'Combine_List'!A:D,3,0)</f>
        <v>FIRST FIX</v>
      </c>
      <c r="N2782" s="1" t="str">
        <f>VLOOKUP(Advices[[#This Row],[LC Number]],'Combine_List'!A:D,4,0)</f>
        <v>MP1</v>
      </c>
      <c r="O2782" s="1"/>
      <c r="P2782" s="1">
        <f>MONTH(Advices[[#This Row],[Transaction Date]])</f>
        <v>6</v>
      </c>
      <c r="Q2782" s="1">
        <f>YEAR(Advices[[#This Row],[Transaction Date]])</f>
        <v>2026</v>
      </c>
      <c r="R2782" s="1"/>
    </row>
    <row r="2783" spans="1:18" hidden="1" x14ac:dyDescent="0.25">
      <c r="A2783" s="264" t="s">
        <v>366</v>
      </c>
      <c r="B2783" s="265">
        <v>46175</v>
      </c>
      <c r="C2783" s="264" t="s">
        <v>2060</v>
      </c>
      <c r="D2783" s="264" t="s">
        <v>5486</v>
      </c>
      <c r="E2783" s="264" t="s">
        <v>1818</v>
      </c>
      <c r="F2783" s="264" t="s">
        <v>5487</v>
      </c>
      <c r="G2783" s="264" t="s">
        <v>26</v>
      </c>
      <c r="H2783" s="368">
        <v>1641337.5</v>
      </c>
      <c r="I2783" s="266">
        <v>0</v>
      </c>
      <c r="J2783" s="264" t="s">
        <v>1126</v>
      </c>
      <c r="K2783" s="264" t="s">
        <v>2025</v>
      </c>
      <c r="L2783" s="1" t="str">
        <f>VLOOKUP(Advices[[#This Row],[LC Number]],'Combine_List'!A:D,2,0)</f>
        <v>Sika Saudi Arabia Co. Ltd.</v>
      </c>
      <c r="M2783" s="1" t="str">
        <f>VLOOKUP(Advices[[#This Row],[LC Number]],'Combine_List'!A:D,3,0)</f>
        <v>MBL</v>
      </c>
      <c r="N2783" s="1" t="str">
        <f>VLOOKUP(Advices[[#This Row],[LC Number]],'Combine_List'!A:D,4,0)</f>
        <v>ABHA</v>
      </c>
      <c r="O2783" s="1"/>
      <c r="P2783" s="1">
        <f>MONTH(Advices[[#This Row],[Transaction Date]])</f>
        <v>6</v>
      </c>
      <c r="Q2783" s="1">
        <f>YEAR(Advices[[#This Row],[Transaction Date]])</f>
        <v>2026</v>
      </c>
      <c r="R2783" s="1"/>
    </row>
    <row r="2784" spans="1:18" hidden="1" x14ac:dyDescent="0.25">
      <c r="A2784" s="264" t="s">
        <v>366</v>
      </c>
      <c r="B2784" s="265">
        <v>46175</v>
      </c>
      <c r="C2784" s="264" t="s">
        <v>2060</v>
      </c>
      <c r="D2784" s="264" t="s">
        <v>5488</v>
      </c>
      <c r="E2784" s="264" t="s">
        <v>1818</v>
      </c>
      <c r="F2784" s="264" t="s">
        <v>5487</v>
      </c>
      <c r="G2784" s="264" t="s">
        <v>26</v>
      </c>
      <c r="H2784" s="368">
        <v>14156.53</v>
      </c>
      <c r="I2784" s="266">
        <v>0</v>
      </c>
      <c r="J2784" s="264" t="s">
        <v>1126</v>
      </c>
      <c r="K2784" s="264" t="s">
        <v>2025</v>
      </c>
      <c r="L2784" s="1" t="str">
        <f>VLOOKUP(Advices[[#This Row],[LC Number]],'Combine_List'!A:D,2,0)</f>
        <v>Sika Saudi Arabia Co. Ltd.</v>
      </c>
      <c r="M2784" s="1" t="str">
        <f>VLOOKUP(Advices[[#This Row],[LC Number]],'Combine_List'!A:D,3,0)</f>
        <v>MBL</v>
      </c>
      <c r="N2784" s="1" t="str">
        <f>VLOOKUP(Advices[[#This Row],[LC Number]],'Combine_List'!A:D,4,0)</f>
        <v>ABHA</v>
      </c>
      <c r="O2784" s="1"/>
      <c r="P2784" s="1">
        <f>MONTH(Advices[[#This Row],[Transaction Date]])</f>
        <v>6</v>
      </c>
      <c r="Q2784" s="1">
        <f>YEAR(Advices[[#This Row],[Transaction Date]])</f>
        <v>2026</v>
      </c>
      <c r="R2784" s="1"/>
    </row>
    <row r="2785" spans="1:18" hidden="1" x14ac:dyDescent="0.25">
      <c r="A2785" s="264" t="s">
        <v>366</v>
      </c>
      <c r="B2785" s="265">
        <v>46176</v>
      </c>
      <c r="C2785" s="264" t="s">
        <v>2060</v>
      </c>
      <c r="D2785" s="264" t="s">
        <v>5489</v>
      </c>
      <c r="E2785" s="264" t="s">
        <v>1664</v>
      </c>
      <c r="F2785" s="264" t="s">
        <v>4777</v>
      </c>
      <c r="G2785" s="264" t="s">
        <v>26</v>
      </c>
      <c r="H2785" s="368">
        <v>176542</v>
      </c>
      <c r="I2785" s="266">
        <v>0</v>
      </c>
      <c r="J2785" s="264" t="s">
        <v>1125</v>
      </c>
      <c r="K2785" s="264" t="s">
        <v>2025</v>
      </c>
      <c r="L2785" s="1" t="str">
        <f>VLOOKUP(Advices[[#This Row],[LC Number]],'Combine_List'!A:D,2,0)</f>
        <v>AC SOLUTIONS TRADING CO</v>
      </c>
      <c r="M2785" s="1" t="str">
        <f>VLOOKUP(Advices[[#This Row],[LC Number]],'Combine_List'!A:D,3,0)</f>
        <v>FIRST FIX</v>
      </c>
      <c r="N2785" s="1" t="str">
        <f>VLOOKUP(Advices[[#This Row],[LC Number]],'Combine_List'!A:D,4,0)</f>
        <v>CEER</v>
      </c>
      <c r="O2785" s="1"/>
      <c r="P2785" s="1">
        <f>MONTH(Advices[[#This Row],[Transaction Date]])</f>
        <v>6</v>
      </c>
      <c r="Q2785" s="1">
        <f>YEAR(Advices[[#This Row],[Transaction Date]])</f>
        <v>2026</v>
      </c>
      <c r="R2785" s="1"/>
    </row>
    <row r="2786" spans="1:18" hidden="1" x14ac:dyDescent="0.25">
      <c r="A2786" s="264" t="s">
        <v>366</v>
      </c>
      <c r="B2786" s="265">
        <v>46177</v>
      </c>
      <c r="C2786" s="264" t="s">
        <v>2060</v>
      </c>
      <c r="D2786" s="264" t="s">
        <v>5490</v>
      </c>
      <c r="E2786" s="264" t="s">
        <v>5419</v>
      </c>
      <c r="F2786" s="264" t="s">
        <v>5419</v>
      </c>
      <c r="G2786" s="264" t="s">
        <v>26</v>
      </c>
      <c r="H2786" s="368">
        <v>6411.25</v>
      </c>
      <c r="I2786" s="266">
        <v>0</v>
      </c>
      <c r="J2786" s="264" t="s">
        <v>2616</v>
      </c>
      <c r="K2786" s="264" t="s">
        <v>2025</v>
      </c>
      <c r="L2786" s="1" t="str">
        <f>VLOOKUP(Advices[[#This Row],[LC Number]],'Combine_List'!A:D,2,0)</f>
        <v>ELECTRIC HOUSE TRADING COMPANY LLC</v>
      </c>
      <c r="M2786" s="1" t="str">
        <f>VLOOKUP(Advices[[#This Row],[LC Number]],'Combine_List'!A:D,3,0)</f>
        <v>FIRST FIX</v>
      </c>
      <c r="N2786" s="1" t="str">
        <f>VLOOKUP(Advices[[#This Row],[LC Number]],'Combine_List'!A:D,4,0)</f>
        <v>MP1</v>
      </c>
      <c r="O2786" s="1"/>
      <c r="P2786" s="1">
        <f>MONTH(Advices[[#This Row],[Transaction Date]])</f>
        <v>6</v>
      </c>
      <c r="Q2786" s="1">
        <f>YEAR(Advices[[#This Row],[Transaction Date]])</f>
        <v>2026</v>
      </c>
      <c r="R2786" s="1"/>
    </row>
    <row r="2787" spans="1:18" hidden="1" x14ac:dyDescent="0.25">
      <c r="A2787" s="264" t="s">
        <v>366</v>
      </c>
      <c r="B2787" s="265">
        <v>46177</v>
      </c>
      <c r="C2787" s="264" t="s">
        <v>2060</v>
      </c>
      <c r="D2787" s="264" t="s">
        <v>5491</v>
      </c>
      <c r="E2787" s="264" t="s">
        <v>5418</v>
      </c>
      <c r="F2787" s="264" t="s">
        <v>5418</v>
      </c>
      <c r="G2787" s="264" t="s">
        <v>26</v>
      </c>
      <c r="H2787" s="368">
        <v>3105</v>
      </c>
      <c r="I2787" s="266">
        <v>0</v>
      </c>
      <c r="J2787" s="264" t="s">
        <v>2616</v>
      </c>
      <c r="K2787" s="264" t="s">
        <v>2025</v>
      </c>
      <c r="L2787" s="1" t="str">
        <f>VLOOKUP(Advices[[#This Row],[LC Number]],'Combine_List'!A:D,2,0)</f>
        <v>ELSEWEDY CABLES CO. LIMITED</v>
      </c>
      <c r="M2787" s="1" t="str">
        <f>VLOOKUP(Advices[[#This Row],[LC Number]],'Combine_List'!A:D,3,0)</f>
        <v>FIRST FIX</v>
      </c>
      <c r="N2787" s="1" t="str">
        <f>VLOOKUP(Advices[[#This Row],[LC Number]],'Combine_List'!A:D,4,0)</f>
        <v>MP1</v>
      </c>
      <c r="O2787" s="1"/>
      <c r="P2787" s="1">
        <f>MONTH(Advices[[#This Row],[Transaction Date]])</f>
        <v>6</v>
      </c>
      <c r="Q2787" s="1">
        <f>YEAR(Advices[[#This Row],[Transaction Date]])</f>
        <v>2026</v>
      </c>
      <c r="R2787" s="1"/>
    </row>
    <row r="2788" spans="1:18" hidden="1" x14ac:dyDescent="0.25">
      <c r="A2788" s="264" t="s">
        <v>366</v>
      </c>
      <c r="B2788" s="265">
        <v>46177</v>
      </c>
      <c r="C2788" s="264" t="s">
        <v>2060</v>
      </c>
      <c r="D2788" s="264" t="s">
        <v>5492</v>
      </c>
      <c r="E2788" s="264" t="s">
        <v>5417</v>
      </c>
      <c r="F2788" s="264" t="s">
        <v>5417</v>
      </c>
      <c r="G2788" s="264" t="s">
        <v>26</v>
      </c>
      <c r="H2788" s="368">
        <v>2242.5</v>
      </c>
      <c r="I2788" s="266">
        <v>0</v>
      </c>
      <c r="J2788" s="264" t="s">
        <v>2616</v>
      </c>
      <c r="K2788" s="264" t="s">
        <v>2025</v>
      </c>
      <c r="L2788" s="1" t="str">
        <f>VLOOKUP(Advices[[#This Row],[LC Number]],'Combine_List'!A:D,2,0)</f>
        <v>KHEREIJI SHOWROOMS CO.</v>
      </c>
      <c r="M2788" s="1" t="str">
        <f>VLOOKUP(Advices[[#This Row],[LC Number]],'Combine_List'!A:D,3,0)</f>
        <v>FIRST FIX</v>
      </c>
      <c r="N2788" s="1" t="str">
        <f>VLOOKUP(Advices[[#This Row],[LC Number]],'Combine_List'!A:D,4,0)</f>
        <v>MP1</v>
      </c>
      <c r="O2788" s="1"/>
      <c r="P2788" s="1">
        <f>MONTH(Advices[[#This Row],[Transaction Date]])</f>
        <v>6</v>
      </c>
      <c r="Q2788" s="1">
        <f>YEAR(Advices[[#This Row],[Transaction Date]])</f>
        <v>2026</v>
      </c>
      <c r="R2788" s="1"/>
    </row>
    <row r="2789" spans="1:18" hidden="1" x14ac:dyDescent="0.25">
      <c r="A2789" s="264" t="s">
        <v>366</v>
      </c>
      <c r="B2789" s="265">
        <v>46177</v>
      </c>
      <c r="C2789" s="264" t="s">
        <v>2060</v>
      </c>
      <c r="D2789" s="264" t="s">
        <v>5493</v>
      </c>
      <c r="E2789" s="264" t="s">
        <v>5415</v>
      </c>
      <c r="F2789" s="264" t="s">
        <v>5415</v>
      </c>
      <c r="G2789" s="264" t="s">
        <v>26</v>
      </c>
      <c r="H2789" s="368">
        <v>2530</v>
      </c>
      <c r="I2789" s="266">
        <v>0</v>
      </c>
      <c r="J2789" s="264" t="s">
        <v>2616</v>
      </c>
      <c r="K2789" s="264" t="s">
        <v>2025</v>
      </c>
      <c r="L2789" s="1" t="str">
        <f>VLOOKUP(Advices[[#This Row],[LC Number]],'Combine_List'!A:D,2,0)</f>
        <v>Masdar Technical Supplies Co.</v>
      </c>
      <c r="M2789" s="1" t="str">
        <f>VLOOKUP(Advices[[#This Row],[LC Number]],'Combine_List'!A:D,3,0)</f>
        <v>FIRST FIX</v>
      </c>
      <c r="N2789" s="1" t="str">
        <f>VLOOKUP(Advices[[#This Row],[LC Number]],'Combine_List'!A:D,4,0)</f>
        <v>MP1</v>
      </c>
      <c r="O2789" s="1"/>
      <c r="P2789" s="1">
        <f>MONTH(Advices[[#This Row],[Transaction Date]])</f>
        <v>6</v>
      </c>
      <c r="Q2789" s="1">
        <f>YEAR(Advices[[#This Row],[Transaction Date]])</f>
        <v>2026</v>
      </c>
      <c r="R2789" s="1"/>
    </row>
    <row r="2790" spans="1:18" hidden="1" x14ac:dyDescent="0.25">
      <c r="A2790" s="264" t="s">
        <v>366</v>
      </c>
      <c r="B2790" s="265">
        <v>46177</v>
      </c>
      <c r="C2790" s="264" t="s">
        <v>2060</v>
      </c>
      <c r="D2790" s="264" t="s">
        <v>5494</v>
      </c>
      <c r="E2790" s="264" t="s">
        <v>5416</v>
      </c>
      <c r="F2790" s="264" t="s">
        <v>5416</v>
      </c>
      <c r="G2790" s="264" t="s">
        <v>26</v>
      </c>
      <c r="H2790" s="368">
        <v>3536.25</v>
      </c>
      <c r="I2790" s="266">
        <v>0</v>
      </c>
      <c r="J2790" s="264" t="s">
        <v>2616</v>
      </c>
      <c r="K2790" s="264" t="s">
        <v>2025</v>
      </c>
      <c r="L2790" s="1" t="str">
        <f>VLOOKUP(Advices[[#This Row],[LC Number]],'Combine_List'!A:D,2,0)</f>
        <v>JOHNSON CONTROLS ARABIA</v>
      </c>
      <c r="M2790" s="1" t="str">
        <f>VLOOKUP(Advices[[#This Row],[LC Number]],'Combine_List'!A:D,3,0)</f>
        <v>FIRST FIX</v>
      </c>
      <c r="N2790" s="1" t="str">
        <f>VLOOKUP(Advices[[#This Row],[LC Number]],'Combine_List'!A:D,4,0)</f>
        <v>MP1</v>
      </c>
      <c r="O2790" s="1"/>
      <c r="P2790" s="1">
        <f>MONTH(Advices[[#This Row],[Transaction Date]])</f>
        <v>6</v>
      </c>
      <c r="Q2790" s="1">
        <f>YEAR(Advices[[#This Row],[Transaction Date]])</f>
        <v>2026</v>
      </c>
      <c r="R2790" s="1"/>
    </row>
    <row r="2791" spans="1:18" hidden="1" x14ac:dyDescent="0.25">
      <c r="A2791" s="264" t="s">
        <v>366</v>
      </c>
      <c r="B2791" s="265">
        <v>46177</v>
      </c>
      <c r="C2791" s="264" t="s">
        <v>2060</v>
      </c>
      <c r="D2791" s="264" t="s">
        <v>5495</v>
      </c>
      <c r="E2791" s="264" t="s">
        <v>5420</v>
      </c>
      <c r="F2791" s="264" t="s">
        <v>5420</v>
      </c>
      <c r="G2791" s="264" t="s">
        <v>26</v>
      </c>
      <c r="H2791" s="368">
        <v>2530</v>
      </c>
      <c r="I2791" s="266">
        <v>0</v>
      </c>
      <c r="J2791" s="264" t="s">
        <v>2616</v>
      </c>
      <c r="K2791" s="264" t="s">
        <v>2025</v>
      </c>
      <c r="L2791" s="1" t="str">
        <f>VLOOKUP(Advices[[#This Row],[LC Number]],'Combine_List'!A:D,2,0)</f>
        <v>IDEAL CALIBER COMPANY.</v>
      </c>
      <c r="M2791" s="1" t="str">
        <f>VLOOKUP(Advices[[#This Row],[LC Number]],'Combine_List'!A:D,3,0)</f>
        <v>FIRST FIX</v>
      </c>
      <c r="N2791" s="1" t="str">
        <f>VLOOKUP(Advices[[#This Row],[LC Number]],'Combine_List'!A:D,4,0)</f>
        <v>MP1</v>
      </c>
      <c r="O2791" s="1"/>
      <c r="P2791" s="1">
        <f>MONTH(Advices[[#This Row],[Transaction Date]])</f>
        <v>6</v>
      </c>
      <c r="Q2791" s="1">
        <f>YEAR(Advices[[#This Row],[Transaction Date]])</f>
        <v>2026</v>
      </c>
      <c r="R2791" s="1"/>
    </row>
    <row r="2792" spans="1:18" hidden="1" x14ac:dyDescent="0.25">
      <c r="A2792" s="264" t="s">
        <v>366</v>
      </c>
      <c r="B2792" s="265">
        <v>46177</v>
      </c>
      <c r="C2792" s="264" t="s">
        <v>2060</v>
      </c>
      <c r="D2792" s="264" t="s">
        <v>5496</v>
      </c>
      <c r="E2792" s="264" t="s">
        <v>5421</v>
      </c>
      <c r="F2792" s="264" t="s">
        <v>5421</v>
      </c>
      <c r="G2792" s="264" t="s">
        <v>26</v>
      </c>
      <c r="H2792" s="368">
        <v>3536.25</v>
      </c>
      <c r="I2792" s="266">
        <v>0</v>
      </c>
      <c r="J2792" s="264" t="s">
        <v>2616</v>
      </c>
      <c r="K2792" s="264" t="s">
        <v>2025</v>
      </c>
      <c r="L2792" s="1" t="str">
        <f>VLOOKUP(Advices[[#This Row],[LC Number]],'Combine_List'!A:D,2,0)</f>
        <v>POWER CENTER COMPANY FOR INDUSTRIES LLC</v>
      </c>
      <c r="M2792" s="1" t="str">
        <f>VLOOKUP(Advices[[#This Row],[LC Number]],'Combine_List'!A:D,3,0)</f>
        <v>FIRST FIX</v>
      </c>
      <c r="N2792" s="1" t="str">
        <f>VLOOKUP(Advices[[#This Row],[LC Number]],'Combine_List'!A:D,4,0)</f>
        <v>MP1</v>
      </c>
      <c r="O2792" s="1"/>
      <c r="P2792" s="1">
        <f>MONTH(Advices[[#This Row],[Transaction Date]])</f>
        <v>6</v>
      </c>
      <c r="Q2792" s="1">
        <f>YEAR(Advices[[#This Row],[Transaction Date]])</f>
        <v>2026</v>
      </c>
      <c r="R2792" s="1"/>
    </row>
    <row r="2793" spans="1:18" hidden="1" x14ac:dyDescent="0.25">
      <c r="A2793" s="264" t="s">
        <v>366</v>
      </c>
      <c r="B2793" s="265">
        <v>46177</v>
      </c>
      <c r="C2793" s="264" t="s">
        <v>2060</v>
      </c>
      <c r="D2793" s="264" t="s">
        <v>5497</v>
      </c>
      <c r="E2793" s="264" t="s">
        <v>5424</v>
      </c>
      <c r="F2793" s="264" t="s">
        <v>5424</v>
      </c>
      <c r="G2793" s="264" t="s">
        <v>26</v>
      </c>
      <c r="H2793" s="368">
        <v>3536.25</v>
      </c>
      <c r="I2793" s="266">
        <v>0</v>
      </c>
      <c r="J2793" s="264" t="s">
        <v>2616</v>
      </c>
      <c r="K2793" s="264" t="s">
        <v>2025</v>
      </c>
      <c r="L2793" s="1" t="str">
        <f>VLOOKUP(Advices[[#This Row],[LC Number]],'Combine_List'!A:D,2,0)</f>
        <v>SAUDI ELECTRIC SUPPLY COMPANY.</v>
      </c>
      <c r="M2793" s="1" t="str">
        <f>VLOOKUP(Advices[[#This Row],[LC Number]],'Combine_List'!A:D,3,0)</f>
        <v>FIRST FIX</v>
      </c>
      <c r="N2793" s="1" t="str">
        <f>VLOOKUP(Advices[[#This Row],[LC Number]],'Combine_List'!A:D,4,0)</f>
        <v>MP1</v>
      </c>
      <c r="O2793" s="1"/>
      <c r="P2793" s="1">
        <f>MONTH(Advices[[#This Row],[Transaction Date]])</f>
        <v>6</v>
      </c>
      <c r="Q2793" s="1">
        <f>YEAR(Advices[[#This Row],[Transaction Date]])</f>
        <v>2026</v>
      </c>
      <c r="R2793" s="1"/>
    </row>
    <row r="2794" spans="1:18" hidden="1" x14ac:dyDescent="0.25">
      <c r="A2794" s="264" t="s">
        <v>366</v>
      </c>
      <c r="B2794" s="265">
        <v>46177</v>
      </c>
      <c r="C2794" s="264" t="s">
        <v>2060</v>
      </c>
      <c r="D2794" s="264" t="s">
        <v>5498</v>
      </c>
      <c r="E2794" s="264" t="s">
        <v>5423</v>
      </c>
      <c r="F2794" s="264" t="s">
        <v>5423</v>
      </c>
      <c r="G2794" s="264" t="s">
        <v>26</v>
      </c>
      <c r="H2794" s="368">
        <v>1955</v>
      </c>
      <c r="I2794" s="266">
        <v>0</v>
      </c>
      <c r="J2794" s="264" t="s">
        <v>2616</v>
      </c>
      <c r="K2794" s="264" t="s">
        <v>2025</v>
      </c>
      <c r="L2794" s="1" t="str">
        <f>VLOOKUP(Advices[[#This Row],[LC Number]],'Combine_List'!A:D,2,0)</f>
        <v>ALI MANEA ALYAMI TRADING EST.</v>
      </c>
      <c r="M2794" s="1" t="str">
        <f>VLOOKUP(Advices[[#This Row],[LC Number]],'Combine_List'!A:D,3,0)</f>
        <v>FIRST FIX</v>
      </c>
      <c r="N2794" s="1" t="str">
        <f>VLOOKUP(Advices[[#This Row],[LC Number]],'Combine_List'!A:D,4,0)</f>
        <v>MP1</v>
      </c>
      <c r="O2794" s="1"/>
      <c r="P2794" s="1">
        <f>MONTH(Advices[[#This Row],[Transaction Date]])</f>
        <v>6</v>
      </c>
      <c r="Q2794" s="1">
        <f>YEAR(Advices[[#This Row],[Transaction Date]])</f>
        <v>2026</v>
      </c>
      <c r="R2794" s="1"/>
    </row>
    <row r="2795" spans="1:18" hidden="1" x14ac:dyDescent="0.25">
      <c r="A2795" s="264" t="s">
        <v>366</v>
      </c>
      <c r="B2795" s="265">
        <v>46177</v>
      </c>
      <c r="C2795" s="264" t="s">
        <v>2060</v>
      </c>
      <c r="D2795" s="264" t="s">
        <v>5499</v>
      </c>
      <c r="E2795" s="264" t="s">
        <v>5422</v>
      </c>
      <c r="F2795" s="264" t="s">
        <v>5422</v>
      </c>
      <c r="G2795" s="264" t="s">
        <v>26</v>
      </c>
      <c r="H2795" s="368">
        <v>3105</v>
      </c>
      <c r="I2795" s="266">
        <v>0</v>
      </c>
      <c r="J2795" s="264" t="s">
        <v>2616</v>
      </c>
      <c r="K2795" s="264" t="s">
        <v>2025</v>
      </c>
      <c r="L2795" s="1" t="str">
        <f>VLOOKUP(Advices[[#This Row],[LC Number]],'Combine_List'!A:D,2,0)</f>
        <v>Gulf Grilles Company</v>
      </c>
      <c r="M2795" s="1" t="str">
        <f>VLOOKUP(Advices[[#This Row],[LC Number]],'Combine_List'!A:D,3,0)</f>
        <v>FIRST FIX</v>
      </c>
      <c r="N2795" s="1" t="str">
        <f>VLOOKUP(Advices[[#This Row],[LC Number]],'Combine_List'!A:D,4,0)</f>
        <v>MP1</v>
      </c>
      <c r="O2795" s="1"/>
      <c r="P2795" s="1">
        <f>MONTH(Advices[[#This Row],[Transaction Date]])</f>
        <v>6</v>
      </c>
      <c r="Q2795" s="1">
        <f>YEAR(Advices[[#This Row],[Transaction Date]])</f>
        <v>2026</v>
      </c>
      <c r="R2795" s="1"/>
    </row>
    <row r="2796" spans="1:18" hidden="1" x14ac:dyDescent="0.25">
      <c r="A2796" s="264" t="s">
        <v>366</v>
      </c>
      <c r="B2796" s="265">
        <v>46177</v>
      </c>
      <c r="C2796" s="264" t="s">
        <v>2060</v>
      </c>
      <c r="D2796" s="264" t="s">
        <v>5500</v>
      </c>
      <c r="E2796" s="264" t="s">
        <v>5427</v>
      </c>
      <c r="F2796" s="264" t="s">
        <v>5427</v>
      </c>
      <c r="G2796" s="264" t="s">
        <v>26</v>
      </c>
      <c r="H2796" s="368">
        <v>3680</v>
      </c>
      <c r="I2796" s="266">
        <v>0</v>
      </c>
      <c r="J2796" s="264" t="s">
        <v>2616</v>
      </c>
      <c r="K2796" s="264" t="s">
        <v>2025</v>
      </c>
      <c r="L2796" s="1" t="str">
        <f>VLOOKUP(Advices[[#This Row],[LC Number]],'Combine_List'!A:D,2,0)</f>
        <v>NUKHBA ALETFA CO</v>
      </c>
      <c r="M2796" s="1" t="str">
        <f>VLOOKUP(Advices[[#This Row],[LC Number]],'Combine_List'!A:D,3,0)</f>
        <v>FIRST FIX</v>
      </c>
      <c r="N2796" s="1" t="str">
        <f>VLOOKUP(Advices[[#This Row],[LC Number]],'Combine_List'!A:D,4,0)</f>
        <v>MP1</v>
      </c>
      <c r="O2796" s="1"/>
      <c r="P2796" s="1">
        <f>MONTH(Advices[[#This Row],[Transaction Date]])</f>
        <v>6</v>
      </c>
      <c r="Q2796" s="1">
        <f>YEAR(Advices[[#This Row],[Transaction Date]])</f>
        <v>2026</v>
      </c>
      <c r="R2796" s="1"/>
    </row>
    <row r="2797" spans="1:18" hidden="1" x14ac:dyDescent="0.25">
      <c r="A2797" s="264" t="s">
        <v>366</v>
      </c>
      <c r="B2797" s="265">
        <v>46177</v>
      </c>
      <c r="C2797" s="264" t="s">
        <v>2060</v>
      </c>
      <c r="D2797" s="264" t="s">
        <v>5501</v>
      </c>
      <c r="E2797" s="264" t="s">
        <v>5426</v>
      </c>
      <c r="F2797" s="264" t="s">
        <v>5426</v>
      </c>
      <c r="G2797" s="264" t="s">
        <v>26</v>
      </c>
      <c r="H2797" s="368">
        <v>2242.5</v>
      </c>
      <c r="I2797" s="266">
        <v>0</v>
      </c>
      <c r="J2797" s="264" t="s">
        <v>2616</v>
      </c>
      <c r="K2797" s="264" t="s">
        <v>2025</v>
      </c>
      <c r="L2797" s="1" t="str">
        <f>VLOOKUP(Advices[[#This Row],[LC Number]],'Combine_List'!A:D,2,0)</f>
        <v>SPECTRA INTERNATIONAL TRADING COMPANY</v>
      </c>
      <c r="M2797" s="1" t="str">
        <f>VLOOKUP(Advices[[#This Row],[LC Number]],'Combine_List'!A:D,3,0)</f>
        <v>FIRST FIX</v>
      </c>
      <c r="N2797" s="1" t="str">
        <f>VLOOKUP(Advices[[#This Row],[LC Number]],'Combine_List'!A:D,4,0)</f>
        <v>MP1</v>
      </c>
      <c r="O2797" s="1"/>
      <c r="P2797" s="1">
        <f>MONTH(Advices[[#This Row],[Transaction Date]])</f>
        <v>6</v>
      </c>
      <c r="Q2797" s="1">
        <f>YEAR(Advices[[#This Row],[Transaction Date]])</f>
        <v>2026</v>
      </c>
      <c r="R2797" s="1"/>
    </row>
    <row r="2798" spans="1:18" hidden="1" x14ac:dyDescent="0.25">
      <c r="A2798" s="264" t="s">
        <v>366</v>
      </c>
      <c r="B2798" s="265">
        <v>46177</v>
      </c>
      <c r="C2798" s="264" t="s">
        <v>2060</v>
      </c>
      <c r="D2798" s="264" t="s">
        <v>5502</v>
      </c>
      <c r="E2798" s="264" t="s">
        <v>5431</v>
      </c>
      <c r="F2798" s="264" t="s">
        <v>5431</v>
      </c>
      <c r="G2798" s="264" t="s">
        <v>26</v>
      </c>
      <c r="H2798" s="368">
        <v>1955</v>
      </c>
      <c r="I2798" s="266">
        <v>0</v>
      </c>
      <c r="J2798" s="264" t="s">
        <v>2616</v>
      </c>
      <c r="K2798" s="264" t="s">
        <v>2025</v>
      </c>
      <c r="L2798" s="1" t="str">
        <f>VLOOKUP(Advices[[#This Row],[LC Number]],'Combine_List'!A:D,2,0)</f>
        <v>RAWADF INTERNATIONAL CO.</v>
      </c>
      <c r="M2798" s="1" t="str">
        <f>VLOOKUP(Advices[[#This Row],[LC Number]],'Combine_List'!A:D,3,0)</f>
        <v>FIRST FIX</v>
      </c>
      <c r="N2798" s="1" t="str">
        <f>VLOOKUP(Advices[[#This Row],[LC Number]],'Combine_List'!A:D,4,0)</f>
        <v>MP1</v>
      </c>
      <c r="O2798" s="1"/>
      <c r="P2798" s="1">
        <f>MONTH(Advices[[#This Row],[Transaction Date]])</f>
        <v>6</v>
      </c>
      <c r="Q2798" s="1">
        <f>YEAR(Advices[[#This Row],[Transaction Date]])</f>
        <v>2026</v>
      </c>
      <c r="R2798" s="1"/>
    </row>
    <row r="2799" spans="1:18" hidden="1" x14ac:dyDescent="0.25">
      <c r="A2799" s="264" t="s">
        <v>366</v>
      </c>
      <c r="B2799" s="265">
        <v>46177</v>
      </c>
      <c r="C2799" s="264" t="s">
        <v>2060</v>
      </c>
      <c r="D2799" s="264" t="s">
        <v>5503</v>
      </c>
      <c r="E2799" s="264" t="s">
        <v>5432</v>
      </c>
      <c r="F2799" s="264" t="s">
        <v>5432</v>
      </c>
      <c r="G2799" s="264" t="s">
        <v>26</v>
      </c>
      <c r="H2799" s="368">
        <v>2817.5</v>
      </c>
      <c r="I2799" s="266">
        <v>0</v>
      </c>
      <c r="J2799" s="264" t="s">
        <v>2616</v>
      </c>
      <c r="K2799" s="264" t="s">
        <v>2025</v>
      </c>
      <c r="L2799" s="1" t="str">
        <f>VLOOKUP(Advices[[#This Row],[LC Number]],'Combine_List'!A:D,2,0)</f>
        <v>ALGHAMDI COMPANY FOR SANITARY WARES</v>
      </c>
      <c r="M2799" s="1" t="str">
        <f>VLOOKUP(Advices[[#This Row],[LC Number]],'Combine_List'!A:D,3,0)</f>
        <v>FIRST FIX</v>
      </c>
      <c r="N2799" s="1" t="str">
        <f>VLOOKUP(Advices[[#This Row],[LC Number]],'Combine_List'!A:D,4,0)</f>
        <v>MP1</v>
      </c>
      <c r="O2799" s="1"/>
      <c r="P2799" s="1">
        <f>MONTH(Advices[[#This Row],[Transaction Date]])</f>
        <v>6</v>
      </c>
      <c r="Q2799" s="1">
        <f>YEAR(Advices[[#This Row],[Transaction Date]])</f>
        <v>2026</v>
      </c>
      <c r="R2799" s="1"/>
    </row>
    <row r="2800" spans="1:18" hidden="1" x14ac:dyDescent="0.25">
      <c r="A2800" s="264" t="s">
        <v>366</v>
      </c>
      <c r="B2800" s="265">
        <v>46177</v>
      </c>
      <c r="C2800" s="264" t="s">
        <v>2060</v>
      </c>
      <c r="D2800" s="264" t="s">
        <v>5504</v>
      </c>
      <c r="E2800" s="264" t="s">
        <v>5435</v>
      </c>
      <c r="F2800" s="264" t="s">
        <v>5435</v>
      </c>
      <c r="G2800" s="264" t="s">
        <v>26</v>
      </c>
      <c r="H2800" s="368">
        <v>3680</v>
      </c>
      <c r="I2800" s="266">
        <v>0</v>
      </c>
      <c r="J2800" s="264" t="s">
        <v>2616</v>
      </c>
      <c r="K2800" s="264" t="s">
        <v>2025</v>
      </c>
      <c r="L2800" s="1" t="str">
        <f>VLOOKUP(Advices[[#This Row],[LC Number]],'Combine_List'!A:D,2,0)</f>
        <v>Arabian International Company For Contracting</v>
      </c>
      <c r="M2800" s="1" t="str">
        <f>VLOOKUP(Advices[[#This Row],[LC Number]],'Combine_List'!A:D,3,0)</f>
        <v>FIRST FIX</v>
      </c>
      <c r="N2800" s="1" t="str">
        <f>VLOOKUP(Advices[[#This Row],[LC Number]],'Combine_List'!A:D,4,0)</f>
        <v>MP1</v>
      </c>
      <c r="O2800" s="1"/>
      <c r="P2800" s="1">
        <f>MONTH(Advices[[#This Row],[Transaction Date]])</f>
        <v>6</v>
      </c>
      <c r="Q2800" s="1">
        <f>YEAR(Advices[[#This Row],[Transaction Date]])</f>
        <v>2026</v>
      </c>
      <c r="R2800" s="1"/>
    </row>
    <row r="2801" spans="1:18" hidden="1" x14ac:dyDescent="0.25">
      <c r="A2801" s="264" t="s">
        <v>366</v>
      </c>
      <c r="B2801" s="265">
        <v>46177</v>
      </c>
      <c r="C2801" s="264" t="s">
        <v>2060</v>
      </c>
      <c r="D2801" s="264" t="s">
        <v>5505</v>
      </c>
      <c r="E2801" s="264" t="s">
        <v>5434</v>
      </c>
      <c r="F2801" s="264" t="s">
        <v>5434</v>
      </c>
      <c r="G2801" s="264" t="s">
        <v>26</v>
      </c>
      <c r="H2801" s="368">
        <v>6555</v>
      </c>
      <c r="I2801" s="266">
        <v>0</v>
      </c>
      <c r="J2801" s="264" t="s">
        <v>2616</v>
      </c>
      <c r="K2801" s="264" t="s">
        <v>2025</v>
      </c>
      <c r="L2801" s="1" t="str">
        <f>VLOOKUP(Advices[[#This Row],[LC Number]],'Combine_List'!A:D,2,0)</f>
        <v>DAIKIN AIR CONDITIONING SAUDI ARABIA LLC</v>
      </c>
      <c r="M2801" s="1" t="str">
        <f>VLOOKUP(Advices[[#This Row],[LC Number]],'Combine_List'!A:D,3,0)</f>
        <v>FIRST FIX</v>
      </c>
      <c r="N2801" s="1" t="str">
        <f>VLOOKUP(Advices[[#This Row],[LC Number]],'Combine_List'!A:D,4,0)</f>
        <v>MP1</v>
      </c>
      <c r="O2801" s="1"/>
      <c r="P2801" s="1">
        <f>MONTH(Advices[[#This Row],[Transaction Date]])</f>
        <v>6</v>
      </c>
      <c r="Q2801" s="1">
        <f>YEAR(Advices[[#This Row],[Transaction Date]])</f>
        <v>2026</v>
      </c>
      <c r="R2801" s="1"/>
    </row>
    <row r="2802" spans="1:18" hidden="1" x14ac:dyDescent="0.25">
      <c r="A2802" s="264" t="s">
        <v>366</v>
      </c>
      <c r="B2802" s="265">
        <v>46177</v>
      </c>
      <c r="C2802" s="264" t="s">
        <v>2060</v>
      </c>
      <c r="D2802" s="264" t="s">
        <v>5506</v>
      </c>
      <c r="E2802" s="264" t="s">
        <v>5433</v>
      </c>
      <c r="F2802" s="264" t="s">
        <v>5433</v>
      </c>
      <c r="G2802" s="264" t="s">
        <v>26</v>
      </c>
      <c r="H2802" s="368">
        <v>1955</v>
      </c>
      <c r="I2802" s="266">
        <v>0</v>
      </c>
      <c r="J2802" s="264" t="s">
        <v>2616</v>
      </c>
      <c r="K2802" s="264" t="s">
        <v>2025</v>
      </c>
      <c r="L2802" s="1" t="str">
        <f>VLOOKUP(Advices[[#This Row],[LC Number]],'Combine_List'!A:D,2,0)</f>
        <v>MARIAM TRADING CO AND PARTNER</v>
      </c>
      <c r="M2802" s="1" t="str">
        <f>VLOOKUP(Advices[[#This Row],[LC Number]],'Combine_List'!A:D,3,0)</f>
        <v>FIRST FIX</v>
      </c>
      <c r="N2802" s="1" t="str">
        <f>VLOOKUP(Advices[[#This Row],[LC Number]],'Combine_List'!A:D,4,0)</f>
        <v>MP1</v>
      </c>
      <c r="O2802" s="1"/>
      <c r="P2802" s="1">
        <f>MONTH(Advices[[#This Row],[Transaction Date]])</f>
        <v>6</v>
      </c>
      <c r="Q2802" s="1">
        <f>YEAR(Advices[[#This Row],[Transaction Date]])</f>
        <v>2026</v>
      </c>
      <c r="R2802" s="1"/>
    </row>
    <row r="2803" spans="1:18" hidden="1" x14ac:dyDescent="0.25">
      <c r="A2803" s="264" t="s">
        <v>366</v>
      </c>
      <c r="B2803" s="265">
        <v>46177</v>
      </c>
      <c r="C2803" s="264" t="s">
        <v>2060</v>
      </c>
      <c r="D2803" s="264" t="s">
        <v>5507</v>
      </c>
      <c r="E2803" s="264" t="s">
        <v>5438</v>
      </c>
      <c r="F2803" s="264" t="s">
        <v>5438</v>
      </c>
      <c r="G2803" s="264" t="s">
        <v>26</v>
      </c>
      <c r="H2803" s="368">
        <v>3392.5</v>
      </c>
      <c r="I2803" s="266">
        <v>0</v>
      </c>
      <c r="J2803" s="264" t="s">
        <v>2616</v>
      </c>
      <c r="K2803" s="264" t="s">
        <v>2025</v>
      </c>
      <c r="L2803" s="1" t="str">
        <f>VLOOKUP(Advices[[#This Row],[LC Number]],'Combine_List'!A:D,2,0)</f>
        <v>TEN POINTS EST.</v>
      </c>
      <c r="M2803" s="1" t="str">
        <f>VLOOKUP(Advices[[#This Row],[LC Number]],'Combine_List'!A:D,3,0)</f>
        <v>FIRST FIX</v>
      </c>
      <c r="N2803" s="1" t="str">
        <f>VLOOKUP(Advices[[#This Row],[LC Number]],'Combine_List'!A:D,4,0)</f>
        <v>MP1</v>
      </c>
      <c r="O2803" s="1"/>
      <c r="P2803" s="1">
        <f>MONTH(Advices[[#This Row],[Transaction Date]])</f>
        <v>6</v>
      </c>
      <c r="Q2803" s="1">
        <f>YEAR(Advices[[#This Row],[Transaction Date]])</f>
        <v>2026</v>
      </c>
      <c r="R2803" s="1"/>
    </row>
    <row r="2804" spans="1:18" hidden="1" x14ac:dyDescent="0.25">
      <c r="A2804" s="264" t="s">
        <v>366</v>
      </c>
      <c r="B2804" s="265">
        <v>46177</v>
      </c>
      <c r="C2804" s="264" t="s">
        <v>2060</v>
      </c>
      <c r="D2804" s="264" t="s">
        <v>5508</v>
      </c>
      <c r="E2804" s="264" t="s">
        <v>5439</v>
      </c>
      <c r="F2804" s="264" t="s">
        <v>5439</v>
      </c>
      <c r="G2804" s="264" t="s">
        <v>26</v>
      </c>
      <c r="H2804" s="368">
        <v>1955</v>
      </c>
      <c r="I2804" s="266">
        <v>0</v>
      </c>
      <c r="J2804" s="264" t="s">
        <v>2616</v>
      </c>
      <c r="K2804" s="264" t="s">
        <v>2025</v>
      </c>
      <c r="L2804" s="1" t="str">
        <f>VLOOKUP(Advices[[#This Row],[LC Number]],'Combine_List'!A:D,2,0)</f>
        <v>AFAQ AL MALAZ TRADING CO.LTD.</v>
      </c>
      <c r="M2804" s="1" t="str">
        <f>VLOOKUP(Advices[[#This Row],[LC Number]],'Combine_List'!A:D,3,0)</f>
        <v>FIRST FIX</v>
      </c>
      <c r="N2804" s="1" t="str">
        <f>VLOOKUP(Advices[[#This Row],[LC Number]],'Combine_List'!A:D,4,0)</f>
        <v>MP1</v>
      </c>
      <c r="O2804" s="1"/>
      <c r="P2804" s="1">
        <f>MONTH(Advices[[#This Row],[Transaction Date]])</f>
        <v>6</v>
      </c>
      <c r="Q2804" s="1">
        <f>YEAR(Advices[[#This Row],[Transaction Date]])</f>
        <v>2026</v>
      </c>
      <c r="R2804" s="1"/>
    </row>
    <row r="2805" spans="1:18" hidden="1" x14ac:dyDescent="0.25">
      <c r="A2805" s="264" t="s">
        <v>366</v>
      </c>
      <c r="B2805" s="265">
        <v>46177</v>
      </c>
      <c r="C2805" s="264" t="s">
        <v>2060</v>
      </c>
      <c r="D2805" s="264" t="s">
        <v>5509</v>
      </c>
      <c r="E2805" s="264" t="s">
        <v>5448</v>
      </c>
      <c r="F2805" s="264" t="s">
        <v>5448</v>
      </c>
      <c r="G2805" s="264" t="s">
        <v>26</v>
      </c>
      <c r="H2805" s="368">
        <v>2530</v>
      </c>
      <c r="I2805" s="266">
        <v>0</v>
      </c>
      <c r="J2805" s="264" t="s">
        <v>2616</v>
      </c>
      <c r="K2805" s="264" t="s">
        <v>2025</v>
      </c>
      <c r="L2805" s="1" t="str">
        <f>VLOOKUP(Advices[[#This Row],[LC Number]],'Combine_List'!A:D,2,0)</f>
        <v>Systemair For Electrical Equipment Co.</v>
      </c>
      <c r="M2805" s="1" t="str">
        <f>VLOOKUP(Advices[[#This Row],[LC Number]],'Combine_List'!A:D,3,0)</f>
        <v>FIRST FIX</v>
      </c>
      <c r="N2805" s="1" t="str">
        <f>VLOOKUP(Advices[[#This Row],[LC Number]],'Combine_List'!A:D,4,0)</f>
        <v>MP1</v>
      </c>
      <c r="O2805" s="1"/>
      <c r="P2805" s="1">
        <f>MONTH(Advices[[#This Row],[Transaction Date]])</f>
        <v>6</v>
      </c>
      <c r="Q2805" s="1">
        <f>YEAR(Advices[[#This Row],[Transaction Date]])</f>
        <v>2026</v>
      </c>
      <c r="R2805" s="1"/>
    </row>
    <row r="2806" spans="1:18" hidden="1" x14ac:dyDescent="0.25">
      <c r="A2806" s="264" t="s">
        <v>366</v>
      </c>
      <c r="B2806" s="265">
        <v>46177</v>
      </c>
      <c r="C2806" s="264" t="s">
        <v>2060</v>
      </c>
      <c r="D2806" s="264" t="s">
        <v>5510</v>
      </c>
      <c r="E2806" s="264" t="s">
        <v>5447</v>
      </c>
      <c r="F2806" s="264" t="s">
        <v>5447</v>
      </c>
      <c r="G2806" s="264" t="s">
        <v>26</v>
      </c>
      <c r="H2806" s="368">
        <v>1955</v>
      </c>
      <c r="I2806" s="266">
        <v>0</v>
      </c>
      <c r="J2806" s="264" t="s">
        <v>2616</v>
      </c>
      <c r="K2806" s="264" t="s">
        <v>2025</v>
      </c>
      <c r="L2806" s="1" t="str">
        <f>VLOOKUP(Advices[[#This Row],[LC Number]],'Combine_List'!A:D,2,0)</f>
        <v>TECHNICAL TOOLS TRADING CO.</v>
      </c>
      <c r="M2806" s="1" t="str">
        <f>VLOOKUP(Advices[[#This Row],[LC Number]],'Combine_List'!A:D,3,0)</f>
        <v>FIRST FIX</v>
      </c>
      <c r="N2806" s="1" t="str">
        <f>VLOOKUP(Advices[[#This Row],[LC Number]],'Combine_List'!A:D,4,0)</f>
        <v>MP1</v>
      </c>
      <c r="O2806" s="1"/>
      <c r="P2806" s="1">
        <f>MONTH(Advices[[#This Row],[Transaction Date]])</f>
        <v>6</v>
      </c>
      <c r="Q2806" s="1">
        <f>YEAR(Advices[[#This Row],[Transaction Date]])</f>
        <v>2026</v>
      </c>
      <c r="R2806" s="1"/>
    </row>
    <row r="2807" spans="1:18" hidden="1" x14ac:dyDescent="0.25">
      <c r="A2807" s="264" t="s">
        <v>366</v>
      </c>
      <c r="B2807" s="265">
        <v>46177</v>
      </c>
      <c r="C2807" s="264" t="s">
        <v>2060</v>
      </c>
      <c r="D2807" s="264" t="s">
        <v>5511</v>
      </c>
      <c r="E2807" s="264" t="s">
        <v>5446</v>
      </c>
      <c r="F2807" s="264" t="s">
        <v>5446</v>
      </c>
      <c r="G2807" s="264" t="s">
        <v>26</v>
      </c>
      <c r="H2807" s="368">
        <v>1754.21</v>
      </c>
      <c r="I2807" s="266">
        <v>0</v>
      </c>
      <c r="J2807" s="264" t="s">
        <v>2616</v>
      </c>
      <c r="K2807" s="264" t="s">
        <v>2025</v>
      </c>
      <c r="L2807" s="1" t="str">
        <f>VLOOKUP(Advices[[#This Row],[LC Number]],'Combine_List'!A:D,2,0)</f>
        <v>RAPID SAUDI ARABIA CO LIMITED.</v>
      </c>
      <c r="M2807" s="1" t="str">
        <f>VLOOKUP(Advices[[#This Row],[LC Number]],'Combine_List'!A:D,3,0)</f>
        <v>FIRST FIX</v>
      </c>
      <c r="N2807" s="1" t="str">
        <f>VLOOKUP(Advices[[#This Row],[LC Number]],'Combine_List'!A:D,4,0)</f>
        <v>MP1</v>
      </c>
      <c r="O2807" s="1"/>
      <c r="P2807" s="1">
        <f>MONTH(Advices[[#This Row],[Transaction Date]])</f>
        <v>6</v>
      </c>
      <c r="Q2807" s="1">
        <f>YEAR(Advices[[#This Row],[Transaction Date]])</f>
        <v>2026</v>
      </c>
      <c r="R2807" s="1"/>
    </row>
    <row r="2808" spans="1:18" hidden="1" x14ac:dyDescent="0.25">
      <c r="A2808" s="264" t="s">
        <v>366</v>
      </c>
      <c r="B2808" s="265">
        <v>46177</v>
      </c>
      <c r="C2808" s="264" t="s">
        <v>2060</v>
      </c>
      <c r="D2808" s="264" t="s">
        <v>5512</v>
      </c>
      <c r="E2808" s="264" t="s">
        <v>5445</v>
      </c>
      <c r="F2808" s="264" t="s">
        <v>5445</v>
      </c>
      <c r="G2808" s="264" t="s">
        <v>26</v>
      </c>
      <c r="H2808" s="368">
        <v>2530</v>
      </c>
      <c r="I2808" s="266">
        <v>0</v>
      </c>
      <c r="J2808" s="264" t="s">
        <v>2616</v>
      </c>
      <c r="K2808" s="264" t="s">
        <v>2025</v>
      </c>
      <c r="L2808" s="1" t="str">
        <f>VLOOKUP(Advices[[#This Row],[LC Number]],'Combine_List'!A:D,2,0)</f>
        <v>Machinery Land Equipment Rental.</v>
      </c>
      <c r="M2808" s="1" t="str">
        <f>VLOOKUP(Advices[[#This Row],[LC Number]],'Combine_List'!A:D,3,0)</f>
        <v>FIRST FIX</v>
      </c>
      <c r="N2808" s="1" t="str">
        <f>VLOOKUP(Advices[[#This Row],[LC Number]],'Combine_List'!A:D,4,0)</f>
        <v>MP1</v>
      </c>
      <c r="O2808" s="1"/>
      <c r="P2808" s="1">
        <f>MONTH(Advices[[#This Row],[Transaction Date]])</f>
        <v>6</v>
      </c>
      <c r="Q2808" s="1">
        <f>YEAR(Advices[[#This Row],[Transaction Date]])</f>
        <v>2026</v>
      </c>
      <c r="R2808" s="1"/>
    </row>
    <row r="2809" spans="1:18" hidden="1" x14ac:dyDescent="0.25">
      <c r="A2809" s="264" t="s">
        <v>366</v>
      </c>
      <c r="B2809" s="265">
        <v>46177</v>
      </c>
      <c r="C2809" s="264" t="s">
        <v>2060</v>
      </c>
      <c r="D2809" s="264" t="s">
        <v>5513</v>
      </c>
      <c r="E2809" s="264" t="s">
        <v>5444</v>
      </c>
      <c r="F2809" s="264" t="s">
        <v>5444</v>
      </c>
      <c r="G2809" s="264" t="s">
        <v>26</v>
      </c>
      <c r="H2809" s="368">
        <v>2530</v>
      </c>
      <c r="I2809" s="266">
        <v>0</v>
      </c>
      <c r="J2809" s="264" t="s">
        <v>2616</v>
      </c>
      <c r="K2809" s="264" t="s">
        <v>2025</v>
      </c>
      <c r="L2809" s="1" t="str">
        <f>VLOOKUP(Advices[[#This Row],[LC Number]],'Combine_List'!A:D,2,0)</f>
        <v>GALAXY TECHOLOGY CO.</v>
      </c>
      <c r="M2809" s="1" t="str">
        <f>VLOOKUP(Advices[[#This Row],[LC Number]],'Combine_List'!A:D,3,0)</f>
        <v>FIRST FIX</v>
      </c>
      <c r="N2809" s="1" t="str">
        <f>VLOOKUP(Advices[[#This Row],[LC Number]],'Combine_List'!A:D,4,0)</f>
        <v>MP1</v>
      </c>
      <c r="O2809" s="1"/>
      <c r="P2809" s="1">
        <f>MONTH(Advices[[#This Row],[Transaction Date]])</f>
        <v>6</v>
      </c>
      <c r="Q2809" s="1">
        <f>YEAR(Advices[[#This Row],[Transaction Date]])</f>
        <v>2026</v>
      </c>
      <c r="R2809" s="1"/>
    </row>
    <row r="2810" spans="1:18" hidden="1" x14ac:dyDescent="0.25">
      <c r="A2810" s="264" t="s">
        <v>366</v>
      </c>
      <c r="B2810" s="265">
        <v>46177</v>
      </c>
      <c r="C2810" s="264" t="s">
        <v>2060</v>
      </c>
      <c r="D2810" s="264" t="s">
        <v>5514</v>
      </c>
      <c r="E2810" s="264" t="s">
        <v>5443</v>
      </c>
      <c r="F2810" s="264" t="s">
        <v>5443</v>
      </c>
      <c r="G2810" s="264" t="s">
        <v>26</v>
      </c>
      <c r="H2810" s="368">
        <v>1955</v>
      </c>
      <c r="I2810" s="266">
        <v>0</v>
      </c>
      <c r="J2810" s="264" t="s">
        <v>2616</v>
      </c>
      <c r="K2810" s="264" t="s">
        <v>2025</v>
      </c>
      <c r="L2810" s="1" t="str">
        <f>VLOOKUP(Advices[[#This Row],[LC Number]],'Combine_List'!A:D,2,0)</f>
        <v>Al-Sayed Center A/C for Materials Company</v>
      </c>
      <c r="M2810" s="1" t="str">
        <f>VLOOKUP(Advices[[#This Row],[LC Number]],'Combine_List'!A:D,3,0)</f>
        <v>FIRST FIX</v>
      </c>
      <c r="N2810" s="1" t="str">
        <f>VLOOKUP(Advices[[#This Row],[LC Number]],'Combine_List'!A:D,4,0)</f>
        <v>MP1</v>
      </c>
      <c r="O2810" s="1"/>
      <c r="P2810" s="1">
        <f>MONTH(Advices[[#This Row],[Transaction Date]])</f>
        <v>6</v>
      </c>
      <c r="Q2810" s="1">
        <f>YEAR(Advices[[#This Row],[Transaction Date]])</f>
        <v>2026</v>
      </c>
      <c r="R2810" s="1"/>
    </row>
    <row r="2811" spans="1:18" hidden="1" x14ac:dyDescent="0.25">
      <c r="A2811" s="264" t="s">
        <v>366</v>
      </c>
      <c r="B2811" s="265">
        <v>46177</v>
      </c>
      <c r="C2811" s="264" t="s">
        <v>2060</v>
      </c>
      <c r="D2811" s="264" t="s">
        <v>5515</v>
      </c>
      <c r="E2811" s="264" t="s">
        <v>5425</v>
      </c>
      <c r="F2811" s="264" t="s">
        <v>5425</v>
      </c>
      <c r="G2811" s="264" t="s">
        <v>26</v>
      </c>
      <c r="H2811" s="368">
        <v>1955</v>
      </c>
      <c r="I2811" s="266">
        <v>0</v>
      </c>
      <c r="J2811" s="264" t="s">
        <v>2616</v>
      </c>
      <c r="K2811" s="264" t="s">
        <v>2025</v>
      </c>
      <c r="L2811" s="1" t="str">
        <f>VLOOKUP(Advices[[#This Row],[LC Number]],'Combine_List'!A:D,2,0)</f>
        <v>Establishment Marjane El- Shammal for watertransport and distribution</v>
      </c>
      <c r="M2811" s="1" t="str">
        <f>VLOOKUP(Advices[[#This Row],[LC Number]],'Combine_List'!A:D,3,0)</f>
        <v>FIRST FIX</v>
      </c>
      <c r="N2811" s="1" t="str">
        <f>VLOOKUP(Advices[[#This Row],[LC Number]],'Combine_List'!A:D,4,0)</f>
        <v>MP1</v>
      </c>
      <c r="O2811" s="1"/>
      <c r="P2811" s="1">
        <f>MONTH(Advices[[#This Row],[Transaction Date]])</f>
        <v>6</v>
      </c>
      <c r="Q2811" s="1">
        <f>YEAR(Advices[[#This Row],[Transaction Date]])</f>
        <v>2026</v>
      </c>
      <c r="R2811" s="1"/>
    </row>
    <row r="2812" spans="1:18" hidden="1" x14ac:dyDescent="0.25">
      <c r="A2812" s="264" t="s">
        <v>366</v>
      </c>
      <c r="B2812" s="265">
        <v>46177</v>
      </c>
      <c r="C2812" s="264" t="s">
        <v>2060</v>
      </c>
      <c r="D2812" s="264" t="s">
        <v>5516</v>
      </c>
      <c r="E2812" s="264" t="s">
        <v>5442</v>
      </c>
      <c r="F2812" s="264" t="s">
        <v>5442</v>
      </c>
      <c r="G2812" s="264" t="s">
        <v>26</v>
      </c>
      <c r="H2812" s="368">
        <v>1811.25</v>
      </c>
      <c r="I2812" s="266">
        <v>0</v>
      </c>
      <c r="J2812" s="264" t="s">
        <v>2616</v>
      </c>
      <c r="K2812" s="264" t="s">
        <v>2025</v>
      </c>
      <c r="L2812" s="264" t="str">
        <f>VLOOKUP(Advices[[#This Row],[LC Number]],'Combine_List'!A:D,2,0)</f>
        <v>National Fire Fighting Manufacturing FZCO BR.</v>
      </c>
      <c r="M2812" s="264" t="str">
        <f>VLOOKUP(Advices[[#This Row],[LC Number]],'Combine_List'!A:D,3,0)</f>
        <v>FIRST FIX</v>
      </c>
      <c r="N2812" s="264" t="str">
        <f>VLOOKUP(Advices[[#This Row],[LC Number]],'Combine_List'!A:D,4,0)</f>
        <v>MP1</v>
      </c>
      <c r="O2812" s="264"/>
      <c r="P2812" s="264">
        <f>MONTH(Advices[[#This Row],[Transaction Date]])</f>
        <v>6</v>
      </c>
      <c r="Q2812" s="264">
        <f>YEAR(Advices[[#This Row],[Transaction Date]])</f>
        <v>2026</v>
      </c>
      <c r="R2812" s="264"/>
    </row>
    <row r="2813" spans="1:18" hidden="1" x14ac:dyDescent="0.25">
      <c r="A2813" s="264" t="s">
        <v>1073</v>
      </c>
      <c r="B2813" s="265">
        <v>46177</v>
      </c>
      <c r="C2813" s="264" t="s">
        <v>3164</v>
      </c>
      <c r="D2813" s="264" t="s">
        <v>5517</v>
      </c>
      <c r="E2813" s="264" t="s">
        <v>5192</v>
      </c>
      <c r="F2813" s="264" t="s">
        <v>5192</v>
      </c>
      <c r="G2813" s="264" t="s">
        <v>26</v>
      </c>
      <c r="H2813" s="368">
        <v>0</v>
      </c>
      <c r="I2813" s="266">
        <v>321752.44</v>
      </c>
      <c r="J2813" s="264" t="s">
        <v>5577</v>
      </c>
      <c r="K2813" s="264" t="s">
        <v>2025</v>
      </c>
      <c r="L2813" s="1" t="str">
        <f>VLOOKUP(Advices[[#This Row],[LC Number]],'Combine_List'!A:D,2,0)</f>
        <v>Henan Chongpeng Machinery Co Ltd</v>
      </c>
      <c r="M2813" s="1" t="str">
        <f>VLOOKUP(Advices[[#This Row],[LC Number]],'Combine_List'!A:D,3,0)</f>
        <v>MBL</v>
      </c>
      <c r="N2813" s="1" t="str">
        <f>VLOOKUP(Advices[[#This Row],[LC Number]],'Combine_List'!A:D,4,0)</f>
        <v>Lagoon</v>
      </c>
      <c r="O2813" s="1"/>
      <c r="P2813" s="1">
        <f>MONTH(Advices[[#This Row],[Transaction Date]])</f>
        <v>6</v>
      </c>
      <c r="Q2813" s="1">
        <f>YEAR(Advices[[#This Row],[Transaction Date]])</f>
        <v>2026</v>
      </c>
      <c r="R2813" s="1"/>
    </row>
    <row r="2814" spans="1:18" hidden="1" x14ac:dyDescent="0.25">
      <c r="A2814" s="264" t="s">
        <v>1073</v>
      </c>
      <c r="B2814" s="265">
        <v>46180</v>
      </c>
      <c r="C2814" s="264" t="s">
        <v>3164</v>
      </c>
      <c r="D2814" s="264" t="s">
        <v>4301</v>
      </c>
      <c r="E2814" s="264" t="s">
        <v>4546</v>
      </c>
      <c r="F2814" s="264" t="s">
        <v>2041</v>
      </c>
      <c r="G2814" s="264" t="s">
        <v>26</v>
      </c>
      <c r="H2814" s="368">
        <v>1031998.5</v>
      </c>
      <c r="I2814" s="266">
        <v>0</v>
      </c>
      <c r="J2814" s="264" t="s">
        <v>2041</v>
      </c>
      <c r="K2814" s="264" t="s">
        <v>2025</v>
      </c>
      <c r="L2814" s="1" t="str">
        <f>VLOOKUP(Advices[[#This Row],[LC Number]],'Combine_List'!A:D,2,0)</f>
        <v>Ready Mix Company Limited.</v>
      </c>
      <c r="M2814" s="1" t="str">
        <f>VLOOKUP(Advices[[#This Row],[LC Number]],'Combine_List'!A:D,3,0)</f>
        <v>MBL</v>
      </c>
      <c r="N2814" s="1" t="str">
        <f>VLOOKUP(Advices[[#This Row],[LC Number]],'Combine_List'!A:D,4,0)</f>
        <v>Lagoon</v>
      </c>
      <c r="O2814" s="1"/>
      <c r="P2814" s="1">
        <f>MONTH(Advices[[#This Row],[Transaction Date]])</f>
        <v>6</v>
      </c>
      <c r="Q2814" s="1">
        <f>YEAR(Advices[[#This Row],[Transaction Date]])</f>
        <v>2026</v>
      </c>
      <c r="R2814" s="1"/>
    </row>
    <row r="2815" spans="1:18" hidden="1" x14ac:dyDescent="0.25">
      <c r="A2815" s="264" t="s">
        <v>1073</v>
      </c>
      <c r="B2815" s="265">
        <v>46180</v>
      </c>
      <c r="C2815" s="264" t="s">
        <v>3164</v>
      </c>
      <c r="D2815" s="264" t="s">
        <v>3166</v>
      </c>
      <c r="E2815" s="264" t="s">
        <v>4546</v>
      </c>
      <c r="F2815" s="264" t="s">
        <v>2041</v>
      </c>
      <c r="G2815" s="264" t="s">
        <v>26</v>
      </c>
      <c r="H2815" s="368">
        <v>250</v>
      </c>
      <c r="I2815" s="266">
        <v>0</v>
      </c>
      <c r="J2815" s="264" t="s">
        <v>2041</v>
      </c>
      <c r="K2815" s="264" t="s">
        <v>2025</v>
      </c>
      <c r="L2815" s="1" t="str">
        <f>VLOOKUP(Advices[[#This Row],[LC Number]],'Combine_List'!A:D,2,0)</f>
        <v>Ready Mix Company Limited.</v>
      </c>
      <c r="M2815" s="1" t="str">
        <f>VLOOKUP(Advices[[#This Row],[LC Number]],'Combine_List'!A:D,3,0)</f>
        <v>MBL</v>
      </c>
      <c r="N2815" s="1" t="str">
        <f>VLOOKUP(Advices[[#This Row],[LC Number]],'Combine_List'!A:D,4,0)</f>
        <v>Lagoon</v>
      </c>
      <c r="O2815" s="1"/>
      <c r="P2815" s="1">
        <f>MONTH(Advices[[#This Row],[Transaction Date]])</f>
        <v>6</v>
      </c>
      <c r="Q2815" s="1">
        <f>YEAR(Advices[[#This Row],[Transaction Date]])</f>
        <v>2026</v>
      </c>
      <c r="R2815" s="1"/>
    </row>
    <row r="2816" spans="1:18" hidden="1" x14ac:dyDescent="0.25">
      <c r="A2816" s="264" t="s">
        <v>1073</v>
      </c>
      <c r="B2816" s="265">
        <v>46180</v>
      </c>
      <c r="C2816" s="264" t="s">
        <v>3164</v>
      </c>
      <c r="D2816" s="264" t="s">
        <v>3168</v>
      </c>
      <c r="E2816" s="264" t="s">
        <v>4546</v>
      </c>
      <c r="F2816" s="264" t="s">
        <v>2041</v>
      </c>
      <c r="G2816" s="264" t="s">
        <v>26</v>
      </c>
      <c r="H2816" s="368">
        <v>37.5</v>
      </c>
      <c r="I2816" s="266">
        <v>0</v>
      </c>
      <c r="J2816" s="264" t="s">
        <v>2041</v>
      </c>
      <c r="K2816" s="264" t="s">
        <v>2025</v>
      </c>
      <c r="L2816" s="264" t="str">
        <f>VLOOKUP(Advices[[#This Row],[LC Number]],'Combine_List'!A:D,2,0)</f>
        <v>Ready Mix Company Limited.</v>
      </c>
      <c r="M2816" s="264" t="str">
        <f>VLOOKUP(Advices[[#This Row],[LC Number]],'Combine_List'!A:D,3,0)</f>
        <v>MBL</v>
      </c>
      <c r="N2816" s="264" t="str">
        <f>VLOOKUP(Advices[[#This Row],[LC Number]],'Combine_List'!A:D,4,0)</f>
        <v>Lagoon</v>
      </c>
      <c r="O2816" s="264"/>
      <c r="P2816" s="264">
        <f>MONTH(Advices[[#This Row],[Transaction Date]])</f>
        <v>6</v>
      </c>
      <c r="Q2816" s="264">
        <f>YEAR(Advices[[#This Row],[Transaction Date]])</f>
        <v>2026</v>
      </c>
      <c r="R2816" s="264"/>
    </row>
    <row r="2817" spans="1:18" hidden="1" x14ac:dyDescent="0.25">
      <c r="A2817" s="264" t="s">
        <v>612</v>
      </c>
      <c r="B2817" s="265">
        <v>46175</v>
      </c>
      <c r="C2817" s="264" t="s">
        <v>2101</v>
      </c>
      <c r="D2817" s="264" t="s">
        <v>5518</v>
      </c>
      <c r="E2817" s="264" t="s">
        <v>4935</v>
      </c>
      <c r="F2817" s="264" t="s">
        <v>2041</v>
      </c>
      <c r="G2817" s="264" t="s">
        <v>26</v>
      </c>
      <c r="H2817" s="368">
        <v>266683.64</v>
      </c>
      <c r="I2817" s="266">
        <v>0</v>
      </c>
      <c r="J2817" s="264" t="s">
        <v>2793</v>
      </c>
      <c r="K2817" s="264" t="s">
        <v>2025</v>
      </c>
      <c r="L2817" s="1" t="str">
        <f>VLOOKUP(Advices[[#This Row],[LC Number]],'Combine_List'!A:D,2,0)</f>
        <v>Performance - ROYAL COMMISSION FOR RIYADH CITY (RCRC)</v>
      </c>
      <c r="M2817" s="1">
        <f>VLOOKUP(Advices[[#This Row],[LC Number]],'Combine_List'!A:D,3,0)</f>
        <v>0</v>
      </c>
      <c r="N2817" s="1">
        <f>VLOOKUP(Advices[[#This Row],[LC Number]],'Combine_List'!A:D,4,0)</f>
        <v>0</v>
      </c>
      <c r="O2817" s="1"/>
      <c r="P2817" s="1">
        <f>MONTH(Advices[[#This Row],[Transaction Date]])</f>
        <v>6</v>
      </c>
      <c r="Q2817" s="1">
        <f>YEAR(Advices[[#This Row],[Transaction Date]])</f>
        <v>2026</v>
      </c>
      <c r="R2817" s="1"/>
    </row>
    <row r="2818" spans="1:18" hidden="1" x14ac:dyDescent="0.25">
      <c r="A2818" s="264" t="s">
        <v>612</v>
      </c>
      <c r="B2818" s="265">
        <v>46175</v>
      </c>
      <c r="C2818" s="264" t="s">
        <v>2101</v>
      </c>
      <c r="D2818" s="264" t="s">
        <v>5519</v>
      </c>
      <c r="E2818" s="264" t="s">
        <v>4935</v>
      </c>
      <c r="F2818" s="264" t="s">
        <v>2041</v>
      </c>
      <c r="G2818" s="264" t="s">
        <v>26</v>
      </c>
      <c r="H2818" s="368">
        <v>40002.550000000003</v>
      </c>
      <c r="I2818" s="266">
        <v>0</v>
      </c>
      <c r="J2818" s="264" t="s">
        <v>1174</v>
      </c>
      <c r="K2818" s="264" t="s">
        <v>2025</v>
      </c>
      <c r="L2818" s="1" t="str">
        <f>VLOOKUP(Advices[[#This Row],[LC Number]],'Combine_List'!A:D,2,0)</f>
        <v>Performance - ROYAL COMMISSION FOR RIYADH CITY (RCRC)</v>
      </c>
      <c r="M2818" s="1">
        <f>VLOOKUP(Advices[[#This Row],[LC Number]],'Combine_List'!A:D,3,0)</f>
        <v>0</v>
      </c>
      <c r="N2818" s="1">
        <f>VLOOKUP(Advices[[#This Row],[LC Number]],'Combine_List'!A:D,4,0)</f>
        <v>0</v>
      </c>
      <c r="O2818" s="1"/>
      <c r="P2818" s="1">
        <f>MONTH(Advices[[#This Row],[Transaction Date]])</f>
        <v>6</v>
      </c>
      <c r="Q2818" s="1">
        <f>YEAR(Advices[[#This Row],[Transaction Date]])</f>
        <v>2026</v>
      </c>
      <c r="R2818" s="1"/>
    </row>
    <row r="2819" spans="1:18" hidden="1" x14ac:dyDescent="0.25">
      <c r="A2819" s="264" t="s">
        <v>612</v>
      </c>
      <c r="B2819" s="265">
        <v>46175</v>
      </c>
      <c r="C2819" s="264" t="s">
        <v>2101</v>
      </c>
      <c r="D2819" s="264" t="s">
        <v>5520</v>
      </c>
      <c r="E2819" s="264" t="s">
        <v>4935</v>
      </c>
      <c r="F2819" s="264" t="s">
        <v>2041</v>
      </c>
      <c r="G2819" s="264" t="s">
        <v>26</v>
      </c>
      <c r="H2819" s="368">
        <v>1015901.21</v>
      </c>
      <c r="I2819" s="266">
        <v>0</v>
      </c>
      <c r="J2819" s="264" t="s">
        <v>2793</v>
      </c>
      <c r="K2819" s="264" t="s">
        <v>2025</v>
      </c>
      <c r="L2819" s="1" t="str">
        <f>VLOOKUP(Advices[[#This Row],[LC Number]],'Combine_List'!A:D,2,0)</f>
        <v>Performance - ROYAL COMMISSION FOR RIYADH CITY (RCRC)</v>
      </c>
      <c r="M2819" s="1">
        <f>VLOOKUP(Advices[[#This Row],[LC Number]],'Combine_List'!A:D,3,0)</f>
        <v>0</v>
      </c>
      <c r="N2819" s="1">
        <f>VLOOKUP(Advices[[#This Row],[LC Number]],'Combine_List'!A:D,4,0)</f>
        <v>0</v>
      </c>
      <c r="O2819" s="1"/>
      <c r="P2819" s="1">
        <f>MONTH(Advices[[#This Row],[Transaction Date]])</f>
        <v>6</v>
      </c>
      <c r="Q2819" s="1">
        <f>YEAR(Advices[[#This Row],[Transaction Date]])</f>
        <v>2026</v>
      </c>
      <c r="R2819" s="1"/>
    </row>
    <row r="2820" spans="1:18" hidden="1" x14ac:dyDescent="0.25">
      <c r="A2820" s="264" t="s">
        <v>612</v>
      </c>
      <c r="B2820" s="265">
        <v>46175</v>
      </c>
      <c r="C2820" s="264" t="s">
        <v>2101</v>
      </c>
      <c r="D2820" s="264" t="s">
        <v>5521</v>
      </c>
      <c r="E2820" s="264" t="s">
        <v>4935</v>
      </c>
      <c r="F2820" s="264" t="s">
        <v>2041</v>
      </c>
      <c r="G2820" s="264" t="s">
        <v>26</v>
      </c>
      <c r="H2820" s="368">
        <v>152385.18</v>
      </c>
      <c r="I2820" s="266">
        <v>0</v>
      </c>
      <c r="J2820" s="264" t="s">
        <v>1174</v>
      </c>
      <c r="K2820" s="264" t="s">
        <v>2025</v>
      </c>
      <c r="L2820" s="1" t="str">
        <f>VLOOKUP(Advices[[#This Row],[LC Number]],'Combine_List'!A:D,2,0)</f>
        <v>Performance - ROYAL COMMISSION FOR RIYADH CITY (RCRC)</v>
      </c>
      <c r="M2820" s="1">
        <f>VLOOKUP(Advices[[#This Row],[LC Number]],'Combine_List'!A:D,3,0)</f>
        <v>0</v>
      </c>
      <c r="N2820" s="1">
        <f>VLOOKUP(Advices[[#This Row],[LC Number]],'Combine_List'!A:D,4,0)</f>
        <v>0</v>
      </c>
      <c r="O2820" s="1"/>
      <c r="P2820" s="1">
        <f>MONTH(Advices[[#This Row],[Transaction Date]])</f>
        <v>6</v>
      </c>
      <c r="Q2820" s="1">
        <f>YEAR(Advices[[#This Row],[Transaction Date]])</f>
        <v>2026</v>
      </c>
      <c r="R2820" s="1"/>
    </row>
    <row r="2821" spans="1:18" hidden="1" x14ac:dyDescent="0.25">
      <c r="A2821" s="264" t="s">
        <v>612</v>
      </c>
      <c r="B2821" s="265">
        <v>46176</v>
      </c>
      <c r="C2821" s="264" t="s">
        <v>2101</v>
      </c>
      <c r="D2821" s="264" t="s">
        <v>5522</v>
      </c>
      <c r="E2821" s="264" t="s">
        <v>2287</v>
      </c>
      <c r="F2821" s="264" t="s">
        <v>2041</v>
      </c>
      <c r="G2821" s="264" t="s">
        <v>26</v>
      </c>
      <c r="H2821" s="368">
        <v>100</v>
      </c>
      <c r="I2821" s="266">
        <v>0</v>
      </c>
      <c r="J2821" s="264" t="s">
        <v>1125</v>
      </c>
      <c r="K2821" s="264" t="s">
        <v>2025</v>
      </c>
      <c r="L2821" s="1" t="str">
        <f>VLOOKUP(Advices[[#This Row],[LC Number]],'Combine_List'!A:D,2,0)</f>
        <v>Alrashid Trading and Contracting Company</v>
      </c>
      <c r="M2821" s="1" t="str">
        <f>VLOOKUP(Advices[[#This Row],[LC Number]],'Combine_List'!A:D,3,0)</f>
        <v>MBL</v>
      </c>
      <c r="N2821" s="1" t="str">
        <f>VLOOKUP(Advices[[#This Row],[LC Number]],'Combine_List'!A:D,4,0)</f>
        <v>RCRC</v>
      </c>
      <c r="O2821" s="1"/>
      <c r="P2821" s="1">
        <f>MONTH(Advices[[#This Row],[Transaction Date]])</f>
        <v>6</v>
      </c>
      <c r="Q2821" s="1">
        <f>YEAR(Advices[[#This Row],[Transaction Date]])</f>
        <v>2026</v>
      </c>
      <c r="R2821" s="1"/>
    </row>
    <row r="2822" spans="1:18" hidden="1" x14ac:dyDescent="0.25">
      <c r="A2822" s="264" t="s">
        <v>612</v>
      </c>
      <c r="B2822" s="265">
        <v>46176</v>
      </c>
      <c r="C2822" s="264" t="s">
        <v>2101</v>
      </c>
      <c r="D2822" s="264" t="s">
        <v>5523</v>
      </c>
      <c r="E2822" s="264" t="s">
        <v>2287</v>
      </c>
      <c r="F2822" s="264" t="s">
        <v>2041</v>
      </c>
      <c r="G2822" s="264" t="s">
        <v>26</v>
      </c>
      <c r="H2822" s="368">
        <v>15</v>
      </c>
      <c r="I2822" s="266">
        <v>0</v>
      </c>
      <c r="J2822" s="264" t="s">
        <v>1174</v>
      </c>
      <c r="K2822" s="264" t="s">
        <v>2025</v>
      </c>
      <c r="L2822" s="1" t="str">
        <f>VLOOKUP(Advices[[#This Row],[LC Number]],'Combine_List'!A:D,2,0)</f>
        <v>Alrashid Trading and Contracting Company</v>
      </c>
      <c r="M2822" s="1" t="str">
        <f>VLOOKUP(Advices[[#This Row],[LC Number]],'Combine_List'!A:D,3,0)</f>
        <v>MBL</v>
      </c>
      <c r="N2822" s="1" t="str">
        <f>VLOOKUP(Advices[[#This Row],[LC Number]],'Combine_List'!A:D,4,0)</f>
        <v>RCRC</v>
      </c>
      <c r="O2822" s="1"/>
      <c r="P2822" s="1">
        <f>MONTH(Advices[[#This Row],[Transaction Date]])</f>
        <v>6</v>
      </c>
      <c r="Q2822" s="1">
        <f>YEAR(Advices[[#This Row],[Transaction Date]])</f>
        <v>2026</v>
      </c>
      <c r="R2822" s="1"/>
    </row>
    <row r="2823" spans="1:18" hidden="1" x14ac:dyDescent="0.25">
      <c r="A2823" s="264" t="s">
        <v>612</v>
      </c>
      <c r="B2823" s="265">
        <v>46176</v>
      </c>
      <c r="C2823" s="264" t="s">
        <v>2101</v>
      </c>
      <c r="D2823" s="264" t="s">
        <v>5524</v>
      </c>
      <c r="E2823" s="264" t="s">
        <v>2287</v>
      </c>
      <c r="F2823" s="264" t="s">
        <v>2041</v>
      </c>
      <c r="G2823" s="264" t="s">
        <v>26</v>
      </c>
      <c r="H2823" s="368">
        <v>502</v>
      </c>
      <c r="I2823" s="266">
        <v>0</v>
      </c>
      <c r="J2823" s="264" t="s">
        <v>1125</v>
      </c>
      <c r="K2823" s="264" t="s">
        <v>2025</v>
      </c>
      <c r="L2823" s="1" t="str">
        <f>VLOOKUP(Advices[[#This Row],[LC Number]],'Combine_List'!A:D,2,0)</f>
        <v>Alrashid Trading and Contracting Company</v>
      </c>
      <c r="M2823" s="1" t="str">
        <f>VLOOKUP(Advices[[#This Row],[LC Number]],'Combine_List'!A:D,3,0)</f>
        <v>MBL</v>
      </c>
      <c r="N2823" s="1" t="str">
        <f>VLOOKUP(Advices[[#This Row],[LC Number]],'Combine_List'!A:D,4,0)</f>
        <v>RCRC</v>
      </c>
      <c r="O2823" s="1"/>
      <c r="P2823" s="1">
        <f>MONTH(Advices[[#This Row],[Transaction Date]])</f>
        <v>6</v>
      </c>
      <c r="Q2823" s="1">
        <f>YEAR(Advices[[#This Row],[Transaction Date]])</f>
        <v>2026</v>
      </c>
      <c r="R2823" s="1"/>
    </row>
    <row r="2824" spans="1:18" hidden="1" x14ac:dyDescent="0.25">
      <c r="A2824" s="264" t="s">
        <v>612</v>
      </c>
      <c r="B2824" s="265">
        <v>46176</v>
      </c>
      <c r="C2824" s="264" t="s">
        <v>2101</v>
      </c>
      <c r="D2824" s="264" t="s">
        <v>5525</v>
      </c>
      <c r="E2824" s="264" t="s">
        <v>2287</v>
      </c>
      <c r="F2824" s="264" t="s">
        <v>2041</v>
      </c>
      <c r="G2824" s="264" t="s">
        <v>26</v>
      </c>
      <c r="H2824" s="368">
        <v>75.3</v>
      </c>
      <c r="I2824" s="266">
        <v>0</v>
      </c>
      <c r="J2824" s="264" t="s">
        <v>1174</v>
      </c>
      <c r="K2824" s="264" t="s">
        <v>2025</v>
      </c>
      <c r="L2824" s="1" t="str">
        <f>VLOOKUP(Advices[[#This Row],[LC Number]],'Combine_List'!A:D,2,0)</f>
        <v>Alrashid Trading and Contracting Company</v>
      </c>
      <c r="M2824" s="1" t="str">
        <f>VLOOKUP(Advices[[#This Row],[LC Number]],'Combine_List'!A:D,3,0)</f>
        <v>MBL</v>
      </c>
      <c r="N2824" s="1" t="str">
        <f>VLOOKUP(Advices[[#This Row],[LC Number]],'Combine_List'!A:D,4,0)</f>
        <v>RCRC</v>
      </c>
      <c r="O2824" s="1"/>
      <c r="P2824" s="1">
        <f>MONTH(Advices[[#This Row],[Transaction Date]])</f>
        <v>6</v>
      </c>
      <c r="Q2824" s="1">
        <f>YEAR(Advices[[#This Row],[Transaction Date]])</f>
        <v>2026</v>
      </c>
      <c r="R2824" s="1"/>
    </row>
    <row r="2825" spans="1:18" hidden="1" x14ac:dyDescent="0.25">
      <c r="A2825" s="264" t="s">
        <v>612</v>
      </c>
      <c r="B2825" s="265">
        <v>46176</v>
      </c>
      <c r="C2825" s="264" t="s">
        <v>2101</v>
      </c>
      <c r="D2825" s="264" t="s">
        <v>5526</v>
      </c>
      <c r="E2825" s="264" t="s">
        <v>2287</v>
      </c>
      <c r="F2825" s="264" t="s">
        <v>2041</v>
      </c>
      <c r="G2825" s="264" t="s">
        <v>26</v>
      </c>
      <c r="H2825" s="368">
        <v>200</v>
      </c>
      <c r="I2825" s="266">
        <v>0</v>
      </c>
      <c r="J2825" s="264" t="s">
        <v>1125</v>
      </c>
      <c r="K2825" s="264" t="s">
        <v>2025</v>
      </c>
      <c r="L2825" s="1" t="str">
        <f>VLOOKUP(Advices[[#This Row],[LC Number]],'Combine_List'!A:D,2,0)</f>
        <v>Alrashid Trading and Contracting Company</v>
      </c>
      <c r="M2825" s="1" t="str">
        <f>VLOOKUP(Advices[[#This Row],[LC Number]],'Combine_List'!A:D,3,0)</f>
        <v>MBL</v>
      </c>
      <c r="N2825" s="1" t="str">
        <f>VLOOKUP(Advices[[#This Row],[LC Number]],'Combine_List'!A:D,4,0)</f>
        <v>RCRC</v>
      </c>
      <c r="O2825" s="1"/>
      <c r="P2825" s="1">
        <f>MONTH(Advices[[#This Row],[Transaction Date]])</f>
        <v>6</v>
      </c>
      <c r="Q2825" s="1">
        <f>YEAR(Advices[[#This Row],[Transaction Date]])</f>
        <v>2026</v>
      </c>
      <c r="R2825" s="1"/>
    </row>
    <row r="2826" spans="1:18" hidden="1" x14ac:dyDescent="0.25">
      <c r="A2826" s="264" t="s">
        <v>612</v>
      </c>
      <c r="B2826" s="265">
        <v>46176</v>
      </c>
      <c r="C2826" s="264" t="s">
        <v>2101</v>
      </c>
      <c r="D2826" s="264" t="s">
        <v>5527</v>
      </c>
      <c r="E2826" s="264" t="s">
        <v>2287</v>
      </c>
      <c r="F2826" s="264" t="s">
        <v>2041</v>
      </c>
      <c r="G2826" s="264" t="s">
        <v>26</v>
      </c>
      <c r="H2826" s="368">
        <v>30</v>
      </c>
      <c r="I2826" s="266">
        <v>0</v>
      </c>
      <c r="J2826" s="264" t="s">
        <v>1174</v>
      </c>
      <c r="K2826" s="264" t="s">
        <v>2025</v>
      </c>
      <c r="L2826" s="1" t="str">
        <f>VLOOKUP(Advices[[#This Row],[LC Number]],'Combine_List'!A:D,2,0)</f>
        <v>Alrashid Trading and Contracting Company</v>
      </c>
      <c r="M2826" s="1" t="str">
        <f>VLOOKUP(Advices[[#This Row],[LC Number]],'Combine_List'!A:D,3,0)</f>
        <v>MBL</v>
      </c>
      <c r="N2826" s="1" t="str">
        <f>VLOOKUP(Advices[[#This Row],[LC Number]],'Combine_List'!A:D,4,0)</f>
        <v>RCRC</v>
      </c>
      <c r="O2826" s="1"/>
      <c r="P2826" s="1">
        <f>MONTH(Advices[[#This Row],[Transaction Date]])</f>
        <v>6</v>
      </c>
      <c r="Q2826" s="1">
        <f>YEAR(Advices[[#This Row],[Transaction Date]])</f>
        <v>2026</v>
      </c>
      <c r="R2826" s="1"/>
    </row>
    <row r="2827" spans="1:18" hidden="1" x14ac:dyDescent="0.25">
      <c r="A2827" s="264" t="s">
        <v>612</v>
      </c>
      <c r="B2827" s="265">
        <v>46181</v>
      </c>
      <c r="C2827" s="264" t="s">
        <v>2101</v>
      </c>
      <c r="D2827" s="264" t="s">
        <v>5528</v>
      </c>
      <c r="E2827" s="264" t="s">
        <v>2287</v>
      </c>
      <c r="F2827" s="264" t="s">
        <v>2041</v>
      </c>
      <c r="G2827" s="264" t="s">
        <v>26</v>
      </c>
      <c r="H2827" s="368">
        <v>1205043.97</v>
      </c>
      <c r="I2827" s="266">
        <v>0</v>
      </c>
      <c r="J2827" s="264" t="s">
        <v>1126</v>
      </c>
      <c r="K2827" s="264" t="s">
        <v>2025</v>
      </c>
      <c r="L2827" s="1" t="str">
        <f>VLOOKUP(Advices[[#This Row],[LC Number]],'Combine_List'!A:D,2,0)</f>
        <v>Alrashid Trading and Contracting Company</v>
      </c>
      <c r="M2827" s="1" t="str">
        <f>VLOOKUP(Advices[[#This Row],[LC Number]],'Combine_List'!A:D,3,0)</f>
        <v>MBL</v>
      </c>
      <c r="N2827" s="1" t="str">
        <f>VLOOKUP(Advices[[#This Row],[LC Number]],'Combine_List'!A:D,4,0)</f>
        <v>RCRC</v>
      </c>
      <c r="O2827" s="1"/>
      <c r="P2827" s="1">
        <f>MONTH(Advices[[#This Row],[Transaction Date]])</f>
        <v>6</v>
      </c>
      <c r="Q2827" s="1">
        <f>YEAR(Advices[[#This Row],[Transaction Date]])</f>
        <v>2026</v>
      </c>
      <c r="R2827" s="1"/>
    </row>
    <row r="2828" spans="1:18" hidden="1" x14ac:dyDescent="0.25">
      <c r="A2828" s="264" t="s">
        <v>612</v>
      </c>
      <c r="B2828" s="265">
        <v>46181</v>
      </c>
      <c r="C2828" s="264" t="s">
        <v>2101</v>
      </c>
      <c r="D2828" s="264" t="s">
        <v>5529</v>
      </c>
      <c r="E2828" s="264" t="s">
        <v>4304</v>
      </c>
      <c r="F2828" s="264" t="s">
        <v>2041</v>
      </c>
      <c r="G2828" s="264" t="s">
        <v>26</v>
      </c>
      <c r="H2828" s="368">
        <v>25000000</v>
      </c>
      <c r="I2828" s="266">
        <v>0</v>
      </c>
      <c r="J2828" s="264" t="s">
        <v>1126</v>
      </c>
      <c r="K2828" s="264" t="s">
        <v>2025</v>
      </c>
      <c r="L2828" s="264" t="str">
        <f>VLOOKUP(Advices[[#This Row],[LC Number]],'Combine_List'!A:D,2,0)</f>
        <v>The Fundamental Installation For Electric Work Co</v>
      </c>
      <c r="M2828" s="264" t="str">
        <f>VLOOKUP(Advices[[#This Row],[LC Number]],'Combine_List'!A:D,3,0)</f>
        <v>FIRST FIX</v>
      </c>
      <c r="N2828" s="264" t="str">
        <f>VLOOKUP(Advices[[#This Row],[LC Number]],'Combine_List'!A:D,4,0)</f>
        <v>CEER</v>
      </c>
      <c r="O2828" s="264"/>
      <c r="P2828" s="264">
        <f>MONTH(Advices[[#This Row],[Transaction Date]])</f>
        <v>6</v>
      </c>
      <c r="Q2828" s="264">
        <f>YEAR(Advices[[#This Row],[Transaction Date]])</f>
        <v>2026</v>
      </c>
      <c r="R2828" s="264"/>
    </row>
    <row r="2829" spans="1:18" hidden="1" x14ac:dyDescent="0.25">
      <c r="A2829" s="264" t="s">
        <v>3764</v>
      </c>
      <c r="B2829" s="265">
        <v>46177</v>
      </c>
      <c r="C2829" s="264" t="s">
        <v>4531</v>
      </c>
      <c r="D2829" s="264" t="s">
        <v>5530</v>
      </c>
      <c r="E2829" s="264" t="s">
        <v>4256</v>
      </c>
      <c r="F2829" s="264" t="s">
        <v>5531</v>
      </c>
      <c r="G2829" s="264" t="s">
        <v>26</v>
      </c>
      <c r="H2829" s="368">
        <v>695619</v>
      </c>
      <c r="I2829" s="266">
        <v>0</v>
      </c>
      <c r="J2829" s="264" t="s">
        <v>2041</v>
      </c>
      <c r="K2829" s="264" t="s">
        <v>2025</v>
      </c>
      <c r="L2829" s="1" t="str">
        <f>VLOOKUP(Advices[[#This Row],[LC Number]],'Combine_List'!A:D,2,0)</f>
        <v>Advance - AUTOMOTIVE SECTOR DEVELOPMENT INVESTMENT COMPANY (CEER 2)</v>
      </c>
      <c r="M2829" s="1" t="str">
        <f>VLOOKUP(Advices[[#This Row],[LC Number]],'Combine_List'!A:D,3,0)</f>
        <v>MBL</v>
      </c>
      <c r="N2829" s="1" t="str">
        <f>VLOOKUP(Advices[[#This Row],[LC Number]],'Combine_List'!A:D,4,0)</f>
        <v>CEER-2</v>
      </c>
      <c r="O2829" s="1"/>
      <c r="P2829" s="1">
        <f>MONTH(Advices[[#This Row],[Transaction Date]])</f>
        <v>6</v>
      </c>
      <c r="Q2829" s="1">
        <f>YEAR(Advices[[#This Row],[Transaction Date]])</f>
        <v>2026</v>
      </c>
      <c r="R2829" s="1"/>
    </row>
    <row r="2830" spans="1:18" hidden="1" x14ac:dyDescent="0.25">
      <c r="A2830" s="264" t="s">
        <v>3764</v>
      </c>
      <c r="B2830" s="265">
        <v>46177</v>
      </c>
      <c r="C2830" s="264" t="s">
        <v>4531</v>
      </c>
      <c r="D2830" s="264" t="s">
        <v>5532</v>
      </c>
      <c r="E2830" s="264" t="s">
        <v>4257</v>
      </c>
      <c r="F2830" s="264" t="s">
        <v>5533</v>
      </c>
      <c r="G2830" s="264" t="s">
        <v>26</v>
      </c>
      <c r="H2830" s="368">
        <v>695619</v>
      </c>
      <c r="I2830" s="266">
        <v>0</v>
      </c>
      <c r="J2830" s="264" t="s">
        <v>2041</v>
      </c>
      <c r="K2830" s="264" t="s">
        <v>2025</v>
      </c>
      <c r="L2830" s="264" t="str">
        <f>VLOOKUP(Advices[[#This Row],[LC Number]],'Combine_List'!A:D,2,0)</f>
        <v>Retention - AUTOMOTIVE SECTOR DEVELOPMENT INVESTMENT COMPANY (CEER 2)</v>
      </c>
      <c r="M2830" s="264" t="str">
        <f>VLOOKUP(Advices[[#This Row],[LC Number]],'Combine_List'!A:D,3,0)</f>
        <v>MBL</v>
      </c>
      <c r="N2830" s="264" t="str">
        <f>VLOOKUP(Advices[[#This Row],[LC Number]],'Combine_List'!A:D,4,0)</f>
        <v>CEER-2</v>
      </c>
      <c r="O2830" s="264"/>
      <c r="P2830" s="264">
        <f>MONTH(Advices[[#This Row],[Transaction Date]])</f>
        <v>6</v>
      </c>
      <c r="Q2830" s="264">
        <f>YEAR(Advices[[#This Row],[Transaction Date]])</f>
        <v>2026</v>
      </c>
      <c r="R2830" s="264"/>
    </row>
    <row r="2831" spans="1:18" hidden="1" x14ac:dyDescent="0.25">
      <c r="A2831" s="264" t="s">
        <v>62</v>
      </c>
      <c r="B2831" s="265">
        <v>46182</v>
      </c>
      <c r="C2831" s="264" t="s">
        <v>2039</v>
      </c>
      <c r="D2831" s="264" t="s">
        <v>5536</v>
      </c>
      <c r="E2831" s="264" t="s">
        <v>1834</v>
      </c>
      <c r="F2831" s="264" t="s">
        <v>2041</v>
      </c>
      <c r="G2831" s="264" t="s">
        <v>26</v>
      </c>
      <c r="H2831" s="368">
        <v>12781.66</v>
      </c>
      <c r="I2831" s="266">
        <v>0</v>
      </c>
      <c r="J2831" s="264" t="s">
        <v>1126</v>
      </c>
      <c r="K2831" s="264" t="s">
        <v>2025</v>
      </c>
      <c r="L2831" s="1" t="str">
        <f>VLOOKUP(Advices[[#This Row],[LC Number]],'Combine_List'!A:D,2,0)</f>
        <v>Jiangsu Donchamp New Materials Technology Co.Ltd.</v>
      </c>
      <c r="M2831" s="1" t="str">
        <f>VLOOKUP(Advices[[#This Row],[LC Number]],'Combine_List'!A:D,3,0)</f>
        <v>MBL</v>
      </c>
      <c r="N2831" s="1" t="str">
        <f>VLOOKUP(Advices[[#This Row],[LC Number]],'Combine_List'!A:D,4,0)</f>
        <v>Oceanarium</v>
      </c>
      <c r="O2831" s="1"/>
      <c r="P2831" s="1">
        <f>MONTH(Advices[[#This Row],[Transaction Date]])</f>
        <v>6</v>
      </c>
      <c r="Q2831" s="1">
        <f>YEAR(Advices[[#This Row],[Transaction Date]])</f>
        <v>2026</v>
      </c>
      <c r="R2831" s="1"/>
    </row>
    <row r="2832" spans="1:18" hidden="1" x14ac:dyDescent="0.25">
      <c r="A2832" s="264" t="s">
        <v>62</v>
      </c>
      <c r="B2832" s="265">
        <v>46182</v>
      </c>
      <c r="C2832" s="264" t="s">
        <v>2039</v>
      </c>
      <c r="D2832" s="264" t="s">
        <v>5537</v>
      </c>
      <c r="E2832" s="264" t="s">
        <v>4394</v>
      </c>
      <c r="F2832" s="264" t="s">
        <v>2041</v>
      </c>
      <c r="G2832" s="264" t="s">
        <v>26</v>
      </c>
      <c r="H2832" s="368">
        <v>2114.6799999999998</v>
      </c>
      <c r="I2832" s="266">
        <v>0</v>
      </c>
      <c r="J2832" s="264" t="s">
        <v>1126</v>
      </c>
      <c r="K2832" s="264" t="s">
        <v>2025</v>
      </c>
      <c r="L2832" s="1" t="str">
        <f>VLOOKUP(Advices[[#This Row],[LC Number]],'Combine_List'!A:D,2,0)</f>
        <v>Mat Filtrasyon Teknolojeleri A.S</v>
      </c>
      <c r="M2832" s="1" t="str">
        <f>VLOOKUP(Advices[[#This Row],[LC Number]],'Combine_List'!A:D,3,0)</f>
        <v>MBL</v>
      </c>
      <c r="N2832" s="1" t="str">
        <f>VLOOKUP(Advices[[#This Row],[LC Number]],'Combine_List'!A:D,4,0)</f>
        <v>Oceanarium</v>
      </c>
      <c r="O2832" s="1"/>
      <c r="P2832" s="1">
        <f>MONTH(Advices[[#This Row],[Transaction Date]])</f>
        <v>6</v>
      </c>
      <c r="Q2832" s="1">
        <f>YEAR(Advices[[#This Row],[Transaction Date]])</f>
        <v>2026</v>
      </c>
      <c r="R2832" s="1"/>
    </row>
    <row r="2833" spans="1:18" hidden="1" x14ac:dyDescent="0.25">
      <c r="A2833" s="264" t="s">
        <v>62</v>
      </c>
      <c r="B2833" s="265">
        <v>46182</v>
      </c>
      <c r="C2833" s="264" t="s">
        <v>5538</v>
      </c>
      <c r="D2833" s="264" t="s">
        <v>5539</v>
      </c>
      <c r="E2833" s="264" t="s">
        <v>1082</v>
      </c>
      <c r="F2833" s="264" t="s">
        <v>2041</v>
      </c>
      <c r="G2833" s="264" t="s">
        <v>26</v>
      </c>
      <c r="H2833" s="368">
        <v>37626.85</v>
      </c>
      <c r="I2833" s="266">
        <v>0</v>
      </c>
      <c r="J2833" s="264" t="s">
        <v>2830</v>
      </c>
      <c r="K2833" s="264" t="s">
        <v>2025</v>
      </c>
      <c r="L2833" s="1" t="str">
        <f>VLOOKUP(Advices[[#This Row],[LC Number]],'Combine_List'!A:D,2,0)</f>
        <v xml:space="preserve">Advance - JEDDAH CENTRAL DEVELOPMENT COMPANY (JCD) </v>
      </c>
      <c r="M2833" s="1">
        <f>VLOOKUP(Advices[[#This Row],[LC Number]],'Combine_List'!A:D,3,0)</f>
        <v>0</v>
      </c>
      <c r="N2833" s="1" t="str">
        <f>VLOOKUP(Advices[[#This Row],[LC Number]],'Combine_List'!A:D,4,0)</f>
        <v>JCD</v>
      </c>
      <c r="O2833" s="1"/>
      <c r="P2833" s="1">
        <f>MONTH(Advices[[#This Row],[Transaction Date]])</f>
        <v>6</v>
      </c>
      <c r="Q2833" s="1">
        <f>YEAR(Advices[[#This Row],[Transaction Date]])</f>
        <v>2026</v>
      </c>
      <c r="R2833" s="1"/>
    </row>
    <row r="2834" spans="1:18" hidden="1" x14ac:dyDescent="0.25">
      <c r="A2834" s="264" t="s">
        <v>62</v>
      </c>
      <c r="B2834" s="265">
        <v>46182</v>
      </c>
      <c r="C2834" s="264" t="s">
        <v>5538</v>
      </c>
      <c r="D2834" s="264" t="s">
        <v>5540</v>
      </c>
      <c r="E2834" s="264" t="s">
        <v>1080</v>
      </c>
      <c r="F2834" s="264" t="s">
        <v>2041</v>
      </c>
      <c r="G2834" s="264" t="s">
        <v>26</v>
      </c>
      <c r="H2834" s="368">
        <v>32969.35</v>
      </c>
      <c r="I2834" s="266">
        <v>0</v>
      </c>
      <c r="J2834" s="264" t="s">
        <v>2830</v>
      </c>
      <c r="K2834" s="264" t="s">
        <v>2025</v>
      </c>
      <c r="L2834" s="264" t="str">
        <f>VLOOKUP(Advices[[#This Row],[LC Number]],'Combine_List'!A:D,2,0)</f>
        <v xml:space="preserve">Advance - JEDDAH CENTRAL DEVELOPMENT COMPANY (JCD) </v>
      </c>
      <c r="M2834" s="264">
        <f>VLOOKUP(Advices[[#This Row],[LC Number]],'Combine_List'!A:D,3,0)</f>
        <v>0</v>
      </c>
      <c r="N2834" s="264" t="str">
        <f>VLOOKUP(Advices[[#This Row],[LC Number]],'Combine_List'!A:D,4,0)</f>
        <v>JCD</v>
      </c>
      <c r="O2834" s="264"/>
      <c r="P2834" s="264">
        <f>MONTH(Advices[[#This Row],[Transaction Date]])</f>
        <v>6</v>
      </c>
      <c r="Q2834" s="264">
        <f>YEAR(Advices[[#This Row],[Transaction Date]])</f>
        <v>2026</v>
      </c>
      <c r="R2834" s="264"/>
    </row>
    <row r="2835" spans="1:18" hidden="1" x14ac:dyDescent="0.25">
      <c r="A2835" s="264" t="s">
        <v>95</v>
      </c>
      <c r="B2835" s="265">
        <v>46182</v>
      </c>
      <c r="C2835" s="264" t="s">
        <v>2026</v>
      </c>
      <c r="D2835" s="264" t="s">
        <v>5150</v>
      </c>
      <c r="E2835" s="264" t="s">
        <v>5084</v>
      </c>
      <c r="F2835" s="264" t="s">
        <v>5084</v>
      </c>
      <c r="G2835" s="264" t="s">
        <v>26</v>
      </c>
      <c r="H2835" s="368">
        <v>0</v>
      </c>
      <c r="I2835" s="266">
        <v>12209.17</v>
      </c>
      <c r="J2835" s="264" t="s">
        <v>2041</v>
      </c>
      <c r="K2835" s="264" t="s">
        <v>5154</v>
      </c>
      <c r="L2835" s="1" t="str">
        <f>VLOOKUP(Advices[[#This Row],[LC Number]],'Combine_List'!A:D,2,0)</f>
        <v>Al Dhow Gulf Company for Trading and Contracting Ltd</v>
      </c>
      <c r="M2835" s="1" t="str">
        <f>VLOOKUP(Advices[[#This Row],[LC Number]],'Combine_List'!A:D,3,0)</f>
        <v>MBL/ICAD</v>
      </c>
      <c r="N2835" s="1" t="str">
        <f>VLOOKUP(Advices[[#This Row],[LC Number]],'Combine_List'!A:D,4,0)</f>
        <v>OPERA House</v>
      </c>
      <c r="O2835" s="1"/>
      <c r="P2835" s="1">
        <f>MONTH(Advices[[#This Row],[Transaction Date]])</f>
        <v>6</v>
      </c>
      <c r="Q2835" s="1">
        <f>YEAR(Advices[[#This Row],[Transaction Date]])</f>
        <v>2026</v>
      </c>
      <c r="R2835" s="1"/>
    </row>
    <row r="2836" spans="1:18" hidden="1" x14ac:dyDescent="0.25">
      <c r="A2836" s="264" t="s">
        <v>95</v>
      </c>
      <c r="B2836" s="265">
        <v>46182</v>
      </c>
      <c r="C2836" s="264" t="s">
        <v>2307</v>
      </c>
      <c r="D2836" s="264" t="s">
        <v>5151</v>
      </c>
      <c r="E2836" s="264" t="s">
        <v>5084</v>
      </c>
      <c r="F2836" s="264" t="s">
        <v>5084</v>
      </c>
      <c r="G2836" s="264"/>
      <c r="H2836" s="368">
        <v>12209.17</v>
      </c>
      <c r="I2836" s="266">
        <v>0</v>
      </c>
      <c r="J2836" s="264"/>
      <c r="K2836" s="264" t="s">
        <v>5154</v>
      </c>
      <c r="L2836" s="1" t="str">
        <f>VLOOKUP(Advices[[#This Row],[LC Number]],'Combine_List'!A:D,2,0)</f>
        <v>Al Dhow Gulf Company for Trading and Contracting Ltd</v>
      </c>
      <c r="M2836" s="1" t="str">
        <f>VLOOKUP(Advices[[#This Row],[LC Number]],'Combine_List'!A:D,3,0)</f>
        <v>MBL/ICAD</v>
      </c>
      <c r="N2836" s="1" t="str">
        <f>VLOOKUP(Advices[[#This Row],[LC Number]],'Combine_List'!A:D,4,0)</f>
        <v>OPERA House</v>
      </c>
      <c r="O2836" s="1"/>
      <c r="P2836" s="1">
        <f>MONTH(Advices[[#This Row],[Transaction Date]])</f>
        <v>6</v>
      </c>
      <c r="Q2836" s="1">
        <f>YEAR(Advices[[#This Row],[Transaction Date]])</f>
        <v>2026</v>
      </c>
      <c r="R2836" s="1"/>
    </row>
    <row r="2837" spans="1:18" hidden="1" x14ac:dyDescent="0.25">
      <c r="A2837" s="264" t="s">
        <v>95</v>
      </c>
      <c r="B2837" s="265">
        <v>46182</v>
      </c>
      <c r="C2837" s="264" t="s">
        <v>2026</v>
      </c>
      <c r="D2837" s="264" t="s">
        <v>5541</v>
      </c>
      <c r="E2837" s="264" t="s">
        <v>5084</v>
      </c>
      <c r="F2837" s="264" t="s">
        <v>5542</v>
      </c>
      <c r="G2837" s="264" t="s">
        <v>26</v>
      </c>
      <c r="H2837" s="368">
        <v>12209.17</v>
      </c>
      <c r="I2837" s="266">
        <v>0</v>
      </c>
      <c r="J2837" s="264" t="s">
        <v>1124</v>
      </c>
      <c r="K2837" s="264" t="s">
        <v>2025</v>
      </c>
      <c r="L2837" s="264" t="str">
        <f>VLOOKUP(Advices[[#This Row],[LC Number]],'Combine_List'!A:D,2,0)</f>
        <v>Al Dhow Gulf Company for Trading and Contracting Ltd</v>
      </c>
      <c r="M2837" s="264" t="str">
        <f>VLOOKUP(Advices[[#This Row],[LC Number]],'Combine_List'!A:D,3,0)</f>
        <v>MBL/ICAD</v>
      </c>
      <c r="N2837" s="264" t="str">
        <f>VLOOKUP(Advices[[#This Row],[LC Number]],'Combine_List'!A:D,4,0)</f>
        <v>OPERA House</v>
      </c>
      <c r="O2837" s="264"/>
      <c r="P2837" s="264">
        <f>MONTH(Advices[[#This Row],[Transaction Date]])</f>
        <v>6</v>
      </c>
      <c r="Q2837" s="264">
        <f>YEAR(Advices[[#This Row],[Transaction Date]])</f>
        <v>2026</v>
      </c>
      <c r="R2837" s="264"/>
    </row>
    <row r="2838" spans="1:18" x14ac:dyDescent="0.25">
      <c r="A2838" s="264" t="s">
        <v>21</v>
      </c>
      <c r="B2838" s="265">
        <v>46183</v>
      </c>
      <c r="C2838" s="264" t="s">
        <v>1951</v>
      </c>
      <c r="D2838" s="264" t="s">
        <v>5547</v>
      </c>
      <c r="E2838" s="264" t="s">
        <v>4630</v>
      </c>
      <c r="F2838" s="264" t="s">
        <v>5548</v>
      </c>
      <c r="G2838" s="264" t="s">
        <v>26</v>
      </c>
      <c r="H2838" s="368">
        <v>1058.2</v>
      </c>
      <c r="I2838" s="266">
        <v>0</v>
      </c>
      <c r="J2838" s="264" t="s">
        <v>1174</v>
      </c>
      <c r="K2838" s="264" t="s">
        <v>2025</v>
      </c>
      <c r="L2838" s="1" t="str">
        <f>VLOOKUP(Advices[[#This Row],[LC Number]],'Combine_List'!A:D,2,0)</f>
        <v>Depa Saudi Arabia for Contracting and Interior Decorating Co. Ltd.</v>
      </c>
      <c r="M2838" s="1" t="str">
        <f>VLOOKUP(Advices[[#This Row],[LC Number]],'Combine_List'!A:D,3,0)</f>
        <v>MBL</v>
      </c>
      <c r="N2838" s="1" t="str">
        <f>VLOOKUP(Advices[[#This Row],[LC Number]],'Combine_List'!A:D,4,0)</f>
        <v>KSP</v>
      </c>
      <c r="O2838" s="1"/>
      <c r="P2838" s="1">
        <f>MONTH(Advices[[#This Row],[Transaction Date]])</f>
        <v>6</v>
      </c>
      <c r="Q2838" s="1">
        <f>YEAR(Advices[[#This Row],[Transaction Date]])</f>
        <v>2026</v>
      </c>
      <c r="R2838" s="1"/>
    </row>
    <row r="2839" spans="1:18" x14ac:dyDescent="0.25">
      <c r="A2839" s="264" t="s">
        <v>21</v>
      </c>
      <c r="B2839" s="265">
        <v>46183</v>
      </c>
      <c r="C2839" s="264" t="s">
        <v>1951</v>
      </c>
      <c r="D2839" s="264" t="s">
        <v>4572</v>
      </c>
      <c r="E2839" s="264" t="s">
        <v>4630</v>
      </c>
      <c r="F2839" s="264" t="s">
        <v>5548</v>
      </c>
      <c r="G2839" s="264" t="s">
        <v>26</v>
      </c>
      <c r="H2839" s="368">
        <v>7054.65</v>
      </c>
      <c r="I2839" s="266">
        <v>0</v>
      </c>
      <c r="J2839" s="264"/>
      <c r="K2839" s="264" t="s">
        <v>2025</v>
      </c>
      <c r="L2839" s="264" t="str">
        <f>VLOOKUP(Advices[[#This Row],[LC Number]],'Combine_List'!A:D,2,0)</f>
        <v>Depa Saudi Arabia for Contracting and Interior Decorating Co. Ltd.</v>
      </c>
      <c r="M2839" s="264" t="str">
        <f>VLOOKUP(Advices[[#This Row],[LC Number]],'Combine_List'!A:D,3,0)</f>
        <v>MBL</v>
      </c>
      <c r="N2839" s="264" t="str">
        <f>VLOOKUP(Advices[[#This Row],[LC Number]],'Combine_List'!A:D,4,0)</f>
        <v>KSP</v>
      </c>
      <c r="O2839" s="264"/>
      <c r="P2839" s="264">
        <f>MONTH(Advices[[#This Row],[Transaction Date]])</f>
        <v>6</v>
      </c>
      <c r="Q2839" s="264">
        <f>YEAR(Advices[[#This Row],[Transaction Date]])</f>
        <v>2026</v>
      </c>
      <c r="R2839" s="264"/>
    </row>
    <row r="2840" spans="1:18" hidden="1" x14ac:dyDescent="0.25">
      <c r="A2840" s="264" t="s">
        <v>366</v>
      </c>
      <c r="B2840" s="265">
        <v>46183</v>
      </c>
      <c r="C2840" s="264" t="s">
        <v>2060</v>
      </c>
      <c r="D2840" s="264" t="s">
        <v>5549</v>
      </c>
      <c r="E2840" s="264" t="s">
        <v>4567</v>
      </c>
      <c r="F2840" s="264" t="s">
        <v>5550</v>
      </c>
      <c r="G2840" s="264" t="s">
        <v>26</v>
      </c>
      <c r="H2840" s="368">
        <v>4295.18</v>
      </c>
      <c r="I2840" s="266">
        <v>0</v>
      </c>
      <c r="J2840" s="264" t="s">
        <v>1125</v>
      </c>
      <c r="K2840" s="264" t="s">
        <v>2025</v>
      </c>
      <c r="L2840" s="1" t="str">
        <f>VLOOKUP(Advices[[#This Row],[LC Number]],'Combine_List'!A:D,2,0)</f>
        <v>Elsewedy Cables Co. Limited</v>
      </c>
      <c r="M2840" s="1" t="str">
        <f>VLOOKUP(Advices[[#This Row],[LC Number]],'Combine_List'!A:D,3,0)</f>
        <v>FIRST FIX</v>
      </c>
      <c r="N2840" s="1" t="str">
        <f>VLOOKUP(Advices[[#This Row],[LC Number]],'Combine_List'!A:D,4,0)</f>
        <v>MP1</v>
      </c>
      <c r="O2840" s="1"/>
      <c r="P2840" s="1">
        <f>MONTH(Advices[[#This Row],[Transaction Date]])</f>
        <v>6</v>
      </c>
      <c r="Q2840" s="1">
        <f>YEAR(Advices[[#This Row],[Transaction Date]])</f>
        <v>2026</v>
      </c>
      <c r="R2840" s="1"/>
    </row>
    <row r="2841" spans="1:18" hidden="1" x14ac:dyDescent="0.25">
      <c r="A2841" s="264" t="s">
        <v>366</v>
      </c>
      <c r="B2841" s="265">
        <v>46183</v>
      </c>
      <c r="C2841" s="264" t="s">
        <v>2057</v>
      </c>
      <c r="D2841" s="264" t="s">
        <v>4308</v>
      </c>
      <c r="E2841" s="264" t="s">
        <v>2929</v>
      </c>
      <c r="F2841" s="264" t="s">
        <v>2929</v>
      </c>
      <c r="G2841" s="264" t="s">
        <v>26</v>
      </c>
      <c r="H2841" s="368">
        <v>537485.88</v>
      </c>
      <c r="I2841" s="266">
        <v>0</v>
      </c>
      <c r="J2841" s="264" t="s">
        <v>1125</v>
      </c>
      <c r="K2841" s="264" t="s">
        <v>2025</v>
      </c>
      <c r="L2841" s="1" t="str">
        <f>VLOOKUP(Advices[[#This Row],[LC Number]],'Combine_List'!A:D,2,0)</f>
        <v>Performance - CEER NATIONAL AUTOMOTIVE COMPANY</v>
      </c>
      <c r="M2841" s="1">
        <f>VLOOKUP(Advices[[#This Row],[LC Number]],'Combine_List'!A:D,3,0)</f>
        <v>0</v>
      </c>
      <c r="N2841" s="1">
        <f>VLOOKUP(Advices[[#This Row],[LC Number]],'Combine_List'!A:D,4,0)</f>
        <v>0</v>
      </c>
      <c r="O2841" s="1"/>
      <c r="P2841" s="1">
        <f>MONTH(Advices[[#This Row],[Transaction Date]])</f>
        <v>6</v>
      </c>
      <c r="Q2841" s="1">
        <f>YEAR(Advices[[#This Row],[Transaction Date]])</f>
        <v>2026</v>
      </c>
      <c r="R2841" s="1"/>
    </row>
    <row r="2842" spans="1:18" hidden="1" x14ac:dyDescent="0.25">
      <c r="A2842" s="264" t="s">
        <v>366</v>
      </c>
      <c r="B2842" s="265">
        <v>46183</v>
      </c>
      <c r="C2842" s="264" t="s">
        <v>2057</v>
      </c>
      <c r="D2842" s="264" t="s">
        <v>3044</v>
      </c>
      <c r="E2842" s="264" t="s">
        <v>2929</v>
      </c>
      <c r="F2842" s="264" t="s">
        <v>2929</v>
      </c>
      <c r="G2842" s="264" t="s">
        <v>26</v>
      </c>
      <c r="H2842" s="368">
        <v>537485.88</v>
      </c>
      <c r="I2842" s="266">
        <v>0</v>
      </c>
      <c r="J2842" s="264" t="s">
        <v>1125</v>
      </c>
      <c r="K2842" s="264" t="s">
        <v>2025</v>
      </c>
      <c r="L2842" s="264" t="str">
        <f>VLOOKUP(Advices[[#This Row],[LC Number]],'Combine_List'!A:D,2,0)</f>
        <v>Performance - CEER NATIONAL AUTOMOTIVE COMPANY</v>
      </c>
      <c r="M2842" s="264">
        <f>VLOOKUP(Advices[[#This Row],[LC Number]],'Combine_List'!A:D,3,0)</f>
        <v>0</v>
      </c>
      <c r="N2842" s="264">
        <f>VLOOKUP(Advices[[#This Row],[LC Number]],'Combine_List'!A:D,4,0)</f>
        <v>0</v>
      </c>
      <c r="O2842" s="264"/>
      <c r="P2842" s="264">
        <f>MONTH(Advices[[#This Row],[Transaction Date]])</f>
        <v>6</v>
      </c>
      <c r="Q2842" s="264">
        <f>YEAR(Advices[[#This Row],[Transaction Date]])</f>
        <v>2026</v>
      </c>
      <c r="R2842" s="264"/>
    </row>
    <row r="2843" spans="1:18" x14ac:dyDescent="0.25">
      <c r="A2843" s="264" t="s">
        <v>21</v>
      </c>
      <c r="B2843" s="265">
        <v>46184</v>
      </c>
      <c r="C2843" s="264" t="s">
        <v>1951</v>
      </c>
      <c r="D2843" s="264" t="s">
        <v>1952</v>
      </c>
      <c r="E2843" s="264" t="s">
        <v>1896</v>
      </c>
      <c r="F2843" s="264" t="s">
        <v>5562</v>
      </c>
      <c r="G2843" s="264" t="s">
        <v>26</v>
      </c>
      <c r="H2843" s="368">
        <v>187.5</v>
      </c>
      <c r="I2843" s="266">
        <v>0</v>
      </c>
      <c r="J2843" s="264" t="s">
        <v>1174</v>
      </c>
      <c r="K2843" s="264" t="s">
        <v>2025</v>
      </c>
      <c r="L2843" s="1" t="str">
        <f>VLOOKUP(Advices[[#This Row],[LC Number]],'Combine_List'!A:D,2,0)</f>
        <v>Saudi Perfect Pumps Trading &amp; Manufacturing Company</v>
      </c>
      <c r="M2843" s="1" t="str">
        <f>VLOOKUP(Advices[[#This Row],[LC Number]],'Combine_List'!A:D,3,0)</f>
        <v>MBL</v>
      </c>
      <c r="N2843" s="1" t="str">
        <f>VLOOKUP(Advices[[#This Row],[LC Number]],'Combine_List'!A:D,4,0)</f>
        <v>Rabigh Power Plant</v>
      </c>
      <c r="O2843" s="1"/>
      <c r="P2843" s="1">
        <f>MONTH(Advices[[#This Row],[Transaction Date]])</f>
        <v>6</v>
      </c>
      <c r="Q2843" s="1">
        <f>YEAR(Advices[[#This Row],[Transaction Date]])</f>
        <v>2026</v>
      </c>
      <c r="R2843" s="1"/>
    </row>
    <row r="2844" spans="1:18" x14ac:dyDescent="0.25">
      <c r="A2844" s="264" t="s">
        <v>21</v>
      </c>
      <c r="B2844" s="265">
        <v>46184</v>
      </c>
      <c r="C2844" s="264" t="s">
        <v>1951</v>
      </c>
      <c r="D2844" s="264" t="s">
        <v>4572</v>
      </c>
      <c r="E2844" s="264" t="s">
        <v>1896</v>
      </c>
      <c r="F2844" s="264" t="s">
        <v>5562</v>
      </c>
      <c r="G2844" s="264" t="s">
        <v>26</v>
      </c>
      <c r="H2844" s="368">
        <v>1250</v>
      </c>
      <c r="I2844" s="266">
        <v>0</v>
      </c>
      <c r="J2844" s="264"/>
      <c r="K2844" s="264" t="s">
        <v>2025</v>
      </c>
      <c r="L2844" s="264" t="str">
        <f>VLOOKUP(Advices[[#This Row],[LC Number]],'Combine_List'!A:D,2,0)</f>
        <v>Saudi Perfect Pumps Trading &amp; Manufacturing Company</v>
      </c>
      <c r="M2844" s="264" t="str">
        <f>VLOOKUP(Advices[[#This Row],[LC Number]],'Combine_List'!A:D,3,0)</f>
        <v>MBL</v>
      </c>
      <c r="N2844" s="264" t="str">
        <f>VLOOKUP(Advices[[#This Row],[LC Number]],'Combine_List'!A:D,4,0)</f>
        <v>Rabigh Power Plant</v>
      </c>
      <c r="O2844" s="264"/>
      <c r="P2844" s="264">
        <f>MONTH(Advices[[#This Row],[Transaction Date]])</f>
        <v>6</v>
      </c>
      <c r="Q2844" s="264">
        <f>YEAR(Advices[[#This Row],[Transaction Date]])</f>
        <v>2026</v>
      </c>
      <c r="R2844" s="264"/>
    </row>
    <row r="2845" spans="1:18" hidden="1" x14ac:dyDescent="0.25">
      <c r="A2845" s="264" t="s">
        <v>62</v>
      </c>
      <c r="B2845" s="265">
        <v>46184</v>
      </c>
      <c r="C2845" s="264" t="s">
        <v>2039</v>
      </c>
      <c r="D2845" s="264" t="s">
        <v>5563</v>
      </c>
      <c r="E2845" s="264" t="s">
        <v>5557</v>
      </c>
      <c r="F2845" s="264" t="s">
        <v>2041</v>
      </c>
      <c r="G2845" s="264" t="s">
        <v>26</v>
      </c>
      <c r="H2845" s="368">
        <v>10064.799999999999</v>
      </c>
      <c r="I2845" s="266">
        <v>0</v>
      </c>
      <c r="J2845" s="264" t="s">
        <v>2830</v>
      </c>
      <c r="K2845" s="264" t="s">
        <v>2025</v>
      </c>
      <c r="L2845" s="1" t="str">
        <f>VLOOKUP(Advices[[#This Row],[LC Number]],'Combine_List'!A:D,2,0)</f>
        <v>Bid - King Salman International Airport Development Company (KSIADC)</v>
      </c>
      <c r="M2845" s="1" t="str">
        <f>VLOOKUP(Advices[[#This Row],[LC Number]],'Combine_List'!A:D,3,0)</f>
        <v>ICAD</v>
      </c>
      <c r="N2845" s="1">
        <f>VLOOKUP(Advices[[#This Row],[LC Number]],'Combine_List'!A:D,4,0)</f>
        <v>0</v>
      </c>
      <c r="O2845" s="1"/>
      <c r="P2845" s="1">
        <f>MONTH(Advices[[#This Row],[Transaction Date]])</f>
        <v>6</v>
      </c>
      <c r="Q2845" s="1">
        <f>YEAR(Advices[[#This Row],[Transaction Date]])</f>
        <v>2026</v>
      </c>
      <c r="R2845" s="1"/>
    </row>
    <row r="2846" spans="1:18" hidden="1" x14ac:dyDescent="0.25">
      <c r="A2846" s="264" t="s">
        <v>62</v>
      </c>
      <c r="B2846" s="265">
        <v>46184</v>
      </c>
      <c r="C2846" s="264" t="s">
        <v>2039</v>
      </c>
      <c r="D2846" s="264" t="s">
        <v>5564</v>
      </c>
      <c r="E2846" s="264" t="s">
        <v>5558</v>
      </c>
      <c r="F2846" s="264" t="s">
        <v>2041</v>
      </c>
      <c r="G2846" s="264" t="s">
        <v>26</v>
      </c>
      <c r="H2846" s="368">
        <v>12938.65</v>
      </c>
      <c r="I2846" s="266">
        <v>0</v>
      </c>
      <c r="J2846" s="264" t="s">
        <v>2830</v>
      </c>
      <c r="K2846" s="264" t="s">
        <v>2025</v>
      </c>
      <c r="L2846" s="1" t="str">
        <f>VLOOKUP(Advices[[#This Row],[LC Number]],'Combine_List'!A:D,2,0)</f>
        <v>Bid - King Salman International Airport Development Company (KSIADC)</v>
      </c>
      <c r="M2846" s="1" t="str">
        <f>VLOOKUP(Advices[[#This Row],[LC Number]],'Combine_List'!A:D,3,0)</f>
        <v>ICAD</v>
      </c>
      <c r="N2846" s="1">
        <f>VLOOKUP(Advices[[#This Row],[LC Number]],'Combine_List'!A:D,4,0)</f>
        <v>0</v>
      </c>
      <c r="O2846" s="1"/>
      <c r="P2846" s="1">
        <f>MONTH(Advices[[#This Row],[Transaction Date]])</f>
        <v>6</v>
      </c>
      <c r="Q2846" s="1">
        <f>YEAR(Advices[[#This Row],[Transaction Date]])</f>
        <v>2026</v>
      </c>
      <c r="R2846" s="1"/>
    </row>
    <row r="2847" spans="1:18" hidden="1" x14ac:dyDescent="0.25">
      <c r="A2847" s="264" t="s">
        <v>62</v>
      </c>
      <c r="B2847" s="265">
        <v>46184</v>
      </c>
      <c r="C2847" s="264" t="s">
        <v>2039</v>
      </c>
      <c r="D2847" s="264" t="s">
        <v>5565</v>
      </c>
      <c r="E2847" s="264" t="s">
        <v>5551</v>
      </c>
      <c r="F2847" s="264" t="s">
        <v>2041</v>
      </c>
      <c r="G2847" s="264" t="s">
        <v>26</v>
      </c>
      <c r="H2847" s="368">
        <v>20126.150000000001</v>
      </c>
      <c r="I2847" s="266">
        <v>0</v>
      </c>
      <c r="J2847" s="264" t="s">
        <v>2830</v>
      </c>
      <c r="K2847" s="264" t="s">
        <v>2025</v>
      </c>
      <c r="L2847" s="264" t="str">
        <f>VLOOKUP(Advices[[#This Row],[LC Number]],'Combine_List'!A:D,2,0)</f>
        <v>Bid - Riyadh Airports Company (RAC)</v>
      </c>
      <c r="M2847" s="264" t="str">
        <f>VLOOKUP(Advices[[#This Row],[LC Number]],'Combine_List'!A:D,3,0)</f>
        <v>MBL</v>
      </c>
      <c r="N2847" s="264">
        <f>VLOOKUP(Advices[[#This Row],[LC Number]],'Combine_List'!A:D,4,0)</f>
        <v>0</v>
      </c>
      <c r="O2847" s="264"/>
      <c r="P2847" s="264">
        <f>MONTH(Advices[[#This Row],[Transaction Date]])</f>
        <v>6</v>
      </c>
      <c r="Q2847" s="264">
        <f>YEAR(Advices[[#This Row],[Transaction Date]])</f>
        <v>2026</v>
      </c>
      <c r="R2847" s="264"/>
    </row>
    <row r="2848" spans="1:18" hidden="1" x14ac:dyDescent="0.25">
      <c r="A2848" s="264" t="s">
        <v>95</v>
      </c>
      <c r="B2848" s="265">
        <v>46184</v>
      </c>
      <c r="C2848" s="264" t="s">
        <v>2026</v>
      </c>
      <c r="D2848" s="264" t="s">
        <v>5566</v>
      </c>
      <c r="E2848" s="264" t="s">
        <v>5555</v>
      </c>
      <c r="F2848" s="264" t="s">
        <v>5567</v>
      </c>
      <c r="G2848" s="264" t="s">
        <v>26</v>
      </c>
      <c r="H2848" s="368">
        <v>94945.09</v>
      </c>
      <c r="I2848" s="266">
        <v>0</v>
      </c>
      <c r="J2848" s="264" t="s">
        <v>2616</v>
      </c>
      <c r="K2848" s="264" t="s">
        <v>2025</v>
      </c>
      <c r="L2848" s="1" t="str">
        <f>VLOOKUP(Advices[[#This Row],[LC Number]],'Combine_List'!A:D,2,0)</f>
        <v>APLUS TRADE MIKE</v>
      </c>
      <c r="M2848" s="1" t="str">
        <f>VLOOKUP(Advices[[#This Row],[LC Number]],'Combine_List'!A:D,3,0)</f>
        <v>MBL/ICAD/Baumat</v>
      </c>
      <c r="N2848" s="1" t="str">
        <f>VLOOKUP(Advices[[#This Row],[LC Number]],'Combine_List'!A:D,4,0)</f>
        <v>OPERA House</v>
      </c>
      <c r="O2848" s="1"/>
      <c r="P2848" s="1">
        <f>MONTH(Advices[[#This Row],[Transaction Date]])</f>
        <v>6</v>
      </c>
      <c r="Q2848" s="1">
        <f>YEAR(Advices[[#This Row],[Transaction Date]])</f>
        <v>2026</v>
      </c>
      <c r="R2848" s="1"/>
    </row>
    <row r="2849" spans="1:18" hidden="1" x14ac:dyDescent="0.25">
      <c r="A2849" s="264" t="s">
        <v>95</v>
      </c>
      <c r="B2849" s="265">
        <v>46184</v>
      </c>
      <c r="C2849" s="264" t="s">
        <v>2026</v>
      </c>
      <c r="D2849" s="264" t="s">
        <v>5568</v>
      </c>
      <c r="E2849" s="264" t="s">
        <v>4679</v>
      </c>
      <c r="F2849" s="264" t="s">
        <v>4679</v>
      </c>
      <c r="G2849" s="264" t="s">
        <v>26</v>
      </c>
      <c r="H2849" s="368">
        <v>0</v>
      </c>
      <c r="I2849" s="266">
        <v>2500000</v>
      </c>
      <c r="J2849" s="264" t="s">
        <v>2041</v>
      </c>
      <c r="K2849" s="264" t="s">
        <v>5154</v>
      </c>
      <c r="L2849" s="1" t="str">
        <f>VLOOKUP(Advices[[#This Row],[LC Number]],'Combine_List'!A:D,2,0)</f>
        <v>ALNAFIE METAL INDUSTRIES CO LTD</v>
      </c>
      <c r="M2849" s="1" t="str">
        <f>VLOOKUP(Advices[[#This Row],[LC Number]],'Combine_List'!A:D,3,0)</f>
        <v>MBL/AICS (L01)</v>
      </c>
      <c r="N2849" s="1" t="str">
        <f>VLOOKUP(Advices[[#This Row],[LC Number]],'Combine_List'!A:D,4,0)</f>
        <v>OPERA House</v>
      </c>
      <c r="O2849" s="1"/>
      <c r="P2849" s="1">
        <f>MONTH(Advices[[#This Row],[Transaction Date]])</f>
        <v>6</v>
      </c>
      <c r="Q2849" s="1">
        <f>YEAR(Advices[[#This Row],[Transaction Date]])</f>
        <v>2026</v>
      </c>
      <c r="R2849" s="1"/>
    </row>
    <row r="2850" spans="1:18" hidden="1" x14ac:dyDescent="0.25">
      <c r="A2850" s="264" t="s">
        <v>95</v>
      </c>
      <c r="B2850" s="265">
        <v>46184</v>
      </c>
      <c r="C2850" s="264" t="s">
        <v>2026</v>
      </c>
      <c r="D2850" s="264" t="s">
        <v>4731</v>
      </c>
      <c r="E2850" s="264" t="s">
        <v>4679</v>
      </c>
      <c r="F2850" s="264" t="s">
        <v>4732</v>
      </c>
      <c r="G2850" s="264" t="s">
        <v>26</v>
      </c>
      <c r="H2850" s="368">
        <v>2500000</v>
      </c>
      <c r="I2850" s="266">
        <v>0</v>
      </c>
      <c r="J2850" s="264" t="s">
        <v>1126</v>
      </c>
      <c r="K2850" s="264" t="s">
        <v>2025</v>
      </c>
      <c r="L2850" s="1" t="str">
        <f>VLOOKUP(Advices[[#This Row],[LC Number]],'Combine_List'!A:D,2,0)</f>
        <v>ALNAFIE METAL INDUSTRIES CO LTD</v>
      </c>
      <c r="M2850" s="1" t="str">
        <f>VLOOKUP(Advices[[#This Row],[LC Number]],'Combine_List'!A:D,3,0)</f>
        <v>MBL/AICS (L01)</v>
      </c>
      <c r="N2850" s="1" t="str">
        <f>VLOOKUP(Advices[[#This Row],[LC Number]],'Combine_List'!A:D,4,0)</f>
        <v>OPERA House</v>
      </c>
      <c r="O2850" s="1"/>
      <c r="P2850" s="1">
        <f>MONTH(Advices[[#This Row],[Transaction Date]])</f>
        <v>6</v>
      </c>
      <c r="Q2850" s="1">
        <f>YEAR(Advices[[#This Row],[Transaction Date]])</f>
        <v>2026</v>
      </c>
      <c r="R2850" s="1"/>
    </row>
    <row r="2851" spans="1:18" hidden="1" x14ac:dyDescent="0.25">
      <c r="A2851" s="264" t="s">
        <v>95</v>
      </c>
      <c r="B2851" s="265">
        <v>46184</v>
      </c>
      <c r="C2851" s="264" t="s">
        <v>2307</v>
      </c>
      <c r="D2851" s="264" t="s">
        <v>5569</v>
      </c>
      <c r="E2851" s="264" t="s">
        <v>4679</v>
      </c>
      <c r="F2851" s="264" t="s">
        <v>4679</v>
      </c>
      <c r="G2851" s="264"/>
      <c r="H2851" s="368">
        <v>2500000</v>
      </c>
      <c r="I2851" s="266">
        <v>0</v>
      </c>
      <c r="J2851" s="264" t="s">
        <v>2041</v>
      </c>
      <c r="K2851" s="264" t="s">
        <v>5154</v>
      </c>
      <c r="L2851" s="1" t="str">
        <f>VLOOKUP(Advices[[#This Row],[LC Number]],'Combine_List'!A:D,2,0)</f>
        <v>ALNAFIE METAL INDUSTRIES CO LTD</v>
      </c>
      <c r="M2851" s="1" t="str">
        <f>VLOOKUP(Advices[[#This Row],[LC Number]],'Combine_List'!A:D,3,0)</f>
        <v>MBL/AICS (L01)</v>
      </c>
      <c r="N2851" s="1" t="str">
        <f>VLOOKUP(Advices[[#This Row],[LC Number]],'Combine_List'!A:D,4,0)</f>
        <v>OPERA House</v>
      </c>
      <c r="O2851" s="1"/>
      <c r="P2851" s="1">
        <f>MONTH(Advices[[#This Row],[Transaction Date]])</f>
        <v>6</v>
      </c>
      <c r="Q2851" s="1">
        <f>YEAR(Advices[[#This Row],[Transaction Date]])</f>
        <v>2026</v>
      </c>
      <c r="R2851" s="1"/>
    </row>
    <row r="2852" spans="1:18" hidden="1" x14ac:dyDescent="0.25">
      <c r="A2852" s="264" t="s">
        <v>95</v>
      </c>
      <c r="B2852" s="265">
        <v>46184</v>
      </c>
      <c r="C2852" s="264" t="s">
        <v>2304</v>
      </c>
      <c r="D2852" s="264" t="s">
        <v>5570</v>
      </c>
      <c r="E2852" s="264" t="s">
        <v>1928</v>
      </c>
      <c r="F2852" s="264" t="s">
        <v>5572</v>
      </c>
      <c r="G2852" s="264"/>
      <c r="H2852" s="368">
        <v>270.25</v>
      </c>
      <c r="I2852" s="266">
        <v>0</v>
      </c>
      <c r="J2852" s="264" t="s">
        <v>2041</v>
      </c>
      <c r="K2852" s="264" t="s">
        <v>2025</v>
      </c>
      <c r="L2852" s="264" t="str">
        <f>VLOOKUP(Advices[[#This Row],[LC Number]],'Combine_List'!A:D,2,0)</f>
        <v>Advance - ROYAL PROTOCOL CAMP</v>
      </c>
      <c r="M2852" s="264" t="str">
        <f>VLOOKUP(Advices[[#This Row],[LC Number]],'Combine_List'!A:D,3,0)</f>
        <v>MBL</v>
      </c>
      <c r="N2852" s="264">
        <f>VLOOKUP(Advices[[#This Row],[LC Number]],'Combine_List'!A:D,4,0)</f>
        <v>0</v>
      </c>
      <c r="O2852" s="264"/>
      <c r="P2852" s="264">
        <f>MONTH(Advices[[#This Row],[Transaction Date]])</f>
        <v>6</v>
      </c>
      <c r="Q2852" s="264">
        <f>YEAR(Advices[[#This Row],[Transaction Date]])</f>
        <v>2026</v>
      </c>
      <c r="R2852" s="264"/>
    </row>
    <row r="2853" spans="1:18" hidden="1" x14ac:dyDescent="0.25">
      <c r="A2853" s="264" t="s">
        <v>1073</v>
      </c>
      <c r="B2853" s="265">
        <v>46177</v>
      </c>
      <c r="C2853" s="264" t="s">
        <v>3164</v>
      </c>
      <c r="D2853" s="264" t="s">
        <v>27</v>
      </c>
      <c r="E2853" s="264" t="s">
        <v>5192</v>
      </c>
      <c r="F2853" s="264" t="s">
        <v>5192</v>
      </c>
      <c r="G2853" s="264" t="s">
        <v>26</v>
      </c>
      <c r="H2853" s="368">
        <v>0</v>
      </c>
      <c r="I2853" s="266">
        <v>32175.24</v>
      </c>
      <c r="J2853" s="264" t="s">
        <v>5576</v>
      </c>
      <c r="K2853" s="264" t="s">
        <v>2025</v>
      </c>
      <c r="L2853" s="264" t="str">
        <f>VLOOKUP(Advices[[#This Row],[LC Number]],'Combine_List'!A:D,2,0)</f>
        <v>Henan Chongpeng Machinery Co Ltd</v>
      </c>
      <c r="M2853" s="264" t="str">
        <f>VLOOKUP(Advices[[#This Row],[LC Number]],'Combine_List'!A:D,3,0)</f>
        <v>MBL</v>
      </c>
      <c r="N2853" s="264" t="str">
        <f>VLOOKUP(Advices[[#This Row],[LC Number]],'Combine_List'!A:D,4,0)</f>
        <v>Lagoon</v>
      </c>
      <c r="O2853" s="264"/>
      <c r="P2853" s="264">
        <f>MONTH(Advices[[#This Row],[Transaction Date]])</f>
        <v>6</v>
      </c>
      <c r="Q2853" s="264">
        <f>YEAR(Advices[[#This Row],[Transaction Date]])</f>
        <v>2026</v>
      </c>
      <c r="R2853" s="264"/>
    </row>
    <row r="2854" spans="1:18" x14ac:dyDescent="0.25">
      <c r="A2854" s="264" t="s">
        <v>21</v>
      </c>
      <c r="B2854" s="265">
        <v>46187</v>
      </c>
      <c r="C2854" s="264" t="s">
        <v>1951</v>
      </c>
      <c r="D2854" s="264" t="s">
        <v>1960</v>
      </c>
      <c r="E2854" s="264" t="s">
        <v>1896</v>
      </c>
      <c r="F2854" s="264" t="s">
        <v>5344</v>
      </c>
      <c r="G2854" s="264" t="s">
        <v>26</v>
      </c>
      <c r="H2854" s="368">
        <v>11.25</v>
      </c>
      <c r="I2854" s="266">
        <v>0</v>
      </c>
      <c r="J2854" s="264" t="s">
        <v>1174</v>
      </c>
      <c r="K2854" s="264" t="s">
        <v>2025</v>
      </c>
      <c r="L2854" s="1" t="str">
        <f>VLOOKUP(Advices[[#This Row],[LC Number]],'Combine_List'!A:D,2,0)</f>
        <v>Saudi Perfect Pumps Trading &amp; Manufacturing Company</v>
      </c>
      <c r="M2854" s="1" t="str">
        <f>VLOOKUP(Advices[[#This Row],[LC Number]],'Combine_List'!A:D,3,0)</f>
        <v>MBL</v>
      </c>
      <c r="N2854" s="1" t="str">
        <f>VLOOKUP(Advices[[#This Row],[LC Number]],'Combine_List'!A:D,4,0)</f>
        <v>Rabigh Power Plant</v>
      </c>
      <c r="O2854" s="1"/>
      <c r="P2854" s="1">
        <f>MONTH(Advices[[#This Row],[Transaction Date]])</f>
        <v>6</v>
      </c>
      <c r="Q2854" s="1">
        <f>YEAR(Advices[[#This Row],[Transaction Date]])</f>
        <v>2026</v>
      </c>
      <c r="R2854" s="1"/>
    </row>
    <row r="2855" spans="1:18" x14ac:dyDescent="0.25">
      <c r="A2855" s="264" t="s">
        <v>21</v>
      </c>
      <c r="B2855" s="265">
        <v>46187</v>
      </c>
      <c r="C2855" s="264" t="s">
        <v>1951</v>
      </c>
      <c r="D2855" s="264" t="s">
        <v>4569</v>
      </c>
      <c r="E2855" s="264" t="s">
        <v>1896</v>
      </c>
      <c r="F2855" s="264" t="s">
        <v>5344</v>
      </c>
      <c r="G2855" s="264" t="s">
        <v>26</v>
      </c>
      <c r="H2855" s="368">
        <v>75</v>
      </c>
      <c r="I2855" s="266">
        <v>0</v>
      </c>
      <c r="J2855" s="264" t="s">
        <v>1963</v>
      </c>
      <c r="K2855" s="264" t="s">
        <v>2025</v>
      </c>
      <c r="L2855" s="1" t="str">
        <f>VLOOKUP(Advices[[#This Row],[LC Number]],'Combine_List'!A:D,2,0)</f>
        <v>Saudi Perfect Pumps Trading &amp; Manufacturing Company</v>
      </c>
      <c r="M2855" s="1" t="str">
        <f>VLOOKUP(Advices[[#This Row],[LC Number]],'Combine_List'!A:D,3,0)</f>
        <v>MBL</v>
      </c>
      <c r="N2855" s="1" t="str">
        <f>VLOOKUP(Advices[[#This Row],[LC Number]],'Combine_List'!A:D,4,0)</f>
        <v>Rabigh Power Plant</v>
      </c>
      <c r="O2855" s="1"/>
      <c r="P2855" s="1">
        <f>MONTH(Advices[[#This Row],[Transaction Date]])</f>
        <v>6</v>
      </c>
      <c r="Q2855" s="1">
        <f>YEAR(Advices[[#This Row],[Transaction Date]])</f>
        <v>2026</v>
      </c>
      <c r="R2855" s="1"/>
    </row>
    <row r="2856" spans="1:18" x14ac:dyDescent="0.25">
      <c r="A2856" s="264" t="s">
        <v>21</v>
      </c>
      <c r="B2856" s="265">
        <v>46187</v>
      </c>
      <c r="C2856" s="264" t="s">
        <v>1951</v>
      </c>
      <c r="D2856" s="264" t="s">
        <v>4570</v>
      </c>
      <c r="E2856" s="264" t="s">
        <v>1896</v>
      </c>
      <c r="F2856" s="264" t="s">
        <v>5344</v>
      </c>
      <c r="G2856" s="264" t="s">
        <v>26</v>
      </c>
      <c r="H2856" s="368">
        <v>263230</v>
      </c>
      <c r="I2856" s="266">
        <v>0</v>
      </c>
      <c r="J2856" s="264" t="s">
        <v>1126</v>
      </c>
      <c r="K2856" s="264" t="s">
        <v>2025</v>
      </c>
      <c r="L2856" s="1" t="str">
        <f>VLOOKUP(Advices[[#This Row],[LC Number]],'Combine_List'!A:D,2,0)</f>
        <v>Saudi Perfect Pumps Trading &amp; Manufacturing Company</v>
      </c>
      <c r="M2856" s="1" t="str">
        <f>VLOOKUP(Advices[[#This Row],[LC Number]],'Combine_List'!A:D,3,0)</f>
        <v>MBL</v>
      </c>
      <c r="N2856" s="1" t="str">
        <f>VLOOKUP(Advices[[#This Row],[LC Number]],'Combine_List'!A:D,4,0)</f>
        <v>Rabigh Power Plant</v>
      </c>
      <c r="O2856" s="1"/>
      <c r="P2856" s="1">
        <f>MONTH(Advices[[#This Row],[Transaction Date]])</f>
        <v>6</v>
      </c>
      <c r="Q2856" s="1">
        <f>YEAR(Advices[[#This Row],[Transaction Date]])</f>
        <v>2026</v>
      </c>
      <c r="R2856" s="1"/>
    </row>
    <row r="2857" spans="1:18" x14ac:dyDescent="0.25">
      <c r="A2857" s="264" t="s">
        <v>21</v>
      </c>
      <c r="B2857" s="265">
        <v>46187</v>
      </c>
      <c r="C2857" s="264" t="s">
        <v>1951</v>
      </c>
      <c r="D2857" s="264" t="s">
        <v>5578</v>
      </c>
      <c r="E2857" s="264" t="s">
        <v>4737</v>
      </c>
      <c r="F2857" s="264" t="s">
        <v>5579</v>
      </c>
      <c r="G2857" s="264" t="s">
        <v>26</v>
      </c>
      <c r="H2857" s="368">
        <v>885.81</v>
      </c>
      <c r="I2857" s="266">
        <v>0</v>
      </c>
      <c r="J2857" s="264" t="s">
        <v>1174</v>
      </c>
      <c r="K2857" s="264" t="s">
        <v>2025</v>
      </c>
      <c r="L2857" s="1" t="str">
        <f>VLOOKUP(Advices[[#This Row],[LC Number]],'Combine_List'!A:D,2,0)</f>
        <v>Innovative Specialized Security Solution</v>
      </c>
      <c r="M2857" s="1" t="str">
        <f>VLOOKUP(Advices[[#This Row],[LC Number]],'Combine_List'!A:D,3,0)</f>
        <v>ICAD</v>
      </c>
      <c r="N2857" s="1" t="str">
        <f>VLOOKUP(Advices[[#This Row],[LC Number]],'Combine_List'!A:D,4,0)</f>
        <v>ADF</v>
      </c>
      <c r="O2857" s="1"/>
      <c r="P2857" s="1">
        <f>MONTH(Advices[[#This Row],[Transaction Date]])</f>
        <v>6</v>
      </c>
      <c r="Q2857" s="1">
        <f>YEAR(Advices[[#This Row],[Transaction Date]])</f>
        <v>2026</v>
      </c>
      <c r="R2857" s="1"/>
    </row>
    <row r="2858" spans="1:18" x14ac:dyDescent="0.25">
      <c r="A2858" s="264" t="s">
        <v>21</v>
      </c>
      <c r="B2858" s="265">
        <v>46187</v>
      </c>
      <c r="C2858" s="264" t="s">
        <v>1951</v>
      </c>
      <c r="D2858" s="264" t="s">
        <v>4572</v>
      </c>
      <c r="E2858" s="264" t="s">
        <v>4737</v>
      </c>
      <c r="F2858" s="264" t="s">
        <v>5579</v>
      </c>
      <c r="G2858" s="264" t="s">
        <v>26</v>
      </c>
      <c r="H2858" s="368">
        <v>5905.42</v>
      </c>
      <c r="I2858" s="266">
        <v>0</v>
      </c>
      <c r="J2858" s="264" t="s">
        <v>1125</v>
      </c>
      <c r="K2858" s="264" t="s">
        <v>2025</v>
      </c>
      <c r="L2858" s="264" t="str">
        <f>VLOOKUP(Advices[[#This Row],[LC Number]],'Combine_List'!A:D,2,0)</f>
        <v>Innovative Specialized Security Solution</v>
      </c>
      <c r="M2858" s="264" t="str">
        <f>VLOOKUP(Advices[[#This Row],[LC Number]],'Combine_List'!A:D,3,0)</f>
        <v>ICAD</v>
      </c>
      <c r="N2858" s="264" t="str">
        <f>VLOOKUP(Advices[[#This Row],[LC Number]],'Combine_List'!A:D,4,0)</f>
        <v>ADF</v>
      </c>
      <c r="O2858" s="264"/>
      <c r="P2858" s="264">
        <f>MONTH(Advices[[#This Row],[Transaction Date]])</f>
        <v>6</v>
      </c>
      <c r="Q2858" s="264">
        <f>YEAR(Advices[[#This Row],[Transaction Date]])</f>
        <v>2026</v>
      </c>
      <c r="R2858" s="264"/>
    </row>
    <row r="2859" spans="1:18" hidden="1" x14ac:dyDescent="0.25">
      <c r="A2859" s="264" t="s">
        <v>366</v>
      </c>
      <c r="B2859" s="265">
        <v>46187</v>
      </c>
      <c r="C2859" s="264" t="s">
        <v>2060</v>
      </c>
      <c r="D2859" s="264" t="s">
        <v>5580</v>
      </c>
      <c r="E2859" s="264" t="s">
        <v>4393</v>
      </c>
      <c r="F2859" s="264" t="s">
        <v>5076</v>
      </c>
      <c r="G2859" s="264" t="s">
        <v>26</v>
      </c>
      <c r="H2859" s="368">
        <v>5000000</v>
      </c>
      <c r="I2859" s="266">
        <v>0</v>
      </c>
      <c r="J2859" s="264" t="s">
        <v>1126</v>
      </c>
      <c r="K2859" s="264" t="s">
        <v>2025</v>
      </c>
      <c r="L2859" s="264" t="str">
        <f>VLOOKUP(Advices[[#This Row],[LC Number]],'Combine_List'!A:D,2,0)</f>
        <v>The Fundamental Installation For Electric Work Co</v>
      </c>
      <c r="M2859" s="264" t="str">
        <f>VLOOKUP(Advices[[#This Row],[LC Number]],'Combine_List'!A:D,3,0)</f>
        <v>FIRST FIX</v>
      </c>
      <c r="N2859" s="264" t="str">
        <f>VLOOKUP(Advices[[#This Row],[LC Number]],'Combine_List'!A:D,4,0)</f>
        <v>MP1</v>
      </c>
      <c r="O2859" s="264"/>
      <c r="P2859" s="264">
        <f>MONTH(Advices[[#This Row],[Transaction Date]])</f>
        <v>6</v>
      </c>
      <c r="Q2859" s="264">
        <f>YEAR(Advices[[#This Row],[Transaction Date]])</f>
        <v>2026</v>
      </c>
      <c r="R2859" s="264"/>
    </row>
    <row r="2860" spans="1:18" hidden="1" x14ac:dyDescent="0.25">
      <c r="A2860" s="264" t="s">
        <v>1073</v>
      </c>
      <c r="B2860" s="265">
        <v>46187</v>
      </c>
      <c r="C2860" s="264" t="s">
        <v>3164</v>
      </c>
      <c r="D2860" s="264" t="s">
        <v>3165</v>
      </c>
      <c r="E2860" s="264" t="s">
        <v>4546</v>
      </c>
      <c r="F2860" s="264" t="s">
        <v>2041</v>
      </c>
      <c r="G2860" s="264" t="s">
        <v>26</v>
      </c>
      <c r="H2860" s="368">
        <v>2374.75</v>
      </c>
      <c r="I2860" s="266">
        <v>0</v>
      </c>
      <c r="J2860" s="264" t="s">
        <v>1125</v>
      </c>
      <c r="K2860" s="264" t="s">
        <v>2025</v>
      </c>
      <c r="L2860" s="1" t="str">
        <f>VLOOKUP(Advices[[#This Row],[LC Number]],'Combine_List'!A:D,2,0)</f>
        <v>Ready Mix Company Limited.</v>
      </c>
      <c r="M2860" s="1" t="str">
        <f>VLOOKUP(Advices[[#This Row],[LC Number]],'Combine_List'!A:D,3,0)</f>
        <v>MBL</v>
      </c>
      <c r="N2860" s="1" t="str">
        <f>VLOOKUP(Advices[[#This Row],[LC Number]],'Combine_List'!A:D,4,0)</f>
        <v>Lagoon</v>
      </c>
      <c r="O2860" s="1"/>
      <c r="P2860" s="1">
        <f>MONTH(Advices[[#This Row],[Transaction Date]])</f>
        <v>6</v>
      </c>
      <c r="Q2860" s="1">
        <f>YEAR(Advices[[#This Row],[Transaction Date]])</f>
        <v>2026</v>
      </c>
      <c r="R2860" s="1"/>
    </row>
    <row r="2861" spans="1:18" hidden="1" x14ac:dyDescent="0.25">
      <c r="A2861" s="264" t="s">
        <v>1073</v>
      </c>
      <c r="B2861" s="265">
        <v>46187</v>
      </c>
      <c r="C2861" s="264" t="s">
        <v>3164</v>
      </c>
      <c r="D2861" s="264" t="s">
        <v>3166</v>
      </c>
      <c r="E2861" s="264" t="s">
        <v>4546</v>
      </c>
      <c r="F2861" s="264" t="s">
        <v>2041</v>
      </c>
      <c r="G2861" s="264" t="s">
        <v>26</v>
      </c>
      <c r="H2861" s="368">
        <v>250</v>
      </c>
      <c r="I2861" s="266">
        <v>0</v>
      </c>
      <c r="J2861" s="264" t="s">
        <v>1125</v>
      </c>
      <c r="K2861" s="264" t="s">
        <v>2025</v>
      </c>
      <c r="L2861" s="1" t="str">
        <f>VLOOKUP(Advices[[#This Row],[LC Number]],'Combine_List'!A:D,2,0)</f>
        <v>Ready Mix Company Limited.</v>
      </c>
      <c r="M2861" s="1" t="str">
        <f>VLOOKUP(Advices[[#This Row],[LC Number]],'Combine_List'!A:D,3,0)</f>
        <v>MBL</v>
      </c>
      <c r="N2861" s="1" t="str">
        <f>VLOOKUP(Advices[[#This Row],[LC Number]],'Combine_List'!A:D,4,0)</f>
        <v>Lagoon</v>
      </c>
      <c r="O2861" s="1"/>
      <c r="P2861" s="1">
        <f>MONTH(Advices[[#This Row],[Transaction Date]])</f>
        <v>6</v>
      </c>
      <c r="Q2861" s="1">
        <f>YEAR(Advices[[#This Row],[Transaction Date]])</f>
        <v>2026</v>
      </c>
      <c r="R2861" s="1"/>
    </row>
    <row r="2862" spans="1:18" hidden="1" x14ac:dyDescent="0.25">
      <c r="A2862" s="264" t="s">
        <v>1073</v>
      </c>
      <c r="B2862" s="265">
        <v>46187</v>
      </c>
      <c r="C2862" s="264" t="s">
        <v>3164</v>
      </c>
      <c r="D2862" s="264" t="s">
        <v>3168</v>
      </c>
      <c r="E2862" s="264" t="s">
        <v>4546</v>
      </c>
      <c r="F2862" s="264" t="s">
        <v>2041</v>
      </c>
      <c r="G2862" s="264" t="s">
        <v>26</v>
      </c>
      <c r="H2862" s="368">
        <v>356.21</v>
      </c>
      <c r="I2862" s="266">
        <v>0</v>
      </c>
      <c r="J2862" s="264" t="s">
        <v>1174</v>
      </c>
      <c r="K2862" s="264" t="s">
        <v>2025</v>
      </c>
      <c r="L2862" s="1" t="str">
        <f>VLOOKUP(Advices[[#This Row],[LC Number]],'Combine_List'!A:D,2,0)</f>
        <v>Ready Mix Company Limited.</v>
      </c>
      <c r="M2862" s="1" t="str">
        <f>VLOOKUP(Advices[[#This Row],[LC Number]],'Combine_List'!A:D,3,0)</f>
        <v>MBL</v>
      </c>
      <c r="N2862" s="1" t="str">
        <f>VLOOKUP(Advices[[#This Row],[LC Number]],'Combine_List'!A:D,4,0)</f>
        <v>Lagoon</v>
      </c>
      <c r="O2862" s="1"/>
      <c r="P2862" s="1">
        <f>MONTH(Advices[[#This Row],[Transaction Date]])</f>
        <v>6</v>
      </c>
      <c r="Q2862" s="1">
        <f>YEAR(Advices[[#This Row],[Transaction Date]])</f>
        <v>2026</v>
      </c>
      <c r="R2862" s="1"/>
    </row>
    <row r="2863" spans="1:18" hidden="1" x14ac:dyDescent="0.25">
      <c r="A2863" s="264" t="s">
        <v>1073</v>
      </c>
      <c r="B2863" s="265">
        <v>46187</v>
      </c>
      <c r="C2863" s="264" t="s">
        <v>3164</v>
      </c>
      <c r="D2863" s="264" t="s">
        <v>3168</v>
      </c>
      <c r="E2863" s="264" t="s">
        <v>4546</v>
      </c>
      <c r="F2863" s="264" t="s">
        <v>2041</v>
      </c>
      <c r="G2863" s="264" t="s">
        <v>26</v>
      </c>
      <c r="H2863" s="368">
        <v>37.5</v>
      </c>
      <c r="I2863" s="266">
        <v>0</v>
      </c>
      <c r="J2863" s="264" t="s">
        <v>1174</v>
      </c>
      <c r="K2863" s="264" t="s">
        <v>2025</v>
      </c>
      <c r="L2863" s="264" t="str">
        <f>VLOOKUP(Advices[[#This Row],[LC Number]],'Combine_List'!A:D,2,0)</f>
        <v>Ready Mix Company Limited.</v>
      </c>
      <c r="M2863" s="264" t="str">
        <f>VLOOKUP(Advices[[#This Row],[LC Number]],'Combine_List'!A:D,3,0)</f>
        <v>MBL</v>
      </c>
      <c r="N2863" s="264" t="str">
        <f>VLOOKUP(Advices[[#This Row],[LC Number]],'Combine_List'!A:D,4,0)</f>
        <v>Lagoon</v>
      </c>
      <c r="O2863" s="264"/>
      <c r="P2863" s="264">
        <f>MONTH(Advices[[#This Row],[Transaction Date]])</f>
        <v>6</v>
      </c>
      <c r="Q2863" s="264">
        <f>YEAR(Advices[[#This Row],[Transaction Date]])</f>
        <v>2026</v>
      </c>
      <c r="R2863" s="264"/>
    </row>
    <row r="2864" spans="1:18" hidden="1" x14ac:dyDescent="0.25">
      <c r="A2864" s="264" t="s">
        <v>612</v>
      </c>
      <c r="B2864" s="265">
        <v>46187</v>
      </c>
      <c r="C2864" s="264" t="s">
        <v>2101</v>
      </c>
      <c r="D2864" s="264" t="s">
        <v>5581</v>
      </c>
      <c r="E2864" s="264" t="s">
        <v>3319</v>
      </c>
      <c r="F2864" s="264" t="s">
        <v>2041</v>
      </c>
      <c r="G2864" s="264" t="s">
        <v>26</v>
      </c>
      <c r="H2864" s="368">
        <v>204411.35</v>
      </c>
      <c r="I2864" s="266">
        <v>0</v>
      </c>
      <c r="J2864" s="264" t="s">
        <v>1126</v>
      </c>
      <c r="K2864" s="264" t="s">
        <v>2025</v>
      </c>
      <c r="L2864" s="264" t="str">
        <f>VLOOKUP(Advices[[#This Row],[LC Number]],'Combine_List'!A:D,2,0)</f>
        <v>Green Concrete CJSC</v>
      </c>
      <c r="M2864" s="264" t="str">
        <f>VLOOKUP(Advices[[#This Row],[LC Number]],'Combine_List'!A:D,3,0)</f>
        <v>MBL</v>
      </c>
      <c r="N2864" s="264" t="str">
        <f>VLOOKUP(Advices[[#This Row],[LC Number]],'Combine_List'!A:D,4,0)</f>
        <v>RCRC</v>
      </c>
      <c r="O2864" s="264"/>
      <c r="P2864" s="264">
        <f>MONTH(Advices[[#This Row],[Transaction Date]])</f>
        <v>6</v>
      </c>
      <c r="Q2864" s="264">
        <f>YEAR(Advices[[#This Row],[Transaction Date]])</f>
        <v>2026</v>
      </c>
      <c r="R2864" s="264"/>
    </row>
    <row r="2865" spans="1:18" x14ac:dyDescent="0.25">
      <c r="A2865" s="264" t="s">
        <v>21</v>
      </c>
      <c r="B2865" s="265">
        <v>46189</v>
      </c>
      <c r="C2865" s="264" t="s">
        <v>1951</v>
      </c>
      <c r="D2865" s="264" t="s">
        <v>5590</v>
      </c>
      <c r="E2865" s="264" t="s">
        <v>4630</v>
      </c>
      <c r="F2865" s="264" t="s">
        <v>5591</v>
      </c>
      <c r="G2865" s="264" t="s">
        <v>26</v>
      </c>
      <c r="H2865" s="368">
        <v>486.26</v>
      </c>
      <c r="I2865" s="266">
        <v>0</v>
      </c>
      <c r="J2865" s="264" t="s">
        <v>1174</v>
      </c>
      <c r="K2865" s="264" t="s">
        <v>2025</v>
      </c>
      <c r="L2865" s="1" t="str">
        <f>VLOOKUP(Advices[[#This Row],[LC Number]],'Combine_List'!A:D,2,0)</f>
        <v>Depa Saudi Arabia for Contracting and Interior Decorating Co. Ltd.</v>
      </c>
      <c r="M2865" s="1" t="str">
        <f>VLOOKUP(Advices[[#This Row],[LC Number]],'Combine_List'!A:D,3,0)</f>
        <v>MBL</v>
      </c>
      <c r="N2865" s="1" t="str">
        <f>VLOOKUP(Advices[[#This Row],[LC Number]],'Combine_List'!A:D,4,0)</f>
        <v>KSP</v>
      </c>
      <c r="O2865" s="1"/>
      <c r="P2865" s="1">
        <f>MONTH(Advices[[#This Row],[Transaction Date]])</f>
        <v>6</v>
      </c>
      <c r="Q2865" s="1">
        <f>YEAR(Advices[[#This Row],[Transaction Date]])</f>
        <v>2026</v>
      </c>
      <c r="R2865" s="1"/>
    </row>
    <row r="2866" spans="1:18" x14ac:dyDescent="0.25">
      <c r="A2866" s="264" t="s">
        <v>21</v>
      </c>
      <c r="B2866" s="265">
        <v>46189</v>
      </c>
      <c r="C2866" s="264" t="s">
        <v>1951</v>
      </c>
      <c r="D2866" s="264" t="s">
        <v>4572</v>
      </c>
      <c r="E2866" s="264" t="s">
        <v>4630</v>
      </c>
      <c r="F2866" s="264" t="s">
        <v>5591</v>
      </c>
      <c r="G2866" s="264" t="s">
        <v>26</v>
      </c>
      <c r="H2866" s="368">
        <v>3241.74</v>
      </c>
      <c r="I2866" s="266">
        <v>0</v>
      </c>
      <c r="J2866" s="264" t="s">
        <v>1125</v>
      </c>
      <c r="K2866" s="264" t="s">
        <v>2025</v>
      </c>
      <c r="L2866" s="264" t="str">
        <f>VLOOKUP(Advices[[#This Row],[LC Number]],'Combine_List'!A:D,2,0)</f>
        <v>Depa Saudi Arabia for Contracting and Interior Decorating Co. Ltd.</v>
      </c>
      <c r="M2866" s="264" t="str">
        <f>VLOOKUP(Advices[[#This Row],[LC Number]],'Combine_List'!A:D,3,0)</f>
        <v>MBL</v>
      </c>
      <c r="N2866" s="264" t="str">
        <f>VLOOKUP(Advices[[#This Row],[LC Number]],'Combine_List'!A:D,4,0)</f>
        <v>KSP</v>
      </c>
      <c r="O2866" s="264"/>
      <c r="P2866" s="264">
        <f>MONTH(Advices[[#This Row],[Transaction Date]])</f>
        <v>6</v>
      </c>
      <c r="Q2866" s="264">
        <f>YEAR(Advices[[#This Row],[Transaction Date]])</f>
        <v>2026</v>
      </c>
      <c r="R2866" s="264"/>
    </row>
    <row r="2867" spans="1:18" hidden="1" x14ac:dyDescent="0.25">
      <c r="A2867" s="264" t="s">
        <v>62</v>
      </c>
      <c r="B2867" s="265">
        <v>46188</v>
      </c>
      <c r="C2867" s="264" t="s">
        <v>2712</v>
      </c>
      <c r="D2867" s="264" t="s">
        <v>5592</v>
      </c>
      <c r="E2867" s="264" t="s">
        <v>2915</v>
      </c>
      <c r="F2867" s="264" t="s">
        <v>2041</v>
      </c>
      <c r="G2867" s="264" t="s">
        <v>67</v>
      </c>
      <c r="H2867" s="368">
        <v>59942.38</v>
      </c>
      <c r="I2867" s="266">
        <v>0</v>
      </c>
      <c r="J2867" s="264" t="s">
        <v>1126</v>
      </c>
      <c r="K2867" s="264" t="s">
        <v>2025</v>
      </c>
      <c r="L2867" s="1" t="str">
        <f>VLOOKUP(Advices[[#This Row],[LC Number]],'Combine_List'!A:D,2,0)</f>
        <v>IBA MIDDLE EAST FZE</v>
      </c>
      <c r="M2867" s="1" t="str">
        <f>VLOOKUP(Advices[[#This Row],[LC Number]],'Combine_List'!A:D,3,0)</f>
        <v>MBL/United Arab Aluminum Co</v>
      </c>
      <c r="N2867" s="1" t="str">
        <f>VLOOKUP(Advices[[#This Row],[LC Number]],'Combine_List'!A:D,4,0)</f>
        <v>Oceanarium</v>
      </c>
      <c r="O2867" s="1"/>
      <c r="P2867" s="1">
        <f>MONTH(Advices[[#This Row],[Transaction Date]])</f>
        <v>6</v>
      </c>
      <c r="Q2867" s="1">
        <f>YEAR(Advices[[#This Row],[Transaction Date]])</f>
        <v>2026</v>
      </c>
      <c r="R2867" s="1"/>
    </row>
    <row r="2868" spans="1:18" hidden="1" x14ac:dyDescent="0.25">
      <c r="A2868" s="264" t="s">
        <v>62</v>
      </c>
      <c r="B2868" s="265">
        <v>46189</v>
      </c>
      <c r="C2868" s="264" t="s">
        <v>2039</v>
      </c>
      <c r="D2868" s="264" t="s">
        <v>5593</v>
      </c>
      <c r="E2868" s="264" t="s">
        <v>3324</v>
      </c>
      <c r="F2868" s="264" t="s">
        <v>2041</v>
      </c>
      <c r="G2868" s="264" t="s">
        <v>26</v>
      </c>
      <c r="H2868" s="368">
        <v>3039.14</v>
      </c>
      <c r="I2868" s="266">
        <v>0</v>
      </c>
      <c r="J2868" s="264" t="s">
        <v>1124</v>
      </c>
      <c r="K2868" s="264" t="s">
        <v>2025</v>
      </c>
      <c r="L2868" s="1" t="str">
        <f>VLOOKUP(Advices[[#This Row],[LC Number]],'Combine_List'!A:D,2,0)</f>
        <v>SCHNEIDER ELECTRIC SAUDI ARABIA CO</v>
      </c>
      <c r="M2868" s="1" t="str">
        <f>VLOOKUP(Advices[[#This Row],[LC Number]],'Combine_List'!A:D,3,0)</f>
        <v>FIRST FIX</v>
      </c>
      <c r="N2868" s="1" t="str">
        <f>VLOOKUP(Advices[[#This Row],[LC Number]],'Combine_List'!A:D,4,0)</f>
        <v>Oceanarium</v>
      </c>
      <c r="O2868" s="1"/>
      <c r="P2868" s="1">
        <f>MONTH(Advices[[#This Row],[Transaction Date]])</f>
        <v>6</v>
      </c>
      <c r="Q2868" s="1">
        <f>YEAR(Advices[[#This Row],[Transaction Date]])</f>
        <v>2026</v>
      </c>
      <c r="R2868" s="1"/>
    </row>
    <row r="2869" spans="1:18" hidden="1" x14ac:dyDescent="0.25">
      <c r="A2869" s="264" t="s">
        <v>62</v>
      </c>
      <c r="B2869" s="265">
        <v>46189</v>
      </c>
      <c r="C2869" s="264" t="s">
        <v>2039</v>
      </c>
      <c r="D2869" s="264" t="s">
        <v>5594</v>
      </c>
      <c r="E2869" s="264" t="s">
        <v>2906</v>
      </c>
      <c r="F2869" s="264" t="s">
        <v>2041</v>
      </c>
      <c r="G2869" s="264" t="s">
        <v>26</v>
      </c>
      <c r="H2869" s="368">
        <v>4660.41</v>
      </c>
      <c r="I2869" s="266">
        <v>0</v>
      </c>
      <c r="J2869" s="264" t="s">
        <v>1124</v>
      </c>
      <c r="K2869" s="264" t="s">
        <v>2025</v>
      </c>
      <c r="L2869" s="1" t="str">
        <f>VLOOKUP(Advices[[#This Row],[LC Number]],'Combine_List'!A:D,2,0)</f>
        <v>IBA MIDDLE EAST FZE</v>
      </c>
      <c r="M2869" s="1" t="str">
        <f>VLOOKUP(Advices[[#This Row],[LC Number]],'Combine_List'!A:D,3,0)</f>
        <v>MBL/United Arab Aluminum Co</v>
      </c>
      <c r="N2869" s="1" t="str">
        <f>VLOOKUP(Advices[[#This Row],[LC Number]],'Combine_List'!A:D,4,0)</f>
        <v>Oceanarium</v>
      </c>
      <c r="O2869" s="1"/>
      <c r="P2869" s="1">
        <f>MONTH(Advices[[#This Row],[Transaction Date]])</f>
        <v>6</v>
      </c>
      <c r="Q2869" s="1">
        <f>YEAR(Advices[[#This Row],[Transaction Date]])</f>
        <v>2026</v>
      </c>
      <c r="R2869" s="1"/>
    </row>
    <row r="2870" spans="1:18" hidden="1" x14ac:dyDescent="0.25">
      <c r="A2870" s="264" t="s">
        <v>62</v>
      </c>
      <c r="B2870" s="265">
        <v>46189</v>
      </c>
      <c r="C2870" s="264" t="s">
        <v>2039</v>
      </c>
      <c r="D2870" s="264" t="s">
        <v>5595</v>
      </c>
      <c r="E2870" s="264" t="s">
        <v>3320</v>
      </c>
      <c r="F2870" s="264" t="s">
        <v>2041</v>
      </c>
      <c r="G2870" s="264" t="s">
        <v>26</v>
      </c>
      <c r="H2870" s="368">
        <v>1014.98</v>
      </c>
      <c r="I2870" s="266">
        <v>0</v>
      </c>
      <c r="J2870" s="264" t="s">
        <v>1124</v>
      </c>
      <c r="K2870" s="264" t="s">
        <v>2025</v>
      </c>
      <c r="L2870" s="1" t="str">
        <f>VLOOKUP(Advices[[#This Row],[LC Number]],'Combine_List'!A:D,2,0)</f>
        <v>Riyadh Unity for Trading</v>
      </c>
      <c r="M2870" s="1" t="str">
        <f>VLOOKUP(Advices[[#This Row],[LC Number]],'Combine_List'!A:D,3,0)</f>
        <v>FIRST FIX</v>
      </c>
      <c r="N2870" s="1" t="str">
        <f>VLOOKUP(Advices[[#This Row],[LC Number]],'Combine_List'!A:D,4,0)</f>
        <v>Oceanarium</v>
      </c>
      <c r="O2870" s="1"/>
      <c r="P2870" s="1">
        <f>MONTH(Advices[[#This Row],[Transaction Date]])</f>
        <v>6</v>
      </c>
      <c r="Q2870" s="1">
        <f>YEAR(Advices[[#This Row],[Transaction Date]])</f>
        <v>2026</v>
      </c>
      <c r="R2870" s="1"/>
    </row>
    <row r="2871" spans="1:18" hidden="1" x14ac:dyDescent="0.25">
      <c r="A2871" s="264" t="s">
        <v>62</v>
      </c>
      <c r="B2871" s="265">
        <v>46189</v>
      </c>
      <c r="C2871" s="264" t="s">
        <v>2039</v>
      </c>
      <c r="D2871" s="264" t="s">
        <v>5596</v>
      </c>
      <c r="E2871" s="264" t="s">
        <v>2915</v>
      </c>
      <c r="F2871" s="264" t="s">
        <v>2041</v>
      </c>
      <c r="G2871" s="264" t="s">
        <v>26</v>
      </c>
      <c r="H2871" s="368">
        <v>7802.18</v>
      </c>
      <c r="I2871" s="266">
        <v>0</v>
      </c>
      <c r="J2871" s="264" t="s">
        <v>1124</v>
      </c>
      <c r="K2871" s="264" t="s">
        <v>2025</v>
      </c>
      <c r="L2871" s="264" t="str">
        <f>VLOOKUP(Advices[[#This Row],[LC Number]],'Combine_List'!A:D,2,0)</f>
        <v>IBA MIDDLE EAST FZE</v>
      </c>
      <c r="M2871" s="264" t="str">
        <f>VLOOKUP(Advices[[#This Row],[LC Number]],'Combine_List'!A:D,3,0)</f>
        <v>MBL/United Arab Aluminum Co</v>
      </c>
      <c r="N2871" s="264" t="str">
        <f>VLOOKUP(Advices[[#This Row],[LC Number]],'Combine_List'!A:D,4,0)</f>
        <v>Oceanarium</v>
      </c>
      <c r="O2871" s="264"/>
      <c r="P2871" s="264">
        <f>MONTH(Advices[[#This Row],[Transaction Date]])</f>
        <v>6</v>
      </c>
      <c r="Q2871" s="264">
        <f>YEAR(Advices[[#This Row],[Transaction Date]])</f>
        <v>2026</v>
      </c>
      <c r="R2871" s="264"/>
    </row>
    <row r="2872" spans="1:18" hidden="1" x14ac:dyDescent="0.25">
      <c r="A2872" s="264" t="s">
        <v>95</v>
      </c>
      <c r="B2872" s="265">
        <v>46188</v>
      </c>
      <c r="C2872" s="264" t="s">
        <v>2026</v>
      </c>
      <c r="D2872" s="264" t="s">
        <v>5597</v>
      </c>
      <c r="E2872" s="264" t="s">
        <v>707</v>
      </c>
      <c r="F2872" s="264" t="s">
        <v>5598</v>
      </c>
      <c r="G2872" s="264" t="s">
        <v>26</v>
      </c>
      <c r="H2872" s="368">
        <v>6004.45</v>
      </c>
      <c r="I2872" s="266">
        <v>0</v>
      </c>
      <c r="J2872" s="264" t="s">
        <v>1125</v>
      </c>
      <c r="K2872" s="264" t="s">
        <v>2025</v>
      </c>
      <c r="L2872" s="1" t="str">
        <f>VLOOKUP(Advices[[#This Row],[LC Number]],'Combine_List'!A:D,2,0)</f>
        <v>BBH-CHEMTROL INTERNATIONAL ORGANIZATION S.L</v>
      </c>
      <c r="M2872" s="1" t="str">
        <f>VLOOKUP(Advices[[#This Row],[LC Number]],'Combine_List'!A:D,3,0)</f>
        <v>MBL/ICAD</v>
      </c>
      <c r="N2872" s="1" t="str">
        <f>VLOOKUP(Advices[[#This Row],[LC Number]],'Combine_List'!A:D,4,0)</f>
        <v>OPERA House</v>
      </c>
      <c r="O2872" s="1"/>
      <c r="P2872" s="1">
        <f>MONTH(Advices[[#This Row],[Transaction Date]])</f>
        <v>6</v>
      </c>
      <c r="Q2872" s="1">
        <f>YEAR(Advices[[#This Row],[Transaction Date]])</f>
        <v>2026</v>
      </c>
      <c r="R2872" s="1"/>
    </row>
    <row r="2873" spans="1:18" hidden="1" x14ac:dyDescent="0.25">
      <c r="A2873" s="264" t="s">
        <v>95</v>
      </c>
      <c r="B2873" s="265">
        <v>46188</v>
      </c>
      <c r="C2873" s="264" t="s">
        <v>2026</v>
      </c>
      <c r="D2873" s="264" t="s">
        <v>5599</v>
      </c>
      <c r="E2873" s="264" t="s">
        <v>707</v>
      </c>
      <c r="F2873" s="264" t="s">
        <v>5600</v>
      </c>
      <c r="G2873" s="264" t="s">
        <v>26</v>
      </c>
      <c r="H2873" s="368">
        <v>6478.78</v>
      </c>
      <c r="I2873" s="266">
        <v>0</v>
      </c>
      <c r="J2873" s="264" t="s">
        <v>1125</v>
      </c>
      <c r="K2873" s="264" t="s">
        <v>2025</v>
      </c>
      <c r="L2873" s="1" t="str">
        <f>VLOOKUP(Advices[[#This Row],[LC Number]],'Combine_List'!A:D,2,0)</f>
        <v>BBH-CHEMTROL INTERNATIONAL ORGANIZATION S.L</v>
      </c>
      <c r="M2873" s="1" t="str">
        <f>VLOOKUP(Advices[[#This Row],[LC Number]],'Combine_List'!A:D,3,0)</f>
        <v>MBL/ICAD</v>
      </c>
      <c r="N2873" s="1" t="str">
        <f>VLOOKUP(Advices[[#This Row],[LC Number]],'Combine_List'!A:D,4,0)</f>
        <v>OPERA House</v>
      </c>
      <c r="O2873" s="1"/>
      <c r="P2873" s="1">
        <f>MONTH(Advices[[#This Row],[Transaction Date]])</f>
        <v>6</v>
      </c>
      <c r="Q2873" s="1">
        <f>YEAR(Advices[[#This Row],[Transaction Date]])</f>
        <v>2026</v>
      </c>
      <c r="R2873" s="1"/>
    </row>
    <row r="2874" spans="1:18" hidden="1" x14ac:dyDescent="0.25">
      <c r="A2874" s="264" t="s">
        <v>95</v>
      </c>
      <c r="B2874" s="265">
        <v>46188</v>
      </c>
      <c r="C2874" s="264" t="s">
        <v>2026</v>
      </c>
      <c r="D2874" s="264" t="s">
        <v>5363</v>
      </c>
      <c r="E2874" s="264" t="s">
        <v>707</v>
      </c>
      <c r="F2874" s="264" t="s">
        <v>707</v>
      </c>
      <c r="G2874" s="264" t="s">
        <v>26</v>
      </c>
      <c r="H2874" s="368">
        <v>0</v>
      </c>
      <c r="I2874" s="266">
        <v>12483.23</v>
      </c>
      <c r="J2874" s="264" t="s">
        <v>2041</v>
      </c>
      <c r="K2874" s="264" t="s">
        <v>5154</v>
      </c>
      <c r="L2874" s="1" t="str">
        <f>VLOOKUP(Advices[[#This Row],[LC Number]],'Combine_List'!A:D,2,0)</f>
        <v>BBH-CHEMTROL INTERNATIONAL ORGANIZATION S.L</v>
      </c>
      <c r="M2874" s="1" t="str">
        <f>VLOOKUP(Advices[[#This Row],[LC Number]],'Combine_List'!A:D,3,0)</f>
        <v>MBL/ICAD</v>
      </c>
      <c r="N2874" s="1" t="str">
        <f>VLOOKUP(Advices[[#This Row],[LC Number]],'Combine_List'!A:D,4,0)</f>
        <v>OPERA House</v>
      </c>
      <c r="O2874" s="1"/>
      <c r="P2874" s="1">
        <f>MONTH(Advices[[#This Row],[Transaction Date]])</f>
        <v>6</v>
      </c>
      <c r="Q2874" s="1">
        <f>YEAR(Advices[[#This Row],[Transaction Date]])</f>
        <v>2026</v>
      </c>
      <c r="R2874" s="1"/>
    </row>
    <row r="2875" spans="1:18" hidden="1" x14ac:dyDescent="0.25">
      <c r="A2875" s="264" t="s">
        <v>95</v>
      </c>
      <c r="B2875" s="265">
        <v>46188</v>
      </c>
      <c r="C2875" s="264" t="s">
        <v>2307</v>
      </c>
      <c r="D2875" s="264" t="s">
        <v>5364</v>
      </c>
      <c r="E2875" s="264" t="s">
        <v>707</v>
      </c>
      <c r="F2875" s="264" t="s">
        <v>707</v>
      </c>
      <c r="G2875" s="264"/>
      <c r="H2875" s="368">
        <v>12483.23</v>
      </c>
      <c r="I2875" s="266">
        <v>0</v>
      </c>
      <c r="J2875" s="264" t="s">
        <v>2041</v>
      </c>
      <c r="K2875" s="264" t="s">
        <v>5154</v>
      </c>
      <c r="L2875" s="264" t="str">
        <f>VLOOKUP(Advices[[#This Row],[LC Number]],'Combine_List'!A:D,2,0)</f>
        <v>BBH-CHEMTROL INTERNATIONAL ORGANIZATION S.L</v>
      </c>
      <c r="M2875" s="264" t="str">
        <f>VLOOKUP(Advices[[#This Row],[LC Number]],'Combine_List'!A:D,3,0)</f>
        <v>MBL/ICAD</v>
      </c>
      <c r="N2875" s="264" t="str">
        <f>VLOOKUP(Advices[[#This Row],[LC Number]],'Combine_List'!A:D,4,0)</f>
        <v>OPERA House</v>
      </c>
      <c r="O2875" s="264"/>
      <c r="P2875" s="264">
        <f>MONTH(Advices[[#This Row],[Transaction Date]])</f>
        <v>6</v>
      </c>
      <c r="Q2875" s="264">
        <f>YEAR(Advices[[#This Row],[Transaction Date]])</f>
        <v>2026</v>
      </c>
      <c r="R2875" s="264"/>
    </row>
    <row r="2876" spans="1:18" hidden="1" x14ac:dyDescent="0.25">
      <c r="A2876" s="264" t="s">
        <v>366</v>
      </c>
      <c r="B2876" s="265">
        <v>46188</v>
      </c>
      <c r="C2876" s="264" t="s">
        <v>2060</v>
      </c>
      <c r="D2876" s="264" t="s">
        <v>5601</v>
      </c>
      <c r="E2876" s="264" t="s">
        <v>2904</v>
      </c>
      <c r="F2876" s="264" t="s">
        <v>4703</v>
      </c>
      <c r="G2876" s="264" t="s">
        <v>26</v>
      </c>
      <c r="H2876" s="368">
        <v>1000332.98</v>
      </c>
      <c r="I2876" s="266">
        <v>0</v>
      </c>
      <c r="J2876" s="264" t="s">
        <v>1126</v>
      </c>
      <c r="K2876" s="264" t="s">
        <v>2025</v>
      </c>
      <c r="L2876" s="1" t="str">
        <f>VLOOKUP(Advices[[#This Row],[LC Number]],'Combine_List'!A:D,2,0)</f>
        <v>ELSEWEDY CABLES CO. LIMITED</v>
      </c>
      <c r="M2876" s="1" t="str">
        <f>VLOOKUP(Advices[[#This Row],[LC Number]],'Combine_List'!A:D,3,0)</f>
        <v>FIRST FIX</v>
      </c>
      <c r="N2876" s="1" t="str">
        <f>VLOOKUP(Advices[[#This Row],[LC Number]],'Combine_List'!A:D,4,0)</f>
        <v>MP1</v>
      </c>
      <c r="O2876" s="1"/>
      <c r="P2876" s="1">
        <f>MONTH(Advices[[#This Row],[Transaction Date]])</f>
        <v>6</v>
      </c>
      <c r="Q2876" s="1">
        <f>YEAR(Advices[[#This Row],[Transaction Date]])</f>
        <v>2026</v>
      </c>
      <c r="R2876" s="1"/>
    </row>
    <row r="2877" spans="1:18" hidden="1" x14ac:dyDescent="0.25">
      <c r="A2877" s="264" t="s">
        <v>366</v>
      </c>
      <c r="B2877" s="265">
        <v>46188</v>
      </c>
      <c r="C2877" s="264" t="s">
        <v>2060</v>
      </c>
      <c r="D2877" s="264" t="s">
        <v>5602</v>
      </c>
      <c r="E2877" s="264" t="s">
        <v>3704</v>
      </c>
      <c r="F2877" s="264" t="s">
        <v>5603</v>
      </c>
      <c r="G2877" s="264" t="s">
        <v>26</v>
      </c>
      <c r="H2877" s="368">
        <v>3881.25</v>
      </c>
      <c r="I2877" s="266">
        <v>0</v>
      </c>
      <c r="J2877" s="264" t="s">
        <v>1125</v>
      </c>
      <c r="K2877" s="264" t="s">
        <v>2025</v>
      </c>
      <c r="L2877" s="1" t="str">
        <f>VLOOKUP(Advices[[#This Row],[LC Number]],'Combine_List'!A:D,2,0)</f>
        <v>Arabian International Company For Contracting</v>
      </c>
      <c r="M2877" s="1" t="str">
        <f>VLOOKUP(Advices[[#This Row],[LC Number]],'Combine_List'!A:D,3,0)</f>
        <v>FIRST FIX</v>
      </c>
      <c r="N2877" s="1" t="str">
        <f>VLOOKUP(Advices[[#This Row],[LC Number]],'Combine_List'!A:D,4,0)</f>
        <v>MP1</v>
      </c>
      <c r="O2877" s="1"/>
      <c r="P2877" s="1">
        <f>MONTH(Advices[[#This Row],[Transaction Date]])</f>
        <v>6</v>
      </c>
      <c r="Q2877" s="1">
        <f>YEAR(Advices[[#This Row],[Transaction Date]])</f>
        <v>2026</v>
      </c>
      <c r="R2877" s="1"/>
    </row>
    <row r="2878" spans="1:18" hidden="1" x14ac:dyDescent="0.25">
      <c r="A2878" s="264" t="s">
        <v>366</v>
      </c>
      <c r="B2878" s="265">
        <v>46189</v>
      </c>
      <c r="C2878" s="264" t="s">
        <v>2060</v>
      </c>
      <c r="D2878" s="264" t="s">
        <v>5604</v>
      </c>
      <c r="E2878" s="264" t="s">
        <v>4552</v>
      </c>
      <c r="F2878" s="264" t="s">
        <v>5605</v>
      </c>
      <c r="G2878" s="264" t="s">
        <v>26</v>
      </c>
      <c r="H2878" s="368">
        <v>1292.72</v>
      </c>
      <c r="I2878" s="266">
        <v>0</v>
      </c>
      <c r="J2878" s="264" t="s">
        <v>1125</v>
      </c>
      <c r="K2878" s="264" t="s">
        <v>2025</v>
      </c>
      <c r="L2878" s="264" t="str">
        <f>VLOOKUP(Advices[[#This Row],[LC Number]],'Combine_List'!A:D,2,0)</f>
        <v>Khereiji Showrooms Co.</v>
      </c>
      <c r="M2878" s="264" t="str">
        <f>VLOOKUP(Advices[[#This Row],[LC Number]],'Combine_List'!A:D,3,0)</f>
        <v>FIRST FIX</v>
      </c>
      <c r="N2878" s="264" t="str">
        <f>VLOOKUP(Advices[[#This Row],[LC Number]],'Combine_List'!A:D,4,0)</f>
        <v>MP1</v>
      </c>
      <c r="O2878" s="264"/>
      <c r="P2878" s="264">
        <f>MONTH(Advices[[#This Row],[Transaction Date]])</f>
        <v>6</v>
      </c>
      <c r="Q2878" s="264">
        <f>YEAR(Advices[[#This Row],[Transaction Date]])</f>
        <v>2026</v>
      </c>
      <c r="R2878" s="264"/>
    </row>
    <row r="2879" spans="1:18" hidden="1" x14ac:dyDescent="0.25">
      <c r="A2879" s="264" t="s">
        <v>62</v>
      </c>
      <c r="B2879" s="265">
        <v>46190</v>
      </c>
      <c r="C2879" s="264" t="s">
        <v>2039</v>
      </c>
      <c r="D2879" s="264" t="s">
        <v>5610</v>
      </c>
      <c r="E2879" s="264" t="s">
        <v>3323</v>
      </c>
      <c r="F2879" s="264" t="s">
        <v>2041</v>
      </c>
      <c r="G2879" s="264" t="s">
        <v>26</v>
      </c>
      <c r="H2879" s="368">
        <v>2572.6799999999998</v>
      </c>
      <c r="I2879" s="266">
        <v>0</v>
      </c>
      <c r="J2879" s="264" t="s">
        <v>1125</v>
      </c>
      <c r="K2879" s="264" t="s">
        <v>2025</v>
      </c>
      <c r="L2879" s="1" t="str">
        <f>VLOOKUP(Advices[[#This Row],[LC Number]],'Combine_List'!A:D,2,0)</f>
        <v>ALFANAR ELECTRICAL SYSTEMS</v>
      </c>
      <c r="M2879" s="1" t="str">
        <f>VLOOKUP(Advices[[#This Row],[LC Number]],'Combine_List'!A:D,3,0)</f>
        <v>FIRST FIX</v>
      </c>
      <c r="N2879" s="1" t="str">
        <f>VLOOKUP(Advices[[#This Row],[LC Number]],'Combine_List'!A:D,4,0)</f>
        <v>Oceanarium</v>
      </c>
      <c r="O2879" s="1"/>
      <c r="P2879" s="1">
        <f>MONTH(Advices[[#This Row],[Transaction Date]])</f>
        <v>6</v>
      </c>
      <c r="Q2879" s="1">
        <f>YEAR(Advices[[#This Row],[Transaction Date]])</f>
        <v>2026</v>
      </c>
      <c r="R2879" s="1"/>
    </row>
    <row r="2880" spans="1:18" hidden="1" x14ac:dyDescent="0.25">
      <c r="A2880" s="264" t="s">
        <v>62</v>
      </c>
      <c r="B2880" s="265">
        <v>46190</v>
      </c>
      <c r="C2880" s="264" t="s">
        <v>2042</v>
      </c>
      <c r="D2880" s="264" t="s">
        <v>5611</v>
      </c>
      <c r="E2880" s="264" t="s">
        <v>1083</v>
      </c>
      <c r="F2880" s="264" t="s">
        <v>2041</v>
      </c>
      <c r="G2880" s="264" t="s">
        <v>26</v>
      </c>
      <c r="H2880" s="368">
        <v>427696.5</v>
      </c>
      <c r="I2880" s="266">
        <v>0</v>
      </c>
      <c r="J2880" s="264" t="s">
        <v>2830</v>
      </c>
      <c r="K2880" s="264" t="s">
        <v>2025</v>
      </c>
      <c r="L2880" s="1" t="str">
        <f>VLOOKUP(Advices[[#This Row],[LC Number]],'Combine_List'!A:D,2,0)</f>
        <v>Performance - JEDDAH CENTRAL DEVELOPMENT COMPANY</v>
      </c>
      <c r="M2880" s="1">
        <f>VLOOKUP(Advices[[#This Row],[LC Number]],'Combine_List'!A:D,3,0)</f>
        <v>0</v>
      </c>
      <c r="N2880" s="1" t="str">
        <f>VLOOKUP(Advices[[#This Row],[LC Number]],'Combine_List'!A:D,4,0)</f>
        <v>JCD</v>
      </c>
      <c r="O2880" s="1"/>
      <c r="P2880" s="1">
        <f>MONTH(Advices[[#This Row],[Transaction Date]])</f>
        <v>6</v>
      </c>
      <c r="Q2880" s="1">
        <f>YEAR(Advices[[#This Row],[Transaction Date]])</f>
        <v>2026</v>
      </c>
      <c r="R2880" s="1"/>
    </row>
    <row r="2881" spans="1:18" hidden="1" x14ac:dyDescent="0.25">
      <c r="A2881" s="264" t="s">
        <v>62</v>
      </c>
      <c r="B2881" s="265">
        <v>46190</v>
      </c>
      <c r="C2881" s="264" t="s">
        <v>2039</v>
      </c>
      <c r="D2881" s="264" t="s">
        <v>5612</v>
      </c>
      <c r="E2881" s="264" t="s">
        <v>3949</v>
      </c>
      <c r="F2881" s="264" t="s">
        <v>2041</v>
      </c>
      <c r="G2881" s="264" t="s">
        <v>26</v>
      </c>
      <c r="H2881" s="368">
        <v>2690.05</v>
      </c>
      <c r="I2881" s="266">
        <v>0</v>
      </c>
      <c r="J2881" s="264" t="s">
        <v>1125</v>
      </c>
      <c r="K2881" s="264" t="s">
        <v>2025</v>
      </c>
      <c r="L2881" s="264" t="str">
        <f>VLOOKUP(Advices[[#This Row],[LC Number]],'Combine_List'!A:D,2,0)</f>
        <v>Systemair For Electrical Equipment Co.</v>
      </c>
      <c r="M2881" s="264" t="str">
        <f>VLOOKUP(Advices[[#This Row],[LC Number]],'Combine_List'!A:D,3,0)</f>
        <v>FIRST FIX</v>
      </c>
      <c r="N2881" s="264" t="str">
        <f>VLOOKUP(Advices[[#This Row],[LC Number]],'Combine_List'!A:D,4,0)</f>
        <v>Oceanarium</v>
      </c>
      <c r="O2881" s="264"/>
      <c r="P2881" s="264">
        <f>MONTH(Advices[[#This Row],[Transaction Date]])</f>
        <v>6</v>
      </c>
      <c r="Q2881" s="264">
        <f>YEAR(Advices[[#This Row],[Transaction Date]])</f>
        <v>2026</v>
      </c>
      <c r="R2881" s="264"/>
    </row>
    <row r="2882" spans="1:18" hidden="1" x14ac:dyDescent="0.25">
      <c r="A2882" s="264" t="s">
        <v>612</v>
      </c>
      <c r="B2882" s="265">
        <v>46190</v>
      </c>
      <c r="C2882" s="264" t="s">
        <v>2101</v>
      </c>
      <c r="D2882" s="264" t="s">
        <v>5613</v>
      </c>
      <c r="E2882" s="264" t="s">
        <v>3319</v>
      </c>
      <c r="F2882" s="264" t="s">
        <v>2041</v>
      </c>
      <c r="G2882" s="264" t="s">
        <v>26</v>
      </c>
      <c r="H2882" s="368">
        <v>200</v>
      </c>
      <c r="I2882" s="266">
        <v>0</v>
      </c>
      <c r="J2882" s="264" t="s">
        <v>1125</v>
      </c>
      <c r="K2882" s="264" t="s">
        <v>2025</v>
      </c>
      <c r="L2882" s="1" t="str">
        <f>VLOOKUP(Advices[[#This Row],[LC Number]],'Combine_List'!A:D,2,0)</f>
        <v>Green Concrete CJSC</v>
      </c>
      <c r="M2882" s="1" t="str">
        <f>VLOOKUP(Advices[[#This Row],[LC Number]],'Combine_List'!A:D,3,0)</f>
        <v>MBL</v>
      </c>
      <c r="N2882" s="1" t="str">
        <f>VLOOKUP(Advices[[#This Row],[LC Number]],'Combine_List'!A:D,4,0)</f>
        <v>RCRC</v>
      </c>
      <c r="O2882" s="1"/>
      <c r="P2882" s="1">
        <f>MONTH(Advices[[#This Row],[Transaction Date]])</f>
        <v>6</v>
      </c>
      <c r="Q2882" s="1">
        <f>YEAR(Advices[[#This Row],[Transaction Date]])</f>
        <v>2026</v>
      </c>
      <c r="R2882" s="1"/>
    </row>
    <row r="2883" spans="1:18" hidden="1" x14ac:dyDescent="0.25">
      <c r="A2883" s="264" t="s">
        <v>612</v>
      </c>
      <c r="B2883" s="265">
        <v>46190</v>
      </c>
      <c r="C2883" s="264" t="s">
        <v>2101</v>
      </c>
      <c r="D2883" s="264" t="s">
        <v>5614</v>
      </c>
      <c r="E2883" s="264" t="s">
        <v>1822</v>
      </c>
      <c r="F2883" s="264" t="s">
        <v>2041</v>
      </c>
      <c r="G2883" s="264" t="s">
        <v>26</v>
      </c>
      <c r="H2883" s="368">
        <v>30</v>
      </c>
      <c r="I2883" s="266">
        <v>0</v>
      </c>
      <c r="J2883" s="264" t="s">
        <v>1174</v>
      </c>
      <c r="K2883" s="264" t="s">
        <v>2025</v>
      </c>
      <c r="L2883" s="1" t="str">
        <f>VLOOKUP(Advices[[#This Row],[LC Number]],'Combine_List'!A:D,2,0)</f>
        <v>SAUDI HEPCO CO LTD</v>
      </c>
      <c r="M2883" s="1" t="str">
        <f>VLOOKUP(Advices[[#This Row],[LC Number]],'Combine_List'!A:D,3,0)</f>
        <v>FIRST FIX</v>
      </c>
      <c r="N2883" s="1" t="str">
        <f>VLOOKUP(Advices[[#This Row],[LC Number]],'Combine_List'!A:D,4,0)</f>
        <v>RCRC</v>
      </c>
      <c r="O2883" s="1"/>
      <c r="P2883" s="1">
        <f>MONTH(Advices[[#This Row],[Transaction Date]])</f>
        <v>6</v>
      </c>
      <c r="Q2883" s="1">
        <f>YEAR(Advices[[#This Row],[Transaction Date]])</f>
        <v>2026</v>
      </c>
      <c r="R2883" s="1"/>
    </row>
    <row r="2884" spans="1:18" hidden="1" x14ac:dyDescent="0.25">
      <c r="A2884" s="264" t="s">
        <v>612</v>
      </c>
      <c r="B2884" s="265">
        <v>46190</v>
      </c>
      <c r="C2884" s="264" t="s">
        <v>2101</v>
      </c>
      <c r="D2884" s="264" t="s">
        <v>5615</v>
      </c>
      <c r="E2884" s="264" t="s">
        <v>3319</v>
      </c>
      <c r="F2884" s="264" t="s">
        <v>2041</v>
      </c>
      <c r="G2884" s="264" t="s">
        <v>26</v>
      </c>
      <c r="H2884" s="368">
        <v>100</v>
      </c>
      <c r="I2884" s="266">
        <v>0</v>
      </c>
      <c r="J2884" s="264" t="s">
        <v>1125</v>
      </c>
      <c r="K2884" s="264" t="s">
        <v>2025</v>
      </c>
      <c r="L2884" s="1" t="str">
        <f>VLOOKUP(Advices[[#This Row],[LC Number]],'Combine_List'!A:D,2,0)</f>
        <v>Green Concrete CJSC</v>
      </c>
      <c r="M2884" s="1" t="str">
        <f>VLOOKUP(Advices[[#This Row],[LC Number]],'Combine_List'!A:D,3,0)</f>
        <v>MBL</v>
      </c>
      <c r="N2884" s="1" t="str">
        <f>VLOOKUP(Advices[[#This Row],[LC Number]],'Combine_List'!A:D,4,0)</f>
        <v>RCRC</v>
      </c>
      <c r="O2884" s="1"/>
      <c r="P2884" s="1">
        <f>MONTH(Advices[[#This Row],[Transaction Date]])</f>
        <v>6</v>
      </c>
      <c r="Q2884" s="1">
        <f>YEAR(Advices[[#This Row],[Transaction Date]])</f>
        <v>2026</v>
      </c>
      <c r="R2884" s="1"/>
    </row>
    <row r="2885" spans="1:18" hidden="1" x14ac:dyDescent="0.25">
      <c r="A2885" s="264" t="s">
        <v>612</v>
      </c>
      <c r="B2885" s="265">
        <v>46190</v>
      </c>
      <c r="C2885" s="264" t="s">
        <v>2101</v>
      </c>
      <c r="D2885" s="264" t="s">
        <v>5616</v>
      </c>
      <c r="E2885" s="264" t="s">
        <v>3319</v>
      </c>
      <c r="F2885" s="264" t="s">
        <v>2041</v>
      </c>
      <c r="G2885" s="264" t="s">
        <v>26</v>
      </c>
      <c r="H2885" s="368">
        <v>15</v>
      </c>
      <c r="I2885" s="266">
        <v>0</v>
      </c>
      <c r="J2885" s="264" t="s">
        <v>1174</v>
      </c>
      <c r="K2885" s="264" t="s">
        <v>2025</v>
      </c>
      <c r="L2885" s="1" t="str">
        <f>VLOOKUP(Advices[[#This Row],[LC Number]],'Combine_List'!A:D,2,0)</f>
        <v>Green Concrete CJSC</v>
      </c>
      <c r="M2885" s="1" t="str">
        <f>VLOOKUP(Advices[[#This Row],[LC Number]],'Combine_List'!A:D,3,0)</f>
        <v>MBL</v>
      </c>
      <c r="N2885" s="1" t="str">
        <f>VLOOKUP(Advices[[#This Row],[LC Number]],'Combine_List'!A:D,4,0)</f>
        <v>RCRC</v>
      </c>
      <c r="O2885" s="1"/>
      <c r="P2885" s="1">
        <f>MONTH(Advices[[#This Row],[Transaction Date]])</f>
        <v>6</v>
      </c>
      <c r="Q2885" s="1">
        <f>YEAR(Advices[[#This Row],[Transaction Date]])</f>
        <v>2026</v>
      </c>
      <c r="R2885" s="1"/>
    </row>
    <row r="2886" spans="1:18" hidden="1" x14ac:dyDescent="0.25">
      <c r="A2886" s="264" t="s">
        <v>612</v>
      </c>
      <c r="B2886" s="265">
        <v>46190</v>
      </c>
      <c r="C2886" s="264" t="s">
        <v>2101</v>
      </c>
      <c r="D2886" s="264" t="s">
        <v>5617</v>
      </c>
      <c r="E2886" s="264" t="s">
        <v>3319</v>
      </c>
      <c r="F2886" s="264" t="s">
        <v>2041</v>
      </c>
      <c r="G2886" s="264" t="s">
        <v>26</v>
      </c>
      <c r="H2886" s="368">
        <v>250</v>
      </c>
      <c r="I2886" s="266">
        <v>0</v>
      </c>
      <c r="J2886" s="264" t="s">
        <v>1125</v>
      </c>
      <c r="K2886" s="264" t="s">
        <v>2025</v>
      </c>
      <c r="L2886" s="1" t="str">
        <f>VLOOKUP(Advices[[#This Row],[LC Number]],'Combine_List'!A:D,2,0)</f>
        <v>Green Concrete CJSC</v>
      </c>
      <c r="M2886" s="1" t="str">
        <f>VLOOKUP(Advices[[#This Row],[LC Number]],'Combine_List'!A:D,3,0)</f>
        <v>MBL</v>
      </c>
      <c r="N2886" s="1" t="str">
        <f>VLOOKUP(Advices[[#This Row],[LC Number]],'Combine_List'!A:D,4,0)</f>
        <v>RCRC</v>
      </c>
      <c r="O2886" s="1"/>
      <c r="P2886" s="1">
        <f>MONTH(Advices[[#This Row],[Transaction Date]])</f>
        <v>6</v>
      </c>
      <c r="Q2886" s="1">
        <f>YEAR(Advices[[#This Row],[Transaction Date]])</f>
        <v>2026</v>
      </c>
      <c r="R2886" s="1"/>
    </row>
    <row r="2887" spans="1:18" hidden="1" x14ac:dyDescent="0.25">
      <c r="A2887" s="264" t="s">
        <v>612</v>
      </c>
      <c r="B2887" s="265">
        <v>46190</v>
      </c>
      <c r="C2887" s="264" t="s">
        <v>2101</v>
      </c>
      <c r="D2887" s="264" t="s">
        <v>5618</v>
      </c>
      <c r="E2887" s="264" t="s">
        <v>3319</v>
      </c>
      <c r="F2887" s="264" t="s">
        <v>2041</v>
      </c>
      <c r="G2887" s="264" t="s">
        <v>26</v>
      </c>
      <c r="H2887" s="368">
        <v>37.5</v>
      </c>
      <c r="I2887" s="266">
        <v>0</v>
      </c>
      <c r="J2887" s="264" t="s">
        <v>1174</v>
      </c>
      <c r="K2887" s="264" t="s">
        <v>2025</v>
      </c>
      <c r="L2887" s="1" t="str">
        <f>VLOOKUP(Advices[[#This Row],[LC Number]],'Combine_List'!A:D,2,0)</f>
        <v>Green Concrete CJSC</v>
      </c>
      <c r="M2887" s="1" t="str">
        <f>VLOOKUP(Advices[[#This Row],[LC Number]],'Combine_List'!A:D,3,0)</f>
        <v>MBL</v>
      </c>
      <c r="N2887" s="1" t="str">
        <f>VLOOKUP(Advices[[#This Row],[LC Number]],'Combine_List'!A:D,4,0)</f>
        <v>RCRC</v>
      </c>
      <c r="O2887" s="1"/>
      <c r="P2887" s="1">
        <f>MONTH(Advices[[#This Row],[Transaction Date]])</f>
        <v>6</v>
      </c>
      <c r="Q2887" s="1">
        <f>YEAR(Advices[[#This Row],[Transaction Date]])</f>
        <v>2026</v>
      </c>
      <c r="R2887" s="1"/>
    </row>
    <row r="2888" spans="1:18" hidden="1" x14ac:dyDescent="0.25">
      <c r="A2888" s="264" t="s">
        <v>612</v>
      </c>
      <c r="B2888" s="265">
        <v>46190</v>
      </c>
      <c r="C2888" s="264" t="s">
        <v>2101</v>
      </c>
      <c r="D2888" s="264" t="s">
        <v>5619</v>
      </c>
      <c r="E2888" s="264" t="s">
        <v>3319</v>
      </c>
      <c r="F2888" s="264" t="s">
        <v>2041</v>
      </c>
      <c r="G2888" s="264" t="s">
        <v>26</v>
      </c>
      <c r="H2888" s="368">
        <v>30</v>
      </c>
      <c r="I2888" s="266">
        <v>0</v>
      </c>
      <c r="J2888" s="264" t="s">
        <v>1174</v>
      </c>
      <c r="K2888" s="264" t="s">
        <v>2025</v>
      </c>
      <c r="L2888" s="1" t="str">
        <f>VLOOKUP(Advices[[#This Row],[LC Number]],'Combine_List'!A:D,2,0)</f>
        <v>Green Concrete CJSC</v>
      </c>
      <c r="M2888" s="1" t="str">
        <f>VLOOKUP(Advices[[#This Row],[LC Number]],'Combine_List'!A:D,3,0)</f>
        <v>MBL</v>
      </c>
      <c r="N2888" s="1" t="str">
        <f>VLOOKUP(Advices[[#This Row],[LC Number]],'Combine_List'!A:D,4,0)</f>
        <v>RCRC</v>
      </c>
      <c r="O2888" s="1"/>
      <c r="P2888" s="1">
        <f>MONTH(Advices[[#This Row],[Transaction Date]])</f>
        <v>6</v>
      </c>
      <c r="Q2888" s="1">
        <f>YEAR(Advices[[#This Row],[Transaction Date]])</f>
        <v>2026</v>
      </c>
      <c r="R2888" s="1"/>
    </row>
    <row r="2889" spans="1:18" hidden="1" x14ac:dyDescent="0.25">
      <c r="A2889" s="264" t="s">
        <v>612</v>
      </c>
      <c r="B2889" s="265">
        <v>46190</v>
      </c>
      <c r="C2889" s="264" t="s">
        <v>2101</v>
      </c>
      <c r="D2889" s="264" t="s">
        <v>5620</v>
      </c>
      <c r="E2889" s="264" t="s">
        <v>5606</v>
      </c>
      <c r="F2889" s="264" t="s">
        <v>2041</v>
      </c>
      <c r="G2889" s="264" t="s">
        <v>26</v>
      </c>
      <c r="H2889" s="368">
        <v>200</v>
      </c>
      <c r="I2889" s="266">
        <v>0</v>
      </c>
      <c r="J2889" s="264" t="s">
        <v>2616</v>
      </c>
      <c r="K2889" s="264" t="s">
        <v>2025</v>
      </c>
      <c r="L2889" s="1" t="str">
        <f>VLOOKUP(Advices[[#This Row],[LC Number]],'Combine_List'!A:D,2,0)</f>
        <v>Saraya Al Andalus for Construction company</v>
      </c>
      <c r="M2889" s="1" t="str">
        <f>VLOOKUP(Advices[[#This Row],[LC Number]],'Combine_List'!A:D,3,0)</f>
        <v>MBL</v>
      </c>
      <c r="N2889" s="1" t="str">
        <f>VLOOKUP(Advices[[#This Row],[LC Number]],'Combine_List'!A:D,4,0)</f>
        <v>RCRC</v>
      </c>
      <c r="O2889" s="1"/>
      <c r="P2889" s="1">
        <f>MONTH(Advices[[#This Row],[Transaction Date]])</f>
        <v>6</v>
      </c>
      <c r="Q2889" s="1">
        <f>YEAR(Advices[[#This Row],[Transaction Date]])</f>
        <v>2026</v>
      </c>
      <c r="R2889" s="1"/>
    </row>
    <row r="2890" spans="1:18" hidden="1" x14ac:dyDescent="0.25">
      <c r="A2890" s="264" t="s">
        <v>612</v>
      </c>
      <c r="B2890" s="265">
        <v>46190</v>
      </c>
      <c r="C2890" s="264" t="s">
        <v>2101</v>
      </c>
      <c r="D2890" s="264" t="s">
        <v>5621</v>
      </c>
      <c r="E2890" s="264" t="s">
        <v>5606</v>
      </c>
      <c r="F2890" s="264" t="s">
        <v>2041</v>
      </c>
      <c r="G2890" s="264" t="s">
        <v>26</v>
      </c>
      <c r="H2890" s="368">
        <v>1012.5</v>
      </c>
      <c r="I2890" s="266">
        <v>0</v>
      </c>
      <c r="J2890" s="264" t="s">
        <v>1174</v>
      </c>
      <c r="K2890" s="264" t="s">
        <v>2025</v>
      </c>
      <c r="L2890" s="1" t="str">
        <f>VLOOKUP(Advices[[#This Row],[LC Number]],'Combine_List'!A:D,2,0)</f>
        <v>Saraya Al Andalus for Construction company</v>
      </c>
      <c r="M2890" s="1" t="str">
        <f>VLOOKUP(Advices[[#This Row],[LC Number]],'Combine_List'!A:D,3,0)</f>
        <v>MBL</v>
      </c>
      <c r="N2890" s="1" t="str">
        <f>VLOOKUP(Advices[[#This Row],[LC Number]],'Combine_List'!A:D,4,0)</f>
        <v>RCRC</v>
      </c>
      <c r="O2890" s="1"/>
      <c r="P2890" s="1">
        <f>MONTH(Advices[[#This Row],[Transaction Date]])</f>
        <v>6</v>
      </c>
      <c r="Q2890" s="1">
        <f>YEAR(Advices[[#This Row],[Transaction Date]])</f>
        <v>2026</v>
      </c>
      <c r="R2890" s="1"/>
    </row>
    <row r="2891" spans="1:18" hidden="1" x14ac:dyDescent="0.25">
      <c r="A2891" s="264" t="s">
        <v>612</v>
      </c>
      <c r="B2891" s="265">
        <v>46190</v>
      </c>
      <c r="C2891" s="264" t="s">
        <v>2101</v>
      </c>
      <c r="D2891" s="264" t="s">
        <v>5622</v>
      </c>
      <c r="E2891" s="264" t="s">
        <v>5606</v>
      </c>
      <c r="F2891" s="264" t="s">
        <v>2041</v>
      </c>
      <c r="G2891" s="264" t="s">
        <v>26</v>
      </c>
      <c r="H2891" s="368">
        <v>6250</v>
      </c>
      <c r="I2891" s="266">
        <v>0</v>
      </c>
      <c r="J2891" s="264" t="s">
        <v>2616</v>
      </c>
      <c r="K2891" s="264" t="s">
        <v>2025</v>
      </c>
      <c r="L2891" s="1" t="str">
        <f>VLOOKUP(Advices[[#This Row],[LC Number]],'Combine_List'!A:D,2,0)</f>
        <v>Saraya Al Andalus for Construction company</v>
      </c>
      <c r="M2891" s="1" t="str">
        <f>VLOOKUP(Advices[[#This Row],[LC Number]],'Combine_List'!A:D,3,0)</f>
        <v>MBL</v>
      </c>
      <c r="N2891" s="1" t="str">
        <f>VLOOKUP(Advices[[#This Row],[LC Number]],'Combine_List'!A:D,4,0)</f>
        <v>RCRC</v>
      </c>
      <c r="O2891" s="1"/>
      <c r="P2891" s="1">
        <f>MONTH(Advices[[#This Row],[Transaction Date]])</f>
        <v>6</v>
      </c>
      <c r="Q2891" s="1">
        <f>YEAR(Advices[[#This Row],[Transaction Date]])</f>
        <v>2026</v>
      </c>
      <c r="R2891" s="1"/>
    </row>
    <row r="2892" spans="1:18" hidden="1" x14ac:dyDescent="0.25">
      <c r="A2892" s="264" t="s">
        <v>612</v>
      </c>
      <c r="B2892" s="265">
        <v>46190</v>
      </c>
      <c r="C2892" s="264" t="s">
        <v>2101</v>
      </c>
      <c r="D2892" s="264" t="s">
        <v>5623</v>
      </c>
      <c r="E2892" s="264" t="s">
        <v>5606</v>
      </c>
      <c r="F2892" s="264" t="s">
        <v>2041</v>
      </c>
      <c r="G2892" s="264" t="s">
        <v>26</v>
      </c>
      <c r="H2892" s="368">
        <v>937.5</v>
      </c>
      <c r="I2892" s="266">
        <v>0</v>
      </c>
      <c r="J2892" s="264" t="s">
        <v>1174</v>
      </c>
      <c r="K2892" s="264" t="s">
        <v>2025</v>
      </c>
      <c r="L2892" s="1" t="str">
        <f>VLOOKUP(Advices[[#This Row],[LC Number]],'Combine_List'!A:D,2,0)</f>
        <v>Saraya Al Andalus for Construction company</v>
      </c>
      <c r="M2892" s="1" t="str">
        <f>VLOOKUP(Advices[[#This Row],[LC Number]],'Combine_List'!A:D,3,0)</f>
        <v>MBL</v>
      </c>
      <c r="N2892" s="1" t="str">
        <f>VLOOKUP(Advices[[#This Row],[LC Number]],'Combine_List'!A:D,4,0)</f>
        <v>RCRC</v>
      </c>
      <c r="O2892" s="1"/>
      <c r="P2892" s="1">
        <f>MONTH(Advices[[#This Row],[Transaction Date]])</f>
        <v>6</v>
      </c>
      <c r="Q2892" s="1">
        <f>YEAR(Advices[[#This Row],[Transaction Date]])</f>
        <v>2026</v>
      </c>
      <c r="R2892" s="1"/>
    </row>
    <row r="2893" spans="1:18" hidden="1" x14ac:dyDescent="0.25">
      <c r="A2893" s="264" t="s">
        <v>612</v>
      </c>
      <c r="B2893" s="265">
        <v>46190</v>
      </c>
      <c r="C2893" s="264" t="s">
        <v>2101</v>
      </c>
      <c r="D2893" s="264" t="s">
        <v>5624</v>
      </c>
      <c r="E2893" s="264" t="s">
        <v>5606</v>
      </c>
      <c r="F2893" s="264" t="s">
        <v>2041</v>
      </c>
      <c r="G2893" s="264" t="s">
        <v>26</v>
      </c>
      <c r="H2893" s="368">
        <v>750</v>
      </c>
      <c r="I2893" s="266">
        <v>0</v>
      </c>
      <c r="J2893" s="264" t="s">
        <v>2616</v>
      </c>
      <c r="K2893" s="264" t="s">
        <v>2025</v>
      </c>
      <c r="L2893" s="1" t="str">
        <f>VLOOKUP(Advices[[#This Row],[LC Number]],'Combine_List'!A:D,2,0)</f>
        <v>Saraya Al Andalus for Construction company</v>
      </c>
      <c r="M2893" s="1" t="str">
        <f>VLOOKUP(Advices[[#This Row],[LC Number]],'Combine_List'!A:D,3,0)</f>
        <v>MBL</v>
      </c>
      <c r="N2893" s="1" t="str">
        <f>VLOOKUP(Advices[[#This Row],[LC Number]],'Combine_List'!A:D,4,0)</f>
        <v>RCRC</v>
      </c>
      <c r="O2893" s="1"/>
      <c r="P2893" s="1">
        <f>MONTH(Advices[[#This Row],[Transaction Date]])</f>
        <v>6</v>
      </c>
      <c r="Q2893" s="1">
        <f>YEAR(Advices[[#This Row],[Transaction Date]])</f>
        <v>2026</v>
      </c>
      <c r="R2893" s="1"/>
    </row>
    <row r="2894" spans="1:18" hidden="1" x14ac:dyDescent="0.25">
      <c r="A2894" s="264" t="s">
        <v>612</v>
      </c>
      <c r="B2894" s="265">
        <v>46190</v>
      </c>
      <c r="C2894" s="264" t="s">
        <v>2101</v>
      </c>
      <c r="D2894" s="264" t="s">
        <v>5625</v>
      </c>
      <c r="E2894" s="264" t="s">
        <v>5606</v>
      </c>
      <c r="F2894" s="264" t="s">
        <v>2041</v>
      </c>
      <c r="G2894" s="264" t="s">
        <v>26</v>
      </c>
      <c r="H2894" s="368">
        <v>112.5</v>
      </c>
      <c r="I2894" s="266">
        <v>0</v>
      </c>
      <c r="J2894" s="264" t="s">
        <v>1174</v>
      </c>
      <c r="K2894" s="264" t="s">
        <v>2025</v>
      </c>
      <c r="L2894" s="1" t="str">
        <f>VLOOKUP(Advices[[#This Row],[LC Number]],'Combine_List'!A:D,2,0)</f>
        <v>Saraya Al Andalus for Construction company</v>
      </c>
      <c r="M2894" s="1" t="str">
        <f>VLOOKUP(Advices[[#This Row],[LC Number]],'Combine_List'!A:D,3,0)</f>
        <v>MBL</v>
      </c>
      <c r="N2894" s="1" t="str">
        <f>VLOOKUP(Advices[[#This Row],[LC Number]],'Combine_List'!A:D,4,0)</f>
        <v>RCRC</v>
      </c>
      <c r="O2894" s="1"/>
      <c r="P2894" s="1">
        <f>MONTH(Advices[[#This Row],[Transaction Date]])</f>
        <v>6</v>
      </c>
      <c r="Q2894" s="1">
        <f>YEAR(Advices[[#This Row],[Transaction Date]])</f>
        <v>2026</v>
      </c>
      <c r="R2894" s="1"/>
    </row>
    <row r="2895" spans="1:18" hidden="1" x14ac:dyDescent="0.25">
      <c r="A2895" s="264" t="s">
        <v>612</v>
      </c>
      <c r="B2895" s="265">
        <v>46190</v>
      </c>
      <c r="C2895" s="264" t="s">
        <v>2101</v>
      </c>
      <c r="D2895" s="264" t="s">
        <v>5626</v>
      </c>
      <c r="E2895" s="264" t="s">
        <v>1822</v>
      </c>
      <c r="F2895" s="264" t="s">
        <v>2041</v>
      </c>
      <c r="G2895" s="264" t="s">
        <v>26</v>
      </c>
      <c r="H2895" s="368">
        <v>200</v>
      </c>
      <c r="I2895" s="266">
        <v>0</v>
      </c>
      <c r="J2895" s="264" t="s">
        <v>1124</v>
      </c>
      <c r="K2895" s="264" t="s">
        <v>2025</v>
      </c>
      <c r="L2895" s="1" t="str">
        <f>VLOOKUP(Advices[[#This Row],[LC Number]],'Combine_List'!A:D,2,0)</f>
        <v>SAUDI HEPCO CO LTD</v>
      </c>
      <c r="M2895" s="1" t="str">
        <f>VLOOKUP(Advices[[#This Row],[LC Number]],'Combine_List'!A:D,3,0)</f>
        <v>FIRST FIX</v>
      </c>
      <c r="N2895" s="1" t="str">
        <f>VLOOKUP(Advices[[#This Row],[LC Number]],'Combine_List'!A:D,4,0)</f>
        <v>RCRC</v>
      </c>
      <c r="O2895" s="1"/>
      <c r="P2895" s="1">
        <f>MONTH(Advices[[#This Row],[Transaction Date]])</f>
        <v>6</v>
      </c>
      <c r="Q2895" s="1">
        <f>YEAR(Advices[[#This Row],[Transaction Date]])</f>
        <v>2026</v>
      </c>
      <c r="R2895" s="1"/>
    </row>
    <row r="2896" spans="1:18" hidden="1" x14ac:dyDescent="0.25">
      <c r="A2896" s="264" t="s">
        <v>612</v>
      </c>
      <c r="B2896" s="265">
        <v>46190</v>
      </c>
      <c r="C2896" s="264" t="s">
        <v>2101</v>
      </c>
      <c r="D2896" s="264" t="s">
        <v>5627</v>
      </c>
      <c r="E2896" s="264" t="s">
        <v>5606</v>
      </c>
      <c r="F2896" s="264" t="s">
        <v>2041</v>
      </c>
      <c r="G2896" s="264" t="s">
        <v>26</v>
      </c>
      <c r="H2896" s="368">
        <v>30</v>
      </c>
      <c r="I2896" s="266">
        <v>0</v>
      </c>
      <c r="J2896" s="264" t="s">
        <v>1174</v>
      </c>
      <c r="K2896" s="264" t="s">
        <v>2025</v>
      </c>
      <c r="L2896" s="1" t="str">
        <f>VLOOKUP(Advices[[#This Row],[LC Number]],'Combine_List'!A:D,2,0)</f>
        <v>Saraya Al Andalus for Construction company</v>
      </c>
      <c r="M2896" s="1" t="str">
        <f>VLOOKUP(Advices[[#This Row],[LC Number]],'Combine_List'!A:D,3,0)</f>
        <v>MBL</v>
      </c>
      <c r="N2896" s="1" t="str">
        <f>VLOOKUP(Advices[[#This Row],[LC Number]],'Combine_List'!A:D,4,0)</f>
        <v>RCRC</v>
      </c>
      <c r="O2896" s="1"/>
      <c r="P2896" s="1">
        <f>MONTH(Advices[[#This Row],[Transaction Date]])</f>
        <v>6</v>
      </c>
      <c r="Q2896" s="1">
        <f>YEAR(Advices[[#This Row],[Transaction Date]])</f>
        <v>2026</v>
      </c>
      <c r="R2896" s="1"/>
    </row>
    <row r="2897" spans="1:18" hidden="1" x14ac:dyDescent="0.25">
      <c r="A2897" s="264" t="s">
        <v>612</v>
      </c>
      <c r="B2897" s="265">
        <v>46190</v>
      </c>
      <c r="C2897" s="264" t="s">
        <v>2101</v>
      </c>
      <c r="D2897" s="264" t="s">
        <v>5628</v>
      </c>
      <c r="E2897" s="264" t="s">
        <v>5606</v>
      </c>
      <c r="F2897" s="264" t="s">
        <v>2041</v>
      </c>
      <c r="G2897" s="264" t="s">
        <v>26</v>
      </c>
      <c r="H2897" s="368">
        <v>6750</v>
      </c>
      <c r="I2897" s="266">
        <v>0</v>
      </c>
      <c r="J2897" s="264" t="s">
        <v>2793</v>
      </c>
      <c r="K2897" s="264" t="s">
        <v>2025</v>
      </c>
      <c r="L2897" s="1" t="str">
        <f>VLOOKUP(Advices[[#This Row],[LC Number]],'Combine_List'!A:D,2,0)</f>
        <v>Saraya Al Andalus for Construction company</v>
      </c>
      <c r="M2897" s="1" t="str">
        <f>VLOOKUP(Advices[[#This Row],[LC Number]],'Combine_List'!A:D,3,0)</f>
        <v>MBL</v>
      </c>
      <c r="N2897" s="1" t="str">
        <f>VLOOKUP(Advices[[#This Row],[LC Number]],'Combine_List'!A:D,4,0)</f>
        <v>RCRC</v>
      </c>
      <c r="O2897" s="1"/>
      <c r="P2897" s="1">
        <f>MONTH(Advices[[#This Row],[Transaction Date]])</f>
        <v>6</v>
      </c>
      <c r="Q2897" s="1">
        <f>YEAR(Advices[[#This Row],[Transaction Date]])</f>
        <v>2026</v>
      </c>
      <c r="R2897" s="1"/>
    </row>
    <row r="2898" spans="1:18" hidden="1" x14ac:dyDescent="0.25">
      <c r="A2898" s="264" t="s">
        <v>612</v>
      </c>
      <c r="B2898" s="265">
        <v>46190</v>
      </c>
      <c r="C2898" s="264" t="s">
        <v>2101</v>
      </c>
      <c r="D2898" s="264" t="s">
        <v>5629</v>
      </c>
      <c r="E2898" s="264" t="s">
        <v>1822</v>
      </c>
      <c r="F2898" s="264" t="s">
        <v>2041</v>
      </c>
      <c r="G2898" s="264" t="s">
        <v>26</v>
      </c>
      <c r="H2898" s="368">
        <v>75</v>
      </c>
      <c r="I2898" s="266">
        <v>0</v>
      </c>
      <c r="J2898" s="264" t="s">
        <v>1174</v>
      </c>
      <c r="K2898" s="264" t="s">
        <v>2025</v>
      </c>
      <c r="L2898" s="1" t="str">
        <f>VLOOKUP(Advices[[#This Row],[LC Number]],'Combine_List'!A:D,2,0)</f>
        <v>SAUDI HEPCO CO LTD</v>
      </c>
      <c r="M2898" s="1" t="str">
        <f>VLOOKUP(Advices[[#This Row],[LC Number]],'Combine_List'!A:D,3,0)</f>
        <v>FIRST FIX</v>
      </c>
      <c r="N2898" s="1" t="str">
        <f>VLOOKUP(Advices[[#This Row],[LC Number]],'Combine_List'!A:D,4,0)</f>
        <v>RCRC</v>
      </c>
      <c r="O2898" s="1"/>
      <c r="P2898" s="1">
        <f>MONTH(Advices[[#This Row],[Transaction Date]])</f>
        <v>6</v>
      </c>
      <c r="Q2898" s="1">
        <f>YEAR(Advices[[#This Row],[Transaction Date]])</f>
        <v>2026</v>
      </c>
      <c r="R2898" s="1"/>
    </row>
    <row r="2899" spans="1:18" hidden="1" x14ac:dyDescent="0.25">
      <c r="A2899" s="264" t="s">
        <v>612</v>
      </c>
      <c r="B2899" s="265">
        <v>46190</v>
      </c>
      <c r="C2899" s="264" t="s">
        <v>2101</v>
      </c>
      <c r="D2899" s="264" t="s">
        <v>5630</v>
      </c>
      <c r="E2899" s="264" t="s">
        <v>3571</v>
      </c>
      <c r="F2899" s="264" t="s">
        <v>2041</v>
      </c>
      <c r="G2899" s="264" t="s">
        <v>26</v>
      </c>
      <c r="H2899" s="368">
        <v>30</v>
      </c>
      <c r="I2899" s="266">
        <v>0</v>
      </c>
      <c r="J2899" s="264" t="s">
        <v>1174</v>
      </c>
      <c r="K2899" s="264" t="s">
        <v>2025</v>
      </c>
      <c r="L2899" s="1" t="str">
        <f>VLOOKUP(Advices[[#This Row],[LC Number]],'Combine_List'!A:D,2,0)</f>
        <v>Alfanar Electrical Systems</v>
      </c>
      <c r="M2899" s="1" t="str">
        <f>VLOOKUP(Advices[[#This Row],[LC Number]],'Combine_List'!A:D,3,0)</f>
        <v>FIRST FIX</v>
      </c>
      <c r="N2899" s="1" t="str">
        <f>VLOOKUP(Advices[[#This Row],[LC Number]],'Combine_List'!A:D,4,0)</f>
        <v>RCRC</v>
      </c>
      <c r="O2899" s="1"/>
      <c r="P2899" s="1">
        <f>MONTH(Advices[[#This Row],[Transaction Date]])</f>
        <v>6</v>
      </c>
      <c r="Q2899" s="1">
        <f>YEAR(Advices[[#This Row],[Transaction Date]])</f>
        <v>2026</v>
      </c>
      <c r="R2899" s="1"/>
    </row>
    <row r="2900" spans="1:18" hidden="1" x14ac:dyDescent="0.25">
      <c r="A2900" s="264" t="s">
        <v>612</v>
      </c>
      <c r="B2900" s="265">
        <v>46190</v>
      </c>
      <c r="C2900" s="264" t="s">
        <v>2101</v>
      </c>
      <c r="D2900" s="264" t="s">
        <v>5631</v>
      </c>
      <c r="E2900" s="264" t="s">
        <v>1821</v>
      </c>
      <c r="F2900" s="264" t="s">
        <v>2041</v>
      </c>
      <c r="G2900" s="264" t="s">
        <v>26</v>
      </c>
      <c r="H2900" s="368">
        <v>30</v>
      </c>
      <c r="I2900" s="266">
        <v>0</v>
      </c>
      <c r="J2900" s="264" t="s">
        <v>1174</v>
      </c>
      <c r="K2900" s="264" t="s">
        <v>2025</v>
      </c>
      <c r="L2900" s="1" t="str">
        <f>VLOOKUP(Advices[[#This Row],[LC Number]],'Combine_List'!A:D,2,0)</f>
        <v>Mohammed Ramadan Shat Factory</v>
      </c>
      <c r="M2900" s="1" t="str">
        <f>VLOOKUP(Advices[[#This Row],[LC Number]],'Combine_List'!A:D,3,0)</f>
        <v>FIRST FIX</v>
      </c>
      <c r="N2900" s="1" t="str">
        <f>VLOOKUP(Advices[[#This Row],[LC Number]],'Combine_List'!A:D,4,0)</f>
        <v>RCRC</v>
      </c>
      <c r="O2900" s="1"/>
      <c r="P2900" s="1">
        <f>MONTH(Advices[[#This Row],[Transaction Date]])</f>
        <v>6</v>
      </c>
      <c r="Q2900" s="1">
        <f>YEAR(Advices[[#This Row],[Transaction Date]])</f>
        <v>2026</v>
      </c>
      <c r="R2900" s="1"/>
    </row>
    <row r="2901" spans="1:18" hidden="1" x14ac:dyDescent="0.25">
      <c r="A2901" s="264" t="s">
        <v>612</v>
      </c>
      <c r="B2901" s="265">
        <v>46190</v>
      </c>
      <c r="C2901" s="264" t="s">
        <v>2101</v>
      </c>
      <c r="D2901" s="264" t="s">
        <v>5632</v>
      </c>
      <c r="E2901" s="264" t="s">
        <v>3567</v>
      </c>
      <c r="F2901" s="264" t="s">
        <v>2041</v>
      </c>
      <c r="G2901" s="264" t="s">
        <v>26</v>
      </c>
      <c r="H2901" s="368">
        <v>500</v>
      </c>
      <c r="I2901" s="266">
        <v>0</v>
      </c>
      <c r="J2901" s="264" t="s">
        <v>1124</v>
      </c>
      <c r="K2901" s="264" t="s">
        <v>2025</v>
      </c>
      <c r="L2901" s="1" t="str">
        <f>VLOOKUP(Advices[[#This Row],[LC Number]],'Combine_List'!A:D,2,0)</f>
        <v>Mohammed Masoud Al Khaldi Est</v>
      </c>
      <c r="M2901" s="1" t="str">
        <f>VLOOKUP(Advices[[#This Row],[LC Number]],'Combine_List'!A:D,3,0)</f>
        <v>FIRST FIX</v>
      </c>
      <c r="N2901" s="1" t="str">
        <f>VLOOKUP(Advices[[#This Row],[LC Number]],'Combine_List'!A:D,4,0)</f>
        <v>RCRC</v>
      </c>
      <c r="O2901" s="1"/>
      <c r="P2901" s="1">
        <f>MONTH(Advices[[#This Row],[Transaction Date]])</f>
        <v>6</v>
      </c>
      <c r="Q2901" s="1">
        <f>YEAR(Advices[[#This Row],[Transaction Date]])</f>
        <v>2026</v>
      </c>
      <c r="R2901" s="1"/>
    </row>
    <row r="2902" spans="1:18" hidden="1" x14ac:dyDescent="0.25">
      <c r="A2902" s="264" t="s">
        <v>612</v>
      </c>
      <c r="B2902" s="265">
        <v>46190</v>
      </c>
      <c r="C2902" s="264" t="s">
        <v>2101</v>
      </c>
      <c r="D2902" s="264" t="s">
        <v>5633</v>
      </c>
      <c r="E2902" s="264" t="s">
        <v>3567</v>
      </c>
      <c r="F2902" s="264" t="s">
        <v>2041</v>
      </c>
      <c r="G2902" s="264" t="s">
        <v>26</v>
      </c>
      <c r="H2902" s="368">
        <v>75</v>
      </c>
      <c r="I2902" s="266">
        <v>0</v>
      </c>
      <c r="J2902" s="264" t="s">
        <v>1174</v>
      </c>
      <c r="K2902" s="264" t="s">
        <v>2025</v>
      </c>
      <c r="L2902" s="1" t="str">
        <f>VLOOKUP(Advices[[#This Row],[LC Number]],'Combine_List'!A:D,2,0)</f>
        <v>Mohammed Masoud Al Khaldi Est</v>
      </c>
      <c r="M2902" s="1" t="str">
        <f>VLOOKUP(Advices[[#This Row],[LC Number]],'Combine_List'!A:D,3,0)</f>
        <v>FIRST FIX</v>
      </c>
      <c r="N2902" s="1" t="str">
        <f>VLOOKUP(Advices[[#This Row],[LC Number]],'Combine_List'!A:D,4,0)</f>
        <v>RCRC</v>
      </c>
      <c r="O2902" s="1"/>
      <c r="P2902" s="1">
        <f>MONTH(Advices[[#This Row],[Transaction Date]])</f>
        <v>6</v>
      </c>
      <c r="Q2902" s="1">
        <f>YEAR(Advices[[#This Row],[Transaction Date]])</f>
        <v>2026</v>
      </c>
      <c r="R2902" s="1"/>
    </row>
    <row r="2903" spans="1:18" hidden="1" x14ac:dyDescent="0.25">
      <c r="A2903" s="264" t="s">
        <v>612</v>
      </c>
      <c r="B2903" s="265">
        <v>46190</v>
      </c>
      <c r="C2903" s="264" t="s">
        <v>2101</v>
      </c>
      <c r="D2903" s="264" t="s">
        <v>5634</v>
      </c>
      <c r="E2903" s="264" t="s">
        <v>3567</v>
      </c>
      <c r="F2903" s="264" t="s">
        <v>2041</v>
      </c>
      <c r="G2903" s="264" t="s">
        <v>26</v>
      </c>
      <c r="H2903" s="368">
        <v>200</v>
      </c>
      <c r="I2903" s="266">
        <v>0</v>
      </c>
      <c r="J2903" s="264" t="s">
        <v>1124</v>
      </c>
      <c r="K2903" s="264" t="s">
        <v>2025</v>
      </c>
      <c r="L2903" s="1" t="str">
        <f>VLOOKUP(Advices[[#This Row],[LC Number]],'Combine_List'!A:D,2,0)</f>
        <v>Mohammed Masoud Al Khaldi Est</v>
      </c>
      <c r="M2903" s="1" t="str">
        <f>VLOOKUP(Advices[[#This Row],[LC Number]],'Combine_List'!A:D,3,0)</f>
        <v>FIRST FIX</v>
      </c>
      <c r="N2903" s="1" t="str">
        <f>VLOOKUP(Advices[[#This Row],[LC Number]],'Combine_List'!A:D,4,0)</f>
        <v>RCRC</v>
      </c>
      <c r="O2903" s="1"/>
      <c r="P2903" s="1">
        <f>MONTH(Advices[[#This Row],[Transaction Date]])</f>
        <v>6</v>
      </c>
      <c r="Q2903" s="1">
        <f>YEAR(Advices[[#This Row],[Transaction Date]])</f>
        <v>2026</v>
      </c>
      <c r="R2903" s="1"/>
    </row>
    <row r="2904" spans="1:18" hidden="1" x14ac:dyDescent="0.25">
      <c r="A2904" s="264" t="s">
        <v>612</v>
      </c>
      <c r="B2904" s="265">
        <v>46190</v>
      </c>
      <c r="C2904" s="264" t="s">
        <v>2101</v>
      </c>
      <c r="D2904" s="264" t="s">
        <v>5635</v>
      </c>
      <c r="E2904" s="264" t="s">
        <v>3567</v>
      </c>
      <c r="F2904" s="264" t="s">
        <v>2041</v>
      </c>
      <c r="G2904" s="264" t="s">
        <v>26</v>
      </c>
      <c r="H2904" s="368">
        <v>30</v>
      </c>
      <c r="I2904" s="266">
        <v>0</v>
      </c>
      <c r="J2904" s="264" t="s">
        <v>1174</v>
      </c>
      <c r="K2904" s="264" t="s">
        <v>2025</v>
      </c>
      <c r="L2904" s="1" t="str">
        <f>VLOOKUP(Advices[[#This Row],[LC Number]],'Combine_List'!A:D,2,0)</f>
        <v>Mohammed Masoud Al Khaldi Est</v>
      </c>
      <c r="M2904" s="1" t="str">
        <f>VLOOKUP(Advices[[#This Row],[LC Number]],'Combine_List'!A:D,3,0)</f>
        <v>FIRST FIX</v>
      </c>
      <c r="N2904" s="1" t="str">
        <f>VLOOKUP(Advices[[#This Row],[LC Number]],'Combine_List'!A:D,4,0)</f>
        <v>RCRC</v>
      </c>
      <c r="O2904" s="1"/>
      <c r="P2904" s="1">
        <f>MONTH(Advices[[#This Row],[Transaction Date]])</f>
        <v>6</v>
      </c>
      <c r="Q2904" s="1">
        <f>YEAR(Advices[[#This Row],[Transaction Date]])</f>
        <v>2026</v>
      </c>
      <c r="R2904" s="1"/>
    </row>
    <row r="2905" spans="1:18" hidden="1" x14ac:dyDescent="0.25">
      <c r="A2905" s="264" t="s">
        <v>612</v>
      </c>
      <c r="B2905" s="265">
        <v>46190</v>
      </c>
      <c r="C2905" s="264" t="s">
        <v>2101</v>
      </c>
      <c r="D2905" s="264" t="s">
        <v>5636</v>
      </c>
      <c r="E2905" s="264" t="s">
        <v>3570</v>
      </c>
      <c r="F2905" s="264" t="s">
        <v>2041</v>
      </c>
      <c r="G2905" s="264" t="s">
        <v>26</v>
      </c>
      <c r="H2905" s="368">
        <v>1386.48</v>
      </c>
      <c r="I2905" s="266">
        <v>0</v>
      </c>
      <c r="J2905" s="264" t="s">
        <v>1124</v>
      </c>
      <c r="K2905" s="264" t="s">
        <v>2025</v>
      </c>
      <c r="L2905" s="1" t="str">
        <f>VLOOKUP(Advices[[#This Row],[LC Number]],'Combine_List'!A:D,2,0)</f>
        <v>Isam Kabanni And Partners For Construction And Maintenance Co Ltd</v>
      </c>
      <c r="M2905" s="1" t="str">
        <f>VLOOKUP(Advices[[#This Row],[LC Number]],'Combine_List'!A:D,3,0)</f>
        <v>FIRST FIX</v>
      </c>
      <c r="N2905" s="1" t="str">
        <f>VLOOKUP(Advices[[#This Row],[LC Number]],'Combine_List'!A:D,4,0)</f>
        <v>RCRC</v>
      </c>
      <c r="O2905" s="1"/>
      <c r="P2905" s="1">
        <f>MONTH(Advices[[#This Row],[Transaction Date]])</f>
        <v>6</v>
      </c>
      <c r="Q2905" s="1">
        <f>YEAR(Advices[[#This Row],[Transaction Date]])</f>
        <v>2026</v>
      </c>
      <c r="R2905" s="1"/>
    </row>
    <row r="2906" spans="1:18" hidden="1" x14ac:dyDescent="0.25">
      <c r="A2906" s="264" t="s">
        <v>612</v>
      </c>
      <c r="B2906" s="265">
        <v>46190</v>
      </c>
      <c r="C2906" s="264" t="s">
        <v>2101</v>
      </c>
      <c r="D2906" s="264" t="s">
        <v>5637</v>
      </c>
      <c r="E2906" s="264" t="s">
        <v>3570</v>
      </c>
      <c r="F2906" s="264" t="s">
        <v>2041</v>
      </c>
      <c r="G2906" s="264" t="s">
        <v>26</v>
      </c>
      <c r="H2906" s="368">
        <v>207.97</v>
      </c>
      <c r="I2906" s="266">
        <v>0</v>
      </c>
      <c r="J2906" s="264" t="s">
        <v>1174</v>
      </c>
      <c r="K2906" s="264" t="s">
        <v>2025</v>
      </c>
      <c r="L2906" s="1" t="str">
        <f>VLOOKUP(Advices[[#This Row],[LC Number]],'Combine_List'!A:D,2,0)</f>
        <v>Isam Kabanni And Partners For Construction And Maintenance Co Ltd</v>
      </c>
      <c r="M2906" s="1" t="str">
        <f>VLOOKUP(Advices[[#This Row],[LC Number]],'Combine_List'!A:D,3,0)</f>
        <v>FIRST FIX</v>
      </c>
      <c r="N2906" s="1" t="str">
        <f>VLOOKUP(Advices[[#This Row],[LC Number]],'Combine_List'!A:D,4,0)</f>
        <v>RCRC</v>
      </c>
      <c r="O2906" s="1"/>
      <c r="P2906" s="1">
        <f>MONTH(Advices[[#This Row],[Transaction Date]])</f>
        <v>6</v>
      </c>
      <c r="Q2906" s="1">
        <f>YEAR(Advices[[#This Row],[Transaction Date]])</f>
        <v>2026</v>
      </c>
      <c r="R2906" s="1"/>
    </row>
    <row r="2907" spans="1:18" hidden="1" x14ac:dyDescent="0.25">
      <c r="A2907" s="264" t="s">
        <v>612</v>
      </c>
      <c r="B2907" s="265">
        <v>46190</v>
      </c>
      <c r="C2907" s="264" t="s">
        <v>2101</v>
      </c>
      <c r="D2907" s="264" t="s">
        <v>5638</v>
      </c>
      <c r="E2907" s="264" t="s">
        <v>3570</v>
      </c>
      <c r="F2907" s="264" t="s">
        <v>2041</v>
      </c>
      <c r="G2907" s="264" t="s">
        <v>26</v>
      </c>
      <c r="H2907" s="368">
        <v>200</v>
      </c>
      <c r="I2907" s="266">
        <v>0</v>
      </c>
      <c r="J2907" s="264" t="s">
        <v>1124</v>
      </c>
      <c r="K2907" s="264" t="s">
        <v>2025</v>
      </c>
      <c r="L2907" s="1" t="str">
        <f>VLOOKUP(Advices[[#This Row],[LC Number]],'Combine_List'!A:D,2,0)</f>
        <v>Isam Kabanni And Partners For Construction And Maintenance Co Ltd</v>
      </c>
      <c r="M2907" s="1" t="str">
        <f>VLOOKUP(Advices[[#This Row],[LC Number]],'Combine_List'!A:D,3,0)</f>
        <v>FIRST FIX</v>
      </c>
      <c r="N2907" s="1" t="str">
        <f>VLOOKUP(Advices[[#This Row],[LC Number]],'Combine_List'!A:D,4,0)</f>
        <v>RCRC</v>
      </c>
      <c r="O2907" s="1"/>
      <c r="P2907" s="1">
        <f>MONTH(Advices[[#This Row],[Transaction Date]])</f>
        <v>6</v>
      </c>
      <c r="Q2907" s="1">
        <f>YEAR(Advices[[#This Row],[Transaction Date]])</f>
        <v>2026</v>
      </c>
      <c r="R2907" s="1"/>
    </row>
    <row r="2908" spans="1:18" hidden="1" x14ac:dyDescent="0.25">
      <c r="A2908" s="264" t="s">
        <v>612</v>
      </c>
      <c r="B2908" s="265">
        <v>46190</v>
      </c>
      <c r="C2908" s="264" t="s">
        <v>2101</v>
      </c>
      <c r="D2908" s="264" t="s">
        <v>5639</v>
      </c>
      <c r="E2908" s="264" t="s">
        <v>3570</v>
      </c>
      <c r="F2908" s="264" t="s">
        <v>2041</v>
      </c>
      <c r="G2908" s="264" t="s">
        <v>26</v>
      </c>
      <c r="H2908" s="368">
        <v>30</v>
      </c>
      <c r="I2908" s="266">
        <v>0</v>
      </c>
      <c r="J2908" s="264" t="s">
        <v>1174</v>
      </c>
      <c r="K2908" s="264" t="s">
        <v>2025</v>
      </c>
      <c r="L2908" s="1" t="str">
        <f>VLOOKUP(Advices[[#This Row],[LC Number]],'Combine_List'!A:D,2,0)</f>
        <v>Isam Kabanni And Partners For Construction And Maintenance Co Ltd</v>
      </c>
      <c r="M2908" s="1" t="str">
        <f>VLOOKUP(Advices[[#This Row],[LC Number]],'Combine_List'!A:D,3,0)</f>
        <v>FIRST FIX</v>
      </c>
      <c r="N2908" s="1" t="str">
        <f>VLOOKUP(Advices[[#This Row],[LC Number]],'Combine_List'!A:D,4,0)</f>
        <v>RCRC</v>
      </c>
      <c r="O2908" s="1"/>
      <c r="P2908" s="1">
        <f>MONTH(Advices[[#This Row],[Transaction Date]])</f>
        <v>6</v>
      </c>
      <c r="Q2908" s="1">
        <f>YEAR(Advices[[#This Row],[Transaction Date]])</f>
        <v>2026</v>
      </c>
      <c r="R2908" s="1"/>
    </row>
    <row r="2909" spans="1:18" hidden="1" x14ac:dyDescent="0.25">
      <c r="A2909" s="264" t="s">
        <v>612</v>
      </c>
      <c r="B2909" s="265">
        <v>46190</v>
      </c>
      <c r="C2909" s="264" t="s">
        <v>2101</v>
      </c>
      <c r="D2909" s="264" t="s">
        <v>5640</v>
      </c>
      <c r="E2909" s="264" t="s">
        <v>3571</v>
      </c>
      <c r="F2909" s="264" t="s">
        <v>2041</v>
      </c>
      <c r="G2909" s="264" t="s">
        <v>26</v>
      </c>
      <c r="H2909" s="368">
        <v>500</v>
      </c>
      <c r="I2909" s="266">
        <v>0</v>
      </c>
      <c r="J2909" s="264" t="s">
        <v>1124</v>
      </c>
      <c r="K2909" s="264" t="s">
        <v>2025</v>
      </c>
      <c r="L2909" s="1" t="str">
        <f>VLOOKUP(Advices[[#This Row],[LC Number]],'Combine_List'!A:D,2,0)</f>
        <v>Alfanar Electrical Systems</v>
      </c>
      <c r="M2909" s="1" t="str">
        <f>VLOOKUP(Advices[[#This Row],[LC Number]],'Combine_List'!A:D,3,0)</f>
        <v>FIRST FIX</v>
      </c>
      <c r="N2909" s="1" t="str">
        <f>VLOOKUP(Advices[[#This Row],[LC Number]],'Combine_List'!A:D,4,0)</f>
        <v>RCRC</v>
      </c>
      <c r="O2909" s="1"/>
      <c r="P2909" s="1">
        <f>MONTH(Advices[[#This Row],[Transaction Date]])</f>
        <v>6</v>
      </c>
      <c r="Q2909" s="1">
        <f>YEAR(Advices[[#This Row],[Transaction Date]])</f>
        <v>2026</v>
      </c>
      <c r="R2909" s="1"/>
    </row>
    <row r="2910" spans="1:18" hidden="1" x14ac:dyDescent="0.25">
      <c r="A2910" s="264" t="s">
        <v>612</v>
      </c>
      <c r="B2910" s="265">
        <v>46190</v>
      </c>
      <c r="C2910" s="264" t="s">
        <v>2101</v>
      </c>
      <c r="D2910" s="264" t="s">
        <v>5641</v>
      </c>
      <c r="E2910" s="264" t="s">
        <v>3571</v>
      </c>
      <c r="F2910" s="264" t="s">
        <v>2041</v>
      </c>
      <c r="G2910" s="264" t="s">
        <v>26</v>
      </c>
      <c r="H2910" s="368">
        <v>75</v>
      </c>
      <c r="I2910" s="266">
        <v>0</v>
      </c>
      <c r="J2910" s="264" t="s">
        <v>1174</v>
      </c>
      <c r="K2910" s="264" t="s">
        <v>2025</v>
      </c>
      <c r="L2910" s="1" t="str">
        <f>VLOOKUP(Advices[[#This Row],[LC Number]],'Combine_List'!A:D,2,0)</f>
        <v>Alfanar Electrical Systems</v>
      </c>
      <c r="M2910" s="1" t="str">
        <f>VLOOKUP(Advices[[#This Row],[LC Number]],'Combine_List'!A:D,3,0)</f>
        <v>FIRST FIX</v>
      </c>
      <c r="N2910" s="1" t="str">
        <f>VLOOKUP(Advices[[#This Row],[LC Number]],'Combine_List'!A:D,4,0)</f>
        <v>RCRC</v>
      </c>
      <c r="O2910" s="1"/>
      <c r="P2910" s="1">
        <f>MONTH(Advices[[#This Row],[Transaction Date]])</f>
        <v>6</v>
      </c>
      <c r="Q2910" s="1">
        <f>YEAR(Advices[[#This Row],[Transaction Date]])</f>
        <v>2026</v>
      </c>
      <c r="R2910" s="1"/>
    </row>
    <row r="2911" spans="1:18" hidden="1" x14ac:dyDescent="0.25">
      <c r="A2911" s="264" t="s">
        <v>612</v>
      </c>
      <c r="B2911" s="265">
        <v>46190</v>
      </c>
      <c r="C2911" s="264" t="s">
        <v>2101</v>
      </c>
      <c r="D2911" s="264" t="s">
        <v>5642</v>
      </c>
      <c r="E2911" s="264" t="s">
        <v>3571</v>
      </c>
      <c r="F2911" s="264" t="s">
        <v>2041</v>
      </c>
      <c r="G2911" s="264" t="s">
        <v>26</v>
      </c>
      <c r="H2911" s="368">
        <v>200</v>
      </c>
      <c r="I2911" s="266">
        <v>0</v>
      </c>
      <c r="J2911" s="264" t="s">
        <v>1124</v>
      </c>
      <c r="K2911" s="264" t="s">
        <v>2025</v>
      </c>
      <c r="L2911" s="1" t="str">
        <f>VLOOKUP(Advices[[#This Row],[LC Number]],'Combine_List'!A:D,2,0)</f>
        <v>Alfanar Electrical Systems</v>
      </c>
      <c r="M2911" s="1" t="str">
        <f>VLOOKUP(Advices[[#This Row],[LC Number]],'Combine_List'!A:D,3,0)</f>
        <v>FIRST FIX</v>
      </c>
      <c r="N2911" s="1" t="str">
        <f>VLOOKUP(Advices[[#This Row],[LC Number]],'Combine_List'!A:D,4,0)</f>
        <v>RCRC</v>
      </c>
      <c r="O2911" s="1"/>
      <c r="P2911" s="1">
        <f>MONTH(Advices[[#This Row],[Transaction Date]])</f>
        <v>6</v>
      </c>
      <c r="Q2911" s="1">
        <f>YEAR(Advices[[#This Row],[Transaction Date]])</f>
        <v>2026</v>
      </c>
      <c r="R2911" s="1"/>
    </row>
    <row r="2912" spans="1:18" hidden="1" x14ac:dyDescent="0.25">
      <c r="A2912" s="264" t="s">
        <v>612</v>
      </c>
      <c r="B2912" s="265">
        <v>46190</v>
      </c>
      <c r="C2912" s="264" t="s">
        <v>2101</v>
      </c>
      <c r="D2912" s="264" t="s">
        <v>5643</v>
      </c>
      <c r="E2912" s="264" t="s">
        <v>5606</v>
      </c>
      <c r="F2912" s="264" t="s">
        <v>2041</v>
      </c>
      <c r="G2912" s="264" t="s">
        <v>26</v>
      </c>
      <c r="H2912" s="368">
        <v>9444.44</v>
      </c>
      <c r="I2912" s="266">
        <v>0</v>
      </c>
      <c r="J2912" s="264" t="s">
        <v>2616</v>
      </c>
      <c r="K2912" s="264" t="s">
        <v>2025</v>
      </c>
      <c r="L2912" s="1" t="str">
        <f>VLOOKUP(Advices[[#This Row],[LC Number]],'Combine_List'!A:D,2,0)</f>
        <v>Saraya Al Andalus for Construction company</v>
      </c>
      <c r="M2912" s="1" t="str">
        <f>VLOOKUP(Advices[[#This Row],[LC Number]],'Combine_List'!A:D,3,0)</f>
        <v>MBL</v>
      </c>
      <c r="N2912" s="1" t="str">
        <f>VLOOKUP(Advices[[#This Row],[LC Number]],'Combine_List'!A:D,4,0)</f>
        <v>RCRC</v>
      </c>
      <c r="O2912" s="1"/>
      <c r="P2912" s="1">
        <f>MONTH(Advices[[#This Row],[Transaction Date]])</f>
        <v>6</v>
      </c>
      <c r="Q2912" s="1">
        <f>YEAR(Advices[[#This Row],[Transaction Date]])</f>
        <v>2026</v>
      </c>
      <c r="R2912" s="1"/>
    </row>
    <row r="2913" spans="1:18" hidden="1" x14ac:dyDescent="0.25">
      <c r="A2913" s="264" t="s">
        <v>612</v>
      </c>
      <c r="B2913" s="265">
        <v>46190</v>
      </c>
      <c r="C2913" s="264" t="s">
        <v>2101</v>
      </c>
      <c r="D2913" s="264" t="s">
        <v>5644</v>
      </c>
      <c r="E2913" s="264" t="s">
        <v>1821</v>
      </c>
      <c r="F2913" s="264" t="s">
        <v>2041</v>
      </c>
      <c r="G2913" s="264" t="s">
        <v>26</v>
      </c>
      <c r="H2913" s="368">
        <v>500</v>
      </c>
      <c r="I2913" s="266">
        <v>0</v>
      </c>
      <c r="J2913" s="264" t="s">
        <v>1124</v>
      </c>
      <c r="K2913" s="264" t="s">
        <v>2025</v>
      </c>
      <c r="L2913" s="1" t="str">
        <f>VLOOKUP(Advices[[#This Row],[LC Number]],'Combine_List'!A:D,2,0)</f>
        <v>Mohammed Ramadan Shat Factory</v>
      </c>
      <c r="M2913" s="1" t="str">
        <f>VLOOKUP(Advices[[#This Row],[LC Number]],'Combine_List'!A:D,3,0)</f>
        <v>FIRST FIX</v>
      </c>
      <c r="N2913" s="1" t="str">
        <f>VLOOKUP(Advices[[#This Row],[LC Number]],'Combine_List'!A:D,4,0)</f>
        <v>RCRC</v>
      </c>
      <c r="O2913" s="1"/>
      <c r="P2913" s="1">
        <f>MONTH(Advices[[#This Row],[Transaction Date]])</f>
        <v>6</v>
      </c>
      <c r="Q2913" s="1">
        <f>YEAR(Advices[[#This Row],[Transaction Date]])</f>
        <v>2026</v>
      </c>
      <c r="R2913" s="1"/>
    </row>
    <row r="2914" spans="1:18" hidden="1" x14ac:dyDescent="0.25">
      <c r="A2914" s="264" t="s">
        <v>612</v>
      </c>
      <c r="B2914" s="265">
        <v>46190</v>
      </c>
      <c r="C2914" s="264" t="s">
        <v>2101</v>
      </c>
      <c r="D2914" s="264" t="s">
        <v>5645</v>
      </c>
      <c r="E2914" s="264" t="s">
        <v>1821</v>
      </c>
      <c r="F2914" s="264" t="s">
        <v>2041</v>
      </c>
      <c r="G2914" s="264" t="s">
        <v>26</v>
      </c>
      <c r="H2914" s="368">
        <v>75</v>
      </c>
      <c r="I2914" s="266">
        <v>0</v>
      </c>
      <c r="J2914" s="264" t="s">
        <v>1174</v>
      </c>
      <c r="K2914" s="264" t="s">
        <v>2025</v>
      </c>
      <c r="L2914" s="1" t="str">
        <f>VLOOKUP(Advices[[#This Row],[LC Number]],'Combine_List'!A:D,2,0)</f>
        <v>Mohammed Ramadan Shat Factory</v>
      </c>
      <c r="M2914" s="1" t="str">
        <f>VLOOKUP(Advices[[#This Row],[LC Number]],'Combine_List'!A:D,3,0)</f>
        <v>FIRST FIX</v>
      </c>
      <c r="N2914" s="1" t="str">
        <f>VLOOKUP(Advices[[#This Row],[LC Number]],'Combine_List'!A:D,4,0)</f>
        <v>RCRC</v>
      </c>
      <c r="O2914" s="1"/>
      <c r="P2914" s="1">
        <f>MONTH(Advices[[#This Row],[Transaction Date]])</f>
        <v>6</v>
      </c>
      <c r="Q2914" s="1">
        <f>YEAR(Advices[[#This Row],[Transaction Date]])</f>
        <v>2026</v>
      </c>
      <c r="R2914" s="1"/>
    </row>
    <row r="2915" spans="1:18" hidden="1" x14ac:dyDescent="0.25">
      <c r="A2915" s="264" t="s">
        <v>612</v>
      </c>
      <c r="B2915" s="265">
        <v>46190</v>
      </c>
      <c r="C2915" s="264" t="s">
        <v>2101</v>
      </c>
      <c r="D2915" s="264" t="s">
        <v>5646</v>
      </c>
      <c r="E2915" s="264" t="s">
        <v>1821</v>
      </c>
      <c r="F2915" s="264" t="s">
        <v>2041</v>
      </c>
      <c r="G2915" s="264" t="s">
        <v>26</v>
      </c>
      <c r="H2915" s="368">
        <v>200</v>
      </c>
      <c r="I2915" s="266">
        <v>0</v>
      </c>
      <c r="J2915" s="264" t="s">
        <v>1124</v>
      </c>
      <c r="K2915" s="264" t="s">
        <v>2025</v>
      </c>
      <c r="L2915" s="1" t="str">
        <f>VLOOKUP(Advices[[#This Row],[LC Number]],'Combine_List'!A:D,2,0)</f>
        <v>Mohammed Ramadan Shat Factory</v>
      </c>
      <c r="M2915" s="1" t="str">
        <f>VLOOKUP(Advices[[#This Row],[LC Number]],'Combine_List'!A:D,3,0)</f>
        <v>FIRST FIX</v>
      </c>
      <c r="N2915" s="1" t="str">
        <f>VLOOKUP(Advices[[#This Row],[LC Number]],'Combine_List'!A:D,4,0)</f>
        <v>RCRC</v>
      </c>
      <c r="O2915" s="1"/>
      <c r="P2915" s="1">
        <f>MONTH(Advices[[#This Row],[Transaction Date]])</f>
        <v>6</v>
      </c>
      <c r="Q2915" s="1">
        <f>YEAR(Advices[[#This Row],[Transaction Date]])</f>
        <v>2026</v>
      </c>
      <c r="R2915" s="1"/>
    </row>
    <row r="2916" spans="1:18" hidden="1" x14ac:dyDescent="0.25">
      <c r="A2916" s="264" t="s">
        <v>612</v>
      </c>
      <c r="B2916" s="265">
        <v>46190</v>
      </c>
      <c r="C2916" s="264" t="s">
        <v>2101</v>
      </c>
      <c r="D2916" s="264" t="s">
        <v>5647</v>
      </c>
      <c r="E2916" s="264" t="s">
        <v>1822</v>
      </c>
      <c r="F2916" s="264" t="s">
        <v>2041</v>
      </c>
      <c r="G2916" s="264" t="s">
        <v>26</v>
      </c>
      <c r="H2916" s="368">
        <v>500</v>
      </c>
      <c r="I2916" s="266">
        <v>0</v>
      </c>
      <c r="J2916" s="264" t="s">
        <v>1124</v>
      </c>
      <c r="K2916" s="264" t="s">
        <v>2025</v>
      </c>
      <c r="L2916" s="1" t="str">
        <f>VLOOKUP(Advices[[#This Row],[LC Number]],'Combine_List'!A:D,2,0)</f>
        <v>SAUDI HEPCO CO LTD</v>
      </c>
      <c r="M2916" s="1" t="str">
        <f>VLOOKUP(Advices[[#This Row],[LC Number]],'Combine_List'!A:D,3,0)</f>
        <v>FIRST FIX</v>
      </c>
      <c r="N2916" s="1" t="str">
        <f>VLOOKUP(Advices[[#This Row],[LC Number]],'Combine_List'!A:D,4,0)</f>
        <v>RCRC</v>
      </c>
      <c r="O2916" s="1"/>
      <c r="P2916" s="1">
        <f>MONTH(Advices[[#This Row],[Transaction Date]])</f>
        <v>6</v>
      </c>
      <c r="Q2916" s="1">
        <f>YEAR(Advices[[#This Row],[Transaction Date]])</f>
        <v>2026</v>
      </c>
      <c r="R2916" s="1"/>
    </row>
    <row r="2917" spans="1:18" hidden="1" x14ac:dyDescent="0.25">
      <c r="A2917" s="264" t="s">
        <v>612</v>
      </c>
      <c r="B2917" s="265">
        <v>46190</v>
      </c>
      <c r="C2917" s="264" t="s">
        <v>2101</v>
      </c>
      <c r="D2917" s="264" t="s">
        <v>5648</v>
      </c>
      <c r="E2917" s="264" t="s">
        <v>5606</v>
      </c>
      <c r="F2917" s="264" t="s">
        <v>2041</v>
      </c>
      <c r="G2917" s="264" t="s">
        <v>26</v>
      </c>
      <c r="H2917" s="368">
        <v>1416.67</v>
      </c>
      <c r="I2917" s="266">
        <v>0</v>
      </c>
      <c r="J2917" s="264" t="s">
        <v>1174</v>
      </c>
      <c r="K2917" s="264" t="s">
        <v>2025</v>
      </c>
      <c r="L2917" s="264" t="str">
        <f>VLOOKUP(Advices[[#This Row],[LC Number]],'Combine_List'!A:D,2,0)</f>
        <v>Saraya Al Andalus for Construction company</v>
      </c>
      <c r="M2917" s="264" t="str">
        <f>VLOOKUP(Advices[[#This Row],[LC Number]],'Combine_List'!A:D,3,0)</f>
        <v>MBL</v>
      </c>
      <c r="N2917" s="264" t="str">
        <f>VLOOKUP(Advices[[#This Row],[LC Number]],'Combine_List'!A:D,4,0)</f>
        <v>RCRC</v>
      </c>
      <c r="O2917" s="264"/>
      <c r="P2917" s="264">
        <f>MONTH(Advices[[#This Row],[Transaction Date]])</f>
        <v>6</v>
      </c>
      <c r="Q2917" s="264">
        <f>YEAR(Advices[[#This Row],[Transaction Date]])</f>
        <v>2026</v>
      </c>
      <c r="R2917" s="264"/>
    </row>
    <row r="2918" spans="1:18" hidden="1" x14ac:dyDescent="0.25">
      <c r="A2918" s="264" t="s">
        <v>5315</v>
      </c>
      <c r="B2918" s="265">
        <v>46176</v>
      </c>
      <c r="C2918" s="264" t="s">
        <v>5656</v>
      </c>
      <c r="D2918" s="264" t="s">
        <v>5657</v>
      </c>
      <c r="E2918" s="264" t="s">
        <v>5430</v>
      </c>
      <c r="F2918" s="264" t="s">
        <v>2041</v>
      </c>
      <c r="G2918" s="264" t="s">
        <v>26</v>
      </c>
      <c r="H2918" s="368">
        <v>164207.22</v>
      </c>
      <c r="I2918" s="266"/>
      <c r="J2918" s="264" t="s">
        <v>2041</v>
      </c>
      <c r="K2918" s="264" t="s">
        <v>5649</v>
      </c>
      <c r="L2918" s="1" t="str">
        <f>VLOOKUP(Advices[[#This Row],[LC Number]],'Combine_List'!A:D,2,0)</f>
        <v xml:space="preserve">Bid - MADA INTERNATIONAL HOLDING </v>
      </c>
      <c r="M2918" s="1" t="str">
        <f>VLOOKUP(Advices[[#This Row],[LC Number]],'Combine_List'!A:D,3,0)</f>
        <v>ICAD</v>
      </c>
      <c r="N2918" s="1">
        <f>VLOOKUP(Advices[[#This Row],[LC Number]],'Combine_List'!A:D,4,0)</f>
        <v>0</v>
      </c>
      <c r="O2918" s="1"/>
      <c r="P2918" s="1">
        <f>MONTH(Advices[[#This Row],[Transaction Date]])</f>
        <v>6</v>
      </c>
      <c r="Q2918" s="1">
        <f>YEAR(Advices[[#This Row],[Transaction Date]])</f>
        <v>2026</v>
      </c>
      <c r="R2918" s="1"/>
    </row>
    <row r="2919" spans="1:18" hidden="1" x14ac:dyDescent="0.25">
      <c r="A2919" s="264" t="s">
        <v>5315</v>
      </c>
      <c r="B2919" s="265">
        <v>46174</v>
      </c>
      <c r="C2919" s="264" t="s">
        <v>5656</v>
      </c>
      <c r="D2919" s="264" t="s">
        <v>5658</v>
      </c>
      <c r="E2919" s="264" t="s">
        <v>5396</v>
      </c>
      <c r="F2919" s="264" t="s">
        <v>2041</v>
      </c>
      <c r="G2919" s="264" t="s">
        <v>26</v>
      </c>
      <c r="H2919" s="368">
        <v>93816.84</v>
      </c>
      <c r="I2919" s="266"/>
      <c r="J2919" s="264" t="s">
        <v>2041</v>
      </c>
      <c r="K2919" s="264" t="s">
        <v>5649</v>
      </c>
      <c r="L2919" s="264" t="str">
        <f>VLOOKUP(Advices[[#This Row],[LC Number]],'Combine_List'!A:D,2,0)</f>
        <v>Bid - Diriyah Company</v>
      </c>
      <c r="M2919" s="264" t="str">
        <f>VLOOKUP(Advices[[#This Row],[LC Number]],'Combine_List'!A:D,3,0)</f>
        <v>MBL</v>
      </c>
      <c r="N2919" s="264">
        <f>VLOOKUP(Advices[[#This Row],[LC Number]],'Combine_List'!A:D,4,0)</f>
        <v>0</v>
      </c>
      <c r="O2919" s="264"/>
      <c r="P2919" s="264">
        <f>MONTH(Advices[[#This Row],[Transaction Date]])</f>
        <v>6</v>
      </c>
      <c r="Q2919" s="264">
        <f>YEAR(Advices[[#This Row],[Transaction Date]])</f>
        <v>2026</v>
      </c>
      <c r="R2919" s="264"/>
    </row>
    <row r="2920" spans="1:18" hidden="1" x14ac:dyDescent="0.25">
      <c r="A2920" s="264" t="s">
        <v>62</v>
      </c>
      <c r="B2920" s="265">
        <v>46191</v>
      </c>
      <c r="C2920" s="264" t="s">
        <v>2039</v>
      </c>
      <c r="D2920" s="264" t="s">
        <v>5667</v>
      </c>
      <c r="E2920" s="264" t="s">
        <v>5673</v>
      </c>
      <c r="F2920" s="264" t="s">
        <v>2041</v>
      </c>
      <c r="G2920" s="264" t="s">
        <v>26</v>
      </c>
      <c r="H2920" s="368">
        <v>818.67</v>
      </c>
      <c r="I2920" s="266">
        <v>0</v>
      </c>
      <c r="J2920" s="264" t="s">
        <v>1125</v>
      </c>
      <c r="K2920" s="264" t="s">
        <v>2025</v>
      </c>
      <c r="L2920" s="1" t="str">
        <f>VLOOKUP(Advices[[#This Row],[LC Number]],'Combine_List'!A:D,2,0)</f>
        <v>Mat Filtrasyon Teknolojeleri A.S</v>
      </c>
      <c r="M2920" s="1" t="str">
        <f>VLOOKUP(Advices[[#This Row],[LC Number]],'Combine_List'!A:D,3,0)</f>
        <v>MBL</v>
      </c>
      <c r="N2920" s="1" t="str">
        <f>VLOOKUP(Advices[[#This Row],[LC Number]],'Combine_List'!A:D,4,0)</f>
        <v>Oceanarium</v>
      </c>
      <c r="O2920" s="1"/>
      <c r="P2920" s="1">
        <f>MONTH(Advices[[#This Row],[Transaction Date]])</f>
        <v>6</v>
      </c>
      <c r="Q2920" s="1">
        <f>YEAR(Advices[[#This Row],[Transaction Date]])</f>
        <v>2026</v>
      </c>
      <c r="R2920" s="1"/>
    </row>
    <row r="2921" spans="1:18" hidden="1" x14ac:dyDescent="0.25">
      <c r="A2921" s="264" t="s">
        <v>62</v>
      </c>
      <c r="B2921" s="265">
        <v>46191</v>
      </c>
      <c r="C2921" s="264" t="s">
        <v>2039</v>
      </c>
      <c r="D2921" s="264" t="s">
        <v>5668</v>
      </c>
      <c r="E2921" s="264" t="s">
        <v>5673</v>
      </c>
      <c r="F2921" s="264" t="s">
        <v>2041</v>
      </c>
      <c r="G2921" s="264" t="s">
        <v>26</v>
      </c>
      <c r="H2921" s="368">
        <v>1345.1</v>
      </c>
      <c r="I2921" s="266">
        <v>0</v>
      </c>
      <c r="J2921" s="264" t="s">
        <v>1125</v>
      </c>
      <c r="K2921" s="264" t="s">
        <v>2025</v>
      </c>
      <c r="L2921" s="264" t="str">
        <f>VLOOKUP(Advices[[#This Row],[LC Number]],'Combine_List'!A:D,2,0)</f>
        <v>Mat Filtrasyon Teknolojeleri A.S</v>
      </c>
      <c r="M2921" s="264" t="str">
        <f>VLOOKUP(Advices[[#This Row],[LC Number]],'Combine_List'!A:D,3,0)</f>
        <v>MBL</v>
      </c>
      <c r="N2921" s="264" t="str">
        <f>VLOOKUP(Advices[[#This Row],[LC Number]],'Combine_List'!A:D,4,0)</f>
        <v>Oceanarium</v>
      </c>
      <c r="O2921" s="264"/>
      <c r="P2921" s="264">
        <f>MONTH(Advices[[#This Row],[Transaction Date]])</f>
        <v>6</v>
      </c>
      <c r="Q2921" s="264">
        <f>YEAR(Advices[[#This Row],[Transaction Date]])</f>
        <v>2026</v>
      </c>
      <c r="R2921" s="264"/>
    </row>
    <row r="2922" spans="1:18" hidden="1" x14ac:dyDescent="0.25">
      <c r="A2922" s="264" t="s">
        <v>95</v>
      </c>
      <c r="B2922" s="265">
        <v>46191</v>
      </c>
      <c r="C2922" s="264" t="s">
        <v>2026</v>
      </c>
      <c r="D2922" s="264" t="s">
        <v>5669</v>
      </c>
      <c r="E2922" s="264" t="s">
        <v>1639</v>
      </c>
      <c r="F2922" s="264" t="s">
        <v>5670</v>
      </c>
      <c r="G2922" s="264" t="s">
        <v>26</v>
      </c>
      <c r="H2922" s="368">
        <v>185793.71</v>
      </c>
      <c r="I2922" s="266">
        <v>0</v>
      </c>
      <c r="J2922" s="264" t="s">
        <v>1126</v>
      </c>
      <c r="K2922" s="264" t="s">
        <v>2025</v>
      </c>
      <c r="L2922" s="1" t="str">
        <f>VLOOKUP(Advices[[#This Row],[LC Number]],'Combine_List'!A:D,2,0)</f>
        <v>Mohammed A. Al-Awani Trading</v>
      </c>
      <c r="M2922" s="1" t="str">
        <f>VLOOKUP(Advices[[#This Row],[LC Number]],'Combine_List'!A:D,3,0)</f>
        <v>MBL</v>
      </c>
      <c r="N2922" s="1" t="str">
        <f>VLOOKUP(Advices[[#This Row],[LC Number]],'Combine_List'!A:D,4,0)</f>
        <v>Rabigh Power Plant</v>
      </c>
      <c r="O2922" s="1"/>
      <c r="P2922" s="1">
        <f>MONTH(Advices[[#This Row],[Transaction Date]])</f>
        <v>6</v>
      </c>
      <c r="Q2922" s="1">
        <f>YEAR(Advices[[#This Row],[Transaction Date]])</f>
        <v>2026</v>
      </c>
      <c r="R2922" s="1"/>
    </row>
    <row r="2923" spans="1:18" hidden="1" x14ac:dyDescent="0.25">
      <c r="A2923" s="264" t="s">
        <v>95</v>
      </c>
      <c r="B2923" s="265">
        <v>46191</v>
      </c>
      <c r="C2923" s="264" t="s">
        <v>2026</v>
      </c>
      <c r="D2923" s="264" t="s">
        <v>5671</v>
      </c>
      <c r="E2923" s="264" t="s">
        <v>707</v>
      </c>
      <c r="F2923" s="264" t="s">
        <v>707</v>
      </c>
      <c r="G2923" s="264" t="s">
        <v>26</v>
      </c>
      <c r="H2923" s="368">
        <v>0</v>
      </c>
      <c r="I2923" s="266">
        <v>527.4</v>
      </c>
      <c r="J2923" s="264" t="s">
        <v>2041</v>
      </c>
      <c r="K2923" s="264" t="s">
        <v>5154</v>
      </c>
      <c r="L2923" s="1" t="str">
        <f>VLOOKUP(Advices[[#This Row],[LC Number]],'Combine_List'!A:D,2,0)</f>
        <v>BBH-CHEMTROL INTERNATIONAL ORGANIZATION S.L</v>
      </c>
      <c r="M2923" s="1" t="str">
        <f>VLOOKUP(Advices[[#This Row],[LC Number]],'Combine_List'!A:D,3,0)</f>
        <v>MBL/ICAD</v>
      </c>
      <c r="N2923" s="1" t="str">
        <f>VLOOKUP(Advices[[#This Row],[LC Number]],'Combine_List'!A:D,4,0)</f>
        <v>OPERA House</v>
      </c>
      <c r="O2923" s="1"/>
      <c r="P2923" s="1">
        <f>MONTH(Advices[[#This Row],[Transaction Date]])</f>
        <v>6</v>
      </c>
      <c r="Q2923" s="1">
        <f>YEAR(Advices[[#This Row],[Transaction Date]])</f>
        <v>2026</v>
      </c>
      <c r="R2923" s="1"/>
    </row>
    <row r="2924" spans="1:18" hidden="1" x14ac:dyDescent="0.25">
      <c r="A2924" s="264" t="s">
        <v>95</v>
      </c>
      <c r="B2924" s="265">
        <v>46191</v>
      </c>
      <c r="C2924" s="264" t="s">
        <v>2026</v>
      </c>
      <c r="D2924" s="264" t="s">
        <v>3654</v>
      </c>
      <c r="E2924" s="264" t="s">
        <v>707</v>
      </c>
      <c r="F2924" s="264" t="s">
        <v>2379</v>
      </c>
      <c r="G2924" s="264" t="s">
        <v>26</v>
      </c>
      <c r="H2924" s="368">
        <v>527.4</v>
      </c>
      <c r="I2924" s="266">
        <v>0</v>
      </c>
      <c r="J2924" s="264" t="s">
        <v>5674</v>
      </c>
      <c r="K2924" s="264" t="s">
        <v>2025</v>
      </c>
      <c r="L2924" s="1" t="str">
        <f>VLOOKUP(Advices[[#This Row],[LC Number]],'Combine_List'!A:D,2,0)</f>
        <v>BBH-CHEMTROL INTERNATIONAL ORGANIZATION S.L</v>
      </c>
      <c r="M2924" s="1" t="str">
        <f>VLOOKUP(Advices[[#This Row],[LC Number]],'Combine_List'!A:D,3,0)</f>
        <v>MBL/ICAD</v>
      </c>
      <c r="N2924" s="1" t="str">
        <f>VLOOKUP(Advices[[#This Row],[LC Number]],'Combine_List'!A:D,4,0)</f>
        <v>OPERA House</v>
      </c>
      <c r="O2924" s="1"/>
      <c r="P2924" s="1">
        <f>MONTH(Advices[[#This Row],[Transaction Date]])</f>
        <v>6</v>
      </c>
      <c r="Q2924" s="1">
        <f>YEAR(Advices[[#This Row],[Transaction Date]])</f>
        <v>2026</v>
      </c>
      <c r="R2924" s="1"/>
    </row>
    <row r="2925" spans="1:18" hidden="1" x14ac:dyDescent="0.25">
      <c r="A2925" s="264" t="s">
        <v>95</v>
      </c>
      <c r="B2925" s="265">
        <v>46191</v>
      </c>
      <c r="C2925" s="264" t="s">
        <v>5672</v>
      </c>
      <c r="D2925" s="264" t="s">
        <v>5364</v>
      </c>
      <c r="E2925" s="264" t="s">
        <v>707</v>
      </c>
      <c r="F2925" s="264" t="s">
        <v>707</v>
      </c>
      <c r="G2925" s="264"/>
      <c r="H2925" s="368">
        <v>527.4</v>
      </c>
      <c r="I2925" s="266">
        <v>0</v>
      </c>
      <c r="J2925" s="264" t="s">
        <v>2041</v>
      </c>
      <c r="K2925" s="264" t="s">
        <v>5154</v>
      </c>
      <c r="L2925" s="264" t="str">
        <f>VLOOKUP(Advices[[#This Row],[LC Number]],'Combine_List'!A:D,2,0)</f>
        <v>BBH-CHEMTROL INTERNATIONAL ORGANIZATION S.L</v>
      </c>
      <c r="M2925" s="264" t="str">
        <f>VLOOKUP(Advices[[#This Row],[LC Number]],'Combine_List'!A:D,3,0)</f>
        <v>MBL/ICAD</v>
      </c>
      <c r="N2925" s="264" t="str">
        <f>VLOOKUP(Advices[[#This Row],[LC Number]],'Combine_List'!A:D,4,0)</f>
        <v>OPERA House</v>
      </c>
      <c r="O2925" s="264"/>
      <c r="P2925" s="264">
        <f>MONTH(Advices[[#This Row],[Transaction Date]])</f>
        <v>6</v>
      </c>
      <c r="Q2925" s="264">
        <f>YEAR(Advices[[#This Row],[Transaction Date]])</f>
        <v>2026</v>
      </c>
      <c r="R2925" s="264"/>
    </row>
    <row r="2926" spans="1:18" hidden="1" x14ac:dyDescent="0.25">
      <c r="A2926" s="264" t="s">
        <v>62</v>
      </c>
      <c r="B2926" s="265">
        <v>46195</v>
      </c>
      <c r="C2926" s="264" t="s">
        <v>2039</v>
      </c>
      <c r="D2926" s="264" t="s">
        <v>5694</v>
      </c>
      <c r="E2926" s="264" t="s">
        <v>5666</v>
      </c>
      <c r="F2926" s="264" t="s">
        <v>2041</v>
      </c>
      <c r="G2926" s="264" t="s">
        <v>26</v>
      </c>
      <c r="H2926" s="368">
        <v>93437.5</v>
      </c>
      <c r="I2926" s="266">
        <v>0</v>
      </c>
      <c r="J2926" s="264" t="s">
        <v>2830</v>
      </c>
      <c r="K2926" s="264" t="s">
        <v>2025</v>
      </c>
      <c r="L2926" s="264" t="str">
        <f>VLOOKUP(Advices[[#This Row],[LC Number]],'Combine_List'!A:D,2,0)</f>
        <v>Bid - Royal Commission for Riyadh City</v>
      </c>
      <c r="M2926" s="264" t="str">
        <f>VLOOKUP(Advices[[#This Row],[LC Number]],'Combine_List'!A:D,3,0)</f>
        <v>ICAD</v>
      </c>
      <c r="N2926" s="264">
        <f>VLOOKUP(Advices[[#This Row],[LC Number]],'Combine_List'!A:D,4,0)</f>
        <v>0</v>
      </c>
      <c r="O2926" s="264"/>
      <c r="P2926" s="264">
        <f>MONTH(Advices[[#This Row],[Transaction Date]])</f>
        <v>6</v>
      </c>
      <c r="Q2926" s="264">
        <f>YEAR(Advices[[#This Row],[Transaction Date]])</f>
        <v>2026</v>
      </c>
      <c r="R2926" s="264"/>
    </row>
    <row r="2927" spans="1:18" hidden="1" x14ac:dyDescent="0.25">
      <c r="A2927" s="264" t="s">
        <v>95</v>
      </c>
      <c r="B2927" s="265">
        <v>46195</v>
      </c>
      <c r="C2927" s="264" t="s">
        <v>2026</v>
      </c>
      <c r="D2927" s="264" t="s">
        <v>5695</v>
      </c>
      <c r="E2927" s="264" t="s">
        <v>5687</v>
      </c>
      <c r="F2927" s="264" t="s">
        <v>5696</v>
      </c>
      <c r="G2927" s="264" t="s">
        <v>26</v>
      </c>
      <c r="H2927" s="368">
        <v>11182.01</v>
      </c>
      <c r="I2927" s="266">
        <v>0</v>
      </c>
      <c r="J2927" s="264" t="s">
        <v>2616</v>
      </c>
      <c r="K2927" s="264" t="s">
        <v>2025</v>
      </c>
      <c r="L2927" s="1" t="str">
        <f>VLOOKUP(Advices[[#This Row],[LC Number]],'Combine_List'!A:D,2,0)</f>
        <v>Gulf Applications - GAPP</v>
      </c>
      <c r="M2927" s="1" t="str">
        <f>VLOOKUP(Advices[[#This Row],[LC Number]],'Combine_List'!A:D,3,0)</f>
        <v>MBL/ICAD</v>
      </c>
      <c r="N2927" s="1" t="str">
        <f>VLOOKUP(Advices[[#This Row],[LC Number]],'Combine_List'!A:D,4,0)</f>
        <v>OPERA House</v>
      </c>
      <c r="O2927" s="1"/>
      <c r="P2927" s="1">
        <f>MONTH(Advices[[#This Row],[Transaction Date]])</f>
        <v>6</v>
      </c>
      <c r="Q2927" s="1">
        <f>YEAR(Advices[[#This Row],[Transaction Date]])</f>
        <v>2026</v>
      </c>
      <c r="R2927" s="1"/>
    </row>
    <row r="2928" spans="1:18" hidden="1" x14ac:dyDescent="0.25">
      <c r="A2928" s="264" t="s">
        <v>95</v>
      </c>
      <c r="B2928" s="265">
        <v>46195</v>
      </c>
      <c r="C2928" s="264" t="s">
        <v>2026</v>
      </c>
      <c r="D2928" s="264" t="s">
        <v>5697</v>
      </c>
      <c r="E2928" s="264" t="s">
        <v>5251</v>
      </c>
      <c r="F2928" s="264" t="s">
        <v>5698</v>
      </c>
      <c r="G2928" s="264" t="s">
        <v>26</v>
      </c>
      <c r="H2928" s="368">
        <v>1430.52</v>
      </c>
      <c r="I2928" s="266">
        <v>0</v>
      </c>
      <c r="J2928" s="264" t="s">
        <v>1125</v>
      </c>
      <c r="K2928" s="264" t="s">
        <v>2025</v>
      </c>
      <c r="L2928" s="264" t="str">
        <f>VLOOKUP(Advices[[#This Row],[LC Number]],'Combine_List'!A:D,2,0)</f>
        <v>Manar Alomran Company For Trading And Industrial Ltd</v>
      </c>
      <c r="M2928" s="264" t="str">
        <f>VLOOKUP(Advices[[#This Row],[LC Number]],'Combine_List'!A:D,3,0)</f>
        <v>MBL</v>
      </c>
      <c r="N2928" s="264" t="str">
        <f>VLOOKUP(Advices[[#This Row],[LC Number]],'Combine_List'!A:D,4,0)</f>
        <v>OPERA House</v>
      </c>
      <c r="O2928" s="264"/>
      <c r="P2928" s="264">
        <f>MONTH(Advices[[#This Row],[Transaction Date]])</f>
        <v>6</v>
      </c>
      <c r="Q2928" s="264">
        <f>YEAR(Advices[[#This Row],[Transaction Date]])</f>
        <v>2026</v>
      </c>
      <c r="R2928" s="264"/>
    </row>
    <row r="2929" spans="1:18" hidden="1" x14ac:dyDescent="0.25">
      <c r="A2929" s="264" t="s">
        <v>366</v>
      </c>
      <c r="B2929" s="265">
        <v>46195</v>
      </c>
      <c r="C2929" s="264" t="s">
        <v>2060</v>
      </c>
      <c r="D2929" s="264" t="s">
        <v>5699</v>
      </c>
      <c r="E2929" s="264" t="s">
        <v>1818</v>
      </c>
      <c r="F2929" s="264" t="s">
        <v>5700</v>
      </c>
      <c r="G2929" s="264" t="s">
        <v>26</v>
      </c>
      <c r="H2929" s="368">
        <v>1699.68</v>
      </c>
      <c r="I2929" s="266">
        <v>0</v>
      </c>
      <c r="J2929" s="264" t="s">
        <v>1125</v>
      </c>
      <c r="K2929" s="264" t="s">
        <v>2025</v>
      </c>
      <c r="L2929" s="264" t="str">
        <f>VLOOKUP(Advices[[#This Row],[LC Number]],'Combine_List'!A:D,2,0)</f>
        <v>Sika Saudi Arabia Co. Ltd.</v>
      </c>
      <c r="M2929" s="264" t="str">
        <f>VLOOKUP(Advices[[#This Row],[LC Number]],'Combine_List'!A:D,3,0)</f>
        <v>MBL</v>
      </c>
      <c r="N2929" s="264" t="str">
        <f>VLOOKUP(Advices[[#This Row],[LC Number]],'Combine_List'!A:D,4,0)</f>
        <v>ABHA</v>
      </c>
      <c r="O2929" s="264"/>
      <c r="P2929" s="264">
        <f>MONTH(Advices[[#This Row],[Transaction Date]])</f>
        <v>6</v>
      </c>
      <c r="Q2929" s="264">
        <f>YEAR(Advices[[#This Row],[Transaction Date]])</f>
        <v>2026</v>
      </c>
      <c r="R2929" s="26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New_Window_Guarantee">
                <anchor moveWithCells="1" sizeWithCells="1">
                  <from>
                    <xdr:col>4</xdr:col>
                    <xdr:colOff>685800</xdr:colOff>
                    <xdr:row>0</xdr:row>
                    <xdr:rowOff>85725</xdr:rowOff>
                  </from>
                  <to>
                    <xdr:col>5</xdr:col>
                    <xdr:colOff>904875</xdr:colOff>
                    <xdr:row>1</xdr:row>
                    <xdr:rowOff>209550</xdr:rowOff>
                  </to>
                </anchor>
              </controlPr>
            </control>
          </mc:Choice>
        </mc:AlternateContent>
        <mc:AlternateContent xmlns:mc="http://schemas.openxmlformats.org/markup-compatibility/2006">
          <mc:Choice Requires="x14">
            <control shapeId="38914" r:id="rId5" name="Button 2">
              <controlPr defaultSize="0" print="0" autoFill="0" autoPict="0" macro="[0]!Remove_Filter">
                <anchor moveWithCells="1" sizeWithCells="1">
                  <from>
                    <xdr:col>0</xdr:col>
                    <xdr:colOff>76200</xdr:colOff>
                    <xdr:row>0</xdr:row>
                    <xdr:rowOff>95250</xdr:rowOff>
                  </from>
                  <to>
                    <xdr:col>1</xdr:col>
                    <xdr:colOff>809625</xdr:colOff>
                    <xdr:row>1</xdr:row>
                    <xdr:rowOff>171450</xdr:rowOff>
                  </to>
                </anchor>
              </controlPr>
            </control>
          </mc:Choice>
        </mc:AlternateContent>
      </controls>
    </mc:Choice>
  </mc:AlternateContent>
  <tableParts count="1">
    <tablePart r:id="rId6"/>
  </tableParts>
  <extLst>
    <ext xmlns:x15="http://schemas.microsoft.com/office/spreadsheetml/2010/11/main" uri="{3A4CF648-6AED-40f4-86FF-DC5316D8AED3}">
      <x14:slicerList xmlns:x14="http://schemas.microsoft.com/office/spreadsheetml/2009/9/main">
        <x14:slicer r:id="rId7"/>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41D15-828F-44C3-AF05-3CF13AD4E4D6}">
  <sheetPr codeName="Sheet13">
    <tabColor rgb="FF0070C0"/>
  </sheetPr>
  <dimension ref="B3:J51"/>
  <sheetViews>
    <sheetView showGridLines="0" workbookViewId="0">
      <selection activeCell="K31" sqref="K31"/>
    </sheetView>
  </sheetViews>
  <sheetFormatPr defaultRowHeight="15" x14ac:dyDescent="0.25"/>
  <cols>
    <col min="1" max="1" width="4.5703125" customWidth="1"/>
    <col min="2" max="2" width="15.85546875" bestFit="1" customWidth="1"/>
    <col min="3" max="3" width="17.5703125" bestFit="1" customWidth="1"/>
    <col min="4" max="4" width="17" customWidth="1"/>
    <col min="5" max="5" width="24.28515625" bestFit="1" customWidth="1"/>
    <col min="6" max="6" width="14.5703125" bestFit="1" customWidth="1"/>
    <col min="7" max="7" width="15" bestFit="1" customWidth="1"/>
    <col min="8" max="8" width="7" bestFit="1" customWidth="1"/>
    <col min="9" max="9" width="13.28515625" bestFit="1" customWidth="1"/>
    <col min="10" max="10" width="7.28515625" bestFit="1" customWidth="1"/>
    <col min="11" max="12" width="13.140625" bestFit="1" customWidth="1"/>
    <col min="13" max="13" width="15.140625" bestFit="1" customWidth="1"/>
    <col min="14" max="15" width="16.140625" bestFit="1" customWidth="1"/>
    <col min="16" max="19" width="15.140625" bestFit="1" customWidth="1"/>
    <col min="20" max="20" width="9.42578125" bestFit="1" customWidth="1"/>
    <col min="21" max="21" width="11.28515625" bestFit="1" customWidth="1"/>
  </cols>
  <sheetData>
    <row r="3" spans="2:10" ht="21" thickBot="1" x14ac:dyDescent="0.35">
      <c r="B3" s="630" t="s">
        <v>2629</v>
      </c>
      <c r="C3" s="630"/>
      <c r="D3" s="630"/>
      <c r="E3" s="630"/>
      <c r="F3" s="630"/>
      <c r="G3" s="630"/>
      <c r="H3" s="630"/>
      <c r="I3" s="630"/>
    </row>
    <row r="5" spans="2:10" x14ac:dyDescent="0.25">
      <c r="B5" s="258" t="s">
        <v>1945</v>
      </c>
      <c r="C5" s="263">
        <v>46050</v>
      </c>
    </row>
    <row r="6" spans="2:10" x14ac:dyDescent="0.25">
      <c r="B6" s="258" t="s">
        <v>5</v>
      </c>
      <c r="C6" s="1" t="s">
        <v>3553</v>
      </c>
    </row>
    <row r="8" spans="2:10" x14ac:dyDescent="0.25">
      <c r="B8" s="185" t="s">
        <v>850</v>
      </c>
      <c r="C8" s="185" t="s">
        <v>1946</v>
      </c>
      <c r="D8" s="185" t="s">
        <v>0</v>
      </c>
      <c r="E8" s="185" t="s">
        <v>6</v>
      </c>
      <c r="F8" s="185" t="s">
        <v>846</v>
      </c>
      <c r="G8" s="185" t="s">
        <v>2800</v>
      </c>
      <c r="H8" s="185" t="s">
        <v>7</v>
      </c>
      <c r="I8" s="185" t="s">
        <v>2625</v>
      </c>
      <c r="J8" s="185" t="s">
        <v>2626</v>
      </c>
    </row>
    <row r="9" spans="2:10" x14ac:dyDescent="0.25">
      <c r="B9" s="1" t="s">
        <v>612</v>
      </c>
      <c r="C9" s="1" t="s">
        <v>2101</v>
      </c>
      <c r="D9" s="1" t="s">
        <v>1396</v>
      </c>
      <c r="E9" s="1" t="s">
        <v>613</v>
      </c>
      <c r="F9" s="1" t="s">
        <v>3931</v>
      </c>
      <c r="G9" s="1" t="s">
        <v>1125</v>
      </c>
      <c r="H9" s="1" t="s">
        <v>26</v>
      </c>
      <c r="I9" s="306">
        <v>550</v>
      </c>
      <c r="J9" s="306">
        <v>0</v>
      </c>
    </row>
    <row r="10" spans="2:10" x14ac:dyDescent="0.25">
      <c r="B10" s="1" t="s">
        <v>612</v>
      </c>
      <c r="C10" s="1" t="s">
        <v>2101</v>
      </c>
      <c r="D10" s="1" t="s">
        <v>1396</v>
      </c>
      <c r="E10" s="1" t="s">
        <v>613</v>
      </c>
      <c r="F10" s="1" t="s">
        <v>3931</v>
      </c>
      <c r="G10" s="1" t="s">
        <v>1174</v>
      </c>
      <c r="H10" s="1" t="s">
        <v>26</v>
      </c>
      <c r="I10" s="306">
        <v>82.5</v>
      </c>
      <c r="J10" s="306">
        <v>0</v>
      </c>
    </row>
    <row r="11" spans="2:10" x14ac:dyDescent="0.25">
      <c r="B11" s="1" t="s">
        <v>612</v>
      </c>
      <c r="C11" s="1" t="s">
        <v>2101</v>
      </c>
      <c r="D11" s="1" t="s">
        <v>2287</v>
      </c>
      <c r="E11" s="1" t="s">
        <v>613</v>
      </c>
      <c r="F11" s="1" t="s">
        <v>3931</v>
      </c>
      <c r="G11" s="1" t="s">
        <v>1126</v>
      </c>
      <c r="H11" s="1" t="s">
        <v>26</v>
      </c>
      <c r="I11" s="306">
        <v>1117011.5</v>
      </c>
      <c r="J11" s="306">
        <v>0</v>
      </c>
    </row>
    <row r="12" spans="2:10" x14ac:dyDescent="0.25">
      <c r="B12" s="1" t="s">
        <v>366</v>
      </c>
      <c r="C12" s="1" t="s">
        <v>2060</v>
      </c>
      <c r="D12" s="1" t="s">
        <v>1871</v>
      </c>
      <c r="E12" s="1" t="s">
        <v>710</v>
      </c>
      <c r="F12" s="1" t="s">
        <v>3931</v>
      </c>
      <c r="G12" s="1" t="s">
        <v>1126</v>
      </c>
      <c r="H12" s="1" t="s">
        <v>26</v>
      </c>
      <c r="I12" s="306">
        <v>500000</v>
      </c>
      <c r="J12" s="306">
        <v>0</v>
      </c>
    </row>
    <row r="13" spans="2:10" x14ac:dyDescent="0.25">
      <c r="B13" s="1" t="s">
        <v>366</v>
      </c>
      <c r="C13" s="1" t="s">
        <v>2060</v>
      </c>
      <c r="D13" s="1" t="s">
        <v>2434</v>
      </c>
      <c r="E13" s="1" t="s">
        <v>710</v>
      </c>
      <c r="F13" s="1" t="s">
        <v>3931</v>
      </c>
      <c r="G13" s="1" t="s">
        <v>1126</v>
      </c>
      <c r="H13" s="1" t="s">
        <v>26</v>
      </c>
      <c r="I13" s="306">
        <v>1500000</v>
      </c>
      <c r="J13" s="306">
        <v>0</v>
      </c>
    </row>
    <row r="14" spans="2:10" x14ac:dyDescent="0.25">
      <c r="B14" s="1" t="s">
        <v>366</v>
      </c>
      <c r="C14" s="1" t="s">
        <v>2060</v>
      </c>
      <c r="D14" s="1" t="s">
        <v>3900</v>
      </c>
      <c r="E14" s="1" t="s">
        <v>710</v>
      </c>
      <c r="F14" s="1" t="s">
        <v>3931</v>
      </c>
      <c r="G14" s="1" t="s">
        <v>2616</v>
      </c>
      <c r="H14" s="1" t="s">
        <v>26</v>
      </c>
      <c r="I14" s="306">
        <v>3105</v>
      </c>
      <c r="J14" s="306">
        <v>0</v>
      </c>
    </row>
    <row r="15" spans="2:10" x14ac:dyDescent="0.25">
      <c r="B15" s="1" t="s">
        <v>366</v>
      </c>
      <c r="C15" s="1" t="s">
        <v>2060</v>
      </c>
      <c r="D15" s="1" t="s">
        <v>3899</v>
      </c>
      <c r="E15" s="1" t="s">
        <v>710</v>
      </c>
      <c r="F15" s="1" t="s">
        <v>3931</v>
      </c>
      <c r="G15" s="1" t="s">
        <v>2616</v>
      </c>
      <c r="H15" s="1" t="s">
        <v>26</v>
      </c>
      <c r="I15" s="306">
        <v>3105</v>
      </c>
      <c r="J15" s="306">
        <v>0</v>
      </c>
    </row>
    <row r="16" spans="2:10" x14ac:dyDescent="0.25">
      <c r="B16" s="1" t="s">
        <v>366</v>
      </c>
      <c r="C16" s="1" t="s">
        <v>2060</v>
      </c>
      <c r="D16" s="1" t="s">
        <v>3898</v>
      </c>
      <c r="E16" s="1" t="s">
        <v>710</v>
      </c>
      <c r="F16" s="1" t="s">
        <v>3931</v>
      </c>
      <c r="G16" s="1" t="s">
        <v>2616</v>
      </c>
      <c r="H16" s="1" t="s">
        <v>26</v>
      </c>
      <c r="I16" s="306">
        <v>2369.52</v>
      </c>
      <c r="J16" s="306">
        <v>0</v>
      </c>
    </row>
    <row r="17" spans="2:10" x14ac:dyDescent="0.25">
      <c r="B17" s="1" t="s">
        <v>366</v>
      </c>
      <c r="C17" s="1" t="s">
        <v>2060</v>
      </c>
      <c r="D17" s="1" t="s">
        <v>3896</v>
      </c>
      <c r="E17" s="1" t="s">
        <v>710</v>
      </c>
      <c r="F17" s="1" t="s">
        <v>3931</v>
      </c>
      <c r="G17" s="1" t="s">
        <v>2616</v>
      </c>
      <c r="H17" s="1" t="s">
        <v>26</v>
      </c>
      <c r="I17" s="306">
        <v>5836.25</v>
      </c>
      <c r="J17" s="306">
        <v>0</v>
      </c>
    </row>
    <row r="18" spans="2:10" x14ac:dyDescent="0.25">
      <c r="B18" s="1" t="s">
        <v>366</v>
      </c>
      <c r="C18" s="1" t="s">
        <v>2060</v>
      </c>
      <c r="D18" s="1" t="s">
        <v>3894</v>
      </c>
      <c r="E18" s="1" t="s">
        <v>710</v>
      </c>
      <c r="F18" s="1" t="s">
        <v>3931</v>
      </c>
      <c r="G18" s="1" t="s">
        <v>2616</v>
      </c>
      <c r="H18" s="1" t="s">
        <v>26</v>
      </c>
      <c r="I18" s="306">
        <v>11730</v>
      </c>
      <c r="J18" s="306">
        <v>0</v>
      </c>
    </row>
    <row r="19" spans="2:10" x14ac:dyDescent="0.25">
      <c r="B19" s="1" t="s">
        <v>366</v>
      </c>
      <c r="C19" s="1" t="s">
        <v>2060</v>
      </c>
      <c r="D19" s="1" t="s">
        <v>3897</v>
      </c>
      <c r="E19" s="1" t="s">
        <v>710</v>
      </c>
      <c r="F19" s="1" t="s">
        <v>3931</v>
      </c>
      <c r="G19" s="1" t="s">
        <v>2616</v>
      </c>
      <c r="H19" s="1" t="s">
        <v>26</v>
      </c>
      <c r="I19" s="306">
        <v>5836.25</v>
      </c>
      <c r="J19" s="306">
        <v>0</v>
      </c>
    </row>
    <row r="20" spans="2:10" x14ac:dyDescent="0.25">
      <c r="B20" s="1" t="s">
        <v>366</v>
      </c>
      <c r="C20" s="1" t="s">
        <v>2060</v>
      </c>
      <c r="D20" s="1" t="s">
        <v>3901</v>
      </c>
      <c r="E20" s="1" t="s">
        <v>710</v>
      </c>
      <c r="F20" s="1" t="s">
        <v>3931</v>
      </c>
      <c r="G20" s="1" t="s">
        <v>2616</v>
      </c>
      <c r="H20" s="1" t="s">
        <v>26</v>
      </c>
      <c r="I20" s="306">
        <v>3105</v>
      </c>
      <c r="J20" s="306">
        <v>0</v>
      </c>
    </row>
    <row r="21" spans="2:10" x14ac:dyDescent="0.25">
      <c r="B21" s="311" t="s">
        <v>1027</v>
      </c>
      <c r="C21" s="311"/>
      <c r="D21" s="311"/>
      <c r="E21" s="311"/>
      <c r="F21" s="311"/>
      <c r="G21" s="311"/>
      <c r="H21" s="311"/>
      <c r="I21" s="309">
        <v>3152731.02</v>
      </c>
      <c r="J21" s="310">
        <v>0</v>
      </c>
    </row>
    <row r="48" spans="2:7" x14ac:dyDescent="0.25">
      <c r="B48" t="s">
        <v>2627</v>
      </c>
      <c r="G48" t="s">
        <v>2787</v>
      </c>
    </row>
    <row r="49" spans="2:7" x14ac:dyDescent="0.25">
      <c r="B49" t="s">
        <v>2786</v>
      </c>
      <c r="G49" t="s">
        <v>2788</v>
      </c>
    </row>
    <row r="51" spans="2:7" x14ac:dyDescent="0.25">
      <c r="B51" t="s">
        <v>2628</v>
      </c>
      <c r="G51" t="s">
        <v>2628</v>
      </c>
    </row>
  </sheetData>
  <mergeCells count="1">
    <mergeCell ref="B3:I3"/>
  </mergeCells>
  <pageMargins left="0" right="0" top="0.19685039370078741" bottom="0" header="0.31496062992125984" footer="0.31496062992125984"/>
  <pageSetup scale="99" orientation="landscape"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E66926-73A9-4B05-8CDB-1246D7A5F6D4}">
  <sheetPr codeName="Sheet15"/>
  <dimension ref="A1:AC90"/>
  <sheetViews>
    <sheetView showGridLines="0" topLeftCell="J3" zoomScaleNormal="100" workbookViewId="0">
      <selection activeCell="Y23" sqref="Y23"/>
    </sheetView>
  </sheetViews>
  <sheetFormatPr defaultRowHeight="15" x14ac:dyDescent="0.25"/>
  <cols>
    <col min="2" max="2" width="14.28515625" bestFit="1" customWidth="1"/>
    <col min="3" max="3" width="14.42578125" bestFit="1" customWidth="1"/>
    <col min="4" max="4" width="14.28515625" bestFit="1" customWidth="1"/>
    <col min="5" max="5" width="13.28515625" bestFit="1" customWidth="1"/>
    <col min="6" max="6" width="12.85546875" bestFit="1" customWidth="1"/>
    <col min="7" max="7" width="11.5703125" bestFit="1" customWidth="1"/>
    <col min="8" max="8" width="9.5703125" bestFit="1" customWidth="1"/>
    <col min="9" max="9" width="14.28515625" bestFit="1" customWidth="1"/>
    <col min="10" max="11" width="13.28515625" bestFit="1" customWidth="1"/>
    <col min="12" max="12" width="18.7109375" bestFit="1" customWidth="1"/>
    <col min="13" max="13" width="50.140625" bestFit="1" customWidth="1"/>
    <col min="14" max="14" width="11.5703125" bestFit="1" customWidth="1"/>
    <col min="15" max="15" width="7.28515625" bestFit="1" customWidth="1"/>
    <col min="16" max="16" width="15.5703125" customWidth="1"/>
    <col min="17" max="17" width="15" bestFit="1" customWidth="1"/>
    <col min="18" max="18" width="14.28515625" bestFit="1" customWidth="1"/>
    <col min="19" max="19" width="10" bestFit="1" customWidth="1"/>
    <col min="20" max="20" width="12" bestFit="1" customWidth="1"/>
    <col min="21" max="22" width="13.28515625" bestFit="1" customWidth="1"/>
    <col min="23" max="23" width="19.85546875" bestFit="1" customWidth="1"/>
    <col min="24" max="24" width="10" customWidth="1"/>
    <col min="25" max="25" width="15" customWidth="1"/>
    <col min="26" max="26" width="11.85546875" customWidth="1"/>
    <col min="27" max="27" width="12.5703125" customWidth="1"/>
    <col min="28" max="28" width="12.7109375" customWidth="1"/>
    <col min="29" max="29" width="10.5703125" bestFit="1" customWidth="1"/>
  </cols>
  <sheetData>
    <row r="1" spans="1:29" ht="16.5" thickBot="1" x14ac:dyDescent="0.3">
      <c r="A1">
        <v>2</v>
      </c>
      <c r="Q1" s="511" t="s">
        <v>5171</v>
      </c>
      <c r="R1" s="512"/>
      <c r="S1" s="512"/>
      <c r="T1" s="512"/>
      <c r="U1" s="512"/>
      <c r="V1" s="512"/>
      <c r="W1" s="513"/>
      <c r="Y1" s="514" t="s">
        <v>2449</v>
      </c>
      <c r="Z1" s="515"/>
      <c r="AA1" s="515"/>
      <c r="AB1" s="515"/>
      <c r="AC1" s="515"/>
    </row>
    <row r="2" spans="1:29" ht="15.75" thickBot="1" x14ac:dyDescent="0.3">
      <c r="B2" s="381">
        <v>46381</v>
      </c>
      <c r="C2" s="381">
        <v>46295</v>
      </c>
      <c r="Q2" s="327" t="s">
        <v>3924</v>
      </c>
      <c r="R2" s="327" t="s">
        <v>13</v>
      </c>
      <c r="S2" s="327" t="s">
        <v>3853</v>
      </c>
      <c r="Y2" s="516" t="s">
        <v>3924</v>
      </c>
      <c r="Z2" s="516" t="s">
        <v>13</v>
      </c>
      <c r="AA2" s="516" t="s">
        <v>3853</v>
      </c>
    </row>
    <row r="3" spans="1:29" ht="15.75" thickBot="1" x14ac:dyDescent="0.3">
      <c r="Q3" s="510">
        <v>46196</v>
      </c>
      <c r="R3" s="510">
        <v>46292</v>
      </c>
      <c r="S3" s="369">
        <f>R3-Q3</f>
        <v>96</v>
      </c>
      <c r="Y3" s="517">
        <v>46157</v>
      </c>
      <c r="Z3" s="517">
        <v>46261</v>
      </c>
      <c r="AA3" s="518">
        <f>Z3-Y3</f>
        <v>104</v>
      </c>
    </row>
    <row r="4" spans="1:29" ht="16.5" thickBot="1" x14ac:dyDescent="0.3">
      <c r="B4" s="637" t="s">
        <v>2449</v>
      </c>
      <c r="C4" s="638"/>
      <c r="D4" s="638"/>
      <c r="E4" s="638"/>
      <c r="F4" s="638"/>
      <c r="G4" s="639"/>
      <c r="H4" s="640" t="s">
        <v>3147</v>
      </c>
      <c r="I4" s="641"/>
      <c r="J4" s="641"/>
      <c r="K4" s="641"/>
      <c r="L4" s="641"/>
      <c r="M4" s="641"/>
      <c r="N4" s="642"/>
      <c r="O4" t="s">
        <v>4015</v>
      </c>
      <c r="Q4" s="327" t="s">
        <v>3797</v>
      </c>
      <c r="R4" s="327" t="s">
        <v>3798</v>
      </c>
      <c r="S4" s="327" t="s">
        <v>3799</v>
      </c>
      <c r="T4" s="646" t="s">
        <v>4051</v>
      </c>
      <c r="U4" s="646"/>
      <c r="V4" s="327" t="s">
        <v>3800</v>
      </c>
      <c r="W4" s="327"/>
      <c r="Y4" s="516" t="s">
        <v>3797</v>
      </c>
      <c r="Z4" s="516" t="s">
        <v>3798</v>
      </c>
      <c r="AA4" s="516" t="s">
        <v>3799</v>
      </c>
      <c r="AB4" s="520" t="s">
        <v>4051</v>
      </c>
      <c r="AC4" s="516"/>
    </row>
    <row r="5" spans="1:29" ht="15.75" thickBot="1" x14ac:dyDescent="0.3">
      <c r="B5" s="100"/>
      <c r="G5" s="102"/>
      <c r="H5" s="100"/>
      <c r="N5" s="102"/>
      <c r="O5" t="s">
        <v>4007</v>
      </c>
      <c r="Q5" s="328">
        <v>25000000</v>
      </c>
      <c r="R5" s="329"/>
      <c r="S5" s="369">
        <f>ROUNDUP($S$3/31,0)</f>
        <v>4</v>
      </c>
      <c r="T5" s="329"/>
      <c r="U5" s="329"/>
      <c r="V5" s="329"/>
      <c r="Y5" s="521">
        <v>50000000</v>
      </c>
      <c r="Z5" s="519"/>
      <c r="AA5" s="522">
        <f>ROUNDUP($AA$3/31,0)</f>
        <v>4</v>
      </c>
      <c r="AB5" s="519"/>
      <c r="AC5" s="519"/>
    </row>
    <row r="6" spans="1:29" ht="15.75" thickBot="1" x14ac:dyDescent="0.3">
      <c r="B6" s="100"/>
      <c r="C6" s="255" t="s">
        <v>1173</v>
      </c>
      <c r="D6" s="294" t="s">
        <v>3240</v>
      </c>
      <c r="G6" s="102"/>
      <c r="H6" s="100"/>
      <c r="I6" s="255" t="s">
        <v>1173</v>
      </c>
      <c r="J6" s="294" t="s">
        <v>3240</v>
      </c>
      <c r="N6" s="102"/>
      <c r="O6" t="s">
        <v>4008</v>
      </c>
      <c r="Q6" s="330">
        <f>IF(10000000&gt;Q5,Q5,10000000)</f>
        <v>10000000</v>
      </c>
      <c r="R6" s="329">
        <v>0.25</v>
      </c>
      <c r="S6" s="329"/>
      <c r="T6" s="329"/>
      <c r="U6" s="331">
        <f>Q6*(R6/100)</f>
        <v>25000</v>
      </c>
      <c r="V6" s="331">
        <f>Q6*R6/100*S5/12</f>
        <v>8333.3333333333339</v>
      </c>
      <c r="Y6" s="524">
        <f>IF(Y5&gt;400000,400000,Y5)</f>
        <v>400000</v>
      </c>
      <c r="Z6" s="526">
        <v>2.5000000000000001E-3</v>
      </c>
      <c r="AA6" s="523">
        <f>IF(AA5&gt;3,3,AA5)</f>
        <v>3</v>
      </c>
      <c r="AB6" s="524">
        <f>Y6*(Z6)</f>
        <v>1000</v>
      </c>
      <c r="AC6" s="524"/>
    </row>
    <row r="7" spans="1:29" ht="15.75" thickBot="1" x14ac:dyDescent="0.3">
      <c r="B7" s="100"/>
      <c r="C7" s="103" t="s">
        <v>1039</v>
      </c>
      <c r="D7" s="103" t="s">
        <v>1164</v>
      </c>
      <c r="G7" s="102"/>
      <c r="H7" s="100"/>
      <c r="I7" s="103" t="s">
        <v>1039</v>
      </c>
      <c r="J7" s="103" t="s">
        <v>1164</v>
      </c>
      <c r="N7" s="102"/>
      <c r="O7" t="s">
        <v>4027</v>
      </c>
      <c r="Q7" s="330">
        <f>IF(Q5-Q6&lt;0,0,Q5-Q6)</f>
        <v>15000000</v>
      </c>
      <c r="R7" s="329">
        <v>0.125</v>
      </c>
      <c r="S7" s="329"/>
      <c r="T7" s="329"/>
      <c r="U7" s="331">
        <f>Q7*(R7/100)</f>
        <v>18750</v>
      </c>
      <c r="V7" s="331">
        <f>U7*(S5/12)</f>
        <v>6250</v>
      </c>
      <c r="Y7" s="524">
        <f>IF(Y5&gt;40000,Y5-Y6,0)</f>
        <v>49600000</v>
      </c>
      <c r="Z7" s="527">
        <v>1.25E-3</v>
      </c>
      <c r="AA7" s="523">
        <f>IF(AA5&gt;3,3,AA5)</f>
        <v>3</v>
      </c>
      <c r="AB7" s="524">
        <f>Y7*(Z7)</f>
        <v>62000</v>
      </c>
      <c r="AC7" s="524"/>
    </row>
    <row r="8" spans="1:29" ht="15.75" thickBot="1" x14ac:dyDescent="0.3">
      <c r="B8" s="100"/>
      <c r="C8" s="104">
        <v>50000000</v>
      </c>
      <c r="D8">
        <v>4</v>
      </c>
      <c r="G8" s="102"/>
      <c r="H8" s="100"/>
      <c r="I8" s="104">
        <v>949026</v>
      </c>
      <c r="J8">
        <v>2</v>
      </c>
      <c r="N8" s="102"/>
      <c r="Q8" s="330">
        <f>Q5</f>
        <v>25000000</v>
      </c>
      <c r="R8" s="332">
        <v>0.5</v>
      </c>
      <c r="S8" s="329"/>
      <c r="T8" s="329"/>
      <c r="U8" s="331">
        <f>Q8*(R8/100)</f>
        <v>125000</v>
      </c>
      <c r="V8" s="331">
        <f>U8*(S5/12)</f>
        <v>41666.666666666664</v>
      </c>
      <c r="W8" s="8"/>
      <c r="Y8" s="524">
        <f>IF(AA5&gt;3,Y5,0)</f>
        <v>50000000</v>
      </c>
      <c r="Z8" s="528">
        <v>6.2500000000000001E-4</v>
      </c>
      <c r="AA8" s="525">
        <f>AA5-3</f>
        <v>1</v>
      </c>
      <c r="AB8" s="524">
        <f>Y8*(Z8)</f>
        <v>31250</v>
      </c>
      <c r="AC8" s="524"/>
    </row>
    <row r="9" spans="1:29" x14ac:dyDescent="0.25">
      <c r="B9" s="100"/>
      <c r="G9" s="102"/>
      <c r="H9" s="100"/>
      <c r="N9" s="102"/>
      <c r="T9" s="329" t="s">
        <v>3200</v>
      </c>
      <c r="U9" s="329"/>
      <c r="V9" s="331">
        <v>0</v>
      </c>
      <c r="Z9" s="524" t="s">
        <v>3200</v>
      </c>
      <c r="AA9" s="524"/>
      <c r="AB9" s="524">
        <v>0</v>
      </c>
      <c r="AC9" s="524"/>
    </row>
    <row r="10" spans="1:29" x14ac:dyDescent="0.25">
      <c r="B10" s="100"/>
      <c r="D10" s="101" t="s">
        <v>1039</v>
      </c>
      <c r="E10" s="101" t="s">
        <v>1168</v>
      </c>
      <c r="F10" s="101" t="s">
        <v>1164</v>
      </c>
      <c r="G10" s="105" t="s">
        <v>1169</v>
      </c>
      <c r="H10" s="100"/>
      <c r="J10" s="101" t="s">
        <v>1039</v>
      </c>
      <c r="K10" s="101" t="s">
        <v>1168</v>
      </c>
      <c r="L10" s="101" t="s">
        <v>1164</v>
      </c>
      <c r="M10" s="101" t="s">
        <v>1169</v>
      </c>
      <c r="N10" s="105" t="s">
        <v>3234</v>
      </c>
      <c r="T10" s="329" t="s">
        <v>1174</v>
      </c>
      <c r="U10" s="329"/>
      <c r="V10" s="331">
        <f>SUM(V6:V9)*0.15</f>
        <v>8437.5</v>
      </c>
      <c r="Z10" s="524" t="s">
        <v>1174</v>
      </c>
      <c r="AA10" s="524"/>
      <c r="AB10" s="524">
        <f>SUM(AB6:AB9)*0.15</f>
        <v>14137.5</v>
      </c>
      <c r="AC10" s="524"/>
    </row>
    <row r="11" spans="1:29" x14ac:dyDescent="0.25">
      <c r="B11" s="100"/>
      <c r="C11">
        <v>1</v>
      </c>
      <c r="D11" s="372">
        <f>IF(C8&gt;400000,400000,C8)</f>
        <v>400000</v>
      </c>
      <c r="E11" s="106">
        <v>2.5000000000000001E-3</v>
      </c>
      <c r="F11">
        <f>IF(D8&gt;3,3,D8)</f>
        <v>3</v>
      </c>
      <c r="G11" s="107">
        <f>IF((D11*E11)&lt;1000,1000,(D11*E11))</f>
        <v>1000</v>
      </c>
      <c r="H11" s="100"/>
      <c r="I11">
        <v>1</v>
      </c>
      <c r="J11" s="104">
        <f>I8</f>
        <v>949026</v>
      </c>
      <c r="K11" s="106">
        <v>5.0000000000000001E-3</v>
      </c>
      <c r="L11">
        <f>IF(J8&gt;3,3,J8)</f>
        <v>2</v>
      </c>
      <c r="M11" s="8">
        <f>IF((J11*K11*L11/12)&lt;=1250,ROUNDUP(J11*K11*L11/12,0),1250)</f>
        <v>791</v>
      </c>
      <c r="N11" s="102"/>
      <c r="T11" s="333" t="s">
        <v>3801</v>
      </c>
      <c r="U11" s="333"/>
      <c r="V11" s="334">
        <f>SUM(V6:V10)</f>
        <v>64687.5</v>
      </c>
      <c r="W11" s="295"/>
      <c r="Z11" s="529" t="s">
        <v>3801</v>
      </c>
      <c r="AA11" s="529"/>
      <c r="AB11" s="529">
        <f>SUM(AB6:AB10)</f>
        <v>108387.5</v>
      </c>
      <c r="AC11" s="524"/>
    </row>
    <row r="12" spans="1:29" x14ac:dyDescent="0.25">
      <c r="B12" s="100"/>
      <c r="C12">
        <v>2</v>
      </c>
      <c r="D12" s="373">
        <f>IF(C8&gt;40000,C8-D11,0)</f>
        <v>49600000</v>
      </c>
      <c r="E12" s="108">
        <v>1.25E-3</v>
      </c>
      <c r="F12">
        <f>IF(D8&gt;3,3,D8)</f>
        <v>3</v>
      </c>
      <c r="G12" s="107">
        <f>(D12*E12)</f>
        <v>62000</v>
      </c>
      <c r="H12" s="100"/>
      <c r="L12" t="s">
        <v>1175</v>
      </c>
      <c r="M12" s="8">
        <f>SUM(M11:M11)</f>
        <v>791</v>
      </c>
      <c r="N12" s="102"/>
      <c r="T12" s="333"/>
      <c r="U12" s="333"/>
      <c r="V12" s="334"/>
      <c r="W12" s="295"/>
      <c r="Z12" s="524"/>
      <c r="AA12" s="524"/>
      <c r="AB12" s="524"/>
      <c r="AC12" s="524"/>
    </row>
    <row r="13" spans="1:29" x14ac:dyDescent="0.25">
      <c r="B13" s="100"/>
      <c r="C13">
        <v>3</v>
      </c>
      <c r="D13" s="104">
        <f>IF(D8&gt;3,C8,0)</f>
        <v>50000000</v>
      </c>
      <c r="E13" s="109">
        <v>6.2500000000000001E-4</v>
      </c>
      <c r="F13">
        <f>D8-3</f>
        <v>1</v>
      </c>
      <c r="G13" s="107">
        <f>D13*E13*F13</f>
        <v>31250</v>
      </c>
      <c r="H13" s="100"/>
      <c r="L13" t="s">
        <v>3201</v>
      </c>
      <c r="M13" s="8">
        <v>0</v>
      </c>
      <c r="N13" s="102"/>
    </row>
    <row r="14" spans="1:29" ht="15.75" thickBot="1" x14ac:dyDescent="0.3">
      <c r="B14" s="100"/>
      <c r="F14" t="s">
        <v>1175</v>
      </c>
      <c r="G14" s="107">
        <f>SUM(G11:G13)</f>
        <v>94250</v>
      </c>
      <c r="H14" s="100"/>
      <c r="L14" t="s">
        <v>3200</v>
      </c>
      <c r="M14" s="8" t="s">
        <v>3239</v>
      </c>
      <c r="N14" s="102"/>
      <c r="Q14" s="327" t="s">
        <v>3924</v>
      </c>
      <c r="R14" s="327" t="s">
        <v>13</v>
      </c>
      <c r="S14" s="327" t="s">
        <v>3853</v>
      </c>
    </row>
    <row r="15" spans="1:29" ht="15.75" thickBot="1" x14ac:dyDescent="0.3">
      <c r="B15" s="100"/>
      <c r="F15" t="s">
        <v>3929</v>
      </c>
      <c r="G15" s="107">
        <v>0</v>
      </c>
      <c r="H15" s="100"/>
      <c r="L15" t="s">
        <v>3234</v>
      </c>
      <c r="M15" s="296" t="s">
        <v>3238</v>
      </c>
      <c r="N15" s="102">
        <v>457.5</v>
      </c>
      <c r="Q15" s="510">
        <v>46170</v>
      </c>
      <c r="R15" s="510">
        <v>46540</v>
      </c>
      <c r="S15" s="369">
        <f>((($R$15-$Q$15)))-5</f>
        <v>365</v>
      </c>
    </row>
    <row r="16" spans="1:29" ht="15.75" thickBot="1" x14ac:dyDescent="0.3">
      <c r="B16" s="100"/>
      <c r="F16" t="s">
        <v>1174</v>
      </c>
      <c r="G16" s="107">
        <f>(G14+G15)*15%</f>
        <v>14137.5</v>
      </c>
      <c r="H16" s="100"/>
      <c r="L16" s="101" t="s">
        <v>1174</v>
      </c>
      <c r="M16" s="8">
        <f>SUM(M12:M14)*0.15</f>
        <v>118.64999999999999</v>
      </c>
      <c r="N16" s="102"/>
      <c r="O16" t="s">
        <v>4053</v>
      </c>
      <c r="Q16" s="327" t="s">
        <v>3797</v>
      </c>
      <c r="R16" s="327" t="s">
        <v>9</v>
      </c>
      <c r="S16" s="327" t="s">
        <v>3799</v>
      </c>
      <c r="T16" s="646" t="s">
        <v>4052</v>
      </c>
      <c r="U16" s="646"/>
      <c r="V16" s="327" t="s">
        <v>3800</v>
      </c>
    </row>
    <row r="17" spans="2:23" ht="15.75" thickBot="1" x14ac:dyDescent="0.3">
      <c r="B17" s="100"/>
      <c r="G17" s="183">
        <f>G14+G16</f>
        <v>108387.5</v>
      </c>
      <c r="H17" s="100"/>
      <c r="L17" t="s">
        <v>1175</v>
      </c>
      <c r="M17" s="295">
        <f>SUM(M12:M16)</f>
        <v>909.65</v>
      </c>
      <c r="N17" s="102"/>
      <c r="Q17" s="328">
        <v>199849418.40000001</v>
      </c>
      <c r="R17" s="329"/>
      <c r="S17" s="369">
        <f>ROUNDDOWN($S$15/30,0)</f>
        <v>12</v>
      </c>
      <c r="T17" s="329"/>
      <c r="U17" s="329"/>
      <c r="V17" s="329"/>
    </row>
    <row r="18" spans="2:23" x14ac:dyDescent="0.25">
      <c r="B18" s="100"/>
      <c r="F18" t="s">
        <v>1176</v>
      </c>
      <c r="G18" s="107">
        <v>0</v>
      </c>
      <c r="H18" s="100"/>
      <c r="N18" s="102"/>
      <c r="Q18" s="330">
        <f>IF(10000000&gt;Q17,Q17,10000000)</f>
        <v>10000000</v>
      </c>
      <c r="R18" s="329">
        <v>0.25</v>
      </c>
      <c r="S18" s="329"/>
      <c r="T18" s="329"/>
      <c r="U18" s="331">
        <f>Q18*(R18/100)</f>
        <v>25000</v>
      </c>
      <c r="V18" s="331">
        <f>U18*S17/12</f>
        <v>25000</v>
      </c>
      <c r="W18" t="s">
        <v>4527</v>
      </c>
    </row>
    <row r="19" spans="2:23" ht="15.75" thickBot="1" x14ac:dyDescent="0.3">
      <c r="B19" s="110"/>
      <c r="C19" s="111"/>
      <c r="D19" s="111"/>
      <c r="E19" s="111"/>
      <c r="F19" s="111"/>
      <c r="G19" s="282">
        <f>G17+G18</f>
        <v>108387.5</v>
      </c>
      <c r="H19" s="100"/>
      <c r="N19" s="102"/>
      <c r="Q19" s="330">
        <f>IF(Q17-Q18&lt;0,0,Q17-Q18)</f>
        <v>189849418.40000001</v>
      </c>
      <c r="R19" s="329">
        <v>0.125</v>
      </c>
      <c r="S19" s="329"/>
      <c r="T19" s="329"/>
      <c r="U19" s="331">
        <f>Q19*(R19/100)</f>
        <v>237311.77300000002</v>
      </c>
      <c r="V19" s="331">
        <f>U19*S17/12</f>
        <v>237311.77300000002</v>
      </c>
    </row>
    <row r="20" spans="2:23" ht="15.75" thickBot="1" x14ac:dyDescent="0.3">
      <c r="B20" s="100"/>
      <c r="G20" s="102"/>
      <c r="H20" s="98"/>
      <c r="I20" s="95"/>
      <c r="J20" s="95"/>
      <c r="K20" s="95"/>
      <c r="L20" s="95"/>
      <c r="M20" s="95"/>
      <c r="N20" s="99"/>
      <c r="Q20" s="330">
        <f>Q17</f>
        <v>199849418.40000001</v>
      </c>
      <c r="R20" s="332">
        <v>0.5</v>
      </c>
      <c r="S20" s="329"/>
      <c r="T20" s="329"/>
      <c r="U20" s="331">
        <f>Q20*(R20/100)</f>
        <v>999247.09200000006</v>
      </c>
      <c r="V20" s="331">
        <f>U20*(S17/12)</f>
        <v>999247.09200000006</v>
      </c>
      <c r="W20" t="s">
        <v>4528</v>
      </c>
    </row>
    <row r="21" spans="2:23" ht="15.75" thickBot="1" x14ac:dyDescent="0.3">
      <c r="B21" s="100"/>
      <c r="C21" s="255" t="s">
        <v>3235</v>
      </c>
      <c r="D21" s="294" t="s">
        <v>3240</v>
      </c>
      <c r="G21" s="102"/>
      <c r="H21" s="100"/>
      <c r="I21" s="255" t="s">
        <v>612</v>
      </c>
      <c r="J21" s="294" t="s">
        <v>3240</v>
      </c>
      <c r="N21" s="102"/>
      <c r="T21" s="329" t="s">
        <v>3200</v>
      </c>
      <c r="U21" s="329"/>
      <c r="V21" s="331"/>
    </row>
    <row r="22" spans="2:23" x14ac:dyDescent="0.25">
      <c r="B22" s="100"/>
      <c r="C22" s="103" t="s">
        <v>1039</v>
      </c>
      <c r="D22" s="103" t="s">
        <v>1164</v>
      </c>
      <c r="G22" s="102"/>
      <c r="H22" s="100"/>
      <c r="I22" s="103" t="s">
        <v>1039</v>
      </c>
      <c r="J22" s="103" t="s">
        <v>1164</v>
      </c>
      <c r="N22" s="102"/>
      <c r="T22" s="329" t="s">
        <v>1174</v>
      </c>
      <c r="U22" s="329"/>
      <c r="V22" s="331">
        <f>SUM(V18:V21)*0.15</f>
        <v>189233.82975000003</v>
      </c>
    </row>
    <row r="23" spans="2:23" x14ac:dyDescent="0.25">
      <c r="B23" s="100"/>
      <c r="C23" s="104">
        <v>10000000</v>
      </c>
      <c r="D23">
        <v>9</v>
      </c>
      <c r="G23" s="102"/>
      <c r="H23" s="100"/>
      <c r="I23" s="104">
        <v>42000000</v>
      </c>
      <c r="J23">
        <v>3</v>
      </c>
      <c r="N23" s="102"/>
      <c r="T23" s="333" t="s">
        <v>3801</v>
      </c>
      <c r="U23" s="333"/>
      <c r="V23" s="334">
        <f>SUM(V18:V22)</f>
        <v>1450792.6947500003</v>
      </c>
    </row>
    <row r="24" spans="2:23" x14ac:dyDescent="0.25">
      <c r="B24" s="100"/>
      <c r="G24" s="102"/>
      <c r="H24" s="100"/>
      <c r="N24" s="102"/>
    </row>
    <row r="25" spans="2:23" ht="15.75" thickBot="1" x14ac:dyDescent="0.3">
      <c r="B25" s="100"/>
      <c r="D25" s="101" t="s">
        <v>1039</v>
      </c>
      <c r="E25" s="101" t="s">
        <v>1168</v>
      </c>
      <c r="F25" s="101" t="s">
        <v>1164</v>
      </c>
      <c r="G25" s="105" t="s">
        <v>1169</v>
      </c>
      <c r="H25" s="100"/>
      <c r="J25" s="101" t="s">
        <v>1039</v>
      </c>
      <c r="K25" s="101" t="s">
        <v>1168</v>
      </c>
      <c r="L25" s="101" t="s">
        <v>1164</v>
      </c>
      <c r="M25" s="101" t="s">
        <v>1169</v>
      </c>
      <c r="N25" s="105" t="s">
        <v>3234</v>
      </c>
      <c r="Q25" s="327" t="s">
        <v>3924</v>
      </c>
      <c r="R25" s="327" t="s">
        <v>13</v>
      </c>
      <c r="S25" s="327" t="s">
        <v>3853</v>
      </c>
    </row>
    <row r="26" spans="2:23" ht="15.75" thickBot="1" x14ac:dyDescent="0.3">
      <c r="B26" s="100"/>
      <c r="C26">
        <v>1</v>
      </c>
      <c r="D26" s="372">
        <f>IF(C23&gt;400000,400000,C23)</f>
        <v>400000</v>
      </c>
      <c r="E26" s="106">
        <v>2.5000000000000001E-3</v>
      </c>
      <c r="F26">
        <f>IF(D23&gt;3,3,D23)</f>
        <v>3</v>
      </c>
      <c r="G26" s="107">
        <f>IF((D26*E26)&lt;500,500,(D26*E26))</f>
        <v>1000</v>
      </c>
      <c r="H26" s="100"/>
      <c r="I26">
        <v>1</v>
      </c>
      <c r="J26" s="104">
        <f>I23</f>
        <v>42000000</v>
      </c>
      <c r="K26" s="106">
        <v>5.0000000000000001E-3</v>
      </c>
      <c r="L26">
        <f>IF(J23&gt;3,3,J23)</f>
        <v>3</v>
      </c>
      <c r="M26" s="8">
        <f>IF((J26*K26*L26/12)&gt;=250,ROUNDUP(J26*K26*L26/12,0),250)</f>
        <v>52500</v>
      </c>
      <c r="N26" s="102"/>
      <c r="Q26" s="510">
        <v>46183</v>
      </c>
      <c r="R26" s="510">
        <v>46713</v>
      </c>
      <c r="S26" s="369">
        <f>((($R$26-$Q$26)))</f>
        <v>530</v>
      </c>
    </row>
    <row r="27" spans="2:23" ht="15.75" thickBot="1" x14ac:dyDescent="0.3">
      <c r="B27" s="100"/>
      <c r="C27">
        <v>2</v>
      </c>
      <c r="D27" s="373">
        <f>IF(C23&gt;40000,C23-D26,0)</f>
        <v>9600000</v>
      </c>
      <c r="E27" s="108">
        <v>1.25E-3</v>
      </c>
      <c r="F27">
        <f>IF(D23&gt;3,3,D23)</f>
        <v>3</v>
      </c>
      <c r="G27" s="107">
        <f>(D27*E27)</f>
        <v>12000</v>
      </c>
      <c r="H27" s="100"/>
      <c r="L27" t="s">
        <v>1175</v>
      </c>
      <c r="M27" s="8">
        <f>SUM(M26:M26)</f>
        <v>52500</v>
      </c>
      <c r="N27" s="102"/>
      <c r="Q27" s="327" t="s">
        <v>3797</v>
      </c>
      <c r="R27" s="327" t="s">
        <v>9</v>
      </c>
      <c r="S27" s="327" t="s">
        <v>3799</v>
      </c>
      <c r="T27" s="646" t="s">
        <v>5456</v>
      </c>
      <c r="U27" s="646"/>
      <c r="V27" s="327" t="s">
        <v>3800</v>
      </c>
    </row>
    <row r="28" spans="2:23" ht="15.75" thickBot="1" x14ac:dyDescent="0.3">
      <c r="B28" s="100"/>
      <c r="C28">
        <v>3</v>
      </c>
      <c r="D28" s="104">
        <f>IF(D23&gt;3,C23,0)</f>
        <v>10000000</v>
      </c>
      <c r="E28" s="109">
        <v>6.2500000000000001E-4</v>
      </c>
      <c r="F28">
        <f>D23</f>
        <v>9</v>
      </c>
      <c r="G28" s="107">
        <f>D28*E28*F28</f>
        <v>56250</v>
      </c>
      <c r="H28" s="100"/>
      <c r="L28" t="s">
        <v>3201</v>
      </c>
      <c r="M28" s="8">
        <v>100</v>
      </c>
      <c r="N28" s="102"/>
      <c r="Q28" s="328">
        <v>245854178.55000001</v>
      </c>
      <c r="R28" s="329"/>
      <c r="S28" s="369">
        <f>ROUNDUP($S$26/31,0)</f>
        <v>18</v>
      </c>
      <c r="T28" s="329"/>
      <c r="U28" s="329"/>
      <c r="V28" s="329"/>
    </row>
    <row r="29" spans="2:23" ht="15.75" thickBot="1" x14ac:dyDescent="0.3">
      <c r="B29" s="100"/>
      <c r="C29">
        <v>4</v>
      </c>
      <c r="D29" s="104">
        <f>C23</f>
        <v>10000000</v>
      </c>
      <c r="E29" s="106">
        <v>2.5000000000000001E-3</v>
      </c>
      <c r="F29">
        <f>D23</f>
        <v>9</v>
      </c>
      <c r="G29" s="107">
        <f>D29*E29*F29/12</f>
        <v>18750</v>
      </c>
      <c r="H29" s="100"/>
      <c r="L29" t="s">
        <v>3200</v>
      </c>
      <c r="M29" s="8">
        <v>200</v>
      </c>
      <c r="N29" s="102"/>
      <c r="Q29" s="330">
        <f>Q28</f>
        <v>245854178.55000001</v>
      </c>
      <c r="R29" s="332">
        <v>0.5</v>
      </c>
      <c r="S29" s="329"/>
      <c r="T29" s="329"/>
      <c r="U29" s="331">
        <f>Q29*(R29/100)</f>
        <v>1229270.8927500001</v>
      </c>
      <c r="V29" s="331">
        <f>U29*(S26/360)</f>
        <v>1809759.9254375002</v>
      </c>
    </row>
    <row r="30" spans="2:23" x14ac:dyDescent="0.25">
      <c r="B30" s="100"/>
      <c r="F30" t="s">
        <v>1175</v>
      </c>
      <c r="G30" s="107">
        <f>SUM(G26:G29)</f>
        <v>88000</v>
      </c>
      <c r="H30" s="100"/>
      <c r="L30" t="s">
        <v>3234</v>
      </c>
      <c r="M30" s="296" t="s">
        <v>3238</v>
      </c>
      <c r="N30" s="102">
        <v>550</v>
      </c>
      <c r="T30" s="329" t="s">
        <v>3200</v>
      </c>
      <c r="U30" s="329"/>
      <c r="V30" s="331"/>
    </row>
    <row r="31" spans="2:23" x14ac:dyDescent="0.25">
      <c r="B31" s="100"/>
      <c r="F31" t="s">
        <v>3929</v>
      </c>
      <c r="G31" s="107">
        <f>750+200</f>
        <v>950</v>
      </c>
      <c r="H31" s="100"/>
      <c r="L31" s="101" t="s">
        <v>1174</v>
      </c>
      <c r="M31" s="8">
        <f>SUM(M27:M29)*0.15</f>
        <v>7920</v>
      </c>
      <c r="N31" s="102"/>
      <c r="T31" s="329" t="s">
        <v>1174</v>
      </c>
      <c r="U31" s="329"/>
      <c r="V31" s="331">
        <f>SUM(V29:V30)*0.15</f>
        <v>271463.98881562502</v>
      </c>
    </row>
    <row r="32" spans="2:23" ht="15.75" thickBot="1" x14ac:dyDescent="0.3">
      <c r="B32" s="100"/>
      <c r="F32" t="s">
        <v>1174</v>
      </c>
      <c r="G32" s="107">
        <f>(G30+G31)*15%</f>
        <v>13342.5</v>
      </c>
      <c r="H32" s="110"/>
      <c r="I32" s="111"/>
      <c r="J32" s="111"/>
      <c r="K32" s="111"/>
      <c r="L32" s="111" t="s">
        <v>1175</v>
      </c>
      <c r="M32" s="297">
        <f>SUM(M27:M31)</f>
        <v>60720</v>
      </c>
      <c r="N32" s="112"/>
      <c r="T32" s="333" t="s">
        <v>3801</v>
      </c>
      <c r="U32" s="333"/>
      <c r="V32" s="334">
        <f>SUM(V29:V31)</f>
        <v>2081223.9142531252</v>
      </c>
    </row>
    <row r="33" spans="2:23" x14ac:dyDescent="0.25">
      <c r="B33" s="100"/>
      <c r="G33" s="183">
        <f>G30+G31+G32</f>
        <v>102292.5</v>
      </c>
    </row>
    <row r="34" spans="2:23" ht="15.75" thickBot="1" x14ac:dyDescent="0.3">
      <c r="B34" s="100"/>
      <c r="F34" t="s">
        <v>1176</v>
      </c>
      <c r="G34" s="107">
        <v>0</v>
      </c>
      <c r="Q34" s="327" t="s">
        <v>3924</v>
      </c>
      <c r="R34" s="327" t="s">
        <v>13</v>
      </c>
      <c r="S34" s="327" t="s">
        <v>3853</v>
      </c>
    </row>
    <row r="35" spans="2:23" ht="15.75" thickBot="1" x14ac:dyDescent="0.3">
      <c r="B35" s="110"/>
      <c r="C35" s="111"/>
      <c r="D35" s="111"/>
      <c r="E35" s="111"/>
      <c r="F35" s="111"/>
      <c r="G35" s="282">
        <f>G33+G34</f>
        <v>102292.5</v>
      </c>
      <c r="Q35" s="510">
        <v>46218</v>
      </c>
      <c r="R35" s="510">
        <v>46261</v>
      </c>
      <c r="S35" s="369">
        <f>((($R$35-$Q$35)))</f>
        <v>43</v>
      </c>
    </row>
    <row r="36" spans="2:23" ht="15.75" thickBot="1" x14ac:dyDescent="0.3">
      <c r="B36" s="100"/>
      <c r="G36" s="107"/>
      <c r="Q36" s="327" t="s">
        <v>3797</v>
      </c>
      <c r="R36" s="327" t="s">
        <v>3798</v>
      </c>
      <c r="S36" s="327" t="s">
        <v>3799</v>
      </c>
      <c r="T36" s="646" t="s">
        <v>4083</v>
      </c>
      <c r="U36" s="646"/>
      <c r="V36" s="327" t="s">
        <v>3800</v>
      </c>
      <c r="W36" s="327" t="s">
        <v>1163</v>
      </c>
    </row>
    <row r="37" spans="2:23" ht="15.75" thickBot="1" x14ac:dyDescent="0.3">
      <c r="B37" s="100" t="s">
        <v>3993</v>
      </c>
      <c r="C37" s="367">
        <v>46173</v>
      </c>
      <c r="E37" t="s">
        <v>3994</v>
      </c>
      <c r="F37" s="367">
        <v>46310</v>
      </c>
      <c r="G37" s="102"/>
      <c r="O37" t="s">
        <v>4082</v>
      </c>
      <c r="Q37" s="328">
        <v>17585003.600000001</v>
      </c>
      <c r="R37" s="329"/>
      <c r="S37" s="369">
        <f>ROUNDUP($S$35/31,0)</f>
        <v>2</v>
      </c>
      <c r="T37" s="329"/>
      <c r="U37" s="329"/>
      <c r="V37" s="329"/>
      <c r="W37" s="314" t="s">
        <v>4117</v>
      </c>
    </row>
    <row r="38" spans="2:23" ht="15.75" thickBot="1" x14ac:dyDescent="0.3">
      <c r="B38" s="100"/>
      <c r="C38" s="255" t="s">
        <v>3992</v>
      </c>
      <c r="D38" s="294" t="s">
        <v>3240</v>
      </c>
      <c r="G38" s="102"/>
      <c r="N38" s="367"/>
      <c r="O38" t="s">
        <v>4356</v>
      </c>
      <c r="Q38" s="330">
        <f>IF(10000000&gt;Q37,Q37,10000000)</f>
        <v>10000000</v>
      </c>
      <c r="R38" s="329">
        <v>0.25</v>
      </c>
      <c r="S38" s="329"/>
      <c r="T38" s="329"/>
      <c r="U38" s="331">
        <f>Q38*(R38/100)</f>
        <v>25000</v>
      </c>
      <c r="V38" s="331">
        <f>U38*(S37/12)</f>
        <v>4166.6666666666661</v>
      </c>
    </row>
    <row r="39" spans="2:23" ht="15.75" thickBot="1" x14ac:dyDescent="0.3">
      <c r="B39" s="100"/>
      <c r="C39" s="103" t="s">
        <v>1039</v>
      </c>
      <c r="D39" s="103" t="s">
        <v>1164</v>
      </c>
      <c r="G39" s="102"/>
      <c r="N39" s="367"/>
      <c r="Q39" s="330">
        <f>IF(Q37-Q38&lt;0,0,Q37-Q38)</f>
        <v>7585003.6000000015</v>
      </c>
      <c r="R39" s="329">
        <v>0.125</v>
      </c>
      <c r="S39" s="329"/>
      <c r="T39" s="329"/>
      <c r="U39" s="331">
        <f>Q39*(R39/100)</f>
        <v>9481.2545000000027</v>
      </c>
      <c r="V39" s="331">
        <f>U39*(S37/12)</f>
        <v>1580.2090833333336</v>
      </c>
    </row>
    <row r="40" spans="2:23" ht="15.75" thickBot="1" x14ac:dyDescent="0.3">
      <c r="B40" s="100"/>
      <c r="C40" s="104">
        <v>10034870.74</v>
      </c>
      <c r="D40">
        <v>4</v>
      </c>
      <c r="G40" s="102"/>
      <c r="N40" s="367"/>
      <c r="Q40" s="330">
        <f>Q37</f>
        <v>17585003.600000001</v>
      </c>
      <c r="R40" s="332">
        <v>0.8</v>
      </c>
      <c r="S40" s="329"/>
      <c r="T40" s="329"/>
      <c r="U40" s="331">
        <f>Q40*(R40/100)</f>
        <v>140680.02880000003</v>
      </c>
      <c r="V40" s="331">
        <f>U40*(S37/12)</f>
        <v>23446.67146666667</v>
      </c>
    </row>
    <row r="41" spans="2:23" x14ac:dyDescent="0.25">
      <c r="B41" s="100"/>
      <c r="G41" s="102"/>
      <c r="N41" s="367"/>
      <c r="T41" s="329" t="s">
        <v>3200</v>
      </c>
      <c r="U41" s="329"/>
      <c r="V41" s="331"/>
    </row>
    <row r="42" spans="2:23" x14ac:dyDescent="0.25">
      <c r="B42" s="100"/>
      <c r="D42" s="101" t="s">
        <v>1039</v>
      </c>
      <c r="E42" s="101" t="s">
        <v>1168</v>
      </c>
      <c r="F42" s="101" t="s">
        <v>1164</v>
      </c>
      <c r="G42" s="105" t="s">
        <v>1169</v>
      </c>
      <c r="N42" s="367"/>
      <c r="T42" s="329" t="s">
        <v>1174</v>
      </c>
      <c r="U42" s="329"/>
      <c r="V42" s="331">
        <f>SUM(V38:V41)*0.15</f>
        <v>4379.0320824999999</v>
      </c>
    </row>
    <row r="43" spans="2:23" x14ac:dyDescent="0.25">
      <c r="B43" s="100"/>
      <c r="C43">
        <v>1</v>
      </c>
      <c r="D43" s="372">
        <f>IF(C40&gt;400000,400000,C40)</f>
        <v>400000</v>
      </c>
      <c r="E43" s="106">
        <v>2.5000000000000001E-3</v>
      </c>
      <c r="F43">
        <f>IF(D40&gt;3,3,D40)</f>
        <v>3</v>
      </c>
      <c r="G43" s="107">
        <f>IF((D43*E43)&lt;1000,1000,(D43*E43))</f>
        <v>1000</v>
      </c>
      <c r="N43" s="367"/>
      <c r="T43" s="333" t="s">
        <v>3801</v>
      </c>
      <c r="U43" s="333"/>
      <c r="V43" s="334">
        <f>SUM(V38:V42)</f>
        <v>33572.579299166668</v>
      </c>
    </row>
    <row r="44" spans="2:23" x14ac:dyDescent="0.25">
      <c r="B44" s="100"/>
      <c r="C44">
        <v>2</v>
      </c>
      <c r="D44" s="373">
        <f>IF(C40&gt;40000,C40-D43,0)</f>
        <v>9634870.7400000002</v>
      </c>
      <c r="E44" s="108">
        <v>1.25E-3</v>
      </c>
      <c r="F44">
        <f>IF(D40&gt;3,3,D40)</f>
        <v>3</v>
      </c>
      <c r="G44" s="107">
        <f>(D44*E44)</f>
        <v>12043.588425</v>
      </c>
      <c r="N44" s="367"/>
    </row>
    <row r="45" spans="2:23" ht="15.75" thickBot="1" x14ac:dyDescent="0.3">
      <c r="B45" s="100"/>
      <c r="C45">
        <v>3</v>
      </c>
      <c r="D45" s="104">
        <f>IF(D40&gt;3,C40,0)</f>
        <v>10034870.74</v>
      </c>
      <c r="E45" s="109">
        <v>6.2500000000000001E-4</v>
      </c>
      <c r="F45">
        <v>1</v>
      </c>
      <c r="G45" s="107">
        <f>D45*E45*F45</f>
        <v>6271.7942125</v>
      </c>
      <c r="N45" s="367"/>
      <c r="Q45" s="327" t="s">
        <v>3924</v>
      </c>
      <c r="R45" s="327" t="s">
        <v>13</v>
      </c>
      <c r="S45" s="327" t="s">
        <v>3853</v>
      </c>
    </row>
    <row r="46" spans="2:23" ht="15.75" thickBot="1" x14ac:dyDescent="0.3">
      <c r="B46" s="100"/>
      <c r="C46">
        <v>4</v>
      </c>
      <c r="D46" s="104">
        <f>C40</f>
        <v>10034870.74</v>
      </c>
      <c r="E46" s="106">
        <v>0.01</v>
      </c>
      <c r="F46">
        <f>F37-C37</f>
        <v>137</v>
      </c>
      <c r="G46" s="107">
        <f>D46*E46*F46/360</f>
        <v>38188.258093888886</v>
      </c>
      <c r="I46" s="8"/>
      <c r="N46" s="106"/>
      <c r="Q46" s="510">
        <v>46174</v>
      </c>
      <c r="R46" s="510">
        <v>46301</v>
      </c>
      <c r="S46" s="369">
        <f>((($R$46-$Q$46)))</f>
        <v>127</v>
      </c>
    </row>
    <row r="47" spans="2:23" ht="15.75" thickBot="1" x14ac:dyDescent="0.3">
      <c r="B47" s="100"/>
      <c r="F47" t="s">
        <v>1175</v>
      </c>
      <c r="G47" s="107">
        <f>SUM(G43:G46)</f>
        <v>57503.640731388885</v>
      </c>
      <c r="N47" s="367"/>
      <c r="Q47" s="327" t="s">
        <v>3797</v>
      </c>
      <c r="R47" s="327" t="s">
        <v>3798</v>
      </c>
      <c r="S47" s="327" t="s">
        <v>3799</v>
      </c>
      <c r="T47" s="646" t="s">
        <v>4113</v>
      </c>
      <c r="U47" s="646"/>
      <c r="V47" s="327" t="s">
        <v>3800</v>
      </c>
      <c r="W47" s="327" t="s">
        <v>1163</v>
      </c>
    </row>
    <row r="48" spans="2:23" ht="15.75" thickBot="1" x14ac:dyDescent="0.3">
      <c r="B48" s="100"/>
      <c r="F48" t="s">
        <v>3200</v>
      </c>
      <c r="G48" s="107">
        <v>250</v>
      </c>
      <c r="N48" s="367"/>
      <c r="Q48" s="328">
        <v>25000000</v>
      </c>
      <c r="R48" s="329"/>
      <c r="S48" s="369">
        <f>ROUNDUP($S$46/31,0)</f>
        <v>5</v>
      </c>
      <c r="T48" s="329"/>
      <c r="U48" s="329"/>
      <c r="V48" s="329"/>
      <c r="W48" s="314">
        <v>500</v>
      </c>
    </row>
    <row r="49" spans="2:23" x14ac:dyDescent="0.25">
      <c r="B49" s="100"/>
      <c r="F49" t="s">
        <v>1176</v>
      </c>
      <c r="G49" s="107">
        <v>200</v>
      </c>
      <c r="N49" s="367"/>
      <c r="Q49" s="330">
        <f>IF(10000000&gt;Q48,Q48,10000000)</f>
        <v>10000000</v>
      </c>
      <c r="R49" s="329">
        <v>0.25</v>
      </c>
      <c r="S49" s="329"/>
      <c r="T49" s="329"/>
      <c r="U49" s="331">
        <f>Q49*(R49/100)</f>
        <v>25000</v>
      </c>
      <c r="V49" s="331">
        <f>U49*(S48/12)</f>
        <v>10416.666666666668</v>
      </c>
    </row>
    <row r="50" spans="2:23" ht="15.75" thickBot="1" x14ac:dyDescent="0.3">
      <c r="B50" s="100"/>
      <c r="F50" t="s">
        <v>3995</v>
      </c>
      <c r="G50" s="107">
        <v>10</v>
      </c>
      <c r="N50" s="367"/>
      <c r="Q50" s="330">
        <f>IF(Q48-Q49&lt;0,0,Q48-Q49)</f>
        <v>15000000</v>
      </c>
      <c r="R50" s="329">
        <v>0.125</v>
      </c>
      <c r="S50" s="329"/>
      <c r="T50" s="329"/>
      <c r="U50" s="331">
        <f>Q50*(R50/100)</f>
        <v>18750</v>
      </c>
      <c r="V50" s="331">
        <f>U50*(S48/12)</f>
        <v>7812.5</v>
      </c>
    </row>
    <row r="51" spans="2:23" ht="15.75" thickBot="1" x14ac:dyDescent="0.3">
      <c r="B51" s="100"/>
      <c r="F51" t="s">
        <v>1174</v>
      </c>
      <c r="G51" s="107">
        <f>(G47+G48+G49+G50)*15%</f>
        <v>8694.5461097083316</v>
      </c>
      <c r="N51" s="367"/>
      <c r="Q51" s="330">
        <f>Q48</f>
        <v>25000000</v>
      </c>
      <c r="R51" s="332">
        <v>0.75</v>
      </c>
      <c r="S51" s="329"/>
      <c r="T51" s="329"/>
      <c r="U51" s="331">
        <f>Q51*(R51/100)</f>
        <v>187500</v>
      </c>
      <c r="V51" s="331">
        <f>U51*(S48/12)</f>
        <v>78125</v>
      </c>
    </row>
    <row r="52" spans="2:23" x14ac:dyDescent="0.25">
      <c r="B52" s="100"/>
      <c r="G52" s="183">
        <f>G47+G48+G51+G49+G50</f>
        <v>66658.186841097224</v>
      </c>
      <c r="N52" s="367"/>
      <c r="T52" s="329" t="s">
        <v>3200</v>
      </c>
      <c r="U52" s="329"/>
      <c r="V52" s="331"/>
    </row>
    <row r="53" spans="2:23" x14ac:dyDescent="0.25">
      <c r="B53" s="100"/>
      <c r="F53" t="s">
        <v>1176</v>
      </c>
      <c r="G53" s="107">
        <v>0</v>
      </c>
      <c r="N53" s="367"/>
      <c r="T53" s="329" t="s">
        <v>1174</v>
      </c>
      <c r="U53" s="329"/>
      <c r="V53" s="331">
        <f>SUM(V49:V52)*0.15</f>
        <v>14453.125</v>
      </c>
    </row>
    <row r="54" spans="2:23" ht="15.75" thickBot="1" x14ac:dyDescent="0.3">
      <c r="B54" s="110"/>
      <c r="C54" s="111"/>
      <c r="D54" s="111"/>
      <c r="E54" s="111"/>
      <c r="F54" s="111"/>
      <c r="G54" s="282">
        <f>G52+G53</f>
        <v>66658.186841097224</v>
      </c>
      <c r="N54" s="367"/>
      <c r="T54" s="333" t="s">
        <v>3801</v>
      </c>
      <c r="U54" s="333"/>
      <c r="V54" s="334">
        <f>SUM(V49:V53)</f>
        <v>110807.29166666667</v>
      </c>
    </row>
    <row r="55" spans="2:23" x14ac:dyDescent="0.25">
      <c r="N55" s="367"/>
      <c r="Q55" s="367"/>
    </row>
    <row r="56" spans="2:23" x14ac:dyDescent="0.25">
      <c r="N56" s="367"/>
      <c r="Q56" s="367"/>
    </row>
    <row r="57" spans="2:23" ht="15.75" thickBot="1" x14ac:dyDescent="0.3">
      <c r="N57" s="367"/>
      <c r="Q57" s="327" t="s">
        <v>3924</v>
      </c>
      <c r="R57" s="327" t="s">
        <v>13</v>
      </c>
      <c r="S57" s="327" t="s">
        <v>3853</v>
      </c>
    </row>
    <row r="58" spans="2:23" ht="15.75" thickBot="1" x14ac:dyDescent="0.3">
      <c r="N58" s="367"/>
      <c r="Q58" s="510">
        <v>46387</v>
      </c>
      <c r="R58" s="510">
        <v>46538</v>
      </c>
      <c r="S58" s="369">
        <f>((($R$58-$Q$58)))</f>
        <v>151</v>
      </c>
    </row>
    <row r="59" spans="2:23" ht="15.75" thickBot="1" x14ac:dyDescent="0.3">
      <c r="N59" s="367"/>
      <c r="Q59" s="327" t="s">
        <v>3797</v>
      </c>
      <c r="R59" s="327" t="s">
        <v>3798</v>
      </c>
      <c r="S59" s="327" t="s">
        <v>3799</v>
      </c>
      <c r="T59" s="646" t="s">
        <v>5397</v>
      </c>
      <c r="U59" s="646"/>
      <c r="V59" s="327" t="s">
        <v>3800</v>
      </c>
      <c r="W59" s="327" t="s">
        <v>1163</v>
      </c>
    </row>
    <row r="60" spans="2:23" ht="15.75" thickBot="1" x14ac:dyDescent="0.3">
      <c r="N60" s="367"/>
      <c r="Q60" s="328">
        <v>283243040.86000001</v>
      </c>
      <c r="R60" s="329"/>
      <c r="S60" s="369">
        <f>ROUNDUP($S$58/31,0)</f>
        <v>5</v>
      </c>
      <c r="T60" s="329"/>
      <c r="U60" s="329"/>
      <c r="V60" s="329"/>
      <c r="W60" s="314">
        <v>500</v>
      </c>
    </row>
    <row r="61" spans="2:23" x14ac:dyDescent="0.25">
      <c r="N61" s="367"/>
      <c r="Q61" s="330">
        <f>IF(10000000&gt;Q60,Q60,10000000)</f>
        <v>10000000</v>
      </c>
      <c r="R61" s="329">
        <v>0.25</v>
      </c>
      <c r="S61" s="329"/>
      <c r="T61" s="329"/>
      <c r="U61" s="331">
        <f>Q61*(R61/100)</f>
        <v>25000</v>
      </c>
      <c r="V61" s="331">
        <f>U61*(S58/360)</f>
        <v>10486.111111111111</v>
      </c>
    </row>
    <row r="62" spans="2:23" ht="15.75" thickBot="1" x14ac:dyDescent="0.3">
      <c r="Q62" s="330">
        <f>IF(Q60-Q61&lt;0,0,Q60-Q61)</f>
        <v>273243040.86000001</v>
      </c>
      <c r="R62" s="329">
        <v>0.125</v>
      </c>
      <c r="S62" s="329"/>
      <c r="T62" s="329"/>
      <c r="U62" s="331">
        <f>Q62*(R62/100)</f>
        <v>341553.80107500002</v>
      </c>
      <c r="V62" s="331">
        <f>U62*(S58/360)</f>
        <v>143262.84433979169</v>
      </c>
    </row>
    <row r="63" spans="2:23" ht="15.75" thickBot="1" x14ac:dyDescent="0.3">
      <c r="Q63" s="330">
        <f>Q60</f>
        <v>283243040.86000001</v>
      </c>
      <c r="R63" s="332">
        <v>0.5</v>
      </c>
      <c r="S63" s="329"/>
      <c r="T63" s="329"/>
      <c r="U63" s="331">
        <f>Q63*(R63/100)</f>
        <v>1416215.2043000001</v>
      </c>
      <c r="V63" s="331">
        <f>U63*(S58/360)</f>
        <v>594023.59958138899</v>
      </c>
    </row>
    <row r="64" spans="2:23" x14ac:dyDescent="0.25">
      <c r="T64" s="329" t="s">
        <v>3200</v>
      </c>
      <c r="U64" s="329"/>
      <c r="V64" s="331"/>
    </row>
    <row r="65" spans="1:26" x14ac:dyDescent="0.25">
      <c r="T65" s="329" t="s">
        <v>1174</v>
      </c>
      <c r="U65" s="329"/>
      <c r="V65" s="331">
        <f>SUM(V61:V64)*0.15</f>
        <v>112165.88325484376</v>
      </c>
    </row>
    <row r="66" spans="1:26" x14ac:dyDescent="0.25">
      <c r="T66" s="333" t="s">
        <v>3801</v>
      </c>
      <c r="U66" s="333"/>
      <c r="V66" s="334">
        <f>SUM(V61:V65)</f>
        <v>859938.43828713556</v>
      </c>
      <c r="X66" s="381"/>
    </row>
    <row r="67" spans="1:26" ht="15.75" thickBot="1" x14ac:dyDescent="0.3">
      <c r="B67" t="s">
        <v>3924</v>
      </c>
      <c r="C67" t="s">
        <v>13</v>
      </c>
      <c r="Q67" s="367"/>
    </row>
    <row r="68" spans="1:26" x14ac:dyDescent="0.25">
      <c r="B68" s="367">
        <v>46173</v>
      </c>
      <c r="C68" s="367">
        <v>46310</v>
      </c>
      <c r="Q68" s="643" t="s">
        <v>1125</v>
      </c>
      <c r="R68" s="644"/>
      <c r="S68" s="644"/>
      <c r="T68" s="644"/>
      <c r="U68" s="644"/>
      <c r="V68" s="645"/>
    </row>
    <row r="69" spans="1:26" ht="15.75" thickBot="1" x14ac:dyDescent="0.3">
      <c r="Q69" s="371" t="s">
        <v>850</v>
      </c>
      <c r="R69" s="371" t="s">
        <v>1039</v>
      </c>
      <c r="S69" s="371" t="s">
        <v>3902</v>
      </c>
      <c r="T69" s="371" t="s">
        <v>3200</v>
      </c>
      <c r="U69" s="371" t="s">
        <v>3927</v>
      </c>
      <c r="V69" s="371" t="s">
        <v>1169</v>
      </c>
      <c r="W69" s="371" t="s">
        <v>1174</v>
      </c>
      <c r="X69" s="371" t="s">
        <v>3997</v>
      </c>
      <c r="Y69" s="371" t="s">
        <v>17</v>
      </c>
    </row>
    <row r="70" spans="1:26" ht="15.75" thickBot="1" x14ac:dyDescent="0.3">
      <c r="A70" s="376" t="s">
        <v>2616</v>
      </c>
      <c r="B70" s="377"/>
      <c r="C70" s="377"/>
      <c r="D70" s="377"/>
      <c r="E70" s="377"/>
      <c r="F70" s="377"/>
      <c r="G70" s="377"/>
      <c r="H70" s="377"/>
      <c r="I70" s="377"/>
      <c r="J70" s="377"/>
      <c r="K70" s="377"/>
      <c r="L70" s="377"/>
      <c r="M70" s="378"/>
      <c r="Q70" s="371" t="s">
        <v>21</v>
      </c>
      <c r="R70" s="13">
        <v>1000000</v>
      </c>
      <c r="S70" s="369">
        <f t="shared" ref="S70" si="0">($R$66-$Q$66)/31</f>
        <v>0</v>
      </c>
      <c r="T70" s="13">
        <v>0</v>
      </c>
      <c r="U70" s="13">
        <v>0</v>
      </c>
      <c r="V70" s="13">
        <f>(IF((R70*S70/12*0.5%)&gt;=1250,ROUNDUP((R70*S70/12*0.5%),0),1250)+U70+T70)</f>
        <v>1250</v>
      </c>
      <c r="W70" s="374">
        <f>V70*15%</f>
        <v>187.5</v>
      </c>
      <c r="X70" s="374">
        <f>V70+W70</f>
        <v>1437.5</v>
      </c>
      <c r="Y70" s="1" t="s">
        <v>3928</v>
      </c>
    </row>
    <row r="71" spans="1:26" ht="15.75" thickBot="1" x14ac:dyDescent="0.3">
      <c r="A71" s="371" t="s">
        <v>850</v>
      </c>
      <c r="B71" s="371" t="s">
        <v>1039</v>
      </c>
      <c r="C71" s="371" t="s">
        <v>4009</v>
      </c>
      <c r="D71" s="371" t="s">
        <v>13</v>
      </c>
      <c r="E71" s="371" t="s">
        <v>3902</v>
      </c>
      <c r="F71" s="371" t="s">
        <v>3996</v>
      </c>
      <c r="G71" s="371" t="s">
        <v>3200</v>
      </c>
      <c r="H71" s="371" t="s">
        <v>1176</v>
      </c>
      <c r="I71" s="371" t="s">
        <v>3995</v>
      </c>
      <c r="J71" s="371" t="s">
        <v>1169</v>
      </c>
      <c r="K71" s="371" t="s">
        <v>1174</v>
      </c>
      <c r="L71" s="371" t="s">
        <v>3997</v>
      </c>
      <c r="M71" s="371" t="s">
        <v>17</v>
      </c>
      <c r="Q71" s="371" t="s">
        <v>612</v>
      </c>
      <c r="R71" s="13">
        <v>521698.4</v>
      </c>
      <c r="S71" s="369">
        <v>2</v>
      </c>
      <c r="T71" s="13">
        <v>200</v>
      </c>
      <c r="U71" s="13">
        <v>100</v>
      </c>
      <c r="V71" s="13">
        <f>(IF((R71*S71/12*0.5%)&gt;=250,ROUNDUP((R71*S71/12*0.5%),0),250))</f>
        <v>435</v>
      </c>
      <c r="W71" s="374">
        <f>V71*15%</f>
        <v>65.25</v>
      </c>
      <c r="X71" s="374">
        <f>V71+W71</f>
        <v>500.25</v>
      </c>
      <c r="Y71" s="1" t="s">
        <v>3926</v>
      </c>
      <c r="Z71" t="s">
        <v>3240</v>
      </c>
    </row>
    <row r="72" spans="1:26" ht="15.75" thickBot="1" x14ac:dyDescent="0.3">
      <c r="A72" s="371" t="s">
        <v>21</v>
      </c>
      <c r="B72" s="13">
        <v>50000000</v>
      </c>
      <c r="C72" s="385">
        <v>46091</v>
      </c>
      <c r="D72" s="385">
        <v>46203</v>
      </c>
      <c r="E72" s="369">
        <f>($C$68-$B$68)/30</f>
        <v>4.5666666666666664</v>
      </c>
      <c r="F72" s="380">
        <f t="shared" ref="F72:F77" si="1">D72-C72</f>
        <v>112</v>
      </c>
      <c r="G72" s="13">
        <v>700</v>
      </c>
      <c r="H72" s="13">
        <v>200</v>
      </c>
      <c r="I72" s="13">
        <v>0</v>
      </c>
      <c r="J72" s="386">
        <f>(((IF(B72&gt;400000,400000,B72)*0.25%)+(IF(B72&gt;40000,B72-400000,0)*0.125%)+(IF(E72&gt;3,B72*0.0625%*E72,0)+G72+H72+I72)))</f>
        <v>206608.33333333331</v>
      </c>
      <c r="K72" s="374">
        <f t="shared" ref="K72:K77" si="2">J72*15%</f>
        <v>30991.249999999996</v>
      </c>
      <c r="L72" s="374">
        <f t="shared" ref="L72:L77" si="3">J72+K72</f>
        <v>237599.58333333331</v>
      </c>
      <c r="M72" s="1" t="s">
        <v>4049</v>
      </c>
      <c r="N72" t="s">
        <v>3895</v>
      </c>
      <c r="Q72" s="371" t="s">
        <v>1073</v>
      </c>
      <c r="R72" s="13">
        <v>1164996</v>
      </c>
      <c r="S72" s="369">
        <f>($R$66-$Q$66)/31+1</f>
        <v>1</v>
      </c>
      <c r="T72" s="13">
        <v>250</v>
      </c>
      <c r="U72" s="13"/>
      <c r="V72" s="13"/>
      <c r="W72" s="1"/>
      <c r="X72" s="1"/>
      <c r="Y72" s="1" t="s">
        <v>4303</v>
      </c>
    </row>
    <row r="73" spans="1:26" ht="15.75" thickBot="1" x14ac:dyDescent="0.3">
      <c r="A73" s="371" t="s">
        <v>612</v>
      </c>
      <c r="B73" s="13">
        <v>5000000</v>
      </c>
      <c r="C73" s="385">
        <v>46190</v>
      </c>
      <c r="D73" s="385">
        <v>46326</v>
      </c>
      <c r="E73" s="369">
        <f>($D$73-$C$73)/30</f>
        <v>4.5333333333333332</v>
      </c>
      <c r="F73" s="380">
        <f t="shared" si="1"/>
        <v>136</v>
      </c>
      <c r="G73" s="13">
        <v>750</v>
      </c>
      <c r="H73" s="13">
        <v>0</v>
      </c>
      <c r="I73" s="13">
        <v>200</v>
      </c>
      <c r="J73" s="386">
        <f>((((IF(B73&gt;400000,400000,B73)*0.25%)+(IF(B73&gt;400000,B73-400000,0)*0.125%)+(IF(E73&gt;3,(B73*0.0625%*E73),0))+(B73*0.5%*E73/12)+G73+H73+I73)))</f>
        <v>31311.111111111109</v>
      </c>
      <c r="K73" s="374">
        <f t="shared" si="2"/>
        <v>4696.6666666666661</v>
      </c>
      <c r="L73" s="374">
        <f t="shared" si="3"/>
        <v>36007.777777777774</v>
      </c>
      <c r="M73" s="1" t="s">
        <v>4050</v>
      </c>
      <c r="N73" t="s">
        <v>3895</v>
      </c>
      <c r="Q73" s="371" t="s">
        <v>62</v>
      </c>
      <c r="R73" s="13">
        <v>3471444.16</v>
      </c>
      <c r="S73" s="369">
        <v>2</v>
      </c>
      <c r="T73" s="13"/>
      <c r="U73" s="13"/>
      <c r="V73" s="13">
        <f>R73*1.5%*S73/12</f>
        <v>8678.6103999999996</v>
      </c>
      <c r="W73" s="374">
        <f>V73*15%</f>
        <v>1301.7915599999999</v>
      </c>
      <c r="X73" s="374">
        <f>V73+W73</f>
        <v>9980.4019599999992</v>
      </c>
      <c r="Y73" s="1" t="s">
        <v>4016</v>
      </c>
    </row>
    <row r="74" spans="1:26" ht="15.75" thickBot="1" x14ac:dyDescent="0.3">
      <c r="A74" s="371" t="s">
        <v>1073</v>
      </c>
      <c r="B74" s="13">
        <v>5000000</v>
      </c>
      <c r="C74" s="13"/>
      <c r="D74" s="13"/>
      <c r="E74" s="369">
        <f>($C$68-$B$68)/30</f>
        <v>4.5666666666666664</v>
      </c>
      <c r="F74" s="380">
        <f t="shared" ref="F74" si="4">D74-C74</f>
        <v>0</v>
      </c>
      <c r="G74" s="13">
        <v>1000</v>
      </c>
      <c r="H74" s="13">
        <v>250</v>
      </c>
      <c r="I74" s="13">
        <v>0</v>
      </c>
      <c r="J74" s="386">
        <f>(((IF(B74&gt;400000,400000,B74)*0.25%)+(IF(B74&gt;40000,B74-400000,0)*0.125%)+(IF(E74&gt;3,(B74*0.0625%*E74),0)+(B74*0.25%*E74/12)+G74+H74+I74)))</f>
        <v>27027.777777777777</v>
      </c>
      <c r="K74" s="374">
        <f t="shared" si="2"/>
        <v>4054.1666666666665</v>
      </c>
      <c r="L74" s="374">
        <f t="shared" si="3"/>
        <v>31081.944444444445</v>
      </c>
      <c r="M74" s="1" t="s">
        <v>4319</v>
      </c>
      <c r="N74" t="s">
        <v>3895</v>
      </c>
      <c r="Q74" s="371" t="s">
        <v>366</v>
      </c>
      <c r="R74" s="13">
        <v>10000000</v>
      </c>
      <c r="S74" s="369">
        <f>($R$66-$Q$66)/31+1</f>
        <v>1</v>
      </c>
      <c r="T74" s="13"/>
      <c r="U74" s="13"/>
      <c r="V74" s="13">
        <f>IF((R74*0.375%*S74)&lt;=250,250,(R74*0.375%*S74))/4+500</f>
        <v>9875</v>
      </c>
      <c r="W74" s="374">
        <f>V74*15%</f>
        <v>1481.25</v>
      </c>
      <c r="X74" s="374">
        <f>V74+W74</f>
        <v>11356.25</v>
      </c>
      <c r="Y74" s="1" t="s">
        <v>3932</v>
      </c>
    </row>
    <row r="75" spans="1:26" ht="15.75" thickBot="1" x14ac:dyDescent="0.3">
      <c r="A75" s="371" t="s">
        <v>62</v>
      </c>
      <c r="B75" s="13">
        <v>10034870.74</v>
      </c>
      <c r="C75" s="394">
        <v>46173</v>
      </c>
      <c r="D75" s="394">
        <v>46310</v>
      </c>
      <c r="E75" s="369">
        <f>($D$75-$C$75)/30</f>
        <v>4.5666666666666664</v>
      </c>
      <c r="F75" s="380">
        <f>D75-C75</f>
        <v>137</v>
      </c>
      <c r="G75" s="13">
        <v>250</v>
      </c>
      <c r="H75" s="13">
        <v>200</v>
      </c>
      <c r="I75" s="13">
        <v>10</v>
      </c>
      <c r="J75" s="386">
        <f>(((IF(B75&gt;400000,400000,B75)*0.25%)+(IF(B75&gt;40000,B75-400000,0)*0.125%)+(IF(E75&gt;3,(B75*0.0625%*E75),0)+(B75*1%*F75/360)+G75+H75+I75)))</f>
        <v>80333.040089305548</v>
      </c>
      <c r="K75" s="374">
        <f t="shared" si="2"/>
        <v>12049.956013395831</v>
      </c>
      <c r="L75" s="374">
        <f t="shared" si="3"/>
        <v>92382.996102701378</v>
      </c>
      <c r="M75" s="1" t="s">
        <v>3998</v>
      </c>
      <c r="N75" t="s">
        <v>3895</v>
      </c>
      <c r="Q75" s="371" t="s">
        <v>95</v>
      </c>
      <c r="R75" s="13">
        <v>800000</v>
      </c>
      <c r="S75" s="369">
        <f>($R$66-$Q$66)/30</f>
        <v>0</v>
      </c>
      <c r="T75" s="13"/>
      <c r="U75" s="13">
        <v>35</v>
      </c>
      <c r="V75" s="13">
        <f>(IF((R75*S75/12*1.75%)&gt;=1250,ROUNDUP((R75*S75/12*1.75%),0),1250)+U75+T75)</f>
        <v>1285</v>
      </c>
      <c r="W75" s="374">
        <f>V75*15%</f>
        <v>192.75</v>
      </c>
      <c r="X75" s="374">
        <f>V75+W75</f>
        <v>1477.75</v>
      </c>
      <c r="Y75" s="1"/>
    </row>
    <row r="76" spans="1:26" ht="15.75" thickBot="1" x14ac:dyDescent="0.3">
      <c r="A76" s="371" t="s">
        <v>366</v>
      </c>
      <c r="B76" s="13">
        <v>427806.8</v>
      </c>
      <c r="C76" s="13"/>
      <c r="D76" s="13"/>
      <c r="E76" s="369">
        <f>($C$68-$B$68)/30</f>
        <v>4.5666666666666664</v>
      </c>
      <c r="F76" s="380">
        <f t="shared" si="1"/>
        <v>0</v>
      </c>
      <c r="G76" s="13">
        <v>200</v>
      </c>
      <c r="H76" s="13">
        <v>0</v>
      </c>
      <c r="I76" s="13">
        <v>0</v>
      </c>
      <c r="J76" s="387">
        <f>(((B76*0.5%)))</f>
        <v>2139.0340000000001</v>
      </c>
      <c r="K76" s="374">
        <f t="shared" si="2"/>
        <v>320.85509999999999</v>
      </c>
      <c r="L76" s="374">
        <f t="shared" si="3"/>
        <v>2459.8891000000003</v>
      </c>
      <c r="M76" s="1" t="s">
        <v>4253</v>
      </c>
      <c r="N76" t="s">
        <v>3895</v>
      </c>
      <c r="V76" s="8"/>
    </row>
    <row r="77" spans="1:26" ht="15.75" thickBot="1" x14ac:dyDescent="0.3">
      <c r="A77" s="371" t="s">
        <v>95</v>
      </c>
      <c r="B77" s="13">
        <v>1280180</v>
      </c>
      <c r="C77" s="385">
        <v>46120</v>
      </c>
      <c r="D77" s="397">
        <v>46142</v>
      </c>
      <c r="E77" s="369">
        <f>($D$77-$C$77)/31</f>
        <v>0.70967741935483875</v>
      </c>
      <c r="F77" s="380">
        <f t="shared" si="1"/>
        <v>22</v>
      </c>
      <c r="G77" s="13">
        <v>200</v>
      </c>
      <c r="H77" s="13"/>
      <c r="I77" s="13">
        <v>0</v>
      </c>
      <c r="J77" s="386">
        <f>(B77*0.5%*E77/12)+G77+H77+I77</f>
        <v>578.54784946236555</v>
      </c>
      <c r="K77" s="374">
        <f t="shared" si="2"/>
        <v>86.782177419354824</v>
      </c>
      <c r="L77" s="374">
        <f t="shared" si="3"/>
        <v>665.33002688172041</v>
      </c>
      <c r="M77" s="1" t="s">
        <v>4194</v>
      </c>
      <c r="N77" t="s">
        <v>3895</v>
      </c>
      <c r="Q77" s="371" t="s">
        <v>366</v>
      </c>
      <c r="R77" s="13">
        <v>500000</v>
      </c>
      <c r="S77" s="369">
        <f>($R$66-$Q$66)/31+1</f>
        <v>1</v>
      </c>
      <c r="T77" s="13"/>
      <c r="U77" s="13"/>
      <c r="V77" s="13">
        <f>R77*0.375%</f>
        <v>1875</v>
      </c>
      <c r="W77" s="374">
        <f>V77*15%</f>
        <v>281.25</v>
      </c>
      <c r="X77" s="374">
        <f>V77+W77</f>
        <v>2156.25</v>
      </c>
      <c r="Y77" s="1" t="s">
        <v>3932</v>
      </c>
    </row>
    <row r="79" spans="1:26" x14ac:dyDescent="0.25">
      <c r="V79" s="8"/>
    </row>
    <row r="82" spans="1:17" ht="15.75" thickBot="1" x14ac:dyDescent="0.3"/>
    <row r="83" spans="1:17" x14ac:dyDescent="0.25">
      <c r="A83" s="384" t="s">
        <v>1124</v>
      </c>
      <c r="B83" s="377"/>
      <c r="C83" s="377"/>
      <c r="D83" s="377"/>
      <c r="E83" s="377"/>
      <c r="F83" s="377"/>
      <c r="G83" s="377"/>
      <c r="H83" s="377"/>
      <c r="I83" s="377"/>
      <c r="J83" s="377"/>
      <c r="K83" s="377"/>
      <c r="L83" s="377"/>
      <c r="M83" s="377"/>
      <c r="N83" s="378"/>
    </row>
    <row r="84" spans="1:17" x14ac:dyDescent="0.25">
      <c r="A84" s="371" t="s">
        <v>850</v>
      </c>
      <c r="B84" s="371" t="s">
        <v>1039</v>
      </c>
      <c r="C84" s="371" t="s">
        <v>4011</v>
      </c>
      <c r="D84" s="371" t="s">
        <v>4009</v>
      </c>
      <c r="E84" s="371" t="s">
        <v>4012</v>
      </c>
      <c r="F84" s="371" t="s">
        <v>4013</v>
      </c>
      <c r="G84" s="371" t="s">
        <v>3902</v>
      </c>
      <c r="H84" s="371" t="s">
        <v>3996</v>
      </c>
      <c r="I84" s="371" t="s">
        <v>3200</v>
      </c>
      <c r="J84" s="371" t="s">
        <v>1176</v>
      </c>
      <c r="K84" s="371" t="s">
        <v>3995</v>
      </c>
      <c r="L84" s="371" t="s">
        <v>1169</v>
      </c>
      <c r="M84" s="371" t="s">
        <v>1174</v>
      </c>
      <c r="N84" s="371" t="s">
        <v>3997</v>
      </c>
      <c r="O84" s="371" t="s">
        <v>17</v>
      </c>
      <c r="Q84" s="381"/>
    </row>
    <row r="85" spans="1:17" x14ac:dyDescent="0.25">
      <c r="A85" s="371" t="s">
        <v>21</v>
      </c>
      <c r="B85" s="13">
        <v>1000000</v>
      </c>
      <c r="C85" s="13"/>
      <c r="D85" s="13"/>
      <c r="E85" s="13"/>
      <c r="G85" s="380">
        <f>MONTH(E85-D85)</f>
        <v>1</v>
      </c>
      <c r="H85" s="380">
        <v>0</v>
      </c>
      <c r="I85" s="13">
        <v>700</v>
      </c>
      <c r="J85" s="13">
        <v>0</v>
      </c>
      <c r="K85" s="13">
        <v>0</v>
      </c>
      <c r="L85" s="374">
        <f>(((IF(B85&gt;400000,400000,B85)*0.25%)+(IF(B85&gt;40000,B85-400000,0)*0.125%)+(IF(G85&gt;3,B85*0.0625%*G85,0)+I85+J85+K85)))</f>
        <v>2450</v>
      </c>
      <c r="M85" s="374">
        <f>L85*15%</f>
        <v>367.5</v>
      </c>
      <c r="N85" s="374">
        <f>L85+M85</f>
        <v>2817.5</v>
      </c>
      <c r="O85" s="1" t="s">
        <v>3930</v>
      </c>
      <c r="P85" t="s">
        <v>3240</v>
      </c>
      <c r="Q85" s="381"/>
    </row>
    <row r="86" spans="1:17" x14ac:dyDescent="0.25">
      <c r="A86" s="371" t="s">
        <v>612</v>
      </c>
      <c r="B86" s="13">
        <v>1500000</v>
      </c>
      <c r="C86" s="13"/>
      <c r="D86" s="13"/>
      <c r="E86" s="13"/>
      <c r="F86" s="13"/>
      <c r="G86" s="380">
        <v>3</v>
      </c>
      <c r="H86" s="380">
        <v>0</v>
      </c>
      <c r="I86" s="13">
        <v>750</v>
      </c>
      <c r="J86" s="13">
        <v>0</v>
      </c>
      <c r="K86" s="13">
        <v>0</v>
      </c>
      <c r="L86" s="374">
        <f>(((IF(B86&gt;400000,400000,B86)*0.25%)+(IF(B86&gt;40000,B86-400000,0)*0.125%)+(IF(G86&gt;3,(B86*0.0625%*G86),0)+(B86*0.5%*G86/12)+I86+J86+K86)))</f>
        <v>5000</v>
      </c>
      <c r="M86" s="374">
        <f>L86*15%</f>
        <v>750</v>
      </c>
      <c r="N86" s="374">
        <f>L86+M86</f>
        <v>5750</v>
      </c>
      <c r="O86" s="1" t="s">
        <v>3991</v>
      </c>
      <c r="P86" t="s">
        <v>3240</v>
      </c>
    </row>
    <row r="87" spans="1:17" x14ac:dyDescent="0.25">
      <c r="A87" s="371" t="s">
        <v>1073</v>
      </c>
      <c r="B87" s="13">
        <v>13581536.130000001</v>
      </c>
      <c r="C87" s="1"/>
      <c r="D87" s="1"/>
      <c r="E87" s="1"/>
      <c r="F87" s="1"/>
      <c r="G87" s="1"/>
      <c r="H87" s="1"/>
      <c r="I87" s="1"/>
      <c r="J87" s="1"/>
      <c r="K87" s="1"/>
      <c r="L87" s="1"/>
      <c r="M87" s="1"/>
      <c r="N87" s="1"/>
      <c r="O87" s="1" t="s">
        <v>4040</v>
      </c>
      <c r="P87" t="s">
        <v>3240</v>
      </c>
    </row>
    <row r="88" spans="1:17" x14ac:dyDescent="0.25">
      <c r="A88" s="371" t="s">
        <v>62</v>
      </c>
      <c r="B88" s="382">
        <v>1000000</v>
      </c>
      <c r="C88" s="382"/>
      <c r="D88" s="382"/>
      <c r="E88" s="382"/>
      <c r="F88" s="382"/>
      <c r="G88" s="380">
        <v>3</v>
      </c>
      <c r="H88" s="380">
        <v>85</v>
      </c>
      <c r="I88" s="13">
        <v>250</v>
      </c>
      <c r="J88" s="13">
        <v>200</v>
      </c>
      <c r="K88" s="13">
        <v>10</v>
      </c>
      <c r="L88" s="374">
        <f>(((IF(B88&gt;400000,400000,B88)*0.25%)+(IF(B88&gt;40000,B88-400000,0)*0.125%)+(IF(G88&gt;3,(B88*0.0625%*G88),0)+(B88*1%*H88/360)+I88+J88+K88)))</f>
        <v>4571.1111111111113</v>
      </c>
      <c r="M88" s="374">
        <f>L88*15%</f>
        <v>685.66666666666663</v>
      </c>
      <c r="N88" s="374">
        <f>L88+M88</f>
        <v>5256.7777777777783</v>
      </c>
      <c r="O88" s="1" t="s">
        <v>3998</v>
      </c>
      <c r="P88" t="s">
        <v>3240</v>
      </c>
    </row>
    <row r="89" spans="1:17" x14ac:dyDescent="0.25">
      <c r="A89" s="371" t="s">
        <v>366</v>
      </c>
      <c r="B89" s="13">
        <v>500000</v>
      </c>
      <c r="C89" s="13"/>
      <c r="D89" s="13"/>
      <c r="E89" s="13"/>
      <c r="F89" s="13"/>
      <c r="G89" s="380">
        <v>3</v>
      </c>
      <c r="H89" s="380">
        <v>0</v>
      </c>
      <c r="I89" s="13">
        <v>200</v>
      </c>
      <c r="J89" s="13">
        <v>0</v>
      </c>
      <c r="K89" s="13">
        <v>0</v>
      </c>
      <c r="L89" s="13">
        <f>((B89*0.5%)+I89+J89+K89)</f>
        <v>2700</v>
      </c>
      <c r="M89" s="374">
        <f>L89*15%</f>
        <v>405</v>
      </c>
      <c r="N89" s="374">
        <f>L89+M89</f>
        <v>3105</v>
      </c>
      <c r="O89" s="1" t="s">
        <v>3903</v>
      </c>
      <c r="P89" t="s">
        <v>3240</v>
      </c>
    </row>
    <row r="90" spans="1:17" x14ac:dyDescent="0.25">
      <c r="A90" s="371" t="s">
        <v>95</v>
      </c>
      <c r="B90" s="13">
        <v>400000</v>
      </c>
      <c r="C90" s="13"/>
      <c r="D90" s="13"/>
      <c r="E90" s="13"/>
      <c r="F90" s="13"/>
      <c r="G90" s="380">
        <v>5</v>
      </c>
      <c r="H90" s="380"/>
      <c r="I90" s="13">
        <v>250</v>
      </c>
      <c r="J90" s="13"/>
      <c r="K90" s="13">
        <v>150</v>
      </c>
      <c r="L90" s="374">
        <f>(B90*0.5%*G90/12)+I90+J90+K90</f>
        <v>1233.3333333333335</v>
      </c>
      <c r="M90" s="374">
        <f>L90*15%</f>
        <v>185.00000000000003</v>
      </c>
      <c r="N90" s="374">
        <f>L90+M90</f>
        <v>1418.3333333333335</v>
      </c>
      <c r="O90" s="1" t="s">
        <v>3999</v>
      </c>
      <c r="P90" t="s">
        <v>3240</v>
      </c>
    </row>
  </sheetData>
  <sortState xmlns:xlrd2="http://schemas.microsoft.com/office/spreadsheetml/2017/richdata2" ref="Q69:Y74">
    <sortCondition ref="Q69:Q74"/>
  </sortState>
  <mergeCells count="9">
    <mergeCell ref="B4:G4"/>
    <mergeCell ref="H4:N4"/>
    <mergeCell ref="Q68:V68"/>
    <mergeCell ref="T4:U4"/>
    <mergeCell ref="T16:U16"/>
    <mergeCell ref="T27:U27"/>
    <mergeCell ref="T36:U36"/>
    <mergeCell ref="T47:U47"/>
    <mergeCell ref="T59:U59"/>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A3352-02FA-4F40-A99E-762037C358F4}">
  <sheetPr codeName="Sheet17"/>
  <dimension ref="A1:J2"/>
  <sheetViews>
    <sheetView showGridLines="0" workbookViewId="0">
      <selection sqref="A1:J2"/>
    </sheetView>
  </sheetViews>
  <sheetFormatPr defaultColWidth="89.42578125" defaultRowHeight="15" x14ac:dyDescent="0.25"/>
  <cols>
    <col min="1" max="1" width="11.28515625" bestFit="1" customWidth="1"/>
    <col min="2" max="2" width="28.140625" bestFit="1" customWidth="1"/>
    <col min="3" max="3" width="17.7109375" bestFit="1" customWidth="1"/>
    <col min="4" max="4" width="21.42578125" bestFit="1" customWidth="1"/>
    <col min="5" max="5" width="37.28515625" bestFit="1" customWidth="1"/>
    <col min="6" max="6" width="50.5703125" bestFit="1" customWidth="1"/>
    <col min="7" max="7" width="15.140625" bestFit="1" customWidth="1"/>
    <col min="8" max="8" width="16.5703125" bestFit="1" customWidth="1"/>
    <col min="9" max="9" width="17.28515625" bestFit="1" customWidth="1"/>
    <col min="10" max="10" width="45.7109375" customWidth="1"/>
  </cols>
  <sheetData>
    <row r="1" spans="1:10" ht="33.75" thickBot="1" x14ac:dyDescent="0.3">
      <c r="A1" s="579" t="s">
        <v>5675</v>
      </c>
      <c r="B1" s="580" t="s">
        <v>5676</v>
      </c>
      <c r="C1" s="581" t="s">
        <v>5677</v>
      </c>
      <c r="D1" s="580" t="s">
        <v>5678</v>
      </c>
      <c r="E1" s="580" t="s">
        <v>4</v>
      </c>
      <c r="F1" s="580" t="s">
        <v>5679</v>
      </c>
      <c r="G1" s="580" t="s">
        <v>5680</v>
      </c>
      <c r="H1" s="580" t="s">
        <v>5681</v>
      </c>
      <c r="I1" s="580" t="s">
        <v>5682</v>
      </c>
      <c r="J1" s="580" t="s">
        <v>5683</v>
      </c>
    </row>
    <row r="2" spans="1:10" ht="30.75" thickBot="1" x14ac:dyDescent="0.3">
      <c r="A2" s="570" t="s">
        <v>5684</v>
      </c>
      <c r="B2" s="571" t="s">
        <v>5685</v>
      </c>
      <c r="C2" s="572" t="s">
        <v>4304</v>
      </c>
      <c r="D2" s="578">
        <v>67000000</v>
      </c>
      <c r="E2" s="573" t="s">
        <v>4277</v>
      </c>
      <c r="F2" s="574"/>
      <c r="G2" s="575">
        <v>46091</v>
      </c>
      <c r="H2" s="576">
        <v>46203</v>
      </c>
      <c r="I2" s="577">
        <v>46295</v>
      </c>
      <c r="J2" s="582">
        <v>25000000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1C765-7B78-4FB1-96C3-C5956098FB05}">
  <sheetPr codeName="Sheet16"/>
  <dimension ref="A1:E1122"/>
  <sheetViews>
    <sheetView workbookViewId="0">
      <selection activeCell="B7" sqref="B7"/>
    </sheetView>
  </sheetViews>
  <sheetFormatPr defaultRowHeight="15" x14ac:dyDescent="0.25"/>
  <cols>
    <col min="1" max="1" width="24.42578125" bestFit="1" customWidth="1"/>
    <col min="2" max="2" width="81.140625" bestFit="1" customWidth="1"/>
    <col min="3" max="3" width="29.140625" bestFit="1" customWidth="1"/>
    <col min="4" max="4" width="81.140625" bestFit="1" customWidth="1"/>
    <col min="5" max="5" width="14.5703125" customWidth="1"/>
    <col min="6" max="6" width="81.140625" bestFit="1" customWidth="1"/>
  </cols>
  <sheetData>
    <row r="1" spans="1:5" x14ac:dyDescent="0.25">
      <c r="A1" s="448" t="s">
        <v>4784</v>
      </c>
      <c r="B1" s="448" t="s">
        <v>4</v>
      </c>
      <c r="C1" s="448" t="s">
        <v>5</v>
      </c>
      <c r="D1" s="448" t="s">
        <v>6</v>
      </c>
      <c r="E1" s="448" t="s">
        <v>846</v>
      </c>
    </row>
    <row r="2" spans="1:5" x14ac:dyDescent="0.25">
      <c r="A2" t="s">
        <v>46</v>
      </c>
      <c r="B2" t="s">
        <v>47</v>
      </c>
      <c r="C2" t="s">
        <v>24</v>
      </c>
      <c r="D2" t="s">
        <v>22</v>
      </c>
      <c r="E2">
        <v>1020055</v>
      </c>
    </row>
    <row r="3" spans="1:5" x14ac:dyDescent="0.25">
      <c r="A3" t="s">
        <v>137</v>
      </c>
      <c r="B3" t="s">
        <v>138</v>
      </c>
      <c r="C3" t="s">
        <v>24</v>
      </c>
      <c r="D3" t="s">
        <v>22</v>
      </c>
      <c r="E3">
        <v>1020055</v>
      </c>
    </row>
    <row r="4" spans="1:5" x14ac:dyDescent="0.25">
      <c r="A4" t="s">
        <v>1742</v>
      </c>
      <c r="B4" t="s">
        <v>1707</v>
      </c>
      <c r="C4" t="s">
        <v>869</v>
      </c>
      <c r="D4" t="s">
        <v>1762</v>
      </c>
    </row>
    <row r="5" spans="1:5" x14ac:dyDescent="0.25">
      <c r="A5" t="s">
        <v>375</v>
      </c>
      <c r="B5" t="s">
        <v>376</v>
      </c>
      <c r="C5" t="s">
        <v>72</v>
      </c>
      <c r="D5" t="s">
        <v>304</v>
      </c>
      <c r="E5">
        <v>1020098</v>
      </c>
    </row>
    <row r="6" spans="1:5" x14ac:dyDescent="0.25">
      <c r="A6" t="s">
        <v>464</v>
      </c>
      <c r="B6" t="s">
        <v>465</v>
      </c>
      <c r="C6" t="s">
        <v>72</v>
      </c>
      <c r="D6" t="s">
        <v>304</v>
      </c>
      <c r="E6">
        <v>1020098</v>
      </c>
    </row>
    <row r="7" spans="1:5" x14ac:dyDescent="0.25">
      <c r="A7" t="s">
        <v>555</v>
      </c>
      <c r="B7" t="s">
        <v>465</v>
      </c>
      <c r="C7" t="s">
        <v>72</v>
      </c>
      <c r="D7" t="s">
        <v>304</v>
      </c>
      <c r="E7">
        <v>1020098</v>
      </c>
    </row>
    <row r="8" spans="1:5" x14ac:dyDescent="0.25">
      <c r="A8" t="s">
        <v>691</v>
      </c>
      <c r="B8" t="s">
        <v>465</v>
      </c>
      <c r="C8" t="s">
        <v>72</v>
      </c>
      <c r="D8" t="s">
        <v>304</v>
      </c>
      <c r="E8">
        <v>1020098</v>
      </c>
    </row>
    <row r="9" spans="1:5" x14ac:dyDescent="0.25">
      <c r="A9" t="s">
        <v>1783</v>
      </c>
      <c r="B9" t="s">
        <v>1709</v>
      </c>
      <c r="C9" t="s">
        <v>869</v>
      </c>
      <c r="D9" t="s">
        <v>1762</v>
      </c>
    </row>
    <row r="10" spans="1:5" x14ac:dyDescent="0.25">
      <c r="A10" t="s">
        <v>1664</v>
      </c>
      <c r="B10" t="s">
        <v>1623</v>
      </c>
      <c r="C10" t="s">
        <v>24</v>
      </c>
      <c r="D10" t="s">
        <v>367</v>
      </c>
      <c r="E10">
        <v>1020091</v>
      </c>
    </row>
    <row r="11" spans="1:5" x14ac:dyDescent="0.25">
      <c r="A11" t="s">
        <v>788</v>
      </c>
      <c r="B11" t="s">
        <v>789</v>
      </c>
      <c r="C11" t="s">
        <v>3221</v>
      </c>
      <c r="D11" t="s">
        <v>81</v>
      </c>
      <c r="E11">
        <v>1020070</v>
      </c>
    </row>
    <row r="12" spans="1:5" x14ac:dyDescent="0.25">
      <c r="A12" t="s">
        <v>1807</v>
      </c>
      <c r="B12" t="s">
        <v>1757</v>
      </c>
      <c r="C12" t="s">
        <v>1791</v>
      </c>
      <c r="D12" t="s">
        <v>81</v>
      </c>
      <c r="E12">
        <v>1020070</v>
      </c>
    </row>
    <row r="13" spans="1:5" x14ac:dyDescent="0.25">
      <c r="A13" t="s">
        <v>398</v>
      </c>
      <c r="B13" t="s">
        <v>399</v>
      </c>
      <c r="C13" t="s">
        <v>24</v>
      </c>
      <c r="D13" t="s">
        <v>22</v>
      </c>
      <c r="E13">
        <v>1020055</v>
      </c>
    </row>
    <row r="14" spans="1:5" x14ac:dyDescent="0.25">
      <c r="A14" t="s">
        <v>643</v>
      </c>
      <c r="B14" t="s">
        <v>644</v>
      </c>
      <c r="C14" t="s">
        <v>24</v>
      </c>
      <c r="D14" t="s">
        <v>22</v>
      </c>
      <c r="E14">
        <v>1020055</v>
      </c>
    </row>
    <row r="15" spans="1:5" x14ac:dyDescent="0.25">
      <c r="A15" t="s">
        <v>815</v>
      </c>
      <c r="B15" t="s">
        <v>644</v>
      </c>
      <c r="C15" t="s">
        <v>24</v>
      </c>
      <c r="D15" t="s">
        <v>22</v>
      </c>
      <c r="E15">
        <v>1020055</v>
      </c>
    </row>
    <row r="16" spans="1:5" x14ac:dyDescent="0.25">
      <c r="A16" t="s">
        <v>1273</v>
      </c>
      <c r="B16" t="s">
        <v>1249</v>
      </c>
      <c r="C16" t="s">
        <v>24</v>
      </c>
      <c r="D16" t="s">
        <v>407</v>
      </c>
      <c r="E16">
        <v>1020100</v>
      </c>
    </row>
    <row r="17" spans="1:5" x14ac:dyDescent="0.25">
      <c r="A17" t="s">
        <v>1489</v>
      </c>
      <c r="B17" t="s">
        <v>1375</v>
      </c>
      <c r="C17" t="s">
        <v>24</v>
      </c>
      <c r="D17" t="s">
        <v>407</v>
      </c>
      <c r="E17">
        <v>1020100</v>
      </c>
    </row>
    <row r="18" spans="1:5" x14ac:dyDescent="0.25">
      <c r="A18" t="s">
        <v>1650</v>
      </c>
      <c r="B18" t="s">
        <v>1631</v>
      </c>
      <c r="C18" t="s">
        <v>24</v>
      </c>
      <c r="D18" t="s">
        <v>367</v>
      </c>
      <c r="E18">
        <v>1020091</v>
      </c>
    </row>
    <row r="19" spans="1:5" x14ac:dyDescent="0.25">
      <c r="A19" t="s">
        <v>3901</v>
      </c>
      <c r="B19" t="s">
        <v>3294</v>
      </c>
      <c r="C19" t="s">
        <v>24</v>
      </c>
      <c r="D19" t="s">
        <v>710</v>
      </c>
      <c r="E19">
        <v>1020088</v>
      </c>
    </row>
    <row r="20" spans="1:5" x14ac:dyDescent="0.25">
      <c r="A20" t="s">
        <v>1311</v>
      </c>
      <c r="B20" t="s">
        <v>1268</v>
      </c>
      <c r="C20" t="s">
        <v>24</v>
      </c>
      <c r="D20" t="s">
        <v>22</v>
      </c>
      <c r="E20">
        <v>1020055</v>
      </c>
    </row>
    <row r="21" spans="1:5" x14ac:dyDescent="0.25">
      <c r="A21" t="s">
        <v>1348</v>
      </c>
      <c r="B21" t="s">
        <v>1268</v>
      </c>
      <c r="C21" t="s">
        <v>24</v>
      </c>
      <c r="D21" t="s">
        <v>22</v>
      </c>
      <c r="E21">
        <v>1020055</v>
      </c>
    </row>
    <row r="22" spans="1:5" x14ac:dyDescent="0.25">
      <c r="A22" t="s">
        <v>1670</v>
      </c>
      <c r="B22" t="s">
        <v>1627</v>
      </c>
      <c r="C22" t="s">
        <v>24</v>
      </c>
      <c r="D22" t="s">
        <v>367</v>
      </c>
      <c r="E22">
        <v>1020091</v>
      </c>
    </row>
    <row r="23" spans="1:5" x14ac:dyDescent="0.25">
      <c r="A23" t="s">
        <v>3326</v>
      </c>
      <c r="B23" t="s">
        <v>1627</v>
      </c>
      <c r="C23" t="s">
        <v>24</v>
      </c>
      <c r="D23" t="s">
        <v>483</v>
      </c>
      <c r="E23">
        <v>1020096</v>
      </c>
    </row>
    <row r="24" spans="1:5" x14ac:dyDescent="0.25">
      <c r="A24" t="s">
        <v>2618</v>
      </c>
      <c r="B24" t="s">
        <v>2563</v>
      </c>
      <c r="C24" t="s">
        <v>24</v>
      </c>
      <c r="D24" t="s">
        <v>22</v>
      </c>
      <c r="E24">
        <v>1020055</v>
      </c>
    </row>
    <row r="25" spans="1:5" x14ac:dyDescent="0.25">
      <c r="A25" t="s">
        <v>506</v>
      </c>
      <c r="B25" t="s">
        <v>507</v>
      </c>
      <c r="C25" t="s">
        <v>72</v>
      </c>
      <c r="D25" t="s">
        <v>407</v>
      </c>
      <c r="E25">
        <v>1020100</v>
      </c>
    </row>
    <row r="26" spans="1:5" x14ac:dyDescent="0.25">
      <c r="A26" t="s">
        <v>1441</v>
      </c>
      <c r="B26" t="s">
        <v>1378</v>
      </c>
      <c r="C26" t="s">
        <v>24</v>
      </c>
      <c r="D26" t="s">
        <v>710</v>
      </c>
      <c r="E26">
        <v>1020088</v>
      </c>
    </row>
    <row r="27" spans="1:5" x14ac:dyDescent="0.25">
      <c r="A27" t="s">
        <v>2903</v>
      </c>
      <c r="B27" t="s">
        <v>1378</v>
      </c>
      <c r="C27" t="s">
        <v>24</v>
      </c>
      <c r="D27" t="s">
        <v>710</v>
      </c>
      <c r="E27">
        <v>1020088</v>
      </c>
    </row>
    <row r="28" spans="1:5" x14ac:dyDescent="0.25">
      <c r="A28" t="s">
        <v>4250</v>
      </c>
      <c r="B28" t="s">
        <v>1378</v>
      </c>
      <c r="C28" t="s">
        <v>24</v>
      </c>
      <c r="D28" t="s">
        <v>710</v>
      </c>
      <c r="E28">
        <v>1020088</v>
      </c>
    </row>
    <row r="29" spans="1:5" x14ac:dyDescent="0.25">
      <c r="A29" t="s">
        <v>4558</v>
      </c>
      <c r="B29" t="s">
        <v>4504</v>
      </c>
      <c r="C29" t="s">
        <v>24</v>
      </c>
      <c r="D29" t="s">
        <v>710</v>
      </c>
      <c r="E29">
        <v>1020088</v>
      </c>
    </row>
    <row r="30" spans="1:5" x14ac:dyDescent="0.25">
      <c r="A30" t="s">
        <v>1332</v>
      </c>
      <c r="B30" t="s">
        <v>1269</v>
      </c>
      <c r="C30" t="s">
        <v>24</v>
      </c>
      <c r="D30" t="s">
        <v>22</v>
      </c>
      <c r="E30">
        <v>1020055</v>
      </c>
    </row>
    <row r="31" spans="1:5" x14ac:dyDescent="0.25">
      <c r="A31" t="s">
        <v>1293</v>
      </c>
      <c r="B31" t="s">
        <v>1244</v>
      </c>
      <c r="C31" t="s">
        <v>24</v>
      </c>
      <c r="D31" t="s">
        <v>407</v>
      </c>
      <c r="E31">
        <v>1020100</v>
      </c>
    </row>
    <row r="32" spans="1:5" x14ac:dyDescent="0.25">
      <c r="A32" t="s">
        <v>4561</v>
      </c>
      <c r="B32" t="s">
        <v>4495</v>
      </c>
      <c r="C32" t="s">
        <v>24</v>
      </c>
      <c r="D32" t="s">
        <v>710</v>
      </c>
      <c r="E32">
        <v>1020088</v>
      </c>
    </row>
    <row r="33" spans="1:5" x14ac:dyDescent="0.25">
      <c r="A33" t="s">
        <v>1446</v>
      </c>
      <c r="B33" t="s">
        <v>1337</v>
      </c>
      <c r="C33" t="s">
        <v>72</v>
      </c>
      <c r="D33" t="s">
        <v>511</v>
      </c>
      <c r="E33">
        <v>1020107</v>
      </c>
    </row>
    <row r="34" spans="1:5" x14ac:dyDescent="0.25">
      <c r="A34" t="s">
        <v>1767</v>
      </c>
      <c r="B34" t="s">
        <v>1337</v>
      </c>
      <c r="C34" t="s">
        <v>72</v>
      </c>
      <c r="D34" t="s">
        <v>511</v>
      </c>
      <c r="E34">
        <v>1020107</v>
      </c>
    </row>
    <row r="35" spans="1:5" x14ac:dyDescent="0.25">
      <c r="A35" t="s">
        <v>4545</v>
      </c>
      <c r="B35" t="s">
        <v>2924</v>
      </c>
      <c r="C35" t="s">
        <v>72</v>
      </c>
      <c r="D35" t="s">
        <v>882</v>
      </c>
      <c r="E35">
        <v>1020108</v>
      </c>
    </row>
    <row r="36" spans="1:5" x14ac:dyDescent="0.25">
      <c r="A36" t="s">
        <v>1516</v>
      </c>
      <c r="B36" t="s">
        <v>1461</v>
      </c>
      <c r="C36" t="s">
        <v>24</v>
      </c>
      <c r="D36" t="s">
        <v>407</v>
      </c>
      <c r="E36">
        <v>1020100</v>
      </c>
    </row>
    <row r="37" spans="1:5" x14ac:dyDescent="0.25">
      <c r="A37" t="s">
        <v>440</v>
      </c>
      <c r="B37" t="s">
        <v>442</v>
      </c>
      <c r="C37" t="s">
        <v>24</v>
      </c>
      <c r="D37" t="s">
        <v>22</v>
      </c>
      <c r="E37">
        <v>1020055</v>
      </c>
    </row>
    <row r="38" spans="1:5" x14ac:dyDescent="0.25">
      <c r="A38" t="s">
        <v>651</v>
      </c>
      <c r="B38" t="s">
        <v>442</v>
      </c>
      <c r="C38" t="s">
        <v>24</v>
      </c>
      <c r="D38" t="s">
        <v>22</v>
      </c>
      <c r="E38">
        <v>1020055</v>
      </c>
    </row>
    <row r="39" spans="1:5" x14ac:dyDescent="0.25">
      <c r="A39" t="s">
        <v>5084</v>
      </c>
      <c r="B39" t="s">
        <v>5027</v>
      </c>
      <c r="C39" t="s">
        <v>1791</v>
      </c>
      <c r="D39" t="s">
        <v>328</v>
      </c>
      <c r="E39">
        <v>1020097</v>
      </c>
    </row>
    <row r="40" spans="1:5" x14ac:dyDescent="0.25">
      <c r="A40" t="s">
        <v>302</v>
      </c>
      <c r="B40" t="s">
        <v>303</v>
      </c>
      <c r="C40" t="s">
        <v>72</v>
      </c>
      <c r="D40" t="s">
        <v>304</v>
      </c>
      <c r="E40">
        <v>1020098</v>
      </c>
    </row>
    <row r="41" spans="1:5" x14ac:dyDescent="0.25">
      <c r="A41" t="s">
        <v>372</v>
      </c>
      <c r="B41" t="s">
        <v>303</v>
      </c>
      <c r="C41" t="s">
        <v>72</v>
      </c>
      <c r="D41" t="s">
        <v>304</v>
      </c>
      <c r="E41">
        <v>1020098</v>
      </c>
    </row>
    <row r="42" spans="1:5" x14ac:dyDescent="0.25">
      <c r="A42" t="s">
        <v>503</v>
      </c>
      <c r="B42" t="s">
        <v>303</v>
      </c>
      <c r="C42" t="s">
        <v>72</v>
      </c>
      <c r="D42" t="s">
        <v>304</v>
      </c>
      <c r="E42">
        <v>1020098</v>
      </c>
    </row>
    <row r="43" spans="1:5" x14ac:dyDescent="0.25">
      <c r="A43" t="s">
        <v>579</v>
      </c>
      <c r="B43" t="s">
        <v>303</v>
      </c>
      <c r="C43" t="s">
        <v>72</v>
      </c>
      <c r="D43" t="s">
        <v>304</v>
      </c>
      <c r="E43">
        <v>1020098</v>
      </c>
    </row>
    <row r="44" spans="1:5" x14ac:dyDescent="0.25">
      <c r="A44" t="s">
        <v>727</v>
      </c>
      <c r="B44" t="s">
        <v>303</v>
      </c>
      <c r="C44" t="s">
        <v>72</v>
      </c>
      <c r="D44" t="s">
        <v>304</v>
      </c>
      <c r="E44">
        <v>1020098</v>
      </c>
    </row>
    <row r="45" spans="1:5" x14ac:dyDescent="0.25">
      <c r="A45" t="s">
        <v>1810</v>
      </c>
      <c r="B45" t="s">
        <v>1549</v>
      </c>
      <c r="C45" t="s">
        <v>72</v>
      </c>
      <c r="D45" t="s">
        <v>613</v>
      </c>
      <c r="E45">
        <v>1020106</v>
      </c>
    </row>
    <row r="46" spans="1:5" x14ac:dyDescent="0.25">
      <c r="A46" t="s">
        <v>385</v>
      </c>
      <c r="B46" t="s">
        <v>386</v>
      </c>
      <c r="C46" t="s">
        <v>24</v>
      </c>
      <c r="D46" t="s">
        <v>22</v>
      </c>
      <c r="E46">
        <v>1020055</v>
      </c>
    </row>
    <row r="47" spans="1:5" x14ac:dyDescent="0.25">
      <c r="A47" t="s">
        <v>309</v>
      </c>
      <c r="B47" t="s">
        <v>310</v>
      </c>
      <c r="C47" t="s">
        <v>80</v>
      </c>
      <c r="D47" t="s">
        <v>81</v>
      </c>
      <c r="E47">
        <v>1020070</v>
      </c>
    </row>
    <row r="48" spans="1:5" x14ac:dyDescent="0.25">
      <c r="A48" t="s">
        <v>726</v>
      </c>
      <c r="B48" t="s">
        <v>310</v>
      </c>
      <c r="C48" t="s">
        <v>80</v>
      </c>
      <c r="D48" t="s">
        <v>81</v>
      </c>
      <c r="E48">
        <v>1020070</v>
      </c>
    </row>
    <row r="49" spans="1:5" x14ac:dyDescent="0.25">
      <c r="A49" t="s">
        <v>426</v>
      </c>
      <c r="B49" t="s">
        <v>427</v>
      </c>
      <c r="C49" t="s">
        <v>24</v>
      </c>
      <c r="D49" t="s">
        <v>22</v>
      </c>
      <c r="E49">
        <v>1020055</v>
      </c>
    </row>
    <row r="50" spans="1:5" x14ac:dyDescent="0.25">
      <c r="A50" t="s">
        <v>564</v>
      </c>
      <c r="B50" t="s">
        <v>427</v>
      </c>
      <c r="C50" t="s">
        <v>24</v>
      </c>
      <c r="D50" t="s">
        <v>22</v>
      </c>
      <c r="E50">
        <v>1020055</v>
      </c>
    </row>
    <row r="51" spans="1:5" x14ac:dyDescent="0.25">
      <c r="A51" t="s">
        <v>678</v>
      </c>
      <c r="B51" t="s">
        <v>679</v>
      </c>
      <c r="C51" t="s">
        <v>24</v>
      </c>
      <c r="D51" t="s">
        <v>407</v>
      </c>
      <c r="E51">
        <v>1020100</v>
      </c>
    </row>
    <row r="52" spans="1:5" x14ac:dyDescent="0.25">
      <c r="A52" t="s">
        <v>132</v>
      </c>
      <c r="B52" t="s">
        <v>133</v>
      </c>
      <c r="C52" t="s">
        <v>24</v>
      </c>
      <c r="D52" t="s">
        <v>22</v>
      </c>
      <c r="E52">
        <v>1020055</v>
      </c>
    </row>
    <row r="53" spans="1:5" x14ac:dyDescent="0.25">
      <c r="A53" t="s">
        <v>794</v>
      </c>
      <c r="B53" t="s">
        <v>795</v>
      </c>
      <c r="C53" t="s">
        <v>24</v>
      </c>
      <c r="D53" t="s">
        <v>22</v>
      </c>
      <c r="E53">
        <v>1020055</v>
      </c>
    </row>
    <row r="54" spans="1:5" x14ac:dyDescent="0.25">
      <c r="A54" t="s">
        <v>565</v>
      </c>
      <c r="B54" t="s">
        <v>566</v>
      </c>
      <c r="C54" t="s">
        <v>24</v>
      </c>
      <c r="D54" t="s">
        <v>22</v>
      </c>
      <c r="E54">
        <v>1020055</v>
      </c>
    </row>
    <row r="55" spans="1:5" x14ac:dyDescent="0.25">
      <c r="A55" t="s">
        <v>269</v>
      </c>
      <c r="B55" t="s">
        <v>270</v>
      </c>
      <c r="C55" t="s">
        <v>24</v>
      </c>
      <c r="D55" t="s">
        <v>22</v>
      </c>
      <c r="E55">
        <v>1020055</v>
      </c>
    </row>
    <row r="56" spans="1:5" x14ac:dyDescent="0.25">
      <c r="A56" t="s">
        <v>333</v>
      </c>
      <c r="B56" t="s">
        <v>270</v>
      </c>
      <c r="C56" t="s">
        <v>24</v>
      </c>
      <c r="D56" t="s">
        <v>22</v>
      </c>
      <c r="E56">
        <v>1020055</v>
      </c>
    </row>
    <row r="57" spans="1:5" x14ac:dyDescent="0.25">
      <c r="A57" t="s">
        <v>389</v>
      </c>
      <c r="B57" t="s">
        <v>270</v>
      </c>
      <c r="C57" t="s">
        <v>24</v>
      </c>
      <c r="D57" t="s">
        <v>22</v>
      </c>
      <c r="E57">
        <v>1020055</v>
      </c>
    </row>
    <row r="58" spans="1:5" x14ac:dyDescent="0.25">
      <c r="A58" t="s">
        <v>516</v>
      </c>
      <c r="B58" t="s">
        <v>517</v>
      </c>
      <c r="C58" t="s">
        <v>24</v>
      </c>
      <c r="D58" t="s">
        <v>22</v>
      </c>
      <c r="E58">
        <v>1020055</v>
      </c>
    </row>
    <row r="59" spans="1:5" x14ac:dyDescent="0.25">
      <c r="A59" t="s">
        <v>1419</v>
      </c>
      <c r="B59" t="s">
        <v>270</v>
      </c>
      <c r="C59" t="s">
        <v>24</v>
      </c>
      <c r="D59" t="s">
        <v>22</v>
      </c>
      <c r="E59">
        <v>1020055</v>
      </c>
    </row>
    <row r="60" spans="1:5" x14ac:dyDescent="0.25">
      <c r="A60" t="s">
        <v>198</v>
      </c>
      <c r="B60" t="s">
        <v>199</v>
      </c>
      <c r="C60" t="s">
        <v>24</v>
      </c>
      <c r="D60" t="s">
        <v>22</v>
      </c>
      <c r="E60">
        <v>1020055</v>
      </c>
    </row>
    <row r="61" spans="1:5" x14ac:dyDescent="0.25">
      <c r="A61" t="s">
        <v>238</v>
      </c>
      <c r="B61" t="s">
        <v>199</v>
      </c>
      <c r="C61" t="s">
        <v>24</v>
      </c>
      <c r="D61" t="s">
        <v>22</v>
      </c>
      <c r="E61">
        <v>1020055</v>
      </c>
    </row>
    <row r="62" spans="1:5" x14ac:dyDescent="0.25">
      <c r="A62" t="s">
        <v>281</v>
      </c>
      <c r="B62" t="s">
        <v>282</v>
      </c>
      <c r="C62" t="s">
        <v>24</v>
      </c>
      <c r="D62" t="s">
        <v>22</v>
      </c>
      <c r="E62">
        <v>1020055</v>
      </c>
    </row>
    <row r="63" spans="1:5" x14ac:dyDescent="0.25">
      <c r="A63" t="s">
        <v>352</v>
      </c>
      <c r="B63" t="s">
        <v>353</v>
      </c>
      <c r="C63" t="s">
        <v>24</v>
      </c>
      <c r="D63" t="s">
        <v>22</v>
      </c>
      <c r="E63">
        <v>1020055</v>
      </c>
    </row>
    <row r="64" spans="1:5" x14ac:dyDescent="0.25">
      <c r="A64" t="s">
        <v>242</v>
      </c>
      <c r="B64" t="s">
        <v>243</v>
      </c>
      <c r="C64" t="s">
        <v>24</v>
      </c>
      <c r="D64" t="s">
        <v>22</v>
      </c>
      <c r="E64">
        <v>1020055</v>
      </c>
    </row>
    <row r="65" spans="1:5" x14ac:dyDescent="0.25">
      <c r="A65" t="s">
        <v>476</v>
      </c>
      <c r="B65" t="s">
        <v>477</v>
      </c>
      <c r="C65" t="s">
        <v>24</v>
      </c>
      <c r="D65" t="s">
        <v>407</v>
      </c>
      <c r="E65">
        <v>1020100</v>
      </c>
    </row>
    <row r="66" spans="1:5" x14ac:dyDescent="0.25">
      <c r="A66" t="s">
        <v>1429</v>
      </c>
      <c r="B66" t="s">
        <v>477</v>
      </c>
      <c r="C66" t="s">
        <v>24</v>
      </c>
      <c r="D66" t="s">
        <v>22</v>
      </c>
      <c r="E66">
        <v>1020055</v>
      </c>
    </row>
    <row r="67" spans="1:5" x14ac:dyDescent="0.25">
      <c r="A67" t="s">
        <v>1442</v>
      </c>
      <c r="B67" t="s">
        <v>477</v>
      </c>
      <c r="C67" t="s">
        <v>24</v>
      </c>
      <c r="D67" t="s">
        <v>710</v>
      </c>
      <c r="E67">
        <v>1020088</v>
      </c>
    </row>
    <row r="68" spans="1:5" x14ac:dyDescent="0.25">
      <c r="A68" t="s">
        <v>1604</v>
      </c>
      <c r="B68" t="s">
        <v>477</v>
      </c>
      <c r="C68" t="s">
        <v>24</v>
      </c>
      <c r="D68" t="s">
        <v>710</v>
      </c>
      <c r="E68">
        <v>1020088</v>
      </c>
    </row>
    <row r="69" spans="1:5" x14ac:dyDescent="0.25">
      <c r="A69" t="s">
        <v>1906</v>
      </c>
      <c r="B69" t="s">
        <v>477</v>
      </c>
      <c r="C69" t="s">
        <v>24</v>
      </c>
      <c r="D69" t="s">
        <v>710</v>
      </c>
      <c r="E69">
        <v>1020088</v>
      </c>
    </row>
    <row r="70" spans="1:5" x14ac:dyDescent="0.25">
      <c r="A70" t="s">
        <v>3894</v>
      </c>
      <c r="B70" t="s">
        <v>477</v>
      </c>
      <c r="C70" t="s">
        <v>24</v>
      </c>
      <c r="D70" t="s">
        <v>710</v>
      </c>
      <c r="E70">
        <v>1020088</v>
      </c>
    </row>
    <row r="71" spans="1:5" x14ac:dyDescent="0.25">
      <c r="A71" t="s">
        <v>4563</v>
      </c>
      <c r="B71" t="s">
        <v>4496</v>
      </c>
      <c r="C71" t="s">
        <v>24</v>
      </c>
      <c r="D71" t="s">
        <v>710</v>
      </c>
      <c r="E71">
        <v>1020088</v>
      </c>
    </row>
    <row r="72" spans="1:5" x14ac:dyDescent="0.25">
      <c r="A72" t="s">
        <v>767</v>
      </c>
      <c r="B72" t="s">
        <v>768</v>
      </c>
      <c r="C72" t="s">
        <v>24</v>
      </c>
      <c r="D72" t="s">
        <v>407</v>
      </c>
      <c r="E72">
        <v>1020100</v>
      </c>
    </row>
    <row r="73" spans="1:5" x14ac:dyDescent="0.25">
      <c r="A73" t="s">
        <v>293</v>
      </c>
      <c r="B73" t="s">
        <v>294</v>
      </c>
      <c r="C73" t="s">
        <v>24</v>
      </c>
      <c r="D73" t="s">
        <v>22</v>
      </c>
      <c r="E73">
        <v>1020055</v>
      </c>
    </row>
    <row r="74" spans="1:5" x14ac:dyDescent="0.25">
      <c r="A74" t="s">
        <v>340</v>
      </c>
      <c r="B74" t="s">
        <v>341</v>
      </c>
      <c r="C74" t="s">
        <v>24</v>
      </c>
      <c r="D74" t="s">
        <v>22</v>
      </c>
      <c r="E74">
        <v>1020055</v>
      </c>
    </row>
    <row r="75" spans="1:5" x14ac:dyDescent="0.25">
      <c r="A75" t="s">
        <v>539</v>
      </c>
      <c r="B75" t="s">
        <v>540</v>
      </c>
      <c r="C75" t="s">
        <v>24</v>
      </c>
      <c r="D75" t="s">
        <v>407</v>
      </c>
      <c r="E75">
        <v>1020100</v>
      </c>
    </row>
    <row r="76" spans="1:5" x14ac:dyDescent="0.25">
      <c r="A76" t="s">
        <v>561</v>
      </c>
      <c r="B76" t="s">
        <v>540</v>
      </c>
      <c r="C76" t="s">
        <v>24</v>
      </c>
      <c r="D76" t="s">
        <v>22</v>
      </c>
      <c r="E76">
        <v>1020055</v>
      </c>
    </row>
    <row r="77" spans="1:5" x14ac:dyDescent="0.25">
      <c r="A77" t="s">
        <v>680</v>
      </c>
      <c r="B77" t="s">
        <v>540</v>
      </c>
      <c r="C77" t="s">
        <v>24</v>
      </c>
      <c r="D77" t="s">
        <v>407</v>
      </c>
      <c r="E77">
        <v>1020100</v>
      </c>
    </row>
    <row r="78" spans="1:5" x14ac:dyDescent="0.25">
      <c r="A78" t="s">
        <v>586</v>
      </c>
      <c r="B78" t="s">
        <v>587</v>
      </c>
      <c r="C78" t="s">
        <v>24</v>
      </c>
      <c r="D78" t="s">
        <v>22</v>
      </c>
      <c r="E78">
        <v>1020055</v>
      </c>
    </row>
    <row r="79" spans="1:5" x14ac:dyDescent="0.25">
      <c r="A79" t="s">
        <v>631</v>
      </c>
      <c r="B79" t="s">
        <v>587</v>
      </c>
      <c r="C79" t="s">
        <v>24</v>
      </c>
      <c r="D79" t="s">
        <v>22</v>
      </c>
      <c r="E79">
        <v>1020055</v>
      </c>
    </row>
    <row r="80" spans="1:5" x14ac:dyDescent="0.25">
      <c r="A80" t="s">
        <v>1660</v>
      </c>
      <c r="B80" t="s">
        <v>587</v>
      </c>
      <c r="C80" t="s">
        <v>24</v>
      </c>
      <c r="D80" t="s">
        <v>22</v>
      </c>
      <c r="E80">
        <v>1020055</v>
      </c>
    </row>
    <row r="81" spans="1:5" x14ac:dyDescent="0.25">
      <c r="A81" t="s">
        <v>2619</v>
      </c>
      <c r="B81" t="s">
        <v>587</v>
      </c>
      <c r="C81" t="s">
        <v>24</v>
      </c>
      <c r="D81" t="s">
        <v>22</v>
      </c>
      <c r="E81">
        <v>1020055</v>
      </c>
    </row>
    <row r="82" spans="1:5" x14ac:dyDescent="0.25">
      <c r="A82" t="s">
        <v>40</v>
      </c>
      <c r="B82" t="s">
        <v>41</v>
      </c>
      <c r="C82" t="s">
        <v>24</v>
      </c>
      <c r="D82" t="s">
        <v>22</v>
      </c>
      <c r="E82">
        <v>1020055</v>
      </c>
    </row>
    <row r="83" spans="1:5" x14ac:dyDescent="0.25">
      <c r="A83" t="s">
        <v>147</v>
      </c>
      <c r="B83" t="s">
        <v>41</v>
      </c>
      <c r="C83" t="s">
        <v>24</v>
      </c>
      <c r="D83" t="s">
        <v>90</v>
      </c>
      <c r="E83">
        <v>1020001</v>
      </c>
    </row>
    <row r="84" spans="1:5" x14ac:dyDescent="0.25">
      <c r="A84" t="s">
        <v>804</v>
      </c>
      <c r="B84" t="s">
        <v>805</v>
      </c>
      <c r="C84" t="s">
        <v>24</v>
      </c>
      <c r="D84" t="s">
        <v>22</v>
      </c>
      <c r="E84">
        <v>1020055</v>
      </c>
    </row>
    <row r="85" spans="1:5" x14ac:dyDescent="0.25">
      <c r="A85" t="s">
        <v>1171</v>
      </c>
      <c r="B85" t="s">
        <v>838</v>
      </c>
      <c r="C85" t="s">
        <v>24</v>
      </c>
      <c r="D85" t="s">
        <v>710</v>
      </c>
      <c r="E85">
        <v>1020088</v>
      </c>
    </row>
    <row r="86" spans="1:5" x14ac:dyDescent="0.25">
      <c r="A86" t="s">
        <v>4251</v>
      </c>
      <c r="B86" t="s">
        <v>4136</v>
      </c>
      <c r="C86" t="s">
        <v>24</v>
      </c>
      <c r="D86" t="s">
        <v>710</v>
      </c>
      <c r="E86">
        <v>1020088</v>
      </c>
    </row>
    <row r="87" spans="1:5" x14ac:dyDescent="0.25">
      <c r="A87" t="s">
        <v>247</v>
      </c>
      <c r="B87" t="s">
        <v>248</v>
      </c>
      <c r="C87" t="s">
        <v>24</v>
      </c>
      <c r="D87" t="s">
        <v>22</v>
      </c>
      <c r="E87">
        <v>1020055</v>
      </c>
    </row>
    <row r="88" spans="1:5" x14ac:dyDescent="0.25">
      <c r="A88" t="s">
        <v>1862</v>
      </c>
      <c r="B88" t="s">
        <v>1790</v>
      </c>
      <c r="C88" t="s">
        <v>24</v>
      </c>
      <c r="D88" t="s">
        <v>483</v>
      </c>
      <c r="E88">
        <v>1020096</v>
      </c>
    </row>
    <row r="89" spans="1:5" x14ac:dyDescent="0.25">
      <c r="A89" t="s">
        <v>390</v>
      </c>
      <c r="B89" t="s">
        <v>391</v>
      </c>
      <c r="C89" t="s">
        <v>24</v>
      </c>
      <c r="D89" t="s">
        <v>22</v>
      </c>
      <c r="E89">
        <v>1020055</v>
      </c>
    </row>
    <row r="90" spans="1:5" x14ac:dyDescent="0.25">
      <c r="A90" t="s">
        <v>1747</v>
      </c>
      <c r="B90" t="s">
        <v>1708</v>
      </c>
      <c r="C90" t="s">
        <v>869</v>
      </c>
      <c r="D90" t="s">
        <v>1762</v>
      </c>
    </row>
    <row r="91" spans="1:5" x14ac:dyDescent="0.25">
      <c r="A91" t="s">
        <v>1167</v>
      </c>
      <c r="B91" t="s">
        <v>835</v>
      </c>
      <c r="C91" t="s">
        <v>24</v>
      </c>
      <c r="D91" t="s">
        <v>710</v>
      </c>
      <c r="E91">
        <v>1020088</v>
      </c>
    </row>
    <row r="92" spans="1:5" x14ac:dyDescent="0.25">
      <c r="A92" t="s">
        <v>1518</v>
      </c>
      <c r="B92" t="s">
        <v>1464</v>
      </c>
      <c r="C92" t="s">
        <v>24</v>
      </c>
      <c r="D92" t="s">
        <v>407</v>
      </c>
      <c r="E92">
        <v>1020100</v>
      </c>
    </row>
    <row r="93" spans="1:5" x14ac:dyDescent="0.25">
      <c r="A93" t="s">
        <v>1808</v>
      </c>
      <c r="B93" t="s">
        <v>1754</v>
      </c>
      <c r="C93" t="s">
        <v>1791</v>
      </c>
      <c r="D93" t="s">
        <v>81</v>
      </c>
      <c r="E93">
        <v>1020070</v>
      </c>
    </row>
    <row r="94" spans="1:5" x14ac:dyDescent="0.25">
      <c r="A94" t="s">
        <v>19</v>
      </c>
      <c r="B94" t="s">
        <v>23</v>
      </c>
      <c r="C94" t="s">
        <v>24</v>
      </c>
      <c r="D94" t="s">
        <v>25</v>
      </c>
      <c r="E94">
        <v>1020052</v>
      </c>
    </row>
    <row r="95" spans="1:5" x14ac:dyDescent="0.25">
      <c r="A95" t="s">
        <v>111</v>
      </c>
      <c r="B95" t="s">
        <v>23</v>
      </c>
      <c r="C95" t="s">
        <v>24</v>
      </c>
      <c r="D95" t="s">
        <v>22</v>
      </c>
      <c r="E95">
        <v>1020055</v>
      </c>
    </row>
    <row r="96" spans="1:5" x14ac:dyDescent="0.25">
      <c r="A96" t="s">
        <v>116</v>
      </c>
      <c r="B96" t="s">
        <v>23</v>
      </c>
      <c r="C96" t="s">
        <v>24</v>
      </c>
      <c r="D96" t="s">
        <v>22</v>
      </c>
      <c r="E96">
        <v>1020055</v>
      </c>
    </row>
    <row r="97" spans="1:5" x14ac:dyDescent="0.25">
      <c r="A97" t="s">
        <v>122</v>
      </c>
      <c r="B97" t="s">
        <v>23</v>
      </c>
      <c r="C97" t="s">
        <v>24</v>
      </c>
      <c r="D97" t="s">
        <v>22</v>
      </c>
      <c r="E97">
        <v>1020055</v>
      </c>
    </row>
    <row r="98" spans="1:5" x14ac:dyDescent="0.25">
      <c r="A98" t="s">
        <v>134</v>
      </c>
      <c r="B98" t="s">
        <v>23</v>
      </c>
      <c r="C98" t="s">
        <v>24</v>
      </c>
      <c r="D98" t="s">
        <v>25</v>
      </c>
      <c r="E98">
        <v>1020052</v>
      </c>
    </row>
    <row r="99" spans="1:5" x14ac:dyDescent="0.25">
      <c r="A99" t="s">
        <v>175</v>
      </c>
      <c r="B99" t="s">
        <v>23</v>
      </c>
      <c r="C99" t="s">
        <v>24</v>
      </c>
      <c r="D99" t="s">
        <v>25</v>
      </c>
      <c r="E99">
        <v>1020052</v>
      </c>
    </row>
    <row r="100" spans="1:5" x14ac:dyDescent="0.25">
      <c r="A100" t="s">
        <v>216</v>
      </c>
      <c r="B100" t="s">
        <v>23</v>
      </c>
      <c r="C100" t="s">
        <v>24</v>
      </c>
      <c r="D100" t="s">
        <v>90</v>
      </c>
      <c r="E100">
        <v>1020001</v>
      </c>
    </row>
    <row r="101" spans="1:5" x14ac:dyDescent="0.25">
      <c r="A101" t="s">
        <v>217</v>
      </c>
      <c r="B101" t="s">
        <v>23</v>
      </c>
      <c r="C101" t="s">
        <v>24</v>
      </c>
      <c r="D101" t="s">
        <v>90</v>
      </c>
      <c r="E101">
        <v>1020001</v>
      </c>
    </row>
    <row r="102" spans="1:5" x14ac:dyDescent="0.25">
      <c r="A102" t="s">
        <v>257</v>
      </c>
      <c r="B102" t="s">
        <v>23</v>
      </c>
      <c r="C102" t="s">
        <v>24</v>
      </c>
      <c r="D102" t="s">
        <v>22</v>
      </c>
      <c r="E102">
        <v>1020055</v>
      </c>
    </row>
    <row r="103" spans="1:5" x14ac:dyDescent="0.25">
      <c r="A103" t="s">
        <v>139</v>
      </c>
      <c r="B103" t="s">
        <v>140</v>
      </c>
      <c r="C103" t="s">
        <v>24</v>
      </c>
      <c r="D103" t="s">
        <v>25</v>
      </c>
      <c r="E103">
        <v>1020052</v>
      </c>
    </row>
    <row r="104" spans="1:5" x14ac:dyDescent="0.25">
      <c r="A104" t="s">
        <v>438</v>
      </c>
      <c r="B104" t="s">
        <v>439</v>
      </c>
      <c r="C104" t="s">
        <v>24</v>
      </c>
      <c r="D104" t="s">
        <v>22</v>
      </c>
      <c r="E104">
        <v>1020055</v>
      </c>
    </row>
    <row r="105" spans="1:5" x14ac:dyDescent="0.25">
      <c r="A105" t="s">
        <v>1777</v>
      </c>
      <c r="B105" t="s">
        <v>1726</v>
      </c>
      <c r="C105" t="s">
        <v>869</v>
      </c>
      <c r="D105" t="s">
        <v>1762</v>
      </c>
    </row>
    <row r="106" spans="1:5" x14ac:dyDescent="0.25">
      <c r="A106" t="s">
        <v>551</v>
      </c>
      <c r="B106" t="s">
        <v>552</v>
      </c>
      <c r="C106" t="s">
        <v>24</v>
      </c>
      <c r="D106" t="s">
        <v>407</v>
      </c>
      <c r="E106">
        <v>1020100</v>
      </c>
    </row>
    <row r="107" spans="1:5" x14ac:dyDescent="0.25">
      <c r="A107" t="s">
        <v>3785</v>
      </c>
      <c r="B107" t="s">
        <v>3716</v>
      </c>
      <c r="C107" t="s">
        <v>1791</v>
      </c>
      <c r="D107" t="s">
        <v>328</v>
      </c>
      <c r="E107">
        <v>1020097</v>
      </c>
    </row>
    <row r="108" spans="1:5" x14ac:dyDescent="0.25">
      <c r="A108" t="s">
        <v>1619</v>
      </c>
      <c r="B108" t="s">
        <v>1570</v>
      </c>
      <c r="C108" t="s">
        <v>24</v>
      </c>
      <c r="D108" t="s">
        <v>407</v>
      </c>
      <c r="E108">
        <v>1020100</v>
      </c>
    </row>
    <row r="109" spans="1:5" x14ac:dyDescent="0.25">
      <c r="A109" t="s">
        <v>1770</v>
      </c>
      <c r="B109" t="s">
        <v>1570</v>
      </c>
      <c r="C109" t="s">
        <v>24</v>
      </c>
      <c r="D109" t="s">
        <v>710</v>
      </c>
      <c r="E109">
        <v>1020088</v>
      </c>
    </row>
    <row r="110" spans="1:5" x14ac:dyDescent="0.25">
      <c r="A110" t="s">
        <v>1398</v>
      </c>
      <c r="B110" t="s">
        <v>1389</v>
      </c>
      <c r="C110" t="s">
        <v>24</v>
      </c>
      <c r="D110" t="s">
        <v>613</v>
      </c>
      <c r="E110">
        <v>1020106</v>
      </c>
    </row>
    <row r="111" spans="1:5" x14ac:dyDescent="0.25">
      <c r="A111" t="s">
        <v>3568</v>
      </c>
      <c r="B111" t="s">
        <v>3332</v>
      </c>
      <c r="C111" t="s">
        <v>24</v>
      </c>
      <c r="D111" t="s">
        <v>613</v>
      </c>
      <c r="E111">
        <v>1020106</v>
      </c>
    </row>
    <row r="112" spans="1:5" x14ac:dyDescent="0.25">
      <c r="A112" t="s">
        <v>1608</v>
      </c>
      <c r="B112" t="s">
        <v>1579</v>
      </c>
      <c r="C112" t="s">
        <v>24</v>
      </c>
      <c r="D112" t="s">
        <v>710</v>
      </c>
      <c r="E112">
        <v>1020088</v>
      </c>
    </row>
    <row r="113" spans="1:5" x14ac:dyDescent="0.25">
      <c r="A113" t="s">
        <v>719</v>
      </c>
      <c r="B113" t="s">
        <v>720</v>
      </c>
      <c r="C113" t="s">
        <v>24</v>
      </c>
      <c r="D113" t="s">
        <v>613</v>
      </c>
      <c r="E113">
        <v>1020106</v>
      </c>
    </row>
    <row r="114" spans="1:5" x14ac:dyDescent="0.25">
      <c r="A114" t="s">
        <v>450</v>
      </c>
      <c r="B114" t="s">
        <v>451</v>
      </c>
      <c r="C114" t="s">
        <v>24</v>
      </c>
      <c r="D114" t="s">
        <v>22</v>
      </c>
      <c r="E114">
        <v>1020055</v>
      </c>
    </row>
    <row r="115" spans="1:5" x14ac:dyDescent="0.25">
      <c r="A115" t="s">
        <v>573</v>
      </c>
      <c r="B115" t="s">
        <v>574</v>
      </c>
      <c r="C115" t="s">
        <v>24</v>
      </c>
      <c r="D115" t="s">
        <v>22</v>
      </c>
      <c r="E115">
        <v>1020055</v>
      </c>
    </row>
    <row r="116" spans="1:5" x14ac:dyDescent="0.25">
      <c r="A116" t="s">
        <v>1287</v>
      </c>
      <c r="B116" t="s">
        <v>1261</v>
      </c>
      <c r="C116" t="s">
        <v>72</v>
      </c>
      <c r="D116" t="s">
        <v>328</v>
      </c>
      <c r="E116">
        <v>1020097</v>
      </c>
    </row>
    <row r="117" spans="1:5" x14ac:dyDescent="0.25">
      <c r="A117" t="s">
        <v>1550</v>
      </c>
      <c r="B117" t="s">
        <v>1261</v>
      </c>
      <c r="C117" t="s">
        <v>72</v>
      </c>
      <c r="D117" t="s">
        <v>483</v>
      </c>
      <c r="E117">
        <v>1020096</v>
      </c>
    </row>
    <row r="118" spans="1:5" x14ac:dyDescent="0.25">
      <c r="A118" t="s">
        <v>547</v>
      </c>
      <c r="B118" t="s">
        <v>548</v>
      </c>
      <c r="C118" t="s">
        <v>24</v>
      </c>
      <c r="D118" t="s">
        <v>407</v>
      </c>
      <c r="E118">
        <v>1020100</v>
      </c>
    </row>
    <row r="119" spans="1:5" x14ac:dyDescent="0.25">
      <c r="A119" t="s">
        <v>343</v>
      </c>
      <c r="B119" t="s">
        <v>344</v>
      </c>
      <c r="C119" t="s">
        <v>24</v>
      </c>
      <c r="D119" t="s">
        <v>22</v>
      </c>
      <c r="E119">
        <v>1020055</v>
      </c>
    </row>
    <row r="120" spans="1:5" x14ac:dyDescent="0.25">
      <c r="A120" t="s">
        <v>606</v>
      </c>
      <c r="B120" t="s">
        <v>607</v>
      </c>
      <c r="C120" t="s">
        <v>24</v>
      </c>
      <c r="D120" t="s">
        <v>22</v>
      </c>
      <c r="E120">
        <v>1020055</v>
      </c>
    </row>
    <row r="121" spans="1:5" x14ac:dyDescent="0.25">
      <c r="A121" t="s">
        <v>763</v>
      </c>
      <c r="B121" t="s">
        <v>764</v>
      </c>
      <c r="C121" t="s">
        <v>24</v>
      </c>
      <c r="D121" t="s">
        <v>407</v>
      </c>
      <c r="E121">
        <v>1020100</v>
      </c>
    </row>
    <row r="122" spans="1:5" x14ac:dyDescent="0.25">
      <c r="A122" t="s">
        <v>1172</v>
      </c>
      <c r="B122" t="s">
        <v>764</v>
      </c>
      <c r="C122" t="s">
        <v>24</v>
      </c>
      <c r="D122" t="s">
        <v>710</v>
      </c>
      <c r="E122">
        <v>1020088</v>
      </c>
    </row>
    <row r="123" spans="1:5" x14ac:dyDescent="0.25">
      <c r="A123" t="s">
        <v>1352</v>
      </c>
      <c r="B123" t="s">
        <v>764</v>
      </c>
      <c r="C123" t="s">
        <v>24</v>
      </c>
      <c r="D123" t="s">
        <v>22</v>
      </c>
      <c r="E123">
        <v>1020055</v>
      </c>
    </row>
    <row r="124" spans="1:5" x14ac:dyDescent="0.25">
      <c r="A124" t="s">
        <v>4274</v>
      </c>
      <c r="B124" t="s">
        <v>4097</v>
      </c>
      <c r="C124" t="s">
        <v>1791</v>
      </c>
      <c r="D124" t="s">
        <v>328</v>
      </c>
      <c r="E124">
        <v>1020097</v>
      </c>
    </row>
    <row r="125" spans="1:5" x14ac:dyDescent="0.25">
      <c r="A125" t="s">
        <v>162</v>
      </c>
      <c r="B125" t="s">
        <v>163</v>
      </c>
      <c r="C125" t="s">
        <v>24</v>
      </c>
      <c r="D125" t="s">
        <v>22</v>
      </c>
      <c r="E125">
        <v>1020055</v>
      </c>
    </row>
    <row r="126" spans="1:5" x14ac:dyDescent="0.25">
      <c r="A126" t="s">
        <v>164</v>
      </c>
      <c r="B126" t="s">
        <v>163</v>
      </c>
      <c r="C126" t="s">
        <v>24</v>
      </c>
      <c r="D126" t="s">
        <v>22</v>
      </c>
      <c r="E126">
        <v>1020055</v>
      </c>
    </row>
    <row r="127" spans="1:5" x14ac:dyDescent="0.25">
      <c r="A127" t="s">
        <v>1668</v>
      </c>
      <c r="B127" t="s">
        <v>1594</v>
      </c>
      <c r="C127" t="s">
        <v>24</v>
      </c>
      <c r="D127" t="s">
        <v>22</v>
      </c>
      <c r="E127">
        <v>1020055</v>
      </c>
    </row>
    <row r="128" spans="1:5" x14ac:dyDescent="0.25">
      <c r="A128" t="s">
        <v>33</v>
      </c>
      <c r="B128" t="s">
        <v>34</v>
      </c>
      <c r="C128" t="s">
        <v>24</v>
      </c>
      <c r="D128" t="s">
        <v>22</v>
      </c>
      <c r="E128">
        <v>1020055</v>
      </c>
    </row>
    <row r="129" spans="1:5" x14ac:dyDescent="0.25">
      <c r="A129" t="s">
        <v>634</v>
      </c>
      <c r="B129" t="s">
        <v>635</v>
      </c>
      <c r="C129" t="s">
        <v>24</v>
      </c>
      <c r="D129" t="s">
        <v>22</v>
      </c>
      <c r="E129">
        <v>1020055</v>
      </c>
    </row>
    <row r="130" spans="1:5" x14ac:dyDescent="0.25">
      <c r="A130" t="s">
        <v>1312</v>
      </c>
      <c r="B130" t="s">
        <v>1264</v>
      </c>
      <c r="C130" t="s">
        <v>24</v>
      </c>
      <c r="D130" t="s">
        <v>22</v>
      </c>
      <c r="E130">
        <v>1020055</v>
      </c>
    </row>
    <row r="131" spans="1:5" x14ac:dyDescent="0.25">
      <c r="A131" t="s">
        <v>1400</v>
      </c>
      <c r="B131" t="s">
        <v>1264</v>
      </c>
      <c r="C131" t="s">
        <v>24</v>
      </c>
      <c r="D131" t="s">
        <v>22</v>
      </c>
      <c r="E131">
        <v>1020055</v>
      </c>
    </row>
    <row r="132" spans="1:5" x14ac:dyDescent="0.25">
      <c r="A132" t="s">
        <v>489</v>
      </c>
      <c r="B132" t="s">
        <v>490</v>
      </c>
      <c r="C132" t="s">
        <v>72</v>
      </c>
      <c r="D132" t="s">
        <v>487</v>
      </c>
      <c r="E132">
        <v>1020060</v>
      </c>
    </row>
    <row r="133" spans="1:5" x14ac:dyDescent="0.25">
      <c r="A133" t="s">
        <v>1615</v>
      </c>
      <c r="B133" t="s">
        <v>1576</v>
      </c>
      <c r="C133" t="s">
        <v>24</v>
      </c>
      <c r="D133" t="s">
        <v>710</v>
      </c>
      <c r="E133">
        <v>1020088</v>
      </c>
    </row>
    <row r="134" spans="1:5" x14ac:dyDescent="0.25">
      <c r="A134" t="s">
        <v>581</v>
      </c>
      <c r="B134" t="s">
        <v>582</v>
      </c>
      <c r="C134" t="s">
        <v>24</v>
      </c>
      <c r="D134" t="s">
        <v>22</v>
      </c>
      <c r="E134">
        <v>1020055</v>
      </c>
    </row>
    <row r="135" spans="1:5" x14ac:dyDescent="0.25">
      <c r="A135" t="s">
        <v>632</v>
      </c>
      <c r="B135" t="s">
        <v>582</v>
      </c>
      <c r="C135" t="s">
        <v>24</v>
      </c>
      <c r="D135" t="s">
        <v>22</v>
      </c>
      <c r="E135">
        <v>1020055</v>
      </c>
    </row>
    <row r="136" spans="1:5" x14ac:dyDescent="0.25">
      <c r="A136" t="s">
        <v>544</v>
      </c>
      <c r="B136" t="s">
        <v>545</v>
      </c>
      <c r="C136" t="s">
        <v>24</v>
      </c>
      <c r="D136" t="s">
        <v>407</v>
      </c>
      <c r="E136">
        <v>1020100</v>
      </c>
    </row>
    <row r="137" spans="1:5" x14ac:dyDescent="0.25">
      <c r="A137" t="s">
        <v>500</v>
      </c>
      <c r="B137" t="s">
        <v>501</v>
      </c>
      <c r="C137" t="s">
        <v>72</v>
      </c>
      <c r="D137" t="s">
        <v>487</v>
      </c>
      <c r="E137">
        <v>1020060</v>
      </c>
    </row>
    <row r="138" spans="1:5" x14ac:dyDescent="0.25">
      <c r="A138" t="s">
        <v>176</v>
      </c>
      <c r="B138" t="s">
        <v>177</v>
      </c>
      <c r="C138" t="s">
        <v>24</v>
      </c>
      <c r="D138" t="s">
        <v>22</v>
      </c>
      <c r="E138">
        <v>1020055</v>
      </c>
    </row>
    <row r="139" spans="1:5" x14ac:dyDescent="0.25">
      <c r="A139" t="s">
        <v>272</v>
      </c>
      <c r="B139" t="s">
        <v>177</v>
      </c>
      <c r="C139" t="s">
        <v>24</v>
      </c>
      <c r="D139" t="s">
        <v>22</v>
      </c>
      <c r="E139">
        <v>1020055</v>
      </c>
    </row>
    <row r="140" spans="1:5" x14ac:dyDescent="0.25">
      <c r="A140" t="s">
        <v>342</v>
      </c>
      <c r="B140" t="s">
        <v>177</v>
      </c>
      <c r="C140" t="s">
        <v>24</v>
      </c>
      <c r="D140" t="s">
        <v>22</v>
      </c>
      <c r="E140">
        <v>1020055</v>
      </c>
    </row>
    <row r="141" spans="1:5" x14ac:dyDescent="0.25">
      <c r="A141" t="s">
        <v>347</v>
      </c>
      <c r="B141" t="s">
        <v>177</v>
      </c>
      <c r="C141" t="s">
        <v>24</v>
      </c>
      <c r="D141" t="s">
        <v>22</v>
      </c>
      <c r="E141">
        <v>1020055</v>
      </c>
    </row>
    <row r="142" spans="1:5" x14ac:dyDescent="0.25">
      <c r="A142" t="s">
        <v>1868</v>
      </c>
      <c r="B142" t="s">
        <v>177</v>
      </c>
      <c r="C142" t="s">
        <v>24</v>
      </c>
      <c r="D142" t="s">
        <v>22</v>
      </c>
      <c r="E142">
        <v>1020055</v>
      </c>
    </row>
    <row r="143" spans="1:5" x14ac:dyDescent="0.25">
      <c r="A143" t="s">
        <v>721</v>
      </c>
      <c r="B143" t="s">
        <v>177</v>
      </c>
      <c r="C143" t="s">
        <v>24</v>
      </c>
      <c r="D143" t="s">
        <v>613</v>
      </c>
      <c r="E143">
        <v>1020106</v>
      </c>
    </row>
    <row r="144" spans="1:5" x14ac:dyDescent="0.25">
      <c r="A144" t="s">
        <v>733</v>
      </c>
      <c r="B144" t="s">
        <v>177</v>
      </c>
      <c r="C144" t="s">
        <v>24</v>
      </c>
      <c r="D144" t="s">
        <v>613</v>
      </c>
      <c r="E144">
        <v>1020106</v>
      </c>
    </row>
    <row r="145" spans="1:5" x14ac:dyDescent="0.25">
      <c r="A145" t="s">
        <v>778</v>
      </c>
      <c r="B145" t="s">
        <v>779</v>
      </c>
      <c r="C145" t="s">
        <v>24</v>
      </c>
      <c r="D145" t="s">
        <v>710</v>
      </c>
      <c r="E145">
        <v>1020088</v>
      </c>
    </row>
    <row r="146" spans="1:5" x14ac:dyDescent="0.25">
      <c r="A146" t="s">
        <v>1201</v>
      </c>
      <c r="B146" t="s">
        <v>177</v>
      </c>
      <c r="C146" t="s">
        <v>24</v>
      </c>
      <c r="D146" t="s">
        <v>22</v>
      </c>
      <c r="E146">
        <v>1020055</v>
      </c>
    </row>
    <row r="147" spans="1:5" x14ac:dyDescent="0.25">
      <c r="A147" t="s">
        <v>1420</v>
      </c>
      <c r="B147" t="s">
        <v>177</v>
      </c>
      <c r="C147" t="s">
        <v>24</v>
      </c>
      <c r="D147" t="s">
        <v>22</v>
      </c>
      <c r="E147">
        <v>1020055</v>
      </c>
    </row>
    <row r="148" spans="1:5" x14ac:dyDescent="0.25">
      <c r="A148" t="s">
        <v>1401</v>
      </c>
      <c r="B148" t="s">
        <v>177</v>
      </c>
      <c r="C148" t="s">
        <v>24</v>
      </c>
      <c r="D148" t="s">
        <v>22</v>
      </c>
      <c r="E148">
        <v>1020055</v>
      </c>
    </row>
    <row r="149" spans="1:5" x14ac:dyDescent="0.25">
      <c r="A149" t="s">
        <v>1501</v>
      </c>
      <c r="B149" t="s">
        <v>177</v>
      </c>
      <c r="C149" t="s">
        <v>24</v>
      </c>
      <c r="D149" t="s">
        <v>407</v>
      </c>
      <c r="E149">
        <v>1020100</v>
      </c>
    </row>
    <row r="150" spans="1:5" x14ac:dyDescent="0.25">
      <c r="A150" t="s">
        <v>1569</v>
      </c>
      <c r="B150" t="s">
        <v>177</v>
      </c>
      <c r="C150" t="s">
        <v>24</v>
      </c>
      <c r="D150" t="s">
        <v>613</v>
      </c>
      <c r="E150">
        <v>1020106</v>
      </c>
    </row>
    <row r="151" spans="1:5" x14ac:dyDescent="0.25">
      <c r="A151" t="s">
        <v>1599</v>
      </c>
      <c r="B151" t="s">
        <v>177</v>
      </c>
      <c r="C151" t="s">
        <v>24</v>
      </c>
      <c r="D151" t="s">
        <v>710</v>
      </c>
      <c r="E151">
        <v>1020088</v>
      </c>
    </row>
    <row r="152" spans="1:5" x14ac:dyDescent="0.25">
      <c r="A152" t="s">
        <v>1655</v>
      </c>
      <c r="B152" t="s">
        <v>177</v>
      </c>
      <c r="C152" t="s">
        <v>24</v>
      </c>
      <c r="D152" t="s">
        <v>22</v>
      </c>
      <c r="E152">
        <v>1020055</v>
      </c>
    </row>
    <row r="153" spans="1:5" x14ac:dyDescent="0.25">
      <c r="A153" t="s">
        <v>1735</v>
      </c>
      <c r="B153" t="s">
        <v>177</v>
      </c>
      <c r="C153" t="s">
        <v>24</v>
      </c>
      <c r="D153" t="s">
        <v>367</v>
      </c>
      <c r="E153">
        <v>1020091</v>
      </c>
    </row>
    <row r="154" spans="1:5" x14ac:dyDescent="0.25">
      <c r="A154" t="s">
        <v>1814</v>
      </c>
      <c r="B154" t="s">
        <v>177</v>
      </c>
      <c r="C154" t="s">
        <v>24</v>
      </c>
      <c r="D154" t="s">
        <v>613</v>
      </c>
      <c r="E154">
        <v>1020106</v>
      </c>
    </row>
    <row r="155" spans="1:5" x14ac:dyDescent="0.25">
      <c r="A155" t="s">
        <v>580</v>
      </c>
      <c r="B155" t="s">
        <v>177</v>
      </c>
      <c r="C155" t="s">
        <v>24</v>
      </c>
      <c r="D155" t="s">
        <v>22</v>
      </c>
      <c r="E155">
        <v>1020055</v>
      </c>
    </row>
    <row r="156" spans="1:5" x14ac:dyDescent="0.25">
      <c r="A156" t="s">
        <v>2394</v>
      </c>
      <c r="B156" t="s">
        <v>177</v>
      </c>
      <c r="C156" t="s">
        <v>24</v>
      </c>
      <c r="D156" t="s">
        <v>613</v>
      </c>
      <c r="E156">
        <v>1020106</v>
      </c>
    </row>
    <row r="157" spans="1:5" x14ac:dyDescent="0.25">
      <c r="A157" t="s">
        <v>3323</v>
      </c>
      <c r="B157" t="s">
        <v>177</v>
      </c>
      <c r="C157" t="s">
        <v>24</v>
      </c>
      <c r="D157" t="s">
        <v>483</v>
      </c>
      <c r="E157">
        <v>1020096</v>
      </c>
    </row>
    <row r="158" spans="1:5" x14ac:dyDescent="0.25">
      <c r="A158" t="s">
        <v>3571</v>
      </c>
      <c r="B158" t="s">
        <v>779</v>
      </c>
      <c r="C158" t="s">
        <v>24</v>
      </c>
      <c r="D158" t="s">
        <v>613</v>
      </c>
      <c r="E158">
        <v>1020106</v>
      </c>
    </row>
    <row r="159" spans="1:5" x14ac:dyDescent="0.25">
      <c r="A159" t="s">
        <v>148</v>
      </c>
      <c r="B159" t="s">
        <v>149</v>
      </c>
      <c r="C159" t="s">
        <v>24</v>
      </c>
      <c r="D159" t="s">
        <v>25</v>
      </c>
      <c r="E159">
        <v>1020052</v>
      </c>
    </row>
    <row r="160" spans="1:5" x14ac:dyDescent="0.25">
      <c r="A160" t="s">
        <v>227</v>
      </c>
      <c r="B160" t="s">
        <v>149</v>
      </c>
      <c r="C160" t="s">
        <v>24</v>
      </c>
      <c r="D160" t="s">
        <v>90</v>
      </c>
      <c r="E160">
        <v>1020001</v>
      </c>
    </row>
    <row r="161" spans="1:5" x14ac:dyDescent="0.25">
      <c r="A161" t="s">
        <v>584</v>
      </c>
      <c r="B161" t="s">
        <v>585</v>
      </c>
      <c r="C161" t="s">
        <v>24</v>
      </c>
      <c r="D161" t="s">
        <v>22</v>
      </c>
      <c r="E161">
        <v>1020055</v>
      </c>
    </row>
    <row r="162" spans="1:5" x14ac:dyDescent="0.25">
      <c r="A162" t="s">
        <v>652</v>
      </c>
      <c r="B162" t="s">
        <v>585</v>
      </c>
      <c r="C162" t="s">
        <v>24</v>
      </c>
      <c r="D162" t="s">
        <v>22</v>
      </c>
      <c r="E162">
        <v>1020055</v>
      </c>
    </row>
    <row r="163" spans="1:5" x14ac:dyDescent="0.25">
      <c r="A163" t="s">
        <v>770</v>
      </c>
      <c r="B163" t="s">
        <v>585</v>
      </c>
      <c r="C163" t="s">
        <v>24</v>
      </c>
      <c r="D163" t="s">
        <v>407</v>
      </c>
      <c r="E163">
        <v>1020100</v>
      </c>
    </row>
    <row r="164" spans="1:5" x14ac:dyDescent="0.25">
      <c r="A164" t="s">
        <v>1170</v>
      </c>
      <c r="B164" t="s">
        <v>585</v>
      </c>
      <c r="C164" t="s">
        <v>24</v>
      </c>
      <c r="D164" t="s">
        <v>710</v>
      </c>
      <c r="E164">
        <v>1020088</v>
      </c>
    </row>
    <row r="165" spans="1:5" x14ac:dyDescent="0.25">
      <c r="A165" t="s">
        <v>224</v>
      </c>
      <c r="B165" t="s">
        <v>225</v>
      </c>
      <c r="C165" t="s">
        <v>24</v>
      </c>
      <c r="D165" t="s">
        <v>22</v>
      </c>
      <c r="E165">
        <v>1020055</v>
      </c>
    </row>
    <row r="166" spans="1:5" x14ac:dyDescent="0.25">
      <c r="A166" t="s">
        <v>745</v>
      </c>
      <c r="B166" t="s">
        <v>746</v>
      </c>
      <c r="C166" t="s">
        <v>3221</v>
      </c>
      <c r="D166" t="s">
        <v>81</v>
      </c>
      <c r="E166">
        <v>1020070</v>
      </c>
    </row>
    <row r="167" spans="1:5" x14ac:dyDescent="0.25">
      <c r="A167" t="s">
        <v>323</v>
      </c>
      <c r="B167" t="s">
        <v>324</v>
      </c>
      <c r="C167" t="s">
        <v>72</v>
      </c>
      <c r="D167" t="s">
        <v>325</v>
      </c>
      <c r="E167">
        <v>1020068</v>
      </c>
    </row>
    <row r="168" spans="1:5" x14ac:dyDescent="0.25">
      <c r="A168" t="s">
        <v>1601</v>
      </c>
      <c r="B168" t="s">
        <v>1574</v>
      </c>
      <c r="C168" t="s">
        <v>24</v>
      </c>
      <c r="D168" t="s">
        <v>710</v>
      </c>
      <c r="E168">
        <v>1020088</v>
      </c>
    </row>
    <row r="169" spans="1:5" x14ac:dyDescent="0.25">
      <c r="A169" t="s">
        <v>380</v>
      </c>
      <c r="B169" t="s">
        <v>381</v>
      </c>
      <c r="C169" t="s">
        <v>24</v>
      </c>
      <c r="D169" t="s">
        <v>22</v>
      </c>
      <c r="E169">
        <v>1020055</v>
      </c>
    </row>
    <row r="170" spans="1:5" x14ac:dyDescent="0.25">
      <c r="A170" t="s">
        <v>114</v>
      </c>
      <c r="B170" t="s">
        <v>115</v>
      </c>
      <c r="C170" t="s">
        <v>24</v>
      </c>
      <c r="D170" t="s">
        <v>22</v>
      </c>
      <c r="E170">
        <v>1020055</v>
      </c>
    </row>
    <row r="171" spans="1:5" x14ac:dyDescent="0.25">
      <c r="A171" t="s">
        <v>222</v>
      </c>
      <c r="B171" t="s">
        <v>115</v>
      </c>
      <c r="C171" t="s">
        <v>24</v>
      </c>
      <c r="D171" t="s">
        <v>22</v>
      </c>
      <c r="E171">
        <v>1020055</v>
      </c>
    </row>
    <row r="172" spans="1:5" x14ac:dyDescent="0.25">
      <c r="A172" t="s">
        <v>1659</v>
      </c>
      <c r="B172" t="s">
        <v>115</v>
      </c>
      <c r="C172" t="s">
        <v>24</v>
      </c>
      <c r="D172" t="s">
        <v>22</v>
      </c>
      <c r="E172">
        <v>1020055</v>
      </c>
    </row>
    <row r="173" spans="1:5" x14ac:dyDescent="0.25">
      <c r="A173" t="s">
        <v>556</v>
      </c>
      <c r="B173" t="s">
        <v>557</v>
      </c>
      <c r="C173" t="s">
        <v>24</v>
      </c>
      <c r="D173" t="s">
        <v>22</v>
      </c>
      <c r="E173">
        <v>1020055</v>
      </c>
    </row>
    <row r="174" spans="1:5" x14ac:dyDescent="0.25">
      <c r="A174" t="s">
        <v>803</v>
      </c>
      <c r="B174" t="s">
        <v>557</v>
      </c>
      <c r="C174" t="s">
        <v>24</v>
      </c>
      <c r="D174" t="s">
        <v>22</v>
      </c>
      <c r="E174">
        <v>1020055</v>
      </c>
    </row>
    <row r="175" spans="1:5" x14ac:dyDescent="0.25">
      <c r="A175" t="s">
        <v>1354</v>
      </c>
      <c r="B175" t="s">
        <v>1322</v>
      </c>
      <c r="C175" t="s">
        <v>24</v>
      </c>
      <c r="D175" t="s">
        <v>22</v>
      </c>
      <c r="E175">
        <v>1020055</v>
      </c>
    </row>
    <row r="176" spans="1:5" x14ac:dyDescent="0.25">
      <c r="A176" t="s">
        <v>1433</v>
      </c>
      <c r="B176" t="s">
        <v>1322</v>
      </c>
      <c r="C176" t="s">
        <v>24</v>
      </c>
      <c r="D176" t="s">
        <v>710</v>
      </c>
      <c r="E176">
        <v>1020088</v>
      </c>
    </row>
    <row r="177" spans="1:5" x14ac:dyDescent="0.25">
      <c r="A177" t="s">
        <v>4556</v>
      </c>
      <c r="B177" t="s">
        <v>4497</v>
      </c>
      <c r="C177" t="s">
        <v>24</v>
      </c>
      <c r="D177" t="s">
        <v>710</v>
      </c>
      <c r="E177">
        <v>1020088</v>
      </c>
    </row>
    <row r="178" spans="1:5" x14ac:dyDescent="0.25">
      <c r="A178" t="s">
        <v>3731</v>
      </c>
      <c r="B178" t="s">
        <v>3267</v>
      </c>
      <c r="C178" t="s">
        <v>3782</v>
      </c>
      <c r="D178" t="s">
        <v>367</v>
      </c>
      <c r="E178">
        <v>1020091</v>
      </c>
    </row>
    <row r="179" spans="1:5" x14ac:dyDescent="0.25">
      <c r="A179" t="s">
        <v>1649</v>
      </c>
      <c r="B179" t="s">
        <v>1611</v>
      </c>
      <c r="C179" t="s">
        <v>24</v>
      </c>
      <c r="D179" t="s">
        <v>367</v>
      </c>
      <c r="E179">
        <v>1020091</v>
      </c>
    </row>
    <row r="180" spans="1:5" x14ac:dyDescent="0.25">
      <c r="A180" t="s">
        <v>3720</v>
      </c>
      <c r="B180" t="s">
        <v>3619</v>
      </c>
      <c r="C180" t="s">
        <v>1791</v>
      </c>
      <c r="D180" t="s">
        <v>328</v>
      </c>
      <c r="E180">
        <v>1020097</v>
      </c>
    </row>
    <row r="181" spans="1:5" x14ac:dyDescent="0.25">
      <c r="A181" t="s">
        <v>160</v>
      </c>
      <c r="B181" t="s">
        <v>161</v>
      </c>
      <c r="C181" t="s">
        <v>24</v>
      </c>
      <c r="D181" t="s">
        <v>22</v>
      </c>
      <c r="E181">
        <v>1020055</v>
      </c>
    </row>
    <row r="182" spans="1:5" x14ac:dyDescent="0.25">
      <c r="A182" t="s">
        <v>1196</v>
      </c>
      <c r="B182" t="s">
        <v>1109</v>
      </c>
      <c r="C182" t="s">
        <v>24</v>
      </c>
      <c r="D182" t="s">
        <v>407</v>
      </c>
      <c r="E182">
        <v>1020100</v>
      </c>
    </row>
    <row r="183" spans="1:5" x14ac:dyDescent="0.25">
      <c r="A183" t="s">
        <v>1495</v>
      </c>
      <c r="B183" t="s">
        <v>1109</v>
      </c>
      <c r="C183" t="s">
        <v>24</v>
      </c>
      <c r="D183" t="s">
        <v>407</v>
      </c>
      <c r="E183">
        <v>1020100</v>
      </c>
    </row>
    <row r="184" spans="1:5" x14ac:dyDescent="0.25">
      <c r="A184" t="s">
        <v>1656</v>
      </c>
      <c r="B184" t="s">
        <v>1109</v>
      </c>
      <c r="C184" t="s">
        <v>24</v>
      </c>
      <c r="D184" t="s">
        <v>22</v>
      </c>
      <c r="E184">
        <v>1020055</v>
      </c>
    </row>
    <row r="185" spans="1:5" x14ac:dyDescent="0.25">
      <c r="A185" t="s">
        <v>135</v>
      </c>
      <c r="B185" t="s">
        <v>136</v>
      </c>
      <c r="C185" t="s">
        <v>24</v>
      </c>
      <c r="D185" t="s">
        <v>22</v>
      </c>
      <c r="E185">
        <v>1020055</v>
      </c>
    </row>
    <row r="186" spans="1:5" x14ac:dyDescent="0.25">
      <c r="A186" t="s">
        <v>1776</v>
      </c>
      <c r="B186" t="s">
        <v>1710</v>
      </c>
      <c r="C186" t="s">
        <v>869</v>
      </c>
      <c r="D186" t="s">
        <v>1762</v>
      </c>
    </row>
    <row r="187" spans="1:5" x14ac:dyDescent="0.25">
      <c r="A187" t="s">
        <v>2562</v>
      </c>
      <c r="B187" t="s">
        <v>2448</v>
      </c>
      <c r="C187" t="s">
        <v>3219</v>
      </c>
      <c r="D187" t="s">
        <v>328</v>
      </c>
      <c r="E187">
        <v>1020097</v>
      </c>
    </row>
    <row r="188" spans="1:5" x14ac:dyDescent="0.25">
      <c r="A188" t="s">
        <v>2907</v>
      </c>
      <c r="B188" t="s">
        <v>2448</v>
      </c>
      <c r="C188" t="s">
        <v>3219</v>
      </c>
      <c r="D188" t="s">
        <v>328</v>
      </c>
      <c r="E188">
        <v>1020097</v>
      </c>
    </row>
    <row r="189" spans="1:5" x14ac:dyDescent="0.25">
      <c r="A189" t="s">
        <v>4679</v>
      </c>
      <c r="B189" t="s">
        <v>2448</v>
      </c>
      <c r="C189" t="s">
        <v>5172</v>
      </c>
      <c r="D189" t="s">
        <v>328</v>
      </c>
      <c r="E189">
        <v>1020097</v>
      </c>
    </row>
    <row r="190" spans="1:5" x14ac:dyDescent="0.25">
      <c r="A190" t="s">
        <v>692</v>
      </c>
      <c r="B190" t="s">
        <v>693</v>
      </c>
      <c r="C190" t="s">
        <v>24</v>
      </c>
      <c r="D190" t="s">
        <v>613</v>
      </c>
      <c r="E190">
        <v>1020106</v>
      </c>
    </row>
    <row r="191" spans="1:5" x14ac:dyDescent="0.25">
      <c r="A191" t="s">
        <v>1566</v>
      </c>
      <c r="B191" t="s">
        <v>693</v>
      </c>
      <c r="C191" t="s">
        <v>24</v>
      </c>
      <c r="D191" t="s">
        <v>613</v>
      </c>
      <c r="E191">
        <v>1020106</v>
      </c>
    </row>
    <row r="192" spans="1:5" x14ac:dyDescent="0.25">
      <c r="A192" t="s">
        <v>2287</v>
      </c>
      <c r="B192" t="s">
        <v>1938</v>
      </c>
      <c r="C192" t="s">
        <v>72</v>
      </c>
      <c r="D192" t="s">
        <v>613</v>
      </c>
      <c r="E192">
        <v>1020106</v>
      </c>
    </row>
    <row r="193" spans="1:5" x14ac:dyDescent="0.25">
      <c r="A193" t="s">
        <v>1674</v>
      </c>
      <c r="B193" t="s">
        <v>1653</v>
      </c>
      <c r="C193" t="s">
        <v>24</v>
      </c>
      <c r="D193" t="s">
        <v>367</v>
      </c>
      <c r="E193">
        <v>1020091</v>
      </c>
    </row>
    <row r="194" spans="1:5" x14ac:dyDescent="0.25">
      <c r="A194" t="s">
        <v>1671</v>
      </c>
      <c r="B194" t="s">
        <v>1634</v>
      </c>
      <c r="C194" t="s">
        <v>24</v>
      </c>
      <c r="D194" t="s">
        <v>367</v>
      </c>
      <c r="E194">
        <v>1020091</v>
      </c>
    </row>
    <row r="195" spans="1:5" x14ac:dyDescent="0.25">
      <c r="A195" t="s">
        <v>1901</v>
      </c>
      <c r="B195" t="s">
        <v>1634</v>
      </c>
      <c r="C195" t="s">
        <v>24</v>
      </c>
      <c r="D195" t="s">
        <v>710</v>
      </c>
      <c r="E195">
        <v>1020088</v>
      </c>
    </row>
    <row r="196" spans="1:5" x14ac:dyDescent="0.25">
      <c r="A196" t="s">
        <v>1815</v>
      </c>
      <c r="B196" t="s">
        <v>1766</v>
      </c>
      <c r="C196" t="s">
        <v>1791</v>
      </c>
      <c r="D196" t="s">
        <v>81</v>
      </c>
      <c r="E196">
        <v>1020070</v>
      </c>
    </row>
    <row r="197" spans="1:5" x14ac:dyDescent="0.25">
      <c r="A197" t="s">
        <v>1210</v>
      </c>
      <c r="B197" t="s">
        <v>773</v>
      </c>
      <c r="C197" t="s">
        <v>24</v>
      </c>
      <c r="D197" t="s">
        <v>407</v>
      </c>
      <c r="E197">
        <v>1020100</v>
      </c>
    </row>
    <row r="198" spans="1:5" x14ac:dyDescent="0.25">
      <c r="A198" t="s">
        <v>797</v>
      </c>
      <c r="B198" t="s">
        <v>773</v>
      </c>
      <c r="C198" t="s">
        <v>24</v>
      </c>
      <c r="D198" t="s">
        <v>22</v>
      </c>
      <c r="E198">
        <v>1020055</v>
      </c>
    </row>
    <row r="199" spans="1:5" x14ac:dyDescent="0.25">
      <c r="A199" t="s">
        <v>1424</v>
      </c>
      <c r="B199" t="s">
        <v>773</v>
      </c>
      <c r="C199" t="s">
        <v>24</v>
      </c>
      <c r="D199" t="s">
        <v>22</v>
      </c>
      <c r="E199">
        <v>1020055</v>
      </c>
    </row>
    <row r="200" spans="1:5" x14ac:dyDescent="0.25">
      <c r="A200" t="s">
        <v>1439</v>
      </c>
      <c r="B200" t="s">
        <v>1382</v>
      </c>
      <c r="C200" t="s">
        <v>24</v>
      </c>
      <c r="D200" t="s">
        <v>710</v>
      </c>
      <c r="E200">
        <v>1020088</v>
      </c>
    </row>
    <row r="201" spans="1:5" x14ac:dyDescent="0.25">
      <c r="A201" t="s">
        <v>1687</v>
      </c>
      <c r="B201" t="s">
        <v>1645</v>
      </c>
      <c r="C201" t="s">
        <v>24</v>
      </c>
      <c r="D201" t="s">
        <v>367</v>
      </c>
      <c r="E201">
        <v>1020091</v>
      </c>
    </row>
    <row r="202" spans="1:5" x14ac:dyDescent="0.25">
      <c r="A202" t="s">
        <v>611</v>
      </c>
      <c r="B202" t="s">
        <v>614</v>
      </c>
      <c r="C202" t="s">
        <v>24</v>
      </c>
      <c r="D202" t="s">
        <v>613</v>
      </c>
      <c r="E202">
        <v>1020106</v>
      </c>
    </row>
    <row r="203" spans="1:5" x14ac:dyDescent="0.25">
      <c r="A203" t="s">
        <v>1811</v>
      </c>
      <c r="B203" t="s">
        <v>1786</v>
      </c>
      <c r="C203" t="s">
        <v>1791</v>
      </c>
      <c r="D203" t="s">
        <v>81</v>
      </c>
      <c r="E203">
        <v>1020070</v>
      </c>
    </row>
    <row r="204" spans="1:5" x14ac:dyDescent="0.25">
      <c r="A204" t="s">
        <v>1530</v>
      </c>
      <c r="B204" t="s">
        <v>1513</v>
      </c>
      <c r="C204" t="s">
        <v>3220</v>
      </c>
      <c r="D204" t="s">
        <v>367</v>
      </c>
      <c r="E204">
        <v>1020091</v>
      </c>
    </row>
    <row r="205" spans="1:5" x14ac:dyDescent="0.25">
      <c r="A205" t="s">
        <v>782</v>
      </c>
      <c r="B205" t="s">
        <v>783</v>
      </c>
      <c r="C205" t="s">
        <v>3221</v>
      </c>
      <c r="D205" t="s">
        <v>81</v>
      </c>
      <c r="E205">
        <v>1020070</v>
      </c>
    </row>
    <row r="206" spans="1:5" x14ac:dyDescent="0.25">
      <c r="A206" t="s">
        <v>1444</v>
      </c>
      <c r="B206" t="s">
        <v>1383</v>
      </c>
      <c r="C206" t="s">
        <v>24</v>
      </c>
      <c r="D206" t="s">
        <v>710</v>
      </c>
      <c r="E206">
        <v>1020088</v>
      </c>
    </row>
    <row r="207" spans="1:5" x14ac:dyDescent="0.25">
      <c r="A207" t="s">
        <v>1540</v>
      </c>
      <c r="B207" t="s">
        <v>1483</v>
      </c>
      <c r="C207" t="s">
        <v>1791</v>
      </c>
      <c r="D207" t="s">
        <v>90</v>
      </c>
      <c r="E207">
        <v>1020001</v>
      </c>
    </row>
    <row r="208" spans="1:5" x14ac:dyDescent="0.25">
      <c r="A208" t="s">
        <v>4736</v>
      </c>
      <c r="B208" t="s">
        <v>1483</v>
      </c>
      <c r="C208" t="s">
        <v>80</v>
      </c>
      <c r="D208" t="s">
        <v>90</v>
      </c>
      <c r="E208">
        <v>1020001</v>
      </c>
    </row>
    <row r="209" spans="1:5" x14ac:dyDescent="0.25">
      <c r="A209" t="s">
        <v>1350</v>
      </c>
      <c r="B209" t="s">
        <v>1326</v>
      </c>
      <c r="C209" t="s">
        <v>24</v>
      </c>
      <c r="D209" t="s">
        <v>22</v>
      </c>
      <c r="E209">
        <v>1020055</v>
      </c>
    </row>
    <row r="210" spans="1:5" x14ac:dyDescent="0.25">
      <c r="A210" t="s">
        <v>296</v>
      </c>
      <c r="B210" t="s">
        <v>297</v>
      </c>
      <c r="C210" t="s">
        <v>24</v>
      </c>
      <c r="D210" t="s">
        <v>22</v>
      </c>
      <c r="E210">
        <v>1020055</v>
      </c>
    </row>
    <row r="211" spans="1:5" x14ac:dyDescent="0.25">
      <c r="A211" t="s">
        <v>189</v>
      </c>
      <c r="B211" t="s">
        <v>190</v>
      </c>
      <c r="C211" t="s">
        <v>24</v>
      </c>
      <c r="D211" t="s">
        <v>22</v>
      </c>
      <c r="E211">
        <v>1020055</v>
      </c>
    </row>
    <row r="212" spans="1:5" x14ac:dyDescent="0.25">
      <c r="A212" t="s">
        <v>363</v>
      </c>
      <c r="B212" t="s">
        <v>364</v>
      </c>
      <c r="C212" t="s">
        <v>24</v>
      </c>
      <c r="D212" t="s">
        <v>22</v>
      </c>
      <c r="E212">
        <v>1020055</v>
      </c>
    </row>
    <row r="213" spans="1:5" x14ac:dyDescent="0.25">
      <c r="A213" t="s">
        <v>3142</v>
      </c>
      <c r="B213" t="s">
        <v>2925</v>
      </c>
      <c r="C213" t="s">
        <v>3219</v>
      </c>
      <c r="D213" t="s">
        <v>328</v>
      </c>
      <c r="E213">
        <v>1020097</v>
      </c>
    </row>
    <row r="214" spans="1:5" x14ac:dyDescent="0.25">
      <c r="A214" t="s">
        <v>88</v>
      </c>
      <c r="B214" t="s">
        <v>89</v>
      </c>
      <c r="C214" t="s">
        <v>80</v>
      </c>
      <c r="D214" t="s">
        <v>90</v>
      </c>
      <c r="E214">
        <v>1020001</v>
      </c>
    </row>
    <row r="215" spans="1:5" x14ac:dyDescent="0.25">
      <c r="A215" t="s">
        <v>312</v>
      </c>
      <c r="B215" t="s">
        <v>89</v>
      </c>
      <c r="C215" t="s">
        <v>80</v>
      </c>
      <c r="D215" t="s">
        <v>90</v>
      </c>
      <c r="E215">
        <v>1020001</v>
      </c>
    </row>
    <row r="216" spans="1:5" x14ac:dyDescent="0.25">
      <c r="A216" t="s">
        <v>725</v>
      </c>
      <c r="B216" t="s">
        <v>89</v>
      </c>
      <c r="C216" t="s">
        <v>80</v>
      </c>
      <c r="D216" t="s">
        <v>90</v>
      </c>
      <c r="E216">
        <v>1020001</v>
      </c>
    </row>
    <row r="217" spans="1:5" x14ac:dyDescent="0.25">
      <c r="A217" t="s">
        <v>1451</v>
      </c>
      <c r="B217" t="s">
        <v>89</v>
      </c>
      <c r="C217" t="s">
        <v>80</v>
      </c>
      <c r="D217" t="s">
        <v>90</v>
      </c>
      <c r="E217">
        <v>1020001</v>
      </c>
    </row>
    <row r="218" spans="1:5" x14ac:dyDescent="0.25">
      <c r="A218" t="s">
        <v>4735</v>
      </c>
      <c r="B218" t="s">
        <v>89</v>
      </c>
      <c r="C218" t="s">
        <v>80</v>
      </c>
      <c r="D218" t="s">
        <v>90</v>
      </c>
      <c r="E218">
        <v>1020001</v>
      </c>
    </row>
    <row r="219" spans="1:5" x14ac:dyDescent="0.25">
      <c r="A219" t="s">
        <v>575</v>
      </c>
      <c r="B219" t="s">
        <v>576</v>
      </c>
      <c r="C219" t="s">
        <v>24</v>
      </c>
      <c r="D219" t="s">
        <v>22</v>
      </c>
      <c r="E219">
        <v>1020055</v>
      </c>
    </row>
    <row r="220" spans="1:5" x14ac:dyDescent="0.25">
      <c r="A220" t="s">
        <v>659</v>
      </c>
      <c r="B220" t="s">
        <v>660</v>
      </c>
      <c r="C220" t="s">
        <v>24</v>
      </c>
      <c r="D220" t="s">
        <v>22</v>
      </c>
      <c r="E220">
        <v>1020055</v>
      </c>
    </row>
    <row r="221" spans="1:5" x14ac:dyDescent="0.25">
      <c r="A221" t="s">
        <v>1408</v>
      </c>
      <c r="B221" t="s">
        <v>1330</v>
      </c>
      <c r="C221" t="s">
        <v>24</v>
      </c>
      <c r="D221" t="s">
        <v>22</v>
      </c>
      <c r="E221">
        <v>1020055</v>
      </c>
    </row>
    <row r="222" spans="1:5" x14ac:dyDescent="0.25">
      <c r="A222" t="s">
        <v>36</v>
      </c>
      <c r="B222" t="s">
        <v>37</v>
      </c>
      <c r="C222" t="s">
        <v>24</v>
      </c>
      <c r="D222" t="s">
        <v>22</v>
      </c>
      <c r="E222">
        <v>1020055</v>
      </c>
    </row>
    <row r="223" spans="1:5" x14ac:dyDescent="0.25">
      <c r="A223" t="s">
        <v>597</v>
      </c>
      <c r="B223" t="s">
        <v>37</v>
      </c>
      <c r="C223" t="s">
        <v>24</v>
      </c>
      <c r="D223" t="s">
        <v>22</v>
      </c>
      <c r="E223">
        <v>1020055</v>
      </c>
    </row>
    <row r="224" spans="1:5" x14ac:dyDescent="0.25">
      <c r="A224" t="s">
        <v>633</v>
      </c>
      <c r="B224" t="s">
        <v>37</v>
      </c>
      <c r="C224" t="s">
        <v>24</v>
      </c>
      <c r="D224" t="s">
        <v>22</v>
      </c>
      <c r="E224">
        <v>1020055</v>
      </c>
    </row>
    <row r="225" spans="1:5" x14ac:dyDescent="0.25">
      <c r="A225" t="s">
        <v>1426</v>
      </c>
      <c r="B225" t="s">
        <v>1320</v>
      </c>
      <c r="C225" t="s">
        <v>24</v>
      </c>
      <c r="D225" t="s">
        <v>22</v>
      </c>
      <c r="E225">
        <v>1020055</v>
      </c>
    </row>
    <row r="226" spans="1:5" x14ac:dyDescent="0.25">
      <c r="A226" t="s">
        <v>1432</v>
      </c>
      <c r="B226" t="s">
        <v>1385</v>
      </c>
      <c r="C226" t="s">
        <v>24</v>
      </c>
      <c r="D226" t="s">
        <v>710</v>
      </c>
      <c r="E226">
        <v>1020088</v>
      </c>
    </row>
    <row r="227" spans="1:5" x14ac:dyDescent="0.25">
      <c r="A227" t="s">
        <v>1905</v>
      </c>
      <c r="B227" t="s">
        <v>1385</v>
      </c>
      <c r="C227" t="s">
        <v>24</v>
      </c>
      <c r="D227" t="s">
        <v>710</v>
      </c>
      <c r="E227">
        <v>1020088</v>
      </c>
    </row>
    <row r="228" spans="1:5" x14ac:dyDescent="0.25">
      <c r="A228" t="s">
        <v>3704</v>
      </c>
      <c r="B228" t="s">
        <v>1385</v>
      </c>
      <c r="C228" t="s">
        <v>24</v>
      </c>
      <c r="D228" t="s">
        <v>710</v>
      </c>
      <c r="E228">
        <v>1020088</v>
      </c>
    </row>
    <row r="229" spans="1:5" x14ac:dyDescent="0.25">
      <c r="A229" t="s">
        <v>474</v>
      </c>
      <c r="B229" t="s">
        <v>475</v>
      </c>
      <c r="C229" t="s">
        <v>24</v>
      </c>
      <c r="D229" t="s">
        <v>407</v>
      </c>
      <c r="E229">
        <v>1020100</v>
      </c>
    </row>
    <row r="230" spans="1:5" x14ac:dyDescent="0.25">
      <c r="A230" t="s">
        <v>2624</v>
      </c>
      <c r="B230" t="s">
        <v>1805</v>
      </c>
      <c r="C230" t="s">
        <v>24</v>
      </c>
      <c r="D230" t="s">
        <v>483</v>
      </c>
      <c r="E230">
        <v>1020096</v>
      </c>
    </row>
    <row r="231" spans="1:5" x14ac:dyDescent="0.25">
      <c r="A231" t="s">
        <v>1927</v>
      </c>
      <c r="B231" t="s">
        <v>1805</v>
      </c>
      <c r="C231" t="s">
        <v>24</v>
      </c>
      <c r="D231" t="s">
        <v>483</v>
      </c>
      <c r="E231">
        <v>1020096</v>
      </c>
    </row>
    <row r="232" spans="1:5" x14ac:dyDescent="0.25">
      <c r="A232" t="s">
        <v>370</v>
      </c>
      <c r="B232" t="s">
        <v>371</v>
      </c>
      <c r="C232" t="s">
        <v>72</v>
      </c>
      <c r="D232" t="s">
        <v>367</v>
      </c>
      <c r="E232">
        <v>1020091</v>
      </c>
    </row>
    <row r="233" spans="1:5" x14ac:dyDescent="0.25">
      <c r="A233" t="s">
        <v>103</v>
      </c>
      <c r="B233" t="s">
        <v>104</v>
      </c>
      <c r="C233" t="s">
        <v>72</v>
      </c>
      <c r="D233" t="s">
        <v>22</v>
      </c>
      <c r="E233">
        <v>1020055</v>
      </c>
    </row>
    <row r="234" spans="1:5" x14ac:dyDescent="0.25">
      <c r="A234" t="s">
        <v>61</v>
      </c>
      <c r="B234" t="s">
        <v>64</v>
      </c>
      <c r="C234" t="s">
        <v>65</v>
      </c>
      <c r="D234" t="s">
        <v>66</v>
      </c>
      <c r="E234">
        <v>1020076</v>
      </c>
    </row>
    <row r="235" spans="1:5" x14ac:dyDescent="0.25">
      <c r="A235" t="s">
        <v>689</v>
      </c>
      <c r="B235" t="s">
        <v>690</v>
      </c>
      <c r="C235" t="s">
        <v>72</v>
      </c>
      <c r="D235" t="s">
        <v>367</v>
      </c>
      <c r="E235">
        <v>1020091</v>
      </c>
    </row>
    <row r="236" spans="1:5" x14ac:dyDescent="0.25">
      <c r="A236" t="s">
        <v>1746</v>
      </c>
      <c r="B236" t="s">
        <v>1705</v>
      </c>
      <c r="C236" t="s">
        <v>869</v>
      </c>
      <c r="D236" t="s">
        <v>1762</v>
      </c>
    </row>
    <row r="237" spans="1:5" x14ac:dyDescent="0.25">
      <c r="A237" t="s">
        <v>1486</v>
      </c>
      <c r="B237" t="s">
        <v>1478</v>
      </c>
      <c r="C237" t="s">
        <v>3220</v>
      </c>
      <c r="D237" t="s">
        <v>367</v>
      </c>
      <c r="E237">
        <v>1020091</v>
      </c>
    </row>
    <row r="238" spans="1:5" x14ac:dyDescent="0.25">
      <c r="A238" t="s">
        <v>1340</v>
      </c>
      <c r="B238" t="s">
        <v>1321</v>
      </c>
      <c r="C238" t="s">
        <v>24</v>
      </c>
      <c r="D238" t="s">
        <v>22</v>
      </c>
      <c r="E238">
        <v>1020055</v>
      </c>
    </row>
    <row r="239" spans="1:5" x14ac:dyDescent="0.25">
      <c r="A239" t="s">
        <v>1297</v>
      </c>
      <c r="B239" t="s">
        <v>1532</v>
      </c>
      <c r="C239" t="s">
        <v>24</v>
      </c>
      <c r="D239" t="s">
        <v>407</v>
      </c>
      <c r="E239">
        <v>1020100</v>
      </c>
    </row>
    <row r="240" spans="1:5" x14ac:dyDescent="0.25">
      <c r="A240" t="s">
        <v>306</v>
      </c>
      <c r="B240" t="s">
        <v>307</v>
      </c>
      <c r="C240" t="s">
        <v>72</v>
      </c>
      <c r="D240" t="s">
        <v>213</v>
      </c>
      <c r="E240">
        <v>1020015</v>
      </c>
    </row>
    <row r="241" spans="1:5" x14ac:dyDescent="0.25">
      <c r="A241" t="s">
        <v>4551</v>
      </c>
      <c r="B241" t="s">
        <v>4543</v>
      </c>
      <c r="C241" t="s">
        <v>24</v>
      </c>
      <c r="D241" t="s">
        <v>710</v>
      </c>
      <c r="E241">
        <v>1020088</v>
      </c>
    </row>
    <row r="242" spans="1:5" x14ac:dyDescent="0.25">
      <c r="A242" t="s">
        <v>1654</v>
      </c>
      <c r="B242" t="s">
        <v>1592</v>
      </c>
      <c r="C242" t="s">
        <v>24</v>
      </c>
      <c r="D242" t="s">
        <v>22</v>
      </c>
      <c r="E242">
        <v>1020055</v>
      </c>
    </row>
    <row r="243" spans="1:5" x14ac:dyDescent="0.25">
      <c r="A243" t="s">
        <v>1648</v>
      </c>
      <c r="B243" t="s">
        <v>1625</v>
      </c>
      <c r="C243" t="s">
        <v>24</v>
      </c>
      <c r="D243" t="s">
        <v>367</v>
      </c>
      <c r="E243">
        <v>1020091</v>
      </c>
    </row>
    <row r="244" spans="1:5" x14ac:dyDescent="0.25">
      <c r="A244" t="s">
        <v>1524</v>
      </c>
      <c r="B244" t="s">
        <v>1463</v>
      </c>
      <c r="C244" t="s">
        <v>24</v>
      </c>
      <c r="D244" t="s">
        <v>407</v>
      </c>
      <c r="E244">
        <v>1020100</v>
      </c>
    </row>
    <row r="245" spans="1:5" x14ac:dyDescent="0.25">
      <c r="A245" t="s">
        <v>1690</v>
      </c>
      <c r="B245" t="s">
        <v>1681</v>
      </c>
      <c r="C245" t="s">
        <v>24</v>
      </c>
      <c r="D245" t="s">
        <v>367</v>
      </c>
      <c r="E245">
        <v>1020091</v>
      </c>
    </row>
    <row r="246" spans="1:5" x14ac:dyDescent="0.25">
      <c r="A246" t="s">
        <v>1191</v>
      </c>
      <c r="B246" t="s">
        <v>781</v>
      </c>
      <c r="C246" t="s">
        <v>72</v>
      </c>
      <c r="D246" t="s">
        <v>511</v>
      </c>
      <c r="E246">
        <v>1020107</v>
      </c>
    </row>
    <row r="247" spans="1:5" x14ac:dyDescent="0.25">
      <c r="A247" t="s">
        <v>4239</v>
      </c>
      <c r="B247" t="s">
        <v>781</v>
      </c>
      <c r="C247" t="s">
        <v>72</v>
      </c>
      <c r="D247" t="s">
        <v>511</v>
      </c>
      <c r="E247">
        <v>1020107</v>
      </c>
    </row>
    <row r="248" spans="1:5" x14ac:dyDescent="0.25">
      <c r="A248" t="s">
        <v>1396</v>
      </c>
      <c r="B248" t="s">
        <v>1390</v>
      </c>
      <c r="C248" t="s">
        <v>24</v>
      </c>
      <c r="D248" t="s">
        <v>613</v>
      </c>
      <c r="E248">
        <v>1020106</v>
      </c>
    </row>
    <row r="249" spans="1:5" x14ac:dyDescent="0.25">
      <c r="A249" t="s">
        <v>4565</v>
      </c>
      <c r="B249" t="s">
        <v>4500</v>
      </c>
      <c r="C249" t="s">
        <v>24</v>
      </c>
      <c r="D249" t="s">
        <v>710</v>
      </c>
      <c r="E249">
        <v>1020088</v>
      </c>
    </row>
    <row r="250" spans="1:5" x14ac:dyDescent="0.25">
      <c r="A250" t="s">
        <v>3714</v>
      </c>
      <c r="B250" t="s">
        <v>3293</v>
      </c>
      <c r="C250" t="s">
        <v>24</v>
      </c>
      <c r="D250" t="s">
        <v>710</v>
      </c>
      <c r="E250">
        <v>1020088</v>
      </c>
    </row>
    <row r="251" spans="1:5" x14ac:dyDescent="0.25">
      <c r="A251" t="s">
        <v>1873</v>
      </c>
      <c r="B251" t="s">
        <v>1843</v>
      </c>
      <c r="C251" t="s">
        <v>24</v>
      </c>
      <c r="D251" t="s">
        <v>710</v>
      </c>
      <c r="E251">
        <v>1020088</v>
      </c>
    </row>
    <row r="252" spans="1:5" x14ac:dyDescent="0.25">
      <c r="A252" t="s">
        <v>448</v>
      </c>
      <c r="B252" t="s">
        <v>449</v>
      </c>
      <c r="C252" t="s">
        <v>24</v>
      </c>
      <c r="D252" t="s">
        <v>22</v>
      </c>
      <c r="E252">
        <v>1020055</v>
      </c>
    </row>
    <row r="253" spans="1:5" x14ac:dyDescent="0.25">
      <c r="A253" t="s">
        <v>481</v>
      </c>
      <c r="B253" t="s">
        <v>449</v>
      </c>
      <c r="C253" t="s">
        <v>24</v>
      </c>
      <c r="D253" t="s">
        <v>407</v>
      </c>
      <c r="E253">
        <v>1020100</v>
      </c>
    </row>
    <row r="254" spans="1:5" x14ac:dyDescent="0.25">
      <c r="A254" t="s">
        <v>488</v>
      </c>
      <c r="B254" t="s">
        <v>449</v>
      </c>
      <c r="C254" t="s">
        <v>72</v>
      </c>
      <c r="D254" t="s">
        <v>487</v>
      </c>
      <c r="E254">
        <v>1020060</v>
      </c>
    </row>
    <row r="255" spans="1:5" x14ac:dyDescent="0.25">
      <c r="A255" t="s">
        <v>1443</v>
      </c>
      <c r="B255" t="s">
        <v>449</v>
      </c>
      <c r="C255" t="s">
        <v>24</v>
      </c>
      <c r="D255" t="s">
        <v>710</v>
      </c>
      <c r="E255">
        <v>1020088</v>
      </c>
    </row>
    <row r="256" spans="1:5" x14ac:dyDescent="0.25">
      <c r="A256" t="s">
        <v>1824</v>
      </c>
      <c r="B256" t="s">
        <v>449</v>
      </c>
      <c r="C256" t="s">
        <v>72</v>
      </c>
      <c r="D256" t="s">
        <v>487</v>
      </c>
      <c r="E256">
        <v>1020060</v>
      </c>
    </row>
    <row r="257" spans="1:5" x14ac:dyDescent="0.25">
      <c r="A257" t="s">
        <v>403</v>
      </c>
      <c r="B257" t="s">
        <v>404</v>
      </c>
      <c r="C257" t="s">
        <v>24</v>
      </c>
      <c r="D257" t="s">
        <v>22</v>
      </c>
      <c r="E257">
        <v>1020055</v>
      </c>
    </row>
    <row r="258" spans="1:5" x14ac:dyDescent="0.25">
      <c r="A258" t="s">
        <v>674</v>
      </c>
      <c r="B258" t="s">
        <v>675</v>
      </c>
      <c r="C258" t="s">
        <v>24</v>
      </c>
      <c r="D258" t="s">
        <v>407</v>
      </c>
      <c r="E258">
        <v>1020100</v>
      </c>
    </row>
    <row r="259" spans="1:5" x14ac:dyDescent="0.25">
      <c r="A259" t="s">
        <v>428</v>
      </c>
      <c r="B259" t="s">
        <v>429</v>
      </c>
      <c r="C259" t="s">
        <v>24</v>
      </c>
      <c r="D259" t="s">
        <v>22</v>
      </c>
      <c r="E259">
        <v>1020055</v>
      </c>
    </row>
    <row r="260" spans="1:5" x14ac:dyDescent="0.25">
      <c r="A260" t="s">
        <v>1283</v>
      </c>
      <c r="B260" t="s">
        <v>1260</v>
      </c>
      <c r="C260" t="s">
        <v>72</v>
      </c>
      <c r="D260" t="s">
        <v>483</v>
      </c>
      <c r="E260">
        <v>1020096</v>
      </c>
    </row>
    <row r="261" spans="1:5" x14ac:dyDescent="0.25">
      <c r="A261" t="s">
        <v>254</v>
      </c>
      <c r="B261" t="s">
        <v>3623</v>
      </c>
      <c r="C261" t="s">
        <v>1791</v>
      </c>
      <c r="D261" t="s">
        <v>22</v>
      </c>
      <c r="E261">
        <v>1020055</v>
      </c>
    </row>
    <row r="262" spans="1:5" x14ac:dyDescent="0.25">
      <c r="A262" t="s">
        <v>707</v>
      </c>
      <c r="B262" t="s">
        <v>3623</v>
      </c>
      <c r="C262" t="s">
        <v>1791</v>
      </c>
      <c r="D262" t="s">
        <v>328</v>
      </c>
      <c r="E262">
        <v>1020097</v>
      </c>
    </row>
    <row r="263" spans="1:5" x14ac:dyDescent="0.25">
      <c r="A263" t="s">
        <v>1551</v>
      </c>
      <c r="B263" t="s">
        <v>3623</v>
      </c>
      <c r="C263" t="s">
        <v>1791</v>
      </c>
      <c r="D263" t="s">
        <v>22</v>
      </c>
      <c r="E263">
        <v>1020055</v>
      </c>
    </row>
    <row r="264" spans="1:5" x14ac:dyDescent="0.25">
      <c r="A264" t="s">
        <v>3227</v>
      </c>
      <c r="B264" t="s">
        <v>3623</v>
      </c>
      <c r="C264" t="s">
        <v>80</v>
      </c>
      <c r="D264" t="s">
        <v>22</v>
      </c>
      <c r="E264">
        <v>1020055</v>
      </c>
    </row>
    <row r="265" spans="1:5" x14ac:dyDescent="0.25">
      <c r="A265" t="s">
        <v>4070</v>
      </c>
      <c r="B265" t="s">
        <v>3189</v>
      </c>
      <c r="C265" t="s">
        <v>80</v>
      </c>
      <c r="D265" t="s">
        <v>328</v>
      </c>
      <c r="E265">
        <v>1020097</v>
      </c>
    </row>
    <row r="266" spans="1:5" x14ac:dyDescent="0.25">
      <c r="A266" t="s">
        <v>661</v>
      </c>
      <c r="B266" t="s">
        <v>662</v>
      </c>
      <c r="C266" t="s">
        <v>24</v>
      </c>
      <c r="D266" t="s">
        <v>22</v>
      </c>
      <c r="E266">
        <v>1020055</v>
      </c>
    </row>
    <row r="267" spans="1:5" x14ac:dyDescent="0.25">
      <c r="A267" t="s">
        <v>1405</v>
      </c>
      <c r="B267" t="s">
        <v>1358</v>
      </c>
      <c r="C267" t="s">
        <v>24</v>
      </c>
      <c r="D267" t="s">
        <v>22</v>
      </c>
      <c r="E267">
        <v>1020055</v>
      </c>
    </row>
    <row r="268" spans="1:5" x14ac:dyDescent="0.25">
      <c r="A268" t="s">
        <v>2434</v>
      </c>
      <c r="B268" t="s">
        <v>1844</v>
      </c>
      <c r="C268" t="s">
        <v>24</v>
      </c>
      <c r="D268" t="s">
        <v>710</v>
      </c>
      <c r="E268">
        <v>1020088</v>
      </c>
    </row>
    <row r="269" spans="1:5" x14ac:dyDescent="0.25">
      <c r="A269" t="s">
        <v>154</v>
      </c>
      <c r="B269" t="s">
        <v>155</v>
      </c>
      <c r="C269" t="s">
        <v>24</v>
      </c>
      <c r="D269" t="s">
        <v>22</v>
      </c>
      <c r="E269">
        <v>1020055</v>
      </c>
    </row>
    <row r="270" spans="1:5" x14ac:dyDescent="0.25">
      <c r="A270" t="s">
        <v>256</v>
      </c>
      <c r="B270" t="s">
        <v>155</v>
      </c>
      <c r="C270" t="s">
        <v>24</v>
      </c>
      <c r="D270" t="s">
        <v>22</v>
      </c>
      <c r="E270">
        <v>1020055</v>
      </c>
    </row>
    <row r="271" spans="1:5" x14ac:dyDescent="0.25">
      <c r="A271" t="s">
        <v>471</v>
      </c>
      <c r="B271" t="s">
        <v>155</v>
      </c>
      <c r="C271" t="s">
        <v>24</v>
      </c>
      <c r="D271" t="s">
        <v>407</v>
      </c>
      <c r="E271">
        <v>1020100</v>
      </c>
    </row>
    <row r="272" spans="1:5" x14ac:dyDescent="0.25">
      <c r="A272" t="s">
        <v>546</v>
      </c>
      <c r="B272" t="s">
        <v>155</v>
      </c>
      <c r="C272" t="s">
        <v>24</v>
      </c>
      <c r="D272" t="s">
        <v>407</v>
      </c>
      <c r="E272">
        <v>1020100</v>
      </c>
    </row>
    <row r="273" spans="1:5" x14ac:dyDescent="0.25">
      <c r="A273" t="s">
        <v>1867</v>
      </c>
      <c r="B273" t="s">
        <v>155</v>
      </c>
      <c r="C273" t="s">
        <v>24</v>
      </c>
      <c r="D273" t="s">
        <v>22</v>
      </c>
      <c r="E273">
        <v>1020055</v>
      </c>
    </row>
    <row r="274" spans="1:5" x14ac:dyDescent="0.25">
      <c r="A274" t="s">
        <v>682</v>
      </c>
      <c r="B274" t="s">
        <v>155</v>
      </c>
      <c r="C274" t="s">
        <v>24</v>
      </c>
      <c r="D274" t="s">
        <v>407</v>
      </c>
      <c r="E274">
        <v>1020100</v>
      </c>
    </row>
    <row r="275" spans="1:5" x14ac:dyDescent="0.25">
      <c r="A275" t="s">
        <v>712</v>
      </c>
      <c r="B275" t="s">
        <v>155</v>
      </c>
      <c r="C275" t="s">
        <v>24</v>
      </c>
      <c r="D275" t="s">
        <v>710</v>
      </c>
      <c r="E275">
        <v>1020088</v>
      </c>
    </row>
    <row r="276" spans="1:5" x14ac:dyDescent="0.25">
      <c r="A276" t="s">
        <v>834</v>
      </c>
      <c r="B276" t="s">
        <v>155</v>
      </c>
      <c r="C276" t="s">
        <v>24</v>
      </c>
      <c r="D276" t="s">
        <v>613</v>
      </c>
      <c r="E276">
        <v>1020106</v>
      </c>
    </row>
    <row r="277" spans="1:5" x14ac:dyDescent="0.25">
      <c r="A277" t="s">
        <v>1231</v>
      </c>
      <c r="B277" t="s">
        <v>155</v>
      </c>
      <c r="C277" t="s">
        <v>24</v>
      </c>
      <c r="D277" t="s">
        <v>613</v>
      </c>
      <c r="E277">
        <v>1020106</v>
      </c>
    </row>
    <row r="278" spans="1:5" x14ac:dyDescent="0.25">
      <c r="A278" t="s">
        <v>596</v>
      </c>
      <c r="B278" t="s">
        <v>155</v>
      </c>
      <c r="C278" t="s">
        <v>24</v>
      </c>
      <c r="D278" t="s">
        <v>22</v>
      </c>
      <c r="E278">
        <v>1020055</v>
      </c>
    </row>
    <row r="279" spans="1:5" x14ac:dyDescent="0.25">
      <c r="A279" t="s">
        <v>260</v>
      </c>
      <c r="B279" t="s">
        <v>261</v>
      </c>
      <c r="C279" t="s">
        <v>80</v>
      </c>
      <c r="D279" t="s">
        <v>81</v>
      </c>
      <c r="E279">
        <v>1020070</v>
      </c>
    </row>
    <row r="280" spans="1:5" x14ac:dyDescent="0.25">
      <c r="A280" t="s">
        <v>1294</v>
      </c>
      <c r="B280" t="s">
        <v>1252</v>
      </c>
      <c r="C280" t="s">
        <v>72</v>
      </c>
      <c r="D280" t="s">
        <v>511</v>
      </c>
      <c r="E280">
        <v>1020107</v>
      </c>
    </row>
    <row r="281" spans="1:5" x14ac:dyDescent="0.25">
      <c r="A281" t="s">
        <v>1895</v>
      </c>
      <c r="B281" t="s">
        <v>1252</v>
      </c>
      <c r="C281" t="s">
        <v>72</v>
      </c>
      <c r="D281" t="s">
        <v>511</v>
      </c>
      <c r="E281">
        <v>1020107</v>
      </c>
    </row>
    <row r="282" spans="1:5" x14ac:dyDescent="0.25">
      <c r="A282" t="s">
        <v>3572</v>
      </c>
      <c r="B282" t="s">
        <v>3288</v>
      </c>
      <c r="C282" t="s">
        <v>72</v>
      </c>
      <c r="D282" t="s">
        <v>328</v>
      </c>
      <c r="E282">
        <v>1020097</v>
      </c>
    </row>
    <row r="283" spans="1:5" x14ac:dyDescent="0.25">
      <c r="A283" t="s">
        <v>747</v>
      </c>
      <c r="B283" t="s">
        <v>748</v>
      </c>
      <c r="C283" t="s">
        <v>3221</v>
      </c>
      <c r="D283" t="s">
        <v>81</v>
      </c>
      <c r="E283">
        <v>1020070</v>
      </c>
    </row>
    <row r="284" spans="1:5" x14ac:dyDescent="0.25">
      <c r="A284" t="s">
        <v>3723</v>
      </c>
      <c r="B284" t="s">
        <v>3621</v>
      </c>
      <c r="C284" t="s">
        <v>1791</v>
      </c>
      <c r="D284" t="s">
        <v>328</v>
      </c>
      <c r="E284">
        <v>1020097</v>
      </c>
    </row>
    <row r="285" spans="1:5" x14ac:dyDescent="0.25">
      <c r="A285" t="s">
        <v>1806</v>
      </c>
      <c r="B285" t="s">
        <v>1756</v>
      </c>
      <c r="C285" t="s">
        <v>1791</v>
      </c>
      <c r="D285" t="s">
        <v>81</v>
      </c>
      <c r="E285">
        <v>1020070</v>
      </c>
    </row>
    <row r="286" spans="1:5" x14ac:dyDescent="0.25">
      <c r="A286" t="s">
        <v>1609</v>
      </c>
      <c r="B286" t="s">
        <v>1573</v>
      </c>
      <c r="C286" t="s">
        <v>24</v>
      </c>
      <c r="D286" t="s">
        <v>710</v>
      </c>
      <c r="E286">
        <v>1020088</v>
      </c>
    </row>
    <row r="287" spans="1:5" x14ac:dyDescent="0.25">
      <c r="A287" t="s">
        <v>1899</v>
      </c>
      <c r="B287" t="s">
        <v>1573</v>
      </c>
      <c r="C287" t="s">
        <v>24</v>
      </c>
      <c r="D287" t="s">
        <v>710</v>
      </c>
      <c r="E287">
        <v>1020088</v>
      </c>
    </row>
    <row r="288" spans="1:5" x14ac:dyDescent="0.25">
      <c r="A288" t="s">
        <v>3703</v>
      </c>
      <c r="B288" t="s">
        <v>1573</v>
      </c>
      <c r="C288" t="s">
        <v>24</v>
      </c>
      <c r="D288" t="s">
        <v>710</v>
      </c>
      <c r="E288">
        <v>1020088</v>
      </c>
    </row>
    <row r="289" spans="1:5" x14ac:dyDescent="0.25">
      <c r="A289" t="s">
        <v>1434</v>
      </c>
      <c r="B289" t="s">
        <v>1381</v>
      </c>
      <c r="C289" t="s">
        <v>24</v>
      </c>
      <c r="D289" t="s">
        <v>710</v>
      </c>
      <c r="E289">
        <v>1020088</v>
      </c>
    </row>
    <row r="290" spans="1:5" x14ac:dyDescent="0.25">
      <c r="A290" t="s">
        <v>182</v>
      </c>
      <c r="B290" t="s">
        <v>183</v>
      </c>
      <c r="C290" t="s">
        <v>72</v>
      </c>
      <c r="D290" t="s">
        <v>184</v>
      </c>
      <c r="E290">
        <v>1020003</v>
      </c>
    </row>
    <row r="291" spans="1:5" x14ac:dyDescent="0.25">
      <c r="A291" t="s">
        <v>570</v>
      </c>
      <c r="B291" t="s">
        <v>571</v>
      </c>
      <c r="C291" t="s">
        <v>24</v>
      </c>
      <c r="D291" t="s">
        <v>22</v>
      </c>
      <c r="E291">
        <v>1020055</v>
      </c>
    </row>
    <row r="292" spans="1:5" x14ac:dyDescent="0.25">
      <c r="A292" t="s">
        <v>4193</v>
      </c>
      <c r="B292" t="s">
        <v>4072</v>
      </c>
      <c r="C292" t="s">
        <v>1791</v>
      </c>
      <c r="D292" t="s">
        <v>328</v>
      </c>
      <c r="E292">
        <v>1020097</v>
      </c>
    </row>
    <row r="293" spans="1:5" x14ac:dyDescent="0.25">
      <c r="A293" t="s">
        <v>123</v>
      </c>
      <c r="B293" t="s">
        <v>124</v>
      </c>
      <c r="C293" t="s">
        <v>24</v>
      </c>
      <c r="D293" t="s">
        <v>25</v>
      </c>
      <c r="E293">
        <v>1020052</v>
      </c>
    </row>
    <row r="294" spans="1:5" x14ac:dyDescent="0.25">
      <c r="A294" t="s">
        <v>2236</v>
      </c>
      <c r="B294" t="s">
        <v>1842</v>
      </c>
      <c r="C294" t="s">
        <v>24</v>
      </c>
      <c r="D294" t="s">
        <v>710</v>
      </c>
      <c r="E294">
        <v>1020088</v>
      </c>
    </row>
    <row r="295" spans="1:5" x14ac:dyDescent="0.25">
      <c r="A295" t="s">
        <v>1745</v>
      </c>
      <c r="B295" t="s">
        <v>1712</v>
      </c>
      <c r="C295" t="s">
        <v>869</v>
      </c>
      <c r="D295" t="s">
        <v>1762</v>
      </c>
    </row>
    <row r="296" spans="1:5" x14ac:dyDescent="0.25">
      <c r="A296" t="s">
        <v>1521</v>
      </c>
      <c r="B296" t="s">
        <v>1466</v>
      </c>
      <c r="C296" t="s">
        <v>24</v>
      </c>
      <c r="D296" t="s">
        <v>407</v>
      </c>
      <c r="E296">
        <v>1020100</v>
      </c>
    </row>
    <row r="297" spans="1:5" x14ac:dyDescent="0.25">
      <c r="A297" t="s">
        <v>1421</v>
      </c>
      <c r="B297" t="s">
        <v>1324</v>
      </c>
      <c r="C297" t="s">
        <v>24</v>
      </c>
      <c r="D297" t="s">
        <v>22</v>
      </c>
      <c r="E297">
        <v>1020055</v>
      </c>
    </row>
    <row r="298" spans="1:5" x14ac:dyDescent="0.25">
      <c r="A298" t="s">
        <v>250</v>
      </c>
      <c r="B298" t="s">
        <v>251</v>
      </c>
      <c r="C298" t="s">
        <v>72</v>
      </c>
      <c r="D298" t="s">
        <v>213</v>
      </c>
      <c r="E298">
        <v>1020015</v>
      </c>
    </row>
    <row r="299" spans="1:5" x14ac:dyDescent="0.25">
      <c r="A299" t="s">
        <v>1851</v>
      </c>
      <c r="B299" t="s">
        <v>1826</v>
      </c>
      <c r="C299" t="s">
        <v>3220</v>
      </c>
      <c r="D299" t="s">
        <v>367</v>
      </c>
      <c r="E299">
        <v>1020091</v>
      </c>
    </row>
    <row r="300" spans="1:5" x14ac:dyDescent="0.25">
      <c r="A300" t="s">
        <v>1793</v>
      </c>
      <c r="B300" t="s">
        <v>1587</v>
      </c>
      <c r="C300" t="s">
        <v>24</v>
      </c>
      <c r="D300" t="s">
        <v>22</v>
      </c>
      <c r="E300">
        <v>1020055</v>
      </c>
    </row>
    <row r="301" spans="1:5" x14ac:dyDescent="0.25">
      <c r="A301" t="s">
        <v>1657</v>
      </c>
      <c r="B301" t="s">
        <v>1593</v>
      </c>
      <c r="C301" t="s">
        <v>24</v>
      </c>
      <c r="D301" t="s">
        <v>22</v>
      </c>
      <c r="E301">
        <v>1020055</v>
      </c>
    </row>
    <row r="302" spans="1:5" x14ac:dyDescent="0.25">
      <c r="A302" t="s">
        <v>130</v>
      </c>
      <c r="B302" t="s">
        <v>131</v>
      </c>
      <c r="C302" t="s">
        <v>24</v>
      </c>
      <c r="D302" t="s">
        <v>22</v>
      </c>
      <c r="E302">
        <v>1020055</v>
      </c>
    </row>
    <row r="303" spans="1:5" x14ac:dyDescent="0.25">
      <c r="A303" t="s">
        <v>241</v>
      </c>
      <c r="B303" t="s">
        <v>131</v>
      </c>
      <c r="C303" t="s">
        <v>24</v>
      </c>
      <c r="D303" t="s">
        <v>22</v>
      </c>
      <c r="E303">
        <v>1020055</v>
      </c>
    </row>
    <row r="304" spans="1:5" x14ac:dyDescent="0.25">
      <c r="A304" t="s">
        <v>151</v>
      </c>
      <c r="B304" t="s">
        <v>152</v>
      </c>
      <c r="C304" t="s">
        <v>24</v>
      </c>
      <c r="D304" t="s">
        <v>22</v>
      </c>
      <c r="E304">
        <v>1020055</v>
      </c>
    </row>
    <row r="305" spans="1:5" x14ac:dyDescent="0.25">
      <c r="A305" t="s">
        <v>1691</v>
      </c>
      <c r="B305" t="s">
        <v>1679</v>
      </c>
      <c r="C305" t="s">
        <v>24</v>
      </c>
      <c r="D305" t="s">
        <v>367</v>
      </c>
      <c r="E305">
        <v>1020091</v>
      </c>
    </row>
    <row r="306" spans="1:5" x14ac:dyDescent="0.25">
      <c r="A306" t="s">
        <v>169</v>
      </c>
      <c r="B306" t="s">
        <v>170</v>
      </c>
      <c r="C306" t="s">
        <v>24</v>
      </c>
      <c r="D306" t="s">
        <v>22</v>
      </c>
      <c r="E306">
        <v>1020055</v>
      </c>
    </row>
    <row r="307" spans="1:5" x14ac:dyDescent="0.25">
      <c r="A307" t="s">
        <v>92</v>
      </c>
      <c r="B307" t="s">
        <v>93</v>
      </c>
      <c r="C307" t="s">
        <v>80</v>
      </c>
      <c r="D307" t="s">
        <v>81</v>
      </c>
      <c r="E307">
        <v>1020070</v>
      </c>
    </row>
    <row r="308" spans="1:5" x14ac:dyDescent="0.25">
      <c r="A308" t="s">
        <v>244</v>
      </c>
      <c r="B308" t="s">
        <v>93</v>
      </c>
      <c r="C308" t="s">
        <v>80</v>
      </c>
      <c r="D308" t="s">
        <v>81</v>
      </c>
      <c r="E308">
        <v>1020070</v>
      </c>
    </row>
    <row r="309" spans="1:5" x14ac:dyDescent="0.25">
      <c r="A309" t="s">
        <v>1188</v>
      </c>
      <c r="B309" t="s">
        <v>836</v>
      </c>
      <c r="C309" t="s">
        <v>24</v>
      </c>
      <c r="D309" t="s">
        <v>710</v>
      </c>
      <c r="E309">
        <v>1020088</v>
      </c>
    </row>
    <row r="310" spans="1:5" x14ac:dyDescent="0.25">
      <c r="A310" t="s">
        <v>202</v>
      </c>
      <c r="B310" t="s">
        <v>203</v>
      </c>
      <c r="C310" t="s">
        <v>24</v>
      </c>
      <c r="D310" t="s">
        <v>22</v>
      </c>
      <c r="E310">
        <v>1020055</v>
      </c>
    </row>
    <row r="311" spans="1:5" x14ac:dyDescent="0.25">
      <c r="A311" t="s">
        <v>1445</v>
      </c>
      <c r="B311" t="s">
        <v>1386</v>
      </c>
      <c r="C311" t="s">
        <v>24</v>
      </c>
      <c r="D311" t="s">
        <v>710</v>
      </c>
      <c r="E311">
        <v>1020088</v>
      </c>
    </row>
    <row r="312" spans="1:5" x14ac:dyDescent="0.25">
      <c r="A312" t="s">
        <v>2902</v>
      </c>
      <c r="B312" t="s">
        <v>1386</v>
      </c>
      <c r="C312" t="s">
        <v>24</v>
      </c>
      <c r="D312" t="s">
        <v>710</v>
      </c>
      <c r="E312">
        <v>1020088</v>
      </c>
    </row>
    <row r="313" spans="1:5" x14ac:dyDescent="0.25">
      <c r="A313" t="s">
        <v>1869</v>
      </c>
      <c r="B313" t="s">
        <v>1837</v>
      </c>
      <c r="C313" t="s">
        <v>24</v>
      </c>
      <c r="D313" t="s">
        <v>710</v>
      </c>
      <c r="E313">
        <v>1020088</v>
      </c>
    </row>
    <row r="314" spans="1:5" x14ac:dyDescent="0.25">
      <c r="A314" t="s">
        <v>562</v>
      </c>
      <c r="B314" t="s">
        <v>563</v>
      </c>
      <c r="C314" t="s">
        <v>24</v>
      </c>
      <c r="D314" t="s">
        <v>22</v>
      </c>
      <c r="E314">
        <v>1020055</v>
      </c>
    </row>
    <row r="315" spans="1:5" x14ac:dyDescent="0.25">
      <c r="A315" t="s">
        <v>801</v>
      </c>
      <c r="B315" t="s">
        <v>802</v>
      </c>
      <c r="C315" t="s">
        <v>24</v>
      </c>
      <c r="D315" t="s">
        <v>22</v>
      </c>
      <c r="E315">
        <v>1020055</v>
      </c>
    </row>
    <row r="316" spans="1:5" x14ac:dyDescent="0.25">
      <c r="A316" t="s">
        <v>1743</v>
      </c>
      <c r="B316" t="s">
        <v>1725</v>
      </c>
      <c r="C316" t="s">
        <v>869</v>
      </c>
      <c r="D316" t="s">
        <v>1762</v>
      </c>
    </row>
    <row r="317" spans="1:5" x14ac:dyDescent="0.25">
      <c r="A317" t="s">
        <v>1288</v>
      </c>
      <c r="B317" t="s">
        <v>1247</v>
      </c>
      <c r="C317" t="s">
        <v>24</v>
      </c>
      <c r="D317" t="s">
        <v>407</v>
      </c>
      <c r="E317">
        <v>1020100</v>
      </c>
    </row>
    <row r="318" spans="1:5" x14ac:dyDescent="0.25">
      <c r="A318" t="s">
        <v>1885</v>
      </c>
      <c r="B318" t="s">
        <v>1863</v>
      </c>
      <c r="C318" t="s">
        <v>24</v>
      </c>
      <c r="D318" t="s">
        <v>22</v>
      </c>
      <c r="E318">
        <v>1020055</v>
      </c>
    </row>
    <row r="319" spans="1:5" x14ac:dyDescent="0.25">
      <c r="A319" t="s">
        <v>1404</v>
      </c>
      <c r="B319" t="s">
        <v>1331</v>
      </c>
      <c r="C319" t="s">
        <v>24</v>
      </c>
      <c r="D319" t="s">
        <v>22</v>
      </c>
      <c r="E319">
        <v>1020055</v>
      </c>
    </row>
    <row r="320" spans="1:5" x14ac:dyDescent="0.25">
      <c r="A320" t="s">
        <v>1428</v>
      </c>
      <c r="B320" t="s">
        <v>1363</v>
      </c>
      <c r="C320" t="s">
        <v>24</v>
      </c>
      <c r="D320" t="s">
        <v>22</v>
      </c>
      <c r="E320">
        <v>1020055</v>
      </c>
    </row>
    <row r="321" spans="1:5" x14ac:dyDescent="0.25">
      <c r="A321" t="s">
        <v>418</v>
      </c>
      <c r="B321" t="s">
        <v>419</v>
      </c>
      <c r="C321" t="s">
        <v>24</v>
      </c>
      <c r="D321" t="s">
        <v>413</v>
      </c>
    </row>
    <row r="322" spans="1:5" x14ac:dyDescent="0.25">
      <c r="A322" t="s">
        <v>1492</v>
      </c>
      <c r="B322" t="s">
        <v>419</v>
      </c>
      <c r="C322" t="s">
        <v>24</v>
      </c>
      <c r="D322" t="s">
        <v>407</v>
      </c>
      <c r="E322">
        <v>1020100</v>
      </c>
    </row>
    <row r="323" spans="1:5" x14ac:dyDescent="0.25">
      <c r="A323" t="s">
        <v>1680</v>
      </c>
      <c r="B323" t="s">
        <v>1595</v>
      </c>
      <c r="C323" t="s">
        <v>24</v>
      </c>
      <c r="D323" t="s">
        <v>22</v>
      </c>
      <c r="E323">
        <v>1020055</v>
      </c>
    </row>
    <row r="324" spans="1:5" x14ac:dyDescent="0.25">
      <c r="A324" t="s">
        <v>3784</v>
      </c>
      <c r="B324" t="s">
        <v>3717</v>
      </c>
      <c r="C324" t="s">
        <v>1791</v>
      </c>
      <c r="D324" t="s">
        <v>328</v>
      </c>
      <c r="E324">
        <v>1020097</v>
      </c>
    </row>
    <row r="325" spans="1:5" x14ac:dyDescent="0.25">
      <c r="A325" t="s">
        <v>460</v>
      </c>
      <c r="B325" t="s">
        <v>1541</v>
      </c>
      <c r="C325" t="s">
        <v>72</v>
      </c>
      <c r="D325" t="s">
        <v>22</v>
      </c>
      <c r="E325">
        <v>1020055</v>
      </c>
    </row>
    <row r="326" spans="1:5" x14ac:dyDescent="0.25">
      <c r="A326" t="s">
        <v>1555</v>
      </c>
      <c r="B326" t="s">
        <v>1541</v>
      </c>
      <c r="C326" t="s">
        <v>72</v>
      </c>
      <c r="D326" t="s">
        <v>22</v>
      </c>
      <c r="E326">
        <v>1020055</v>
      </c>
    </row>
    <row r="327" spans="1:5" x14ac:dyDescent="0.25">
      <c r="A327" t="s">
        <v>3144</v>
      </c>
      <c r="B327" t="s">
        <v>1541</v>
      </c>
      <c r="C327" t="s">
        <v>72</v>
      </c>
      <c r="D327" t="s">
        <v>22</v>
      </c>
      <c r="E327">
        <v>1020055</v>
      </c>
    </row>
    <row r="328" spans="1:5" x14ac:dyDescent="0.25">
      <c r="A328" t="s">
        <v>4630</v>
      </c>
      <c r="B328" t="s">
        <v>1541</v>
      </c>
      <c r="C328" t="s">
        <v>72</v>
      </c>
      <c r="D328" t="s">
        <v>22</v>
      </c>
      <c r="E328">
        <v>1020055</v>
      </c>
    </row>
    <row r="329" spans="1:5" x14ac:dyDescent="0.25">
      <c r="A329" t="s">
        <v>44</v>
      </c>
      <c r="B329" t="s">
        <v>45</v>
      </c>
      <c r="C329" t="s">
        <v>24</v>
      </c>
      <c r="D329" t="s">
        <v>22</v>
      </c>
      <c r="E329">
        <v>1020055</v>
      </c>
    </row>
    <row r="330" spans="1:5" x14ac:dyDescent="0.25">
      <c r="A330" t="s">
        <v>287</v>
      </c>
      <c r="B330" t="s">
        <v>45</v>
      </c>
      <c r="C330" t="s">
        <v>24</v>
      </c>
      <c r="D330" t="s">
        <v>22</v>
      </c>
      <c r="E330">
        <v>1020055</v>
      </c>
    </row>
    <row r="331" spans="1:5" x14ac:dyDescent="0.25">
      <c r="A331" t="s">
        <v>594</v>
      </c>
      <c r="B331" t="s">
        <v>595</v>
      </c>
      <c r="C331" t="s">
        <v>24</v>
      </c>
      <c r="D331" t="s">
        <v>22</v>
      </c>
      <c r="E331">
        <v>1020055</v>
      </c>
    </row>
    <row r="332" spans="1:5" x14ac:dyDescent="0.25">
      <c r="A332" t="s">
        <v>1800</v>
      </c>
      <c r="B332" t="s">
        <v>1758</v>
      </c>
      <c r="C332" t="s">
        <v>1791</v>
      </c>
      <c r="D332" t="s">
        <v>81</v>
      </c>
      <c r="E332">
        <v>1020070</v>
      </c>
    </row>
    <row r="333" spans="1:5" x14ac:dyDescent="0.25">
      <c r="A333" t="s">
        <v>354</v>
      </c>
      <c r="B333" t="s">
        <v>355</v>
      </c>
      <c r="C333" t="s">
        <v>24</v>
      </c>
      <c r="D333" t="s">
        <v>22</v>
      </c>
      <c r="E333">
        <v>1020055</v>
      </c>
    </row>
    <row r="334" spans="1:5" x14ac:dyDescent="0.25">
      <c r="A334" t="s">
        <v>383</v>
      </c>
      <c r="B334" t="s">
        <v>355</v>
      </c>
      <c r="C334" t="s">
        <v>24</v>
      </c>
      <c r="D334" t="s">
        <v>22</v>
      </c>
      <c r="E334">
        <v>1020055</v>
      </c>
    </row>
    <row r="335" spans="1:5" x14ac:dyDescent="0.25">
      <c r="A335" t="s">
        <v>518</v>
      </c>
      <c r="B335" t="s">
        <v>519</v>
      </c>
      <c r="C335" t="s">
        <v>24</v>
      </c>
      <c r="D335" t="s">
        <v>22</v>
      </c>
      <c r="E335">
        <v>1020055</v>
      </c>
    </row>
    <row r="336" spans="1:5" x14ac:dyDescent="0.25">
      <c r="A336" t="s">
        <v>630</v>
      </c>
      <c r="B336" t="s">
        <v>519</v>
      </c>
      <c r="C336" t="s">
        <v>24</v>
      </c>
      <c r="D336" t="s">
        <v>22</v>
      </c>
      <c r="E336">
        <v>1020055</v>
      </c>
    </row>
    <row r="337" spans="1:5" x14ac:dyDescent="0.25">
      <c r="A337" t="s">
        <v>1422</v>
      </c>
      <c r="B337" t="s">
        <v>355</v>
      </c>
      <c r="C337" t="s">
        <v>24</v>
      </c>
      <c r="D337" t="s">
        <v>22</v>
      </c>
      <c r="E337">
        <v>1020055</v>
      </c>
    </row>
    <row r="338" spans="1:5" x14ac:dyDescent="0.25">
      <c r="A338" t="s">
        <v>2917</v>
      </c>
      <c r="B338" t="s">
        <v>519</v>
      </c>
      <c r="C338" t="s">
        <v>24</v>
      </c>
      <c r="D338" t="s">
        <v>22</v>
      </c>
      <c r="E338">
        <v>1020055</v>
      </c>
    </row>
    <row r="339" spans="1:5" x14ac:dyDescent="0.25">
      <c r="A339" t="s">
        <v>436</v>
      </c>
      <c r="B339" t="s">
        <v>437</v>
      </c>
      <c r="C339" t="s">
        <v>24</v>
      </c>
      <c r="D339" t="s">
        <v>22</v>
      </c>
      <c r="E339">
        <v>1020055</v>
      </c>
    </row>
    <row r="340" spans="1:5" x14ac:dyDescent="0.25">
      <c r="A340" t="s">
        <v>792</v>
      </c>
      <c r="B340" t="s">
        <v>437</v>
      </c>
      <c r="C340" t="s">
        <v>24</v>
      </c>
      <c r="D340" t="s">
        <v>22</v>
      </c>
      <c r="E340">
        <v>1020055</v>
      </c>
    </row>
    <row r="341" spans="1:5" x14ac:dyDescent="0.25">
      <c r="A341" t="s">
        <v>709</v>
      </c>
      <c r="B341" t="s">
        <v>711</v>
      </c>
      <c r="C341" t="s">
        <v>24</v>
      </c>
      <c r="D341" t="s">
        <v>710</v>
      </c>
      <c r="E341">
        <v>1020088</v>
      </c>
    </row>
    <row r="342" spans="1:5" x14ac:dyDescent="0.25">
      <c r="A342" t="s">
        <v>1750</v>
      </c>
      <c r="B342" t="s">
        <v>1713</v>
      </c>
      <c r="C342" t="s">
        <v>869</v>
      </c>
      <c r="D342" t="s">
        <v>1762</v>
      </c>
    </row>
    <row r="343" spans="1:5" x14ac:dyDescent="0.25">
      <c r="A343" t="s">
        <v>1809</v>
      </c>
      <c r="B343" t="s">
        <v>1699</v>
      </c>
      <c r="C343" t="s">
        <v>24</v>
      </c>
      <c r="D343" t="s">
        <v>613</v>
      </c>
      <c r="E343">
        <v>1020106</v>
      </c>
    </row>
    <row r="344" spans="1:5" x14ac:dyDescent="0.25">
      <c r="A344" t="s">
        <v>1560</v>
      </c>
      <c r="B344" t="s">
        <v>1548</v>
      </c>
      <c r="C344" t="s">
        <v>24</v>
      </c>
      <c r="D344" t="s">
        <v>613</v>
      </c>
      <c r="E344">
        <v>1020106</v>
      </c>
    </row>
    <row r="345" spans="1:5" x14ac:dyDescent="0.25">
      <c r="A345" t="s">
        <v>1397</v>
      </c>
      <c r="B345" t="s">
        <v>1391</v>
      </c>
      <c r="C345" t="s">
        <v>24</v>
      </c>
      <c r="D345" t="s">
        <v>613</v>
      </c>
      <c r="E345">
        <v>1020106</v>
      </c>
    </row>
    <row r="346" spans="1:5" x14ac:dyDescent="0.25">
      <c r="A346" t="s">
        <v>1752</v>
      </c>
      <c r="B346" t="s">
        <v>1714</v>
      </c>
      <c r="C346" t="s">
        <v>869</v>
      </c>
      <c r="D346" t="s">
        <v>1762</v>
      </c>
    </row>
    <row r="347" spans="1:5" x14ac:dyDescent="0.25">
      <c r="A347" t="s">
        <v>167</v>
      </c>
      <c r="B347" t="s">
        <v>168</v>
      </c>
      <c r="C347" t="s">
        <v>80</v>
      </c>
      <c r="D347" t="s">
        <v>81</v>
      </c>
      <c r="E347">
        <v>1020070</v>
      </c>
    </row>
    <row r="348" spans="1:5" x14ac:dyDescent="0.25">
      <c r="A348" t="s">
        <v>54</v>
      </c>
      <c r="B348" t="s">
        <v>55</v>
      </c>
      <c r="C348" t="s">
        <v>24</v>
      </c>
      <c r="D348" t="s">
        <v>22</v>
      </c>
      <c r="E348">
        <v>1020055</v>
      </c>
    </row>
    <row r="349" spans="1:5" x14ac:dyDescent="0.25">
      <c r="A349" t="s">
        <v>432</v>
      </c>
      <c r="B349" t="s">
        <v>433</v>
      </c>
      <c r="C349" t="s">
        <v>24</v>
      </c>
      <c r="D349" t="s">
        <v>22</v>
      </c>
      <c r="E349">
        <v>1020055</v>
      </c>
    </row>
    <row r="350" spans="1:5" x14ac:dyDescent="0.25">
      <c r="A350" t="s">
        <v>1857</v>
      </c>
      <c r="B350" t="s">
        <v>1841</v>
      </c>
      <c r="C350" t="s">
        <v>24</v>
      </c>
      <c r="D350" t="s">
        <v>367</v>
      </c>
      <c r="E350">
        <v>1020091</v>
      </c>
    </row>
    <row r="351" spans="1:5" x14ac:dyDescent="0.25">
      <c r="A351" t="s">
        <v>283</v>
      </c>
      <c r="B351" t="s">
        <v>284</v>
      </c>
      <c r="C351" t="s">
        <v>24</v>
      </c>
      <c r="D351" t="s">
        <v>22</v>
      </c>
      <c r="E351">
        <v>1020055</v>
      </c>
    </row>
    <row r="352" spans="1:5" x14ac:dyDescent="0.25">
      <c r="A352" t="s">
        <v>405</v>
      </c>
      <c r="B352" t="s">
        <v>406</v>
      </c>
      <c r="C352" t="s">
        <v>24</v>
      </c>
      <c r="D352" t="s">
        <v>407</v>
      </c>
      <c r="E352">
        <v>1020100</v>
      </c>
    </row>
    <row r="353" spans="1:5" x14ac:dyDescent="0.25">
      <c r="A353" t="s">
        <v>480</v>
      </c>
      <c r="B353" t="s">
        <v>406</v>
      </c>
      <c r="C353" t="s">
        <v>24</v>
      </c>
      <c r="D353" t="s">
        <v>407</v>
      </c>
      <c r="E353">
        <v>1020100</v>
      </c>
    </row>
    <row r="354" spans="1:5" x14ac:dyDescent="0.25">
      <c r="A354" t="s">
        <v>673</v>
      </c>
      <c r="B354" t="s">
        <v>406</v>
      </c>
      <c r="C354" t="s">
        <v>24</v>
      </c>
      <c r="D354" t="s">
        <v>407</v>
      </c>
      <c r="E354">
        <v>1020100</v>
      </c>
    </row>
    <row r="355" spans="1:5" x14ac:dyDescent="0.25">
      <c r="A355" t="s">
        <v>357</v>
      </c>
      <c r="B355" t="s">
        <v>358</v>
      </c>
      <c r="C355" t="s">
        <v>24</v>
      </c>
      <c r="D355" t="s">
        <v>22</v>
      </c>
      <c r="E355">
        <v>1020055</v>
      </c>
    </row>
    <row r="356" spans="1:5" x14ac:dyDescent="0.25">
      <c r="A356" t="s">
        <v>520</v>
      </c>
      <c r="B356" t="s">
        <v>521</v>
      </c>
      <c r="C356" t="s">
        <v>24</v>
      </c>
      <c r="D356" t="s">
        <v>22</v>
      </c>
      <c r="E356">
        <v>1020055</v>
      </c>
    </row>
    <row r="357" spans="1:5" x14ac:dyDescent="0.25">
      <c r="A357" t="s">
        <v>656</v>
      </c>
      <c r="B357" t="s">
        <v>521</v>
      </c>
      <c r="C357" t="s">
        <v>24</v>
      </c>
      <c r="D357" t="s">
        <v>22</v>
      </c>
      <c r="E357">
        <v>1020055</v>
      </c>
    </row>
    <row r="358" spans="1:5" x14ac:dyDescent="0.25">
      <c r="A358" t="s">
        <v>751</v>
      </c>
      <c r="B358" t="s">
        <v>752</v>
      </c>
      <c r="C358" t="s">
        <v>24</v>
      </c>
      <c r="D358" t="s">
        <v>407</v>
      </c>
      <c r="E358">
        <v>1020100</v>
      </c>
    </row>
    <row r="359" spans="1:5" x14ac:dyDescent="0.25">
      <c r="A359" t="s">
        <v>1328</v>
      </c>
      <c r="B359" t="s">
        <v>521</v>
      </c>
      <c r="C359" t="s">
        <v>24</v>
      </c>
      <c r="D359" t="s">
        <v>22</v>
      </c>
      <c r="E359">
        <v>1020055</v>
      </c>
    </row>
    <row r="360" spans="1:5" x14ac:dyDescent="0.25">
      <c r="A360" t="s">
        <v>1313</v>
      </c>
      <c r="B360" t="s">
        <v>752</v>
      </c>
      <c r="C360" t="s">
        <v>24</v>
      </c>
      <c r="D360" t="s">
        <v>22</v>
      </c>
      <c r="E360">
        <v>1020055</v>
      </c>
    </row>
    <row r="361" spans="1:5" x14ac:dyDescent="0.25">
      <c r="A361" t="s">
        <v>1425</v>
      </c>
      <c r="B361" t="s">
        <v>521</v>
      </c>
      <c r="C361" t="s">
        <v>24</v>
      </c>
      <c r="D361" t="s">
        <v>22</v>
      </c>
      <c r="E361">
        <v>1020055</v>
      </c>
    </row>
    <row r="362" spans="1:5" x14ac:dyDescent="0.25">
      <c r="A362" t="s">
        <v>1499</v>
      </c>
      <c r="B362" t="s">
        <v>521</v>
      </c>
      <c r="C362" t="s">
        <v>24</v>
      </c>
      <c r="D362" t="s">
        <v>407</v>
      </c>
      <c r="E362">
        <v>1020100</v>
      </c>
    </row>
    <row r="363" spans="1:5" x14ac:dyDescent="0.25">
      <c r="A363" t="s">
        <v>1436</v>
      </c>
      <c r="B363" t="s">
        <v>521</v>
      </c>
      <c r="C363" t="s">
        <v>24</v>
      </c>
      <c r="D363" t="s">
        <v>710</v>
      </c>
      <c r="E363">
        <v>1020088</v>
      </c>
    </row>
    <row r="364" spans="1:5" x14ac:dyDescent="0.25">
      <c r="A364" t="s">
        <v>1602</v>
      </c>
      <c r="B364" t="s">
        <v>521</v>
      </c>
      <c r="C364" t="s">
        <v>24</v>
      </c>
      <c r="D364" t="s">
        <v>710</v>
      </c>
      <c r="E364">
        <v>1020088</v>
      </c>
    </row>
    <row r="365" spans="1:5" x14ac:dyDescent="0.25">
      <c r="A365" t="s">
        <v>1638</v>
      </c>
      <c r="B365" t="s">
        <v>521</v>
      </c>
      <c r="C365" t="s">
        <v>24</v>
      </c>
      <c r="D365" t="s">
        <v>367</v>
      </c>
      <c r="E365">
        <v>1020091</v>
      </c>
    </row>
    <row r="366" spans="1:5" x14ac:dyDescent="0.25">
      <c r="A366" t="s">
        <v>1736</v>
      </c>
      <c r="B366" t="s">
        <v>521</v>
      </c>
      <c r="C366" t="s">
        <v>24</v>
      </c>
      <c r="D366" t="s">
        <v>367</v>
      </c>
      <c r="E366">
        <v>1020091</v>
      </c>
    </row>
    <row r="367" spans="1:5" x14ac:dyDescent="0.25">
      <c r="A367" t="s">
        <v>1816</v>
      </c>
      <c r="B367" t="s">
        <v>521</v>
      </c>
      <c r="C367" t="s">
        <v>1791</v>
      </c>
      <c r="D367" t="s">
        <v>81</v>
      </c>
      <c r="E367">
        <v>1020070</v>
      </c>
    </row>
    <row r="368" spans="1:5" x14ac:dyDescent="0.25">
      <c r="A368" t="s">
        <v>1912</v>
      </c>
      <c r="B368" t="s">
        <v>521</v>
      </c>
      <c r="C368" t="s">
        <v>24</v>
      </c>
      <c r="D368" t="s">
        <v>710</v>
      </c>
      <c r="E368">
        <v>1020088</v>
      </c>
    </row>
    <row r="369" spans="1:5" x14ac:dyDescent="0.25">
      <c r="A369" t="s">
        <v>3783</v>
      </c>
      <c r="B369" t="s">
        <v>521</v>
      </c>
      <c r="C369" t="s">
        <v>1791</v>
      </c>
      <c r="D369" t="s">
        <v>328</v>
      </c>
      <c r="E369">
        <v>1020097</v>
      </c>
    </row>
    <row r="370" spans="1:5" x14ac:dyDescent="0.25">
      <c r="A370" t="s">
        <v>3718</v>
      </c>
      <c r="B370" t="s">
        <v>521</v>
      </c>
      <c r="C370" t="s">
        <v>1791</v>
      </c>
      <c r="D370" t="s">
        <v>328</v>
      </c>
      <c r="E370">
        <v>1020097</v>
      </c>
    </row>
    <row r="371" spans="1:5" x14ac:dyDescent="0.25">
      <c r="A371" t="s">
        <v>3722</v>
      </c>
      <c r="B371" t="s">
        <v>521</v>
      </c>
      <c r="C371" t="s">
        <v>1791</v>
      </c>
      <c r="D371" t="s">
        <v>328</v>
      </c>
      <c r="E371">
        <v>1020097</v>
      </c>
    </row>
    <row r="372" spans="1:5" x14ac:dyDescent="0.25">
      <c r="A372" t="s">
        <v>3329</v>
      </c>
      <c r="B372" t="s">
        <v>521</v>
      </c>
      <c r="C372" t="s">
        <v>24</v>
      </c>
      <c r="D372" t="s">
        <v>483</v>
      </c>
      <c r="E372">
        <v>1020096</v>
      </c>
    </row>
    <row r="373" spans="1:5" x14ac:dyDescent="0.25">
      <c r="A373" t="s">
        <v>3897</v>
      </c>
      <c r="B373" t="s">
        <v>521</v>
      </c>
      <c r="C373" t="s">
        <v>24</v>
      </c>
      <c r="D373" t="s">
        <v>710</v>
      </c>
      <c r="E373">
        <v>1020088</v>
      </c>
    </row>
    <row r="374" spans="1:5" x14ac:dyDescent="0.25">
      <c r="A374" t="s">
        <v>3948</v>
      </c>
      <c r="B374" t="s">
        <v>521</v>
      </c>
      <c r="C374" t="s">
        <v>24</v>
      </c>
      <c r="D374" t="s">
        <v>483</v>
      </c>
      <c r="E374">
        <v>1020096</v>
      </c>
    </row>
    <row r="375" spans="1:5" x14ac:dyDescent="0.25">
      <c r="A375" t="s">
        <v>4564</v>
      </c>
      <c r="B375" t="s">
        <v>521</v>
      </c>
      <c r="C375" t="s">
        <v>24</v>
      </c>
      <c r="D375" t="s">
        <v>710</v>
      </c>
      <c r="E375">
        <v>1020088</v>
      </c>
    </row>
    <row r="376" spans="1:5" x14ac:dyDescent="0.25">
      <c r="A376" t="s">
        <v>4680</v>
      </c>
      <c r="B376" t="s">
        <v>521</v>
      </c>
      <c r="C376" t="s">
        <v>1791</v>
      </c>
      <c r="D376" t="s">
        <v>328</v>
      </c>
      <c r="E376">
        <v>1020097</v>
      </c>
    </row>
    <row r="377" spans="1:5" x14ac:dyDescent="0.25">
      <c r="A377" t="s">
        <v>38</v>
      </c>
      <c r="B377" t="s">
        <v>39</v>
      </c>
      <c r="C377" t="s">
        <v>24</v>
      </c>
      <c r="D377" t="s">
        <v>22</v>
      </c>
      <c r="E377">
        <v>1020055</v>
      </c>
    </row>
    <row r="378" spans="1:5" x14ac:dyDescent="0.25">
      <c r="A378" t="s">
        <v>79</v>
      </c>
      <c r="B378" t="s">
        <v>39</v>
      </c>
      <c r="C378" t="s">
        <v>80</v>
      </c>
      <c r="D378" t="s">
        <v>81</v>
      </c>
      <c r="E378">
        <v>1020070</v>
      </c>
    </row>
    <row r="379" spans="1:5" x14ac:dyDescent="0.25">
      <c r="A379" t="s">
        <v>150</v>
      </c>
      <c r="B379" t="s">
        <v>39</v>
      </c>
      <c r="C379" t="s">
        <v>24</v>
      </c>
      <c r="D379" t="s">
        <v>22</v>
      </c>
      <c r="E379">
        <v>1020055</v>
      </c>
    </row>
    <row r="380" spans="1:5" x14ac:dyDescent="0.25">
      <c r="A380" t="s">
        <v>153</v>
      </c>
      <c r="B380" t="s">
        <v>39</v>
      </c>
      <c r="C380" t="s">
        <v>24</v>
      </c>
      <c r="D380" t="s">
        <v>22</v>
      </c>
      <c r="E380">
        <v>1020055</v>
      </c>
    </row>
    <row r="381" spans="1:5" x14ac:dyDescent="0.25">
      <c r="A381" t="s">
        <v>173</v>
      </c>
      <c r="B381" t="s">
        <v>39</v>
      </c>
      <c r="C381" t="s">
        <v>24</v>
      </c>
      <c r="D381" t="s">
        <v>25</v>
      </c>
      <c r="E381">
        <v>1020052</v>
      </c>
    </row>
    <row r="382" spans="1:5" x14ac:dyDescent="0.25">
      <c r="A382" t="s">
        <v>174</v>
      </c>
      <c r="B382" t="s">
        <v>39</v>
      </c>
      <c r="C382" t="s">
        <v>24</v>
      </c>
      <c r="D382" t="s">
        <v>25</v>
      </c>
      <c r="E382">
        <v>1020052</v>
      </c>
    </row>
    <row r="383" spans="1:5" x14ac:dyDescent="0.25">
      <c r="A383" t="s">
        <v>214</v>
      </c>
      <c r="B383" t="s">
        <v>39</v>
      </c>
      <c r="C383" t="s">
        <v>24</v>
      </c>
      <c r="D383" t="s">
        <v>90</v>
      </c>
      <c r="E383">
        <v>1020001</v>
      </c>
    </row>
    <row r="384" spans="1:5" x14ac:dyDescent="0.25">
      <c r="A384" t="s">
        <v>226</v>
      </c>
      <c r="B384" t="s">
        <v>39</v>
      </c>
      <c r="C384" t="s">
        <v>80</v>
      </c>
      <c r="D384" t="s">
        <v>22</v>
      </c>
      <c r="E384">
        <v>1020055</v>
      </c>
    </row>
    <row r="385" spans="1:5" x14ac:dyDescent="0.25">
      <c r="A385" t="s">
        <v>249</v>
      </c>
      <c r="B385" t="s">
        <v>39</v>
      </c>
      <c r="C385" t="s">
        <v>24</v>
      </c>
      <c r="D385" t="s">
        <v>25</v>
      </c>
      <c r="E385">
        <v>1020052</v>
      </c>
    </row>
    <row r="386" spans="1:5" x14ac:dyDescent="0.25">
      <c r="A386" t="s">
        <v>420</v>
      </c>
      <c r="B386" t="s">
        <v>39</v>
      </c>
      <c r="C386" t="s">
        <v>80</v>
      </c>
      <c r="D386" t="s">
        <v>81</v>
      </c>
      <c r="E386">
        <v>1020070</v>
      </c>
    </row>
    <row r="387" spans="1:5" x14ac:dyDescent="0.25">
      <c r="A387" t="s">
        <v>3953</v>
      </c>
      <c r="B387" t="s">
        <v>3856</v>
      </c>
      <c r="C387" t="s">
        <v>24</v>
      </c>
      <c r="D387" t="s">
        <v>483</v>
      </c>
      <c r="E387">
        <v>1020096</v>
      </c>
    </row>
    <row r="388" spans="1:5" x14ac:dyDescent="0.25">
      <c r="A388" t="s">
        <v>3721</v>
      </c>
      <c r="B388" t="s">
        <v>3618</v>
      </c>
      <c r="C388" t="s">
        <v>1791</v>
      </c>
      <c r="D388" t="s">
        <v>328</v>
      </c>
      <c r="E388">
        <v>1020097</v>
      </c>
    </row>
    <row r="389" spans="1:5" x14ac:dyDescent="0.25">
      <c r="A389" t="s">
        <v>1498</v>
      </c>
      <c r="B389" t="s">
        <v>1413</v>
      </c>
      <c r="C389" t="s">
        <v>24</v>
      </c>
      <c r="D389" t="s">
        <v>407</v>
      </c>
      <c r="E389">
        <v>1020100</v>
      </c>
    </row>
    <row r="390" spans="1:5" x14ac:dyDescent="0.25">
      <c r="A390" t="s">
        <v>4553</v>
      </c>
      <c r="B390" t="s">
        <v>4503</v>
      </c>
      <c r="C390" t="s">
        <v>24</v>
      </c>
      <c r="D390" t="s">
        <v>710</v>
      </c>
      <c r="E390">
        <v>1020088</v>
      </c>
    </row>
    <row r="391" spans="1:5" x14ac:dyDescent="0.25">
      <c r="A391" t="s">
        <v>715</v>
      </c>
      <c r="B391" t="s">
        <v>716</v>
      </c>
      <c r="C391" t="s">
        <v>24</v>
      </c>
      <c r="D391" t="s">
        <v>710</v>
      </c>
      <c r="E391">
        <v>1020088</v>
      </c>
    </row>
    <row r="392" spans="1:5" x14ac:dyDescent="0.25">
      <c r="A392" t="s">
        <v>615</v>
      </c>
      <c r="B392" t="s">
        <v>616</v>
      </c>
      <c r="C392" t="s">
        <v>24</v>
      </c>
      <c r="D392" t="s">
        <v>613</v>
      </c>
      <c r="E392">
        <v>1020106</v>
      </c>
    </row>
    <row r="393" spans="1:5" x14ac:dyDescent="0.25">
      <c r="A393" t="s">
        <v>1493</v>
      </c>
      <c r="B393" t="s">
        <v>1374</v>
      </c>
      <c r="C393" t="s">
        <v>24</v>
      </c>
      <c r="D393" t="s">
        <v>407</v>
      </c>
      <c r="E393">
        <v>1020100</v>
      </c>
    </row>
    <row r="394" spans="1:5" x14ac:dyDescent="0.25">
      <c r="A394" t="s">
        <v>2904</v>
      </c>
      <c r="B394" t="s">
        <v>1374</v>
      </c>
      <c r="C394" t="s">
        <v>24</v>
      </c>
      <c r="D394" t="s">
        <v>710</v>
      </c>
      <c r="E394">
        <v>1020088</v>
      </c>
    </row>
    <row r="395" spans="1:5" x14ac:dyDescent="0.25">
      <c r="A395" t="s">
        <v>4567</v>
      </c>
      <c r="B395" t="s">
        <v>4499</v>
      </c>
      <c r="C395" t="s">
        <v>24</v>
      </c>
      <c r="D395" t="s">
        <v>710</v>
      </c>
      <c r="E395">
        <v>1020088</v>
      </c>
    </row>
    <row r="396" spans="1:5" x14ac:dyDescent="0.25">
      <c r="A396" t="s">
        <v>1234</v>
      </c>
      <c r="B396" t="s">
        <v>840</v>
      </c>
      <c r="C396" t="s">
        <v>24</v>
      </c>
      <c r="D396" t="s">
        <v>613</v>
      </c>
      <c r="E396">
        <v>1020106</v>
      </c>
    </row>
    <row r="397" spans="1:5" x14ac:dyDescent="0.25">
      <c r="A397" t="s">
        <v>1152</v>
      </c>
      <c r="B397" t="s">
        <v>840</v>
      </c>
      <c r="C397" t="s">
        <v>24</v>
      </c>
      <c r="D397" t="s">
        <v>613</v>
      </c>
      <c r="E397">
        <v>1020106</v>
      </c>
    </row>
    <row r="398" spans="1:5" x14ac:dyDescent="0.25">
      <c r="A398" t="s">
        <v>1876</v>
      </c>
      <c r="B398" t="s">
        <v>1838</v>
      </c>
      <c r="C398" t="s">
        <v>24</v>
      </c>
      <c r="D398" t="s">
        <v>710</v>
      </c>
      <c r="E398">
        <v>1020088</v>
      </c>
    </row>
    <row r="399" spans="1:5" x14ac:dyDescent="0.25">
      <c r="A399" t="s">
        <v>504</v>
      </c>
      <c r="B399" t="s">
        <v>505</v>
      </c>
      <c r="C399" t="s">
        <v>24</v>
      </c>
      <c r="D399" t="s">
        <v>25</v>
      </c>
      <c r="E399">
        <v>1020052</v>
      </c>
    </row>
    <row r="400" spans="1:5" x14ac:dyDescent="0.25">
      <c r="A400" t="s">
        <v>394</v>
      </c>
      <c r="B400" t="s">
        <v>395</v>
      </c>
      <c r="C400" t="s">
        <v>24</v>
      </c>
      <c r="D400" t="s">
        <v>22</v>
      </c>
      <c r="E400">
        <v>1020055</v>
      </c>
    </row>
    <row r="401" spans="1:5" x14ac:dyDescent="0.25">
      <c r="A401" t="s">
        <v>1346</v>
      </c>
      <c r="B401" t="s">
        <v>395</v>
      </c>
      <c r="C401" t="s">
        <v>24</v>
      </c>
      <c r="D401" t="s">
        <v>22</v>
      </c>
      <c r="E401">
        <v>1020055</v>
      </c>
    </row>
    <row r="402" spans="1:5" x14ac:dyDescent="0.25">
      <c r="A402" t="s">
        <v>120</v>
      </c>
      <c r="B402" t="s">
        <v>121</v>
      </c>
      <c r="C402" t="s">
        <v>24</v>
      </c>
      <c r="D402" t="s">
        <v>22</v>
      </c>
      <c r="E402">
        <v>1020055</v>
      </c>
    </row>
    <row r="403" spans="1:5" x14ac:dyDescent="0.25">
      <c r="A403" t="s">
        <v>271</v>
      </c>
      <c r="B403" t="s">
        <v>121</v>
      </c>
      <c r="C403" t="s">
        <v>24</v>
      </c>
      <c r="D403" t="s">
        <v>22</v>
      </c>
      <c r="E403">
        <v>1020055</v>
      </c>
    </row>
    <row r="404" spans="1:5" x14ac:dyDescent="0.25">
      <c r="A404" t="s">
        <v>187</v>
      </c>
      <c r="B404" t="s">
        <v>188</v>
      </c>
      <c r="C404" t="s">
        <v>24</v>
      </c>
      <c r="D404" t="s">
        <v>22</v>
      </c>
      <c r="E404">
        <v>1020055</v>
      </c>
    </row>
    <row r="405" spans="1:5" x14ac:dyDescent="0.25">
      <c r="A405" t="s">
        <v>387</v>
      </c>
      <c r="B405" t="s">
        <v>188</v>
      </c>
      <c r="C405" t="s">
        <v>24</v>
      </c>
      <c r="D405" t="s">
        <v>22</v>
      </c>
      <c r="E405">
        <v>1020055</v>
      </c>
    </row>
    <row r="406" spans="1:5" x14ac:dyDescent="0.25">
      <c r="A406" t="s">
        <v>577</v>
      </c>
      <c r="B406" t="s">
        <v>578</v>
      </c>
      <c r="C406" t="s">
        <v>24</v>
      </c>
      <c r="D406" t="s">
        <v>22</v>
      </c>
      <c r="E406">
        <v>1020055</v>
      </c>
    </row>
    <row r="407" spans="1:5" x14ac:dyDescent="0.25">
      <c r="A407" t="s">
        <v>639</v>
      </c>
      <c r="B407" t="s">
        <v>640</v>
      </c>
      <c r="C407" t="s">
        <v>24</v>
      </c>
      <c r="D407" t="s">
        <v>22</v>
      </c>
      <c r="E407">
        <v>1020055</v>
      </c>
    </row>
    <row r="408" spans="1:5" x14ac:dyDescent="0.25">
      <c r="A408" t="s">
        <v>793</v>
      </c>
      <c r="B408" t="s">
        <v>640</v>
      </c>
      <c r="C408" t="s">
        <v>24</v>
      </c>
      <c r="D408" t="s">
        <v>22</v>
      </c>
      <c r="E408">
        <v>1020055</v>
      </c>
    </row>
    <row r="409" spans="1:5" x14ac:dyDescent="0.25">
      <c r="A409" t="s">
        <v>1494</v>
      </c>
      <c r="B409" t="s">
        <v>640</v>
      </c>
      <c r="C409" t="s">
        <v>24</v>
      </c>
      <c r="D409" t="s">
        <v>407</v>
      </c>
      <c r="E409">
        <v>1020100</v>
      </c>
    </row>
    <row r="410" spans="1:5" x14ac:dyDescent="0.25">
      <c r="A410" t="s">
        <v>1411</v>
      </c>
      <c r="B410" t="s">
        <v>1362</v>
      </c>
      <c r="C410" t="s">
        <v>24</v>
      </c>
      <c r="D410" t="s">
        <v>22</v>
      </c>
      <c r="E410">
        <v>1020055</v>
      </c>
    </row>
    <row r="411" spans="1:5" x14ac:dyDescent="0.25">
      <c r="A411" t="s">
        <v>1517</v>
      </c>
      <c r="B411" t="s">
        <v>1462</v>
      </c>
      <c r="C411" t="s">
        <v>24</v>
      </c>
      <c r="D411" t="s">
        <v>407</v>
      </c>
      <c r="E411">
        <v>1020100</v>
      </c>
    </row>
    <row r="412" spans="1:5" x14ac:dyDescent="0.25">
      <c r="A412" t="s">
        <v>753</v>
      </c>
      <c r="B412" t="s">
        <v>754</v>
      </c>
      <c r="C412" t="s">
        <v>24</v>
      </c>
      <c r="D412" t="s">
        <v>407</v>
      </c>
      <c r="E412">
        <v>1020100</v>
      </c>
    </row>
    <row r="413" spans="1:5" x14ac:dyDescent="0.25">
      <c r="A413" t="s">
        <v>1490</v>
      </c>
      <c r="B413" t="s">
        <v>1373</v>
      </c>
      <c r="C413" t="s">
        <v>24</v>
      </c>
      <c r="D413" t="s">
        <v>407</v>
      </c>
      <c r="E413">
        <v>1020100</v>
      </c>
    </row>
    <row r="414" spans="1:5" x14ac:dyDescent="0.25">
      <c r="A414" t="s">
        <v>414</v>
      </c>
      <c r="B414" t="s">
        <v>415</v>
      </c>
      <c r="C414" t="s">
        <v>24</v>
      </c>
      <c r="D414" t="s">
        <v>413</v>
      </c>
    </row>
    <row r="415" spans="1:5" x14ac:dyDescent="0.25">
      <c r="A415" t="s">
        <v>667</v>
      </c>
      <c r="B415" t="s">
        <v>415</v>
      </c>
      <c r="C415" t="s">
        <v>24</v>
      </c>
      <c r="D415" t="s">
        <v>22</v>
      </c>
      <c r="E415">
        <v>1020055</v>
      </c>
    </row>
    <row r="416" spans="1:5" x14ac:dyDescent="0.25">
      <c r="A416" t="s">
        <v>1526</v>
      </c>
      <c r="B416" t="s">
        <v>1467</v>
      </c>
      <c r="C416" t="s">
        <v>24</v>
      </c>
      <c r="D416" t="s">
        <v>407</v>
      </c>
      <c r="E416">
        <v>1020100</v>
      </c>
    </row>
    <row r="417" spans="1:5" x14ac:dyDescent="0.25">
      <c r="A417" t="s">
        <v>1748</v>
      </c>
      <c r="B417" t="s">
        <v>1715</v>
      </c>
      <c r="C417" t="s">
        <v>869</v>
      </c>
      <c r="D417" t="s">
        <v>1762</v>
      </c>
    </row>
    <row r="418" spans="1:5" x14ac:dyDescent="0.25">
      <c r="A418" t="s">
        <v>1689</v>
      </c>
      <c r="B418" t="s">
        <v>1682</v>
      </c>
      <c r="C418" t="s">
        <v>24</v>
      </c>
      <c r="D418" t="s">
        <v>367</v>
      </c>
      <c r="E418">
        <v>1020091</v>
      </c>
    </row>
    <row r="419" spans="1:5" x14ac:dyDescent="0.25">
      <c r="A419" t="s">
        <v>1291</v>
      </c>
      <c r="B419" t="s">
        <v>1208</v>
      </c>
      <c r="C419" t="s">
        <v>72</v>
      </c>
      <c r="D419" t="s">
        <v>407</v>
      </c>
      <c r="E419">
        <v>1020100</v>
      </c>
    </row>
    <row r="420" spans="1:5" x14ac:dyDescent="0.25">
      <c r="A420" t="s">
        <v>1418</v>
      </c>
      <c r="B420" t="s">
        <v>1208</v>
      </c>
      <c r="C420" t="s">
        <v>72</v>
      </c>
      <c r="D420" t="s">
        <v>407</v>
      </c>
      <c r="E420">
        <v>1020100</v>
      </c>
    </row>
    <row r="421" spans="1:5" x14ac:dyDescent="0.25">
      <c r="A421" t="s">
        <v>1285</v>
      </c>
      <c r="B421" t="s">
        <v>833</v>
      </c>
      <c r="C421" t="s">
        <v>1791</v>
      </c>
      <c r="D421" t="s">
        <v>22</v>
      </c>
      <c r="E421">
        <v>1020055</v>
      </c>
    </row>
    <row r="422" spans="1:5" x14ac:dyDescent="0.25">
      <c r="A422" t="s">
        <v>1675</v>
      </c>
      <c r="B422" t="s">
        <v>1612</v>
      </c>
      <c r="C422" t="s">
        <v>24</v>
      </c>
      <c r="D422" t="s">
        <v>367</v>
      </c>
      <c r="E422">
        <v>1020091</v>
      </c>
    </row>
    <row r="423" spans="1:5" x14ac:dyDescent="0.25">
      <c r="A423" t="s">
        <v>1812</v>
      </c>
      <c r="B423" t="s">
        <v>1759</v>
      </c>
      <c r="C423" t="s">
        <v>1791</v>
      </c>
      <c r="D423" t="s">
        <v>81</v>
      </c>
      <c r="E423">
        <v>1020070</v>
      </c>
    </row>
    <row r="424" spans="1:5" x14ac:dyDescent="0.25">
      <c r="A424" t="s">
        <v>1677</v>
      </c>
      <c r="B424" t="s">
        <v>1676</v>
      </c>
      <c r="C424" t="s">
        <v>24</v>
      </c>
      <c r="D424" t="s">
        <v>367</v>
      </c>
      <c r="E424">
        <v>1020091</v>
      </c>
    </row>
    <row r="425" spans="1:5" x14ac:dyDescent="0.25">
      <c r="A425" t="s">
        <v>743</v>
      </c>
      <c r="B425" t="s">
        <v>744</v>
      </c>
      <c r="C425" t="s">
        <v>3221</v>
      </c>
      <c r="D425" t="s">
        <v>81</v>
      </c>
      <c r="E425">
        <v>1020070</v>
      </c>
    </row>
    <row r="426" spans="1:5" x14ac:dyDescent="0.25">
      <c r="A426" t="s">
        <v>508</v>
      </c>
      <c r="B426" t="s">
        <v>510</v>
      </c>
      <c r="C426" t="s">
        <v>72</v>
      </c>
      <c r="D426" t="s">
        <v>511</v>
      </c>
      <c r="E426">
        <v>1020107</v>
      </c>
    </row>
    <row r="427" spans="1:5" x14ac:dyDescent="0.25">
      <c r="A427" t="s">
        <v>1887</v>
      </c>
      <c r="B427" t="s">
        <v>510</v>
      </c>
      <c r="C427" t="s">
        <v>72</v>
      </c>
      <c r="D427" t="s">
        <v>511</v>
      </c>
      <c r="E427">
        <v>1020107</v>
      </c>
    </row>
    <row r="428" spans="1:5" x14ac:dyDescent="0.25">
      <c r="A428" t="s">
        <v>1564</v>
      </c>
      <c r="B428" t="s">
        <v>1542</v>
      </c>
      <c r="C428" t="s">
        <v>24</v>
      </c>
      <c r="D428" t="s">
        <v>613</v>
      </c>
      <c r="E428">
        <v>1020106</v>
      </c>
    </row>
    <row r="429" spans="1:5" x14ac:dyDescent="0.25">
      <c r="A429" t="s">
        <v>1399</v>
      </c>
      <c r="B429" t="s">
        <v>1270</v>
      </c>
      <c r="C429" t="s">
        <v>24</v>
      </c>
      <c r="D429" t="s">
        <v>22</v>
      </c>
      <c r="E429">
        <v>1020055</v>
      </c>
    </row>
    <row r="430" spans="1:5" x14ac:dyDescent="0.25">
      <c r="A430" t="s">
        <v>326</v>
      </c>
      <c r="B430" t="s">
        <v>327</v>
      </c>
      <c r="C430" t="s">
        <v>72</v>
      </c>
      <c r="D430" t="s">
        <v>328</v>
      </c>
      <c r="E430">
        <v>1020097</v>
      </c>
    </row>
    <row r="431" spans="1:5" x14ac:dyDescent="0.25">
      <c r="A431" t="s">
        <v>1731</v>
      </c>
      <c r="B431" t="s">
        <v>1482</v>
      </c>
      <c r="C431" t="s">
        <v>72</v>
      </c>
      <c r="D431" t="s">
        <v>81</v>
      </c>
      <c r="E431">
        <v>1020070</v>
      </c>
    </row>
    <row r="432" spans="1:5" x14ac:dyDescent="0.25">
      <c r="A432" t="s">
        <v>3319</v>
      </c>
      <c r="B432" t="s">
        <v>3187</v>
      </c>
      <c r="C432" t="s">
        <v>72</v>
      </c>
      <c r="D432" t="s">
        <v>613</v>
      </c>
      <c r="E432">
        <v>1020106</v>
      </c>
    </row>
    <row r="433" spans="1:5" x14ac:dyDescent="0.25">
      <c r="A433" t="s">
        <v>5312</v>
      </c>
      <c r="B433" t="s">
        <v>3187</v>
      </c>
      <c r="C433" t="s">
        <v>72</v>
      </c>
      <c r="D433" t="s">
        <v>90</v>
      </c>
      <c r="E433">
        <v>1020001</v>
      </c>
    </row>
    <row r="434" spans="1:5" x14ac:dyDescent="0.25">
      <c r="A434" t="s">
        <v>211</v>
      </c>
      <c r="B434" t="s">
        <v>212</v>
      </c>
      <c r="C434" t="s">
        <v>72</v>
      </c>
      <c r="D434" t="s">
        <v>213</v>
      </c>
      <c r="E434">
        <v>1020015</v>
      </c>
    </row>
    <row r="435" spans="1:5" x14ac:dyDescent="0.25">
      <c r="A435" t="s">
        <v>359</v>
      </c>
      <c r="B435" t="s">
        <v>360</v>
      </c>
      <c r="C435" t="s">
        <v>24</v>
      </c>
      <c r="D435" t="s">
        <v>22</v>
      </c>
      <c r="E435">
        <v>1020055</v>
      </c>
    </row>
    <row r="436" spans="1:5" x14ac:dyDescent="0.25">
      <c r="A436" t="s">
        <v>1314</v>
      </c>
      <c r="B436" t="s">
        <v>1263</v>
      </c>
      <c r="C436" t="s">
        <v>24</v>
      </c>
      <c r="D436" t="s">
        <v>22</v>
      </c>
      <c r="E436">
        <v>1020055</v>
      </c>
    </row>
    <row r="437" spans="1:5" x14ac:dyDescent="0.25">
      <c r="A437" t="s">
        <v>1417</v>
      </c>
      <c r="B437" t="s">
        <v>1329</v>
      </c>
      <c r="C437" t="s">
        <v>24</v>
      </c>
      <c r="D437" t="s">
        <v>22</v>
      </c>
      <c r="E437">
        <v>1020055</v>
      </c>
    </row>
    <row r="438" spans="1:5" x14ac:dyDescent="0.25">
      <c r="A438" t="s">
        <v>1488</v>
      </c>
      <c r="B438" t="s">
        <v>1329</v>
      </c>
      <c r="C438" t="s">
        <v>24</v>
      </c>
      <c r="D438" t="s">
        <v>407</v>
      </c>
      <c r="E438">
        <v>1020100</v>
      </c>
    </row>
    <row r="439" spans="1:5" x14ac:dyDescent="0.25">
      <c r="A439" t="s">
        <v>2918</v>
      </c>
      <c r="B439" t="s">
        <v>1329</v>
      </c>
      <c r="C439" t="s">
        <v>24</v>
      </c>
      <c r="D439" t="s">
        <v>22</v>
      </c>
      <c r="E439">
        <v>1020055</v>
      </c>
    </row>
    <row r="440" spans="1:5" x14ac:dyDescent="0.25">
      <c r="A440" t="s">
        <v>4560</v>
      </c>
      <c r="B440" t="s">
        <v>1329</v>
      </c>
      <c r="C440" t="s">
        <v>24</v>
      </c>
      <c r="D440" t="s">
        <v>710</v>
      </c>
      <c r="E440">
        <v>1020088</v>
      </c>
    </row>
    <row r="441" spans="1:5" x14ac:dyDescent="0.25">
      <c r="A441" t="s">
        <v>816</v>
      </c>
      <c r="B441" t="s">
        <v>817</v>
      </c>
      <c r="C441" t="s">
        <v>24</v>
      </c>
      <c r="D441" t="s">
        <v>22</v>
      </c>
      <c r="E441">
        <v>1020055</v>
      </c>
    </row>
    <row r="442" spans="1:5" x14ac:dyDescent="0.25">
      <c r="A442" t="s">
        <v>2569</v>
      </c>
      <c r="B442" t="s">
        <v>2561</v>
      </c>
      <c r="C442" t="s">
        <v>72</v>
      </c>
      <c r="D442" t="s">
        <v>90</v>
      </c>
      <c r="E442">
        <v>1020001</v>
      </c>
    </row>
    <row r="443" spans="1:5" x14ac:dyDescent="0.25">
      <c r="A443" t="s">
        <v>5192</v>
      </c>
      <c r="B443" t="s">
        <v>4782</v>
      </c>
      <c r="C443" t="s">
        <v>72</v>
      </c>
      <c r="D443" t="s">
        <v>882</v>
      </c>
      <c r="E443">
        <v>1020108</v>
      </c>
    </row>
    <row r="444" spans="1:5" x14ac:dyDescent="0.25">
      <c r="A444" t="s">
        <v>485</v>
      </c>
      <c r="B444" t="s">
        <v>486</v>
      </c>
      <c r="C444" t="s">
        <v>72</v>
      </c>
      <c r="D444" t="s">
        <v>487</v>
      </c>
      <c r="E444">
        <v>1020060</v>
      </c>
    </row>
    <row r="445" spans="1:5" x14ac:dyDescent="0.25">
      <c r="A445" t="s">
        <v>1251</v>
      </c>
      <c r="B445" t="s">
        <v>1200</v>
      </c>
      <c r="C445" t="s">
        <v>72</v>
      </c>
      <c r="D445" t="s">
        <v>511</v>
      </c>
      <c r="E445">
        <v>1020107</v>
      </c>
    </row>
    <row r="446" spans="1:5" x14ac:dyDescent="0.25">
      <c r="A446" t="s">
        <v>4205</v>
      </c>
      <c r="B446" t="s">
        <v>1200</v>
      </c>
      <c r="C446" t="s">
        <v>72</v>
      </c>
      <c r="D446" t="s">
        <v>511</v>
      </c>
      <c r="E446">
        <v>1020107</v>
      </c>
    </row>
    <row r="447" spans="1:5" x14ac:dyDescent="0.25">
      <c r="A447" t="s">
        <v>1504</v>
      </c>
      <c r="B447" t="s">
        <v>1414</v>
      </c>
      <c r="C447" t="s">
        <v>24</v>
      </c>
      <c r="D447" t="s">
        <v>407</v>
      </c>
      <c r="E447">
        <v>1020100</v>
      </c>
    </row>
    <row r="448" spans="1:5" x14ac:dyDescent="0.25">
      <c r="A448" t="s">
        <v>702</v>
      </c>
      <c r="B448" t="s">
        <v>703</v>
      </c>
      <c r="C448" t="s">
        <v>704</v>
      </c>
      <c r="D448" t="s">
        <v>367</v>
      </c>
      <c r="E448">
        <v>1020091</v>
      </c>
    </row>
    <row r="449" spans="1:5" x14ac:dyDescent="0.25">
      <c r="A449" t="s">
        <v>315</v>
      </c>
      <c r="B449" t="s">
        <v>316</v>
      </c>
      <c r="C449" t="s">
        <v>72</v>
      </c>
      <c r="D449" t="s">
        <v>213</v>
      </c>
      <c r="E449">
        <v>1020015</v>
      </c>
    </row>
    <row r="450" spans="1:5" x14ac:dyDescent="0.25">
      <c r="A450" t="s">
        <v>320</v>
      </c>
      <c r="B450" t="s">
        <v>316</v>
      </c>
      <c r="C450" t="s">
        <v>72</v>
      </c>
      <c r="D450" t="s">
        <v>213</v>
      </c>
      <c r="E450">
        <v>1020015</v>
      </c>
    </row>
    <row r="451" spans="1:5" x14ac:dyDescent="0.25">
      <c r="A451" t="s">
        <v>434</v>
      </c>
      <c r="B451" t="s">
        <v>435</v>
      </c>
      <c r="C451" t="s">
        <v>24</v>
      </c>
      <c r="D451" t="s">
        <v>22</v>
      </c>
      <c r="E451">
        <v>1020055</v>
      </c>
    </row>
    <row r="452" spans="1:5" x14ac:dyDescent="0.25">
      <c r="A452" t="s">
        <v>558</v>
      </c>
      <c r="B452" t="s">
        <v>435</v>
      </c>
      <c r="C452" t="s">
        <v>24</v>
      </c>
      <c r="D452" t="s">
        <v>22</v>
      </c>
      <c r="E452">
        <v>1020055</v>
      </c>
    </row>
    <row r="453" spans="1:5" x14ac:dyDescent="0.25">
      <c r="A453" t="s">
        <v>300</v>
      </c>
      <c r="B453" t="s">
        <v>301</v>
      </c>
      <c r="C453" t="s">
        <v>24</v>
      </c>
      <c r="D453" t="s">
        <v>22</v>
      </c>
      <c r="E453">
        <v>1020055</v>
      </c>
    </row>
    <row r="454" spans="1:5" x14ac:dyDescent="0.25">
      <c r="A454" t="s">
        <v>108</v>
      </c>
      <c r="B454" t="s">
        <v>109</v>
      </c>
      <c r="C454" t="s">
        <v>24</v>
      </c>
      <c r="D454" t="s">
        <v>22</v>
      </c>
      <c r="E454">
        <v>1020055</v>
      </c>
    </row>
    <row r="455" spans="1:5" x14ac:dyDescent="0.25">
      <c r="A455" t="s">
        <v>110</v>
      </c>
      <c r="B455" t="s">
        <v>109</v>
      </c>
      <c r="C455" t="s">
        <v>24</v>
      </c>
      <c r="D455" t="s">
        <v>22</v>
      </c>
      <c r="E455">
        <v>1020055</v>
      </c>
    </row>
    <row r="456" spans="1:5" x14ac:dyDescent="0.25">
      <c r="A456" t="s">
        <v>223</v>
      </c>
      <c r="B456" t="s">
        <v>109</v>
      </c>
      <c r="C456" t="s">
        <v>24</v>
      </c>
      <c r="D456" t="s">
        <v>22</v>
      </c>
      <c r="E456">
        <v>1020055</v>
      </c>
    </row>
    <row r="457" spans="1:5" x14ac:dyDescent="0.25">
      <c r="A457" t="s">
        <v>239</v>
      </c>
      <c r="B457" t="s">
        <v>109</v>
      </c>
      <c r="C457" t="s">
        <v>24</v>
      </c>
      <c r="D457" t="s">
        <v>22</v>
      </c>
      <c r="E457">
        <v>1020055</v>
      </c>
    </row>
    <row r="458" spans="1:5" x14ac:dyDescent="0.25">
      <c r="A458" t="s">
        <v>264</v>
      </c>
      <c r="B458" t="s">
        <v>109</v>
      </c>
      <c r="C458" t="s">
        <v>24</v>
      </c>
      <c r="D458" t="s">
        <v>22</v>
      </c>
      <c r="E458">
        <v>1020055</v>
      </c>
    </row>
    <row r="459" spans="1:5" x14ac:dyDescent="0.25">
      <c r="A459" t="s">
        <v>362</v>
      </c>
      <c r="B459" t="s">
        <v>109</v>
      </c>
      <c r="C459" t="s">
        <v>24</v>
      </c>
      <c r="D459" t="s">
        <v>22</v>
      </c>
      <c r="E459">
        <v>1020055</v>
      </c>
    </row>
    <row r="460" spans="1:5" x14ac:dyDescent="0.25">
      <c r="A460" t="s">
        <v>384</v>
      </c>
      <c r="B460" t="s">
        <v>109</v>
      </c>
      <c r="C460" t="s">
        <v>24</v>
      </c>
      <c r="D460" t="s">
        <v>22</v>
      </c>
      <c r="E460">
        <v>1020055</v>
      </c>
    </row>
    <row r="461" spans="1:5" x14ac:dyDescent="0.25">
      <c r="A461" t="s">
        <v>588</v>
      </c>
      <c r="B461" t="s">
        <v>589</v>
      </c>
      <c r="C461" t="s">
        <v>24</v>
      </c>
      <c r="D461" t="s">
        <v>22</v>
      </c>
      <c r="E461">
        <v>1020055</v>
      </c>
    </row>
    <row r="462" spans="1:5" x14ac:dyDescent="0.25">
      <c r="A462" t="s">
        <v>624</v>
      </c>
      <c r="B462" t="s">
        <v>589</v>
      </c>
      <c r="C462" t="s">
        <v>24</v>
      </c>
      <c r="D462" t="s">
        <v>22</v>
      </c>
      <c r="E462">
        <v>1020055</v>
      </c>
    </row>
    <row r="463" spans="1:5" x14ac:dyDescent="0.25">
      <c r="A463" t="s">
        <v>1449</v>
      </c>
      <c r="B463" t="s">
        <v>1254</v>
      </c>
      <c r="C463" t="s">
        <v>72</v>
      </c>
      <c r="D463" t="s">
        <v>511</v>
      </c>
      <c r="E463">
        <v>1020107</v>
      </c>
    </row>
    <row r="464" spans="1:5" x14ac:dyDescent="0.25">
      <c r="A464" t="s">
        <v>2915</v>
      </c>
      <c r="B464" t="s">
        <v>2363</v>
      </c>
      <c r="C464" t="s">
        <v>4207</v>
      </c>
      <c r="D464" t="s">
        <v>483</v>
      </c>
      <c r="E464">
        <v>1020096</v>
      </c>
    </row>
    <row r="465" spans="1:5" x14ac:dyDescent="0.25">
      <c r="A465" t="s">
        <v>2906</v>
      </c>
      <c r="B465" t="s">
        <v>2363</v>
      </c>
      <c r="C465" t="s">
        <v>4207</v>
      </c>
      <c r="D465" t="s">
        <v>483</v>
      </c>
      <c r="E465">
        <v>1020096</v>
      </c>
    </row>
    <row r="466" spans="1:5" x14ac:dyDescent="0.25">
      <c r="A466" t="s">
        <v>348</v>
      </c>
      <c r="B466" t="s">
        <v>349</v>
      </c>
      <c r="C466" t="s">
        <v>24</v>
      </c>
      <c r="D466" t="s">
        <v>22</v>
      </c>
      <c r="E466">
        <v>1020055</v>
      </c>
    </row>
    <row r="467" spans="1:5" x14ac:dyDescent="0.25">
      <c r="A467" t="s">
        <v>1290</v>
      </c>
      <c r="B467" t="s">
        <v>349</v>
      </c>
      <c r="C467" t="s">
        <v>24</v>
      </c>
      <c r="D467" t="s">
        <v>407</v>
      </c>
      <c r="E467">
        <v>1020100</v>
      </c>
    </row>
    <row r="468" spans="1:5" x14ac:dyDescent="0.25">
      <c r="A468" t="s">
        <v>1339</v>
      </c>
      <c r="B468" t="s">
        <v>349</v>
      </c>
      <c r="C468" t="s">
        <v>24</v>
      </c>
      <c r="D468" t="s">
        <v>22</v>
      </c>
      <c r="E468">
        <v>1020055</v>
      </c>
    </row>
    <row r="469" spans="1:5" x14ac:dyDescent="0.25">
      <c r="A469" t="s">
        <v>3899</v>
      </c>
      <c r="B469" t="s">
        <v>349</v>
      </c>
      <c r="C469" t="s">
        <v>24</v>
      </c>
      <c r="D469" t="s">
        <v>710</v>
      </c>
      <c r="E469">
        <v>1020088</v>
      </c>
    </row>
    <row r="470" spans="1:5" x14ac:dyDescent="0.25">
      <c r="A470" t="s">
        <v>3952</v>
      </c>
      <c r="B470" t="s">
        <v>3858</v>
      </c>
      <c r="C470" t="s">
        <v>24</v>
      </c>
      <c r="D470" t="s">
        <v>483</v>
      </c>
      <c r="E470">
        <v>1020096</v>
      </c>
    </row>
    <row r="471" spans="1:5" x14ac:dyDescent="0.25">
      <c r="A471" t="s">
        <v>4548</v>
      </c>
      <c r="B471" t="s">
        <v>3858</v>
      </c>
      <c r="C471" t="s">
        <v>24</v>
      </c>
      <c r="D471" t="s">
        <v>710</v>
      </c>
      <c r="E471">
        <v>1020088</v>
      </c>
    </row>
    <row r="472" spans="1:5" x14ac:dyDescent="0.25">
      <c r="A472" t="s">
        <v>806</v>
      </c>
      <c r="B472" t="s">
        <v>807</v>
      </c>
      <c r="C472" t="s">
        <v>24</v>
      </c>
      <c r="D472" t="s">
        <v>22</v>
      </c>
      <c r="E472">
        <v>1020055</v>
      </c>
    </row>
    <row r="473" spans="1:5" x14ac:dyDescent="0.25">
      <c r="A473" t="s">
        <v>1663</v>
      </c>
      <c r="B473" t="s">
        <v>1635</v>
      </c>
      <c r="C473" t="s">
        <v>24</v>
      </c>
      <c r="D473" t="s">
        <v>367</v>
      </c>
      <c r="E473">
        <v>1020091</v>
      </c>
    </row>
    <row r="474" spans="1:5" x14ac:dyDescent="0.25">
      <c r="A474" t="s">
        <v>600</v>
      </c>
      <c r="B474" t="s">
        <v>601</v>
      </c>
      <c r="C474" t="s">
        <v>24</v>
      </c>
      <c r="D474" t="s">
        <v>22</v>
      </c>
      <c r="E474">
        <v>1020055</v>
      </c>
    </row>
    <row r="475" spans="1:5" x14ac:dyDescent="0.25">
      <c r="A475" t="s">
        <v>762</v>
      </c>
      <c r="B475" t="s">
        <v>601</v>
      </c>
      <c r="C475" t="s">
        <v>24</v>
      </c>
      <c r="D475" t="s">
        <v>407</v>
      </c>
      <c r="E475">
        <v>1020100</v>
      </c>
    </row>
    <row r="476" spans="1:5" x14ac:dyDescent="0.25">
      <c r="A476" t="s">
        <v>687</v>
      </c>
      <c r="B476" t="s">
        <v>688</v>
      </c>
      <c r="C476" t="s">
        <v>72</v>
      </c>
      <c r="D476" t="s">
        <v>367</v>
      </c>
      <c r="E476">
        <v>1020091</v>
      </c>
    </row>
    <row r="477" spans="1:5" x14ac:dyDescent="0.25">
      <c r="A477" t="s">
        <v>1370</v>
      </c>
      <c r="B477" t="s">
        <v>1296</v>
      </c>
      <c r="C477" t="s">
        <v>3221</v>
      </c>
      <c r="D477" t="s">
        <v>81</v>
      </c>
      <c r="E477">
        <v>1020070</v>
      </c>
    </row>
    <row r="478" spans="1:5" x14ac:dyDescent="0.25">
      <c r="A478" t="s">
        <v>4392</v>
      </c>
      <c r="B478" t="s">
        <v>1296</v>
      </c>
      <c r="C478" t="s">
        <v>72</v>
      </c>
      <c r="D478" t="s">
        <v>367</v>
      </c>
      <c r="E478">
        <v>1020091</v>
      </c>
    </row>
    <row r="479" spans="1:5" x14ac:dyDescent="0.25">
      <c r="A479" t="s">
        <v>4628</v>
      </c>
      <c r="B479" t="s">
        <v>1296</v>
      </c>
      <c r="C479" t="s">
        <v>72</v>
      </c>
      <c r="D479" t="s">
        <v>367</v>
      </c>
      <c r="E479">
        <v>1020091</v>
      </c>
    </row>
    <row r="480" spans="1:5" x14ac:dyDescent="0.25">
      <c r="A480" t="s">
        <v>2041</v>
      </c>
      <c r="B480" t="s">
        <v>1296</v>
      </c>
      <c r="C480" t="s">
        <v>72</v>
      </c>
      <c r="D480" t="s">
        <v>483</v>
      </c>
      <c r="E480">
        <v>1020096</v>
      </c>
    </row>
    <row r="481" spans="1:5" x14ac:dyDescent="0.25">
      <c r="A481" t="s">
        <v>1286</v>
      </c>
      <c r="B481" t="s">
        <v>832</v>
      </c>
      <c r="C481" t="s">
        <v>1791</v>
      </c>
      <c r="D481" t="s">
        <v>22</v>
      </c>
      <c r="E481">
        <v>1020055</v>
      </c>
    </row>
    <row r="482" spans="1:5" x14ac:dyDescent="0.25">
      <c r="A482" t="s">
        <v>4737</v>
      </c>
      <c r="B482" t="s">
        <v>4678</v>
      </c>
      <c r="C482" t="s">
        <v>80</v>
      </c>
      <c r="D482" t="s">
        <v>90</v>
      </c>
      <c r="E482">
        <v>1020001</v>
      </c>
    </row>
    <row r="483" spans="1:5" x14ac:dyDescent="0.25">
      <c r="A483" t="s">
        <v>421</v>
      </c>
      <c r="B483" t="s">
        <v>422</v>
      </c>
      <c r="C483" t="s">
        <v>24</v>
      </c>
      <c r="D483" t="s">
        <v>413</v>
      </c>
    </row>
    <row r="484" spans="1:5" x14ac:dyDescent="0.25">
      <c r="A484" t="s">
        <v>713</v>
      </c>
      <c r="B484" t="s">
        <v>714</v>
      </c>
      <c r="C484" t="s">
        <v>24</v>
      </c>
      <c r="D484" t="s">
        <v>710</v>
      </c>
      <c r="E484">
        <v>1020088</v>
      </c>
    </row>
    <row r="485" spans="1:5" x14ac:dyDescent="0.25">
      <c r="A485" t="s">
        <v>3898</v>
      </c>
      <c r="B485" t="s">
        <v>3292</v>
      </c>
      <c r="C485" t="s">
        <v>24</v>
      </c>
      <c r="D485" t="s">
        <v>710</v>
      </c>
      <c r="E485">
        <v>1020088</v>
      </c>
    </row>
    <row r="486" spans="1:5" x14ac:dyDescent="0.25">
      <c r="A486" t="s">
        <v>1606</v>
      </c>
      <c r="B486" t="s">
        <v>1575</v>
      </c>
      <c r="C486" t="s">
        <v>24</v>
      </c>
      <c r="D486" t="s">
        <v>710</v>
      </c>
      <c r="E486">
        <v>1020088</v>
      </c>
    </row>
    <row r="487" spans="1:5" x14ac:dyDescent="0.25">
      <c r="A487" t="s">
        <v>3570</v>
      </c>
      <c r="B487" t="s">
        <v>3330</v>
      </c>
      <c r="C487" t="s">
        <v>24</v>
      </c>
      <c r="D487" t="s">
        <v>613</v>
      </c>
      <c r="E487">
        <v>1020106</v>
      </c>
    </row>
    <row r="488" spans="1:5" x14ac:dyDescent="0.25">
      <c r="A488" t="s">
        <v>749</v>
      </c>
      <c r="B488" t="s">
        <v>750</v>
      </c>
      <c r="C488" t="s">
        <v>3221</v>
      </c>
      <c r="D488" t="s">
        <v>81</v>
      </c>
      <c r="E488">
        <v>1020070</v>
      </c>
    </row>
    <row r="489" spans="1:5" x14ac:dyDescent="0.25">
      <c r="A489" t="s">
        <v>1470</v>
      </c>
      <c r="B489" t="s">
        <v>750</v>
      </c>
      <c r="C489" t="s">
        <v>72</v>
      </c>
      <c r="D489" t="s">
        <v>81</v>
      </c>
      <c r="E489">
        <v>1020070</v>
      </c>
    </row>
    <row r="490" spans="1:5" x14ac:dyDescent="0.25">
      <c r="A490" t="s">
        <v>654</v>
      </c>
      <c r="B490" t="s">
        <v>655</v>
      </c>
      <c r="C490" t="s">
        <v>24</v>
      </c>
      <c r="D490" t="s">
        <v>22</v>
      </c>
      <c r="E490">
        <v>1020055</v>
      </c>
    </row>
    <row r="491" spans="1:5" x14ac:dyDescent="0.25">
      <c r="A491" t="s">
        <v>525</v>
      </c>
      <c r="B491" t="s">
        <v>526</v>
      </c>
      <c r="C491" t="s">
        <v>24</v>
      </c>
      <c r="D491" t="s">
        <v>22</v>
      </c>
      <c r="E491">
        <v>1020055</v>
      </c>
    </row>
    <row r="492" spans="1:5" x14ac:dyDescent="0.25">
      <c r="A492" t="s">
        <v>827</v>
      </c>
      <c r="B492" t="s">
        <v>828</v>
      </c>
      <c r="C492" t="s">
        <v>24</v>
      </c>
      <c r="D492" t="s">
        <v>22</v>
      </c>
      <c r="E492">
        <v>1020055</v>
      </c>
    </row>
    <row r="493" spans="1:5" x14ac:dyDescent="0.25">
      <c r="A493" t="s">
        <v>1855</v>
      </c>
      <c r="B493" t="s">
        <v>526</v>
      </c>
      <c r="C493" t="s">
        <v>24</v>
      </c>
      <c r="D493" t="s">
        <v>483</v>
      </c>
      <c r="E493">
        <v>1020096</v>
      </c>
    </row>
    <row r="494" spans="1:5" x14ac:dyDescent="0.25">
      <c r="A494" t="s">
        <v>3328</v>
      </c>
      <c r="B494" t="s">
        <v>828</v>
      </c>
      <c r="C494" t="s">
        <v>24</v>
      </c>
      <c r="D494" t="s">
        <v>483</v>
      </c>
      <c r="E494">
        <v>1020096</v>
      </c>
    </row>
    <row r="495" spans="1:5" x14ac:dyDescent="0.25">
      <c r="A495" t="s">
        <v>1129</v>
      </c>
      <c r="B495" t="s">
        <v>1130</v>
      </c>
      <c r="C495" t="s">
        <v>3220</v>
      </c>
      <c r="D495" t="s">
        <v>367</v>
      </c>
      <c r="E495">
        <v>1020091</v>
      </c>
    </row>
    <row r="496" spans="1:5" x14ac:dyDescent="0.25">
      <c r="A496" t="s">
        <v>452</v>
      </c>
      <c r="B496" t="s">
        <v>453</v>
      </c>
      <c r="C496" t="s">
        <v>72</v>
      </c>
      <c r="D496" t="s">
        <v>367</v>
      </c>
      <c r="E496">
        <v>1020091</v>
      </c>
    </row>
    <row r="497" spans="1:5" x14ac:dyDescent="0.25">
      <c r="A497" t="s">
        <v>470</v>
      </c>
      <c r="B497" t="s">
        <v>453</v>
      </c>
      <c r="C497" t="s">
        <v>72</v>
      </c>
      <c r="D497" t="s">
        <v>367</v>
      </c>
      <c r="E497">
        <v>1020091</v>
      </c>
    </row>
    <row r="498" spans="1:5" x14ac:dyDescent="0.25">
      <c r="A498" t="s">
        <v>185</v>
      </c>
      <c r="B498" t="s">
        <v>186</v>
      </c>
      <c r="C498" t="s">
        <v>80</v>
      </c>
      <c r="D498" t="s">
        <v>81</v>
      </c>
      <c r="E498">
        <v>1020070</v>
      </c>
    </row>
    <row r="499" spans="1:5" x14ac:dyDescent="0.25">
      <c r="A499" t="s">
        <v>1662</v>
      </c>
      <c r="B499" t="s">
        <v>1630</v>
      </c>
      <c r="C499" t="s">
        <v>24</v>
      </c>
      <c r="D499" t="s">
        <v>367</v>
      </c>
      <c r="E499">
        <v>1020091</v>
      </c>
    </row>
    <row r="500" spans="1:5" x14ac:dyDescent="0.25">
      <c r="A500" t="s">
        <v>598</v>
      </c>
      <c r="B500" t="s">
        <v>599</v>
      </c>
      <c r="C500" t="s">
        <v>24</v>
      </c>
      <c r="D500" t="s">
        <v>22</v>
      </c>
      <c r="E500">
        <v>1020055</v>
      </c>
    </row>
    <row r="501" spans="1:5" x14ac:dyDescent="0.25">
      <c r="A501" t="s">
        <v>647</v>
      </c>
      <c r="B501" t="s">
        <v>648</v>
      </c>
      <c r="C501" t="s">
        <v>24</v>
      </c>
      <c r="D501" t="s">
        <v>22</v>
      </c>
      <c r="E501">
        <v>1020055</v>
      </c>
    </row>
    <row r="502" spans="1:5" x14ac:dyDescent="0.25">
      <c r="A502" t="s">
        <v>1749</v>
      </c>
      <c r="B502" t="s">
        <v>1716</v>
      </c>
      <c r="C502" t="s">
        <v>869</v>
      </c>
      <c r="D502" t="s">
        <v>1762</v>
      </c>
    </row>
    <row r="503" spans="1:5" x14ac:dyDescent="0.25">
      <c r="A503" t="s">
        <v>416</v>
      </c>
      <c r="B503" t="s">
        <v>417</v>
      </c>
      <c r="C503" t="s">
        <v>24</v>
      </c>
      <c r="D503" t="s">
        <v>413</v>
      </c>
    </row>
    <row r="504" spans="1:5" x14ac:dyDescent="0.25">
      <c r="A504" t="s">
        <v>1834</v>
      </c>
      <c r="B504" t="s">
        <v>1647</v>
      </c>
      <c r="C504" t="s">
        <v>72</v>
      </c>
      <c r="D504" t="s">
        <v>483</v>
      </c>
      <c r="E504">
        <v>1020096</v>
      </c>
    </row>
    <row r="505" spans="1:5" x14ac:dyDescent="0.25">
      <c r="A505" t="s">
        <v>1858</v>
      </c>
      <c r="B505" t="s">
        <v>1788</v>
      </c>
      <c r="C505" t="s">
        <v>24</v>
      </c>
      <c r="D505" t="s">
        <v>483</v>
      </c>
      <c r="E505">
        <v>1020096</v>
      </c>
    </row>
    <row r="506" spans="1:5" x14ac:dyDescent="0.25">
      <c r="A506" t="s">
        <v>275</v>
      </c>
      <c r="B506" t="s">
        <v>276</v>
      </c>
      <c r="C506" t="s">
        <v>24</v>
      </c>
      <c r="D506" t="s">
        <v>22</v>
      </c>
      <c r="E506">
        <v>1020055</v>
      </c>
    </row>
    <row r="507" spans="1:5" x14ac:dyDescent="0.25">
      <c r="A507" t="s">
        <v>339</v>
      </c>
      <c r="B507" t="s">
        <v>276</v>
      </c>
      <c r="C507" t="s">
        <v>24</v>
      </c>
      <c r="D507" t="s">
        <v>22</v>
      </c>
      <c r="E507">
        <v>1020055</v>
      </c>
    </row>
    <row r="508" spans="1:5" x14ac:dyDescent="0.25">
      <c r="A508" t="s">
        <v>522</v>
      </c>
      <c r="B508" t="s">
        <v>523</v>
      </c>
      <c r="C508" t="s">
        <v>24</v>
      </c>
      <c r="D508" t="s">
        <v>22</v>
      </c>
      <c r="E508">
        <v>1020055</v>
      </c>
    </row>
    <row r="509" spans="1:5" x14ac:dyDescent="0.25">
      <c r="A509" t="s">
        <v>583</v>
      </c>
      <c r="B509" t="s">
        <v>523</v>
      </c>
      <c r="C509" t="s">
        <v>24</v>
      </c>
      <c r="D509" t="s">
        <v>22</v>
      </c>
      <c r="E509">
        <v>1020055</v>
      </c>
    </row>
    <row r="510" spans="1:5" x14ac:dyDescent="0.25">
      <c r="A510" t="s">
        <v>628</v>
      </c>
      <c r="B510" t="s">
        <v>523</v>
      </c>
      <c r="C510" t="s">
        <v>24</v>
      </c>
      <c r="D510" t="s">
        <v>22</v>
      </c>
      <c r="E510">
        <v>1020055</v>
      </c>
    </row>
    <row r="511" spans="1:5" x14ac:dyDescent="0.25">
      <c r="A511" t="s">
        <v>3719</v>
      </c>
      <c r="B511" t="s">
        <v>523</v>
      </c>
      <c r="C511" t="s">
        <v>1791</v>
      </c>
      <c r="D511" t="s">
        <v>328</v>
      </c>
      <c r="E511">
        <v>1020097</v>
      </c>
    </row>
    <row r="512" spans="1:5" x14ac:dyDescent="0.25">
      <c r="A512" t="s">
        <v>1734</v>
      </c>
      <c r="B512" t="s">
        <v>1696</v>
      </c>
      <c r="C512" t="s">
        <v>24</v>
      </c>
      <c r="D512" t="s">
        <v>367</v>
      </c>
      <c r="E512">
        <v>1020091</v>
      </c>
    </row>
    <row r="513" spans="1:5" x14ac:dyDescent="0.25">
      <c r="A513" t="s">
        <v>1597</v>
      </c>
      <c r="B513" t="s">
        <v>1581</v>
      </c>
      <c r="C513" t="s">
        <v>24</v>
      </c>
      <c r="D513" t="s">
        <v>710</v>
      </c>
      <c r="E513">
        <v>1020088</v>
      </c>
    </row>
    <row r="514" spans="1:5" x14ac:dyDescent="0.25">
      <c r="A514" t="s">
        <v>4566</v>
      </c>
      <c r="B514" t="s">
        <v>4494</v>
      </c>
      <c r="C514" t="s">
        <v>24</v>
      </c>
      <c r="D514" t="s">
        <v>710</v>
      </c>
      <c r="E514">
        <v>1020088</v>
      </c>
    </row>
    <row r="515" spans="1:5" x14ac:dyDescent="0.25">
      <c r="A515" t="s">
        <v>549</v>
      </c>
      <c r="B515" t="s">
        <v>550</v>
      </c>
      <c r="C515" t="s">
        <v>24</v>
      </c>
      <c r="D515" t="s">
        <v>407</v>
      </c>
      <c r="E515">
        <v>1020100</v>
      </c>
    </row>
    <row r="516" spans="1:5" x14ac:dyDescent="0.25">
      <c r="A516" t="s">
        <v>1280</v>
      </c>
      <c r="B516" t="s">
        <v>1239</v>
      </c>
      <c r="C516" t="s">
        <v>24</v>
      </c>
      <c r="D516" t="s">
        <v>407</v>
      </c>
      <c r="E516">
        <v>1020100</v>
      </c>
    </row>
    <row r="517" spans="1:5" x14ac:dyDescent="0.25">
      <c r="A517" t="s">
        <v>458</v>
      </c>
      <c r="B517" t="s">
        <v>459</v>
      </c>
      <c r="C517" t="s">
        <v>72</v>
      </c>
      <c r="D517" t="s">
        <v>81</v>
      </c>
      <c r="E517">
        <v>1020070</v>
      </c>
    </row>
    <row r="518" spans="1:5" x14ac:dyDescent="0.25">
      <c r="A518" t="s">
        <v>4552</v>
      </c>
      <c r="B518" t="s">
        <v>4498</v>
      </c>
      <c r="C518" t="s">
        <v>24</v>
      </c>
      <c r="D518" t="s">
        <v>710</v>
      </c>
      <c r="E518">
        <v>1020088</v>
      </c>
    </row>
    <row r="519" spans="1:5" x14ac:dyDescent="0.25">
      <c r="A519" t="s">
        <v>717</v>
      </c>
      <c r="B519" t="s">
        <v>718</v>
      </c>
      <c r="C519" t="s">
        <v>24</v>
      </c>
      <c r="D519" t="s">
        <v>613</v>
      </c>
      <c r="E519">
        <v>1020106</v>
      </c>
    </row>
    <row r="520" spans="1:5" x14ac:dyDescent="0.25">
      <c r="A520" t="s">
        <v>1491</v>
      </c>
      <c r="B520" t="s">
        <v>718</v>
      </c>
      <c r="C520" t="s">
        <v>24</v>
      </c>
      <c r="D520" t="s">
        <v>407</v>
      </c>
      <c r="E520">
        <v>1020100</v>
      </c>
    </row>
    <row r="521" spans="1:5" x14ac:dyDescent="0.25">
      <c r="A521" t="s">
        <v>3951</v>
      </c>
      <c r="B521" t="s">
        <v>718</v>
      </c>
      <c r="C521" t="s">
        <v>24</v>
      </c>
      <c r="D521" t="s">
        <v>483</v>
      </c>
      <c r="E521">
        <v>1020096</v>
      </c>
    </row>
    <row r="522" spans="1:5" x14ac:dyDescent="0.25">
      <c r="A522" t="s">
        <v>663</v>
      </c>
      <c r="B522" t="s">
        <v>664</v>
      </c>
      <c r="C522" t="s">
        <v>24</v>
      </c>
      <c r="D522" t="s">
        <v>22</v>
      </c>
      <c r="E522">
        <v>1020055</v>
      </c>
    </row>
    <row r="523" spans="1:5" x14ac:dyDescent="0.25">
      <c r="A523" t="s">
        <v>736</v>
      </c>
      <c r="B523" t="s">
        <v>737</v>
      </c>
      <c r="C523" t="s">
        <v>72</v>
      </c>
      <c r="D523" t="s">
        <v>367</v>
      </c>
      <c r="E523">
        <v>1020091</v>
      </c>
    </row>
    <row r="524" spans="1:5" x14ac:dyDescent="0.25">
      <c r="A524" t="s">
        <v>1412</v>
      </c>
      <c r="B524" t="s">
        <v>1361</v>
      </c>
      <c r="C524" t="s">
        <v>24</v>
      </c>
      <c r="D524" t="s">
        <v>22</v>
      </c>
      <c r="E524">
        <v>1020055</v>
      </c>
    </row>
    <row r="525" spans="1:5" x14ac:dyDescent="0.25">
      <c r="A525" t="s">
        <v>1741</v>
      </c>
      <c r="B525" t="s">
        <v>1711</v>
      </c>
      <c r="C525" t="s">
        <v>869</v>
      </c>
      <c r="D525" t="s">
        <v>1762</v>
      </c>
    </row>
    <row r="526" spans="1:5" x14ac:dyDescent="0.25">
      <c r="A526" t="s">
        <v>4197</v>
      </c>
      <c r="B526" t="s">
        <v>4071</v>
      </c>
      <c r="C526" t="s">
        <v>1791</v>
      </c>
      <c r="D526" t="s">
        <v>328</v>
      </c>
      <c r="E526">
        <v>1020097</v>
      </c>
    </row>
    <row r="527" spans="1:5" x14ac:dyDescent="0.25">
      <c r="A527" t="s">
        <v>1522</v>
      </c>
      <c r="B527" t="s">
        <v>1468</v>
      </c>
      <c r="C527" t="s">
        <v>24</v>
      </c>
      <c r="D527" t="s">
        <v>407</v>
      </c>
      <c r="E527">
        <v>1020100</v>
      </c>
    </row>
    <row r="528" spans="1:5" x14ac:dyDescent="0.25">
      <c r="A528" t="s">
        <v>277</v>
      </c>
      <c r="B528" t="s">
        <v>278</v>
      </c>
      <c r="C528" t="s">
        <v>72</v>
      </c>
      <c r="D528" t="s">
        <v>22</v>
      </c>
      <c r="E528">
        <v>1020055</v>
      </c>
    </row>
    <row r="529" spans="1:5" x14ac:dyDescent="0.25">
      <c r="A529" t="s">
        <v>786</v>
      </c>
      <c r="B529" t="s">
        <v>787</v>
      </c>
      <c r="C529" t="s">
        <v>3221</v>
      </c>
      <c r="D529" t="s">
        <v>81</v>
      </c>
      <c r="E529">
        <v>1020070</v>
      </c>
    </row>
    <row r="530" spans="1:5" x14ac:dyDescent="0.25">
      <c r="A530" t="s">
        <v>228</v>
      </c>
      <c r="B530" t="s">
        <v>229</v>
      </c>
      <c r="C530" t="s">
        <v>24</v>
      </c>
      <c r="D530" t="s">
        <v>22</v>
      </c>
      <c r="E530">
        <v>1020055</v>
      </c>
    </row>
    <row r="531" spans="1:5" x14ac:dyDescent="0.25">
      <c r="A531" t="s">
        <v>48</v>
      </c>
      <c r="B531" t="s">
        <v>49</v>
      </c>
      <c r="C531" t="s">
        <v>24</v>
      </c>
      <c r="D531" t="s">
        <v>22</v>
      </c>
      <c r="E531">
        <v>1020055</v>
      </c>
    </row>
    <row r="532" spans="1:5" x14ac:dyDescent="0.25">
      <c r="A532" t="s">
        <v>118</v>
      </c>
      <c r="B532" t="s">
        <v>119</v>
      </c>
      <c r="C532" t="s">
        <v>24</v>
      </c>
      <c r="D532" t="s">
        <v>22</v>
      </c>
      <c r="E532">
        <v>1020055</v>
      </c>
    </row>
    <row r="533" spans="1:5" x14ac:dyDescent="0.25">
      <c r="A533" t="s">
        <v>192</v>
      </c>
      <c r="B533" t="s">
        <v>119</v>
      </c>
      <c r="C533" t="s">
        <v>24</v>
      </c>
      <c r="D533" t="s">
        <v>22</v>
      </c>
      <c r="E533">
        <v>1020055</v>
      </c>
    </row>
    <row r="534" spans="1:5" x14ac:dyDescent="0.25">
      <c r="A534" t="s">
        <v>356</v>
      </c>
      <c r="B534" t="s">
        <v>119</v>
      </c>
      <c r="C534" t="s">
        <v>24</v>
      </c>
      <c r="D534" t="s">
        <v>22</v>
      </c>
      <c r="E534">
        <v>1020055</v>
      </c>
    </row>
    <row r="535" spans="1:5" x14ac:dyDescent="0.25">
      <c r="A535" t="s">
        <v>592</v>
      </c>
      <c r="B535" t="s">
        <v>593</v>
      </c>
      <c r="C535" t="s">
        <v>24</v>
      </c>
      <c r="D535" t="s">
        <v>22</v>
      </c>
      <c r="E535">
        <v>1020055</v>
      </c>
    </row>
    <row r="536" spans="1:5" x14ac:dyDescent="0.25">
      <c r="A536" t="s">
        <v>629</v>
      </c>
      <c r="B536" t="s">
        <v>593</v>
      </c>
      <c r="C536" t="s">
        <v>24</v>
      </c>
      <c r="D536" t="s">
        <v>22</v>
      </c>
      <c r="E536">
        <v>1020055</v>
      </c>
    </row>
    <row r="537" spans="1:5" x14ac:dyDescent="0.25">
      <c r="A537" t="s">
        <v>559</v>
      </c>
      <c r="B537" t="s">
        <v>560</v>
      </c>
      <c r="C537" t="s">
        <v>24</v>
      </c>
      <c r="D537" t="s">
        <v>22</v>
      </c>
      <c r="E537">
        <v>1020055</v>
      </c>
    </row>
    <row r="538" spans="1:5" x14ac:dyDescent="0.25">
      <c r="A538" t="s">
        <v>798</v>
      </c>
      <c r="B538" t="s">
        <v>560</v>
      </c>
      <c r="C538" t="s">
        <v>24</v>
      </c>
      <c r="D538" t="s">
        <v>22</v>
      </c>
      <c r="E538">
        <v>1020055</v>
      </c>
    </row>
    <row r="539" spans="1:5" x14ac:dyDescent="0.25">
      <c r="A539" t="s">
        <v>285</v>
      </c>
      <c r="B539" t="s">
        <v>286</v>
      </c>
      <c r="C539" t="s">
        <v>24</v>
      </c>
      <c r="D539" t="s">
        <v>22</v>
      </c>
      <c r="E539">
        <v>1020055</v>
      </c>
    </row>
    <row r="540" spans="1:5" x14ac:dyDescent="0.25">
      <c r="A540" t="s">
        <v>1860</v>
      </c>
      <c r="B540" t="s">
        <v>1787</v>
      </c>
      <c r="C540" t="s">
        <v>24</v>
      </c>
      <c r="D540" t="s">
        <v>483</v>
      </c>
      <c r="E540">
        <v>1020096</v>
      </c>
    </row>
    <row r="541" spans="1:5" x14ac:dyDescent="0.25">
      <c r="A541" t="s">
        <v>533</v>
      </c>
      <c r="B541" t="s">
        <v>535</v>
      </c>
      <c r="C541" t="s">
        <v>1791</v>
      </c>
      <c r="D541" t="s">
        <v>22</v>
      </c>
      <c r="E541">
        <v>1020055</v>
      </c>
    </row>
    <row r="542" spans="1:5" x14ac:dyDescent="0.25">
      <c r="A542" t="s">
        <v>536</v>
      </c>
      <c r="B542" t="s">
        <v>535</v>
      </c>
      <c r="C542" t="s">
        <v>1791</v>
      </c>
      <c r="D542" t="s">
        <v>22</v>
      </c>
      <c r="E542">
        <v>1020055</v>
      </c>
    </row>
    <row r="543" spans="1:5" x14ac:dyDescent="0.25">
      <c r="A543" t="s">
        <v>1368</v>
      </c>
      <c r="B543" t="s">
        <v>535</v>
      </c>
      <c r="C543" t="s">
        <v>1791</v>
      </c>
      <c r="D543" t="s">
        <v>22</v>
      </c>
      <c r="E543">
        <v>1020055</v>
      </c>
    </row>
    <row r="544" spans="1:5" x14ac:dyDescent="0.25">
      <c r="A544" t="s">
        <v>3228</v>
      </c>
      <c r="B544" t="s">
        <v>535</v>
      </c>
      <c r="C544" t="s">
        <v>80</v>
      </c>
      <c r="D544" t="s">
        <v>22</v>
      </c>
      <c r="E544">
        <v>1020055</v>
      </c>
    </row>
    <row r="545" spans="1:5" x14ac:dyDescent="0.25">
      <c r="A545" t="s">
        <v>2919</v>
      </c>
      <c r="B545" t="s">
        <v>535</v>
      </c>
      <c r="C545" t="s">
        <v>80</v>
      </c>
      <c r="D545" t="s">
        <v>22</v>
      </c>
      <c r="E545">
        <v>1020055</v>
      </c>
    </row>
    <row r="546" spans="1:5" x14ac:dyDescent="0.25">
      <c r="A546" t="s">
        <v>4137</v>
      </c>
      <c r="B546" t="s">
        <v>535</v>
      </c>
      <c r="C546" t="s">
        <v>80</v>
      </c>
      <c r="D546" t="s">
        <v>22</v>
      </c>
      <c r="E546">
        <v>1020055</v>
      </c>
    </row>
    <row r="547" spans="1:5" x14ac:dyDescent="0.25">
      <c r="A547" t="s">
        <v>29</v>
      </c>
      <c r="B547" t="s">
        <v>30</v>
      </c>
      <c r="C547" t="s">
        <v>1791</v>
      </c>
      <c r="D547" t="s">
        <v>22</v>
      </c>
      <c r="E547">
        <v>1020055</v>
      </c>
    </row>
    <row r="548" spans="1:5" x14ac:dyDescent="0.25">
      <c r="A548" t="s">
        <v>253</v>
      </c>
      <c r="B548" t="s">
        <v>30</v>
      </c>
      <c r="C548" t="s">
        <v>1791</v>
      </c>
      <c r="D548" t="s">
        <v>22</v>
      </c>
      <c r="E548">
        <v>1020055</v>
      </c>
    </row>
    <row r="549" spans="1:5" x14ac:dyDescent="0.25">
      <c r="A549" t="s">
        <v>491</v>
      </c>
      <c r="B549" t="s">
        <v>492</v>
      </c>
      <c r="C549" t="s">
        <v>72</v>
      </c>
      <c r="D549" t="s">
        <v>487</v>
      </c>
      <c r="E549">
        <v>1020060</v>
      </c>
    </row>
    <row r="550" spans="1:5" x14ac:dyDescent="0.25">
      <c r="A550" t="s">
        <v>171</v>
      </c>
      <c r="B550" t="s">
        <v>172</v>
      </c>
      <c r="C550" t="s">
        <v>24</v>
      </c>
      <c r="D550" t="s">
        <v>22</v>
      </c>
      <c r="E550">
        <v>1020055</v>
      </c>
    </row>
    <row r="551" spans="1:5" x14ac:dyDescent="0.25">
      <c r="A551" t="s">
        <v>1673</v>
      </c>
      <c r="B551" t="s">
        <v>1628</v>
      </c>
      <c r="C551" t="s">
        <v>24</v>
      </c>
      <c r="D551" t="s">
        <v>367</v>
      </c>
      <c r="E551">
        <v>1020091</v>
      </c>
    </row>
    <row r="552" spans="1:5" x14ac:dyDescent="0.25">
      <c r="A552" t="s">
        <v>84</v>
      </c>
      <c r="B552" t="s">
        <v>85</v>
      </c>
      <c r="C552" t="s">
        <v>72</v>
      </c>
      <c r="D552" t="s">
        <v>304</v>
      </c>
      <c r="E552">
        <v>1020098</v>
      </c>
    </row>
    <row r="553" spans="1:5" x14ac:dyDescent="0.25">
      <c r="A553" t="s">
        <v>87</v>
      </c>
      <c r="B553" t="s">
        <v>85</v>
      </c>
      <c r="C553" t="s">
        <v>72</v>
      </c>
      <c r="D553" t="s">
        <v>304</v>
      </c>
      <c r="E553">
        <v>1020098</v>
      </c>
    </row>
    <row r="554" spans="1:5" x14ac:dyDescent="0.25">
      <c r="A554" t="s">
        <v>1519</v>
      </c>
      <c r="B554" t="s">
        <v>1465</v>
      </c>
      <c r="C554" t="s">
        <v>24</v>
      </c>
      <c r="D554" t="s">
        <v>407</v>
      </c>
      <c r="E554">
        <v>1020100</v>
      </c>
    </row>
    <row r="555" spans="1:5" x14ac:dyDescent="0.25">
      <c r="A555" t="s">
        <v>1616</v>
      </c>
      <c r="B555" t="s">
        <v>1567</v>
      </c>
      <c r="C555" t="s">
        <v>24</v>
      </c>
      <c r="D555" t="s">
        <v>407</v>
      </c>
      <c r="E555">
        <v>1020100</v>
      </c>
    </row>
    <row r="556" spans="1:5" x14ac:dyDescent="0.25">
      <c r="A556" t="s">
        <v>3145</v>
      </c>
      <c r="B556" t="s">
        <v>2926</v>
      </c>
      <c r="C556" t="s">
        <v>3287</v>
      </c>
      <c r="D556" t="s">
        <v>22</v>
      </c>
      <c r="E556">
        <v>1020055</v>
      </c>
    </row>
    <row r="557" spans="1:5" x14ac:dyDescent="0.25">
      <c r="A557" t="s">
        <v>759</v>
      </c>
      <c r="B557" t="s">
        <v>760</v>
      </c>
      <c r="C557" t="s">
        <v>24</v>
      </c>
      <c r="D557" t="s">
        <v>407</v>
      </c>
      <c r="E557">
        <v>1020100</v>
      </c>
    </row>
    <row r="558" spans="1:5" x14ac:dyDescent="0.25">
      <c r="A558" t="s">
        <v>1295</v>
      </c>
      <c r="B558" t="s">
        <v>760</v>
      </c>
      <c r="C558" t="s">
        <v>24</v>
      </c>
      <c r="D558" t="s">
        <v>407</v>
      </c>
      <c r="E558">
        <v>1020100</v>
      </c>
    </row>
    <row r="559" spans="1:5" x14ac:dyDescent="0.25">
      <c r="A559" t="s">
        <v>1500</v>
      </c>
      <c r="B559" t="s">
        <v>760</v>
      </c>
      <c r="C559" t="s">
        <v>24</v>
      </c>
      <c r="D559" t="s">
        <v>407</v>
      </c>
      <c r="E559">
        <v>1020100</v>
      </c>
    </row>
    <row r="560" spans="1:5" x14ac:dyDescent="0.25">
      <c r="A560" t="s">
        <v>3322</v>
      </c>
      <c r="B560" t="s">
        <v>3230</v>
      </c>
      <c r="C560" t="s">
        <v>24</v>
      </c>
      <c r="D560" t="s">
        <v>483</v>
      </c>
      <c r="E560">
        <v>1020096</v>
      </c>
    </row>
    <row r="561" spans="1:5" x14ac:dyDescent="0.25">
      <c r="A561" t="s">
        <v>3954</v>
      </c>
      <c r="B561" t="s">
        <v>3857</v>
      </c>
      <c r="C561" t="s">
        <v>24</v>
      </c>
      <c r="D561" t="s">
        <v>483</v>
      </c>
      <c r="E561">
        <v>1020096</v>
      </c>
    </row>
    <row r="562" spans="1:5" x14ac:dyDescent="0.25">
      <c r="A562" t="s">
        <v>1353</v>
      </c>
      <c r="B562" t="s">
        <v>1323</v>
      </c>
      <c r="C562" t="s">
        <v>24</v>
      </c>
      <c r="D562" t="s">
        <v>22</v>
      </c>
      <c r="E562">
        <v>1020055</v>
      </c>
    </row>
    <row r="563" spans="1:5" x14ac:dyDescent="0.25">
      <c r="A563" t="s">
        <v>822</v>
      </c>
      <c r="B563" t="s">
        <v>823</v>
      </c>
      <c r="C563" t="s">
        <v>24</v>
      </c>
      <c r="D563" t="s">
        <v>22</v>
      </c>
      <c r="E563">
        <v>1020055</v>
      </c>
    </row>
    <row r="564" spans="1:5" x14ac:dyDescent="0.25">
      <c r="A564" t="s">
        <v>446</v>
      </c>
      <c r="B564" t="s">
        <v>447</v>
      </c>
      <c r="C564" t="s">
        <v>24</v>
      </c>
      <c r="D564" t="s">
        <v>22</v>
      </c>
      <c r="E564">
        <v>1020055</v>
      </c>
    </row>
    <row r="565" spans="1:5" x14ac:dyDescent="0.25">
      <c r="A565" t="s">
        <v>567</v>
      </c>
      <c r="B565" t="s">
        <v>447</v>
      </c>
      <c r="C565" t="s">
        <v>24</v>
      </c>
      <c r="D565" t="s">
        <v>22</v>
      </c>
      <c r="E565">
        <v>1020055</v>
      </c>
    </row>
    <row r="566" spans="1:5" x14ac:dyDescent="0.25">
      <c r="A566" t="s">
        <v>273</v>
      </c>
      <c r="B566" t="s">
        <v>274</v>
      </c>
      <c r="C566" t="s">
        <v>24</v>
      </c>
      <c r="D566" t="s">
        <v>22</v>
      </c>
      <c r="E566">
        <v>1020055</v>
      </c>
    </row>
    <row r="567" spans="1:5" x14ac:dyDescent="0.25">
      <c r="A567" t="s">
        <v>345</v>
      </c>
      <c r="B567" t="s">
        <v>346</v>
      </c>
      <c r="C567" t="s">
        <v>24</v>
      </c>
      <c r="D567" t="s">
        <v>22</v>
      </c>
      <c r="E567">
        <v>1020055</v>
      </c>
    </row>
    <row r="568" spans="1:5" x14ac:dyDescent="0.25">
      <c r="A568" t="s">
        <v>684</v>
      </c>
      <c r="B568" t="s">
        <v>685</v>
      </c>
      <c r="C568" t="s">
        <v>24</v>
      </c>
      <c r="D568" t="s">
        <v>407</v>
      </c>
      <c r="E568">
        <v>1020100</v>
      </c>
    </row>
    <row r="569" spans="1:5" x14ac:dyDescent="0.25">
      <c r="A569" t="s">
        <v>1733</v>
      </c>
      <c r="B569" t="s">
        <v>1695</v>
      </c>
      <c r="C569" t="s">
        <v>24</v>
      </c>
      <c r="D569" t="s">
        <v>367</v>
      </c>
      <c r="E569">
        <v>1020091</v>
      </c>
    </row>
    <row r="570" spans="1:5" x14ac:dyDescent="0.25">
      <c r="A570" t="s">
        <v>1423</v>
      </c>
      <c r="B570" t="s">
        <v>1327</v>
      </c>
      <c r="C570" t="s">
        <v>24</v>
      </c>
      <c r="D570" t="s">
        <v>22</v>
      </c>
      <c r="E570">
        <v>1020055</v>
      </c>
    </row>
    <row r="571" spans="1:5" x14ac:dyDescent="0.25">
      <c r="A571" t="s">
        <v>645</v>
      </c>
      <c r="B571" t="s">
        <v>646</v>
      </c>
      <c r="C571" t="s">
        <v>24</v>
      </c>
      <c r="D571" t="s">
        <v>22</v>
      </c>
      <c r="E571">
        <v>1020055</v>
      </c>
    </row>
    <row r="572" spans="1:5" x14ac:dyDescent="0.25">
      <c r="A572" t="s">
        <v>3900</v>
      </c>
      <c r="B572" t="s">
        <v>3291</v>
      </c>
      <c r="C572" t="s">
        <v>24</v>
      </c>
      <c r="D572" t="s">
        <v>710</v>
      </c>
      <c r="E572">
        <v>1020088</v>
      </c>
    </row>
    <row r="573" spans="1:5" x14ac:dyDescent="0.25">
      <c r="A573" t="s">
        <v>1437</v>
      </c>
      <c r="B573" t="s">
        <v>1379</v>
      </c>
      <c r="C573" t="s">
        <v>24</v>
      </c>
      <c r="D573" t="s">
        <v>710</v>
      </c>
      <c r="E573">
        <v>1020088</v>
      </c>
    </row>
    <row r="574" spans="1:5" x14ac:dyDescent="0.25">
      <c r="A574" t="s">
        <v>1898</v>
      </c>
      <c r="B574" t="s">
        <v>1379</v>
      </c>
      <c r="C574" t="s">
        <v>24</v>
      </c>
      <c r="D574" t="s">
        <v>710</v>
      </c>
      <c r="E574">
        <v>1020088</v>
      </c>
    </row>
    <row r="575" spans="1:5" x14ac:dyDescent="0.25">
      <c r="A575" t="s">
        <v>396</v>
      </c>
      <c r="B575" t="s">
        <v>397</v>
      </c>
      <c r="C575" t="s">
        <v>24</v>
      </c>
      <c r="D575" t="s">
        <v>22</v>
      </c>
      <c r="E575">
        <v>1020055</v>
      </c>
    </row>
    <row r="576" spans="1:5" x14ac:dyDescent="0.25">
      <c r="A576" t="s">
        <v>220</v>
      </c>
      <c r="B576" t="s">
        <v>221</v>
      </c>
      <c r="C576" t="s">
        <v>72</v>
      </c>
      <c r="D576" t="s">
        <v>98</v>
      </c>
    </row>
    <row r="577" spans="1:5" x14ac:dyDescent="0.25">
      <c r="A577" t="s">
        <v>409</v>
      </c>
      <c r="B577" t="s">
        <v>221</v>
      </c>
      <c r="C577" t="s">
        <v>66</v>
      </c>
      <c r="D577" t="s">
        <v>410</v>
      </c>
      <c r="E577">
        <v>1020085</v>
      </c>
    </row>
    <row r="578" spans="1:5" x14ac:dyDescent="0.25">
      <c r="A578" t="s">
        <v>541</v>
      </c>
      <c r="B578" t="s">
        <v>542</v>
      </c>
      <c r="C578" t="s">
        <v>24</v>
      </c>
      <c r="D578" t="s">
        <v>407</v>
      </c>
      <c r="E578">
        <v>1020100</v>
      </c>
    </row>
    <row r="579" spans="1:5" x14ac:dyDescent="0.25">
      <c r="A579" t="s">
        <v>681</v>
      </c>
      <c r="B579" t="s">
        <v>542</v>
      </c>
      <c r="C579" t="s">
        <v>24</v>
      </c>
      <c r="D579" t="s">
        <v>407</v>
      </c>
      <c r="E579">
        <v>1020100</v>
      </c>
    </row>
    <row r="580" spans="1:5" x14ac:dyDescent="0.25">
      <c r="A580" t="s">
        <v>820</v>
      </c>
      <c r="B580" t="s">
        <v>821</v>
      </c>
      <c r="C580" t="s">
        <v>24</v>
      </c>
      <c r="D580" t="s">
        <v>22</v>
      </c>
      <c r="E580">
        <v>1020055</v>
      </c>
    </row>
    <row r="581" spans="1:5" x14ac:dyDescent="0.25">
      <c r="A581" t="s">
        <v>1607</v>
      </c>
      <c r="B581" t="s">
        <v>1578</v>
      </c>
      <c r="C581" t="s">
        <v>24</v>
      </c>
      <c r="D581" t="s">
        <v>710</v>
      </c>
      <c r="E581">
        <v>1020088</v>
      </c>
    </row>
    <row r="582" spans="1:5" x14ac:dyDescent="0.25">
      <c r="A582" t="s">
        <v>1343</v>
      </c>
      <c r="B582" t="s">
        <v>1334</v>
      </c>
      <c r="C582" t="s">
        <v>24</v>
      </c>
      <c r="D582" t="s">
        <v>22</v>
      </c>
      <c r="E582">
        <v>1020055</v>
      </c>
    </row>
    <row r="583" spans="1:5" x14ac:dyDescent="0.25">
      <c r="A583" t="s">
        <v>1768</v>
      </c>
      <c r="B583" t="s">
        <v>1698</v>
      </c>
      <c r="C583" t="s">
        <v>24</v>
      </c>
      <c r="D583" t="s">
        <v>710</v>
      </c>
      <c r="E583">
        <v>1020088</v>
      </c>
    </row>
    <row r="584" spans="1:5" x14ac:dyDescent="0.25">
      <c r="A584" t="s">
        <v>3701</v>
      </c>
      <c r="B584" t="s">
        <v>1698</v>
      </c>
      <c r="C584" t="s">
        <v>24</v>
      </c>
      <c r="D584" t="s">
        <v>710</v>
      </c>
      <c r="E584">
        <v>1020088</v>
      </c>
    </row>
    <row r="585" spans="1:5" x14ac:dyDescent="0.25">
      <c r="A585" t="s">
        <v>4547</v>
      </c>
      <c r="B585" t="s">
        <v>1698</v>
      </c>
      <c r="C585" t="s">
        <v>24</v>
      </c>
      <c r="D585" t="s">
        <v>710</v>
      </c>
      <c r="E585">
        <v>1020088</v>
      </c>
    </row>
    <row r="586" spans="1:5" x14ac:dyDescent="0.25">
      <c r="A586" t="s">
        <v>1651</v>
      </c>
      <c r="B586" t="s">
        <v>1613</v>
      </c>
      <c r="C586" t="s">
        <v>24</v>
      </c>
      <c r="D586" t="s">
        <v>367</v>
      </c>
      <c r="E586">
        <v>1020091</v>
      </c>
    </row>
    <row r="587" spans="1:5" x14ac:dyDescent="0.25">
      <c r="A587" t="s">
        <v>58</v>
      </c>
      <c r="B587" t="s">
        <v>59</v>
      </c>
      <c r="C587" t="s">
        <v>24</v>
      </c>
      <c r="D587" t="s">
        <v>22</v>
      </c>
      <c r="E587">
        <v>1020055</v>
      </c>
    </row>
    <row r="588" spans="1:5" x14ac:dyDescent="0.25">
      <c r="A588" t="s">
        <v>1435</v>
      </c>
      <c r="B588" t="s">
        <v>1384</v>
      </c>
      <c r="C588" t="s">
        <v>24</v>
      </c>
      <c r="D588" t="s">
        <v>710</v>
      </c>
      <c r="E588">
        <v>1020088</v>
      </c>
    </row>
    <row r="589" spans="1:5" x14ac:dyDescent="0.25">
      <c r="A589" t="s">
        <v>3713</v>
      </c>
      <c r="B589" t="s">
        <v>3290</v>
      </c>
      <c r="C589" t="s">
        <v>24</v>
      </c>
      <c r="D589" t="s">
        <v>710</v>
      </c>
      <c r="E589">
        <v>1020088</v>
      </c>
    </row>
    <row r="590" spans="1:5" x14ac:dyDescent="0.25">
      <c r="A590" t="s">
        <v>1598</v>
      </c>
      <c r="B590" t="s">
        <v>1572</v>
      </c>
      <c r="C590" t="s">
        <v>24</v>
      </c>
      <c r="D590" t="s">
        <v>710</v>
      </c>
      <c r="E590">
        <v>1020088</v>
      </c>
    </row>
    <row r="591" spans="1:5" x14ac:dyDescent="0.25">
      <c r="A591" t="s">
        <v>1769</v>
      </c>
      <c r="B591" t="s">
        <v>1572</v>
      </c>
      <c r="C591" t="s">
        <v>24</v>
      </c>
      <c r="D591" t="s">
        <v>710</v>
      </c>
      <c r="E591">
        <v>1020088</v>
      </c>
    </row>
    <row r="592" spans="1:5" x14ac:dyDescent="0.25">
      <c r="A592" t="s">
        <v>3265</v>
      </c>
      <c r="B592" t="s">
        <v>1572</v>
      </c>
      <c r="C592" t="s">
        <v>24</v>
      </c>
      <c r="D592" t="s">
        <v>710</v>
      </c>
      <c r="E592">
        <v>1020088</v>
      </c>
    </row>
    <row r="593" spans="1:5" x14ac:dyDescent="0.25">
      <c r="A593" t="s">
        <v>493</v>
      </c>
      <c r="B593" t="s">
        <v>494</v>
      </c>
      <c r="C593" t="s">
        <v>72</v>
      </c>
      <c r="D593" t="s">
        <v>487</v>
      </c>
      <c r="E593">
        <v>1020060</v>
      </c>
    </row>
    <row r="594" spans="1:5" x14ac:dyDescent="0.25">
      <c r="A594" t="s">
        <v>1934</v>
      </c>
      <c r="B594" t="s">
        <v>1641</v>
      </c>
      <c r="C594" t="s">
        <v>72</v>
      </c>
      <c r="D594" t="s">
        <v>483</v>
      </c>
      <c r="E594">
        <v>1020096</v>
      </c>
    </row>
    <row r="595" spans="1:5" x14ac:dyDescent="0.25">
      <c r="A595" t="s">
        <v>2568</v>
      </c>
      <c r="B595" t="s">
        <v>1641</v>
      </c>
      <c r="C595" t="s">
        <v>72</v>
      </c>
      <c r="D595" t="s">
        <v>483</v>
      </c>
      <c r="E595">
        <v>1020096</v>
      </c>
    </row>
    <row r="596" spans="1:5" x14ac:dyDescent="0.25">
      <c r="A596" t="s">
        <v>4394</v>
      </c>
      <c r="B596" t="s">
        <v>1641</v>
      </c>
      <c r="C596" t="s">
        <v>72</v>
      </c>
      <c r="D596" t="s">
        <v>483</v>
      </c>
      <c r="E596">
        <v>1020096</v>
      </c>
    </row>
    <row r="597" spans="1:5" x14ac:dyDescent="0.25">
      <c r="A597" t="s">
        <v>700</v>
      </c>
      <c r="B597" t="s">
        <v>701</v>
      </c>
      <c r="C597" t="s">
        <v>72</v>
      </c>
      <c r="D597" t="s">
        <v>367</v>
      </c>
      <c r="E597">
        <v>1020091</v>
      </c>
    </row>
    <row r="598" spans="1:5" x14ac:dyDescent="0.25">
      <c r="A598" t="s">
        <v>825</v>
      </c>
      <c r="B598" t="s">
        <v>826</v>
      </c>
      <c r="C598" t="s">
        <v>24</v>
      </c>
      <c r="D598" t="s">
        <v>22</v>
      </c>
      <c r="E598">
        <v>1020055</v>
      </c>
    </row>
    <row r="599" spans="1:5" x14ac:dyDescent="0.25">
      <c r="A599" t="s">
        <v>1410</v>
      </c>
      <c r="B599" t="s">
        <v>826</v>
      </c>
      <c r="C599" t="s">
        <v>24</v>
      </c>
      <c r="D599" t="s">
        <v>22</v>
      </c>
      <c r="E599">
        <v>1020055</v>
      </c>
    </row>
    <row r="600" spans="1:5" x14ac:dyDescent="0.25">
      <c r="A600" t="s">
        <v>1447</v>
      </c>
      <c r="B600" t="s">
        <v>1416</v>
      </c>
      <c r="C600" t="s">
        <v>24</v>
      </c>
      <c r="D600" t="s">
        <v>613</v>
      </c>
      <c r="E600">
        <v>1020106</v>
      </c>
    </row>
    <row r="601" spans="1:5" x14ac:dyDescent="0.25">
      <c r="A601" t="s">
        <v>365</v>
      </c>
      <c r="B601" t="s">
        <v>368</v>
      </c>
      <c r="C601" t="s">
        <v>72</v>
      </c>
      <c r="D601" t="s">
        <v>367</v>
      </c>
      <c r="E601">
        <v>1020091</v>
      </c>
    </row>
    <row r="602" spans="1:5" x14ac:dyDescent="0.25">
      <c r="A602" t="s">
        <v>2041</v>
      </c>
      <c r="B602" t="s">
        <v>5177</v>
      </c>
      <c r="C602" t="s">
        <v>72</v>
      </c>
      <c r="D602" t="s">
        <v>4739</v>
      </c>
      <c r="E602">
        <v>1020091</v>
      </c>
    </row>
    <row r="603" spans="1:5" x14ac:dyDescent="0.25">
      <c r="A603" t="s">
        <v>1610</v>
      </c>
      <c r="B603" t="s">
        <v>1556</v>
      </c>
      <c r="C603" t="s">
        <v>72</v>
      </c>
      <c r="D603" t="s">
        <v>613</v>
      </c>
      <c r="E603">
        <v>1020106</v>
      </c>
    </row>
    <row r="604" spans="1:5" x14ac:dyDescent="0.25">
      <c r="A604" t="s">
        <v>1431</v>
      </c>
      <c r="B604" t="s">
        <v>1377</v>
      </c>
      <c r="C604" t="s">
        <v>24</v>
      </c>
      <c r="D604" t="s">
        <v>710</v>
      </c>
      <c r="E604">
        <v>1020088</v>
      </c>
    </row>
    <row r="605" spans="1:5" x14ac:dyDescent="0.25">
      <c r="A605" t="s">
        <v>1872</v>
      </c>
      <c r="B605" t="s">
        <v>1839</v>
      </c>
      <c r="C605" t="s">
        <v>24</v>
      </c>
      <c r="D605" t="s">
        <v>710</v>
      </c>
      <c r="E605">
        <v>1020088</v>
      </c>
    </row>
    <row r="606" spans="1:5" x14ac:dyDescent="0.25">
      <c r="A606" t="s">
        <v>3715</v>
      </c>
      <c r="B606" t="s">
        <v>3289</v>
      </c>
      <c r="C606" t="s">
        <v>24</v>
      </c>
      <c r="D606" t="s">
        <v>710</v>
      </c>
      <c r="E606">
        <v>1020088</v>
      </c>
    </row>
    <row r="607" spans="1:5" x14ac:dyDescent="0.25">
      <c r="A607" t="s">
        <v>776</v>
      </c>
      <c r="B607" t="s">
        <v>777</v>
      </c>
      <c r="C607" t="s">
        <v>24</v>
      </c>
      <c r="D607" t="s">
        <v>710</v>
      </c>
      <c r="E607">
        <v>1020088</v>
      </c>
    </row>
    <row r="608" spans="1:5" x14ac:dyDescent="0.25">
      <c r="A608" t="s">
        <v>4252</v>
      </c>
      <c r="B608" t="s">
        <v>4135</v>
      </c>
      <c r="C608" t="s">
        <v>24</v>
      </c>
      <c r="D608" t="s">
        <v>710</v>
      </c>
      <c r="E608">
        <v>1020088</v>
      </c>
    </row>
    <row r="609" spans="1:5" x14ac:dyDescent="0.25">
      <c r="A609" t="s">
        <v>1409</v>
      </c>
      <c r="B609" t="s">
        <v>1359</v>
      </c>
      <c r="C609" t="s">
        <v>24</v>
      </c>
      <c r="D609" t="s">
        <v>22</v>
      </c>
      <c r="E609">
        <v>1020055</v>
      </c>
    </row>
    <row r="610" spans="1:5" x14ac:dyDescent="0.25">
      <c r="A610" t="s">
        <v>665</v>
      </c>
      <c r="B610" t="s">
        <v>666</v>
      </c>
      <c r="C610" t="s">
        <v>24</v>
      </c>
      <c r="D610" t="s">
        <v>22</v>
      </c>
      <c r="E610">
        <v>1020055</v>
      </c>
    </row>
    <row r="611" spans="1:5" x14ac:dyDescent="0.25">
      <c r="A611" t="s">
        <v>1347</v>
      </c>
      <c r="B611" t="s">
        <v>666</v>
      </c>
      <c r="C611" t="s">
        <v>24</v>
      </c>
      <c r="D611" t="s">
        <v>22</v>
      </c>
      <c r="E611">
        <v>1020055</v>
      </c>
    </row>
    <row r="612" spans="1:5" x14ac:dyDescent="0.25">
      <c r="A612" t="s">
        <v>258</v>
      </c>
      <c r="B612" t="s">
        <v>259</v>
      </c>
      <c r="C612" t="s">
        <v>24</v>
      </c>
      <c r="D612" t="s">
        <v>22</v>
      </c>
      <c r="E612">
        <v>1020055</v>
      </c>
    </row>
    <row r="613" spans="1:5" x14ac:dyDescent="0.25">
      <c r="A613" t="s">
        <v>1685</v>
      </c>
      <c r="B613" t="s">
        <v>1644</v>
      </c>
      <c r="C613" t="s">
        <v>24</v>
      </c>
      <c r="D613" t="s">
        <v>367</v>
      </c>
      <c r="E613">
        <v>1020091</v>
      </c>
    </row>
    <row r="614" spans="1:5" x14ac:dyDescent="0.25">
      <c r="A614" t="s">
        <v>1345</v>
      </c>
      <c r="B614" t="s">
        <v>1325</v>
      </c>
      <c r="C614" t="s">
        <v>24</v>
      </c>
      <c r="D614" t="s">
        <v>22</v>
      </c>
      <c r="E614">
        <v>1020055</v>
      </c>
    </row>
    <row r="615" spans="1:5" x14ac:dyDescent="0.25">
      <c r="A615" t="s">
        <v>1669</v>
      </c>
      <c r="B615" t="s">
        <v>1633</v>
      </c>
      <c r="C615" t="s">
        <v>24</v>
      </c>
      <c r="D615" t="s">
        <v>367</v>
      </c>
      <c r="E615">
        <v>1020091</v>
      </c>
    </row>
    <row r="616" spans="1:5" x14ac:dyDescent="0.25">
      <c r="A616" t="s">
        <v>1255</v>
      </c>
      <c r="B616" t="s">
        <v>837</v>
      </c>
      <c r="C616" t="s">
        <v>24</v>
      </c>
      <c r="D616" t="s">
        <v>710</v>
      </c>
      <c r="E616">
        <v>1020088</v>
      </c>
    </row>
    <row r="617" spans="1:5" x14ac:dyDescent="0.25">
      <c r="A617" t="s">
        <v>2916</v>
      </c>
      <c r="B617" t="s">
        <v>2799</v>
      </c>
      <c r="C617" t="s">
        <v>24</v>
      </c>
      <c r="D617" t="s">
        <v>710</v>
      </c>
      <c r="E617">
        <v>1020088</v>
      </c>
    </row>
    <row r="618" spans="1:5" x14ac:dyDescent="0.25">
      <c r="A618" t="s">
        <v>4549</v>
      </c>
      <c r="B618" t="s">
        <v>2799</v>
      </c>
      <c r="C618" t="s">
        <v>24</v>
      </c>
      <c r="D618" t="s">
        <v>710</v>
      </c>
      <c r="E618">
        <v>1020088</v>
      </c>
    </row>
    <row r="619" spans="1:5" x14ac:dyDescent="0.25">
      <c r="A619" t="s">
        <v>195</v>
      </c>
      <c r="B619" t="s">
        <v>196</v>
      </c>
      <c r="C619" t="s">
        <v>24</v>
      </c>
      <c r="D619" t="s">
        <v>22</v>
      </c>
      <c r="E619">
        <v>1020055</v>
      </c>
    </row>
    <row r="620" spans="1:5" x14ac:dyDescent="0.25">
      <c r="A620" t="s">
        <v>2620</v>
      </c>
      <c r="B620" t="s">
        <v>2564</v>
      </c>
      <c r="C620" t="s">
        <v>24</v>
      </c>
      <c r="D620" t="s">
        <v>22</v>
      </c>
      <c r="E620">
        <v>1020055</v>
      </c>
    </row>
    <row r="621" spans="1:5" x14ac:dyDescent="0.25">
      <c r="A621" t="s">
        <v>1639</v>
      </c>
      <c r="B621" t="s">
        <v>1582</v>
      </c>
      <c r="C621" t="s">
        <v>72</v>
      </c>
      <c r="D621" t="s">
        <v>511</v>
      </c>
      <c r="E621">
        <v>1020107</v>
      </c>
    </row>
    <row r="622" spans="1:5" x14ac:dyDescent="0.25">
      <c r="A622" t="s">
        <v>1781</v>
      </c>
      <c r="B622" t="s">
        <v>1723</v>
      </c>
      <c r="C622" t="s">
        <v>869</v>
      </c>
      <c r="D622" t="s">
        <v>1762</v>
      </c>
    </row>
    <row r="623" spans="1:5" x14ac:dyDescent="0.25">
      <c r="A623" t="s">
        <v>411</v>
      </c>
      <c r="B623" t="s">
        <v>412</v>
      </c>
      <c r="C623" t="s">
        <v>24</v>
      </c>
      <c r="D623" t="s">
        <v>413</v>
      </c>
    </row>
    <row r="624" spans="1:5" x14ac:dyDescent="0.25">
      <c r="A624" t="s">
        <v>3567</v>
      </c>
      <c r="B624" t="s">
        <v>3331</v>
      </c>
      <c r="C624" t="s">
        <v>24</v>
      </c>
      <c r="D624" t="s">
        <v>613</v>
      </c>
      <c r="E624">
        <v>1020106</v>
      </c>
    </row>
    <row r="625" spans="1:5" x14ac:dyDescent="0.25">
      <c r="A625" t="s">
        <v>799</v>
      </c>
      <c r="B625" t="s">
        <v>800</v>
      </c>
      <c r="C625" t="s">
        <v>24</v>
      </c>
      <c r="D625" t="s">
        <v>22</v>
      </c>
      <c r="E625">
        <v>1020055</v>
      </c>
    </row>
    <row r="626" spans="1:5" x14ac:dyDescent="0.25">
      <c r="A626" t="s">
        <v>1565</v>
      </c>
      <c r="B626" t="s">
        <v>1543</v>
      </c>
      <c r="C626" t="s">
        <v>24</v>
      </c>
      <c r="D626" t="s">
        <v>613</v>
      </c>
      <c r="E626">
        <v>1020106</v>
      </c>
    </row>
    <row r="627" spans="1:5" x14ac:dyDescent="0.25">
      <c r="A627" t="s">
        <v>1821</v>
      </c>
      <c r="B627" t="s">
        <v>1701</v>
      </c>
      <c r="C627" t="s">
        <v>24</v>
      </c>
      <c r="D627" t="s">
        <v>613</v>
      </c>
      <c r="E627">
        <v>1020106</v>
      </c>
    </row>
    <row r="628" spans="1:5" x14ac:dyDescent="0.25">
      <c r="A628" t="s">
        <v>694</v>
      </c>
      <c r="B628" t="s">
        <v>695</v>
      </c>
      <c r="C628" t="s">
        <v>24</v>
      </c>
      <c r="D628" t="s">
        <v>613</v>
      </c>
      <c r="E628">
        <v>1020106</v>
      </c>
    </row>
    <row r="629" spans="1:5" x14ac:dyDescent="0.25">
      <c r="A629" t="s">
        <v>1235</v>
      </c>
      <c r="B629" t="s">
        <v>1205</v>
      </c>
      <c r="C629" t="s">
        <v>24</v>
      </c>
      <c r="D629" t="s">
        <v>613</v>
      </c>
      <c r="E629">
        <v>1020106</v>
      </c>
    </row>
    <row r="630" spans="1:5" x14ac:dyDescent="0.25">
      <c r="A630" t="s">
        <v>641</v>
      </c>
      <c r="B630" t="s">
        <v>642</v>
      </c>
      <c r="C630" t="s">
        <v>24</v>
      </c>
      <c r="D630" t="s">
        <v>22</v>
      </c>
      <c r="E630">
        <v>1020055</v>
      </c>
    </row>
    <row r="631" spans="1:5" x14ac:dyDescent="0.25">
      <c r="A631" t="s">
        <v>245</v>
      </c>
      <c r="B631" t="s">
        <v>246</v>
      </c>
      <c r="C631" t="s">
        <v>24</v>
      </c>
      <c r="D631" t="s">
        <v>25</v>
      </c>
      <c r="E631">
        <v>1020052</v>
      </c>
    </row>
    <row r="632" spans="1:5" x14ac:dyDescent="0.25">
      <c r="A632" t="s">
        <v>4681</v>
      </c>
      <c r="B632" t="s">
        <v>4502</v>
      </c>
      <c r="C632" t="s">
        <v>24</v>
      </c>
      <c r="D632" t="s">
        <v>710</v>
      </c>
      <c r="E632">
        <v>1020088</v>
      </c>
    </row>
    <row r="633" spans="1:5" x14ac:dyDescent="0.25">
      <c r="A633" t="s">
        <v>1402</v>
      </c>
      <c r="B633" t="s">
        <v>1319</v>
      </c>
      <c r="C633" t="s">
        <v>24</v>
      </c>
      <c r="D633" t="s">
        <v>22</v>
      </c>
      <c r="E633">
        <v>1020055</v>
      </c>
    </row>
    <row r="634" spans="1:5" x14ac:dyDescent="0.25">
      <c r="A634" t="s">
        <v>1751</v>
      </c>
      <c r="B634" t="s">
        <v>1722</v>
      </c>
      <c r="C634" t="s">
        <v>869</v>
      </c>
      <c r="D634" t="s">
        <v>1762</v>
      </c>
    </row>
    <row r="635" spans="1:5" x14ac:dyDescent="0.25">
      <c r="A635" t="s">
        <v>288</v>
      </c>
      <c r="B635" t="s">
        <v>289</v>
      </c>
      <c r="C635" t="s">
        <v>24</v>
      </c>
      <c r="D635" t="s">
        <v>22</v>
      </c>
      <c r="E635">
        <v>1020055</v>
      </c>
    </row>
    <row r="636" spans="1:5" x14ac:dyDescent="0.25">
      <c r="A636" t="s">
        <v>1686</v>
      </c>
      <c r="B636" t="s">
        <v>1643</v>
      </c>
      <c r="C636" t="s">
        <v>24</v>
      </c>
      <c r="D636" t="s">
        <v>367</v>
      </c>
      <c r="E636">
        <v>1020091</v>
      </c>
    </row>
    <row r="637" spans="1:5" x14ac:dyDescent="0.25">
      <c r="A637" t="s">
        <v>4554</v>
      </c>
      <c r="B637" t="s">
        <v>4542</v>
      </c>
      <c r="C637" t="s">
        <v>24</v>
      </c>
      <c r="D637" t="s">
        <v>710</v>
      </c>
      <c r="E637">
        <v>1020088</v>
      </c>
    </row>
    <row r="638" spans="1:5" x14ac:dyDescent="0.25">
      <c r="A638" t="s">
        <v>156</v>
      </c>
      <c r="B638" t="s">
        <v>157</v>
      </c>
      <c r="C638" t="s">
        <v>24</v>
      </c>
      <c r="D638" t="s">
        <v>22</v>
      </c>
      <c r="E638">
        <v>1020055</v>
      </c>
    </row>
    <row r="639" spans="1:5" x14ac:dyDescent="0.25">
      <c r="A639" t="s">
        <v>230</v>
      </c>
      <c r="B639" t="s">
        <v>231</v>
      </c>
      <c r="C639" t="s">
        <v>24</v>
      </c>
      <c r="D639" t="s">
        <v>22</v>
      </c>
      <c r="E639">
        <v>1020055</v>
      </c>
    </row>
    <row r="640" spans="1:5" x14ac:dyDescent="0.25">
      <c r="A640" t="s">
        <v>265</v>
      </c>
      <c r="B640" t="s">
        <v>266</v>
      </c>
      <c r="C640" t="s">
        <v>24</v>
      </c>
      <c r="D640" t="s">
        <v>22</v>
      </c>
      <c r="E640">
        <v>1020055</v>
      </c>
    </row>
    <row r="641" spans="1:5" x14ac:dyDescent="0.25">
      <c r="A641" t="s">
        <v>1193</v>
      </c>
      <c r="B641" t="s">
        <v>774</v>
      </c>
      <c r="C641" t="s">
        <v>24</v>
      </c>
      <c r="D641" t="s">
        <v>407</v>
      </c>
      <c r="E641">
        <v>1020100</v>
      </c>
    </row>
    <row r="642" spans="1:5" x14ac:dyDescent="0.25">
      <c r="A642" t="s">
        <v>619</v>
      </c>
      <c r="B642" t="s">
        <v>620</v>
      </c>
      <c r="C642" t="s">
        <v>24</v>
      </c>
      <c r="D642" t="s">
        <v>613</v>
      </c>
      <c r="E642">
        <v>1020106</v>
      </c>
    </row>
    <row r="643" spans="1:5" x14ac:dyDescent="0.25">
      <c r="A643" t="s">
        <v>401</v>
      </c>
      <c r="B643" t="s">
        <v>402</v>
      </c>
      <c r="C643" t="s">
        <v>24</v>
      </c>
      <c r="D643" t="s">
        <v>22</v>
      </c>
      <c r="E643">
        <v>1020055</v>
      </c>
    </row>
    <row r="644" spans="1:5" x14ac:dyDescent="0.25">
      <c r="A644" t="s">
        <v>472</v>
      </c>
      <c r="B644" t="s">
        <v>473</v>
      </c>
      <c r="C644" t="s">
        <v>24</v>
      </c>
      <c r="D644" t="s">
        <v>407</v>
      </c>
      <c r="E644">
        <v>1020100</v>
      </c>
    </row>
    <row r="645" spans="1:5" x14ac:dyDescent="0.25">
      <c r="A645" t="s">
        <v>683</v>
      </c>
      <c r="B645" t="s">
        <v>473</v>
      </c>
      <c r="C645" t="s">
        <v>24</v>
      </c>
      <c r="D645" t="s">
        <v>407</v>
      </c>
      <c r="E645">
        <v>1020100</v>
      </c>
    </row>
    <row r="646" spans="1:5" x14ac:dyDescent="0.25">
      <c r="A646" t="s">
        <v>1497</v>
      </c>
      <c r="B646" t="s">
        <v>473</v>
      </c>
      <c r="C646" t="s">
        <v>24</v>
      </c>
      <c r="D646" t="s">
        <v>407</v>
      </c>
      <c r="E646">
        <v>1020100</v>
      </c>
    </row>
    <row r="647" spans="1:5" x14ac:dyDescent="0.25">
      <c r="A647" t="s">
        <v>1430</v>
      </c>
      <c r="B647" t="s">
        <v>473</v>
      </c>
      <c r="C647" t="s">
        <v>24</v>
      </c>
      <c r="D647" t="s">
        <v>710</v>
      </c>
      <c r="E647">
        <v>1020088</v>
      </c>
    </row>
    <row r="648" spans="1:5" x14ac:dyDescent="0.25">
      <c r="A648" t="s">
        <v>3325</v>
      </c>
      <c r="B648" t="s">
        <v>473</v>
      </c>
      <c r="C648" t="s">
        <v>24</v>
      </c>
      <c r="D648" t="s">
        <v>483</v>
      </c>
      <c r="E648">
        <v>1020096</v>
      </c>
    </row>
    <row r="649" spans="1:5" x14ac:dyDescent="0.25">
      <c r="A649" t="s">
        <v>4555</v>
      </c>
      <c r="B649" t="s">
        <v>473</v>
      </c>
      <c r="C649" t="s">
        <v>24</v>
      </c>
      <c r="D649" t="s">
        <v>710</v>
      </c>
      <c r="E649">
        <v>1020088</v>
      </c>
    </row>
    <row r="650" spans="1:5" x14ac:dyDescent="0.25">
      <c r="A650" t="s">
        <v>649</v>
      </c>
      <c r="B650" t="s">
        <v>650</v>
      </c>
      <c r="C650" t="s">
        <v>24</v>
      </c>
      <c r="D650" t="s">
        <v>22</v>
      </c>
      <c r="E650">
        <v>1020055</v>
      </c>
    </row>
    <row r="651" spans="1:5" x14ac:dyDescent="0.25">
      <c r="A651" t="s">
        <v>1897</v>
      </c>
      <c r="B651" t="s">
        <v>1840</v>
      </c>
      <c r="C651" t="s">
        <v>24</v>
      </c>
      <c r="D651" t="s">
        <v>710</v>
      </c>
      <c r="E651">
        <v>1020088</v>
      </c>
    </row>
    <row r="652" spans="1:5" x14ac:dyDescent="0.25">
      <c r="A652" t="s">
        <v>761</v>
      </c>
      <c r="B652" t="s">
        <v>1642</v>
      </c>
      <c r="C652" t="s">
        <v>24</v>
      </c>
      <c r="D652" t="s">
        <v>407</v>
      </c>
      <c r="E652">
        <v>1020100</v>
      </c>
    </row>
    <row r="653" spans="1:5" x14ac:dyDescent="0.25">
      <c r="A653" t="s">
        <v>818</v>
      </c>
      <c r="B653" t="s">
        <v>819</v>
      </c>
      <c r="C653" t="s">
        <v>24</v>
      </c>
      <c r="D653" t="s">
        <v>22</v>
      </c>
      <c r="E653">
        <v>1020055</v>
      </c>
    </row>
    <row r="654" spans="1:5" x14ac:dyDescent="0.25">
      <c r="A654" t="s">
        <v>52</v>
      </c>
      <c r="B654" t="s">
        <v>53</v>
      </c>
      <c r="C654" t="s">
        <v>24</v>
      </c>
      <c r="D654" t="s">
        <v>22</v>
      </c>
      <c r="E654">
        <v>1020055</v>
      </c>
    </row>
    <row r="655" spans="1:5" x14ac:dyDescent="0.25">
      <c r="A655" t="s">
        <v>1779</v>
      </c>
      <c r="B655" t="s">
        <v>1724</v>
      </c>
      <c r="C655" t="s">
        <v>869</v>
      </c>
      <c r="D655" t="s">
        <v>1762</v>
      </c>
    </row>
    <row r="656" spans="1:5" x14ac:dyDescent="0.25">
      <c r="A656" t="s">
        <v>755</v>
      </c>
      <c r="B656" t="s">
        <v>756</v>
      </c>
      <c r="C656" t="s">
        <v>24</v>
      </c>
      <c r="D656" t="s">
        <v>407</v>
      </c>
      <c r="E656">
        <v>1020100</v>
      </c>
    </row>
    <row r="657" spans="1:5" x14ac:dyDescent="0.25">
      <c r="A657" t="s">
        <v>4544</v>
      </c>
      <c r="B657" t="s">
        <v>2923</v>
      </c>
      <c r="C657" t="s">
        <v>72</v>
      </c>
      <c r="D657" t="s">
        <v>882</v>
      </c>
      <c r="E657">
        <v>1020108</v>
      </c>
    </row>
    <row r="658" spans="1:5" x14ac:dyDescent="0.25">
      <c r="A658" t="s">
        <v>1292</v>
      </c>
      <c r="B658" t="s">
        <v>1243</v>
      </c>
      <c r="C658" t="s">
        <v>24</v>
      </c>
      <c r="D658" t="s">
        <v>407</v>
      </c>
      <c r="E658">
        <v>1020100</v>
      </c>
    </row>
    <row r="659" spans="1:5" x14ac:dyDescent="0.25">
      <c r="A659" t="s">
        <v>1603</v>
      </c>
      <c r="B659" t="s">
        <v>1243</v>
      </c>
      <c r="C659" t="s">
        <v>24</v>
      </c>
      <c r="D659" t="s">
        <v>710</v>
      </c>
      <c r="E659">
        <v>1020088</v>
      </c>
    </row>
    <row r="660" spans="1:5" x14ac:dyDescent="0.25">
      <c r="A660" t="s">
        <v>1780</v>
      </c>
      <c r="B660" t="s">
        <v>1706</v>
      </c>
      <c r="C660" t="s">
        <v>869</v>
      </c>
      <c r="D660" t="s">
        <v>1762</v>
      </c>
    </row>
    <row r="661" spans="1:5" x14ac:dyDescent="0.25">
      <c r="A661" t="s">
        <v>3730</v>
      </c>
      <c r="B661" t="s">
        <v>3266</v>
      </c>
      <c r="C661" t="s">
        <v>3782</v>
      </c>
      <c r="D661" t="s">
        <v>367</v>
      </c>
      <c r="E661">
        <v>1020091</v>
      </c>
    </row>
    <row r="662" spans="1:5" x14ac:dyDescent="0.25">
      <c r="A662" t="s">
        <v>234</v>
      </c>
      <c r="B662" t="s">
        <v>235</v>
      </c>
      <c r="C662" t="s">
        <v>24</v>
      </c>
      <c r="D662" t="s">
        <v>22</v>
      </c>
      <c r="E662">
        <v>1020055</v>
      </c>
    </row>
    <row r="663" spans="1:5" x14ac:dyDescent="0.25">
      <c r="A663" t="s">
        <v>590</v>
      </c>
      <c r="B663" t="s">
        <v>591</v>
      </c>
      <c r="C663" t="s">
        <v>24</v>
      </c>
      <c r="D663" t="s">
        <v>22</v>
      </c>
      <c r="E663">
        <v>1020055</v>
      </c>
    </row>
    <row r="664" spans="1:5" x14ac:dyDescent="0.25">
      <c r="A664" t="s">
        <v>627</v>
      </c>
      <c r="B664" t="s">
        <v>591</v>
      </c>
      <c r="C664" t="s">
        <v>24</v>
      </c>
      <c r="D664" t="s">
        <v>22</v>
      </c>
      <c r="E664">
        <v>1020055</v>
      </c>
    </row>
    <row r="665" spans="1:5" x14ac:dyDescent="0.25">
      <c r="A665" t="s">
        <v>1605</v>
      </c>
      <c r="B665" t="s">
        <v>1580</v>
      </c>
      <c r="C665" t="s">
        <v>24</v>
      </c>
      <c r="D665" t="s">
        <v>710</v>
      </c>
      <c r="E665">
        <v>1020088</v>
      </c>
    </row>
    <row r="666" spans="1:5" x14ac:dyDescent="0.25">
      <c r="A666" t="s">
        <v>141</v>
      </c>
      <c r="B666" t="s">
        <v>142</v>
      </c>
      <c r="C666" t="s">
        <v>24</v>
      </c>
      <c r="D666" t="s">
        <v>22</v>
      </c>
      <c r="E666">
        <v>1020055</v>
      </c>
    </row>
    <row r="667" spans="1:5" x14ac:dyDescent="0.25">
      <c r="A667" t="s">
        <v>3169</v>
      </c>
      <c r="B667" t="s">
        <v>2622</v>
      </c>
      <c r="C667" t="s">
        <v>72</v>
      </c>
      <c r="D667" t="s">
        <v>90</v>
      </c>
      <c r="E667">
        <v>1020001</v>
      </c>
    </row>
    <row r="668" spans="1:5" x14ac:dyDescent="0.25">
      <c r="A668" t="s">
        <v>218</v>
      </c>
      <c r="B668" t="s">
        <v>219</v>
      </c>
      <c r="C668" t="s">
        <v>24</v>
      </c>
      <c r="D668" t="s">
        <v>90</v>
      </c>
      <c r="E668">
        <v>1020001</v>
      </c>
    </row>
    <row r="669" spans="1:5" x14ac:dyDescent="0.25">
      <c r="A669" t="s">
        <v>75</v>
      </c>
      <c r="B669" t="s">
        <v>76</v>
      </c>
      <c r="C669" t="s">
        <v>72</v>
      </c>
      <c r="D669" t="s">
        <v>77</v>
      </c>
      <c r="E669">
        <v>1020051</v>
      </c>
    </row>
    <row r="670" spans="1:5" x14ac:dyDescent="0.25">
      <c r="A670" t="s">
        <v>207</v>
      </c>
      <c r="B670" t="s">
        <v>76</v>
      </c>
      <c r="C670" t="s">
        <v>72</v>
      </c>
      <c r="D670" t="s">
        <v>77</v>
      </c>
      <c r="E670">
        <v>1020051</v>
      </c>
    </row>
    <row r="671" spans="1:5" x14ac:dyDescent="0.25">
      <c r="A671" t="s">
        <v>105</v>
      </c>
      <c r="B671" t="s">
        <v>106</v>
      </c>
      <c r="C671" t="s">
        <v>72</v>
      </c>
      <c r="D671" t="s">
        <v>77</v>
      </c>
      <c r="E671">
        <v>1020051</v>
      </c>
    </row>
    <row r="672" spans="1:5" x14ac:dyDescent="0.25">
      <c r="A672" t="s">
        <v>107</v>
      </c>
      <c r="B672" t="s">
        <v>106</v>
      </c>
      <c r="C672" t="s">
        <v>72</v>
      </c>
      <c r="D672" t="s">
        <v>77</v>
      </c>
      <c r="E672">
        <v>1020051</v>
      </c>
    </row>
    <row r="673" spans="1:5" x14ac:dyDescent="0.25">
      <c r="A673" t="s">
        <v>291</v>
      </c>
      <c r="B673" t="s">
        <v>292</v>
      </c>
      <c r="C673" t="s">
        <v>24</v>
      </c>
      <c r="D673" t="s">
        <v>22</v>
      </c>
      <c r="E673">
        <v>1020055</v>
      </c>
    </row>
    <row r="674" spans="1:5" x14ac:dyDescent="0.25">
      <c r="A674" t="s">
        <v>537</v>
      </c>
      <c r="B674" t="s">
        <v>538</v>
      </c>
      <c r="C674" t="s">
        <v>24</v>
      </c>
      <c r="D674" t="s">
        <v>407</v>
      </c>
      <c r="E674">
        <v>1020100</v>
      </c>
    </row>
    <row r="675" spans="1:5" x14ac:dyDescent="0.25">
      <c r="A675" t="s">
        <v>676</v>
      </c>
      <c r="B675" t="s">
        <v>538</v>
      </c>
      <c r="C675" t="s">
        <v>24</v>
      </c>
      <c r="D675" t="s">
        <v>407</v>
      </c>
      <c r="E675">
        <v>1020100</v>
      </c>
    </row>
    <row r="676" spans="1:5" x14ac:dyDescent="0.25">
      <c r="A676" t="s">
        <v>331</v>
      </c>
      <c r="B676" t="s">
        <v>332</v>
      </c>
      <c r="C676" t="s">
        <v>24</v>
      </c>
      <c r="D676" t="s">
        <v>22</v>
      </c>
      <c r="E676">
        <v>1020055</v>
      </c>
    </row>
    <row r="677" spans="1:5" x14ac:dyDescent="0.25">
      <c r="A677" t="s">
        <v>158</v>
      </c>
      <c r="B677" t="s">
        <v>159</v>
      </c>
      <c r="C677" t="s">
        <v>24</v>
      </c>
      <c r="D677" t="s">
        <v>22</v>
      </c>
      <c r="E677">
        <v>1020055</v>
      </c>
    </row>
    <row r="678" spans="1:5" x14ac:dyDescent="0.25">
      <c r="A678" t="s">
        <v>478</v>
      </c>
      <c r="B678" t="s">
        <v>479</v>
      </c>
      <c r="C678" t="s">
        <v>24</v>
      </c>
      <c r="D678" t="s">
        <v>407</v>
      </c>
      <c r="E678">
        <v>1020100</v>
      </c>
    </row>
    <row r="679" spans="1:5" x14ac:dyDescent="0.25">
      <c r="A679" t="s">
        <v>524</v>
      </c>
      <c r="B679" t="s">
        <v>479</v>
      </c>
      <c r="C679" t="s">
        <v>24</v>
      </c>
      <c r="D679" t="s">
        <v>22</v>
      </c>
      <c r="E679">
        <v>1020055</v>
      </c>
    </row>
    <row r="680" spans="1:5" x14ac:dyDescent="0.25">
      <c r="A680" t="s">
        <v>626</v>
      </c>
      <c r="B680" t="s">
        <v>479</v>
      </c>
      <c r="C680" t="s">
        <v>24</v>
      </c>
      <c r="D680" t="s">
        <v>22</v>
      </c>
      <c r="E680">
        <v>1020055</v>
      </c>
    </row>
    <row r="681" spans="1:5" x14ac:dyDescent="0.25">
      <c r="A681" t="s">
        <v>775</v>
      </c>
      <c r="B681" t="s">
        <v>479</v>
      </c>
      <c r="C681" t="s">
        <v>24</v>
      </c>
      <c r="D681" t="s">
        <v>710</v>
      </c>
      <c r="E681">
        <v>1020088</v>
      </c>
    </row>
    <row r="682" spans="1:5" x14ac:dyDescent="0.25">
      <c r="A682" t="s">
        <v>1875</v>
      </c>
      <c r="B682" t="s">
        <v>479</v>
      </c>
      <c r="C682" t="s">
        <v>24</v>
      </c>
      <c r="D682" t="s">
        <v>710</v>
      </c>
      <c r="E682">
        <v>1020088</v>
      </c>
    </row>
    <row r="683" spans="1:5" x14ac:dyDescent="0.25">
      <c r="A683" t="s">
        <v>2905</v>
      </c>
      <c r="B683" t="s">
        <v>479</v>
      </c>
      <c r="C683" t="s">
        <v>24</v>
      </c>
      <c r="D683" t="s">
        <v>710</v>
      </c>
      <c r="E683">
        <v>1020088</v>
      </c>
    </row>
    <row r="684" spans="1:5" x14ac:dyDescent="0.25">
      <c r="A684" t="s">
        <v>4559</v>
      </c>
      <c r="B684" t="s">
        <v>4501</v>
      </c>
      <c r="C684" t="s">
        <v>24</v>
      </c>
      <c r="D684" t="s">
        <v>710</v>
      </c>
      <c r="E684">
        <v>1020088</v>
      </c>
    </row>
    <row r="685" spans="1:5" x14ac:dyDescent="0.25">
      <c r="A685" t="s">
        <v>232</v>
      </c>
      <c r="B685" t="s">
        <v>233</v>
      </c>
      <c r="C685" t="s">
        <v>24</v>
      </c>
      <c r="D685" t="s">
        <v>22</v>
      </c>
      <c r="E685">
        <v>1020055</v>
      </c>
    </row>
    <row r="686" spans="1:5" x14ac:dyDescent="0.25">
      <c r="A686" t="s">
        <v>462</v>
      </c>
      <c r="B686" t="s">
        <v>463</v>
      </c>
      <c r="C686" t="s">
        <v>72</v>
      </c>
      <c r="D686" t="s">
        <v>325</v>
      </c>
      <c r="E686">
        <v>1020068</v>
      </c>
    </row>
    <row r="687" spans="1:5" x14ac:dyDescent="0.25">
      <c r="A687" t="s">
        <v>622</v>
      </c>
      <c r="B687" t="s">
        <v>623</v>
      </c>
      <c r="C687" t="s">
        <v>24</v>
      </c>
      <c r="D687" t="s">
        <v>22</v>
      </c>
      <c r="E687">
        <v>1020055</v>
      </c>
    </row>
    <row r="688" spans="1:5" x14ac:dyDescent="0.25">
      <c r="A688" t="s">
        <v>1792</v>
      </c>
      <c r="B688" t="s">
        <v>1586</v>
      </c>
      <c r="C688" t="s">
        <v>24</v>
      </c>
      <c r="D688" t="s">
        <v>22</v>
      </c>
      <c r="E688">
        <v>1020055</v>
      </c>
    </row>
    <row r="689" spans="1:5" x14ac:dyDescent="0.25">
      <c r="A689" t="s">
        <v>812</v>
      </c>
      <c r="B689" t="s">
        <v>813</v>
      </c>
      <c r="C689" t="s">
        <v>24</v>
      </c>
      <c r="D689" t="s">
        <v>22</v>
      </c>
      <c r="E689">
        <v>1020055</v>
      </c>
    </row>
    <row r="690" spans="1:5" x14ac:dyDescent="0.25">
      <c r="A690" t="s">
        <v>1344</v>
      </c>
      <c r="B690" t="s">
        <v>1318</v>
      </c>
      <c r="C690" t="s">
        <v>24</v>
      </c>
      <c r="D690" t="s">
        <v>22</v>
      </c>
      <c r="E690">
        <v>1020055</v>
      </c>
    </row>
    <row r="691" spans="1:5" x14ac:dyDescent="0.25">
      <c r="A691" t="s">
        <v>456</v>
      </c>
      <c r="B691" t="s">
        <v>457</v>
      </c>
      <c r="C691" t="s">
        <v>72</v>
      </c>
      <c r="D691" t="s">
        <v>81</v>
      </c>
      <c r="E691">
        <v>1020070</v>
      </c>
    </row>
    <row r="692" spans="1:5" x14ac:dyDescent="0.25">
      <c r="A692" t="s">
        <v>617</v>
      </c>
      <c r="B692" t="s">
        <v>618</v>
      </c>
      <c r="C692" t="s">
        <v>24</v>
      </c>
      <c r="D692" t="s">
        <v>613</v>
      </c>
      <c r="E692">
        <v>1020106</v>
      </c>
    </row>
    <row r="693" spans="1:5" x14ac:dyDescent="0.25">
      <c r="A693" t="s">
        <v>1232</v>
      </c>
      <c r="B693" t="s">
        <v>1206</v>
      </c>
      <c r="C693" t="s">
        <v>24</v>
      </c>
      <c r="D693" t="s">
        <v>613</v>
      </c>
      <c r="E693">
        <v>1020106</v>
      </c>
    </row>
    <row r="694" spans="1:5" x14ac:dyDescent="0.25">
      <c r="A694" t="s">
        <v>808</v>
      </c>
      <c r="B694" t="s">
        <v>809</v>
      </c>
      <c r="C694" t="s">
        <v>24</v>
      </c>
      <c r="D694" t="s">
        <v>22</v>
      </c>
      <c r="E694">
        <v>1020055</v>
      </c>
    </row>
    <row r="695" spans="1:5" x14ac:dyDescent="0.25">
      <c r="A695" t="s">
        <v>1315</v>
      </c>
      <c r="B695" t="s">
        <v>1265</v>
      </c>
      <c r="C695" t="s">
        <v>24</v>
      </c>
      <c r="D695" t="s">
        <v>22</v>
      </c>
      <c r="E695">
        <v>1020055</v>
      </c>
    </row>
    <row r="696" spans="1:5" x14ac:dyDescent="0.25">
      <c r="A696" t="s">
        <v>1342</v>
      </c>
      <c r="B696" t="s">
        <v>1265</v>
      </c>
      <c r="C696" t="s">
        <v>24</v>
      </c>
      <c r="D696" t="s">
        <v>22</v>
      </c>
      <c r="E696">
        <v>1020055</v>
      </c>
    </row>
    <row r="697" spans="1:5" x14ac:dyDescent="0.25">
      <c r="A697" t="s">
        <v>2395</v>
      </c>
      <c r="B697" t="s">
        <v>809</v>
      </c>
      <c r="C697" t="s">
        <v>24</v>
      </c>
      <c r="D697" t="s">
        <v>613</v>
      </c>
      <c r="E697">
        <v>1020106</v>
      </c>
    </row>
    <row r="698" spans="1:5" x14ac:dyDescent="0.25">
      <c r="A698" t="s">
        <v>350</v>
      </c>
      <c r="B698" t="s">
        <v>351</v>
      </c>
      <c r="C698" t="s">
        <v>24</v>
      </c>
      <c r="D698" t="s">
        <v>22</v>
      </c>
      <c r="E698">
        <v>1020055</v>
      </c>
    </row>
    <row r="699" spans="1:5" x14ac:dyDescent="0.25">
      <c r="A699" t="s">
        <v>602</v>
      </c>
      <c r="B699" t="s">
        <v>603</v>
      </c>
      <c r="C699" t="s">
        <v>24</v>
      </c>
      <c r="D699" t="s">
        <v>22</v>
      </c>
      <c r="E699">
        <v>1020055</v>
      </c>
    </row>
    <row r="700" spans="1:5" x14ac:dyDescent="0.25">
      <c r="A700" t="s">
        <v>444</v>
      </c>
      <c r="B700" t="s">
        <v>445</v>
      </c>
      <c r="C700" t="s">
        <v>24</v>
      </c>
      <c r="D700" t="s">
        <v>22</v>
      </c>
      <c r="E700">
        <v>1020055</v>
      </c>
    </row>
    <row r="701" spans="1:5" x14ac:dyDescent="0.25">
      <c r="A701" t="s">
        <v>1189</v>
      </c>
      <c r="B701" t="s">
        <v>1122</v>
      </c>
      <c r="C701" t="s">
        <v>24</v>
      </c>
      <c r="D701" t="s">
        <v>710</v>
      </c>
      <c r="E701">
        <v>1020088</v>
      </c>
    </row>
    <row r="702" spans="1:5" x14ac:dyDescent="0.25">
      <c r="A702" t="s">
        <v>4546</v>
      </c>
      <c r="B702" t="s">
        <v>4230</v>
      </c>
      <c r="C702" t="s">
        <v>72</v>
      </c>
      <c r="D702" t="s">
        <v>882</v>
      </c>
      <c r="E702">
        <v>1020108</v>
      </c>
    </row>
    <row r="703" spans="1:5" x14ac:dyDescent="0.25">
      <c r="A703" t="s">
        <v>495</v>
      </c>
      <c r="B703" t="s">
        <v>496</v>
      </c>
      <c r="C703" t="s">
        <v>72</v>
      </c>
      <c r="D703" t="s">
        <v>487</v>
      </c>
      <c r="E703">
        <v>1020060</v>
      </c>
    </row>
    <row r="704" spans="1:5" x14ac:dyDescent="0.25">
      <c r="A704" t="s">
        <v>1694</v>
      </c>
      <c r="B704" t="s">
        <v>496</v>
      </c>
      <c r="C704" t="s">
        <v>72</v>
      </c>
      <c r="D704" t="s">
        <v>487</v>
      </c>
      <c r="E704">
        <v>1020060</v>
      </c>
    </row>
    <row r="705" spans="1:5" x14ac:dyDescent="0.25">
      <c r="A705" t="s">
        <v>193</v>
      </c>
      <c r="B705" t="s">
        <v>194</v>
      </c>
      <c r="C705" t="s">
        <v>24</v>
      </c>
      <c r="D705" t="s">
        <v>22</v>
      </c>
      <c r="E705">
        <v>1020055</v>
      </c>
    </row>
    <row r="706" spans="1:5" x14ac:dyDescent="0.25">
      <c r="A706" t="s">
        <v>206</v>
      </c>
      <c r="B706" t="s">
        <v>194</v>
      </c>
      <c r="C706" t="s">
        <v>24</v>
      </c>
      <c r="D706" t="s">
        <v>22</v>
      </c>
      <c r="E706">
        <v>1020055</v>
      </c>
    </row>
    <row r="707" spans="1:5" x14ac:dyDescent="0.25">
      <c r="A707" t="s">
        <v>56</v>
      </c>
      <c r="B707" t="s">
        <v>57</v>
      </c>
      <c r="C707" t="s">
        <v>24</v>
      </c>
      <c r="D707" t="s">
        <v>22</v>
      </c>
      <c r="E707">
        <v>1020055</v>
      </c>
    </row>
    <row r="708" spans="1:5" x14ac:dyDescent="0.25">
      <c r="A708" t="s">
        <v>430</v>
      </c>
      <c r="B708" t="s">
        <v>431</v>
      </c>
      <c r="C708" t="s">
        <v>24</v>
      </c>
      <c r="D708" t="s">
        <v>22</v>
      </c>
      <c r="E708">
        <v>1020055</v>
      </c>
    </row>
    <row r="709" spans="1:5" x14ac:dyDescent="0.25">
      <c r="A709" t="s">
        <v>572</v>
      </c>
      <c r="B709" t="s">
        <v>431</v>
      </c>
      <c r="C709" t="s">
        <v>24</v>
      </c>
      <c r="D709" t="s">
        <v>22</v>
      </c>
      <c r="E709">
        <v>1020055</v>
      </c>
    </row>
    <row r="710" spans="1:5" x14ac:dyDescent="0.25">
      <c r="A710" t="s">
        <v>796</v>
      </c>
      <c r="B710" t="s">
        <v>431</v>
      </c>
      <c r="C710" t="s">
        <v>24</v>
      </c>
      <c r="D710" t="s">
        <v>22</v>
      </c>
      <c r="E710">
        <v>1020055</v>
      </c>
    </row>
    <row r="711" spans="1:5" x14ac:dyDescent="0.25">
      <c r="A711" t="s">
        <v>279</v>
      </c>
      <c r="B711" t="s">
        <v>280</v>
      </c>
      <c r="C711" t="s">
        <v>24</v>
      </c>
      <c r="D711" t="s">
        <v>22</v>
      </c>
      <c r="E711">
        <v>1020055</v>
      </c>
    </row>
    <row r="712" spans="1:5" x14ac:dyDescent="0.25">
      <c r="A712" t="s">
        <v>262</v>
      </c>
      <c r="B712" t="s">
        <v>263</v>
      </c>
      <c r="C712" t="s">
        <v>24</v>
      </c>
      <c r="D712" t="s">
        <v>22</v>
      </c>
      <c r="E712">
        <v>1020055</v>
      </c>
    </row>
    <row r="713" spans="1:5" x14ac:dyDescent="0.25">
      <c r="A713" t="s">
        <v>336</v>
      </c>
      <c r="B713" t="s">
        <v>263</v>
      </c>
      <c r="C713" t="s">
        <v>24</v>
      </c>
      <c r="D713" t="s">
        <v>22</v>
      </c>
      <c r="E713">
        <v>1020055</v>
      </c>
    </row>
    <row r="714" spans="1:5" x14ac:dyDescent="0.25">
      <c r="A714" t="s">
        <v>382</v>
      </c>
      <c r="B714" t="s">
        <v>263</v>
      </c>
      <c r="C714" t="s">
        <v>24</v>
      </c>
      <c r="D714" t="s">
        <v>22</v>
      </c>
      <c r="E714">
        <v>1020055</v>
      </c>
    </row>
    <row r="715" spans="1:5" x14ac:dyDescent="0.25">
      <c r="A715" t="s">
        <v>653</v>
      </c>
      <c r="B715" t="s">
        <v>263</v>
      </c>
      <c r="C715" t="s">
        <v>24</v>
      </c>
      <c r="D715" t="s">
        <v>22</v>
      </c>
      <c r="E715">
        <v>1020055</v>
      </c>
    </row>
    <row r="716" spans="1:5" x14ac:dyDescent="0.25">
      <c r="A716" t="s">
        <v>1203</v>
      </c>
      <c r="B716" t="s">
        <v>263</v>
      </c>
      <c r="C716" t="s">
        <v>24</v>
      </c>
      <c r="D716" t="s">
        <v>22</v>
      </c>
      <c r="E716">
        <v>1020055</v>
      </c>
    </row>
    <row r="717" spans="1:5" x14ac:dyDescent="0.25">
      <c r="A717" t="s">
        <v>1652</v>
      </c>
      <c r="B717" t="s">
        <v>1614</v>
      </c>
      <c r="C717" t="s">
        <v>24</v>
      </c>
      <c r="D717" t="s">
        <v>367</v>
      </c>
      <c r="E717">
        <v>1020091</v>
      </c>
    </row>
    <row r="718" spans="1:5" x14ac:dyDescent="0.25">
      <c r="A718" t="s">
        <v>3320</v>
      </c>
      <c r="B718" t="s">
        <v>1614</v>
      </c>
      <c r="C718" t="s">
        <v>24</v>
      </c>
      <c r="D718" t="s">
        <v>483</v>
      </c>
      <c r="E718">
        <v>1020096</v>
      </c>
    </row>
    <row r="719" spans="1:5" x14ac:dyDescent="0.25">
      <c r="A719" t="s">
        <v>3955</v>
      </c>
      <c r="B719" t="s">
        <v>1614</v>
      </c>
      <c r="C719" t="s">
        <v>24</v>
      </c>
      <c r="D719" t="s">
        <v>483</v>
      </c>
      <c r="E719">
        <v>1020096</v>
      </c>
    </row>
    <row r="720" spans="1:5" x14ac:dyDescent="0.25">
      <c r="A720" t="s">
        <v>670</v>
      </c>
      <c r="B720" t="s">
        <v>671</v>
      </c>
      <c r="C720" t="s">
        <v>24</v>
      </c>
      <c r="D720" t="s">
        <v>22</v>
      </c>
      <c r="E720">
        <v>1020055</v>
      </c>
    </row>
    <row r="721" spans="1:5" x14ac:dyDescent="0.25">
      <c r="A721" t="s">
        <v>1257</v>
      </c>
      <c r="B721" t="s">
        <v>1190</v>
      </c>
      <c r="C721" t="s">
        <v>24</v>
      </c>
      <c r="D721" t="s">
        <v>22</v>
      </c>
      <c r="E721">
        <v>1020055</v>
      </c>
    </row>
    <row r="722" spans="1:5" x14ac:dyDescent="0.25">
      <c r="A722" t="s">
        <v>2255</v>
      </c>
      <c r="B722" t="s">
        <v>1931</v>
      </c>
      <c r="C722" t="s">
        <v>3220</v>
      </c>
      <c r="D722" t="s">
        <v>367</v>
      </c>
      <c r="E722">
        <v>1020091</v>
      </c>
    </row>
    <row r="723" spans="1:5" x14ac:dyDescent="0.25">
      <c r="A723" t="s">
        <v>468</v>
      </c>
      <c r="B723" t="s">
        <v>469</v>
      </c>
      <c r="C723" t="s">
        <v>72</v>
      </c>
      <c r="D723" t="s">
        <v>367</v>
      </c>
      <c r="E723">
        <v>1020091</v>
      </c>
    </row>
    <row r="724" spans="1:5" x14ac:dyDescent="0.25">
      <c r="A724" t="s">
        <v>672</v>
      </c>
      <c r="B724" t="s">
        <v>469</v>
      </c>
      <c r="C724" t="s">
        <v>72</v>
      </c>
      <c r="D724" t="s">
        <v>367</v>
      </c>
      <c r="E724">
        <v>1020091</v>
      </c>
    </row>
    <row r="725" spans="1:5" x14ac:dyDescent="0.25">
      <c r="A725" t="s">
        <v>1622</v>
      </c>
      <c r="B725" t="s">
        <v>469</v>
      </c>
      <c r="C725" t="s">
        <v>72</v>
      </c>
      <c r="D725" t="s">
        <v>367</v>
      </c>
      <c r="E725">
        <v>1020091</v>
      </c>
    </row>
    <row r="726" spans="1:5" x14ac:dyDescent="0.25">
      <c r="A726" t="s">
        <v>741</v>
      </c>
      <c r="B726" t="s">
        <v>742</v>
      </c>
      <c r="C726" t="s">
        <v>24</v>
      </c>
      <c r="D726" t="s">
        <v>413</v>
      </c>
    </row>
    <row r="727" spans="1:5" x14ac:dyDescent="0.25">
      <c r="A727" t="s">
        <v>454</v>
      </c>
      <c r="B727" t="s">
        <v>455</v>
      </c>
      <c r="C727" t="s">
        <v>24</v>
      </c>
      <c r="D727" t="s">
        <v>413</v>
      </c>
    </row>
    <row r="728" spans="1:5" x14ac:dyDescent="0.25">
      <c r="A728" t="s">
        <v>178</v>
      </c>
      <c r="B728" t="s">
        <v>179</v>
      </c>
      <c r="C728" t="s">
        <v>24</v>
      </c>
      <c r="D728" t="s">
        <v>90</v>
      </c>
      <c r="E728">
        <v>1020001</v>
      </c>
    </row>
    <row r="729" spans="1:5" x14ac:dyDescent="0.25">
      <c r="A729" t="s">
        <v>215</v>
      </c>
      <c r="B729" t="s">
        <v>179</v>
      </c>
      <c r="C729" t="s">
        <v>24</v>
      </c>
      <c r="D729" t="s">
        <v>90</v>
      </c>
      <c r="E729">
        <v>1020001</v>
      </c>
    </row>
    <row r="730" spans="1:5" x14ac:dyDescent="0.25">
      <c r="A730" t="s">
        <v>668</v>
      </c>
      <c r="B730" t="s">
        <v>669</v>
      </c>
      <c r="C730" t="s">
        <v>24</v>
      </c>
      <c r="D730" t="s">
        <v>22</v>
      </c>
      <c r="E730">
        <v>1020055</v>
      </c>
    </row>
    <row r="731" spans="1:5" x14ac:dyDescent="0.25">
      <c r="A731" t="s">
        <v>298</v>
      </c>
      <c r="B731" t="s">
        <v>299</v>
      </c>
      <c r="C731" t="s">
        <v>24</v>
      </c>
      <c r="D731" t="s">
        <v>22</v>
      </c>
      <c r="E731">
        <v>1020055</v>
      </c>
    </row>
    <row r="732" spans="1:5" x14ac:dyDescent="0.25">
      <c r="A732" t="s">
        <v>236</v>
      </c>
      <c r="B732" t="s">
        <v>237</v>
      </c>
      <c r="C732" t="s">
        <v>24</v>
      </c>
      <c r="D732" t="s">
        <v>22</v>
      </c>
      <c r="E732">
        <v>1020055</v>
      </c>
    </row>
    <row r="733" spans="1:5" x14ac:dyDescent="0.25">
      <c r="A733" t="s">
        <v>240</v>
      </c>
      <c r="B733" t="s">
        <v>237</v>
      </c>
      <c r="C733" t="s">
        <v>24</v>
      </c>
      <c r="D733" t="s">
        <v>22</v>
      </c>
      <c r="E733">
        <v>1020055</v>
      </c>
    </row>
    <row r="734" spans="1:5" x14ac:dyDescent="0.25">
      <c r="A734" t="s">
        <v>4276</v>
      </c>
      <c r="B734" t="s">
        <v>4098</v>
      </c>
      <c r="C734" t="s">
        <v>1791</v>
      </c>
      <c r="D734" t="s">
        <v>328</v>
      </c>
      <c r="E734">
        <v>1020097</v>
      </c>
    </row>
    <row r="735" spans="1:5" x14ac:dyDescent="0.25">
      <c r="A735" t="s">
        <v>128</v>
      </c>
      <c r="B735" t="s">
        <v>129</v>
      </c>
      <c r="C735" t="s">
        <v>24</v>
      </c>
      <c r="D735" t="s">
        <v>22</v>
      </c>
      <c r="E735">
        <v>1020055</v>
      </c>
    </row>
    <row r="736" spans="1:5" x14ac:dyDescent="0.25">
      <c r="A736" t="s">
        <v>1817</v>
      </c>
      <c r="B736" t="s">
        <v>1760</v>
      </c>
      <c r="C736" t="s">
        <v>1791</v>
      </c>
      <c r="D736" t="s">
        <v>81</v>
      </c>
      <c r="E736">
        <v>1020070</v>
      </c>
    </row>
    <row r="737" spans="1:5" x14ac:dyDescent="0.25">
      <c r="A737" t="s">
        <v>637</v>
      </c>
      <c r="B737" t="s">
        <v>638</v>
      </c>
      <c r="C737" t="s">
        <v>24</v>
      </c>
      <c r="D737" t="s">
        <v>22</v>
      </c>
      <c r="E737">
        <v>1020055</v>
      </c>
    </row>
    <row r="738" spans="1:5" x14ac:dyDescent="0.25">
      <c r="A738" t="s">
        <v>1859</v>
      </c>
      <c r="B738" t="s">
        <v>638</v>
      </c>
      <c r="C738" t="s">
        <v>24</v>
      </c>
      <c r="D738" t="s">
        <v>483</v>
      </c>
      <c r="E738">
        <v>1020096</v>
      </c>
    </row>
    <row r="739" spans="1:5" x14ac:dyDescent="0.25">
      <c r="A739" t="s">
        <v>337</v>
      </c>
      <c r="B739" t="s">
        <v>338</v>
      </c>
      <c r="C739" t="s">
        <v>24</v>
      </c>
      <c r="D739" t="s">
        <v>22</v>
      </c>
      <c r="E739">
        <v>1020055</v>
      </c>
    </row>
    <row r="740" spans="1:5" x14ac:dyDescent="0.25">
      <c r="A740" t="s">
        <v>388</v>
      </c>
      <c r="B740" t="s">
        <v>338</v>
      </c>
      <c r="C740" t="s">
        <v>24</v>
      </c>
      <c r="D740" t="s">
        <v>22</v>
      </c>
      <c r="E740">
        <v>1020055</v>
      </c>
    </row>
    <row r="741" spans="1:5" x14ac:dyDescent="0.25">
      <c r="A741" t="s">
        <v>568</v>
      </c>
      <c r="B741" t="s">
        <v>569</v>
      </c>
      <c r="C741" t="s">
        <v>24</v>
      </c>
      <c r="D741" t="s">
        <v>22</v>
      </c>
      <c r="E741">
        <v>1020055</v>
      </c>
    </row>
    <row r="742" spans="1:5" x14ac:dyDescent="0.25">
      <c r="A742" t="s">
        <v>824</v>
      </c>
      <c r="B742" t="s">
        <v>338</v>
      </c>
      <c r="C742" t="s">
        <v>24</v>
      </c>
      <c r="D742" t="s">
        <v>22</v>
      </c>
      <c r="E742">
        <v>1020055</v>
      </c>
    </row>
    <row r="743" spans="1:5" x14ac:dyDescent="0.25">
      <c r="A743" t="s">
        <v>1278</v>
      </c>
      <c r="B743" t="s">
        <v>569</v>
      </c>
      <c r="C743" t="s">
        <v>24</v>
      </c>
      <c r="D743" t="s">
        <v>407</v>
      </c>
      <c r="E743">
        <v>1020100</v>
      </c>
    </row>
    <row r="744" spans="1:5" x14ac:dyDescent="0.25">
      <c r="A744" t="s">
        <v>1636</v>
      </c>
      <c r="B744" t="s">
        <v>338</v>
      </c>
      <c r="C744" t="s">
        <v>24</v>
      </c>
      <c r="D744" t="s">
        <v>367</v>
      </c>
      <c r="E744">
        <v>1020091</v>
      </c>
    </row>
    <row r="745" spans="1:5" x14ac:dyDescent="0.25">
      <c r="A745" t="s">
        <v>765</v>
      </c>
      <c r="B745" t="s">
        <v>766</v>
      </c>
      <c r="C745" t="s">
        <v>24</v>
      </c>
      <c r="D745" t="s">
        <v>407</v>
      </c>
      <c r="E745">
        <v>1020100</v>
      </c>
    </row>
    <row r="746" spans="1:5" x14ac:dyDescent="0.25">
      <c r="A746" t="s">
        <v>1316</v>
      </c>
      <c r="B746" t="s">
        <v>766</v>
      </c>
      <c r="C746" t="s">
        <v>24</v>
      </c>
      <c r="D746" t="s">
        <v>22</v>
      </c>
      <c r="E746">
        <v>1020055</v>
      </c>
    </row>
    <row r="747" spans="1:5" x14ac:dyDescent="0.25">
      <c r="A747" t="s">
        <v>1341</v>
      </c>
      <c r="B747" t="s">
        <v>766</v>
      </c>
      <c r="C747" t="s">
        <v>24</v>
      </c>
      <c r="D747" t="s">
        <v>22</v>
      </c>
      <c r="E747">
        <v>1020055</v>
      </c>
    </row>
    <row r="748" spans="1:5" x14ac:dyDescent="0.25">
      <c r="A748" t="s">
        <v>1407</v>
      </c>
      <c r="B748" t="s">
        <v>1365</v>
      </c>
      <c r="C748" t="s">
        <v>24</v>
      </c>
      <c r="D748" t="s">
        <v>22</v>
      </c>
      <c r="E748">
        <v>1020055</v>
      </c>
    </row>
    <row r="749" spans="1:5" x14ac:dyDescent="0.25">
      <c r="A749" t="s">
        <v>1520</v>
      </c>
      <c r="B749" t="s">
        <v>1365</v>
      </c>
      <c r="C749" t="s">
        <v>24</v>
      </c>
      <c r="D749" t="s">
        <v>407</v>
      </c>
      <c r="E749">
        <v>1020100</v>
      </c>
    </row>
    <row r="750" spans="1:5" x14ac:dyDescent="0.25">
      <c r="A750" t="s">
        <v>1277</v>
      </c>
      <c r="B750" t="s">
        <v>1248</v>
      </c>
      <c r="C750" t="s">
        <v>24</v>
      </c>
      <c r="D750" t="s">
        <v>407</v>
      </c>
      <c r="E750">
        <v>1020100</v>
      </c>
    </row>
    <row r="751" spans="1:5" x14ac:dyDescent="0.25">
      <c r="A751" t="s">
        <v>1617</v>
      </c>
      <c r="B751" t="s">
        <v>1571</v>
      </c>
      <c r="C751" t="s">
        <v>24</v>
      </c>
      <c r="D751" t="s">
        <v>407</v>
      </c>
      <c r="E751">
        <v>1020100</v>
      </c>
    </row>
    <row r="752" spans="1:5" x14ac:dyDescent="0.25">
      <c r="A752" t="s">
        <v>317</v>
      </c>
      <c r="B752" t="s">
        <v>318</v>
      </c>
      <c r="C752" t="s">
        <v>72</v>
      </c>
      <c r="D752" t="s">
        <v>213</v>
      </c>
      <c r="E752">
        <v>1020015</v>
      </c>
    </row>
    <row r="753" spans="1:5" x14ac:dyDescent="0.25">
      <c r="A753" t="s">
        <v>1289</v>
      </c>
      <c r="B753" t="s">
        <v>1241</v>
      </c>
      <c r="C753" t="s">
        <v>24</v>
      </c>
      <c r="D753" t="s">
        <v>407</v>
      </c>
      <c r="E753">
        <v>1020100</v>
      </c>
    </row>
    <row r="754" spans="1:5" x14ac:dyDescent="0.25">
      <c r="A754" t="s">
        <v>1523</v>
      </c>
      <c r="B754" t="s">
        <v>1241</v>
      </c>
      <c r="C754" t="s">
        <v>24</v>
      </c>
      <c r="D754" t="s">
        <v>407</v>
      </c>
      <c r="E754">
        <v>1020100</v>
      </c>
    </row>
    <row r="755" spans="1:5" x14ac:dyDescent="0.25">
      <c r="A755" t="s">
        <v>1820</v>
      </c>
      <c r="B755" t="s">
        <v>1702</v>
      </c>
      <c r="C755" t="s">
        <v>24</v>
      </c>
      <c r="D755" t="s">
        <v>613</v>
      </c>
      <c r="E755">
        <v>1020106</v>
      </c>
    </row>
    <row r="756" spans="1:5" x14ac:dyDescent="0.25">
      <c r="A756" t="s">
        <v>2396</v>
      </c>
      <c r="B756" t="s">
        <v>1924</v>
      </c>
      <c r="C756" t="s">
        <v>24</v>
      </c>
      <c r="D756" t="s">
        <v>613</v>
      </c>
      <c r="E756">
        <v>1020106</v>
      </c>
    </row>
    <row r="757" spans="1:5" x14ac:dyDescent="0.25">
      <c r="A757" t="s">
        <v>2921</v>
      </c>
      <c r="B757" t="s">
        <v>1924</v>
      </c>
      <c r="C757" t="s">
        <v>72</v>
      </c>
      <c r="D757" t="s">
        <v>328</v>
      </c>
      <c r="E757">
        <v>1020097</v>
      </c>
    </row>
    <row r="758" spans="1:5" x14ac:dyDescent="0.25">
      <c r="A758" t="s">
        <v>1778</v>
      </c>
      <c r="B758" t="s">
        <v>1720</v>
      </c>
      <c r="C758" t="s">
        <v>869</v>
      </c>
      <c r="D758" t="s">
        <v>1762</v>
      </c>
    </row>
    <row r="759" spans="1:5" x14ac:dyDescent="0.25">
      <c r="A759" t="s">
        <v>50</v>
      </c>
      <c r="B759" t="s">
        <v>51</v>
      </c>
      <c r="C759" t="s">
        <v>24</v>
      </c>
      <c r="D759" t="s">
        <v>22</v>
      </c>
      <c r="E759">
        <v>1020055</v>
      </c>
    </row>
    <row r="760" spans="1:5" x14ac:dyDescent="0.25">
      <c r="A760" t="s">
        <v>814</v>
      </c>
      <c r="B760" t="s">
        <v>1789</v>
      </c>
      <c r="C760" t="s">
        <v>24</v>
      </c>
      <c r="D760" t="s">
        <v>22</v>
      </c>
      <c r="E760">
        <v>1020055</v>
      </c>
    </row>
    <row r="761" spans="1:5" x14ac:dyDescent="0.25">
      <c r="A761" t="s">
        <v>1600</v>
      </c>
      <c r="B761" t="s">
        <v>1789</v>
      </c>
      <c r="C761" t="s">
        <v>24</v>
      </c>
      <c r="D761" t="s">
        <v>710</v>
      </c>
      <c r="E761">
        <v>1020088</v>
      </c>
    </row>
    <row r="762" spans="1:5" x14ac:dyDescent="0.25">
      <c r="A762" t="s">
        <v>1861</v>
      </c>
      <c r="B762" t="s">
        <v>1789</v>
      </c>
      <c r="C762" t="s">
        <v>24</v>
      </c>
      <c r="D762" t="s">
        <v>483</v>
      </c>
      <c r="E762">
        <v>1020096</v>
      </c>
    </row>
    <row r="763" spans="1:5" x14ac:dyDescent="0.25">
      <c r="A763" t="s">
        <v>1502</v>
      </c>
      <c r="B763" t="s">
        <v>1789</v>
      </c>
      <c r="C763" t="s">
        <v>24</v>
      </c>
      <c r="D763" t="s">
        <v>407</v>
      </c>
      <c r="E763">
        <v>1020100</v>
      </c>
    </row>
    <row r="764" spans="1:5" x14ac:dyDescent="0.25">
      <c r="A764" t="s">
        <v>1440</v>
      </c>
      <c r="B764" t="s">
        <v>1789</v>
      </c>
      <c r="C764" t="s">
        <v>24</v>
      </c>
      <c r="D764" t="s">
        <v>710</v>
      </c>
      <c r="E764">
        <v>1020088</v>
      </c>
    </row>
    <row r="765" spans="1:5" x14ac:dyDescent="0.25">
      <c r="A765" t="s">
        <v>1351</v>
      </c>
      <c r="B765" t="s">
        <v>1789</v>
      </c>
      <c r="C765" t="s">
        <v>24</v>
      </c>
      <c r="D765" t="s">
        <v>22</v>
      </c>
      <c r="E765">
        <v>1020055</v>
      </c>
    </row>
    <row r="766" spans="1:5" x14ac:dyDescent="0.25">
      <c r="A766" t="s">
        <v>197</v>
      </c>
      <c r="B766" t="s">
        <v>1789</v>
      </c>
      <c r="C766" t="s">
        <v>24</v>
      </c>
      <c r="D766" t="s">
        <v>22</v>
      </c>
      <c r="E766">
        <v>1020055</v>
      </c>
    </row>
    <row r="767" spans="1:5" x14ac:dyDescent="0.25">
      <c r="A767" t="s">
        <v>361</v>
      </c>
      <c r="B767" t="s">
        <v>1789</v>
      </c>
      <c r="C767" t="s">
        <v>24</v>
      </c>
      <c r="D767" t="s">
        <v>22</v>
      </c>
      <c r="E767">
        <v>1020055</v>
      </c>
    </row>
    <row r="768" spans="1:5" x14ac:dyDescent="0.25">
      <c r="A768" t="s">
        <v>543</v>
      </c>
      <c r="B768" t="s">
        <v>1789</v>
      </c>
      <c r="C768" t="s">
        <v>24</v>
      </c>
      <c r="D768" t="s">
        <v>407</v>
      </c>
      <c r="E768">
        <v>1020100</v>
      </c>
    </row>
    <row r="769" spans="1:5" x14ac:dyDescent="0.25">
      <c r="A769" t="s">
        <v>677</v>
      </c>
      <c r="B769" t="s">
        <v>1789</v>
      </c>
      <c r="C769" t="s">
        <v>24</v>
      </c>
      <c r="D769" t="s">
        <v>407</v>
      </c>
      <c r="E769">
        <v>1020100</v>
      </c>
    </row>
    <row r="770" spans="1:5" x14ac:dyDescent="0.25">
      <c r="A770" t="s">
        <v>780</v>
      </c>
      <c r="B770" t="s">
        <v>1789</v>
      </c>
      <c r="C770" t="s">
        <v>24</v>
      </c>
      <c r="D770" t="s">
        <v>710</v>
      </c>
      <c r="E770">
        <v>1020088</v>
      </c>
    </row>
    <row r="771" spans="1:5" x14ac:dyDescent="0.25">
      <c r="A771" t="s">
        <v>1874</v>
      </c>
      <c r="B771" t="s">
        <v>1789</v>
      </c>
      <c r="C771" t="s">
        <v>24</v>
      </c>
      <c r="D771" t="s">
        <v>710</v>
      </c>
      <c r="E771">
        <v>1020088</v>
      </c>
    </row>
    <row r="772" spans="1:5" x14ac:dyDescent="0.25">
      <c r="A772" t="s">
        <v>3896</v>
      </c>
      <c r="B772" t="s">
        <v>3295</v>
      </c>
      <c r="C772" t="s">
        <v>24</v>
      </c>
      <c r="D772" t="s">
        <v>710</v>
      </c>
      <c r="E772">
        <v>1020088</v>
      </c>
    </row>
    <row r="773" spans="1:5" x14ac:dyDescent="0.25">
      <c r="A773" t="s">
        <v>4562</v>
      </c>
      <c r="B773" t="s">
        <v>1789</v>
      </c>
      <c r="C773" t="s">
        <v>24</v>
      </c>
      <c r="D773" t="s">
        <v>710</v>
      </c>
      <c r="E773">
        <v>1020088</v>
      </c>
    </row>
    <row r="774" spans="1:5" x14ac:dyDescent="0.25">
      <c r="A774" t="s">
        <v>4568</v>
      </c>
      <c r="B774" t="s">
        <v>4530</v>
      </c>
      <c r="C774" t="s">
        <v>1791</v>
      </c>
      <c r="D774" t="s">
        <v>328</v>
      </c>
      <c r="E774">
        <v>1020097</v>
      </c>
    </row>
    <row r="775" spans="1:5" x14ac:dyDescent="0.25">
      <c r="A775" t="s">
        <v>1233</v>
      </c>
      <c r="B775" t="s">
        <v>1207</v>
      </c>
      <c r="C775" t="s">
        <v>24</v>
      </c>
      <c r="D775" t="s">
        <v>613</v>
      </c>
      <c r="E775">
        <v>1020106</v>
      </c>
    </row>
    <row r="776" spans="1:5" x14ac:dyDescent="0.25">
      <c r="A776" t="s">
        <v>1558</v>
      </c>
      <c r="B776" t="s">
        <v>1544</v>
      </c>
      <c r="C776" t="s">
        <v>24</v>
      </c>
      <c r="D776" t="s">
        <v>613</v>
      </c>
      <c r="E776">
        <v>1020106</v>
      </c>
    </row>
    <row r="777" spans="1:5" x14ac:dyDescent="0.25">
      <c r="A777" t="s">
        <v>1823</v>
      </c>
      <c r="B777" t="s">
        <v>1700</v>
      </c>
      <c r="C777" t="s">
        <v>24</v>
      </c>
      <c r="D777" t="s">
        <v>613</v>
      </c>
      <c r="E777">
        <v>1020106</v>
      </c>
    </row>
    <row r="778" spans="1:5" x14ac:dyDescent="0.25">
      <c r="A778" t="s">
        <v>1822</v>
      </c>
      <c r="B778" t="s">
        <v>1700</v>
      </c>
      <c r="C778" t="s">
        <v>24</v>
      </c>
      <c r="D778" t="s">
        <v>613</v>
      </c>
      <c r="E778">
        <v>1020106</v>
      </c>
    </row>
    <row r="779" spans="1:5" x14ac:dyDescent="0.25">
      <c r="A779" t="s">
        <v>696</v>
      </c>
      <c r="B779" t="s">
        <v>697</v>
      </c>
      <c r="C779" t="s">
        <v>24</v>
      </c>
      <c r="D779" t="s">
        <v>613</v>
      </c>
      <c r="E779">
        <v>1020106</v>
      </c>
    </row>
    <row r="780" spans="1:5" x14ac:dyDescent="0.25">
      <c r="A780" t="s">
        <v>722</v>
      </c>
      <c r="B780" t="s">
        <v>697</v>
      </c>
      <c r="C780" t="s">
        <v>24</v>
      </c>
      <c r="D780" t="s">
        <v>613</v>
      </c>
      <c r="E780">
        <v>1020106</v>
      </c>
    </row>
    <row r="781" spans="1:5" x14ac:dyDescent="0.25">
      <c r="A781" t="s">
        <v>165</v>
      </c>
      <c r="B781" t="s">
        <v>166</v>
      </c>
      <c r="C781" t="s">
        <v>98</v>
      </c>
      <c r="D781">
        <v>0</v>
      </c>
    </row>
    <row r="782" spans="1:5" x14ac:dyDescent="0.25">
      <c r="A782" t="s">
        <v>94</v>
      </c>
      <c r="B782" t="s">
        <v>97</v>
      </c>
      <c r="C782" t="s">
        <v>72</v>
      </c>
      <c r="D782" t="s">
        <v>98</v>
      </c>
    </row>
    <row r="783" spans="1:5" x14ac:dyDescent="0.25">
      <c r="A783" t="s">
        <v>99</v>
      </c>
      <c r="B783" t="s">
        <v>97</v>
      </c>
      <c r="C783" t="s">
        <v>72</v>
      </c>
      <c r="D783" t="s">
        <v>98</v>
      </c>
    </row>
    <row r="784" spans="1:5" x14ac:dyDescent="0.25">
      <c r="A784" t="s">
        <v>209</v>
      </c>
      <c r="B784" t="s">
        <v>97</v>
      </c>
      <c r="C784" t="s">
        <v>72</v>
      </c>
      <c r="D784" t="s">
        <v>77</v>
      </c>
      <c r="E784">
        <v>1020051</v>
      </c>
    </row>
    <row r="785" spans="1:5" x14ac:dyDescent="0.25">
      <c r="A785" t="s">
        <v>210</v>
      </c>
      <c r="B785" t="s">
        <v>97</v>
      </c>
      <c r="C785" t="s">
        <v>72</v>
      </c>
      <c r="D785" t="s">
        <v>77</v>
      </c>
      <c r="E785">
        <v>1020051</v>
      </c>
    </row>
    <row r="786" spans="1:5" x14ac:dyDescent="0.25">
      <c r="A786" t="s">
        <v>1896</v>
      </c>
      <c r="B786" t="s">
        <v>1883</v>
      </c>
      <c r="C786" t="s">
        <v>72</v>
      </c>
      <c r="D786" t="s">
        <v>511</v>
      </c>
      <c r="E786">
        <v>1020107</v>
      </c>
    </row>
    <row r="787" spans="1:5" x14ac:dyDescent="0.25">
      <c r="A787" t="s">
        <v>1438</v>
      </c>
      <c r="B787" t="s">
        <v>1380</v>
      </c>
      <c r="C787" t="s">
        <v>24</v>
      </c>
      <c r="D787" t="s">
        <v>710</v>
      </c>
      <c r="E787">
        <v>1020088</v>
      </c>
    </row>
    <row r="788" spans="1:5" x14ac:dyDescent="0.25">
      <c r="A788" t="s">
        <v>145</v>
      </c>
      <c r="B788" t="s">
        <v>146</v>
      </c>
      <c r="C788" t="s">
        <v>24</v>
      </c>
      <c r="D788" t="s">
        <v>25</v>
      </c>
      <c r="E788">
        <v>1020052</v>
      </c>
    </row>
    <row r="789" spans="1:5" x14ac:dyDescent="0.25">
      <c r="A789" t="s">
        <v>1151</v>
      </c>
      <c r="B789" t="s">
        <v>1104</v>
      </c>
      <c r="C789" t="s">
        <v>24</v>
      </c>
      <c r="D789" t="s">
        <v>613</v>
      </c>
      <c r="E789">
        <v>1020106</v>
      </c>
    </row>
    <row r="790" spans="1:5" x14ac:dyDescent="0.25">
      <c r="A790" t="s">
        <v>125</v>
      </c>
      <c r="B790" t="s">
        <v>126</v>
      </c>
      <c r="C790" t="s">
        <v>24</v>
      </c>
      <c r="D790" t="s">
        <v>90</v>
      </c>
      <c r="E790">
        <v>1020001</v>
      </c>
    </row>
    <row r="791" spans="1:5" x14ac:dyDescent="0.25">
      <c r="A791" t="s">
        <v>1487</v>
      </c>
      <c r="B791" t="s">
        <v>1372</v>
      </c>
      <c r="C791" t="s">
        <v>24</v>
      </c>
      <c r="D791" t="s">
        <v>407</v>
      </c>
      <c r="E791">
        <v>1020100</v>
      </c>
    </row>
    <row r="792" spans="1:5" x14ac:dyDescent="0.25">
      <c r="A792" t="s">
        <v>3324</v>
      </c>
      <c r="B792" t="s">
        <v>1372</v>
      </c>
      <c r="C792" t="s">
        <v>24</v>
      </c>
      <c r="D792" t="s">
        <v>483</v>
      </c>
      <c r="E792">
        <v>1020096</v>
      </c>
    </row>
    <row r="793" spans="1:5" x14ac:dyDescent="0.25">
      <c r="A793" t="s">
        <v>3950</v>
      </c>
      <c r="B793" t="s">
        <v>3859</v>
      </c>
      <c r="C793" t="s">
        <v>24</v>
      </c>
      <c r="D793" t="s">
        <v>483</v>
      </c>
      <c r="E793">
        <v>1020096</v>
      </c>
    </row>
    <row r="794" spans="1:5" x14ac:dyDescent="0.25">
      <c r="A794" t="s">
        <v>2041</v>
      </c>
      <c r="B794" t="s">
        <v>4682</v>
      </c>
      <c r="C794" t="s">
        <v>4207</v>
      </c>
      <c r="D794" t="s">
        <v>483</v>
      </c>
      <c r="E794">
        <v>1020096</v>
      </c>
    </row>
    <row r="795" spans="1:5" x14ac:dyDescent="0.25">
      <c r="A795" t="s">
        <v>1127</v>
      </c>
      <c r="B795" t="s">
        <v>729</v>
      </c>
      <c r="C795" t="s">
        <v>3220</v>
      </c>
      <c r="D795" t="s">
        <v>367</v>
      </c>
      <c r="E795">
        <v>1020091</v>
      </c>
    </row>
    <row r="796" spans="1:5" x14ac:dyDescent="0.25">
      <c r="A796" t="s">
        <v>1753</v>
      </c>
      <c r="B796" t="s">
        <v>1719</v>
      </c>
      <c r="C796" t="s">
        <v>869</v>
      </c>
      <c r="D796" t="s">
        <v>1762</v>
      </c>
    </row>
    <row r="797" spans="1:5" x14ac:dyDescent="0.25">
      <c r="A797" t="s">
        <v>1813</v>
      </c>
      <c r="B797" t="s">
        <v>1782</v>
      </c>
      <c r="C797" t="s">
        <v>1791</v>
      </c>
      <c r="D797" t="s">
        <v>81</v>
      </c>
      <c r="E797">
        <v>1020070</v>
      </c>
    </row>
    <row r="798" spans="1:5" x14ac:dyDescent="0.25">
      <c r="A798" t="s">
        <v>4073</v>
      </c>
      <c r="B798" t="s">
        <v>1782</v>
      </c>
      <c r="C798" t="s">
        <v>1791</v>
      </c>
      <c r="D798" t="s">
        <v>81</v>
      </c>
      <c r="E798">
        <v>1020070</v>
      </c>
    </row>
    <row r="799" spans="1:5" x14ac:dyDescent="0.25">
      <c r="A799" t="s">
        <v>1281</v>
      </c>
      <c r="B799" t="s">
        <v>1240</v>
      </c>
      <c r="C799" t="s">
        <v>24</v>
      </c>
      <c r="D799" t="s">
        <v>407</v>
      </c>
      <c r="E799">
        <v>1020100</v>
      </c>
    </row>
    <row r="800" spans="1:5" x14ac:dyDescent="0.25">
      <c r="A800" t="s">
        <v>790</v>
      </c>
      <c r="B800" t="s">
        <v>791</v>
      </c>
      <c r="C800" t="s">
        <v>3221</v>
      </c>
      <c r="D800" t="s">
        <v>81</v>
      </c>
      <c r="E800">
        <v>1020070</v>
      </c>
    </row>
    <row r="801" spans="1:5" x14ac:dyDescent="0.25">
      <c r="A801" t="s">
        <v>3146</v>
      </c>
      <c r="B801" t="s">
        <v>2927</v>
      </c>
      <c r="C801" t="s">
        <v>3287</v>
      </c>
      <c r="D801" t="s">
        <v>22</v>
      </c>
      <c r="E801">
        <v>1020055</v>
      </c>
    </row>
    <row r="802" spans="1:5" x14ac:dyDescent="0.25">
      <c r="A802" t="s">
        <v>1818</v>
      </c>
      <c r="B802" t="s">
        <v>1784</v>
      </c>
      <c r="C802" t="s">
        <v>72</v>
      </c>
      <c r="D802" t="s">
        <v>81</v>
      </c>
      <c r="E802">
        <v>1020070</v>
      </c>
    </row>
    <row r="803" spans="1:5" x14ac:dyDescent="0.25">
      <c r="A803" t="s">
        <v>1739</v>
      </c>
      <c r="B803" t="s">
        <v>1718</v>
      </c>
      <c r="C803" t="s">
        <v>869</v>
      </c>
      <c r="D803" t="s">
        <v>1762</v>
      </c>
    </row>
    <row r="804" spans="1:5" x14ac:dyDescent="0.25">
      <c r="A804" t="s">
        <v>1178</v>
      </c>
      <c r="B804" t="s">
        <v>839</v>
      </c>
      <c r="C804" t="s">
        <v>24</v>
      </c>
      <c r="D804" t="s">
        <v>710</v>
      </c>
      <c r="E804">
        <v>1020088</v>
      </c>
    </row>
    <row r="805" spans="1:5" x14ac:dyDescent="0.25">
      <c r="A805" t="s">
        <v>1870</v>
      </c>
      <c r="B805" t="s">
        <v>839</v>
      </c>
      <c r="C805" t="s">
        <v>24</v>
      </c>
      <c r="D805" t="s">
        <v>710</v>
      </c>
      <c r="E805">
        <v>1020088</v>
      </c>
    </row>
    <row r="806" spans="1:5" x14ac:dyDescent="0.25">
      <c r="A806" t="s">
        <v>734</v>
      </c>
      <c r="B806" t="s">
        <v>735</v>
      </c>
      <c r="C806" t="s">
        <v>24</v>
      </c>
      <c r="D806" t="s">
        <v>613</v>
      </c>
      <c r="E806">
        <v>1020106</v>
      </c>
    </row>
    <row r="807" spans="1:5" x14ac:dyDescent="0.25">
      <c r="A807" t="s">
        <v>1195</v>
      </c>
      <c r="B807" t="s">
        <v>772</v>
      </c>
      <c r="C807" t="s">
        <v>24</v>
      </c>
      <c r="D807" t="s">
        <v>407</v>
      </c>
      <c r="E807">
        <v>1020100</v>
      </c>
    </row>
    <row r="808" spans="1:5" x14ac:dyDescent="0.25">
      <c r="A808" t="s">
        <v>1503</v>
      </c>
      <c r="B808" t="s">
        <v>772</v>
      </c>
      <c r="C808" t="s">
        <v>24</v>
      </c>
      <c r="D808" t="s">
        <v>407</v>
      </c>
      <c r="E808">
        <v>1020100</v>
      </c>
    </row>
    <row r="809" spans="1:5" x14ac:dyDescent="0.25">
      <c r="A809" t="s">
        <v>3321</v>
      </c>
      <c r="B809" t="s">
        <v>3231</v>
      </c>
      <c r="C809" t="s">
        <v>24</v>
      </c>
      <c r="D809" t="s">
        <v>483</v>
      </c>
      <c r="E809">
        <v>1020096</v>
      </c>
    </row>
    <row r="810" spans="1:5" x14ac:dyDescent="0.25">
      <c r="A810" t="s">
        <v>3956</v>
      </c>
      <c r="B810" t="s">
        <v>3231</v>
      </c>
      <c r="C810" t="s">
        <v>24</v>
      </c>
      <c r="D810" t="s">
        <v>483</v>
      </c>
      <c r="E810">
        <v>1020096</v>
      </c>
    </row>
    <row r="811" spans="1:5" x14ac:dyDescent="0.25">
      <c r="A811" t="s">
        <v>784</v>
      </c>
      <c r="B811" t="s">
        <v>785</v>
      </c>
      <c r="C811" t="s">
        <v>3221</v>
      </c>
      <c r="D811" t="s">
        <v>81</v>
      </c>
      <c r="E811">
        <v>1020070</v>
      </c>
    </row>
    <row r="812" spans="1:5" x14ac:dyDescent="0.25">
      <c r="A812" t="s">
        <v>423</v>
      </c>
      <c r="B812" t="s">
        <v>424</v>
      </c>
      <c r="C812" t="s">
        <v>24</v>
      </c>
      <c r="D812" t="s">
        <v>25</v>
      </c>
      <c r="E812">
        <v>1020052</v>
      </c>
    </row>
    <row r="813" spans="1:5" x14ac:dyDescent="0.25">
      <c r="A813" t="s">
        <v>731</v>
      </c>
      <c r="B813" t="s">
        <v>732</v>
      </c>
      <c r="C813" t="s">
        <v>72</v>
      </c>
      <c r="D813" t="s">
        <v>304</v>
      </c>
      <c r="E813">
        <v>1020098</v>
      </c>
    </row>
    <row r="814" spans="1:5" x14ac:dyDescent="0.25">
      <c r="A814" t="s">
        <v>531</v>
      </c>
      <c r="B814" t="s">
        <v>532</v>
      </c>
      <c r="C814" t="s">
        <v>72</v>
      </c>
      <c r="D814" t="s">
        <v>304</v>
      </c>
      <c r="E814">
        <v>1020098</v>
      </c>
    </row>
    <row r="815" spans="1:5" x14ac:dyDescent="0.25">
      <c r="A815" t="s">
        <v>610</v>
      </c>
      <c r="B815" t="s">
        <v>532</v>
      </c>
      <c r="C815" t="s">
        <v>72</v>
      </c>
      <c r="D815" t="s">
        <v>304</v>
      </c>
      <c r="E815">
        <v>1020098</v>
      </c>
    </row>
    <row r="816" spans="1:5" x14ac:dyDescent="0.25">
      <c r="A816" t="s">
        <v>730</v>
      </c>
      <c r="B816" t="s">
        <v>532</v>
      </c>
      <c r="C816" t="s">
        <v>72</v>
      </c>
      <c r="D816" t="s">
        <v>304</v>
      </c>
      <c r="E816">
        <v>1020098</v>
      </c>
    </row>
    <row r="817" spans="1:5" x14ac:dyDescent="0.25">
      <c r="A817" t="s">
        <v>1336</v>
      </c>
      <c r="B817" t="s">
        <v>532</v>
      </c>
      <c r="C817" t="s">
        <v>72</v>
      </c>
      <c r="D817" t="s">
        <v>304</v>
      </c>
      <c r="E817">
        <v>1020098</v>
      </c>
    </row>
    <row r="818" spans="1:5" x14ac:dyDescent="0.25">
      <c r="A818" t="s">
        <v>1511</v>
      </c>
      <c r="B818" t="s">
        <v>532</v>
      </c>
      <c r="C818" t="s">
        <v>72</v>
      </c>
      <c r="D818" t="s">
        <v>304</v>
      </c>
      <c r="E818">
        <v>1020098</v>
      </c>
    </row>
    <row r="819" spans="1:5" x14ac:dyDescent="0.25">
      <c r="A819" t="s">
        <v>1801</v>
      </c>
      <c r="B819" t="s">
        <v>1765</v>
      </c>
      <c r="C819" t="s">
        <v>1791</v>
      </c>
      <c r="D819" t="s">
        <v>81</v>
      </c>
      <c r="E819">
        <v>1020070</v>
      </c>
    </row>
    <row r="820" spans="1:5" x14ac:dyDescent="0.25">
      <c r="A820" t="s">
        <v>313</v>
      </c>
      <c r="B820" t="s">
        <v>314</v>
      </c>
      <c r="C820" t="s">
        <v>80</v>
      </c>
      <c r="D820" t="s">
        <v>90</v>
      </c>
      <c r="E820">
        <v>1020001</v>
      </c>
    </row>
    <row r="821" spans="1:5" x14ac:dyDescent="0.25">
      <c r="A821" t="s">
        <v>513</v>
      </c>
      <c r="B821" t="s">
        <v>314</v>
      </c>
      <c r="C821" t="s">
        <v>80</v>
      </c>
      <c r="D821" t="s">
        <v>90</v>
      </c>
      <c r="E821">
        <v>1020001</v>
      </c>
    </row>
    <row r="822" spans="1:5" x14ac:dyDescent="0.25">
      <c r="A822" t="s">
        <v>1525</v>
      </c>
      <c r="B822" t="s">
        <v>1469</v>
      </c>
      <c r="C822" t="s">
        <v>24</v>
      </c>
      <c r="D822" t="s">
        <v>407</v>
      </c>
      <c r="E822">
        <v>1020100</v>
      </c>
    </row>
    <row r="823" spans="1:5" x14ac:dyDescent="0.25">
      <c r="A823" t="s">
        <v>1794</v>
      </c>
      <c r="B823" t="s">
        <v>1764</v>
      </c>
      <c r="C823" t="s">
        <v>24</v>
      </c>
      <c r="D823" t="s">
        <v>22</v>
      </c>
      <c r="E823">
        <v>1020055</v>
      </c>
    </row>
    <row r="824" spans="1:5" x14ac:dyDescent="0.25">
      <c r="A824" t="s">
        <v>1276</v>
      </c>
      <c r="B824" t="s">
        <v>1250</v>
      </c>
      <c r="C824" t="s">
        <v>24</v>
      </c>
      <c r="D824" t="s">
        <v>407</v>
      </c>
      <c r="E824">
        <v>1020100</v>
      </c>
    </row>
    <row r="825" spans="1:5" x14ac:dyDescent="0.25">
      <c r="A825" t="s">
        <v>482</v>
      </c>
      <c r="B825" t="s">
        <v>484</v>
      </c>
      <c r="C825" t="s">
        <v>72</v>
      </c>
      <c r="D825" t="s">
        <v>407</v>
      </c>
      <c r="E825">
        <v>1020100</v>
      </c>
    </row>
    <row r="826" spans="1:5" x14ac:dyDescent="0.25">
      <c r="A826" t="s">
        <v>1194</v>
      </c>
      <c r="B826" t="s">
        <v>769</v>
      </c>
      <c r="C826" t="s">
        <v>24</v>
      </c>
      <c r="D826" t="s">
        <v>407</v>
      </c>
      <c r="E826">
        <v>1020100</v>
      </c>
    </row>
    <row r="827" spans="1:5" x14ac:dyDescent="0.25">
      <c r="A827" t="s">
        <v>1672</v>
      </c>
      <c r="B827" t="s">
        <v>1632</v>
      </c>
      <c r="C827" t="s">
        <v>24</v>
      </c>
      <c r="D827" t="s">
        <v>367</v>
      </c>
      <c r="E827">
        <v>1020091</v>
      </c>
    </row>
    <row r="828" spans="1:5" x14ac:dyDescent="0.25">
      <c r="A828" t="s">
        <v>3949</v>
      </c>
      <c r="B828" t="s">
        <v>769</v>
      </c>
      <c r="C828" t="s">
        <v>24</v>
      </c>
      <c r="D828" t="s">
        <v>483</v>
      </c>
      <c r="E828">
        <v>1020096</v>
      </c>
    </row>
    <row r="829" spans="1:5" x14ac:dyDescent="0.25">
      <c r="A829" t="s">
        <v>204</v>
      </c>
      <c r="B829" t="s">
        <v>205</v>
      </c>
      <c r="C829" t="s">
        <v>24</v>
      </c>
      <c r="D829" t="s">
        <v>22</v>
      </c>
      <c r="E829">
        <v>1020055</v>
      </c>
    </row>
    <row r="830" spans="1:5" x14ac:dyDescent="0.25">
      <c r="A830" t="s">
        <v>514</v>
      </c>
      <c r="B830" t="s">
        <v>515</v>
      </c>
      <c r="C830" t="s">
        <v>72</v>
      </c>
      <c r="D830" t="s">
        <v>487</v>
      </c>
      <c r="E830">
        <v>1020060</v>
      </c>
    </row>
    <row r="831" spans="1:5" x14ac:dyDescent="0.25">
      <c r="A831" t="s">
        <v>553</v>
      </c>
      <c r="B831" t="s">
        <v>554</v>
      </c>
      <c r="C831" t="s">
        <v>24</v>
      </c>
      <c r="D831" t="s">
        <v>407</v>
      </c>
      <c r="E831">
        <v>1020100</v>
      </c>
    </row>
    <row r="832" spans="1:5" x14ac:dyDescent="0.25">
      <c r="A832" t="s">
        <v>1658</v>
      </c>
      <c r="B832" t="s">
        <v>1589</v>
      </c>
      <c r="C832" t="s">
        <v>24</v>
      </c>
      <c r="D832" t="s">
        <v>22</v>
      </c>
      <c r="E832">
        <v>1020055</v>
      </c>
    </row>
    <row r="833" spans="1:5" x14ac:dyDescent="0.25">
      <c r="A833" t="s">
        <v>1310</v>
      </c>
      <c r="B833" t="s">
        <v>1266</v>
      </c>
      <c r="C833" t="s">
        <v>24</v>
      </c>
      <c r="D833" t="s">
        <v>22</v>
      </c>
      <c r="E833">
        <v>1020055</v>
      </c>
    </row>
    <row r="834" spans="1:5" x14ac:dyDescent="0.25">
      <c r="A834" t="s">
        <v>810</v>
      </c>
      <c r="B834" t="s">
        <v>811</v>
      </c>
      <c r="C834" t="s">
        <v>24</v>
      </c>
      <c r="D834" t="s">
        <v>22</v>
      </c>
      <c r="E834">
        <v>1020055</v>
      </c>
    </row>
    <row r="835" spans="1:5" x14ac:dyDescent="0.25">
      <c r="A835" t="s">
        <v>739</v>
      </c>
      <c r="B835" t="s">
        <v>740</v>
      </c>
      <c r="C835" t="s">
        <v>72</v>
      </c>
      <c r="D835" t="s">
        <v>304</v>
      </c>
      <c r="E835">
        <v>1020098</v>
      </c>
    </row>
    <row r="836" spans="1:5" x14ac:dyDescent="0.25">
      <c r="A836" t="s">
        <v>1279</v>
      </c>
      <c r="B836" t="s">
        <v>1242</v>
      </c>
      <c r="C836" t="s">
        <v>24</v>
      </c>
      <c r="D836" t="s">
        <v>407</v>
      </c>
      <c r="E836">
        <v>1020100</v>
      </c>
    </row>
    <row r="837" spans="1:5" x14ac:dyDescent="0.25">
      <c r="A837" t="s">
        <v>608</v>
      </c>
      <c r="B837" t="s">
        <v>609</v>
      </c>
      <c r="C837" t="s">
        <v>72</v>
      </c>
      <c r="D837" t="s">
        <v>304</v>
      </c>
      <c r="E837">
        <v>1020098</v>
      </c>
    </row>
    <row r="838" spans="1:5" x14ac:dyDescent="0.25">
      <c r="A838" t="s">
        <v>686</v>
      </c>
      <c r="B838" t="s">
        <v>609</v>
      </c>
      <c r="C838" t="s">
        <v>72</v>
      </c>
      <c r="D838" t="s">
        <v>304</v>
      </c>
      <c r="E838">
        <v>1020098</v>
      </c>
    </row>
    <row r="839" spans="1:5" x14ac:dyDescent="0.25">
      <c r="A839" t="s">
        <v>706</v>
      </c>
      <c r="B839" t="s">
        <v>609</v>
      </c>
      <c r="C839" t="s">
        <v>72</v>
      </c>
      <c r="D839" t="s">
        <v>304</v>
      </c>
      <c r="E839">
        <v>1020098</v>
      </c>
    </row>
    <row r="840" spans="1:5" x14ac:dyDescent="0.25">
      <c r="A840" t="s">
        <v>1454</v>
      </c>
      <c r="B840" t="s">
        <v>609</v>
      </c>
      <c r="C840" t="s">
        <v>72</v>
      </c>
      <c r="D840" t="s">
        <v>304</v>
      </c>
      <c r="E840">
        <v>1020098</v>
      </c>
    </row>
    <row r="841" spans="1:5" x14ac:dyDescent="0.25">
      <c r="A841" t="s">
        <v>100</v>
      </c>
      <c r="B841" t="s">
        <v>101</v>
      </c>
      <c r="C841" t="s">
        <v>72</v>
      </c>
      <c r="D841" t="s">
        <v>22</v>
      </c>
      <c r="E841">
        <v>1020055</v>
      </c>
    </row>
    <row r="842" spans="1:5" x14ac:dyDescent="0.25">
      <c r="A842" t="s">
        <v>2237</v>
      </c>
      <c r="B842" t="s">
        <v>1845</v>
      </c>
      <c r="C842" t="s">
        <v>24</v>
      </c>
      <c r="D842" t="s">
        <v>710</v>
      </c>
      <c r="E842">
        <v>1020088</v>
      </c>
    </row>
    <row r="843" spans="1:5" x14ac:dyDescent="0.25">
      <c r="A843" t="s">
        <v>69</v>
      </c>
      <c r="B843" t="s">
        <v>71</v>
      </c>
      <c r="C843" t="s">
        <v>72</v>
      </c>
      <c r="D843" t="s">
        <v>213</v>
      </c>
      <c r="E843">
        <v>1020015</v>
      </c>
    </row>
    <row r="844" spans="1:5" x14ac:dyDescent="0.25">
      <c r="A844" t="s">
        <v>91</v>
      </c>
      <c r="B844" t="s">
        <v>71</v>
      </c>
      <c r="C844" t="s">
        <v>72</v>
      </c>
      <c r="D844" t="s">
        <v>213</v>
      </c>
      <c r="E844">
        <v>1020015</v>
      </c>
    </row>
    <row r="845" spans="1:5" x14ac:dyDescent="0.25">
      <c r="A845" t="s">
        <v>319</v>
      </c>
      <c r="B845" t="s">
        <v>71</v>
      </c>
      <c r="C845" t="s">
        <v>72</v>
      </c>
      <c r="D845" t="s">
        <v>213</v>
      </c>
      <c r="E845">
        <v>1020015</v>
      </c>
    </row>
    <row r="846" spans="1:5" x14ac:dyDescent="0.25">
      <c r="A846" t="s">
        <v>757</v>
      </c>
      <c r="B846" t="s">
        <v>758</v>
      </c>
      <c r="C846" t="s">
        <v>24</v>
      </c>
      <c r="D846" t="s">
        <v>407</v>
      </c>
      <c r="E846">
        <v>1020100</v>
      </c>
    </row>
    <row r="847" spans="1:5" x14ac:dyDescent="0.25">
      <c r="A847" t="s">
        <v>1349</v>
      </c>
      <c r="B847" t="s">
        <v>758</v>
      </c>
      <c r="C847" t="s">
        <v>24</v>
      </c>
      <c r="D847" t="s">
        <v>22</v>
      </c>
      <c r="E847">
        <v>1020055</v>
      </c>
    </row>
    <row r="848" spans="1:5" x14ac:dyDescent="0.25">
      <c r="A848" t="s">
        <v>1596</v>
      </c>
      <c r="B848" t="s">
        <v>1577</v>
      </c>
      <c r="C848" t="s">
        <v>24</v>
      </c>
      <c r="D848" t="s">
        <v>710</v>
      </c>
      <c r="E848">
        <v>1020088</v>
      </c>
    </row>
    <row r="849" spans="1:5" x14ac:dyDescent="0.25">
      <c r="A849" t="s">
        <v>1272</v>
      </c>
      <c r="B849" t="s">
        <v>1238</v>
      </c>
      <c r="C849" t="s">
        <v>24</v>
      </c>
      <c r="D849" t="s">
        <v>407</v>
      </c>
      <c r="E849">
        <v>1020100</v>
      </c>
    </row>
    <row r="850" spans="1:5" x14ac:dyDescent="0.25">
      <c r="A850" t="s">
        <v>1284</v>
      </c>
      <c r="B850" t="s">
        <v>1246</v>
      </c>
      <c r="C850" t="s">
        <v>24</v>
      </c>
      <c r="D850" t="s">
        <v>407</v>
      </c>
      <c r="E850">
        <v>1020100</v>
      </c>
    </row>
    <row r="851" spans="1:5" x14ac:dyDescent="0.25">
      <c r="A851" t="s">
        <v>1496</v>
      </c>
      <c r="B851" t="s">
        <v>1246</v>
      </c>
      <c r="C851" t="s">
        <v>24</v>
      </c>
      <c r="D851" t="s">
        <v>407</v>
      </c>
      <c r="E851">
        <v>1020100</v>
      </c>
    </row>
    <row r="852" spans="1:5" x14ac:dyDescent="0.25">
      <c r="A852" t="s">
        <v>1871</v>
      </c>
      <c r="B852" t="s">
        <v>1246</v>
      </c>
      <c r="C852" t="s">
        <v>24</v>
      </c>
      <c r="D852" t="s">
        <v>710</v>
      </c>
      <c r="E852">
        <v>1020088</v>
      </c>
    </row>
    <row r="853" spans="1:5" x14ac:dyDescent="0.25">
      <c r="A853" t="s">
        <v>1771</v>
      </c>
      <c r="B853" t="s">
        <v>1697</v>
      </c>
      <c r="C853" t="s">
        <v>24</v>
      </c>
      <c r="D853" t="s">
        <v>710</v>
      </c>
      <c r="E853">
        <v>1020088</v>
      </c>
    </row>
    <row r="854" spans="1:5" x14ac:dyDescent="0.25">
      <c r="A854" t="s">
        <v>3327</v>
      </c>
      <c r="B854" t="s">
        <v>3232</v>
      </c>
      <c r="C854" t="s">
        <v>24</v>
      </c>
      <c r="D854" t="s">
        <v>483</v>
      </c>
      <c r="E854">
        <v>1020096</v>
      </c>
    </row>
    <row r="855" spans="1:5" x14ac:dyDescent="0.25">
      <c r="A855" t="s">
        <v>1637</v>
      </c>
      <c r="B855" t="s">
        <v>4277</v>
      </c>
      <c r="C855" t="s">
        <v>24</v>
      </c>
      <c r="D855" t="s">
        <v>367</v>
      </c>
      <c r="E855">
        <v>1020091</v>
      </c>
    </row>
    <row r="856" spans="1:5" x14ac:dyDescent="0.25">
      <c r="A856" t="s">
        <v>4054</v>
      </c>
      <c r="B856" t="s">
        <v>4277</v>
      </c>
      <c r="C856" t="s">
        <v>24</v>
      </c>
      <c r="D856" t="s">
        <v>213</v>
      </c>
      <c r="E856">
        <v>1020015</v>
      </c>
    </row>
    <row r="857" spans="1:5" x14ac:dyDescent="0.25">
      <c r="A857" t="s">
        <v>4055</v>
      </c>
      <c r="B857" t="s">
        <v>4277</v>
      </c>
      <c r="C857" t="s">
        <v>24</v>
      </c>
      <c r="D857" t="s">
        <v>90</v>
      </c>
      <c r="E857">
        <v>1020001</v>
      </c>
    </row>
    <row r="858" spans="1:5" x14ac:dyDescent="0.25">
      <c r="A858" t="s">
        <v>4295</v>
      </c>
      <c r="B858" t="s">
        <v>4277</v>
      </c>
      <c r="C858" t="s">
        <v>24</v>
      </c>
      <c r="D858" t="s">
        <v>367</v>
      </c>
      <c r="E858">
        <v>1020091</v>
      </c>
    </row>
    <row r="859" spans="1:5" x14ac:dyDescent="0.25">
      <c r="A859" t="s">
        <v>4304</v>
      </c>
      <c r="B859" t="s">
        <v>4277</v>
      </c>
      <c r="C859" t="s">
        <v>24</v>
      </c>
      <c r="D859" t="s">
        <v>367</v>
      </c>
      <c r="E859">
        <v>1020091</v>
      </c>
    </row>
    <row r="860" spans="1:5" x14ac:dyDescent="0.25">
      <c r="A860" t="s">
        <v>4393</v>
      </c>
      <c r="B860" t="s">
        <v>4277</v>
      </c>
      <c r="C860" t="s">
        <v>24</v>
      </c>
      <c r="D860" t="s">
        <v>710</v>
      </c>
      <c r="E860">
        <v>1020088</v>
      </c>
    </row>
    <row r="861" spans="1:5" x14ac:dyDescent="0.25">
      <c r="A861" t="s">
        <v>1738</v>
      </c>
      <c r="B861" t="s">
        <v>1717</v>
      </c>
      <c r="C861" t="s">
        <v>869</v>
      </c>
      <c r="D861" t="s">
        <v>1762</v>
      </c>
    </row>
    <row r="862" spans="1:5" x14ac:dyDescent="0.25">
      <c r="A862" t="s">
        <v>200</v>
      </c>
      <c r="B862" t="s">
        <v>201</v>
      </c>
      <c r="C862" t="s">
        <v>24</v>
      </c>
      <c r="D862" t="s">
        <v>22</v>
      </c>
      <c r="E862">
        <v>1020055</v>
      </c>
    </row>
    <row r="863" spans="1:5" x14ac:dyDescent="0.25">
      <c r="A863" t="s">
        <v>330</v>
      </c>
      <c r="B863" t="s">
        <v>201</v>
      </c>
      <c r="C863" t="s">
        <v>24</v>
      </c>
      <c r="D863" t="s">
        <v>22</v>
      </c>
      <c r="E863">
        <v>1020055</v>
      </c>
    </row>
    <row r="864" spans="1:5" x14ac:dyDescent="0.25">
      <c r="A864" t="s">
        <v>1274</v>
      </c>
      <c r="B864" t="s">
        <v>201</v>
      </c>
      <c r="C864" t="s">
        <v>24</v>
      </c>
      <c r="D864" t="s">
        <v>407</v>
      </c>
      <c r="E864">
        <v>1020100</v>
      </c>
    </row>
    <row r="865" spans="1:5" x14ac:dyDescent="0.25">
      <c r="A865" t="s">
        <v>527</v>
      </c>
      <c r="B865" t="s">
        <v>528</v>
      </c>
      <c r="C865" t="s">
        <v>24</v>
      </c>
      <c r="D865" t="s">
        <v>22</v>
      </c>
      <c r="E865">
        <v>1020055</v>
      </c>
    </row>
    <row r="866" spans="1:5" x14ac:dyDescent="0.25">
      <c r="A866" t="s">
        <v>42</v>
      </c>
      <c r="B866" t="s">
        <v>43</v>
      </c>
      <c r="C866" t="s">
        <v>24</v>
      </c>
      <c r="D866" t="s">
        <v>22</v>
      </c>
      <c r="E866">
        <v>1020055</v>
      </c>
    </row>
    <row r="867" spans="1:5" x14ac:dyDescent="0.25">
      <c r="A867" t="s">
        <v>60</v>
      </c>
      <c r="B867" t="s">
        <v>43</v>
      </c>
      <c r="C867" t="s">
        <v>24</v>
      </c>
      <c r="D867" t="s">
        <v>22</v>
      </c>
      <c r="E867">
        <v>1020055</v>
      </c>
    </row>
    <row r="868" spans="1:5" x14ac:dyDescent="0.25">
      <c r="A868" t="s">
        <v>290</v>
      </c>
      <c r="B868" t="s">
        <v>43</v>
      </c>
      <c r="C868" t="s">
        <v>24</v>
      </c>
      <c r="D868" t="s">
        <v>22</v>
      </c>
      <c r="E868">
        <v>1020055</v>
      </c>
    </row>
    <row r="869" spans="1:5" x14ac:dyDescent="0.25">
      <c r="A869" t="s">
        <v>1744</v>
      </c>
      <c r="B869" t="s">
        <v>1721</v>
      </c>
      <c r="C869" t="s">
        <v>869</v>
      </c>
      <c r="D869" t="s">
        <v>1762</v>
      </c>
    </row>
    <row r="870" spans="1:5" x14ac:dyDescent="0.25">
      <c r="A870" t="s">
        <v>82</v>
      </c>
      <c r="B870" t="s">
        <v>83</v>
      </c>
      <c r="C870" t="s">
        <v>80</v>
      </c>
      <c r="D870" t="s">
        <v>81</v>
      </c>
      <c r="E870">
        <v>1020070</v>
      </c>
    </row>
    <row r="871" spans="1:5" x14ac:dyDescent="0.25">
      <c r="A871" t="s">
        <v>1275</v>
      </c>
      <c r="B871" t="s">
        <v>1245</v>
      </c>
      <c r="C871" t="s">
        <v>24</v>
      </c>
      <c r="D871" t="s">
        <v>407</v>
      </c>
      <c r="E871">
        <v>1020100</v>
      </c>
    </row>
    <row r="872" spans="1:5" x14ac:dyDescent="0.25">
      <c r="A872" t="s">
        <v>698</v>
      </c>
      <c r="B872" t="s">
        <v>699</v>
      </c>
      <c r="C872" t="s">
        <v>24</v>
      </c>
      <c r="D872" t="s">
        <v>613</v>
      </c>
      <c r="E872">
        <v>1020106</v>
      </c>
    </row>
    <row r="873" spans="1:5" x14ac:dyDescent="0.25">
      <c r="A873" t="s">
        <v>657</v>
      </c>
      <c r="B873" t="s">
        <v>658</v>
      </c>
      <c r="C873" t="s">
        <v>24</v>
      </c>
      <c r="D873" t="s">
        <v>22</v>
      </c>
      <c r="E873">
        <v>1020055</v>
      </c>
    </row>
    <row r="874" spans="1:5" x14ac:dyDescent="0.25">
      <c r="A874" t="s">
        <v>1559</v>
      </c>
      <c r="B874" t="s">
        <v>1545</v>
      </c>
      <c r="C874" t="s">
        <v>24</v>
      </c>
      <c r="D874" t="s">
        <v>613</v>
      </c>
      <c r="E874">
        <v>1020106</v>
      </c>
    </row>
    <row r="875" spans="1:5" x14ac:dyDescent="0.25">
      <c r="A875" t="s">
        <v>1317</v>
      </c>
      <c r="B875" t="s">
        <v>1267</v>
      </c>
      <c r="C875" t="s">
        <v>24</v>
      </c>
      <c r="D875" t="s">
        <v>22</v>
      </c>
      <c r="E875">
        <v>1020055</v>
      </c>
    </row>
    <row r="876" spans="1:5" x14ac:dyDescent="0.25">
      <c r="A876" t="s">
        <v>529</v>
      </c>
      <c r="B876" t="s">
        <v>530</v>
      </c>
      <c r="C876" t="s">
        <v>24</v>
      </c>
      <c r="D876" t="s">
        <v>22</v>
      </c>
      <c r="E876">
        <v>1020055</v>
      </c>
    </row>
    <row r="877" spans="1:5" x14ac:dyDescent="0.25">
      <c r="A877" t="s">
        <v>466</v>
      </c>
      <c r="B877" t="s">
        <v>467</v>
      </c>
      <c r="C877" t="s">
        <v>72</v>
      </c>
      <c r="D877" t="s">
        <v>325</v>
      </c>
      <c r="E877">
        <v>1020068</v>
      </c>
    </row>
    <row r="878" spans="1:5" x14ac:dyDescent="0.25">
      <c r="A878" t="s">
        <v>112</v>
      </c>
      <c r="B878" t="s">
        <v>113</v>
      </c>
      <c r="C878" t="s">
        <v>24</v>
      </c>
      <c r="D878" t="s">
        <v>22</v>
      </c>
      <c r="E878">
        <v>1020055</v>
      </c>
    </row>
    <row r="879" spans="1:5" x14ac:dyDescent="0.25">
      <c r="A879" t="s">
        <v>723</v>
      </c>
      <c r="B879" t="s">
        <v>724</v>
      </c>
      <c r="C879" t="s">
        <v>24</v>
      </c>
      <c r="D879" t="s">
        <v>613</v>
      </c>
      <c r="E879">
        <v>1020106</v>
      </c>
    </row>
    <row r="880" spans="1:5" x14ac:dyDescent="0.25">
      <c r="A880" t="s">
        <v>1819</v>
      </c>
      <c r="B880" t="s">
        <v>1703</v>
      </c>
      <c r="C880" t="s">
        <v>24</v>
      </c>
      <c r="D880" t="s">
        <v>613</v>
      </c>
      <c r="E880">
        <v>1020106</v>
      </c>
    </row>
    <row r="881" spans="1:5" x14ac:dyDescent="0.25">
      <c r="A881" t="s">
        <v>3569</v>
      </c>
      <c r="B881" t="s">
        <v>1703</v>
      </c>
      <c r="C881" t="s">
        <v>24</v>
      </c>
      <c r="D881" t="s">
        <v>613</v>
      </c>
      <c r="E881">
        <v>1020106</v>
      </c>
    </row>
    <row r="882" spans="1:5" x14ac:dyDescent="0.25">
      <c r="A882" t="s">
        <v>497</v>
      </c>
      <c r="B882" t="s">
        <v>498</v>
      </c>
      <c r="C882" t="s">
        <v>72</v>
      </c>
      <c r="D882" t="s">
        <v>487</v>
      </c>
      <c r="E882">
        <v>1020060</v>
      </c>
    </row>
    <row r="883" spans="1:5" x14ac:dyDescent="0.25">
      <c r="A883" t="s">
        <v>604</v>
      </c>
      <c r="B883" t="s">
        <v>605</v>
      </c>
      <c r="C883" t="s">
        <v>24</v>
      </c>
      <c r="D883" t="s">
        <v>22</v>
      </c>
      <c r="E883">
        <v>1020055</v>
      </c>
    </row>
    <row r="884" spans="1:5" x14ac:dyDescent="0.25">
      <c r="A884" t="s">
        <v>1406</v>
      </c>
      <c r="B884" t="s">
        <v>1364</v>
      </c>
      <c r="C884" t="s">
        <v>24</v>
      </c>
      <c r="D884" t="s">
        <v>22</v>
      </c>
      <c r="E884">
        <v>1020055</v>
      </c>
    </row>
    <row r="885" spans="1:5" x14ac:dyDescent="0.25">
      <c r="A885" t="s">
        <v>392</v>
      </c>
      <c r="B885" t="s">
        <v>393</v>
      </c>
      <c r="C885" t="s">
        <v>24</v>
      </c>
      <c r="D885" t="s">
        <v>22</v>
      </c>
      <c r="E885">
        <v>1020055</v>
      </c>
    </row>
    <row r="886" spans="1:5" x14ac:dyDescent="0.25">
      <c r="A886" t="s">
        <v>829</v>
      </c>
      <c r="B886" t="s">
        <v>393</v>
      </c>
      <c r="C886" t="s">
        <v>24</v>
      </c>
      <c r="D886" t="s">
        <v>22</v>
      </c>
      <c r="E886">
        <v>1020055</v>
      </c>
    </row>
    <row r="887" spans="1:5" x14ac:dyDescent="0.25">
      <c r="A887" t="s">
        <v>1229</v>
      </c>
      <c r="B887" t="s">
        <v>1192</v>
      </c>
      <c r="C887" t="s">
        <v>3220</v>
      </c>
      <c r="D887" t="s">
        <v>367</v>
      </c>
      <c r="E887">
        <v>1020091</v>
      </c>
    </row>
    <row r="888" spans="1:5" x14ac:dyDescent="0.25">
      <c r="A888" t="s">
        <v>321</v>
      </c>
      <c r="B888" t="s">
        <v>322</v>
      </c>
      <c r="C888" t="s">
        <v>72</v>
      </c>
      <c r="D888" t="s">
        <v>213</v>
      </c>
      <c r="E888">
        <v>1020015</v>
      </c>
    </row>
    <row r="889" spans="1:5" x14ac:dyDescent="0.25">
      <c r="A889" t="s">
        <v>1395</v>
      </c>
      <c r="B889" t="s">
        <v>1392</v>
      </c>
      <c r="C889" t="s">
        <v>24</v>
      </c>
      <c r="D889" t="s">
        <v>613</v>
      </c>
      <c r="E889">
        <v>1020106</v>
      </c>
    </row>
    <row r="890" spans="1:5" x14ac:dyDescent="0.25">
      <c r="A890" t="s">
        <v>1230</v>
      </c>
      <c r="B890" t="s">
        <v>1204</v>
      </c>
      <c r="C890" t="s">
        <v>72</v>
      </c>
      <c r="D890" t="s">
        <v>613</v>
      </c>
      <c r="E890">
        <v>1020106</v>
      </c>
    </row>
    <row r="891" spans="1:5" x14ac:dyDescent="0.25">
      <c r="A891" t="s">
        <v>180</v>
      </c>
      <c r="B891" t="s">
        <v>181</v>
      </c>
      <c r="C891" t="s">
        <v>80</v>
      </c>
      <c r="D891" t="s">
        <v>22</v>
      </c>
      <c r="E891">
        <v>1020055</v>
      </c>
    </row>
    <row r="892" spans="1:5" x14ac:dyDescent="0.25">
      <c r="A892" t="s">
        <v>1403</v>
      </c>
      <c r="B892" t="s">
        <v>1360</v>
      </c>
      <c r="C892" t="s">
        <v>24</v>
      </c>
      <c r="D892" t="s">
        <v>22</v>
      </c>
      <c r="E892">
        <v>1020055</v>
      </c>
    </row>
    <row r="893" spans="1:5" x14ac:dyDescent="0.25">
      <c r="A893" t="s">
        <v>1661</v>
      </c>
      <c r="B893" t="s">
        <v>1588</v>
      </c>
      <c r="C893" t="s">
        <v>24</v>
      </c>
      <c r="D893" t="s">
        <v>22</v>
      </c>
      <c r="E893">
        <v>1020055</v>
      </c>
    </row>
    <row r="894" spans="1:5" x14ac:dyDescent="0.25">
      <c r="A894" t="s">
        <v>143</v>
      </c>
      <c r="B894" t="s">
        <v>144</v>
      </c>
      <c r="C894" t="s">
        <v>24</v>
      </c>
      <c r="D894" t="s">
        <v>25</v>
      </c>
      <c r="E894">
        <v>1020052</v>
      </c>
    </row>
    <row r="895" spans="1:5" x14ac:dyDescent="0.25">
      <c r="A895" t="s">
        <v>267</v>
      </c>
      <c r="B895" t="s">
        <v>268</v>
      </c>
      <c r="C895" t="s">
        <v>24</v>
      </c>
      <c r="D895" t="s">
        <v>22</v>
      </c>
      <c r="E895">
        <v>1020055</v>
      </c>
    </row>
    <row r="896" spans="1:5" x14ac:dyDescent="0.25">
      <c r="A896" t="s">
        <v>334</v>
      </c>
      <c r="B896" t="s">
        <v>335</v>
      </c>
      <c r="C896" t="s">
        <v>24</v>
      </c>
      <c r="D896" t="s">
        <v>22</v>
      </c>
      <c r="E896">
        <v>1020055</v>
      </c>
    </row>
    <row r="897" spans="1:5" x14ac:dyDescent="0.25">
      <c r="A897" t="s">
        <v>5555</v>
      </c>
      <c r="B897" t="s">
        <v>5063</v>
      </c>
      <c r="C897" t="s">
        <v>5134</v>
      </c>
      <c r="D897" t="s">
        <v>328</v>
      </c>
      <c r="E897">
        <v>1020097</v>
      </c>
    </row>
    <row r="898" spans="1:5" x14ac:dyDescent="0.25">
      <c r="A898" t="s">
        <v>2041</v>
      </c>
      <c r="B898" t="s">
        <v>1243</v>
      </c>
      <c r="C898" t="s">
        <v>24</v>
      </c>
      <c r="D898" t="s">
        <v>483</v>
      </c>
      <c r="E898">
        <v>1020096</v>
      </c>
    </row>
    <row r="899" spans="1:5" x14ac:dyDescent="0.25">
      <c r="A899" t="s">
        <v>2041</v>
      </c>
      <c r="B899" t="s">
        <v>1382</v>
      </c>
      <c r="C899" t="s">
        <v>24</v>
      </c>
      <c r="D899" t="s">
        <v>483</v>
      </c>
      <c r="E899">
        <v>1020096</v>
      </c>
    </row>
    <row r="900" spans="1:5" x14ac:dyDescent="0.25">
      <c r="A900" t="s">
        <v>2041</v>
      </c>
      <c r="B900" t="s">
        <v>5065</v>
      </c>
      <c r="C900" t="s">
        <v>24</v>
      </c>
      <c r="D900" t="s">
        <v>483</v>
      </c>
      <c r="E900">
        <v>1020096</v>
      </c>
    </row>
    <row r="901" spans="1:5" x14ac:dyDescent="0.25">
      <c r="A901" t="s">
        <v>2041</v>
      </c>
      <c r="B901" t="s">
        <v>1381</v>
      </c>
      <c r="C901" t="s">
        <v>24</v>
      </c>
      <c r="D901" t="s">
        <v>483</v>
      </c>
      <c r="E901">
        <v>1020096</v>
      </c>
    </row>
    <row r="902" spans="1:5" x14ac:dyDescent="0.25">
      <c r="A902" t="s">
        <v>2041</v>
      </c>
      <c r="B902" t="s">
        <v>1614</v>
      </c>
      <c r="C902" t="s">
        <v>24</v>
      </c>
      <c r="D902" t="s">
        <v>483</v>
      </c>
      <c r="E902">
        <v>1020096</v>
      </c>
    </row>
    <row r="903" spans="1:5" x14ac:dyDescent="0.25">
      <c r="A903" t="s">
        <v>2041</v>
      </c>
      <c r="B903" t="s">
        <v>638</v>
      </c>
      <c r="C903" t="s">
        <v>24</v>
      </c>
      <c r="D903" t="s">
        <v>483</v>
      </c>
      <c r="E903">
        <v>1020096</v>
      </c>
    </row>
    <row r="904" spans="1:5" x14ac:dyDescent="0.25">
      <c r="A904" t="s">
        <v>2041</v>
      </c>
      <c r="B904" t="s">
        <v>1577</v>
      </c>
      <c r="C904" t="s">
        <v>24</v>
      </c>
      <c r="D904" t="s">
        <v>483</v>
      </c>
      <c r="E904">
        <v>1020096</v>
      </c>
    </row>
    <row r="905" spans="1:5" x14ac:dyDescent="0.25">
      <c r="A905" t="s">
        <v>2041</v>
      </c>
      <c r="B905" t="s">
        <v>1246</v>
      </c>
      <c r="C905" t="s">
        <v>24</v>
      </c>
      <c r="D905" t="s">
        <v>483</v>
      </c>
      <c r="E905">
        <v>1020096</v>
      </c>
    </row>
    <row r="906" spans="1:5" x14ac:dyDescent="0.25">
      <c r="A906" t="s">
        <v>2041</v>
      </c>
      <c r="B906" t="s">
        <v>5158</v>
      </c>
      <c r="C906" t="s">
        <v>24</v>
      </c>
      <c r="D906" t="s">
        <v>483</v>
      </c>
      <c r="E906">
        <v>1020096</v>
      </c>
    </row>
    <row r="907" spans="1:5" x14ac:dyDescent="0.25">
      <c r="A907" t="s">
        <v>2041</v>
      </c>
      <c r="B907" t="s">
        <v>5066</v>
      </c>
      <c r="C907" t="s">
        <v>24</v>
      </c>
      <c r="D907" t="s">
        <v>483</v>
      </c>
      <c r="E907">
        <v>1020096</v>
      </c>
    </row>
    <row r="908" spans="1:5" x14ac:dyDescent="0.25">
      <c r="A908" t="s">
        <v>5252</v>
      </c>
      <c r="B908" t="s">
        <v>5136</v>
      </c>
      <c r="C908" t="s">
        <v>72</v>
      </c>
      <c r="D908" t="s">
        <v>613</v>
      </c>
      <c r="E908">
        <v>1020106</v>
      </c>
    </row>
    <row r="909" spans="1:5" x14ac:dyDescent="0.25">
      <c r="A909" t="s">
        <v>5251</v>
      </c>
      <c r="B909" t="s">
        <v>5180</v>
      </c>
      <c r="C909" t="s">
        <v>72</v>
      </c>
      <c r="D909" t="s">
        <v>328</v>
      </c>
      <c r="E909">
        <v>1020097</v>
      </c>
    </row>
    <row r="910" spans="1:5" x14ac:dyDescent="0.25">
      <c r="A910" t="s">
        <v>5689</v>
      </c>
      <c r="B910" t="s">
        <v>5174</v>
      </c>
      <c r="C910" t="s">
        <v>72</v>
      </c>
      <c r="D910" t="s">
        <v>882</v>
      </c>
      <c r="E910">
        <v>1020108</v>
      </c>
    </row>
    <row r="911" spans="1:5" x14ac:dyDescent="0.25">
      <c r="A911" t="s">
        <v>5441</v>
      </c>
      <c r="B911" t="s">
        <v>5189</v>
      </c>
      <c r="C911" t="s">
        <v>1791</v>
      </c>
      <c r="D911" t="s">
        <v>328</v>
      </c>
      <c r="E911">
        <v>1020097</v>
      </c>
    </row>
    <row r="912" spans="1:5" x14ac:dyDescent="0.25">
      <c r="A912" t="s">
        <v>5255</v>
      </c>
      <c r="B912" t="s">
        <v>5181</v>
      </c>
      <c r="C912" t="s">
        <v>1791</v>
      </c>
      <c r="D912" t="s">
        <v>81</v>
      </c>
      <c r="E912">
        <v>1020070</v>
      </c>
    </row>
    <row r="913" spans="1:5" x14ac:dyDescent="0.25">
      <c r="A913" t="s">
        <v>5258</v>
      </c>
      <c r="B913" t="s">
        <v>5188</v>
      </c>
      <c r="C913" t="s">
        <v>72</v>
      </c>
      <c r="D913" t="s">
        <v>81</v>
      </c>
      <c r="E913">
        <v>1020070</v>
      </c>
    </row>
    <row r="914" spans="1:5" x14ac:dyDescent="0.25">
      <c r="A914" t="s">
        <v>5311</v>
      </c>
      <c r="B914" t="s">
        <v>83</v>
      </c>
      <c r="C914" t="s">
        <v>1791</v>
      </c>
      <c r="D914" t="s">
        <v>81</v>
      </c>
      <c r="E914">
        <v>1020070</v>
      </c>
    </row>
    <row r="915" spans="1:5" x14ac:dyDescent="0.25">
      <c r="A915" t="s">
        <v>2041</v>
      </c>
      <c r="B915" t="s">
        <v>5300</v>
      </c>
      <c r="C915" t="s">
        <v>72</v>
      </c>
      <c r="D915" t="s">
        <v>710</v>
      </c>
      <c r="E915">
        <v>1020088</v>
      </c>
    </row>
    <row r="916" spans="1:5" x14ac:dyDescent="0.25">
      <c r="A916" t="s">
        <v>2041</v>
      </c>
      <c r="B916" t="s">
        <v>5308</v>
      </c>
      <c r="C916" t="s">
        <v>72</v>
      </c>
      <c r="D916" t="s">
        <v>328</v>
      </c>
      <c r="E916">
        <v>1020097</v>
      </c>
    </row>
    <row r="917" spans="1:5" x14ac:dyDescent="0.25">
      <c r="A917" t="s">
        <v>5453</v>
      </c>
      <c r="B917" t="s">
        <v>5317</v>
      </c>
      <c r="C917" t="s">
        <v>1791</v>
      </c>
      <c r="D917" t="s">
        <v>328</v>
      </c>
      <c r="E917">
        <v>1020097</v>
      </c>
    </row>
    <row r="918" spans="1:5" x14ac:dyDescent="0.25">
      <c r="A918" t="s">
        <v>5443</v>
      </c>
      <c r="B918" t="s">
        <v>1382</v>
      </c>
      <c r="C918" t="s">
        <v>24</v>
      </c>
      <c r="D918" t="s">
        <v>710</v>
      </c>
      <c r="E918">
        <v>1020088</v>
      </c>
    </row>
    <row r="919" spans="1:5" x14ac:dyDescent="0.25">
      <c r="A919" t="s">
        <v>5423</v>
      </c>
      <c r="B919" t="s">
        <v>1322</v>
      </c>
      <c r="C919" t="s">
        <v>24</v>
      </c>
      <c r="D919" t="s">
        <v>710</v>
      </c>
      <c r="E919">
        <v>1020088</v>
      </c>
    </row>
    <row r="920" spans="1:5" x14ac:dyDescent="0.25">
      <c r="A920" t="s">
        <v>5444</v>
      </c>
      <c r="B920" t="s">
        <v>5318</v>
      </c>
      <c r="C920" t="s">
        <v>24</v>
      </c>
      <c r="D920" t="s">
        <v>710</v>
      </c>
      <c r="E920">
        <v>1020088</v>
      </c>
    </row>
    <row r="921" spans="1:5" x14ac:dyDescent="0.25">
      <c r="A921" t="s">
        <v>5420</v>
      </c>
      <c r="B921" t="s">
        <v>601</v>
      </c>
      <c r="C921" t="s">
        <v>24</v>
      </c>
      <c r="D921" t="s">
        <v>710</v>
      </c>
      <c r="E921">
        <v>1020088</v>
      </c>
    </row>
    <row r="922" spans="1:5" x14ac:dyDescent="0.25">
      <c r="A922" t="s">
        <v>5445</v>
      </c>
      <c r="B922" t="s">
        <v>5319</v>
      </c>
      <c r="C922" t="s">
        <v>24</v>
      </c>
      <c r="D922" t="s">
        <v>710</v>
      </c>
      <c r="E922">
        <v>1020088</v>
      </c>
    </row>
    <row r="923" spans="1:5" x14ac:dyDescent="0.25">
      <c r="A923" t="s">
        <v>5425</v>
      </c>
      <c r="B923" t="s">
        <v>5320</v>
      </c>
      <c r="C923" t="s">
        <v>24</v>
      </c>
      <c r="D923" t="s">
        <v>710</v>
      </c>
      <c r="E923">
        <v>1020088</v>
      </c>
    </row>
    <row r="924" spans="1:5" x14ac:dyDescent="0.25">
      <c r="A924" t="s">
        <v>5431</v>
      </c>
      <c r="B924" t="s">
        <v>5321</v>
      </c>
      <c r="C924" t="s">
        <v>24</v>
      </c>
      <c r="D924" t="s">
        <v>710</v>
      </c>
      <c r="E924">
        <v>1020088</v>
      </c>
    </row>
    <row r="925" spans="1:5" x14ac:dyDescent="0.25">
      <c r="A925" t="s">
        <v>5446</v>
      </c>
      <c r="B925" t="s">
        <v>5322</v>
      </c>
      <c r="C925" t="s">
        <v>24</v>
      </c>
      <c r="D925" t="s">
        <v>710</v>
      </c>
      <c r="E925">
        <v>1020088</v>
      </c>
    </row>
    <row r="926" spans="1:5" x14ac:dyDescent="0.25">
      <c r="A926" t="s">
        <v>5424</v>
      </c>
      <c r="B926" t="s">
        <v>5323</v>
      </c>
      <c r="C926" t="s">
        <v>24</v>
      </c>
      <c r="D926" t="s">
        <v>710</v>
      </c>
      <c r="E926">
        <v>1020088</v>
      </c>
    </row>
    <row r="927" spans="1:5" x14ac:dyDescent="0.25">
      <c r="A927" t="s">
        <v>5447</v>
      </c>
      <c r="B927" t="s">
        <v>1577</v>
      </c>
      <c r="C927" t="s">
        <v>24</v>
      </c>
      <c r="D927" t="s">
        <v>710</v>
      </c>
      <c r="E927">
        <v>1020088</v>
      </c>
    </row>
    <row r="928" spans="1:5" x14ac:dyDescent="0.25">
      <c r="A928" t="s">
        <v>5438</v>
      </c>
      <c r="B928" t="s">
        <v>5324</v>
      </c>
      <c r="C928" t="s">
        <v>24</v>
      </c>
      <c r="D928" t="s">
        <v>710</v>
      </c>
      <c r="E928">
        <v>1020088</v>
      </c>
    </row>
    <row r="929" spans="1:5" x14ac:dyDescent="0.25">
      <c r="A929" t="s">
        <v>5427</v>
      </c>
      <c r="B929" t="s">
        <v>5325</v>
      </c>
      <c r="C929" t="s">
        <v>24</v>
      </c>
      <c r="D929" t="s">
        <v>710</v>
      </c>
      <c r="E929">
        <v>1020088</v>
      </c>
    </row>
    <row r="930" spans="1:5" x14ac:dyDescent="0.25">
      <c r="A930" t="s">
        <v>5415</v>
      </c>
      <c r="B930" t="s">
        <v>1698</v>
      </c>
      <c r="C930" t="s">
        <v>24</v>
      </c>
      <c r="D930" t="s">
        <v>710</v>
      </c>
      <c r="E930">
        <v>1020088</v>
      </c>
    </row>
    <row r="931" spans="1:5" x14ac:dyDescent="0.25">
      <c r="A931" t="s">
        <v>5417</v>
      </c>
      <c r="B931" t="s">
        <v>5326</v>
      </c>
      <c r="C931" t="s">
        <v>24</v>
      </c>
      <c r="D931" t="s">
        <v>710</v>
      </c>
      <c r="E931">
        <v>1020088</v>
      </c>
    </row>
    <row r="932" spans="1:5" x14ac:dyDescent="0.25">
      <c r="A932" t="s">
        <v>5426</v>
      </c>
      <c r="B932" t="s">
        <v>5327</v>
      </c>
      <c r="C932" t="s">
        <v>24</v>
      </c>
      <c r="D932" t="s">
        <v>710</v>
      </c>
      <c r="E932">
        <v>1020088</v>
      </c>
    </row>
    <row r="933" spans="1:5" x14ac:dyDescent="0.25">
      <c r="A933" t="s">
        <v>5421</v>
      </c>
      <c r="B933" t="s">
        <v>159</v>
      </c>
      <c r="C933" t="s">
        <v>24</v>
      </c>
      <c r="D933" t="s">
        <v>710</v>
      </c>
      <c r="E933">
        <v>1020088</v>
      </c>
    </row>
    <row r="934" spans="1:5" x14ac:dyDescent="0.25">
      <c r="A934" t="s">
        <v>5419</v>
      </c>
      <c r="B934" t="s">
        <v>39</v>
      </c>
      <c r="C934" t="s">
        <v>24</v>
      </c>
      <c r="D934" t="s">
        <v>710</v>
      </c>
      <c r="E934">
        <v>1020088</v>
      </c>
    </row>
    <row r="935" spans="1:5" x14ac:dyDescent="0.25">
      <c r="A935" t="s">
        <v>5418</v>
      </c>
      <c r="B935" t="s">
        <v>1374</v>
      </c>
      <c r="C935" t="s">
        <v>24</v>
      </c>
      <c r="D935" t="s">
        <v>710</v>
      </c>
      <c r="E935">
        <v>1020088</v>
      </c>
    </row>
    <row r="936" spans="1:5" x14ac:dyDescent="0.25">
      <c r="A936" t="s">
        <v>5416</v>
      </c>
      <c r="B936" t="s">
        <v>5328</v>
      </c>
      <c r="C936" t="s">
        <v>24</v>
      </c>
      <c r="D936" t="s">
        <v>710</v>
      </c>
      <c r="E936">
        <v>1020088</v>
      </c>
    </row>
    <row r="937" spans="1:5" x14ac:dyDescent="0.25">
      <c r="A937" t="s">
        <v>5448</v>
      </c>
      <c r="B937" t="s">
        <v>769</v>
      </c>
      <c r="C937" t="s">
        <v>24</v>
      </c>
      <c r="D937" t="s">
        <v>710</v>
      </c>
      <c r="E937">
        <v>1020088</v>
      </c>
    </row>
    <row r="938" spans="1:5" x14ac:dyDescent="0.25">
      <c r="A938" t="s">
        <v>5433</v>
      </c>
      <c r="B938" t="s">
        <v>5329</v>
      </c>
      <c r="C938" t="s">
        <v>24</v>
      </c>
      <c r="D938" t="s">
        <v>710</v>
      </c>
      <c r="E938">
        <v>1020088</v>
      </c>
    </row>
    <row r="939" spans="1:5" x14ac:dyDescent="0.25">
      <c r="A939" t="s">
        <v>5422</v>
      </c>
      <c r="B939" t="s">
        <v>1329</v>
      </c>
      <c r="C939" t="s">
        <v>24</v>
      </c>
      <c r="D939" t="s">
        <v>710</v>
      </c>
      <c r="E939">
        <v>1020088</v>
      </c>
    </row>
    <row r="940" spans="1:5" x14ac:dyDescent="0.25">
      <c r="A940" t="s">
        <v>5439</v>
      </c>
      <c r="B940" t="s">
        <v>5330</v>
      </c>
      <c r="C940" t="s">
        <v>24</v>
      </c>
      <c r="D940" t="s">
        <v>710</v>
      </c>
      <c r="E940">
        <v>1020088</v>
      </c>
    </row>
    <row r="941" spans="1:5" x14ac:dyDescent="0.25">
      <c r="A941" t="s">
        <v>5442</v>
      </c>
      <c r="B941" t="s">
        <v>5331</v>
      </c>
      <c r="C941" t="s">
        <v>24</v>
      </c>
      <c r="D941" t="s">
        <v>710</v>
      </c>
      <c r="E941">
        <v>1020088</v>
      </c>
    </row>
    <row r="942" spans="1:5" x14ac:dyDescent="0.25">
      <c r="A942" t="s">
        <v>5435</v>
      </c>
      <c r="B942" t="s">
        <v>1385</v>
      </c>
      <c r="C942" t="s">
        <v>24</v>
      </c>
      <c r="D942" t="s">
        <v>710</v>
      </c>
      <c r="E942">
        <v>1020088</v>
      </c>
    </row>
    <row r="943" spans="1:5" x14ac:dyDescent="0.25">
      <c r="A943" t="s">
        <v>5606</v>
      </c>
      <c r="B943" t="s">
        <v>5332</v>
      </c>
      <c r="C943" t="s">
        <v>72</v>
      </c>
      <c r="D943" t="s">
        <v>613</v>
      </c>
      <c r="E943">
        <v>1020106</v>
      </c>
    </row>
    <row r="944" spans="1:5" x14ac:dyDescent="0.25">
      <c r="A944" t="s">
        <v>5434</v>
      </c>
      <c r="B944" t="s">
        <v>5181</v>
      </c>
      <c r="C944" t="s">
        <v>24</v>
      </c>
      <c r="D944" t="s">
        <v>710</v>
      </c>
      <c r="E944">
        <v>1020088</v>
      </c>
    </row>
    <row r="945" spans="1:5" x14ac:dyDescent="0.25">
      <c r="A945" t="s">
        <v>5432</v>
      </c>
      <c r="B945" t="s">
        <v>1574</v>
      </c>
      <c r="C945" t="s">
        <v>24</v>
      </c>
      <c r="D945" t="s">
        <v>710</v>
      </c>
      <c r="E945">
        <v>1020088</v>
      </c>
    </row>
    <row r="946" spans="1:5" x14ac:dyDescent="0.25">
      <c r="A946" t="s">
        <v>2041</v>
      </c>
      <c r="B946" t="s">
        <v>5454</v>
      </c>
      <c r="C946" t="s">
        <v>72</v>
      </c>
      <c r="D946" t="s">
        <v>81</v>
      </c>
      <c r="E946">
        <v>1020070</v>
      </c>
    </row>
    <row r="947" spans="1:5" x14ac:dyDescent="0.25">
      <c r="A947" t="s">
        <v>5692</v>
      </c>
      <c r="B947" t="s">
        <v>5454</v>
      </c>
      <c r="C947" t="s">
        <v>72</v>
      </c>
      <c r="D947" t="s">
        <v>81</v>
      </c>
      <c r="E947">
        <v>1020070</v>
      </c>
    </row>
    <row r="948" spans="1:5" x14ac:dyDescent="0.25">
      <c r="A948" t="s">
        <v>5687</v>
      </c>
      <c r="B948" t="s">
        <v>5458</v>
      </c>
      <c r="C948" t="s">
        <v>1791</v>
      </c>
      <c r="D948" t="s">
        <v>328</v>
      </c>
      <c r="E948">
        <v>1020097</v>
      </c>
    </row>
    <row r="949" spans="1:5" x14ac:dyDescent="0.25">
      <c r="A949" t="s">
        <v>2041</v>
      </c>
      <c r="B949" t="s">
        <v>5588</v>
      </c>
      <c r="C949" t="s">
        <v>72</v>
      </c>
      <c r="D949" t="s">
        <v>4739</v>
      </c>
      <c r="E949">
        <v>1020091</v>
      </c>
    </row>
    <row r="950" spans="1:5" x14ac:dyDescent="0.25">
      <c r="A950" t="s">
        <v>2041</v>
      </c>
      <c r="B950" t="s">
        <v>5651</v>
      </c>
      <c r="C950" t="s">
        <v>72</v>
      </c>
      <c r="D950" t="s">
        <v>81</v>
      </c>
      <c r="E950">
        <v>1020070</v>
      </c>
    </row>
    <row r="951" spans="1:5" x14ac:dyDescent="0.25">
      <c r="A951" t="s">
        <v>2041</v>
      </c>
      <c r="B951" t="s">
        <v>5659</v>
      </c>
      <c r="C951" t="s">
        <v>72</v>
      </c>
      <c r="D951" t="s">
        <v>483</v>
      </c>
      <c r="E951">
        <v>1020096</v>
      </c>
    </row>
    <row r="952" spans="1:5" x14ac:dyDescent="0.25">
      <c r="A952" t="s">
        <v>2041</v>
      </c>
      <c r="B952" t="s">
        <v>5688</v>
      </c>
      <c r="C952" t="s">
        <v>24</v>
      </c>
      <c r="D952" t="s">
        <v>613</v>
      </c>
      <c r="E952">
        <v>1020106</v>
      </c>
    </row>
    <row r="953" spans="1:5" x14ac:dyDescent="0.25">
      <c r="A953" t="s">
        <v>2041</v>
      </c>
      <c r="B953" t="s">
        <v>1337</v>
      </c>
      <c r="C953" t="s">
        <v>72</v>
      </c>
      <c r="D953" t="s">
        <v>511</v>
      </c>
      <c r="E953">
        <v>1020107</v>
      </c>
    </row>
    <row r="954" spans="1:5" x14ac:dyDescent="0.25">
      <c r="A954" t="s">
        <v>2041</v>
      </c>
      <c r="B954" t="s">
        <v>2924</v>
      </c>
      <c r="C954" t="s">
        <v>72</v>
      </c>
      <c r="D954" t="s">
        <v>882</v>
      </c>
      <c r="E954">
        <v>1020108</v>
      </c>
    </row>
    <row r="955" spans="1:5" x14ac:dyDescent="0.25">
      <c r="A955" t="s">
        <v>2041</v>
      </c>
      <c r="B955" t="s">
        <v>5693</v>
      </c>
      <c r="C955" t="s">
        <v>72</v>
      </c>
      <c r="D955" t="s">
        <v>882</v>
      </c>
      <c r="E955">
        <v>1020108</v>
      </c>
    </row>
    <row r="956" spans="1:5" x14ac:dyDescent="0.25">
      <c r="A956" t="s">
        <v>2041</v>
      </c>
      <c r="B956" t="s">
        <v>5690</v>
      </c>
      <c r="C956" t="s">
        <v>72</v>
      </c>
      <c r="D956" t="s">
        <v>882</v>
      </c>
      <c r="E956">
        <v>1020108</v>
      </c>
    </row>
    <row r="957" spans="1:5" x14ac:dyDescent="0.25">
      <c r="A957" t="s">
        <v>2041</v>
      </c>
      <c r="B957" t="s">
        <v>2923</v>
      </c>
      <c r="C957" t="s">
        <v>72</v>
      </c>
      <c r="D957" t="s">
        <v>882</v>
      </c>
      <c r="E957">
        <v>1020108</v>
      </c>
    </row>
    <row r="958" spans="1:5" x14ac:dyDescent="0.25">
      <c r="A958" t="s">
        <v>1893</v>
      </c>
      <c r="B958" t="s">
        <v>4785</v>
      </c>
      <c r="C958" t="s">
        <v>869</v>
      </c>
      <c r="E958" t="s">
        <v>917</v>
      </c>
    </row>
    <row r="959" spans="1:5" x14ac:dyDescent="0.25">
      <c r="A959" t="s">
        <v>1159</v>
      </c>
      <c r="B959" t="s">
        <v>4788</v>
      </c>
      <c r="E959" t="s">
        <v>917</v>
      </c>
    </row>
    <row r="960" spans="1:5" x14ac:dyDescent="0.25">
      <c r="A960" t="s">
        <v>1061</v>
      </c>
      <c r="B960" t="s">
        <v>4790</v>
      </c>
      <c r="D960" t="s">
        <v>367</v>
      </c>
      <c r="E960" t="s">
        <v>917</v>
      </c>
    </row>
    <row r="961" spans="1:5" x14ac:dyDescent="0.25">
      <c r="A961" t="s">
        <v>1728</v>
      </c>
      <c r="B961" t="s">
        <v>4791</v>
      </c>
      <c r="C961" t="s">
        <v>72</v>
      </c>
      <c r="D961" t="s">
        <v>367</v>
      </c>
      <c r="E961" t="s">
        <v>917</v>
      </c>
    </row>
    <row r="962" spans="1:5" x14ac:dyDescent="0.25">
      <c r="A962" t="s">
        <v>2621</v>
      </c>
      <c r="B962" t="s">
        <v>4792</v>
      </c>
      <c r="D962" t="s">
        <v>367</v>
      </c>
      <c r="E962" t="s">
        <v>917</v>
      </c>
    </row>
    <row r="963" spans="1:5" x14ac:dyDescent="0.25">
      <c r="A963" t="s">
        <v>1096</v>
      </c>
      <c r="B963" t="s">
        <v>4793</v>
      </c>
      <c r="E963" t="s">
        <v>917</v>
      </c>
    </row>
    <row r="964" spans="1:5" x14ac:dyDescent="0.25">
      <c r="A964" t="s">
        <v>1087</v>
      </c>
      <c r="B964" t="s">
        <v>4796</v>
      </c>
      <c r="E964" t="s">
        <v>917</v>
      </c>
    </row>
    <row r="965" spans="1:5" x14ac:dyDescent="0.25">
      <c r="A965" t="s">
        <v>1740</v>
      </c>
      <c r="B965" t="s">
        <v>4797</v>
      </c>
      <c r="E965" t="s">
        <v>917</v>
      </c>
    </row>
    <row r="966" spans="1:5" x14ac:dyDescent="0.25">
      <c r="A966" t="s">
        <v>1847</v>
      </c>
      <c r="B966" t="s">
        <v>4797</v>
      </c>
      <c r="C966" t="s">
        <v>869</v>
      </c>
      <c r="E966" t="s">
        <v>917</v>
      </c>
    </row>
    <row r="967" spans="1:5" x14ac:dyDescent="0.25">
      <c r="A967" t="s">
        <v>1910</v>
      </c>
      <c r="B967" t="s">
        <v>4797</v>
      </c>
      <c r="C967" t="s">
        <v>869</v>
      </c>
      <c r="E967" t="s">
        <v>917</v>
      </c>
    </row>
    <row r="968" spans="1:5" x14ac:dyDescent="0.25">
      <c r="A968" t="s">
        <v>1923</v>
      </c>
      <c r="B968" t="s">
        <v>4797</v>
      </c>
      <c r="C968" t="s">
        <v>72</v>
      </c>
      <c r="E968" t="s">
        <v>917</v>
      </c>
    </row>
    <row r="969" spans="1:5" x14ac:dyDescent="0.25">
      <c r="A969" t="s">
        <v>1084</v>
      </c>
      <c r="B969" t="s">
        <v>4798</v>
      </c>
      <c r="D969" t="s">
        <v>77</v>
      </c>
      <c r="E969" t="s">
        <v>917</v>
      </c>
    </row>
    <row r="970" spans="1:5" x14ac:dyDescent="0.25">
      <c r="A970" t="s">
        <v>1121</v>
      </c>
      <c r="B970" t="s">
        <v>4799</v>
      </c>
      <c r="D970" t="s">
        <v>77</v>
      </c>
      <c r="E970" t="s">
        <v>917</v>
      </c>
    </row>
    <row r="971" spans="1:5" x14ac:dyDescent="0.25">
      <c r="A971" t="s">
        <v>1568</v>
      </c>
      <c r="B971" t="s">
        <v>4802</v>
      </c>
      <c r="C971" t="s">
        <v>869</v>
      </c>
      <c r="E971" t="s">
        <v>917</v>
      </c>
    </row>
    <row r="972" spans="1:5" x14ac:dyDescent="0.25">
      <c r="A972" t="s">
        <v>1471</v>
      </c>
      <c r="B972" t="s">
        <v>4803</v>
      </c>
      <c r="E972" t="s">
        <v>917</v>
      </c>
    </row>
    <row r="973" spans="1:5" x14ac:dyDescent="0.25">
      <c r="A973" t="s">
        <v>1529</v>
      </c>
      <c r="B973" t="s">
        <v>4804</v>
      </c>
      <c r="D973" t="s">
        <v>1856</v>
      </c>
      <c r="E973" t="s">
        <v>917</v>
      </c>
    </row>
    <row r="974" spans="1:5" x14ac:dyDescent="0.25">
      <c r="A974" t="s">
        <v>2041</v>
      </c>
      <c r="B974" t="s">
        <v>4804</v>
      </c>
      <c r="D974" t="s">
        <v>1865</v>
      </c>
      <c r="E974" t="s">
        <v>917</v>
      </c>
    </row>
    <row r="975" spans="1:5" x14ac:dyDescent="0.25">
      <c r="A975" t="s">
        <v>1457</v>
      </c>
      <c r="B975" t="s">
        <v>4805</v>
      </c>
      <c r="E975" t="s">
        <v>917</v>
      </c>
    </row>
    <row r="976" spans="1:5" x14ac:dyDescent="0.25">
      <c r="A976" t="s">
        <v>1903</v>
      </c>
      <c r="B976" t="s">
        <v>4805</v>
      </c>
      <c r="C976" t="s">
        <v>72</v>
      </c>
      <c r="E976" t="s">
        <v>917</v>
      </c>
    </row>
    <row r="977" spans="1:5" x14ac:dyDescent="0.25">
      <c r="A977" t="s">
        <v>2794</v>
      </c>
      <c r="B977" t="s">
        <v>4806</v>
      </c>
      <c r="E977" t="s">
        <v>917</v>
      </c>
    </row>
    <row r="978" spans="1:5" x14ac:dyDescent="0.25">
      <c r="A978" t="s">
        <v>1056</v>
      </c>
      <c r="B978" t="s">
        <v>4807</v>
      </c>
      <c r="D978" t="s">
        <v>1058</v>
      </c>
      <c r="E978" t="s">
        <v>917</v>
      </c>
    </row>
    <row r="979" spans="1:5" x14ac:dyDescent="0.25">
      <c r="A979" t="s">
        <v>2022</v>
      </c>
      <c r="B979" t="s">
        <v>4808</v>
      </c>
      <c r="C979" t="s">
        <v>869</v>
      </c>
      <c r="E979" t="s">
        <v>917</v>
      </c>
    </row>
    <row r="980" spans="1:5" x14ac:dyDescent="0.25">
      <c r="A980" t="s">
        <v>2551</v>
      </c>
      <c r="B980" t="s">
        <v>4808</v>
      </c>
      <c r="C980" t="s">
        <v>869</v>
      </c>
      <c r="E980" t="s">
        <v>917</v>
      </c>
    </row>
    <row r="981" spans="1:5" x14ac:dyDescent="0.25">
      <c r="A981" t="s">
        <v>2552</v>
      </c>
      <c r="B981" t="s">
        <v>4808</v>
      </c>
      <c r="C981" t="s">
        <v>869</v>
      </c>
      <c r="E981" t="s">
        <v>917</v>
      </c>
    </row>
    <row r="982" spans="1:5" x14ac:dyDescent="0.25">
      <c r="A982" t="s">
        <v>1474</v>
      </c>
      <c r="B982" t="s">
        <v>4809</v>
      </c>
      <c r="E982" t="s">
        <v>917</v>
      </c>
    </row>
    <row r="983" spans="1:5" x14ac:dyDescent="0.25">
      <c r="A983" t="s">
        <v>1939</v>
      </c>
      <c r="B983" t="s">
        <v>4810</v>
      </c>
      <c r="C983" t="s">
        <v>72</v>
      </c>
      <c r="E983" t="s">
        <v>917</v>
      </c>
    </row>
    <row r="984" spans="1:5" x14ac:dyDescent="0.25">
      <c r="A984" t="s">
        <v>1940</v>
      </c>
      <c r="B984" t="s">
        <v>4810</v>
      </c>
      <c r="E984" t="s">
        <v>917</v>
      </c>
    </row>
    <row r="985" spans="1:5" x14ac:dyDescent="0.25">
      <c r="A985" t="s">
        <v>1678</v>
      </c>
      <c r="B985" t="s">
        <v>4811</v>
      </c>
      <c r="E985" t="s">
        <v>917</v>
      </c>
    </row>
    <row r="986" spans="1:5" x14ac:dyDescent="0.25">
      <c r="A986" t="s">
        <v>1053</v>
      </c>
      <c r="B986" t="s">
        <v>4813</v>
      </c>
      <c r="D986" t="s">
        <v>410</v>
      </c>
      <c r="E986" t="s">
        <v>917</v>
      </c>
    </row>
    <row r="987" spans="1:5" x14ac:dyDescent="0.25">
      <c r="A987" t="s">
        <v>1055</v>
      </c>
      <c r="B987" t="s">
        <v>4813</v>
      </c>
      <c r="E987" t="s">
        <v>917</v>
      </c>
    </row>
    <row r="988" spans="1:5" x14ac:dyDescent="0.25">
      <c r="A988" t="s">
        <v>1890</v>
      </c>
      <c r="B988" t="s">
        <v>4812</v>
      </c>
      <c r="C988" t="s">
        <v>72</v>
      </c>
      <c r="D988" t="s">
        <v>1145</v>
      </c>
      <c r="E988" t="s">
        <v>1144</v>
      </c>
    </row>
    <row r="989" spans="1:5" x14ac:dyDescent="0.25">
      <c r="A989" t="s">
        <v>1921</v>
      </c>
      <c r="B989" t="s">
        <v>4813</v>
      </c>
      <c r="D989" t="s">
        <v>1145</v>
      </c>
      <c r="E989" t="s">
        <v>1144</v>
      </c>
    </row>
    <row r="990" spans="1:5" x14ac:dyDescent="0.25">
      <c r="A990" t="s">
        <v>1481</v>
      </c>
      <c r="B990" t="s">
        <v>4815</v>
      </c>
      <c r="C990" t="s">
        <v>869</v>
      </c>
      <c r="E990" t="s">
        <v>917</v>
      </c>
    </row>
    <row r="991" spans="1:5" x14ac:dyDescent="0.25">
      <c r="A991" t="s">
        <v>2041</v>
      </c>
      <c r="B991" t="s">
        <v>4816</v>
      </c>
      <c r="E991" t="s">
        <v>917</v>
      </c>
    </row>
    <row r="992" spans="1:5" x14ac:dyDescent="0.25">
      <c r="A992" t="s">
        <v>1538</v>
      </c>
      <c r="B992" t="s">
        <v>4816</v>
      </c>
      <c r="E992" t="s">
        <v>917</v>
      </c>
    </row>
    <row r="993" spans="1:5" x14ac:dyDescent="0.25">
      <c r="A993" t="s">
        <v>1092</v>
      </c>
      <c r="B993" t="s">
        <v>4817</v>
      </c>
      <c r="E993" t="s">
        <v>917</v>
      </c>
    </row>
    <row r="994" spans="1:5" x14ac:dyDescent="0.25">
      <c r="A994" t="s">
        <v>1068</v>
      </c>
      <c r="B994" t="s">
        <v>4819</v>
      </c>
      <c r="D994" t="s">
        <v>1070</v>
      </c>
      <c r="E994" t="s">
        <v>917</v>
      </c>
    </row>
    <row r="995" spans="1:5" x14ac:dyDescent="0.25">
      <c r="A995" t="s">
        <v>2041</v>
      </c>
      <c r="B995" t="s">
        <v>4820</v>
      </c>
      <c r="E995" t="s">
        <v>917</v>
      </c>
    </row>
    <row r="996" spans="1:5" x14ac:dyDescent="0.25">
      <c r="A996" t="s">
        <v>2041</v>
      </c>
      <c r="B996" t="s">
        <v>4823</v>
      </c>
      <c r="D996" t="s">
        <v>1076</v>
      </c>
      <c r="E996" t="s">
        <v>917</v>
      </c>
    </row>
    <row r="997" spans="1:5" x14ac:dyDescent="0.25">
      <c r="A997" t="s">
        <v>1881</v>
      </c>
      <c r="B997" t="s">
        <v>4824</v>
      </c>
      <c r="C997" t="s">
        <v>869</v>
      </c>
      <c r="E997" t="s">
        <v>917</v>
      </c>
    </row>
    <row r="998" spans="1:5" x14ac:dyDescent="0.25">
      <c r="A998" t="s">
        <v>2041</v>
      </c>
      <c r="B998" t="s">
        <v>4825</v>
      </c>
      <c r="E998" t="s">
        <v>917</v>
      </c>
    </row>
    <row r="999" spans="1:5" x14ac:dyDescent="0.25">
      <c r="A999" t="s">
        <v>1620</v>
      </c>
      <c r="B999" t="s">
        <v>4826</v>
      </c>
      <c r="E999" t="s">
        <v>917</v>
      </c>
    </row>
    <row r="1000" spans="1:5" x14ac:dyDescent="0.25">
      <c r="A1000" t="s">
        <v>3921</v>
      </c>
      <c r="B1000" t="s">
        <v>4828</v>
      </c>
      <c r="C1000" t="s">
        <v>72</v>
      </c>
      <c r="D1000" t="s">
        <v>3904</v>
      </c>
      <c r="E1000" t="s">
        <v>917</v>
      </c>
    </row>
    <row r="1001" spans="1:5" x14ac:dyDescent="0.25">
      <c r="A1001" t="s">
        <v>3807</v>
      </c>
      <c r="B1001" t="s">
        <v>4830</v>
      </c>
      <c r="C1001" t="s">
        <v>72</v>
      </c>
      <c r="D1001" t="s">
        <v>3810</v>
      </c>
      <c r="E1001" t="s">
        <v>917</v>
      </c>
    </row>
    <row r="1002" spans="1:5" x14ac:dyDescent="0.25">
      <c r="A1002" t="s">
        <v>5025</v>
      </c>
      <c r="B1002" t="s">
        <v>4836</v>
      </c>
      <c r="C1002" t="s">
        <v>72</v>
      </c>
      <c r="E1002" t="s">
        <v>917</v>
      </c>
    </row>
    <row r="1003" spans="1:5" x14ac:dyDescent="0.25">
      <c r="A1003" t="s">
        <v>5334</v>
      </c>
      <c r="B1003" t="s">
        <v>4837</v>
      </c>
      <c r="C1003" t="s">
        <v>72</v>
      </c>
      <c r="E1003" t="s">
        <v>917</v>
      </c>
    </row>
    <row r="1004" spans="1:5" x14ac:dyDescent="0.25">
      <c r="A1004" t="s">
        <v>1773</v>
      </c>
      <c r="B1004" t="s">
        <v>4818</v>
      </c>
      <c r="E1004" t="s">
        <v>917</v>
      </c>
    </row>
    <row r="1005" spans="1:5" x14ac:dyDescent="0.25">
      <c r="A1005" t="s">
        <v>1665</v>
      </c>
      <c r="B1005" t="s">
        <v>4955</v>
      </c>
      <c r="E1005" t="s">
        <v>917</v>
      </c>
    </row>
    <row r="1006" spans="1:5" x14ac:dyDescent="0.25">
      <c r="A1006" t="s">
        <v>1902</v>
      </c>
      <c r="B1006" t="s">
        <v>4956</v>
      </c>
      <c r="D1006" t="s">
        <v>613</v>
      </c>
      <c r="E1006" t="s">
        <v>1135</v>
      </c>
    </row>
    <row r="1007" spans="1:5" x14ac:dyDescent="0.25">
      <c r="A1007" t="s">
        <v>3365</v>
      </c>
      <c r="B1007" t="s">
        <v>4957</v>
      </c>
      <c r="C1007" t="s">
        <v>72</v>
      </c>
      <c r="E1007" t="s">
        <v>917</v>
      </c>
    </row>
    <row r="1008" spans="1:5" x14ac:dyDescent="0.25">
      <c r="A1008" t="s">
        <v>3737</v>
      </c>
      <c r="B1008" t="s">
        <v>4958</v>
      </c>
      <c r="E1008" t="s">
        <v>917</v>
      </c>
    </row>
    <row r="1009" spans="1:5" x14ac:dyDescent="0.25">
      <c r="A1009" t="s">
        <v>3922</v>
      </c>
      <c r="B1009" t="s">
        <v>4959</v>
      </c>
      <c r="E1009" t="s">
        <v>917</v>
      </c>
    </row>
    <row r="1010" spans="1:5" x14ac:dyDescent="0.25">
      <c r="A1010" t="s">
        <v>4014</v>
      </c>
      <c r="B1010" t="s">
        <v>4960</v>
      </c>
      <c r="C1010" t="s">
        <v>4010</v>
      </c>
    </row>
    <row r="1011" spans="1:5" x14ac:dyDescent="0.25">
      <c r="A1011" t="s">
        <v>4621</v>
      </c>
      <c r="B1011" t="s">
        <v>4961</v>
      </c>
    </row>
    <row r="1012" spans="1:5" x14ac:dyDescent="0.25">
      <c r="A1012" t="s">
        <v>4685</v>
      </c>
      <c r="B1012" t="s">
        <v>5019</v>
      </c>
    </row>
    <row r="1013" spans="1:5" x14ac:dyDescent="0.25">
      <c r="A1013" t="s">
        <v>4726</v>
      </c>
      <c r="B1013" t="s">
        <v>4962</v>
      </c>
    </row>
    <row r="1014" spans="1:5" x14ac:dyDescent="0.25">
      <c r="A1014" t="s">
        <v>4740</v>
      </c>
      <c r="B1014" t="s">
        <v>4963</v>
      </c>
    </row>
    <row r="1015" spans="1:5" x14ac:dyDescent="0.25">
      <c r="A1015" t="s">
        <v>4743</v>
      </c>
      <c r="B1015" t="s">
        <v>4964</v>
      </c>
    </row>
    <row r="1016" spans="1:5" x14ac:dyDescent="0.25">
      <c r="A1016" t="s">
        <v>1080</v>
      </c>
      <c r="B1016" t="s">
        <v>4800</v>
      </c>
      <c r="D1016" t="s">
        <v>77</v>
      </c>
      <c r="E1016" t="s">
        <v>1143</v>
      </c>
    </row>
    <row r="1017" spans="1:5" x14ac:dyDescent="0.25">
      <c r="A1017" t="s">
        <v>1082</v>
      </c>
      <c r="B1017" t="s">
        <v>4800</v>
      </c>
      <c r="D1017" t="s">
        <v>77</v>
      </c>
      <c r="E1017" t="s">
        <v>1131</v>
      </c>
    </row>
    <row r="1018" spans="1:5" x14ac:dyDescent="0.25">
      <c r="A1018" t="s">
        <v>4741</v>
      </c>
      <c r="B1018" t="s">
        <v>4834</v>
      </c>
      <c r="E1018" t="s">
        <v>5028</v>
      </c>
    </row>
    <row r="1019" spans="1:5" x14ac:dyDescent="0.25">
      <c r="A1019" t="s">
        <v>2920</v>
      </c>
      <c r="B1019" t="s">
        <v>4965</v>
      </c>
      <c r="E1019" t="s">
        <v>1236</v>
      </c>
    </row>
    <row r="1020" spans="1:5" x14ac:dyDescent="0.25">
      <c r="A1020" t="s">
        <v>2432</v>
      </c>
      <c r="B1020" t="s">
        <v>4966</v>
      </c>
      <c r="E1020" t="s">
        <v>5029</v>
      </c>
    </row>
    <row r="1021" spans="1:5" x14ac:dyDescent="0.25">
      <c r="A1021" t="s">
        <v>4396</v>
      </c>
      <c r="B1021" t="s">
        <v>4834</v>
      </c>
      <c r="E1021" t="s">
        <v>5028</v>
      </c>
    </row>
    <row r="1022" spans="1:5" x14ac:dyDescent="0.25">
      <c r="A1022" t="s">
        <v>1763</v>
      </c>
      <c r="B1022" t="s">
        <v>4967</v>
      </c>
      <c r="C1022" t="s">
        <v>80</v>
      </c>
    </row>
    <row r="1023" spans="1:5" x14ac:dyDescent="0.25">
      <c r="A1023" t="s">
        <v>1825</v>
      </c>
      <c r="B1023" t="s">
        <v>4967</v>
      </c>
      <c r="C1023" t="s">
        <v>80</v>
      </c>
    </row>
    <row r="1024" spans="1:5" x14ac:dyDescent="0.25">
      <c r="A1024" t="s">
        <v>1894</v>
      </c>
      <c r="B1024" t="s">
        <v>4968</v>
      </c>
      <c r="C1024" t="s">
        <v>869</v>
      </c>
    </row>
    <row r="1025" spans="1:5" x14ac:dyDescent="0.25">
      <c r="A1025" t="s">
        <v>4229</v>
      </c>
      <c r="B1025" t="s">
        <v>4969</v>
      </c>
      <c r="C1025" t="s">
        <v>72</v>
      </c>
      <c r="D1025" t="s">
        <v>3810</v>
      </c>
      <c r="E1025" t="s">
        <v>5030</v>
      </c>
    </row>
    <row r="1026" spans="1:5" x14ac:dyDescent="0.25">
      <c r="A1026" t="s">
        <v>3769</v>
      </c>
      <c r="B1026" t="s">
        <v>4829</v>
      </c>
      <c r="E1026" t="s">
        <v>5029</v>
      </c>
    </row>
    <row r="1027" spans="1:5" x14ac:dyDescent="0.25">
      <c r="A1027" t="s">
        <v>1083</v>
      </c>
      <c r="B1027" t="s">
        <v>4970</v>
      </c>
      <c r="D1027" t="s">
        <v>77</v>
      </c>
      <c r="E1027" t="s">
        <v>1143</v>
      </c>
    </row>
    <row r="1028" spans="1:5" x14ac:dyDescent="0.25">
      <c r="A1028" t="s">
        <v>1852</v>
      </c>
      <c r="B1028" t="s">
        <v>4814</v>
      </c>
      <c r="E1028" t="s">
        <v>5031</v>
      </c>
    </row>
    <row r="1029" spans="1:5" x14ac:dyDescent="0.25">
      <c r="A1029" t="s">
        <v>2922</v>
      </c>
      <c r="B1029" t="s">
        <v>4971</v>
      </c>
    </row>
    <row r="1030" spans="1:5" x14ac:dyDescent="0.25">
      <c r="A1030" t="s">
        <v>3813</v>
      </c>
      <c r="B1030" t="s">
        <v>4831</v>
      </c>
      <c r="E1030" t="s">
        <v>5032</v>
      </c>
    </row>
    <row r="1031" spans="1:5" x14ac:dyDescent="0.25">
      <c r="A1031" t="s">
        <v>1915</v>
      </c>
      <c r="B1031" t="s">
        <v>4972</v>
      </c>
      <c r="E1031" t="s">
        <v>5033</v>
      </c>
    </row>
    <row r="1032" spans="1:5" x14ac:dyDescent="0.25">
      <c r="A1032" t="s">
        <v>4838</v>
      </c>
      <c r="B1032" t="s">
        <v>4973</v>
      </c>
      <c r="E1032" t="s">
        <v>5034</v>
      </c>
    </row>
    <row r="1033" spans="1:5" x14ac:dyDescent="0.25">
      <c r="A1033" t="s">
        <v>2288</v>
      </c>
      <c r="B1033" t="s">
        <v>4795</v>
      </c>
      <c r="E1033" t="s">
        <v>5035</v>
      </c>
    </row>
    <row r="1034" spans="1:5" x14ac:dyDescent="0.25">
      <c r="A1034" t="s">
        <v>1907</v>
      </c>
      <c r="B1034" t="s">
        <v>4795</v>
      </c>
      <c r="E1034" t="s">
        <v>5036</v>
      </c>
    </row>
    <row r="1035" spans="1:5" x14ac:dyDescent="0.25">
      <c r="A1035" t="s">
        <v>4839</v>
      </c>
      <c r="B1035" t="s">
        <v>4974</v>
      </c>
      <c r="E1035" t="s">
        <v>1236</v>
      </c>
    </row>
    <row r="1036" spans="1:5" x14ac:dyDescent="0.25">
      <c r="A1036" t="s">
        <v>4840</v>
      </c>
      <c r="B1036" t="s">
        <v>4831</v>
      </c>
      <c r="E1036" t="s">
        <v>5037</v>
      </c>
    </row>
    <row r="1037" spans="1:5" x14ac:dyDescent="0.25">
      <c r="A1037" t="s">
        <v>4841</v>
      </c>
      <c r="B1037" t="s">
        <v>4831</v>
      </c>
      <c r="E1037" t="s">
        <v>5037</v>
      </c>
    </row>
    <row r="1038" spans="1:5" x14ac:dyDescent="0.25">
      <c r="A1038" t="s">
        <v>4842</v>
      </c>
      <c r="B1038" t="s">
        <v>4831</v>
      </c>
      <c r="E1038" t="s">
        <v>5038</v>
      </c>
    </row>
    <row r="1039" spans="1:5" x14ac:dyDescent="0.25">
      <c r="A1039" t="s">
        <v>1045</v>
      </c>
      <c r="B1039" t="s">
        <v>4812</v>
      </c>
      <c r="D1039" t="s">
        <v>410</v>
      </c>
      <c r="E1039" t="s">
        <v>1137</v>
      </c>
    </row>
    <row r="1040" spans="1:5" x14ac:dyDescent="0.25">
      <c r="A1040" t="s">
        <v>4843</v>
      </c>
      <c r="B1040" t="s">
        <v>4972</v>
      </c>
      <c r="E1040" t="s">
        <v>5028</v>
      </c>
    </row>
    <row r="1041" spans="1:5" x14ac:dyDescent="0.25">
      <c r="A1041" t="s">
        <v>3617</v>
      </c>
      <c r="B1041" t="s">
        <v>4975</v>
      </c>
      <c r="C1041" t="s">
        <v>869</v>
      </c>
      <c r="D1041" t="s">
        <v>73</v>
      </c>
      <c r="E1041" t="s">
        <v>5039</v>
      </c>
    </row>
    <row r="1042" spans="1:5" x14ac:dyDescent="0.25">
      <c r="A1042" t="s">
        <v>1802</v>
      </c>
      <c r="B1042" t="s">
        <v>4794</v>
      </c>
      <c r="E1042" t="s">
        <v>5040</v>
      </c>
    </row>
    <row r="1043" spans="1:5" x14ac:dyDescent="0.25">
      <c r="A1043" t="s">
        <v>4844</v>
      </c>
      <c r="B1043" t="s">
        <v>4976</v>
      </c>
    </row>
    <row r="1044" spans="1:5" x14ac:dyDescent="0.25">
      <c r="A1044" t="s">
        <v>1534</v>
      </c>
      <c r="B1044" t="s">
        <v>4977</v>
      </c>
      <c r="C1044" t="s">
        <v>80</v>
      </c>
    </row>
    <row r="1045" spans="1:5" x14ac:dyDescent="0.25">
      <c r="A1045" t="s">
        <v>1533</v>
      </c>
      <c r="B1045" t="s">
        <v>4977</v>
      </c>
    </row>
    <row r="1046" spans="1:5" x14ac:dyDescent="0.25">
      <c r="A1046" t="s">
        <v>4148</v>
      </c>
      <c r="B1046" t="s">
        <v>4978</v>
      </c>
      <c r="C1046" t="s">
        <v>72</v>
      </c>
      <c r="D1046" t="s">
        <v>3810</v>
      </c>
      <c r="E1046" t="s">
        <v>5030</v>
      </c>
    </row>
    <row r="1047" spans="1:5" x14ac:dyDescent="0.25">
      <c r="A1047" t="s">
        <v>4845</v>
      </c>
      <c r="B1047" t="s">
        <v>4979</v>
      </c>
      <c r="E1047" t="s">
        <v>5041</v>
      </c>
    </row>
    <row r="1048" spans="1:5" x14ac:dyDescent="0.25">
      <c r="A1048" t="s">
        <v>4846</v>
      </c>
      <c r="B1048" t="s">
        <v>4980</v>
      </c>
      <c r="E1048" t="s">
        <v>5042</v>
      </c>
    </row>
    <row r="1049" spans="1:5" x14ac:dyDescent="0.25">
      <c r="A1049" t="s">
        <v>1063</v>
      </c>
      <c r="B1049" t="s">
        <v>4798</v>
      </c>
      <c r="D1049" t="s">
        <v>77</v>
      </c>
      <c r="E1049" t="s">
        <v>1646</v>
      </c>
    </row>
    <row r="1050" spans="1:5" x14ac:dyDescent="0.25">
      <c r="A1050" t="s">
        <v>4847</v>
      </c>
      <c r="B1050" t="s">
        <v>4981</v>
      </c>
    </row>
    <row r="1051" spans="1:5" x14ac:dyDescent="0.25">
      <c r="A1051" t="s">
        <v>2802</v>
      </c>
      <c r="B1051" t="s">
        <v>5020</v>
      </c>
      <c r="D1051" t="s">
        <v>2805</v>
      </c>
    </row>
    <row r="1052" spans="1:5" x14ac:dyDescent="0.25">
      <c r="A1052" t="s">
        <v>2806</v>
      </c>
      <c r="B1052" t="s">
        <v>4786</v>
      </c>
    </row>
    <row r="1053" spans="1:5" x14ac:dyDescent="0.25">
      <c r="A1053" t="s">
        <v>2803</v>
      </c>
      <c r="B1053" t="s">
        <v>5020</v>
      </c>
      <c r="D1053" t="s">
        <v>2805</v>
      </c>
    </row>
    <row r="1054" spans="1:5" x14ac:dyDescent="0.25">
      <c r="A1054" t="s">
        <v>1147</v>
      </c>
      <c r="B1054" t="s">
        <v>4789</v>
      </c>
      <c r="D1054" t="s">
        <v>2805</v>
      </c>
    </row>
    <row r="1055" spans="1:5" x14ac:dyDescent="0.25">
      <c r="A1055" t="s">
        <v>1485</v>
      </c>
      <c r="B1055" t="s">
        <v>4982</v>
      </c>
      <c r="C1055" t="s">
        <v>869</v>
      </c>
    </row>
    <row r="1056" spans="1:5" x14ac:dyDescent="0.25">
      <c r="A1056" t="s">
        <v>1584</v>
      </c>
      <c r="B1056" t="s">
        <v>4983</v>
      </c>
      <c r="D1056" t="s">
        <v>483</v>
      </c>
      <c r="E1056" t="s">
        <v>1646</v>
      </c>
    </row>
    <row r="1057" spans="1:5" x14ac:dyDescent="0.25">
      <c r="A1057" t="s">
        <v>1585</v>
      </c>
      <c r="B1057" t="s">
        <v>4970</v>
      </c>
      <c r="E1057" t="s">
        <v>1646</v>
      </c>
    </row>
    <row r="1058" spans="1:5" x14ac:dyDescent="0.25">
      <c r="A1058" t="s">
        <v>1583</v>
      </c>
      <c r="B1058" t="s">
        <v>4984</v>
      </c>
      <c r="C1058" t="s">
        <v>72</v>
      </c>
      <c r="E1058" t="s">
        <v>1646</v>
      </c>
    </row>
    <row r="1059" spans="1:5" x14ac:dyDescent="0.25">
      <c r="A1059" t="s">
        <v>1043</v>
      </c>
      <c r="B1059" t="s">
        <v>4975</v>
      </c>
      <c r="D1059" t="s">
        <v>73</v>
      </c>
      <c r="E1059" t="s">
        <v>1134</v>
      </c>
    </row>
    <row r="1060" spans="1:5" x14ac:dyDescent="0.25">
      <c r="A1060" t="s">
        <v>1828</v>
      </c>
      <c r="B1060" t="s">
        <v>4821</v>
      </c>
      <c r="D1060" t="s">
        <v>81</v>
      </c>
      <c r="E1060" t="s">
        <v>1139</v>
      </c>
    </row>
    <row r="1061" spans="1:5" x14ac:dyDescent="0.25">
      <c r="A1061" t="s">
        <v>4848</v>
      </c>
      <c r="B1061" t="s">
        <v>4985</v>
      </c>
      <c r="E1061" t="s">
        <v>1139</v>
      </c>
    </row>
    <row r="1062" spans="1:5" x14ac:dyDescent="0.25">
      <c r="A1062" t="s">
        <v>2238</v>
      </c>
      <c r="B1062" t="s">
        <v>4822</v>
      </c>
      <c r="D1062" t="s">
        <v>81</v>
      </c>
      <c r="E1062" t="s">
        <v>1139</v>
      </c>
    </row>
    <row r="1063" spans="1:5" x14ac:dyDescent="0.25">
      <c r="A1063" t="s">
        <v>1830</v>
      </c>
      <c r="B1063" t="s">
        <v>4986</v>
      </c>
      <c r="C1063" t="s">
        <v>72</v>
      </c>
      <c r="D1063" t="s">
        <v>1145</v>
      </c>
      <c r="E1063" t="s">
        <v>5043</v>
      </c>
    </row>
    <row r="1064" spans="1:5" x14ac:dyDescent="0.25">
      <c r="A1064" t="s">
        <v>4395</v>
      </c>
      <c r="B1064" t="s">
        <v>4832</v>
      </c>
      <c r="C1064" t="s">
        <v>72</v>
      </c>
      <c r="D1064" t="s">
        <v>1145</v>
      </c>
      <c r="E1064" t="s">
        <v>5043</v>
      </c>
    </row>
    <row r="1065" spans="1:5" x14ac:dyDescent="0.25">
      <c r="A1065" t="s">
        <v>2914</v>
      </c>
      <c r="B1065" t="s">
        <v>5021</v>
      </c>
      <c r="E1065" t="s">
        <v>5029</v>
      </c>
    </row>
    <row r="1066" spans="1:5" x14ac:dyDescent="0.25">
      <c r="A1066" t="s">
        <v>4909</v>
      </c>
      <c r="B1066" t="s">
        <v>4987</v>
      </c>
      <c r="E1066" t="s">
        <v>1132</v>
      </c>
    </row>
    <row r="1067" spans="1:5" x14ac:dyDescent="0.25">
      <c r="A1067" t="s">
        <v>4910</v>
      </c>
      <c r="B1067" t="s">
        <v>4988</v>
      </c>
      <c r="E1067" t="s">
        <v>1132</v>
      </c>
    </row>
    <row r="1068" spans="1:5" x14ac:dyDescent="0.25">
      <c r="A1068" t="s">
        <v>4115</v>
      </c>
      <c r="B1068" t="s">
        <v>4832</v>
      </c>
      <c r="C1068" t="s">
        <v>1791</v>
      </c>
      <c r="E1068" t="s">
        <v>5044</v>
      </c>
    </row>
    <row r="1069" spans="1:5" x14ac:dyDescent="0.25">
      <c r="A1069" t="s">
        <v>1052</v>
      </c>
      <c r="B1069" t="s">
        <v>4832</v>
      </c>
      <c r="D1069" t="s">
        <v>410</v>
      </c>
      <c r="E1069" t="s">
        <v>1137</v>
      </c>
    </row>
    <row r="1070" spans="1:5" x14ac:dyDescent="0.25">
      <c r="A1070" t="s">
        <v>1930</v>
      </c>
      <c r="B1070" t="s">
        <v>4989</v>
      </c>
      <c r="E1070" t="s">
        <v>1209</v>
      </c>
    </row>
    <row r="1071" spans="1:5" x14ac:dyDescent="0.25">
      <c r="A1071" t="s">
        <v>4913</v>
      </c>
      <c r="B1071" t="s">
        <v>4990</v>
      </c>
      <c r="E1071" t="s">
        <v>1209</v>
      </c>
    </row>
    <row r="1072" spans="1:5" x14ac:dyDescent="0.25">
      <c r="A1072" t="s">
        <v>4074</v>
      </c>
      <c r="B1072" t="s">
        <v>4991</v>
      </c>
      <c r="D1072" t="s">
        <v>4075</v>
      </c>
      <c r="E1072" t="s">
        <v>1209</v>
      </c>
    </row>
    <row r="1073" spans="1:5" x14ac:dyDescent="0.25">
      <c r="A1073" t="s">
        <v>4914</v>
      </c>
      <c r="B1073" t="s">
        <v>4992</v>
      </c>
      <c r="E1073" t="s">
        <v>5045</v>
      </c>
    </row>
    <row r="1074" spans="1:5" x14ac:dyDescent="0.25">
      <c r="A1074" t="s">
        <v>1048</v>
      </c>
      <c r="B1074" t="s">
        <v>4993</v>
      </c>
      <c r="C1074" t="s">
        <v>1791</v>
      </c>
      <c r="D1074" t="s">
        <v>1050</v>
      </c>
      <c r="E1074" t="s">
        <v>5045</v>
      </c>
    </row>
    <row r="1075" spans="1:5" x14ac:dyDescent="0.25">
      <c r="A1075" t="s">
        <v>1891</v>
      </c>
      <c r="B1075" t="s">
        <v>4994</v>
      </c>
      <c r="E1075" t="s">
        <v>5046</v>
      </c>
    </row>
    <row r="1076" spans="1:5" x14ac:dyDescent="0.25">
      <c r="A1076" t="s">
        <v>1935</v>
      </c>
      <c r="B1076" t="s">
        <v>4832</v>
      </c>
      <c r="C1076" t="s">
        <v>72</v>
      </c>
      <c r="E1076" t="s">
        <v>1133</v>
      </c>
    </row>
    <row r="1077" spans="1:5" x14ac:dyDescent="0.25">
      <c r="A1077" t="s">
        <v>3650</v>
      </c>
      <c r="B1077" t="s">
        <v>4995</v>
      </c>
      <c r="C1077" t="s">
        <v>2866</v>
      </c>
      <c r="D1077" t="s">
        <v>1050</v>
      </c>
      <c r="E1077" t="s">
        <v>5047</v>
      </c>
    </row>
    <row r="1078" spans="1:5" x14ac:dyDescent="0.25">
      <c r="A1078" t="s">
        <v>4208</v>
      </c>
      <c r="B1078" t="s">
        <v>4996</v>
      </c>
      <c r="C1078" t="s">
        <v>2866</v>
      </c>
      <c r="D1078" t="s">
        <v>1050</v>
      </c>
      <c r="E1078" t="s">
        <v>5047</v>
      </c>
    </row>
    <row r="1079" spans="1:5" x14ac:dyDescent="0.25">
      <c r="A1079" t="s">
        <v>4492</v>
      </c>
      <c r="B1079" t="s">
        <v>4835</v>
      </c>
      <c r="C1079" t="s">
        <v>72</v>
      </c>
      <c r="E1079" t="s">
        <v>5048</v>
      </c>
    </row>
    <row r="1080" spans="1:5" x14ac:dyDescent="0.25">
      <c r="A1080" t="s">
        <v>4491</v>
      </c>
      <c r="B1080" t="s">
        <v>4833</v>
      </c>
      <c r="C1080" t="s">
        <v>72</v>
      </c>
      <c r="E1080" t="s">
        <v>5048</v>
      </c>
    </row>
    <row r="1081" spans="1:5" x14ac:dyDescent="0.25">
      <c r="A1081" t="s">
        <v>4738</v>
      </c>
      <c r="B1081" t="s">
        <v>4997</v>
      </c>
      <c r="E1081" t="s">
        <v>5049</v>
      </c>
    </row>
    <row r="1082" spans="1:5" x14ac:dyDescent="0.25">
      <c r="A1082" t="s">
        <v>1090</v>
      </c>
      <c r="B1082" t="s">
        <v>4792</v>
      </c>
      <c r="E1082" t="s">
        <v>1136</v>
      </c>
    </row>
    <row r="1083" spans="1:5" x14ac:dyDescent="0.25">
      <c r="A1083" t="s">
        <v>2929</v>
      </c>
      <c r="B1083" t="s">
        <v>4827</v>
      </c>
      <c r="E1083" t="s">
        <v>1136</v>
      </c>
    </row>
    <row r="1084" spans="1:5" x14ac:dyDescent="0.25">
      <c r="A1084" t="s">
        <v>1091</v>
      </c>
      <c r="B1084" t="s">
        <v>4998</v>
      </c>
      <c r="E1084" t="s">
        <v>1136</v>
      </c>
    </row>
    <row r="1085" spans="1:5" x14ac:dyDescent="0.25">
      <c r="A1085" t="s">
        <v>1095</v>
      </c>
      <c r="B1085" t="s">
        <v>4801</v>
      </c>
      <c r="D1085" t="s">
        <v>96</v>
      </c>
      <c r="E1085" t="s">
        <v>1142</v>
      </c>
    </row>
    <row r="1086" spans="1:5" x14ac:dyDescent="0.25">
      <c r="A1086" t="s">
        <v>2865</v>
      </c>
      <c r="B1086" t="s">
        <v>5022</v>
      </c>
      <c r="C1086" t="s">
        <v>2024</v>
      </c>
    </row>
    <row r="1087" spans="1:5" x14ac:dyDescent="0.25">
      <c r="A1087" t="s">
        <v>1928</v>
      </c>
      <c r="B1087" t="s">
        <v>4999</v>
      </c>
      <c r="C1087" t="s">
        <v>72</v>
      </c>
      <c r="E1087" t="s">
        <v>5050</v>
      </c>
    </row>
    <row r="1088" spans="1:5" x14ac:dyDescent="0.25">
      <c r="A1088" t="s">
        <v>1929</v>
      </c>
      <c r="B1088" t="s">
        <v>5000</v>
      </c>
      <c r="E1088" t="s">
        <v>5050</v>
      </c>
    </row>
    <row r="1089" spans="1:5" x14ac:dyDescent="0.25">
      <c r="A1089" t="s">
        <v>1688</v>
      </c>
      <c r="B1089" t="s">
        <v>5001</v>
      </c>
      <c r="D1089" t="s">
        <v>77</v>
      </c>
      <c r="E1089" t="s">
        <v>1142</v>
      </c>
    </row>
    <row r="1090" spans="1:5" x14ac:dyDescent="0.25">
      <c r="A1090" t="s">
        <v>4928</v>
      </c>
      <c r="B1090" t="s">
        <v>5002</v>
      </c>
      <c r="E1090" t="s">
        <v>1142</v>
      </c>
    </row>
    <row r="1091" spans="1:5" x14ac:dyDescent="0.25">
      <c r="A1091" t="s">
        <v>4929</v>
      </c>
      <c r="B1091" t="s">
        <v>5003</v>
      </c>
      <c r="E1091" t="s">
        <v>1142</v>
      </c>
    </row>
    <row r="1092" spans="1:5" x14ac:dyDescent="0.25">
      <c r="A1092" t="s">
        <v>1911</v>
      </c>
      <c r="B1092" t="s">
        <v>5004</v>
      </c>
    </row>
    <row r="1093" spans="1:5" x14ac:dyDescent="0.25">
      <c r="A1093" t="s">
        <v>2550</v>
      </c>
      <c r="B1093" t="s">
        <v>4787</v>
      </c>
    </row>
    <row r="1094" spans="1:5" x14ac:dyDescent="0.25">
      <c r="A1094" t="s">
        <v>3084</v>
      </c>
      <c r="B1094" t="s">
        <v>5005</v>
      </c>
    </row>
    <row r="1095" spans="1:5" x14ac:dyDescent="0.25">
      <c r="A1095" t="s">
        <v>3733</v>
      </c>
      <c r="B1095" t="s">
        <v>5006</v>
      </c>
      <c r="C1095" t="s">
        <v>72</v>
      </c>
    </row>
    <row r="1096" spans="1:5" x14ac:dyDescent="0.25">
      <c r="A1096" t="s">
        <v>4048</v>
      </c>
      <c r="B1096" t="s">
        <v>5006</v>
      </c>
    </row>
    <row r="1097" spans="1:5" x14ac:dyDescent="0.25">
      <c r="A1097" t="s">
        <v>4275</v>
      </c>
      <c r="B1097" t="s">
        <v>4956</v>
      </c>
    </row>
    <row r="1098" spans="1:5" x14ac:dyDescent="0.25">
      <c r="A1098" t="s">
        <v>4388</v>
      </c>
      <c r="B1098" t="s">
        <v>5007</v>
      </c>
      <c r="C1098" t="s">
        <v>72</v>
      </c>
    </row>
    <row r="1099" spans="1:5" x14ac:dyDescent="0.25">
      <c r="A1099" t="s">
        <v>4557</v>
      </c>
      <c r="B1099" t="s">
        <v>5006</v>
      </c>
      <c r="C1099" t="s">
        <v>72</v>
      </c>
    </row>
    <row r="1100" spans="1:5" x14ac:dyDescent="0.25">
      <c r="A1100" t="s">
        <v>4629</v>
      </c>
      <c r="B1100" t="s">
        <v>5008</v>
      </c>
      <c r="C1100" t="s">
        <v>4550</v>
      </c>
    </row>
    <row r="1101" spans="1:5" x14ac:dyDescent="0.25">
      <c r="A1101" t="s">
        <v>4683</v>
      </c>
      <c r="B1101" t="s">
        <v>5009</v>
      </c>
    </row>
    <row r="1102" spans="1:5" x14ac:dyDescent="0.25">
      <c r="A1102" t="s">
        <v>4934</v>
      </c>
      <c r="B1102" t="s">
        <v>5010</v>
      </c>
      <c r="E1102" t="s">
        <v>1135</v>
      </c>
    </row>
    <row r="1103" spans="1:5" x14ac:dyDescent="0.25">
      <c r="A1103" t="s">
        <v>4935</v>
      </c>
      <c r="B1103" t="s">
        <v>5011</v>
      </c>
      <c r="E1103" t="s">
        <v>1135</v>
      </c>
    </row>
    <row r="1104" spans="1:5" x14ac:dyDescent="0.25">
      <c r="A1104" t="s">
        <v>1072</v>
      </c>
      <c r="B1104" t="s">
        <v>5012</v>
      </c>
      <c r="D1104" t="s">
        <v>1074</v>
      </c>
      <c r="E1104" t="s">
        <v>4134</v>
      </c>
    </row>
    <row r="1105" spans="1:5" x14ac:dyDescent="0.25">
      <c r="A1105" t="s">
        <v>4948</v>
      </c>
      <c r="B1105" t="s">
        <v>4976</v>
      </c>
      <c r="E1105" t="s">
        <v>4134</v>
      </c>
    </row>
    <row r="1106" spans="1:5" x14ac:dyDescent="0.25">
      <c r="A1106" t="s">
        <v>4949</v>
      </c>
      <c r="B1106" t="s">
        <v>4976</v>
      </c>
      <c r="E1106" t="s">
        <v>5051</v>
      </c>
    </row>
    <row r="1107" spans="1:5" x14ac:dyDescent="0.25">
      <c r="A1107" t="s">
        <v>4112</v>
      </c>
      <c r="B1107" t="s">
        <v>5013</v>
      </c>
      <c r="C1107" t="s">
        <v>72</v>
      </c>
      <c r="D1107" t="s">
        <v>3765</v>
      </c>
      <c r="E1107" t="s">
        <v>5052</v>
      </c>
    </row>
    <row r="1108" spans="1:5" x14ac:dyDescent="0.25">
      <c r="A1108" t="s">
        <v>4256</v>
      </c>
      <c r="B1108" t="s">
        <v>5014</v>
      </c>
      <c r="C1108" t="s">
        <v>72</v>
      </c>
      <c r="D1108" t="s">
        <v>3765</v>
      </c>
      <c r="E1108" t="s">
        <v>5052</v>
      </c>
    </row>
    <row r="1109" spans="1:5" x14ac:dyDescent="0.25">
      <c r="A1109" t="s">
        <v>4257</v>
      </c>
      <c r="B1109" t="s">
        <v>5015</v>
      </c>
      <c r="C1109" t="s">
        <v>72</v>
      </c>
      <c r="D1109" t="s">
        <v>3765</v>
      </c>
      <c r="E1109" t="s">
        <v>5052</v>
      </c>
    </row>
    <row r="1110" spans="1:5" x14ac:dyDescent="0.25">
      <c r="A1110" t="s">
        <v>5079</v>
      </c>
      <c r="B1110" t="s">
        <v>5062</v>
      </c>
    </row>
    <row r="1111" spans="1:5" x14ac:dyDescent="0.25">
      <c r="A1111" t="s">
        <v>5187</v>
      </c>
      <c r="B1111" t="s">
        <v>5178</v>
      </c>
      <c r="C1111" t="s">
        <v>72</v>
      </c>
      <c r="E1111" t="s">
        <v>5179</v>
      </c>
    </row>
    <row r="1112" spans="1:5" x14ac:dyDescent="0.25">
      <c r="A1112" t="s">
        <v>5256</v>
      </c>
      <c r="B1112" t="s">
        <v>4808</v>
      </c>
      <c r="C1112" t="s">
        <v>4550</v>
      </c>
      <c r="E1112" t="s">
        <v>917</v>
      </c>
    </row>
    <row r="1113" spans="1:5" x14ac:dyDescent="0.25">
      <c r="A1113" t="s">
        <v>5396</v>
      </c>
      <c r="B1113" t="s">
        <v>4797</v>
      </c>
      <c r="C1113" t="s">
        <v>72</v>
      </c>
      <c r="E1113" t="s">
        <v>917</v>
      </c>
    </row>
    <row r="1114" spans="1:5" x14ac:dyDescent="0.25">
      <c r="A1114" t="s">
        <v>5430</v>
      </c>
      <c r="B1114" t="s">
        <v>5409</v>
      </c>
      <c r="C1114" t="s">
        <v>80</v>
      </c>
    </row>
    <row r="1115" spans="1:5" x14ac:dyDescent="0.25">
      <c r="A1115" t="s">
        <v>2041</v>
      </c>
      <c r="B1115" t="s">
        <v>5410</v>
      </c>
      <c r="C1115" t="s">
        <v>80</v>
      </c>
    </row>
    <row r="1116" spans="1:5" x14ac:dyDescent="0.25">
      <c r="A1116" t="s">
        <v>5452</v>
      </c>
      <c r="B1116" t="s">
        <v>4964</v>
      </c>
    </row>
    <row r="1117" spans="1:5" x14ac:dyDescent="0.25">
      <c r="A1117" t="s">
        <v>5451</v>
      </c>
      <c r="B1117" t="s">
        <v>4788</v>
      </c>
    </row>
    <row r="1118" spans="1:5" x14ac:dyDescent="0.25">
      <c r="A1118" t="s">
        <v>5551</v>
      </c>
      <c r="B1118" t="s">
        <v>4817</v>
      </c>
      <c r="C1118" t="s">
        <v>72</v>
      </c>
      <c r="E1118" t="s">
        <v>917</v>
      </c>
    </row>
    <row r="1119" spans="1:5" x14ac:dyDescent="0.25">
      <c r="A1119" t="s">
        <v>5558</v>
      </c>
      <c r="B1119" t="s">
        <v>4806</v>
      </c>
      <c r="C1119" t="s">
        <v>80</v>
      </c>
      <c r="E1119" t="s">
        <v>917</v>
      </c>
    </row>
    <row r="1120" spans="1:5" x14ac:dyDescent="0.25">
      <c r="A1120" t="s">
        <v>5557</v>
      </c>
      <c r="B1120" t="s">
        <v>4806</v>
      </c>
      <c r="C1120" t="s">
        <v>80</v>
      </c>
      <c r="E1120" t="s">
        <v>917</v>
      </c>
    </row>
    <row r="1121" spans="1:5" x14ac:dyDescent="0.25">
      <c r="A1121" t="s">
        <v>2041</v>
      </c>
      <c r="B1121" t="s">
        <v>5556</v>
      </c>
      <c r="C1121" t="s">
        <v>5554</v>
      </c>
      <c r="E1121" t="s">
        <v>917</v>
      </c>
    </row>
    <row r="1122" spans="1:5" x14ac:dyDescent="0.25">
      <c r="A1122" t="s">
        <v>5666</v>
      </c>
      <c r="B1122" t="s">
        <v>5665</v>
      </c>
      <c r="C1122" t="s">
        <v>80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1C969989-A0BA-4CD4-A5E0-7C975CDF58CE}">
  <ds:schemaRefs>
    <ds:schemaRef ds:uri="http://schemas.microsoft.com/DataMashup"/>
  </ds:schemaRefs>
</ds:datastoreItem>
</file>

<file path=customXml/itemProps2.xml><?xml version="1.0" encoding="utf-8"?>
<ds:datastoreItem xmlns:ds="http://schemas.openxmlformats.org/officeDocument/2006/customXml" ds:itemID="{82731F0B-3D2C-43A5-B5F0-B7D4CB9935B0}">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A9FBCF9E-8ECB-498E-890A-BB7CBD12E611}">
  <ds:schemaRefs>
    <ds:schemaRef ds:uri="http://www.w3.org/2001/XMLSchema"/>
    <ds:schemaRef ds:uri="http://microsoft.data.visualization.Client.Excel/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Main-Issuance</vt:lpstr>
      <vt:lpstr>Main-Presentation</vt:lpstr>
      <vt:lpstr>Guarantee</vt:lpstr>
      <vt:lpstr>Presentation Settled</vt:lpstr>
      <vt:lpstr>Due Dates</vt:lpstr>
      <vt:lpstr>Document Collection</vt:lpstr>
      <vt:lpstr>LC_Overdrawn</vt:lpstr>
      <vt:lpstr>LC_Cancellation</vt:lpstr>
      <vt:lpstr>LC_Summary</vt:lpstr>
      <vt:lpstr>Facility Space</vt:lpstr>
      <vt:lpstr>LC_Statistics</vt:lpstr>
      <vt:lpstr>Data Validation</vt:lpstr>
      <vt:lpstr>Debit Advice</vt:lpstr>
      <vt:lpstr>Advice Report</vt:lpstr>
      <vt:lpstr>Tariff</vt:lpstr>
      <vt:lpstr>Jazira-Ext</vt:lpstr>
      <vt:lpstr>Combine_List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Farhan Amanulla Shaikh</dc:creator>
  <cp:lastModifiedBy>Farhan Amanulla Shaikh</cp:lastModifiedBy>
  <cp:lastPrinted>2026-04-13T09:43:20Z</cp:lastPrinted>
  <dcterms:created xsi:type="dcterms:W3CDTF">2025-04-03T08:59:47Z</dcterms:created>
  <dcterms:modified xsi:type="dcterms:W3CDTF">2026-06-24T07:30:14Z</dcterms:modified>
</cp:coreProperties>
</file>